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7.xml" ContentType="application/vnd.openxmlformats-officedocument.spreadsheetml.comments+xml"/>
  <Override PartName="/xl/drawings/drawing18.xml" ContentType="application/vnd.openxmlformats-officedocument.drawing+xml"/>
  <Override PartName="/xl/comments8.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xr:revisionPtr revIDLastSave="0" documentId="13_ncr:1_{C6523B85-926C-42F5-91BD-9F0E3BF58695}" xr6:coauthVersionLast="47" xr6:coauthVersionMax="47" xr10:uidLastSave="{00000000-0000-0000-0000-000000000000}"/>
  <workbookProtection workbookAlgorithmName="SHA-512" workbookHashValue="iuDN1q6a0uGJ4FNXry9M5lP2U9faJIYuP0vQfA65JAok23Dz7tCZ5Us3WPMlEWs/EoKa8FkNP2zzqSljl9SSZQ==" workbookSaltValue="fKyGaW/hL+SEHF+5NqLrHw==" workbookSpinCount="100000" lockStructure="1"/>
  <bookViews>
    <workbookView xWindow="-120" yWindow="-120" windowWidth="29040" windowHeight="15720" tabRatio="881" xr2:uid="{00000000-000D-0000-FFFF-FFFF00000000}"/>
  </bookViews>
  <sheets>
    <sheet name="Instructions" sheetId="1" r:id="rId1"/>
    <sheet name="Details" sheetId="16" r:id="rId2"/>
    <sheet name="Site" sheetId="83" r:id="rId3"/>
    <sheet name="Revenue" sheetId="81" r:id="rId4"/>
    <sheet name="OpBudget" sheetId="80" r:id="rId5"/>
    <sheet name="Sources" sheetId="3" r:id="rId6"/>
    <sheet name="Uses" sheetId="96" r:id="rId7"/>
    <sheet name="Sources X Uses" sheetId="84" r:id="rId8"/>
    <sheet name="LIHTCs" sheetId="5" r:id="rId9"/>
    <sheet name="OLIHTCs" sheetId="97" state="hidden" r:id="rId10"/>
    <sheet name="Bonds" sheetId="94" state="hidden" r:id="rId11"/>
    <sheet name="Cashflow" sheetId="8" r:id="rId12"/>
    <sheet name="Loans" sheetId="95" state="hidden" r:id="rId13"/>
    <sheet name="HDL" sheetId="103" r:id="rId14"/>
    <sheet name="HDAP-Site" sheetId="108" r:id="rId15"/>
    <sheet name="HDAP-Unit" sheetId="109" r:id="rId16"/>
    <sheet name="HDAP-Proration" sheetId="101" r:id="rId17"/>
    <sheet name="HDAP-Standard" sheetId="102" r:id="rId18"/>
    <sheet name="Team" sheetId="82" r:id="rId19"/>
    <sheet name="ExecSum" sheetId="107" state="hidden" r:id="rId20"/>
    <sheet name="Data" sheetId="85" state="hidden" r:id="rId21"/>
    <sheet name="Summary" sheetId="77" r:id="rId22"/>
    <sheet name="Amenities" sheetId="116" r:id="rId23"/>
    <sheet name="NA-GO" sheetId="100" r:id="rId24"/>
    <sheet name="NA-SR" sheetId="113" r:id="rId25"/>
    <sheet name="PA" sheetId="114" r:id="rId26"/>
    <sheet name="TPSHN" sheetId="115" r:id="rId27"/>
    <sheet name="OHFADataExtract" sheetId="51" state="hidden" r:id="rId28"/>
    <sheet name="Cert" sheetId="12" r:id="rId29"/>
  </sheets>
  <definedNames>
    <definedName name="_xlnm._FilterDatabase" localSheetId="20" hidden="1">Data!$B$10:$AH$3178</definedName>
    <definedName name="_xlnm._FilterDatabase" localSheetId="3" hidden="1">Revenue!$C$46:$P$46</definedName>
    <definedName name="_xlnm._FilterDatabase" localSheetId="2" hidden="1">Site!$C$13:$Q$13</definedName>
    <definedName name="_Order1" hidden="1">255</definedName>
    <definedName name="_Order2" hidden="1">255</definedName>
    <definedName name="_xlnm.Print_Area" localSheetId="22">Amenities!$B$1:$L$185</definedName>
    <definedName name="_xlnm.Print_Area" localSheetId="10">Bonds!$B$1:$L$36</definedName>
    <definedName name="_xlnm.Print_Area" localSheetId="11">Cashflow!$B$1:$T$71</definedName>
    <definedName name="_xlnm.Print_Area" localSheetId="28">Cert!$B$1:$L$114</definedName>
    <definedName name="_xlnm.Print_Area" localSheetId="1">Details!$B$1:$L$171</definedName>
    <definedName name="_xlnm.Print_Area" localSheetId="19">ExecSum!$B$1:$L$259</definedName>
    <definedName name="_xlnm.Print_Area" localSheetId="16">'HDAP-Proration'!$B$1:$I$256</definedName>
    <definedName name="_xlnm.Print_Area" localSheetId="14">'HDAP-Site'!$B$1:$K$208</definedName>
    <definedName name="_xlnm.Print_Area" localSheetId="17">'HDAP-Standard'!$B$1:$I$223</definedName>
    <definedName name="_xlnm.Print_Area" localSheetId="15">'HDAP-Unit'!$B$1:$K$103</definedName>
    <definedName name="_xlnm.Print_Area" localSheetId="13">HDL!$B$1:$J$37</definedName>
    <definedName name="_xlnm.Print_Area" localSheetId="0">Instructions!$B$1:$M$47</definedName>
    <definedName name="_xlnm.Print_Area" localSheetId="8">LIHTCs!$B$1:$J$71</definedName>
    <definedName name="_xlnm.Print_Area" localSheetId="12">Loans!$B$1:$S$83</definedName>
    <definedName name="_xlnm.Print_Area" localSheetId="23">'NA-GO'!$B$1:$L$296</definedName>
    <definedName name="_xlnm.Print_Area" localSheetId="24">'NA-SR'!$B$1:$L$293</definedName>
    <definedName name="_xlnm.Print_Area" localSheetId="9">OLIHTCs!$B$1:$J$55</definedName>
    <definedName name="_xlnm.Print_Area" localSheetId="4">OpBudget!$B$1:$L$165</definedName>
    <definedName name="_xlnm.Print_Area" localSheetId="25">PA!$B$1:$L$282</definedName>
    <definedName name="_xlnm.Print_Area" localSheetId="3">Revenue!$B$1:$Q$136</definedName>
    <definedName name="_xlnm.Print_Area" localSheetId="2">Site!$B$1:$AF$63</definedName>
    <definedName name="_xlnm.Print_Area" localSheetId="5">Sources!$B$1:$N$86</definedName>
    <definedName name="_xlnm.Print_Area" localSheetId="7">'Sources X Uses'!$B$1:$AB$89</definedName>
    <definedName name="_xlnm.Print_Area" localSheetId="21">Summary!$B$1:$L$171</definedName>
    <definedName name="_xlnm.Print_Area" localSheetId="18">Team!$B$1:$L$529</definedName>
    <definedName name="_xlnm.Print_Area" localSheetId="26">TPSHN!$B$1:$L$409</definedName>
    <definedName name="_xlnm.Print_Area" localSheetId="6">Uses!$B$1:$L$84</definedName>
    <definedName name="_xlnm.Print_Titles" localSheetId="0">Instructions!#REF!</definedName>
    <definedName name="_xlnm.Print_Titles" localSheetId="2">Site!$C:$C</definedName>
    <definedName name="_xlnm.Print_Titles" localSheetId="7">'Sources X Uses'!$C:$F</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4" i="107" l="1"/>
  <c r="K103" i="107"/>
  <c r="J103" i="107"/>
  <c r="I103" i="107"/>
  <c r="K180" i="107"/>
  <c r="J180" i="107"/>
  <c r="E14" i="103" l="1"/>
  <c r="I199" i="100"/>
  <c r="I199" i="113"/>
  <c r="I305" i="115"/>
  <c r="I174" i="114"/>
  <c r="J169" i="77"/>
  <c r="BBC8" i="51"/>
  <c r="BAV8" i="51"/>
  <c r="BAT8" i="51"/>
  <c r="BAR8" i="51"/>
  <c r="BAP8" i="51"/>
  <c r="BAN8" i="51"/>
  <c r="BAL8" i="51"/>
  <c r="BAJ8" i="51"/>
  <c r="BAH8" i="51"/>
  <c r="BAF8" i="51"/>
  <c r="BAE8" i="51"/>
  <c r="BAD8" i="51"/>
  <c r="BAC8" i="51"/>
  <c r="BAA8" i="51"/>
  <c r="AZZ8" i="51"/>
  <c r="AZY8" i="51"/>
  <c r="AZX8" i="51"/>
  <c r="AZW8" i="51"/>
  <c r="AZV8" i="51"/>
  <c r="AZU8" i="51"/>
  <c r="AZS8" i="51"/>
  <c r="AZQ8" i="51"/>
  <c r="AZP8" i="51"/>
  <c r="AZN8" i="51"/>
  <c r="AZK8" i="51"/>
  <c r="AZJ8" i="51"/>
  <c r="AZA8" i="51"/>
  <c r="AYY8" i="51"/>
  <c r="AYW8" i="51"/>
  <c r="AYU8" i="51"/>
  <c r="AYS8" i="51"/>
  <c r="AYQ8" i="51"/>
  <c r="AYO8" i="51"/>
  <c r="AYL8" i="51"/>
  <c r="AYJ8" i="51"/>
  <c r="AYC8" i="51"/>
  <c r="AYA8" i="51"/>
  <c r="AXY8" i="51"/>
  <c r="AXW8" i="51"/>
  <c r="AXU8" i="51"/>
  <c r="AXS8" i="51"/>
  <c r="AXR8" i="51"/>
  <c r="AXQ8" i="51"/>
  <c r="AXP8" i="51"/>
  <c r="AXN8" i="51"/>
  <c r="AXD8" i="51"/>
  <c r="AXB8" i="51"/>
  <c r="AWZ8" i="51"/>
  <c r="AWX8" i="51"/>
  <c r="AWW8" i="51"/>
  <c r="AWV8" i="51"/>
  <c r="AWT8" i="51"/>
  <c r="AWO8" i="51"/>
  <c r="AWN8" i="51"/>
  <c r="AWM8" i="51"/>
  <c r="AWL8" i="51"/>
  <c r="AWK8" i="51"/>
  <c r="AWJ8" i="51"/>
  <c r="AWI8" i="51"/>
  <c r="AWH8" i="51"/>
  <c r="AWG8" i="51"/>
  <c r="AWF8" i="51"/>
  <c r="AWE8" i="51"/>
  <c r="AWD8" i="51"/>
  <c r="AWC8" i="51"/>
  <c r="AWB8" i="51"/>
  <c r="AWA8" i="51"/>
  <c r="AVZ8" i="51"/>
  <c r="AVY8" i="51"/>
  <c r="AVX8" i="51"/>
  <c r="AVW8" i="51"/>
  <c r="AVV8" i="51"/>
  <c r="AVU8" i="51"/>
  <c r="AVT8" i="51"/>
  <c r="AVS8" i="51"/>
  <c r="AVR8" i="51"/>
  <c r="AVQ8" i="51"/>
  <c r="AVP8" i="51"/>
  <c r="AVO8" i="51"/>
  <c r="AVN8" i="51"/>
  <c r="AVM8" i="51"/>
  <c r="AVL8" i="51"/>
  <c r="AVK8" i="51"/>
  <c r="AVJ8" i="51"/>
  <c r="AVI8" i="51"/>
  <c r="AVH8" i="51"/>
  <c r="AVG8" i="51"/>
  <c r="AVF8" i="51"/>
  <c r="AVE8" i="51"/>
  <c r="AVD8" i="51"/>
  <c r="AVC8" i="51"/>
  <c r="AVB8" i="51"/>
  <c r="AVA8" i="51"/>
  <c r="AUZ8" i="51"/>
  <c r="AUY8" i="51"/>
  <c r="AUX8" i="51"/>
  <c r="AUW8" i="51"/>
  <c r="AUV8" i="51"/>
  <c r="AUU8" i="51"/>
  <c r="AUT8" i="51"/>
  <c r="AUS8" i="51"/>
  <c r="AUR8" i="51"/>
  <c r="AUQ8" i="51"/>
  <c r="AUP8" i="51"/>
  <c r="AUO8" i="51"/>
  <c r="AUN8" i="51"/>
  <c r="AUM8" i="51"/>
  <c r="AUL8" i="51"/>
  <c r="AUK8" i="51"/>
  <c r="AUJ8" i="51"/>
  <c r="AUI8" i="51"/>
  <c r="AUH8" i="51"/>
  <c r="AUG8" i="51"/>
  <c r="AUF8" i="51"/>
  <c r="AUE8" i="51"/>
  <c r="AUD8" i="51"/>
  <c r="AUC8" i="51"/>
  <c r="AUB8" i="51"/>
  <c r="AUA8" i="51"/>
  <c r="ATZ8" i="51"/>
  <c r="ATY8" i="51"/>
  <c r="ATX8" i="51"/>
  <c r="ATW8" i="51"/>
  <c r="ATV8" i="51"/>
  <c r="ATU8" i="51"/>
  <c r="ATT8" i="51"/>
  <c r="ATS8" i="51"/>
  <c r="ATR8" i="51"/>
  <c r="ATQ8" i="51"/>
  <c r="ATP8" i="51"/>
  <c r="ATO8" i="51"/>
  <c r="ATN8" i="51"/>
  <c r="ATM8" i="51"/>
  <c r="ATL8" i="51"/>
  <c r="ATK8" i="51"/>
  <c r="ATJ8" i="51"/>
  <c r="ATI8" i="51"/>
  <c r="ATH8" i="51"/>
  <c r="ATG8" i="51"/>
  <c r="ATF8" i="51"/>
  <c r="ATE8" i="51"/>
  <c r="ATD8" i="51"/>
  <c r="ATC8" i="51"/>
  <c r="ATB8" i="51"/>
  <c r="ATA8" i="51"/>
  <c r="ASZ8" i="51"/>
  <c r="ASY8" i="51"/>
  <c r="ASX8" i="51"/>
  <c r="ASW8" i="51"/>
  <c r="ASV8" i="51"/>
  <c r="ASU8" i="51"/>
  <c r="AST8" i="51"/>
  <c r="ASS8" i="51"/>
  <c r="ASR8" i="51"/>
  <c r="ASQ8" i="51"/>
  <c r="ASP8" i="51"/>
  <c r="ASO8" i="51"/>
  <c r="ASN8" i="51"/>
  <c r="ASM8" i="51"/>
  <c r="ASL8" i="51"/>
  <c r="ASK8" i="51"/>
  <c r="ASJ8" i="51"/>
  <c r="ASI8" i="51"/>
  <c r="ASH8" i="51"/>
  <c r="ASG8" i="51"/>
  <c r="ASF8" i="51"/>
  <c r="ASE8" i="51"/>
  <c r="ASD8" i="51"/>
  <c r="ASC8" i="51"/>
  <c r="ASB8" i="51"/>
  <c r="ASA8" i="51"/>
  <c r="ARZ8" i="51"/>
  <c r="ARY8" i="51"/>
  <c r="ARX8" i="51"/>
  <c r="ARW8" i="51"/>
  <c r="ARV8" i="51"/>
  <c r="ARU8" i="51"/>
  <c r="ART8" i="51"/>
  <c r="ARS8" i="51"/>
  <c r="ARR8" i="51"/>
  <c r="ARQ8" i="51"/>
  <c r="ARP8" i="51"/>
  <c r="ARO8" i="51"/>
  <c r="ARN8" i="51"/>
  <c r="ARM8" i="51"/>
  <c r="ARL8" i="51"/>
  <c r="ARK8" i="51"/>
  <c r="ARJ8" i="51"/>
  <c r="ARI8" i="51"/>
  <c r="ARH8" i="51"/>
  <c r="ARG8" i="51"/>
  <c r="ARF8" i="51"/>
  <c r="ARE8" i="51"/>
  <c r="ARD8" i="51"/>
  <c r="ARC8" i="51"/>
  <c r="ARB8" i="51"/>
  <c r="ARA8" i="51"/>
  <c r="AQZ8" i="51"/>
  <c r="AQY8" i="51"/>
  <c r="AQX8" i="51"/>
  <c r="AQW8" i="51"/>
  <c r="AQV8" i="51"/>
  <c r="AQU8" i="51"/>
  <c r="AQT8" i="51"/>
  <c r="AQS8" i="51"/>
  <c r="AQR8" i="51"/>
  <c r="AQQ8" i="51"/>
  <c r="AQP8" i="51"/>
  <c r="AQO8" i="51"/>
  <c r="AQN8" i="51"/>
  <c r="AQM8" i="51"/>
  <c r="AQL8" i="51"/>
  <c r="AQK8" i="51"/>
  <c r="AQJ8" i="51"/>
  <c r="AQI8" i="51"/>
  <c r="AQH8" i="51"/>
  <c r="AQG8" i="51"/>
  <c r="AQF8" i="51"/>
  <c r="AQE8" i="51"/>
  <c r="AQD8" i="51"/>
  <c r="AQC8" i="51"/>
  <c r="AQB8" i="51"/>
  <c r="AQA8" i="51"/>
  <c r="APZ8" i="51"/>
  <c r="APY8" i="51"/>
  <c r="APX8" i="51"/>
  <c r="APW8" i="51"/>
  <c r="APV8" i="51"/>
  <c r="APU8" i="51"/>
  <c r="APT8" i="51"/>
  <c r="APS8" i="51"/>
  <c r="APR8" i="51"/>
  <c r="APQ8" i="51"/>
  <c r="APP8" i="51"/>
  <c r="APO8" i="51"/>
  <c r="APN8" i="51"/>
  <c r="APM8" i="51"/>
  <c r="APL8" i="51"/>
  <c r="APK8" i="51"/>
  <c r="APJ8" i="51"/>
  <c r="API8" i="51"/>
  <c r="APH8" i="51"/>
  <c r="APG8" i="51"/>
  <c r="APF8" i="51"/>
  <c r="APE8" i="51"/>
  <c r="APD8" i="51"/>
  <c r="APC8" i="51"/>
  <c r="APB8" i="51"/>
  <c r="APA8" i="51"/>
  <c r="AOZ8" i="51"/>
  <c r="AOY8" i="51"/>
  <c r="AOX8" i="51"/>
  <c r="AOW8" i="51"/>
  <c r="AOV8" i="51"/>
  <c r="AOU8" i="51"/>
  <c r="AOT8" i="51"/>
  <c r="AOS8" i="51"/>
  <c r="AOR8" i="51"/>
  <c r="AOQ8" i="51"/>
  <c r="AOP8" i="51"/>
  <c r="AOO8" i="51"/>
  <c r="AON8" i="51"/>
  <c r="AOM8" i="51"/>
  <c r="AOL8" i="51"/>
  <c r="AOK8" i="51"/>
  <c r="AOJ8" i="51"/>
  <c r="AOI8" i="51"/>
  <c r="AOH8" i="51"/>
  <c r="AOG8" i="51"/>
  <c r="AOF8" i="51"/>
  <c r="AOE8" i="51"/>
  <c r="AOD8" i="51"/>
  <c r="AOC8" i="51"/>
  <c r="AOB8" i="51"/>
  <c r="AOA8" i="51"/>
  <c r="ANZ8" i="51"/>
  <c r="ANY8" i="51"/>
  <c r="ANX8" i="51"/>
  <c r="ANW8" i="51"/>
  <c r="ANV8" i="51"/>
  <c r="ANU8" i="51"/>
  <c r="ANT8" i="51"/>
  <c r="ANS8" i="51"/>
  <c r="ANR8" i="51"/>
  <c r="ANQ8" i="51"/>
  <c r="ANP8" i="51"/>
  <c r="ANO8" i="51"/>
  <c r="ANN8" i="51"/>
  <c r="ANM8" i="51"/>
  <c r="ANL8" i="51"/>
  <c r="ANK8" i="51"/>
  <c r="ANJ8" i="51"/>
  <c r="ANI8" i="51"/>
  <c r="ANH8" i="51"/>
  <c r="ANG8" i="51"/>
  <c r="ANF8" i="51"/>
  <c r="ANE8" i="51"/>
  <c r="AND8" i="51"/>
  <c r="ANC8" i="51"/>
  <c r="ANB8" i="51"/>
  <c r="ANA8" i="51"/>
  <c r="AMZ8" i="51"/>
  <c r="AMY8" i="51"/>
  <c r="AMX8" i="51"/>
  <c r="AMW8" i="51"/>
  <c r="AMV8" i="51"/>
  <c r="AMU8" i="51"/>
  <c r="AMT8" i="51"/>
  <c r="AMS8" i="51"/>
  <c r="AMR8" i="51"/>
  <c r="AMQ8" i="51"/>
  <c r="AMP8" i="51"/>
  <c r="AMO8" i="51"/>
  <c r="AMN8" i="51"/>
  <c r="AMM8" i="51"/>
  <c r="AML8" i="51"/>
  <c r="AMK8" i="51"/>
  <c r="AMJ8" i="51"/>
  <c r="AMI8" i="51"/>
  <c r="AMH8" i="51"/>
  <c r="AMG8" i="51"/>
  <c r="AMF8" i="51"/>
  <c r="AME8" i="51"/>
  <c r="AMD8" i="51"/>
  <c r="AMC8" i="51"/>
  <c r="AMB8" i="51"/>
  <c r="AMA8" i="51"/>
  <c r="ALZ8" i="51"/>
  <c r="ALY8" i="51"/>
  <c r="ALX8" i="51"/>
  <c r="ALW8" i="51"/>
  <c r="ALV8" i="51"/>
  <c r="ALU8" i="51"/>
  <c r="ALT8" i="51"/>
  <c r="ALS8" i="51"/>
  <c r="ALR8" i="51"/>
  <c r="ALQ8" i="51"/>
  <c r="ALP8" i="51"/>
  <c r="ALO8" i="51"/>
  <c r="ALN8" i="51"/>
  <c r="ALM8" i="51"/>
  <c r="ALL8" i="51"/>
  <c r="ALK8" i="51"/>
  <c r="ALJ8" i="51"/>
  <c r="ALI8" i="51"/>
  <c r="ALH8" i="51"/>
  <c r="ALG8" i="51"/>
  <c r="ALF8" i="51"/>
  <c r="ALE8" i="51"/>
  <c r="ALD8" i="51"/>
  <c r="ALC8" i="51"/>
  <c r="ALB8" i="51"/>
  <c r="ALA8" i="51"/>
  <c r="AKZ8" i="51"/>
  <c r="AKY8" i="51"/>
  <c r="AKX8" i="51"/>
  <c r="AKW8" i="51"/>
  <c r="AKV8" i="51"/>
  <c r="AKU8" i="51"/>
  <c r="AKT8" i="51"/>
  <c r="AKS8" i="51"/>
  <c r="AKR8" i="51"/>
  <c r="AKQ8" i="51"/>
  <c r="AKP8" i="51"/>
  <c r="AKO8" i="51"/>
  <c r="AKN8" i="51"/>
  <c r="AKK8" i="51"/>
  <c r="AKH8" i="51"/>
  <c r="AKE8" i="51"/>
  <c r="AKC8" i="51"/>
  <c r="AKB8" i="51"/>
  <c r="AJW8" i="51"/>
  <c r="AJR8" i="51"/>
  <c r="AJH8" i="51"/>
  <c r="AJF8" i="51"/>
  <c r="AJA8" i="51"/>
  <c r="AIO8" i="51"/>
  <c r="AIN8" i="51"/>
  <c r="AIM8" i="51"/>
  <c r="AIL8" i="51"/>
  <c r="AIJ8" i="51"/>
  <c r="AII8" i="51"/>
  <c r="AIH8" i="51"/>
  <c r="AIG8" i="51"/>
  <c r="AIF8" i="51"/>
  <c r="AIC8" i="51"/>
  <c r="AIA8" i="51"/>
  <c r="AHT8" i="51"/>
  <c r="AHS8" i="51"/>
  <c r="AHQ8" i="51"/>
  <c r="AHP8" i="51"/>
  <c r="AHO8" i="51"/>
  <c r="AHN8" i="51"/>
  <c r="AHL8" i="51"/>
  <c r="AHH8" i="51"/>
  <c r="AHG8" i="51"/>
  <c r="AHF8" i="51"/>
  <c r="AHE8" i="51"/>
  <c r="AHD8" i="51"/>
  <c r="AHB8" i="51"/>
  <c r="AHA8" i="51"/>
  <c r="AGY8" i="51"/>
  <c r="AGX8" i="51"/>
  <c r="AGV8" i="51"/>
  <c r="AGU8" i="51"/>
  <c r="AGS8" i="51"/>
  <c r="AGR8" i="51"/>
  <c r="AGP8" i="51"/>
  <c r="AGO8" i="51"/>
  <c r="AGM8" i="51"/>
  <c r="AGL8" i="51"/>
  <c r="AGJ8" i="51"/>
  <c r="AGI8" i="51"/>
  <c r="AGG8" i="51"/>
  <c r="AGF8" i="51"/>
  <c r="AGD8" i="51"/>
  <c r="AGC8" i="51"/>
  <c r="AGA8" i="51"/>
  <c r="AFZ8" i="51"/>
  <c r="AFX8" i="51"/>
  <c r="AFW8" i="51"/>
  <c r="AFU8" i="51"/>
  <c r="AFT8" i="51"/>
  <c r="AFR8" i="51"/>
  <c r="AFQ8" i="51"/>
  <c r="AFO8" i="51"/>
  <c r="AFN8" i="51"/>
  <c r="AFK8" i="51"/>
  <c r="AFH8" i="51"/>
  <c r="AFG8" i="51"/>
  <c r="AFF8" i="51"/>
  <c r="AFE8" i="51"/>
  <c r="AFD8" i="51"/>
  <c r="AFC8" i="51"/>
  <c r="AFB8" i="51"/>
  <c r="AEV8" i="51"/>
  <c r="AEU8" i="51"/>
  <c r="AES8" i="51"/>
  <c r="AER8" i="51"/>
  <c r="AEP8" i="51"/>
  <c r="AEO8" i="51"/>
  <c r="AEM8" i="51"/>
  <c r="AEL8" i="51"/>
  <c r="AEJ8" i="51"/>
  <c r="AEI8" i="51"/>
  <c r="AEG8" i="51"/>
  <c r="AEF8" i="51"/>
  <c r="AED8" i="51"/>
  <c r="AEC8" i="51"/>
  <c r="AEA8" i="51"/>
  <c r="ADZ8" i="51"/>
  <c r="ADX8" i="51"/>
  <c r="ADW8" i="51"/>
  <c r="ADU8" i="51"/>
  <c r="ADT8" i="51"/>
  <c r="ADR8" i="51"/>
  <c r="ADQ8" i="51"/>
  <c r="ADO8" i="51"/>
  <c r="ADN8" i="51"/>
  <c r="ADL8" i="51"/>
  <c r="ADK8" i="51"/>
  <c r="ADI8" i="51"/>
  <c r="ADH8" i="51"/>
  <c r="ADE8" i="51"/>
  <c r="ADC8" i="51"/>
  <c r="ADA8" i="51"/>
  <c r="ACZ8" i="51"/>
  <c r="ACY8" i="51"/>
  <c r="ACX8" i="51"/>
  <c r="ACW8" i="51"/>
  <c r="ACU8" i="51"/>
  <c r="ACK8" i="51"/>
  <c r="ACJ8" i="51"/>
  <c r="ACI8" i="51"/>
  <c r="ACD8" i="51"/>
  <c r="ACA8" i="51"/>
  <c r="ABW8" i="51"/>
  <c r="ABV8" i="51"/>
  <c r="ABT8" i="51"/>
  <c r="ABQ8" i="51"/>
  <c r="ABP8" i="51"/>
  <c r="ABO8" i="51"/>
  <c r="ABB8" i="51"/>
  <c r="ABA8" i="51"/>
  <c r="AAM8" i="51"/>
  <c r="AAL8" i="51"/>
  <c r="AAJ8" i="51"/>
  <c r="AAI8" i="51"/>
  <c r="AAE8" i="51"/>
  <c r="AAD8" i="51"/>
  <c r="AAA8" i="51"/>
  <c r="ZZ8" i="51"/>
  <c r="ZY8" i="51"/>
  <c r="ZO8" i="51"/>
  <c r="ZN8" i="51"/>
  <c r="ZM8" i="51"/>
  <c r="ZJ8" i="51"/>
  <c r="ZI8" i="51"/>
  <c r="ZH8" i="51"/>
  <c r="ZG8" i="51"/>
  <c r="ZF8" i="51"/>
  <c r="ZE8" i="51"/>
  <c r="ZC8" i="51"/>
  <c r="ZB8" i="51"/>
  <c r="YZ8" i="51"/>
  <c r="YY8" i="51"/>
  <c r="YX8" i="51"/>
  <c r="YW8" i="51"/>
  <c r="YV8" i="51"/>
  <c r="YU8" i="51"/>
  <c r="YT8" i="51"/>
  <c r="YS8" i="51"/>
  <c r="YR8" i="51"/>
  <c r="YQ8" i="51"/>
  <c r="YP8" i="51"/>
  <c r="YO8" i="51"/>
  <c r="YN8" i="51"/>
  <c r="YM8" i="51"/>
  <c r="YL8" i="51"/>
  <c r="YK8" i="51"/>
  <c r="YJ8" i="51"/>
  <c r="YI8" i="51"/>
  <c r="YH8" i="51"/>
  <c r="YG8" i="51"/>
  <c r="YF8" i="51"/>
  <c r="YE8" i="51"/>
  <c r="YD8" i="51"/>
  <c r="YC8" i="51"/>
  <c r="YB8" i="51"/>
  <c r="YA8" i="51"/>
  <c r="XZ8" i="51"/>
  <c r="XY8" i="51"/>
  <c r="XX8" i="51"/>
  <c r="XW8" i="51"/>
  <c r="XV8" i="51"/>
  <c r="XU8" i="51"/>
  <c r="XT8" i="51"/>
  <c r="XS8" i="51"/>
  <c r="XR8" i="51"/>
  <c r="XQ8" i="51"/>
  <c r="XP8" i="51"/>
  <c r="XO8" i="51"/>
  <c r="XN8" i="51"/>
  <c r="XM8" i="51"/>
  <c r="XL8" i="51"/>
  <c r="XK8" i="51"/>
  <c r="XJ8" i="51"/>
  <c r="XI8" i="51"/>
  <c r="XH8" i="51"/>
  <c r="XG8" i="51"/>
  <c r="XF8" i="51"/>
  <c r="XE8" i="51"/>
  <c r="XD8" i="51"/>
  <c r="XC8" i="51"/>
  <c r="XB8" i="51"/>
  <c r="XA8" i="51"/>
  <c r="WZ8" i="51"/>
  <c r="WY8" i="51"/>
  <c r="WX8" i="51"/>
  <c r="WW8" i="51"/>
  <c r="WV8" i="51"/>
  <c r="WU8" i="51"/>
  <c r="WT8" i="51"/>
  <c r="WS8" i="51"/>
  <c r="WR8" i="51"/>
  <c r="WQ8" i="51"/>
  <c r="WP8" i="51"/>
  <c r="WO8" i="51"/>
  <c r="WN8" i="51"/>
  <c r="WM8" i="51"/>
  <c r="WL8" i="51"/>
  <c r="WK8" i="51"/>
  <c r="WJ8" i="51"/>
  <c r="WI8" i="51"/>
  <c r="WH8" i="51"/>
  <c r="WG8" i="51"/>
  <c r="WF8" i="51"/>
  <c r="WE8" i="51"/>
  <c r="WD8" i="51"/>
  <c r="WC8" i="51"/>
  <c r="WB8" i="51"/>
  <c r="WA8" i="51"/>
  <c r="VZ8" i="51"/>
  <c r="VY8" i="51"/>
  <c r="VT8" i="51"/>
  <c r="VS8" i="51"/>
  <c r="VR8" i="51"/>
  <c r="VP8" i="51"/>
  <c r="VO8" i="51"/>
  <c r="VE8" i="51"/>
  <c r="VD8" i="51"/>
  <c r="VB8" i="51"/>
  <c r="VA8" i="51"/>
  <c r="UW8" i="51"/>
  <c r="UV8" i="51"/>
  <c r="US8" i="51"/>
  <c r="UR8" i="51"/>
  <c r="UH8" i="51"/>
  <c r="UG8" i="51"/>
  <c r="UF8" i="51"/>
  <c r="UD8" i="51"/>
  <c r="UC8" i="51"/>
  <c r="UB8" i="51"/>
  <c r="UA8" i="51"/>
  <c r="TZ8" i="51"/>
  <c r="TY8" i="51"/>
  <c r="TX8" i="51"/>
  <c r="TW8" i="51"/>
  <c r="TV8" i="51"/>
  <c r="TU8" i="51"/>
  <c r="TT8" i="51"/>
  <c r="TS8" i="51"/>
  <c r="TR8" i="51"/>
  <c r="TQ8" i="51"/>
  <c r="TP8" i="51"/>
  <c r="TO8" i="51"/>
  <c r="TN8" i="51"/>
  <c r="TM8" i="51"/>
  <c r="TL8" i="51"/>
  <c r="TK8" i="51"/>
  <c r="TJ8" i="51"/>
  <c r="TI8" i="51"/>
  <c r="TH8" i="51"/>
  <c r="TG8" i="51"/>
  <c r="TF8" i="51"/>
  <c r="TE8" i="51"/>
  <c r="TD8" i="51"/>
  <c r="TC8" i="51"/>
  <c r="TB8" i="51"/>
  <c r="TA8" i="51"/>
  <c r="SZ8" i="51"/>
  <c r="SY8" i="51"/>
  <c r="SX8" i="51"/>
  <c r="SW8" i="51"/>
  <c r="SV8" i="51"/>
  <c r="SU8" i="51"/>
  <c r="ST8" i="51"/>
  <c r="SS8" i="51"/>
  <c r="SR8" i="51"/>
  <c r="SQ8" i="51"/>
  <c r="SP8" i="51"/>
  <c r="SO8" i="51"/>
  <c r="SN8" i="51"/>
  <c r="SM8" i="51"/>
  <c r="SL8" i="51"/>
  <c r="SK8" i="51"/>
  <c r="SJ8" i="51"/>
  <c r="SI8" i="51"/>
  <c r="SH8" i="51"/>
  <c r="SG8" i="51"/>
  <c r="SF8" i="51"/>
  <c r="SE8" i="51"/>
  <c r="SD8" i="51"/>
  <c r="SC8" i="51"/>
  <c r="SB8" i="51"/>
  <c r="SA8" i="51"/>
  <c r="RZ8" i="51"/>
  <c r="RY8" i="51"/>
  <c r="RX8" i="51"/>
  <c r="RW8" i="51"/>
  <c r="RV8" i="51"/>
  <c r="RU8" i="51"/>
  <c r="RT8" i="51"/>
  <c r="RS8" i="51"/>
  <c r="RR8" i="51"/>
  <c r="RQ8" i="51"/>
  <c r="RP8" i="51"/>
  <c r="RO8" i="51"/>
  <c r="RN8" i="51"/>
  <c r="RM8" i="51"/>
  <c r="RL8" i="51"/>
  <c r="RK8" i="51"/>
  <c r="RJ8" i="51"/>
  <c r="RI8" i="51"/>
  <c r="RH8" i="51"/>
  <c r="RG8" i="51"/>
  <c r="RF8" i="51"/>
  <c r="RE8" i="51"/>
  <c r="RD8" i="51"/>
  <c r="RC8" i="51"/>
  <c r="RB8" i="51"/>
  <c r="RA8" i="51"/>
  <c r="QZ8" i="51"/>
  <c r="QY8" i="51"/>
  <c r="QX8" i="51"/>
  <c r="QW8" i="51"/>
  <c r="QV8" i="51"/>
  <c r="QU8" i="51"/>
  <c r="QT8" i="51"/>
  <c r="QS8" i="51"/>
  <c r="QR8" i="51"/>
  <c r="QQ8" i="51"/>
  <c r="QP8" i="51"/>
  <c r="QO8" i="51"/>
  <c r="QN8" i="51"/>
  <c r="QM8" i="51"/>
  <c r="QL8" i="51"/>
  <c r="QK8" i="51"/>
  <c r="QJ8" i="51"/>
  <c r="QI8" i="51"/>
  <c r="QH8" i="51"/>
  <c r="QG8" i="51"/>
  <c r="QF8" i="51"/>
  <c r="QD8" i="51"/>
  <c r="QC8" i="51"/>
  <c r="QB8" i="51"/>
  <c r="QA8" i="51"/>
  <c r="PZ8" i="51"/>
  <c r="PY8" i="51"/>
  <c r="PX8" i="51"/>
  <c r="PW8" i="51"/>
  <c r="PV8" i="51"/>
  <c r="PU8" i="51"/>
  <c r="PT8" i="51"/>
  <c r="PS8" i="51"/>
  <c r="PR8" i="51"/>
  <c r="PQ8" i="51"/>
  <c r="PP8" i="51"/>
  <c r="PO8" i="51"/>
  <c r="PN8" i="51"/>
  <c r="PM8" i="51"/>
  <c r="PL8" i="51"/>
  <c r="PK8" i="51"/>
  <c r="PJ8" i="51"/>
  <c r="PI8" i="51"/>
  <c r="PH8" i="51"/>
  <c r="PG8" i="51"/>
  <c r="PF8" i="51"/>
  <c r="PE8" i="51"/>
  <c r="PD8" i="51"/>
  <c r="PC8" i="51"/>
  <c r="PB8" i="51"/>
  <c r="PA8" i="51"/>
  <c r="OZ8" i="51"/>
  <c r="OY8" i="51"/>
  <c r="OX8" i="51"/>
  <c r="OW8" i="51"/>
  <c r="OV8" i="51"/>
  <c r="OU8" i="51"/>
  <c r="OT8" i="51"/>
  <c r="OS8" i="51"/>
  <c r="OR8" i="51"/>
  <c r="OQ8" i="51"/>
  <c r="OP8" i="51"/>
  <c r="OO8" i="51"/>
  <c r="ON8" i="51"/>
  <c r="OM8" i="51"/>
  <c r="OL8" i="51"/>
  <c r="OK8" i="51"/>
  <c r="OJ8" i="51"/>
  <c r="OI8" i="51"/>
  <c r="OH8" i="51"/>
  <c r="OG8" i="51"/>
  <c r="OF8" i="51"/>
  <c r="OE8" i="51"/>
  <c r="OD8" i="51"/>
  <c r="OC8" i="51"/>
  <c r="OB8" i="51"/>
  <c r="OA8" i="51"/>
  <c r="NZ8" i="51"/>
  <c r="NY8" i="51"/>
  <c r="NX8" i="51"/>
  <c r="NW8" i="51"/>
  <c r="NV8" i="51"/>
  <c r="NU8" i="51"/>
  <c r="NT8" i="51"/>
  <c r="NS8" i="51"/>
  <c r="NR8" i="51"/>
  <c r="NQ8" i="51"/>
  <c r="NP8" i="51"/>
  <c r="NO8" i="51"/>
  <c r="NN8" i="51"/>
  <c r="NM8" i="51"/>
  <c r="NL8" i="51"/>
  <c r="NK8" i="51"/>
  <c r="NJ8" i="51"/>
  <c r="NI8" i="51"/>
  <c r="NH8" i="51"/>
  <c r="NG8" i="51"/>
  <c r="NF8" i="51"/>
  <c r="NE8" i="51"/>
  <c r="ND8" i="51"/>
  <c r="NC8" i="51"/>
  <c r="NB8" i="51"/>
  <c r="NA8" i="51"/>
  <c r="MZ8" i="51"/>
  <c r="MY8" i="51"/>
  <c r="MU8" i="51"/>
  <c r="MT8" i="51"/>
  <c r="MS8" i="51"/>
  <c r="MR8" i="51"/>
  <c r="MQ8" i="51"/>
  <c r="MP8" i="51"/>
  <c r="MO8" i="51"/>
  <c r="MM8" i="51"/>
  <c r="ML8" i="51"/>
  <c r="MK8" i="51"/>
  <c r="MJ8" i="51"/>
  <c r="MI8" i="51"/>
  <c r="MH8" i="51"/>
  <c r="MG8" i="51"/>
  <c r="MF8" i="51"/>
  <c r="ME8" i="51"/>
  <c r="MD8" i="51"/>
  <c r="MC8" i="51"/>
  <c r="MB8" i="51"/>
  <c r="MA8" i="51"/>
  <c r="LZ8" i="51"/>
  <c r="LX8" i="51"/>
  <c r="LW8" i="51"/>
  <c r="LV8" i="51"/>
  <c r="LU8" i="51"/>
  <c r="LT8" i="51"/>
  <c r="LS8" i="51"/>
  <c r="LR8" i="51"/>
  <c r="LQ8" i="51"/>
  <c r="LP8" i="51"/>
  <c r="LO8" i="51"/>
  <c r="LN8" i="51"/>
  <c r="LM8" i="51"/>
  <c r="LL8" i="51"/>
  <c r="LK8" i="51"/>
  <c r="LJ8" i="51"/>
  <c r="LI8" i="51"/>
  <c r="LH8" i="51"/>
  <c r="LG8" i="51"/>
  <c r="LF8" i="51"/>
  <c r="LE8" i="51"/>
  <c r="LD8" i="51"/>
  <c r="LB8" i="51"/>
  <c r="LA8" i="51"/>
  <c r="KZ8" i="51"/>
  <c r="KY8" i="51"/>
  <c r="KX8" i="51"/>
  <c r="KW8" i="51"/>
  <c r="KV8" i="51"/>
  <c r="KU8" i="51"/>
  <c r="KT8" i="51"/>
  <c r="KS8" i="51"/>
  <c r="KQ8" i="51"/>
  <c r="KP8" i="51"/>
  <c r="KO8" i="51"/>
  <c r="KN8" i="51"/>
  <c r="KM8" i="51"/>
  <c r="KL8" i="51"/>
  <c r="KK8" i="51"/>
  <c r="KJ8" i="51"/>
  <c r="KI8" i="51"/>
  <c r="KH8" i="51"/>
  <c r="KG8" i="51"/>
  <c r="KF8" i="51"/>
  <c r="KE8" i="51"/>
  <c r="KD8" i="51"/>
  <c r="KC8" i="51"/>
  <c r="KB8" i="51"/>
  <c r="KA8" i="51"/>
  <c r="JZ8" i="51"/>
  <c r="JY8" i="51"/>
  <c r="JW8" i="51"/>
  <c r="JV8" i="51"/>
  <c r="JU8" i="51"/>
  <c r="JT8" i="51"/>
  <c r="JS8" i="51"/>
  <c r="JR8" i="51"/>
  <c r="JQ8" i="51"/>
  <c r="JP8" i="51"/>
  <c r="JO8" i="51"/>
  <c r="JN8" i="51"/>
  <c r="JM8" i="51"/>
  <c r="JL8" i="51"/>
  <c r="JK8" i="51"/>
  <c r="JJ8" i="51"/>
  <c r="JI8" i="51"/>
  <c r="JH8" i="51"/>
  <c r="JG8" i="51"/>
  <c r="JF8" i="51"/>
  <c r="JC8" i="51"/>
  <c r="JA8" i="51"/>
  <c r="IY8" i="51"/>
  <c r="IV8" i="51"/>
  <c r="IU8" i="51"/>
  <c r="IT8" i="51"/>
  <c r="IS8" i="51"/>
  <c r="IR8" i="51"/>
  <c r="IQ8" i="51"/>
  <c r="IP8" i="51" a="1"/>
  <c r="IP8" i="51" s="1"/>
  <c r="IO8" i="51"/>
  <c r="IN8" i="51"/>
  <c r="IM8" i="51"/>
  <c r="IL8" i="51"/>
  <c r="IK8" i="51"/>
  <c r="IJ8" i="51"/>
  <c r="IB8" i="51"/>
  <c r="HL8" i="51"/>
  <c r="HK8" i="51"/>
  <c r="HJ8" i="51"/>
  <c r="HI8" i="51"/>
  <c r="HG8" i="51"/>
  <c r="HF8" i="51"/>
  <c r="HE8" i="51"/>
  <c r="HD8" i="51"/>
  <c r="HC8" i="51"/>
  <c r="GZ8" i="51"/>
  <c r="GY8" i="51"/>
  <c r="GX8" i="51"/>
  <c r="GW8" i="51"/>
  <c r="GV8" i="51"/>
  <c r="GU8" i="51"/>
  <c r="GT8" i="51"/>
  <c r="GS8" i="51"/>
  <c r="GR8" i="51"/>
  <c r="GQ8" i="51"/>
  <c r="GP8" i="51"/>
  <c r="GO8" i="51"/>
  <c r="GL8" i="51"/>
  <c r="GK8" i="51"/>
  <c r="GJ8" i="51"/>
  <c r="GI8" i="51"/>
  <c r="GH8" i="51"/>
  <c r="GG8" i="51"/>
  <c r="GF8" i="51"/>
  <c r="GE8" i="51" a="1"/>
  <c r="GE8" i="51" s="1"/>
  <c r="GD8" i="51"/>
  <c r="GC8" i="51" a="1"/>
  <c r="GC8" i="51" s="1"/>
  <c r="GB8" i="51"/>
  <c r="GA8" i="51"/>
  <c r="FZ8" i="51"/>
  <c r="FY8" i="51"/>
  <c r="FV8" i="51" a="1"/>
  <c r="FV8" i="51" s="1"/>
  <c r="FU8" i="51" a="1"/>
  <c r="FU8" i="51" s="1"/>
  <c r="FT8" i="51"/>
  <c r="FS8" i="51" a="1"/>
  <c r="FS8" i="51" s="1"/>
  <c r="FR8" i="51" a="1"/>
  <c r="FR8" i="51" s="1"/>
  <c r="FQ8" i="51" a="1"/>
  <c r="FQ8" i="51" s="1"/>
  <c r="FP8" i="51" a="1"/>
  <c r="FP8" i="51" s="1"/>
  <c r="FO8" i="51" a="1"/>
  <c r="FO8" i="51" s="1"/>
  <c r="FN8" i="51"/>
  <c r="FI8" i="51"/>
  <c r="FH8" i="51"/>
  <c r="FG8" i="51"/>
  <c r="FF8" i="51"/>
  <c r="FE8" i="51"/>
  <c r="FD8" i="51"/>
  <c r="FC8" i="51"/>
  <c r="FB8" i="51"/>
  <c r="FA8" i="51"/>
  <c r="EZ8" i="51"/>
  <c r="EY8" i="51"/>
  <c r="ES8" i="51"/>
  <c r="ER8" i="51"/>
  <c r="EQ8" i="51"/>
  <c r="EP8" i="51"/>
  <c r="EO8" i="51"/>
  <c r="EN8" i="51"/>
  <c r="EM8" i="51"/>
  <c r="EL8" i="51"/>
  <c r="EK8" i="51"/>
  <c r="EJ8" i="51"/>
  <c r="EI8" i="51"/>
  <c r="EH8" i="51"/>
  <c r="EG8" i="51"/>
  <c r="EF8" i="51"/>
  <c r="ED8" i="51"/>
  <c r="EC8" i="51"/>
  <c r="EB8" i="51"/>
  <c r="EA8" i="51"/>
  <c r="DZ8" i="51"/>
  <c r="DY8" i="51"/>
  <c r="DX8" i="51"/>
  <c r="DW8" i="51"/>
  <c r="DV8" i="51"/>
  <c r="DU8" i="51"/>
  <c r="DT8" i="51"/>
  <c r="DS8" i="51"/>
  <c r="DR8" i="51"/>
  <c r="DQ8" i="51"/>
  <c r="DP8" i="51"/>
  <c r="DO8" i="51"/>
  <c r="DN8" i="51"/>
  <c r="DM8" i="51"/>
  <c r="DL8" i="51"/>
  <c r="DK8" i="51"/>
  <c r="DJ8" i="51"/>
  <c r="DI8" i="51"/>
  <c r="DH8" i="51"/>
  <c r="DG8" i="51"/>
  <c r="DF8" i="51"/>
  <c r="DE8" i="51"/>
  <c r="DD8" i="51"/>
  <c r="DC8" i="51"/>
  <c r="DB8" i="51"/>
  <c r="DA8" i="51"/>
  <c r="CZ8" i="51"/>
  <c r="CY8" i="51"/>
  <c r="CX8" i="51"/>
  <c r="CW8" i="51"/>
  <c r="CV8" i="51"/>
  <c r="CU8" i="51"/>
  <c r="CT8" i="51"/>
  <c r="CS8" i="51"/>
  <c r="CR8" i="51"/>
  <c r="CQ8" i="51"/>
  <c r="CP8" i="51"/>
  <c r="CO8" i="51"/>
  <c r="CN8" i="51"/>
  <c r="CM8" i="51"/>
  <c r="CL8" i="51"/>
  <c r="CK8" i="51"/>
  <c r="CJ8" i="51"/>
  <c r="CI8" i="51"/>
  <c r="CH8" i="51"/>
  <c r="CG8" i="51"/>
  <c r="CF8" i="51"/>
  <c r="CE8" i="51"/>
  <c r="CD8" i="51"/>
  <c r="CC8" i="51"/>
  <c r="CB8" i="51"/>
  <c r="CA8" i="51"/>
  <c r="BZ8" i="51"/>
  <c r="BY8" i="51"/>
  <c r="BW8" i="51"/>
  <c r="BV8" i="51"/>
  <c r="BU8" i="51"/>
  <c r="BT8" i="51"/>
  <c r="BR8" i="51"/>
  <c r="BQ8" i="51"/>
  <c r="BP8" i="51"/>
  <c r="BO8" i="51"/>
  <c r="BM8" i="51"/>
  <c r="BL8" i="51"/>
  <c r="BK8" i="51"/>
  <c r="BJ8" i="51"/>
  <c r="BH8" i="51"/>
  <c r="BG8" i="51"/>
  <c r="BF8" i="51"/>
  <c r="BE8" i="51"/>
  <c r="BC8" i="51"/>
  <c r="BB8" i="51"/>
  <c r="BA8" i="51"/>
  <c r="AZ8" i="51"/>
  <c r="AY8" i="51"/>
  <c r="AX8" i="51"/>
  <c r="AW8" i="51"/>
  <c r="AV8" i="51"/>
  <c r="AU8" i="51"/>
  <c r="AT8" i="51"/>
  <c r="AS8" i="51"/>
  <c r="AR8" i="51"/>
  <c r="AQ8" i="51"/>
  <c r="AP8" i="51"/>
  <c r="AO8" i="51"/>
  <c r="AN8" i="51"/>
  <c r="AM8" i="51"/>
  <c r="AB8" i="51"/>
  <c r="AA8" i="51"/>
  <c r="Z8" i="51"/>
  <c r="Y8" i="51"/>
  <c r="X8" i="51"/>
  <c r="W8" i="51"/>
  <c r="V8" i="51"/>
  <c r="U8" i="51"/>
  <c r="T8" i="51"/>
  <c r="S8" i="51"/>
  <c r="R8" i="51"/>
  <c r="Q8" i="51"/>
  <c r="O8" i="51"/>
  <c r="K8" i="51"/>
  <c r="J8" i="51"/>
  <c r="I8" i="51"/>
  <c r="H8" i="51"/>
  <c r="G8" i="51"/>
  <c r="F8" i="51"/>
  <c r="E8" i="51"/>
  <c r="D8" i="51"/>
  <c r="C8" i="51"/>
  <c r="ND7" i="51"/>
  <c r="NC7" i="51"/>
  <c r="F73" i="114"/>
  <c r="R38" i="107" a="1"/>
  <c r="R38" i="107" s="1"/>
  <c r="G2" i="102"/>
  <c r="G2" i="101"/>
  <c r="G2" i="109"/>
  <c r="F176" i="108"/>
  <c r="F178" i="108" s="1"/>
  <c r="AIR8" i="51" s="1"/>
  <c r="F60" i="108"/>
  <c r="F10" i="108"/>
  <c r="I291" i="100"/>
  <c r="AXJ8" i="51" s="1"/>
  <c r="I293" i="100"/>
  <c r="AXL8" i="51" s="1"/>
  <c r="I407" i="115"/>
  <c r="BBB8" i="51" s="1"/>
  <c r="H84" i="115"/>
  <c r="H76" i="115"/>
  <c r="AZR8" i="51" s="1"/>
  <c r="I279" i="114"/>
  <c r="AZH8" i="51" s="1"/>
  <c r="I180" i="114"/>
  <c r="I179" i="114"/>
  <c r="I181" i="114"/>
  <c r="I182" i="114"/>
  <c r="I183" i="114"/>
  <c r="I184" i="114"/>
  <c r="I185" i="114"/>
  <c r="I186" i="114"/>
  <c r="I178" i="114"/>
  <c r="F180" i="114"/>
  <c r="AIP8" i="51" l="1"/>
  <c r="F177" i="108"/>
  <c r="AIQ8" i="51" s="1"/>
  <c r="J159" i="114"/>
  <c r="J135" i="114"/>
  <c r="J139" i="114"/>
  <c r="I137" i="114" a="1"/>
  <c r="I137" i="114" s="1"/>
  <c r="K184" i="116"/>
  <c r="X31" i="107"/>
  <c r="R32" i="107"/>
  <c r="G56" i="3"/>
  <c r="F74" i="84"/>
  <c r="F75" i="84"/>
  <c r="G10" i="84"/>
  <c r="I2" i="83" l="1"/>
  <c r="H186" i="107"/>
  <c r="M20" i="5"/>
  <c r="M21" i="5"/>
  <c r="M22" i="5"/>
  <c r="F195" i="107"/>
  <c r="E195" i="107"/>
  <c r="D195" i="107"/>
  <c r="F188" i="107"/>
  <c r="E188" i="107"/>
  <c r="D188" i="107"/>
  <c r="F137" i="77"/>
  <c r="F130" i="77"/>
  <c r="E137" i="77"/>
  <c r="E130" i="77"/>
  <c r="D137" i="77"/>
  <c r="D130" i="77"/>
  <c r="L68" i="107"/>
  <c r="J68" i="107"/>
  <c r="F68" i="107"/>
  <c r="D68" i="107"/>
  <c r="L67" i="107"/>
  <c r="J67" i="107"/>
  <c r="F67" i="107"/>
  <c r="D67" i="107"/>
  <c r="L66" i="107"/>
  <c r="J66" i="107"/>
  <c r="F66" i="107"/>
  <c r="D66" i="107"/>
  <c r="L65" i="107"/>
  <c r="J65" i="107"/>
  <c r="F65" i="107"/>
  <c r="D65" i="107"/>
  <c r="L64" i="107"/>
  <c r="J64" i="107"/>
  <c r="F64" i="107"/>
  <c r="D64" i="107"/>
  <c r="L63" i="107"/>
  <c r="J63" i="107"/>
  <c r="F63" i="107"/>
  <c r="D63" i="107"/>
  <c r="L62" i="107"/>
  <c r="J62" i="107"/>
  <c r="D62" i="107"/>
  <c r="L61" i="107"/>
  <c r="J61" i="107"/>
  <c r="D61" i="107"/>
  <c r="J60" i="107"/>
  <c r="D60" i="107"/>
  <c r="R46" i="107"/>
  <c r="R45" i="107"/>
  <c r="R47" i="107"/>
  <c r="R43" i="107"/>
  <c r="R33" i="107"/>
  <c r="R37" i="107"/>
  <c r="K54" i="107"/>
  <c r="K53" i="107"/>
  <c r="K46" i="107"/>
  <c r="K43" i="107"/>
  <c r="K42" i="107"/>
  <c r="D54" i="107"/>
  <c r="D53" i="107"/>
  <c r="D52" i="107"/>
  <c r="D51" i="107"/>
  <c r="D50" i="107"/>
  <c r="D49" i="107"/>
  <c r="D48" i="107"/>
  <c r="D47" i="107"/>
  <c r="D46" i="107"/>
  <c r="D45" i="107"/>
  <c r="D44" i="107"/>
  <c r="D43" i="107"/>
  <c r="D42" i="107"/>
  <c r="D66" i="77"/>
  <c r="D65" i="77"/>
  <c r="D64" i="77"/>
  <c r="D63" i="77"/>
  <c r="D62" i="77"/>
  <c r="D61" i="77"/>
  <c r="D60" i="77"/>
  <c r="D59" i="77"/>
  <c r="D58" i="77"/>
  <c r="D57" i="77"/>
  <c r="D56" i="77"/>
  <c r="D55" i="77"/>
  <c r="D54" i="77"/>
  <c r="R35" i="107"/>
  <c r="R27" i="107"/>
  <c r="K30" i="113"/>
  <c r="K30" i="114"/>
  <c r="K30" i="115"/>
  <c r="K86" i="116"/>
  <c r="K85" i="116"/>
  <c r="K183" i="116"/>
  <c r="Q138" i="116" s="1"/>
  <c r="K112" i="107"/>
  <c r="K113" i="107"/>
  <c r="K114" i="107"/>
  <c r="K115" i="107"/>
  <c r="K116" i="107"/>
  <c r="K117" i="107"/>
  <c r="K118" i="107"/>
  <c r="K119" i="107"/>
  <c r="K120" i="107"/>
  <c r="K121" i="107"/>
  <c r="K122" i="107"/>
  <c r="K123" i="107"/>
  <c r="K124" i="107"/>
  <c r="K125" i="107"/>
  <c r="K126" i="107"/>
  <c r="K127" i="107"/>
  <c r="K128" i="107"/>
  <c r="K129" i="107"/>
  <c r="K130" i="107"/>
  <c r="K131" i="107"/>
  <c r="K132" i="107"/>
  <c r="K133" i="107"/>
  <c r="K134" i="107"/>
  <c r="K135" i="107"/>
  <c r="K136" i="107"/>
  <c r="K137" i="107"/>
  <c r="K138" i="107"/>
  <c r="K139" i="107"/>
  <c r="K140" i="107"/>
  <c r="K141" i="107"/>
  <c r="K142" i="107"/>
  <c r="K143" i="107"/>
  <c r="K144" i="107"/>
  <c r="K145" i="107"/>
  <c r="K146" i="107"/>
  <c r="K147" i="107"/>
  <c r="K148" i="107"/>
  <c r="K149" i="107"/>
  <c r="K150" i="107"/>
  <c r="K151" i="107"/>
  <c r="K152" i="107"/>
  <c r="K153" i="107"/>
  <c r="K154" i="107"/>
  <c r="K155" i="107"/>
  <c r="K111" i="107"/>
  <c r="F111" i="107"/>
  <c r="G111" i="107"/>
  <c r="J111" i="107"/>
  <c r="F112" i="107"/>
  <c r="G112" i="107"/>
  <c r="J112" i="107"/>
  <c r="F113" i="107"/>
  <c r="G113" i="107"/>
  <c r="J113" i="107"/>
  <c r="F114" i="107"/>
  <c r="G114" i="107"/>
  <c r="J114" i="107"/>
  <c r="F115" i="107"/>
  <c r="G115" i="107"/>
  <c r="J115" i="107"/>
  <c r="F116" i="107"/>
  <c r="G116" i="107"/>
  <c r="J116" i="107"/>
  <c r="F117" i="107"/>
  <c r="G117" i="107"/>
  <c r="J117" i="107"/>
  <c r="F118" i="107"/>
  <c r="G118" i="107"/>
  <c r="J118" i="107"/>
  <c r="F119" i="107"/>
  <c r="G119" i="107"/>
  <c r="J119" i="107"/>
  <c r="F120" i="107"/>
  <c r="G120" i="107"/>
  <c r="J120" i="107"/>
  <c r="F121" i="107"/>
  <c r="G121" i="107"/>
  <c r="J121" i="107"/>
  <c r="F122" i="107"/>
  <c r="G122" i="107"/>
  <c r="J122" i="107"/>
  <c r="F123" i="107"/>
  <c r="G123" i="107"/>
  <c r="J123" i="107"/>
  <c r="F124" i="107"/>
  <c r="G124" i="107"/>
  <c r="J124" i="107"/>
  <c r="F125" i="107"/>
  <c r="G125" i="107"/>
  <c r="J125" i="107"/>
  <c r="F126" i="107"/>
  <c r="G126" i="107"/>
  <c r="J126" i="107"/>
  <c r="F127" i="107"/>
  <c r="G127" i="107"/>
  <c r="J127" i="107"/>
  <c r="F128" i="107"/>
  <c r="G128" i="107"/>
  <c r="J128" i="107"/>
  <c r="F129" i="107"/>
  <c r="G129" i="107"/>
  <c r="J129" i="107"/>
  <c r="F130" i="107"/>
  <c r="G130" i="107"/>
  <c r="J130" i="107"/>
  <c r="F131" i="107"/>
  <c r="G131" i="107"/>
  <c r="J131" i="107"/>
  <c r="F132" i="107"/>
  <c r="G132" i="107"/>
  <c r="J132" i="107"/>
  <c r="F133" i="107"/>
  <c r="G133" i="107"/>
  <c r="J133" i="107"/>
  <c r="F134" i="107"/>
  <c r="G134" i="107"/>
  <c r="J134" i="107"/>
  <c r="F135" i="107"/>
  <c r="G135" i="107"/>
  <c r="J135" i="107"/>
  <c r="F136" i="107"/>
  <c r="G136" i="107"/>
  <c r="J136" i="107"/>
  <c r="F137" i="107"/>
  <c r="G137" i="107"/>
  <c r="J137" i="107"/>
  <c r="F138" i="107"/>
  <c r="G138" i="107"/>
  <c r="J138" i="107"/>
  <c r="F139" i="107"/>
  <c r="G139" i="107"/>
  <c r="J139" i="107"/>
  <c r="F140" i="107"/>
  <c r="G140" i="107"/>
  <c r="J140" i="107"/>
  <c r="F141" i="107"/>
  <c r="G141" i="107"/>
  <c r="J141" i="107"/>
  <c r="F142" i="107"/>
  <c r="G142" i="107"/>
  <c r="J142" i="107"/>
  <c r="F143" i="107"/>
  <c r="G143" i="107"/>
  <c r="J143" i="107"/>
  <c r="F144" i="107"/>
  <c r="G144" i="107"/>
  <c r="J144" i="107"/>
  <c r="F145" i="107"/>
  <c r="G145" i="107"/>
  <c r="J145" i="107"/>
  <c r="F146" i="107"/>
  <c r="G146" i="107"/>
  <c r="J146" i="107"/>
  <c r="F147" i="107"/>
  <c r="G147" i="107"/>
  <c r="J147" i="107"/>
  <c r="F148" i="107"/>
  <c r="G148" i="107"/>
  <c r="J148" i="107"/>
  <c r="F149" i="107"/>
  <c r="G149" i="107"/>
  <c r="J149" i="107"/>
  <c r="F150" i="107"/>
  <c r="G150" i="107"/>
  <c r="J150" i="107"/>
  <c r="F151" i="107"/>
  <c r="G151" i="107"/>
  <c r="J151" i="107"/>
  <c r="F152" i="107"/>
  <c r="G152" i="107"/>
  <c r="J152" i="107"/>
  <c r="F153" i="107"/>
  <c r="G153" i="107"/>
  <c r="J153" i="107"/>
  <c r="F154" i="107"/>
  <c r="G154" i="107"/>
  <c r="J154" i="107"/>
  <c r="F155" i="107"/>
  <c r="G155" i="107"/>
  <c r="J155" i="107"/>
  <c r="D112" i="107"/>
  <c r="E112" i="107"/>
  <c r="D113" i="107"/>
  <c r="E113" i="107"/>
  <c r="D114" i="107"/>
  <c r="E114" i="107"/>
  <c r="D115" i="107"/>
  <c r="E115" i="107"/>
  <c r="D116" i="107"/>
  <c r="E116" i="107"/>
  <c r="D117" i="107"/>
  <c r="E117" i="107"/>
  <c r="D118" i="107"/>
  <c r="E118" i="107"/>
  <c r="D119" i="107"/>
  <c r="E119" i="107"/>
  <c r="D120" i="107"/>
  <c r="E120" i="107"/>
  <c r="D121" i="107"/>
  <c r="E121" i="107"/>
  <c r="D122" i="107"/>
  <c r="E122" i="107"/>
  <c r="D123" i="107"/>
  <c r="E123" i="107"/>
  <c r="D124" i="107"/>
  <c r="E124" i="107"/>
  <c r="D125" i="107"/>
  <c r="E125" i="107"/>
  <c r="D126" i="107"/>
  <c r="E126" i="107"/>
  <c r="D127" i="107"/>
  <c r="E127" i="107"/>
  <c r="D128" i="107"/>
  <c r="E128" i="107"/>
  <c r="D129" i="107"/>
  <c r="E129" i="107"/>
  <c r="D130" i="107"/>
  <c r="E130" i="107"/>
  <c r="D131" i="107"/>
  <c r="E131" i="107"/>
  <c r="D132" i="107"/>
  <c r="E132" i="107"/>
  <c r="D133" i="107"/>
  <c r="E133" i="107"/>
  <c r="D134" i="107"/>
  <c r="E134" i="107"/>
  <c r="D135" i="107"/>
  <c r="E135" i="107"/>
  <c r="D136" i="107"/>
  <c r="E136" i="107"/>
  <c r="D137" i="107"/>
  <c r="E137" i="107"/>
  <c r="D138" i="107"/>
  <c r="E138" i="107"/>
  <c r="D139" i="107"/>
  <c r="E139" i="107"/>
  <c r="D140" i="107"/>
  <c r="E140" i="107"/>
  <c r="D141" i="107"/>
  <c r="E141" i="107"/>
  <c r="D142" i="107"/>
  <c r="E142" i="107"/>
  <c r="D143" i="107"/>
  <c r="E143" i="107"/>
  <c r="D144" i="107"/>
  <c r="E144" i="107"/>
  <c r="D145" i="107"/>
  <c r="E145" i="107"/>
  <c r="D146" i="107"/>
  <c r="E146" i="107"/>
  <c r="D147" i="107"/>
  <c r="E147" i="107"/>
  <c r="D148" i="107"/>
  <c r="E148" i="107"/>
  <c r="D149" i="107"/>
  <c r="E149" i="107"/>
  <c r="D150" i="107"/>
  <c r="E150" i="107"/>
  <c r="D151" i="107"/>
  <c r="E151" i="107"/>
  <c r="D152" i="107"/>
  <c r="E152" i="107"/>
  <c r="D153" i="107"/>
  <c r="E153" i="107"/>
  <c r="D154" i="107"/>
  <c r="E154" i="107"/>
  <c r="D155" i="107"/>
  <c r="E155" i="107"/>
  <c r="D111" i="107"/>
  <c r="E111" i="107"/>
  <c r="C112" i="107"/>
  <c r="C113" i="107"/>
  <c r="C114" i="107"/>
  <c r="C115" i="107"/>
  <c r="C116" i="107"/>
  <c r="C117" i="107"/>
  <c r="C118" i="107"/>
  <c r="C119" i="107"/>
  <c r="C120" i="107"/>
  <c r="C121" i="107"/>
  <c r="C122" i="107"/>
  <c r="C123" i="107"/>
  <c r="C124" i="107"/>
  <c r="C125" i="107"/>
  <c r="C126" i="107"/>
  <c r="C127" i="107"/>
  <c r="C128" i="107"/>
  <c r="C129" i="107"/>
  <c r="C130" i="107"/>
  <c r="C131" i="107"/>
  <c r="C132" i="107"/>
  <c r="C133" i="107"/>
  <c r="C134" i="107"/>
  <c r="C135" i="107"/>
  <c r="C136" i="107"/>
  <c r="C137" i="107"/>
  <c r="C138" i="107"/>
  <c r="C139" i="107"/>
  <c r="C140" i="107"/>
  <c r="C141" i="107"/>
  <c r="C142" i="107"/>
  <c r="C143" i="107"/>
  <c r="C144" i="107"/>
  <c r="C145" i="107"/>
  <c r="C146" i="107"/>
  <c r="C147" i="107"/>
  <c r="C148" i="107"/>
  <c r="C149" i="107"/>
  <c r="C150" i="107"/>
  <c r="C151" i="107"/>
  <c r="C152" i="107"/>
  <c r="C153" i="107"/>
  <c r="C154" i="107"/>
  <c r="C155" i="107"/>
  <c r="C111" i="107"/>
  <c r="B112" i="107"/>
  <c r="B113" i="107"/>
  <c r="B114" i="107"/>
  <c r="B115" i="107"/>
  <c r="B116" i="107"/>
  <c r="B117" i="107"/>
  <c r="B118" i="107"/>
  <c r="B119" i="107"/>
  <c r="B120" i="107"/>
  <c r="B121" i="107"/>
  <c r="B122" i="107"/>
  <c r="B123" i="107"/>
  <c r="B124" i="107"/>
  <c r="B125" i="107"/>
  <c r="B126" i="107"/>
  <c r="B127" i="107"/>
  <c r="B128" i="107"/>
  <c r="B129" i="107"/>
  <c r="B130" i="107"/>
  <c r="B131" i="107"/>
  <c r="B132" i="107"/>
  <c r="B133" i="107"/>
  <c r="B134" i="107"/>
  <c r="B135" i="107"/>
  <c r="B136" i="107"/>
  <c r="B137" i="107"/>
  <c r="B138" i="107"/>
  <c r="B139" i="107"/>
  <c r="B140" i="107"/>
  <c r="B141" i="107"/>
  <c r="B142" i="107"/>
  <c r="B143" i="107"/>
  <c r="B144" i="107"/>
  <c r="B145" i="107"/>
  <c r="B146" i="107"/>
  <c r="B147" i="107"/>
  <c r="B148" i="107"/>
  <c r="B149" i="107"/>
  <c r="B150" i="107"/>
  <c r="B151" i="107"/>
  <c r="B152" i="107"/>
  <c r="B153" i="107"/>
  <c r="B154" i="107"/>
  <c r="B155" i="107"/>
  <c r="B111" i="107"/>
  <c r="K132" i="77"/>
  <c r="J132" i="77"/>
  <c r="J134" i="77"/>
  <c r="K134" i="77"/>
  <c r="K133" i="77"/>
  <c r="J133" i="77"/>
  <c r="B195" i="107" l="1"/>
  <c r="Q42" i="116"/>
  <c r="X28" i="107"/>
  <c r="R48" i="107" a="1"/>
  <c r="R48" i="107" s="1"/>
  <c r="X30" i="107" s="1"/>
  <c r="J123" i="100" l="1"/>
  <c r="J123" i="113"/>
  <c r="J110" i="114"/>
  <c r="I102" i="100"/>
  <c r="I101" i="100"/>
  <c r="I105" i="100" s="1"/>
  <c r="Q97" i="100"/>
  <c r="I101" i="113"/>
  <c r="I100" i="113"/>
  <c r="I104" i="113" s="1"/>
  <c r="Q96" i="113"/>
  <c r="I89" i="114"/>
  <c r="I88" i="114"/>
  <c r="I92" i="114" s="1"/>
  <c r="AYN8" i="51" s="1"/>
  <c r="Q84" i="114"/>
  <c r="J242" i="115"/>
  <c r="I220" i="115"/>
  <c r="I403" i="115"/>
  <c r="BAX8" i="51" s="1"/>
  <c r="F388" i="115"/>
  <c r="F259" i="114"/>
  <c r="F272" i="113"/>
  <c r="F272" i="100"/>
  <c r="K30" i="100" l="1"/>
  <c r="AWS8" i="51"/>
  <c r="F348" i="115"/>
  <c r="F350" i="115" s="1"/>
  <c r="F346" i="115"/>
  <c r="F347" i="115" s="1"/>
  <c r="F367" i="115"/>
  <c r="Q140" i="100"/>
  <c r="Q140" i="113"/>
  <c r="J161" i="115"/>
  <c r="BAB8" i="51" s="1"/>
  <c r="F238" i="114"/>
  <c r="F217" i="114"/>
  <c r="F218" i="114" s="1"/>
  <c r="E43" i="114"/>
  <c r="F251" i="113"/>
  <c r="F232" i="113"/>
  <c r="E46" i="113"/>
  <c r="E47" i="113" s="1"/>
  <c r="F232" i="100"/>
  <c r="F233" i="100" s="1"/>
  <c r="F251" i="100"/>
  <c r="F253" i="100" s="1"/>
  <c r="F254" i="100" s="1"/>
  <c r="E46" i="100"/>
  <c r="E48" i="100" s="1"/>
  <c r="D72" i="77"/>
  <c r="J72" i="77"/>
  <c r="G159" i="16"/>
  <c r="G158" i="16"/>
  <c r="K66" i="77"/>
  <c r="K65" i="77"/>
  <c r="H85" i="115"/>
  <c r="AZT8" i="51" s="1"/>
  <c r="H94" i="115"/>
  <c r="I402" i="115"/>
  <c r="BAW8" i="51" s="1"/>
  <c r="I273" i="114"/>
  <c r="AZB8" i="51" s="1"/>
  <c r="I286" i="113"/>
  <c r="AYD8" i="51" s="1"/>
  <c r="I286" i="100"/>
  <c r="AXE8" i="51" s="1"/>
  <c r="L48" i="77"/>
  <c r="J282" i="115"/>
  <c r="BAM8" i="51" s="1"/>
  <c r="L80" i="77"/>
  <c r="L79" i="77"/>
  <c r="L78" i="77"/>
  <c r="L77" i="77"/>
  <c r="L76" i="77"/>
  <c r="L75" i="77"/>
  <c r="L74" i="77"/>
  <c r="L73" i="77"/>
  <c r="J80" i="77"/>
  <c r="J79" i="77"/>
  <c r="J78" i="77"/>
  <c r="J77" i="77"/>
  <c r="J76" i="77"/>
  <c r="J75" i="77"/>
  <c r="J74" i="77"/>
  <c r="J73" i="77"/>
  <c r="F80" i="77"/>
  <c r="F79" i="77"/>
  <c r="F78" i="77"/>
  <c r="F77" i="77"/>
  <c r="F76" i="77"/>
  <c r="F75" i="77"/>
  <c r="D80" i="77"/>
  <c r="D79" i="77"/>
  <c r="D78" i="77"/>
  <c r="D77" i="77"/>
  <c r="D76" i="77"/>
  <c r="D75" i="77"/>
  <c r="D74" i="77"/>
  <c r="D73" i="77"/>
  <c r="J23" i="116"/>
  <c r="J22" i="116"/>
  <c r="D22" i="116"/>
  <c r="J21" i="116"/>
  <c r="D21" i="116"/>
  <c r="J20" i="116"/>
  <c r="J19" i="116"/>
  <c r="J18" i="116"/>
  <c r="D18" i="116"/>
  <c r="J17" i="116"/>
  <c r="J16" i="116"/>
  <c r="D16" i="116"/>
  <c r="J15" i="116"/>
  <c r="D15" i="116"/>
  <c r="J14" i="116"/>
  <c r="D14" i="116"/>
  <c r="J13" i="116"/>
  <c r="D13" i="116"/>
  <c r="J23" i="115"/>
  <c r="J22" i="115"/>
  <c r="D22" i="115"/>
  <c r="J21" i="115"/>
  <c r="D21" i="115"/>
  <c r="J20" i="115"/>
  <c r="J19" i="115"/>
  <c r="J18" i="115"/>
  <c r="D18" i="115"/>
  <c r="J17" i="115"/>
  <c r="J16" i="115"/>
  <c r="D16" i="115"/>
  <c r="J15" i="115"/>
  <c r="D15" i="115"/>
  <c r="J14" i="115"/>
  <c r="D14" i="115"/>
  <c r="J13" i="115"/>
  <c r="D13" i="115"/>
  <c r="J23" i="114"/>
  <c r="J22" i="114"/>
  <c r="D22" i="114"/>
  <c r="C172" i="114" s="1"/>
  <c r="J21" i="114"/>
  <c r="D21" i="114"/>
  <c r="J20" i="114"/>
  <c r="J19" i="114"/>
  <c r="J18" i="114"/>
  <c r="D18" i="114"/>
  <c r="J17" i="114"/>
  <c r="J16" i="114"/>
  <c r="D16" i="114"/>
  <c r="J15" i="114"/>
  <c r="D15" i="114"/>
  <c r="J14" i="114"/>
  <c r="D14" i="114"/>
  <c r="J13" i="114"/>
  <c r="D13" i="114"/>
  <c r="J23" i="113"/>
  <c r="J22" i="113"/>
  <c r="D22" i="113"/>
  <c r="J21" i="113"/>
  <c r="D21" i="113"/>
  <c r="J20" i="113"/>
  <c r="J19" i="113"/>
  <c r="J18" i="113"/>
  <c r="D18" i="113"/>
  <c r="J17" i="113"/>
  <c r="J16" i="113"/>
  <c r="D16" i="113"/>
  <c r="J15" i="113"/>
  <c r="D15" i="113"/>
  <c r="J14" i="113"/>
  <c r="D14" i="113"/>
  <c r="J13" i="113"/>
  <c r="D13" i="113"/>
  <c r="J23" i="100"/>
  <c r="J22" i="100"/>
  <c r="J21" i="100"/>
  <c r="J20" i="100"/>
  <c r="F252" i="100" l="1"/>
  <c r="E47" i="100"/>
  <c r="E48" i="113"/>
  <c r="E49" i="113" s="1"/>
  <c r="F233" i="113"/>
  <c r="I224" i="115"/>
  <c r="BAG8" i="51" s="1"/>
  <c r="I221" i="115"/>
  <c r="F349" i="115"/>
  <c r="F351" i="115" s="1"/>
  <c r="F239" i="114"/>
  <c r="F240" i="114"/>
  <c r="F241" i="114" s="1"/>
  <c r="F368" i="115"/>
  <c r="F369" i="115"/>
  <c r="F370" i="115" s="1"/>
  <c r="F234" i="100"/>
  <c r="F235" i="100" s="1"/>
  <c r="F234" i="113"/>
  <c r="F235" i="113" s="1"/>
  <c r="E44" i="114"/>
  <c r="E45" i="114"/>
  <c r="F252" i="113"/>
  <c r="F253" i="113"/>
  <c r="F254" i="113" s="1"/>
  <c r="E19" i="16"/>
  <c r="M8" i="51" s="1"/>
  <c r="E18" i="16"/>
  <c r="L8" i="51" s="1"/>
  <c r="J24" i="16"/>
  <c r="J23" i="16"/>
  <c r="J22" i="16"/>
  <c r="J46" i="77"/>
  <c r="F44" i="77"/>
  <c r="F43" i="77"/>
  <c r="K168" i="113"/>
  <c r="I164" i="113"/>
  <c r="AXV8" i="51" s="1"/>
  <c r="I164" i="100"/>
  <c r="J266" i="115"/>
  <c r="I274" i="114"/>
  <c r="J32" i="115"/>
  <c r="J31" i="115"/>
  <c r="J30" i="115"/>
  <c r="J29" i="115"/>
  <c r="J32" i="114"/>
  <c r="J31" i="114"/>
  <c r="J30" i="114"/>
  <c r="J29" i="114"/>
  <c r="J32" i="113"/>
  <c r="J31" i="113"/>
  <c r="J30" i="113"/>
  <c r="J29" i="113"/>
  <c r="J32" i="100"/>
  <c r="E88" i="100"/>
  <c r="C303" i="115"/>
  <c r="J19" i="100"/>
  <c r="J18" i="100"/>
  <c r="J17" i="100"/>
  <c r="J16" i="100"/>
  <c r="J15" i="100"/>
  <c r="J14" i="100"/>
  <c r="J13" i="100"/>
  <c r="EE26" i="85"/>
  <c r="EE25" i="85"/>
  <c r="H159" i="16"/>
  <c r="I159" i="16"/>
  <c r="G160" i="16"/>
  <c r="F179" i="114" l="1"/>
  <c r="AZC8" i="51"/>
  <c r="K23" i="16"/>
  <c r="AK8" i="51" s="1"/>
  <c r="AG8" i="51"/>
  <c r="K22" i="16"/>
  <c r="AJ8" i="51" s="1"/>
  <c r="AF8" i="51"/>
  <c r="K24" i="16"/>
  <c r="AL8" i="51" s="1"/>
  <c r="AH8" i="51"/>
  <c r="K67" i="107"/>
  <c r="R36" i="107"/>
  <c r="K60" i="107"/>
  <c r="E61" i="107"/>
  <c r="K65" i="107"/>
  <c r="E60" i="107"/>
  <c r="E63" i="107"/>
  <c r="K62" i="107"/>
  <c r="K63" i="107"/>
  <c r="E67" i="107"/>
  <c r="K66" i="107"/>
  <c r="E65" i="107"/>
  <c r="E62" i="107"/>
  <c r="K61" i="107"/>
  <c r="E66" i="107"/>
  <c r="E68" i="107"/>
  <c r="E64" i="107"/>
  <c r="K64" i="107"/>
  <c r="K68" i="107"/>
  <c r="E77" i="77"/>
  <c r="K76" i="77"/>
  <c r="K74" i="77"/>
  <c r="E76" i="77"/>
  <c r="E75" i="77"/>
  <c r="K80" i="77"/>
  <c r="K77" i="77"/>
  <c r="E74" i="77"/>
  <c r="K73" i="77"/>
  <c r="K72" i="77"/>
  <c r="E73" i="77"/>
  <c r="K79" i="77"/>
  <c r="K78" i="77"/>
  <c r="E79" i="77"/>
  <c r="K75" i="77"/>
  <c r="E80" i="77"/>
  <c r="E72" i="77"/>
  <c r="E78" i="77"/>
  <c r="E20" i="16"/>
  <c r="D17" i="113"/>
  <c r="D17" i="114"/>
  <c r="D20" i="114" s="1"/>
  <c r="D17" i="115"/>
  <c r="D20" i="115" s="1"/>
  <c r="D17" i="116"/>
  <c r="D20" i="116" s="1"/>
  <c r="E22" i="16"/>
  <c r="Q288" i="115"/>
  <c r="Q274" i="115"/>
  <c r="Q257" i="115"/>
  <c r="J238" i="115"/>
  <c r="Q231" i="115"/>
  <c r="Q99" i="114"/>
  <c r="J106" i="114"/>
  <c r="J305" i="115"/>
  <c r="J304" i="115"/>
  <c r="J303" i="115"/>
  <c r="I304" i="115"/>
  <c r="I303" i="115"/>
  <c r="I315" i="115"/>
  <c r="I314" i="115"/>
  <c r="F314" i="115"/>
  <c r="I313" i="115"/>
  <c r="F313" i="115"/>
  <c r="I312" i="115"/>
  <c r="F312" i="115"/>
  <c r="I311" i="115"/>
  <c r="F311" i="115"/>
  <c r="I310" i="115"/>
  <c r="F310" i="115"/>
  <c r="I309" i="115"/>
  <c r="F309" i="115"/>
  <c r="F306" i="115"/>
  <c r="K130" i="116"/>
  <c r="Q94" i="116" s="1"/>
  <c r="H3" i="116"/>
  <c r="H2" i="116"/>
  <c r="Q216" i="115"/>
  <c r="H74" i="115"/>
  <c r="H75" i="115" s="1"/>
  <c r="I406" i="115"/>
  <c r="BBA8" i="51" s="1"/>
  <c r="I405" i="115"/>
  <c r="BAZ8" i="51" s="1"/>
  <c r="F219" i="114"/>
  <c r="F221" i="114" s="1"/>
  <c r="K355" i="115"/>
  <c r="BAS8" i="51" s="1"/>
  <c r="J155" i="114"/>
  <c r="J156" i="114" s="1"/>
  <c r="J152" i="114"/>
  <c r="Q148" i="114"/>
  <c r="Q128" i="114"/>
  <c r="F184" i="114"/>
  <c r="I278" i="114"/>
  <c r="I277" i="114"/>
  <c r="F178" i="114"/>
  <c r="F175" i="114"/>
  <c r="J174" i="114"/>
  <c r="J173" i="114"/>
  <c r="I173" i="114"/>
  <c r="J172" i="114"/>
  <c r="I172" i="114"/>
  <c r="N8" i="51" l="1"/>
  <c r="K177" i="107"/>
  <c r="K176" i="107"/>
  <c r="K119" i="77"/>
  <c r="K120" i="77"/>
  <c r="F182" i="114"/>
  <c r="AZF8" i="51"/>
  <c r="F183" i="114"/>
  <c r="AZG8" i="51"/>
  <c r="D18" i="77"/>
  <c r="P8" i="51"/>
  <c r="K60" i="77"/>
  <c r="K48" i="107"/>
  <c r="E31" i="113" a="1"/>
  <c r="E31" i="113" s="1"/>
  <c r="E31" i="115" a="1"/>
  <c r="E31" i="115" s="1"/>
  <c r="E31" i="114" a="1"/>
  <c r="E31" i="114" s="1"/>
  <c r="E30" i="115" a="1"/>
  <c r="E30" i="115" s="1"/>
  <c r="E30" i="114" a="1"/>
  <c r="E30" i="114" s="1"/>
  <c r="E30" i="113" a="1"/>
  <c r="E30" i="113" s="1"/>
  <c r="E31" i="100" a="1"/>
  <c r="E31" i="100" s="1"/>
  <c r="E30" i="100" a="1"/>
  <c r="E30" i="100" s="1"/>
  <c r="I157" i="113"/>
  <c r="D20" i="113"/>
  <c r="J120" i="114"/>
  <c r="AYP8" i="51" s="1"/>
  <c r="D19" i="114"/>
  <c r="D19" i="113"/>
  <c r="D19" i="115"/>
  <c r="D19" i="116"/>
  <c r="J252" i="115"/>
  <c r="BAI8" i="51" s="1"/>
  <c r="J306" i="115"/>
  <c r="I275" i="114"/>
  <c r="K304" i="115"/>
  <c r="K303" i="115"/>
  <c r="F220" i="114"/>
  <c r="K173" i="114"/>
  <c r="J175" i="114"/>
  <c r="K226" i="114"/>
  <c r="AYX8" i="51" s="1"/>
  <c r="K172" i="114"/>
  <c r="E79" i="100"/>
  <c r="E49" i="100"/>
  <c r="I292" i="100"/>
  <c r="AXK8" i="51" s="1"/>
  <c r="F207" i="100"/>
  <c r="I290" i="100"/>
  <c r="I289" i="100"/>
  <c r="K239" i="100"/>
  <c r="AXA8" i="51" s="1"/>
  <c r="I209" i="100"/>
  <c r="I208" i="100"/>
  <c r="I207" i="100"/>
  <c r="I206" i="100"/>
  <c r="I205" i="100"/>
  <c r="I204" i="100"/>
  <c r="I203" i="100"/>
  <c r="F203" i="100"/>
  <c r="F200" i="100"/>
  <c r="J199" i="100"/>
  <c r="J198" i="100"/>
  <c r="I198" i="100"/>
  <c r="J197" i="100"/>
  <c r="I197" i="100"/>
  <c r="K168" i="100"/>
  <c r="J119" i="100"/>
  <c r="Q112" i="100"/>
  <c r="J31" i="100"/>
  <c r="J30" i="100"/>
  <c r="J29" i="100"/>
  <c r="D22" i="100"/>
  <c r="D21" i="100"/>
  <c r="D18" i="100"/>
  <c r="D16" i="100"/>
  <c r="D15" i="100"/>
  <c r="D14" i="100"/>
  <c r="D13" i="100"/>
  <c r="F206" i="100" l="1"/>
  <c r="AXI8" i="51"/>
  <c r="F205" i="100"/>
  <c r="AXH8" i="51"/>
  <c r="AZD8" i="51"/>
  <c r="F222" i="114"/>
  <c r="K194" i="114" s="1"/>
  <c r="AYV8" i="51" s="1"/>
  <c r="E80" i="100"/>
  <c r="K323" i="115"/>
  <c r="BAQ8" i="51" s="1"/>
  <c r="J133" i="100"/>
  <c r="AWU8" i="51" s="1"/>
  <c r="K198" i="100"/>
  <c r="K197" i="100"/>
  <c r="K217" i="100"/>
  <c r="AWY8" i="51" s="1"/>
  <c r="J200" i="100"/>
  <c r="Q112" i="113" l="1"/>
  <c r="J199" i="113"/>
  <c r="J198" i="113"/>
  <c r="J197" i="113"/>
  <c r="I198" i="113"/>
  <c r="I197" i="113"/>
  <c r="I209" i="113"/>
  <c r="I204" i="113"/>
  <c r="I205" i="113"/>
  <c r="I206" i="113"/>
  <c r="I207" i="113"/>
  <c r="I208" i="113"/>
  <c r="I203" i="113"/>
  <c r="I290" i="113"/>
  <c r="I289" i="113"/>
  <c r="F203" i="113"/>
  <c r="I288" i="113"/>
  <c r="J119" i="113"/>
  <c r="J133" i="113" s="1"/>
  <c r="J17" i="16"/>
  <c r="AC8" i="51" s="1"/>
  <c r="E44" i="77" l="1"/>
  <c r="AXT8" i="51"/>
  <c r="F205" i="113"/>
  <c r="AYF8" i="51"/>
  <c r="F206" i="113"/>
  <c r="AYG8" i="51"/>
  <c r="F207" i="113"/>
  <c r="AYH8" i="51"/>
  <c r="K62" i="77"/>
  <c r="K50" i="107"/>
  <c r="K239" i="113"/>
  <c r="AXZ8" i="51" s="1"/>
  <c r="J200" i="113"/>
  <c r="E43" i="77"/>
  <c r="K217" i="113"/>
  <c r="AXX8" i="51" s="1"/>
  <c r="AO12" i="85"/>
  <c r="AO13" i="85"/>
  <c r="AO14" i="85"/>
  <c r="AO15" i="85"/>
  <c r="AO16" i="85"/>
  <c r="AO17" i="85"/>
  <c r="AO18" i="85"/>
  <c r="AO19" i="85"/>
  <c r="AO20" i="85"/>
  <c r="AO21" i="85"/>
  <c r="AO22" i="85"/>
  <c r="AO23" i="85"/>
  <c r="AO24" i="85"/>
  <c r="AO25" i="85"/>
  <c r="AO26" i="85"/>
  <c r="AO27" i="85"/>
  <c r="AO28" i="85"/>
  <c r="AO29" i="85"/>
  <c r="AO30" i="85"/>
  <c r="AO31" i="85"/>
  <c r="AO32" i="85"/>
  <c r="AO33" i="85"/>
  <c r="AO34" i="85"/>
  <c r="AO35" i="85"/>
  <c r="AO36" i="85"/>
  <c r="AO37" i="85"/>
  <c r="AO38" i="85"/>
  <c r="AO39" i="85"/>
  <c r="AO40" i="85"/>
  <c r="AO41" i="85"/>
  <c r="AO42" i="85"/>
  <c r="AO43" i="85"/>
  <c r="AO44" i="85"/>
  <c r="AO45" i="85"/>
  <c r="AO46" i="85"/>
  <c r="AO47" i="85"/>
  <c r="AO48" i="85"/>
  <c r="AO49" i="85"/>
  <c r="AO50" i="85"/>
  <c r="AO51" i="85"/>
  <c r="AO52" i="85"/>
  <c r="AO53" i="85"/>
  <c r="AO54" i="85"/>
  <c r="AO55" i="85"/>
  <c r="AO56" i="85"/>
  <c r="AO57" i="85"/>
  <c r="AO58" i="85"/>
  <c r="AO59" i="85"/>
  <c r="AO60" i="85"/>
  <c r="AO61" i="85"/>
  <c r="AO62" i="85"/>
  <c r="AO63" i="85"/>
  <c r="AO64" i="85"/>
  <c r="AO65" i="85"/>
  <c r="AO66" i="85"/>
  <c r="AO67" i="85"/>
  <c r="AO68" i="85"/>
  <c r="AO69" i="85"/>
  <c r="AO70" i="85"/>
  <c r="AO71" i="85"/>
  <c r="AO72" i="85"/>
  <c r="AO73" i="85"/>
  <c r="AO74" i="85"/>
  <c r="AO75" i="85"/>
  <c r="AO76" i="85"/>
  <c r="AO77" i="85"/>
  <c r="AO78" i="85"/>
  <c r="AO79" i="85"/>
  <c r="AO80" i="85"/>
  <c r="AO81" i="85"/>
  <c r="AO82" i="85"/>
  <c r="AO83" i="85"/>
  <c r="AO84" i="85"/>
  <c r="AO85" i="85"/>
  <c r="AO86" i="85"/>
  <c r="AO87" i="85"/>
  <c r="AO88" i="85"/>
  <c r="AO89" i="85"/>
  <c r="AO90" i="85"/>
  <c r="AO91" i="85"/>
  <c r="AO92" i="85"/>
  <c r="AO93" i="85"/>
  <c r="AO94" i="85"/>
  <c r="AO95" i="85"/>
  <c r="AO96" i="85"/>
  <c r="AO97" i="85"/>
  <c r="AO98" i="85"/>
  <c r="AO99" i="85"/>
  <c r="AO100" i="85"/>
  <c r="AO101" i="85"/>
  <c r="AO102" i="85"/>
  <c r="AO103" i="85"/>
  <c r="AO104" i="85"/>
  <c r="AO105" i="85"/>
  <c r="AO106" i="85"/>
  <c r="AO107" i="85"/>
  <c r="AO108" i="85"/>
  <c r="AO109" i="85"/>
  <c r="AO110" i="85"/>
  <c r="AO111" i="85"/>
  <c r="AO112" i="85"/>
  <c r="AO113" i="85"/>
  <c r="AO114" i="85"/>
  <c r="AO115" i="85"/>
  <c r="AO116" i="85"/>
  <c r="AO117" i="85"/>
  <c r="AO118" i="85"/>
  <c r="AO119" i="85"/>
  <c r="AO120" i="85"/>
  <c r="AO121" i="85"/>
  <c r="AO122" i="85"/>
  <c r="AO123" i="85"/>
  <c r="AO124" i="85"/>
  <c r="AO125" i="85"/>
  <c r="AO126" i="85"/>
  <c r="AO127" i="85"/>
  <c r="AO128" i="85"/>
  <c r="AO129" i="85"/>
  <c r="AO130" i="85"/>
  <c r="AO131" i="85"/>
  <c r="AO132" i="85"/>
  <c r="AO133" i="85"/>
  <c r="AO134" i="85"/>
  <c r="AO135" i="85"/>
  <c r="AO136" i="85"/>
  <c r="AO137" i="85"/>
  <c r="AO138" i="85"/>
  <c r="AO139" i="85"/>
  <c r="AO140" i="85"/>
  <c r="AO141" i="85"/>
  <c r="AO142" i="85"/>
  <c r="AO143" i="85"/>
  <c r="AO144" i="85"/>
  <c r="AO145" i="85"/>
  <c r="AO146" i="85"/>
  <c r="AO147" i="85"/>
  <c r="AO148" i="85"/>
  <c r="AO149" i="85"/>
  <c r="AO150" i="85"/>
  <c r="AO151" i="85"/>
  <c r="AO152" i="85"/>
  <c r="AO153" i="85"/>
  <c r="AO154" i="85"/>
  <c r="AO155" i="85"/>
  <c r="AO156" i="85"/>
  <c r="AO157" i="85"/>
  <c r="AO158" i="85"/>
  <c r="AO159" i="85"/>
  <c r="AO160" i="85"/>
  <c r="AO181" i="85"/>
  <c r="AO182" i="85"/>
  <c r="AO183" i="85"/>
  <c r="AO184" i="85"/>
  <c r="AO185" i="85"/>
  <c r="AO186" i="85"/>
  <c r="AO187" i="85"/>
  <c r="AO188" i="85"/>
  <c r="AO189" i="85"/>
  <c r="AO190" i="85"/>
  <c r="AO191" i="85"/>
  <c r="AO192" i="85"/>
  <c r="AO193" i="85"/>
  <c r="AO194" i="85"/>
  <c r="AO195" i="85"/>
  <c r="AO196" i="85"/>
  <c r="AO197" i="85"/>
  <c r="AO198" i="85"/>
  <c r="AO199" i="85"/>
  <c r="AO200" i="85"/>
  <c r="AO201" i="85"/>
  <c r="AO202" i="85"/>
  <c r="AO203" i="85"/>
  <c r="AO204" i="85"/>
  <c r="AO205" i="85"/>
  <c r="AO206" i="85"/>
  <c r="AO207" i="85"/>
  <c r="AO208" i="85"/>
  <c r="AO209" i="85"/>
  <c r="AO210" i="85"/>
  <c r="AO211" i="85"/>
  <c r="AO212" i="85"/>
  <c r="AO213" i="85"/>
  <c r="AO214" i="85"/>
  <c r="AO215" i="85"/>
  <c r="AO216" i="85"/>
  <c r="AO217" i="85"/>
  <c r="AO218" i="85"/>
  <c r="AO219" i="85"/>
  <c r="AO220" i="85"/>
  <c r="AO221" i="85"/>
  <c r="AO222" i="85"/>
  <c r="AO223" i="85"/>
  <c r="AO224" i="85"/>
  <c r="AO225" i="85"/>
  <c r="AO226" i="85"/>
  <c r="AO227" i="85"/>
  <c r="AO228" i="85"/>
  <c r="AO229" i="85"/>
  <c r="AO230" i="85"/>
  <c r="AO231" i="85"/>
  <c r="AO232" i="85"/>
  <c r="AO233" i="85"/>
  <c r="AO234" i="85"/>
  <c r="AO235" i="85"/>
  <c r="AO236" i="85"/>
  <c r="AO237" i="85"/>
  <c r="AO238" i="85"/>
  <c r="AO239" i="85"/>
  <c r="AO240" i="85"/>
  <c r="AO241" i="85"/>
  <c r="AO242" i="85"/>
  <c r="AO243" i="85"/>
  <c r="AO244" i="85"/>
  <c r="AO245" i="85"/>
  <c r="AO246" i="85"/>
  <c r="AO247" i="85"/>
  <c r="AO248" i="85"/>
  <c r="AO249" i="85"/>
  <c r="AO250" i="85"/>
  <c r="AO251" i="85"/>
  <c r="AO252" i="85"/>
  <c r="AO253" i="85"/>
  <c r="AO254" i="85"/>
  <c r="AO255" i="85"/>
  <c r="AO256" i="85"/>
  <c r="AO257" i="85"/>
  <c r="AO258" i="85"/>
  <c r="AO259" i="85"/>
  <c r="AO260" i="85"/>
  <c r="AO261" i="85"/>
  <c r="AO262" i="85"/>
  <c r="AO263" i="85"/>
  <c r="AO264" i="85"/>
  <c r="AO265" i="85"/>
  <c r="AO266" i="85"/>
  <c r="AO267" i="85"/>
  <c r="AO268" i="85"/>
  <c r="AO269" i="85"/>
  <c r="AO270" i="85"/>
  <c r="AO271" i="85"/>
  <c r="AO272" i="85"/>
  <c r="AO273" i="85"/>
  <c r="AO274" i="85"/>
  <c r="AO275" i="85"/>
  <c r="AO276" i="85"/>
  <c r="AO277" i="85"/>
  <c r="AO278" i="85"/>
  <c r="AO279" i="85"/>
  <c r="AO280" i="85"/>
  <c r="AO281" i="85"/>
  <c r="AO282" i="85"/>
  <c r="AO283" i="85"/>
  <c r="AO284" i="85"/>
  <c r="AO285" i="85"/>
  <c r="AO286" i="85"/>
  <c r="AO287" i="85"/>
  <c r="AO288" i="85"/>
  <c r="AO289" i="85"/>
  <c r="AO290" i="85"/>
  <c r="AO291" i="85"/>
  <c r="AO292" i="85"/>
  <c r="AO293" i="85"/>
  <c r="AO294" i="85"/>
  <c r="AO295" i="85"/>
  <c r="AO296" i="85"/>
  <c r="AO297" i="85"/>
  <c r="AO298" i="85"/>
  <c r="AO299" i="85"/>
  <c r="AO300" i="85"/>
  <c r="AO301" i="85"/>
  <c r="AO302" i="85"/>
  <c r="AO303" i="85"/>
  <c r="AO304" i="85"/>
  <c r="AO305" i="85"/>
  <c r="AO306" i="85"/>
  <c r="AO307" i="85"/>
  <c r="AO308" i="85"/>
  <c r="AO309" i="85"/>
  <c r="AO310" i="85"/>
  <c r="AO311" i="85"/>
  <c r="AO312" i="85"/>
  <c r="AO313" i="85"/>
  <c r="AO314" i="85"/>
  <c r="AO315" i="85"/>
  <c r="AO316" i="85"/>
  <c r="AO317" i="85"/>
  <c r="AO318" i="85"/>
  <c r="AO319" i="85"/>
  <c r="AO320" i="85"/>
  <c r="AO321" i="85"/>
  <c r="AO322" i="85"/>
  <c r="AO323" i="85"/>
  <c r="AO324" i="85"/>
  <c r="AO325" i="85"/>
  <c r="AO326" i="85"/>
  <c r="AO327" i="85"/>
  <c r="AO328" i="85"/>
  <c r="AO329" i="85"/>
  <c r="AO330" i="85"/>
  <c r="AO331" i="85"/>
  <c r="AO332" i="85"/>
  <c r="AO333" i="85"/>
  <c r="AO334" i="85"/>
  <c r="AO335" i="85"/>
  <c r="AO336" i="85"/>
  <c r="AO337" i="85"/>
  <c r="AO338" i="85"/>
  <c r="AO339" i="85"/>
  <c r="AO340" i="85"/>
  <c r="AO341" i="85"/>
  <c r="AO342" i="85"/>
  <c r="AO343" i="85"/>
  <c r="AO344" i="85"/>
  <c r="AO345" i="85"/>
  <c r="AO346" i="85"/>
  <c r="AO347" i="85"/>
  <c r="AO348" i="85"/>
  <c r="AO349" i="85"/>
  <c r="AO350" i="85"/>
  <c r="AO351" i="85"/>
  <c r="AO352" i="85"/>
  <c r="AO353" i="85"/>
  <c r="AO354" i="85"/>
  <c r="AO355" i="85"/>
  <c r="AO356" i="85"/>
  <c r="AO357" i="85"/>
  <c r="AO358" i="85"/>
  <c r="AO359" i="85"/>
  <c r="AO360" i="85"/>
  <c r="AO361" i="85"/>
  <c r="AO362" i="85"/>
  <c r="AO363" i="85"/>
  <c r="AO364" i="85"/>
  <c r="AO365" i="85"/>
  <c r="AO366" i="85"/>
  <c r="AO367" i="85"/>
  <c r="AO368" i="85"/>
  <c r="AO369" i="85"/>
  <c r="AO370" i="85"/>
  <c r="AO371" i="85"/>
  <c r="AO372" i="85"/>
  <c r="AO373" i="85"/>
  <c r="AO374" i="85"/>
  <c r="AO375" i="85"/>
  <c r="AO376" i="85"/>
  <c r="AO377" i="85"/>
  <c r="AO378" i="85"/>
  <c r="AO379" i="85"/>
  <c r="AO380" i="85"/>
  <c r="AO381" i="85"/>
  <c r="AO382" i="85"/>
  <c r="AO383" i="85"/>
  <c r="AO384" i="85"/>
  <c r="AO385" i="85"/>
  <c r="AO386" i="85"/>
  <c r="AO387" i="85"/>
  <c r="AO388" i="85"/>
  <c r="AO389" i="85"/>
  <c r="AO390" i="85"/>
  <c r="AO391" i="85"/>
  <c r="AO392" i="85"/>
  <c r="AO393" i="85"/>
  <c r="AO394" i="85"/>
  <c r="AO395" i="85"/>
  <c r="AO396" i="85"/>
  <c r="AO397" i="85"/>
  <c r="AO398" i="85"/>
  <c r="AO399" i="85"/>
  <c r="AO400" i="85"/>
  <c r="AO401" i="85"/>
  <c r="AO402" i="85"/>
  <c r="AO403" i="85"/>
  <c r="AO404" i="85"/>
  <c r="AO405" i="85"/>
  <c r="AO406" i="85"/>
  <c r="AO407" i="85"/>
  <c r="AO408" i="85"/>
  <c r="AO409" i="85"/>
  <c r="AO410" i="85"/>
  <c r="AO411" i="85"/>
  <c r="AO412" i="85"/>
  <c r="AO413" i="85"/>
  <c r="AO414" i="85"/>
  <c r="AO415" i="85"/>
  <c r="AO416" i="85"/>
  <c r="AO417" i="85"/>
  <c r="AO418" i="85"/>
  <c r="AO419" i="85"/>
  <c r="AO420" i="85"/>
  <c r="AO421" i="85"/>
  <c r="AO422" i="85"/>
  <c r="AO423" i="85"/>
  <c r="AO424" i="85"/>
  <c r="AO425" i="85"/>
  <c r="AO426" i="85"/>
  <c r="AO427" i="85"/>
  <c r="AO428" i="85"/>
  <c r="AO429" i="85"/>
  <c r="AO430" i="85"/>
  <c r="AO431" i="85"/>
  <c r="AO432" i="85"/>
  <c r="AO433" i="85"/>
  <c r="AO434" i="85"/>
  <c r="AO435" i="85"/>
  <c r="AO436" i="85"/>
  <c r="AO437" i="85"/>
  <c r="AO438" i="85"/>
  <c r="AO439" i="85"/>
  <c r="AO440" i="85"/>
  <c r="AO441" i="85"/>
  <c r="AO442" i="85"/>
  <c r="AO443" i="85"/>
  <c r="AO444" i="85"/>
  <c r="AO445" i="85"/>
  <c r="AO446" i="85"/>
  <c r="AO447" i="85"/>
  <c r="AO448" i="85"/>
  <c r="AO449" i="85"/>
  <c r="AO450" i="85"/>
  <c r="AO451" i="85"/>
  <c r="AO452" i="85"/>
  <c r="AO453" i="85"/>
  <c r="AO454" i="85"/>
  <c r="AO455" i="85"/>
  <c r="AO456" i="85"/>
  <c r="AO457" i="85"/>
  <c r="AO458" i="85"/>
  <c r="AO459" i="85"/>
  <c r="AO460" i="85"/>
  <c r="AO461" i="85"/>
  <c r="AO462" i="85"/>
  <c r="AO463" i="85"/>
  <c r="AO464" i="85"/>
  <c r="AO465" i="85"/>
  <c r="AO466" i="85"/>
  <c r="AO467" i="85"/>
  <c r="AO468" i="85"/>
  <c r="AO469" i="85"/>
  <c r="AO470" i="85"/>
  <c r="AO471" i="85"/>
  <c r="AO472" i="85"/>
  <c r="AO473" i="85"/>
  <c r="AO474" i="85"/>
  <c r="AO475" i="85"/>
  <c r="AO476" i="85"/>
  <c r="AO477" i="85"/>
  <c r="AO478" i="85"/>
  <c r="AO479" i="85"/>
  <c r="AO480" i="85"/>
  <c r="AO481" i="85"/>
  <c r="AO482" i="85"/>
  <c r="AO483" i="85"/>
  <c r="AO484" i="85"/>
  <c r="AO485" i="85"/>
  <c r="AO486" i="85"/>
  <c r="AO487" i="85"/>
  <c r="AO488" i="85"/>
  <c r="AO489" i="85"/>
  <c r="AO490" i="85"/>
  <c r="AO491" i="85"/>
  <c r="AO492" i="85"/>
  <c r="AO493" i="85"/>
  <c r="AO494" i="85"/>
  <c r="AO495" i="85"/>
  <c r="AO496" i="85"/>
  <c r="AO497" i="85"/>
  <c r="AO498" i="85"/>
  <c r="AO499" i="85"/>
  <c r="AO500" i="85"/>
  <c r="AO501" i="85"/>
  <c r="AO502" i="85"/>
  <c r="AO503" i="85"/>
  <c r="AO504" i="85"/>
  <c r="AO505" i="85"/>
  <c r="AO506" i="85"/>
  <c r="AO507" i="85"/>
  <c r="AO508" i="85"/>
  <c r="AO509" i="85"/>
  <c r="AO510" i="85"/>
  <c r="AO511" i="85"/>
  <c r="AO512" i="85"/>
  <c r="AO513" i="85"/>
  <c r="AO514" i="85"/>
  <c r="AO515" i="85"/>
  <c r="AO516" i="85"/>
  <c r="AO517" i="85"/>
  <c r="AO518" i="85"/>
  <c r="AO519" i="85"/>
  <c r="AO520" i="85"/>
  <c r="AO521" i="85"/>
  <c r="AO522" i="85"/>
  <c r="AO523" i="85"/>
  <c r="AO524" i="85"/>
  <c r="AO525" i="85"/>
  <c r="AO526" i="85"/>
  <c r="AO527" i="85"/>
  <c r="AO528" i="85"/>
  <c r="AO529" i="85"/>
  <c r="AO530" i="85"/>
  <c r="AO531" i="85"/>
  <c r="AO532" i="85"/>
  <c r="AO533" i="85"/>
  <c r="AO534" i="85"/>
  <c r="AO535" i="85"/>
  <c r="AO536" i="85"/>
  <c r="AO537" i="85"/>
  <c r="AO538" i="85"/>
  <c r="AO539" i="85"/>
  <c r="AO540" i="85"/>
  <c r="AO541" i="85"/>
  <c r="AO542" i="85"/>
  <c r="AO543" i="85"/>
  <c r="AO544" i="85"/>
  <c r="AO545" i="85"/>
  <c r="AO546" i="85"/>
  <c r="AO547" i="85"/>
  <c r="AO548" i="85"/>
  <c r="AO549" i="85"/>
  <c r="AO550" i="85"/>
  <c r="AO551" i="85"/>
  <c r="AO552" i="85"/>
  <c r="AO553" i="85"/>
  <c r="AO554" i="85"/>
  <c r="AO555" i="85"/>
  <c r="AO556" i="85"/>
  <c r="AO557" i="85"/>
  <c r="AO558" i="85"/>
  <c r="AO559" i="85"/>
  <c r="AO560" i="85"/>
  <c r="AO561" i="85"/>
  <c r="AO562" i="85"/>
  <c r="AO563" i="85"/>
  <c r="AO564" i="85"/>
  <c r="AO565" i="85"/>
  <c r="AO566" i="85"/>
  <c r="AO567" i="85"/>
  <c r="AO568" i="85"/>
  <c r="AO569" i="85"/>
  <c r="AO570" i="85"/>
  <c r="AO571" i="85"/>
  <c r="AO572" i="85"/>
  <c r="AO573" i="85"/>
  <c r="AO574" i="85"/>
  <c r="AO575" i="85"/>
  <c r="AO576" i="85"/>
  <c r="AO577" i="85"/>
  <c r="AO578" i="85"/>
  <c r="AO579" i="85"/>
  <c r="AO580" i="85"/>
  <c r="AO581" i="85"/>
  <c r="AO582" i="85"/>
  <c r="AO583" i="85"/>
  <c r="AO584" i="85"/>
  <c r="AO585" i="85"/>
  <c r="AO586" i="85"/>
  <c r="AO587" i="85"/>
  <c r="AO588" i="85"/>
  <c r="AO589" i="85"/>
  <c r="AO590" i="85"/>
  <c r="AO591" i="85"/>
  <c r="AO592" i="85"/>
  <c r="AO593" i="85"/>
  <c r="AO594" i="85"/>
  <c r="AO595" i="85"/>
  <c r="AO596" i="85"/>
  <c r="AO597" i="85"/>
  <c r="AO598" i="85"/>
  <c r="AO599" i="85"/>
  <c r="AO600" i="85"/>
  <c r="AO601" i="85"/>
  <c r="AO602" i="85"/>
  <c r="AO603" i="85"/>
  <c r="AO604" i="85"/>
  <c r="AO605" i="85"/>
  <c r="AO606" i="85"/>
  <c r="AO607" i="85"/>
  <c r="AO608" i="85"/>
  <c r="AO609" i="85"/>
  <c r="AO610" i="85"/>
  <c r="AO611" i="85"/>
  <c r="AO612" i="85"/>
  <c r="AO613" i="85"/>
  <c r="AO614" i="85"/>
  <c r="AO615" i="85"/>
  <c r="AO616" i="85"/>
  <c r="AO617" i="85"/>
  <c r="AO618" i="85"/>
  <c r="AO619" i="85"/>
  <c r="AO620" i="85"/>
  <c r="AO621" i="85"/>
  <c r="AO622" i="85"/>
  <c r="AO623" i="85"/>
  <c r="AO624" i="85"/>
  <c r="AO625" i="85"/>
  <c r="AO626" i="85"/>
  <c r="AO627" i="85"/>
  <c r="AO628" i="85"/>
  <c r="AO629" i="85"/>
  <c r="AO630" i="85"/>
  <c r="AO631" i="85"/>
  <c r="AO632" i="85"/>
  <c r="AO633" i="85"/>
  <c r="AO634" i="85"/>
  <c r="AO635" i="85"/>
  <c r="AO636" i="85"/>
  <c r="AO637" i="85"/>
  <c r="AO638" i="85"/>
  <c r="AO639" i="85"/>
  <c r="AO640" i="85"/>
  <c r="AO641" i="85"/>
  <c r="AO642" i="85"/>
  <c r="AO643" i="85"/>
  <c r="AO644" i="85"/>
  <c r="AO645" i="85"/>
  <c r="AO646" i="85"/>
  <c r="AO647" i="85"/>
  <c r="AO648" i="85"/>
  <c r="AO649" i="85"/>
  <c r="AO650" i="85"/>
  <c r="AO651" i="85"/>
  <c r="AO652" i="85"/>
  <c r="AO653" i="85"/>
  <c r="AO654" i="85"/>
  <c r="AO655" i="85"/>
  <c r="AO656" i="85"/>
  <c r="AO657" i="85"/>
  <c r="AO658" i="85"/>
  <c r="AO659" i="85"/>
  <c r="AO660" i="85"/>
  <c r="AO661" i="85"/>
  <c r="AO662" i="85"/>
  <c r="AO663" i="85"/>
  <c r="AO664" i="85"/>
  <c r="AO665" i="85"/>
  <c r="AO666" i="85"/>
  <c r="AO667" i="85"/>
  <c r="AO668" i="85"/>
  <c r="AO669" i="85"/>
  <c r="AO670" i="85"/>
  <c r="AO671" i="85"/>
  <c r="AO672" i="85"/>
  <c r="AO673" i="85"/>
  <c r="AO674" i="85"/>
  <c r="AO675" i="85"/>
  <c r="AO676" i="85"/>
  <c r="AO677" i="85"/>
  <c r="AO678" i="85"/>
  <c r="AO679" i="85"/>
  <c r="AO680" i="85"/>
  <c r="AO681" i="85"/>
  <c r="AO682" i="85"/>
  <c r="AO683" i="85"/>
  <c r="AO684" i="85"/>
  <c r="AO685" i="85"/>
  <c r="AO686" i="85"/>
  <c r="AO687" i="85"/>
  <c r="AO688" i="85"/>
  <c r="AO689" i="85"/>
  <c r="AO690" i="85"/>
  <c r="AO691" i="85"/>
  <c r="AO692" i="85"/>
  <c r="AO693" i="85"/>
  <c r="AO694" i="85"/>
  <c r="AO695" i="85"/>
  <c r="AO696" i="85"/>
  <c r="AO697" i="85"/>
  <c r="AO698" i="85"/>
  <c r="AO699" i="85"/>
  <c r="AO700" i="85"/>
  <c r="AO701" i="85"/>
  <c r="AO702" i="85"/>
  <c r="AO703" i="85"/>
  <c r="AO704" i="85"/>
  <c r="AO705" i="85"/>
  <c r="AO706" i="85"/>
  <c r="AO707" i="85"/>
  <c r="AO708" i="85"/>
  <c r="AO709" i="85"/>
  <c r="AO710" i="85"/>
  <c r="AO711" i="85"/>
  <c r="AO712" i="85"/>
  <c r="AO713" i="85"/>
  <c r="AO714" i="85"/>
  <c r="AO715" i="85"/>
  <c r="AO716" i="85"/>
  <c r="AO717" i="85"/>
  <c r="AO718" i="85"/>
  <c r="AO719" i="85"/>
  <c r="AO720" i="85"/>
  <c r="AO721" i="85"/>
  <c r="AO722" i="85"/>
  <c r="AO723" i="85"/>
  <c r="AO724" i="85"/>
  <c r="AO725" i="85"/>
  <c r="AO726" i="85"/>
  <c r="AO727" i="85"/>
  <c r="AO728" i="85"/>
  <c r="AO729" i="85"/>
  <c r="AO730" i="85"/>
  <c r="AO731" i="85"/>
  <c r="AO732" i="85"/>
  <c r="AO733" i="85"/>
  <c r="AO734" i="85"/>
  <c r="AO735" i="85"/>
  <c r="AO736" i="85"/>
  <c r="AO737" i="85"/>
  <c r="AO738" i="85"/>
  <c r="AO739" i="85"/>
  <c r="AO740" i="85"/>
  <c r="AO741" i="85"/>
  <c r="AO742" i="85"/>
  <c r="AO743" i="85"/>
  <c r="AO744" i="85"/>
  <c r="AO745" i="85"/>
  <c r="AO746" i="85"/>
  <c r="AO747" i="85"/>
  <c r="AO748" i="85"/>
  <c r="AO749" i="85"/>
  <c r="AO750" i="85"/>
  <c r="AO751" i="85"/>
  <c r="AO752" i="85"/>
  <c r="AO753" i="85"/>
  <c r="AO754" i="85"/>
  <c r="AO755" i="85"/>
  <c r="AO756" i="85"/>
  <c r="AO757" i="85"/>
  <c r="AO758" i="85"/>
  <c r="AO759" i="85"/>
  <c r="AO760" i="85"/>
  <c r="AO761" i="85"/>
  <c r="AO762" i="85"/>
  <c r="AO763" i="85"/>
  <c r="AO764" i="85"/>
  <c r="AO765" i="85"/>
  <c r="AO766" i="85"/>
  <c r="AO767" i="85"/>
  <c r="AO768" i="85"/>
  <c r="AO769" i="85"/>
  <c r="AO770" i="85"/>
  <c r="AO771" i="85"/>
  <c r="AO772" i="85"/>
  <c r="AO773" i="85"/>
  <c r="AO774" i="85"/>
  <c r="AO775" i="85"/>
  <c r="AO776" i="85"/>
  <c r="AO777" i="85"/>
  <c r="AO778" i="85"/>
  <c r="AO779" i="85"/>
  <c r="AO780" i="85"/>
  <c r="AO781" i="85"/>
  <c r="AO782" i="85"/>
  <c r="AO783" i="85"/>
  <c r="AO784" i="85"/>
  <c r="AO785" i="85"/>
  <c r="AO786" i="85"/>
  <c r="AO787" i="85"/>
  <c r="AO788" i="85"/>
  <c r="AO789" i="85"/>
  <c r="AO790" i="85"/>
  <c r="AO791" i="85"/>
  <c r="AO792" i="85"/>
  <c r="AO793" i="85"/>
  <c r="AO794" i="85"/>
  <c r="AO795" i="85"/>
  <c r="AO796" i="85"/>
  <c r="AO797" i="85"/>
  <c r="AO798" i="85"/>
  <c r="AO799" i="85"/>
  <c r="AO800" i="85"/>
  <c r="AO801" i="85"/>
  <c r="AO802" i="85"/>
  <c r="AO803" i="85"/>
  <c r="AO804" i="85"/>
  <c r="AO805" i="85"/>
  <c r="AO806" i="85"/>
  <c r="AO807" i="85"/>
  <c r="AO808" i="85"/>
  <c r="AO809" i="85"/>
  <c r="AO810" i="85"/>
  <c r="AO811" i="85"/>
  <c r="AO812" i="85"/>
  <c r="AO813" i="85"/>
  <c r="AO814" i="85"/>
  <c r="AO815" i="85"/>
  <c r="AO816" i="85"/>
  <c r="AO817" i="85"/>
  <c r="AO818" i="85"/>
  <c r="AO819" i="85"/>
  <c r="AO820" i="85"/>
  <c r="AO821" i="85"/>
  <c r="AO822" i="85"/>
  <c r="AO823" i="85"/>
  <c r="AO824" i="85"/>
  <c r="AO825" i="85"/>
  <c r="AO826" i="85"/>
  <c r="AO827" i="85"/>
  <c r="AO828" i="85"/>
  <c r="AO829" i="85"/>
  <c r="AO830" i="85"/>
  <c r="AO831" i="85"/>
  <c r="AO832" i="85"/>
  <c r="AO833" i="85"/>
  <c r="AO834" i="85"/>
  <c r="AO835" i="85"/>
  <c r="AO836" i="85"/>
  <c r="AO837" i="85"/>
  <c r="AO838" i="85"/>
  <c r="AO839" i="85"/>
  <c r="AO840" i="85"/>
  <c r="AO841" i="85"/>
  <c r="AO842" i="85"/>
  <c r="AO843" i="85"/>
  <c r="AO844" i="85"/>
  <c r="AO845" i="85"/>
  <c r="AO846" i="85"/>
  <c r="AO847" i="85"/>
  <c r="AO848" i="85"/>
  <c r="AO849" i="85"/>
  <c r="AO850" i="85"/>
  <c r="AO851" i="85"/>
  <c r="AO852" i="85"/>
  <c r="AO853" i="85"/>
  <c r="AO854" i="85"/>
  <c r="AO855" i="85"/>
  <c r="AO856" i="85"/>
  <c r="AO857" i="85"/>
  <c r="AO858" i="85"/>
  <c r="AO859" i="85"/>
  <c r="AO860" i="85"/>
  <c r="AO861" i="85"/>
  <c r="AO862" i="85"/>
  <c r="AO863" i="85"/>
  <c r="AO864" i="85"/>
  <c r="AO865" i="85"/>
  <c r="AO866" i="85"/>
  <c r="AO867" i="85"/>
  <c r="AO868" i="85"/>
  <c r="AO869" i="85"/>
  <c r="AO870" i="85"/>
  <c r="AO871" i="85"/>
  <c r="AO161" i="85"/>
  <c r="AO162" i="85"/>
  <c r="AO163" i="85"/>
  <c r="AO164" i="85"/>
  <c r="AO165" i="85"/>
  <c r="AO166" i="85"/>
  <c r="AO167" i="85"/>
  <c r="AO168" i="85"/>
  <c r="AO169" i="85"/>
  <c r="AO170" i="85"/>
  <c r="AO171" i="85"/>
  <c r="AO172" i="85"/>
  <c r="AO173" i="85"/>
  <c r="AO174" i="85"/>
  <c r="AO175" i="85"/>
  <c r="AO176" i="85"/>
  <c r="AO177" i="85"/>
  <c r="AO178" i="85"/>
  <c r="AO179" i="85"/>
  <c r="AO180" i="85"/>
  <c r="AO872" i="85"/>
  <c r="AO873" i="85"/>
  <c r="AO874" i="85"/>
  <c r="AO875" i="85"/>
  <c r="AO876" i="85"/>
  <c r="AO877" i="85"/>
  <c r="AO878" i="85"/>
  <c r="AO879" i="85"/>
  <c r="AO880" i="85"/>
  <c r="AO881" i="85"/>
  <c r="AO882" i="85"/>
  <c r="AO883" i="85"/>
  <c r="AO884" i="85"/>
  <c r="AO885" i="85"/>
  <c r="AO886" i="85"/>
  <c r="AO887" i="85"/>
  <c r="AO888" i="85"/>
  <c r="AO889" i="85"/>
  <c r="AO890" i="85"/>
  <c r="AO891" i="85"/>
  <c r="AO892" i="85"/>
  <c r="AO893" i="85"/>
  <c r="AO894" i="85"/>
  <c r="AO895" i="85"/>
  <c r="AO896" i="85"/>
  <c r="AO897" i="85"/>
  <c r="AO898" i="85"/>
  <c r="AO899" i="85"/>
  <c r="AO900" i="85"/>
  <c r="AO901" i="85"/>
  <c r="AO902" i="85"/>
  <c r="AO903" i="85"/>
  <c r="AO904" i="85"/>
  <c r="AO905" i="85"/>
  <c r="AO906" i="85"/>
  <c r="AO907" i="85"/>
  <c r="AO908" i="85"/>
  <c r="AO909" i="85"/>
  <c r="AO910" i="85"/>
  <c r="AO911" i="85"/>
  <c r="AO912" i="85"/>
  <c r="AO913" i="85"/>
  <c r="AO914" i="85"/>
  <c r="AO915" i="85"/>
  <c r="AO916" i="85"/>
  <c r="AO917" i="85"/>
  <c r="AO918" i="85"/>
  <c r="AO919" i="85"/>
  <c r="AO920" i="85"/>
  <c r="AO921" i="85"/>
  <c r="AO922" i="85"/>
  <c r="AO923" i="85"/>
  <c r="AO924" i="85"/>
  <c r="AO925" i="85"/>
  <c r="AO926" i="85"/>
  <c r="AO927" i="85"/>
  <c r="AO928" i="85"/>
  <c r="AO929" i="85"/>
  <c r="AO930" i="85"/>
  <c r="AO931" i="85"/>
  <c r="AO932" i="85"/>
  <c r="AO933" i="85"/>
  <c r="AO934" i="85"/>
  <c r="AO935" i="85"/>
  <c r="AO936" i="85"/>
  <c r="AO937" i="85"/>
  <c r="AO938" i="85"/>
  <c r="AO939" i="85"/>
  <c r="AO940" i="85"/>
  <c r="AO941" i="85"/>
  <c r="AO942" i="85"/>
  <c r="AO943" i="85"/>
  <c r="AO944" i="85"/>
  <c r="AO945" i="85"/>
  <c r="AO946" i="85"/>
  <c r="AO947" i="85"/>
  <c r="AO948" i="85"/>
  <c r="AO949" i="85"/>
  <c r="AO950" i="85"/>
  <c r="AO951" i="85"/>
  <c r="AO952" i="85"/>
  <c r="AO953" i="85"/>
  <c r="AO954" i="85"/>
  <c r="AO955" i="85"/>
  <c r="AO956" i="85"/>
  <c r="AO957" i="85"/>
  <c r="AO958" i="85"/>
  <c r="AO959" i="85"/>
  <c r="AO960" i="85"/>
  <c r="AO961" i="85"/>
  <c r="AO962" i="85"/>
  <c r="AO963" i="85"/>
  <c r="AO964" i="85"/>
  <c r="AO965" i="85"/>
  <c r="AO966" i="85"/>
  <c r="AO967" i="85"/>
  <c r="AO968" i="85"/>
  <c r="AO969" i="85"/>
  <c r="AO970" i="85"/>
  <c r="AO971" i="85"/>
  <c r="AO972" i="85"/>
  <c r="AO973" i="85"/>
  <c r="AO974" i="85"/>
  <c r="AO975" i="85"/>
  <c r="AO976" i="85"/>
  <c r="AO977" i="85"/>
  <c r="AO978" i="85"/>
  <c r="AO979" i="85"/>
  <c r="AO980" i="85"/>
  <c r="AO981" i="85"/>
  <c r="AO982" i="85"/>
  <c r="AO983" i="85"/>
  <c r="AO984" i="85"/>
  <c r="AO985" i="85"/>
  <c r="AO986" i="85"/>
  <c r="AO987" i="85"/>
  <c r="AO988" i="85"/>
  <c r="AO989" i="85"/>
  <c r="AO990" i="85"/>
  <c r="AO991" i="85"/>
  <c r="AO992" i="85"/>
  <c r="AO993" i="85"/>
  <c r="AO994" i="85"/>
  <c r="AO995" i="85"/>
  <c r="AO996" i="85"/>
  <c r="AO997" i="85"/>
  <c r="AO998" i="85"/>
  <c r="AO999" i="85"/>
  <c r="AO1000" i="85"/>
  <c r="AO1001" i="85"/>
  <c r="AO1002" i="85"/>
  <c r="AO1003" i="85"/>
  <c r="AO1004" i="85"/>
  <c r="AO1005" i="85"/>
  <c r="AO1006" i="85"/>
  <c r="AO1007" i="85"/>
  <c r="AO1008" i="85"/>
  <c r="AO1009" i="85"/>
  <c r="AO1010" i="85"/>
  <c r="AO1011" i="85"/>
  <c r="AO1012" i="85"/>
  <c r="AO1013" i="85"/>
  <c r="AO1014" i="85"/>
  <c r="AO1015" i="85"/>
  <c r="AO1016" i="85"/>
  <c r="AO1017" i="85"/>
  <c r="AO1018" i="85"/>
  <c r="AO1019" i="85"/>
  <c r="AO1020" i="85"/>
  <c r="AO1021" i="85"/>
  <c r="AO1022" i="85"/>
  <c r="AO1023" i="85"/>
  <c r="AO1024" i="85"/>
  <c r="AO1025" i="85"/>
  <c r="AO1026" i="85"/>
  <c r="AO1027" i="85"/>
  <c r="AO1028" i="85"/>
  <c r="AO1029" i="85"/>
  <c r="AO1030" i="85"/>
  <c r="AO1031" i="85"/>
  <c r="AO1032" i="85"/>
  <c r="AO1033" i="85"/>
  <c r="AO1034" i="85"/>
  <c r="AO1035" i="85"/>
  <c r="AO1036" i="85"/>
  <c r="AO1037" i="85"/>
  <c r="AO1038" i="85"/>
  <c r="AO1039" i="85"/>
  <c r="AO1040" i="85"/>
  <c r="AO1041" i="85"/>
  <c r="AO1042" i="85"/>
  <c r="AO1043" i="85"/>
  <c r="AO1044" i="85"/>
  <c r="AO1045" i="85"/>
  <c r="AO1046" i="85"/>
  <c r="AO1047" i="85"/>
  <c r="AO1048" i="85"/>
  <c r="AO1049" i="85"/>
  <c r="AO1050" i="85"/>
  <c r="AO1051" i="85"/>
  <c r="AO1052" i="85"/>
  <c r="AO1053" i="85"/>
  <c r="AO1054" i="85"/>
  <c r="AO1055" i="85"/>
  <c r="AO1056" i="85"/>
  <c r="AO1057" i="85"/>
  <c r="AO1058" i="85"/>
  <c r="AO1059" i="85"/>
  <c r="AO1060" i="85"/>
  <c r="AO1061" i="85"/>
  <c r="AO1062" i="85"/>
  <c r="AO1063" i="85"/>
  <c r="AO1064" i="85"/>
  <c r="AO1065" i="85"/>
  <c r="AO1066" i="85"/>
  <c r="AO1067" i="85"/>
  <c r="AO1068" i="85"/>
  <c r="AO1069" i="85"/>
  <c r="AO1070" i="85"/>
  <c r="AO1071" i="85"/>
  <c r="AO1072" i="85"/>
  <c r="AO1073" i="85"/>
  <c r="AO1074" i="85"/>
  <c r="AO1075" i="85"/>
  <c r="AO1076" i="85"/>
  <c r="AO1077" i="85"/>
  <c r="AO1078" i="85"/>
  <c r="AO1079" i="85"/>
  <c r="AO1080" i="85"/>
  <c r="AO1081" i="85"/>
  <c r="AO1082" i="85"/>
  <c r="AO1083" i="85"/>
  <c r="AO1084" i="85"/>
  <c r="AO1085" i="85"/>
  <c r="AO1086" i="85"/>
  <c r="AO1087" i="85"/>
  <c r="AO1088" i="85"/>
  <c r="AO1089" i="85"/>
  <c r="AO1090" i="85"/>
  <c r="AO1091" i="85"/>
  <c r="AO1092" i="85"/>
  <c r="AO1093" i="85"/>
  <c r="AO1094" i="85"/>
  <c r="AO1095" i="85"/>
  <c r="AO1096" i="85"/>
  <c r="AO1097" i="85"/>
  <c r="AO1098" i="85"/>
  <c r="AO1099" i="85"/>
  <c r="AO1100" i="85"/>
  <c r="AO1101" i="85"/>
  <c r="AO1102" i="85"/>
  <c r="AO1103" i="85"/>
  <c r="AO1104" i="85"/>
  <c r="AO1105" i="85"/>
  <c r="AO1106" i="85"/>
  <c r="AO1107" i="85"/>
  <c r="AO1108" i="85"/>
  <c r="AO1109" i="85"/>
  <c r="AO1110" i="85"/>
  <c r="AO1111" i="85"/>
  <c r="AO1112" i="85"/>
  <c r="AO1113" i="85"/>
  <c r="AO1114" i="85"/>
  <c r="AO1115" i="85"/>
  <c r="AO1116" i="85"/>
  <c r="AO1117" i="85"/>
  <c r="AO1118" i="85"/>
  <c r="AO1119" i="85"/>
  <c r="AO1120" i="85"/>
  <c r="AO1121" i="85"/>
  <c r="AO1122" i="85"/>
  <c r="AO1123" i="85"/>
  <c r="AO1124" i="85"/>
  <c r="AO1125" i="85"/>
  <c r="AO1126" i="85"/>
  <c r="AO1127" i="85"/>
  <c r="AO1128" i="85"/>
  <c r="AO1129" i="85"/>
  <c r="AO1130" i="85"/>
  <c r="AO1131" i="85"/>
  <c r="AO1132" i="85"/>
  <c r="AO1133" i="85"/>
  <c r="AO1134" i="85"/>
  <c r="AO1135" i="85"/>
  <c r="AO1136" i="85"/>
  <c r="AO1137" i="85"/>
  <c r="AO1138" i="85"/>
  <c r="AO1139" i="85"/>
  <c r="AO1140" i="85"/>
  <c r="AO1141" i="85"/>
  <c r="AO1142" i="85"/>
  <c r="AO1143" i="85"/>
  <c r="AO1144" i="85"/>
  <c r="AO1145" i="85"/>
  <c r="AO1146" i="85"/>
  <c r="AO1147" i="85"/>
  <c r="AO1148" i="85"/>
  <c r="AO1149" i="85"/>
  <c r="AO1150" i="85"/>
  <c r="AO1151" i="85"/>
  <c r="AO1152" i="85"/>
  <c r="AO1153" i="85"/>
  <c r="AO1154" i="85"/>
  <c r="AO1155" i="85"/>
  <c r="AO1156" i="85"/>
  <c r="AO1157" i="85"/>
  <c r="AO1158" i="85"/>
  <c r="AO1159" i="85"/>
  <c r="AO1160" i="85"/>
  <c r="AO1161" i="85"/>
  <c r="AO1162" i="85"/>
  <c r="AO1163" i="85"/>
  <c r="AO1164" i="85"/>
  <c r="AO1165" i="85"/>
  <c r="AO1166" i="85"/>
  <c r="AO1167" i="85"/>
  <c r="AO1168" i="85"/>
  <c r="AO1169" i="85"/>
  <c r="AO1170" i="85"/>
  <c r="AO1171" i="85"/>
  <c r="AO1172" i="85"/>
  <c r="AO1173" i="85"/>
  <c r="AO1174" i="85"/>
  <c r="AO1175" i="85"/>
  <c r="AO1176" i="85"/>
  <c r="AO1177" i="85"/>
  <c r="AO1178" i="85"/>
  <c r="AO1179" i="85"/>
  <c r="AO1180" i="85"/>
  <c r="AO1181" i="85"/>
  <c r="AO1182" i="85"/>
  <c r="AO1183" i="85"/>
  <c r="AO1184" i="85"/>
  <c r="AO1185" i="85"/>
  <c r="AO1186" i="85"/>
  <c r="AO1187" i="85"/>
  <c r="AO1188" i="85"/>
  <c r="AO1189" i="85"/>
  <c r="AO1190" i="85"/>
  <c r="AO1191" i="85"/>
  <c r="AO1192" i="85"/>
  <c r="AO1193" i="85"/>
  <c r="AO1194" i="85"/>
  <c r="AO1195" i="85"/>
  <c r="AO1196" i="85"/>
  <c r="AO1197" i="85"/>
  <c r="AO1198" i="85"/>
  <c r="AO1199" i="85"/>
  <c r="AO1200" i="85"/>
  <c r="AO1201" i="85"/>
  <c r="AO1202" i="85"/>
  <c r="AO1203" i="85"/>
  <c r="AO1204" i="85"/>
  <c r="AO1205" i="85"/>
  <c r="AO1206" i="85"/>
  <c r="AO1207" i="85"/>
  <c r="AO1208" i="85"/>
  <c r="AO1209" i="85"/>
  <c r="AO1210" i="85"/>
  <c r="AO1211" i="85"/>
  <c r="AO1212" i="85"/>
  <c r="AO1213" i="85"/>
  <c r="AO1214" i="85"/>
  <c r="AO1215" i="85"/>
  <c r="AO1216" i="85"/>
  <c r="AO1217" i="85"/>
  <c r="AO1218" i="85"/>
  <c r="AO1219" i="85"/>
  <c r="AO1220" i="85"/>
  <c r="AO1221" i="85"/>
  <c r="AO1222" i="85"/>
  <c r="AO1223" i="85"/>
  <c r="AO1224" i="85"/>
  <c r="AO1225" i="85"/>
  <c r="AO1226" i="85"/>
  <c r="AO1227" i="85"/>
  <c r="AO1228" i="85"/>
  <c r="AO1229" i="85"/>
  <c r="AO1230" i="85"/>
  <c r="AO1231" i="85"/>
  <c r="AO1232" i="85"/>
  <c r="AO1233" i="85"/>
  <c r="AO1234" i="85"/>
  <c r="AO1235" i="85"/>
  <c r="AO1236" i="85"/>
  <c r="AO1237" i="85"/>
  <c r="AO1238" i="85"/>
  <c r="AO1239" i="85"/>
  <c r="AO1240" i="85"/>
  <c r="AO1241" i="85"/>
  <c r="AO1242" i="85"/>
  <c r="AO1243" i="85"/>
  <c r="AO1244" i="85"/>
  <c r="AO1245" i="85"/>
  <c r="AO1246" i="85"/>
  <c r="AO1247" i="85"/>
  <c r="AO1248" i="85"/>
  <c r="AO1249" i="85"/>
  <c r="AO1250" i="85"/>
  <c r="AO1251" i="85"/>
  <c r="AO1252" i="85"/>
  <c r="AO1253" i="85"/>
  <c r="AO1254" i="85"/>
  <c r="AO1255" i="85"/>
  <c r="AO1256" i="85"/>
  <c r="AO1257" i="85"/>
  <c r="AO1258" i="85"/>
  <c r="AO1259" i="85"/>
  <c r="AO1260" i="85"/>
  <c r="AO1261" i="85"/>
  <c r="AO1262" i="85"/>
  <c r="AO1263" i="85"/>
  <c r="AO1264" i="85"/>
  <c r="AO1265" i="85"/>
  <c r="AO1266" i="85"/>
  <c r="AO1267" i="85"/>
  <c r="AO1268" i="85"/>
  <c r="AO1269" i="85"/>
  <c r="AO1270" i="85"/>
  <c r="AO1271" i="85"/>
  <c r="AO1272" i="85"/>
  <c r="AO1273" i="85"/>
  <c r="AO1274" i="85"/>
  <c r="AO1275" i="85"/>
  <c r="AO1276" i="85"/>
  <c r="AO1277" i="85"/>
  <c r="AO1278" i="85"/>
  <c r="AO1279" i="85"/>
  <c r="AO1280" i="85"/>
  <c r="AO1281" i="85"/>
  <c r="AO1282" i="85"/>
  <c r="AO1283" i="85"/>
  <c r="AO1284" i="85"/>
  <c r="AO1285" i="85"/>
  <c r="AO1286" i="85"/>
  <c r="AO1287" i="85"/>
  <c r="AO1288" i="85"/>
  <c r="AO1289" i="85"/>
  <c r="AO1290" i="85"/>
  <c r="AO1291" i="85"/>
  <c r="AO1292" i="85"/>
  <c r="AO1293" i="85"/>
  <c r="AO1294" i="85"/>
  <c r="AO1295" i="85"/>
  <c r="AO1296" i="85"/>
  <c r="AO1297" i="85"/>
  <c r="AO1298" i="85"/>
  <c r="AO1299" i="85"/>
  <c r="AO1300" i="85"/>
  <c r="AO1301" i="85"/>
  <c r="AO1302" i="85"/>
  <c r="AO1303" i="85"/>
  <c r="AO1304" i="85"/>
  <c r="AO1305" i="85"/>
  <c r="AO1306" i="85"/>
  <c r="AO1307" i="85"/>
  <c r="AO1308" i="85"/>
  <c r="AO1309" i="85"/>
  <c r="AO1310" i="85"/>
  <c r="AO1311" i="85"/>
  <c r="AO1312" i="85"/>
  <c r="AO1313" i="85"/>
  <c r="AO1314" i="85"/>
  <c r="AO1315" i="85"/>
  <c r="AO1316" i="85"/>
  <c r="AO1317" i="85"/>
  <c r="AO1318" i="85"/>
  <c r="AO1319" i="85"/>
  <c r="AO1320" i="85"/>
  <c r="AO1321" i="85"/>
  <c r="AO1322" i="85"/>
  <c r="AO1323" i="85"/>
  <c r="AO1324" i="85"/>
  <c r="AO1325" i="85"/>
  <c r="AO1326" i="85"/>
  <c r="AO1327" i="85"/>
  <c r="AO1328" i="85"/>
  <c r="AO1329" i="85"/>
  <c r="AO1330" i="85"/>
  <c r="AO1331" i="85"/>
  <c r="AO1332" i="85"/>
  <c r="AO1333" i="85"/>
  <c r="AO1334" i="85"/>
  <c r="AO1335" i="85"/>
  <c r="AO1336" i="85"/>
  <c r="AO1337" i="85"/>
  <c r="AO1338" i="85"/>
  <c r="AO1339" i="85"/>
  <c r="AO1340" i="85"/>
  <c r="AO1341" i="85"/>
  <c r="AO1342" i="85"/>
  <c r="AO1343" i="85"/>
  <c r="AO1344" i="85"/>
  <c r="AO1345" i="85"/>
  <c r="AO1346" i="85"/>
  <c r="AO1347" i="85"/>
  <c r="AO1348" i="85"/>
  <c r="AO1349" i="85"/>
  <c r="AO1350" i="85"/>
  <c r="AO1351" i="85"/>
  <c r="AO1352" i="85"/>
  <c r="AO1353" i="85"/>
  <c r="AO1354" i="85"/>
  <c r="AO1355" i="85"/>
  <c r="AO1356" i="85"/>
  <c r="AO1357" i="85"/>
  <c r="AO1358" i="85"/>
  <c r="AO1359" i="85"/>
  <c r="AO1360" i="85"/>
  <c r="AO1361" i="85"/>
  <c r="AO1362" i="85"/>
  <c r="AO1363" i="85"/>
  <c r="AO1364" i="85"/>
  <c r="AO1365" i="85"/>
  <c r="AO1366" i="85"/>
  <c r="AO1367" i="85"/>
  <c r="AO1368" i="85"/>
  <c r="AO1369" i="85"/>
  <c r="AO1370" i="85"/>
  <c r="AO1371" i="85"/>
  <c r="AO1372" i="85"/>
  <c r="AO1373" i="85"/>
  <c r="AO1374" i="85"/>
  <c r="AO1375" i="85"/>
  <c r="AO1376" i="85"/>
  <c r="AO1377" i="85"/>
  <c r="AO1378" i="85"/>
  <c r="AO1379" i="85"/>
  <c r="AO1380" i="85"/>
  <c r="AO1381" i="85"/>
  <c r="AO1382" i="85"/>
  <c r="AO1383" i="85"/>
  <c r="AO1384" i="85"/>
  <c r="AO1385" i="85"/>
  <c r="AO1386" i="85"/>
  <c r="AO1387" i="85"/>
  <c r="AO1388" i="85"/>
  <c r="AO1389" i="85"/>
  <c r="AO1390" i="85"/>
  <c r="AO1391" i="85"/>
  <c r="AO1392" i="85"/>
  <c r="AO1393" i="85"/>
  <c r="AO1394" i="85"/>
  <c r="AO1395" i="85"/>
  <c r="AO1396" i="85"/>
  <c r="AO1397" i="85"/>
  <c r="AO1398" i="85"/>
  <c r="AO1399" i="85"/>
  <c r="AO1400" i="85"/>
  <c r="AO1401" i="85"/>
  <c r="AO1402" i="85"/>
  <c r="AO1403" i="85"/>
  <c r="AO1404" i="85"/>
  <c r="AO1405" i="85"/>
  <c r="AO1406" i="85"/>
  <c r="AO1407" i="85"/>
  <c r="AO1408" i="85"/>
  <c r="AO1409" i="85"/>
  <c r="AO1410" i="85"/>
  <c r="AO1411" i="85"/>
  <c r="AO1412" i="85"/>
  <c r="AO1413" i="85"/>
  <c r="AO1414" i="85"/>
  <c r="AO1415" i="85"/>
  <c r="AO1416" i="85"/>
  <c r="AO1417" i="85"/>
  <c r="AO1418" i="85"/>
  <c r="AO1419" i="85"/>
  <c r="AO1420" i="85"/>
  <c r="AO1421" i="85"/>
  <c r="AO1422" i="85"/>
  <c r="AO1423" i="85"/>
  <c r="AO1424" i="85"/>
  <c r="AO1425" i="85"/>
  <c r="AO1426" i="85"/>
  <c r="AO1427" i="85"/>
  <c r="AO1428" i="85"/>
  <c r="AO1429" i="85"/>
  <c r="AO1430" i="85"/>
  <c r="AO1431" i="85"/>
  <c r="AO1432" i="85"/>
  <c r="AO1433" i="85"/>
  <c r="AO1434" i="85"/>
  <c r="AO1435" i="85"/>
  <c r="AO1436" i="85"/>
  <c r="AO1437" i="85"/>
  <c r="AO1438" i="85"/>
  <c r="AO1439" i="85"/>
  <c r="AO1440" i="85"/>
  <c r="AO1441" i="85"/>
  <c r="AO1442" i="85"/>
  <c r="AO1443" i="85"/>
  <c r="AO1444" i="85"/>
  <c r="AO1445" i="85"/>
  <c r="AO1446" i="85"/>
  <c r="AO1447" i="85"/>
  <c r="AO1448" i="85"/>
  <c r="AO1449" i="85"/>
  <c r="AO1450" i="85"/>
  <c r="AO1451" i="85"/>
  <c r="AO1452" i="85"/>
  <c r="AO1453" i="85"/>
  <c r="AO1454" i="85"/>
  <c r="AO1455" i="85"/>
  <c r="AO1456" i="85"/>
  <c r="AO1457" i="85"/>
  <c r="AO1458" i="85"/>
  <c r="AO1459" i="85"/>
  <c r="AO1460" i="85"/>
  <c r="AO1461" i="85"/>
  <c r="AO1462" i="85"/>
  <c r="AO1463" i="85"/>
  <c r="AO1464" i="85"/>
  <c r="AO1465" i="85"/>
  <c r="AO1466" i="85"/>
  <c r="AO1467" i="85"/>
  <c r="AO1468" i="85"/>
  <c r="AO1469" i="85"/>
  <c r="AO1470" i="85"/>
  <c r="AO1471" i="85"/>
  <c r="AO1472" i="85"/>
  <c r="AO1473" i="85"/>
  <c r="AO1474" i="85"/>
  <c r="AO1475" i="85"/>
  <c r="AO1476" i="85"/>
  <c r="AO1477" i="85"/>
  <c r="AO1478" i="85"/>
  <c r="AO1479" i="85"/>
  <c r="AO1480" i="85"/>
  <c r="AO1481" i="85"/>
  <c r="AO1482" i="85"/>
  <c r="AO1483" i="85"/>
  <c r="AO1484" i="85"/>
  <c r="AO1485" i="85"/>
  <c r="AO1486" i="85"/>
  <c r="AO1487" i="85"/>
  <c r="AO1488" i="85"/>
  <c r="AO1489" i="85"/>
  <c r="AO1490" i="85"/>
  <c r="AO1491" i="85"/>
  <c r="AO1492" i="85"/>
  <c r="AO1493" i="85"/>
  <c r="AO1494" i="85"/>
  <c r="AO1495" i="85"/>
  <c r="AO1496" i="85"/>
  <c r="AO1497" i="85"/>
  <c r="AO1498" i="85"/>
  <c r="AO1499" i="85"/>
  <c r="AO1500" i="85"/>
  <c r="AO1501" i="85"/>
  <c r="AO1502" i="85"/>
  <c r="AO1503" i="85"/>
  <c r="AO1504" i="85"/>
  <c r="AO1505" i="85"/>
  <c r="AO1506" i="85"/>
  <c r="AO1507" i="85"/>
  <c r="AO1508" i="85"/>
  <c r="AO1509" i="85"/>
  <c r="AO1510" i="85"/>
  <c r="AO1511" i="85"/>
  <c r="AO1512" i="85"/>
  <c r="AO1513" i="85"/>
  <c r="AO1514" i="85"/>
  <c r="AO1515" i="85"/>
  <c r="AO1516" i="85"/>
  <c r="AO1517" i="85"/>
  <c r="AO1518" i="85"/>
  <c r="AO1519" i="85"/>
  <c r="AO1520" i="85"/>
  <c r="AO1521" i="85"/>
  <c r="AO1522" i="85"/>
  <c r="AO1523" i="85"/>
  <c r="AO1524" i="85"/>
  <c r="AO1525" i="85"/>
  <c r="AO1526" i="85"/>
  <c r="AO1527" i="85"/>
  <c r="AO1528" i="85"/>
  <c r="AO1529" i="85"/>
  <c r="AO1530" i="85"/>
  <c r="AO1531" i="85"/>
  <c r="AO1532" i="85"/>
  <c r="AO1533" i="85"/>
  <c r="AO1534" i="85"/>
  <c r="AO1535" i="85"/>
  <c r="AO1536" i="85"/>
  <c r="AO1537" i="85"/>
  <c r="AO1538" i="85"/>
  <c r="AO1539" i="85"/>
  <c r="AO1540" i="85"/>
  <c r="AO1541" i="85"/>
  <c r="AO1542" i="85"/>
  <c r="AO1543" i="85"/>
  <c r="AO1544" i="85"/>
  <c r="AO1545" i="85"/>
  <c r="AO1546" i="85"/>
  <c r="AO1547" i="85"/>
  <c r="AO1548" i="85"/>
  <c r="AO1549" i="85"/>
  <c r="AO1550" i="85"/>
  <c r="AO1551" i="85"/>
  <c r="AO1552" i="85"/>
  <c r="AO1553" i="85"/>
  <c r="AO1554" i="85"/>
  <c r="AO1555" i="85"/>
  <c r="AO1556" i="85"/>
  <c r="AO1557" i="85"/>
  <c r="AO1558" i="85"/>
  <c r="AO1559" i="85"/>
  <c r="AO1560" i="85"/>
  <c r="AO1561" i="85"/>
  <c r="AO1562" i="85"/>
  <c r="AO1563" i="85"/>
  <c r="AO1564" i="85"/>
  <c r="AO1565" i="85"/>
  <c r="AO1566" i="85"/>
  <c r="AO1567" i="85"/>
  <c r="AO1568" i="85"/>
  <c r="AO1569" i="85"/>
  <c r="AO1570" i="85"/>
  <c r="AO1571" i="85"/>
  <c r="AO1572" i="85"/>
  <c r="AO1573" i="85"/>
  <c r="AO1574" i="85"/>
  <c r="AO1575" i="85"/>
  <c r="AO1576" i="85"/>
  <c r="AO1577" i="85"/>
  <c r="AO1578" i="85"/>
  <c r="AO1579" i="85"/>
  <c r="AO1580" i="85"/>
  <c r="AO1581" i="85"/>
  <c r="AO1582" i="85"/>
  <c r="AO1583" i="85"/>
  <c r="AO1584" i="85"/>
  <c r="AO1585" i="85"/>
  <c r="AO1586" i="85"/>
  <c r="AO1587" i="85"/>
  <c r="AO1588" i="85"/>
  <c r="AO1589" i="85"/>
  <c r="AO1590" i="85"/>
  <c r="AO1591" i="85"/>
  <c r="AO1592" i="85"/>
  <c r="AO1593" i="85"/>
  <c r="AO1594" i="85"/>
  <c r="AO1595" i="85"/>
  <c r="AO1596" i="85"/>
  <c r="AO1597" i="85"/>
  <c r="AO1598" i="85"/>
  <c r="AO1599" i="85"/>
  <c r="AO1600" i="85"/>
  <c r="AO1601" i="85"/>
  <c r="AO1602" i="85"/>
  <c r="AO1603" i="85"/>
  <c r="AO1604" i="85"/>
  <c r="AO1605" i="85"/>
  <c r="AO1606" i="85"/>
  <c r="AO1607" i="85"/>
  <c r="AO1608" i="85"/>
  <c r="AO1609" i="85"/>
  <c r="AO1610" i="85"/>
  <c r="AO1611" i="85"/>
  <c r="AO1612" i="85"/>
  <c r="AO1613" i="85"/>
  <c r="AO1614" i="85"/>
  <c r="AO1615" i="85"/>
  <c r="AO1616" i="85"/>
  <c r="AO1617" i="85"/>
  <c r="AO1618" i="85"/>
  <c r="AO1619" i="85"/>
  <c r="AO1620" i="85"/>
  <c r="AO1621" i="85"/>
  <c r="AO1622" i="85"/>
  <c r="AO1623" i="85"/>
  <c r="AO1624" i="85"/>
  <c r="AO1625" i="85"/>
  <c r="AO1626" i="85"/>
  <c r="AO1627" i="85"/>
  <c r="AO1628" i="85"/>
  <c r="AO1629" i="85"/>
  <c r="AO1630" i="85"/>
  <c r="AO1631" i="85"/>
  <c r="AO1632" i="85"/>
  <c r="AO1633" i="85"/>
  <c r="AO1634" i="85"/>
  <c r="AO1635" i="85"/>
  <c r="AO1636" i="85"/>
  <c r="AO1637" i="85"/>
  <c r="AO1638" i="85"/>
  <c r="AO1639" i="85"/>
  <c r="AO1640" i="85"/>
  <c r="AO1641" i="85"/>
  <c r="AO1642" i="85"/>
  <c r="AO1643" i="85"/>
  <c r="AO1644" i="85"/>
  <c r="AO1645" i="85"/>
  <c r="AO1646" i="85"/>
  <c r="AO1647" i="85"/>
  <c r="AO1648" i="85"/>
  <c r="AO1649" i="85"/>
  <c r="AO1650" i="85"/>
  <c r="AO1651" i="85"/>
  <c r="AO1652" i="85"/>
  <c r="AO1653" i="85"/>
  <c r="AO1654" i="85"/>
  <c r="AO1655" i="85"/>
  <c r="AO1656" i="85"/>
  <c r="AO1657" i="85"/>
  <c r="AO1658" i="85"/>
  <c r="AO1659" i="85"/>
  <c r="AO1660" i="85"/>
  <c r="AO1661" i="85"/>
  <c r="AO1662" i="85"/>
  <c r="AO1663" i="85"/>
  <c r="AO1664" i="85"/>
  <c r="AO1665" i="85"/>
  <c r="AO1666" i="85"/>
  <c r="AO1667" i="85"/>
  <c r="AO1668" i="85"/>
  <c r="AO1669" i="85"/>
  <c r="AO1670" i="85"/>
  <c r="AO1671" i="85"/>
  <c r="AO1672" i="85"/>
  <c r="AO1673" i="85"/>
  <c r="AO1674" i="85"/>
  <c r="AO1675" i="85"/>
  <c r="AO1676" i="85"/>
  <c r="AO1677" i="85"/>
  <c r="AO1678" i="85"/>
  <c r="AO1679" i="85"/>
  <c r="AO1680" i="85"/>
  <c r="AO1681" i="85"/>
  <c r="AO1682" i="85"/>
  <c r="AO1683" i="85"/>
  <c r="AO1684" i="85"/>
  <c r="AO1685" i="85"/>
  <c r="AO1686" i="85"/>
  <c r="AO1687" i="85"/>
  <c r="AO1688" i="85"/>
  <c r="AO1689" i="85"/>
  <c r="AO1690" i="85"/>
  <c r="AO1691" i="85"/>
  <c r="AO1692" i="85"/>
  <c r="AO1693" i="85"/>
  <c r="AO1694" i="85"/>
  <c r="AO1695" i="85"/>
  <c r="AO1696" i="85"/>
  <c r="AO1697" i="85"/>
  <c r="AO1698" i="85"/>
  <c r="AO1699" i="85"/>
  <c r="AO1700" i="85"/>
  <c r="AO1701" i="85"/>
  <c r="AO1702" i="85"/>
  <c r="AO1703" i="85"/>
  <c r="AO1704" i="85"/>
  <c r="AO1705" i="85"/>
  <c r="AO1706" i="85"/>
  <c r="AO1707" i="85"/>
  <c r="AO1708" i="85"/>
  <c r="AO1709" i="85"/>
  <c r="AO1710" i="85"/>
  <c r="AO1711" i="85"/>
  <c r="AO1712" i="85"/>
  <c r="AO1713" i="85"/>
  <c r="AO1714" i="85"/>
  <c r="AO1715" i="85"/>
  <c r="AO1716" i="85"/>
  <c r="AO1717" i="85"/>
  <c r="AO1718" i="85"/>
  <c r="AO1719" i="85"/>
  <c r="AO1720" i="85"/>
  <c r="AO1721" i="85"/>
  <c r="AO1722" i="85"/>
  <c r="AO1723" i="85"/>
  <c r="AO1724" i="85"/>
  <c r="AO1725" i="85"/>
  <c r="AO1726" i="85"/>
  <c r="AO1727" i="85"/>
  <c r="AO1728" i="85"/>
  <c r="AO1729" i="85"/>
  <c r="AO1730" i="85"/>
  <c r="AO1731" i="85"/>
  <c r="AO1732" i="85"/>
  <c r="AO1733" i="85"/>
  <c r="AO1734" i="85"/>
  <c r="AO1735" i="85"/>
  <c r="AO1736" i="85"/>
  <c r="AO1737" i="85"/>
  <c r="AO1738" i="85"/>
  <c r="AO1739" i="85"/>
  <c r="AO1740" i="85"/>
  <c r="AO1741" i="85"/>
  <c r="AO1742" i="85"/>
  <c r="AO1743" i="85"/>
  <c r="AO1744" i="85"/>
  <c r="AO1745" i="85"/>
  <c r="AO1746" i="85"/>
  <c r="AO1747" i="85"/>
  <c r="AO1748" i="85"/>
  <c r="AO1749" i="85"/>
  <c r="AO1750" i="85"/>
  <c r="AO1751" i="85"/>
  <c r="AO1752" i="85"/>
  <c r="AO1753" i="85"/>
  <c r="AO1754" i="85"/>
  <c r="AO1755" i="85"/>
  <c r="AO1756" i="85"/>
  <c r="AO1757" i="85"/>
  <c r="AO1758" i="85"/>
  <c r="AO1759" i="85"/>
  <c r="AO1760" i="85"/>
  <c r="AO1761" i="85"/>
  <c r="AO1762" i="85"/>
  <c r="AO1763" i="85"/>
  <c r="AO1764" i="85"/>
  <c r="AO1765" i="85"/>
  <c r="AO1766" i="85"/>
  <c r="AO1767" i="85"/>
  <c r="AO1768" i="85"/>
  <c r="AO1769" i="85"/>
  <c r="AO1770" i="85"/>
  <c r="AO1771" i="85"/>
  <c r="AO1772" i="85"/>
  <c r="AO1773" i="85"/>
  <c r="AO1774" i="85"/>
  <c r="AO1775" i="85"/>
  <c r="AO1776" i="85"/>
  <c r="AO1777" i="85"/>
  <c r="AO1778" i="85"/>
  <c r="AO1779" i="85"/>
  <c r="AO1780" i="85"/>
  <c r="AO1781" i="85"/>
  <c r="AO1782" i="85"/>
  <c r="AO1783" i="85"/>
  <c r="AO1784" i="85"/>
  <c r="AO1785" i="85"/>
  <c r="AO1786" i="85"/>
  <c r="AO1787" i="85"/>
  <c r="AO1788" i="85"/>
  <c r="AO1789" i="85"/>
  <c r="AO1790" i="85"/>
  <c r="AO1791" i="85"/>
  <c r="AO1792" i="85"/>
  <c r="AO1793" i="85"/>
  <c r="AO1794" i="85"/>
  <c r="AO1795" i="85"/>
  <c r="AO1796" i="85"/>
  <c r="AO1797" i="85"/>
  <c r="AO1798" i="85"/>
  <c r="AO1799" i="85"/>
  <c r="AO1800" i="85"/>
  <c r="AO1801" i="85"/>
  <c r="AO1802" i="85"/>
  <c r="AO1803" i="85"/>
  <c r="AO1804" i="85"/>
  <c r="AO1805" i="85"/>
  <c r="AO1806" i="85"/>
  <c r="AO1807" i="85"/>
  <c r="AO1808" i="85"/>
  <c r="AO1809" i="85"/>
  <c r="AO1810" i="85"/>
  <c r="AO1811" i="85"/>
  <c r="AO1812" i="85"/>
  <c r="AO1813" i="85"/>
  <c r="AO1814" i="85"/>
  <c r="AO1815" i="85"/>
  <c r="AO1816" i="85"/>
  <c r="AO1817" i="85"/>
  <c r="AO1818" i="85"/>
  <c r="AO1819" i="85"/>
  <c r="AO1820" i="85"/>
  <c r="AO1821" i="85"/>
  <c r="AO1822" i="85"/>
  <c r="AO1823" i="85"/>
  <c r="AO1824" i="85"/>
  <c r="AO1825" i="85"/>
  <c r="AO1826" i="85"/>
  <c r="AO1827" i="85"/>
  <c r="AO1828" i="85"/>
  <c r="AO1829" i="85"/>
  <c r="AO1830" i="85"/>
  <c r="AO1831" i="85"/>
  <c r="AO1832" i="85"/>
  <c r="AO1833" i="85"/>
  <c r="AO1834" i="85"/>
  <c r="AO1835" i="85"/>
  <c r="AO1836" i="85"/>
  <c r="AO1837" i="85"/>
  <c r="AO1838" i="85"/>
  <c r="AO1839" i="85"/>
  <c r="AO1840" i="85"/>
  <c r="AO1841" i="85"/>
  <c r="AO1842" i="85"/>
  <c r="AO1843" i="85"/>
  <c r="AO1844" i="85"/>
  <c r="AO1845" i="85"/>
  <c r="AO1846" i="85"/>
  <c r="AO1847" i="85"/>
  <c r="AO1848" i="85"/>
  <c r="AO1849" i="85"/>
  <c r="AO1850" i="85"/>
  <c r="AO1851" i="85"/>
  <c r="AO1852" i="85"/>
  <c r="AO1853" i="85"/>
  <c r="AO1854" i="85"/>
  <c r="AO1855" i="85"/>
  <c r="AO1856" i="85"/>
  <c r="AO1857" i="85"/>
  <c r="AO1858" i="85"/>
  <c r="AO1859" i="85"/>
  <c r="AO1860" i="85"/>
  <c r="AO1861" i="85"/>
  <c r="AO1862" i="85"/>
  <c r="AO1863" i="85"/>
  <c r="AO1864" i="85"/>
  <c r="AO1865" i="85"/>
  <c r="AO1866" i="85"/>
  <c r="AO11" i="85"/>
  <c r="AN11" i="85"/>
  <c r="AN12" i="85"/>
  <c r="AN13" i="85"/>
  <c r="AN14" i="85"/>
  <c r="AN15" i="85"/>
  <c r="AN16" i="85"/>
  <c r="AN17" i="85"/>
  <c r="AN18" i="85"/>
  <c r="AN19" i="85"/>
  <c r="AN20" i="85"/>
  <c r="AN21" i="85"/>
  <c r="AN22" i="85"/>
  <c r="AN23" i="85"/>
  <c r="AN24" i="85"/>
  <c r="AN25" i="85"/>
  <c r="AN26" i="85"/>
  <c r="AN27" i="85"/>
  <c r="AN28" i="85"/>
  <c r="AN29" i="85"/>
  <c r="AN30" i="85"/>
  <c r="AN31" i="85"/>
  <c r="AN32" i="85"/>
  <c r="AN33" i="85"/>
  <c r="AN34" i="85"/>
  <c r="AN35" i="85"/>
  <c r="AN36" i="85"/>
  <c r="AN37" i="85"/>
  <c r="AN38" i="85"/>
  <c r="AN39" i="85"/>
  <c r="AN40" i="85"/>
  <c r="AN41" i="85"/>
  <c r="AN42" i="85"/>
  <c r="AN43" i="85"/>
  <c r="AN44" i="85"/>
  <c r="AN45" i="85"/>
  <c r="AN46" i="85"/>
  <c r="AN47" i="85"/>
  <c r="AN48" i="85"/>
  <c r="AN49" i="85"/>
  <c r="AN50" i="85"/>
  <c r="AN51" i="85"/>
  <c r="AN52" i="85"/>
  <c r="AN53" i="85"/>
  <c r="AN54" i="85"/>
  <c r="AN55" i="85"/>
  <c r="AN56" i="85"/>
  <c r="AN57" i="85"/>
  <c r="AN58" i="85"/>
  <c r="AN59" i="85"/>
  <c r="AN60" i="85"/>
  <c r="AN61" i="85"/>
  <c r="AN62" i="85"/>
  <c r="AN63" i="85"/>
  <c r="AN64" i="85"/>
  <c r="AN65" i="85"/>
  <c r="AN66" i="85"/>
  <c r="AN67" i="85"/>
  <c r="AN68" i="85"/>
  <c r="AN69" i="85"/>
  <c r="AN70" i="85"/>
  <c r="AN71" i="85"/>
  <c r="AN72" i="85"/>
  <c r="AN73" i="85"/>
  <c r="AN74" i="85"/>
  <c r="AN75" i="85"/>
  <c r="AN76" i="85"/>
  <c r="AN77" i="85"/>
  <c r="AN78" i="85"/>
  <c r="AN79" i="85"/>
  <c r="AN80" i="85"/>
  <c r="AN81" i="85"/>
  <c r="AN82" i="85"/>
  <c r="AN83" i="85"/>
  <c r="AN84" i="85"/>
  <c r="AN85" i="85"/>
  <c r="AN86" i="85"/>
  <c r="AN87" i="85"/>
  <c r="AN88" i="85"/>
  <c r="AN89" i="85"/>
  <c r="AN90" i="85"/>
  <c r="AN91" i="85"/>
  <c r="AN92" i="85"/>
  <c r="AN93" i="85"/>
  <c r="AN94" i="85"/>
  <c r="AN95" i="85"/>
  <c r="AN96" i="85"/>
  <c r="AN97" i="85"/>
  <c r="AN98" i="85"/>
  <c r="AN99" i="85"/>
  <c r="AN100" i="85"/>
  <c r="AN101" i="85"/>
  <c r="AN102" i="85"/>
  <c r="AN103" i="85"/>
  <c r="AN104" i="85"/>
  <c r="AN105" i="85"/>
  <c r="AN106" i="85"/>
  <c r="AN107" i="85"/>
  <c r="AN108" i="85"/>
  <c r="AN109" i="85"/>
  <c r="AN110" i="85"/>
  <c r="AN111" i="85"/>
  <c r="AN112" i="85"/>
  <c r="AN113" i="85"/>
  <c r="AN114" i="85"/>
  <c r="AN115" i="85"/>
  <c r="AN116" i="85"/>
  <c r="AN117" i="85"/>
  <c r="AN118" i="85"/>
  <c r="AN119" i="85"/>
  <c r="AN120" i="85"/>
  <c r="AN121" i="85"/>
  <c r="AN122" i="85"/>
  <c r="AN123" i="85"/>
  <c r="AN124" i="85"/>
  <c r="AN125" i="85"/>
  <c r="AN126" i="85"/>
  <c r="AN127" i="85"/>
  <c r="AN128" i="85"/>
  <c r="AN129" i="85"/>
  <c r="AN130" i="85"/>
  <c r="AN131" i="85"/>
  <c r="AN132" i="85"/>
  <c r="AN133" i="85"/>
  <c r="AN134" i="85"/>
  <c r="AN135" i="85"/>
  <c r="AN136" i="85"/>
  <c r="AN137" i="85"/>
  <c r="AN138" i="85"/>
  <c r="AN139" i="85"/>
  <c r="AN140" i="85"/>
  <c r="AN141" i="85"/>
  <c r="AN142" i="85"/>
  <c r="AN143" i="85"/>
  <c r="AN144" i="85"/>
  <c r="AN145" i="85"/>
  <c r="AN146" i="85"/>
  <c r="AN147" i="85"/>
  <c r="AN148" i="85"/>
  <c r="AN149" i="85"/>
  <c r="AN150" i="85"/>
  <c r="AN151" i="85"/>
  <c r="AN152" i="85"/>
  <c r="AN153" i="85"/>
  <c r="AN154" i="85"/>
  <c r="AN155" i="85"/>
  <c r="AN156" i="85"/>
  <c r="AN157" i="85"/>
  <c r="AN158" i="85"/>
  <c r="AN159" i="85"/>
  <c r="AN160" i="85"/>
  <c r="AN181" i="85"/>
  <c r="AN182" i="85"/>
  <c r="AN183" i="85"/>
  <c r="AN184" i="85"/>
  <c r="AN185" i="85"/>
  <c r="AN186" i="85"/>
  <c r="AN187" i="85"/>
  <c r="AN188" i="85"/>
  <c r="AN189" i="85"/>
  <c r="AN190" i="85"/>
  <c r="AN191" i="85"/>
  <c r="AN192" i="85"/>
  <c r="AN193" i="85"/>
  <c r="AN194" i="85"/>
  <c r="AN195" i="85"/>
  <c r="AN196" i="85"/>
  <c r="AN197" i="85"/>
  <c r="AN198" i="85"/>
  <c r="AN199" i="85"/>
  <c r="AN200" i="85"/>
  <c r="AN201" i="85"/>
  <c r="AN202" i="85"/>
  <c r="AN203" i="85"/>
  <c r="AN204" i="85"/>
  <c r="AN205" i="85"/>
  <c r="AN206" i="85"/>
  <c r="AN207" i="85"/>
  <c r="AN208" i="85"/>
  <c r="AN209" i="85"/>
  <c r="AN210" i="85"/>
  <c r="AN211" i="85"/>
  <c r="AN212" i="85"/>
  <c r="AN213" i="85"/>
  <c r="AN214" i="85"/>
  <c r="AN215" i="85"/>
  <c r="AN216" i="85"/>
  <c r="AN217" i="85"/>
  <c r="AN218" i="85"/>
  <c r="AN219" i="85"/>
  <c r="AN220" i="85"/>
  <c r="AN221" i="85"/>
  <c r="AN222" i="85"/>
  <c r="AN223" i="85"/>
  <c r="AN224" i="85"/>
  <c r="AN225" i="85"/>
  <c r="AN226" i="85"/>
  <c r="AN227" i="85"/>
  <c r="AN228" i="85"/>
  <c r="AN229" i="85"/>
  <c r="AN230" i="85"/>
  <c r="AN231" i="85"/>
  <c r="AN232" i="85"/>
  <c r="AN233" i="85"/>
  <c r="AN234" i="85"/>
  <c r="AN235" i="85"/>
  <c r="AN236" i="85"/>
  <c r="AN237" i="85"/>
  <c r="AN238" i="85"/>
  <c r="AN239" i="85"/>
  <c r="AN240" i="85"/>
  <c r="AN241" i="85"/>
  <c r="AN242" i="85"/>
  <c r="AN243" i="85"/>
  <c r="AN244" i="85"/>
  <c r="AN245" i="85"/>
  <c r="AN246" i="85"/>
  <c r="AN247" i="85"/>
  <c r="AN248" i="85"/>
  <c r="AN249" i="85"/>
  <c r="AN250" i="85"/>
  <c r="AN251" i="85"/>
  <c r="AN252" i="85"/>
  <c r="AN253" i="85"/>
  <c r="AN254" i="85"/>
  <c r="AN255" i="85"/>
  <c r="AN256" i="85"/>
  <c r="AN257" i="85"/>
  <c r="AN258" i="85"/>
  <c r="AN259" i="85"/>
  <c r="AN260" i="85"/>
  <c r="AN261" i="85"/>
  <c r="AN262" i="85"/>
  <c r="AN263" i="85"/>
  <c r="AN264" i="85"/>
  <c r="AN265" i="85"/>
  <c r="AN266" i="85"/>
  <c r="AN267" i="85"/>
  <c r="AN268" i="85"/>
  <c r="AN269" i="85"/>
  <c r="AN270" i="85"/>
  <c r="AN271" i="85"/>
  <c r="AN272" i="85"/>
  <c r="AN273" i="85"/>
  <c r="AN274" i="85"/>
  <c r="AN275" i="85"/>
  <c r="AN276" i="85"/>
  <c r="AN277" i="85"/>
  <c r="AN278" i="85"/>
  <c r="AN279" i="85"/>
  <c r="AN280" i="85"/>
  <c r="AN281" i="85"/>
  <c r="AN282" i="85"/>
  <c r="AN283" i="85"/>
  <c r="AN284" i="85"/>
  <c r="AN285" i="85"/>
  <c r="AN286" i="85"/>
  <c r="AN287" i="85"/>
  <c r="AN288" i="85"/>
  <c r="AN289" i="85"/>
  <c r="AN290" i="85"/>
  <c r="AN291" i="85"/>
  <c r="AN292" i="85"/>
  <c r="AN293" i="85"/>
  <c r="AN294" i="85"/>
  <c r="AN295" i="85"/>
  <c r="AN296" i="85"/>
  <c r="AN297" i="85"/>
  <c r="AN298" i="85"/>
  <c r="AN299" i="85"/>
  <c r="AN300" i="85"/>
  <c r="AN301" i="85"/>
  <c r="AN302" i="85"/>
  <c r="AN303" i="85"/>
  <c r="AN304" i="85"/>
  <c r="AN305" i="85"/>
  <c r="AN306" i="85"/>
  <c r="AN307" i="85"/>
  <c r="AN308" i="85"/>
  <c r="AN309" i="85"/>
  <c r="AN310" i="85"/>
  <c r="AN311" i="85"/>
  <c r="AN312" i="85"/>
  <c r="AN313" i="85"/>
  <c r="AN314" i="85"/>
  <c r="AN315" i="85"/>
  <c r="AN316" i="85"/>
  <c r="AN317" i="85"/>
  <c r="AN318" i="85"/>
  <c r="AN319" i="85"/>
  <c r="AN320" i="85"/>
  <c r="AN321" i="85"/>
  <c r="AN322" i="85"/>
  <c r="AN323" i="85"/>
  <c r="AN324" i="85"/>
  <c r="AN325" i="85"/>
  <c r="AN326" i="85"/>
  <c r="AN327" i="85"/>
  <c r="AN328" i="85"/>
  <c r="AN329" i="85"/>
  <c r="AN330" i="85"/>
  <c r="AN331" i="85"/>
  <c r="AN332" i="85"/>
  <c r="AN333" i="85"/>
  <c r="AN334" i="85"/>
  <c r="AN335" i="85"/>
  <c r="AN336" i="85"/>
  <c r="AN337" i="85"/>
  <c r="AN338" i="85"/>
  <c r="AN339" i="85"/>
  <c r="AN340" i="85"/>
  <c r="AN341" i="85"/>
  <c r="AN342" i="85"/>
  <c r="AN343" i="85"/>
  <c r="AN344" i="85"/>
  <c r="AN345" i="85"/>
  <c r="AN346" i="85"/>
  <c r="AN347" i="85"/>
  <c r="AN348" i="85"/>
  <c r="AN349" i="85"/>
  <c r="AN350" i="85"/>
  <c r="AN351" i="85"/>
  <c r="AN352" i="85"/>
  <c r="AN353" i="85"/>
  <c r="AN354" i="85"/>
  <c r="AN355" i="85"/>
  <c r="AN356" i="85"/>
  <c r="AN357" i="85"/>
  <c r="AN358" i="85"/>
  <c r="AN359" i="85"/>
  <c r="AN360" i="85"/>
  <c r="AN361" i="85"/>
  <c r="AN362" i="85"/>
  <c r="AN363" i="85"/>
  <c r="AN364" i="85"/>
  <c r="AN365" i="85"/>
  <c r="AN366" i="85"/>
  <c r="AN367" i="85"/>
  <c r="AN368" i="85"/>
  <c r="AN369" i="85"/>
  <c r="AN370" i="85"/>
  <c r="AN371" i="85"/>
  <c r="AN372" i="85"/>
  <c r="AN373" i="85"/>
  <c r="AN374" i="85"/>
  <c r="AN375" i="85"/>
  <c r="AN376" i="85"/>
  <c r="AN377" i="85"/>
  <c r="AN378" i="85"/>
  <c r="AN379" i="85"/>
  <c r="AN380" i="85"/>
  <c r="AN381" i="85"/>
  <c r="AN382" i="85"/>
  <c r="AN383" i="85"/>
  <c r="AN384" i="85"/>
  <c r="AN385" i="85"/>
  <c r="AN386" i="85"/>
  <c r="AN387" i="85"/>
  <c r="AN388" i="85"/>
  <c r="AN389" i="85"/>
  <c r="AN390" i="85"/>
  <c r="AN391" i="85"/>
  <c r="AN392" i="85"/>
  <c r="AN393" i="85"/>
  <c r="AN394" i="85"/>
  <c r="AN395" i="85"/>
  <c r="AN396" i="85"/>
  <c r="AN397" i="85"/>
  <c r="AN398" i="85"/>
  <c r="AN399" i="85"/>
  <c r="AN400" i="85"/>
  <c r="AN401" i="85"/>
  <c r="AN402" i="85"/>
  <c r="AN403" i="85"/>
  <c r="AN404" i="85"/>
  <c r="AN405" i="85"/>
  <c r="AN406" i="85"/>
  <c r="AN407" i="85"/>
  <c r="AN408" i="85"/>
  <c r="AN409" i="85"/>
  <c r="AN410" i="85"/>
  <c r="AN411" i="85"/>
  <c r="AN412" i="85"/>
  <c r="AN413" i="85"/>
  <c r="AN414" i="85"/>
  <c r="AN415" i="85"/>
  <c r="AN416" i="85"/>
  <c r="AN417" i="85"/>
  <c r="AN418" i="85"/>
  <c r="AN419" i="85"/>
  <c r="AN420" i="85"/>
  <c r="AN421" i="85"/>
  <c r="AN422" i="85"/>
  <c r="AN423" i="85"/>
  <c r="AN424" i="85"/>
  <c r="AN425" i="85"/>
  <c r="AN426" i="85"/>
  <c r="AN427" i="85"/>
  <c r="AN428" i="85"/>
  <c r="AN429" i="85"/>
  <c r="AN430" i="85"/>
  <c r="AN431" i="85"/>
  <c r="AN432" i="85"/>
  <c r="AN433" i="85"/>
  <c r="AN434" i="85"/>
  <c r="AN435" i="85"/>
  <c r="AN436" i="85"/>
  <c r="AN437" i="85"/>
  <c r="AN438" i="85"/>
  <c r="AN439" i="85"/>
  <c r="AN440" i="85"/>
  <c r="AN441" i="85"/>
  <c r="AN442" i="85"/>
  <c r="AN443" i="85"/>
  <c r="AN444" i="85"/>
  <c r="AN445" i="85"/>
  <c r="AN446" i="85"/>
  <c r="AN447" i="85"/>
  <c r="AN448" i="85"/>
  <c r="AN449" i="85"/>
  <c r="AN450" i="85"/>
  <c r="AN451" i="85"/>
  <c r="AN452" i="85"/>
  <c r="AN453" i="85"/>
  <c r="AN454" i="85"/>
  <c r="AN455" i="85"/>
  <c r="AN456" i="85"/>
  <c r="AN457" i="85"/>
  <c r="AN458" i="85"/>
  <c r="AN459" i="85"/>
  <c r="AN460" i="85"/>
  <c r="AN461" i="85"/>
  <c r="AN462" i="85"/>
  <c r="AN463" i="85"/>
  <c r="AN464" i="85"/>
  <c r="AN465" i="85"/>
  <c r="AN466" i="85"/>
  <c r="AN467" i="85"/>
  <c r="AN468" i="85"/>
  <c r="AN469" i="85"/>
  <c r="AN470" i="85"/>
  <c r="AN471" i="85"/>
  <c r="AN472" i="85"/>
  <c r="AN473" i="85"/>
  <c r="AN474" i="85"/>
  <c r="AN475" i="85"/>
  <c r="AN476" i="85"/>
  <c r="AN477" i="85"/>
  <c r="AN478" i="85"/>
  <c r="AN479" i="85"/>
  <c r="AN480" i="85"/>
  <c r="AN481" i="85"/>
  <c r="AN482" i="85"/>
  <c r="AN483" i="85"/>
  <c r="AN484" i="85"/>
  <c r="AN485" i="85"/>
  <c r="AN486" i="85"/>
  <c r="AN487" i="85"/>
  <c r="AN488" i="85"/>
  <c r="AN489" i="85"/>
  <c r="AN490" i="85"/>
  <c r="AN491" i="85"/>
  <c r="AN492" i="85"/>
  <c r="AN493" i="85"/>
  <c r="AN494" i="85"/>
  <c r="AN495" i="85"/>
  <c r="AN496" i="85"/>
  <c r="AN497" i="85"/>
  <c r="AN498" i="85"/>
  <c r="AN499" i="85"/>
  <c r="AN500" i="85"/>
  <c r="AN501" i="85"/>
  <c r="AN502" i="85"/>
  <c r="AN503" i="85"/>
  <c r="AN504" i="85"/>
  <c r="AN505" i="85"/>
  <c r="AN506" i="85"/>
  <c r="AN507" i="85"/>
  <c r="AN508" i="85"/>
  <c r="AN509" i="85"/>
  <c r="AN510" i="85"/>
  <c r="AN511" i="85"/>
  <c r="AN512" i="85"/>
  <c r="AN513" i="85"/>
  <c r="AN514" i="85"/>
  <c r="AN515" i="85"/>
  <c r="AN516" i="85"/>
  <c r="AN517" i="85"/>
  <c r="AN518" i="85"/>
  <c r="AN519" i="85"/>
  <c r="AN520" i="85"/>
  <c r="AN521" i="85"/>
  <c r="AN522" i="85"/>
  <c r="AN523" i="85"/>
  <c r="AN524" i="85"/>
  <c r="AN525" i="85"/>
  <c r="AN526" i="85"/>
  <c r="AN527" i="85"/>
  <c r="AN528" i="85"/>
  <c r="AN529" i="85"/>
  <c r="AN530" i="85"/>
  <c r="AN531" i="85"/>
  <c r="AN532" i="85"/>
  <c r="AN533" i="85"/>
  <c r="AN534" i="85"/>
  <c r="AN535" i="85"/>
  <c r="AN536" i="85"/>
  <c r="AN537" i="85"/>
  <c r="AN538" i="85"/>
  <c r="AN539" i="85"/>
  <c r="AN540" i="85"/>
  <c r="AN541" i="85"/>
  <c r="AN542" i="85"/>
  <c r="AN543" i="85"/>
  <c r="AN544" i="85"/>
  <c r="AN545" i="85"/>
  <c r="AN546" i="85"/>
  <c r="AN547" i="85"/>
  <c r="AN548" i="85"/>
  <c r="AN549" i="85"/>
  <c r="AN550" i="85"/>
  <c r="AN551" i="85"/>
  <c r="AN552" i="85"/>
  <c r="AN553" i="85"/>
  <c r="AN554" i="85"/>
  <c r="AN555" i="85"/>
  <c r="AN556" i="85"/>
  <c r="AN557" i="85"/>
  <c r="AN558" i="85"/>
  <c r="AN559" i="85"/>
  <c r="AN560" i="85"/>
  <c r="AN561" i="85"/>
  <c r="AN562" i="85"/>
  <c r="AN563" i="85"/>
  <c r="AN564" i="85"/>
  <c r="AN565" i="85"/>
  <c r="AN566" i="85"/>
  <c r="AN567" i="85"/>
  <c r="AN568" i="85"/>
  <c r="AN569" i="85"/>
  <c r="AN570" i="85"/>
  <c r="AN571" i="85"/>
  <c r="AN572" i="85"/>
  <c r="AN573" i="85"/>
  <c r="AN574" i="85"/>
  <c r="AN575" i="85"/>
  <c r="AN576" i="85"/>
  <c r="AN577" i="85"/>
  <c r="AN578" i="85"/>
  <c r="AN579" i="85"/>
  <c r="AN580" i="85"/>
  <c r="AN581" i="85"/>
  <c r="AN582" i="85"/>
  <c r="AN583" i="85"/>
  <c r="AN584" i="85"/>
  <c r="AN585" i="85"/>
  <c r="AN586" i="85"/>
  <c r="AN587" i="85"/>
  <c r="AN588" i="85"/>
  <c r="AN589" i="85"/>
  <c r="AN590" i="85"/>
  <c r="AN591" i="85"/>
  <c r="AN592" i="85"/>
  <c r="AN593" i="85"/>
  <c r="AN594" i="85"/>
  <c r="AN595" i="85"/>
  <c r="AN596" i="85"/>
  <c r="AN597" i="85"/>
  <c r="AN598" i="85"/>
  <c r="AN599" i="85"/>
  <c r="AN600" i="85"/>
  <c r="AN601" i="85"/>
  <c r="AN602" i="85"/>
  <c r="AN603" i="85"/>
  <c r="AN604" i="85"/>
  <c r="AN605" i="85"/>
  <c r="AN606" i="85"/>
  <c r="AN607" i="85"/>
  <c r="AN608" i="85"/>
  <c r="AN609" i="85"/>
  <c r="AN610" i="85"/>
  <c r="AN611" i="85"/>
  <c r="AN612" i="85"/>
  <c r="AN613" i="85"/>
  <c r="AN614" i="85"/>
  <c r="AN615" i="85"/>
  <c r="AN616" i="85"/>
  <c r="AN617" i="85"/>
  <c r="AN618" i="85"/>
  <c r="AN619" i="85"/>
  <c r="AN620" i="85"/>
  <c r="AN621" i="85"/>
  <c r="AN622" i="85"/>
  <c r="AN623" i="85"/>
  <c r="AN624" i="85"/>
  <c r="AN625" i="85"/>
  <c r="AN626" i="85"/>
  <c r="AN627" i="85"/>
  <c r="AN628" i="85"/>
  <c r="AN629" i="85"/>
  <c r="AN630" i="85"/>
  <c r="AN631" i="85"/>
  <c r="AN632" i="85"/>
  <c r="AN633" i="85"/>
  <c r="AN634" i="85"/>
  <c r="AN635" i="85"/>
  <c r="AN636" i="85"/>
  <c r="AN637" i="85"/>
  <c r="AN638" i="85"/>
  <c r="AN639" i="85"/>
  <c r="AN640" i="85"/>
  <c r="AN641" i="85"/>
  <c r="AN642" i="85"/>
  <c r="AN643" i="85"/>
  <c r="AN644" i="85"/>
  <c r="AN645" i="85"/>
  <c r="AN646" i="85"/>
  <c r="AN647" i="85"/>
  <c r="AN648" i="85"/>
  <c r="AN649" i="85"/>
  <c r="AN650" i="85"/>
  <c r="AN651" i="85"/>
  <c r="AN652" i="85"/>
  <c r="AN653" i="85"/>
  <c r="AN654" i="85"/>
  <c r="AN655" i="85"/>
  <c r="AN656" i="85"/>
  <c r="AN657" i="85"/>
  <c r="AN658" i="85"/>
  <c r="AN659" i="85"/>
  <c r="AN660" i="85"/>
  <c r="AN661" i="85"/>
  <c r="AN662" i="85"/>
  <c r="AN663" i="85"/>
  <c r="AN664" i="85"/>
  <c r="AN665" i="85"/>
  <c r="AN666" i="85"/>
  <c r="AN667" i="85"/>
  <c r="AN668" i="85"/>
  <c r="AN669" i="85"/>
  <c r="AN670" i="85"/>
  <c r="AN671" i="85"/>
  <c r="AN672" i="85"/>
  <c r="AN673" i="85"/>
  <c r="AN674" i="85"/>
  <c r="AN675" i="85"/>
  <c r="AN676" i="85"/>
  <c r="AN677" i="85"/>
  <c r="AN678" i="85"/>
  <c r="AN679" i="85"/>
  <c r="AN680" i="85"/>
  <c r="AN681" i="85"/>
  <c r="AN682" i="85"/>
  <c r="AN683" i="85"/>
  <c r="AN684" i="85"/>
  <c r="AN685" i="85"/>
  <c r="AN686" i="85"/>
  <c r="AN687" i="85"/>
  <c r="AN688" i="85"/>
  <c r="AN689" i="85"/>
  <c r="AN690" i="85"/>
  <c r="AN691" i="85"/>
  <c r="AN692" i="85"/>
  <c r="AN693" i="85"/>
  <c r="AN694" i="85"/>
  <c r="AN695" i="85"/>
  <c r="AN696" i="85"/>
  <c r="AN697" i="85"/>
  <c r="AN698" i="85"/>
  <c r="AN699" i="85"/>
  <c r="AN700" i="85"/>
  <c r="AN701" i="85"/>
  <c r="AN702" i="85"/>
  <c r="AN703" i="85"/>
  <c r="AN704" i="85"/>
  <c r="AN705" i="85"/>
  <c r="AN706" i="85"/>
  <c r="AN707" i="85"/>
  <c r="AN708" i="85"/>
  <c r="AN709" i="85"/>
  <c r="AN710" i="85"/>
  <c r="AN711" i="85"/>
  <c r="AN712" i="85"/>
  <c r="AN713" i="85"/>
  <c r="AN714" i="85"/>
  <c r="AN715" i="85"/>
  <c r="AN716" i="85"/>
  <c r="AN717" i="85"/>
  <c r="AN718" i="85"/>
  <c r="AN719" i="85"/>
  <c r="AN720" i="85"/>
  <c r="AN721" i="85"/>
  <c r="AN722" i="85"/>
  <c r="AN723" i="85"/>
  <c r="AN724" i="85"/>
  <c r="AN725" i="85"/>
  <c r="AN726" i="85"/>
  <c r="AN727" i="85"/>
  <c r="AN728" i="85"/>
  <c r="AN729" i="85"/>
  <c r="AN730" i="85"/>
  <c r="AN731" i="85"/>
  <c r="AN732" i="85"/>
  <c r="AN733" i="85"/>
  <c r="AN734" i="85"/>
  <c r="AN735" i="85"/>
  <c r="AN736" i="85"/>
  <c r="AN737" i="85"/>
  <c r="AN738" i="85"/>
  <c r="AN739" i="85"/>
  <c r="AN740" i="85"/>
  <c r="AN741" i="85"/>
  <c r="AN742" i="85"/>
  <c r="AN743" i="85"/>
  <c r="AN744" i="85"/>
  <c r="AN745" i="85"/>
  <c r="AN746" i="85"/>
  <c r="AN747" i="85"/>
  <c r="AN748" i="85"/>
  <c r="AN749" i="85"/>
  <c r="AN750" i="85"/>
  <c r="AN751" i="85"/>
  <c r="AN752" i="85"/>
  <c r="AN753" i="85"/>
  <c r="AN754" i="85"/>
  <c r="AN755" i="85"/>
  <c r="AN756" i="85"/>
  <c r="AN757" i="85"/>
  <c r="AN758" i="85"/>
  <c r="AN759" i="85"/>
  <c r="AN760" i="85"/>
  <c r="AN761" i="85"/>
  <c r="AN762" i="85"/>
  <c r="AN763" i="85"/>
  <c r="AN764" i="85"/>
  <c r="AN765" i="85"/>
  <c r="AN766" i="85"/>
  <c r="AN767" i="85"/>
  <c r="AN768" i="85"/>
  <c r="AN769" i="85"/>
  <c r="AN770" i="85"/>
  <c r="AN771" i="85"/>
  <c r="AN772" i="85"/>
  <c r="AN773" i="85"/>
  <c r="AN774" i="85"/>
  <c r="AN775" i="85"/>
  <c r="AN776" i="85"/>
  <c r="AN777" i="85"/>
  <c r="AN778" i="85"/>
  <c r="AN779" i="85"/>
  <c r="AN780" i="85"/>
  <c r="AN781" i="85"/>
  <c r="AN782" i="85"/>
  <c r="AN783" i="85"/>
  <c r="AN784" i="85"/>
  <c r="AN785" i="85"/>
  <c r="AN786" i="85"/>
  <c r="AN787" i="85"/>
  <c r="AN788" i="85"/>
  <c r="AN789" i="85"/>
  <c r="AN790" i="85"/>
  <c r="AN791" i="85"/>
  <c r="AN792" i="85"/>
  <c r="AN793" i="85"/>
  <c r="AN794" i="85"/>
  <c r="AN795" i="85"/>
  <c r="AN796" i="85"/>
  <c r="AN797" i="85"/>
  <c r="AN798" i="85"/>
  <c r="AN799" i="85"/>
  <c r="AN800" i="85"/>
  <c r="AN801" i="85"/>
  <c r="AN802" i="85"/>
  <c r="AN803" i="85"/>
  <c r="AN804" i="85"/>
  <c r="AN805" i="85"/>
  <c r="AN806" i="85"/>
  <c r="AN807" i="85"/>
  <c r="AN808" i="85"/>
  <c r="AN809" i="85"/>
  <c r="AN810" i="85"/>
  <c r="AN811" i="85"/>
  <c r="AN812" i="85"/>
  <c r="AN813" i="85"/>
  <c r="AN814" i="85"/>
  <c r="AN815" i="85"/>
  <c r="AN816" i="85"/>
  <c r="AN817" i="85"/>
  <c r="AN818" i="85"/>
  <c r="AN819" i="85"/>
  <c r="AN820" i="85"/>
  <c r="AN821" i="85"/>
  <c r="AN822" i="85"/>
  <c r="AN823" i="85"/>
  <c r="AN824" i="85"/>
  <c r="AN825" i="85"/>
  <c r="AN826" i="85"/>
  <c r="AN827" i="85"/>
  <c r="AN828" i="85"/>
  <c r="AN829" i="85"/>
  <c r="AN830" i="85"/>
  <c r="AN831" i="85"/>
  <c r="AN832" i="85"/>
  <c r="AN833" i="85"/>
  <c r="AN834" i="85"/>
  <c r="AN835" i="85"/>
  <c r="AN836" i="85"/>
  <c r="AN837" i="85"/>
  <c r="AN838" i="85"/>
  <c r="AN839" i="85"/>
  <c r="AN840" i="85"/>
  <c r="AN841" i="85"/>
  <c r="AN842" i="85"/>
  <c r="AN843" i="85"/>
  <c r="AN844" i="85"/>
  <c r="AN845" i="85"/>
  <c r="AN846" i="85"/>
  <c r="AN847" i="85"/>
  <c r="AN848" i="85"/>
  <c r="AN849" i="85"/>
  <c r="AN850" i="85"/>
  <c r="AN851" i="85"/>
  <c r="AN852" i="85"/>
  <c r="AN853" i="85"/>
  <c r="AN854" i="85"/>
  <c r="AN855" i="85"/>
  <c r="AN856" i="85"/>
  <c r="AN857" i="85"/>
  <c r="AN858" i="85"/>
  <c r="AN859" i="85"/>
  <c r="AN860" i="85"/>
  <c r="AN861" i="85"/>
  <c r="AN862" i="85"/>
  <c r="AN863" i="85"/>
  <c r="AN864" i="85"/>
  <c r="AN865" i="85"/>
  <c r="AN866" i="85"/>
  <c r="AN867" i="85"/>
  <c r="AN868" i="85"/>
  <c r="AN869" i="85"/>
  <c r="AN870" i="85"/>
  <c r="AN871" i="85"/>
  <c r="AN161" i="85"/>
  <c r="AN162" i="85"/>
  <c r="AN163" i="85"/>
  <c r="AN164" i="85"/>
  <c r="AN165" i="85"/>
  <c r="AN166" i="85"/>
  <c r="AN167" i="85"/>
  <c r="AN168" i="85"/>
  <c r="AN169" i="85"/>
  <c r="AN170" i="85"/>
  <c r="AN171" i="85"/>
  <c r="AN172" i="85"/>
  <c r="AN173" i="85"/>
  <c r="AN174" i="85"/>
  <c r="AN175" i="85"/>
  <c r="AN176" i="85"/>
  <c r="AN177" i="85"/>
  <c r="AN178" i="85"/>
  <c r="AN179" i="85"/>
  <c r="AN180" i="85"/>
  <c r="AN872" i="85"/>
  <c r="AN873" i="85"/>
  <c r="AN874" i="85"/>
  <c r="AN875" i="85"/>
  <c r="AN876" i="85"/>
  <c r="AN877" i="85"/>
  <c r="AN878" i="85"/>
  <c r="AN879" i="85"/>
  <c r="AN880" i="85"/>
  <c r="AN881" i="85"/>
  <c r="AN882" i="85"/>
  <c r="AN883" i="85"/>
  <c r="AN884" i="85"/>
  <c r="AN885" i="85"/>
  <c r="AN886" i="85"/>
  <c r="AN887" i="85"/>
  <c r="AN888" i="85"/>
  <c r="AN889" i="85"/>
  <c r="AN890" i="85"/>
  <c r="AN891" i="85"/>
  <c r="AN892" i="85"/>
  <c r="AN893" i="85"/>
  <c r="AN894" i="85"/>
  <c r="AN895" i="85"/>
  <c r="AN896" i="85"/>
  <c r="AN897" i="85"/>
  <c r="AN898" i="85"/>
  <c r="AN899" i="85"/>
  <c r="AN900" i="85"/>
  <c r="AN901" i="85"/>
  <c r="AN902" i="85"/>
  <c r="AN903" i="85"/>
  <c r="AN904" i="85"/>
  <c r="AN905" i="85"/>
  <c r="AN906" i="85"/>
  <c r="AN907" i="85"/>
  <c r="AN908" i="85"/>
  <c r="AN909" i="85"/>
  <c r="AN910" i="85"/>
  <c r="AN911" i="85"/>
  <c r="AN912" i="85"/>
  <c r="AN913" i="85"/>
  <c r="AN914" i="85"/>
  <c r="AN915" i="85"/>
  <c r="AN916" i="85"/>
  <c r="AN917" i="85"/>
  <c r="AN918" i="85"/>
  <c r="AN919" i="85"/>
  <c r="AN920" i="85"/>
  <c r="AN921" i="85"/>
  <c r="AN922" i="85"/>
  <c r="AN923" i="85"/>
  <c r="AN924" i="85"/>
  <c r="AN925" i="85"/>
  <c r="AN926" i="85"/>
  <c r="AN927" i="85"/>
  <c r="AN928" i="85"/>
  <c r="AN929" i="85"/>
  <c r="AN930" i="85"/>
  <c r="AN931" i="85"/>
  <c r="AN932" i="85"/>
  <c r="AN933" i="85"/>
  <c r="AN934" i="85"/>
  <c r="AN935" i="85"/>
  <c r="AN936" i="85"/>
  <c r="AN937" i="85"/>
  <c r="AN938" i="85"/>
  <c r="AN939" i="85"/>
  <c r="AN940" i="85"/>
  <c r="AN941" i="85"/>
  <c r="AN942" i="85"/>
  <c r="AN943" i="85"/>
  <c r="AN944" i="85"/>
  <c r="AN945" i="85"/>
  <c r="AN946" i="85"/>
  <c r="AN947" i="85"/>
  <c r="AN948" i="85"/>
  <c r="AN949" i="85"/>
  <c r="AN950" i="85"/>
  <c r="AN951" i="85"/>
  <c r="AN952" i="85"/>
  <c r="AN953" i="85"/>
  <c r="AN954" i="85"/>
  <c r="AN955" i="85"/>
  <c r="AN956" i="85"/>
  <c r="AN957" i="85"/>
  <c r="AN958" i="85"/>
  <c r="AN959" i="85"/>
  <c r="AN960" i="85"/>
  <c r="AN961" i="85"/>
  <c r="AN962" i="85"/>
  <c r="AN963" i="85"/>
  <c r="AN964" i="85"/>
  <c r="AN965" i="85"/>
  <c r="AN966" i="85"/>
  <c r="AN967" i="85"/>
  <c r="AN968" i="85"/>
  <c r="AN969" i="85"/>
  <c r="AN970" i="85"/>
  <c r="AN971" i="85"/>
  <c r="AN972" i="85"/>
  <c r="AN973" i="85"/>
  <c r="AN974" i="85"/>
  <c r="AN975" i="85"/>
  <c r="AN976" i="85"/>
  <c r="AN977" i="85"/>
  <c r="AN978" i="85"/>
  <c r="AN979" i="85"/>
  <c r="AN980" i="85"/>
  <c r="AN981" i="85"/>
  <c r="AN982" i="85"/>
  <c r="AN983" i="85"/>
  <c r="AN984" i="85"/>
  <c r="AN985" i="85"/>
  <c r="AN986" i="85"/>
  <c r="AN987" i="85"/>
  <c r="AN988" i="85"/>
  <c r="AN989" i="85"/>
  <c r="AN990" i="85"/>
  <c r="AN991" i="85"/>
  <c r="AN992" i="85"/>
  <c r="AN993" i="85"/>
  <c r="AN994" i="85"/>
  <c r="AN995" i="85"/>
  <c r="AN996" i="85"/>
  <c r="AN997" i="85"/>
  <c r="AN998" i="85"/>
  <c r="AN999" i="85"/>
  <c r="AN1000" i="85"/>
  <c r="AN1001" i="85"/>
  <c r="AN1002" i="85"/>
  <c r="AN1003" i="85"/>
  <c r="AN1004" i="85"/>
  <c r="AN1005" i="85"/>
  <c r="AN1006" i="85"/>
  <c r="AN1007" i="85"/>
  <c r="AN1008" i="85"/>
  <c r="AN1009" i="85"/>
  <c r="AN1010" i="85"/>
  <c r="AN1011" i="85"/>
  <c r="AN1012" i="85"/>
  <c r="AN1013" i="85"/>
  <c r="AN1014" i="85"/>
  <c r="AN1015" i="85"/>
  <c r="AN1016" i="85"/>
  <c r="AN1017" i="85"/>
  <c r="AN1018" i="85"/>
  <c r="AN1019" i="85"/>
  <c r="AN1020" i="85"/>
  <c r="AN1021" i="85"/>
  <c r="AN1022" i="85"/>
  <c r="AN1023" i="85"/>
  <c r="AN1024" i="85"/>
  <c r="AN1025" i="85"/>
  <c r="AN1026" i="85"/>
  <c r="AN1027" i="85"/>
  <c r="AN1028" i="85"/>
  <c r="AN1029" i="85"/>
  <c r="AN1030" i="85"/>
  <c r="AN1031" i="85"/>
  <c r="AN1032" i="85"/>
  <c r="AN1033" i="85"/>
  <c r="AN1034" i="85"/>
  <c r="AN1035" i="85"/>
  <c r="AN1036" i="85"/>
  <c r="AN1037" i="85"/>
  <c r="AN1038" i="85"/>
  <c r="AN1039" i="85"/>
  <c r="AN1040" i="85"/>
  <c r="AN1041" i="85"/>
  <c r="AN1042" i="85"/>
  <c r="AN1043" i="85"/>
  <c r="AN1044" i="85"/>
  <c r="AN1045" i="85"/>
  <c r="AN1046" i="85"/>
  <c r="AN1047" i="85"/>
  <c r="AN1048" i="85"/>
  <c r="AN1049" i="85"/>
  <c r="AN1050" i="85"/>
  <c r="AN1051" i="85"/>
  <c r="AN1052" i="85"/>
  <c r="AN1053" i="85"/>
  <c r="AN1054" i="85"/>
  <c r="AN1055" i="85"/>
  <c r="AN1056" i="85"/>
  <c r="AN1057" i="85"/>
  <c r="AN1058" i="85"/>
  <c r="AN1059" i="85"/>
  <c r="AN1060" i="85"/>
  <c r="AN1061" i="85"/>
  <c r="AN1062" i="85"/>
  <c r="AN1063" i="85"/>
  <c r="AN1064" i="85"/>
  <c r="AN1065" i="85"/>
  <c r="AN1066" i="85"/>
  <c r="AN1067" i="85"/>
  <c r="AN1068" i="85"/>
  <c r="AN1069" i="85"/>
  <c r="AN1070" i="85"/>
  <c r="AN1071" i="85"/>
  <c r="AN1072" i="85"/>
  <c r="AN1073" i="85"/>
  <c r="AN1074" i="85"/>
  <c r="AN1075" i="85"/>
  <c r="AN1076" i="85"/>
  <c r="AN1077" i="85"/>
  <c r="AN1078" i="85"/>
  <c r="AN1079" i="85"/>
  <c r="AN1080" i="85"/>
  <c r="AN1081" i="85"/>
  <c r="AN1082" i="85"/>
  <c r="AN1083" i="85"/>
  <c r="AN1084" i="85"/>
  <c r="AN1085" i="85"/>
  <c r="AN1086" i="85"/>
  <c r="AN1087" i="85"/>
  <c r="AN1088" i="85"/>
  <c r="AN1089" i="85"/>
  <c r="AN1090" i="85"/>
  <c r="AN1091" i="85"/>
  <c r="AN1092" i="85"/>
  <c r="AN1093" i="85"/>
  <c r="AN1094" i="85"/>
  <c r="AN1095" i="85"/>
  <c r="AN1096" i="85"/>
  <c r="AN1097" i="85"/>
  <c r="AN1098" i="85"/>
  <c r="AN1099" i="85"/>
  <c r="AN1100" i="85"/>
  <c r="AN1101" i="85"/>
  <c r="AN1102" i="85"/>
  <c r="AN1103" i="85"/>
  <c r="AN1104" i="85"/>
  <c r="AN1105" i="85"/>
  <c r="AN1106" i="85"/>
  <c r="AN1107" i="85"/>
  <c r="AN1108" i="85"/>
  <c r="AN1109" i="85"/>
  <c r="AN1110" i="85"/>
  <c r="AN1111" i="85"/>
  <c r="AN1112" i="85"/>
  <c r="AN1113" i="85"/>
  <c r="AN1114" i="85"/>
  <c r="AN1115" i="85"/>
  <c r="AN1116" i="85"/>
  <c r="AN1117" i="85"/>
  <c r="AN1118" i="85"/>
  <c r="AN1119" i="85"/>
  <c r="AN1120" i="85"/>
  <c r="AN1121" i="85"/>
  <c r="AN1122" i="85"/>
  <c r="AN1123" i="85"/>
  <c r="AN1124" i="85"/>
  <c r="AN1125" i="85"/>
  <c r="AN1126" i="85"/>
  <c r="AN1127" i="85"/>
  <c r="AN1128" i="85"/>
  <c r="AN1129" i="85"/>
  <c r="AN1130" i="85"/>
  <c r="AN1131" i="85"/>
  <c r="AN1132" i="85"/>
  <c r="AN1133" i="85"/>
  <c r="AN1134" i="85"/>
  <c r="AN1135" i="85"/>
  <c r="AN1136" i="85"/>
  <c r="AN1137" i="85"/>
  <c r="AN1138" i="85"/>
  <c r="AN1139" i="85"/>
  <c r="AN1140" i="85"/>
  <c r="AN1141" i="85"/>
  <c r="AN1142" i="85"/>
  <c r="AN1143" i="85"/>
  <c r="AN1144" i="85"/>
  <c r="AN1145" i="85"/>
  <c r="AN1146" i="85"/>
  <c r="AN1147" i="85"/>
  <c r="AN1148" i="85"/>
  <c r="AN1149" i="85"/>
  <c r="AN1150" i="85"/>
  <c r="AN1151" i="85"/>
  <c r="AN1152" i="85"/>
  <c r="AN1153" i="85"/>
  <c r="AN1154" i="85"/>
  <c r="AN1155" i="85"/>
  <c r="AN1156" i="85"/>
  <c r="AN1157" i="85"/>
  <c r="AN1158" i="85"/>
  <c r="AN1159" i="85"/>
  <c r="AN1160" i="85"/>
  <c r="AN1161" i="85"/>
  <c r="AN1162" i="85"/>
  <c r="AN1163" i="85"/>
  <c r="AN1164" i="85"/>
  <c r="AN1165" i="85"/>
  <c r="AN1166" i="85"/>
  <c r="AN1167" i="85"/>
  <c r="AN1168" i="85"/>
  <c r="AN1169" i="85"/>
  <c r="AN1170" i="85"/>
  <c r="AN1171" i="85"/>
  <c r="AN1172" i="85"/>
  <c r="AN1173" i="85"/>
  <c r="AN1174" i="85"/>
  <c r="AN1175" i="85"/>
  <c r="AN1176" i="85"/>
  <c r="AN1177" i="85"/>
  <c r="AN1178" i="85"/>
  <c r="AN1179" i="85"/>
  <c r="AN1180" i="85"/>
  <c r="AN1181" i="85"/>
  <c r="AN1182" i="85"/>
  <c r="AN1183" i="85"/>
  <c r="AN1184" i="85"/>
  <c r="AN1185" i="85"/>
  <c r="AN1186" i="85"/>
  <c r="AN1187" i="85"/>
  <c r="AN1188" i="85"/>
  <c r="AN1189" i="85"/>
  <c r="AN1190" i="85"/>
  <c r="AN1191" i="85"/>
  <c r="AN1192" i="85"/>
  <c r="AN1193" i="85"/>
  <c r="AN1194" i="85"/>
  <c r="AN1195" i="85"/>
  <c r="AN1196" i="85"/>
  <c r="AN1197" i="85"/>
  <c r="AN1198" i="85"/>
  <c r="AN1199" i="85"/>
  <c r="AN1200" i="85"/>
  <c r="AN1201" i="85"/>
  <c r="AN1202" i="85"/>
  <c r="AN1203" i="85"/>
  <c r="AN1204" i="85"/>
  <c r="AN1205" i="85"/>
  <c r="AN1206" i="85"/>
  <c r="AN1207" i="85"/>
  <c r="AN1208" i="85"/>
  <c r="AN1209" i="85"/>
  <c r="AN1210" i="85"/>
  <c r="AN1211" i="85"/>
  <c r="AN1212" i="85"/>
  <c r="AN1213" i="85"/>
  <c r="AN1214" i="85"/>
  <c r="AN1215" i="85"/>
  <c r="AN1216" i="85"/>
  <c r="AN1217" i="85"/>
  <c r="AN1218" i="85"/>
  <c r="AN1219" i="85"/>
  <c r="AN1220" i="85"/>
  <c r="AN1221" i="85"/>
  <c r="AN1222" i="85"/>
  <c r="AN1223" i="85"/>
  <c r="AN1224" i="85"/>
  <c r="AN1225" i="85"/>
  <c r="AN1226" i="85"/>
  <c r="AN1227" i="85"/>
  <c r="AN1228" i="85"/>
  <c r="AN1229" i="85"/>
  <c r="AN1230" i="85"/>
  <c r="AN1231" i="85"/>
  <c r="AN1232" i="85"/>
  <c r="AN1233" i="85"/>
  <c r="AN1234" i="85"/>
  <c r="AN1235" i="85"/>
  <c r="AN1236" i="85"/>
  <c r="AN1237" i="85"/>
  <c r="AN1238" i="85"/>
  <c r="AN1239" i="85"/>
  <c r="AN1240" i="85"/>
  <c r="AN1241" i="85"/>
  <c r="AN1242" i="85"/>
  <c r="AN1243" i="85"/>
  <c r="AN1244" i="85"/>
  <c r="AN1245" i="85"/>
  <c r="AN1246" i="85"/>
  <c r="AN1247" i="85"/>
  <c r="AN1248" i="85"/>
  <c r="AN1249" i="85"/>
  <c r="AN1250" i="85"/>
  <c r="AN1251" i="85"/>
  <c r="AN1252" i="85"/>
  <c r="AN1253" i="85"/>
  <c r="AN1254" i="85"/>
  <c r="AN1255" i="85"/>
  <c r="AN1256" i="85"/>
  <c r="AN1257" i="85"/>
  <c r="AN1258" i="85"/>
  <c r="AN1259" i="85"/>
  <c r="AN1260" i="85"/>
  <c r="AN1261" i="85"/>
  <c r="AN1262" i="85"/>
  <c r="AN1263" i="85"/>
  <c r="AN1264" i="85"/>
  <c r="AN1265" i="85"/>
  <c r="AN1266" i="85"/>
  <c r="AN1267" i="85"/>
  <c r="AN1268" i="85"/>
  <c r="AN1269" i="85"/>
  <c r="AN1270" i="85"/>
  <c r="AN1271" i="85"/>
  <c r="AN1272" i="85"/>
  <c r="AN1273" i="85"/>
  <c r="AN1274" i="85"/>
  <c r="AN1275" i="85"/>
  <c r="AN1276" i="85"/>
  <c r="AN1277" i="85"/>
  <c r="AN1278" i="85"/>
  <c r="AN1279" i="85"/>
  <c r="AN1280" i="85"/>
  <c r="AN1281" i="85"/>
  <c r="AN1282" i="85"/>
  <c r="AN1283" i="85"/>
  <c r="AN1284" i="85"/>
  <c r="AN1285" i="85"/>
  <c r="AN1286" i="85"/>
  <c r="AN1287" i="85"/>
  <c r="AN1288" i="85"/>
  <c r="AN1289" i="85"/>
  <c r="AN1290" i="85"/>
  <c r="AN1291" i="85"/>
  <c r="AN1292" i="85"/>
  <c r="AN1293" i="85"/>
  <c r="AN1294" i="85"/>
  <c r="AN1295" i="85"/>
  <c r="AN1296" i="85"/>
  <c r="AN1297" i="85"/>
  <c r="AN1298" i="85"/>
  <c r="AN1299" i="85"/>
  <c r="AN1300" i="85"/>
  <c r="AN1301" i="85"/>
  <c r="AN1302" i="85"/>
  <c r="AN1303" i="85"/>
  <c r="AN1304" i="85"/>
  <c r="AN1305" i="85"/>
  <c r="AN1306" i="85"/>
  <c r="AN1307" i="85"/>
  <c r="AN1308" i="85"/>
  <c r="AN1309" i="85"/>
  <c r="AN1310" i="85"/>
  <c r="AN1311" i="85"/>
  <c r="AN1312" i="85"/>
  <c r="AN1313" i="85"/>
  <c r="AN1314" i="85"/>
  <c r="AN1315" i="85"/>
  <c r="AN1316" i="85"/>
  <c r="AN1317" i="85"/>
  <c r="AN1318" i="85"/>
  <c r="AN1319" i="85"/>
  <c r="AN1320" i="85"/>
  <c r="AN1321" i="85"/>
  <c r="AN1322" i="85"/>
  <c r="AN1323" i="85"/>
  <c r="AN1324" i="85"/>
  <c r="AN1325" i="85"/>
  <c r="AN1326" i="85"/>
  <c r="AN1327" i="85"/>
  <c r="AN1328" i="85"/>
  <c r="AN1329" i="85"/>
  <c r="AN1330" i="85"/>
  <c r="AN1331" i="85"/>
  <c r="AN1332" i="85"/>
  <c r="AN1333" i="85"/>
  <c r="AN1334" i="85"/>
  <c r="AN1335" i="85"/>
  <c r="AN1336" i="85"/>
  <c r="AN1337" i="85"/>
  <c r="AN1338" i="85"/>
  <c r="AN1339" i="85"/>
  <c r="AN1340" i="85"/>
  <c r="AN1341" i="85"/>
  <c r="AN1342" i="85"/>
  <c r="AN1343" i="85"/>
  <c r="AN1344" i="85"/>
  <c r="AN1345" i="85"/>
  <c r="AN1346" i="85"/>
  <c r="AN1347" i="85"/>
  <c r="AN1348" i="85"/>
  <c r="AN1349" i="85"/>
  <c r="AN1350" i="85"/>
  <c r="AN1351" i="85"/>
  <c r="AN1352" i="85"/>
  <c r="AN1353" i="85"/>
  <c r="AN1354" i="85"/>
  <c r="AN1355" i="85"/>
  <c r="AN1356" i="85"/>
  <c r="AN1357" i="85"/>
  <c r="AN1358" i="85"/>
  <c r="AN1359" i="85"/>
  <c r="AN1360" i="85"/>
  <c r="AN1361" i="85"/>
  <c r="AN1362" i="85"/>
  <c r="AN1363" i="85"/>
  <c r="AN1364" i="85"/>
  <c r="AN1365" i="85"/>
  <c r="AN1366" i="85"/>
  <c r="AN1367" i="85"/>
  <c r="AN1368" i="85"/>
  <c r="AN1369" i="85"/>
  <c r="AN1370" i="85"/>
  <c r="AN1371" i="85"/>
  <c r="AN1372" i="85"/>
  <c r="AN1373" i="85"/>
  <c r="AN1374" i="85"/>
  <c r="AN1375" i="85"/>
  <c r="AN1376" i="85"/>
  <c r="AN1377" i="85"/>
  <c r="AN1378" i="85"/>
  <c r="AN1379" i="85"/>
  <c r="AN1380" i="85"/>
  <c r="AN1381" i="85"/>
  <c r="AN1382" i="85"/>
  <c r="AN1383" i="85"/>
  <c r="AN1384" i="85"/>
  <c r="AN1385" i="85"/>
  <c r="AN1386" i="85"/>
  <c r="AN1387" i="85"/>
  <c r="AN1388" i="85"/>
  <c r="AN1389" i="85"/>
  <c r="AN1390" i="85"/>
  <c r="AN1391" i="85"/>
  <c r="AN1392" i="85"/>
  <c r="AN1393" i="85"/>
  <c r="AN1394" i="85"/>
  <c r="AN1395" i="85"/>
  <c r="AN1396" i="85"/>
  <c r="AN1397" i="85"/>
  <c r="AN1398" i="85"/>
  <c r="AN1399" i="85"/>
  <c r="AN1400" i="85"/>
  <c r="AN1401" i="85"/>
  <c r="AN1402" i="85"/>
  <c r="AN1403" i="85"/>
  <c r="AN1404" i="85"/>
  <c r="AN1405" i="85"/>
  <c r="AN1406" i="85"/>
  <c r="AN1407" i="85"/>
  <c r="AN1408" i="85"/>
  <c r="AN1409" i="85"/>
  <c r="AN1410" i="85"/>
  <c r="AN1411" i="85"/>
  <c r="AN1412" i="85"/>
  <c r="AN1413" i="85"/>
  <c r="AN1414" i="85"/>
  <c r="AN1415" i="85"/>
  <c r="AN1416" i="85"/>
  <c r="AN1417" i="85"/>
  <c r="AN1418" i="85"/>
  <c r="AN1419" i="85"/>
  <c r="AN1420" i="85"/>
  <c r="AN1421" i="85"/>
  <c r="AN1422" i="85"/>
  <c r="AN1423" i="85"/>
  <c r="AN1424" i="85"/>
  <c r="AN1425" i="85"/>
  <c r="AN1426" i="85"/>
  <c r="AN1427" i="85"/>
  <c r="AN1428" i="85"/>
  <c r="AN1429" i="85"/>
  <c r="AN1430" i="85"/>
  <c r="AN1431" i="85"/>
  <c r="AN1432" i="85"/>
  <c r="AN1433" i="85"/>
  <c r="AN1434" i="85"/>
  <c r="AN1435" i="85"/>
  <c r="AN1436" i="85"/>
  <c r="AN1437" i="85"/>
  <c r="AN1438" i="85"/>
  <c r="AN1439" i="85"/>
  <c r="AN1440" i="85"/>
  <c r="AN1441" i="85"/>
  <c r="AN1442" i="85"/>
  <c r="AN1443" i="85"/>
  <c r="AN1444" i="85"/>
  <c r="AN1445" i="85"/>
  <c r="AN1446" i="85"/>
  <c r="AN1447" i="85"/>
  <c r="AN1448" i="85"/>
  <c r="AN1449" i="85"/>
  <c r="AN1450" i="85"/>
  <c r="AN1451" i="85"/>
  <c r="AN1452" i="85"/>
  <c r="AN1453" i="85"/>
  <c r="AN1454" i="85"/>
  <c r="AN1455" i="85"/>
  <c r="AN1456" i="85"/>
  <c r="AN1457" i="85"/>
  <c r="AN1458" i="85"/>
  <c r="AN1459" i="85"/>
  <c r="AN1460" i="85"/>
  <c r="AN1461" i="85"/>
  <c r="AN1462" i="85"/>
  <c r="AN1463" i="85"/>
  <c r="AN1464" i="85"/>
  <c r="AN1465" i="85"/>
  <c r="AN1466" i="85"/>
  <c r="AN1467" i="85"/>
  <c r="AN1468" i="85"/>
  <c r="AN1469" i="85"/>
  <c r="AN1470" i="85"/>
  <c r="AN1471" i="85"/>
  <c r="AN1472" i="85"/>
  <c r="AN1473" i="85"/>
  <c r="AN1474" i="85"/>
  <c r="AN1475" i="85"/>
  <c r="AN1476" i="85"/>
  <c r="AN1477" i="85"/>
  <c r="AN1478" i="85"/>
  <c r="AN1479" i="85"/>
  <c r="AN1480" i="85"/>
  <c r="AN1481" i="85"/>
  <c r="AN1482" i="85"/>
  <c r="AN1483" i="85"/>
  <c r="AN1484" i="85"/>
  <c r="AN1485" i="85"/>
  <c r="AN1486" i="85"/>
  <c r="AN1487" i="85"/>
  <c r="AN1488" i="85"/>
  <c r="AN1489" i="85"/>
  <c r="AN1490" i="85"/>
  <c r="AN1491" i="85"/>
  <c r="AN1492" i="85"/>
  <c r="AN1493" i="85"/>
  <c r="AN1494" i="85"/>
  <c r="AN1495" i="85"/>
  <c r="AN1496" i="85"/>
  <c r="AN1497" i="85"/>
  <c r="AN1498" i="85"/>
  <c r="AN1499" i="85"/>
  <c r="AN1500" i="85"/>
  <c r="AN1501" i="85"/>
  <c r="AN1502" i="85"/>
  <c r="AN1503" i="85"/>
  <c r="AN1504" i="85"/>
  <c r="AN1505" i="85"/>
  <c r="AN1506" i="85"/>
  <c r="AN1507" i="85"/>
  <c r="AN1508" i="85"/>
  <c r="AN1509" i="85"/>
  <c r="AN1510" i="85"/>
  <c r="AN1511" i="85"/>
  <c r="AN1512" i="85"/>
  <c r="AN1513" i="85"/>
  <c r="AN1514" i="85"/>
  <c r="AN1515" i="85"/>
  <c r="AN1516" i="85"/>
  <c r="AN1517" i="85"/>
  <c r="AN1518" i="85"/>
  <c r="AN1519" i="85"/>
  <c r="AN1520" i="85"/>
  <c r="AN1521" i="85"/>
  <c r="AN1522" i="85"/>
  <c r="AN1523" i="85"/>
  <c r="AN1524" i="85"/>
  <c r="AN1525" i="85"/>
  <c r="AN1526" i="85"/>
  <c r="AN1527" i="85"/>
  <c r="AN1528" i="85"/>
  <c r="AN1529" i="85"/>
  <c r="AN1530" i="85"/>
  <c r="AN1531" i="85"/>
  <c r="AN1532" i="85"/>
  <c r="AN1533" i="85"/>
  <c r="AN1534" i="85"/>
  <c r="AN1535" i="85"/>
  <c r="AN1536" i="85"/>
  <c r="AN1537" i="85"/>
  <c r="AN1538" i="85"/>
  <c r="AN1539" i="85"/>
  <c r="AN1540" i="85"/>
  <c r="AN1541" i="85"/>
  <c r="AN1542" i="85"/>
  <c r="AN1543" i="85"/>
  <c r="AN1544" i="85"/>
  <c r="AN1545" i="85"/>
  <c r="AN1546" i="85"/>
  <c r="AN1547" i="85"/>
  <c r="AN1548" i="85"/>
  <c r="AN1549" i="85"/>
  <c r="AN1550" i="85"/>
  <c r="AN1551" i="85"/>
  <c r="AN1552" i="85"/>
  <c r="AN1553" i="85"/>
  <c r="AN1554" i="85"/>
  <c r="AN1555" i="85"/>
  <c r="AN1556" i="85"/>
  <c r="AN1557" i="85"/>
  <c r="AN1558" i="85"/>
  <c r="AN1559" i="85"/>
  <c r="AN1560" i="85"/>
  <c r="AN1561" i="85"/>
  <c r="AN1562" i="85"/>
  <c r="AN1563" i="85"/>
  <c r="AN1564" i="85"/>
  <c r="AN1565" i="85"/>
  <c r="AN1566" i="85"/>
  <c r="AN1567" i="85"/>
  <c r="AN1568" i="85"/>
  <c r="AN1569" i="85"/>
  <c r="AN1570" i="85"/>
  <c r="AN1571" i="85"/>
  <c r="AN1572" i="85"/>
  <c r="AN1573" i="85"/>
  <c r="AN1574" i="85"/>
  <c r="AN1575" i="85"/>
  <c r="AN1576" i="85"/>
  <c r="AN1577" i="85"/>
  <c r="AN1578" i="85"/>
  <c r="AN1579" i="85"/>
  <c r="AN1580" i="85"/>
  <c r="AN1581" i="85"/>
  <c r="AN1582" i="85"/>
  <c r="AN1583" i="85"/>
  <c r="AN1584" i="85"/>
  <c r="AN1585" i="85"/>
  <c r="AN1586" i="85"/>
  <c r="AN1587" i="85"/>
  <c r="AN1588" i="85"/>
  <c r="AN1589" i="85"/>
  <c r="AN1590" i="85"/>
  <c r="AN1591" i="85"/>
  <c r="AN1592" i="85"/>
  <c r="AN1593" i="85"/>
  <c r="AN1594" i="85"/>
  <c r="AN1595" i="85"/>
  <c r="AN1596" i="85"/>
  <c r="AN1597" i="85"/>
  <c r="AN1598" i="85"/>
  <c r="AN1599" i="85"/>
  <c r="AN1600" i="85"/>
  <c r="AN1601" i="85"/>
  <c r="AN1602" i="85"/>
  <c r="AN1603" i="85"/>
  <c r="AN1604" i="85"/>
  <c r="AN1605" i="85"/>
  <c r="AN1606" i="85"/>
  <c r="AN1607" i="85"/>
  <c r="AN1608" i="85"/>
  <c r="AN1609" i="85"/>
  <c r="AN1610" i="85"/>
  <c r="AN1611" i="85"/>
  <c r="AN1612" i="85"/>
  <c r="AN1613" i="85"/>
  <c r="AN1614" i="85"/>
  <c r="AN1615" i="85"/>
  <c r="AN1616" i="85"/>
  <c r="AN1617" i="85"/>
  <c r="AN1618" i="85"/>
  <c r="AN1619" i="85"/>
  <c r="AN1620" i="85"/>
  <c r="AN1621" i="85"/>
  <c r="AN1622" i="85"/>
  <c r="AN1623" i="85"/>
  <c r="AN1624" i="85"/>
  <c r="AN1625" i="85"/>
  <c r="AN1626" i="85"/>
  <c r="AN1627" i="85"/>
  <c r="AN1628" i="85"/>
  <c r="AN1629" i="85"/>
  <c r="AN1630" i="85"/>
  <c r="AN1631" i="85"/>
  <c r="AN1632" i="85"/>
  <c r="AN1633" i="85"/>
  <c r="AN1634" i="85"/>
  <c r="AN1635" i="85"/>
  <c r="AN1636" i="85"/>
  <c r="AN1637" i="85"/>
  <c r="AN1638" i="85"/>
  <c r="AN1639" i="85"/>
  <c r="AN1640" i="85"/>
  <c r="AN1641" i="85"/>
  <c r="AN1642" i="85"/>
  <c r="AN1643" i="85"/>
  <c r="AN1644" i="85"/>
  <c r="AN1645" i="85"/>
  <c r="AN1646" i="85"/>
  <c r="AN1647" i="85"/>
  <c r="AN1648" i="85"/>
  <c r="AN1649" i="85"/>
  <c r="AN1650" i="85"/>
  <c r="AN1651" i="85"/>
  <c r="AN1652" i="85"/>
  <c r="AN1653" i="85"/>
  <c r="AN1654" i="85"/>
  <c r="AN1655" i="85"/>
  <c r="AN1656" i="85"/>
  <c r="AN1657" i="85"/>
  <c r="AN1658" i="85"/>
  <c r="AN1659" i="85"/>
  <c r="AN1660" i="85"/>
  <c r="AN1661" i="85"/>
  <c r="AN1662" i="85"/>
  <c r="AN1663" i="85"/>
  <c r="AN1664" i="85"/>
  <c r="AN1665" i="85"/>
  <c r="AN1666" i="85"/>
  <c r="AN1667" i="85"/>
  <c r="AN1668" i="85"/>
  <c r="AN1669" i="85"/>
  <c r="AN1670" i="85"/>
  <c r="AN1671" i="85"/>
  <c r="AN1672" i="85"/>
  <c r="AN1673" i="85"/>
  <c r="AN1674" i="85"/>
  <c r="AN1675" i="85"/>
  <c r="AN1676" i="85"/>
  <c r="AN1677" i="85"/>
  <c r="AN1678" i="85"/>
  <c r="AN1679" i="85"/>
  <c r="AN1680" i="85"/>
  <c r="AN1681" i="85"/>
  <c r="AN1682" i="85"/>
  <c r="AN1683" i="85"/>
  <c r="AN1684" i="85"/>
  <c r="AN1685" i="85"/>
  <c r="AN1686" i="85"/>
  <c r="AN1687" i="85"/>
  <c r="AN1688" i="85"/>
  <c r="AN1689" i="85"/>
  <c r="AN1690" i="85"/>
  <c r="AN1691" i="85"/>
  <c r="AN1692" i="85"/>
  <c r="AN1693" i="85"/>
  <c r="AN1694" i="85"/>
  <c r="AN1695" i="85"/>
  <c r="AN1696" i="85"/>
  <c r="AN1697" i="85"/>
  <c r="AN1698" i="85"/>
  <c r="AN1699" i="85"/>
  <c r="AN1700" i="85"/>
  <c r="AN1701" i="85"/>
  <c r="AN1702" i="85"/>
  <c r="AN1703" i="85"/>
  <c r="AN1704" i="85"/>
  <c r="AN1705" i="85"/>
  <c r="AN1706" i="85"/>
  <c r="AN1707" i="85"/>
  <c r="AN1708" i="85"/>
  <c r="AN1709" i="85"/>
  <c r="AN1710" i="85"/>
  <c r="AN1711" i="85"/>
  <c r="AN1712" i="85"/>
  <c r="AN1713" i="85"/>
  <c r="AN1714" i="85"/>
  <c r="AN1715" i="85"/>
  <c r="AN1716" i="85"/>
  <c r="AN1717" i="85"/>
  <c r="AN1718" i="85"/>
  <c r="AN1719" i="85"/>
  <c r="AN1720" i="85"/>
  <c r="AN1721" i="85"/>
  <c r="AN1722" i="85"/>
  <c r="AN1723" i="85"/>
  <c r="AN1724" i="85"/>
  <c r="AN1725" i="85"/>
  <c r="AN1726" i="85"/>
  <c r="AN1727" i="85"/>
  <c r="AN1728" i="85"/>
  <c r="AN1729" i="85"/>
  <c r="AN1730" i="85"/>
  <c r="AN1731" i="85"/>
  <c r="AN1732" i="85"/>
  <c r="AN1733" i="85"/>
  <c r="AN1734" i="85"/>
  <c r="AN1735" i="85"/>
  <c r="AN1736" i="85"/>
  <c r="AN1737" i="85"/>
  <c r="AN1738" i="85"/>
  <c r="AN1739" i="85"/>
  <c r="AN1740" i="85"/>
  <c r="AN1741" i="85"/>
  <c r="AN1742" i="85"/>
  <c r="AN1743" i="85"/>
  <c r="AN1744" i="85"/>
  <c r="AN1745" i="85"/>
  <c r="AN1746" i="85"/>
  <c r="AN1747" i="85"/>
  <c r="AN1748" i="85"/>
  <c r="AN1749" i="85"/>
  <c r="AN1750" i="85"/>
  <c r="AN1751" i="85"/>
  <c r="AN1752" i="85"/>
  <c r="AN1753" i="85"/>
  <c r="AN1754" i="85"/>
  <c r="AN1755" i="85"/>
  <c r="AN1756" i="85"/>
  <c r="AN1757" i="85"/>
  <c r="AN1758" i="85"/>
  <c r="AN1759" i="85"/>
  <c r="AN1760" i="85"/>
  <c r="AN1761" i="85"/>
  <c r="AN1762" i="85"/>
  <c r="AN1763" i="85"/>
  <c r="AN1764" i="85"/>
  <c r="AN1765" i="85"/>
  <c r="AN1766" i="85"/>
  <c r="AN1767" i="85"/>
  <c r="AN1768" i="85"/>
  <c r="AN1769" i="85"/>
  <c r="AN1770" i="85"/>
  <c r="AN1771" i="85"/>
  <c r="AN1772" i="85"/>
  <c r="AN1773" i="85"/>
  <c r="AN1774" i="85"/>
  <c r="AN1775" i="85"/>
  <c r="AN1776" i="85"/>
  <c r="AN1777" i="85"/>
  <c r="AN1778" i="85"/>
  <c r="AN1779" i="85"/>
  <c r="AN1780" i="85"/>
  <c r="AN1781" i="85"/>
  <c r="AN1782" i="85"/>
  <c r="AN1783" i="85"/>
  <c r="AN1784" i="85"/>
  <c r="AN1785" i="85"/>
  <c r="AN1786" i="85"/>
  <c r="AN1787" i="85"/>
  <c r="AN1788" i="85"/>
  <c r="AN1789" i="85"/>
  <c r="AN1790" i="85"/>
  <c r="AN1791" i="85"/>
  <c r="AN1792" i="85"/>
  <c r="AN1793" i="85"/>
  <c r="AN1794" i="85"/>
  <c r="AN1795" i="85"/>
  <c r="AN1796" i="85"/>
  <c r="AN1797" i="85"/>
  <c r="AN1798" i="85"/>
  <c r="AN1799" i="85"/>
  <c r="AN1800" i="85"/>
  <c r="AN1801" i="85"/>
  <c r="AN1802" i="85"/>
  <c r="AN1803" i="85"/>
  <c r="AN1804" i="85"/>
  <c r="AN1805" i="85"/>
  <c r="AN1806" i="85"/>
  <c r="AN1807" i="85"/>
  <c r="AN1808" i="85"/>
  <c r="AN1809" i="85"/>
  <c r="AN1810" i="85"/>
  <c r="AN1811" i="85"/>
  <c r="AN1812" i="85"/>
  <c r="AN1813" i="85"/>
  <c r="AN1814" i="85"/>
  <c r="AN1815" i="85"/>
  <c r="AN1816" i="85"/>
  <c r="AN1817" i="85"/>
  <c r="AN1818" i="85"/>
  <c r="AN1819" i="85"/>
  <c r="AN1820" i="85"/>
  <c r="AN1821" i="85"/>
  <c r="AN1822" i="85"/>
  <c r="AN1823" i="85"/>
  <c r="AN1824" i="85"/>
  <c r="AN1825" i="85"/>
  <c r="AN1826" i="85"/>
  <c r="AN1827" i="85"/>
  <c r="AN1828" i="85"/>
  <c r="AN1829" i="85"/>
  <c r="AN1830" i="85"/>
  <c r="AN1831" i="85"/>
  <c r="AN1832" i="85"/>
  <c r="AN1833" i="85"/>
  <c r="AN1834" i="85"/>
  <c r="AN1835" i="85"/>
  <c r="AN1836" i="85"/>
  <c r="AN1837" i="85"/>
  <c r="AN1838" i="85"/>
  <c r="AN1839" i="85"/>
  <c r="AN1840" i="85"/>
  <c r="AN1841" i="85"/>
  <c r="AN1842" i="85"/>
  <c r="AN1843" i="85"/>
  <c r="AN1844" i="85"/>
  <c r="AN1845" i="85"/>
  <c r="AN1846" i="85"/>
  <c r="AN1847" i="85"/>
  <c r="AN1848" i="85"/>
  <c r="AN1849" i="85"/>
  <c r="AN1850" i="85"/>
  <c r="AN1851" i="85"/>
  <c r="AN1852" i="85"/>
  <c r="AN1853" i="85"/>
  <c r="AN1854" i="85"/>
  <c r="AN1855" i="85"/>
  <c r="AN1856" i="85"/>
  <c r="AN1857" i="85"/>
  <c r="AN1858" i="85"/>
  <c r="AN1859" i="85"/>
  <c r="AN1860" i="85"/>
  <c r="AN1861" i="85"/>
  <c r="AN1862" i="85"/>
  <c r="AN1863" i="85"/>
  <c r="AN1864" i="85"/>
  <c r="AN1865" i="85"/>
  <c r="AN1866" i="85"/>
  <c r="DJ99" i="85" l="1"/>
  <c r="DH99" i="85"/>
  <c r="DJ12" i="85"/>
  <c r="DJ13" i="85"/>
  <c r="DJ14" i="85"/>
  <c r="DJ15" i="85"/>
  <c r="DJ16" i="85"/>
  <c r="DJ17" i="85"/>
  <c r="DJ18" i="85"/>
  <c r="DJ19" i="85"/>
  <c r="DJ20" i="85"/>
  <c r="DJ21" i="85"/>
  <c r="DJ22" i="85"/>
  <c r="DJ23" i="85"/>
  <c r="DJ24" i="85"/>
  <c r="DJ25" i="85"/>
  <c r="DJ26" i="85"/>
  <c r="DJ27" i="85"/>
  <c r="DJ28" i="85"/>
  <c r="DJ29" i="85"/>
  <c r="DJ30" i="85"/>
  <c r="DJ31" i="85"/>
  <c r="DJ32" i="85"/>
  <c r="DJ33" i="85"/>
  <c r="DJ34" i="85"/>
  <c r="DJ35" i="85"/>
  <c r="DJ36" i="85"/>
  <c r="DJ37" i="85"/>
  <c r="DJ38" i="85"/>
  <c r="DJ39" i="85"/>
  <c r="DJ40" i="85"/>
  <c r="DJ41" i="85"/>
  <c r="DJ42" i="85"/>
  <c r="DJ43" i="85"/>
  <c r="DJ44" i="85"/>
  <c r="DJ45" i="85"/>
  <c r="DJ46" i="85"/>
  <c r="DJ47" i="85"/>
  <c r="DJ48" i="85"/>
  <c r="DJ49" i="85"/>
  <c r="DJ50" i="85"/>
  <c r="DJ51" i="85"/>
  <c r="DJ52" i="85"/>
  <c r="DJ53" i="85"/>
  <c r="DJ54" i="85"/>
  <c r="DJ55" i="85"/>
  <c r="DJ56" i="85"/>
  <c r="DJ57" i="85"/>
  <c r="DJ58" i="85"/>
  <c r="DJ59" i="85"/>
  <c r="DJ60" i="85"/>
  <c r="DJ61" i="85"/>
  <c r="DJ62" i="85"/>
  <c r="DJ63" i="85"/>
  <c r="DJ64" i="85"/>
  <c r="DJ65" i="85"/>
  <c r="DJ66" i="85"/>
  <c r="DJ67" i="85"/>
  <c r="DJ68" i="85"/>
  <c r="DJ69" i="85"/>
  <c r="DJ70" i="85"/>
  <c r="DJ71" i="85"/>
  <c r="DJ72" i="85"/>
  <c r="DJ73" i="85"/>
  <c r="DJ74" i="85"/>
  <c r="DJ75" i="85"/>
  <c r="DJ76" i="85"/>
  <c r="DJ77" i="85"/>
  <c r="DJ78" i="85"/>
  <c r="DJ79" i="85"/>
  <c r="DJ80" i="85"/>
  <c r="DJ81" i="85"/>
  <c r="DJ82" i="85"/>
  <c r="DJ83" i="85"/>
  <c r="DJ84" i="85"/>
  <c r="DJ85" i="85"/>
  <c r="DJ86" i="85"/>
  <c r="DJ87" i="85"/>
  <c r="DJ88" i="85"/>
  <c r="DJ89" i="85"/>
  <c r="DJ90" i="85"/>
  <c r="DJ91" i="85"/>
  <c r="DJ92" i="85"/>
  <c r="DJ93" i="85"/>
  <c r="DJ94" i="85"/>
  <c r="DJ95" i="85"/>
  <c r="DJ96" i="85"/>
  <c r="DJ97" i="85"/>
  <c r="DJ98" i="85"/>
  <c r="DJ11" i="85"/>
  <c r="DH12" i="85"/>
  <c r="DH13" i="85"/>
  <c r="DH14" i="85"/>
  <c r="DH15" i="85"/>
  <c r="DH16" i="85"/>
  <c r="DH17" i="85"/>
  <c r="DH18" i="85"/>
  <c r="DH19" i="85"/>
  <c r="DH20" i="85"/>
  <c r="DH21" i="85"/>
  <c r="DH22" i="85"/>
  <c r="DH23" i="85"/>
  <c r="DH24" i="85"/>
  <c r="DH25" i="85"/>
  <c r="DH26" i="85"/>
  <c r="DH27" i="85"/>
  <c r="DH28" i="85"/>
  <c r="DH29" i="85"/>
  <c r="DH30" i="85"/>
  <c r="DH31" i="85"/>
  <c r="DH32" i="85"/>
  <c r="DH33" i="85"/>
  <c r="DH34" i="85"/>
  <c r="DH35" i="85"/>
  <c r="DH36" i="85"/>
  <c r="DH37" i="85"/>
  <c r="DH38" i="85"/>
  <c r="DH39" i="85"/>
  <c r="DH40" i="85"/>
  <c r="DH41" i="85"/>
  <c r="DH42" i="85"/>
  <c r="DH43" i="85"/>
  <c r="DH44" i="85"/>
  <c r="DH45" i="85"/>
  <c r="DH46" i="85"/>
  <c r="DH47" i="85"/>
  <c r="DH48" i="85"/>
  <c r="DH49" i="85"/>
  <c r="DH50" i="85"/>
  <c r="DH51" i="85"/>
  <c r="DH52" i="85"/>
  <c r="DH53" i="85"/>
  <c r="DH54" i="85"/>
  <c r="DH55" i="85"/>
  <c r="DH56" i="85"/>
  <c r="DH57" i="85"/>
  <c r="DH58" i="85"/>
  <c r="DH59" i="85"/>
  <c r="DH60" i="85"/>
  <c r="DH61" i="85"/>
  <c r="DH62" i="85"/>
  <c r="DH63" i="85"/>
  <c r="DH64" i="85"/>
  <c r="DH65" i="85"/>
  <c r="DH66" i="85"/>
  <c r="DH67" i="85"/>
  <c r="DH68" i="85"/>
  <c r="DH69" i="85"/>
  <c r="DH70" i="85"/>
  <c r="DH71" i="85"/>
  <c r="DH72" i="85"/>
  <c r="DH73" i="85"/>
  <c r="DH74" i="85"/>
  <c r="DH75" i="85"/>
  <c r="DH76" i="85"/>
  <c r="DH77" i="85"/>
  <c r="DH78" i="85"/>
  <c r="DH79" i="85"/>
  <c r="DH80" i="85"/>
  <c r="DH81" i="85"/>
  <c r="DH82" i="85"/>
  <c r="DH83" i="85"/>
  <c r="DH84" i="85"/>
  <c r="DH85" i="85"/>
  <c r="DH86" i="85"/>
  <c r="DH87" i="85"/>
  <c r="DH88" i="85"/>
  <c r="DH89" i="85"/>
  <c r="DH90" i="85"/>
  <c r="DH91" i="85"/>
  <c r="DH92" i="85"/>
  <c r="DH93" i="85"/>
  <c r="DH94" i="85"/>
  <c r="DH95" i="85"/>
  <c r="DH96" i="85"/>
  <c r="DH97" i="85"/>
  <c r="DH98" i="85"/>
  <c r="DH11" i="85"/>
  <c r="N15" i="83" a="1"/>
  <c r="N15" i="83" s="1"/>
  <c r="N16" i="83" a="1"/>
  <c r="N16" i="83" s="1"/>
  <c r="N17" i="83" a="1"/>
  <c r="N17" i="83" s="1"/>
  <c r="N18" i="83" a="1"/>
  <c r="N18" i="83" s="1"/>
  <c r="N19" i="83" a="1"/>
  <c r="N19" i="83" s="1"/>
  <c r="N20" i="83" a="1"/>
  <c r="N20" i="83" s="1"/>
  <c r="N21" i="83" a="1"/>
  <c r="N21" i="83" s="1"/>
  <c r="N22" i="83" a="1"/>
  <c r="N22" i="83" s="1"/>
  <c r="N23" i="83" a="1"/>
  <c r="N23" i="83" s="1"/>
  <c r="N24" i="83" a="1"/>
  <c r="N24" i="83" s="1"/>
  <c r="N25" i="83" a="1"/>
  <c r="N25" i="83" s="1"/>
  <c r="N26" i="83" a="1"/>
  <c r="N26" i="83" s="1"/>
  <c r="N27" i="83" a="1"/>
  <c r="N27" i="83" s="1"/>
  <c r="N28" i="83" a="1"/>
  <c r="N28" i="83" s="1"/>
  <c r="N29" i="83" a="1"/>
  <c r="N29" i="83" s="1"/>
  <c r="N30" i="83" a="1"/>
  <c r="N30" i="83" s="1"/>
  <c r="N31" i="83" a="1"/>
  <c r="N31" i="83" s="1"/>
  <c r="N32" i="83" a="1"/>
  <c r="N32" i="83" s="1"/>
  <c r="N33" i="83" a="1"/>
  <c r="N33" i="83" s="1"/>
  <c r="N34" i="83" a="1"/>
  <c r="N34" i="83" s="1"/>
  <c r="N35" i="83" a="1"/>
  <c r="N35" i="83" s="1"/>
  <c r="N36" i="83" a="1"/>
  <c r="N36" i="83" s="1"/>
  <c r="N37" i="83" a="1"/>
  <c r="N37" i="83" s="1"/>
  <c r="N38" i="83" a="1"/>
  <c r="N38" i="83" s="1"/>
  <c r="N39" i="83" a="1"/>
  <c r="N39" i="83" s="1"/>
  <c r="N40" i="83" a="1"/>
  <c r="N40" i="83" s="1"/>
  <c r="N41" i="83" a="1"/>
  <c r="N41" i="83" s="1"/>
  <c r="N42" i="83" a="1"/>
  <c r="N42" i="83" s="1"/>
  <c r="N43" i="83" a="1"/>
  <c r="N43" i="83" s="1"/>
  <c r="N44" i="83" a="1"/>
  <c r="N44" i="83" s="1"/>
  <c r="N45" i="83" a="1"/>
  <c r="N45" i="83" s="1"/>
  <c r="N46" i="83" a="1"/>
  <c r="N46" i="83" s="1"/>
  <c r="N47" i="83" a="1"/>
  <c r="N47" i="83" s="1"/>
  <c r="N48" i="83" a="1"/>
  <c r="N48" i="83" s="1"/>
  <c r="N49" i="83" a="1"/>
  <c r="N49" i="83" s="1"/>
  <c r="N50" i="83" a="1"/>
  <c r="N50" i="83" s="1"/>
  <c r="N51" i="83" a="1"/>
  <c r="N51" i="83" s="1"/>
  <c r="N52" i="83" a="1"/>
  <c r="N52" i="83" s="1"/>
  <c r="N53" i="83" a="1"/>
  <c r="N53" i="83" s="1"/>
  <c r="N54" i="83" a="1"/>
  <c r="N54" i="83" s="1"/>
  <c r="N55" i="83" a="1"/>
  <c r="N55" i="83" s="1"/>
  <c r="N56" i="83" a="1"/>
  <c r="N56" i="83" s="1"/>
  <c r="N57" i="83" a="1"/>
  <c r="N57" i="83" s="1"/>
  <c r="N58" i="83" a="1"/>
  <c r="N58" i="83" s="1"/>
  <c r="N59" i="83" a="1"/>
  <c r="N59" i="83" s="1"/>
  <c r="N60" i="83" a="1"/>
  <c r="N60" i="83" s="1"/>
  <c r="N61" i="83" a="1"/>
  <c r="N61" i="83" s="1"/>
  <c r="N62" i="83" a="1"/>
  <c r="N62" i="83" s="1"/>
  <c r="N63" i="83" a="1"/>
  <c r="N63" i="83" s="1"/>
  <c r="J21" i="16"/>
  <c r="AE8" i="51" s="1"/>
  <c r="CH11" i="85"/>
  <c r="CJ11" i="85"/>
  <c r="EE11" i="85"/>
  <c r="EG11" i="85"/>
  <c r="CH12" i="85"/>
  <c r="CJ12" i="85"/>
  <c r="EE12" i="85"/>
  <c r="EG12" i="85"/>
  <c r="CH13" i="85"/>
  <c r="CJ13" i="85"/>
  <c r="EE13" i="85"/>
  <c r="EG13" i="85"/>
  <c r="CH14" i="85"/>
  <c r="CJ14" i="85"/>
  <c r="EE14" i="85"/>
  <c r="EG14" i="85"/>
  <c r="CH15" i="85"/>
  <c r="CJ15" i="85"/>
  <c r="EE15" i="85"/>
  <c r="EG15" i="85"/>
  <c r="AH2365" i="85"/>
  <c r="AH2400" i="85"/>
  <c r="AH2554" i="85"/>
  <c r="AH3062" i="85"/>
  <c r="AH2020" i="85"/>
  <c r="AH1683" i="85"/>
  <c r="AH1974" i="85"/>
  <c r="AH2394" i="85"/>
  <c r="AH2135" i="85"/>
  <c r="AH2282" i="85"/>
  <c r="AH2595" i="85"/>
  <c r="AH3117" i="85"/>
  <c r="AH2139" i="85"/>
  <c r="AH1870" i="85"/>
  <c r="AH610" i="85"/>
  <c r="AH1822" i="85"/>
  <c r="AH2248" i="85"/>
  <c r="AH2666" i="85"/>
  <c r="AH2883" i="85"/>
  <c r="AH2276" i="85"/>
  <c r="AH1503" i="85"/>
  <c r="AH2392" i="85"/>
  <c r="AH3013" i="85"/>
  <c r="AH2001" i="85"/>
  <c r="AH2725" i="85"/>
  <c r="AH3074" i="85"/>
  <c r="AH2886" i="85"/>
  <c r="AH3065" i="85"/>
  <c r="AH2487" i="85"/>
  <c r="AH1841" i="85"/>
  <c r="AH3127" i="85"/>
  <c r="AH1817" i="85"/>
  <c r="AH2233" i="85"/>
  <c r="AH2560" i="85"/>
  <c r="AH1156" i="85"/>
  <c r="AH1362" i="85"/>
  <c r="AH997" i="85"/>
  <c r="AH894" i="85"/>
  <c r="AH2638" i="85"/>
  <c r="AH1176" i="85"/>
  <c r="AH3079" i="85"/>
  <c r="AH2879" i="85"/>
  <c r="AH1431" i="85"/>
  <c r="AH2117" i="85"/>
  <c r="AH1656" i="85"/>
  <c r="AH2320" i="85"/>
  <c r="AH2683" i="85"/>
  <c r="AH1659" i="85"/>
  <c r="AH2761" i="85"/>
  <c r="AH1672" i="85"/>
  <c r="AH2266" i="85"/>
  <c r="AH2046" i="85"/>
  <c r="AH1552" i="85"/>
  <c r="AH2458" i="85"/>
  <c r="AH2249" i="85"/>
  <c r="AH2440" i="85"/>
  <c r="AH2438" i="85"/>
  <c r="AH2338" i="85"/>
  <c r="AH2702" i="85"/>
  <c r="AH3060" i="85"/>
  <c r="AH2622" i="85"/>
  <c r="AH3153" i="85"/>
  <c r="AH2981" i="85"/>
  <c r="AH2195" i="85"/>
  <c r="AH2797" i="85"/>
  <c r="AH2330" i="85"/>
  <c r="AH1806" i="85"/>
  <c r="AH2747" i="85"/>
  <c r="AH2312" i="85"/>
  <c r="AH2651" i="85"/>
  <c r="AH1306" i="85"/>
  <c r="AH3004" i="85"/>
  <c r="AH2861" i="85"/>
  <c r="AH1385" i="85"/>
  <c r="AH2522" i="85"/>
  <c r="AH1082" i="85"/>
  <c r="AH1106" i="85"/>
  <c r="AH410" i="85"/>
  <c r="AH127" i="85"/>
  <c r="AH1257" i="85"/>
  <c r="AH368" i="85"/>
  <c r="AH2066" i="85"/>
  <c r="AH2519" i="85"/>
  <c r="AH2715" i="85"/>
  <c r="AH621" i="85"/>
  <c r="AH1505" i="85"/>
  <c r="AH2923" i="85"/>
  <c r="AH2553" i="85"/>
  <c r="AH2681" i="85"/>
  <c r="AH3085" i="85"/>
  <c r="AH2959" i="85"/>
  <c r="AH2765" i="85"/>
  <c r="AH2373" i="85"/>
  <c r="AH2791" i="85"/>
  <c r="AH1140" i="85"/>
  <c r="AH1960" i="85"/>
  <c r="AH2083" i="85"/>
  <c r="AH1808" i="85"/>
  <c r="AH2718" i="85"/>
  <c r="AH2717" i="85"/>
  <c r="AH2582" i="85"/>
  <c r="AH2104" i="85"/>
  <c r="AH2354" i="85"/>
  <c r="AH2399" i="85"/>
  <c r="AH2543" i="85"/>
  <c r="AH2916" i="85"/>
  <c r="AH2841" i="85"/>
  <c r="AH1898" i="85"/>
  <c r="AH2508" i="85"/>
  <c r="AH1840" i="85"/>
  <c r="AH697" i="85"/>
  <c r="AH982" i="85"/>
  <c r="AH3154" i="85"/>
  <c r="AH1915" i="85"/>
  <c r="AH1200" i="85"/>
  <c r="AH3155" i="85"/>
  <c r="AH1991" i="85"/>
  <c r="AH1364" i="85"/>
  <c r="AH2927" i="85"/>
  <c r="AH2751" i="85"/>
  <c r="AH1889" i="85"/>
  <c r="AH788" i="85"/>
  <c r="AH330" i="85"/>
  <c r="AH1426" i="85"/>
  <c r="AH936" i="85"/>
  <c r="AH1917" i="85"/>
  <c r="AH464" i="85"/>
  <c r="AH1508" i="85"/>
  <c r="AH2314" i="85"/>
  <c r="AH1220" i="85"/>
  <c r="AH1758" i="85"/>
  <c r="AH217" i="85"/>
  <c r="AH457" i="85"/>
  <c r="AH624" i="85"/>
  <c r="AH800" i="85"/>
  <c r="AH74" i="85"/>
  <c r="AH390" i="85"/>
  <c r="AH1312" i="85"/>
  <c r="AH1085" i="85"/>
  <c r="AH257" i="85"/>
  <c r="AH1000" i="85"/>
  <c r="AH28" i="85"/>
  <c r="AH1129" i="85"/>
  <c r="AH1084" i="85"/>
  <c r="AH984" i="85"/>
  <c r="AH539" i="85"/>
  <c r="AH772" i="85"/>
  <c r="AH1704" i="85"/>
  <c r="AH963" i="85"/>
  <c r="AH2936" i="85"/>
  <c r="AH1151" i="85"/>
  <c r="AH632" i="85"/>
  <c r="AH1131" i="85"/>
  <c r="AH2960" i="85"/>
  <c r="AH2466" i="85"/>
  <c r="AH2384" i="85"/>
  <c r="AH1666" i="85"/>
  <c r="AH2253" i="85"/>
  <c r="AH2706" i="85"/>
  <c r="AH2403" i="85"/>
  <c r="AH3009" i="85"/>
  <c r="AH2833" i="85"/>
  <c r="AH3115" i="85"/>
  <c r="AH1679" i="85"/>
  <c r="AH1690" i="85"/>
  <c r="AH1909" i="85"/>
  <c r="AH2441" i="85"/>
  <c r="AH1243" i="85"/>
  <c r="AH2759" i="85"/>
  <c r="AH909" i="85"/>
  <c r="AH2653" i="85"/>
  <c r="AH2919" i="85"/>
  <c r="AH2676" i="85"/>
  <c r="AH1045" i="85"/>
  <c r="AH1051" i="85"/>
  <c r="AH2070" i="85"/>
  <c r="AH1945" i="85"/>
  <c r="AH1863" i="85"/>
  <c r="AH844" i="85"/>
  <c r="AH2140" i="85"/>
  <c r="AH1600" i="85"/>
  <c r="AH2758" i="85"/>
  <c r="AH3069" i="85"/>
  <c r="AH2177" i="85"/>
  <c r="AH2933" i="85"/>
  <c r="AH2956" i="85"/>
  <c r="AH3126" i="85"/>
  <c r="AH2972" i="85"/>
  <c r="AH2849" i="85"/>
  <c r="AH2561" i="85"/>
  <c r="AH2796" i="85"/>
  <c r="AH2850" i="85"/>
  <c r="AH1068" i="85"/>
  <c r="AH2539" i="85"/>
  <c r="AH2626" i="85"/>
  <c r="AH3095" i="85"/>
  <c r="AH3015" i="85"/>
  <c r="AH2065" i="85"/>
  <c r="AH3135" i="85"/>
  <c r="AH1591" i="85"/>
  <c r="AH2635" i="85"/>
  <c r="AH2951" i="85"/>
  <c r="AH2971" i="85"/>
  <c r="AH2385" i="85"/>
  <c r="AH3021" i="85"/>
  <c r="AH2726" i="85"/>
  <c r="AH2570" i="85"/>
  <c r="AH1580" i="85"/>
  <c r="AH1696" i="85"/>
  <c r="AH705" i="85"/>
  <c r="AH1905" i="85"/>
  <c r="AH3035" i="85"/>
  <c r="AH2360" i="85"/>
  <c r="AH918" i="85"/>
  <c r="AH2503" i="85"/>
  <c r="AH2476" i="85"/>
  <c r="AH1247" i="85"/>
  <c r="AH2792" i="85"/>
  <c r="AH2574" i="85"/>
  <c r="AH940" i="85"/>
  <c r="AH935" i="85"/>
  <c r="AH1548" i="85"/>
  <c r="AH646" i="85"/>
  <c r="AH1377" i="85"/>
  <c r="AH1421" i="85"/>
  <c r="AH1052" i="85"/>
  <c r="AH1026" i="85"/>
  <c r="AH1626" i="85"/>
  <c r="AH833" i="85"/>
  <c r="AH1856" i="85"/>
  <c r="AH2677" i="85"/>
  <c r="AH780" i="85"/>
  <c r="AH1223" i="85"/>
  <c r="AH1492" i="85"/>
  <c r="AH644" i="85"/>
  <c r="AH714" i="85"/>
  <c r="AH1478" i="85"/>
  <c r="AH1432" i="85"/>
  <c r="AH1245" i="85"/>
  <c r="AH787" i="85"/>
  <c r="AH1487" i="85"/>
  <c r="AH1296" i="85"/>
  <c r="AH1951" i="85"/>
  <c r="AH1196" i="85"/>
  <c r="AH2287" i="85"/>
  <c r="AH1827" i="85"/>
  <c r="AH2592" i="85"/>
  <c r="AH1563" i="85"/>
  <c r="AH1766" i="85"/>
  <c r="AH1844" i="85"/>
  <c r="AH1767" i="85"/>
  <c r="AH1519" i="85"/>
  <c r="AH1946" i="85"/>
  <c r="AH1956" i="85"/>
  <c r="AH2080" i="85"/>
  <c r="AH1714" i="85"/>
  <c r="AH1133" i="85"/>
  <c r="AH1564" i="85"/>
  <c r="AH1821" i="85"/>
  <c r="AH1461" i="85"/>
  <c r="AH1878" i="85"/>
  <c r="AH1464" i="85"/>
  <c r="AH2650" i="85"/>
  <c r="AH2332" i="85"/>
  <c r="AH2703" i="85"/>
  <c r="AH2631" i="85"/>
  <c r="AH1405" i="85"/>
  <c r="AH1363" i="85"/>
  <c r="AH2115" i="85"/>
  <c r="AH2301" i="85"/>
  <c r="AH2170" i="85"/>
  <c r="AH2390" i="85"/>
  <c r="AH3025" i="85"/>
  <c r="AH2921" i="85"/>
  <c r="AH3123" i="85"/>
  <c r="AH2583" i="85"/>
  <c r="AH2708" i="85"/>
  <c r="AH2864" i="85"/>
  <c r="AH1501" i="85"/>
  <c r="AH1551" i="85"/>
  <c r="AH627" i="85"/>
  <c r="AH547" i="85"/>
  <c r="AH880" i="85"/>
  <c r="AH834" i="85"/>
  <c r="AH977" i="85"/>
  <c r="AH1040" i="85"/>
  <c r="AH2364" i="85"/>
  <c r="AH1438" i="85"/>
  <c r="AH1828" i="85"/>
  <c r="AH2286" i="85"/>
  <c r="AH2480" i="85"/>
  <c r="AH1202" i="85"/>
  <c r="AH805" i="85"/>
  <c r="AH2607" i="85"/>
  <c r="AH2746" i="85"/>
  <c r="AH2812" i="85"/>
  <c r="AH2794" i="85"/>
  <c r="AH2471" i="85"/>
  <c r="AH2050" i="85"/>
  <c r="AH1914" i="85"/>
  <c r="AH2790" i="85"/>
  <c r="AH2069" i="85"/>
  <c r="AH2623" i="85"/>
  <c r="AH2863" i="85"/>
  <c r="AH2353" i="85"/>
  <c r="AH1116" i="85"/>
  <c r="AH317" i="85"/>
  <c r="AH2021" i="85"/>
  <c r="AH857" i="85"/>
  <c r="AH487" i="85"/>
  <c r="AH2278" i="85"/>
  <c r="AH2643" i="85"/>
  <c r="AH2577" i="85"/>
  <c r="AH2349" i="85"/>
  <c r="AH2055" i="85"/>
  <c r="AH2228" i="85"/>
  <c r="AH2321" i="85"/>
  <c r="AH1942" i="85"/>
  <c r="AH1390" i="85"/>
  <c r="AH250" i="85"/>
  <c r="AH416" i="85"/>
  <c r="AH2185" i="85"/>
  <c r="AH2986" i="85"/>
  <c r="AH2737" i="85"/>
  <c r="AH3075" i="85"/>
  <c r="AH2955" i="85"/>
  <c r="AH2388" i="85"/>
  <c r="AH1728" i="85"/>
  <c r="AH3138" i="85"/>
  <c r="AH3050" i="85"/>
  <c r="AH3112" i="85"/>
  <c r="AH2780" i="85"/>
  <c r="AH3045" i="85"/>
  <c r="AH2912" i="85"/>
  <c r="AH1874" i="85"/>
  <c r="AH3102" i="85"/>
  <c r="AH3073" i="85"/>
  <c r="AH2131" i="85"/>
  <c r="AH2662" i="85"/>
  <c r="AH3082" i="85"/>
  <c r="AH2171" i="85"/>
  <c r="AH2753" i="85"/>
  <c r="AH2842" i="85"/>
  <c r="AH1988" i="85"/>
  <c r="AH2573" i="85"/>
  <c r="AH2928" i="85"/>
  <c r="AH2333" i="85"/>
  <c r="AH2576" i="85"/>
  <c r="AH2895" i="85"/>
  <c r="AH2844" i="85"/>
  <c r="AH2366" i="85"/>
  <c r="AH3070" i="85"/>
  <c r="AH2604" i="85"/>
  <c r="AH2035" i="85"/>
  <c r="AH822" i="85"/>
  <c r="AH2957" i="85"/>
  <c r="AH3001" i="85"/>
  <c r="AH2551" i="85"/>
  <c r="AH2731" i="85"/>
  <c r="AH3114" i="85"/>
  <c r="AH2549" i="85"/>
  <c r="AH2980" i="85"/>
  <c r="AH2641" i="85"/>
  <c r="AH3146" i="85"/>
  <c r="AH3087" i="85"/>
  <c r="AH3118" i="85"/>
  <c r="AH2930" i="85"/>
  <c r="AH2760" i="85"/>
  <c r="AH2690" i="85"/>
  <c r="AH2425" i="85"/>
  <c r="AH2855" i="85"/>
  <c r="AH2728" i="85"/>
  <c r="AH2727" i="85"/>
  <c r="AH3026" i="85"/>
  <c r="AH1273" i="85"/>
  <c r="AH583" i="85"/>
  <c r="AH2059" i="85"/>
  <c r="AH2150" i="85"/>
  <c r="AH1016" i="85"/>
  <c r="AH2772" i="85"/>
  <c r="AH888" i="85"/>
  <c r="AH1005" i="85"/>
  <c r="AH2211" i="85"/>
  <c r="AH2092" i="85"/>
  <c r="AH2397" i="85"/>
  <c r="AH2218" i="85"/>
  <c r="AH1730" i="85"/>
  <c r="AH2636" i="85"/>
  <c r="AH2267" i="85"/>
  <c r="AH706" i="85"/>
  <c r="AH208" i="85"/>
  <c r="AH407" i="85"/>
  <c r="AH102" i="85"/>
  <c r="AH189" i="85"/>
  <c r="AH16" i="85"/>
  <c r="AH1543" i="85"/>
  <c r="AH2143" i="85"/>
  <c r="AH2073" i="85"/>
  <c r="AH2010" i="85"/>
  <c r="AH1985" i="85"/>
  <c r="AH1510" i="85"/>
  <c r="AH693" i="85"/>
  <c r="AH1418" i="85"/>
  <c r="AH1311" i="85"/>
  <c r="AH1343" i="85"/>
  <c r="AH288" i="85"/>
  <c r="AH103" i="85"/>
  <c r="AH1248" i="85"/>
  <c r="AH677" i="85"/>
  <c r="AH1244" i="85"/>
  <c r="AH614" i="85"/>
  <c r="AH1462" i="85"/>
  <c r="AH232" i="85"/>
  <c r="AH556" i="85"/>
  <c r="AH902" i="85"/>
  <c r="AH1122" i="85"/>
  <c r="AH1112" i="85"/>
  <c r="AH1008" i="85"/>
  <c r="AH1579" i="85"/>
  <c r="AH904" i="85"/>
  <c r="AH1035" i="85"/>
  <c r="AH413" i="85"/>
  <c r="AH361" i="85"/>
  <c r="AH1326" i="85"/>
  <c r="AH1455" i="85"/>
  <c r="AH700" i="85"/>
  <c r="AH962" i="85"/>
  <c r="AH608" i="85"/>
  <c r="AH70" i="85"/>
  <c r="AH419" i="85"/>
  <c r="AH191" i="85"/>
  <c r="AH180" i="85"/>
  <c r="AH2410" i="85"/>
  <c r="AH2107" i="85"/>
  <c r="AH3029" i="85"/>
  <c r="AH3057" i="85"/>
  <c r="AH2730" i="85"/>
  <c r="AH2371" i="85"/>
  <c r="AH1171" i="85"/>
  <c r="AH2999" i="85"/>
  <c r="AH1931" i="85"/>
  <c r="AH2404" i="85"/>
  <c r="AH945" i="85"/>
  <c r="AH2412" i="85"/>
  <c r="AH1186" i="85"/>
  <c r="AH1850" i="85"/>
  <c r="AH2042" i="85"/>
  <c r="AH381" i="85"/>
  <c r="AH1719" i="85"/>
  <c r="AH1488" i="85"/>
  <c r="AH737" i="85"/>
  <c r="AH307" i="85"/>
  <c r="AH479" i="85"/>
  <c r="AH353" i="85"/>
  <c r="AH1447" i="85"/>
  <c r="AH1751" i="85"/>
  <c r="AH1803" i="85"/>
  <c r="AH1336" i="85"/>
  <c r="AH1394" i="85"/>
  <c r="AH1981" i="85"/>
  <c r="AH222" i="85"/>
  <c r="AH414" i="85"/>
  <c r="AH140" i="85"/>
  <c r="AH869" i="85"/>
  <c r="AH209" i="85"/>
  <c r="AH296" i="85"/>
  <c r="AH801" i="85"/>
  <c r="AH1760" i="85"/>
  <c r="AH1210" i="85"/>
  <c r="AH1190" i="85"/>
  <c r="AH218" i="85"/>
  <c r="AH553" i="85"/>
  <c r="AH864" i="85"/>
  <c r="AH168" i="85"/>
  <c r="AH827" i="85"/>
  <c r="AH164" i="85"/>
  <c r="AH347" i="85"/>
  <c r="AH259" i="85"/>
  <c r="AH1553" i="85"/>
  <c r="AH1625" i="85"/>
  <c r="AH2275" i="85"/>
  <c r="AH505" i="85"/>
  <c r="AH1329" i="85"/>
  <c r="AH594" i="85"/>
  <c r="AH1260" i="85"/>
  <c r="AH1773" i="85"/>
  <c r="AH113" i="85"/>
  <c r="AH579" i="85"/>
  <c r="AH293" i="85"/>
  <c r="AH438" i="85"/>
  <c r="AH647" i="85"/>
  <c r="AH205" i="85"/>
  <c r="AH2163" i="85"/>
  <c r="AH757" i="85"/>
  <c r="AH655" i="85"/>
  <c r="AH710" i="85"/>
  <c r="AH1382" i="85"/>
  <c r="AH965" i="85"/>
  <c r="AH1251" i="85"/>
  <c r="AH375" i="85"/>
  <c r="AH1059" i="85"/>
  <c r="AH1206" i="85"/>
  <c r="AH716" i="85"/>
  <c r="AH2098" i="85"/>
  <c r="AH1794" i="85"/>
  <c r="AH973" i="85"/>
  <c r="AH670" i="85"/>
  <c r="AH1033" i="85"/>
  <c r="AH1100" i="85"/>
  <c r="AH793" i="85"/>
  <c r="AH1319" i="85"/>
  <c r="AH1252" i="85"/>
  <c r="AH1098" i="85"/>
  <c r="AH1056" i="85"/>
  <c r="AH901" i="85"/>
  <c r="AH1294" i="85"/>
  <c r="AH1473" i="85"/>
  <c r="AH1667" i="85"/>
  <c r="AH1209" i="85"/>
  <c r="AH1372" i="85"/>
  <c r="AH1302" i="85"/>
  <c r="AH1575" i="85"/>
  <c r="AH781" i="85"/>
  <c r="AH789" i="85"/>
  <c r="AH1038" i="85"/>
  <c r="AH2007" i="85"/>
  <c r="AH629" i="85"/>
  <c r="AH1572" i="85"/>
  <c r="AH69" i="85"/>
  <c r="AH572" i="85"/>
  <c r="AH1456" i="85"/>
  <c r="AH1459" i="85"/>
  <c r="AH196" i="85"/>
  <c r="AH54" i="85"/>
  <c r="AH117" i="85"/>
  <c r="AH262" i="85"/>
  <c r="AH690" i="85"/>
  <c r="AH1199" i="85"/>
  <c r="AH856" i="85"/>
  <c r="AH82" i="85"/>
  <c r="AH83" i="85"/>
  <c r="AH376" i="85"/>
  <c r="AH388" i="85"/>
  <c r="AH188" i="85"/>
  <c r="AH1191" i="85"/>
  <c r="AH277" i="85"/>
  <c r="AH292" i="85"/>
  <c r="AH451" i="85"/>
  <c r="AH124" i="85"/>
  <c r="AH616" i="85"/>
  <c r="AH1406" i="85"/>
  <c r="AH1259" i="85"/>
  <c r="AH1403" i="85"/>
  <c r="AH1544" i="85"/>
  <c r="AH240" i="85"/>
  <c r="AH2060" i="85"/>
  <c r="AH617" i="85"/>
  <c r="AH494" i="85"/>
  <c r="AH357" i="85"/>
  <c r="AH2051" i="85"/>
  <c r="AH1420" i="85"/>
  <c r="AH751" i="85"/>
  <c r="AH246" i="85"/>
  <c r="AH589" i="85"/>
  <c r="AH795" i="85"/>
  <c r="AH1681" i="85"/>
  <c r="AH52" i="85"/>
  <c r="AH142" i="85"/>
  <c r="AH150" i="85"/>
  <c r="AH933" i="85"/>
  <c r="AH132" i="85"/>
  <c r="AH663" i="85"/>
  <c r="AH1514" i="85"/>
  <c r="AH1649" i="85"/>
  <c r="AH38" i="85"/>
  <c r="AH204" i="85"/>
  <c r="AH1158" i="85"/>
  <c r="AH256" i="85"/>
  <c r="AH99" i="85"/>
  <c r="AH1678" i="85"/>
  <c r="AH2108" i="85"/>
  <c r="AH359" i="85"/>
  <c r="AH1865" i="85"/>
  <c r="AH2033" i="85"/>
  <c r="AH2584" i="85"/>
  <c r="AH445" i="85"/>
  <c r="AH1049" i="85"/>
  <c r="AH753" i="85"/>
  <c r="AH128" i="85"/>
  <c r="AH2409" i="85"/>
  <c r="AH861" i="85"/>
  <c r="AH2279" i="85"/>
  <c r="AH215" i="85"/>
  <c r="AH2803" i="85"/>
  <c r="AH3053" i="85"/>
  <c r="AH2136" i="85"/>
  <c r="AH2885" i="85"/>
  <c r="AH2935" i="85"/>
  <c r="AH2357" i="85"/>
  <c r="AH2502" i="85"/>
  <c r="AH2925" i="85"/>
  <c r="AH3039" i="85"/>
  <c r="AH2324" i="85"/>
  <c r="AH2664" i="85"/>
  <c r="AH3156" i="85"/>
  <c r="AH3157" i="85"/>
  <c r="AH3159" i="85"/>
  <c r="AH3160" i="85"/>
  <c r="AH3161" i="85"/>
  <c r="AH3162" i="85"/>
  <c r="AH652" i="85"/>
  <c r="AH2099" i="85"/>
  <c r="AH1044" i="85"/>
  <c r="AH119" i="85"/>
  <c r="AH1756" i="85"/>
  <c r="AH512" i="85"/>
  <c r="AH1287" i="85"/>
  <c r="AH2430" i="85"/>
  <c r="AH756" i="85"/>
  <c r="AH2337" i="85"/>
  <c r="AH2072" i="85"/>
  <c r="AH596" i="85"/>
  <c r="AH2061" i="85"/>
  <c r="AH1104" i="85"/>
  <c r="AH1442" i="85"/>
  <c r="AH1249" i="85"/>
  <c r="AH1451" i="85"/>
  <c r="AH873" i="85"/>
  <c r="AH1610" i="85"/>
  <c r="AH1262" i="85"/>
  <c r="AH1285" i="85"/>
  <c r="AH748" i="85"/>
  <c r="AH949" i="85"/>
  <c r="AH807" i="85"/>
  <c r="AH958" i="85"/>
  <c r="AH2058" i="85"/>
  <c r="AH1604" i="85"/>
  <c r="AH546" i="85"/>
  <c r="AH740" i="85"/>
  <c r="AH87" i="85"/>
  <c r="AH219" i="85"/>
  <c r="AH58" i="85"/>
  <c r="AH2057" i="85"/>
  <c r="AH1066" i="85"/>
  <c r="AH202" i="85"/>
  <c r="AH181" i="85"/>
  <c r="AH336" i="85"/>
  <c r="AH380" i="85"/>
  <c r="AH425" i="85"/>
  <c r="AH435" i="85"/>
  <c r="AH156" i="85"/>
  <c r="AH345" i="85"/>
  <c r="AH137" i="85"/>
  <c r="AH344" i="85"/>
  <c r="AH1776" i="85"/>
  <c r="AH242" i="85"/>
  <c r="AH516" i="85"/>
  <c r="AH1381" i="85"/>
  <c r="AH238" i="85"/>
  <c r="AH442" i="85"/>
  <c r="AH2096" i="85"/>
  <c r="AH2156" i="85"/>
  <c r="AH1412" i="85"/>
  <c r="AH628" i="85"/>
  <c r="AH667" i="85"/>
  <c r="AH1463" i="85"/>
  <c r="AH1141" i="85"/>
  <c r="AH2335" i="85"/>
  <c r="AH1848" i="85"/>
  <c r="AH981" i="85"/>
  <c r="AH1303" i="85"/>
  <c r="AH285" i="85"/>
  <c r="AH495" i="85"/>
  <c r="AH334" i="85"/>
  <c r="AH454" i="85"/>
  <c r="AH752" i="85"/>
  <c r="AH3163" i="85"/>
  <c r="AH2962" i="85"/>
  <c r="AH2966" i="85"/>
  <c r="AH598" i="85"/>
  <c r="AH738" i="85"/>
  <c r="AH251" i="85"/>
  <c r="AH877" i="85"/>
  <c r="AH847" i="85"/>
  <c r="AH2074" i="85"/>
  <c r="AH1916" i="85"/>
  <c r="AH1516" i="85"/>
  <c r="AH650" i="85"/>
  <c r="AH1768" i="85"/>
  <c r="AH2194" i="85"/>
  <c r="AH2128" i="85"/>
  <c r="AH1866" i="85"/>
  <c r="AH622" i="85"/>
  <c r="AH1697" i="85"/>
  <c r="AH1876" i="85"/>
  <c r="AH1782" i="85"/>
  <c r="AH2363" i="85"/>
  <c r="AH511" i="85"/>
  <c r="AH1146" i="85"/>
  <c r="AH887" i="85"/>
  <c r="AH549" i="85"/>
  <c r="AH426" i="85"/>
  <c r="AH520" i="85"/>
  <c r="AH1238" i="85"/>
  <c r="AH2398" i="85"/>
  <c r="AH2546" i="85"/>
  <c r="AH2678" i="85"/>
  <c r="AH1816" i="85"/>
  <c r="AH2331" i="85"/>
  <c r="AH434" i="85"/>
  <c r="AH64" i="85"/>
  <c r="AH170" i="85"/>
  <c r="AH2014" i="85"/>
  <c r="AH2254" i="85"/>
  <c r="AH231" i="85"/>
  <c r="AH306" i="85"/>
  <c r="AH2149" i="85"/>
  <c r="AH2347" i="85"/>
  <c r="AH1999" i="85"/>
  <c r="AH876" i="85"/>
  <c r="AH1012" i="85"/>
  <c r="AH2184" i="85"/>
  <c r="AH2647" i="85"/>
  <c r="AH2173" i="85"/>
  <c r="AH2619" i="85"/>
  <c r="AH2204" i="85"/>
  <c r="AH1970" i="85"/>
  <c r="AH2269" i="85"/>
  <c r="AH2707" i="85"/>
  <c r="AH1254" i="85"/>
  <c r="AH1677" i="85"/>
  <c r="AH1648" i="85"/>
  <c r="AH179" i="85"/>
  <c r="AH53" i="85"/>
  <c r="AH49" i="85"/>
  <c r="AH37" i="85"/>
  <c r="AH31" i="85"/>
  <c r="AH878" i="85"/>
  <c r="AH1321" i="85"/>
  <c r="AH2618" i="85"/>
  <c r="AH1952" i="85"/>
  <c r="AH2645" i="85"/>
  <c r="AH859" i="85"/>
  <c r="AH1986" i="85"/>
  <c r="AH927" i="85"/>
  <c r="AH2063" i="85"/>
  <c r="AH408" i="85"/>
  <c r="AH1136" i="85"/>
  <c r="AH47" i="85"/>
  <c r="AH664" i="85"/>
  <c r="AH161" i="85"/>
  <c r="AH254" i="85"/>
  <c r="AH106" i="85"/>
  <c r="AH1170" i="85"/>
  <c r="AH233" i="85"/>
  <c r="AH1197" i="85"/>
  <c r="AH2203" i="85"/>
  <c r="AH2247" i="85"/>
  <c r="AH2387" i="85"/>
  <c r="AH926" i="85"/>
  <c r="AH1608" i="85"/>
  <c r="AH2679" i="85"/>
  <c r="AH2905" i="85"/>
  <c r="AH71" i="85"/>
  <c r="AH492" i="85"/>
  <c r="AH1977" i="85"/>
  <c r="AH2165" i="85"/>
  <c r="AH1705" i="85"/>
  <c r="AH337" i="85"/>
  <c r="AH736" i="85"/>
  <c r="AH227" i="85"/>
  <c r="AH1436" i="85"/>
  <c r="AH967" i="85"/>
  <c r="AH1019" i="85"/>
  <c r="AH34" i="85"/>
  <c r="AH27" i="85"/>
  <c r="AH100" i="85"/>
  <c r="AH1454" i="85"/>
  <c r="AH978" i="85"/>
  <c r="AH456" i="85"/>
  <c r="AH79" i="85"/>
  <c r="AH19" i="85"/>
  <c r="AH50" i="85"/>
  <c r="AH35" i="85"/>
  <c r="AH1327" i="85"/>
  <c r="AH884" i="85"/>
  <c r="AH311" i="85"/>
  <c r="AH718" i="85"/>
  <c r="AH101" i="85"/>
  <c r="AH385" i="85"/>
  <c r="AH84" i="85"/>
  <c r="AH120" i="85"/>
  <c r="AH247" i="85"/>
  <c r="AH110" i="85"/>
  <c r="AH214" i="85"/>
  <c r="AH603" i="85"/>
  <c r="AH62" i="85"/>
  <c r="AH77" i="85"/>
  <c r="AH43" i="85"/>
  <c r="AH15" i="85"/>
  <c r="AH90" i="85"/>
  <c r="AH45" i="85"/>
  <c r="AH941" i="85"/>
  <c r="AH383" i="85"/>
  <c r="AH40" i="85"/>
  <c r="AH1215" i="85"/>
  <c r="AH954" i="85"/>
  <c r="AH921" i="85"/>
  <c r="AH1641" i="85"/>
  <c r="AH2451" i="85"/>
  <c r="AH1470" i="85"/>
  <c r="AH1536" i="85"/>
  <c r="AH2220" i="85"/>
  <c r="AH72" i="85"/>
  <c r="AH29" i="85"/>
  <c r="AH178" i="85"/>
  <c r="AH80" i="85"/>
  <c r="AH229" i="85"/>
  <c r="AH300" i="85"/>
  <c r="AH59" i="85"/>
  <c r="AH299" i="85"/>
  <c r="AH348" i="85"/>
  <c r="AH446" i="85"/>
  <c r="AH482" i="85"/>
  <c r="AH343" i="85"/>
  <c r="AH112" i="85"/>
  <c r="AH1576" i="85"/>
  <c r="AH485" i="85"/>
  <c r="AH529" i="85"/>
  <c r="AH263" i="85"/>
  <c r="AH107" i="85"/>
  <c r="AH153" i="85"/>
  <c r="AH761" i="85"/>
  <c r="AH708" i="85"/>
  <c r="AH1024" i="85"/>
  <c r="AH135" i="85"/>
  <c r="AH152" i="85"/>
  <c r="AH452" i="85"/>
  <c r="AH123" i="85"/>
  <c r="AH871" i="85"/>
  <c r="AH174" i="85"/>
  <c r="AH91" i="85"/>
  <c r="AH198" i="85"/>
  <c r="AH122" i="85"/>
  <c r="AH1692" i="85"/>
  <c r="AH1720" i="85"/>
  <c r="AH2382" i="85"/>
  <c r="AH1764" i="85"/>
  <c r="AH2443" i="85"/>
  <c r="AH1738" i="85"/>
  <c r="AH1689" i="85"/>
  <c r="AH1851" i="85"/>
  <c r="AH2113" i="85"/>
  <c r="AH1628" i="85"/>
  <c r="AH1268" i="85"/>
  <c r="AH1429" i="85"/>
  <c r="AH1401" i="85"/>
  <c r="AH322" i="85"/>
  <c r="AH104" i="85"/>
  <c r="AH444" i="85"/>
  <c r="AH573" i="85"/>
  <c r="AH1150" i="85"/>
  <c r="AH243" i="85"/>
  <c r="AH193" i="85"/>
  <c r="AH371" i="85"/>
  <c r="AH427" i="85"/>
  <c r="AH483" i="85"/>
  <c r="AH453" i="85"/>
  <c r="AH1001" i="85"/>
  <c r="AH2513" i="85"/>
  <c r="AH528" i="85"/>
  <c r="AH1784" i="85"/>
  <c r="AH808" i="85"/>
  <c r="AH799" i="85"/>
  <c r="AH1485" i="85"/>
  <c r="AH638" i="85"/>
  <c r="AH688" i="85"/>
  <c r="AH1883" i="85"/>
  <c r="AH2504" i="85"/>
  <c r="AH946" i="85"/>
  <c r="AH1383" i="85"/>
  <c r="AH2158" i="85"/>
  <c r="AH1647" i="85"/>
  <c r="AH1272" i="85"/>
  <c r="AH2172" i="85"/>
  <c r="AH1739" i="85"/>
  <c r="AH1725" i="85"/>
  <c r="AH1323" i="85"/>
  <c r="AH1250" i="85"/>
  <c r="AH1779" i="85"/>
  <c r="AH2068" i="85"/>
  <c r="AH588" i="85"/>
  <c r="AH26" i="85"/>
  <c r="AH21" i="85"/>
  <c r="AH1902" i="85"/>
  <c r="AH2187" i="85"/>
  <c r="AH3037" i="85"/>
  <c r="AH2444" i="85"/>
  <c r="AH1748" i="85"/>
  <c r="AH1948" i="85"/>
  <c r="AH764" i="85"/>
  <c r="AH207" i="85"/>
  <c r="AH25" i="85"/>
  <c r="AH1635" i="85"/>
  <c r="AH1297" i="85"/>
  <c r="AH743" i="85"/>
  <c r="AH890" i="85"/>
  <c r="AH261" i="85"/>
  <c r="AH1524" i="85"/>
  <c r="AH1680" i="85"/>
  <c r="AH2196" i="85"/>
  <c r="AH3024" i="85"/>
  <c r="AH1581" i="85"/>
  <c r="AH1392" i="85"/>
  <c r="AH2089" i="85"/>
  <c r="AH440" i="85"/>
  <c r="AH1939" i="85"/>
  <c r="AH1031" i="85"/>
  <c r="AH1476" i="85"/>
  <c r="AH1605" i="85"/>
  <c r="AH680" i="85"/>
  <c r="AH1365" i="85"/>
  <c r="AH406" i="85"/>
  <c r="AH1590" i="85"/>
  <c r="AH802" i="85"/>
  <c r="AH868" i="85"/>
  <c r="AH2238" i="85"/>
  <c r="AH1089" i="85"/>
  <c r="AH2145" i="85"/>
  <c r="AH755" i="85"/>
  <c r="AH1067" i="85"/>
  <c r="AH1410" i="85"/>
  <c r="AH1615" i="85"/>
  <c r="AH1474" i="85"/>
  <c r="AH129" i="85"/>
  <c r="AH1264" i="85"/>
  <c r="AH1148" i="85"/>
  <c r="AH1826" i="85"/>
  <c r="AH1955" i="85"/>
  <c r="AH1732" i="85"/>
  <c r="AH611" i="85"/>
  <c r="AH176" i="85"/>
  <c r="AH648" i="85"/>
  <c r="AH1139" i="85"/>
  <c r="AH1380" i="85"/>
  <c r="AH175" i="85"/>
  <c r="AH641" i="85"/>
  <c r="AH1658" i="85"/>
  <c r="AH2206" i="85"/>
  <c r="AH504" i="85"/>
  <c r="AH22" i="85"/>
  <c r="AH1499" i="85"/>
  <c r="AH600" i="85"/>
  <c r="AH1152" i="85"/>
  <c r="AH2835" i="85"/>
  <c r="AH213" i="85"/>
  <c r="AH159" i="85"/>
  <c r="AH108" i="85"/>
  <c r="AH14" i="85"/>
  <c r="AH682" i="85"/>
  <c r="AH654" i="85"/>
  <c r="AH938" i="85"/>
  <c r="AH470" i="85"/>
  <c r="AH3165" i="85"/>
  <c r="AH1700" i="85"/>
  <c r="AH2256" i="85"/>
  <c r="AH1475" i="85"/>
  <c r="AH1847" i="85"/>
  <c r="AH1408" i="85"/>
  <c r="AH835" i="85"/>
  <c r="AH2255" i="85"/>
  <c r="AH854" i="85"/>
  <c r="AH2709" i="85"/>
  <c r="AH2913" i="85"/>
  <c r="AH2691" i="85"/>
  <c r="AH2557" i="85"/>
  <c r="AH1597" i="85"/>
  <c r="AH2743" i="85"/>
  <c r="AH2188" i="85"/>
  <c r="AH1367" i="85"/>
  <c r="AH1830" i="85"/>
  <c r="AH523" i="85"/>
  <c r="AH1413" i="85"/>
  <c r="AH3003" i="85"/>
  <c r="AH2310" i="85"/>
  <c r="AH525" i="85"/>
  <c r="AH2463" i="85"/>
  <c r="AH1371" i="85"/>
  <c r="AH860" i="85"/>
  <c r="AH821" i="85"/>
  <c r="AH2920" i="85"/>
  <c r="AH3131" i="85"/>
  <c r="AH1105" i="85"/>
  <c r="AH1147" i="85"/>
  <c r="AH2317" i="85"/>
  <c r="AH2910" i="85"/>
  <c r="AH2168" i="85"/>
  <c r="AH2295" i="85"/>
  <c r="AH2472" i="85"/>
  <c r="AH1453" i="85"/>
  <c r="AH2545" i="85"/>
  <c r="AH415" i="85"/>
  <c r="AH2048" i="85"/>
  <c r="AH169" i="85"/>
  <c r="AH640" i="85"/>
  <c r="AH509" i="85"/>
  <c r="AH281" i="85"/>
  <c r="AH1277" i="85"/>
  <c r="AH545" i="85"/>
  <c r="AH893" i="85"/>
  <c r="AH692" i="85"/>
  <c r="AH612" i="85"/>
  <c r="AH146" i="85"/>
  <c r="AH401" i="85"/>
  <c r="AH121" i="85"/>
  <c r="AH678" i="85"/>
  <c r="AH1795" i="85"/>
  <c r="AH1048" i="85"/>
  <c r="AH2235" i="85"/>
  <c r="AH1411" i="85"/>
  <c r="AH2795" i="85"/>
  <c r="AH651" i="85"/>
  <c r="AH759" i="85"/>
  <c r="AH1823" i="85"/>
  <c r="AH1670" i="85"/>
  <c r="AH2210" i="85"/>
  <c r="AH1194" i="85"/>
  <c r="AH2771" i="85"/>
  <c r="AH2162" i="85"/>
  <c r="AH2294" i="85"/>
  <c r="AH1387" i="85"/>
  <c r="AH1859" i="85"/>
  <c r="AH929" i="85"/>
  <c r="AH1867" i="85"/>
  <c r="AH1936" i="85"/>
  <c r="AH2868" i="85"/>
  <c r="AH33" i="85"/>
  <c r="AH377" i="85"/>
  <c r="AH51" i="85"/>
  <c r="AH1207" i="85"/>
  <c r="AH465" i="85"/>
  <c r="AH980" i="85"/>
  <c r="AH56" i="85"/>
  <c r="AH2401" i="85"/>
  <c r="AH1818" i="85"/>
  <c r="AH744" i="85"/>
  <c r="AH2011" i="85"/>
  <c r="AH951" i="85"/>
  <c r="AH2226" i="85"/>
  <c r="AH118" i="85"/>
  <c r="AH1932" i="85"/>
  <c r="AH1845" i="85"/>
  <c r="AH1300" i="85"/>
  <c r="AH672" i="85"/>
  <c r="AH458" i="85"/>
  <c r="AH327" i="85"/>
  <c r="AH899" i="85"/>
  <c r="AH815" i="85"/>
  <c r="AH920" i="85"/>
  <c r="AH355" i="85"/>
  <c r="AH136" i="85"/>
  <c r="AH286" i="85"/>
  <c r="AH75" i="85"/>
  <c r="AH105" i="85"/>
  <c r="AH63" i="85"/>
  <c r="AH305" i="85"/>
  <c r="AH1709" i="85"/>
  <c r="AH490" i="85"/>
  <c r="AH555" i="85"/>
  <c r="AH309" i="85"/>
  <c r="AH2318" i="85"/>
  <c r="AH369" i="85"/>
  <c r="AH824" i="85"/>
  <c r="AH1673" i="85"/>
  <c r="AH1434" i="85"/>
  <c r="AH1612" i="85"/>
  <c r="AH1036" i="85"/>
  <c r="AH2945" i="85"/>
  <c r="AH2389" i="85"/>
  <c r="AH1467" i="85"/>
  <c r="AH389" i="85"/>
  <c r="AH1971" i="85"/>
  <c r="AH199" i="85"/>
  <c r="AH733" i="85"/>
  <c r="AH2736" i="85"/>
  <c r="AH2462" i="85"/>
  <c r="AH2029" i="85"/>
  <c r="AH2240" i="85"/>
  <c r="AH3078" i="85"/>
  <c r="AH2985" i="85"/>
  <c r="AH2572" i="85"/>
  <c r="AH2527" i="85"/>
  <c r="AH2305" i="85"/>
  <c r="AH2489" i="85"/>
  <c r="AH2445" i="85"/>
  <c r="AH2658" i="85"/>
  <c r="AH2876" i="85"/>
  <c r="AH1172" i="85"/>
  <c r="AH1849" i="85"/>
  <c r="AH2281" i="85"/>
  <c r="AH1446" i="85"/>
  <c r="AH1154" i="85"/>
  <c r="AH942" i="85"/>
  <c r="AH1765" i="85"/>
  <c r="AH872" i="85"/>
  <c r="AH2565" i="85"/>
  <c r="AH1184" i="85"/>
  <c r="AH1163" i="85"/>
  <c r="AH2428" i="85"/>
  <c r="AH1204" i="85"/>
  <c r="AH2311" i="85"/>
  <c r="AH1707" i="85"/>
  <c r="AH1890" i="85"/>
  <c r="AH1624" i="85"/>
  <c r="AH1554" i="85"/>
  <c r="AH1175" i="85"/>
  <c r="AH1558" i="85"/>
  <c r="AH1161" i="85"/>
  <c r="AH841" i="85"/>
  <c r="AH1263" i="85"/>
  <c r="AH400" i="85"/>
  <c r="AH274" i="85"/>
  <c r="AH974" i="85"/>
  <c r="AH1922" i="85"/>
  <c r="AH473" i="85"/>
  <c r="AH1292" i="85"/>
  <c r="AH939" i="85"/>
  <c r="AH527" i="85"/>
  <c r="AH349" i="85"/>
  <c r="AH1135" i="85"/>
  <c r="AH715" i="85"/>
  <c r="AH1047" i="85"/>
  <c r="AH548" i="85"/>
  <c r="AH404" i="85"/>
  <c r="AH809" i="85"/>
  <c r="AH771" i="85"/>
  <c r="AH852" i="85"/>
  <c r="AH707" i="85"/>
  <c r="AH461" i="85"/>
  <c r="AH1142" i="85"/>
  <c r="AH1120" i="85"/>
  <c r="AH1127" i="85"/>
  <c r="AH696" i="85"/>
  <c r="AH1589" i="85"/>
  <c r="AH2405" i="85"/>
  <c r="AH855" i="85"/>
  <c r="AH2246" i="85"/>
  <c r="AH1233" i="85"/>
  <c r="AH1727" i="85"/>
  <c r="AH1661" i="85"/>
  <c r="AH2606" i="85"/>
  <c r="AH2166" i="85"/>
  <c r="AH1643" i="85"/>
  <c r="AH580" i="85"/>
  <c r="AH758" i="85"/>
  <c r="AH1747" i="85"/>
  <c r="AH314" i="85"/>
  <c r="AH378" i="85"/>
  <c r="AH1239" i="85"/>
  <c r="AH138" i="85"/>
  <c r="AH89" i="85"/>
  <c r="AH2542" i="85"/>
  <c r="AH192" i="85"/>
  <c r="AH597" i="85"/>
  <c r="AH988" i="85"/>
  <c r="AH362" i="85"/>
  <c r="AH719" i="85"/>
  <c r="AH253" i="85"/>
  <c r="AH2237" i="85"/>
  <c r="AH143" i="85"/>
  <c r="AH39" i="85"/>
  <c r="AH424" i="85"/>
  <c r="AH98" i="85"/>
  <c r="AH93" i="85"/>
  <c r="AH78" i="85"/>
  <c r="AH92" i="85"/>
  <c r="AH96" i="85"/>
  <c r="AH269" i="85"/>
  <c r="AH32" i="85"/>
  <c r="AH387" i="85"/>
  <c r="AH210" i="85"/>
  <c r="AH237" i="85"/>
  <c r="AH593" i="85"/>
  <c r="AH186" i="85"/>
  <c r="AH66" i="85"/>
  <c r="AH302" i="85"/>
  <c r="AH30" i="85"/>
  <c r="AH114" i="85"/>
  <c r="AH342" i="85"/>
  <c r="AH95" i="85"/>
  <c r="AH382" i="85"/>
  <c r="AH402" i="85"/>
  <c r="AH244" i="85"/>
  <c r="AH1836" i="85"/>
  <c r="AH524" i="85"/>
  <c r="AH225" i="85"/>
  <c r="AH669" i="85"/>
  <c r="AH1157" i="85"/>
  <c r="AH1814" i="85"/>
  <c r="AH258" i="85"/>
  <c r="AH283" i="85"/>
  <c r="AH2518" i="85"/>
  <c r="AH818" i="85"/>
  <c r="AH149" i="85"/>
  <c r="AH2742" i="85"/>
  <c r="AH2750" i="85"/>
  <c r="AH331" i="85"/>
  <c r="AH384" i="85"/>
  <c r="AH338" i="85"/>
  <c r="AH560" i="85"/>
  <c r="AH68" i="85"/>
  <c r="AH1813" i="85"/>
  <c r="AH2857" i="85"/>
  <c r="AH2624" i="85"/>
  <c r="AH264" i="85"/>
  <c r="AH2252" i="85"/>
  <c r="AH315" i="85"/>
  <c r="AH947" i="85"/>
  <c r="AH1227" i="85"/>
  <c r="AH728" i="85"/>
  <c r="AH2036" i="85"/>
  <c r="AH1080" i="85"/>
  <c r="AH1398" i="85"/>
  <c r="AH1515" i="85"/>
  <c r="AH883" i="85"/>
  <c r="AH2016" i="85"/>
  <c r="AH970" i="85"/>
  <c r="AH914" i="85"/>
  <c r="AH2085" i="85"/>
  <c r="AH2344" i="85"/>
  <c r="AH1934" i="85"/>
  <c r="AH1674" i="85"/>
  <c r="AH3166" i="85"/>
  <c r="AH2689" i="85"/>
  <c r="AH1644" i="85"/>
  <c r="AH2391" i="85"/>
  <c r="AH3040" i="85"/>
  <c r="AH2799" i="85"/>
  <c r="AH2614" i="85"/>
  <c r="AH1318" i="85"/>
  <c r="AH713" i="85"/>
  <c r="AH493" i="85"/>
  <c r="AH295" i="85"/>
  <c r="AH2375" i="85"/>
  <c r="AH1879" i="85"/>
  <c r="AH1109" i="85"/>
  <c r="AH1427" i="85"/>
  <c r="AH1393" i="85"/>
  <c r="AH2356" i="85"/>
  <c r="AH1691" i="85"/>
  <c r="AH2241" i="85"/>
  <c r="AH2802" i="85"/>
  <c r="AH2408" i="85"/>
  <c r="AH2814" i="85"/>
  <c r="AH2810" i="85"/>
  <c r="AH2808" i="85"/>
  <c r="AH2006" i="85"/>
  <c r="AH1804" i="85"/>
  <c r="AH1837" i="85"/>
  <c r="AH1425" i="85"/>
  <c r="AH2182" i="85"/>
  <c r="AH2432" i="85"/>
  <c r="AH2944" i="85"/>
  <c r="AH2908" i="85"/>
  <c r="AH2965" i="85"/>
  <c r="AH2823" i="85"/>
  <c r="AH2764" i="85"/>
  <c r="AH2159" i="85"/>
  <c r="AH2078" i="85"/>
  <c r="AH2979" i="85"/>
  <c r="AH1316" i="85"/>
  <c r="AH1962" i="85"/>
  <c r="AH1177" i="85"/>
  <c r="AH1320" i="85"/>
  <c r="AH499" i="85"/>
  <c r="AH1829" i="85"/>
  <c r="AH1466" i="85"/>
  <c r="AH248" i="85"/>
  <c r="AH2328" i="85"/>
  <c r="AH1811" i="85"/>
  <c r="AH2481" i="85"/>
  <c r="AH2469" i="85"/>
  <c r="AH2767" i="85"/>
  <c r="AH1717" i="85"/>
  <c r="AH2250" i="85"/>
  <c r="AH2909" i="85"/>
  <c r="AH3033" i="85"/>
  <c r="AH1884" i="85"/>
  <c r="AH44" i="85"/>
  <c r="AH187" i="85"/>
  <c r="AH2801" i="85"/>
  <c r="AH1087" i="85"/>
  <c r="AH2207" i="85"/>
  <c r="AH2938" i="85"/>
  <c r="AH2257" i="85"/>
  <c r="AH2416" i="85"/>
  <c r="AH1483" i="85"/>
  <c r="AH2348" i="85"/>
  <c r="AH2511" i="85"/>
  <c r="AH3071" i="85"/>
  <c r="AH3030" i="85"/>
  <c r="AH2815" i="85"/>
  <c r="AH2793" i="85"/>
  <c r="AH1565" i="85"/>
  <c r="AH2004" i="85"/>
  <c r="AH1269" i="85"/>
  <c r="AH2784" i="85"/>
  <c r="AH639" i="85"/>
  <c r="AH1228" i="85"/>
  <c r="AH889" i="85"/>
  <c r="AH2422" i="85"/>
  <c r="AH484" i="85"/>
  <c r="AH2477" i="85"/>
  <c r="AH1185" i="85"/>
  <c r="AH1650" i="85"/>
  <c r="AH2484" i="85"/>
  <c r="AH866" i="85"/>
  <c r="AH618" i="85"/>
  <c r="AH615" i="85"/>
  <c r="AH270" i="85"/>
  <c r="AH681" i="85"/>
  <c r="AH798" i="85"/>
  <c r="AH455" i="85"/>
  <c r="AH506" i="85"/>
  <c r="AH360" i="85"/>
  <c r="AH224" i="85"/>
  <c r="AH182" i="85"/>
  <c r="AH249" i="85"/>
  <c r="AH226" i="85"/>
  <c r="AH843" i="85"/>
  <c r="AH1242" i="85"/>
  <c r="AH1345" i="85"/>
  <c r="AH267" i="85"/>
  <c r="AH1155" i="85"/>
  <c r="AH418" i="85"/>
  <c r="AH372" i="85"/>
  <c r="AH271" i="85"/>
  <c r="AH574" i="85"/>
  <c r="AH462" i="85"/>
  <c r="AH273" i="85"/>
  <c r="AH111" i="85"/>
  <c r="AH109" i="85"/>
  <c r="AH530" i="85"/>
  <c r="AH634" i="85"/>
  <c r="AH1149" i="85"/>
  <c r="AH1964" i="85"/>
  <c r="AH2000" i="85"/>
  <c r="AH2450" i="85"/>
  <c r="AH1882" i="85"/>
  <c r="AH1376" i="85"/>
  <c r="AH373" i="85"/>
  <c r="AH660" i="85"/>
  <c r="AH200" i="85"/>
  <c r="AH1663" i="85"/>
  <c r="AH1301" i="85"/>
  <c r="AH2811" i="85"/>
  <c r="AH2668" i="85"/>
  <c r="AH972" i="85"/>
  <c r="AH1938" i="85"/>
  <c r="AH1217" i="85"/>
  <c r="AH635" i="85"/>
  <c r="AH60" i="85"/>
  <c r="AH3167" i="85"/>
  <c r="AH2498" i="85"/>
  <c r="AH1685" i="85"/>
  <c r="AH2721" i="85"/>
  <c r="AH2529" i="85"/>
  <c r="AH3076" i="85"/>
  <c r="AH2109" i="85"/>
  <c r="AH3064" i="85"/>
  <c r="AH2569" i="85"/>
  <c r="AH2064" i="85"/>
  <c r="AH1627" i="85"/>
  <c r="AH3058" i="85"/>
  <c r="AH3096" i="85"/>
  <c r="AH1928" i="85"/>
  <c r="AH3031" i="85"/>
  <c r="AH1852" i="85"/>
  <c r="AH2975" i="85"/>
  <c r="AH2383" i="85"/>
  <c r="AH2740" i="85"/>
  <c r="AH1317" i="85"/>
  <c r="AH2334" i="85"/>
  <c r="AH2805" i="85"/>
  <c r="AH2973" i="85"/>
  <c r="AH1069" i="85"/>
  <c r="AH1726" i="85"/>
  <c r="AH2239" i="85"/>
  <c r="AH323" i="85"/>
  <c r="AH1482" i="85"/>
  <c r="AH1097" i="85"/>
  <c r="AH2459" i="85"/>
  <c r="AH1373" i="85"/>
  <c r="AH2654" i="85"/>
  <c r="AH2942" i="85"/>
  <c r="AH1261" i="85"/>
  <c r="AH468" i="85"/>
  <c r="AH417" i="85"/>
  <c r="AH239" i="85"/>
  <c r="AH1055" i="85"/>
  <c r="AH814" i="85"/>
  <c r="AH2019" i="85"/>
  <c r="AH599" i="85"/>
  <c r="AH1339" i="85"/>
  <c r="AH976" i="85"/>
  <c r="AH2555" i="85"/>
  <c r="AH1183" i="85"/>
  <c r="AH924" i="85"/>
  <c r="AH151" i="85"/>
  <c r="AH1621" i="85"/>
  <c r="AH1834" i="85"/>
  <c r="AH2809" i="85"/>
  <c r="AH898" i="85"/>
  <c r="AH2028" i="85"/>
  <c r="AH3016" i="85"/>
  <c r="AH2939" i="85"/>
  <c r="AH1596" i="85"/>
  <c r="AH1517" i="85"/>
  <c r="AH1993" i="85"/>
  <c r="AH1899" i="85"/>
  <c r="AH2447" i="85"/>
  <c r="AH1861" i="85"/>
  <c r="AH903" i="85"/>
  <c r="AH925" i="85"/>
  <c r="AH1234" i="85"/>
  <c r="AH687" i="85"/>
  <c r="AH778" i="85"/>
  <c r="AH575" i="85"/>
  <c r="AH717" i="85"/>
  <c r="AH826" i="85"/>
  <c r="AH1959" i="85"/>
  <c r="AH987" i="85"/>
  <c r="AH2824" i="85"/>
  <c r="AH3002" i="85"/>
  <c r="AH3092" i="85"/>
  <c r="AH2621" i="85"/>
  <c r="AH3107" i="85"/>
  <c r="AH3145" i="85"/>
  <c r="AH2656" i="85"/>
  <c r="AH3086" i="85"/>
  <c r="AH3055" i="85"/>
  <c r="AH2699" i="85"/>
  <c r="AH2609" i="85"/>
  <c r="AH3106" i="85"/>
  <c r="AH2825" i="85"/>
  <c r="AH2783" i="85"/>
  <c r="AH2325" i="85"/>
  <c r="AH694" i="85"/>
  <c r="AH2806" i="85"/>
  <c r="AH1308" i="85"/>
  <c r="AH782" i="85"/>
  <c r="AH1634" i="85"/>
  <c r="AH2274" i="85"/>
  <c r="AH1255" i="85"/>
  <c r="AH991" i="85"/>
  <c r="AH1378" i="85"/>
  <c r="AH1586" i="85"/>
  <c r="AH1017" i="85"/>
  <c r="AH2535" i="85"/>
  <c r="AH2922" i="85"/>
  <c r="AH2798" i="85"/>
  <c r="AH2421" i="85"/>
  <c r="AH2041" i="85"/>
  <c r="AH2848" i="85"/>
  <c r="AH1547" i="85"/>
  <c r="AH2696" i="85"/>
  <c r="AH1534" i="85"/>
  <c r="AH1735" i="85"/>
  <c r="AH2807" i="85"/>
  <c r="AH2154" i="85"/>
  <c r="AH1422" i="85"/>
  <c r="AH1655" i="85"/>
  <c r="AH1330" i="85"/>
  <c r="AH1582" i="85"/>
  <c r="AH645" i="85"/>
  <c r="AH1370" i="85"/>
  <c r="AH1873" i="85"/>
  <c r="AH3059" i="85"/>
  <c r="AH1279" i="85"/>
  <c r="AH2589" i="85"/>
  <c r="AH2386" i="85"/>
  <c r="AH917" i="85"/>
  <c r="AH2847" i="85"/>
  <c r="AH943" i="85"/>
  <c r="AH2025" i="85"/>
  <c r="AH685" i="85"/>
  <c r="AH3142" i="85"/>
  <c r="AH930" i="85"/>
  <c r="AH392" i="85"/>
  <c r="AH2969" i="85"/>
  <c r="AH3136" i="85"/>
  <c r="AH2199" i="85"/>
  <c r="AH1724" i="85"/>
  <c r="AH2491" i="85"/>
  <c r="AH1995" i="85"/>
  <c r="AH2202" i="85"/>
  <c r="AH1702" i="85"/>
  <c r="AH3061" i="85"/>
  <c r="AH1290" i="85"/>
  <c r="AH1617" i="85"/>
  <c r="AH3129" i="85"/>
  <c r="AH2845" i="85"/>
  <c r="AH3041" i="85"/>
  <c r="AH2931" i="85"/>
  <c r="AH2900" i="85"/>
  <c r="AH3119" i="85"/>
  <c r="AH241" i="85"/>
  <c r="AH2788" i="85"/>
  <c r="AH913" i="85"/>
  <c r="AH3111" i="85"/>
  <c r="AH2852" i="85"/>
  <c r="AH2820" i="85"/>
  <c r="AH2733" i="85"/>
  <c r="AH3098" i="85"/>
  <c r="AH2906" i="85"/>
  <c r="AH2869" i="85"/>
  <c r="AH2550" i="85"/>
  <c r="AH2800" i="85"/>
  <c r="AH2243" i="85"/>
  <c r="AH3038" i="85"/>
  <c r="AH1128" i="85"/>
  <c r="AH3144" i="85"/>
  <c r="AH3105" i="85"/>
  <c r="AH2686" i="85"/>
  <c r="AH2894" i="85"/>
  <c r="AH3130" i="85"/>
  <c r="AH2531" i="85"/>
  <c r="AH2496" i="85"/>
  <c r="AH2904" i="85"/>
  <c r="AH2591" i="85"/>
  <c r="AH2889" i="85"/>
  <c r="AH1723" i="85"/>
  <c r="AH1703" i="85"/>
  <c r="AH1810" i="85"/>
  <c r="AH2878" i="85"/>
  <c r="AH2611" i="85"/>
  <c r="AH2946" i="85"/>
  <c r="AH2970" i="85"/>
  <c r="AH2907" i="85"/>
  <c r="AH2685" i="85"/>
  <c r="AH2628" i="85"/>
  <c r="AH2682" i="85"/>
  <c r="AH2514" i="85"/>
  <c r="AH2964" i="85"/>
  <c r="AH2813" i="85"/>
  <c r="AH1778" i="85"/>
  <c r="AH1668" i="85"/>
  <c r="AH2778" i="85"/>
  <c r="AH2856" i="85"/>
  <c r="AH2138" i="85"/>
  <c r="AH2037" i="85"/>
  <c r="AH2208" i="85"/>
  <c r="AH1824" i="85"/>
  <c r="AH1676" i="85"/>
  <c r="AH1404" i="85"/>
  <c r="AH765" i="85"/>
  <c r="AH2023" i="85"/>
  <c r="AH1324" i="85"/>
  <c r="AH471" i="85"/>
  <c r="AH1386" i="85"/>
  <c r="AH3034" i="85"/>
  <c r="AH2588" i="85"/>
  <c r="AH2270" i="85"/>
  <c r="AH1571" i="85"/>
  <c r="AH623" i="85"/>
  <c r="AH561" i="85"/>
  <c r="AH116" i="85"/>
  <c r="AH265" i="85"/>
  <c r="AH12" i="85"/>
  <c r="AH2342" i="85"/>
  <c r="AH937" i="85"/>
  <c r="AH2213" i="85"/>
  <c r="AH2528" i="85"/>
  <c r="AH2161" i="85"/>
  <c r="AH2648" i="85"/>
  <c r="AH1193" i="85"/>
  <c r="AH2369" i="85"/>
  <c r="AH3046" i="85"/>
  <c r="AH2694" i="85"/>
  <c r="AH2963" i="85"/>
  <c r="AH2362" i="85"/>
  <c r="AH1344" i="85"/>
  <c r="AH211" i="85"/>
  <c r="AH352" i="85"/>
  <c r="AH1693" i="85"/>
  <c r="AH1875" i="85"/>
  <c r="AH1328" i="85"/>
  <c r="AH1428" i="85"/>
  <c r="AH1174" i="85"/>
  <c r="AH1267" i="85"/>
  <c r="AH374" i="85"/>
  <c r="AH469" i="85"/>
  <c r="AH631" i="85"/>
  <c r="AH1124" i="85"/>
  <c r="AH1509" i="85"/>
  <c r="AH429" i="85"/>
  <c r="AH554" i="85"/>
  <c r="AH339" i="85"/>
  <c r="AH332" i="85"/>
  <c r="AH310" i="85"/>
  <c r="AH969" i="85"/>
  <c r="AH2271" i="85"/>
  <c r="AH1943" i="85"/>
  <c r="AH1527" i="85"/>
  <c r="AH2817" i="85"/>
  <c r="AH1786" i="85"/>
  <c r="AH839" i="85"/>
  <c r="AH536" i="85"/>
  <c r="AH1180" i="85"/>
  <c r="AH1086" i="85"/>
  <c r="AH959" i="85"/>
  <c r="AH448" i="85"/>
  <c r="AH769" i="85"/>
  <c r="AH1064" i="85"/>
  <c r="AH1160" i="85"/>
  <c r="AH2492" i="85"/>
  <c r="AH1081" i="85"/>
  <c r="AH742" i="85"/>
  <c r="AH313" i="85"/>
  <c r="AH1484" i="85"/>
  <c r="AH2148" i="85"/>
  <c r="AH1050" i="85"/>
  <c r="AH1809" i="85"/>
  <c r="AH2594" i="85"/>
  <c r="AH2180" i="85"/>
  <c r="AH602" i="85"/>
  <c r="AH1819" i="85"/>
  <c r="AH625" i="85"/>
  <c r="AH223" i="85"/>
  <c r="AH1924" i="85"/>
  <c r="AH2990" i="85"/>
  <c r="AH3150" i="85"/>
  <c r="AH3019" i="85"/>
  <c r="AH3169" i="85"/>
  <c r="AH1027" i="85"/>
  <c r="AH653" i="85"/>
  <c r="AH1743" i="85"/>
  <c r="AH2414" i="85"/>
  <c r="AH1187" i="85"/>
  <c r="AH585" i="85"/>
  <c r="AH1762" i="85"/>
  <c r="AH3170" i="85"/>
  <c r="AH1815" i="85"/>
  <c r="AH2127" i="85"/>
  <c r="AH3056" i="85"/>
  <c r="AH3171" i="85"/>
  <c r="AH2705" i="85"/>
  <c r="AH2804" i="85"/>
  <c r="AH2465" i="85"/>
  <c r="AH2983" i="85"/>
  <c r="AH2993" i="85"/>
  <c r="AH2660" i="85"/>
  <c r="AH2568" i="85"/>
  <c r="AH3022" i="85"/>
  <c r="AH3147" i="85"/>
  <c r="AH3066" i="85"/>
  <c r="AH2822" i="85"/>
  <c r="AH1753" i="85"/>
  <c r="AH2302" i="85"/>
  <c r="AH1780" i="85"/>
  <c r="AH2368" i="85"/>
  <c r="AH2712" i="85"/>
  <c r="AH2637" i="85"/>
  <c r="AH2293" i="85"/>
  <c r="AH1832" i="85"/>
  <c r="AH2181" i="85"/>
  <c r="AH3121" i="85"/>
  <c r="AH2997" i="85"/>
  <c r="AH3101" i="85"/>
  <c r="AH2680" i="85"/>
  <c r="AH1745" i="85"/>
  <c r="AH2474" i="85"/>
  <c r="AH1538" i="85"/>
  <c r="AH1698" i="85"/>
  <c r="AH955" i="85"/>
  <c r="AH3099" i="85"/>
  <c r="AH848" i="85"/>
  <c r="AH2615" i="85"/>
  <c r="AH1900" i="85"/>
  <c r="AH1502" i="85"/>
  <c r="AH514" i="85"/>
  <c r="AH1173" i="85"/>
  <c r="AH559" i="85"/>
  <c r="AH312" i="85"/>
  <c r="AH1010" i="85"/>
  <c r="AH1465" i="85"/>
  <c r="AH1481" i="85"/>
  <c r="AH1443" i="85"/>
  <c r="AH990" i="85"/>
  <c r="AH971" i="85"/>
  <c r="AH1083" i="85"/>
  <c r="AH2617" i="85"/>
  <c r="AH785" i="85"/>
  <c r="AH1757" i="85"/>
  <c r="AH983" i="85"/>
  <c r="AH2495" i="85"/>
  <c r="AH2769" i="85"/>
  <c r="AH2141" i="85"/>
  <c r="AH2713" i="85"/>
  <c r="AH1737" i="85"/>
  <c r="AH2133" i="85"/>
  <c r="AH2114" i="85"/>
  <c r="AH379" i="85"/>
  <c r="AH950" i="85"/>
  <c r="AH2600" i="85"/>
  <c r="AH3091" i="85"/>
  <c r="AH3093" i="85"/>
  <c r="AH2870" i="85"/>
  <c r="AH2862" i="85"/>
  <c r="AH2598" i="85"/>
  <c r="AH2996" i="85"/>
  <c r="AH2216" i="85"/>
  <c r="AH2851" i="85"/>
  <c r="AH1927" i="85"/>
  <c r="AH1651" i="85"/>
  <c r="AH1058" i="85"/>
  <c r="AH1772" i="85"/>
  <c r="AH2201" i="85"/>
  <c r="AH172" i="85"/>
  <c r="AH2137" i="85"/>
  <c r="AH726" i="85"/>
  <c r="AH3172" i="85"/>
  <c r="AH2351" i="85"/>
  <c r="AH745" i="85"/>
  <c r="AH2478" i="85"/>
  <c r="AH291" i="85"/>
  <c r="AH1862" i="85"/>
  <c r="AH565" i="85"/>
  <c r="AH447" i="85"/>
  <c r="AH148" i="85"/>
  <c r="AH475" i="85"/>
  <c r="AH489" i="85"/>
  <c r="AH712" i="85"/>
  <c r="AH55" i="85"/>
  <c r="AH768" i="85"/>
  <c r="AH811" i="85"/>
  <c r="AH1335" i="85"/>
  <c r="AH989" i="85"/>
  <c r="AH220" i="85"/>
  <c r="AH720" i="85"/>
  <c r="AH501" i="85"/>
  <c r="AH1912" i="85"/>
  <c r="AH1240" i="85"/>
  <c r="AH2729" i="85"/>
  <c r="AH2374" i="85"/>
  <c r="AH2316" i="85"/>
  <c r="AH891" i="85"/>
  <c r="AH812" i="85"/>
  <c r="AH526" i="85"/>
  <c r="AH881" i="85"/>
  <c r="AH932" i="85"/>
  <c r="AH1568" i="85"/>
  <c r="AH2479" i="85"/>
  <c r="AH578" i="85"/>
  <c r="AH776" i="85"/>
  <c r="AH1417" i="85"/>
  <c r="AH1439" i="85"/>
  <c r="AH533" i="85"/>
  <c r="AH340" i="85"/>
  <c r="AH1221" i="85"/>
  <c r="AH1093" i="85"/>
  <c r="AH2720" i="85"/>
  <c r="AH3132" i="85"/>
  <c r="AH2640" i="85"/>
  <c r="AH2540" i="85"/>
  <c r="AH2832" i="85"/>
  <c r="AH1368" i="85"/>
  <c r="AH1555" i="85"/>
  <c r="AH1449" i="85"/>
  <c r="AH1325" i="85"/>
  <c r="AH1065" i="85"/>
  <c r="AH183" i="85"/>
  <c r="AH1855" i="85"/>
  <c r="AH619" i="85"/>
  <c r="AH1307" i="85"/>
  <c r="AH1178" i="85"/>
  <c r="AH586" i="85"/>
  <c r="AH2067" i="85"/>
  <c r="AH1537" i="85"/>
  <c r="AH723" i="85"/>
  <c r="AH1034" i="85"/>
  <c r="AH961" i="85"/>
  <c r="AH2119" i="85"/>
  <c r="AH587" i="85"/>
  <c r="AH1073" i="85"/>
  <c r="AH851" i="85"/>
  <c r="AH1602" i="85"/>
  <c r="AH1522" i="85"/>
  <c r="AH966" i="85"/>
  <c r="AH1926" i="85"/>
  <c r="AH1298" i="85"/>
  <c r="AH1713" i="85"/>
  <c r="AH1009" i="85"/>
  <c r="AH1094" i="85"/>
  <c r="AH3007" i="85"/>
  <c r="AH2789" i="85"/>
  <c r="AH1506" i="85"/>
  <c r="AH3047" i="85"/>
  <c r="AH3023" i="85"/>
  <c r="AH1349" i="85"/>
  <c r="AH2186" i="85"/>
  <c r="AH2464" i="85"/>
  <c r="AH2124" i="85"/>
  <c r="AH3018" i="85"/>
  <c r="AH2821" i="85"/>
  <c r="AH2775" i="85"/>
  <c r="AH2827" i="85"/>
  <c r="AH2826" i="85"/>
  <c r="AH2937" i="85"/>
  <c r="AH2915" i="85"/>
  <c r="AH476" i="85"/>
  <c r="AH2260" i="85"/>
  <c r="AH3000" i="85"/>
  <c r="AH2877" i="85"/>
  <c r="AH3043" i="85"/>
  <c r="AH2571" i="85"/>
  <c r="AH2958" i="85"/>
  <c r="AH2722" i="85"/>
  <c r="AH2415" i="85"/>
  <c r="AH2044" i="85"/>
  <c r="AH1897" i="85"/>
  <c r="AH2536" i="85"/>
  <c r="AH1490" i="85"/>
  <c r="AH1448" i="85"/>
  <c r="AH1812" i="85"/>
  <c r="AH2229" i="85"/>
  <c r="AH3051" i="85"/>
  <c r="AH3173" i="85"/>
  <c r="AH126" i="85"/>
  <c r="AH3049" i="85"/>
  <c r="AH3036" i="85"/>
  <c r="AH3122" i="85"/>
  <c r="AH3048" i="85"/>
  <c r="AH2977" i="85"/>
  <c r="AH2988" i="85"/>
  <c r="AH2564" i="85"/>
  <c r="AH3151" i="85"/>
  <c r="AH20" i="85"/>
  <c r="AH423" i="85"/>
  <c r="AH184" i="85"/>
  <c r="AH2102" i="85"/>
  <c r="AH405" i="85"/>
  <c r="AH201" i="85"/>
  <c r="AH301" i="85"/>
  <c r="AH230" i="85"/>
  <c r="AH428" i="85"/>
  <c r="AH393" i="85"/>
  <c r="AH398" i="85"/>
  <c r="AH846" i="85"/>
  <c r="AH1315" i="85"/>
  <c r="AH436" i="85"/>
  <c r="AH460" i="85"/>
  <c r="AH923" i="85"/>
  <c r="AH711" i="85"/>
  <c r="AH564" i="85"/>
  <c r="AH905" i="85"/>
  <c r="AH1310" i="85"/>
  <c r="AH2174" i="85"/>
  <c r="AH2100" i="85"/>
  <c r="AH221" i="85"/>
  <c r="AH268" i="85"/>
  <c r="AH656" i="85"/>
  <c r="AH97" i="85"/>
  <c r="AH613" i="85"/>
  <c r="AH683" i="85"/>
  <c r="AH837" i="85"/>
  <c r="AH282" i="85"/>
  <c r="AH325" i="85"/>
  <c r="AH13" i="85"/>
  <c r="AH1274" i="85"/>
  <c r="AH328" i="85"/>
  <c r="AH1695" i="85"/>
  <c r="AH916" i="85"/>
  <c r="AH948" i="85"/>
  <c r="AH467" i="85"/>
  <c r="AH145" i="85"/>
  <c r="AH1577" i="85"/>
  <c r="AH1892" i="85"/>
  <c r="AH1559" i="85"/>
  <c r="AH676" i="85"/>
  <c r="AH1225" i="85"/>
  <c r="AH643" i="85"/>
  <c r="AH515" i="85"/>
  <c r="AH777" i="85"/>
  <c r="AH1871" i="85"/>
  <c r="AH1744" i="85"/>
  <c r="AH3089" i="85"/>
  <c r="AH2512" i="85"/>
  <c r="AH3014" i="85"/>
  <c r="AH3141" i="85"/>
  <c r="AH2929" i="85"/>
  <c r="AH3068" i="85"/>
  <c r="AH2424" i="85"/>
  <c r="AH2167" i="85"/>
  <c r="AH2711" i="85"/>
  <c r="AH2954" i="85"/>
  <c r="AH2585" i="85"/>
  <c r="AH2893" i="85"/>
  <c r="AH1888" i="85"/>
  <c r="AH1792" i="85"/>
  <c r="AH2346" i="85"/>
  <c r="AH2887" i="85"/>
  <c r="AH910" i="85"/>
  <c r="AH582" i="85"/>
  <c r="AH1407" i="85"/>
  <c r="AH1541" i="85"/>
  <c r="AH1853" i="85"/>
  <c r="AH1043" i="85"/>
  <c r="AH796" i="85"/>
  <c r="AH2435" i="85"/>
  <c r="AH1526" i="85"/>
  <c r="AH1894" i="85"/>
  <c r="AH1507" i="85"/>
  <c r="AH1640" i="85"/>
  <c r="AH2544" i="85"/>
  <c r="AH1130" i="85"/>
  <c r="AH88" i="85"/>
  <c r="AH1721" i="85"/>
  <c r="AH1028" i="85"/>
  <c r="AH830" i="85"/>
  <c r="AH1229" i="85"/>
  <c r="AH620" i="85"/>
  <c r="AH874" i="85"/>
  <c r="AH1573" i="85"/>
  <c r="AH1958" i="85"/>
  <c r="AH1077" i="85"/>
  <c r="AH770" i="85"/>
  <c r="AH2427" i="85"/>
  <c r="AH1241" i="85"/>
  <c r="AH2719" i="85"/>
  <c r="AH2134" i="85"/>
  <c r="AH1599" i="85"/>
  <c r="AH831" i="85"/>
  <c r="AH2612" i="85"/>
  <c r="AH2110" i="85"/>
  <c r="AH3174" i="85"/>
  <c r="AH3042" i="85"/>
  <c r="AH3080" i="85"/>
  <c r="AH1557" i="85"/>
  <c r="AH2231" i="85"/>
  <c r="AH1708" i="85"/>
  <c r="AH1770" i="85"/>
  <c r="AH1639" i="85"/>
  <c r="AH2452" i="85"/>
  <c r="AH1969" i="85"/>
  <c r="AH2198" i="85"/>
  <c r="AH1636" i="85"/>
  <c r="AH2559" i="85"/>
  <c r="AH928" i="85"/>
  <c r="AH1734" i="85"/>
  <c r="AH2884" i="85"/>
  <c r="AH1278" i="85"/>
  <c r="AH1414" i="85"/>
  <c r="AH1895" i="85"/>
  <c r="AH2047" i="85"/>
  <c r="AH1342" i="85"/>
  <c r="AH2896" i="85"/>
  <c r="AH2075" i="85"/>
  <c r="AH2700" i="85"/>
  <c r="AH2601" i="85"/>
  <c r="AH2989" i="85"/>
  <c r="AH1256" i="85"/>
  <c r="AH1366" i="85"/>
  <c r="AH1839" i="85"/>
  <c r="AH2675" i="85"/>
  <c r="AH1560" i="85"/>
  <c r="AH2053" i="85"/>
  <c r="AH2774" i="85"/>
  <c r="AH2319" i="85"/>
  <c r="AH2323" i="85"/>
  <c r="AH1113" i="85"/>
  <c r="AH606" i="85"/>
  <c r="AH865" i="85"/>
  <c r="AH1893" i="85"/>
  <c r="AH513" i="85"/>
  <c r="AH842" i="85"/>
  <c r="AH1607" i="85"/>
  <c r="AH1843" i="85"/>
  <c r="AH2874" i="85"/>
  <c r="AH1011" i="85"/>
  <c r="AH1688" i="85"/>
  <c r="AH2976" i="85"/>
  <c r="AH1833" i="85"/>
  <c r="AH1593" i="85"/>
  <c r="AH2629" i="85"/>
  <c r="AH1733" i="85"/>
  <c r="AH786" i="85"/>
  <c r="AH2327" i="85"/>
  <c r="AH2697" i="85"/>
  <c r="AH2420" i="85"/>
  <c r="AH2378" i="85"/>
  <c r="AH1642" i="85"/>
  <c r="AH2052" i="85"/>
  <c r="AH2103" i="85"/>
  <c r="AH1450" i="85"/>
  <c r="AH1399" i="85"/>
  <c r="AH671" i="85"/>
  <c r="AH2101" i="85"/>
  <c r="AH1935" i="85"/>
  <c r="AH964" i="85"/>
  <c r="AH2009" i="85"/>
  <c r="AH3175" i="85"/>
  <c r="AH2875" i="85"/>
  <c r="AH2027" i="85"/>
  <c r="AH2882" i="85"/>
  <c r="AH2968" i="85"/>
  <c r="AH1657" i="85"/>
  <c r="AH2665" i="85"/>
  <c r="AH1360" i="85"/>
  <c r="AH3128" i="85"/>
  <c r="AH2752" i="85"/>
  <c r="AH2840" i="85"/>
  <c r="AH2734" i="85"/>
  <c r="AH1868" i="85"/>
  <c r="AH1452" i="85"/>
  <c r="AH488" i="85"/>
  <c r="AH604" i="85"/>
  <c r="AH1574" i="85"/>
  <c r="AH1781" i="85"/>
  <c r="AH1334" i="85"/>
  <c r="AH2610" i="85"/>
  <c r="AH1797" i="85"/>
  <c r="AH2948" i="85"/>
  <c r="AH2126" i="85"/>
  <c r="AH1511" i="85"/>
  <c r="AH867" i="85"/>
  <c r="AH1864" i="85"/>
  <c r="AH1769" i="85"/>
  <c r="AH1479" i="85"/>
  <c r="AH1950" i="85"/>
  <c r="AH1444" i="85"/>
  <c r="AH1500" i="85"/>
  <c r="AH1063" i="85"/>
  <c r="AH3008" i="85"/>
  <c r="AH2485" i="85"/>
  <c r="AH350" i="85"/>
  <c r="AH2224" i="85"/>
  <c r="AH2258" i="85"/>
  <c r="AH2406" i="85"/>
  <c r="AH1569" i="85"/>
  <c r="AH2782" i="85"/>
  <c r="AH1493" i="85"/>
  <c r="AH1978" i="85"/>
  <c r="AH2687" i="85"/>
  <c r="AH1653" i="85"/>
  <c r="AH1716" i="85"/>
  <c r="AH1775" i="85"/>
  <c r="AH2094" i="85"/>
  <c r="AH1831" i="85"/>
  <c r="AH1078" i="85"/>
  <c r="AH1341" i="85"/>
  <c r="AH2151" i="85"/>
  <c r="AH1132" i="85"/>
  <c r="AH1930" i="85"/>
  <c r="AH1258" i="85"/>
  <c r="AH956" i="85"/>
  <c r="AH391" i="85"/>
  <c r="AH1137" i="85"/>
  <c r="AH1375" i="85"/>
  <c r="AH875" i="85"/>
  <c r="AH695" i="85"/>
  <c r="AH2693" i="85"/>
  <c r="AH1982" i="85"/>
  <c r="AH3028" i="85"/>
  <c r="AH2867" i="85"/>
  <c r="AH2093" i="85"/>
  <c r="AH2785" i="85"/>
  <c r="AH2315" i="85"/>
  <c r="AH1984" i="85"/>
  <c r="AH2534" i="85"/>
  <c r="AH2655" i="85"/>
  <c r="AH2992" i="85"/>
  <c r="AH3116" i="85"/>
  <c r="AH3176" i="85"/>
  <c r="AH2632" i="85"/>
  <c r="AH1645" i="85"/>
  <c r="AH2429" i="85"/>
  <c r="AH2345" i="85"/>
  <c r="AH1761" i="85"/>
  <c r="AH1022" i="85"/>
  <c r="AH1164" i="85"/>
  <c r="AH1395" i="85"/>
  <c r="AH1369" i="85"/>
  <c r="AH1903" i="85"/>
  <c r="AH1825" i="85"/>
  <c r="AH2340" i="85"/>
  <c r="AH1654" i="85"/>
  <c r="AH3020" i="85"/>
  <c r="AH1763" i="85"/>
  <c r="AH2704" i="85"/>
  <c r="AH2672" i="85"/>
  <c r="AH2277" i="85"/>
  <c r="AH2290" i="85"/>
  <c r="AH2192" i="85"/>
  <c r="AH2272" i="85"/>
  <c r="AH2770" i="85"/>
  <c r="AH709" i="85"/>
  <c r="AH2446" i="85"/>
  <c r="AH2952" i="85"/>
  <c r="AH2892" i="85"/>
  <c r="AH1567" i="85"/>
  <c r="AH3012" i="85"/>
  <c r="AH2123" i="85"/>
  <c r="AH1284" i="85"/>
  <c r="AH722" i="85"/>
  <c r="AH1309" i="85"/>
  <c r="AH1351" i="85"/>
  <c r="AH1203" i="85"/>
  <c r="AH1614" i="85"/>
  <c r="AH2533" i="85"/>
  <c r="AH542" i="85"/>
  <c r="AH2283" i="85"/>
  <c r="AH605" i="85"/>
  <c r="AH1783" i="85"/>
  <c r="AH1858" i="85"/>
  <c r="AH2526" i="85"/>
  <c r="AH2313" i="85"/>
  <c r="AH2470" i="85"/>
  <c r="AH2779" i="85"/>
  <c r="AH1913" i="85"/>
  <c r="AH2509" i="85"/>
  <c r="AH1528" i="85"/>
  <c r="AH2467" i="85"/>
  <c r="AH1201" i="85"/>
  <c r="AH2483" i="85"/>
  <c r="AH2090" i="85"/>
  <c r="AH2881" i="85"/>
  <c r="AH2153" i="85"/>
  <c r="AH2625" i="85"/>
  <c r="AH2352" i="85"/>
  <c r="AH2436" i="85"/>
  <c r="AH2423" i="85"/>
  <c r="AH2567" i="85"/>
  <c r="AH2473" i="85"/>
  <c r="AH2130" i="85"/>
  <c r="AH792" i="85"/>
  <c r="AH2013" i="85"/>
  <c r="AH1887" i="85"/>
  <c r="AH2221" i="85"/>
  <c r="AH537" i="85"/>
  <c r="AH754" i="85"/>
  <c r="AH773" i="85"/>
  <c r="AH1989" i="85"/>
  <c r="AH567" i="85"/>
  <c r="AH1125" i="85"/>
  <c r="AH1669" i="85"/>
  <c r="AH657" i="85"/>
  <c r="AH1159" i="85"/>
  <c r="AH1006" i="85"/>
  <c r="AH1630" i="85"/>
  <c r="AH2197" i="85"/>
  <c r="AH2015" i="85"/>
  <c r="AH1013" i="85"/>
  <c r="AH3149" i="85"/>
  <c r="AH3083" i="85"/>
  <c r="AH3137" i="85"/>
  <c r="AH2381" i="85"/>
  <c r="AH3010" i="85"/>
  <c r="AH2417" i="85"/>
  <c r="AH2524" i="85"/>
  <c r="AH2991" i="85"/>
  <c r="AH3094" i="85"/>
  <c r="AH2744" i="85"/>
  <c r="AH2673" i="85"/>
  <c r="AH1907" i="85"/>
  <c r="AH3005" i="85"/>
  <c r="AH3113" i="85"/>
  <c r="AH3125" i="85"/>
  <c r="AH3152" i="85"/>
  <c r="AH3084" i="85"/>
  <c r="AH2505" i="85"/>
  <c r="AH2095" i="85"/>
  <c r="AH2523" i="85"/>
  <c r="AH2040" i="85"/>
  <c r="AH1545" i="85"/>
  <c r="AH570" i="85"/>
  <c r="AH2581" i="85"/>
  <c r="AH2652" i="85"/>
  <c r="AH1616" i="85"/>
  <c r="AH1684" i="85"/>
  <c r="AH919" i="85"/>
  <c r="AH1480" i="85"/>
  <c r="AH2106" i="85"/>
  <c r="AH2599" i="85"/>
  <c r="AH2620" i="85"/>
  <c r="AH1424" i="85"/>
  <c r="AH255" i="85"/>
  <c r="AH472" i="85"/>
  <c r="AH804" i="85"/>
  <c r="AH895" i="85"/>
  <c r="AH1496" i="85"/>
  <c r="AH1195" i="85"/>
  <c r="AH1869" i="85"/>
  <c r="AH540" i="85"/>
  <c r="AH1535" i="85"/>
  <c r="AH2219" i="85"/>
  <c r="AH1121" i="85"/>
  <c r="AH1623" i="85"/>
  <c r="AH496" i="85"/>
  <c r="AH1359" i="85"/>
  <c r="AH2038" i="85"/>
  <c r="AH908" i="85"/>
  <c r="AH636" i="85"/>
  <c r="AH2088" i="85"/>
  <c r="AH1566" i="85"/>
  <c r="AH1638" i="85"/>
  <c r="AH2967" i="85"/>
  <c r="AH2183" i="85"/>
  <c r="AH2049" i="85"/>
  <c r="AH1520" i="85"/>
  <c r="AH999" i="85"/>
  <c r="AH1606" i="85"/>
  <c r="AH2562" i="85"/>
  <c r="AH2580" i="85"/>
  <c r="AH2367" i="85"/>
  <c r="AH2411" i="85"/>
  <c r="AH1594" i="85"/>
  <c r="AH508" i="85"/>
  <c r="AH566" i="85"/>
  <c r="AH1531" i="85"/>
  <c r="AH1314" i="85"/>
  <c r="AH1237" i="85"/>
  <c r="AH699" i="85"/>
  <c r="AH2125" i="85"/>
  <c r="AH2380" i="85"/>
  <c r="AH2499" i="85"/>
  <c r="AH2688" i="85"/>
  <c r="AH1790" i="85"/>
  <c r="AH2590" i="85"/>
  <c r="AH1940" i="85"/>
  <c r="AH2714" i="85"/>
  <c r="AH1253" i="85"/>
  <c r="AH2943" i="85"/>
  <c r="AH1611" i="85"/>
  <c r="AH1532" i="85"/>
  <c r="AH2579" i="85"/>
  <c r="AH2299" i="85"/>
  <c r="AH1397" i="85"/>
  <c r="AH2926" i="85"/>
  <c r="AH2121" i="85"/>
  <c r="AH1774" i="85"/>
  <c r="AH2200" i="85"/>
  <c r="AH1933" i="85"/>
  <c r="AH2829" i="85"/>
  <c r="AH1472" i="85"/>
  <c r="AH2306" i="85"/>
  <c r="AH2393" i="85"/>
  <c r="AH2280" i="85"/>
  <c r="AH2112" i="85"/>
  <c r="AH2209" i="85"/>
  <c r="AH2701" i="85"/>
  <c r="AH2376" i="85"/>
  <c r="AH2160" i="85"/>
  <c r="AH1224" i="85"/>
  <c r="AH838" i="85"/>
  <c r="AH2155" i="85"/>
  <c r="AH2205" i="85"/>
  <c r="AH2853" i="85"/>
  <c r="AH986" i="85"/>
  <c r="AH1271" i="85"/>
  <c r="AH2506" i="85"/>
  <c r="AH1232" i="85"/>
  <c r="AH1881" i="85"/>
  <c r="AH2291" i="85"/>
  <c r="AH2661" i="85"/>
  <c r="AH1550" i="85"/>
  <c r="AH1911" i="85"/>
  <c r="AH1802" i="85"/>
  <c r="AH1469" i="85"/>
  <c r="AH2132" i="85"/>
  <c r="AH1796" i="85"/>
  <c r="AH552" i="85"/>
  <c r="AH2818" i="85"/>
  <c r="AH2596" i="85"/>
  <c r="AH1957" i="85"/>
  <c r="AH396" i="85"/>
  <c r="AH463" i="85"/>
  <c r="AH320" i="85"/>
  <c r="AH450" i="85"/>
  <c r="AH763" i="85"/>
  <c r="AH1143" i="85"/>
  <c r="AH2593" i="85"/>
  <c r="AH729" i="85"/>
  <c r="AH2189" i="85"/>
  <c r="AH2022" i="85"/>
  <c r="AH1340" i="85"/>
  <c r="AH900" i="85"/>
  <c r="AH2296" i="85"/>
  <c r="AH2516" i="85"/>
  <c r="AH2442" i="85"/>
  <c r="AH2578" i="85"/>
  <c r="AH2537" i="85"/>
  <c r="AH2097" i="85"/>
  <c r="AH2460" i="85"/>
  <c r="AH1114" i="85"/>
  <c r="AH2642" i="85"/>
  <c r="AH1588" i="85"/>
  <c r="AH1929" i="85"/>
  <c r="AH1854" i="85"/>
  <c r="AH2144" i="85"/>
  <c r="AH2355" i="85"/>
  <c r="AH433" i="85"/>
  <c r="AH294" i="85"/>
  <c r="AH1117" i="85"/>
  <c r="AH1103" i="85"/>
  <c r="AH911" i="85"/>
  <c r="AH584" i="85"/>
  <c r="AH1138" i="85"/>
  <c r="AH1789" i="85"/>
  <c r="AH1218" i="85"/>
  <c r="AH558" i="85"/>
  <c r="AH832" i="85"/>
  <c r="AH766" i="85"/>
  <c r="AH774" i="85"/>
  <c r="AH1618" i="85"/>
  <c r="AH892" i="85"/>
  <c r="AH791" i="85"/>
  <c r="AH519" i="85"/>
  <c r="AH1134" i="85"/>
  <c r="AH816" i="85"/>
  <c r="AH1337" i="85"/>
  <c r="AH1637" i="85"/>
  <c r="AH730" i="85"/>
  <c r="AH2500" i="85"/>
  <c r="AH2056" i="85"/>
  <c r="AH1468" i="85"/>
  <c r="AH1423" i="85"/>
  <c r="AH335" i="85"/>
  <c r="AH661" i="85"/>
  <c r="AH862" i="85"/>
  <c r="AH1348" i="85"/>
  <c r="AH1671" i="85"/>
  <c r="AH1949" i="85"/>
  <c r="AH1731" i="85"/>
  <c r="AH2222" i="85"/>
  <c r="AH1095" i="85"/>
  <c r="AH1556" i="85"/>
  <c r="AH1216" i="85"/>
  <c r="AH1091" i="85"/>
  <c r="AH276" i="85"/>
  <c r="AH403" i="85"/>
  <c r="AH275" i="85"/>
  <c r="AH177" i="85"/>
  <c r="AH1212" i="85"/>
  <c r="AH1755" i="85"/>
  <c r="AH1123" i="85"/>
  <c r="AH1546" i="85"/>
  <c r="AH637" i="85"/>
  <c r="AH1015" i="85"/>
  <c r="AH234" i="85"/>
  <c r="AH1601" i="85"/>
  <c r="AH957" i="85"/>
  <c r="AH1976" i="85"/>
  <c r="AH568" i="85"/>
  <c r="AH1880" i="85"/>
  <c r="AH290" i="85"/>
  <c r="AH849" i="85"/>
  <c r="AH260" i="85"/>
  <c r="AH581" i="85"/>
  <c r="AH1921" i="85"/>
  <c r="AH853" i="85"/>
  <c r="AH3148" i="85"/>
  <c r="AH2667" i="85"/>
  <c r="AH2538" i="85"/>
  <c r="AH2987" i="85"/>
  <c r="AH2179" i="85"/>
  <c r="AH2191" i="85"/>
  <c r="AH2146" i="85"/>
  <c r="AH2684" i="85"/>
  <c r="AH2613" i="85"/>
  <c r="AH2961" i="85"/>
  <c r="AH3017" i="85"/>
  <c r="AH2941" i="85"/>
  <c r="AH2482" i="85"/>
  <c r="AH3108" i="85"/>
  <c r="AH2872" i="85"/>
  <c r="AH2739" i="85"/>
  <c r="AH2787" i="85"/>
  <c r="AH1179" i="85"/>
  <c r="AH1497" i="85"/>
  <c r="AH1785" i="85"/>
  <c r="AH975" i="85"/>
  <c r="AH2142" i="85"/>
  <c r="AH2982" i="85"/>
  <c r="AH2994" i="85"/>
  <c r="AH1440" i="85"/>
  <c r="AH739" i="85"/>
  <c r="AH2860" i="85"/>
  <c r="AH1754" i="85"/>
  <c r="AH2157" i="85"/>
  <c r="AH2084" i="85"/>
  <c r="AH1115" i="85"/>
  <c r="AH2289" i="85"/>
  <c r="AH2773" i="85"/>
  <c r="AH2532" i="85"/>
  <c r="AH1486" i="85"/>
  <c r="AH2563" i="85"/>
  <c r="AH1529" i="85"/>
  <c r="AH1002" i="85"/>
  <c r="AH931" i="85"/>
  <c r="AH2947" i="85"/>
  <c r="AH2031" i="85"/>
  <c r="AH1283" i="85"/>
  <c r="AH2891" i="85"/>
  <c r="AH2418" i="85"/>
  <c r="AH2831" i="85"/>
  <c r="AH2897" i="85"/>
  <c r="AH2644" i="85"/>
  <c r="AH3134" i="85"/>
  <c r="AH2297" i="85"/>
  <c r="AH2003" i="85"/>
  <c r="AH1445" i="85"/>
  <c r="AH2917" i="85"/>
  <c r="AH2322" i="85"/>
  <c r="AH1885" i="85"/>
  <c r="AH2419" i="85"/>
  <c r="AH2193" i="85"/>
  <c r="AH1613" i="85"/>
  <c r="AH2030" i="85"/>
  <c r="AH569" i="85"/>
  <c r="AH2190" i="85"/>
  <c r="AH2918" i="85"/>
  <c r="AH266" i="85"/>
  <c r="AH2639" i="85"/>
  <c r="AH1706" i="85"/>
  <c r="AH2288" i="85"/>
  <c r="AH1435" i="85"/>
  <c r="AH2520" i="85"/>
  <c r="AH2012" i="85"/>
  <c r="AH2575" i="85"/>
  <c r="AH2217" i="85"/>
  <c r="AH1539" i="85"/>
  <c r="AH366" i="85"/>
  <c r="AH279" i="85"/>
  <c r="AH1603" i="85"/>
  <c r="AH272" i="85"/>
  <c r="AH278" i="85"/>
  <c r="AH326" i="85"/>
  <c r="AH329" i="85"/>
  <c r="AH236" i="85"/>
  <c r="AH364" i="85"/>
  <c r="AH562" i="85"/>
  <c r="AH1355" i="85"/>
  <c r="AH563" i="85"/>
  <c r="AH1965" i="85"/>
  <c r="AH2308" i="85"/>
  <c r="AH1491" i="85"/>
  <c r="AH1777" i="85"/>
  <c r="AH1835" i="85"/>
  <c r="AH906" i="85"/>
  <c r="AH1416" i="85"/>
  <c r="AH2995" i="85"/>
  <c r="AH2292" i="85"/>
  <c r="AH3067" i="85"/>
  <c r="AH1169" i="85"/>
  <c r="AH1379" i="85"/>
  <c r="AH466" i="85"/>
  <c r="AH245" i="85"/>
  <c r="AH94" i="85"/>
  <c r="AH673" i="85"/>
  <c r="AH194" i="85"/>
  <c r="AH1270" i="85"/>
  <c r="AH734" i="85"/>
  <c r="AH633" i="85"/>
  <c r="AH2018" i="85"/>
  <c r="AH2273" i="85"/>
  <c r="AH1513" i="85"/>
  <c r="AH491" i="85"/>
  <c r="AH474" i="85"/>
  <c r="AH1333" i="85"/>
  <c r="AH1350" i="85"/>
  <c r="AH1820" i="85"/>
  <c r="AH2129" i="85"/>
  <c r="AH1205" i="85"/>
  <c r="AH3177" i="85"/>
  <c r="AH590" i="85"/>
  <c r="AH994" i="85"/>
  <c r="AH216" i="85"/>
  <c r="AH658" i="85"/>
  <c r="AH67" i="85"/>
  <c r="AH297" i="85"/>
  <c r="AH287" i="85"/>
  <c r="AH399" i="85"/>
  <c r="AH319" i="85"/>
  <c r="AH139" i="85"/>
  <c r="AH518" i="85"/>
  <c r="AH421" i="85"/>
  <c r="AH1092" i="85"/>
  <c r="AH1622" i="85"/>
  <c r="AH1388" i="85"/>
  <c r="AH828" i="85"/>
  <c r="AH2105" i="85"/>
  <c r="AH2118" i="85"/>
  <c r="AH2379" i="85"/>
  <c r="AH1211" i="85"/>
  <c r="AH1110" i="85"/>
  <c r="AH1457" i="85"/>
  <c r="AH1620" i="85"/>
  <c r="AH1214" i="85"/>
  <c r="AH1460" i="85"/>
  <c r="AH1619" i="85"/>
  <c r="AH1609" i="85"/>
  <c r="AH1896" i="85"/>
  <c r="AH953" i="85"/>
  <c r="AH858" i="85"/>
  <c r="AH431" i="85"/>
  <c r="AH2111" i="85"/>
  <c r="AH2924" i="85"/>
  <c r="AH2899" i="85"/>
  <c r="AH2603" i="85"/>
  <c r="AH1219" i="85"/>
  <c r="AH952" i="85"/>
  <c r="AH2086" i="85"/>
  <c r="AH2671" i="85"/>
  <c r="AH1877" i="85"/>
  <c r="AH686" i="85"/>
  <c r="AH502" i="85"/>
  <c r="AH2493" i="85"/>
  <c r="AH1800" i="85"/>
  <c r="AH1338" i="85"/>
  <c r="AH1361" i="85"/>
  <c r="AH721" i="85"/>
  <c r="AH1389" i="85"/>
  <c r="AH535" i="85"/>
  <c r="AH304" i="85"/>
  <c r="AH790" i="85"/>
  <c r="AH2515" i="85"/>
  <c r="AH2914" i="85"/>
  <c r="AH2541" i="85"/>
  <c r="AH1972" i="85"/>
  <c r="AH1997" i="85"/>
  <c r="AH1222" i="85"/>
  <c r="AH2034" i="85"/>
  <c r="AH1729" i="85"/>
  <c r="AH1923" i="85"/>
  <c r="AH1021" i="85"/>
  <c r="AH1749" i="85"/>
  <c r="AH1793" i="85"/>
  <c r="AH2062" i="85"/>
  <c r="AH1281" i="85"/>
  <c r="AH1182" i="85"/>
  <c r="AH2566" i="85"/>
  <c r="AH1987" i="85"/>
  <c r="AH1941" i="85"/>
  <c r="AH2426" i="85"/>
  <c r="AH2214" i="85"/>
  <c r="AH1664" i="85"/>
  <c r="AH1304" i="85"/>
  <c r="AH1477" i="85"/>
  <c r="AH1198" i="85"/>
  <c r="AH1313" i="85"/>
  <c r="AH358" i="85"/>
  <c r="AH727" i="85"/>
  <c r="AH1437" i="85"/>
  <c r="AH1070" i="85"/>
  <c r="AH609" i="85"/>
  <c r="AH995" i="85"/>
  <c r="AH741" i="85"/>
  <c r="AH57" i="85"/>
  <c r="AH437" i="85"/>
  <c r="AH303" i="85"/>
  <c r="AH1108" i="85"/>
  <c r="AH2698" i="85"/>
  <c r="AH2407" i="85"/>
  <c r="AH2627" i="85"/>
  <c r="AH2402" i="85"/>
  <c r="AH784" i="85"/>
  <c r="AH592" i="85"/>
  <c r="AH1736" i="85"/>
  <c r="AH1235" i="85"/>
  <c r="AH1266" i="85"/>
  <c r="AH1188" i="85"/>
  <c r="AH316" i="85"/>
  <c r="AH1975" i="85"/>
  <c r="AH1165" i="85"/>
  <c r="AH3178" i="85"/>
  <c r="AH675" i="85"/>
  <c r="AH1354" i="85"/>
  <c r="AH1968" i="85"/>
  <c r="AH1961" i="85"/>
  <c r="AH1189" i="85"/>
  <c r="AH1759" i="85"/>
  <c r="AH1660" i="85"/>
  <c r="AH1901" i="85"/>
  <c r="AH538" i="85"/>
  <c r="AH2461" i="85"/>
  <c r="AH394" i="85"/>
  <c r="AH443" i="85"/>
  <c r="AH1919" i="85"/>
  <c r="AH2932" i="85"/>
  <c r="AH2454" i="85"/>
  <c r="AH725" i="85"/>
  <c r="AH2871" i="85"/>
  <c r="AH1489" i="85"/>
  <c r="AH1562" i="85"/>
  <c r="AH2974" i="85"/>
  <c r="AH3077" i="85"/>
  <c r="AH2212" i="85"/>
  <c r="AH1004" i="85"/>
  <c r="AH1167" i="85"/>
  <c r="AH1192" i="85"/>
  <c r="AH1542" i="85"/>
  <c r="AH2816" i="85"/>
  <c r="AH1799" i="85"/>
  <c r="AH1718" i="85"/>
  <c r="AH1980" i="85"/>
  <c r="AH2587" i="85"/>
  <c r="AH1694" i="85"/>
  <c r="AH2396" i="85"/>
  <c r="AH1920" i="85"/>
  <c r="AH2547" i="85"/>
  <c r="AH2054" i="85"/>
  <c r="AH749" i="85"/>
  <c r="AH1598" i="85"/>
  <c r="AH1631" i="85"/>
  <c r="AH1805" i="85"/>
  <c r="AH2786" i="85"/>
  <c r="AH1293" i="85"/>
  <c r="AH2433" i="85"/>
  <c r="AH2949" i="85"/>
  <c r="AH1512" i="85"/>
  <c r="AH2262" i="85"/>
  <c r="AH850" i="85"/>
  <c r="AH2234" i="85"/>
  <c r="AH2854" i="85"/>
  <c r="AH2082" i="85"/>
  <c r="AH2079" i="85"/>
  <c r="AH2649" i="85"/>
  <c r="AH2227" i="85"/>
  <c r="AH1992" i="85"/>
  <c r="AH702" i="85"/>
  <c r="AH2395" i="85"/>
  <c r="AH1181" i="85"/>
  <c r="AH1246" i="85"/>
  <c r="AH1998" i="85"/>
  <c r="AH882" i="85"/>
  <c r="AH993" i="85"/>
  <c r="AH998" i="85"/>
  <c r="AH430" i="85"/>
  <c r="AH1346" i="85"/>
  <c r="AH960" i="85"/>
  <c r="AH1646" i="85"/>
  <c r="AH2120" i="85"/>
  <c r="AH1332" i="85"/>
  <c r="AH2339" i="85"/>
  <c r="AH354" i="85"/>
  <c r="AH2724" i="85"/>
  <c r="AH2934" i="85"/>
  <c r="AH1498" i="85"/>
  <c r="AH689" i="85"/>
  <c r="AH1682" i="85"/>
  <c r="AH2998" i="85"/>
  <c r="AH2670" i="85"/>
  <c r="AH3090" i="85"/>
  <c r="AH2763" i="85"/>
  <c r="AH2242" i="85"/>
  <c r="AH2122" i="85"/>
  <c r="AH521" i="85"/>
  <c r="AH2749" i="85"/>
  <c r="AH1918" i="85"/>
  <c r="AH2285" i="85"/>
  <c r="AH1990" i="85"/>
  <c r="AH1983" i="85"/>
  <c r="AH2605" i="85"/>
  <c r="AH280" i="85"/>
  <c r="AH783" i="85"/>
  <c r="AH365" i="85"/>
  <c r="AH1288" i="85"/>
  <c r="AH2071" i="85"/>
  <c r="AH2838" i="85"/>
  <c r="AH1906" i="85"/>
  <c r="AH2268" i="85"/>
  <c r="AH732" i="85"/>
  <c r="AH577" i="85"/>
  <c r="AH1578" i="85"/>
  <c r="AH3110" i="85"/>
  <c r="AH762" i="85"/>
  <c r="AH2762" i="85"/>
  <c r="AH2488" i="85"/>
  <c r="AH2245" i="85"/>
  <c r="AH2017" i="85"/>
  <c r="AH1458" i="85"/>
  <c r="AH2902" i="85"/>
  <c r="AH1584" i="85"/>
  <c r="AH1838" i="85"/>
  <c r="AH2602" i="85"/>
  <c r="AH2777" i="85"/>
  <c r="AH1632" i="85"/>
  <c r="AH1996" i="85"/>
  <c r="AH1054" i="85"/>
  <c r="AH1791" i="85"/>
  <c r="AH1963" i="85"/>
  <c r="AH698" i="85"/>
  <c r="AH996" i="85"/>
  <c r="AH2300" i="85"/>
  <c r="AH2176" i="85"/>
  <c r="AH2633" i="85"/>
  <c r="AH85" i="85"/>
  <c r="AH3088" i="85"/>
  <c r="AH2456" i="85"/>
  <c r="AH2858" i="85"/>
  <c r="AH922" i="85"/>
  <c r="AH1652" i="85"/>
  <c r="AH1886" i="85"/>
  <c r="AH2343" i="85"/>
  <c r="AH2586" i="85"/>
  <c r="AH3120" i="85"/>
  <c r="AH2950" i="85"/>
  <c r="AH2911" i="85"/>
  <c r="AH2843" i="85"/>
  <c r="AH2738" i="85"/>
  <c r="AH2940" i="85"/>
  <c r="AH2846" i="85"/>
  <c r="AH2669" i="85"/>
  <c r="AH2558" i="85"/>
  <c r="AH2307" i="85"/>
  <c r="AH1208" i="85"/>
  <c r="AH2888" i="85"/>
  <c r="AH3063" i="85"/>
  <c r="AH2735" i="85"/>
  <c r="AH2304" i="85"/>
  <c r="AH2732" i="85"/>
  <c r="AH1419" i="85"/>
  <c r="AH2468" i="85"/>
  <c r="AH3139" i="85"/>
  <c r="AH1042" i="85"/>
  <c r="AH1295" i="85"/>
  <c r="AH2490" i="85"/>
  <c r="AH2552" i="85"/>
  <c r="AH543" i="85"/>
  <c r="AH571" i="85"/>
  <c r="AH1937" i="85"/>
  <c r="AH1570" i="85"/>
  <c r="AH441" i="85"/>
  <c r="AH806" i="85"/>
  <c r="AH1396" i="85"/>
  <c r="AH2230" i="85"/>
  <c r="AH1144" i="85"/>
  <c r="AH341" i="85"/>
  <c r="AH185" i="85"/>
  <c r="AH510" i="85"/>
  <c r="AH2608" i="85"/>
  <c r="AH1633" i="85"/>
  <c r="AH1275" i="85"/>
  <c r="AH3140" i="85"/>
  <c r="AH2178" i="85"/>
  <c r="AH351" i="85"/>
  <c r="AH1107" i="85"/>
  <c r="AH1973" i="85"/>
  <c r="AH162" i="85"/>
  <c r="AH11" i="85"/>
  <c r="AH363" i="85"/>
  <c r="AH665" i="85"/>
  <c r="AH480" i="85"/>
  <c r="AH134" i="85"/>
  <c r="AH333" i="85"/>
  <c r="AH2350" i="85"/>
  <c r="AH1533" i="85"/>
  <c r="AH1060" i="85"/>
  <c r="AH1530" i="85"/>
  <c r="AH863" i="85"/>
  <c r="AH228" i="85"/>
  <c r="AH1299" i="85"/>
  <c r="AH840" i="85"/>
  <c r="AH746" i="85"/>
  <c r="AH1032" i="85"/>
  <c r="AH886" i="85"/>
  <c r="AH531" i="85"/>
  <c r="AH968" i="85"/>
  <c r="AH1771" i="85"/>
  <c r="AH1062" i="85"/>
  <c r="AH1079" i="85"/>
  <c r="AH190" i="85"/>
  <c r="AH206" i="85"/>
  <c r="AH1409" i="85"/>
  <c r="AH1356" i="85"/>
  <c r="AH551" i="85"/>
  <c r="AH649" i="85"/>
  <c r="AH298" i="85"/>
  <c r="AH1347" i="85"/>
  <c r="AH642" i="85"/>
  <c r="AH1162" i="85"/>
  <c r="AH507" i="85"/>
  <c r="AH1088" i="85"/>
  <c r="AH284" i="85"/>
  <c r="AH1145" i="85"/>
  <c r="AH2043" i="85"/>
  <c r="AH794" i="85"/>
  <c r="AH1099" i="85"/>
  <c r="AH1352" i="85"/>
  <c r="AH1662" i="85"/>
  <c r="AH367" i="85"/>
  <c r="AH3054" i="85"/>
  <c r="AH1665" i="85"/>
  <c r="AH1003" i="85"/>
  <c r="AH1400" i="85"/>
  <c r="AH2834" i="85"/>
  <c r="AH2984" i="85"/>
  <c r="AH2091" i="85"/>
  <c r="AH2657" i="85"/>
  <c r="AH3158" i="85"/>
  <c r="AH1798" i="85"/>
  <c r="AH1357" i="85"/>
  <c r="AH1788" i="85"/>
  <c r="AH1433" i="85"/>
  <c r="AH481" i="85"/>
  <c r="AH386" i="85"/>
  <c r="AH147" i="85"/>
  <c r="AH158" i="85"/>
  <c r="AH141" i="85"/>
  <c r="AH411" i="85"/>
  <c r="AH167" i="85"/>
  <c r="AH115" i="85"/>
  <c r="AH934" i="85"/>
  <c r="AH1415" i="85"/>
  <c r="AH2045" i="85"/>
  <c r="AH2336" i="85"/>
  <c r="AH2431" i="85"/>
  <c r="AH1715" i="85"/>
  <c r="AH160" i="85"/>
  <c r="AH157" i="85"/>
  <c r="AH1954" i="85"/>
  <c r="AH2329" i="85"/>
  <c r="AH2437" i="85"/>
  <c r="AH498" i="85"/>
  <c r="AH944" i="85"/>
  <c r="AH2361" i="85"/>
  <c r="AH1979" i="85"/>
  <c r="AH76" i="85"/>
  <c r="AH823" i="85"/>
  <c r="AH155" i="85"/>
  <c r="AH701" i="85"/>
  <c r="AH3164" i="85"/>
  <c r="AH1025" i="85"/>
  <c r="AH2873" i="85"/>
  <c r="AH212" i="85"/>
  <c r="AH2548" i="85"/>
  <c r="AH2265" i="85"/>
  <c r="AH23" i="85"/>
  <c r="AH197" i="85"/>
  <c r="AH703" i="85"/>
  <c r="AH2556" i="85"/>
  <c r="AH797" i="85"/>
  <c r="AH61" i="85"/>
  <c r="AH65" i="85"/>
  <c r="AH171" i="85"/>
  <c r="AH517" i="85"/>
  <c r="AH86" i="85"/>
  <c r="AH130" i="85"/>
  <c r="AH235" i="85"/>
  <c r="AH73" i="85"/>
  <c r="AH18" i="85"/>
  <c r="AH41" i="85"/>
  <c r="AH1471" i="85"/>
  <c r="AH779" i="85"/>
  <c r="AH324" i="85"/>
  <c r="AH195" i="85"/>
  <c r="AH449" i="85"/>
  <c r="AH724" i="85"/>
  <c r="AH1102" i="85"/>
  <c r="AH541" i="85"/>
  <c r="AH420" i="85"/>
  <c r="AH1807" i="85"/>
  <c r="AH1071" i="85"/>
  <c r="AH1282" i="85"/>
  <c r="AH173" i="85"/>
  <c r="AH2453" i="85"/>
  <c r="AH2475" i="85"/>
  <c r="AH1910" i="85"/>
  <c r="AH1023" i="85"/>
  <c r="AH42" i="85"/>
  <c r="AH576" i="85"/>
  <c r="AH817" i="85"/>
  <c r="AH829" i="85"/>
  <c r="AH912" i="85"/>
  <c r="AH691" i="85"/>
  <c r="AH1118" i="85"/>
  <c r="AH1166" i="85"/>
  <c r="AH1265" i="85"/>
  <c r="AH2716" i="85"/>
  <c r="AH1872" i="85"/>
  <c r="AH1213" i="85"/>
  <c r="AH2370" i="85"/>
  <c r="AH2377" i="85"/>
  <c r="AH36" i="85"/>
  <c r="AH1740" i="85"/>
  <c r="AH2076" i="85"/>
  <c r="AH2663" i="85"/>
  <c r="AH2087" i="85"/>
  <c r="AH985" i="85"/>
  <c r="AH1495" i="85"/>
  <c r="AH1904" i="85"/>
  <c r="AH1750" i="85"/>
  <c r="AH626" i="85"/>
  <c r="AH459" i="85"/>
  <c r="AH544" i="85"/>
  <c r="AH659" i="85"/>
  <c r="AH907" i="85"/>
  <c r="AH477" i="85"/>
  <c r="AH813" i="85"/>
  <c r="AH1291" i="85"/>
  <c r="AH1289" i="85"/>
  <c r="AH1585" i="85"/>
  <c r="AH2530" i="85"/>
  <c r="AH2756" i="85"/>
  <c r="AH2077" i="85"/>
  <c r="AH409" i="85"/>
  <c r="AH1096" i="85"/>
  <c r="AH666" i="85"/>
  <c r="AH1944" i="85"/>
  <c r="AH2766" i="85"/>
  <c r="AH532" i="85"/>
  <c r="AH679" i="85"/>
  <c r="AH486" i="85"/>
  <c r="AH2026" i="85"/>
  <c r="AH2839" i="85"/>
  <c r="AH1236" i="85"/>
  <c r="AH2597" i="85"/>
  <c r="AH308" i="85"/>
  <c r="AH1742" i="85"/>
  <c r="AH2710" i="85"/>
  <c r="AH318" i="85"/>
  <c r="AH979" i="85"/>
  <c r="AH1494" i="85"/>
  <c r="AH165" i="85"/>
  <c r="AH2768" i="85"/>
  <c r="AH2223" i="85"/>
  <c r="AH630" i="85"/>
  <c r="AH81" i="85"/>
  <c r="AH24" i="85"/>
  <c r="AH2259" i="85"/>
  <c r="AH550" i="85"/>
  <c r="AH321" i="85"/>
  <c r="AH2507" i="85"/>
  <c r="AH1746" i="85"/>
  <c r="AH2859" i="85"/>
  <c r="AH2494" i="85"/>
  <c r="AH1801" i="85"/>
  <c r="AH1712" i="85"/>
  <c r="AH2745" i="85"/>
  <c r="AH1587" i="85"/>
  <c r="AH595" i="85"/>
  <c r="AH1561" i="85"/>
  <c r="AH1018" i="85"/>
  <c r="AH1030" i="85"/>
  <c r="AH992" i="85"/>
  <c r="AH370" i="85"/>
  <c r="AH534" i="85"/>
  <c r="AH478" i="85"/>
  <c r="AH1384" i="85"/>
  <c r="AH1860" i="85"/>
  <c r="AH662" i="85"/>
  <c r="AH500" i="85"/>
  <c r="AH154" i="85"/>
  <c r="AH17" i="85"/>
  <c r="AH412" i="85"/>
  <c r="AH1592" i="85"/>
  <c r="AH46" i="85"/>
  <c r="AH668" i="85"/>
  <c r="AH252" i="85"/>
  <c r="AH2039" i="85"/>
  <c r="AH2326" i="85"/>
  <c r="AH1583" i="85"/>
  <c r="AH166" i="85"/>
  <c r="AH1231" i="85"/>
  <c r="AH684" i="85"/>
  <c r="AH1430" i="85"/>
  <c r="AH2359" i="85"/>
  <c r="AH1353" i="85"/>
  <c r="AH2898" i="85"/>
  <c r="AH397" i="85"/>
  <c r="AH2215" i="85"/>
  <c r="AH2757" i="85"/>
  <c r="AH2284" i="85"/>
  <c r="AH2837" i="85"/>
  <c r="AH1074" i="85"/>
  <c r="AH601" i="85"/>
  <c r="AH2264" i="85"/>
  <c r="AH2634" i="85"/>
  <c r="AH1374" i="85"/>
  <c r="AH2978" i="85"/>
  <c r="AH1711" i="85"/>
  <c r="AH2776" i="85"/>
  <c r="AH1322" i="85"/>
  <c r="AH1595" i="85"/>
  <c r="AH1101" i="85"/>
  <c r="AH803" i="85"/>
  <c r="AH915" i="85"/>
  <c r="AH1041" i="85"/>
  <c r="AH1402" i="85"/>
  <c r="AH1525" i="85"/>
  <c r="AH760" i="85"/>
  <c r="AH2261" i="85"/>
  <c r="AH1014" i="85"/>
  <c r="AH897" i="85"/>
  <c r="AH1966" i="85"/>
  <c r="AH1029" i="85"/>
  <c r="AH2754" i="85"/>
  <c r="AH1518" i="85"/>
  <c r="AH1846" i="85"/>
  <c r="AH2616" i="85"/>
  <c r="AH1701" i="85"/>
  <c r="AH2147" i="85"/>
  <c r="AH2175" i="85"/>
  <c r="AH1967" i="85"/>
  <c r="AH2865" i="85"/>
  <c r="AH432" i="85"/>
  <c r="AH1891" i="85"/>
  <c r="AH767" i="85"/>
  <c r="AH1687" i="85"/>
  <c r="AH422" i="85"/>
  <c r="AH125" i="85"/>
  <c r="AH885" i="85"/>
  <c r="AH3103" i="85"/>
  <c r="AH2830" i="85"/>
  <c r="AH1226" i="85"/>
  <c r="AH2953" i="85"/>
  <c r="AH2486" i="85"/>
  <c r="AH3100" i="85"/>
  <c r="AH3044" i="85"/>
  <c r="AH1076" i="85"/>
  <c r="AH704" i="85"/>
  <c r="AH2828" i="85"/>
  <c r="AH2449" i="85"/>
  <c r="AH3168" i="85"/>
  <c r="AH2630" i="85"/>
  <c r="AH2819" i="85"/>
  <c r="AH3109" i="85"/>
  <c r="AH3006" i="85"/>
  <c r="AH2890" i="85"/>
  <c r="AH2497" i="85"/>
  <c r="AH3027" i="85"/>
  <c r="AH2692" i="85"/>
  <c r="AH2836" i="85"/>
  <c r="AH2781" i="85"/>
  <c r="AH2457" i="85"/>
  <c r="AH1925" i="85"/>
  <c r="AH1007" i="85"/>
  <c r="AH3143" i="85"/>
  <c r="AH1276" i="85"/>
  <c r="AH1857" i="85"/>
  <c r="AH3011" i="85"/>
  <c r="AH674" i="85"/>
  <c r="AH836" i="85"/>
  <c r="AH607" i="85"/>
  <c r="AH1947" i="85"/>
  <c r="AH2236" i="85"/>
  <c r="AH1075" i="85"/>
  <c r="AH203" i="85"/>
  <c r="AH735" i="85"/>
  <c r="AH2748" i="85"/>
  <c r="AH1061" i="85"/>
  <c r="AH2169" i="85"/>
  <c r="AH1441" i="85"/>
  <c r="AH2901" i="85"/>
  <c r="AH2341" i="85"/>
  <c r="AH2413" i="85"/>
  <c r="AH1675" i="85"/>
  <c r="AH2723" i="85"/>
  <c r="AH1126" i="85"/>
  <c r="AH3032" i="85"/>
  <c r="AH2674" i="85"/>
  <c r="AH2116" i="85"/>
  <c r="AH731" i="85"/>
  <c r="AH1994" i="85"/>
  <c r="AH1111" i="85"/>
  <c r="AH2005" i="85"/>
  <c r="AH1046" i="85"/>
  <c r="AH1331" i="85"/>
  <c r="AH1358" i="85"/>
  <c r="AH522" i="85"/>
  <c r="AH3133" i="85"/>
  <c r="AH131" i="85"/>
  <c r="AH2232" i="85"/>
  <c r="AH2081" i="85"/>
  <c r="AH1039" i="85"/>
  <c r="AH2517" i="85"/>
  <c r="AH3052" i="85"/>
  <c r="AH2695" i="85"/>
  <c r="AH2152" i="85"/>
  <c r="AH48" i="85"/>
  <c r="AH825" i="85"/>
  <c r="AH775" i="85"/>
  <c r="AH557" i="85"/>
  <c r="AH810" i="85"/>
  <c r="AH395" i="85"/>
  <c r="AH289" i="85"/>
  <c r="AH3081" i="85"/>
  <c r="AH2755" i="85"/>
  <c r="AH2501" i="85"/>
  <c r="AH1119" i="85"/>
  <c r="AH1504" i="85"/>
  <c r="AH747" i="85"/>
  <c r="AH591" i="85"/>
  <c r="AH2455" i="85"/>
  <c r="AH2525" i="85"/>
  <c r="AH1053" i="85"/>
  <c r="AH1686" i="85"/>
  <c r="AH2263" i="85"/>
  <c r="AH2510" i="85"/>
  <c r="AH1908" i="85"/>
  <c r="AH2646" i="85"/>
  <c r="AH1521" i="85"/>
  <c r="AH2358" i="85"/>
  <c r="AH1230" i="85"/>
  <c r="AH3097" i="85"/>
  <c r="AH2002" i="85"/>
  <c r="AH2434" i="85"/>
  <c r="AH1286" i="85"/>
  <c r="AH2866" i="85"/>
  <c r="AH1710" i="85"/>
  <c r="AH870" i="85"/>
  <c r="AH1072" i="85"/>
  <c r="AH2244" i="85"/>
  <c r="AH2008" i="85"/>
  <c r="AH1168" i="85"/>
  <c r="AH2298" i="85"/>
  <c r="AH3104" i="85"/>
  <c r="AH2448" i="85"/>
  <c r="AH896" i="85"/>
  <c r="AH1953" i="85"/>
  <c r="AH2659" i="85"/>
  <c r="AH1549" i="85"/>
  <c r="AH497" i="85"/>
  <c r="AH1153" i="85"/>
  <c r="AH2024" i="85"/>
  <c r="AH2251" i="85"/>
  <c r="AH1305" i="85"/>
  <c r="AH2032" i="85"/>
  <c r="AH439" i="85"/>
  <c r="AH750" i="85"/>
  <c r="AH1629" i="85"/>
  <c r="AH3072" i="85"/>
  <c r="AH3124" i="85"/>
  <c r="AH1391" i="85"/>
  <c r="AH346" i="85"/>
  <c r="AH503" i="85"/>
  <c r="AH2164" i="85"/>
  <c r="AH1752" i="85"/>
  <c r="AH1741" i="85"/>
  <c r="AH1787" i="85"/>
  <c r="AH1280" i="85"/>
  <c r="AH1523" i="85"/>
  <c r="AH2439" i="85"/>
  <c r="AH2225" i="85"/>
  <c r="AH1037" i="85"/>
  <c r="AH845" i="85"/>
  <c r="AH1540" i="85"/>
  <c r="AH2309" i="85"/>
  <c r="AH1020" i="85"/>
  <c r="AH133" i="85"/>
  <c r="AH1057" i="85"/>
  <c r="AH356" i="85"/>
  <c r="AH163" i="85"/>
  <c r="AH2521" i="85"/>
  <c r="AH2303" i="85"/>
  <c r="AH1699" i="85"/>
  <c r="AH2880" i="85"/>
  <c r="AH1722" i="85"/>
  <c r="AH2372" i="85"/>
  <c r="AH2903" i="85"/>
  <c r="AH819" i="85"/>
  <c r="AH1090" i="85"/>
  <c r="AH879" i="85"/>
  <c r="AH1842" i="85"/>
  <c r="AH144" i="85"/>
  <c r="AH820" i="85"/>
  <c r="AH2741" i="85"/>
  <c r="J117" i="81"/>
  <c r="E117" i="81"/>
  <c r="N2932" i="85"/>
  <c r="N2365" i="85"/>
  <c r="N2400" i="85"/>
  <c r="N2554" i="85"/>
  <c r="N3062" i="85"/>
  <c r="N2454" i="85"/>
  <c r="N725" i="85"/>
  <c r="N2020" i="85"/>
  <c r="N1683" i="85"/>
  <c r="N1974" i="85"/>
  <c r="N2394" i="85"/>
  <c r="N2135" i="85"/>
  <c r="N2282" i="85"/>
  <c r="N2595" i="85"/>
  <c r="N3117" i="85"/>
  <c r="N2139" i="85"/>
  <c r="N2871" i="85"/>
  <c r="N1489" i="85"/>
  <c r="N1870" i="85"/>
  <c r="N610" i="85"/>
  <c r="N1822" i="85"/>
  <c r="N2248" i="85"/>
  <c r="N1562" i="85"/>
  <c r="N2974" i="85"/>
  <c r="N2666" i="85"/>
  <c r="N2883" i="85"/>
  <c r="N2276" i="85"/>
  <c r="N1503" i="85"/>
  <c r="N3077" i="85"/>
  <c r="N2392" i="85"/>
  <c r="N3013" i="85"/>
  <c r="N2001" i="85"/>
  <c r="N2725" i="85"/>
  <c r="N2212" i="85"/>
  <c r="N3074" i="85"/>
  <c r="N2886" i="85"/>
  <c r="N3065" i="85"/>
  <c r="N2487" i="85"/>
  <c r="N1841" i="85"/>
  <c r="N1004" i="85"/>
  <c r="N3127" i="85"/>
  <c r="N1817" i="85"/>
  <c r="N2233" i="85"/>
  <c r="N2560" i="85"/>
  <c r="N1167" i="85"/>
  <c r="N1192" i="85"/>
  <c r="N1156" i="85"/>
  <c r="N1362" i="85"/>
  <c r="N997" i="85"/>
  <c r="N894" i="85"/>
  <c r="N1542" i="85"/>
  <c r="N2638" i="85"/>
  <c r="N1176" i="85"/>
  <c r="N3079" i="85"/>
  <c r="N2879" i="85"/>
  <c r="N2816" i="85"/>
  <c r="N1799" i="85"/>
  <c r="N1431" i="85"/>
  <c r="N2117" i="85"/>
  <c r="N1656" i="85"/>
  <c r="N2320" i="85"/>
  <c r="N1718" i="85"/>
  <c r="N1980" i="85"/>
  <c r="N2683" i="85"/>
  <c r="N1659" i="85"/>
  <c r="N2761" i="85"/>
  <c r="N1672" i="85"/>
  <c r="N2266" i="85"/>
  <c r="N2046" i="85"/>
  <c r="N1552" i="85"/>
  <c r="N2458" i="85"/>
  <c r="N2249" i="85"/>
  <c r="N2587" i="85"/>
  <c r="N1694" i="85"/>
  <c r="N2440" i="85"/>
  <c r="N2438" i="85"/>
  <c r="N2338" i="85"/>
  <c r="N2702" i="85"/>
  <c r="N2396" i="85"/>
  <c r="N3060" i="85"/>
  <c r="N2622" i="85"/>
  <c r="N2981" i="85"/>
  <c r="N1920" i="85"/>
  <c r="N2547" i="85"/>
  <c r="N2054" i="85"/>
  <c r="N2195" i="85"/>
  <c r="N2797" i="85"/>
  <c r="N2330" i="85"/>
  <c r="N749" i="85"/>
  <c r="N1806" i="85"/>
  <c r="N2747" i="85"/>
  <c r="N2312" i="85"/>
  <c r="N2651" i="85"/>
  <c r="N1306" i="85"/>
  <c r="N3004" i="85"/>
  <c r="N2861" i="85"/>
  <c r="N1385" i="85"/>
  <c r="N2522" i="85"/>
  <c r="N1082" i="85"/>
  <c r="N1598" i="85"/>
  <c r="N1631" i="85"/>
  <c r="N1106" i="85"/>
  <c r="N410" i="85"/>
  <c r="N127" i="85"/>
  <c r="N1257" i="85"/>
  <c r="N1805" i="85"/>
  <c r="N368" i="85"/>
  <c r="N2066" i="85"/>
  <c r="N2519" i="85"/>
  <c r="N2715" i="85"/>
  <c r="N2786" i="85"/>
  <c r="N1293" i="85"/>
  <c r="N2433" i="85"/>
  <c r="N621" i="85"/>
  <c r="N1505" i="85"/>
  <c r="N2923" i="85"/>
  <c r="N2949" i="85"/>
  <c r="N1512" i="85"/>
  <c r="N2553" i="85"/>
  <c r="N2681" i="85"/>
  <c r="N3085" i="85"/>
  <c r="N2959" i="85"/>
  <c r="N2262" i="85"/>
  <c r="N2765" i="85"/>
  <c r="N2373" i="85"/>
  <c r="N2791" i="85"/>
  <c r="N1140" i="85"/>
  <c r="N850" i="85"/>
  <c r="N2234" i="85"/>
  <c r="N1960" i="85"/>
  <c r="N2083" i="85"/>
  <c r="N1808" i="85"/>
  <c r="N2718" i="85"/>
  <c r="N2854" i="85"/>
  <c r="N2717" i="85"/>
  <c r="N2582" i="85"/>
  <c r="N2104" i="85"/>
  <c r="N2354" i="85"/>
  <c r="N2082" i="85"/>
  <c r="N2079" i="85"/>
  <c r="N2399" i="85"/>
  <c r="N2543" i="85"/>
  <c r="N2916" i="85"/>
  <c r="N2841" i="85"/>
  <c r="N2649" i="85"/>
  <c r="N2227" i="85"/>
  <c r="N1898" i="85"/>
  <c r="N2508" i="85"/>
  <c r="N1840" i="85"/>
  <c r="N697" i="85"/>
  <c r="N982" i="85"/>
  <c r="N3154" i="85"/>
  <c r="N1915" i="85"/>
  <c r="N1200" i="85"/>
  <c r="N3155" i="85"/>
  <c r="N1992" i="85"/>
  <c r="N702" i="85"/>
  <c r="N1991" i="85"/>
  <c r="N1364" i="85"/>
  <c r="N2927" i="85"/>
  <c r="N2751" i="85"/>
  <c r="N2395" i="85"/>
  <c r="N1889" i="85"/>
  <c r="N788" i="85"/>
  <c r="N330" i="85"/>
  <c r="N1426" i="85"/>
  <c r="N1181" i="85"/>
  <c r="N1246" i="85"/>
  <c r="N936" i="85"/>
  <c r="N1917" i="85"/>
  <c r="N464" i="85"/>
  <c r="N1508" i="85"/>
  <c r="N1998" i="85"/>
  <c r="N2314" i="85"/>
  <c r="N1220" i="85"/>
  <c r="N1758" i="85"/>
  <c r="N217" i="85"/>
  <c r="N457" i="85"/>
  <c r="N882" i="85"/>
  <c r="N624" i="85"/>
  <c r="N800" i="85"/>
  <c r="N74" i="85"/>
  <c r="N390" i="85"/>
  <c r="N993" i="85"/>
  <c r="N998" i="85"/>
  <c r="N1312" i="85"/>
  <c r="N1085" i="85"/>
  <c r="N257" i="85"/>
  <c r="N1000" i="85"/>
  <c r="N430" i="85"/>
  <c r="N28" i="85"/>
  <c r="N1129" i="85"/>
  <c r="N1084" i="85"/>
  <c r="N984" i="85"/>
  <c r="N1346" i="85"/>
  <c r="N960" i="85"/>
  <c r="N539" i="85"/>
  <c r="N772" i="85"/>
  <c r="N1704" i="85"/>
  <c r="N963" i="85"/>
  <c r="N1646" i="85"/>
  <c r="N2120" i="85"/>
  <c r="N2936" i="85"/>
  <c r="N1151" i="85"/>
  <c r="N632" i="85"/>
  <c r="N1131" i="85"/>
  <c r="N1332" i="85"/>
  <c r="N2960" i="85"/>
  <c r="N2466" i="85"/>
  <c r="N2384" i="85"/>
  <c r="N1666" i="85"/>
  <c r="N2339" i="85"/>
  <c r="N2253" i="85"/>
  <c r="N2706" i="85"/>
  <c r="N2403" i="85"/>
  <c r="N3009" i="85"/>
  <c r="N2833" i="85"/>
  <c r="N354" i="85"/>
  <c r="N3115" i="85"/>
  <c r="N1679" i="85"/>
  <c r="N1690" i="85"/>
  <c r="N1909" i="85"/>
  <c r="N2441" i="85"/>
  <c r="N2724" i="85"/>
  <c r="N1243" i="85"/>
  <c r="N2759" i="85"/>
  <c r="N909" i="85"/>
  <c r="N2653" i="85"/>
  <c r="N2934" i="85"/>
  <c r="N1498" i="85"/>
  <c r="N2919" i="85"/>
  <c r="N2676" i="85"/>
  <c r="N1045" i="85"/>
  <c r="N1051" i="85"/>
  <c r="N2070" i="85"/>
  <c r="N1945" i="85"/>
  <c r="N1863" i="85"/>
  <c r="N689" i="85"/>
  <c r="N844" i="85"/>
  <c r="N1682" i="85"/>
  <c r="N2140" i="85"/>
  <c r="N1600" i="85"/>
  <c r="N2758" i="85"/>
  <c r="N3069" i="85"/>
  <c r="N2177" i="85"/>
  <c r="N2998" i="85"/>
  <c r="N2933" i="85"/>
  <c r="N2956" i="85"/>
  <c r="N3126" i="85"/>
  <c r="N2972" i="85"/>
  <c r="N2670" i="85"/>
  <c r="N3090" i="85"/>
  <c r="N2763" i="85"/>
  <c r="N2849" i="85"/>
  <c r="N2561" i="85"/>
  <c r="N2796" i="85"/>
  <c r="N2242" i="85"/>
  <c r="N2122" i="85"/>
  <c r="N2850" i="85"/>
  <c r="N1068" i="85"/>
  <c r="N2539" i="85"/>
  <c r="N2626" i="85"/>
  <c r="N521" i="85"/>
  <c r="N3095" i="85"/>
  <c r="N3015" i="85"/>
  <c r="N2065" i="85"/>
  <c r="N3135" i="85"/>
  <c r="N2749" i="85"/>
  <c r="N1918" i="85"/>
  <c r="N1591" i="85"/>
  <c r="N2635" i="85"/>
  <c r="N2951" i="85"/>
  <c r="N2971" i="85"/>
  <c r="N2285" i="85"/>
  <c r="N2385" i="85"/>
  <c r="N3021" i="85"/>
  <c r="N2726" i="85"/>
  <c r="N2570" i="85"/>
  <c r="N1580" i="85"/>
  <c r="N1990" i="85"/>
  <c r="N1696" i="85"/>
  <c r="N705" i="85"/>
  <c r="N1905" i="85"/>
  <c r="N3035" i="85"/>
  <c r="N1983" i="85"/>
  <c r="N2360" i="85"/>
  <c r="N918" i="85"/>
  <c r="N2503" i="85"/>
  <c r="N2476" i="85"/>
  <c r="N1247" i="85"/>
  <c r="N2605" i="85"/>
  <c r="N2792" i="85"/>
  <c r="N2574" i="85"/>
  <c r="N280" i="85"/>
  <c r="N940" i="85"/>
  <c r="N783" i="85"/>
  <c r="N365" i="85"/>
  <c r="N935" i="85"/>
  <c r="N1548" i="85"/>
  <c r="N646" i="85"/>
  <c r="N1377" i="85"/>
  <c r="N1288" i="85"/>
  <c r="N1421" i="85"/>
  <c r="N1052" i="85"/>
  <c r="N1026" i="85"/>
  <c r="N1626" i="85"/>
  <c r="N2071" i="85"/>
  <c r="N2838" i="85"/>
  <c r="N833" i="85"/>
  <c r="N1856" i="85"/>
  <c r="N2677" i="85"/>
  <c r="N780" i="85"/>
  <c r="N1906" i="85"/>
  <c r="N2268" i="85"/>
  <c r="N1223" i="85"/>
  <c r="N1492" i="85"/>
  <c r="N644" i="85"/>
  <c r="N714" i="85"/>
  <c r="N732" i="85"/>
  <c r="N1478" i="85"/>
  <c r="N1432" i="85"/>
  <c r="N1245" i="85"/>
  <c r="N787" i="85"/>
  <c r="N577" i="85"/>
  <c r="N1578" i="85"/>
  <c r="N1487" i="85"/>
  <c r="N1296" i="85"/>
  <c r="N1951" i="85"/>
  <c r="N1196" i="85"/>
  <c r="N3110" i="85"/>
  <c r="N762" i="85"/>
  <c r="N2287" i="85"/>
  <c r="N1827" i="85"/>
  <c r="N2592" i="85"/>
  <c r="N2762" i="85"/>
  <c r="N2488" i="85"/>
  <c r="N1563" i="85"/>
  <c r="N1766" i="85"/>
  <c r="N1844" i="85"/>
  <c r="N1767" i="85"/>
  <c r="N2245" i="85"/>
  <c r="N1519" i="85"/>
  <c r="N1946" i="85"/>
  <c r="N1956" i="85"/>
  <c r="N2080" i="85"/>
  <c r="N1714" i="85"/>
  <c r="N1133" i="85"/>
  <c r="N1564" i="85"/>
  <c r="N1821" i="85"/>
  <c r="N1461" i="85"/>
  <c r="N1878" i="85"/>
  <c r="N2017" i="85"/>
  <c r="N1458" i="85"/>
  <c r="N1464" i="85"/>
  <c r="N2650" i="85"/>
  <c r="N2332" i="85"/>
  <c r="N2703" i="85"/>
  <c r="N2902" i="85"/>
  <c r="N1584" i="85"/>
  <c r="N2631" i="85"/>
  <c r="N1405" i="85"/>
  <c r="N1363" i="85"/>
  <c r="N1838" i="85"/>
  <c r="N2602" i="85"/>
  <c r="N2115" i="85"/>
  <c r="N2301" i="85"/>
  <c r="N2170" i="85"/>
  <c r="N2390" i="85"/>
  <c r="N2777" i="85"/>
  <c r="N1632" i="85"/>
  <c r="N3025" i="85"/>
  <c r="N2921" i="85"/>
  <c r="N3123" i="85"/>
  <c r="N2583" i="85"/>
  <c r="N2708" i="85"/>
  <c r="N2864" i="85"/>
  <c r="N1501" i="85"/>
  <c r="N1551" i="85"/>
  <c r="N627" i="85"/>
  <c r="N1996" i="85"/>
  <c r="N1054" i="85"/>
  <c r="N547" i="85"/>
  <c r="N880" i="85"/>
  <c r="N834" i="85"/>
  <c r="N977" i="85"/>
  <c r="N1791" i="85"/>
  <c r="N1040" i="85"/>
  <c r="N2364" i="85"/>
  <c r="N1438" i="85"/>
  <c r="N1828" i="85"/>
  <c r="N1963" i="85"/>
  <c r="N698" i="85"/>
  <c r="N2286" i="85"/>
  <c r="N2480" i="85"/>
  <c r="N1202" i="85"/>
  <c r="N805" i="85"/>
  <c r="N996" i="85"/>
  <c r="N2300" i="85"/>
  <c r="N2607" i="85"/>
  <c r="N2746" i="85"/>
  <c r="N2812" i="85"/>
  <c r="N2794" i="85"/>
  <c r="N2176" i="85"/>
  <c r="N2471" i="85"/>
  <c r="N2050" i="85"/>
  <c r="N1914" i="85"/>
  <c r="N2790" i="85"/>
  <c r="N2633" i="85"/>
  <c r="N2069" i="85"/>
  <c r="N2623" i="85"/>
  <c r="N2863" i="85"/>
  <c r="N2353" i="85"/>
  <c r="N1116" i="85"/>
  <c r="N85" i="85"/>
  <c r="N317" i="85"/>
  <c r="N2021" i="85"/>
  <c r="N857" i="85"/>
  <c r="N487" i="85"/>
  <c r="N3088" i="85"/>
  <c r="N2456" i="85"/>
  <c r="N2278" i="85"/>
  <c r="N2858" i="85"/>
  <c r="N2643" i="85"/>
  <c r="N2577" i="85"/>
  <c r="N922" i="85"/>
  <c r="N1652" i="85"/>
  <c r="N2349" i="85"/>
  <c r="N2055" i="85"/>
  <c r="N2228" i="85"/>
  <c r="N2321" i="85"/>
  <c r="N1942" i="85"/>
  <c r="N1390" i="85"/>
  <c r="N250" i="85"/>
  <c r="N416" i="85"/>
  <c r="N2185" i="85"/>
  <c r="N1886" i="85"/>
  <c r="N2343" i="85"/>
  <c r="N2986" i="85"/>
  <c r="N2737" i="85"/>
  <c r="N3075" i="85"/>
  <c r="N2955" i="85"/>
  <c r="N2586" i="85"/>
  <c r="N2388" i="85"/>
  <c r="N1728" i="85"/>
  <c r="N3138" i="85"/>
  <c r="N3050" i="85"/>
  <c r="N3120" i="85"/>
  <c r="N2950" i="85"/>
  <c r="N2911" i="85"/>
  <c r="N3112" i="85"/>
  <c r="N2780" i="85"/>
  <c r="N3045" i="85"/>
  <c r="N2843" i="85"/>
  <c r="N2738" i="85"/>
  <c r="N2912" i="85"/>
  <c r="N1874" i="85"/>
  <c r="N3102" i="85"/>
  <c r="N3073" i="85"/>
  <c r="N2940" i="85"/>
  <c r="N2131" i="85"/>
  <c r="N2662" i="85"/>
  <c r="N3082" i="85"/>
  <c r="N2171" i="85"/>
  <c r="N2846" i="85"/>
  <c r="N2753" i="85"/>
  <c r="N2842" i="85"/>
  <c r="N1988" i="85"/>
  <c r="N2573" i="85"/>
  <c r="N2928" i="85"/>
  <c r="N2669" i="85"/>
  <c r="N2333" i="85"/>
  <c r="N2576" i="85"/>
  <c r="N2895" i="85"/>
  <c r="N2844" i="85"/>
  <c r="N2558" i="85"/>
  <c r="N2307" i="85"/>
  <c r="N2366" i="85"/>
  <c r="N3070" i="85"/>
  <c r="N2604" i="85"/>
  <c r="N2035" i="85"/>
  <c r="N1208" i="85"/>
  <c r="N2888" i="85"/>
  <c r="N822" i="85"/>
  <c r="N2957" i="85"/>
  <c r="N3001" i="85"/>
  <c r="N2551" i="85"/>
  <c r="N2731" i="85"/>
  <c r="N3063" i="85"/>
  <c r="N3114" i="85"/>
  <c r="N2549" i="85"/>
  <c r="N2980" i="85"/>
  <c r="N2735" i="85"/>
  <c r="N2641" i="85"/>
  <c r="N3146" i="85"/>
  <c r="N3087" i="85"/>
  <c r="N3118" i="85"/>
  <c r="N2930" i="85"/>
  <c r="N2304" i="85"/>
  <c r="N2760" i="85"/>
  <c r="N2690" i="85"/>
  <c r="N2425" i="85"/>
  <c r="N2855" i="85"/>
  <c r="N2732" i="85"/>
  <c r="N1419" i="85"/>
  <c r="N2728" i="85"/>
  <c r="N2468" i="85"/>
  <c r="N2727" i="85"/>
  <c r="N3026" i="85"/>
  <c r="N3139" i="85"/>
  <c r="N1042" i="85"/>
  <c r="N1273" i="85"/>
  <c r="N583" i="85"/>
  <c r="N2059" i="85"/>
  <c r="N2150" i="85"/>
  <c r="N1016" i="85"/>
  <c r="N2772" i="85"/>
  <c r="N888" i="85"/>
  <c r="N1005" i="85"/>
  <c r="N2211" i="85"/>
  <c r="N1295" i="85"/>
  <c r="N2490" i="85"/>
  <c r="N2092" i="85"/>
  <c r="N2397" i="85"/>
  <c r="N2218" i="85"/>
  <c r="N1730" i="85"/>
  <c r="N2552" i="85"/>
  <c r="N2636" i="85"/>
  <c r="N2267" i="85"/>
  <c r="N706" i="85"/>
  <c r="N208" i="85"/>
  <c r="N407" i="85"/>
  <c r="N543" i="85"/>
  <c r="N102" i="85"/>
  <c r="N189" i="85"/>
  <c r="N16" i="85"/>
  <c r="N1543" i="85"/>
  <c r="N571" i="85"/>
  <c r="N2143" i="85"/>
  <c r="N2073" i="85"/>
  <c r="N2010" i="85"/>
  <c r="N1985" i="85"/>
  <c r="N1510" i="85"/>
  <c r="N693" i="85"/>
  <c r="N1937" i="85"/>
  <c r="N1418" i="85"/>
  <c r="N1311" i="85"/>
  <c r="N1343" i="85"/>
  <c r="N1570" i="85"/>
  <c r="N441" i="85"/>
  <c r="N288" i="85"/>
  <c r="N103" i="85"/>
  <c r="N1248" i="85"/>
  <c r="N677" i="85"/>
  <c r="N806" i="85"/>
  <c r="N1244" i="85"/>
  <c r="N614" i="85"/>
  <c r="N1462" i="85"/>
  <c r="N232" i="85"/>
  <c r="N556" i="85"/>
  <c r="N1396" i="85"/>
  <c r="N902" i="85"/>
  <c r="N1122" i="85"/>
  <c r="N1112" i="85"/>
  <c r="N1008" i="85"/>
  <c r="N2230" i="85"/>
  <c r="N1579" i="85"/>
  <c r="N904" i="85"/>
  <c r="N1035" i="85"/>
  <c r="N413" i="85"/>
  <c r="N361" i="85"/>
  <c r="N1144" i="85"/>
  <c r="N1326" i="85"/>
  <c r="N1455" i="85"/>
  <c r="N700" i="85"/>
  <c r="N962" i="85"/>
  <c r="N341" i="85"/>
  <c r="N185" i="85"/>
  <c r="N608" i="85"/>
  <c r="N70" i="85"/>
  <c r="N419" i="85"/>
  <c r="N191" i="85"/>
  <c r="N510" i="85"/>
  <c r="N180" i="85"/>
  <c r="N2410" i="85"/>
  <c r="N2107" i="85"/>
  <c r="N3029" i="85"/>
  <c r="N3057" i="85"/>
  <c r="N2608" i="85"/>
  <c r="N2730" i="85"/>
  <c r="N2371" i="85"/>
  <c r="N1171" i="85"/>
  <c r="N2999" i="85"/>
  <c r="N1633" i="85"/>
  <c r="N1931" i="85"/>
  <c r="N2404" i="85"/>
  <c r="N945" i="85"/>
  <c r="N2412" i="85"/>
  <c r="N1186" i="85"/>
  <c r="N1275" i="85"/>
  <c r="N1850" i="85"/>
  <c r="N2042" i="85"/>
  <c r="N381" i="85"/>
  <c r="N1719" i="85"/>
  <c r="N3140" i="85"/>
  <c r="N2178" i="85"/>
  <c r="N1488" i="85"/>
  <c r="N737" i="85"/>
  <c r="N307" i="85"/>
  <c r="N479" i="85"/>
  <c r="N351" i="85"/>
  <c r="N353" i="85"/>
  <c r="N1447" i="85"/>
  <c r="N1751" i="85"/>
  <c r="N1803" i="85"/>
  <c r="N1336" i="85"/>
  <c r="N1107" i="85"/>
  <c r="N1394" i="85"/>
  <c r="N1973" i="85"/>
  <c r="N1981" i="85"/>
  <c r="N222" i="85"/>
  <c r="N162" i="85"/>
  <c r="N11" i="85"/>
  <c r="N414" i="85"/>
  <c r="N140" i="85"/>
  <c r="N869" i="85"/>
  <c r="N209" i="85"/>
  <c r="N296" i="85"/>
  <c r="N801" i="85"/>
  <c r="N1760" i="85"/>
  <c r="N1210" i="85"/>
  <c r="N1190" i="85"/>
  <c r="N363" i="85"/>
  <c r="N665" i="85"/>
  <c r="N218" i="85"/>
  <c r="N553" i="85"/>
  <c r="N864" i="85"/>
  <c r="N168" i="85"/>
  <c r="N480" i="85"/>
  <c r="N827" i="85"/>
  <c r="N164" i="85"/>
  <c r="N347" i="85"/>
  <c r="N259" i="85"/>
  <c r="N134" i="85"/>
  <c r="N333" i="85"/>
  <c r="N1553" i="85"/>
  <c r="N2350" i="85"/>
  <c r="N1625" i="85"/>
  <c r="N2275" i="85"/>
  <c r="N1533" i="85"/>
  <c r="N1060" i="85"/>
  <c r="N505" i="85"/>
  <c r="N1329" i="85"/>
  <c r="N594" i="85"/>
  <c r="N1260" i="85"/>
  <c r="N1773" i="85"/>
  <c r="N113" i="85"/>
  <c r="N579" i="85"/>
  <c r="N293" i="85"/>
  <c r="N438" i="85"/>
  <c r="N1530" i="85"/>
  <c r="N647" i="85"/>
  <c r="N205" i="85"/>
  <c r="N2163" i="85"/>
  <c r="N757" i="85"/>
  <c r="N655" i="85"/>
  <c r="N863" i="85"/>
  <c r="N710" i="85"/>
  <c r="N1382" i="85"/>
  <c r="N965" i="85"/>
  <c r="N1251" i="85"/>
  <c r="N228" i="85"/>
  <c r="N1299" i="85"/>
  <c r="N375" i="85"/>
  <c r="N1059" i="85"/>
  <c r="N1206" i="85"/>
  <c r="N716" i="85"/>
  <c r="N840" i="85"/>
  <c r="N2098" i="85"/>
  <c r="N1794" i="85"/>
  <c r="N973" i="85"/>
  <c r="N670" i="85"/>
  <c r="N1033" i="85"/>
  <c r="N746" i="85"/>
  <c r="N1100" i="85"/>
  <c r="N793" i="85"/>
  <c r="N1319" i="85"/>
  <c r="N1252" i="85"/>
  <c r="N1032" i="85"/>
  <c r="N886" i="85"/>
  <c r="N1098" i="85"/>
  <c r="N1056" i="85"/>
  <c r="N901" i="85"/>
  <c r="N1294" i="85"/>
  <c r="N531" i="85"/>
  <c r="N1473" i="85"/>
  <c r="N1667" i="85"/>
  <c r="N1209" i="85"/>
  <c r="N1372" i="85"/>
  <c r="N968" i="85"/>
  <c r="N1771" i="85"/>
  <c r="N1302" i="85"/>
  <c r="N1575" i="85"/>
  <c r="N781" i="85"/>
  <c r="N789" i="85"/>
  <c r="N1062" i="85"/>
  <c r="N1079" i="85"/>
  <c r="N1038" i="85"/>
  <c r="N2007" i="85"/>
  <c r="N629" i="85"/>
  <c r="N1572" i="85"/>
  <c r="N190" i="85"/>
  <c r="N69" i="85"/>
  <c r="N572" i="85"/>
  <c r="N1456" i="85"/>
  <c r="N1459" i="85"/>
  <c r="N206" i="85"/>
  <c r="N196" i="85"/>
  <c r="N54" i="85"/>
  <c r="N117" i="85"/>
  <c r="N262" i="85"/>
  <c r="N690" i="85"/>
  <c r="N1409" i="85"/>
  <c r="N1199" i="85"/>
  <c r="N856" i="85"/>
  <c r="N82" i="85"/>
  <c r="N83" i="85"/>
  <c r="N376" i="85"/>
  <c r="N1356" i="85"/>
  <c r="N388" i="85"/>
  <c r="N188" i="85"/>
  <c r="N1191" i="85"/>
  <c r="N277" i="85"/>
  <c r="N551" i="85"/>
  <c r="N292" i="85"/>
  <c r="N451" i="85"/>
  <c r="N124" i="85"/>
  <c r="N616" i="85"/>
  <c r="N1406" i="85"/>
  <c r="N649" i="85"/>
  <c r="N1259" i="85"/>
  <c r="N1403" i="85"/>
  <c r="N298" i="85"/>
  <c r="N1544" i="85"/>
  <c r="N1347" i="85"/>
  <c r="N642" i="85"/>
  <c r="N240" i="85"/>
  <c r="N2060" i="85"/>
  <c r="N617" i="85"/>
  <c r="N494" i="85"/>
  <c r="N1162" i="85"/>
  <c r="N357" i="85"/>
  <c r="N2051" i="85"/>
  <c r="N1420" i="85"/>
  <c r="N751" i="85"/>
  <c r="N507" i="85"/>
  <c r="N1088" i="85"/>
  <c r="N246" i="85"/>
  <c r="N284" i="85"/>
  <c r="N589" i="85"/>
  <c r="N795" i="85"/>
  <c r="N1145" i="85"/>
  <c r="N2043" i="85"/>
  <c r="N1681" i="85"/>
  <c r="N52" i="85"/>
  <c r="N142" i="85"/>
  <c r="N150" i="85"/>
  <c r="N794" i="85"/>
  <c r="N933" i="85"/>
  <c r="N132" i="85"/>
  <c r="N663" i="85"/>
  <c r="N1514" i="85"/>
  <c r="N1099" i="85"/>
  <c r="N1352" i="85"/>
  <c r="N1649" i="85"/>
  <c r="N38" i="85"/>
  <c r="N204" i="85"/>
  <c r="N1158" i="85"/>
  <c r="N1662" i="85"/>
  <c r="N256" i="85"/>
  <c r="N99" i="85"/>
  <c r="N1678" i="85"/>
  <c r="N2108" i="85"/>
  <c r="N359" i="85"/>
  <c r="N367" i="85"/>
  <c r="N1865" i="85"/>
  <c r="N2033" i="85"/>
  <c r="N2584" i="85"/>
  <c r="N445" i="85"/>
  <c r="N3054" i="85"/>
  <c r="N1049" i="85"/>
  <c r="N753" i="85"/>
  <c r="N128" i="85"/>
  <c r="N2409" i="85"/>
  <c r="N861" i="85"/>
  <c r="N1665" i="85"/>
  <c r="N1003" i="85"/>
  <c r="N2279" i="85"/>
  <c r="N1400" i="85"/>
  <c r="N215" i="85"/>
  <c r="N2834" i="85"/>
  <c r="N2984" i="85"/>
  <c r="N2803" i="85"/>
  <c r="N3053" i="85"/>
  <c r="N2136" i="85"/>
  <c r="N2885" i="85"/>
  <c r="N2091" i="85"/>
  <c r="N2935" i="85"/>
  <c r="N2357" i="85"/>
  <c r="N2502" i="85"/>
  <c r="N2925" i="85"/>
  <c r="N3039" i="85"/>
  <c r="N2657" i="85"/>
  <c r="N2324" i="85"/>
  <c r="N2664" i="85"/>
  <c r="N3157" i="85"/>
  <c r="N3159" i="85"/>
  <c r="N3160" i="85"/>
  <c r="N652" i="85"/>
  <c r="N2099" i="85"/>
  <c r="N1044" i="85"/>
  <c r="N119" i="85"/>
  <c r="N1756" i="85"/>
  <c r="N512" i="85"/>
  <c r="N1798" i="85"/>
  <c r="N1357" i="85"/>
  <c r="N1287" i="85"/>
  <c r="N2430" i="85"/>
  <c r="N756" i="85"/>
  <c r="N2337" i="85"/>
  <c r="N1788" i="85"/>
  <c r="N2072" i="85"/>
  <c r="N596" i="85"/>
  <c r="N2061" i="85"/>
  <c r="N1104" i="85"/>
  <c r="N1442" i="85"/>
  <c r="N1433" i="85"/>
  <c r="N1249" i="85"/>
  <c r="N1451" i="85"/>
  <c r="N873" i="85"/>
  <c r="N1610" i="85"/>
  <c r="N481" i="85"/>
  <c r="N1262" i="85"/>
  <c r="N1285" i="85"/>
  <c r="N748" i="85"/>
  <c r="N949" i="85"/>
  <c r="N807" i="85"/>
  <c r="N958" i="85"/>
  <c r="N2058" i="85"/>
  <c r="N1604" i="85"/>
  <c r="N546" i="85"/>
  <c r="N740" i="85"/>
  <c r="N386" i="85"/>
  <c r="N87" i="85"/>
  <c r="N219" i="85"/>
  <c r="N58" i="85"/>
  <c r="N2057" i="85"/>
  <c r="N1066" i="85"/>
  <c r="N147" i="85"/>
  <c r="N202" i="85"/>
  <c r="N181" i="85"/>
  <c r="N336" i="85"/>
  <c r="N380" i="85"/>
  <c r="N158" i="85"/>
  <c r="N141" i="85"/>
  <c r="N425" i="85"/>
  <c r="N435" i="85"/>
  <c r="N156" i="85"/>
  <c r="N345" i="85"/>
  <c r="N411" i="85"/>
  <c r="N137" i="85"/>
  <c r="N344" i="85"/>
  <c r="N1776" i="85"/>
  <c r="N242" i="85"/>
  <c r="N516" i="85"/>
  <c r="N167" i="85"/>
  <c r="N1381" i="85"/>
  <c r="N238" i="85"/>
  <c r="N442" i="85"/>
  <c r="N2096" i="85"/>
  <c r="N115" i="85"/>
  <c r="N934" i="85"/>
  <c r="N2156" i="85"/>
  <c r="N1412" i="85"/>
  <c r="N628" i="85"/>
  <c r="N667" i="85"/>
  <c r="N1415" i="85"/>
  <c r="N1463" i="85"/>
  <c r="N1141" i="85"/>
  <c r="N2335" i="85"/>
  <c r="N1848" i="85"/>
  <c r="N981" i="85"/>
  <c r="N2045" i="85"/>
  <c r="N1303" i="85"/>
  <c r="N285" i="85"/>
  <c r="N495" i="85"/>
  <c r="N334" i="85"/>
  <c r="N2336" i="85"/>
  <c r="N454" i="85"/>
  <c r="N752" i="85"/>
  <c r="N2962" i="85"/>
  <c r="N2966" i="85"/>
  <c r="N2431" i="85"/>
  <c r="N598" i="85"/>
  <c r="N738" i="85"/>
  <c r="N251" i="85"/>
  <c r="N877" i="85"/>
  <c r="N1715" i="85"/>
  <c r="N160" i="85"/>
  <c r="N847" i="85"/>
  <c r="N2074" i="85"/>
  <c r="N1916" i="85"/>
  <c r="N1516" i="85"/>
  <c r="N157" i="85"/>
  <c r="N650" i="85"/>
  <c r="N1768" i="85"/>
  <c r="N2194" i="85"/>
  <c r="N2128" i="85"/>
  <c r="N1866" i="85"/>
  <c r="N1954" i="85"/>
  <c r="N622" i="85"/>
  <c r="N1697" i="85"/>
  <c r="N1876" i="85"/>
  <c r="N1782" i="85"/>
  <c r="N2329" i="85"/>
  <c r="N2437" i="85"/>
  <c r="N2363" i="85"/>
  <c r="N511" i="85"/>
  <c r="N1146" i="85"/>
  <c r="N887" i="85"/>
  <c r="N498" i="85"/>
  <c r="N549" i="85"/>
  <c r="N426" i="85"/>
  <c r="N520" i="85"/>
  <c r="N1238" i="85"/>
  <c r="N944" i="85"/>
  <c r="N2361" i="85"/>
  <c r="N2398" i="85"/>
  <c r="N2546" i="85"/>
  <c r="N2678" i="85"/>
  <c r="N1816" i="85"/>
  <c r="N1979" i="85"/>
  <c r="N2331" i="85"/>
  <c r="N434" i="85"/>
  <c r="N64" i="85"/>
  <c r="N170" i="85"/>
  <c r="N76" i="85"/>
  <c r="N823" i="85"/>
  <c r="N2014" i="85"/>
  <c r="N2254" i="85"/>
  <c r="N231" i="85"/>
  <c r="N306" i="85"/>
  <c r="N155" i="85"/>
  <c r="N701" i="85"/>
  <c r="N2149" i="85"/>
  <c r="N2347" i="85"/>
  <c r="N1999" i="85"/>
  <c r="N876" i="85"/>
  <c r="N1012" i="85"/>
  <c r="N2184" i="85"/>
  <c r="N2647" i="85"/>
  <c r="N2173" i="85"/>
  <c r="N2619" i="85"/>
  <c r="N3164" i="85"/>
  <c r="N1025" i="85"/>
  <c r="N2204" i="85"/>
  <c r="N1970" i="85"/>
  <c r="N2269" i="85"/>
  <c r="N2707" i="85"/>
  <c r="N2873" i="85"/>
  <c r="N1254" i="85"/>
  <c r="N1677" i="85"/>
  <c r="N1648" i="85"/>
  <c r="N179" i="85"/>
  <c r="N53" i="85"/>
  <c r="N212" i="85"/>
  <c r="N49" i="85"/>
  <c r="N37" i="85"/>
  <c r="N31" i="85"/>
  <c r="N878" i="85"/>
  <c r="N2548" i="85"/>
  <c r="N1321" i="85"/>
  <c r="N2618" i="85"/>
  <c r="N1952" i="85"/>
  <c r="N2645" i="85"/>
  <c r="N859" i="85"/>
  <c r="N1986" i="85"/>
  <c r="N927" i="85"/>
  <c r="N2063" i="85"/>
  <c r="N408" i="85"/>
  <c r="N1136" i="85"/>
  <c r="N2265" i="85"/>
  <c r="N23" i="85"/>
  <c r="N47" i="85"/>
  <c r="N664" i="85"/>
  <c r="N161" i="85"/>
  <c r="N254" i="85"/>
  <c r="N197" i="85"/>
  <c r="N106" i="85"/>
  <c r="N1170" i="85"/>
  <c r="N233" i="85"/>
  <c r="N1197" i="85"/>
  <c r="N2203" i="85"/>
  <c r="N703" i="85"/>
  <c r="N2247" i="85"/>
  <c r="N2387" i="85"/>
  <c r="N926" i="85"/>
  <c r="N1608" i="85"/>
  <c r="N2556" i="85"/>
  <c r="N797" i="85"/>
  <c r="N2679" i="85"/>
  <c r="N2905" i="85"/>
  <c r="N71" i="85"/>
  <c r="N492" i="85"/>
  <c r="N1977" i="85"/>
  <c r="N2165" i="85"/>
  <c r="N1705" i="85"/>
  <c r="N337" i="85"/>
  <c r="N736" i="85"/>
  <c r="N61" i="85"/>
  <c r="N65" i="85"/>
  <c r="N227" i="85"/>
  <c r="N1436" i="85"/>
  <c r="N967" i="85"/>
  <c r="N1019" i="85"/>
  <c r="N171" i="85"/>
  <c r="N34" i="85"/>
  <c r="N27" i="85"/>
  <c r="N100" i="85"/>
  <c r="N1454" i="85"/>
  <c r="N978" i="85"/>
  <c r="N517" i="85"/>
  <c r="N456" i="85"/>
  <c r="N79" i="85"/>
  <c r="N19" i="85"/>
  <c r="N50" i="85"/>
  <c r="N86" i="85"/>
  <c r="N35" i="85"/>
  <c r="N1327" i="85"/>
  <c r="N884" i="85"/>
  <c r="N311" i="85"/>
  <c r="N718" i="85"/>
  <c r="N130" i="85"/>
  <c r="N101" i="85"/>
  <c r="N385" i="85"/>
  <c r="N84" i="85"/>
  <c r="N120" i="85"/>
  <c r="N235" i="85"/>
  <c r="N247" i="85"/>
  <c r="N110" i="85"/>
  <c r="N214" i="85"/>
  <c r="N603" i="85"/>
  <c r="N62" i="85"/>
  <c r="N73" i="85"/>
  <c r="N77" i="85"/>
  <c r="N43" i="85"/>
  <c r="N15" i="85"/>
  <c r="N90" i="85"/>
  <c r="N18" i="85"/>
  <c r="N41" i="85"/>
  <c r="N45" i="85"/>
  <c r="N941" i="85"/>
  <c r="N383" i="85"/>
  <c r="N40" i="85"/>
  <c r="N1471" i="85"/>
  <c r="N1215" i="85"/>
  <c r="N954" i="85"/>
  <c r="N921" i="85"/>
  <c r="N1641" i="85"/>
  <c r="N2451" i="85"/>
  <c r="N1470" i="85"/>
  <c r="N1536" i="85"/>
  <c r="N2220" i="85"/>
  <c r="N72" i="85"/>
  <c r="N29" i="85"/>
  <c r="N779" i="85"/>
  <c r="N324" i="85"/>
  <c r="N178" i="85"/>
  <c r="N80" i="85"/>
  <c r="N229" i="85"/>
  <c r="N300" i="85"/>
  <c r="N195" i="85"/>
  <c r="N59" i="85"/>
  <c r="N299" i="85"/>
  <c r="N348" i="85"/>
  <c r="N446" i="85"/>
  <c r="N449" i="85"/>
  <c r="N724" i="85"/>
  <c r="N482" i="85"/>
  <c r="N1102" i="85"/>
  <c r="N343" i="85"/>
  <c r="N112" i="85"/>
  <c r="N541" i="85"/>
  <c r="N420" i="85"/>
  <c r="N1576" i="85"/>
  <c r="N485" i="85"/>
  <c r="N529" i="85"/>
  <c r="N263" i="85"/>
  <c r="N107" i="85"/>
  <c r="N153" i="85"/>
  <c r="N761" i="85"/>
  <c r="N708" i="85"/>
  <c r="N1024" i="85"/>
  <c r="N1807" i="85"/>
  <c r="N1071" i="85"/>
  <c r="N135" i="85"/>
  <c r="N152" i="85"/>
  <c r="N452" i="85"/>
  <c r="N123" i="85"/>
  <c r="N1282" i="85"/>
  <c r="N871" i="85"/>
  <c r="N174" i="85"/>
  <c r="N91" i="85"/>
  <c r="N198" i="85"/>
  <c r="N122" i="85"/>
  <c r="N173" i="85"/>
  <c r="N1692" i="85"/>
  <c r="N1720" i="85"/>
  <c r="N2382" i="85"/>
  <c r="N1764" i="85"/>
  <c r="N2453" i="85"/>
  <c r="N2475" i="85"/>
  <c r="N2443" i="85"/>
  <c r="N1738" i="85"/>
  <c r="N1689" i="85"/>
  <c r="N1851" i="85"/>
  <c r="N1910" i="85"/>
  <c r="N2113" i="85"/>
  <c r="N1628" i="85"/>
  <c r="N1268" i="85"/>
  <c r="N1429" i="85"/>
  <c r="N1023" i="85"/>
  <c r="N42" i="85"/>
  <c r="N1401" i="85"/>
  <c r="N322" i="85"/>
  <c r="N104" i="85"/>
  <c r="N444" i="85"/>
  <c r="N576" i="85"/>
  <c r="N573" i="85"/>
  <c r="N1150" i="85"/>
  <c r="N243" i="85"/>
  <c r="N193" i="85"/>
  <c r="N817" i="85"/>
  <c r="N829" i="85"/>
  <c r="N371" i="85"/>
  <c r="N427" i="85"/>
  <c r="N483" i="85"/>
  <c r="N453" i="85"/>
  <c r="N912" i="85"/>
  <c r="N691" i="85"/>
  <c r="N1001" i="85"/>
  <c r="N2513" i="85"/>
  <c r="N528" i="85"/>
  <c r="N1784" i="85"/>
  <c r="N808" i="85"/>
  <c r="N799" i="85"/>
  <c r="N1485" i="85"/>
  <c r="N638" i="85"/>
  <c r="N688" i="85"/>
  <c r="N1118" i="85"/>
  <c r="N1166" i="85"/>
  <c r="N1883" i="85"/>
  <c r="N2504" i="85"/>
  <c r="N946" i="85"/>
  <c r="N1383" i="85"/>
  <c r="N1265" i="85"/>
  <c r="N2158" i="85"/>
  <c r="N1647" i="85"/>
  <c r="N1272" i="85"/>
  <c r="N2172" i="85"/>
  <c r="N2716" i="85"/>
  <c r="N1872" i="85"/>
  <c r="N1739" i="85"/>
  <c r="N1725" i="85"/>
  <c r="N1323" i="85"/>
  <c r="N1250" i="85"/>
  <c r="N1213" i="85"/>
  <c r="N1779" i="85"/>
  <c r="N2068" i="85"/>
  <c r="N588" i="85"/>
  <c r="N26" i="85"/>
  <c r="N21" i="85"/>
  <c r="N1902" i="85"/>
  <c r="N2187" i="85"/>
  <c r="N3037" i="85"/>
  <c r="N2444" i="85"/>
  <c r="N1748" i="85"/>
  <c r="N2370" i="85"/>
  <c r="N2377" i="85"/>
  <c r="N1948" i="85"/>
  <c r="N764" i="85"/>
  <c r="N207" i="85"/>
  <c r="N25" i="85"/>
  <c r="N36" i="85"/>
  <c r="N1635" i="85"/>
  <c r="N1297" i="85"/>
  <c r="N743" i="85"/>
  <c r="N890" i="85"/>
  <c r="N261" i="85"/>
  <c r="N1740" i="85"/>
  <c r="N1524" i="85"/>
  <c r="N2076" i="85"/>
  <c r="N1680" i="85"/>
  <c r="N2196" i="85"/>
  <c r="N2663" i="85"/>
  <c r="N3024" i="85"/>
  <c r="N1581" i="85"/>
  <c r="N1392" i="85"/>
  <c r="N2089" i="85"/>
  <c r="N440" i="85"/>
  <c r="N2087" i="85"/>
  <c r="N1939" i="85"/>
  <c r="N1031" i="85"/>
  <c r="N985" i="85"/>
  <c r="N1476" i="85"/>
  <c r="N1495" i="85"/>
  <c r="N1904" i="85"/>
  <c r="N1605" i="85"/>
  <c r="N680" i="85"/>
  <c r="N1365" i="85"/>
  <c r="N406" i="85"/>
  <c r="N1750" i="85"/>
  <c r="N1590" i="85"/>
  <c r="N802" i="85"/>
  <c r="N868" i="85"/>
  <c r="N2238" i="85"/>
  <c r="N1089" i="85"/>
  <c r="N626" i="85"/>
  <c r="N2145" i="85"/>
  <c r="N755" i="85"/>
  <c r="N1067" i="85"/>
  <c r="N1410" i="85"/>
  <c r="N459" i="85"/>
  <c r="N544" i="85"/>
  <c r="N1615" i="85"/>
  <c r="N1474" i="85"/>
  <c r="N129" i="85"/>
  <c r="N1264" i="85"/>
  <c r="N659" i="85"/>
  <c r="N1148" i="85"/>
  <c r="N1826" i="85"/>
  <c r="N1955" i="85"/>
  <c r="N1732" i="85"/>
  <c r="N907" i="85"/>
  <c r="N611" i="85"/>
  <c r="N176" i="85"/>
  <c r="N648" i="85"/>
  <c r="N1139" i="85"/>
  <c r="N1380" i="85"/>
  <c r="N477" i="85"/>
  <c r="N175" i="85"/>
  <c r="N641" i="85"/>
  <c r="N1658" i="85"/>
  <c r="N2206" i="85"/>
  <c r="N504" i="85"/>
  <c r="N813" i="85"/>
  <c r="N22" i="85"/>
  <c r="N1499" i="85"/>
  <c r="N600" i="85"/>
  <c r="N1152" i="85"/>
  <c r="N1291" i="85"/>
  <c r="N2835" i="85"/>
  <c r="N213" i="85"/>
  <c r="N159" i="85"/>
  <c r="N108" i="85"/>
  <c r="N14" i="85"/>
  <c r="N682" i="85"/>
  <c r="N654" i="85"/>
  <c r="N938" i="85"/>
  <c r="N470" i="85"/>
  <c r="N1289" i="85"/>
  <c r="N1700" i="85"/>
  <c r="N2256" i="85"/>
  <c r="N1475" i="85"/>
  <c r="N1847" i="85"/>
  <c r="N1408" i="85"/>
  <c r="N1585" i="85"/>
  <c r="N835" i="85"/>
  <c r="N2255" i="85"/>
  <c r="N854" i="85"/>
  <c r="N2709" i="85"/>
  <c r="N2913" i="85"/>
  <c r="N2530" i="85"/>
  <c r="N2691" i="85"/>
  <c r="N2557" i="85"/>
  <c r="N1597" i="85"/>
  <c r="N2743" i="85"/>
  <c r="N2756" i="85"/>
  <c r="N2077" i="85"/>
  <c r="N2188" i="85"/>
  <c r="N1367" i="85"/>
  <c r="N1830" i="85"/>
  <c r="N523" i="85"/>
  <c r="N1413" i="85"/>
  <c r="N3003" i="85"/>
  <c r="N2310" i="85"/>
  <c r="N525" i="85"/>
  <c r="N2463" i="85"/>
  <c r="N409" i="85"/>
  <c r="N1371" i="85"/>
  <c r="N860" i="85"/>
  <c r="N821" i="85"/>
  <c r="N2920" i="85"/>
  <c r="N3131" i="85"/>
  <c r="N1096" i="85"/>
  <c r="N1105" i="85"/>
  <c r="N1147" i="85"/>
  <c r="N2317" i="85"/>
  <c r="N2910" i="85"/>
  <c r="N2168" i="85"/>
  <c r="N666" i="85"/>
  <c r="N2295" i="85"/>
  <c r="N2472" i="85"/>
  <c r="N1453" i="85"/>
  <c r="N2545" i="85"/>
  <c r="N1944" i="85"/>
  <c r="N2766" i="85"/>
  <c r="N415" i="85"/>
  <c r="N2048" i="85"/>
  <c r="N169" i="85"/>
  <c r="N640" i="85"/>
  <c r="N532" i="85"/>
  <c r="N509" i="85"/>
  <c r="N281" i="85"/>
  <c r="N1277" i="85"/>
  <c r="N545" i="85"/>
  <c r="N679" i="85"/>
  <c r="N893" i="85"/>
  <c r="N692" i="85"/>
  <c r="N612" i="85"/>
  <c r="N146" i="85"/>
  <c r="N401" i="85"/>
  <c r="N486" i="85"/>
  <c r="N121" i="85"/>
  <c r="N678" i="85"/>
  <c r="N1795" i="85"/>
  <c r="N1048" i="85"/>
  <c r="N2026" i="85"/>
  <c r="N2839" i="85"/>
  <c r="N2235" i="85"/>
  <c r="N1236" i="85"/>
  <c r="N1411" i="85"/>
  <c r="N2795" i="85"/>
  <c r="N2597" i="85"/>
  <c r="N651" i="85"/>
  <c r="N759" i="85"/>
  <c r="N1823" i="85"/>
  <c r="N1670" i="85"/>
  <c r="N2210" i="85"/>
  <c r="N308" i="85"/>
  <c r="N1194" i="85"/>
  <c r="N2771" i="85"/>
  <c r="N2162" i="85"/>
  <c r="N2294" i="85"/>
  <c r="N1742" i="85"/>
  <c r="N1387" i="85"/>
  <c r="N1859" i="85"/>
  <c r="N929" i="85"/>
  <c r="N1867" i="85"/>
  <c r="N1936" i="85"/>
  <c r="N2710" i="85"/>
  <c r="N2868" i="85"/>
  <c r="N33" i="85"/>
  <c r="N377" i="85"/>
  <c r="N51" i="85"/>
  <c r="N318" i="85"/>
  <c r="N979" i="85"/>
  <c r="N1207" i="85"/>
  <c r="N465" i="85"/>
  <c r="N980" i="85"/>
  <c r="N56" i="85"/>
  <c r="N1494" i="85"/>
  <c r="N165" i="85"/>
  <c r="N2401" i="85"/>
  <c r="N1818" i="85"/>
  <c r="N744" i="85"/>
  <c r="N2011" i="85"/>
  <c r="N2768" i="85"/>
  <c r="N951" i="85"/>
  <c r="N2226" i="85"/>
  <c r="N118" i="85"/>
  <c r="N1932" i="85"/>
  <c r="N2223" i="85"/>
  <c r="N1845" i="85"/>
  <c r="N1300" i="85"/>
  <c r="N672" i="85"/>
  <c r="N458" i="85"/>
  <c r="N327" i="85"/>
  <c r="N630" i="85"/>
  <c r="N899" i="85"/>
  <c r="N815" i="85"/>
  <c r="N920" i="85"/>
  <c r="N355" i="85"/>
  <c r="N136" i="85"/>
  <c r="N81" i="85"/>
  <c r="N286" i="85"/>
  <c r="N75" i="85"/>
  <c r="N105" i="85"/>
  <c r="N63" i="85"/>
  <c r="N24" i="85"/>
  <c r="N305" i="85"/>
  <c r="N1709" i="85"/>
  <c r="N490" i="85"/>
  <c r="N555" i="85"/>
  <c r="N309" i="85"/>
  <c r="N2318" i="85"/>
  <c r="N369" i="85"/>
  <c r="N824" i="85"/>
  <c r="N1673" i="85"/>
  <c r="N1434" i="85"/>
  <c r="N2259" i="85"/>
  <c r="N1612" i="85"/>
  <c r="N1036" i="85"/>
  <c r="N2945" i="85"/>
  <c r="N2389" i="85"/>
  <c r="N1467" i="85"/>
  <c r="N550" i="85"/>
  <c r="N321" i="85"/>
  <c r="N389" i="85"/>
  <c r="N1971" i="85"/>
  <c r="N199" i="85"/>
  <c r="N733" i="85"/>
  <c r="N2507" i="85"/>
  <c r="N2736" i="85"/>
  <c r="N2462" i="85"/>
  <c r="N2029" i="85"/>
  <c r="N2240" i="85"/>
  <c r="N1746" i="85"/>
  <c r="N2859" i="85"/>
  <c r="N3078" i="85"/>
  <c r="N2985" i="85"/>
  <c r="N2572" i="85"/>
  <c r="N2527" i="85"/>
  <c r="N2494" i="85"/>
  <c r="N2305" i="85"/>
  <c r="N2489" i="85"/>
  <c r="N2445" i="85"/>
  <c r="N2658" i="85"/>
  <c r="N1801" i="85"/>
  <c r="N2876" i="85"/>
  <c r="N1172" i="85"/>
  <c r="N1849" i="85"/>
  <c r="N2281" i="85"/>
  <c r="N1446" i="85"/>
  <c r="N1712" i="85"/>
  <c r="N1154" i="85"/>
  <c r="N942" i="85"/>
  <c r="N1765" i="85"/>
  <c r="N872" i="85"/>
  <c r="N2745" i="85"/>
  <c r="N1587" i="85"/>
  <c r="N2565" i="85"/>
  <c r="N1184" i="85"/>
  <c r="N1163" i="85"/>
  <c r="N2428" i="85"/>
  <c r="N595" i="85"/>
  <c r="N1204" i="85"/>
  <c r="N2311" i="85"/>
  <c r="N1707" i="85"/>
  <c r="N1890" i="85"/>
  <c r="N1624" i="85"/>
  <c r="N1554" i="85"/>
  <c r="N1175" i="85"/>
  <c r="N1558" i="85"/>
  <c r="N1161" i="85"/>
  <c r="N841" i="85"/>
  <c r="N1561" i="85"/>
  <c r="N1263" i="85"/>
  <c r="N400" i="85"/>
  <c r="N274" i="85"/>
  <c r="N974" i="85"/>
  <c r="N1922" i="85"/>
  <c r="N1018" i="85"/>
  <c r="N473" i="85"/>
  <c r="N1292" i="85"/>
  <c r="N939" i="85"/>
  <c r="N527" i="85"/>
  <c r="N349" i="85"/>
  <c r="N1030" i="85"/>
  <c r="N1135" i="85"/>
  <c r="N715" i="85"/>
  <c r="N1047" i="85"/>
  <c r="N548" i="85"/>
  <c r="N992" i="85"/>
  <c r="N370" i="85"/>
  <c r="N404" i="85"/>
  <c r="N809" i="85"/>
  <c r="N771" i="85"/>
  <c r="N852" i="85"/>
  <c r="N534" i="85"/>
  <c r="N707" i="85"/>
  <c r="N461" i="85"/>
  <c r="N1142" i="85"/>
  <c r="N1120" i="85"/>
  <c r="N478" i="85"/>
  <c r="N1127" i="85"/>
  <c r="N696" i="85"/>
  <c r="N1589" i="85"/>
  <c r="N2405" i="85"/>
  <c r="N855" i="85"/>
  <c r="N1384" i="85"/>
  <c r="N2246" i="85"/>
  <c r="N1233" i="85"/>
  <c r="N1727" i="85"/>
  <c r="N1661" i="85"/>
  <c r="N2606" i="85"/>
  <c r="N1860" i="85"/>
  <c r="N2166" i="85"/>
  <c r="N1643" i="85"/>
  <c r="N580" i="85"/>
  <c r="N758" i="85"/>
  <c r="N662" i="85"/>
  <c r="N500" i="85"/>
  <c r="N1747" i="85"/>
  <c r="N314" i="85"/>
  <c r="N378" i="85"/>
  <c r="N1239" i="85"/>
  <c r="N138" i="85"/>
  <c r="N89" i="85"/>
  <c r="N2542" i="85"/>
  <c r="N192" i="85"/>
  <c r="N597" i="85"/>
  <c r="N154" i="85"/>
  <c r="N988" i="85"/>
  <c r="N362" i="85"/>
  <c r="N719" i="85"/>
  <c r="N253" i="85"/>
  <c r="N2237" i="85"/>
  <c r="N17" i="85"/>
  <c r="N143" i="85"/>
  <c r="N39" i="85"/>
  <c r="N424" i="85"/>
  <c r="N98" i="85"/>
  <c r="N412" i="85"/>
  <c r="N1592" i="85"/>
  <c r="N93" i="85"/>
  <c r="N78" i="85"/>
  <c r="N92" i="85"/>
  <c r="N96" i="85"/>
  <c r="N46" i="85"/>
  <c r="N269" i="85"/>
  <c r="N32" i="85"/>
  <c r="N387" i="85"/>
  <c r="N210" i="85"/>
  <c r="N237" i="85"/>
  <c r="N593" i="85"/>
  <c r="N186" i="85"/>
  <c r="N66" i="85"/>
  <c r="N302" i="85"/>
  <c r="N30" i="85"/>
  <c r="N668" i="85"/>
  <c r="N114" i="85"/>
  <c r="N342" i="85"/>
  <c r="N95" i="85"/>
  <c r="N382" i="85"/>
  <c r="N402" i="85"/>
  <c r="N252" i="85"/>
  <c r="N244" i="85"/>
  <c r="N1836" i="85"/>
  <c r="N524" i="85"/>
  <c r="N225" i="85"/>
  <c r="N669" i="85"/>
  <c r="N2039" i="85"/>
  <c r="N1157" i="85"/>
  <c r="N1814" i="85"/>
  <c r="N258" i="85"/>
  <c r="N283" i="85"/>
  <c r="N2326" i="85"/>
  <c r="N2518" i="85"/>
  <c r="N818" i="85"/>
  <c r="N149" i="85"/>
  <c r="N2742" i="85"/>
  <c r="N2750" i="85"/>
  <c r="N331" i="85"/>
  <c r="N384" i="85"/>
  <c r="N338" i="85"/>
  <c r="N560" i="85"/>
  <c r="N68" i="85"/>
  <c r="N1583" i="85"/>
  <c r="N1813" i="85"/>
  <c r="N2857" i="85"/>
  <c r="N2624" i="85"/>
  <c r="N264" i="85"/>
  <c r="N2252" i="85"/>
  <c r="N166" i="85"/>
  <c r="N315" i="85"/>
  <c r="N947" i="85"/>
  <c r="N1227" i="85"/>
  <c r="N728" i="85"/>
  <c r="N2036" i="85"/>
  <c r="N1231" i="85"/>
  <c r="N1080" i="85"/>
  <c r="N1398" i="85"/>
  <c r="N1515" i="85"/>
  <c r="N883" i="85"/>
  <c r="N684" i="85"/>
  <c r="N1430" i="85"/>
  <c r="N2016" i="85"/>
  <c r="N970" i="85"/>
  <c r="N914" i="85"/>
  <c r="N2085" i="85"/>
  <c r="N2359" i="85"/>
  <c r="N2344" i="85"/>
  <c r="N1934" i="85"/>
  <c r="N1674" i="85"/>
  <c r="N3166" i="85"/>
  <c r="N1353" i="85"/>
  <c r="N2689" i="85"/>
  <c r="N1644" i="85"/>
  <c r="N2391" i="85"/>
  <c r="N3040" i="85"/>
  <c r="N2799" i="85"/>
  <c r="N2898" i="85"/>
  <c r="N2614" i="85"/>
  <c r="N1318" i="85"/>
  <c r="N713" i="85"/>
  <c r="N493" i="85"/>
  <c r="N295" i="85"/>
  <c r="N397" i="85"/>
  <c r="N2375" i="85"/>
  <c r="N1879" i="85"/>
  <c r="N1109" i="85"/>
  <c r="N1427" i="85"/>
  <c r="N2215" i="85"/>
  <c r="N1393" i="85"/>
  <c r="N2356" i="85"/>
  <c r="N1691" i="85"/>
  <c r="N2241" i="85"/>
  <c r="N2802" i="85"/>
  <c r="N2408" i="85"/>
  <c r="N2814" i="85"/>
  <c r="N2810" i="85"/>
  <c r="N2808" i="85"/>
  <c r="N2006" i="85"/>
  <c r="N2757" i="85"/>
  <c r="N1804" i="85"/>
  <c r="N1837" i="85"/>
  <c r="N1425" i="85"/>
  <c r="N2182" i="85"/>
  <c r="N2432" i="85"/>
  <c r="N2284" i="85"/>
  <c r="N2944" i="85"/>
  <c r="N2908" i="85"/>
  <c r="N2965" i="85"/>
  <c r="N2823" i="85"/>
  <c r="N2764" i="85"/>
  <c r="N2837" i="85"/>
  <c r="N2159" i="85"/>
  <c r="N2078" i="85"/>
  <c r="N2979" i="85"/>
  <c r="N1316" i="85"/>
  <c r="N1074" i="85"/>
  <c r="N601" i="85"/>
  <c r="N1962" i="85"/>
  <c r="N1177" i="85"/>
  <c r="N1320" i="85"/>
  <c r="N499" i="85"/>
  <c r="N1829" i="85"/>
  <c r="N1466" i="85"/>
  <c r="N248" i="85"/>
  <c r="N2328" i="85"/>
  <c r="N1811" i="85"/>
  <c r="N2264" i="85"/>
  <c r="N2481" i="85"/>
  <c r="N2469" i="85"/>
  <c r="N2767" i="85"/>
  <c r="N1717" i="85"/>
  <c r="N2250" i="85"/>
  <c r="N2634" i="85"/>
  <c r="N2909" i="85"/>
  <c r="N3033" i="85"/>
  <c r="N1884" i="85"/>
  <c r="N44" i="85"/>
  <c r="N187" i="85"/>
  <c r="N1374" i="85"/>
  <c r="N2801" i="85"/>
  <c r="N1087" i="85"/>
  <c r="N2207" i="85"/>
  <c r="N2938" i="85"/>
  <c r="N2978" i="85"/>
  <c r="N2257" i="85"/>
  <c r="N2416" i="85"/>
  <c r="N1483" i="85"/>
  <c r="N2348" i="85"/>
  <c r="N2511" i="85"/>
  <c r="N1711" i="85"/>
  <c r="N3071" i="85"/>
  <c r="N3030" i="85"/>
  <c r="N2815" i="85"/>
  <c r="N2793" i="85"/>
  <c r="N2776" i="85"/>
  <c r="N1565" i="85"/>
  <c r="N2004" i="85"/>
  <c r="N1269" i="85"/>
  <c r="N2784" i="85"/>
  <c r="N639" i="85"/>
  <c r="N1322" i="85"/>
  <c r="N1228" i="85"/>
  <c r="N889" i="85"/>
  <c r="N2422" i="85"/>
  <c r="N484" i="85"/>
  <c r="N2477" i="85"/>
  <c r="N1595" i="85"/>
  <c r="N1185" i="85"/>
  <c r="N1650" i="85"/>
  <c r="N2484" i="85"/>
  <c r="N866" i="85"/>
  <c r="N1101" i="85"/>
  <c r="N618" i="85"/>
  <c r="N615" i="85"/>
  <c r="N270" i="85"/>
  <c r="N681" i="85"/>
  <c r="N798" i="85"/>
  <c r="N803" i="85"/>
  <c r="N455" i="85"/>
  <c r="N506" i="85"/>
  <c r="N360" i="85"/>
  <c r="N224" i="85"/>
  <c r="N915" i="85"/>
  <c r="N182" i="85"/>
  <c r="N249" i="85"/>
  <c r="N226" i="85"/>
  <c r="N843" i="85"/>
  <c r="N1242" i="85"/>
  <c r="N1041" i="85"/>
  <c r="N1402" i="85"/>
  <c r="N1345" i="85"/>
  <c r="N267" i="85"/>
  <c r="N1155" i="85"/>
  <c r="N418" i="85"/>
  <c r="N1525" i="85"/>
  <c r="N372" i="85"/>
  <c r="N271" i="85"/>
  <c r="N574" i="85"/>
  <c r="N462" i="85"/>
  <c r="N760" i="85"/>
  <c r="N273" i="85"/>
  <c r="N111" i="85"/>
  <c r="N109" i="85"/>
  <c r="N530" i="85"/>
  <c r="N634" i="85"/>
  <c r="N2261" i="85"/>
  <c r="N1149" i="85"/>
  <c r="N1964" i="85"/>
  <c r="N2000" i="85"/>
  <c r="N2450" i="85"/>
  <c r="N1014" i="85"/>
  <c r="N1882" i="85"/>
  <c r="N1376" i="85"/>
  <c r="N373" i="85"/>
  <c r="N660" i="85"/>
  <c r="N200" i="85"/>
  <c r="N897" i="85"/>
  <c r="N1663" i="85"/>
  <c r="N1301" i="85"/>
  <c r="N2811" i="85"/>
  <c r="N2668" i="85"/>
  <c r="N972" i="85"/>
  <c r="N1966" i="85"/>
  <c r="N1938" i="85"/>
  <c r="N1217" i="85"/>
  <c r="N635" i="85"/>
  <c r="N60" i="85"/>
  <c r="N1029" i="85"/>
  <c r="N2754" i="85"/>
  <c r="N2498" i="85"/>
  <c r="N1685" i="85"/>
  <c r="N2721" i="85"/>
  <c r="N2529" i="85"/>
  <c r="N3076" i="85"/>
  <c r="N2109" i="85"/>
  <c r="N3064" i="85"/>
  <c r="N2569" i="85"/>
  <c r="N1518" i="85"/>
  <c r="N2064" i="85"/>
  <c r="N1627" i="85"/>
  <c r="N3058" i="85"/>
  <c r="N3096" i="85"/>
  <c r="N1928" i="85"/>
  <c r="N1846" i="85"/>
  <c r="N3031" i="85"/>
  <c r="N1852" i="85"/>
  <c r="N2975" i="85"/>
  <c r="N2383" i="85"/>
  <c r="N2740" i="85"/>
  <c r="N2616" i="85"/>
  <c r="N1317" i="85"/>
  <c r="N2334" i="85"/>
  <c r="N2805" i="85"/>
  <c r="N2973" i="85"/>
  <c r="N1701" i="85"/>
  <c r="N1069" i="85"/>
  <c r="N1726" i="85"/>
  <c r="N2239" i="85"/>
  <c r="N323" i="85"/>
  <c r="N1482" i="85"/>
  <c r="N1097" i="85"/>
  <c r="N2459" i="85"/>
  <c r="N1373" i="85"/>
  <c r="N2654" i="85"/>
  <c r="N2942" i="85"/>
  <c r="N2147" i="85"/>
  <c r="N1261" i="85"/>
  <c r="N468" i="85"/>
  <c r="N417" i="85"/>
  <c r="N239" i="85"/>
  <c r="N1055" i="85"/>
  <c r="N2175" i="85"/>
  <c r="N814" i="85"/>
  <c r="N2019" i="85"/>
  <c r="N599" i="85"/>
  <c r="N1339" i="85"/>
  <c r="N976" i="85"/>
  <c r="N1967" i="85"/>
  <c r="N2555" i="85"/>
  <c r="N1183" i="85"/>
  <c r="N924" i="85"/>
  <c r="N151" i="85"/>
  <c r="N2865" i="85"/>
  <c r="N432" i="85"/>
  <c r="N1621" i="85"/>
  <c r="N1834" i="85"/>
  <c r="N2809" i="85"/>
  <c r="N898" i="85"/>
  <c r="N1891" i="85"/>
  <c r="N2028" i="85"/>
  <c r="N3016" i="85"/>
  <c r="N2939" i="85"/>
  <c r="N1596" i="85"/>
  <c r="N767" i="85"/>
  <c r="N1517" i="85"/>
  <c r="N1993" i="85"/>
  <c r="N1899" i="85"/>
  <c r="N2447" i="85"/>
  <c r="N1861" i="85"/>
  <c r="N1687" i="85"/>
  <c r="N903" i="85"/>
  <c r="N925" i="85"/>
  <c r="N1234" i="85"/>
  <c r="N687" i="85"/>
  <c r="N778" i="85"/>
  <c r="N422" i="85"/>
  <c r="N575" i="85"/>
  <c r="N125" i="85"/>
  <c r="N717" i="85"/>
  <c r="N826" i="85"/>
  <c r="N885" i="85"/>
  <c r="N1959" i="85"/>
  <c r="N987" i="85"/>
  <c r="N2824" i="85"/>
  <c r="N3002" i="85"/>
  <c r="N3092" i="85"/>
  <c r="N2621" i="85"/>
  <c r="N3107" i="85"/>
  <c r="N3145" i="85"/>
  <c r="N2656" i="85"/>
  <c r="N3086" i="85"/>
  <c r="N3103" i="85"/>
  <c r="N3055" i="85"/>
  <c r="N2699" i="85"/>
  <c r="N2609" i="85"/>
  <c r="N3106" i="85"/>
  <c r="N2825" i="85"/>
  <c r="N2830" i="85"/>
  <c r="N2783" i="85"/>
  <c r="N2325" i="85"/>
  <c r="N694" i="85"/>
  <c r="N2806" i="85"/>
  <c r="N1308" i="85"/>
  <c r="N1226" i="85"/>
  <c r="N782" i="85"/>
  <c r="N1634" i="85"/>
  <c r="N2274" i="85"/>
  <c r="N1255" i="85"/>
  <c r="N2953" i="85"/>
  <c r="N991" i="85"/>
  <c r="N1378" i="85"/>
  <c r="N1586" i="85"/>
  <c r="N1017" i="85"/>
  <c r="N2535" i="85"/>
  <c r="N2486" i="85"/>
  <c r="N2922" i="85"/>
  <c r="N2798" i="85"/>
  <c r="N2421" i="85"/>
  <c r="N2041" i="85"/>
  <c r="N3100" i="85"/>
  <c r="N2848" i="85"/>
  <c r="N1547" i="85"/>
  <c r="N2696" i="85"/>
  <c r="N1534" i="85"/>
  <c r="N1735" i="85"/>
  <c r="N3044" i="85"/>
  <c r="N2807" i="85"/>
  <c r="N2154" i="85"/>
  <c r="N1422" i="85"/>
  <c r="N1655" i="85"/>
  <c r="N1330" i="85"/>
  <c r="N1076" i="85"/>
  <c r="N1582" i="85"/>
  <c r="N645" i="85"/>
  <c r="N1370" i="85"/>
  <c r="N1873" i="85"/>
  <c r="N704" i="85"/>
  <c r="N2828" i="85"/>
  <c r="N3059" i="85"/>
  <c r="N1279" i="85"/>
  <c r="N2589" i="85"/>
  <c r="N2386" i="85"/>
  <c r="N917" i="85"/>
  <c r="N2847" i="85"/>
  <c r="N943" i="85"/>
  <c r="N2025" i="85"/>
  <c r="N685" i="85"/>
  <c r="N2449" i="85"/>
  <c r="N3142" i="85"/>
  <c r="N930" i="85"/>
  <c r="N392" i="85"/>
  <c r="N2969" i="85"/>
  <c r="N3136" i="85"/>
  <c r="N2199" i="85"/>
  <c r="N1724" i="85"/>
  <c r="N2491" i="85"/>
  <c r="N1995" i="85"/>
  <c r="N2202" i="85"/>
  <c r="N2630" i="85"/>
  <c r="N1702" i="85"/>
  <c r="N3061" i="85"/>
  <c r="N1290" i="85"/>
  <c r="N1617" i="85"/>
  <c r="N2819" i="85"/>
  <c r="N3129" i="85"/>
  <c r="N2845" i="85"/>
  <c r="N3041" i="85"/>
  <c r="N2931" i="85"/>
  <c r="N2900" i="85"/>
  <c r="N3119" i="85"/>
  <c r="N241" i="85"/>
  <c r="N2788" i="85"/>
  <c r="N913" i="85"/>
  <c r="N3111" i="85"/>
  <c r="N3109" i="85"/>
  <c r="N2852" i="85"/>
  <c r="N2820" i="85"/>
  <c r="N2733" i="85"/>
  <c r="N3098" i="85"/>
  <c r="N2906" i="85"/>
  <c r="N3006" i="85"/>
  <c r="N2869" i="85"/>
  <c r="N2550" i="85"/>
  <c r="N2800" i="85"/>
  <c r="N2243" i="85"/>
  <c r="N3038" i="85"/>
  <c r="N2890" i="85"/>
  <c r="N1128" i="85"/>
  <c r="N3144" i="85"/>
  <c r="N3105" i="85"/>
  <c r="N2686" i="85"/>
  <c r="N2497" i="85"/>
  <c r="N3027" i="85"/>
  <c r="N2894" i="85"/>
  <c r="N3130" i="85"/>
  <c r="N2531" i="85"/>
  <c r="N2496" i="85"/>
  <c r="N2904" i="85"/>
  <c r="N2591" i="85"/>
  <c r="N2889" i="85"/>
  <c r="N1723" i="85"/>
  <c r="N1703" i="85"/>
  <c r="N2692" i="85"/>
  <c r="N1810" i="85"/>
  <c r="N2878" i="85"/>
  <c r="N2611" i="85"/>
  <c r="N2946" i="85"/>
  <c r="N2970" i="85"/>
  <c r="N2836" i="85"/>
  <c r="N2907" i="85"/>
  <c r="N2685" i="85"/>
  <c r="N2628" i="85"/>
  <c r="N2682" i="85"/>
  <c r="N2514" i="85"/>
  <c r="N2781" i="85"/>
  <c r="N2964" i="85"/>
  <c r="N2813" i="85"/>
  <c r="N1778" i="85"/>
  <c r="N1668" i="85"/>
  <c r="N2457" i="85"/>
  <c r="N1925" i="85"/>
  <c r="N2778" i="85"/>
  <c r="N2856" i="85"/>
  <c r="N2138" i="85"/>
  <c r="N2037" i="85"/>
  <c r="N2208" i="85"/>
  <c r="N1824" i="85"/>
  <c r="N1676" i="85"/>
  <c r="N1404" i="85"/>
  <c r="N765" i="85"/>
  <c r="N1007" i="85"/>
  <c r="N2023" i="85"/>
  <c r="N1324" i="85"/>
  <c r="N471" i="85"/>
  <c r="N1386" i="85"/>
  <c r="N3034" i="85"/>
  <c r="N3143" i="85"/>
  <c r="N2588" i="85"/>
  <c r="N2270" i="85"/>
  <c r="N1571" i="85"/>
  <c r="N623" i="85"/>
  <c r="N561" i="85"/>
  <c r="N1276" i="85"/>
  <c r="N116" i="85"/>
  <c r="N265" i="85"/>
  <c r="N12" i="85"/>
  <c r="N2342" i="85"/>
  <c r="N1857" i="85"/>
  <c r="N937" i="85"/>
  <c r="N2213" i="85"/>
  <c r="N2528" i="85"/>
  <c r="N2161" i="85"/>
  <c r="N2648" i="85"/>
  <c r="N1193" i="85"/>
  <c r="N2369" i="85"/>
  <c r="N3046" i="85"/>
  <c r="N2694" i="85"/>
  <c r="N2963" i="85"/>
  <c r="N3011" i="85"/>
  <c r="N2362" i="85"/>
  <c r="N1344" i="85"/>
  <c r="N211" i="85"/>
  <c r="N352" i="85"/>
  <c r="N1693" i="85"/>
  <c r="N674" i="85"/>
  <c r="N1875" i="85"/>
  <c r="N1328" i="85"/>
  <c r="N1428" i="85"/>
  <c r="N1174" i="85"/>
  <c r="N1267" i="85"/>
  <c r="N836" i="85"/>
  <c r="N374" i="85"/>
  <c r="N469" i="85"/>
  <c r="N631" i="85"/>
  <c r="N1124" i="85"/>
  <c r="N607" i="85"/>
  <c r="N1509" i="85"/>
  <c r="N429" i="85"/>
  <c r="N554" i="85"/>
  <c r="N339" i="85"/>
  <c r="N332" i="85"/>
  <c r="N310" i="85"/>
  <c r="N969" i="85"/>
  <c r="N2271" i="85"/>
  <c r="N1943" i="85"/>
  <c r="N1527" i="85"/>
  <c r="N1947" i="85"/>
  <c r="N2817" i="85"/>
  <c r="N1786" i="85"/>
  <c r="N839" i="85"/>
  <c r="N536" i="85"/>
  <c r="N1180" i="85"/>
  <c r="N2236" i="85"/>
  <c r="N1086" i="85"/>
  <c r="N959" i="85"/>
  <c r="N448" i="85"/>
  <c r="N769" i="85"/>
  <c r="N1064" i="85"/>
  <c r="N1075" i="85"/>
  <c r="N1160" i="85"/>
  <c r="N2492" i="85"/>
  <c r="N1081" i="85"/>
  <c r="N742" i="85"/>
  <c r="N203" i="85"/>
  <c r="N313" i="85"/>
  <c r="N1484" i="85"/>
  <c r="N2148" i="85"/>
  <c r="N1050" i="85"/>
  <c r="N1809" i="85"/>
  <c r="N2594" i="85"/>
  <c r="N2180" i="85"/>
  <c r="N602" i="85"/>
  <c r="N1819" i="85"/>
  <c r="N625" i="85"/>
  <c r="N735" i="85"/>
  <c r="N223" i="85"/>
  <c r="N1924" i="85"/>
  <c r="N2990" i="85"/>
  <c r="N3150" i="85"/>
  <c r="N3019" i="85"/>
  <c r="N2748" i="85"/>
  <c r="N1027" i="85"/>
  <c r="N653" i="85"/>
  <c r="N1743" i="85"/>
  <c r="N2414" i="85"/>
  <c r="N1061" i="85"/>
  <c r="N1187" i="85"/>
  <c r="N585" i="85"/>
  <c r="N1762" i="85"/>
  <c r="N3170" i="85"/>
  <c r="N2169" i="85"/>
  <c r="N1815" i="85"/>
  <c r="N2127" i="85"/>
  <c r="N3056" i="85"/>
  <c r="N3171" i="85"/>
  <c r="N2705" i="85"/>
  <c r="N2804" i="85"/>
  <c r="N2465" i="85"/>
  <c r="N2983" i="85"/>
  <c r="N2993" i="85"/>
  <c r="N2660" i="85"/>
  <c r="N1441" i="85"/>
  <c r="N2568" i="85"/>
  <c r="N3022" i="85"/>
  <c r="N3147" i="85"/>
  <c r="N3066" i="85"/>
  <c r="N2822" i="85"/>
  <c r="N2901" i="85"/>
  <c r="N1753" i="85"/>
  <c r="N2302" i="85"/>
  <c r="N1780" i="85"/>
  <c r="N2368" i="85"/>
  <c r="N2712" i="85"/>
  <c r="N2637" i="85"/>
  <c r="N2293" i="85"/>
  <c r="N1832" i="85"/>
  <c r="N2181" i="85"/>
  <c r="N3121" i="85"/>
  <c r="N2341" i="85"/>
  <c r="N2997" i="85"/>
  <c r="N3101" i="85"/>
  <c r="N2680" i="85"/>
  <c r="N1745" i="85"/>
  <c r="N2474" i="85"/>
  <c r="N1538" i="85"/>
  <c r="N1698" i="85"/>
  <c r="N955" i="85"/>
  <c r="N3099" i="85"/>
  <c r="N848" i="85"/>
  <c r="N2413" i="85"/>
  <c r="N2615" i="85"/>
  <c r="N1900" i="85"/>
  <c r="N1502" i="85"/>
  <c r="N514" i="85"/>
  <c r="N1173" i="85"/>
  <c r="N1675" i="85"/>
  <c r="N559" i="85"/>
  <c r="N312" i="85"/>
  <c r="N1010" i="85"/>
  <c r="N1465" i="85"/>
  <c r="N1481" i="85"/>
  <c r="N1443" i="85"/>
  <c r="N990" i="85"/>
  <c r="N971" i="85"/>
  <c r="N1083" i="85"/>
  <c r="N2617" i="85"/>
  <c r="N2723" i="85"/>
  <c r="N785" i="85"/>
  <c r="N1757" i="85"/>
  <c r="N983" i="85"/>
  <c r="N2495" i="85"/>
  <c r="N2769" i="85"/>
  <c r="N2141" i="85"/>
  <c r="N2713" i="85"/>
  <c r="N1737" i="85"/>
  <c r="N2133" i="85"/>
  <c r="N2114" i="85"/>
  <c r="N1126" i="85"/>
  <c r="N379" i="85"/>
  <c r="N950" i="85"/>
  <c r="N2600" i="85"/>
  <c r="N3091" i="85"/>
  <c r="N3093" i="85"/>
  <c r="N3032" i="85"/>
  <c r="N2870" i="85"/>
  <c r="N2862" i="85"/>
  <c r="N2598" i="85"/>
  <c r="N2996" i="85"/>
  <c r="N2216" i="85"/>
  <c r="N2674" i="85"/>
  <c r="N2851" i="85"/>
  <c r="N2116" i="85"/>
  <c r="N1927" i="85"/>
  <c r="N1651" i="85"/>
  <c r="N731" i="85"/>
  <c r="N1058" i="85"/>
  <c r="N1772" i="85"/>
  <c r="N2201" i="85"/>
  <c r="N172" i="85"/>
  <c r="N2137" i="85"/>
  <c r="N1994" i="85"/>
  <c r="N726" i="85"/>
  <c r="N3172" i="85"/>
  <c r="N2351" i="85"/>
  <c r="N745" i="85"/>
  <c r="N1111" i="85"/>
  <c r="N2478" i="85"/>
  <c r="N291" i="85"/>
  <c r="N1862" i="85"/>
  <c r="N565" i="85"/>
  <c r="N447" i="85"/>
  <c r="N148" i="85"/>
  <c r="N475" i="85"/>
  <c r="N489" i="85"/>
  <c r="N712" i="85"/>
  <c r="N55" i="85"/>
  <c r="N768" i="85"/>
  <c r="N2005" i="85"/>
  <c r="N811" i="85"/>
  <c r="N1335" i="85"/>
  <c r="N989" i="85"/>
  <c r="N220" i="85"/>
  <c r="N1046" i="85"/>
  <c r="N720" i="85"/>
  <c r="N501" i="85"/>
  <c r="N1912" i="85"/>
  <c r="N1240" i="85"/>
  <c r="N2729" i="85"/>
  <c r="N2374" i="85"/>
  <c r="N2316" i="85"/>
  <c r="N891" i="85"/>
  <c r="N812" i="85"/>
  <c r="N526" i="85"/>
  <c r="N1331" i="85"/>
  <c r="N881" i="85"/>
  <c r="N932" i="85"/>
  <c r="N1568" i="85"/>
  <c r="N2479" i="85"/>
  <c r="N578" i="85"/>
  <c r="N1358" i="85"/>
  <c r="N776" i="85"/>
  <c r="N1417" i="85"/>
  <c r="N1439" i="85"/>
  <c r="N533" i="85"/>
  <c r="N340" i="85"/>
  <c r="N522" i="85"/>
  <c r="N1221" i="85"/>
  <c r="N1093" i="85"/>
  <c r="N2720" i="85"/>
  <c r="N3132" i="85"/>
  <c r="N3133" i="85"/>
  <c r="N2640" i="85"/>
  <c r="N2540" i="85"/>
  <c r="N2832" i="85"/>
  <c r="N1368" i="85"/>
  <c r="N1555" i="85"/>
  <c r="N1449" i="85"/>
  <c r="N1325" i="85"/>
  <c r="N1065" i="85"/>
  <c r="N183" i="85"/>
  <c r="N1855" i="85"/>
  <c r="N131" i="85"/>
  <c r="N619" i="85"/>
  <c r="N1307" i="85"/>
  <c r="N1178" i="85"/>
  <c r="N586" i="85"/>
  <c r="N2067" i="85"/>
  <c r="N2232" i="85"/>
  <c r="N1537" i="85"/>
  <c r="N723" i="85"/>
  <c r="N1034" i="85"/>
  <c r="N961" i="85"/>
  <c r="N2119" i="85"/>
  <c r="N2081" i="85"/>
  <c r="N587" i="85"/>
  <c r="N1073" i="85"/>
  <c r="N851" i="85"/>
  <c r="N1602" i="85"/>
  <c r="N1039" i="85"/>
  <c r="N1522" i="85"/>
  <c r="N966" i="85"/>
  <c r="N1926" i="85"/>
  <c r="N1298" i="85"/>
  <c r="N1713" i="85"/>
  <c r="N1009" i="85"/>
  <c r="N1094" i="85"/>
  <c r="N3007" i="85"/>
  <c r="N2789" i="85"/>
  <c r="N1506" i="85"/>
  <c r="N2517" i="85"/>
  <c r="N3047" i="85"/>
  <c r="N3023" i="85"/>
  <c r="N1349" i="85"/>
  <c r="N2186" i="85"/>
  <c r="N2464" i="85"/>
  <c r="N2124" i="85"/>
  <c r="N3018" i="85"/>
  <c r="N2821" i="85"/>
  <c r="N2775" i="85"/>
  <c r="N2827" i="85"/>
  <c r="N2826" i="85"/>
  <c r="N2937" i="85"/>
  <c r="N2915" i="85"/>
  <c r="N476" i="85"/>
  <c r="N2260" i="85"/>
  <c r="N3000" i="85"/>
  <c r="N3052" i="85"/>
  <c r="N2695" i="85"/>
  <c r="N2877" i="85"/>
  <c r="N3043" i="85"/>
  <c r="N2571" i="85"/>
  <c r="N2958" i="85"/>
  <c r="N2722" i="85"/>
  <c r="N2415" i="85"/>
  <c r="N2044" i="85"/>
  <c r="N1897" i="85"/>
  <c r="N2536" i="85"/>
  <c r="N2152" i="85"/>
  <c r="N1490" i="85"/>
  <c r="N1448" i="85"/>
  <c r="N1812" i="85"/>
  <c r="N2229" i="85"/>
  <c r="N3051" i="85"/>
  <c r="N3173" i="85"/>
  <c r="N126" i="85"/>
  <c r="N3049" i="85"/>
  <c r="N3036" i="85"/>
  <c r="N3122" i="85"/>
  <c r="N3048" i="85"/>
  <c r="N2977" i="85"/>
  <c r="N2988" i="85"/>
  <c r="N2564" i="85"/>
  <c r="N3151" i="85"/>
  <c r="N20" i="85"/>
  <c r="N48" i="85"/>
  <c r="N825" i="85"/>
  <c r="N423" i="85"/>
  <c r="N184" i="85"/>
  <c r="N2102" i="85"/>
  <c r="N405" i="85"/>
  <c r="N775" i="85"/>
  <c r="N201" i="85"/>
  <c r="N301" i="85"/>
  <c r="N230" i="85"/>
  <c r="N428" i="85"/>
  <c r="N557" i="85"/>
  <c r="N393" i="85"/>
  <c r="N398" i="85"/>
  <c r="N846" i="85"/>
  <c r="N1315" i="85"/>
  <c r="N436" i="85"/>
  <c r="N810" i="85"/>
  <c r="N460" i="85"/>
  <c r="N923" i="85"/>
  <c r="N711" i="85"/>
  <c r="N564" i="85"/>
  <c r="N905" i="85"/>
  <c r="N1310" i="85"/>
  <c r="N2174" i="85"/>
  <c r="N2100" i="85"/>
  <c r="N221" i="85"/>
  <c r="N268" i="85"/>
  <c r="N395" i="85"/>
  <c r="N656" i="85"/>
  <c r="N97" i="85"/>
  <c r="N613" i="85"/>
  <c r="N683" i="85"/>
  <c r="N837" i="85"/>
  <c r="N282" i="85"/>
  <c r="N325" i="85"/>
  <c r="N13" i="85"/>
  <c r="N1274" i="85"/>
  <c r="N328" i="85"/>
  <c r="N289" i="85"/>
  <c r="N1695" i="85"/>
  <c r="N916" i="85"/>
  <c r="N948" i="85"/>
  <c r="N467" i="85"/>
  <c r="N145" i="85"/>
  <c r="N1577" i="85"/>
  <c r="N1892" i="85"/>
  <c r="N1559" i="85"/>
  <c r="N676" i="85"/>
  <c r="N1225" i="85"/>
  <c r="N643" i="85"/>
  <c r="N515" i="85"/>
  <c r="N777" i="85"/>
  <c r="N1871" i="85"/>
  <c r="N1744" i="85"/>
  <c r="N3089" i="85"/>
  <c r="N3081" i="85"/>
  <c r="N2512" i="85"/>
  <c r="N3014" i="85"/>
  <c r="N3141" i="85"/>
  <c r="N2929" i="85"/>
  <c r="N3068" i="85"/>
  <c r="N2424" i="85"/>
  <c r="N2167" i="85"/>
  <c r="N2711" i="85"/>
  <c r="N2954" i="85"/>
  <c r="N2585" i="85"/>
  <c r="N2755" i="85"/>
  <c r="N2893" i="85"/>
  <c r="N1888" i="85"/>
  <c r="N1792" i="85"/>
  <c r="N2346" i="85"/>
  <c r="N2887" i="85"/>
  <c r="N2501" i="85"/>
  <c r="N910" i="85"/>
  <c r="N582" i="85"/>
  <c r="N1407" i="85"/>
  <c r="N1541" i="85"/>
  <c r="N1853" i="85"/>
  <c r="N1119" i="85"/>
  <c r="N1043" i="85"/>
  <c r="N796" i="85"/>
  <c r="N2435" i="85"/>
  <c r="N1526" i="85"/>
  <c r="N1504" i="85"/>
  <c r="N1894" i="85"/>
  <c r="N1507" i="85"/>
  <c r="N1640" i="85"/>
  <c r="N2544" i="85"/>
  <c r="N1130" i="85"/>
  <c r="N88" i="85"/>
  <c r="N1721" i="85"/>
  <c r="N1028" i="85"/>
  <c r="N830" i="85"/>
  <c r="N1229" i="85"/>
  <c r="N747" i="85"/>
  <c r="N620" i="85"/>
  <c r="N874" i="85"/>
  <c r="N1573" i="85"/>
  <c r="N1958" i="85"/>
  <c r="N1077" i="85"/>
  <c r="N591" i="85"/>
  <c r="N770" i="85"/>
  <c r="N2427" i="85"/>
  <c r="N1241" i="85"/>
  <c r="N2719" i="85"/>
  <c r="N2134" i="85"/>
  <c r="N1599" i="85"/>
  <c r="N831" i="85"/>
  <c r="N2612" i="85"/>
  <c r="N2110" i="85"/>
  <c r="N2455" i="85"/>
  <c r="N2525" i="85"/>
  <c r="N3042" i="85"/>
  <c r="N3080" i="85"/>
  <c r="N1557" i="85"/>
  <c r="N2231" i="85"/>
  <c r="N1053" i="85"/>
  <c r="N1708" i="85"/>
  <c r="N1770" i="85"/>
  <c r="N1639" i="85"/>
  <c r="N2452" i="85"/>
  <c r="N1686" i="85"/>
  <c r="N1969" i="85"/>
  <c r="N2198" i="85"/>
  <c r="N1636" i="85"/>
  <c r="N2559" i="85"/>
  <c r="N928" i="85"/>
  <c r="N1734" i="85"/>
  <c r="N2884" i="85"/>
  <c r="N1278" i="85"/>
  <c r="N1414" i="85"/>
  <c r="N1895" i="85"/>
  <c r="N2047" i="85"/>
  <c r="N1342" i="85"/>
  <c r="N2896" i="85"/>
  <c r="N2075" i="85"/>
  <c r="N2700" i="85"/>
  <c r="N2601" i="85"/>
  <c r="N2263" i="85"/>
  <c r="N2510" i="85"/>
  <c r="N2989" i="85"/>
  <c r="N1256" i="85"/>
  <c r="N1366" i="85"/>
  <c r="N1839" i="85"/>
  <c r="N2675" i="85"/>
  <c r="N1560" i="85"/>
  <c r="N2053" i="85"/>
  <c r="N2774" i="85"/>
  <c r="N2319" i="85"/>
  <c r="N1908" i="85"/>
  <c r="N2323" i="85"/>
  <c r="N1113" i="85"/>
  <c r="N606" i="85"/>
  <c r="N865" i="85"/>
  <c r="N1893" i="85"/>
  <c r="N513" i="85"/>
  <c r="N842" i="85"/>
  <c r="N1607" i="85"/>
  <c r="N1843" i="85"/>
  <c r="N2874" i="85"/>
  <c r="N1011" i="85"/>
  <c r="N2646" i="85"/>
  <c r="N1688" i="85"/>
  <c r="N2976" i="85"/>
  <c r="N1833" i="85"/>
  <c r="N1593" i="85"/>
  <c r="N1521" i="85"/>
  <c r="N2629" i="85"/>
  <c r="N1733" i="85"/>
  <c r="N786" i="85"/>
  <c r="N2327" i="85"/>
  <c r="N2697" i="85"/>
  <c r="N2420" i="85"/>
  <c r="N2378" i="85"/>
  <c r="N1642" i="85"/>
  <c r="N2052" i="85"/>
  <c r="N2103" i="85"/>
  <c r="N2358" i="85"/>
  <c r="N1450" i="85"/>
  <c r="N1399" i="85"/>
  <c r="N671" i="85"/>
  <c r="N2101" i="85"/>
  <c r="N1935" i="85"/>
  <c r="N1230" i="85"/>
  <c r="N964" i="85"/>
  <c r="N2009" i="85"/>
  <c r="N3175" i="85"/>
  <c r="N2875" i="85"/>
  <c r="N2027" i="85"/>
  <c r="N3097" i="85"/>
  <c r="N2882" i="85"/>
  <c r="N2968" i="85"/>
  <c r="N1657" i="85"/>
  <c r="N2665" i="85"/>
  <c r="N2002" i="85"/>
  <c r="N2434" i="85"/>
  <c r="N1360" i="85"/>
  <c r="N3128" i="85"/>
  <c r="N2752" i="85"/>
  <c r="N2840" i="85"/>
  <c r="N2734" i="85"/>
  <c r="N1868" i="85"/>
  <c r="N1452" i="85"/>
  <c r="N488" i="85"/>
  <c r="N604" i="85"/>
  <c r="N1286" i="85"/>
  <c r="N1574" i="85"/>
  <c r="N1781" i="85"/>
  <c r="N1334" i="85"/>
  <c r="N2610" i="85"/>
  <c r="N1797" i="85"/>
  <c r="N2866" i="85"/>
  <c r="N2948" i="85"/>
  <c r="N2126" i="85"/>
  <c r="N1511" i="85"/>
  <c r="N867" i="85"/>
  <c r="N1864" i="85"/>
  <c r="N1710" i="85"/>
  <c r="N1769" i="85"/>
  <c r="N1479" i="85"/>
  <c r="N1950" i="85"/>
  <c r="N1444" i="85"/>
  <c r="N870" i="85"/>
  <c r="N1500" i="85"/>
  <c r="N1063" i="85"/>
  <c r="N3008" i="85"/>
  <c r="N2485" i="85"/>
  <c r="N350" i="85"/>
  <c r="N1072" i="85"/>
  <c r="N2224" i="85"/>
  <c r="N2258" i="85"/>
  <c r="N2406" i="85"/>
  <c r="N1569" i="85"/>
  <c r="N2244" i="85"/>
  <c r="N2782" i="85"/>
  <c r="N1493" i="85"/>
  <c r="N1978" i="85"/>
  <c r="N2687" i="85"/>
  <c r="N1653" i="85"/>
  <c r="N2008" i="85"/>
  <c r="N1716" i="85"/>
  <c r="N1775" i="85"/>
  <c r="N2094" i="85"/>
  <c r="N1831" i="85"/>
  <c r="N1078" i="85"/>
  <c r="N1341" i="85"/>
  <c r="N2151" i="85"/>
  <c r="N1132" i="85"/>
  <c r="N1930" i="85"/>
  <c r="N1258" i="85"/>
  <c r="N1168" i="85"/>
  <c r="N2298" i="85"/>
  <c r="N956" i="85"/>
  <c r="N391" i="85"/>
  <c r="N1137" i="85"/>
  <c r="N1375" i="85"/>
  <c r="N875" i="85"/>
  <c r="N695" i="85"/>
  <c r="N2693" i="85"/>
  <c r="N1982" i="85"/>
  <c r="N3028" i="85"/>
  <c r="N3104" i="85"/>
  <c r="N2867" i="85"/>
  <c r="N2093" i="85"/>
  <c r="N2785" i="85"/>
  <c r="N2315" i="85"/>
  <c r="N1984" i="85"/>
  <c r="N2534" i="85"/>
  <c r="N2655" i="85"/>
  <c r="N2992" i="85"/>
  <c r="N3116" i="85"/>
  <c r="N3176" i="85"/>
  <c r="N2632" i="85"/>
  <c r="N2448" i="85"/>
  <c r="N1645" i="85"/>
  <c r="N2429" i="85"/>
  <c r="N2345" i="85"/>
  <c r="N1761" i="85"/>
  <c r="N896" i="85"/>
  <c r="N1022" i="85"/>
  <c r="N1164" i="85"/>
  <c r="N1395" i="85"/>
  <c r="N1369" i="85"/>
  <c r="N1903" i="85"/>
  <c r="N1825" i="85"/>
  <c r="N2340" i="85"/>
  <c r="N1654" i="85"/>
  <c r="N3020" i="85"/>
  <c r="N1763" i="85"/>
  <c r="N1953" i="85"/>
  <c r="N2704" i="85"/>
  <c r="N2672" i="85"/>
  <c r="N2277" i="85"/>
  <c r="N2290" i="85"/>
  <c r="N2192" i="85"/>
  <c r="N2659" i="85"/>
  <c r="N2272" i="85"/>
  <c r="N2770" i="85"/>
  <c r="N709" i="85"/>
  <c r="N2446" i="85"/>
  <c r="N2952" i="85"/>
  <c r="N1549" i="85"/>
  <c r="N2892" i="85"/>
  <c r="N1567" i="85"/>
  <c r="N3012" i="85"/>
  <c r="N2123" i="85"/>
  <c r="N497" i="85"/>
  <c r="N1284" i="85"/>
  <c r="N722" i="85"/>
  <c r="N1309" i="85"/>
  <c r="N1351" i="85"/>
  <c r="N1203" i="85"/>
  <c r="N1614" i="85"/>
  <c r="N2533" i="85"/>
  <c r="N542" i="85"/>
  <c r="N2283" i="85"/>
  <c r="N605" i="85"/>
  <c r="N1153" i="85"/>
  <c r="N1783" i="85"/>
  <c r="N1858" i="85"/>
  <c r="N2526" i="85"/>
  <c r="N2313" i="85"/>
  <c r="N2470" i="85"/>
  <c r="N2779" i="85"/>
  <c r="N1913" i="85"/>
  <c r="N2509" i="85"/>
  <c r="N1528" i="85"/>
  <c r="N2467" i="85"/>
  <c r="N1201" i="85"/>
  <c r="N2024" i="85"/>
  <c r="N2483" i="85"/>
  <c r="N2090" i="85"/>
  <c r="N2881" i="85"/>
  <c r="N2153" i="85"/>
  <c r="N2251" i="85"/>
  <c r="N2625" i="85"/>
  <c r="N2352" i="85"/>
  <c r="N2436" i="85"/>
  <c r="N2423" i="85"/>
  <c r="N2567" i="85"/>
  <c r="N2473" i="85"/>
  <c r="N2130" i="85"/>
  <c r="N792" i="85"/>
  <c r="N2013" i="85"/>
  <c r="N1887" i="85"/>
  <c r="N1305" i="85"/>
  <c r="N2221" i="85"/>
  <c r="N537" i="85"/>
  <c r="N754" i="85"/>
  <c r="N773" i="85"/>
  <c r="N1989" i="85"/>
  <c r="N2032" i="85"/>
  <c r="N567" i="85"/>
  <c r="N1125" i="85"/>
  <c r="N1669" i="85"/>
  <c r="N657" i="85"/>
  <c r="N1159" i="85"/>
  <c r="N439" i="85"/>
  <c r="N1006" i="85"/>
  <c r="N1630" i="85"/>
  <c r="N2197" i="85"/>
  <c r="N2015" i="85"/>
  <c r="N750" i="85"/>
  <c r="N1629" i="85"/>
  <c r="N1013" i="85"/>
  <c r="N3149" i="85"/>
  <c r="N3083" i="85"/>
  <c r="N3137" i="85"/>
  <c r="N2381" i="85"/>
  <c r="N3010" i="85"/>
  <c r="N2417" i="85"/>
  <c r="N2524" i="85"/>
  <c r="N2991" i="85"/>
  <c r="N3072" i="85"/>
  <c r="N3094" i="85"/>
  <c r="N2744" i="85"/>
  <c r="N2673" i="85"/>
  <c r="N1907" i="85"/>
  <c r="N3005" i="85"/>
  <c r="N3124" i="85"/>
  <c r="N3113" i="85"/>
  <c r="N3125" i="85"/>
  <c r="N3152" i="85"/>
  <c r="N3084" i="85"/>
  <c r="N2505" i="85"/>
  <c r="N2095" i="85"/>
  <c r="N2523" i="85"/>
  <c r="N2040" i="85"/>
  <c r="N1545" i="85"/>
  <c r="N570" i="85"/>
  <c r="N1391" i="85"/>
  <c r="N2581" i="85"/>
  <c r="N2652" i="85"/>
  <c r="N1616" i="85"/>
  <c r="N1684" i="85"/>
  <c r="N919" i="85"/>
  <c r="N1480" i="85"/>
  <c r="N2106" i="85"/>
  <c r="N2599" i="85"/>
  <c r="N2620" i="85"/>
  <c r="N1424" i="85"/>
  <c r="N346" i="85"/>
  <c r="N255" i="85"/>
  <c r="N472" i="85"/>
  <c r="N804" i="85"/>
  <c r="N895" i="85"/>
  <c r="N1496" i="85"/>
  <c r="N1195" i="85"/>
  <c r="N1869" i="85"/>
  <c r="N540" i="85"/>
  <c r="N1535" i="85"/>
  <c r="N2219" i="85"/>
  <c r="N1121" i="85"/>
  <c r="N1623" i="85"/>
  <c r="N496" i="85"/>
  <c r="N1359" i="85"/>
  <c r="N2038" i="85"/>
  <c r="N908" i="85"/>
  <c r="N503" i="85"/>
  <c r="N636" i="85"/>
  <c r="N2088" i="85"/>
  <c r="N1566" i="85"/>
  <c r="N1638" i="85"/>
  <c r="N2967" i="85"/>
  <c r="N2183" i="85"/>
  <c r="N2049" i="85"/>
  <c r="N1520" i="85"/>
  <c r="N999" i="85"/>
  <c r="N1606" i="85"/>
  <c r="N2164" i="85"/>
  <c r="N2562" i="85"/>
  <c r="N2580" i="85"/>
  <c r="N2367" i="85"/>
  <c r="N2411" i="85"/>
  <c r="N1594" i="85"/>
  <c r="N508" i="85"/>
  <c r="N566" i="85"/>
  <c r="N1531" i="85"/>
  <c r="N1314" i="85"/>
  <c r="N1237" i="85"/>
  <c r="N699" i="85"/>
  <c r="N2125" i="85"/>
  <c r="N2380" i="85"/>
  <c r="N2499" i="85"/>
  <c r="N2688" i="85"/>
  <c r="N1790" i="85"/>
  <c r="N2590" i="85"/>
  <c r="N1940" i="85"/>
  <c r="N2714" i="85"/>
  <c r="N1253" i="85"/>
  <c r="N2943" i="85"/>
  <c r="N1611" i="85"/>
  <c r="N1532" i="85"/>
  <c r="N2579" i="85"/>
  <c r="N2299" i="85"/>
  <c r="N1397" i="85"/>
  <c r="N2926" i="85"/>
  <c r="N2121" i="85"/>
  <c r="N1774" i="85"/>
  <c r="N2200" i="85"/>
  <c r="N1933" i="85"/>
  <c r="N2829" i="85"/>
  <c r="N1472" i="85"/>
  <c r="N2306" i="85"/>
  <c r="N2393" i="85"/>
  <c r="N2280" i="85"/>
  <c r="N2112" i="85"/>
  <c r="N2209" i="85"/>
  <c r="N2701" i="85"/>
  <c r="N1752" i="85"/>
  <c r="N2376" i="85"/>
  <c r="N2160" i="85"/>
  <c r="N1224" i="85"/>
  <c r="N838" i="85"/>
  <c r="N1741" i="85"/>
  <c r="N2155" i="85"/>
  <c r="N2205" i="85"/>
  <c r="N2853" i="85"/>
  <c r="N986" i="85"/>
  <c r="N1271" i="85"/>
  <c r="N2506" i="85"/>
  <c r="N1232" i="85"/>
  <c r="N1881" i="85"/>
  <c r="N2291" i="85"/>
  <c r="N2661" i="85"/>
  <c r="N1787" i="85"/>
  <c r="N1550" i="85"/>
  <c r="N1911" i="85"/>
  <c r="N1802" i="85"/>
  <c r="N1469" i="85"/>
  <c r="N2132" i="85"/>
  <c r="N1280" i="85"/>
  <c r="N1796" i="85"/>
  <c r="N552" i="85"/>
  <c r="N2818" i="85"/>
  <c r="N2596" i="85"/>
  <c r="N1957" i="85"/>
  <c r="N1523" i="85"/>
  <c r="N396" i="85"/>
  <c r="N463" i="85"/>
  <c r="N320" i="85"/>
  <c r="N450" i="85"/>
  <c r="N763" i="85"/>
  <c r="N1143" i="85"/>
  <c r="N2593" i="85"/>
  <c r="N729" i="85"/>
  <c r="N2189" i="85"/>
  <c r="N2022" i="85"/>
  <c r="N1340" i="85"/>
  <c r="N900" i="85"/>
  <c r="N2296" i="85"/>
  <c r="N2516" i="85"/>
  <c r="N2442" i="85"/>
  <c r="N2439" i="85"/>
  <c r="N2578" i="85"/>
  <c r="N2537" i="85"/>
  <c r="N2097" i="85"/>
  <c r="N2460" i="85"/>
  <c r="N1114" i="85"/>
  <c r="N2225" i="85"/>
  <c r="N2642" i="85"/>
  <c r="N1588" i="85"/>
  <c r="N1929" i="85"/>
  <c r="N1854" i="85"/>
  <c r="N2144" i="85"/>
  <c r="N1037" i="85"/>
  <c r="N2355" i="85"/>
  <c r="N433" i="85"/>
  <c r="N294" i="85"/>
  <c r="N1117" i="85"/>
  <c r="N845" i="85"/>
  <c r="N1103" i="85"/>
  <c r="N911" i="85"/>
  <c r="N584" i="85"/>
  <c r="N1138" i="85"/>
  <c r="N1789" i="85"/>
  <c r="N1218" i="85"/>
  <c r="N558" i="85"/>
  <c r="N832" i="85"/>
  <c r="N766" i="85"/>
  <c r="N774" i="85"/>
  <c r="N1540" i="85"/>
  <c r="N1618" i="85"/>
  <c r="N892" i="85"/>
  <c r="N791" i="85"/>
  <c r="N519" i="85"/>
  <c r="N1134" i="85"/>
  <c r="N816" i="85"/>
  <c r="N1337" i="85"/>
  <c r="N1637" i="85"/>
  <c r="N730" i="85"/>
  <c r="N2500" i="85"/>
  <c r="N2056" i="85"/>
  <c r="N2309" i="85"/>
  <c r="N1468" i="85"/>
  <c r="N1423" i="85"/>
  <c r="N335" i="85"/>
  <c r="N661" i="85"/>
  <c r="N1020" i="85"/>
  <c r="N862" i="85"/>
  <c r="N1348" i="85"/>
  <c r="N1671" i="85"/>
  <c r="N1949" i="85"/>
  <c r="N1731" i="85"/>
  <c r="N2222" i="85"/>
  <c r="N1095" i="85"/>
  <c r="N1556" i="85"/>
  <c r="N1216" i="85"/>
  <c r="N1091" i="85"/>
  <c r="N133" i="85"/>
  <c r="N276" i="85"/>
  <c r="N403" i="85"/>
  <c r="N275" i="85"/>
  <c r="N177" i="85"/>
  <c r="N1212" i="85"/>
  <c r="N1057" i="85"/>
  <c r="N1755" i="85"/>
  <c r="N1123" i="85"/>
  <c r="N1546" i="85"/>
  <c r="N637" i="85"/>
  <c r="N1015" i="85"/>
  <c r="N234" i="85"/>
  <c r="N1601" i="85"/>
  <c r="N957" i="85"/>
  <c r="N1976" i="85"/>
  <c r="N568" i="85"/>
  <c r="N356" i="85"/>
  <c r="N163" i="85"/>
  <c r="N1880" i="85"/>
  <c r="N290" i="85"/>
  <c r="N849" i="85"/>
  <c r="N260" i="85"/>
  <c r="N581" i="85"/>
  <c r="N1921" i="85"/>
  <c r="N853" i="85"/>
  <c r="N3148" i="85"/>
  <c r="N2667" i="85"/>
  <c r="N2521" i="85"/>
  <c r="N2538" i="85"/>
  <c r="N2987" i="85"/>
  <c r="N2179" i="85"/>
  <c r="N2191" i="85"/>
  <c r="N2146" i="85"/>
  <c r="N2303" i="85"/>
  <c r="N2684" i="85"/>
  <c r="N2613" i="85"/>
  <c r="N2961" i="85"/>
  <c r="N3017" i="85"/>
  <c r="N2941" i="85"/>
  <c r="N2482" i="85"/>
  <c r="N3108" i="85"/>
  <c r="N2872" i="85"/>
  <c r="N2739" i="85"/>
  <c r="N2787" i="85"/>
  <c r="N1179" i="85"/>
  <c r="N1497" i="85"/>
  <c r="N1785" i="85"/>
  <c r="N975" i="85"/>
  <c r="N2142" i="85"/>
  <c r="N2982" i="85"/>
  <c r="N2994" i="85"/>
  <c r="N1440" i="85"/>
  <c r="N739" i="85"/>
  <c r="N2860" i="85"/>
  <c r="N1754" i="85"/>
  <c r="N1699" i="85"/>
  <c r="N2157" i="85"/>
  <c r="N2084" i="85"/>
  <c r="N1115" i="85"/>
  <c r="N2289" i="85"/>
  <c r="N2773" i="85"/>
  <c r="N2532" i="85"/>
  <c r="N1486" i="85"/>
  <c r="N2563" i="85"/>
  <c r="N1529" i="85"/>
  <c r="N1002" i="85"/>
  <c r="N931" i="85"/>
  <c r="N2880" i="85"/>
  <c r="N2947" i="85"/>
  <c r="N2031" i="85"/>
  <c r="N1283" i="85"/>
  <c r="N2891" i="85"/>
  <c r="N2418" i="85"/>
  <c r="N2831" i="85"/>
  <c r="N2897" i="85"/>
  <c r="N2644" i="85"/>
  <c r="N3134" i="85"/>
  <c r="N2297" i="85"/>
  <c r="N2003" i="85"/>
  <c r="N1445" i="85"/>
  <c r="N2917" i="85"/>
  <c r="N2322" i="85"/>
  <c r="N1885" i="85"/>
  <c r="N1722" i="85"/>
  <c r="N2419" i="85"/>
  <c r="N2193" i="85"/>
  <c r="N1613" i="85"/>
  <c r="N2030" i="85"/>
  <c r="N569" i="85"/>
  <c r="N2372" i="85"/>
  <c r="N2190" i="85"/>
  <c r="N2918" i="85"/>
  <c r="N266" i="85"/>
  <c r="N2639" i="85"/>
  <c r="N1706" i="85"/>
  <c r="N2288" i="85"/>
  <c r="N1435" i="85"/>
  <c r="N2520" i="85"/>
  <c r="N2012" i="85"/>
  <c r="N2575" i="85"/>
  <c r="N2903" i="85"/>
  <c r="N2217" i="85"/>
  <c r="N1539" i="85"/>
  <c r="N366" i="85"/>
  <c r="N279" i="85"/>
  <c r="N1603" i="85"/>
  <c r="N819" i="85"/>
  <c r="N272" i="85"/>
  <c r="N278" i="85"/>
  <c r="N326" i="85"/>
  <c r="N329" i="85"/>
  <c r="N236" i="85"/>
  <c r="N364" i="85"/>
  <c r="N562" i="85"/>
  <c r="N1355" i="85"/>
  <c r="N563" i="85"/>
  <c r="N1965" i="85"/>
  <c r="N2308" i="85"/>
  <c r="N1491" i="85"/>
  <c r="N1777" i="85"/>
  <c r="N1835" i="85"/>
  <c r="N906" i="85"/>
  <c r="N1416" i="85"/>
  <c r="N2995" i="85"/>
  <c r="N2292" i="85"/>
  <c r="N3067" i="85"/>
  <c r="N1169" i="85"/>
  <c r="N1379" i="85"/>
  <c r="N1090" i="85"/>
  <c r="N466" i="85"/>
  <c r="N245" i="85"/>
  <c r="N94" i="85"/>
  <c r="N673" i="85"/>
  <c r="N194" i="85"/>
  <c r="N1270" i="85"/>
  <c r="N734" i="85"/>
  <c r="N633" i="85"/>
  <c r="N2018" i="85"/>
  <c r="N2273" i="85"/>
  <c r="N1513" i="85"/>
  <c r="N491" i="85"/>
  <c r="N474" i="85"/>
  <c r="N1333" i="85"/>
  <c r="N1350" i="85"/>
  <c r="N1820" i="85"/>
  <c r="N2129" i="85"/>
  <c r="N1205" i="85"/>
  <c r="N3177" i="85"/>
  <c r="N590" i="85"/>
  <c r="N994" i="85"/>
  <c r="N216" i="85"/>
  <c r="N658" i="85"/>
  <c r="N67" i="85"/>
  <c r="N297" i="85"/>
  <c r="N287" i="85"/>
  <c r="N399" i="85"/>
  <c r="N319" i="85"/>
  <c r="N139" i="85"/>
  <c r="N518" i="85"/>
  <c r="N421" i="85"/>
  <c r="N1092" i="85"/>
  <c r="N1622" i="85"/>
  <c r="N1388" i="85"/>
  <c r="N828" i="85"/>
  <c r="N2105" i="85"/>
  <c r="N2118" i="85"/>
  <c r="N2379" i="85"/>
  <c r="N879" i="85"/>
  <c r="N1211" i="85"/>
  <c r="N1110" i="85"/>
  <c r="N1457" i="85"/>
  <c r="N1620" i="85"/>
  <c r="N1214" i="85"/>
  <c r="N1460" i="85"/>
  <c r="N1619" i="85"/>
  <c r="N1609" i="85"/>
  <c r="N1896" i="85"/>
  <c r="N953" i="85"/>
  <c r="N858" i="85"/>
  <c r="N431" i="85"/>
  <c r="N2111" i="85"/>
  <c r="N2924" i="85"/>
  <c r="N2899" i="85"/>
  <c r="N2603" i="85"/>
  <c r="N1219" i="85"/>
  <c r="N952" i="85"/>
  <c r="N2086" i="85"/>
  <c r="N2671" i="85"/>
  <c r="N1877" i="85"/>
  <c r="N686" i="85"/>
  <c r="N502" i="85"/>
  <c r="N2493" i="85"/>
  <c r="N1800" i="85"/>
  <c r="N1338" i="85"/>
  <c r="N1361" i="85"/>
  <c r="N721" i="85"/>
  <c r="N1389" i="85"/>
  <c r="N535" i="85"/>
  <c r="N304" i="85"/>
  <c r="N790" i="85"/>
  <c r="N2515" i="85"/>
  <c r="N2914" i="85"/>
  <c r="N2541" i="85"/>
  <c r="N1972" i="85"/>
  <c r="N1997" i="85"/>
  <c r="N1222" i="85"/>
  <c r="N2034" i="85"/>
  <c r="N1729" i="85"/>
  <c r="N1923" i="85"/>
  <c r="N1021" i="85"/>
  <c r="N1749" i="85"/>
  <c r="N1793" i="85"/>
  <c r="N2062" i="85"/>
  <c r="N1281" i="85"/>
  <c r="N1182" i="85"/>
  <c r="N2566" i="85"/>
  <c r="N1987" i="85"/>
  <c r="N1941" i="85"/>
  <c r="N2426" i="85"/>
  <c r="N2214" i="85"/>
  <c r="N1664" i="85"/>
  <c r="N1304" i="85"/>
  <c r="N1477" i="85"/>
  <c r="N1842" i="85"/>
  <c r="N1198" i="85"/>
  <c r="N1313" i="85"/>
  <c r="N358" i="85"/>
  <c r="N727" i="85"/>
  <c r="N1437" i="85"/>
  <c r="N144" i="85"/>
  <c r="N1070" i="85"/>
  <c r="N609" i="85"/>
  <c r="N995" i="85"/>
  <c r="N741" i="85"/>
  <c r="N57" i="85"/>
  <c r="N437" i="85"/>
  <c r="N303" i="85"/>
  <c r="N1108" i="85"/>
  <c r="N2698" i="85"/>
  <c r="N2407" i="85"/>
  <c r="N2627" i="85"/>
  <c r="N2402" i="85"/>
  <c r="N784" i="85"/>
  <c r="N592" i="85"/>
  <c r="N1736" i="85"/>
  <c r="N1235" i="85"/>
  <c r="N1266" i="85"/>
  <c r="N1188" i="85"/>
  <c r="N316" i="85"/>
  <c r="N1975" i="85"/>
  <c r="N1165" i="85"/>
  <c r="N820" i="85"/>
  <c r="N3178" i="85"/>
  <c r="N675" i="85"/>
  <c r="N1354" i="85"/>
  <c r="N1968" i="85"/>
  <c r="N1961" i="85"/>
  <c r="N1189" i="85"/>
  <c r="N1759" i="85"/>
  <c r="N1660" i="85"/>
  <c r="N1901" i="85"/>
  <c r="N538" i="85"/>
  <c r="N2461" i="85"/>
  <c r="N394" i="85"/>
  <c r="N443" i="85"/>
  <c r="N1919" i="85"/>
  <c r="N2741" i="85"/>
  <c r="P2651" i="85"/>
  <c r="P3085" i="85"/>
  <c r="P2959" i="85"/>
  <c r="P2262" i="85"/>
  <c r="P2765" i="85"/>
  <c r="P2373" i="85"/>
  <c r="P3155" i="85"/>
  <c r="P1992" i="85"/>
  <c r="P330" i="85"/>
  <c r="P1426" i="85"/>
  <c r="P3135" i="85"/>
  <c r="P705" i="85"/>
  <c r="P2503" i="85"/>
  <c r="P787" i="85"/>
  <c r="P1196" i="85"/>
  <c r="P2592" i="85"/>
  <c r="P2762" i="85"/>
  <c r="P1766" i="85"/>
  <c r="P2746" i="85"/>
  <c r="P2812" i="85"/>
  <c r="P2955" i="85"/>
  <c r="P2388" i="85"/>
  <c r="P2551" i="85"/>
  <c r="P3063" i="85"/>
  <c r="P2980" i="85"/>
  <c r="P2641" i="85"/>
  <c r="P208" i="85"/>
  <c r="P665" i="85"/>
  <c r="P647" i="85"/>
  <c r="P670" i="85"/>
  <c r="P629" i="85"/>
  <c r="P206" i="85"/>
  <c r="P196" i="85"/>
  <c r="P188" i="85"/>
  <c r="P277" i="85"/>
  <c r="P202" i="85"/>
  <c r="P2966" i="85"/>
  <c r="P2431" i="85"/>
  <c r="P944" i="85"/>
  <c r="P170" i="85"/>
  <c r="P859" i="85"/>
  <c r="P1986" i="85"/>
  <c r="P263" i="85"/>
  <c r="P528" i="85"/>
  <c r="P638" i="85"/>
  <c r="P688" i="85"/>
  <c r="P802" i="85"/>
  <c r="P1264" i="85"/>
  <c r="P545" i="85"/>
  <c r="P2162" i="85"/>
  <c r="P2011" i="85"/>
  <c r="P1434" i="85"/>
  <c r="P2259" i="85"/>
  <c r="P2565" i="85"/>
  <c r="P1184" i="85"/>
  <c r="P560" i="85"/>
  <c r="P1583" i="85"/>
  <c r="P2252" i="85"/>
  <c r="P1320" i="85"/>
  <c r="P1811" i="85"/>
  <c r="P2264" i="85"/>
  <c r="P2809" i="85"/>
  <c r="P898" i="85"/>
  <c r="P3145" i="85"/>
  <c r="P2656" i="85"/>
  <c r="P3044" i="85"/>
  <c r="P1422" i="85"/>
  <c r="P1330" i="85"/>
  <c r="P1702" i="85"/>
  <c r="P969" i="85"/>
  <c r="P1527" i="85"/>
  <c r="P1819" i="85"/>
  <c r="P1441" i="85"/>
  <c r="P1832" i="85"/>
  <c r="P3121" i="85"/>
  <c r="P1368" i="85"/>
  <c r="P1713" i="85"/>
  <c r="P1009" i="85"/>
  <c r="P2517" i="85"/>
  <c r="P2722" i="85"/>
  <c r="P3049" i="85"/>
  <c r="P923" i="85"/>
  <c r="P830" i="85"/>
  <c r="P1053" i="85"/>
  <c r="P439" i="85"/>
  <c r="P2381" i="85"/>
  <c r="P1787" i="85"/>
  <c r="P1637" i="85"/>
  <c r="P335" i="85"/>
  <c r="P661" i="85"/>
  <c r="P2994" i="85"/>
  <c r="P3134" i="85"/>
  <c r="P2917" i="85"/>
  <c r="P2322" i="85"/>
  <c r="P1603" i="85"/>
  <c r="P272" i="85"/>
  <c r="P329" i="85"/>
  <c r="P1975" i="85"/>
  <c r="P2932" i="85"/>
  <c r="P2365" i="85"/>
  <c r="P2400" i="85"/>
  <c r="P2554" i="85"/>
  <c r="P3062" i="85"/>
  <c r="P2454" i="85"/>
  <c r="P725" i="85"/>
  <c r="P2020" i="85"/>
  <c r="P1683" i="85"/>
  <c r="P1974" i="85"/>
  <c r="P2394" i="85"/>
  <c r="P2135" i="85"/>
  <c r="P2282" i="85"/>
  <c r="P2595" i="85"/>
  <c r="P3117" i="85"/>
  <c r="P2139" i="85"/>
  <c r="P2871" i="85"/>
  <c r="P1489" i="85"/>
  <c r="P1870" i="85"/>
  <c r="P610" i="85"/>
  <c r="P1822" i="85"/>
  <c r="P2248" i="85"/>
  <c r="P1562" i="85"/>
  <c r="P2974" i="85"/>
  <c r="P2666" i="85"/>
  <c r="P2883" i="85"/>
  <c r="P2276" i="85"/>
  <c r="P1503" i="85"/>
  <c r="P3077" i="85"/>
  <c r="P2392" i="85"/>
  <c r="P3013" i="85"/>
  <c r="P2001" i="85"/>
  <c r="P2725" i="85"/>
  <c r="P2212" i="85"/>
  <c r="P3074" i="85"/>
  <c r="P2886" i="85"/>
  <c r="P3065" i="85"/>
  <c r="P2487" i="85"/>
  <c r="P1841" i="85"/>
  <c r="P1004" i="85"/>
  <c r="P3127" i="85"/>
  <c r="P1817" i="85"/>
  <c r="P2233" i="85"/>
  <c r="P2560" i="85"/>
  <c r="P1167" i="85"/>
  <c r="P1192" i="85"/>
  <c r="P1156" i="85"/>
  <c r="P1362" i="85"/>
  <c r="P997" i="85"/>
  <c r="P894" i="85"/>
  <c r="P1542" i="85"/>
  <c r="P2638" i="85"/>
  <c r="P1176" i="85"/>
  <c r="P3079" i="85"/>
  <c r="P2879" i="85"/>
  <c r="P2816" i="85"/>
  <c r="P1799" i="85"/>
  <c r="P1431" i="85"/>
  <c r="P2117" i="85"/>
  <c r="P1656" i="85"/>
  <c r="P2320" i="85"/>
  <c r="P1718" i="85"/>
  <c r="P1980" i="85"/>
  <c r="P2683" i="85"/>
  <c r="P1659" i="85"/>
  <c r="P2761" i="85"/>
  <c r="P1672" i="85"/>
  <c r="P2266" i="85"/>
  <c r="P2046" i="85"/>
  <c r="P1552" i="85"/>
  <c r="P2458" i="85"/>
  <c r="P2249" i="85"/>
  <c r="P2587" i="85"/>
  <c r="P1694" i="85"/>
  <c r="P2440" i="85"/>
  <c r="P2438" i="85"/>
  <c r="P2338" i="85"/>
  <c r="P2702" i="85"/>
  <c r="P2396" i="85"/>
  <c r="P3060" i="85"/>
  <c r="P2622" i="85"/>
  <c r="P2981" i="85"/>
  <c r="P1920" i="85"/>
  <c r="P2547" i="85"/>
  <c r="P2054" i="85"/>
  <c r="P2195" i="85"/>
  <c r="P2797" i="85"/>
  <c r="P2330" i="85"/>
  <c r="P749" i="85"/>
  <c r="P1806" i="85"/>
  <c r="P2747" i="85"/>
  <c r="P2312" i="85"/>
  <c r="P1306" i="85"/>
  <c r="P3004" i="85"/>
  <c r="P2861" i="85"/>
  <c r="P1385" i="85"/>
  <c r="P2522" i="85"/>
  <c r="P1082" i="85"/>
  <c r="P1598" i="85"/>
  <c r="P1631" i="85"/>
  <c r="P1106" i="85"/>
  <c r="P410" i="85"/>
  <c r="P127" i="85"/>
  <c r="P1257" i="85"/>
  <c r="P1805" i="85"/>
  <c r="P368" i="85"/>
  <c r="P2066" i="85"/>
  <c r="P2519" i="85"/>
  <c r="P2715" i="85"/>
  <c r="P2786" i="85"/>
  <c r="P1293" i="85"/>
  <c r="P2433" i="85"/>
  <c r="P621" i="85"/>
  <c r="P1505" i="85"/>
  <c r="P2923" i="85"/>
  <c r="P2949" i="85"/>
  <c r="P1512" i="85"/>
  <c r="P2553" i="85"/>
  <c r="P2681" i="85"/>
  <c r="P2791" i="85"/>
  <c r="P1140" i="85"/>
  <c r="P850" i="85"/>
  <c r="P2234" i="85"/>
  <c r="P1960" i="85"/>
  <c r="P2083" i="85"/>
  <c r="P1808" i="85"/>
  <c r="P2718" i="85"/>
  <c r="P2854" i="85"/>
  <c r="P2717" i="85"/>
  <c r="P2582" i="85"/>
  <c r="P2104" i="85"/>
  <c r="P2354" i="85"/>
  <c r="P2082" i="85"/>
  <c r="P2079" i="85"/>
  <c r="P2399" i="85"/>
  <c r="P2543" i="85"/>
  <c r="P2916" i="85"/>
  <c r="P2841" i="85"/>
  <c r="P2649" i="85"/>
  <c r="P2227" i="85"/>
  <c r="P1898" i="85"/>
  <c r="P2508" i="85"/>
  <c r="P1840" i="85"/>
  <c r="P697" i="85"/>
  <c r="P982" i="85"/>
  <c r="P3154" i="85"/>
  <c r="P1915" i="85"/>
  <c r="P1200" i="85"/>
  <c r="P702" i="85"/>
  <c r="P1991" i="85"/>
  <c r="P1364" i="85"/>
  <c r="P2927" i="85"/>
  <c r="P2751" i="85"/>
  <c r="P2395" i="85"/>
  <c r="P1889" i="85"/>
  <c r="P788" i="85"/>
  <c r="P1181" i="85"/>
  <c r="P1246" i="85"/>
  <c r="P936" i="85"/>
  <c r="P1917" i="85"/>
  <c r="P464" i="85"/>
  <c r="P1508" i="85"/>
  <c r="P1998" i="85"/>
  <c r="P2314" i="85"/>
  <c r="P1220" i="85"/>
  <c r="P1758" i="85"/>
  <c r="P217" i="85"/>
  <c r="P457" i="85"/>
  <c r="P882" i="85"/>
  <c r="P624" i="85"/>
  <c r="P800" i="85"/>
  <c r="P74" i="85"/>
  <c r="P390" i="85"/>
  <c r="P993" i="85"/>
  <c r="P998" i="85"/>
  <c r="P1312" i="85"/>
  <c r="P1085" i="85"/>
  <c r="P257" i="85"/>
  <c r="P1000" i="85"/>
  <c r="P430" i="85"/>
  <c r="P28" i="85"/>
  <c r="P1129" i="85"/>
  <c r="P1084" i="85"/>
  <c r="P984" i="85"/>
  <c r="P1346" i="85"/>
  <c r="P960" i="85"/>
  <c r="P539" i="85"/>
  <c r="P772" i="85"/>
  <c r="P1704" i="85"/>
  <c r="P963" i="85"/>
  <c r="P1646" i="85"/>
  <c r="P2120" i="85"/>
  <c r="P2936" i="85"/>
  <c r="P1151" i="85"/>
  <c r="P632" i="85"/>
  <c r="P1131" i="85"/>
  <c r="P1332" i="85"/>
  <c r="P2960" i="85"/>
  <c r="P2466" i="85"/>
  <c r="P2384" i="85"/>
  <c r="P1666" i="85"/>
  <c r="P2339" i="85"/>
  <c r="P2253" i="85"/>
  <c r="P2706" i="85"/>
  <c r="P2403" i="85"/>
  <c r="P3009" i="85"/>
  <c r="P2833" i="85"/>
  <c r="P354" i="85"/>
  <c r="P3115" i="85"/>
  <c r="P1679" i="85"/>
  <c r="P1690" i="85"/>
  <c r="P1909" i="85"/>
  <c r="P2441" i="85"/>
  <c r="P2724" i="85"/>
  <c r="P1243" i="85"/>
  <c r="P2759" i="85"/>
  <c r="P909" i="85"/>
  <c r="P2653" i="85"/>
  <c r="P2934" i="85"/>
  <c r="P1498" i="85"/>
  <c r="P2919" i="85"/>
  <c r="P2676" i="85"/>
  <c r="P1045" i="85"/>
  <c r="P1051" i="85"/>
  <c r="P2070" i="85"/>
  <c r="P1945" i="85"/>
  <c r="P1863" i="85"/>
  <c r="P689" i="85"/>
  <c r="P844" i="85"/>
  <c r="P1682" i="85"/>
  <c r="P2140" i="85"/>
  <c r="P1600" i="85"/>
  <c r="P2758" i="85"/>
  <c r="P3069" i="85"/>
  <c r="P2177" i="85"/>
  <c r="P2998" i="85"/>
  <c r="P2933" i="85"/>
  <c r="P2956" i="85"/>
  <c r="P3126" i="85"/>
  <c r="P2972" i="85"/>
  <c r="P2670" i="85"/>
  <c r="P3090" i="85"/>
  <c r="P2763" i="85"/>
  <c r="P2849" i="85"/>
  <c r="P2561" i="85"/>
  <c r="P2796" i="85"/>
  <c r="P2242" i="85"/>
  <c r="P2122" i="85"/>
  <c r="P2850" i="85"/>
  <c r="P1068" i="85"/>
  <c r="P2539" i="85"/>
  <c r="P2626" i="85"/>
  <c r="P521" i="85"/>
  <c r="P3095" i="85"/>
  <c r="P3015" i="85"/>
  <c r="P2065" i="85"/>
  <c r="P2749" i="85"/>
  <c r="P1918" i="85"/>
  <c r="P1591" i="85"/>
  <c r="P2635" i="85"/>
  <c r="P2951" i="85"/>
  <c r="P2971" i="85"/>
  <c r="P2285" i="85"/>
  <c r="P2385" i="85"/>
  <c r="P3021" i="85"/>
  <c r="P2726" i="85"/>
  <c r="P2570" i="85"/>
  <c r="P1580" i="85"/>
  <c r="P1990" i="85"/>
  <c r="P1696" i="85"/>
  <c r="P1905" i="85"/>
  <c r="P3035" i="85"/>
  <c r="P1983" i="85"/>
  <c r="P2360" i="85"/>
  <c r="P918" i="85"/>
  <c r="P2476" i="85"/>
  <c r="P1247" i="85"/>
  <c r="P2605" i="85"/>
  <c r="P2792" i="85"/>
  <c r="P2574" i="85"/>
  <c r="P280" i="85"/>
  <c r="P940" i="85"/>
  <c r="P783" i="85"/>
  <c r="P365" i="85"/>
  <c r="P935" i="85"/>
  <c r="P1548" i="85"/>
  <c r="P646" i="85"/>
  <c r="P1377" i="85"/>
  <c r="P1288" i="85"/>
  <c r="P1421" i="85"/>
  <c r="P1052" i="85"/>
  <c r="P1026" i="85"/>
  <c r="P1626" i="85"/>
  <c r="P2071" i="85"/>
  <c r="P2838" i="85"/>
  <c r="P833" i="85"/>
  <c r="P1856" i="85"/>
  <c r="P2677" i="85"/>
  <c r="P780" i="85"/>
  <c r="P1906" i="85"/>
  <c r="P2268" i="85"/>
  <c r="P1223" i="85"/>
  <c r="P1492" i="85"/>
  <c r="P644" i="85"/>
  <c r="P714" i="85"/>
  <c r="P732" i="85"/>
  <c r="P1478" i="85"/>
  <c r="P1432" i="85"/>
  <c r="P1245" i="85"/>
  <c r="P577" i="85"/>
  <c r="P1578" i="85"/>
  <c r="P1487" i="85"/>
  <c r="P1296" i="85"/>
  <c r="P1951" i="85"/>
  <c r="P3110" i="85"/>
  <c r="P762" i="85"/>
  <c r="P2287" i="85"/>
  <c r="P1827" i="85"/>
  <c r="P2488" i="85"/>
  <c r="P1563" i="85"/>
  <c r="P1844" i="85"/>
  <c r="P1767" i="85"/>
  <c r="P2245" i="85"/>
  <c r="P1519" i="85"/>
  <c r="P1946" i="85"/>
  <c r="P1956" i="85"/>
  <c r="P2080" i="85"/>
  <c r="P1714" i="85"/>
  <c r="P1133" i="85"/>
  <c r="P1564" i="85"/>
  <c r="P1821" i="85"/>
  <c r="P1461" i="85"/>
  <c r="P1878" i="85"/>
  <c r="P2017" i="85"/>
  <c r="P1458" i="85"/>
  <c r="P1464" i="85"/>
  <c r="P2650" i="85"/>
  <c r="P2332" i="85"/>
  <c r="P2703" i="85"/>
  <c r="P2902" i="85"/>
  <c r="P1584" i="85"/>
  <c r="P2631" i="85"/>
  <c r="P1405" i="85"/>
  <c r="P1363" i="85"/>
  <c r="P1838" i="85"/>
  <c r="P2602" i="85"/>
  <c r="P2115" i="85"/>
  <c r="P2301" i="85"/>
  <c r="P2170" i="85"/>
  <c r="P2390" i="85"/>
  <c r="P2777" i="85"/>
  <c r="P1632" i="85"/>
  <c r="P3025" i="85"/>
  <c r="P2921" i="85"/>
  <c r="P3123" i="85"/>
  <c r="P2583" i="85"/>
  <c r="P2708" i="85"/>
  <c r="P2864" i="85"/>
  <c r="P1501" i="85"/>
  <c r="P1551" i="85"/>
  <c r="P627" i="85"/>
  <c r="P1996" i="85"/>
  <c r="P1054" i="85"/>
  <c r="P547" i="85"/>
  <c r="P880" i="85"/>
  <c r="P834" i="85"/>
  <c r="P977" i="85"/>
  <c r="P1791" i="85"/>
  <c r="P1040" i="85"/>
  <c r="P2364" i="85"/>
  <c r="P1438" i="85"/>
  <c r="P1828" i="85"/>
  <c r="P1963" i="85"/>
  <c r="P698" i="85"/>
  <c r="P2286" i="85"/>
  <c r="P2480" i="85"/>
  <c r="P1202" i="85"/>
  <c r="P805" i="85"/>
  <c r="P996" i="85"/>
  <c r="P2300" i="85"/>
  <c r="P2607" i="85"/>
  <c r="P2794" i="85"/>
  <c r="P2176" i="85"/>
  <c r="P2471" i="85"/>
  <c r="P2050" i="85"/>
  <c r="P1914" i="85"/>
  <c r="P2790" i="85"/>
  <c r="P2633" i="85"/>
  <c r="P2069" i="85"/>
  <c r="P2623" i="85"/>
  <c r="P2863" i="85"/>
  <c r="P2353" i="85"/>
  <c r="P1116" i="85"/>
  <c r="P85" i="85"/>
  <c r="P317" i="85"/>
  <c r="P2021" i="85"/>
  <c r="P857" i="85"/>
  <c r="P487" i="85"/>
  <c r="P3088" i="85"/>
  <c r="P2456" i="85"/>
  <c r="P2278" i="85"/>
  <c r="P2858" i="85"/>
  <c r="P2643" i="85"/>
  <c r="P2577" i="85"/>
  <c r="P922" i="85"/>
  <c r="P1652" i="85"/>
  <c r="P2349" i="85"/>
  <c r="P2055" i="85"/>
  <c r="P2228" i="85"/>
  <c r="P2321" i="85"/>
  <c r="P1942" i="85"/>
  <c r="P1390" i="85"/>
  <c r="P250" i="85"/>
  <c r="P416" i="85"/>
  <c r="P2185" i="85"/>
  <c r="P1886" i="85"/>
  <c r="P2343" i="85"/>
  <c r="P2986" i="85"/>
  <c r="P2737" i="85"/>
  <c r="P3075" i="85"/>
  <c r="P2586" i="85"/>
  <c r="P1728" i="85"/>
  <c r="P3138" i="85"/>
  <c r="P3050" i="85"/>
  <c r="P3120" i="85"/>
  <c r="P2950" i="85"/>
  <c r="P2911" i="85"/>
  <c r="P3112" i="85"/>
  <c r="P2780" i="85"/>
  <c r="P3045" i="85"/>
  <c r="P2843" i="85"/>
  <c r="P2738" i="85"/>
  <c r="P2912" i="85"/>
  <c r="P1874" i="85"/>
  <c r="P3102" i="85"/>
  <c r="P3073" i="85"/>
  <c r="P2940" i="85"/>
  <c r="P2131" i="85"/>
  <c r="P2662" i="85"/>
  <c r="P3082" i="85"/>
  <c r="P2171" i="85"/>
  <c r="P2846" i="85"/>
  <c r="P2753" i="85"/>
  <c r="P2842" i="85"/>
  <c r="P1988" i="85"/>
  <c r="P2573" i="85"/>
  <c r="P2928" i="85"/>
  <c r="P2669" i="85"/>
  <c r="P2333" i="85"/>
  <c r="P2576" i="85"/>
  <c r="P2895" i="85"/>
  <c r="P2844" i="85"/>
  <c r="P2558" i="85"/>
  <c r="P2307" i="85"/>
  <c r="P2366" i="85"/>
  <c r="P3070" i="85"/>
  <c r="P2604" i="85"/>
  <c r="P2035" i="85"/>
  <c r="P1208" i="85"/>
  <c r="P2888" i="85"/>
  <c r="P822" i="85"/>
  <c r="P2957" i="85"/>
  <c r="P3001" i="85"/>
  <c r="P2731" i="85"/>
  <c r="P3114" i="85"/>
  <c r="P2549" i="85"/>
  <c r="P2735" i="85"/>
  <c r="P3146" i="85"/>
  <c r="P3087" i="85"/>
  <c r="P3118" i="85"/>
  <c r="P2930" i="85"/>
  <c r="P2304" i="85"/>
  <c r="P2760" i="85"/>
  <c r="P2690" i="85"/>
  <c r="P2425" i="85"/>
  <c r="P2855" i="85"/>
  <c r="P2732" i="85"/>
  <c r="P1419" i="85"/>
  <c r="P2728" i="85"/>
  <c r="P2468" i="85"/>
  <c r="P2727" i="85"/>
  <c r="P3026" i="85"/>
  <c r="P3139" i="85"/>
  <c r="P1042" i="85"/>
  <c r="P1273" i="85"/>
  <c r="P583" i="85"/>
  <c r="P2059" i="85"/>
  <c r="P2150" i="85"/>
  <c r="P1016" i="85"/>
  <c r="P2772" i="85"/>
  <c r="P888" i="85"/>
  <c r="P1005" i="85"/>
  <c r="P2211" i="85"/>
  <c r="P1295" i="85"/>
  <c r="P2490" i="85"/>
  <c r="P2092" i="85"/>
  <c r="P2397" i="85"/>
  <c r="P2218" i="85"/>
  <c r="P1730" i="85"/>
  <c r="P2552" i="85"/>
  <c r="P2636" i="85"/>
  <c r="P2267" i="85"/>
  <c r="P706" i="85"/>
  <c r="P407" i="85"/>
  <c r="P543" i="85"/>
  <c r="P102" i="85"/>
  <c r="P189" i="85"/>
  <c r="P16" i="85"/>
  <c r="P1543" i="85"/>
  <c r="P571" i="85"/>
  <c r="P2143" i="85"/>
  <c r="P2073" i="85"/>
  <c r="P2010" i="85"/>
  <c r="P1985" i="85"/>
  <c r="P1510" i="85"/>
  <c r="P693" i="85"/>
  <c r="P1937" i="85"/>
  <c r="P1418" i="85"/>
  <c r="P1311" i="85"/>
  <c r="P1343" i="85"/>
  <c r="P1570" i="85"/>
  <c r="P441" i="85"/>
  <c r="P288" i="85"/>
  <c r="P103" i="85"/>
  <c r="P1248" i="85"/>
  <c r="P677" i="85"/>
  <c r="P806" i="85"/>
  <c r="P1244" i="85"/>
  <c r="P614" i="85"/>
  <c r="P1462" i="85"/>
  <c r="P232" i="85"/>
  <c r="P556" i="85"/>
  <c r="P1396" i="85"/>
  <c r="P902" i="85"/>
  <c r="P1122" i="85"/>
  <c r="P1112" i="85"/>
  <c r="P1008" i="85"/>
  <c r="P2230" i="85"/>
  <c r="P1579" i="85"/>
  <c r="P904" i="85"/>
  <c r="P1035" i="85"/>
  <c r="P413" i="85"/>
  <c r="P361" i="85"/>
  <c r="P1144" i="85"/>
  <c r="P1326" i="85"/>
  <c r="P1455" i="85"/>
  <c r="P700" i="85"/>
  <c r="P962" i="85"/>
  <c r="P341" i="85"/>
  <c r="P185" i="85"/>
  <c r="P608" i="85"/>
  <c r="P70" i="85"/>
  <c r="P419" i="85"/>
  <c r="P191" i="85"/>
  <c r="P510" i="85"/>
  <c r="P180" i="85"/>
  <c r="P2410" i="85"/>
  <c r="P2107" i="85"/>
  <c r="P3029" i="85"/>
  <c r="P3057" i="85"/>
  <c r="P2608" i="85"/>
  <c r="P2730" i="85"/>
  <c r="P2371" i="85"/>
  <c r="P1171" i="85"/>
  <c r="P2999" i="85"/>
  <c r="P1633" i="85"/>
  <c r="P1931" i="85"/>
  <c r="P2404" i="85"/>
  <c r="P945" i="85"/>
  <c r="P2412" i="85"/>
  <c r="P1186" i="85"/>
  <c r="P1275" i="85"/>
  <c r="P1850" i="85"/>
  <c r="P2042" i="85"/>
  <c r="P381" i="85"/>
  <c r="P1719" i="85"/>
  <c r="P3140" i="85"/>
  <c r="P2178" i="85"/>
  <c r="P1488" i="85"/>
  <c r="P737" i="85"/>
  <c r="P307" i="85"/>
  <c r="P479" i="85"/>
  <c r="P351" i="85"/>
  <c r="P353" i="85"/>
  <c r="P1447" i="85"/>
  <c r="P1751" i="85"/>
  <c r="P1803" i="85"/>
  <c r="P1336" i="85"/>
  <c r="P1107" i="85"/>
  <c r="P1394" i="85"/>
  <c r="P1973" i="85"/>
  <c r="P1981" i="85"/>
  <c r="P222" i="85"/>
  <c r="P162" i="85"/>
  <c r="P11" i="85"/>
  <c r="P414" i="85"/>
  <c r="P140" i="85"/>
  <c r="P869" i="85"/>
  <c r="P209" i="85"/>
  <c r="P296" i="85"/>
  <c r="P801" i="85"/>
  <c r="P1760" i="85"/>
  <c r="P1210" i="85"/>
  <c r="P1190" i="85"/>
  <c r="P363" i="85"/>
  <c r="P218" i="85"/>
  <c r="P553" i="85"/>
  <c r="P864" i="85"/>
  <c r="P168" i="85"/>
  <c r="P480" i="85"/>
  <c r="P827" i="85"/>
  <c r="P164" i="85"/>
  <c r="P347" i="85"/>
  <c r="P259" i="85"/>
  <c r="P134" i="85"/>
  <c r="P333" i="85"/>
  <c r="P1553" i="85"/>
  <c r="P2350" i="85"/>
  <c r="P1625" i="85"/>
  <c r="P2275" i="85"/>
  <c r="P1533" i="85"/>
  <c r="P1060" i="85"/>
  <c r="P505" i="85"/>
  <c r="P1329" i="85"/>
  <c r="P594" i="85"/>
  <c r="P1260" i="85"/>
  <c r="P1773" i="85"/>
  <c r="P113" i="85"/>
  <c r="P579" i="85"/>
  <c r="P293" i="85"/>
  <c r="P438" i="85"/>
  <c r="P1530" i="85"/>
  <c r="P205" i="85"/>
  <c r="P2163" i="85"/>
  <c r="P757" i="85"/>
  <c r="P655" i="85"/>
  <c r="P863" i="85"/>
  <c r="P710" i="85"/>
  <c r="P1382" i="85"/>
  <c r="P965" i="85"/>
  <c r="P1251" i="85"/>
  <c r="P228" i="85"/>
  <c r="P1299" i="85"/>
  <c r="P375" i="85"/>
  <c r="P1059" i="85"/>
  <c r="P1206" i="85"/>
  <c r="P716" i="85"/>
  <c r="P840" i="85"/>
  <c r="P2098" i="85"/>
  <c r="P1794" i="85"/>
  <c r="P973" i="85"/>
  <c r="P1033" i="85"/>
  <c r="P746" i="85"/>
  <c r="P1100" i="85"/>
  <c r="P793" i="85"/>
  <c r="P1319" i="85"/>
  <c r="P1252" i="85"/>
  <c r="P1032" i="85"/>
  <c r="P886" i="85"/>
  <c r="P1098" i="85"/>
  <c r="P1056" i="85"/>
  <c r="P901" i="85"/>
  <c r="P1294" i="85"/>
  <c r="P531" i="85"/>
  <c r="P1473" i="85"/>
  <c r="P1667" i="85"/>
  <c r="P1209" i="85"/>
  <c r="P1372" i="85"/>
  <c r="P968" i="85"/>
  <c r="P1771" i="85"/>
  <c r="P1302" i="85"/>
  <c r="P1575" i="85"/>
  <c r="P781" i="85"/>
  <c r="P789" i="85"/>
  <c r="P1062" i="85"/>
  <c r="P1079" i="85"/>
  <c r="P1038" i="85"/>
  <c r="P2007" i="85"/>
  <c r="P1572" i="85"/>
  <c r="P190" i="85"/>
  <c r="P69" i="85"/>
  <c r="P572" i="85"/>
  <c r="P1456" i="85"/>
  <c r="P1459" i="85"/>
  <c r="P54" i="85"/>
  <c r="P117" i="85"/>
  <c r="P262" i="85"/>
  <c r="P690" i="85"/>
  <c r="P1409" i="85"/>
  <c r="P1199" i="85"/>
  <c r="P856" i="85"/>
  <c r="P82" i="85"/>
  <c r="P83" i="85"/>
  <c r="P376" i="85"/>
  <c r="P1356" i="85"/>
  <c r="P388" i="85"/>
  <c r="P1191" i="85"/>
  <c r="P551" i="85"/>
  <c r="P292" i="85"/>
  <c r="P451" i="85"/>
  <c r="P124" i="85"/>
  <c r="P616" i="85"/>
  <c r="P1406" i="85"/>
  <c r="P649" i="85"/>
  <c r="P1259" i="85"/>
  <c r="P1403" i="85"/>
  <c r="P298" i="85"/>
  <c r="P1544" i="85"/>
  <c r="P1347" i="85"/>
  <c r="P642" i="85"/>
  <c r="P240" i="85"/>
  <c r="P2060" i="85"/>
  <c r="P617" i="85"/>
  <c r="P494" i="85"/>
  <c r="P1162" i="85"/>
  <c r="P357" i="85"/>
  <c r="P2051" i="85"/>
  <c r="P1420" i="85"/>
  <c r="P751" i="85"/>
  <c r="P507" i="85"/>
  <c r="P1088" i="85"/>
  <c r="P246" i="85"/>
  <c r="P284" i="85"/>
  <c r="P589" i="85"/>
  <c r="P795" i="85"/>
  <c r="P1145" i="85"/>
  <c r="P2043" i="85"/>
  <c r="P1681" i="85"/>
  <c r="P52" i="85"/>
  <c r="P142" i="85"/>
  <c r="P150" i="85"/>
  <c r="P794" i="85"/>
  <c r="P933" i="85"/>
  <c r="P132" i="85"/>
  <c r="P663" i="85"/>
  <c r="P1514" i="85"/>
  <c r="P1099" i="85"/>
  <c r="P1352" i="85"/>
  <c r="P1649" i="85"/>
  <c r="P38" i="85"/>
  <c r="P204" i="85"/>
  <c r="P1158" i="85"/>
  <c r="P1662" i="85"/>
  <c r="P256" i="85"/>
  <c r="P99" i="85"/>
  <c r="P1678" i="85"/>
  <c r="P2108" i="85"/>
  <c r="P359" i="85"/>
  <c r="P367" i="85"/>
  <c r="P1865" i="85"/>
  <c r="P2033" i="85"/>
  <c r="P2584" i="85"/>
  <c r="P445" i="85"/>
  <c r="P3054" i="85"/>
  <c r="P1049" i="85"/>
  <c r="P753" i="85"/>
  <c r="P128" i="85"/>
  <c r="P2409" i="85"/>
  <c r="P861" i="85"/>
  <c r="P1665" i="85"/>
  <c r="P1003" i="85"/>
  <c r="P2279" i="85"/>
  <c r="P1400" i="85"/>
  <c r="P215" i="85"/>
  <c r="P2834" i="85"/>
  <c r="P2984" i="85"/>
  <c r="P2803" i="85"/>
  <c r="P3053" i="85"/>
  <c r="P2136" i="85"/>
  <c r="P2885" i="85"/>
  <c r="P2091" i="85"/>
  <c r="P2935" i="85"/>
  <c r="P2357" i="85"/>
  <c r="P2502" i="85"/>
  <c r="P2925" i="85"/>
  <c r="P3039" i="85"/>
  <c r="P2657" i="85"/>
  <c r="P2324" i="85"/>
  <c r="P2664" i="85"/>
  <c r="P3156" i="85"/>
  <c r="P3157" i="85"/>
  <c r="P3158" i="85"/>
  <c r="P3159" i="85"/>
  <c r="P3160" i="85"/>
  <c r="P3161" i="85"/>
  <c r="P652" i="85"/>
  <c r="P2099" i="85"/>
  <c r="P1044" i="85"/>
  <c r="P119" i="85"/>
  <c r="P1756" i="85"/>
  <c r="P512" i="85"/>
  <c r="P1798" i="85"/>
  <c r="P1357" i="85"/>
  <c r="P1287" i="85"/>
  <c r="P2430" i="85"/>
  <c r="P756" i="85"/>
  <c r="P2337" i="85"/>
  <c r="P1788" i="85"/>
  <c r="P2072" i="85"/>
  <c r="P596" i="85"/>
  <c r="P2061" i="85"/>
  <c r="P1104" i="85"/>
  <c r="P1442" i="85"/>
  <c r="P1433" i="85"/>
  <c r="P1249" i="85"/>
  <c r="P1451" i="85"/>
  <c r="P873" i="85"/>
  <c r="P1610" i="85"/>
  <c r="P481" i="85"/>
  <c r="P1262" i="85"/>
  <c r="P1285" i="85"/>
  <c r="P748" i="85"/>
  <c r="P949" i="85"/>
  <c r="P807" i="85"/>
  <c r="P958" i="85"/>
  <c r="P2058" i="85"/>
  <c r="P1604" i="85"/>
  <c r="P546" i="85"/>
  <c r="P740" i="85"/>
  <c r="P386" i="85"/>
  <c r="P87" i="85"/>
  <c r="P219" i="85"/>
  <c r="P58" i="85"/>
  <c r="P2057" i="85"/>
  <c r="P1066" i="85"/>
  <c r="P147" i="85"/>
  <c r="P181" i="85"/>
  <c r="P336" i="85"/>
  <c r="P380" i="85"/>
  <c r="P158" i="85"/>
  <c r="P141" i="85"/>
  <c r="P425" i="85"/>
  <c r="P435" i="85"/>
  <c r="P156" i="85"/>
  <c r="P345" i="85"/>
  <c r="P411" i="85"/>
  <c r="P137" i="85"/>
  <c r="P344" i="85"/>
  <c r="P1776" i="85"/>
  <c r="P242" i="85"/>
  <c r="P516" i="85"/>
  <c r="P167" i="85"/>
  <c r="P1381" i="85"/>
  <c r="P238" i="85"/>
  <c r="P442" i="85"/>
  <c r="P2096" i="85"/>
  <c r="P115" i="85"/>
  <c r="P934" i="85"/>
  <c r="P2156" i="85"/>
  <c r="P1412" i="85"/>
  <c r="P628" i="85"/>
  <c r="P667" i="85"/>
  <c r="P1415" i="85"/>
  <c r="P1463" i="85"/>
  <c r="P1141" i="85"/>
  <c r="P2335" i="85"/>
  <c r="P1848" i="85"/>
  <c r="P981" i="85"/>
  <c r="P2045" i="85"/>
  <c r="P1303" i="85"/>
  <c r="P285" i="85"/>
  <c r="P495" i="85"/>
  <c r="P334" i="85"/>
  <c r="P2336" i="85"/>
  <c r="P454" i="85"/>
  <c r="P752" i="85"/>
  <c r="P2962" i="85"/>
  <c r="P598" i="85"/>
  <c r="P738" i="85"/>
  <c r="P251" i="85"/>
  <c r="P877" i="85"/>
  <c r="P1715" i="85"/>
  <c r="P160" i="85"/>
  <c r="P847" i="85"/>
  <c r="P2074" i="85"/>
  <c r="P1916" i="85"/>
  <c r="P1516" i="85"/>
  <c r="P157" i="85"/>
  <c r="P650" i="85"/>
  <c r="P1768" i="85"/>
  <c r="P2194" i="85"/>
  <c r="P2128" i="85"/>
  <c r="P1866" i="85"/>
  <c r="P1954" i="85"/>
  <c r="P622" i="85"/>
  <c r="P1697" i="85"/>
  <c r="P1876" i="85"/>
  <c r="P1782" i="85"/>
  <c r="P2329" i="85"/>
  <c r="P2437" i="85"/>
  <c r="P2363" i="85"/>
  <c r="P511" i="85"/>
  <c r="P1146" i="85"/>
  <c r="P887" i="85"/>
  <c r="P498" i="85"/>
  <c r="P549" i="85"/>
  <c r="P426" i="85"/>
  <c r="P520" i="85"/>
  <c r="P1238" i="85"/>
  <c r="P2361" i="85"/>
  <c r="P2398" i="85"/>
  <c r="P2546" i="85"/>
  <c r="P2678" i="85"/>
  <c r="P1816" i="85"/>
  <c r="P1979" i="85"/>
  <c r="P2331" i="85"/>
  <c r="P434" i="85"/>
  <c r="P64" i="85"/>
  <c r="P76" i="85"/>
  <c r="P823" i="85"/>
  <c r="P2014" i="85"/>
  <c r="P2254" i="85"/>
  <c r="P231" i="85"/>
  <c r="P306" i="85"/>
  <c r="P155" i="85"/>
  <c r="P701" i="85"/>
  <c r="P2149" i="85"/>
  <c r="P2347" i="85"/>
  <c r="P1999" i="85"/>
  <c r="P876" i="85"/>
  <c r="P1012" i="85"/>
  <c r="P2184" i="85"/>
  <c r="P2647" i="85"/>
  <c r="P2173" i="85"/>
  <c r="P2619" i="85"/>
  <c r="P3164" i="85"/>
  <c r="P1025" i="85"/>
  <c r="P2204" i="85"/>
  <c r="P1970" i="85"/>
  <c r="P2269" i="85"/>
  <c r="P2707" i="85"/>
  <c r="P2873" i="85"/>
  <c r="P1254" i="85"/>
  <c r="P1677" i="85"/>
  <c r="P1648" i="85"/>
  <c r="P179" i="85"/>
  <c r="P53" i="85"/>
  <c r="P212" i="85"/>
  <c r="P49" i="85"/>
  <c r="P37" i="85"/>
  <c r="P31" i="85"/>
  <c r="P878" i="85"/>
  <c r="P2548" i="85"/>
  <c r="P1321" i="85"/>
  <c r="P2618" i="85"/>
  <c r="P1952" i="85"/>
  <c r="P2645" i="85"/>
  <c r="P927" i="85"/>
  <c r="P2063" i="85"/>
  <c r="P408" i="85"/>
  <c r="P1136" i="85"/>
  <c r="P2265" i="85"/>
  <c r="P23" i="85"/>
  <c r="P47" i="85"/>
  <c r="P664" i="85"/>
  <c r="P161" i="85"/>
  <c r="P254" i="85"/>
  <c r="P197" i="85"/>
  <c r="P106" i="85"/>
  <c r="P1170" i="85"/>
  <c r="P233" i="85"/>
  <c r="P1197" i="85"/>
  <c r="P2203" i="85"/>
  <c r="P703" i="85"/>
  <c r="P2247" i="85"/>
  <c r="P2387" i="85"/>
  <c r="P926" i="85"/>
  <c r="P1608" i="85"/>
  <c r="P2556" i="85"/>
  <c r="P797" i="85"/>
  <c r="P2679" i="85"/>
  <c r="P2905" i="85"/>
  <c r="P71" i="85"/>
  <c r="P492" i="85"/>
  <c r="P1977" i="85"/>
  <c r="P2165" i="85"/>
  <c r="P1705" i="85"/>
  <c r="P337" i="85"/>
  <c r="P736" i="85"/>
  <c r="P61" i="85"/>
  <c r="P65" i="85"/>
  <c r="P227" i="85"/>
  <c r="P1436" i="85"/>
  <c r="P967" i="85"/>
  <c r="P1019" i="85"/>
  <c r="P171" i="85"/>
  <c r="P34" i="85"/>
  <c r="P27" i="85"/>
  <c r="P100" i="85"/>
  <c r="P1454" i="85"/>
  <c r="P978" i="85"/>
  <c r="P517" i="85"/>
  <c r="P456" i="85"/>
  <c r="P79" i="85"/>
  <c r="P19" i="85"/>
  <c r="P50" i="85"/>
  <c r="P86" i="85"/>
  <c r="P35" i="85"/>
  <c r="P1327" i="85"/>
  <c r="P884" i="85"/>
  <c r="P311" i="85"/>
  <c r="P718" i="85"/>
  <c r="P130" i="85"/>
  <c r="P101" i="85"/>
  <c r="P385" i="85"/>
  <c r="P84" i="85"/>
  <c r="P120" i="85"/>
  <c r="P235" i="85"/>
  <c r="P247" i="85"/>
  <c r="P110" i="85"/>
  <c r="P214" i="85"/>
  <c r="P603" i="85"/>
  <c r="P62" i="85"/>
  <c r="P73" i="85"/>
  <c r="P77" i="85"/>
  <c r="P43" i="85"/>
  <c r="P15" i="85"/>
  <c r="P90" i="85"/>
  <c r="P18" i="85"/>
  <c r="P41" i="85"/>
  <c r="P45" i="85"/>
  <c r="P941" i="85"/>
  <c r="P383" i="85"/>
  <c r="P40" i="85"/>
  <c r="P1471" i="85"/>
  <c r="P1215" i="85"/>
  <c r="P954" i="85"/>
  <c r="P921" i="85"/>
  <c r="P1641" i="85"/>
  <c r="P2451" i="85"/>
  <c r="P1470" i="85"/>
  <c r="P1536" i="85"/>
  <c r="P2220" i="85"/>
  <c r="P72" i="85"/>
  <c r="P29" i="85"/>
  <c r="P779" i="85"/>
  <c r="P324" i="85"/>
  <c r="P178" i="85"/>
  <c r="P80" i="85"/>
  <c r="P229" i="85"/>
  <c r="P300" i="85"/>
  <c r="P195" i="85"/>
  <c r="P59" i="85"/>
  <c r="P299" i="85"/>
  <c r="P348" i="85"/>
  <c r="P446" i="85"/>
  <c r="P449" i="85"/>
  <c r="P724" i="85"/>
  <c r="P482" i="85"/>
  <c r="P1102" i="85"/>
  <c r="P343" i="85"/>
  <c r="P112" i="85"/>
  <c r="P541" i="85"/>
  <c r="P420" i="85"/>
  <c r="P1576" i="85"/>
  <c r="P485" i="85"/>
  <c r="P529" i="85"/>
  <c r="P107" i="85"/>
  <c r="P153" i="85"/>
  <c r="P761" i="85"/>
  <c r="P708" i="85"/>
  <c r="P1024" i="85"/>
  <c r="P1807" i="85"/>
  <c r="P1071" i="85"/>
  <c r="P135" i="85"/>
  <c r="P152" i="85"/>
  <c r="P452" i="85"/>
  <c r="P123" i="85"/>
  <c r="P1282" i="85"/>
  <c r="P871" i="85"/>
  <c r="P174" i="85"/>
  <c r="P91" i="85"/>
  <c r="P198" i="85"/>
  <c r="P122" i="85"/>
  <c r="P173" i="85"/>
  <c r="P1692" i="85"/>
  <c r="P1720" i="85"/>
  <c r="P2382" i="85"/>
  <c r="P1764" i="85"/>
  <c r="P2453" i="85"/>
  <c r="P2475" i="85"/>
  <c r="P2443" i="85"/>
  <c r="P1738" i="85"/>
  <c r="P1689" i="85"/>
  <c r="P1851" i="85"/>
  <c r="P1910" i="85"/>
  <c r="P2113" i="85"/>
  <c r="P1628" i="85"/>
  <c r="P1268" i="85"/>
  <c r="P1429" i="85"/>
  <c r="P1023" i="85"/>
  <c r="P42" i="85"/>
  <c r="P1401" i="85"/>
  <c r="P322" i="85"/>
  <c r="P104" i="85"/>
  <c r="P444" i="85"/>
  <c r="P576" i="85"/>
  <c r="P573" i="85"/>
  <c r="P1150" i="85"/>
  <c r="P243" i="85"/>
  <c r="P193" i="85"/>
  <c r="P817" i="85"/>
  <c r="P829" i="85"/>
  <c r="P371" i="85"/>
  <c r="P427" i="85"/>
  <c r="P483" i="85"/>
  <c r="P453" i="85"/>
  <c r="P912" i="85"/>
  <c r="P691" i="85"/>
  <c r="P1001" i="85"/>
  <c r="P2513" i="85"/>
  <c r="P1784" i="85"/>
  <c r="P808" i="85"/>
  <c r="P799" i="85"/>
  <c r="P1485" i="85"/>
  <c r="P1118" i="85"/>
  <c r="P1166" i="85"/>
  <c r="P1883" i="85"/>
  <c r="P2504" i="85"/>
  <c r="P946" i="85"/>
  <c r="P1383" i="85"/>
  <c r="P1265" i="85"/>
  <c r="P2158" i="85"/>
  <c r="P1647" i="85"/>
  <c r="P1272" i="85"/>
  <c r="P2172" i="85"/>
  <c r="P2716" i="85"/>
  <c r="P1872" i="85"/>
  <c r="P1739" i="85"/>
  <c r="P1725" i="85"/>
  <c r="P1323" i="85"/>
  <c r="P1250" i="85"/>
  <c r="P1213" i="85"/>
  <c r="P1779" i="85"/>
  <c r="P2068" i="85"/>
  <c r="P588" i="85"/>
  <c r="P26" i="85"/>
  <c r="P21" i="85"/>
  <c r="P1902" i="85"/>
  <c r="P2187" i="85"/>
  <c r="P3037" i="85"/>
  <c r="P2444" i="85"/>
  <c r="P1748" i="85"/>
  <c r="P2370" i="85"/>
  <c r="P2377" i="85"/>
  <c r="P1948" i="85"/>
  <c r="P764" i="85"/>
  <c r="P207" i="85"/>
  <c r="P25" i="85"/>
  <c r="P36" i="85"/>
  <c r="P1635" i="85"/>
  <c r="P1297" i="85"/>
  <c r="P743" i="85"/>
  <c r="P890" i="85"/>
  <c r="P261" i="85"/>
  <c r="P1740" i="85"/>
  <c r="P1524" i="85"/>
  <c r="P2076" i="85"/>
  <c r="P1680" i="85"/>
  <c r="P2196" i="85"/>
  <c r="P2663" i="85"/>
  <c r="P3024" i="85"/>
  <c r="P1581" i="85"/>
  <c r="P1392" i="85"/>
  <c r="P2089" i="85"/>
  <c r="P440" i="85"/>
  <c r="P2087" i="85"/>
  <c r="P1939" i="85"/>
  <c r="P1031" i="85"/>
  <c r="P985" i="85"/>
  <c r="P1476" i="85"/>
  <c r="P1495" i="85"/>
  <c r="P1904" i="85"/>
  <c r="P1605" i="85"/>
  <c r="P680" i="85"/>
  <c r="P1365" i="85"/>
  <c r="P406" i="85"/>
  <c r="P1750" i="85"/>
  <c r="P1590" i="85"/>
  <c r="P868" i="85"/>
  <c r="P2238" i="85"/>
  <c r="P1089" i="85"/>
  <c r="P626" i="85"/>
  <c r="P2145" i="85"/>
  <c r="P755" i="85"/>
  <c r="P1067" i="85"/>
  <c r="P1410" i="85"/>
  <c r="P459" i="85"/>
  <c r="P544" i="85"/>
  <c r="P1615" i="85"/>
  <c r="P1474" i="85"/>
  <c r="P129" i="85"/>
  <c r="P659" i="85"/>
  <c r="P1148" i="85"/>
  <c r="P1826" i="85"/>
  <c r="P1955" i="85"/>
  <c r="P1732" i="85"/>
  <c r="P907" i="85"/>
  <c r="P611" i="85"/>
  <c r="P176" i="85"/>
  <c r="P648" i="85"/>
  <c r="P1139" i="85"/>
  <c r="P1380" i="85"/>
  <c r="P477" i="85"/>
  <c r="P175" i="85"/>
  <c r="P641" i="85"/>
  <c r="P1658" i="85"/>
  <c r="P2206" i="85"/>
  <c r="P504" i="85"/>
  <c r="P813" i="85"/>
  <c r="P22" i="85"/>
  <c r="P1499" i="85"/>
  <c r="P600" i="85"/>
  <c r="P1152" i="85"/>
  <c r="P1291" i="85"/>
  <c r="P2835" i="85"/>
  <c r="P213" i="85"/>
  <c r="P159" i="85"/>
  <c r="P108" i="85"/>
  <c r="P14" i="85"/>
  <c r="P682" i="85"/>
  <c r="P654" i="85"/>
  <c r="P938" i="85"/>
  <c r="P470" i="85"/>
  <c r="P3165" i="85"/>
  <c r="P1289" i="85"/>
  <c r="P1700" i="85"/>
  <c r="P2256" i="85"/>
  <c r="P1475" i="85"/>
  <c r="P1847" i="85"/>
  <c r="P1408" i="85"/>
  <c r="P1585" i="85"/>
  <c r="P835" i="85"/>
  <c r="P2255" i="85"/>
  <c r="P854" i="85"/>
  <c r="P2709" i="85"/>
  <c r="P2913" i="85"/>
  <c r="P2530" i="85"/>
  <c r="P2691" i="85"/>
  <c r="P2557" i="85"/>
  <c r="P1597" i="85"/>
  <c r="P2743" i="85"/>
  <c r="P2756" i="85"/>
  <c r="P2077" i="85"/>
  <c r="P2188" i="85"/>
  <c r="P1367" i="85"/>
  <c r="P1830" i="85"/>
  <c r="P523" i="85"/>
  <c r="P1413" i="85"/>
  <c r="P3003" i="85"/>
  <c r="P2310" i="85"/>
  <c r="P525" i="85"/>
  <c r="P2463" i="85"/>
  <c r="P409" i="85"/>
  <c r="P1371" i="85"/>
  <c r="P860" i="85"/>
  <c r="P821" i="85"/>
  <c r="P2920" i="85"/>
  <c r="P3131" i="85"/>
  <c r="P1096" i="85"/>
  <c r="P1105" i="85"/>
  <c r="P1147" i="85"/>
  <c r="P2317" i="85"/>
  <c r="P2910" i="85"/>
  <c r="P2168" i="85"/>
  <c r="P666" i="85"/>
  <c r="P2295" i="85"/>
  <c r="P2472" i="85"/>
  <c r="P1453" i="85"/>
  <c r="P2545" i="85"/>
  <c r="P1944" i="85"/>
  <c r="P2766" i="85"/>
  <c r="P415" i="85"/>
  <c r="P2048" i="85"/>
  <c r="P169" i="85"/>
  <c r="P640" i="85"/>
  <c r="P532" i="85"/>
  <c r="P509" i="85"/>
  <c r="P281" i="85"/>
  <c r="P1277" i="85"/>
  <c r="P679" i="85"/>
  <c r="P893" i="85"/>
  <c r="P692" i="85"/>
  <c r="P612" i="85"/>
  <c r="P146" i="85"/>
  <c r="P401" i="85"/>
  <c r="P486" i="85"/>
  <c r="P121" i="85"/>
  <c r="P678" i="85"/>
  <c r="P1795" i="85"/>
  <c r="P1048" i="85"/>
  <c r="P2026" i="85"/>
  <c r="P2839" i="85"/>
  <c r="P2235" i="85"/>
  <c r="P1236" i="85"/>
  <c r="P1411" i="85"/>
  <c r="P2795" i="85"/>
  <c r="P2597" i="85"/>
  <c r="P651" i="85"/>
  <c r="P759" i="85"/>
  <c r="P1823" i="85"/>
  <c r="P1670" i="85"/>
  <c r="P2210" i="85"/>
  <c r="P308" i="85"/>
  <c r="P1194" i="85"/>
  <c r="P2771" i="85"/>
  <c r="P2294" i="85"/>
  <c r="P1742" i="85"/>
  <c r="P1387" i="85"/>
  <c r="P1859" i="85"/>
  <c r="P929" i="85"/>
  <c r="P1867" i="85"/>
  <c r="P1936" i="85"/>
  <c r="P2710" i="85"/>
  <c r="P2868" i="85"/>
  <c r="P33" i="85"/>
  <c r="P377" i="85"/>
  <c r="P51" i="85"/>
  <c r="P318" i="85"/>
  <c r="P979" i="85"/>
  <c r="P1207" i="85"/>
  <c r="P465" i="85"/>
  <c r="P980" i="85"/>
  <c r="P56" i="85"/>
  <c r="P1494" i="85"/>
  <c r="P165" i="85"/>
  <c r="P2401" i="85"/>
  <c r="P1818" i="85"/>
  <c r="P744" i="85"/>
  <c r="P2768" i="85"/>
  <c r="P951" i="85"/>
  <c r="P2226" i="85"/>
  <c r="P118" i="85"/>
  <c r="P1932" i="85"/>
  <c r="P2223" i="85"/>
  <c r="P1845" i="85"/>
  <c r="P1300" i="85"/>
  <c r="P672" i="85"/>
  <c r="P458" i="85"/>
  <c r="P327" i="85"/>
  <c r="P630" i="85"/>
  <c r="P899" i="85"/>
  <c r="P815" i="85"/>
  <c r="P920" i="85"/>
  <c r="P355" i="85"/>
  <c r="P136" i="85"/>
  <c r="P81" i="85"/>
  <c r="P286" i="85"/>
  <c r="P75" i="85"/>
  <c r="P105" i="85"/>
  <c r="P63" i="85"/>
  <c r="P24" i="85"/>
  <c r="P305" i="85"/>
  <c r="P1709" i="85"/>
  <c r="P490" i="85"/>
  <c r="P555" i="85"/>
  <c r="P309" i="85"/>
  <c r="P2318" i="85"/>
  <c r="P369" i="85"/>
  <c r="P824" i="85"/>
  <c r="P1673" i="85"/>
  <c r="P1612" i="85"/>
  <c r="P1036" i="85"/>
  <c r="P2945" i="85"/>
  <c r="P2389" i="85"/>
  <c r="P1467" i="85"/>
  <c r="P550" i="85"/>
  <c r="P321" i="85"/>
  <c r="P389" i="85"/>
  <c r="P1971" i="85"/>
  <c r="P199" i="85"/>
  <c r="P733" i="85"/>
  <c r="P2507" i="85"/>
  <c r="P2736" i="85"/>
  <c r="P2462" i="85"/>
  <c r="P2029" i="85"/>
  <c r="P2240" i="85"/>
  <c r="P1746" i="85"/>
  <c r="P2859" i="85"/>
  <c r="P3078" i="85"/>
  <c r="P2985" i="85"/>
  <c r="P2572" i="85"/>
  <c r="P2527" i="85"/>
  <c r="P2494" i="85"/>
  <c r="P2305" i="85"/>
  <c r="P2489" i="85"/>
  <c r="P2445" i="85"/>
  <c r="P2658" i="85"/>
  <c r="P1801" i="85"/>
  <c r="P2876" i="85"/>
  <c r="P1172" i="85"/>
  <c r="P1849" i="85"/>
  <c r="P2281" i="85"/>
  <c r="P1446" i="85"/>
  <c r="P1712" i="85"/>
  <c r="P1154" i="85"/>
  <c r="P942" i="85"/>
  <c r="P1765" i="85"/>
  <c r="P872" i="85"/>
  <c r="P2745" i="85"/>
  <c r="P1587" i="85"/>
  <c r="P1163" i="85"/>
  <c r="P2428" i="85"/>
  <c r="P595" i="85"/>
  <c r="P1204" i="85"/>
  <c r="P2311" i="85"/>
  <c r="P1707" i="85"/>
  <c r="P1890" i="85"/>
  <c r="P1624" i="85"/>
  <c r="P1554" i="85"/>
  <c r="P1175" i="85"/>
  <c r="P1558" i="85"/>
  <c r="P1161" i="85"/>
  <c r="P841" i="85"/>
  <c r="P1561" i="85"/>
  <c r="P1263" i="85"/>
  <c r="P400" i="85"/>
  <c r="P274" i="85"/>
  <c r="P974" i="85"/>
  <c r="P1922" i="85"/>
  <c r="P1018" i="85"/>
  <c r="P473" i="85"/>
  <c r="P1292" i="85"/>
  <c r="P939" i="85"/>
  <c r="P527" i="85"/>
  <c r="P349" i="85"/>
  <c r="P1030" i="85"/>
  <c r="P1135" i="85"/>
  <c r="P715" i="85"/>
  <c r="P1047" i="85"/>
  <c r="P548" i="85"/>
  <c r="P992" i="85"/>
  <c r="P370" i="85"/>
  <c r="P404" i="85"/>
  <c r="P809" i="85"/>
  <c r="P771" i="85"/>
  <c r="P852" i="85"/>
  <c r="P534" i="85"/>
  <c r="P707" i="85"/>
  <c r="P461" i="85"/>
  <c r="P1142" i="85"/>
  <c r="P1120" i="85"/>
  <c r="P478" i="85"/>
  <c r="P1127" i="85"/>
  <c r="P696" i="85"/>
  <c r="P1589" i="85"/>
  <c r="P2405" i="85"/>
  <c r="P855" i="85"/>
  <c r="P1384" i="85"/>
  <c r="P2246" i="85"/>
  <c r="P1233" i="85"/>
  <c r="P1727" i="85"/>
  <c r="P1661" i="85"/>
  <c r="P2606" i="85"/>
  <c r="P1860" i="85"/>
  <c r="P2166" i="85"/>
  <c r="P1643" i="85"/>
  <c r="P580" i="85"/>
  <c r="P758" i="85"/>
  <c r="P662" i="85"/>
  <c r="P500" i="85"/>
  <c r="P1747" i="85"/>
  <c r="P314" i="85"/>
  <c r="P378" i="85"/>
  <c r="P1239" i="85"/>
  <c r="P138" i="85"/>
  <c r="P89" i="85"/>
  <c r="P2542" i="85"/>
  <c r="P192" i="85"/>
  <c r="P597" i="85"/>
  <c r="P154" i="85"/>
  <c r="P988" i="85"/>
  <c r="P362" i="85"/>
  <c r="P719" i="85"/>
  <c r="P253" i="85"/>
  <c r="P2237" i="85"/>
  <c r="P17" i="85"/>
  <c r="P143" i="85"/>
  <c r="P39" i="85"/>
  <c r="P424" i="85"/>
  <c r="P98" i="85"/>
  <c r="P412" i="85"/>
  <c r="P1592" i="85"/>
  <c r="P93" i="85"/>
  <c r="P78" i="85"/>
  <c r="P92" i="85"/>
  <c r="P96" i="85"/>
  <c r="P46" i="85"/>
  <c r="P269" i="85"/>
  <c r="P32" i="85"/>
  <c r="P387" i="85"/>
  <c r="P210" i="85"/>
  <c r="P237" i="85"/>
  <c r="P593" i="85"/>
  <c r="P186" i="85"/>
  <c r="P66" i="85"/>
  <c r="P302" i="85"/>
  <c r="P30" i="85"/>
  <c r="P668" i="85"/>
  <c r="P114" i="85"/>
  <c r="P342" i="85"/>
  <c r="P95" i="85"/>
  <c r="P382" i="85"/>
  <c r="P402" i="85"/>
  <c r="P252" i="85"/>
  <c r="P244" i="85"/>
  <c r="P1836" i="85"/>
  <c r="P524" i="85"/>
  <c r="P225" i="85"/>
  <c r="P669" i="85"/>
  <c r="P2039" i="85"/>
  <c r="P1157" i="85"/>
  <c r="P1814" i="85"/>
  <c r="P258" i="85"/>
  <c r="P283" i="85"/>
  <c r="P2326" i="85"/>
  <c r="P2518" i="85"/>
  <c r="P818" i="85"/>
  <c r="P149" i="85"/>
  <c r="P2742" i="85"/>
  <c r="P2750" i="85"/>
  <c r="P331" i="85"/>
  <c r="P384" i="85"/>
  <c r="P338" i="85"/>
  <c r="P68" i="85"/>
  <c r="P1813" i="85"/>
  <c r="P2857" i="85"/>
  <c r="P2624" i="85"/>
  <c r="P264" i="85"/>
  <c r="P166" i="85"/>
  <c r="P315" i="85"/>
  <c r="P947" i="85"/>
  <c r="P1227" i="85"/>
  <c r="P728" i="85"/>
  <c r="P2036" i="85"/>
  <c r="P1231" i="85"/>
  <c r="P1080" i="85"/>
  <c r="P1398" i="85"/>
  <c r="P1515" i="85"/>
  <c r="P883" i="85"/>
  <c r="P684" i="85"/>
  <c r="P1430" i="85"/>
  <c r="P2016" i="85"/>
  <c r="P970" i="85"/>
  <c r="P914" i="85"/>
  <c r="P2085" i="85"/>
  <c r="P2359" i="85"/>
  <c r="P2344" i="85"/>
  <c r="P1934" i="85"/>
  <c r="P1674" i="85"/>
  <c r="P3166" i="85"/>
  <c r="P1353" i="85"/>
  <c r="P2689" i="85"/>
  <c r="P1644" i="85"/>
  <c r="P2391" i="85"/>
  <c r="P3040" i="85"/>
  <c r="P2799" i="85"/>
  <c r="P2898" i="85"/>
  <c r="P2614" i="85"/>
  <c r="P1318" i="85"/>
  <c r="P713" i="85"/>
  <c r="P493" i="85"/>
  <c r="P295" i="85"/>
  <c r="P397" i="85"/>
  <c r="P2375" i="85"/>
  <c r="P1879" i="85"/>
  <c r="P1109" i="85"/>
  <c r="P1427" i="85"/>
  <c r="P2215" i="85"/>
  <c r="P1393" i="85"/>
  <c r="P2356" i="85"/>
  <c r="P1691" i="85"/>
  <c r="P2241" i="85"/>
  <c r="P2802" i="85"/>
  <c r="P2408" i="85"/>
  <c r="P2814" i="85"/>
  <c r="P2810" i="85"/>
  <c r="P2808" i="85"/>
  <c r="P2006" i="85"/>
  <c r="P2757" i="85"/>
  <c r="P1804" i="85"/>
  <c r="P1837" i="85"/>
  <c r="P1425" i="85"/>
  <c r="P2182" i="85"/>
  <c r="P2432" i="85"/>
  <c r="P2284" i="85"/>
  <c r="P2944" i="85"/>
  <c r="P2908" i="85"/>
  <c r="P2965" i="85"/>
  <c r="P2823" i="85"/>
  <c r="P2764" i="85"/>
  <c r="P2837" i="85"/>
  <c r="P2159" i="85"/>
  <c r="P2078" i="85"/>
  <c r="P2979" i="85"/>
  <c r="P1316" i="85"/>
  <c r="P1074" i="85"/>
  <c r="P601" i="85"/>
  <c r="P1962" i="85"/>
  <c r="P1177" i="85"/>
  <c r="P499" i="85"/>
  <c r="P1829" i="85"/>
  <c r="P1466" i="85"/>
  <c r="P248" i="85"/>
  <c r="P2328" i="85"/>
  <c r="P2481" i="85"/>
  <c r="P2469" i="85"/>
  <c r="P2767" i="85"/>
  <c r="P1717" i="85"/>
  <c r="P2250" i="85"/>
  <c r="P2634" i="85"/>
  <c r="P2909" i="85"/>
  <c r="P3033" i="85"/>
  <c r="P1884" i="85"/>
  <c r="P44" i="85"/>
  <c r="P187" i="85"/>
  <c r="P1374" i="85"/>
  <c r="P2801" i="85"/>
  <c r="P1087" i="85"/>
  <c r="P2207" i="85"/>
  <c r="P2938" i="85"/>
  <c r="P2978" i="85"/>
  <c r="P2257" i="85"/>
  <c r="P2416" i="85"/>
  <c r="P1483" i="85"/>
  <c r="P2348" i="85"/>
  <c r="P2511" i="85"/>
  <c r="P1711" i="85"/>
  <c r="P3071" i="85"/>
  <c r="P3030" i="85"/>
  <c r="P2815" i="85"/>
  <c r="P2793" i="85"/>
  <c r="P2776" i="85"/>
  <c r="P1565" i="85"/>
  <c r="P2004" i="85"/>
  <c r="P1269" i="85"/>
  <c r="P2784" i="85"/>
  <c r="P639" i="85"/>
  <c r="P1322" i="85"/>
  <c r="P1228" i="85"/>
  <c r="P889" i="85"/>
  <c r="P2422" i="85"/>
  <c r="P484" i="85"/>
  <c r="P2477" i="85"/>
  <c r="P1595" i="85"/>
  <c r="P1185" i="85"/>
  <c r="P1650" i="85"/>
  <c r="P2484" i="85"/>
  <c r="P866" i="85"/>
  <c r="P1101" i="85"/>
  <c r="P618" i="85"/>
  <c r="P615" i="85"/>
  <c r="P270" i="85"/>
  <c r="P681" i="85"/>
  <c r="P798" i="85"/>
  <c r="P803" i="85"/>
  <c r="P455" i="85"/>
  <c r="P506" i="85"/>
  <c r="P360" i="85"/>
  <c r="P224" i="85"/>
  <c r="P915" i="85"/>
  <c r="P182" i="85"/>
  <c r="P249" i="85"/>
  <c r="P226" i="85"/>
  <c r="P843" i="85"/>
  <c r="P1242" i="85"/>
  <c r="P1041" i="85"/>
  <c r="P1402" i="85"/>
  <c r="P1345" i="85"/>
  <c r="P267" i="85"/>
  <c r="P1155" i="85"/>
  <c r="P418" i="85"/>
  <c r="P1525" i="85"/>
  <c r="P372" i="85"/>
  <c r="P271" i="85"/>
  <c r="P574" i="85"/>
  <c r="P462" i="85"/>
  <c r="P760" i="85"/>
  <c r="P273" i="85"/>
  <c r="P111" i="85"/>
  <c r="P109" i="85"/>
  <c r="P530" i="85"/>
  <c r="P634" i="85"/>
  <c r="P2261" i="85"/>
  <c r="P1149" i="85"/>
  <c r="P1964" i="85"/>
  <c r="P2000" i="85"/>
  <c r="P2450" i="85"/>
  <c r="P1014" i="85"/>
  <c r="P1882" i="85"/>
  <c r="P1376" i="85"/>
  <c r="P373" i="85"/>
  <c r="P660" i="85"/>
  <c r="P200" i="85"/>
  <c r="P897" i="85"/>
  <c r="P1663" i="85"/>
  <c r="P1301" i="85"/>
  <c r="P2811" i="85"/>
  <c r="P2668" i="85"/>
  <c r="P972" i="85"/>
  <c r="P1966" i="85"/>
  <c r="P1938" i="85"/>
  <c r="P1217" i="85"/>
  <c r="P635" i="85"/>
  <c r="P60" i="85"/>
  <c r="P1029" i="85"/>
  <c r="P2754" i="85"/>
  <c r="P2498" i="85"/>
  <c r="P1685" i="85"/>
  <c r="P2721" i="85"/>
  <c r="P2529" i="85"/>
  <c r="P3076" i="85"/>
  <c r="P2109" i="85"/>
  <c r="P3064" i="85"/>
  <c r="P2569" i="85"/>
  <c r="P1518" i="85"/>
  <c r="P2064" i="85"/>
  <c r="P1627" i="85"/>
  <c r="P3058" i="85"/>
  <c r="P3096" i="85"/>
  <c r="P1928" i="85"/>
  <c r="P1846" i="85"/>
  <c r="P3031" i="85"/>
  <c r="P1852" i="85"/>
  <c r="P2975" i="85"/>
  <c r="P2383" i="85"/>
  <c r="P2740" i="85"/>
  <c r="P2616" i="85"/>
  <c r="P1317" i="85"/>
  <c r="P2334" i="85"/>
  <c r="P2805" i="85"/>
  <c r="P2973" i="85"/>
  <c r="P1701" i="85"/>
  <c r="P1069" i="85"/>
  <c r="P1726" i="85"/>
  <c r="P2239" i="85"/>
  <c r="P323" i="85"/>
  <c r="P1482" i="85"/>
  <c r="P1097" i="85"/>
  <c r="P2459" i="85"/>
  <c r="P1373" i="85"/>
  <c r="P2654" i="85"/>
  <c r="P2942" i="85"/>
  <c r="P2147" i="85"/>
  <c r="P1261" i="85"/>
  <c r="P468" i="85"/>
  <c r="P417" i="85"/>
  <c r="P239" i="85"/>
  <c r="P1055" i="85"/>
  <c r="P2175" i="85"/>
  <c r="P814" i="85"/>
  <c r="P2019" i="85"/>
  <c r="P599" i="85"/>
  <c r="P1339" i="85"/>
  <c r="P976" i="85"/>
  <c r="P1967" i="85"/>
  <c r="P2555" i="85"/>
  <c r="P1183" i="85"/>
  <c r="P924" i="85"/>
  <c r="P151" i="85"/>
  <c r="P2865" i="85"/>
  <c r="P432" i="85"/>
  <c r="P1621" i="85"/>
  <c r="P1834" i="85"/>
  <c r="P1891" i="85"/>
  <c r="P2028" i="85"/>
  <c r="P3016" i="85"/>
  <c r="P2939" i="85"/>
  <c r="P1596" i="85"/>
  <c r="P767" i="85"/>
  <c r="P1517" i="85"/>
  <c r="P1993" i="85"/>
  <c r="P1899" i="85"/>
  <c r="P2447" i="85"/>
  <c r="P1861" i="85"/>
  <c r="P1687" i="85"/>
  <c r="P903" i="85"/>
  <c r="P925" i="85"/>
  <c r="P1234" i="85"/>
  <c r="P687" i="85"/>
  <c r="P778" i="85"/>
  <c r="P422" i="85"/>
  <c r="P575" i="85"/>
  <c r="P125" i="85"/>
  <c r="P717" i="85"/>
  <c r="P826" i="85"/>
  <c r="P885" i="85"/>
  <c r="P1959" i="85"/>
  <c r="P987" i="85"/>
  <c r="P2824" i="85"/>
  <c r="P3002" i="85"/>
  <c r="P3092" i="85"/>
  <c r="P2621" i="85"/>
  <c r="P3107" i="85"/>
  <c r="P3086" i="85"/>
  <c r="P3103" i="85"/>
  <c r="P3055" i="85"/>
  <c r="P2699" i="85"/>
  <c r="P2609" i="85"/>
  <c r="P3106" i="85"/>
  <c r="P2825" i="85"/>
  <c r="P2830" i="85"/>
  <c r="P2783" i="85"/>
  <c r="P2325" i="85"/>
  <c r="P694" i="85"/>
  <c r="P2806" i="85"/>
  <c r="P1308" i="85"/>
  <c r="P1226" i="85"/>
  <c r="P782" i="85"/>
  <c r="P1634" i="85"/>
  <c r="P2274" i="85"/>
  <c r="P1255" i="85"/>
  <c r="P2953" i="85"/>
  <c r="P991" i="85"/>
  <c r="P1378" i="85"/>
  <c r="P1586" i="85"/>
  <c r="P1017" i="85"/>
  <c r="P2535" i="85"/>
  <c r="P2486" i="85"/>
  <c r="P2922" i="85"/>
  <c r="P2798" i="85"/>
  <c r="P2421" i="85"/>
  <c r="P2041" i="85"/>
  <c r="P3100" i="85"/>
  <c r="P2848" i="85"/>
  <c r="P1547" i="85"/>
  <c r="P2696" i="85"/>
  <c r="P1534" i="85"/>
  <c r="P1735" i="85"/>
  <c r="P2807" i="85"/>
  <c r="P2154" i="85"/>
  <c r="P1655" i="85"/>
  <c r="P1076" i="85"/>
  <c r="P1582" i="85"/>
  <c r="P645" i="85"/>
  <c r="P1370" i="85"/>
  <c r="P1873" i="85"/>
  <c r="P704" i="85"/>
  <c r="P2828" i="85"/>
  <c r="P3059" i="85"/>
  <c r="P1279" i="85"/>
  <c r="P2589" i="85"/>
  <c r="P2386" i="85"/>
  <c r="P917" i="85"/>
  <c r="P2847" i="85"/>
  <c r="P943" i="85"/>
  <c r="P2025" i="85"/>
  <c r="P685" i="85"/>
  <c r="P2449" i="85"/>
  <c r="P3142" i="85"/>
  <c r="P930" i="85"/>
  <c r="P392" i="85"/>
  <c r="P2969" i="85"/>
  <c r="P3136" i="85"/>
  <c r="P2199" i="85"/>
  <c r="P1724" i="85"/>
  <c r="P2491" i="85"/>
  <c r="P1995" i="85"/>
  <c r="P2202" i="85"/>
  <c r="P2630" i="85"/>
  <c r="P3061" i="85"/>
  <c r="P1290" i="85"/>
  <c r="P1617" i="85"/>
  <c r="P2819" i="85"/>
  <c r="P3129" i="85"/>
  <c r="P2845" i="85"/>
  <c r="P3041" i="85"/>
  <c r="P2931" i="85"/>
  <c r="P2900" i="85"/>
  <c r="P3119" i="85"/>
  <c r="P241" i="85"/>
  <c r="P2788" i="85"/>
  <c r="P913" i="85"/>
  <c r="P3111" i="85"/>
  <c r="P3109" i="85"/>
  <c r="P2852" i="85"/>
  <c r="P2820" i="85"/>
  <c r="P2733" i="85"/>
  <c r="P3098" i="85"/>
  <c r="P2906" i="85"/>
  <c r="P3006" i="85"/>
  <c r="P2869" i="85"/>
  <c r="P2550" i="85"/>
  <c r="P2800" i="85"/>
  <c r="P2243" i="85"/>
  <c r="P3038" i="85"/>
  <c r="P2890" i="85"/>
  <c r="P1128" i="85"/>
  <c r="P3144" i="85"/>
  <c r="P3105" i="85"/>
  <c r="P2686" i="85"/>
  <c r="P2497" i="85"/>
  <c r="P3027" i="85"/>
  <c r="P2894" i="85"/>
  <c r="P3130" i="85"/>
  <c r="P2531" i="85"/>
  <c r="P2496" i="85"/>
  <c r="P2904" i="85"/>
  <c r="P2591" i="85"/>
  <c r="P2889" i="85"/>
  <c r="P1723" i="85"/>
  <c r="P1703" i="85"/>
  <c r="P2692" i="85"/>
  <c r="P1810" i="85"/>
  <c r="P2878" i="85"/>
  <c r="P2611" i="85"/>
  <c r="P2946" i="85"/>
  <c r="P2970" i="85"/>
  <c r="P2836" i="85"/>
  <c r="P2907" i="85"/>
  <c r="P2685" i="85"/>
  <c r="P2628" i="85"/>
  <c r="P2682" i="85"/>
  <c r="P2514" i="85"/>
  <c r="P2781" i="85"/>
  <c r="P2964" i="85"/>
  <c r="P2813" i="85"/>
  <c r="P1778" i="85"/>
  <c r="P1668" i="85"/>
  <c r="P2457" i="85"/>
  <c r="P1925" i="85"/>
  <c r="P2778" i="85"/>
  <c r="P2856" i="85"/>
  <c r="P2138" i="85"/>
  <c r="P2037" i="85"/>
  <c r="P2208" i="85"/>
  <c r="P1824" i="85"/>
  <c r="P1676" i="85"/>
  <c r="P1404" i="85"/>
  <c r="P765" i="85"/>
  <c r="P1007" i="85"/>
  <c r="P2023" i="85"/>
  <c r="P1324" i="85"/>
  <c r="P471" i="85"/>
  <c r="P1386" i="85"/>
  <c r="P3034" i="85"/>
  <c r="P3143" i="85"/>
  <c r="P2588" i="85"/>
  <c r="P2270" i="85"/>
  <c r="P1571" i="85"/>
  <c r="P623" i="85"/>
  <c r="P561" i="85"/>
  <c r="P1276" i="85"/>
  <c r="P116" i="85"/>
  <c r="P265" i="85"/>
  <c r="P12" i="85"/>
  <c r="P2342" i="85"/>
  <c r="P1857" i="85"/>
  <c r="P937" i="85"/>
  <c r="P2213" i="85"/>
  <c r="P2528" i="85"/>
  <c r="P2161" i="85"/>
  <c r="P2648" i="85"/>
  <c r="P1193" i="85"/>
  <c r="P2369" i="85"/>
  <c r="P3046" i="85"/>
  <c r="P2694" i="85"/>
  <c r="P2963" i="85"/>
  <c r="P3011" i="85"/>
  <c r="P2362" i="85"/>
  <c r="P1344" i="85"/>
  <c r="P211" i="85"/>
  <c r="P352" i="85"/>
  <c r="P1693" i="85"/>
  <c r="P674" i="85"/>
  <c r="P1875" i="85"/>
  <c r="P1328" i="85"/>
  <c r="P1428" i="85"/>
  <c r="P1174" i="85"/>
  <c r="P1267" i="85"/>
  <c r="P836" i="85"/>
  <c r="P374" i="85"/>
  <c r="P469" i="85"/>
  <c r="P631" i="85"/>
  <c r="P1124" i="85"/>
  <c r="P607" i="85"/>
  <c r="P1509" i="85"/>
  <c r="P429" i="85"/>
  <c r="P554" i="85"/>
  <c r="P339" i="85"/>
  <c r="P332" i="85"/>
  <c r="P310" i="85"/>
  <c r="P2271" i="85"/>
  <c r="P1943" i="85"/>
  <c r="P1947" i="85"/>
  <c r="P2817" i="85"/>
  <c r="P1786" i="85"/>
  <c r="P839" i="85"/>
  <c r="P536" i="85"/>
  <c r="P1180" i="85"/>
  <c r="P2236" i="85"/>
  <c r="P1086" i="85"/>
  <c r="P959" i="85"/>
  <c r="P448" i="85"/>
  <c r="P769" i="85"/>
  <c r="P1064" i="85"/>
  <c r="P1075" i="85"/>
  <c r="P1160" i="85"/>
  <c r="P2492" i="85"/>
  <c r="P1081" i="85"/>
  <c r="P742" i="85"/>
  <c r="P203" i="85"/>
  <c r="P313" i="85"/>
  <c r="P1484" i="85"/>
  <c r="P2148" i="85"/>
  <c r="P1050" i="85"/>
  <c r="P1809" i="85"/>
  <c r="P2594" i="85"/>
  <c r="P2180" i="85"/>
  <c r="P602" i="85"/>
  <c r="P625" i="85"/>
  <c r="P735" i="85"/>
  <c r="P223" i="85"/>
  <c r="P1924" i="85"/>
  <c r="P2990" i="85"/>
  <c r="P3150" i="85"/>
  <c r="P3019" i="85"/>
  <c r="P2748" i="85"/>
  <c r="P1027" i="85"/>
  <c r="P653" i="85"/>
  <c r="P1743" i="85"/>
  <c r="P2414" i="85"/>
  <c r="P1061" i="85"/>
  <c r="P1187" i="85"/>
  <c r="P585" i="85"/>
  <c r="P1762" i="85"/>
  <c r="P3170" i="85"/>
  <c r="P2169" i="85"/>
  <c r="P1815" i="85"/>
  <c r="P2127" i="85"/>
  <c r="P3056" i="85"/>
  <c r="P3171" i="85"/>
  <c r="P2705" i="85"/>
  <c r="P2804" i="85"/>
  <c r="P2465" i="85"/>
  <c r="P2983" i="85"/>
  <c r="P2993" i="85"/>
  <c r="P2660" i="85"/>
  <c r="P2568" i="85"/>
  <c r="P3022" i="85"/>
  <c r="P3147" i="85"/>
  <c r="P3066" i="85"/>
  <c r="P2822" i="85"/>
  <c r="P2901" i="85"/>
  <c r="P1753" i="85"/>
  <c r="P2302" i="85"/>
  <c r="P1780" i="85"/>
  <c r="P2368" i="85"/>
  <c r="P2712" i="85"/>
  <c r="P2637" i="85"/>
  <c r="P2293" i="85"/>
  <c r="P2181" i="85"/>
  <c r="P2341" i="85"/>
  <c r="P2997" i="85"/>
  <c r="P3101" i="85"/>
  <c r="P2680" i="85"/>
  <c r="P1745" i="85"/>
  <c r="P2474" i="85"/>
  <c r="P1538" i="85"/>
  <c r="P1698" i="85"/>
  <c r="P955" i="85"/>
  <c r="P3099" i="85"/>
  <c r="P848" i="85"/>
  <c r="P2413" i="85"/>
  <c r="P2615" i="85"/>
  <c r="P1900" i="85"/>
  <c r="P1502" i="85"/>
  <c r="P514" i="85"/>
  <c r="P1173" i="85"/>
  <c r="P1675" i="85"/>
  <c r="P559" i="85"/>
  <c r="P312" i="85"/>
  <c r="P1010" i="85"/>
  <c r="P1465" i="85"/>
  <c r="P1481" i="85"/>
  <c r="P1443" i="85"/>
  <c r="P990" i="85"/>
  <c r="P971" i="85"/>
  <c r="P1083" i="85"/>
  <c r="P2617" i="85"/>
  <c r="P2723" i="85"/>
  <c r="P785" i="85"/>
  <c r="P1757" i="85"/>
  <c r="P983" i="85"/>
  <c r="P2495" i="85"/>
  <c r="P2769" i="85"/>
  <c r="P2141" i="85"/>
  <c r="P2713" i="85"/>
  <c r="P1737" i="85"/>
  <c r="P2133" i="85"/>
  <c r="P2114" i="85"/>
  <c r="P1126" i="85"/>
  <c r="P379" i="85"/>
  <c r="P950" i="85"/>
  <c r="P2600" i="85"/>
  <c r="P3091" i="85"/>
  <c r="P3093" i="85"/>
  <c r="P3032" i="85"/>
  <c r="P2870" i="85"/>
  <c r="P2862" i="85"/>
  <c r="P2598" i="85"/>
  <c r="P2996" i="85"/>
  <c r="P2216" i="85"/>
  <c r="P2674" i="85"/>
  <c r="P2851" i="85"/>
  <c r="P2116" i="85"/>
  <c r="P1927" i="85"/>
  <c r="P1651" i="85"/>
  <c r="P731" i="85"/>
  <c r="P1058" i="85"/>
  <c r="P1772" i="85"/>
  <c r="P2201" i="85"/>
  <c r="P172" i="85"/>
  <c r="P2137" i="85"/>
  <c r="P1994" i="85"/>
  <c r="P726" i="85"/>
  <c r="P3172" i="85"/>
  <c r="P2351" i="85"/>
  <c r="P745" i="85"/>
  <c r="P1111" i="85"/>
  <c r="P2478" i="85"/>
  <c r="P291" i="85"/>
  <c r="P1862" i="85"/>
  <c r="P565" i="85"/>
  <c r="P447" i="85"/>
  <c r="P148" i="85"/>
  <c r="P475" i="85"/>
  <c r="P489" i="85"/>
  <c r="P712" i="85"/>
  <c r="P55" i="85"/>
  <c r="P768" i="85"/>
  <c r="P2005" i="85"/>
  <c r="P811" i="85"/>
  <c r="P1335" i="85"/>
  <c r="P989" i="85"/>
  <c r="P220" i="85"/>
  <c r="P1046" i="85"/>
  <c r="P720" i="85"/>
  <c r="P501" i="85"/>
  <c r="P1912" i="85"/>
  <c r="P1240" i="85"/>
  <c r="P2729" i="85"/>
  <c r="P2374" i="85"/>
  <c r="P2316" i="85"/>
  <c r="P891" i="85"/>
  <c r="P812" i="85"/>
  <c r="P526" i="85"/>
  <c r="P1331" i="85"/>
  <c r="P881" i="85"/>
  <c r="P932" i="85"/>
  <c r="P1568" i="85"/>
  <c r="P2479" i="85"/>
  <c r="P578" i="85"/>
  <c r="P1358" i="85"/>
  <c r="P776" i="85"/>
  <c r="P1417" i="85"/>
  <c r="P1439" i="85"/>
  <c r="P533" i="85"/>
  <c r="P340" i="85"/>
  <c r="P522" i="85"/>
  <c r="P1221" i="85"/>
  <c r="P1093" i="85"/>
  <c r="P2720" i="85"/>
  <c r="P3132" i="85"/>
  <c r="P3133" i="85"/>
  <c r="P2640" i="85"/>
  <c r="P2540" i="85"/>
  <c r="P2832" i="85"/>
  <c r="P1555" i="85"/>
  <c r="P1449" i="85"/>
  <c r="P1325" i="85"/>
  <c r="P1065" i="85"/>
  <c r="P183" i="85"/>
  <c r="P1855" i="85"/>
  <c r="P131" i="85"/>
  <c r="P619" i="85"/>
  <c r="P1307" i="85"/>
  <c r="P1178" i="85"/>
  <c r="P586" i="85"/>
  <c r="P2067" i="85"/>
  <c r="P2232" i="85"/>
  <c r="P1537" i="85"/>
  <c r="P723" i="85"/>
  <c r="P1034" i="85"/>
  <c r="P961" i="85"/>
  <c r="P2119" i="85"/>
  <c r="P2081" i="85"/>
  <c r="P587" i="85"/>
  <c r="P1073" i="85"/>
  <c r="P851" i="85"/>
  <c r="P1602" i="85"/>
  <c r="P1039" i="85"/>
  <c r="P1522" i="85"/>
  <c r="P966" i="85"/>
  <c r="P1926" i="85"/>
  <c r="P1298" i="85"/>
  <c r="P1094" i="85"/>
  <c r="P3007" i="85"/>
  <c r="P2789" i="85"/>
  <c r="P1506" i="85"/>
  <c r="P3047" i="85"/>
  <c r="P3023" i="85"/>
  <c r="P1349" i="85"/>
  <c r="P2186" i="85"/>
  <c r="P2464" i="85"/>
  <c r="P2124" i="85"/>
  <c r="P3018" i="85"/>
  <c r="P2821" i="85"/>
  <c r="P2775" i="85"/>
  <c r="P2827" i="85"/>
  <c r="P2826" i="85"/>
  <c r="P2937" i="85"/>
  <c r="P2915" i="85"/>
  <c r="P476" i="85"/>
  <c r="P2260" i="85"/>
  <c r="P3000" i="85"/>
  <c r="P3052" i="85"/>
  <c r="P2695" i="85"/>
  <c r="P2877" i="85"/>
  <c r="P3043" i="85"/>
  <c r="P2571" i="85"/>
  <c r="P2958" i="85"/>
  <c r="P2415" i="85"/>
  <c r="P2044" i="85"/>
  <c r="P1897" i="85"/>
  <c r="P2536" i="85"/>
  <c r="P2152" i="85"/>
  <c r="P1490" i="85"/>
  <c r="P1448" i="85"/>
  <c r="P1812" i="85"/>
  <c r="P2229" i="85"/>
  <c r="P3051" i="85"/>
  <c r="P3173" i="85"/>
  <c r="P126" i="85"/>
  <c r="P3036" i="85"/>
  <c r="P3122" i="85"/>
  <c r="P3048" i="85"/>
  <c r="P2977" i="85"/>
  <c r="P2988" i="85"/>
  <c r="P2564" i="85"/>
  <c r="P3151" i="85"/>
  <c r="P20" i="85"/>
  <c r="P48" i="85"/>
  <c r="P825" i="85"/>
  <c r="P423" i="85"/>
  <c r="P184" i="85"/>
  <c r="P2102" i="85"/>
  <c r="P405" i="85"/>
  <c r="P775" i="85"/>
  <c r="P201" i="85"/>
  <c r="P301" i="85"/>
  <c r="P230" i="85"/>
  <c r="P428" i="85"/>
  <c r="P557" i="85"/>
  <c r="P393" i="85"/>
  <c r="P398" i="85"/>
  <c r="P846" i="85"/>
  <c r="P1315" i="85"/>
  <c r="P436" i="85"/>
  <c r="P810" i="85"/>
  <c r="P460" i="85"/>
  <c r="P711" i="85"/>
  <c r="P564" i="85"/>
  <c r="P905" i="85"/>
  <c r="P1310" i="85"/>
  <c r="P2174" i="85"/>
  <c r="P2100" i="85"/>
  <c r="P221" i="85"/>
  <c r="P268" i="85"/>
  <c r="P395" i="85"/>
  <c r="P656" i="85"/>
  <c r="P97" i="85"/>
  <c r="P613" i="85"/>
  <c r="P683" i="85"/>
  <c r="P837" i="85"/>
  <c r="P282" i="85"/>
  <c r="P325" i="85"/>
  <c r="P13" i="85"/>
  <c r="P1274" i="85"/>
  <c r="P328" i="85"/>
  <c r="P289" i="85"/>
  <c r="P1695" i="85"/>
  <c r="P916" i="85"/>
  <c r="P948" i="85"/>
  <c r="P467" i="85"/>
  <c r="P145" i="85"/>
  <c r="P1577" i="85"/>
  <c r="P1892" i="85"/>
  <c r="P1559" i="85"/>
  <c r="P676" i="85"/>
  <c r="P1225" i="85"/>
  <c r="P643" i="85"/>
  <c r="P515" i="85"/>
  <c r="P777" i="85"/>
  <c r="P1871" i="85"/>
  <c r="P1744" i="85"/>
  <c r="P3089" i="85"/>
  <c r="P3081" i="85"/>
  <c r="P2512" i="85"/>
  <c r="P3014" i="85"/>
  <c r="P3141" i="85"/>
  <c r="P2929" i="85"/>
  <c r="P3068" i="85"/>
  <c r="P2424" i="85"/>
  <c r="P2167" i="85"/>
  <c r="P2711" i="85"/>
  <c r="P2954" i="85"/>
  <c r="P2585" i="85"/>
  <c r="P2755" i="85"/>
  <c r="P2893" i="85"/>
  <c r="P1888" i="85"/>
  <c r="P1792" i="85"/>
  <c r="P2346" i="85"/>
  <c r="P2887" i="85"/>
  <c r="P2501" i="85"/>
  <c r="P910" i="85"/>
  <c r="P582" i="85"/>
  <c r="P1407" i="85"/>
  <c r="P1541" i="85"/>
  <c r="P1853" i="85"/>
  <c r="P1119" i="85"/>
  <c r="P1043" i="85"/>
  <c r="P796" i="85"/>
  <c r="P2435" i="85"/>
  <c r="P1526" i="85"/>
  <c r="P1504" i="85"/>
  <c r="P1894" i="85"/>
  <c r="P1507" i="85"/>
  <c r="P1640" i="85"/>
  <c r="P2544" i="85"/>
  <c r="P1130" i="85"/>
  <c r="P88" i="85"/>
  <c r="P1721" i="85"/>
  <c r="P1028" i="85"/>
  <c r="P1229" i="85"/>
  <c r="P747" i="85"/>
  <c r="P620" i="85"/>
  <c r="P874" i="85"/>
  <c r="P1573" i="85"/>
  <c r="P1958" i="85"/>
  <c r="P1077" i="85"/>
  <c r="P591" i="85"/>
  <c r="P770" i="85"/>
  <c r="P2427" i="85"/>
  <c r="P1241" i="85"/>
  <c r="P2719" i="85"/>
  <c r="P2134" i="85"/>
  <c r="P1599" i="85"/>
  <c r="P831" i="85"/>
  <c r="P2612" i="85"/>
  <c r="P2110" i="85"/>
  <c r="P3174" i="85"/>
  <c r="P2455" i="85"/>
  <c r="P2525" i="85"/>
  <c r="P3042" i="85"/>
  <c r="P3080" i="85"/>
  <c r="P1557" i="85"/>
  <c r="P2231" i="85"/>
  <c r="P1708" i="85"/>
  <c r="P1770" i="85"/>
  <c r="P1639" i="85"/>
  <c r="P2452" i="85"/>
  <c r="P1686" i="85"/>
  <c r="P1969" i="85"/>
  <c r="P2198" i="85"/>
  <c r="P1636" i="85"/>
  <c r="P2559" i="85"/>
  <c r="P928" i="85"/>
  <c r="P1734" i="85"/>
  <c r="P2884" i="85"/>
  <c r="P1278" i="85"/>
  <c r="P1414" i="85"/>
  <c r="P1895" i="85"/>
  <c r="P2047" i="85"/>
  <c r="P1342" i="85"/>
  <c r="P2896" i="85"/>
  <c r="P2075" i="85"/>
  <c r="P2700" i="85"/>
  <c r="P2601" i="85"/>
  <c r="P2263" i="85"/>
  <c r="P2510" i="85"/>
  <c r="P2989" i="85"/>
  <c r="P1256" i="85"/>
  <c r="P1366" i="85"/>
  <c r="P1839" i="85"/>
  <c r="P2675" i="85"/>
  <c r="P1560" i="85"/>
  <c r="P2053" i="85"/>
  <c r="P2774" i="85"/>
  <c r="P2319" i="85"/>
  <c r="P1908" i="85"/>
  <c r="P2323" i="85"/>
  <c r="P1113" i="85"/>
  <c r="P606" i="85"/>
  <c r="P865" i="85"/>
  <c r="P1893" i="85"/>
  <c r="P513" i="85"/>
  <c r="P842" i="85"/>
  <c r="P1607" i="85"/>
  <c r="P1843" i="85"/>
  <c r="P2874" i="85"/>
  <c r="P1011" i="85"/>
  <c r="P2646" i="85"/>
  <c r="P1688" i="85"/>
  <c r="P2976" i="85"/>
  <c r="P1833" i="85"/>
  <c r="P1593" i="85"/>
  <c r="P1521" i="85"/>
  <c r="P2629" i="85"/>
  <c r="P1733" i="85"/>
  <c r="P786" i="85"/>
  <c r="P2327" i="85"/>
  <c r="P2697" i="85"/>
  <c r="P2420" i="85"/>
  <c r="P2378" i="85"/>
  <c r="P1642" i="85"/>
  <c r="P2052" i="85"/>
  <c r="P2103" i="85"/>
  <c r="P2358" i="85"/>
  <c r="P1450" i="85"/>
  <c r="P1399" i="85"/>
  <c r="P671" i="85"/>
  <c r="P2101" i="85"/>
  <c r="P1935" i="85"/>
  <c r="P1230" i="85"/>
  <c r="P964" i="85"/>
  <c r="P2009" i="85"/>
  <c r="P3175" i="85"/>
  <c r="P2875" i="85"/>
  <c r="P2027" i="85"/>
  <c r="P3097" i="85"/>
  <c r="P2882" i="85"/>
  <c r="P2968" i="85"/>
  <c r="P1657" i="85"/>
  <c r="P2665" i="85"/>
  <c r="P2002" i="85"/>
  <c r="P2434" i="85"/>
  <c r="P1360" i="85"/>
  <c r="P3128" i="85"/>
  <c r="P2752" i="85"/>
  <c r="P2840" i="85"/>
  <c r="P2734" i="85"/>
  <c r="P1868" i="85"/>
  <c r="P1452" i="85"/>
  <c r="P488" i="85"/>
  <c r="P604" i="85"/>
  <c r="P1286" i="85"/>
  <c r="P1574" i="85"/>
  <c r="P1781" i="85"/>
  <c r="P1334" i="85"/>
  <c r="P2610" i="85"/>
  <c r="P1797" i="85"/>
  <c r="P2866" i="85"/>
  <c r="P2948" i="85"/>
  <c r="P2126" i="85"/>
  <c r="P1511" i="85"/>
  <c r="P867" i="85"/>
  <c r="P1864" i="85"/>
  <c r="P1710" i="85"/>
  <c r="P1769" i="85"/>
  <c r="P1479" i="85"/>
  <c r="P1950" i="85"/>
  <c r="P1444" i="85"/>
  <c r="P870" i="85"/>
  <c r="P1500" i="85"/>
  <c r="P1063" i="85"/>
  <c r="P3008" i="85"/>
  <c r="P2485" i="85"/>
  <c r="P350" i="85"/>
  <c r="P1072" i="85"/>
  <c r="P2224" i="85"/>
  <c r="P2258" i="85"/>
  <c r="P2406" i="85"/>
  <c r="P1569" i="85"/>
  <c r="P2244" i="85"/>
  <c r="P2782" i="85"/>
  <c r="P1493" i="85"/>
  <c r="P1978" i="85"/>
  <c r="P2687" i="85"/>
  <c r="P1653" i="85"/>
  <c r="P2008" i="85"/>
  <c r="P1716" i="85"/>
  <c r="P1775" i="85"/>
  <c r="P2094" i="85"/>
  <c r="P1831" i="85"/>
  <c r="P1078" i="85"/>
  <c r="P1341" i="85"/>
  <c r="P2151" i="85"/>
  <c r="P1132" i="85"/>
  <c r="P1930" i="85"/>
  <c r="P1258" i="85"/>
  <c r="P1168" i="85"/>
  <c r="P2298" i="85"/>
  <c r="P956" i="85"/>
  <c r="P391" i="85"/>
  <c r="P1137" i="85"/>
  <c r="P1375" i="85"/>
  <c r="P875" i="85"/>
  <c r="P695" i="85"/>
  <c r="P2693" i="85"/>
  <c r="P1982" i="85"/>
  <c r="P3028" i="85"/>
  <c r="P3104" i="85"/>
  <c r="P2867" i="85"/>
  <c r="P2093" i="85"/>
  <c r="P2785" i="85"/>
  <c r="P2315" i="85"/>
  <c r="P1984" i="85"/>
  <c r="P2534" i="85"/>
  <c r="P2655" i="85"/>
  <c r="P2992" i="85"/>
  <c r="P3116" i="85"/>
  <c r="P3176" i="85"/>
  <c r="P2632" i="85"/>
  <c r="P2448" i="85"/>
  <c r="P1645" i="85"/>
  <c r="P2429" i="85"/>
  <c r="P2345" i="85"/>
  <c r="P1761" i="85"/>
  <c r="P896" i="85"/>
  <c r="P1022" i="85"/>
  <c r="P1164" i="85"/>
  <c r="P1395" i="85"/>
  <c r="P1369" i="85"/>
  <c r="P1903" i="85"/>
  <c r="P1825" i="85"/>
  <c r="P2340" i="85"/>
  <c r="P1654" i="85"/>
  <c r="P3020" i="85"/>
  <c r="P1763" i="85"/>
  <c r="P1953" i="85"/>
  <c r="P2704" i="85"/>
  <c r="P2672" i="85"/>
  <c r="P2277" i="85"/>
  <c r="P2290" i="85"/>
  <c r="P2192" i="85"/>
  <c r="P2659" i="85"/>
  <c r="P2272" i="85"/>
  <c r="P2770" i="85"/>
  <c r="P709" i="85"/>
  <c r="P2446" i="85"/>
  <c r="P2952" i="85"/>
  <c r="P1549" i="85"/>
  <c r="P2892" i="85"/>
  <c r="P1567" i="85"/>
  <c r="P3012" i="85"/>
  <c r="P2123" i="85"/>
  <c r="P497" i="85"/>
  <c r="P1284" i="85"/>
  <c r="P722" i="85"/>
  <c r="P1309" i="85"/>
  <c r="P1351" i="85"/>
  <c r="P1203" i="85"/>
  <c r="P1614" i="85"/>
  <c r="P2533" i="85"/>
  <c r="P542" i="85"/>
  <c r="P2283" i="85"/>
  <c r="P605" i="85"/>
  <c r="P1153" i="85"/>
  <c r="P1783" i="85"/>
  <c r="P1858" i="85"/>
  <c r="P2526" i="85"/>
  <c r="P2313" i="85"/>
  <c r="P2470" i="85"/>
  <c r="P2779" i="85"/>
  <c r="P1913" i="85"/>
  <c r="P2509" i="85"/>
  <c r="P1528" i="85"/>
  <c r="P2467" i="85"/>
  <c r="P1201" i="85"/>
  <c r="P2024" i="85"/>
  <c r="P2483" i="85"/>
  <c r="P2090" i="85"/>
  <c r="P2881" i="85"/>
  <c r="P2153" i="85"/>
  <c r="P2251" i="85"/>
  <c r="P2625" i="85"/>
  <c r="P2352" i="85"/>
  <c r="P2436" i="85"/>
  <c r="P2423" i="85"/>
  <c r="P2567" i="85"/>
  <c r="P2473" i="85"/>
  <c r="P2130" i="85"/>
  <c r="P792" i="85"/>
  <c r="P2013" i="85"/>
  <c r="P1887" i="85"/>
  <c r="P1305" i="85"/>
  <c r="P2221" i="85"/>
  <c r="P537" i="85"/>
  <c r="P754" i="85"/>
  <c r="P773" i="85"/>
  <c r="P1989" i="85"/>
  <c r="P2032" i="85"/>
  <c r="P567" i="85"/>
  <c r="P1125" i="85"/>
  <c r="P1669" i="85"/>
  <c r="P657" i="85"/>
  <c r="P1159" i="85"/>
  <c r="P1006" i="85"/>
  <c r="P1630" i="85"/>
  <c r="P2197" i="85"/>
  <c r="P2015" i="85"/>
  <c r="P750" i="85"/>
  <c r="P1629" i="85"/>
  <c r="P1013" i="85"/>
  <c r="P3149" i="85"/>
  <c r="P3083" i="85"/>
  <c r="P3137" i="85"/>
  <c r="P3010" i="85"/>
  <c r="P2417" i="85"/>
  <c r="P2524" i="85"/>
  <c r="P2991" i="85"/>
  <c r="P3072" i="85"/>
  <c r="P3094" i="85"/>
  <c r="P2744" i="85"/>
  <c r="P2673" i="85"/>
  <c r="P1907" i="85"/>
  <c r="P3005" i="85"/>
  <c r="P3124" i="85"/>
  <c r="P3113" i="85"/>
  <c r="P3125" i="85"/>
  <c r="P3152" i="85"/>
  <c r="P3084" i="85"/>
  <c r="P2505" i="85"/>
  <c r="P2095" i="85"/>
  <c r="P2523" i="85"/>
  <c r="P2040" i="85"/>
  <c r="P1545" i="85"/>
  <c r="P570" i="85"/>
  <c r="P1391" i="85"/>
  <c r="P2581" i="85"/>
  <c r="P2652" i="85"/>
  <c r="P1616" i="85"/>
  <c r="P1684" i="85"/>
  <c r="P919" i="85"/>
  <c r="P1480" i="85"/>
  <c r="P2106" i="85"/>
  <c r="P2599" i="85"/>
  <c r="P2620" i="85"/>
  <c r="P1424" i="85"/>
  <c r="P346" i="85"/>
  <c r="P255" i="85"/>
  <c r="P472" i="85"/>
  <c r="P804" i="85"/>
  <c r="P895" i="85"/>
  <c r="P1496" i="85"/>
  <c r="P1195" i="85"/>
  <c r="P1869" i="85"/>
  <c r="P540" i="85"/>
  <c r="P1535" i="85"/>
  <c r="P2219" i="85"/>
  <c r="P1121" i="85"/>
  <c r="P1623" i="85"/>
  <c r="P496" i="85"/>
  <c r="P1359" i="85"/>
  <c r="P2038" i="85"/>
  <c r="P908" i="85"/>
  <c r="P503" i="85"/>
  <c r="P636" i="85"/>
  <c r="P2088" i="85"/>
  <c r="P1566" i="85"/>
  <c r="P1638" i="85"/>
  <c r="P2967" i="85"/>
  <c r="P2183" i="85"/>
  <c r="P2049" i="85"/>
  <c r="P1520" i="85"/>
  <c r="P999" i="85"/>
  <c r="P1606" i="85"/>
  <c r="P2164" i="85"/>
  <c r="P2562" i="85"/>
  <c r="P2580" i="85"/>
  <c r="P2367" i="85"/>
  <c r="P2411" i="85"/>
  <c r="P1594" i="85"/>
  <c r="P508" i="85"/>
  <c r="P566" i="85"/>
  <c r="P1531" i="85"/>
  <c r="P1314" i="85"/>
  <c r="P1237" i="85"/>
  <c r="P699" i="85"/>
  <c r="P2125" i="85"/>
  <c r="P2380" i="85"/>
  <c r="P2499" i="85"/>
  <c r="P2688" i="85"/>
  <c r="P1790" i="85"/>
  <c r="P2590" i="85"/>
  <c r="P1940" i="85"/>
  <c r="P2714" i="85"/>
  <c r="P1253" i="85"/>
  <c r="P2943" i="85"/>
  <c r="P1611" i="85"/>
  <c r="P1532" i="85"/>
  <c r="P2579" i="85"/>
  <c r="P2299" i="85"/>
  <c r="P1397" i="85"/>
  <c r="P2926" i="85"/>
  <c r="P2121" i="85"/>
  <c r="P1774" i="85"/>
  <c r="P2200" i="85"/>
  <c r="P1933" i="85"/>
  <c r="P2829" i="85"/>
  <c r="P1472" i="85"/>
  <c r="P2306" i="85"/>
  <c r="P2393" i="85"/>
  <c r="P2280" i="85"/>
  <c r="P2112" i="85"/>
  <c r="P2209" i="85"/>
  <c r="P2701" i="85"/>
  <c r="P1752" i="85"/>
  <c r="P2376" i="85"/>
  <c r="P2160" i="85"/>
  <c r="P1224" i="85"/>
  <c r="P838" i="85"/>
  <c r="P1741" i="85"/>
  <c r="P2155" i="85"/>
  <c r="P2205" i="85"/>
  <c r="P2853" i="85"/>
  <c r="P986" i="85"/>
  <c r="P1271" i="85"/>
  <c r="P2506" i="85"/>
  <c r="P1232" i="85"/>
  <c r="P1881" i="85"/>
  <c r="P2291" i="85"/>
  <c r="P2661" i="85"/>
  <c r="P1550" i="85"/>
  <c r="P1911" i="85"/>
  <c r="P1802" i="85"/>
  <c r="P1469" i="85"/>
  <c r="P2132" i="85"/>
  <c r="P1280" i="85"/>
  <c r="P1796" i="85"/>
  <c r="P552" i="85"/>
  <c r="P2818" i="85"/>
  <c r="P2596" i="85"/>
  <c r="P1957" i="85"/>
  <c r="P1523" i="85"/>
  <c r="P396" i="85"/>
  <c r="P463" i="85"/>
  <c r="P320" i="85"/>
  <c r="P450" i="85"/>
  <c r="P763" i="85"/>
  <c r="P1143" i="85"/>
  <c r="P2593" i="85"/>
  <c r="P729" i="85"/>
  <c r="P2189" i="85"/>
  <c r="P2022" i="85"/>
  <c r="P1340" i="85"/>
  <c r="P900" i="85"/>
  <c r="P2296" i="85"/>
  <c r="P2516" i="85"/>
  <c r="P2442" i="85"/>
  <c r="P2439" i="85"/>
  <c r="P2578" i="85"/>
  <c r="P2537" i="85"/>
  <c r="P2097" i="85"/>
  <c r="P2460" i="85"/>
  <c r="P1114" i="85"/>
  <c r="P2225" i="85"/>
  <c r="P2642" i="85"/>
  <c r="P1588" i="85"/>
  <c r="P1929" i="85"/>
  <c r="P1854" i="85"/>
  <c r="P2144" i="85"/>
  <c r="P1037" i="85"/>
  <c r="P2355" i="85"/>
  <c r="P433" i="85"/>
  <c r="P294" i="85"/>
  <c r="P1117" i="85"/>
  <c r="P845" i="85"/>
  <c r="P1103" i="85"/>
  <c r="P911" i="85"/>
  <c r="P584" i="85"/>
  <c r="P1138" i="85"/>
  <c r="P1789" i="85"/>
  <c r="P1218" i="85"/>
  <c r="P558" i="85"/>
  <c r="P832" i="85"/>
  <c r="P766" i="85"/>
  <c r="P774" i="85"/>
  <c r="P1540" i="85"/>
  <c r="P1618" i="85"/>
  <c r="P892" i="85"/>
  <c r="P791" i="85"/>
  <c r="P519" i="85"/>
  <c r="P1134" i="85"/>
  <c r="P816" i="85"/>
  <c r="P1337" i="85"/>
  <c r="P730" i="85"/>
  <c r="P2500" i="85"/>
  <c r="P2056" i="85"/>
  <c r="P2309" i="85"/>
  <c r="P1468" i="85"/>
  <c r="P1423" i="85"/>
  <c r="P1020" i="85"/>
  <c r="P862" i="85"/>
  <c r="P1348" i="85"/>
  <c r="P1671" i="85"/>
  <c r="P1949" i="85"/>
  <c r="P1731" i="85"/>
  <c r="P2222" i="85"/>
  <c r="P1095" i="85"/>
  <c r="P1556" i="85"/>
  <c r="P1216" i="85"/>
  <c r="P1091" i="85"/>
  <c r="P133" i="85"/>
  <c r="P276" i="85"/>
  <c r="P403" i="85"/>
  <c r="P275" i="85"/>
  <c r="P177" i="85"/>
  <c r="P1212" i="85"/>
  <c r="P1057" i="85"/>
  <c r="P1755" i="85"/>
  <c r="P1123" i="85"/>
  <c r="P1546" i="85"/>
  <c r="P637" i="85"/>
  <c r="P1015" i="85"/>
  <c r="P234" i="85"/>
  <c r="P1601" i="85"/>
  <c r="P957" i="85"/>
  <c r="P1976" i="85"/>
  <c r="P568" i="85"/>
  <c r="P356" i="85"/>
  <c r="P163" i="85"/>
  <c r="P1880" i="85"/>
  <c r="P290" i="85"/>
  <c r="P849" i="85"/>
  <c r="P260" i="85"/>
  <c r="P581" i="85"/>
  <c r="P1921" i="85"/>
  <c r="P853" i="85"/>
  <c r="P3148" i="85"/>
  <c r="P2667" i="85"/>
  <c r="P2521" i="85"/>
  <c r="P2538" i="85"/>
  <c r="P2987" i="85"/>
  <c r="P2179" i="85"/>
  <c r="P2191" i="85"/>
  <c r="P2146" i="85"/>
  <c r="P2303" i="85"/>
  <c r="P2684" i="85"/>
  <c r="P2613" i="85"/>
  <c r="P2961" i="85"/>
  <c r="P3017" i="85"/>
  <c r="P2941" i="85"/>
  <c r="P2482" i="85"/>
  <c r="P3108" i="85"/>
  <c r="P2872" i="85"/>
  <c r="P2739" i="85"/>
  <c r="P2787" i="85"/>
  <c r="P1179" i="85"/>
  <c r="P1497" i="85"/>
  <c r="P1785" i="85"/>
  <c r="P975" i="85"/>
  <c r="P2142" i="85"/>
  <c r="P2982" i="85"/>
  <c r="P1440" i="85"/>
  <c r="P739" i="85"/>
  <c r="P2860" i="85"/>
  <c r="P1754" i="85"/>
  <c r="P1699" i="85"/>
  <c r="P2157" i="85"/>
  <c r="P2084" i="85"/>
  <c r="P1115" i="85"/>
  <c r="P2289" i="85"/>
  <c r="P2773" i="85"/>
  <c r="P2532" i="85"/>
  <c r="P1486" i="85"/>
  <c r="P2563" i="85"/>
  <c r="P1529" i="85"/>
  <c r="P1002" i="85"/>
  <c r="P931" i="85"/>
  <c r="P2880" i="85"/>
  <c r="P2947" i="85"/>
  <c r="P2031" i="85"/>
  <c r="P1283" i="85"/>
  <c r="P2891" i="85"/>
  <c r="P2418" i="85"/>
  <c r="P2831" i="85"/>
  <c r="P2897" i="85"/>
  <c r="P2644" i="85"/>
  <c r="P2297" i="85"/>
  <c r="P2003" i="85"/>
  <c r="P1445" i="85"/>
  <c r="P1885" i="85"/>
  <c r="P1722" i="85"/>
  <c r="P2419" i="85"/>
  <c r="P2193" i="85"/>
  <c r="P1613" i="85"/>
  <c r="P2030" i="85"/>
  <c r="P569" i="85"/>
  <c r="P2372" i="85"/>
  <c r="P2190" i="85"/>
  <c r="P2918" i="85"/>
  <c r="P266" i="85"/>
  <c r="P2639" i="85"/>
  <c r="P1706" i="85"/>
  <c r="P2288" i="85"/>
  <c r="P1435" i="85"/>
  <c r="P2520" i="85"/>
  <c r="P2012" i="85"/>
  <c r="P2575" i="85"/>
  <c r="P2903" i="85"/>
  <c r="P2217" i="85"/>
  <c r="P1539" i="85"/>
  <c r="P366" i="85"/>
  <c r="P279" i="85"/>
  <c r="P819" i="85"/>
  <c r="P278" i="85"/>
  <c r="P326" i="85"/>
  <c r="P236" i="85"/>
  <c r="P364" i="85"/>
  <c r="P562" i="85"/>
  <c r="P1355" i="85"/>
  <c r="P563" i="85"/>
  <c r="P1965" i="85"/>
  <c r="P2308" i="85"/>
  <c r="P1491" i="85"/>
  <c r="P1777" i="85"/>
  <c r="P1835" i="85"/>
  <c r="P906" i="85"/>
  <c r="P1416" i="85"/>
  <c r="P2995" i="85"/>
  <c r="P2292" i="85"/>
  <c r="P3067" i="85"/>
  <c r="P1169" i="85"/>
  <c r="P1379" i="85"/>
  <c r="P1090" i="85"/>
  <c r="P466" i="85"/>
  <c r="P245" i="85"/>
  <c r="P94" i="85"/>
  <c r="P673" i="85"/>
  <c r="P194" i="85"/>
  <c r="P1270" i="85"/>
  <c r="P734" i="85"/>
  <c r="P633" i="85"/>
  <c r="P2018" i="85"/>
  <c r="P2273" i="85"/>
  <c r="P1513" i="85"/>
  <c r="P491" i="85"/>
  <c r="P474" i="85"/>
  <c r="P1333" i="85"/>
  <c r="P1350" i="85"/>
  <c r="P1820" i="85"/>
  <c r="P2129" i="85"/>
  <c r="P1205" i="85"/>
  <c r="P3177" i="85"/>
  <c r="P590" i="85"/>
  <c r="P994" i="85"/>
  <c r="P216" i="85"/>
  <c r="P658" i="85"/>
  <c r="P67" i="85"/>
  <c r="P297" i="85"/>
  <c r="P287" i="85"/>
  <c r="P399" i="85"/>
  <c r="P319" i="85"/>
  <c r="P139" i="85"/>
  <c r="P518" i="85"/>
  <c r="P421" i="85"/>
  <c r="P1092" i="85"/>
  <c r="P1622" i="85"/>
  <c r="P1388" i="85"/>
  <c r="P828" i="85"/>
  <c r="P2105" i="85"/>
  <c r="P2118" i="85"/>
  <c r="P2379" i="85"/>
  <c r="P879" i="85"/>
  <c r="P1211" i="85"/>
  <c r="P1110" i="85"/>
  <c r="P1457" i="85"/>
  <c r="P1620" i="85"/>
  <c r="P1214" i="85"/>
  <c r="P1460" i="85"/>
  <c r="P1619" i="85"/>
  <c r="P1609" i="85"/>
  <c r="P1896" i="85"/>
  <c r="P953" i="85"/>
  <c r="P858" i="85"/>
  <c r="P431" i="85"/>
  <c r="P2111" i="85"/>
  <c r="P2924" i="85"/>
  <c r="P2899" i="85"/>
  <c r="P2603" i="85"/>
  <c r="P1219" i="85"/>
  <c r="P952" i="85"/>
  <c r="P2086" i="85"/>
  <c r="P2671" i="85"/>
  <c r="P1877" i="85"/>
  <c r="P686" i="85"/>
  <c r="P502" i="85"/>
  <c r="P2493" i="85"/>
  <c r="P1800" i="85"/>
  <c r="P1338" i="85"/>
  <c r="P1361" i="85"/>
  <c r="P721" i="85"/>
  <c r="P1389" i="85"/>
  <c r="P535" i="85"/>
  <c r="P304" i="85"/>
  <c r="P790" i="85"/>
  <c r="P2515" i="85"/>
  <c r="P2914" i="85"/>
  <c r="P2541" i="85"/>
  <c r="P1972" i="85"/>
  <c r="P1997" i="85"/>
  <c r="P1222" i="85"/>
  <c r="P2034" i="85"/>
  <c r="P1729" i="85"/>
  <c r="P1923" i="85"/>
  <c r="P1021" i="85"/>
  <c r="P1749" i="85"/>
  <c r="P1793" i="85"/>
  <c r="P2062" i="85"/>
  <c r="P1281" i="85"/>
  <c r="P1182" i="85"/>
  <c r="P2566" i="85"/>
  <c r="P1987" i="85"/>
  <c r="P1941" i="85"/>
  <c r="P2426" i="85"/>
  <c r="P2214" i="85"/>
  <c r="P1664" i="85"/>
  <c r="P1304" i="85"/>
  <c r="P1477" i="85"/>
  <c r="P1842" i="85"/>
  <c r="P1198" i="85"/>
  <c r="P1313" i="85"/>
  <c r="P358" i="85"/>
  <c r="P727" i="85"/>
  <c r="P1437" i="85"/>
  <c r="P144" i="85"/>
  <c r="P1070" i="85"/>
  <c r="P609" i="85"/>
  <c r="P995" i="85"/>
  <c r="P741" i="85"/>
  <c r="P57" i="85"/>
  <c r="P437" i="85"/>
  <c r="P303" i="85"/>
  <c r="P1108" i="85"/>
  <c r="P2698" i="85"/>
  <c r="P2407" i="85"/>
  <c r="P2627" i="85"/>
  <c r="P2402" i="85"/>
  <c r="P784" i="85"/>
  <c r="P592" i="85"/>
  <c r="P1736" i="85"/>
  <c r="P1235" i="85"/>
  <c r="P1266" i="85"/>
  <c r="P1188" i="85"/>
  <c r="P316" i="85"/>
  <c r="P1165" i="85"/>
  <c r="P820" i="85"/>
  <c r="P3178" i="85"/>
  <c r="P675" i="85"/>
  <c r="P1354" i="85"/>
  <c r="P1968" i="85"/>
  <c r="P1961" i="85"/>
  <c r="P1189" i="85"/>
  <c r="P1759" i="85"/>
  <c r="P1660" i="85"/>
  <c r="P1901" i="85"/>
  <c r="P538" i="85"/>
  <c r="P2461" i="85"/>
  <c r="P394" i="85"/>
  <c r="P443" i="85"/>
  <c r="P1919" i="85"/>
  <c r="P2741" i="85"/>
  <c r="F182" i="101"/>
  <c r="F183" i="101" s="1"/>
  <c r="AJT8" i="51" s="1"/>
  <c r="F152" i="102"/>
  <c r="R44" i="107" l="1"/>
  <c r="IA8" i="51"/>
  <c r="F61" i="107"/>
  <c r="F73" i="77"/>
  <c r="F62" i="107"/>
  <c r="F74" i="77"/>
  <c r="N14" i="83" a="1"/>
  <c r="N14" i="83" s="1"/>
  <c r="FX8" i="51" s="1"/>
  <c r="D17" i="100"/>
  <c r="J18" i="16" a="1"/>
  <c r="J18" i="16" s="1"/>
  <c r="AD8" i="51" s="1"/>
  <c r="K21" i="16"/>
  <c r="AI8" i="51" s="1"/>
  <c r="H184" i="102"/>
  <c r="H185" i="102"/>
  <c r="H186" i="102"/>
  <c r="H187" i="102"/>
  <c r="H188" i="102"/>
  <c r="H183" i="102"/>
  <c r="H172" i="102"/>
  <c r="H173" i="102"/>
  <c r="H174" i="102"/>
  <c r="H175" i="102"/>
  <c r="H176" i="102"/>
  <c r="H171" i="102"/>
  <c r="D210" i="102"/>
  <c r="G223" i="102" s="1"/>
  <c r="D206" i="102"/>
  <c r="G219" i="102" s="1"/>
  <c r="D207" i="102"/>
  <c r="G220" i="102" s="1"/>
  <c r="D208" i="102"/>
  <c r="G221" i="102" s="1"/>
  <c r="D209" i="102"/>
  <c r="G222" i="102" s="1"/>
  <c r="D205" i="102"/>
  <c r="G218" i="102" s="1"/>
  <c r="D196" i="102"/>
  <c r="D219" i="102" s="1"/>
  <c r="D197" i="102"/>
  <c r="D220" i="102" s="1"/>
  <c r="D198" i="102"/>
  <c r="D221" i="102" s="1"/>
  <c r="D199" i="102"/>
  <c r="D222" i="102" s="1"/>
  <c r="D200" i="102"/>
  <c r="D223" i="102" s="1"/>
  <c r="D195" i="102"/>
  <c r="D218" i="102" s="1"/>
  <c r="G189" i="102"/>
  <c r="H189" i="102" s="1"/>
  <c r="G177" i="102"/>
  <c r="H203" i="101"/>
  <c r="H204" i="101"/>
  <c r="H205" i="101"/>
  <c r="H206" i="101"/>
  <c r="H201" i="101"/>
  <c r="G207" i="101"/>
  <c r="H215" i="101"/>
  <c r="H216" i="101"/>
  <c r="H217" i="101"/>
  <c r="H218" i="101"/>
  <c r="H213" i="101"/>
  <c r="K63" i="77" l="1"/>
  <c r="K51" i="107"/>
  <c r="E85" i="100"/>
  <c r="E86" i="100"/>
  <c r="I157" i="100"/>
  <c r="D20" i="100"/>
  <c r="D19" i="100"/>
  <c r="H177" i="102"/>
  <c r="D237" i="101"/>
  <c r="D238" i="101"/>
  <c r="D239" i="101"/>
  <c r="D240" i="101"/>
  <c r="D241" i="101"/>
  <c r="D236" i="101"/>
  <c r="G251" i="101"/>
  <c r="G252" i="101"/>
  <c r="G253" i="101"/>
  <c r="G254" i="101"/>
  <c r="G255" i="101"/>
  <c r="G250" i="101"/>
  <c r="G219" i="101"/>
  <c r="H214" i="101" l="1"/>
  <c r="H219" i="101"/>
  <c r="K89" i="77" l="1"/>
  <c r="E112" i="77" l="1"/>
  <c r="E119" i="77"/>
  <c r="E116" i="77"/>
  <c r="E115" i="77"/>
  <c r="F33" i="8"/>
  <c r="F31" i="8"/>
  <c r="F122" i="80"/>
  <c r="F119" i="80"/>
  <c r="F117" i="80"/>
  <c r="F116" i="80"/>
  <c r="F113" i="80"/>
  <c r="F132" i="80"/>
  <c r="F131" i="80"/>
  <c r="F148" i="80"/>
  <c r="F145" i="80"/>
  <c r="F143" i="80"/>
  <c r="F142" i="80"/>
  <c r="F139" i="80"/>
  <c r="F118" i="80" l="1"/>
  <c r="F144" i="80"/>
  <c r="F55" i="5" l="1"/>
  <c r="ADF8" i="51" s="1"/>
  <c r="I1" i="100"/>
  <c r="G3" i="109" l="1"/>
  <c r="G3" i="101"/>
  <c r="E195" i="102" l="1"/>
  <c r="F195" i="102"/>
  <c r="F196" i="102"/>
  <c r="E197" i="102"/>
  <c r="F197" i="102"/>
  <c r="F198" i="102"/>
  <c r="E199" i="102"/>
  <c r="F199" i="102"/>
  <c r="B137" i="77"/>
  <c r="I1" i="115"/>
  <c r="H3" i="115"/>
  <c r="H2" i="115"/>
  <c r="I1" i="114"/>
  <c r="H3" i="114"/>
  <c r="H2" i="114"/>
  <c r="F200" i="113"/>
  <c r="I1" i="113"/>
  <c r="H3" i="113"/>
  <c r="H2" i="113"/>
  <c r="J291" i="115" l="1"/>
  <c r="BAO8" i="51" s="1"/>
  <c r="G195" i="102"/>
  <c r="G199" i="102"/>
  <c r="G197" i="102"/>
  <c r="K197" i="113"/>
  <c r="K198" i="113"/>
  <c r="AIB8" i="51" l="1"/>
  <c r="F22" i="102"/>
  <c r="F20" i="101"/>
  <c r="F9" i="109" l="1"/>
  <c r="F10" i="109" s="1"/>
  <c r="AIU8" i="51" s="1"/>
  <c r="F9" i="108" l="1"/>
  <c r="F12" i="108" s="1"/>
  <c r="AIK8" i="51" s="1"/>
  <c r="E203" i="108"/>
  <c r="G3" i="108"/>
  <c r="H2" i="108"/>
  <c r="F175" i="108"/>
  <c r="F180" i="108" l="1"/>
  <c r="B3" i="107"/>
  <c r="J215" i="107"/>
  <c r="J216" i="107"/>
  <c r="J217" i="107"/>
  <c r="J218" i="107"/>
  <c r="J219" i="107"/>
  <c r="J220" i="107"/>
  <c r="J221" i="107"/>
  <c r="J222" i="107"/>
  <c r="J223" i="107"/>
  <c r="J224" i="107"/>
  <c r="J225" i="107"/>
  <c r="J226" i="107"/>
  <c r="H216" i="107"/>
  <c r="H217" i="107"/>
  <c r="H218" i="107"/>
  <c r="H219" i="107"/>
  <c r="H220" i="107"/>
  <c r="H221" i="107"/>
  <c r="H222" i="107"/>
  <c r="H223" i="107"/>
  <c r="H224" i="107"/>
  <c r="H225" i="107"/>
  <c r="H226" i="107"/>
  <c r="H214" i="107"/>
  <c r="H215" i="107"/>
  <c r="J150" i="77"/>
  <c r="J151" i="77"/>
  <c r="J152" i="77"/>
  <c r="J153" i="77"/>
  <c r="J154" i="77"/>
  <c r="J155" i="77"/>
  <c r="J156" i="77"/>
  <c r="J157" i="77"/>
  <c r="J158" i="77"/>
  <c r="J159" i="77"/>
  <c r="J160" i="77"/>
  <c r="J161" i="77"/>
  <c r="J162" i="77"/>
  <c r="J163" i="77"/>
  <c r="J164" i="77"/>
  <c r="J165" i="77"/>
  <c r="J166" i="77"/>
  <c r="J167" i="77"/>
  <c r="J168" i="77"/>
  <c r="H166" i="77"/>
  <c r="H167" i="77"/>
  <c r="H168" i="77"/>
  <c r="D161" i="77"/>
  <c r="D162" i="77"/>
  <c r="D163" i="77"/>
  <c r="D164" i="77"/>
  <c r="D165" i="77"/>
  <c r="D166" i="77"/>
  <c r="D167" i="77"/>
  <c r="D168" i="77"/>
  <c r="D225" i="107"/>
  <c r="D226" i="107"/>
  <c r="B226" i="107"/>
  <c r="D224" i="107"/>
  <c r="B224" i="107"/>
  <c r="D223" i="107"/>
  <c r="B223" i="107"/>
  <c r="D222" i="107"/>
  <c r="B222" i="107"/>
  <c r="D221" i="107"/>
  <c r="B221" i="107"/>
  <c r="D220" i="107"/>
  <c r="B220" i="107"/>
  <c r="D219" i="107"/>
  <c r="B219" i="107"/>
  <c r="D218" i="107"/>
  <c r="B218" i="107"/>
  <c r="D217" i="107"/>
  <c r="B217" i="107"/>
  <c r="D216" i="107"/>
  <c r="B216" i="107"/>
  <c r="D215" i="107"/>
  <c r="B215" i="107"/>
  <c r="J214" i="107"/>
  <c r="D214" i="107"/>
  <c r="B214" i="107"/>
  <c r="J213" i="107"/>
  <c r="H213" i="107"/>
  <c r="D213" i="107"/>
  <c r="B213" i="107"/>
  <c r="J212" i="107"/>
  <c r="H212" i="107"/>
  <c r="D212" i="107"/>
  <c r="B212" i="107"/>
  <c r="J211" i="107"/>
  <c r="H211" i="107"/>
  <c r="D211" i="107"/>
  <c r="B211" i="107"/>
  <c r="J210" i="107"/>
  <c r="H210" i="107"/>
  <c r="D210" i="107"/>
  <c r="B210" i="107"/>
  <c r="J209" i="107"/>
  <c r="H209" i="107"/>
  <c r="D209" i="107"/>
  <c r="B209" i="107"/>
  <c r="J208" i="107"/>
  <c r="H208" i="107"/>
  <c r="D208" i="107"/>
  <c r="B208" i="107"/>
  <c r="J207" i="107"/>
  <c r="H207" i="107"/>
  <c r="D207" i="107"/>
  <c r="B207" i="107"/>
  <c r="J194" i="107"/>
  <c r="K192" i="107"/>
  <c r="J192" i="107"/>
  <c r="K191" i="107"/>
  <c r="J191" i="107"/>
  <c r="K190" i="107"/>
  <c r="J190" i="107"/>
  <c r="E177" i="107"/>
  <c r="F177" i="107" s="1"/>
  <c r="E173" i="107"/>
  <c r="F173" i="107" s="1"/>
  <c r="L170" i="107"/>
  <c r="L169" i="107"/>
  <c r="L168" i="107"/>
  <c r="K99" i="107"/>
  <c r="K98" i="107"/>
  <c r="K97" i="107"/>
  <c r="K96" i="107"/>
  <c r="K95" i="107"/>
  <c r="K94" i="107"/>
  <c r="F87" i="107"/>
  <c r="D87" i="107"/>
  <c r="K86" i="107"/>
  <c r="F86" i="107"/>
  <c r="D86" i="107"/>
  <c r="K85" i="107"/>
  <c r="F85" i="107"/>
  <c r="D85" i="107"/>
  <c r="K84" i="107"/>
  <c r="F84" i="107"/>
  <c r="D84" i="107"/>
  <c r="K83" i="107"/>
  <c r="F83" i="107"/>
  <c r="D83" i="107"/>
  <c r="K82" i="107"/>
  <c r="F82" i="107"/>
  <c r="D82" i="107"/>
  <c r="K81" i="107"/>
  <c r="F81" i="107"/>
  <c r="D81" i="107"/>
  <c r="K80" i="107"/>
  <c r="F80" i="107"/>
  <c r="D80" i="107"/>
  <c r="K79" i="107"/>
  <c r="F79" i="107"/>
  <c r="D79" i="107"/>
  <c r="K78" i="107"/>
  <c r="K77" i="107"/>
  <c r="D35" i="107"/>
  <c r="E35" i="107" s="1"/>
  <c r="D33" i="107"/>
  <c r="E33" i="107" s="1"/>
  <c r="D32" i="107"/>
  <c r="E32" i="107" s="1"/>
  <c r="B32" i="107"/>
  <c r="D31" i="107"/>
  <c r="E31" i="107" s="1"/>
  <c r="B31" i="107"/>
  <c r="D30" i="107"/>
  <c r="E30" i="107" s="1"/>
  <c r="B30" i="107"/>
  <c r="D29" i="107"/>
  <c r="E29" i="107" s="1"/>
  <c r="B29" i="107"/>
  <c r="D18" i="107"/>
  <c r="D16" i="107"/>
  <c r="H52" i="107" s="1"/>
  <c r="K52" i="107" s="1"/>
  <c r="D15" i="107"/>
  <c r="H6" i="107" s="1"/>
  <c r="D13" i="107"/>
  <c r="D12" i="107"/>
  <c r="D11" i="107"/>
  <c r="D10" i="107"/>
  <c r="D9" i="107"/>
  <c r="C714" i="95"/>
  <c r="C679" i="95"/>
  <c r="G679" i="95" s="1"/>
  <c r="I686" i="95" s="1"/>
  <c r="C644" i="95"/>
  <c r="C609" i="95"/>
  <c r="C574" i="95"/>
  <c r="G574" i="95" s="1"/>
  <c r="I581" i="95" s="1"/>
  <c r="C539" i="95"/>
  <c r="G539" i="95" s="1"/>
  <c r="I546" i="95" s="1"/>
  <c r="C504" i="95"/>
  <c r="G504" i="95" s="1"/>
  <c r="I511" i="95" s="1"/>
  <c r="C469" i="95"/>
  <c r="G469" i="95" s="1"/>
  <c r="I476" i="95" s="1"/>
  <c r="C434" i="95"/>
  <c r="G434" i="95" s="1"/>
  <c r="I441" i="95" s="1"/>
  <c r="C399" i="95"/>
  <c r="C364" i="95"/>
  <c r="G364" i="95" s="1"/>
  <c r="I371" i="95" s="1"/>
  <c r="C329" i="95"/>
  <c r="C294" i="95"/>
  <c r="G294" i="95" s="1"/>
  <c r="C259" i="95"/>
  <c r="G259" i="95" s="1"/>
  <c r="I266" i="95" s="1"/>
  <c r="C224" i="95"/>
  <c r="G224" i="95" s="1"/>
  <c r="I231" i="95" s="1"/>
  <c r="C189" i="95"/>
  <c r="G189" i="95" s="1"/>
  <c r="I196" i="95" s="1"/>
  <c r="C154" i="95"/>
  <c r="G154" i="95" s="1"/>
  <c r="I161" i="95" s="1"/>
  <c r="F728" i="95"/>
  <c r="G714" i="95"/>
  <c r="I721" i="95" s="1"/>
  <c r="F693" i="95"/>
  <c r="F658" i="95"/>
  <c r="G644" i="95"/>
  <c r="I651" i="95" s="1"/>
  <c r="F623" i="95"/>
  <c r="G609" i="95"/>
  <c r="I616" i="95" s="1"/>
  <c r="H588" i="95"/>
  <c r="G588" i="95"/>
  <c r="F588" i="95"/>
  <c r="H553" i="95"/>
  <c r="G553" i="95"/>
  <c r="F553" i="95"/>
  <c r="F518" i="95"/>
  <c r="G483" i="95"/>
  <c r="F483" i="95"/>
  <c r="G448" i="95"/>
  <c r="F448" i="95"/>
  <c r="G413" i="95"/>
  <c r="F413" i="95"/>
  <c r="G399" i="95"/>
  <c r="I406" i="95" s="1"/>
  <c r="F378" i="95"/>
  <c r="G343" i="95"/>
  <c r="F343" i="95"/>
  <c r="G329" i="95"/>
  <c r="G308" i="95"/>
  <c r="F308" i="95"/>
  <c r="F273" i="95"/>
  <c r="G238" i="95"/>
  <c r="F238" i="95"/>
  <c r="H203" i="95"/>
  <c r="I203" i="95" s="1"/>
  <c r="G203" i="95"/>
  <c r="F203" i="95"/>
  <c r="F168" i="95"/>
  <c r="C119" i="95"/>
  <c r="G119" i="95" s="1"/>
  <c r="I126" i="95" s="1"/>
  <c r="F133" i="95"/>
  <c r="F181" i="108" l="1"/>
  <c r="AIT8" i="51" s="1"/>
  <c r="AIS8" i="51"/>
  <c r="E477" i="95"/>
  <c r="E301" i="95"/>
  <c r="I301" i="95"/>
  <c r="E336" i="95"/>
  <c r="I336" i="95"/>
  <c r="J227" i="107"/>
  <c r="K211" i="107" s="1"/>
  <c r="D227" i="107"/>
  <c r="E225" i="107" s="1"/>
  <c r="K87" i="107"/>
  <c r="L83" i="107" s="1"/>
  <c r="E686" i="95"/>
  <c r="E683" i="95"/>
  <c r="E687" i="95"/>
  <c r="I472" i="95"/>
  <c r="G499" i="95" s="1"/>
  <c r="E441" i="95"/>
  <c r="I437" i="95"/>
  <c r="AH466" i="95" s="1"/>
  <c r="I332" i="95"/>
  <c r="AH361" i="95" s="1"/>
  <c r="I297" i="95"/>
  <c r="AH326" i="95" s="1"/>
  <c r="I720" i="95"/>
  <c r="E745" i="95" s="1"/>
  <c r="E746" i="95" s="1"/>
  <c r="E718" i="95"/>
  <c r="E725" i="95"/>
  <c r="E720" i="95"/>
  <c r="E724" i="95"/>
  <c r="I719" i="95"/>
  <c r="E723" i="95"/>
  <c r="E719" i="95"/>
  <c r="I722" i="95"/>
  <c r="I718" i="95"/>
  <c r="E722" i="95"/>
  <c r="I717" i="95"/>
  <c r="E721" i="95"/>
  <c r="E717" i="95"/>
  <c r="G728" i="95"/>
  <c r="I682" i="95"/>
  <c r="G693" i="95"/>
  <c r="I683" i="95"/>
  <c r="I687" i="95"/>
  <c r="E684" i="95"/>
  <c r="E688" i="95"/>
  <c r="I684" i="95"/>
  <c r="E689" i="95"/>
  <c r="E685" i="95"/>
  <c r="E690" i="95"/>
  <c r="I685" i="95"/>
  <c r="E710" i="95" s="1"/>
  <c r="E711" i="95" s="1"/>
  <c r="E682" i="95"/>
  <c r="E651" i="95"/>
  <c r="E647" i="95"/>
  <c r="I652" i="95"/>
  <c r="I650" i="95"/>
  <c r="E675" i="95" s="1"/>
  <c r="E676" i="95" s="1"/>
  <c r="E655" i="95"/>
  <c r="E650" i="95"/>
  <c r="E654" i="95"/>
  <c r="I649" i="95"/>
  <c r="I648" i="95"/>
  <c r="E653" i="95"/>
  <c r="E649" i="95"/>
  <c r="E648" i="95"/>
  <c r="I647" i="95"/>
  <c r="E652" i="95"/>
  <c r="G658" i="95"/>
  <c r="E616" i="95"/>
  <c r="E612" i="95"/>
  <c r="I615" i="95"/>
  <c r="E640" i="95" s="1"/>
  <c r="E641" i="95" s="1"/>
  <c r="E620" i="95"/>
  <c r="E615" i="95"/>
  <c r="E619" i="95"/>
  <c r="I614" i="95"/>
  <c r="E618" i="95"/>
  <c r="E614" i="95"/>
  <c r="E613" i="95"/>
  <c r="I617" i="95"/>
  <c r="I613" i="95"/>
  <c r="I612" i="95"/>
  <c r="E617" i="95"/>
  <c r="G623" i="95"/>
  <c r="E581" i="95"/>
  <c r="E577" i="95"/>
  <c r="E578" i="95"/>
  <c r="I580" i="95"/>
  <c r="E605" i="95" s="1"/>
  <c r="E606" i="95" s="1"/>
  <c r="E585" i="95"/>
  <c r="E580" i="95"/>
  <c r="I578" i="95"/>
  <c r="E584" i="95"/>
  <c r="I579" i="95"/>
  <c r="I582" i="95"/>
  <c r="E582" i="95"/>
  <c r="E583" i="95"/>
  <c r="E579" i="95"/>
  <c r="I577" i="95"/>
  <c r="I588" i="95"/>
  <c r="E546" i="95"/>
  <c r="E542" i="95"/>
  <c r="E547" i="95"/>
  <c r="I545" i="95"/>
  <c r="E570" i="95" s="1"/>
  <c r="E571" i="95" s="1"/>
  <c r="E550" i="95"/>
  <c r="E545" i="95"/>
  <c r="E543" i="95"/>
  <c r="E549" i="95"/>
  <c r="I544" i="95"/>
  <c r="E548" i="95"/>
  <c r="E544" i="95"/>
  <c r="I547" i="95"/>
  <c r="I543" i="95"/>
  <c r="I542" i="95"/>
  <c r="I553" i="95"/>
  <c r="E511" i="95"/>
  <c r="E507" i="95"/>
  <c r="I510" i="95"/>
  <c r="E535" i="95" s="1"/>
  <c r="E536" i="95" s="1"/>
  <c r="E512" i="95"/>
  <c r="E515" i="95"/>
  <c r="E510" i="95"/>
  <c r="E514" i="95"/>
  <c r="I509" i="95"/>
  <c r="E513" i="95"/>
  <c r="E509" i="95"/>
  <c r="E508" i="95"/>
  <c r="I512" i="95"/>
  <c r="I508" i="95"/>
  <c r="I507" i="95"/>
  <c r="G518" i="95"/>
  <c r="E476" i="95"/>
  <c r="E472" i="95"/>
  <c r="I475" i="95"/>
  <c r="E500" i="95" s="1"/>
  <c r="E501" i="95" s="1"/>
  <c r="E480" i="95"/>
  <c r="E475" i="95"/>
  <c r="E479" i="95"/>
  <c r="I474" i="95"/>
  <c r="E478" i="95"/>
  <c r="I477" i="95"/>
  <c r="I473" i="95"/>
  <c r="H483" i="95"/>
  <c r="E473" i="95"/>
  <c r="E474" i="95"/>
  <c r="E438" i="95"/>
  <c r="E442" i="95"/>
  <c r="H448" i="95"/>
  <c r="I438" i="95"/>
  <c r="I442" i="95"/>
  <c r="E439" i="95"/>
  <c r="E443" i="95"/>
  <c r="I439" i="95"/>
  <c r="E444" i="95"/>
  <c r="E440" i="95"/>
  <c r="E445" i="95"/>
  <c r="I440" i="95"/>
  <c r="E465" i="95" s="1"/>
  <c r="E466" i="95" s="1"/>
  <c r="E437" i="95"/>
  <c r="E406" i="95"/>
  <c r="E402" i="95"/>
  <c r="I405" i="95"/>
  <c r="E430" i="95" s="1"/>
  <c r="E431" i="95" s="1"/>
  <c r="E410" i="95"/>
  <c r="E405" i="95"/>
  <c r="E409" i="95"/>
  <c r="I404" i="95"/>
  <c r="E408" i="95"/>
  <c r="E404" i="95"/>
  <c r="I407" i="95"/>
  <c r="I403" i="95"/>
  <c r="E407" i="95"/>
  <c r="E403" i="95"/>
  <c r="I402" i="95"/>
  <c r="H413" i="95"/>
  <c r="E371" i="95"/>
  <c r="E367" i="95"/>
  <c r="I372" i="95"/>
  <c r="E368" i="95"/>
  <c r="I370" i="95"/>
  <c r="E395" i="95" s="1"/>
  <c r="E396" i="95" s="1"/>
  <c r="E372" i="95"/>
  <c r="E375" i="95"/>
  <c r="E370" i="95"/>
  <c r="E374" i="95"/>
  <c r="I369" i="95"/>
  <c r="I368" i="95"/>
  <c r="E373" i="95"/>
  <c r="E369" i="95"/>
  <c r="I367" i="95"/>
  <c r="G378" i="95"/>
  <c r="E333" i="95"/>
  <c r="E337" i="95"/>
  <c r="H343" i="95"/>
  <c r="I333" i="95"/>
  <c r="I337" i="95"/>
  <c r="E334" i="95"/>
  <c r="E338" i="95"/>
  <c r="I334" i="95"/>
  <c r="E339" i="95"/>
  <c r="E335" i="95"/>
  <c r="E340" i="95"/>
  <c r="I335" i="95"/>
  <c r="E360" i="95" s="1"/>
  <c r="E361" i="95" s="1"/>
  <c r="E332" i="95"/>
  <c r="E298" i="95"/>
  <c r="E302" i="95"/>
  <c r="H308" i="95"/>
  <c r="I298" i="95"/>
  <c r="I302" i="95"/>
  <c r="E299" i="95"/>
  <c r="E303" i="95"/>
  <c r="I299" i="95"/>
  <c r="E304" i="95"/>
  <c r="E300" i="95"/>
  <c r="E305" i="95"/>
  <c r="I300" i="95"/>
  <c r="E325" i="95" s="1"/>
  <c r="E326" i="95" s="1"/>
  <c r="E297" i="95"/>
  <c r="E266" i="95"/>
  <c r="E262" i="95"/>
  <c r="I263" i="95"/>
  <c r="E267" i="95"/>
  <c r="I265" i="95"/>
  <c r="E290" i="95" s="1"/>
  <c r="E291" i="95" s="1"/>
  <c r="E270" i="95"/>
  <c r="E265" i="95"/>
  <c r="I267" i="95"/>
  <c r="E263" i="95"/>
  <c r="E269" i="95"/>
  <c r="I264" i="95"/>
  <c r="E268" i="95"/>
  <c r="E264" i="95"/>
  <c r="I262" i="95"/>
  <c r="G273" i="95"/>
  <c r="E231" i="95"/>
  <c r="E227" i="95"/>
  <c r="I227" i="95"/>
  <c r="I230" i="95"/>
  <c r="E255" i="95" s="1"/>
  <c r="E256" i="95" s="1"/>
  <c r="E232" i="95"/>
  <c r="E235" i="95"/>
  <c r="E230" i="95"/>
  <c r="E234" i="95"/>
  <c r="I229" i="95"/>
  <c r="E233" i="95"/>
  <c r="E229" i="95"/>
  <c r="I232" i="95"/>
  <c r="I228" i="95"/>
  <c r="E228" i="95"/>
  <c r="H238" i="95"/>
  <c r="E196" i="95"/>
  <c r="E192" i="95"/>
  <c r="I193" i="95"/>
  <c r="I195" i="95"/>
  <c r="E220" i="95" s="1"/>
  <c r="E221" i="95" s="1"/>
  <c r="E200" i="95"/>
  <c r="E195" i="95"/>
  <c r="E197" i="95"/>
  <c r="E199" i="95"/>
  <c r="I194" i="95"/>
  <c r="I197" i="95"/>
  <c r="E193" i="95"/>
  <c r="E198" i="95"/>
  <c r="E194" i="95"/>
  <c r="I192" i="95"/>
  <c r="J203" i="95"/>
  <c r="E161" i="95"/>
  <c r="E157" i="95"/>
  <c r="I160" i="95"/>
  <c r="E165" i="95"/>
  <c r="E160" i="95"/>
  <c r="E158" i="95"/>
  <c r="E164" i="95"/>
  <c r="I159" i="95"/>
  <c r="E163" i="95"/>
  <c r="E159" i="95"/>
  <c r="I162" i="95"/>
  <c r="I158" i="95"/>
  <c r="E162" i="95"/>
  <c r="I157" i="95"/>
  <c r="G168" i="95"/>
  <c r="E126" i="95"/>
  <c r="E122" i="95"/>
  <c r="E127" i="95"/>
  <c r="I125" i="95"/>
  <c r="E150" i="95" s="1"/>
  <c r="E151" i="95" s="1"/>
  <c r="E130" i="95"/>
  <c r="E125" i="95"/>
  <c r="E129" i="95"/>
  <c r="I124" i="95"/>
  <c r="E123" i="95"/>
  <c r="E128" i="95"/>
  <c r="E124" i="95"/>
  <c r="I127" i="95"/>
  <c r="I123" i="95"/>
  <c r="I122" i="95"/>
  <c r="G133" i="95"/>
  <c r="W498" i="95" l="1"/>
  <c r="U499" i="95"/>
  <c r="Y501" i="95"/>
  <c r="S352" i="95"/>
  <c r="J360" i="95"/>
  <c r="AB361" i="95"/>
  <c r="Q350" i="95"/>
  <c r="X359" i="95"/>
  <c r="U358" i="95"/>
  <c r="W317" i="95"/>
  <c r="M350" i="95"/>
  <c r="K352" i="95"/>
  <c r="N352" i="95"/>
  <c r="G353" i="95"/>
  <c r="O355" i="95"/>
  <c r="G350" i="95"/>
  <c r="U351" i="95"/>
  <c r="I353" i="95"/>
  <c r="P355" i="95"/>
  <c r="Y352" i="95"/>
  <c r="L355" i="95"/>
  <c r="S351" i="95"/>
  <c r="L350" i="95"/>
  <c r="AD351" i="95"/>
  <c r="U350" i="95"/>
  <c r="Y351" i="95"/>
  <c r="T355" i="95"/>
  <c r="H350" i="95"/>
  <c r="F351" i="95"/>
  <c r="AH351" i="95"/>
  <c r="P350" i="95"/>
  <c r="S350" i="95"/>
  <c r="AC352" i="95"/>
  <c r="V353" i="95"/>
  <c r="G351" i="95"/>
  <c r="AC353" i="95"/>
  <c r="AF352" i="95"/>
  <c r="W352" i="95"/>
  <c r="X351" i="95"/>
  <c r="S353" i="95"/>
  <c r="AG351" i="95"/>
  <c r="AD353" i="95"/>
  <c r="M353" i="95"/>
  <c r="AB350" i="95"/>
  <c r="J355" i="95"/>
  <c r="X355" i="95"/>
  <c r="Z350" i="95"/>
  <c r="T352" i="95"/>
  <c r="R353" i="95"/>
  <c r="K350" i="95"/>
  <c r="V352" i="95"/>
  <c r="AA350" i="95"/>
  <c r="AA316" i="95"/>
  <c r="AG350" i="95"/>
  <c r="I351" i="95"/>
  <c r="F350" i="95"/>
  <c r="G352" i="95"/>
  <c r="H351" i="95"/>
  <c r="T351" i="95"/>
  <c r="E353" i="95"/>
  <c r="AA489" i="95"/>
  <c r="AB488" i="95"/>
  <c r="Z489" i="95"/>
  <c r="AA488" i="95"/>
  <c r="W489" i="95"/>
  <c r="X488" i="95"/>
  <c r="V489" i="95"/>
  <c r="W488" i="95"/>
  <c r="O489" i="95"/>
  <c r="P488" i="95"/>
  <c r="N489" i="95"/>
  <c r="O488" i="95"/>
  <c r="M489" i="95"/>
  <c r="N488" i="95"/>
  <c r="AH489" i="95"/>
  <c r="Z488" i="95"/>
  <c r="AF489" i="95"/>
  <c r="V488" i="95"/>
  <c r="U488" i="95"/>
  <c r="AG489" i="95"/>
  <c r="Y488" i="95"/>
  <c r="AE489" i="95"/>
  <c r="AD489" i="95"/>
  <c r="T488" i="95"/>
  <c r="AC489" i="95"/>
  <c r="S488" i="95"/>
  <c r="AB489" i="95"/>
  <c r="R488" i="95"/>
  <c r="K488" i="95"/>
  <c r="I488" i="95"/>
  <c r="H488" i="95"/>
  <c r="S489" i="95"/>
  <c r="R489" i="95"/>
  <c r="J488" i="95"/>
  <c r="E488" i="95"/>
  <c r="T489" i="95"/>
  <c r="Q489" i="95"/>
  <c r="P489" i="95"/>
  <c r="Y489" i="95"/>
  <c r="G488" i="95"/>
  <c r="X489" i="95"/>
  <c r="F488" i="95"/>
  <c r="U489" i="95"/>
  <c r="G489" i="95"/>
  <c r="AD488" i="95"/>
  <c r="AC488" i="95"/>
  <c r="L488" i="95"/>
  <c r="L489" i="95"/>
  <c r="K489" i="95"/>
  <c r="J489" i="95"/>
  <c r="I489" i="95"/>
  <c r="H489" i="95"/>
  <c r="AH488" i="95"/>
  <c r="AG488" i="95"/>
  <c r="AF488" i="95"/>
  <c r="M488" i="95"/>
  <c r="F489" i="95"/>
  <c r="AE488" i="95"/>
  <c r="Q488" i="95"/>
  <c r="AF315" i="95"/>
  <c r="O316" i="95"/>
  <c r="S320" i="95"/>
  <c r="H315" i="95"/>
  <c r="M318" i="95"/>
  <c r="V318" i="95"/>
  <c r="X318" i="95"/>
  <c r="L315" i="95"/>
  <c r="AC316" i="95"/>
  <c r="L316" i="95"/>
  <c r="N317" i="95"/>
  <c r="X320" i="95"/>
  <c r="X352" i="95"/>
  <c r="E351" i="95"/>
  <c r="AB352" i="95"/>
  <c r="AD352" i="95"/>
  <c r="AG353" i="95"/>
  <c r="AD318" i="95"/>
  <c r="AA317" i="95"/>
  <c r="H316" i="95"/>
  <c r="M315" i="95"/>
  <c r="P316" i="95"/>
  <c r="AF316" i="95"/>
  <c r="H318" i="95"/>
  <c r="P317" i="95"/>
  <c r="Q317" i="95"/>
  <c r="AF318" i="95"/>
  <c r="H352" i="95"/>
  <c r="U353" i="95"/>
  <c r="V351" i="95"/>
  <c r="AA351" i="95"/>
  <c r="H353" i="95"/>
  <c r="L317" i="95"/>
  <c r="AB317" i="95"/>
  <c r="U315" i="95"/>
  <c r="R317" i="95"/>
  <c r="O318" i="95"/>
  <c r="Z320" i="95"/>
  <c r="W355" i="95"/>
  <c r="AC355" i="95"/>
  <c r="J353" i="95"/>
  <c r="AG352" i="95"/>
  <c r="AD355" i="95"/>
  <c r="G316" i="95"/>
  <c r="AC318" i="95"/>
  <c r="Q318" i="95"/>
  <c r="S315" i="95"/>
  <c r="AC320" i="95"/>
  <c r="E315" i="95"/>
  <c r="O315" i="95"/>
  <c r="AE315" i="95"/>
  <c r="I320" i="95"/>
  <c r="O353" i="95"/>
  <c r="AH350" i="95"/>
  <c r="AC350" i="95"/>
  <c r="Q355" i="95"/>
  <c r="E355" i="95"/>
  <c r="R350" i="95"/>
  <c r="AD316" i="95"/>
  <c r="K320" i="95"/>
  <c r="E320" i="95"/>
  <c r="Z315" i="95"/>
  <c r="T353" i="95"/>
  <c r="J350" i="95"/>
  <c r="X350" i="95"/>
  <c r="P351" i="95"/>
  <c r="H384" i="95"/>
  <c r="I383" i="95"/>
  <c r="G384" i="95"/>
  <c r="H383" i="95"/>
  <c r="AF384" i="95"/>
  <c r="AG383" i="95"/>
  <c r="E383" i="95"/>
  <c r="AE384" i="95"/>
  <c r="AF383" i="95"/>
  <c r="X384" i="95"/>
  <c r="Y383" i="95"/>
  <c r="W384" i="95"/>
  <c r="X383" i="95"/>
  <c r="AC384" i="95"/>
  <c r="V383" i="95"/>
  <c r="U383" i="95"/>
  <c r="AA384" i="95"/>
  <c r="T383" i="95"/>
  <c r="S383" i="95"/>
  <c r="AB384" i="95"/>
  <c r="Z384" i="95"/>
  <c r="P383" i="95"/>
  <c r="Y384" i="95"/>
  <c r="R383" i="95"/>
  <c r="V384" i="95"/>
  <c r="Q383" i="95"/>
  <c r="U384" i="95"/>
  <c r="Q384" i="95"/>
  <c r="I384" i="95"/>
  <c r="F384" i="95"/>
  <c r="AE383" i="95"/>
  <c r="P384" i="95"/>
  <c r="O384" i="95"/>
  <c r="N384" i="95"/>
  <c r="AH383" i="95"/>
  <c r="M384" i="95"/>
  <c r="L384" i="95"/>
  <c r="K384" i="95"/>
  <c r="J384" i="95"/>
  <c r="W383" i="95"/>
  <c r="R384" i="95"/>
  <c r="AD383" i="95"/>
  <c r="AB383" i="95"/>
  <c r="M383" i="95"/>
  <c r="G383" i="95"/>
  <c r="AH384" i="95"/>
  <c r="AG384" i="95"/>
  <c r="AD384" i="95"/>
  <c r="T384" i="95"/>
  <c r="S384" i="95"/>
  <c r="O383" i="95"/>
  <c r="N383" i="95"/>
  <c r="L383" i="95"/>
  <c r="AC383" i="95"/>
  <c r="AA383" i="95"/>
  <c r="Z383" i="95"/>
  <c r="K383" i="95"/>
  <c r="J383" i="95"/>
  <c r="F383" i="95"/>
  <c r="M316" i="95"/>
  <c r="X317" i="95"/>
  <c r="V355" i="95"/>
  <c r="Z317" i="95"/>
  <c r="X316" i="95"/>
  <c r="Q353" i="95"/>
  <c r="M351" i="95"/>
  <c r="W353" i="95"/>
  <c r="W351" i="95"/>
  <c r="AB351" i="95"/>
  <c r="T316" i="95"/>
  <c r="R318" i="95"/>
  <c r="I317" i="95"/>
  <c r="AD320" i="95"/>
  <c r="K349" i="95"/>
  <c r="L348" i="95"/>
  <c r="J349" i="95"/>
  <c r="K348" i="95"/>
  <c r="G349" i="95"/>
  <c r="H348" i="95"/>
  <c r="AH349" i="95"/>
  <c r="F349" i="95"/>
  <c r="G348" i="95"/>
  <c r="AA349" i="95"/>
  <c r="AB348" i="95"/>
  <c r="Z349" i="95"/>
  <c r="AA348" i="95"/>
  <c r="R349" i="95"/>
  <c r="M348" i="95"/>
  <c r="J348" i="95"/>
  <c r="P349" i="95"/>
  <c r="O349" i="95"/>
  <c r="F348" i="95"/>
  <c r="Q349" i="95"/>
  <c r="I348" i="95"/>
  <c r="N349" i="95"/>
  <c r="E348" i="95"/>
  <c r="M349" i="95"/>
  <c r="L349" i="95"/>
  <c r="AE349" i="95"/>
  <c r="Q348" i="95"/>
  <c r="AC349" i="95"/>
  <c r="O348" i="95"/>
  <c r="AB349" i="95"/>
  <c r="I349" i="95"/>
  <c r="AD349" i="95"/>
  <c r="P348" i="95"/>
  <c r="N348" i="95"/>
  <c r="W349" i="95"/>
  <c r="V349" i="95"/>
  <c r="U349" i="95"/>
  <c r="S349" i="95"/>
  <c r="Y349" i="95"/>
  <c r="X349" i="95"/>
  <c r="T349" i="95"/>
  <c r="AD348" i="95"/>
  <c r="AE348" i="95"/>
  <c r="AC348" i="95"/>
  <c r="Y348" i="95"/>
  <c r="X348" i="95"/>
  <c r="W348" i="95"/>
  <c r="V348" i="95"/>
  <c r="U348" i="95"/>
  <c r="Z348" i="95"/>
  <c r="T348" i="95"/>
  <c r="S348" i="95"/>
  <c r="AF349" i="95"/>
  <c r="R348" i="95"/>
  <c r="AG349" i="95"/>
  <c r="AH348" i="95"/>
  <c r="H349" i="95"/>
  <c r="AG348" i="95"/>
  <c r="AF348" i="95"/>
  <c r="N355" i="95"/>
  <c r="Y318" i="95"/>
  <c r="AF353" i="95"/>
  <c r="AF355" i="95"/>
  <c r="K353" i="95"/>
  <c r="AH352" i="95"/>
  <c r="L353" i="95"/>
  <c r="AD454" i="95"/>
  <c r="AE453" i="95"/>
  <c r="AC454" i="95"/>
  <c r="AD453" i="95"/>
  <c r="Z454" i="95"/>
  <c r="AA453" i="95"/>
  <c r="Y454" i="95"/>
  <c r="Z453" i="95"/>
  <c r="R454" i="95"/>
  <c r="S453" i="95"/>
  <c r="Q454" i="95"/>
  <c r="R453" i="95"/>
  <c r="S454" i="95"/>
  <c r="L453" i="95"/>
  <c r="O454" i="95"/>
  <c r="J453" i="95"/>
  <c r="N454" i="95"/>
  <c r="I453" i="95"/>
  <c r="F453" i="95"/>
  <c r="P454" i="95"/>
  <c r="K453" i="95"/>
  <c r="M454" i="95"/>
  <c r="H453" i="95"/>
  <c r="L454" i="95"/>
  <c r="G453" i="95"/>
  <c r="K454" i="95"/>
  <c r="Y453" i="95"/>
  <c r="W453" i="95"/>
  <c r="AH454" i="95"/>
  <c r="AE454" i="95"/>
  <c r="AB454" i="95"/>
  <c r="X453" i="95"/>
  <c r="V453" i="95"/>
  <c r="AG454" i="95"/>
  <c r="AF454" i="95"/>
  <c r="M453" i="95"/>
  <c r="U453" i="95"/>
  <c r="T453" i="95"/>
  <c r="Q453" i="95"/>
  <c r="P453" i="95"/>
  <c r="O453" i="95"/>
  <c r="N453" i="95"/>
  <c r="E453" i="95"/>
  <c r="T454" i="95"/>
  <c r="G454" i="95"/>
  <c r="F454" i="95"/>
  <c r="AG453" i="95"/>
  <c r="AF453" i="95"/>
  <c r="AC453" i="95"/>
  <c r="AB453" i="95"/>
  <c r="W454" i="95"/>
  <c r="AH453" i="95"/>
  <c r="X454" i="95"/>
  <c r="V454" i="95"/>
  <c r="AA454" i="95"/>
  <c r="U454" i="95"/>
  <c r="H454" i="95"/>
  <c r="I454" i="95"/>
  <c r="J454" i="95"/>
  <c r="J320" i="95"/>
  <c r="G317" i="95"/>
  <c r="T320" i="95"/>
  <c r="AB320" i="95"/>
  <c r="F320" i="95"/>
  <c r="S317" i="95"/>
  <c r="J315" i="95"/>
  <c r="Z351" i="95"/>
  <c r="U316" i="95"/>
  <c r="N316" i="95"/>
  <c r="X315" i="95"/>
  <c r="I699" i="95"/>
  <c r="J698" i="95"/>
  <c r="H699" i="95"/>
  <c r="I698" i="95"/>
  <c r="AG699" i="95"/>
  <c r="AH698" i="95"/>
  <c r="F698" i="95"/>
  <c r="AF699" i="95"/>
  <c r="AG698" i="95"/>
  <c r="E698" i="95"/>
  <c r="Y699" i="95"/>
  <c r="Z698" i="95"/>
  <c r="X699" i="95"/>
  <c r="Y698" i="95"/>
  <c r="W699" i="95"/>
  <c r="X698" i="95"/>
  <c r="P699" i="95"/>
  <c r="H698" i="95"/>
  <c r="N699" i="95"/>
  <c r="M699" i="95"/>
  <c r="O699" i="95"/>
  <c r="G698" i="95"/>
  <c r="G699" i="95"/>
  <c r="L699" i="95"/>
  <c r="K699" i="95"/>
  <c r="J699" i="95"/>
  <c r="AH699" i="95"/>
  <c r="O698" i="95"/>
  <c r="M698" i="95"/>
  <c r="L698" i="95"/>
  <c r="Z699" i="95"/>
  <c r="V699" i="95"/>
  <c r="T699" i="95"/>
  <c r="S699" i="95"/>
  <c r="AE699" i="95"/>
  <c r="N698" i="95"/>
  <c r="AD699" i="95"/>
  <c r="AC699" i="95"/>
  <c r="U699" i="95"/>
  <c r="AB699" i="95"/>
  <c r="K698" i="95"/>
  <c r="AA699" i="95"/>
  <c r="R699" i="95"/>
  <c r="Q699" i="95"/>
  <c r="AC698" i="95"/>
  <c r="P698" i="95"/>
  <c r="AD698" i="95"/>
  <c r="AB698" i="95"/>
  <c r="AA698" i="95"/>
  <c r="T698" i="95"/>
  <c r="F699" i="95"/>
  <c r="AE698" i="95"/>
  <c r="W698" i="95"/>
  <c r="V698" i="95"/>
  <c r="AF698" i="95"/>
  <c r="U698" i="95"/>
  <c r="S698" i="95"/>
  <c r="R698" i="95"/>
  <c r="Q698" i="95"/>
  <c r="G318" i="95"/>
  <c r="V316" i="95"/>
  <c r="P315" i="95"/>
  <c r="J317" i="95"/>
  <c r="T318" i="95"/>
  <c r="Z355" i="95"/>
  <c r="AE351" i="95"/>
  <c r="AD350" i="95"/>
  <c r="R355" i="95"/>
  <c r="G355" i="95"/>
  <c r="F355" i="95"/>
  <c r="Y316" i="95"/>
  <c r="AE316" i="95"/>
  <c r="AA355" i="95"/>
  <c r="AE320" i="95"/>
  <c r="U352" i="95"/>
  <c r="AE352" i="95"/>
  <c r="U355" i="95"/>
  <c r="O320" i="95"/>
  <c r="L318" i="95"/>
  <c r="Z316" i="95"/>
  <c r="P353" i="95"/>
  <c r="M320" i="95"/>
  <c r="W209" i="95"/>
  <c r="X208" i="95"/>
  <c r="V209" i="95"/>
  <c r="W208" i="95"/>
  <c r="S209" i="95"/>
  <c r="T208" i="95"/>
  <c r="R209" i="95"/>
  <c r="S208" i="95"/>
  <c r="K209" i="95"/>
  <c r="L208" i="95"/>
  <c r="J209" i="95"/>
  <c r="K208" i="95"/>
  <c r="AG208" i="95"/>
  <c r="AF208" i="95"/>
  <c r="AE208" i="95"/>
  <c r="AD208" i="95"/>
  <c r="AF209" i="95"/>
  <c r="AH209" i="95"/>
  <c r="AC208" i="95"/>
  <c r="AG209" i="95"/>
  <c r="AB208" i="95"/>
  <c r="AA208" i="95"/>
  <c r="AB209" i="95"/>
  <c r="J208" i="95"/>
  <c r="AA209" i="95"/>
  <c r="I208" i="95"/>
  <c r="H208" i="95"/>
  <c r="Y209" i="95"/>
  <c r="Z209" i="95"/>
  <c r="G208" i="95"/>
  <c r="T209" i="95"/>
  <c r="O209" i="95"/>
  <c r="N209" i="95"/>
  <c r="X209" i="95"/>
  <c r="F208" i="95"/>
  <c r="U209" i="95"/>
  <c r="E208" i="95"/>
  <c r="Q209" i="95"/>
  <c r="P209" i="95"/>
  <c r="M209" i="95"/>
  <c r="R208" i="95"/>
  <c r="Q208" i="95"/>
  <c r="O208" i="95"/>
  <c r="N208" i="95"/>
  <c r="M208" i="95"/>
  <c r="AD209" i="95"/>
  <c r="G209" i="95"/>
  <c r="P208" i="95"/>
  <c r="AE209" i="95"/>
  <c r="F209" i="95"/>
  <c r="AC209" i="95"/>
  <c r="H209" i="95"/>
  <c r="AH208" i="95"/>
  <c r="L209" i="95"/>
  <c r="I209" i="95"/>
  <c r="Z208" i="95"/>
  <c r="Y208" i="95"/>
  <c r="V208" i="95"/>
  <c r="U208" i="95"/>
  <c r="T315" i="95"/>
  <c r="W316" i="95"/>
  <c r="AB316" i="95"/>
  <c r="N318" i="95"/>
  <c r="N320" i="95"/>
  <c r="AB355" i="95"/>
  <c r="AH353" i="95"/>
  <c r="M352" i="95"/>
  <c r="N351" i="95"/>
  <c r="E349" i="95"/>
  <c r="AH355" i="95"/>
  <c r="O317" i="95"/>
  <c r="U559" i="95"/>
  <c r="V558" i="95"/>
  <c r="T559" i="95"/>
  <c r="U558" i="95"/>
  <c r="Q559" i="95"/>
  <c r="R558" i="95"/>
  <c r="P559" i="95"/>
  <c r="Q558" i="95"/>
  <c r="I559" i="95"/>
  <c r="J558" i="95"/>
  <c r="H559" i="95"/>
  <c r="I558" i="95"/>
  <c r="G559" i="95"/>
  <c r="H558" i="95"/>
  <c r="AB559" i="95"/>
  <c r="T558" i="95"/>
  <c r="Z559" i="95"/>
  <c r="P558" i="95"/>
  <c r="Y559" i="95"/>
  <c r="O558" i="95"/>
  <c r="AA559" i="95"/>
  <c r="S558" i="95"/>
  <c r="X559" i="95"/>
  <c r="N558" i="95"/>
  <c r="W559" i="95"/>
  <c r="M558" i="95"/>
  <c r="V559" i="95"/>
  <c r="L558" i="95"/>
  <c r="N559" i="95"/>
  <c r="L559" i="95"/>
  <c r="AG558" i="95"/>
  <c r="M559" i="95"/>
  <c r="K559" i="95"/>
  <c r="AF558" i="95"/>
  <c r="AE558" i="95"/>
  <c r="AD558" i="95"/>
  <c r="J559" i="95"/>
  <c r="F559" i="95"/>
  <c r="AH558" i="95"/>
  <c r="AC558" i="95"/>
  <c r="W558" i="95"/>
  <c r="S559" i="95"/>
  <c r="R559" i="95"/>
  <c r="AB558" i="95"/>
  <c r="AA558" i="95"/>
  <c r="X558" i="95"/>
  <c r="K558" i="95"/>
  <c r="G558" i="95"/>
  <c r="O559" i="95"/>
  <c r="Z558" i="95"/>
  <c r="Y558" i="95"/>
  <c r="AH559" i="95"/>
  <c r="AG559" i="95"/>
  <c r="F558" i="95"/>
  <c r="E558" i="95"/>
  <c r="AF559" i="95"/>
  <c r="AC559" i="95"/>
  <c r="AD559" i="95"/>
  <c r="AE559" i="95"/>
  <c r="E314" i="95"/>
  <c r="W315" i="95"/>
  <c r="K318" i="95"/>
  <c r="M317" i="95"/>
  <c r="AH316" i="95"/>
  <c r="T244" i="95"/>
  <c r="U243" i="95"/>
  <c r="S244" i="95"/>
  <c r="T243" i="95"/>
  <c r="P244" i="95"/>
  <c r="Q243" i="95"/>
  <c r="O244" i="95"/>
  <c r="P243" i="95"/>
  <c r="H244" i="95"/>
  <c r="I243" i="95"/>
  <c r="G244" i="95"/>
  <c r="H243" i="95"/>
  <c r="Q244" i="95"/>
  <c r="J243" i="95"/>
  <c r="N244" i="95"/>
  <c r="M244" i="95"/>
  <c r="F243" i="95"/>
  <c r="L244" i="95"/>
  <c r="E243" i="95"/>
  <c r="G243" i="95"/>
  <c r="K244" i="95"/>
  <c r="J244" i="95"/>
  <c r="I244" i="95"/>
  <c r="W244" i="95"/>
  <c r="V244" i="95"/>
  <c r="U244" i="95"/>
  <c r="AB243" i="95"/>
  <c r="R244" i="95"/>
  <c r="AF243" i="95"/>
  <c r="AE243" i="95"/>
  <c r="AC243" i="95"/>
  <c r="F244" i="95"/>
  <c r="AH243" i="95"/>
  <c r="AG243" i="95"/>
  <c r="AD243" i="95"/>
  <c r="Y244" i="95"/>
  <c r="X244" i="95"/>
  <c r="V243" i="95"/>
  <c r="S243" i="95"/>
  <c r="AA243" i="95"/>
  <c r="Z243" i="95"/>
  <c r="Y243" i="95"/>
  <c r="X243" i="95"/>
  <c r="W243" i="95"/>
  <c r="R243" i="95"/>
  <c r="K243" i="95"/>
  <c r="AH244" i="95"/>
  <c r="AG244" i="95"/>
  <c r="AF244" i="95"/>
  <c r="N243" i="95"/>
  <c r="O243" i="95"/>
  <c r="M243" i="95"/>
  <c r="L243" i="95"/>
  <c r="AE244" i="95"/>
  <c r="AD244" i="95"/>
  <c r="AC244" i="95"/>
  <c r="AA244" i="95"/>
  <c r="Z244" i="95"/>
  <c r="AB244" i="95"/>
  <c r="G320" i="95"/>
  <c r="J351" i="95"/>
  <c r="I315" i="95"/>
  <c r="F317" i="95"/>
  <c r="J352" i="95"/>
  <c r="F318" i="95"/>
  <c r="R594" i="95"/>
  <c r="S593" i="95"/>
  <c r="Q594" i="95"/>
  <c r="R593" i="95"/>
  <c r="N594" i="95"/>
  <c r="O593" i="95"/>
  <c r="M594" i="95"/>
  <c r="N593" i="95"/>
  <c r="AH594" i="95"/>
  <c r="F594" i="95"/>
  <c r="G593" i="95"/>
  <c r="AG594" i="95"/>
  <c r="AH593" i="95"/>
  <c r="F593" i="95"/>
  <c r="AF594" i="95"/>
  <c r="AG593" i="95"/>
  <c r="E593" i="95"/>
  <c r="G594" i="95"/>
  <c r="AE593" i="95"/>
  <c r="AD593" i="95"/>
  <c r="AF593" i="95"/>
  <c r="AC593" i="95"/>
  <c r="AB593" i="95"/>
  <c r="AA593" i="95"/>
  <c r="K594" i="95"/>
  <c r="I594" i="95"/>
  <c r="H594" i="95"/>
  <c r="V593" i="95"/>
  <c r="T593" i="95"/>
  <c r="Q593" i="95"/>
  <c r="J594" i="95"/>
  <c r="W593" i="95"/>
  <c r="AE594" i="95"/>
  <c r="Z593" i="95"/>
  <c r="Y593" i="95"/>
  <c r="X593" i="95"/>
  <c r="U593" i="95"/>
  <c r="Z594" i="95"/>
  <c r="I593" i="95"/>
  <c r="AA594" i="95"/>
  <c r="Y594" i="95"/>
  <c r="T594" i="95"/>
  <c r="L594" i="95"/>
  <c r="AD594" i="95"/>
  <c r="AC594" i="95"/>
  <c r="AB594" i="95"/>
  <c r="X594" i="95"/>
  <c r="W594" i="95"/>
  <c r="V594" i="95"/>
  <c r="P594" i="95"/>
  <c r="P593" i="95"/>
  <c r="J593" i="95"/>
  <c r="M593" i="95"/>
  <c r="U594" i="95"/>
  <c r="S594" i="95"/>
  <c r="O594" i="95"/>
  <c r="L593" i="95"/>
  <c r="K593" i="95"/>
  <c r="H593" i="95"/>
  <c r="L664" i="95"/>
  <c r="M663" i="95"/>
  <c r="K664" i="95"/>
  <c r="L663" i="95"/>
  <c r="H664" i="95"/>
  <c r="I663" i="95"/>
  <c r="G664" i="95"/>
  <c r="H663" i="95"/>
  <c r="AB664" i="95"/>
  <c r="AC663" i="95"/>
  <c r="AA664" i="95"/>
  <c r="AB663" i="95"/>
  <c r="Z664" i="95"/>
  <c r="AA663" i="95"/>
  <c r="AD663" i="95"/>
  <c r="AH664" i="95"/>
  <c r="Y663" i="95"/>
  <c r="AG664" i="95"/>
  <c r="X663" i="95"/>
  <c r="AC664" i="95"/>
  <c r="Z663" i="95"/>
  <c r="AF664" i="95"/>
  <c r="W663" i="95"/>
  <c r="AE664" i="95"/>
  <c r="V663" i="95"/>
  <c r="AD664" i="95"/>
  <c r="U663" i="95"/>
  <c r="Q663" i="95"/>
  <c r="O663" i="95"/>
  <c r="N663" i="95"/>
  <c r="V664" i="95"/>
  <c r="S664" i="95"/>
  <c r="P663" i="95"/>
  <c r="X664" i="95"/>
  <c r="F663" i="95"/>
  <c r="E663" i="95"/>
  <c r="T664" i="95"/>
  <c r="R664" i="95"/>
  <c r="K663" i="95"/>
  <c r="Y664" i="95"/>
  <c r="J663" i="95"/>
  <c r="G663" i="95"/>
  <c r="W664" i="95"/>
  <c r="U664" i="95"/>
  <c r="M664" i="95"/>
  <c r="Q664" i="95"/>
  <c r="O664" i="95"/>
  <c r="F664" i="95"/>
  <c r="T663" i="95"/>
  <c r="S663" i="95"/>
  <c r="P664" i="95"/>
  <c r="N664" i="95"/>
  <c r="J664" i="95"/>
  <c r="I664" i="95"/>
  <c r="AH663" i="95"/>
  <c r="AG663" i="95"/>
  <c r="AE663" i="95"/>
  <c r="R663" i="95"/>
  <c r="AF663" i="95"/>
  <c r="W320" i="95"/>
  <c r="Q279" i="95"/>
  <c r="R278" i="95"/>
  <c r="P279" i="95"/>
  <c r="Q278" i="95"/>
  <c r="M279" i="95"/>
  <c r="N278" i="95"/>
  <c r="L279" i="95"/>
  <c r="M278" i="95"/>
  <c r="AG279" i="95"/>
  <c r="AH278" i="95"/>
  <c r="F278" i="95"/>
  <c r="AF279" i="95"/>
  <c r="AG278" i="95"/>
  <c r="E278" i="95"/>
  <c r="AB279" i="95"/>
  <c r="W278" i="95"/>
  <c r="AA279" i="95"/>
  <c r="V278" i="95"/>
  <c r="Z279" i="95"/>
  <c r="U278" i="95"/>
  <c r="Y279" i="95"/>
  <c r="T278" i="95"/>
  <c r="O278" i="95"/>
  <c r="X279" i="95"/>
  <c r="S278" i="95"/>
  <c r="W279" i="95"/>
  <c r="P278" i="95"/>
  <c r="V279" i="95"/>
  <c r="G279" i="95"/>
  <c r="AF278" i="95"/>
  <c r="AE278" i="95"/>
  <c r="Z278" i="95"/>
  <c r="Y278" i="95"/>
  <c r="L278" i="95"/>
  <c r="F279" i="95"/>
  <c r="AB278" i="95"/>
  <c r="X278" i="95"/>
  <c r="AD278" i="95"/>
  <c r="AC278" i="95"/>
  <c r="AA278" i="95"/>
  <c r="AH279" i="95"/>
  <c r="AE279" i="95"/>
  <c r="AC279" i="95"/>
  <c r="U279" i="95"/>
  <c r="T279" i="95"/>
  <c r="S279" i="95"/>
  <c r="N279" i="95"/>
  <c r="H278" i="95"/>
  <c r="G278" i="95"/>
  <c r="AD279" i="95"/>
  <c r="R279" i="95"/>
  <c r="O279" i="95"/>
  <c r="H279" i="95"/>
  <c r="I278" i="95"/>
  <c r="I279" i="95"/>
  <c r="K278" i="95"/>
  <c r="K279" i="95"/>
  <c r="J279" i="95"/>
  <c r="J278" i="95"/>
  <c r="Y315" i="95"/>
  <c r="H320" i="95"/>
  <c r="J318" i="95"/>
  <c r="P320" i="95"/>
  <c r="AC315" i="95"/>
  <c r="AE355" i="95"/>
  <c r="AA353" i="95"/>
  <c r="X353" i="95"/>
  <c r="K355" i="95"/>
  <c r="AE350" i="95"/>
  <c r="T350" i="95"/>
  <c r="R315" i="95"/>
  <c r="AG318" i="95"/>
  <c r="Z318" i="95"/>
  <c r="O629" i="95"/>
  <c r="P628" i="95"/>
  <c r="N629" i="95"/>
  <c r="O628" i="95"/>
  <c r="K629" i="95"/>
  <c r="L628" i="95"/>
  <c r="J629" i="95"/>
  <c r="K628" i="95"/>
  <c r="AE629" i="95"/>
  <c r="AF628" i="95"/>
  <c r="AD629" i="95"/>
  <c r="AE628" i="95"/>
  <c r="AC629" i="95"/>
  <c r="AD628" i="95"/>
  <c r="V629" i="95"/>
  <c r="N628" i="95"/>
  <c r="T629" i="95"/>
  <c r="J628" i="95"/>
  <c r="S629" i="95"/>
  <c r="I628" i="95"/>
  <c r="U629" i="95"/>
  <c r="M628" i="95"/>
  <c r="P629" i="95"/>
  <c r="R629" i="95"/>
  <c r="H628" i="95"/>
  <c r="Q629" i="95"/>
  <c r="G628" i="95"/>
  <c r="F628" i="95"/>
  <c r="AA628" i="95"/>
  <c r="Y628" i="95"/>
  <c r="X628" i="95"/>
  <c r="Z628" i="95"/>
  <c r="R628" i="95"/>
  <c r="Q628" i="95"/>
  <c r="E628" i="95"/>
  <c r="W628" i="95"/>
  <c r="V628" i="95"/>
  <c r="U628" i="95"/>
  <c r="T628" i="95"/>
  <c r="S628" i="95"/>
  <c r="AH629" i="95"/>
  <c r="AG629" i="95"/>
  <c r="AF629" i="95"/>
  <c r="W629" i="95"/>
  <c r="AC628" i="95"/>
  <c r="AB628" i="95"/>
  <c r="AA629" i="95"/>
  <c r="L629" i="95"/>
  <c r="H629" i="95"/>
  <c r="Y629" i="95"/>
  <c r="AB629" i="95"/>
  <c r="Z629" i="95"/>
  <c r="M629" i="95"/>
  <c r="I629" i="95"/>
  <c r="X629" i="95"/>
  <c r="G629" i="95"/>
  <c r="F629" i="95"/>
  <c r="AH628" i="95"/>
  <c r="AG628" i="95"/>
  <c r="F316" i="95"/>
  <c r="AD315" i="95"/>
  <c r="U318" i="95"/>
  <c r="J316" i="95"/>
  <c r="AF320" i="95"/>
  <c r="E350" i="95"/>
  <c r="AG320" i="95"/>
  <c r="N350" i="95"/>
  <c r="H317" i="95"/>
  <c r="AH320" i="95"/>
  <c r="AH317" i="95"/>
  <c r="X524" i="95"/>
  <c r="Y523" i="95"/>
  <c r="W524" i="95"/>
  <c r="X523" i="95"/>
  <c r="T524" i="95"/>
  <c r="U523" i="95"/>
  <c r="S524" i="95"/>
  <c r="T523" i="95"/>
  <c r="L524" i="95"/>
  <c r="M523" i="95"/>
  <c r="K524" i="95"/>
  <c r="L523" i="95"/>
  <c r="J524" i="95"/>
  <c r="K523" i="95"/>
  <c r="M524" i="95"/>
  <c r="H524" i="95"/>
  <c r="G524" i="95"/>
  <c r="I524" i="95"/>
  <c r="F524" i="95"/>
  <c r="AH523" i="95"/>
  <c r="AG523" i="95"/>
  <c r="AB524" i="95"/>
  <c r="H523" i="95"/>
  <c r="Z524" i="95"/>
  <c r="F523" i="95"/>
  <c r="Y524" i="95"/>
  <c r="AF523" i="95"/>
  <c r="AA524" i="95"/>
  <c r="G523" i="95"/>
  <c r="E523" i="95"/>
  <c r="V524" i="95"/>
  <c r="U524" i="95"/>
  <c r="R524" i="95"/>
  <c r="Q524" i="95"/>
  <c r="P524" i="95"/>
  <c r="O524" i="95"/>
  <c r="N524" i="95"/>
  <c r="Z523" i="95"/>
  <c r="P523" i="95"/>
  <c r="O523" i="95"/>
  <c r="I523" i="95"/>
  <c r="AH524" i="95"/>
  <c r="AG524" i="95"/>
  <c r="AC524" i="95"/>
  <c r="AE523" i="95"/>
  <c r="N523" i="95"/>
  <c r="J523" i="95"/>
  <c r="AF524" i="95"/>
  <c r="AD524" i="95"/>
  <c r="AD523" i="95"/>
  <c r="AC523" i="95"/>
  <c r="AE524" i="95"/>
  <c r="AB523" i="95"/>
  <c r="W523" i="95"/>
  <c r="AA523" i="95"/>
  <c r="S523" i="95"/>
  <c r="V523" i="95"/>
  <c r="Q523" i="95"/>
  <c r="R523" i="95"/>
  <c r="AC317" i="95"/>
  <c r="AG316" i="95"/>
  <c r="L352" i="95"/>
  <c r="I318" i="95"/>
  <c r="AD317" i="95"/>
  <c r="Y355" i="95"/>
  <c r="Q316" i="95"/>
  <c r="F315" i="95"/>
  <c r="Y320" i="95"/>
  <c r="E316" i="95"/>
  <c r="I352" i="95"/>
  <c r="AB353" i="95"/>
  <c r="AG355" i="95"/>
  <c r="O351" i="95"/>
  <c r="AC351" i="95"/>
  <c r="R351" i="95"/>
  <c r="AA318" i="95"/>
  <c r="K316" i="95"/>
  <c r="I316" i="95"/>
  <c r="E318" i="95"/>
  <c r="K315" i="95"/>
  <c r="U320" i="95"/>
  <c r="S318" i="95"/>
  <c r="F353" i="95"/>
  <c r="F352" i="95"/>
  <c r="AB318" i="95"/>
  <c r="W350" i="95"/>
  <c r="L320" i="95"/>
  <c r="V317" i="95"/>
  <c r="N314" i="95"/>
  <c r="O313" i="95"/>
  <c r="M314" i="95"/>
  <c r="N313" i="95"/>
  <c r="J314" i="95"/>
  <c r="K313" i="95"/>
  <c r="I314" i="95"/>
  <c r="J313" i="95"/>
  <c r="AD314" i="95"/>
  <c r="AE313" i="95"/>
  <c r="AC314" i="95"/>
  <c r="AD313" i="95"/>
  <c r="AH313" i="95"/>
  <c r="AG313" i="95"/>
  <c r="AF313" i="95"/>
  <c r="AC313" i="95"/>
  <c r="AG314" i="95"/>
  <c r="AB313" i="95"/>
  <c r="AH314" i="95"/>
  <c r="AA313" i="95"/>
  <c r="Z313" i="95"/>
  <c r="V313" i="95"/>
  <c r="U313" i="95"/>
  <c r="P313" i="95"/>
  <c r="AA314" i="95"/>
  <c r="X314" i="95"/>
  <c r="T313" i="95"/>
  <c r="S313" i="95"/>
  <c r="L313" i="95"/>
  <c r="Y314" i="95"/>
  <c r="W314" i="95"/>
  <c r="AF314" i="95"/>
  <c r="R313" i="95"/>
  <c r="AE314" i="95"/>
  <c r="Q313" i="95"/>
  <c r="AB314" i="95"/>
  <c r="M313" i="95"/>
  <c r="Z314" i="95"/>
  <c r="I313" i="95"/>
  <c r="H313" i="95"/>
  <c r="G313" i="95"/>
  <c r="Q314" i="95"/>
  <c r="T314" i="95"/>
  <c r="R314" i="95"/>
  <c r="K314" i="95"/>
  <c r="F314" i="95"/>
  <c r="V314" i="95"/>
  <c r="U314" i="95"/>
  <c r="O314" i="95"/>
  <c r="L314" i="95"/>
  <c r="Y313" i="95"/>
  <c r="S314" i="95"/>
  <c r="P314" i="95"/>
  <c r="G314" i="95"/>
  <c r="H314" i="95"/>
  <c r="F313" i="95"/>
  <c r="E313" i="95"/>
  <c r="X313" i="95"/>
  <c r="W313" i="95"/>
  <c r="AE317" i="95"/>
  <c r="E317" i="95"/>
  <c r="AG315" i="95"/>
  <c r="K317" i="95"/>
  <c r="Y317" i="95"/>
  <c r="Y350" i="95"/>
  <c r="AE353" i="95"/>
  <c r="AF350" i="95"/>
  <c r="Z352" i="95"/>
  <c r="AA352" i="95"/>
  <c r="P352" i="95"/>
  <c r="G315" i="95"/>
  <c r="V315" i="95"/>
  <c r="AH734" i="95"/>
  <c r="F734" i="95"/>
  <c r="G733" i="95"/>
  <c r="AG734" i="95"/>
  <c r="AH733" i="95"/>
  <c r="F733" i="95"/>
  <c r="AD734" i="95"/>
  <c r="AE733" i="95"/>
  <c r="AC734" i="95"/>
  <c r="AD733" i="95"/>
  <c r="V734" i="95"/>
  <c r="W733" i="95"/>
  <c r="U734" i="95"/>
  <c r="V733" i="95"/>
  <c r="T734" i="95"/>
  <c r="U733" i="95"/>
  <c r="AF734" i="95"/>
  <c r="X733" i="95"/>
  <c r="AB734" i="95"/>
  <c r="AA734" i="95"/>
  <c r="O733" i="95"/>
  <c r="W734" i="95"/>
  <c r="AE734" i="95"/>
  <c r="T733" i="95"/>
  <c r="S733" i="95"/>
  <c r="R733" i="95"/>
  <c r="Z734" i="95"/>
  <c r="Q733" i="95"/>
  <c r="Y734" i="95"/>
  <c r="P733" i="95"/>
  <c r="X734" i="95"/>
  <c r="S734" i="95"/>
  <c r="Q734" i="95"/>
  <c r="P734" i="95"/>
  <c r="R734" i="95"/>
  <c r="L734" i="95"/>
  <c r="J734" i="95"/>
  <c r="H734" i="95"/>
  <c r="O734" i="95"/>
  <c r="N734" i="95"/>
  <c r="M734" i="95"/>
  <c r="K734" i="95"/>
  <c r="I734" i="95"/>
  <c r="AA733" i="95"/>
  <c r="G734" i="95"/>
  <c r="AG733" i="95"/>
  <c r="AB733" i="95"/>
  <c r="Z733" i="95"/>
  <c r="Y733" i="95"/>
  <c r="M733" i="95"/>
  <c r="L733" i="95"/>
  <c r="E733" i="95"/>
  <c r="AF733" i="95"/>
  <c r="AC733" i="95"/>
  <c r="N733" i="95"/>
  <c r="I733" i="95"/>
  <c r="K733" i="95"/>
  <c r="J733" i="95"/>
  <c r="H733" i="95"/>
  <c r="AB315" i="95"/>
  <c r="AE318" i="95"/>
  <c r="O350" i="95"/>
  <c r="V320" i="95"/>
  <c r="L351" i="95"/>
  <c r="S316" i="95"/>
  <c r="AH315" i="95"/>
  <c r="N315" i="95"/>
  <c r="AA320" i="95"/>
  <c r="T317" i="95"/>
  <c r="P318" i="95"/>
  <c r="W318" i="95"/>
  <c r="Q352" i="95"/>
  <c r="AF351" i="95"/>
  <c r="O352" i="95"/>
  <c r="Q351" i="95"/>
  <c r="Y353" i="95"/>
  <c r="N353" i="95"/>
  <c r="AG317" i="95"/>
  <c r="U317" i="95"/>
  <c r="AA315" i="95"/>
  <c r="AF317" i="95"/>
  <c r="V350" i="95"/>
  <c r="K351" i="95"/>
  <c r="E352" i="95"/>
  <c r="I350" i="95"/>
  <c r="AG419" i="95"/>
  <c r="AH418" i="95"/>
  <c r="F418" i="95"/>
  <c r="AF419" i="95"/>
  <c r="AG418" i="95"/>
  <c r="E418" i="95"/>
  <c r="AC419" i="95"/>
  <c r="AD418" i="95"/>
  <c r="AB419" i="95"/>
  <c r="AC418" i="95"/>
  <c r="U419" i="95"/>
  <c r="V418" i="95"/>
  <c r="T419" i="95"/>
  <c r="U418" i="95"/>
  <c r="H419" i="95"/>
  <c r="F419" i="95"/>
  <c r="AF418" i="95"/>
  <c r="G419" i="95"/>
  <c r="AE418" i="95"/>
  <c r="AB418" i="95"/>
  <c r="AA418" i="95"/>
  <c r="L419" i="95"/>
  <c r="J419" i="95"/>
  <c r="I419" i="95"/>
  <c r="X418" i="95"/>
  <c r="Q418" i="95"/>
  <c r="K419" i="95"/>
  <c r="W418" i="95"/>
  <c r="T418" i="95"/>
  <c r="S418" i="95"/>
  <c r="Z418" i="95"/>
  <c r="Y418" i="95"/>
  <c r="R418" i="95"/>
  <c r="Y419" i="95"/>
  <c r="K418" i="95"/>
  <c r="I418" i="95"/>
  <c r="H418" i="95"/>
  <c r="AH419" i="95"/>
  <c r="AE419" i="95"/>
  <c r="AD419" i="95"/>
  <c r="X419" i="95"/>
  <c r="V419" i="95"/>
  <c r="P419" i="95"/>
  <c r="M419" i="95"/>
  <c r="O418" i="95"/>
  <c r="G418" i="95"/>
  <c r="W419" i="95"/>
  <c r="S419" i="95"/>
  <c r="R419" i="95"/>
  <c r="O419" i="95"/>
  <c r="N419" i="95"/>
  <c r="P418" i="95"/>
  <c r="AA419" i="95"/>
  <c r="Z419" i="95"/>
  <c r="Q419" i="95"/>
  <c r="J418" i="95"/>
  <c r="M418" i="95"/>
  <c r="N418" i="95"/>
  <c r="L418" i="95"/>
  <c r="Q315" i="95"/>
  <c r="R316" i="95"/>
  <c r="AH318" i="95"/>
  <c r="R320" i="95"/>
  <c r="Q320" i="95"/>
  <c r="R352" i="95"/>
  <c r="I355" i="95"/>
  <c r="Z353" i="95"/>
  <c r="M355" i="95"/>
  <c r="S355" i="95"/>
  <c r="H355" i="95"/>
  <c r="AG174" i="95"/>
  <c r="AE174" i="95"/>
  <c r="AC174" i="95"/>
  <c r="AH174" i="95"/>
  <c r="AF174" i="95"/>
  <c r="AD174" i="95"/>
  <c r="AA174" i="95"/>
  <c r="AB174" i="95"/>
  <c r="AH740" i="95"/>
  <c r="F740" i="95"/>
  <c r="M738" i="95"/>
  <c r="O737" i="95"/>
  <c r="Q736" i="95"/>
  <c r="S735" i="95"/>
  <c r="AG740" i="95"/>
  <c r="E740" i="95"/>
  <c r="L738" i="95"/>
  <c r="N737" i="95"/>
  <c r="P736" i="95"/>
  <c r="R735" i="95"/>
  <c r="AF740" i="95"/>
  <c r="K738" i="95"/>
  <c r="M737" i="95"/>
  <c r="O736" i="95"/>
  <c r="Q735" i="95"/>
  <c r="AB740" i="95"/>
  <c r="G738" i="95"/>
  <c r="I737" i="95"/>
  <c r="K736" i="95"/>
  <c r="M735" i="95"/>
  <c r="Y740" i="95"/>
  <c r="AF738" i="95"/>
  <c r="AH737" i="95"/>
  <c r="F737" i="95"/>
  <c r="H736" i="95"/>
  <c r="J735" i="95"/>
  <c r="V740" i="95"/>
  <c r="AC738" i="95"/>
  <c r="AE737" i="95"/>
  <c r="AG736" i="95"/>
  <c r="E736" i="95"/>
  <c r="G735" i="95"/>
  <c r="T740" i="95"/>
  <c r="AA738" i="95"/>
  <c r="AC737" i="95"/>
  <c r="AE736" i="95"/>
  <c r="AG735" i="95"/>
  <c r="E735" i="95"/>
  <c r="S740" i="95"/>
  <c r="Z738" i="95"/>
  <c r="AB737" i="95"/>
  <c r="AD736" i="95"/>
  <c r="AF735" i="95"/>
  <c r="Q740" i="95"/>
  <c r="X738" i="95"/>
  <c r="Z737" i="95"/>
  <c r="AB736" i="95"/>
  <c r="AD735" i="95"/>
  <c r="M740" i="95"/>
  <c r="T738" i="95"/>
  <c r="V737" i="95"/>
  <c r="X736" i="95"/>
  <c r="Z735" i="95"/>
  <c r="AE740" i="95"/>
  <c r="V738" i="95"/>
  <c r="J737" i="95"/>
  <c r="Y735" i="95"/>
  <c r="AD740" i="95"/>
  <c r="U738" i="95"/>
  <c r="H737" i="95"/>
  <c r="X735" i="95"/>
  <c r="AC740" i="95"/>
  <c r="S738" i="95"/>
  <c r="G737" i="95"/>
  <c r="W735" i="95"/>
  <c r="AA740" i="95"/>
  <c r="R738" i="95"/>
  <c r="E737" i="95"/>
  <c r="V735" i="95"/>
  <c r="Z740" i="95"/>
  <c r="Q738" i="95"/>
  <c r="AH736" i="95"/>
  <c r="U735" i="95"/>
  <c r="X740" i="95"/>
  <c r="P738" i="95"/>
  <c r="AF736" i="95"/>
  <c r="T735" i="95"/>
  <c r="U740" i="95"/>
  <c r="N738" i="95"/>
  <c r="AA736" i="95"/>
  <c r="O735" i="95"/>
  <c r="R740" i="95"/>
  <c r="J738" i="95"/>
  <c r="Z736" i="95"/>
  <c r="N735" i="95"/>
  <c r="O740" i="95"/>
  <c r="H738" i="95"/>
  <c r="W740" i="95"/>
  <c r="X737" i="95"/>
  <c r="AB735" i="95"/>
  <c r="I735" i="95"/>
  <c r="Q737" i="95"/>
  <c r="P740" i="95"/>
  <c r="W737" i="95"/>
  <c r="AA735" i="95"/>
  <c r="J740" i="95"/>
  <c r="E734" i="95"/>
  <c r="N740" i="95"/>
  <c r="U737" i="95"/>
  <c r="P735" i="95"/>
  <c r="I740" i="95"/>
  <c r="L740" i="95"/>
  <c r="T737" i="95"/>
  <c r="L735" i="95"/>
  <c r="R737" i="95"/>
  <c r="K740" i="95"/>
  <c r="S737" i="95"/>
  <c r="K735" i="95"/>
  <c r="H735" i="95"/>
  <c r="H740" i="95"/>
  <c r="P737" i="95"/>
  <c r="F735" i="95"/>
  <c r="G740" i="95"/>
  <c r="L737" i="95"/>
  <c r="Y736" i="95"/>
  <c r="AH738" i="95"/>
  <c r="W736" i="95"/>
  <c r="Y738" i="95"/>
  <c r="R736" i="95"/>
  <c r="W738" i="95"/>
  <c r="N736" i="95"/>
  <c r="O738" i="95"/>
  <c r="M736" i="95"/>
  <c r="F738" i="95"/>
  <c r="J736" i="95"/>
  <c r="AG738" i="95"/>
  <c r="K737" i="95"/>
  <c r="V736" i="95"/>
  <c r="AE738" i="95"/>
  <c r="AF737" i="95"/>
  <c r="AD738" i="95"/>
  <c r="AG737" i="95"/>
  <c r="AD737" i="95"/>
  <c r="AA737" i="95"/>
  <c r="AC736" i="95"/>
  <c r="AB738" i="95"/>
  <c r="I738" i="95"/>
  <c r="E738" i="95"/>
  <c r="Y737" i="95"/>
  <c r="U736" i="95"/>
  <c r="T736" i="95"/>
  <c r="S736" i="95"/>
  <c r="F736" i="95"/>
  <c r="L736" i="95"/>
  <c r="I736" i="95"/>
  <c r="AE735" i="95"/>
  <c r="G736" i="95"/>
  <c r="AH735" i="95"/>
  <c r="AC735" i="95"/>
  <c r="T495" i="95"/>
  <c r="Z493" i="95"/>
  <c r="AB492" i="95"/>
  <c r="AD491" i="95"/>
  <c r="AF490" i="95"/>
  <c r="R495" i="95"/>
  <c r="X493" i="95"/>
  <c r="Z492" i="95"/>
  <c r="AB491" i="95"/>
  <c r="AD490" i="95"/>
  <c r="N495" i="95"/>
  <c r="T493" i="95"/>
  <c r="V492" i="95"/>
  <c r="X491" i="95"/>
  <c r="Z490" i="95"/>
  <c r="K495" i="95"/>
  <c r="Q493" i="95"/>
  <c r="S492" i="95"/>
  <c r="U491" i="95"/>
  <c r="W490" i="95"/>
  <c r="H495" i="95"/>
  <c r="N493" i="95"/>
  <c r="P492" i="95"/>
  <c r="R491" i="95"/>
  <c r="T490" i="95"/>
  <c r="AH495" i="95"/>
  <c r="F495" i="95"/>
  <c r="L493" i="95"/>
  <c r="N492" i="95"/>
  <c r="P491" i="95"/>
  <c r="R490" i="95"/>
  <c r="AG495" i="95"/>
  <c r="E495" i="95"/>
  <c r="K493" i="95"/>
  <c r="M492" i="95"/>
  <c r="O491" i="95"/>
  <c r="Q490" i="95"/>
  <c r="AE495" i="95"/>
  <c r="I493" i="95"/>
  <c r="K492" i="95"/>
  <c r="M491" i="95"/>
  <c r="O490" i="95"/>
  <c r="S495" i="95"/>
  <c r="M493" i="95"/>
  <c r="AH491" i="95"/>
  <c r="Y490" i="95"/>
  <c r="Q495" i="95"/>
  <c r="J493" i="95"/>
  <c r="AG491" i="95"/>
  <c r="X490" i="95"/>
  <c r="P495" i="95"/>
  <c r="H493" i="95"/>
  <c r="AF491" i="95"/>
  <c r="V490" i="95"/>
  <c r="O495" i="95"/>
  <c r="G493" i="95"/>
  <c r="AE491" i="95"/>
  <c r="U490" i="95"/>
  <c r="M495" i="95"/>
  <c r="F493" i="95"/>
  <c r="AC491" i="95"/>
  <c r="S490" i="95"/>
  <c r="AF495" i="95"/>
  <c r="V493" i="95"/>
  <c r="E492" i="95"/>
  <c r="K490" i="95"/>
  <c r="V491" i="95"/>
  <c r="Y495" i="95"/>
  <c r="T491" i="95"/>
  <c r="AH492" i="95"/>
  <c r="S491" i="95"/>
  <c r="AD495" i="95"/>
  <c r="U493" i="95"/>
  <c r="AA491" i="95"/>
  <c r="J490" i="95"/>
  <c r="O493" i="95"/>
  <c r="AC495" i="95"/>
  <c r="S493" i="95"/>
  <c r="Z491" i="95"/>
  <c r="I490" i="95"/>
  <c r="Z495" i="95"/>
  <c r="F490" i="95"/>
  <c r="E493" i="95"/>
  <c r="E490" i="95"/>
  <c r="AB495" i="95"/>
  <c r="R493" i="95"/>
  <c r="Y491" i="95"/>
  <c r="H490" i="95"/>
  <c r="AA495" i="95"/>
  <c r="P493" i="95"/>
  <c r="W491" i="95"/>
  <c r="G490" i="95"/>
  <c r="X495" i="95"/>
  <c r="W495" i="95"/>
  <c r="AG492" i="95"/>
  <c r="Q491" i="95"/>
  <c r="E489" i="95"/>
  <c r="U492" i="95"/>
  <c r="E491" i="95"/>
  <c r="AH493" i="95"/>
  <c r="T492" i="95"/>
  <c r="AH490" i="95"/>
  <c r="AG493" i="95"/>
  <c r="R492" i="95"/>
  <c r="AG490" i="95"/>
  <c r="AE493" i="95"/>
  <c r="O492" i="95"/>
  <c r="AC490" i="95"/>
  <c r="AC492" i="95"/>
  <c r="J492" i="95"/>
  <c r="I492" i="95"/>
  <c r="F492" i="95"/>
  <c r="AA492" i="95"/>
  <c r="N491" i="95"/>
  <c r="Y492" i="95"/>
  <c r="L492" i="95"/>
  <c r="H492" i="95"/>
  <c r="U495" i="95"/>
  <c r="X492" i="95"/>
  <c r="W492" i="95"/>
  <c r="Q492" i="95"/>
  <c r="V495" i="95"/>
  <c r="G492" i="95"/>
  <c r="AE492" i="95"/>
  <c r="L490" i="95"/>
  <c r="AD492" i="95"/>
  <c r="L495" i="95"/>
  <c r="G495" i="95"/>
  <c r="Y493" i="95"/>
  <c r="W493" i="95"/>
  <c r="AF492" i="95"/>
  <c r="J495" i="95"/>
  <c r="AC493" i="95"/>
  <c r="J491" i="95"/>
  <c r="I491" i="95"/>
  <c r="AA493" i="95"/>
  <c r="L491" i="95"/>
  <c r="H491" i="95"/>
  <c r="G491" i="95"/>
  <c r="AF493" i="95"/>
  <c r="K491" i="95"/>
  <c r="AD493" i="95"/>
  <c r="AB493" i="95"/>
  <c r="F491" i="95"/>
  <c r="AE490" i="95"/>
  <c r="AB490" i="95"/>
  <c r="AA490" i="95"/>
  <c r="P490" i="95"/>
  <c r="N490" i="95"/>
  <c r="M490" i="95"/>
  <c r="I495" i="95"/>
  <c r="AF250" i="95"/>
  <c r="J248" i="95"/>
  <c r="L247" i="95"/>
  <c r="N246" i="95"/>
  <c r="P245" i="95"/>
  <c r="AD250" i="95"/>
  <c r="H248" i="95"/>
  <c r="J247" i="95"/>
  <c r="L246" i="95"/>
  <c r="N245" i="95"/>
  <c r="Z250" i="95"/>
  <c r="AF248" i="95"/>
  <c r="AH247" i="95"/>
  <c r="F247" i="95"/>
  <c r="H246" i="95"/>
  <c r="J245" i="95"/>
  <c r="W250" i="95"/>
  <c r="AC248" i="95"/>
  <c r="AE247" i="95"/>
  <c r="AG246" i="95"/>
  <c r="E246" i="95"/>
  <c r="G245" i="95"/>
  <c r="T250" i="95"/>
  <c r="Z248" i="95"/>
  <c r="AB247" i="95"/>
  <c r="AD246" i="95"/>
  <c r="AF245" i="95"/>
  <c r="O250" i="95"/>
  <c r="U248" i="95"/>
  <c r="W247" i="95"/>
  <c r="Y246" i="95"/>
  <c r="AA245" i="95"/>
  <c r="Q250" i="95"/>
  <c r="P248" i="95"/>
  <c r="K247" i="95"/>
  <c r="AH245" i="95"/>
  <c r="P250" i="95"/>
  <c r="O248" i="95"/>
  <c r="I247" i="95"/>
  <c r="AG245" i="95"/>
  <c r="N250" i="95"/>
  <c r="N248" i="95"/>
  <c r="H247" i="95"/>
  <c r="AE245" i="95"/>
  <c r="M250" i="95"/>
  <c r="M248" i="95"/>
  <c r="G247" i="95"/>
  <c r="AD245" i="95"/>
  <c r="L250" i="95"/>
  <c r="L248" i="95"/>
  <c r="E247" i="95"/>
  <c r="AC245" i="95"/>
  <c r="X250" i="95"/>
  <c r="K248" i="95"/>
  <c r="AA246" i="95"/>
  <c r="Q245" i="95"/>
  <c r="AG247" i="95"/>
  <c r="AF247" i="95"/>
  <c r="H245" i="95"/>
  <c r="I250" i="95"/>
  <c r="S246" i="95"/>
  <c r="AC247" i="95"/>
  <c r="V250" i="95"/>
  <c r="I248" i="95"/>
  <c r="Z246" i="95"/>
  <c r="O245" i="95"/>
  <c r="R246" i="95"/>
  <c r="U250" i="95"/>
  <c r="G248" i="95"/>
  <c r="X246" i="95"/>
  <c r="M245" i="95"/>
  <c r="K250" i="95"/>
  <c r="U246" i="95"/>
  <c r="I245" i="95"/>
  <c r="J250" i="95"/>
  <c r="T246" i="95"/>
  <c r="AD247" i="95"/>
  <c r="F245" i="95"/>
  <c r="H250" i="95"/>
  <c r="E245" i="95"/>
  <c r="S250" i="95"/>
  <c r="F248" i="95"/>
  <c r="W246" i="95"/>
  <c r="L245" i="95"/>
  <c r="R250" i="95"/>
  <c r="E248" i="95"/>
  <c r="V246" i="95"/>
  <c r="K245" i="95"/>
  <c r="AD248" i="95"/>
  <c r="R247" i="95"/>
  <c r="F246" i="95"/>
  <c r="AB248" i="95"/>
  <c r="Q247" i="95"/>
  <c r="AB245" i="95"/>
  <c r="AA248" i="95"/>
  <c r="O246" i="95"/>
  <c r="G246" i="95"/>
  <c r="W245" i="95"/>
  <c r="X247" i="95"/>
  <c r="Y248" i="95"/>
  <c r="M246" i="95"/>
  <c r="T248" i="95"/>
  <c r="Z245" i="95"/>
  <c r="Y247" i="95"/>
  <c r="T245" i="95"/>
  <c r="X248" i="95"/>
  <c r="K246" i="95"/>
  <c r="J246" i="95"/>
  <c r="S248" i="95"/>
  <c r="W248" i="95"/>
  <c r="R248" i="95"/>
  <c r="X245" i="95"/>
  <c r="V248" i="95"/>
  <c r="I246" i="95"/>
  <c r="Y245" i="95"/>
  <c r="Q248" i="95"/>
  <c r="AA247" i="95"/>
  <c r="Z247" i="95"/>
  <c r="V245" i="95"/>
  <c r="AG248" i="95"/>
  <c r="Q246" i="95"/>
  <c r="AE248" i="95"/>
  <c r="P246" i="95"/>
  <c r="U245" i="95"/>
  <c r="Y250" i="95"/>
  <c r="U247" i="95"/>
  <c r="T247" i="95"/>
  <c r="M247" i="95"/>
  <c r="G250" i="95"/>
  <c r="S247" i="95"/>
  <c r="P247" i="95"/>
  <c r="AA250" i="95"/>
  <c r="F250" i="95"/>
  <c r="E250" i="95"/>
  <c r="AH248" i="95"/>
  <c r="V247" i="95"/>
  <c r="N247" i="95"/>
  <c r="AH246" i="95"/>
  <c r="AF246" i="95"/>
  <c r="AB250" i="95"/>
  <c r="O247" i="95"/>
  <c r="AE246" i="95"/>
  <c r="AC246" i="95"/>
  <c r="AB246" i="95"/>
  <c r="S245" i="95"/>
  <c r="R245" i="95"/>
  <c r="AH250" i="95"/>
  <c r="AG250" i="95"/>
  <c r="E244" i="95"/>
  <c r="AE250" i="95"/>
  <c r="AC250" i="95"/>
  <c r="AC530" i="95"/>
  <c r="H528" i="95"/>
  <c r="J527" i="95"/>
  <c r="L526" i="95"/>
  <c r="N525" i="95"/>
  <c r="AA530" i="95"/>
  <c r="AH528" i="95"/>
  <c r="F528" i="95"/>
  <c r="H527" i="95"/>
  <c r="J526" i="95"/>
  <c r="L525" i="95"/>
  <c r="W530" i="95"/>
  <c r="AD528" i="95"/>
  <c r="AF527" i="95"/>
  <c r="AH526" i="95"/>
  <c r="F526" i="95"/>
  <c r="H525" i="95"/>
  <c r="T530" i="95"/>
  <c r="AA528" i="95"/>
  <c r="AC527" i="95"/>
  <c r="AE526" i="95"/>
  <c r="AG525" i="95"/>
  <c r="E525" i="95"/>
  <c r="Q530" i="95"/>
  <c r="X528" i="95"/>
  <c r="Z527" i="95"/>
  <c r="AB526" i="95"/>
  <c r="AD525" i="95"/>
  <c r="O530" i="95"/>
  <c r="V528" i="95"/>
  <c r="X527" i="95"/>
  <c r="Z526" i="95"/>
  <c r="AB525" i="95"/>
  <c r="N530" i="95"/>
  <c r="U528" i="95"/>
  <c r="W527" i="95"/>
  <c r="Y526" i="95"/>
  <c r="AA525" i="95"/>
  <c r="L530" i="95"/>
  <c r="S528" i="95"/>
  <c r="U527" i="95"/>
  <c r="W526" i="95"/>
  <c r="Y525" i="95"/>
  <c r="M530" i="95"/>
  <c r="K528" i="95"/>
  <c r="AF526" i="95"/>
  <c r="U525" i="95"/>
  <c r="K530" i="95"/>
  <c r="J528" i="95"/>
  <c r="AD526" i="95"/>
  <c r="T525" i="95"/>
  <c r="J530" i="95"/>
  <c r="I528" i="95"/>
  <c r="AC526" i="95"/>
  <c r="S525" i="95"/>
  <c r="I530" i="95"/>
  <c r="G528" i="95"/>
  <c r="AA526" i="95"/>
  <c r="R525" i="95"/>
  <c r="H530" i="95"/>
  <c r="E528" i="95"/>
  <c r="X526" i="95"/>
  <c r="Q525" i="95"/>
  <c r="S530" i="95"/>
  <c r="AE527" i="95"/>
  <c r="O526" i="95"/>
  <c r="E530" i="95"/>
  <c r="G526" i="95"/>
  <c r="E526" i="95"/>
  <c r="R530" i="95"/>
  <c r="AD527" i="95"/>
  <c r="N526" i="95"/>
  <c r="V527" i="95"/>
  <c r="P530" i="95"/>
  <c r="AB527" i="95"/>
  <c r="M526" i="95"/>
  <c r="H526" i="95"/>
  <c r="T527" i="95"/>
  <c r="S527" i="95"/>
  <c r="G530" i="95"/>
  <c r="AA527" i="95"/>
  <c r="K526" i="95"/>
  <c r="F530" i="95"/>
  <c r="Y527" i="95"/>
  <c r="I526" i="95"/>
  <c r="R527" i="95"/>
  <c r="AH525" i="95"/>
  <c r="AH530" i="95"/>
  <c r="W528" i="95"/>
  <c r="G527" i="95"/>
  <c r="O525" i="95"/>
  <c r="AG530" i="95"/>
  <c r="T528" i="95"/>
  <c r="F527" i="95"/>
  <c r="M525" i="95"/>
  <c r="AF530" i="95"/>
  <c r="R528" i="95"/>
  <c r="E527" i="95"/>
  <c r="K525" i="95"/>
  <c r="AD530" i="95"/>
  <c r="P528" i="95"/>
  <c r="V526" i="95"/>
  <c r="I525" i="95"/>
  <c r="Y528" i="95"/>
  <c r="W525" i="95"/>
  <c r="Q528" i="95"/>
  <c r="V525" i="95"/>
  <c r="AH527" i="95"/>
  <c r="AG527" i="95"/>
  <c r="Q527" i="95"/>
  <c r="O528" i="95"/>
  <c r="P525" i="95"/>
  <c r="E524" i="95"/>
  <c r="P527" i="95"/>
  <c r="M527" i="95"/>
  <c r="N528" i="95"/>
  <c r="J525" i="95"/>
  <c r="N527" i="95"/>
  <c r="M528" i="95"/>
  <c r="G525" i="95"/>
  <c r="L528" i="95"/>
  <c r="F525" i="95"/>
  <c r="O527" i="95"/>
  <c r="AB528" i="95"/>
  <c r="Z525" i="95"/>
  <c r="Z528" i="95"/>
  <c r="X525" i="95"/>
  <c r="Z530" i="95"/>
  <c r="AF528" i="95"/>
  <c r="AC528" i="95"/>
  <c r="T526" i="95"/>
  <c r="S526" i="95"/>
  <c r="AE530" i="95"/>
  <c r="AB530" i="95"/>
  <c r="Y530" i="95"/>
  <c r="L527" i="95"/>
  <c r="X530" i="95"/>
  <c r="I527" i="95"/>
  <c r="AG526" i="95"/>
  <c r="U526" i="95"/>
  <c r="V530" i="95"/>
  <c r="U530" i="95"/>
  <c r="AE528" i="95"/>
  <c r="AG528" i="95"/>
  <c r="K527" i="95"/>
  <c r="R526" i="95"/>
  <c r="Q526" i="95"/>
  <c r="P526" i="95"/>
  <c r="AF525" i="95"/>
  <c r="AE525" i="95"/>
  <c r="AC525" i="95"/>
  <c r="K565" i="95"/>
  <c r="Q563" i="95"/>
  <c r="S562" i="95"/>
  <c r="U561" i="95"/>
  <c r="W560" i="95"/>
  <c r="I565" i="95"/>
  <c r="O563" i="95"/>
  <c r="Q562" i="95"/>
  <c r="S561" i="95"/>
  <c r="U560" i="95"/>
  <c r="AG565" i="95"/>
  <c r="E565" i="95"/>
  <c r="K563" i="95"/>
  <c r="M562" i="95"/>
  <c r="O561" i="95"/>
  <c r="Q560" i="95"/>
  <c r="AD565" i="95"/>
  <c r="H563" i="95"/>
  <c r="J562" i="95"/>
  <c r="L561" i="95"/>
  <c r="N560" i="95"/>
  <c r="AA565" i="95"/>
  <c r="AG563" i="95"/>
  <c r="E563" i="95"/>
  <c r="G562" i="95"/>
  <c r="I561" i="95"/>
  <c r="K560" i="95"/>
  <c r="Y565" i="95"/>
  <c r="AE563" i="95"/>
  <c r="AG562" i="95"/>
  <c r="E562" i="95"/>
  <c r="G561" i="95"/>
  <c r="I560" i="95"/>
  <c r="X565" i="95"/>
  <c r="AD563" i="95"/>
  <c r="AF562" i="95"/>
  <c r="AH561" i="95"/>
  <c r="F561" i="95"/>
  <c r="H560" i="95"/>
  <c r="V565" i="95"/>
  <c r="AB563" i="95"/>
  <c r="AD562" i="95"/>
  <c r="AF561" i="95"/>
  <c r="AH560" i="95"/>
  <c r="F560" i="95"/>
  <c r="N565" i="95"/>
  <c r="I563" i="95"/>
  <c r="AB561" i="95"/>
  <c r="T560" i="95"/>
  <c r="M565" i="95"/>
  <c r="G563" i="95"/>
  <c r="AA561" i="95"/>
  <c r="S560" i="95"/>
  <c r="L565" i="95"/>
  <c r="F563" i="95"/>
  <c r="Z561" i="95"/>
  <c r="R560" i="95"/>
  <c r="J565" i="95"/>
  <c r="AH562" i="95"/>
  <c r="Y561" i="95"/>
  <c r="P560" i="95"/>
  <c r="H565" i="95"/>
  <c r="AE562" i="95"/>
  <c r="X561" i="95"/>
  <c r="O560" i="95"/>
  <c r="AH563" i="95"/>
  <c r="R562" i="95"/>
  <c r="AD560" i="95"/>
  <c r="Y563" i="95"/>
  <c r="X563" i="95"/>
  <c r="X560" i="95"/>
  <c r="U563" i="95"/>
  <c r="AF563" i="95"/>
  <c r="P562" i="95"/>
  <c r="AC560" i="95"/>
  <c r="Y560" i="95"/>
  <c r="AH565" i="95"/>
  <c r="AC563" i="95"/>
  <c r="O562" i="95"/>
  <c r="AB560" i="95"/>
  <c r="K562" i="95"/>
  <c r="I562" i="95"/>
  <c r="AA563" i="95"/>
  <c r="N562" i="95"/>
  <c r="AA560" i="95"/>
  <c r="Z563" i="95"/>
  <c r="L562" i="95"/>
  <c r="Z560" i="95"/>
  <c r="W563" i="95"/>
  <c r="H562" i="95"/>
  <c r="V560" i="95"/>
  <c r="V563" i="95"/>
  <c r="F562" i="95"/>
  <c r="M560" i="95"/>
  <c r="AC565" i="95"/>
  <c r="R563" i="95"/>
  <c r="AC561" i="95"/>
  <c r="E560" i="95"/>
  <c r="T565" i="95"/>
  <c r="J563" i="95"/>
  <c r="Q561" i="95"/>
  <c r="S565" i="95"/>
  <c r="AC562" i="95"/>
  <c r="P561" i="95"/>
  <c r="R565" i="95"/>
  <c r="AB562" i="95"/>
  <c r="N561" i="95"/>
  <c r="P565" i="95"/>
  <c r="Z562" i="95"/>
  <c r="K561" i="95"/>
  <c r="U565" i="95"/>
  <c r="M561" i="95"/>
  <c r="L560" i="95"/>
  <c r="T563" i="95"/>
  <c r="S563" i="95"/>
  <c r="Q565" i="95"/>
  <c r="J561" i="95"/>
  <c r="AE560" i="95"/>
  <c r="J560" i="95"/>
  <c r="N563" i="95"/>
  <c r="E559" i="95"/>
  <c r="O565" i="95"/>
  <c r="H561" i="95"/>
  <c r="G560" i="95"/>
  <c r="G565" i="95"/>
  <c r="E561" i="95"/>
  <c r="F565" i="95"/>
  <c r="AG560" i="95"/>
  <c r="AF560" i="95"/>
  <c r="P563" i="95"/>
  <c r="Z565" i="95"/>
  <c r="T561" i="95"/>
  <c r="W565" i="95"/>
  <c r="R561" i="95"/>
  <c r="M563" i="95"/>
  <c r="AF565" i="95"/>
  <c r="AB565" i="95"/>
  <c r="W562" i="95"/>
  <c r="AE565" i="95"/>
  <c r="X562" i="95"/>
  <c r="V562" i="95"/>
  <c r="L563" i="95"/>
  <c r="U562" i="95"/>
  <c r="AA562" i="95"/>
  <c r="Y562" i="95"/>
  <c r="T562" i="95"/>
  <c r="AG561" i="95"/>
  <c r="AE561" i="95"/>
  <c r="AD561" i="95"/>
  <c r="W561" i="95"/>
  <c r="V561" i="95"/>
  <c r="V215" i="95"/>
  <c r="Z213" i="95"/>
  <c r="T215" i="95"/>
  <c r="P215" i="95"/>
  <c r="T213" i="95"/>
  <c r="J215" i="95"/>
  <c r="N213" i="95"/>
  <c r="AG215" i="95"/>
  <c r="E215" i="95"/>
  <c r="AH215" i="95"/>
  <c r="AF213" i="95"/>
  <c r="AE212" i="95"/>
  <c r="AG211" i="95"/>
  <c r="E211" i="95"/>
  <c r="G210" i="95"/>
  <c r="AF215" i="95"/>
  <c r="AE213" i="95"/>
  <c r="AD212" i="95"/>
  <c r="AF211" i="95"/>
  <c r="AH210" i="95"/>
  <c r="F210" i="95"/>
  <c r="AE215" i="95"/>
  <c r="AD213" i="95"/>
  <c r="AC212" i="95"/>
  <c r="AE211" i="95"/>
  <c r="AG210" i="95"/>
  <c r="E210" i="95"/>
  <c r="AD215" i="95"/>
  <c r="AC213" i="95"/>
  <c r="AB212" i="95"/>
  <c r="AD211" i="95"/>
  <c r="AF210" i="95"/>
  <c r="AC215" i="95"/>
  <c r="AB213" i="95"/>
  <c r="AA212" i="95"/>
  <c r="AC211" i="95"/>
  <c r="AE210" i="95"/>
  <c r="E209" i="95"/>
  <c r="I215" i="95"/>
  <c r="AH212" i="95"/>
  <c r="Z211" i="95"/>
  <c r="W210" i="95"/>
  <c r="X212" i="95"/>
  <c r="T211" i="95"/>
  <c r="S211" i="95"/>
  <c r="U212" i="95"/>
  <c r="H215" i="95"/>
  <c r="AG212" i="95"/>
  <c r="Y211" i="95"/>
  <c r="V210" i="95"/>
  <c r="U210" i="95"/>
  <c r="R211" i="95"/>
  <c r="G215" i="95"/>
  <c r="AF212" i="95"/>
  <c r="X211" i="95"/>
  <c r="U211" i="95"/>
  <c r="AH213" i="95"/>
  <c r="W212" i="95"/>
  <c r="Q210" i="95"/>
  <c r="AG213" i="95"/>
  <c r="V212" i="95"/>
  <c r="P210" i="95"/>
  <c r="AA213" i="95"/>
  <c r="O210" i="95"/>
  <c r="F215" i="95"/>
  <c r="Z212" i="95"/>
  <c r="W211" i="95"/>
  <c r="T210" i="95"/>
  <c r="Y212" i="95"/>
  <c r="V211" i="95"/>
  <c r="S210" i="95"/>
  <c r="R210" i="95"/>
  <c r="X215" i="95"/>
  <c r="P213" i="95"/>
  <c r="L212" i="95"/>
  <c r="I211" i="95"/>
  <c r="W215" i="95"/>
  <c r="O213" i="95"/>
  <c r="K212" i="95"/>
  <c r="H211" i="95"/>
  <c r="N215" i="95"/>
  <c r="M212" i="95"/>
  <c r="M210" i="95"/>
  <c r="H210" i="95"/>
  <c r="E212" i="95"/>
  <c r="AB211" i="95"/>
  <c r="M213" i="95"/>
  <c r="M215" i="95"/>
  <c r="J212" i="95"/>
  <c r="L210" i="95"/>
  <c r="J210" i="95"/>
  <c r="F212" i="95"/>
  <c r="V213" i="95"/>
  <c r="S213" i="95"/>
  <c r="P211" i="95"/>
  <c r="O211" i="95"/>
  <c r="L215" i="95"/>
  <c r="I212" i="95"/>
  <c r="K210" i="95"/>
  <c r="H212" i="95"/>
  <c r="X213" i="95"/>
  <c r="W213" i="95"/>
  <c r="AH211" i="95"/>
  <c r="U213" i="95"/>
  <c r="AA211" i="95"/>
  <c r="K215" i="95"/>
  <c r="Y213" i="95"/>
  <c r="G212" i="95"/>
  <c r="I210" i="95"/>
  <c r="Q213" i="95"/>
  <c r="R213" i="95"/>
  <c r="Q211" i="95"/>
  <c r="Q215" i="95"/>
  <c r="O212" i="95"/>
  <c r="X210" i="95"/>
  <c r="O215" i="95"/>
  <c r="N212" i="95"/>
  <c r="N210" i="95"/>
  <c r="Z215" i="95"/>
  <c r="AA210" i="95"/>
  <c r="R215" i="95"/>
  <c r="J213" i="95"/>
  <c r="R212" i="95"/>
  <c r="AC210" i="95"/>
  <c r="Y215" i="95"/>
  <c r="Z210" i="95"/>
  <c r="F213" i="95"/>
  <c r="E213" i="95"/>
  <c r="T212" i="95"/>
  <c r="G211" i="95"/>
  <c r="AB215" i="95"/>
  <c r="U215" i="95"/>
  <c r="Y210" i="95"/>
  <c r="L213" i="95"/>
  <c r="K213" i="95"/>
  <c r="H213" i="95"/>
  <c r="G213" i="95"/>
  <c r="S215" i="95"/>
  <c r="S212" i="95"/>
  <c r="Q212" i="95"/>
  <c r="AD210" i="95"/>
  <c r="AB210" i="95"/>
  <c r="I213" i="95"/>
  <c r="AA215" i="95"/>
  <c r="F211" i="95"/>
  <c r="P212" i="95"/>
  <c r="N211" i="95"/>
  <c r="M211" i="95"/>
  <c r="L211" i="95"/>
  <c r="K211" i="95"/>
  <c r="J211" i="95"/>
  <c r="J460" i="95"/>
  <c r="P458" i="95"/>
  <c r="R457" i="95"/>
  <c r="T456" i="95"/>
  <c r="V455" i="95"/>
  <c r="H460" i="95"/>
  <c r="N458" i="95"/>
  <c r="P457" i="95"/>
  <c r="R456" i="95"/>
  <c r="T455" i="95"/>
  <c r="AF460" i="95"/>
  <c r="J458" i="95"/>
  <c r="L457" i="95"/>
  <c r="N456" i="95"/>
  <c r="P455" i="95"/>
  <c r="AC460" i="95"/>
  <c r="G458" i="95"/>
  <c r="I457" i="95"/>
  <c r="K456" i="95"/>
  <c r="M455" i="95"/>
  <c r="Z460" i="95"/>
  <c r="AF458" i="95"/>
  <c r="AH457" i="95"/>
  <c r="F457" i="95"/>
  <c r="H456" i="95"/>
  <c r="J455" i="95"/>
  <c r="X460" i="95"/>
  <c r="AD458" i="95"/>
  <c r="AF457" i="95"/>
  <c r="AH456" i="95"/>
  <c r="F456" i="95"/>
  <c r="H455" i="95"/>
  <c r="W460" i="95"/>
  <c r="AC458" i="95"/>
  <c r="AE457" i="95"/>
  <c r="AG456" i="95"/>
  <c r="E456" i="95"/>
  <c r="G455" i="95"/>
  <c r="U460" i="95"/>
  <c r="AA458" i="95"/>
  <c r="AC457" i="95"/>
  <c r="AE456" i="95"/>
  <c r="AG455" i="95"/>
  <c r="E455" i="95"/>
  <c r="T460" i="95"/>
  <c r="R458" i="95"/>
  <c r="H457" i="95"/>
  <c r="AB455" i="95"/>
  <c r="S460" i="95"/>
  <c r="Q458" i="95"/>
  <c r="G457" i="95"/>
  <c r="AA455" i="95"/>
  <c r="R460" i="95"/>
  <c r="O458" i="95"/>
  <c r="E457" i="95"/>
  <c r="Z455" i="95"/>
  <c r="Q460" i="95"/>
  <c r="M458" i="95"/>
  <c r="AF456" i="95"/>
  <c r="Y455" i="95"/>
  <c r="P460" i="95"/>
  <c r="L458" i="95"/>
  <c r="AD456" i="95"/>
  <c r="X455" i="95"/>
  <c r="U457" i="95"/>
  <c r="AF455" i="95"/>
  <c r="AB458" i="95"/>
  <c r="Z458" i="95"/>
  <c r="Y458" i="95"/>
  <c r="K457" i="95"/>
  <c r="Q455" i="95"/>
  <c r="T457" i="95"/>
  <c r="AE455" i="95"/>
  <c r="AH458" i="95"/>
  <c r="S457" i="95"/>
  <c r="AD455" i="95"/>
  <c r="N457" i="95"/>
  <c r="U455" i="95"/>
  <c r="M457" i="95"/>
  <c r="S455" i="95"/>
  <c r="J457" i="95"/>
  <c r="AG458" i="95"/>
  <c r="Q457" i="95"/>
  <c r="AC455" i="95"/>
  <c r="AE458" i="95"/>
  <c r="O457" i="95"/>
  <c r="W455" i="95"/>
  <c r="R455" i="95"/>
  <c r="X458" i="95"/>
  <c r="Y460" i="95"/>
  <c r="F458" i="95"/>
  <c r="U456" i="95"/>
  <c r="V460" i="95"/>
  <c r="E458" i="95"/>
  <c r="S456" i="95"/>
  <c r="O460" i="95"/>
  <c r="AG457" i="95"/>
  <c r="Q456" i="95"/>
  <c r="M460" i="95"/>
  <c r="AB457" i="95"/>
  <c r="O456" i="95"/>
  <c r="W457" i="95"/>
  <c r="AA460" i="95"/>
  <c r="N460" i="95"/>
  <c r="V456" i="95"/>
  <c r="M456" i="95"/>
  <c r="L456" i="95"/>
  <c r="V457" i="95"/>
  <c r="Z456" i="95"/>
  <c r="I460" i="95"/>
  <c r="AH460" i="95"/>
  <c r="AC456" i="95"/>
  <c r="AB460" i="95"/>
  <c r="Y456" i="95"/>
  <c r="X456" i="95"/>
  <c r="W456" i="95"/>
  <c r="L460" i="95"/>
  <c r="AG460" i="95"/>
  <c r="AB456" i="95"/>
  <c r="AE460" i="95"/>
  <c r="AA456" i="95"/>
  <c r="AD460" i="95"/>
  <c r="K460" i="95"/>
  <c r="P456" i="95"/>
  <c r="Y457" i="95"/>
  <c r="X457" i="95"/>
  <c r="G460" i="95"/>
  <c r="E460" i="95"/>
  <c r="I456" i="95"/>
  <c r="E454" i="95"/>
  <c r="F460" i="95"/>
  <c r="W458" i="95"/>
  <c r="AA457" i="95"/>
  <c r="Z457" i="95"/>
  <c r="O455" i="95"/>
  <c r="V458" i="95"/>
  <c r="S458" i="95"/>
  <c r="H458" i="95"/>
  <c r="AD457" i="95"/>
  <c r="J456" i="95"/>
  <c r="G456" i="95"/>
  <c r="AH455" i="95"/>
  <c r="U458" i="95"/>
  <c r="T458" i="95"/>
  <c r="I458" i="95"/>
  <c r="K458" i="95"/>
  <c r="N455" i="95"/>
  <c r="L455" i="95"/>
  <c r="K455" i="95"/>
  <c r="I455" i="95"/>
  <c r="F455" i="95"/>
  <c r="AE635" i="95"/>
  <c r="I633" i="95"/>
  <c r="K632" i="95"/>
  <c r="M631" i="95"/>
  <c r="O630" i="95"/>
  <c r="AC635" i="95"/>
  <c r="G633" i="95"/>
  <c r="I632" i="95"/>
  <c r="K631" i="95"/>
  <c r="M630" i="95"/>
  <c r="Y635" i="95"/>
  <c r="AE633" i="95"/>
  <c r="AG632" i="95"/>
  <c r="E632" i="95"/>
  <c r="G631" i="95"/>
  <c r="I630" i="95"/>
  <c r="V635" i="95"/>
  <c r="AB633" i="95"/>
  <c r="AD632" i="95"/>
  <c r="AF631" i="95"/>
  <c r="AH630" i="95"/>
  <c r="F630" i="95"/>
  <c r="S635" i="95"/>
  <c r="Y633" i="95"/>
  <c r="AA632" i="95"/>
  <c r="AC631" i="95"/>
  <c r="AE630" i="95"/>
  <c r="E629" i="95"/>
  <c r="Q635" i="95"/>
  <c r="W633" i="95"/>
  <c r="Y632" i="95"/>
  <c r="AA631" i="95"/>
  <c r="AC630" i="95"/>
  <c r="P635" i="95"/>
  <c r="V633" i="95"/>
  <c r="X632" i="95"/>
  <c r="Z631" i="95"/>
  <c r="AB630" i="95"/>
  <c r="N635" i="95"/>
  <c r="T633" i="95"/>
  <c r="V632" i="95"/>
  <c r="X631" i="95"/>
  <c r="Z630" i="95"/>
  <c r="I635" i="95"/>
  <c r="E633" i="95"/>
  <c r="W631" i="95"/>
  <c r="Q630" i="95"/>
  <c r="H635" i="95"/>
  <c r="AH632" i="95"/>
  <c r="V631" i="95"/>
  <c r="P630" i="95"/>
  <c r="G635" i="95"/>
  <c r="AF632" i="95"/>
  <c r="U631" i="95"/>
  <c r="N630" i="95"/>
  <c r="F635" i="95"/>
  <c r="AE632" i="95"/>
  <c r="T631" i="95"/>
  <c r="L630" i="95"/>
  <c r="E635" i="95"/>
  <c r="AC632" i="95"/>
  <c r="S631" i="95"/>
  <c r="K630" i="95"/>
  <c r="T635" i="95"/>
  <c r="H633" i="95"/>
  <c r="O631" i="95"/>
  <c r="U632" i="95"/>
  <c r="T632" i="95"/>
  <c r="AF630" i="95"/>
  <c r="R635" i="95"/>
  <c r="F633" i="95"/>
  <c r="N631" i="95"/>
  <c r="H631" i="95"/>
  <c r="Q632" i="95"/>
  <c r="O635" i="95"/>
  <c r="AB632" i="95"/>
  <c r="L631" i="95"/>
  <c r="K635" i="95"/>
  <c r="J635" i="95"/>
  <c r="F631" i="95"/>
  <c r="AH633" i="95"/>
  <c r="M635" i="95"/>
  <c r="Z632" i="95"/>
  <c r="J631" i="95"/>
  <c r="L635" i="95"/>
  <c r="W632" i="95"/>
  <c r="I631" i="95"/>
  <c r="S632" i="95"/>
  <c r="E631" i="95"/>
  <c r="R632" i="95"/>
  <c r="AG630" i="95"/>
  <c r="AF633" i="95"/>
  <c r="O632" i="95"/>
  <c r="AA630" i="95"/>
  <c r="AD633" i="95"/>
  <c r="N632" i="95"/>
  <c r="Y630" i="95"/>
  <c r="U633" i="95"/>
  <c r="G632" i="95"/>
  <c r="T630" i="95"/>
  <c r="AH635" i="95"/>
  <c r="S633" i="95"/>
  <c r="F632" i="95"/>
  <c r="S630" i="95"/>
  <c r="AG635" i="95"/>
  <c r="R633" i="95"/>
  <c r="AH631" i="95"/>
  <c r="R630" i="95"/>
  <c r="AD635" i="95"/>
  <c r="P633" i="95"/>
  <c r="AE631" i="95"/>
  <c r="H630" i="95"/>
  <c r="X635" i="95"/>
  <c r="X630" i="95"/>
  <c r="E630" i="95"/>
  <c r="Q633" i="95"/>
  <c r="W635" i="95"/>
  <c r="W630" i="95"/>
  <c r="O633" i="95"/>
  <c r="L633" i="95"/>
  <c r="U635" i="95"/>
  <c r="V630" i="95"/>
  <c r="Z633" i="95"/>
  <c r="M633" i="95"/>
  <c r="AG633" i="95"/>
  <c r="U630" i="95"/>
  <c r="X633" i="95"/>
  <c r="AC633" i="95"/>
  <c r="J630" i="95"/>
  <c r="AA633" i="95"/>
  <c r="G630" i="95"/>
  <c r="N633" i="95"/>
  <c r="AA635" i="95"/>
  <c r="P631" i="95"/>
  <c r="Z635" i="95"/>
  <c r="AD630" i="95"/>
  <c r="L632" i="95"/>
  <c r="K633" i="95"/>
  <c r="J632" i="95"/>
  <c r="R631" i="95"/>
  <c r="H632" i="95"/>
  <c r="AB631" i="95"/>
  <c r="AG631" i="95"/>
  <c r="AD631" i="95"/>
  <c r="Y631" i="95"/>
  <c r="Q631" i="95"/>
  <c r="M632" i="95"/>
  <c r="AF635" i="95"/>
  <c r="AB635" i="95"/>
  <c r="J633" i="95"/>
  <c r="P632" i="95"/>
  <c r="R390" i="95"/>
  <c r="X388" i="95"/>
  <c r="Z387" i="95"/>
  <c r="AB386" i="95"/>
  <c r="AD385" i="95"/>
  <c r="P390" i="95"/>
  <c r="V388" i="95"/>
  <c r="X387" i="95"/>
  <c r="Z386" i="95"/>
  <c r="AB385" i="95"/>
  <c r="L390" i="95"/>
  <c r="R388" i="95"/>
  <c r="T387" i="95"/>
  <c r="V386" i="95"/>
  <c r="X385" i="95"/>
  <c r="I390" i="95"/>
  <c r="O388" i="95"/>
  <c r="Q387" i="95"/>
  <c r="S386" i="95"/>
  <c r="U385" i="95"/>
  <c r="AH390" i="95"/>
  <c r="F390" i="95"/>
  <c r="L388" i="95"/>
  <c r="N387" i="95"/>
  <c r="P386" i="95"/>
  <c r="R385" i="95"/>
  <c r="AF390" i="95"/>
  <c r="AC390" i="95"/>
  <c r="G388" i="95"/>
  <c r="I387" i="95"/>
  <c r="K386" i="95"/>
  <c r="M385" i="95"/>
  <c r="Y390" i="95"/>
  <c r="Y388" i="95"/>
  <c r="R387" i="95"/>
  <c r="L386" i="95"/>
  <c r="G385" i="95"/>
  <c r="X390" i="95"/>
  <c r="W388" i="95"/>
  <c r="P387" i="95"/>
  <c r="J386" i="95"/>
  <c r="F385" i="95"/>
  <c r="W390" i="95"/>
  <c r="U388" i="95"/>
  <c r="O387" i="95"/>
  <c r="I386" i="95"/>
  <c r="E385" i="95"/>
  <c r="V390" i="95"/>
  <c r="T388" i="95"/>
  <c r="M387" i="95"/>
  <c r="H386" i="95"/>
  <c r="U390" i="95"/>
  <c r="S388" i="95"/>
  <c r="L387" i="95"/>
  <c r="G386" i="95"/>
  <c r="E384" i="95"/>
  <c r="AA388" i="95"/>
  <c r="G387" i="95"/>
  <c r="Z385" i="95"/>
  <c r="AF386" i="95"/>
  <c r="AE386" i="95"/>
  <c r="T390" i="95"/>
  <c r="AD386" i="95"/>
  <c r="P385" i="95"/>
  <c r="I388" i="95"/>
  <c r="AC386" i="95"/>
  <c r="AG390" i="95"/>
  <c r="Z388" i="95"/>
  <c r="F387" i="95"/>
  <c r="Y385" i="95"/>
  <c r="O385" i="95"/>
  <c r="AE390" i="95"/>
  <c r="Q388" i="95"/>
  <c r="E387" i="95"/>
  <c r="W385" i="95"/>
  <c r="M388" i="95"/>
  <c r="S385" i="95"/>
  <c r="Z390" i="95"/>
  <c r="K388" i="95"/>
  <c r="Q385" i="95"/>
  <c r="S390" i="95"/>
  <c r="AD390" i="95"/>
  <c r="P388" i="95"/>
  <c r="AH386" i="95"/>
  <c r="V385" i="95"/>
  <c r="AB390" i="95"/>
  <c r="N388" i="95"/>
  <c r="AG386" i="95"/>
  <c r="T385" i="95"/>
  <c r="AA390" i="95"/>
  <c r="J388" i="95"/>
  <c r="E390" i="95"/>
  <c r="AC387" i="95"/>
  <c r="O386" i="95"/>
  <c r="AB387" i="95"/>
  <c r="N386" i="95"/>
  <c r="AA387" i="95"/>
  <c r="M386" i="95"/>
  <c r="AH388" i="95"/>
  <c r="W387" i="95"/>
  <c r="E386" i="95"/>
  <c r="K390" i="95"/>
  <c r="X386" i="95"/>
  <c r="Q386" i="95"/>
  <c r="AF388" i="95"/>
  <c r="AE388" i="95"/>
  <c r="AC388" i="95"/>
  <c r="J390" i="95"/>
  <c r="W386" i="95"/>
  <c r="F386" i="95"/>
  <c r="AH385" i="95"/>
  <c r="AG385" i="95"/>
  <c r="H388" i="95"/>
  <c r="H390" i="95"/>
  <c r="U386" i="95"/>
  <c r="AD388" i="95"/>
  <c r="AF385" i="95"/>
  <c r="F388" i="95"/>
  <c r="G390" i="95"/>
  <c r="T386" i="95"/>
  <c r="R386" i="95"/>
  <c r="AG388" i="95"/>
  <c r="AB388" i="95"/>
  <c r="AE385" i="95"/>
  <c r="N390" i="95"/>
  <c r="AA386" i="95"/>
  <c r="M390" i="95"/>
  <c r="Y386" i="95"/>
  <c r="AC385" i="95"/>
  <c r="AA385" i="95"/>
  <c r="AE387" i="95"/>
  <c r="N385" i="95"/>
  <c r="I385" i="95"/>
  <c r="H385" i="95"/>
  <c r="E388" i="95"/>
  <c r="AG387" i="95"/>
  <c r="AD387" i="95"/>
  <c r="K385" i="95"/>
  <c r="J385" i="95"/>
  <c r="Y387" i="95"/>
  <c r="J387" i="95"/>
  <c r="L385" i="95"/>
  <c r="AH387" i="95"/>
  <c r="V387" i="95"/>
  <c r="S387" i="95"/>
  <c r="U387" i="95"/>
  <c r="K387" i="95"/>
  <c r="H387" i="95"/>
  <c r="Q390" i="95"/>
  <c r="O390" i="95"/>
  <c r="AF387" i="95"/>
  <c r="U600" i="95"/>
  <c r="AA598" i="95"/>
  <c r="AC597" i="95"/>
  <c r="AE596" i="95"/>
  <c r="AG595" i="95"/>
  <c r="E595" i="95"/>
  <c r="S600" i="95"/>
  <c r="Y598" i="95"/>
  <c r="AA597" i="95"/>
  <c r="AC596" i="95"/>
  <c r="AE595" i="95"/>
  <c r="E594" i="95"/>
  <c r="O600" i="95"/>
  <c r="U598" i="95"/>
  <c r="W597" i="95"/>
  <c r="Y596" i="95"/>
  <c r="AA595" i="95"/>
  <c r="L600" i="95"/>
  <c r="R598" i="95"/>
  <c r="T597" i="95"/>
  <c r="V596" i="95"/>
  <c r="X595" i="95"/>
  <c r="I600" i="95"/>
  <c r="O598" i="95"/>
  <c r="Q597" i="95"/>
  <c r="S596" i="95"/>
  <c r="U595" i="95"/>
  <c r="G600" i="95"/>
  <c r="M598" i="95"/>
  <c r="O597" i="95"/>
  <c r="Q596" i="95"/>
  <c r="S595" i="95"/>
  <c r="AH600" i="95"/>
  <c r="F600" i="95"/>
  <c r="L598" i="95"/>
  <c r="N597" i="95"/>
  <c r="P596" i="95"/>
  <c r="R595" i="95"/>
  <c r="AF600" i="95"/>
  <c r="J598" i="95"/>
  <c r="L597" i="95"/>
  <c r="N596" i="95"/>
  <c r="P595" i="95"/>
  <c r="M600" i="95"/>
  <c r="F598" i="95"/>
  <c r="AB596" i="95"/>
  <c r="Q595" i="95"/>
  <c r="K600" i="95"/>
  <c r="E598" i="95"/>
  <c r="AA596" i="95"/>
  <c r="O595" i="95"/>
  <c r="J600" i="95"/>
  <c r="AH597" i="95"/>
  <c r="Z596" i="95"/>
  <c r="N595" i="95"/>
  <c r="H600" i="95"/>
  <c r="AG597" i="95"/>
  <c r="X596" i="95"/>
  <c r="M595" i="95"/>
  <c r="E600" i="95"/>
  <c r="AF597" i="95"/>
  <c r="W596" i="95"/>
  <c r="L595" i="95"/>
  <c r="AE600" i="95"/>
  <c r="V598" i="95"/>
  <c r="E597" i="95"/>
  <c r="K595" i="95"/>
  <c r="U596" i="95"/>
  <c r="K598" i="95"/>
  <c r="V600" i="95"/>
  <c r="AD600" i="95"/>
  <c r="T598" i="95"/>
  <c r="AH596" i="95"/>
  <c r="J595" i="95"/>
  <c r="N598" i="95"/>
  <c r="M596" i="95"/>
  <c r="AC600" i="95"/>
  <c r="S598" i="95"/>
  <c r="AG596" i="95"/>
  <c r="I595" i="95"/>
  <c r="Z600" i="95"/>
  <c r="F595" i="95"/>
  <c r="Y600" i="95"/>
  <c r="T596" i="95"/>
  <c r="G598" i="95"/>
  <c r="AB600" i="95"/>
  <c r="Q598" i="95"/>
  <c r="AF596" i="95"/>
  <c r="H595" i="95"/>
  <c r="AA600" i="95"/>
  <c r="P598" i="95"/>
  <c r="AD596" i="95"/>
  <c r="G595" i="95"/>
  <c r="X600" i="95"/>
  <c r="I598" i="95"/>
  <c r="R596" i="95"/>
  <c r="W600" i="95"/>
  <c r="H598" i="95"/>
  <c r="O596" i="95"/>
  <c r="R600" i="95"/>
  <c r="AD597" i="95"/>
  <c r="Q600" i="95"/>
  <c r="AB597" i="95"/>
  <c r="J596" i="95"/>
  <c r="U597" i="95"/>
  <c r="E596" i="95"/>
  <c r="AH598" i="95"/>
  <c r="S597" i="95"/>
  <c r="AH595" i="95"/>
  <c r="AG598" i="95"/>
  <c r="R597" i="95"/>
  <c r="AF595" i="95"/>
  <c r="AE598" i="95"/>
  <c r="M597" i="95"/>
  <c r="AC595" i="95"/>
  <c r="P597" i="95"/>
  <c r="K597" i="95"/>
  <c r="I596" i="95"/>
  <c r="G596" i="95"/>
  <c r="P600" i="95"/>
  <c r="J597" i="95"/>
  <c r="F597" i="95"/>
  <c r="L596" i="95"/>
  <c r="K596" i="95"/>
  <c r="T600" i="95"/>
  <c r="F596" i="95"/>
  <c r="I597" i="95"/>
  <c r="H597" i="95"/>
  <c r="G597" i="95"/>
  <c r="AG600" i="95"/>
  <c r="H596" i="95"/>
  <c r="X597" i="95"/>
  <c r="V597" i="95"/>
  <c r="Y595" i="95"/>
  <c r="AD595" i="95"/>
  <c r="W595" i="95"/>
  <c r="N600" i="95"/>
  <c r="AD598" i="95"/>
  <c r="AB595" i="95"/>
  <c r="V595" i="95"/>
  <c r="Z595" i="95"/>
  <c r="T595" i="95"/>
  <c r="AF598" i="95"/>
  <c r="Y597" i="95"/>
  <c r="AC598" i="95"/>
  <c r="AB598" i="95"/>
  <c r="Z598" i="95"/>
  <c r="X598" i="95"/>
  <c r="W598" i="95"/>
  <c r="AE597" i="95"/>
  <c r="Z597" i="95"/>
  <c r="AB425" i="95"/>
  <c r="AH423" i="95"/>
  <c r="F423" i="95"/>
  <c r="H422" i="95"/>
  <c r="J421" i="95"/>
  <c r="L420" i="95"/>
  <c r="Z425" i="95"/>
  <c r="AF423" i="95"/>
  <c r="AH422" i="95"/>
  <c r="F422" i="95"/>
  <c r="H421" i="95"/>
  <c r="J420" i="95"/>
  <c r="V425" i="95"/>
  <c r="AB423" i="95"/>
  <c r="AD422" i="95"/>
  <c r="AF421" i="95"/>
  <c r="AH420" i="95"/>
  <c r="F420" i="95"/>
  <c r="S425" i="95"/>
  <c r="Y423" i="95"/>
  <c r="AA422" i="95"/>
  <c r="AC421" i="95"/>
  <c r="AE420" i="95"/>
  <c r="E419" i="95"/>
  <c r="P425" i="95"/>
  <c r="V423" i="95"/>
  <c r="X422" i="95"/>
  <c r="Z421" i="95"/>
  <c r="AB420" i="95"/>
  <c r="N425" i="95"/>
  <c r="T423" i="95"/>
  <c r="V422" i="95"/>
  <c r="X421" i="95"/>
  <c r="Z420" i="95"/>
  <c r="M425" i="95"/>
  <c r="S423" i="95"/>
  <c r="U422" i="95"/>
  <c r="W421" i="95"/>
  <c r="Y420" i="95"/>
  <c r="K425" i="95"/>
  <c r="Q423" i="95"/>
  <c r="S422" i="95"/>
  <c r="U421" i="95"/>
  <c r="W420" i="95"/>
  <c r="X425" i="95"/>
  <c r="P423" i="95"/>
  <c r="J422" i="95"/>
  <c r="AD420" i="95"/>
  <c r="W425" i="95"/>
  <c r="O423" i="95"/>
  <c r="I422" i="95"/>
  <c r="AC420" i="95"/>
  <c r="U425" i="95"/>
  <c r="N423" i="95"/>
  <c r="G422" i="95"/>
  <c r="AA420" i="95"/>
  <c r="T425" i="95"/>
  <c r="M423" i="95"/>
  <c r="E422" i="95"/>
  <c r="X420" i="95"/>
  <c r="R425" i="95"/>
  <c r="L423" i="95"/>
  <c r="AH421" i="95"/>
  <c r="V420" i="95"/>
  <c r="O425" i="95"/>
  <c r="AG422" i="95"/>
  <c r="P421" i="95"/>
  <c r="K421" i="95"/>
  <c r="F425" i="95"/>
  <c r="E425" i="95"/>
  <c r="L425" i="95"/>
  <c r="AF422" i="95"/>
  <c r="O421" i="95"/>
  <c r="J425" i="95"/>
  <c r="AE422" i="95"/>
  <c r="N421" i="95"/>
  <c r="G425" i="95"/>
  <c r="Z422" i="95"/>
  <c r="Y422" i="95"/>
  <c r="I421" i="95"/>
  <c r="G421" i="95"/>
  <c r="I425" i="95"/>
  <c r="AC422" i="95"/>
  <c r="M421" i="95"/>
  <c r="H425" i="95"/>
  <c r="AB422" i="95"/>
  <c r="L421" i="95"/>
  <c r="W422" i="95"/>
  <c r="T422" i="95"/>
  <c r="F421" i="95"/>
  <c r="Z423" i="95"/>
  <c r="AG421" i="95"/>
  <c r="P420" i="95"/>
  <c r="X423" i="95"/>
  <c r="AE421" i="95"/>
  <c r="O420" i="95"/>
  <c r="AH425" i="95"/>
  <c r="W423" i="95"/>
  <c r="AD421" i="95"/>
  <c r="N420" i="95"/>
  <c r="AF425" i="95"/>
  <c r="R423" i="95"/>
  <c r="AA421" i="95"/>
  <c r="K420" i="95"/>
  <c r="AE425" i="95"/>
  <c r="K422" i="95"/>
  <c r="Q421" i="95"/>
  <c r="AG420" i="95"/>
  <c r="U420" i="95"/>
  <c r="T420" i="95"/>
  <c r="AD425" i="95"/>
  <c r="AB421" i="95"/>
  <c r="R421" i="95"/>
  <c r="AG423" i="95"/>
  <c r="AD423" i="95"/>
  <c r="AC425" i="95"/>
  <c r="Y421" i="95"/>
  <c r="E421" i="95"/>
  <c r="AA425" i="95"/>
  <c r="V421" i="95"/>
  <c r="Q425" i="95"/>
  <c r="Y425" i="95"/>
  <c r="T421" i="95"/>
  <c r="S421" i="95"/>
  <c r="AE423" i="95"/>
  <c r="AF420" i="95"/>
  <c r="M422" i="95"/>
  <c r="AG425" i="95"/>
  <c r="L422" i="95"/>
  <c r="AC423" i="95"/>
  <c r="K423" i="95"/>
  <c r="S420" i="95"/>
  <c r="R420" i="95"/>
  <c r="J423" i="95"/>
  <c r="E423" i="95"/>
  <c r="Q422" i="95"/>
  <c r="Q420" i="95"/>
  <c r="M420" i="95"/>
  <c r="I420" i="95"/>
  <c r="H420" i="95"/>
  <c r="I423" i="95"/>
  <c r="O422" i="95"/>
  <c r="N422" i="95"/>
  <c r="U423" i="95"/>
  <c r="H423" i="95"/>
  <c r="G423" i="95"/>
  <c r="P422" i="95"/>
  <c r="R422" i="95"/>
  <c r="G420" i="95"/>
  <c r="E420" i="95"/>
  <c r="AA423" i="95"/>
  <c r="E174" i="95"/>
  <c r="E175" i="95" s="1"/>
  <c r="AF177" i="95"/>
  <c r="AC176" i="95"/>
  <c r="AH178" i="95"/>
  <c r="AE177" i="95"/>
  <c r="AB176" i="95"/>
  <c r="AE178" i="95"/>
  <c r="AG176" i="95"/>
  <c r="AA176" i="95"/>
  <c r="AD178" i="95"/>
  <c r="AF176" i="95"/>
  <c r="AH180" i="95"/>
  <c r="AC178" i="95"/>
  <c r="AE176" i="95"/>
  <c r="AB178" i="95"/>
  <c r="AA178" i="95"/>
  <c r="AF180" i="95"/>
  <c r="AD176" i="95"/>
  <c r="AE180" i="95"/>
  <c r="AG180" i="95"/>
  <c r="AG178" i="95"/>
  <c r="AF178" i="95"/>
  <c r="AH176" i="95"/>
  <c r="AG175" i="95"/>
  <c r="AE175" i="95"/>
  <c r="AB180" i="95"/>
  <c r="AB175" i="95"/>
  <c r="AA177" i="95"/>
  <c r="AF175" i="95"/>
  <c r="AC180" i="95"/>
  <c r="AA175" i="95"/>
  <c r="AH175" i="95"/>
  <c r="AA180" i="95"/>
  <c r="AD175" i="95"/>
  <c r="AC175" i="95"/>
  <c r="AD180" i="95"/>
  <c r="AH177" i="95"/>
  <c r="AG177" i="95"/>
  <c r="AD177" i="95"/>
  <c r="AC177" i="95"/>
  <c r="AB177" i="95"/>
  <c r="E139" i="95"/>
  <c r="E140" i="95" s="1"/>
  <c r="M670" i="95"/>
  <c r="S668" i="95"/>
  <c r="U667" i="95"/>
  <c r="W666" i="95"/>
  <c r="Y665" i="95"/>
  <c r="L670" i="95"/>
  <c r="R668" i="95"/>
  <c r="T667" i="95"/>
  <c r="V666" i="95"/>
  <c r="K670" i="95"/>
  <c r="Q668" i="95"/>
  <c r="S667" i="95"/>
  <c r="U666" i="95"/>
  <c r="W665" i="95"/>
  <c r="G670" i="95"/>
  <c r="M668" i="95"/>
  <c r="O667" i="95"/>
  <c r="Q666" i="95"/>
  <c r="S665" i="95"/>
  <c r="AF670" i="95"/>
  <c r="J668" i="95"/>
  <c r="L667" i="95"/>
  <c r="N666" i="95"/>
  <c r="P665" i="95"/>
  <c r="AC670" i="95"/>
  <c r="G668" i="95"/>
  <c r="I667" i="95"/>
  <c r="K666" i="95"/>
  <c r="M665" i="95"/>
  <c r="AA670" i="95"/>
  <c r="AG668" i="95"/>
  <c r="E668" i="95"/>
  <c r="G667" i="95"/>
  <c r="I666" i="95"/>
  <c r="K665" i="95"/>
  <c r="Z670" i="95"/>
  <c r="AF668" i="95"/>
  <c r="AH667" i="95"/>
  <c r="F667" i="95"/>
  <c r="H666" i="95"/>
  <c r="J665" i="95"/>
  <c r="X670" i="95"/>
  <c r="AD668" i="95"/>
  <c r="AF667" i="95"/>
  <c r="AH666" i="95"/>
  <c r="F666" i="95"/>
  <c r="H665" i="95"/>
  <c r="O670" i="95"/>
  <c r="F668" i="95"/>
  <c r="Z666" i="95"/>
  <c r="O665" i="95"/>
  <c r="N670" i="95"/>
  <c r="AG667" i="95"/>
  <c r="Y666" i="95"/>
  <c r="N665" i="95"/>
  <c r="J670" i="95"/>
  <c r="AE667" i="95"/>
  <c r="X666" i="95"/>
  <c r="L665" i="95"/>
  <c r="I670" i="95"/>
  <c r="AD667" i="95"/>
  <c r="T666" i="95"/>
  <c r="I665" i="95"/>
  <c r="H670" i="95"/>
  <c r="AC667" i="95"/>
  <c r="S666" i="95"/>
  <c r="G665" i="95"/>
  <c r="E670" i="95"/>
  <c r="V667" i="95"/>
  <c r="AE665" i="95"/>
  <c r="Z665" i="95"/>
  <c r="K667" i="95"/>
  <c r="E667" i="95"/>
  <c r="R667" i="95"/>
  <c r="AD665" i="95"/>
  <c r="M667" i="95"/>
  <c r="T665" i="95"/>
  <c r="Q667" i="95"/>
  <c r="AC665" i="95"/>
  <c r="AC668" i="95"/>
  <c r="AB668" i="95"/>
  <c r="X665" i="95"/>
  <c r="Y668" i="95"/>
  <c r="AH668" i="95"/>
  <c r="P667" i="95"/>
  <c r="AB665" i="95"/>
  <c r="AE668" i="95"/>
  <c r="N667" i="95"/>
  <c r="AA665" i="95"/>
  <c r="AA668" i="95"/>
  <c r="J667" i="95"/>
  <c r="V665" i="95"/>
  <c r="Z668" i="95"/>
  <c r="H667" i="95"/>
  <c r="U665" i="95"/>
  <c r="W668" i="95"/>
  <c r="AF666" i="95"/>
  <c r="Q665" i="95"/>
  <c r="V668" i="95"/>
  <c r="AE666" i="95"/>
  <c r="F665" i="95"/>
  <c r="AB670" i="95"/>
  <c r="N668" i="95"/>
  <c r="R666" i="95"/>
  <c r="Y670" i="95"/>
  <c r="L668" i="95"/>
  <c r="P666" i="95"/>
  <c r="W670" i="95"/>
  <c r="K668" i="95"/>
  <c r="O666" i="95"/>
  <c r="U670" i="95"/>
  <c r="H668" i="95"/>
  <c r="L666" i="95"/>
  <c r="AB667" i="95"/>
  <c r="AD666" i="95"/>
  <c r="AC666" i="95"/>
  <c r="AB666" i="95"/>
  <c r="AA667" i="95"/>
  <c r="AG666" i="95"/>
  <c r="M666" i="95"/>
  <c r="Z667" i="95"/>
  <c r="AH670" i="95"/>
  <c r="G666" i="95"/>
  <c r="Y667" i="95"/>
  <c r="X667" i="95"/>
  <c r="AG670" i="95"/>
  <c r="W667" i="95"/>
  <c r="AA666" i="95"/>
  <c r="O668" i="95"/>
  <c r="I668" i="95"/>
  <c r="J666" i="95"/>
  <c r="AD670" i="95"/>
  <c r="AF665" i="95"/>
  <c r="V670" i="95"/>
  <c r="E666" i="95"/>
  <c r="T670" i="95"/>
  <c r="Q670" i="95"/>
  <c r="S670" i="95"/>
  <c r="U668" i="95"/>
  <c r="P668" i="95"/>
  <c r="AG665" i="95"/>
  <c r="R670" i="95"/>
  <c r="AH665" i="95"/>
  <c r="R665" i="95"/>
  <c r="P670" i="95"/>
  <c r="F670" i="95"/>
  <c r="T668" i="95"/>
  <c r="X668" i="95"/>
  <c r="E665" i="95"/>
  <c r="E664" i="95"/>
  <c r="AE670" i="95"/>
  <c r="P285" i="95"/>
  <c r="T283" i="95"/>
  <c r="V282" i="95"/>
  <c r="X281" i="95"/>
  <c r="Z280" i="95"/>
  <c r="N285" i="95"/>
  <c r="R283" i="95"/>
  <c r="T282" i="95"/>
  <c r="V281" i="95"/>
  <c r="X280" i="95"/>
  <c r="J285" i="95"/>
  <c r="N283" i="95"/>
  <c r="P282" i="95"/>
  <c r="R281" i="95"/>
  <c r="T280" i="95"/>
  <c r="G285" i="95"/>
  <c r="K283" i="95"/>
  <c r="M282" i="95"/>
  <c r="O281" i="95"/>
  <c r="Q280" i="95"/>
  <c r="AF285" i="95"/>
  <c r="H283" i="95"/>
  <c r="J282" i="95"/>
  <c r="L281" i="95"/>
  <c r="N280" i="95"/>
  <c r="AA285" i="95"/>
  <c r="AE283" i="95"/>
  <c r="AG282" i="95"/>
  <c r="E282" i="95"/>
  <c r="G281" i="95"/>
  <c r="I280" i="95"/>
  <c r="AD282" i="95"/>
  <c r="Z281" i="95"/>
  <c r="S280" i="95"/>
  <c r="AH283" i="95"/>
  <c r="AC282" i="95"/>
  <c r="Y281" i="95"/>
  <c r="R280" i="95"/>
  <c r="AG283" i="95"/>
  <c r="AB282" i="95"/>
  <c r="W281" i="95"/>
  <c r="P280" i="95"/>
  <c r="AF283" i="95"/>
  <c r="AA282" i="95"/>
  <c r="U281" i="95"/>
  <c r="O280" i="95"/>
  <c r="AH285" i="95"/>
  <c r="AD283" i="95"/>
  <c r="Z282" i="95"/>
  <c r="T281" i="95"/>
  <c r="M280" i="95"/>
  <c r="Z283" i="95"/>
  <c r="N282" i="95"/>
  <c r="AF280" i="95"/>
  <c r="U283" i="95"/>
  <c r="AA280" i="95"/>
  <c r="AB285" i="95"/>
  <c r="F282" i="95"/>
  <c r="Q283" i="95"/>
  <c r="W280" i="95"/>
  <c r="AG281" i="95"/>
  <c r="Y283" i="95"/>
  <c r="L282" i="95"/>
  <c r="AE280" i="95"/>
  <c r="V280" i="95"/>
  <c r="AG285" i="95"/>
  <c r="X283" i="95"/>
  <c r="K282" i="95"/>
  <c r="AD280" i="95"/>
  <c r="G282" i="95"/>
  <c r="S283" i="95"/>
  <c r="Y280" i="95"/>
  <c r="Z285" i="95"/>
  <c r="AH281" i="95"/>
  <c r="Y285" i="95"/>
  <c r="AE285" i="95"/>
  <c r="W283" i="95"/>
  <c r="I282" i="95"/>
  <c r="AC280" i="95"/>
  <c r="AD285" i="95"/>
  <c r="V283" i="95"/>
  <c r="H282" i="95"/>
  <c r="AB280" i="95"/>
  <c r="P283" i="95"/>
  <c r="AC285" i="95"/>
  <c r="O285" i="95"/>
  <c r="AH282" i="95"/>
  <c r="P281" i="95"/>
  <c r="M285" i="95"/>
  <c r="AF282" i="95"/>
  <c r="N281" i="95"/>
  <c r="E279" i="95"/>
  <c r="I283" i="95"/>
  <c r="AH280" i="95"/>
  <c r="E283" i="95"/>
  <c r="Y282" i="95"/>
  <c r="W282" i="95"/>
  <c r="F280" i="95"/>
  <c r="V285" i="95"/>
  <c r="S285" i="95"/>
  <c r="G283" i="95"/>
  <c r="AG280" i="95"/>
  <c r="J280" i="95"/>
  <c r="H280" i="95"/>
  <c r="W285" i="95"/>
  <c r="S282" i="95"/>
  <c r="Q282" i="95"/>
  <c r="F283" i="95"/>
  <c r="U280" i="95"/>
  <c r="L280" i="95"/>
  <c r="X282" i="95"/>
  <c r="X285" i="95"/>
  <c r="G280" i="95"/>
  <c r="U282" i="95"/>
  <c r="E280" i="95"/>
  <c r="T285" i="95"/>
  <c r="AE282" i="95"/>
  <c r="K280" i="95"/>
  <c r="U285" i="95"/>
  <c r="R282" i="95"/>
  <c r="L283" i="95"/>
  <c r="F281" i="95"/>
  <c r="J283" i="95"/>
  <c r="E281" i="95"/>
  <c r="O282" i="95"/>
  <c r="E285" i="95"/>
  <c r="AB281" i="95"/>
  <c r="AA281" i="95"/>
  <c r="F285" i="95"/>
  <c r="AC283" i="95"/>
  <c r="AA283" i="95"/>
  <c r="AD281" i="95"/>
  <c r="AC281" i="95"/>
  <c r="S281" i="95"/>
  <c r="Q281" i="95"/>
  <c r="I285" i="95"/>
  <c r="AB283" i="95"/>
  <c r="M281" i="95"/>
  <c r="J281" i="95"/>
  <c r="K285" i="95"/>
  <c r="O283" i="95"/>
  <c r="M283" i="95"/>
  <c r="AE281" i="95"/>
  <c r="K281" i="95"/>
  <c r="AF281" i="95"/>
  <c r="I281" i="95"/>
  <c r="H281" i="95"/>
  <c r="R285" i="95"/>
  <c r="Q285" i="95"/>
  <c r="L285" i="95"/>
  <c r="H285" i="95"/>
  <c r="Y705" i="95"/>
  <c r="AC703" i="95"/>
  <c r="AE702" i="95"/>
  <c r="AG701" i="95"/>
  <c r="E701" i="95"/>
  <c r="G700" i="95"/>
  <c r="X705" i="95"/>
  <c r="AB703" i="95"/>
  <c r="AD702" i="95"/>
  <c r="AF701" i="95"/>
  <c r="AH700" i="95"/>
  <c r="F700" i="95"/>
  <c r="W705" i="95"/>
  <c r="AA703" i="95"/>
  <c r="AC702" i="95"/>
  <c r="AE701" i="95"/>
  <c r="AG700" i="95"/>
  <c r="E700" i="95"/>
  <c r="S705" i="95"/>
  <c r="W703" i="95"/>
  <c r="Y702" i="95"/>
  <c r="AA701" i="95"/>
  <c r="AC700" i="95"/>
  <c r="P705" i="95"/>
  <c r="T703" i="95"/>
  <c r="V702" i="95"/>
  <c r="X701" i="95"/>
  <c r="Z700" i="95"/>
  <c r="M705" i="95"/>
  <c r="Q703" i="95"/>
  <c r="S702" i="95"/>
  <c r="U701" i="95"/>
  <c r="W700" i="95"/>
  <c r="K705" i="95"/>
  <c r="O703" i="95"/>
  <c r="Q702" i="95"/>
  <c r="S701" i="95"/>
  <c r="U700" i="95"/>
  <c r="J705" i="95"/>
  <c r="N703" i="95"/>
  <c r="P702" i="95"/>
  <c r="R701" i="95"/>
  <c r="T700" i="95"/>
  <c r="H705" i="95"/>
  <c r="L703" i="95"/>
  <c r="N702" i="95"/>
  <c r="P701" i="95"/>
  <c r="R700" i="95"/>
  <c r="U705" i="95"/>
  <c r="J703" i="95"/>
  <c r="AD701" i="95"/>
  <c r="Q700" i="95"/>
  <c r="T705" i="95"/>
  <c r="I703" i="95"/>
  <c r="AC701" i="95"/>
  <c r="P700" i="95"/>
  <c r="R705" i="95"/>
  <c r="H703" i="95"/>
  <c r="AB701" i="95"/>
  <c r="O700" i="95"/>
  <c r="Q705" i="95"/>
  <c r="G703" i="95"/>
  <c r="Z701" i="95"/>
  <c r="N700" i="95"/>
  <c r="O705" i="95"/>
  <c r="F703" i="95"/>
  <c r="Y701" i="95"/>
  <c r="M700" i="95"/>
  <c r="N705" i="95"/>
  <c r="I705" i="95"/>
  <c r="G705" i="95"/>
  <c r="AG703" i="95"/>
  <c r="L702" i="95"/>
  <c r="Y700" i="95"/>
  <c r="F702" i="95"/>
  <c r="W701" i="95"/>
  <c r="AF703" i="95"/>
  <c r="K702" i="95"/>
  <c r="X700" i="95"/>
  <c r="AE703" i="95"/>
  <c r="J702" i="95"/>
  <c r="V700" i="95"/>
  <c r="Y703" i="95"/>
  <c r="G702" i="95"/>
  <c r="K700" i="95"/>
  <c r="X703" i="95"/>
  <c r="J700" i="95"/>
  <c r="AD703" i="95"/>
  <c r="I702" i="95"/>
  <c r="S700" i="95"/>
  <c r="Z703" i="95"/>
  <c r="H702" i="95"/>
  <c r="L700" i="95"/>
  <c r="V703" i="95"/>
  <c r="E702" i="95"/>
  <c r="I700" i="95"/>
  <c r="U703" i="95"/>
  <c r="AH701" i="95"/>
  <c r="H700" i="95"/>
  <c r="P703" i="95"/>
  <c r="T701" i="95"/>
  <c r="AH705" i="95"/>
  <c r="M703" i="95"/>
  <c r="Q701" i="95"/>
  <c r="AC705" i="95"/>
  <c r="AF702" i="95"/>
  <c r="K701" i="95"/>
  <c r="AB705" i="95"/>
  <c r="AB702" i="95"/>
  <c r="J701" i="95"/>
  <c r="AA705" i="95"/>
  <c r="AA702" i="95"/>
  <c r="I701" i="95"/>
  <c r="V705" i="95"/>
  <c r="X702" i="95"/>
  <c r="G701" i="95"/>
  <c r="AF705" i="95"/>
  <c r="H701" i="95"/>
  <c r="E699" i="95"/>
  <c r="AH703" i="95"/>
  <c r="AE705" i="95"/>
  <c r="F701" i="95"/>
  <c r="AD705" i="95"/>
  <c r="AF700" i="95"/>
  <c r="Z705" i="95"/>
  <c r="AE700" i="95"/>
  <c r="L705" i="95"/>
  <c r="AD700" i="95"/>
  <c r="AA700" i="95"/>
  <c r="F705" i="95"/>
  <c r="AB700" i="95"/>
  <c r="E705" i="95"/>
  <c r="S703" i="95"/>
  <c r="R703" i="95"/>
  <c r="M701" i="95"/>
  <c r="AG705" i="95"/>
  <c r="L701" i="95"/>
  <c r="K703" i="95"/>
  <c r="E703" i="95"/>
  <c r="AH702" i="95"/>
  <c r="Z702" i="95"/>
  <c r="U702" i="95"/>
  <c r="AG702" i="95"/>
  <c r="W702" i="95"/>
  <c r="T702" i="95"/>
  <c r="R702" i="95"/>
  <c r="O702" i="95"/>
  <c r="M702" i="95"/>
  <c r="V701" i="95"/>
  <c r="O701" i="95"/>
  <c r="N701" i="95"/>
  <c r="S325" i="95"/>
  <c r="AA325" i="95"/>
  <c r="W323" i="95"/>
  <c r="I324" i="95"/>
  <c r="AG361" i="95"/>
  <c r="AF325" i="95"/>
  <c r="Z326" i="95"/>
  <c r="M359" i="95"/>
  <c r="AD324" i="95"/>
  <c r="X325" i="95"/>
  <c r="P325" i="95"/>
  <c r="P361" i="95"/>
  <c r="H326" i="95"/>
  <c r="AD325" i="95"/>
  <c r="I361" i="95"/>
  <c r="V325" i="95"/>
  <c r="O360" i="95"/>
  <c r="F325" i="95"/>
  <c r="AB324" i="95"/>
  <c r="AH358" i="95"/>
  <c r="X323" i="95"/>
  <c r="Z323" i="95"/>
  <c r="AD360" i="95"/>
  <c r="Z358" i="95"/>
  <c r="P323" i="95"/>
  <c r="W361" i="95"/>
  <c r="AH323" i="95"/>
  <c r="R324" i="95"/>
  <c r="R323" i="95"/>
  <c r="Y325" i="95"/>
  <c r="AF361" i="95"/>
  <c r="AC323" i="95"/>
  <c r="W359" i="95"/>
  <c r="U323" i="95"/>
  <c r="AB323" i="95"/>
  <c r="S324" i="95"/>
  <c r="V324" i="95"/>
  <c r="O323" i="95"/>
  <c r="L323" i="95"/>
  <c r="U360" i="95"/>
  <c r="J325" i="95"/>
  <c r="K324" i="95"/>
  <c r="I326" i="95"/>
  <c r="I360" i="95"/>
  <c r="AE325" i="95"/>
  <c r="AC324" i="95"/>
  <c r="AG325" i="95"/>
  <c r="AE326" i="95"/>
  <c r="T323" i="95"/>
  <c r="Z325" i="95"/>
  <c r="AH359" i="95"/>
  <c r="G325" i="95"/>
  <c r="E324" i="95"/>
  <c r="Q325" i="95"/>
  <c r="M323" i="95"/>
  <c r="G326" i="95"/>
  <c r="AC325" i="95"/>
  <c r="V361" i="95"/>
  <c r="R359" i="95"/>
  <c r="AA323" i="95"/>
  <c r="V326" i="95"/>
  <c r="R361" i="95"/>
  <c r="G359" i="95"/>
  <c r="W326" i="95"/>
  <c r="AA324" i="95"/>
  <c r="G324" i="95"/>
  <c r="V323" i="95"/>
  <c r="F323" i="95"/>
  <c r="W325" i="95"/>
  <c r="S323" i="95"/>
  <c r="N326" i="95"/>
  <c r="AD359" i="95"/>
  <c r="M361" i="95"/>
  <c r="X324" i="95"/>
  <c r="Y323" i="95"/>
  <c r="Q323" i="95"/>
  <c r="L325" i="95"/>
  <c r="N359" i="95"/>
  <c r="AG359" i="95"/>
  <c r="W324" i="95"/>
  <c r="AA359" i="95"/>
  <c r="AG326" i="95"/>
  <c r="AF326" i="95"/>
  <c r="AH324" i="95"/>
  <c r="R500" i="95"/>
  <c r="H325" i="95"/>
  <c r="O325" i="95"/>
  <c r="K323" i="95"/>
  <c r="N325" i="95"/>
  <c r="J323" i="95"/>
  <c r="O326" i="95"/>
  <c r="AG323" i="95"/>
  <c r="O324" i="95"/>
  <c r="J324" i="95"/>
  <c r="U326" i="95"/>
  <c r="P324" i="95"/>
  <c r="AF360" i="95"/>
  <c r="AE360" i="95"/>
  <c r="AB359" i="95"/>
  <c r="G361" i="95"/>
  <c r="F361" i="95"/>
  <c r="AC361" i="95"/>
  <c r="Z360" i="95"/>
  <c r="AA361" i="95"/>
  <c r="R326" i="95"/>
  <c r="N324" i="95"/>
  <c r="Y326" i="95"/>
  <c r="U324" i="95"/>
  <c r="X326" i="95"/>
  <c r="T324" i="95"/>
  <c r="K326" i="95"/>
  <c r="U325" i="95"/>
  <c r="I323" i="95"/>
  <c r="AB325" i="95"/>
  <c r="H323" i="95"/>
  <c r="AG324" i="95"/>
  <c r="AB326" i="95"/>
  <c r="F359" i="95"/>
  <c r="AA358" i="95"/>
  <c r="J358" i="95"/>
  <c r="Y358" i="95"/>
  <c r="J359" i="95"/>
  <c r="Q359" i="95"/>
  <c r="H359" i="95"/>
  <c r="J326" i="95"/>
  <c r="F324" i="95"/>
  <c r="Q326" i="95"/>
  <c r="M324" i="95"/>
  <c r="P326" i="95"/>
  <c r="L324" i="95"/>
  <c r="I325" i="95"/>
  <c r="M325" i="95"/>
  <c r="T325" i="95"/>
  <c r="Y324" i="95"/>
  <c r="T326" i="95"/>
  <c r="L358" i="95"/>
  <c r="P358" i="95"/>
  <c r="O358" i="95"/>
  <c r="N358" i="95"/>
  <c r="AB358" i="95"/>
  <c r="AC359" i="95"/>
  <c r="H361" i="95"/>
  <c r="M360" i="95"/>
  <c r="M358" i="95"/>
  <c r="AF358" i="95"/>
  <c r="S360" i="95"/>
  <c r="S361" i="95"/>
  <c r="V358" i="95"/>
  <c r="J361" i="95"/>
  <c r="E359" i="95"/>
  <c r="N360" i="95"/>
  <c r="Q360" i="95"/>
  <c r="K359" i="95"/>
  <c r="N361" i="95"/>
  <c r="Y359" i="95"/>
  <c r="L361" i="95"/>
  <c r="F358" i="95"/>
  <c r="L466" i="95"/>
  <c r="P360" i="95"/>
  <c r="Q361" i="95"/>
  <c r="K358" i="95"/>
  <c r="L359" i="95"/>
  <c r="AC358" i="95"/>
  <c r="I358" i="95"/>
  <c r="T360" i="95"/>
  <c r="K361" i="95"/>
  <c r="AE358" i="95"/>
  <c r="R360" i="95"/>
  <c r="V498" i="95"/>
  <c r="L500" i="95"/>
  <c r="AA500" i="95"/>
  <c r="AF500" i="95"/>
  <c r="J499" i="95"/>
  <c r="AA499" i="95"/>
  <c r="J498" i="95"/>
  <c r="K213" i="107"/>
  <c r="L499" i="95"/>
  <c r="M326" i="95"/>
  <c r="AE323" i="95"/>
  <c r="E323" i="95"/>
  <c r="AF324" i="95"/>
  <c r="AD326" i="95"/>
  <c r="Z324" i="95"/>
  <c r="K325" i="95"/>
  <c r="G323" i="95"/>
  <c r="L326" i="95"/>
  <c r="H324" i="95"/>
  <c r="AA326" i="95"/>
  <c r="I465" i="95"/>
  <c r="AH325" i="95"/>
  <c r="AD323" i="95"/>
  <c r="AE324" i="95"/>
  <c r="K212" i="107"/>
  <c r="F326" i="95"/>
  <c r="AF323" i="95"/>
  <c r="AC326" i="95"/>
  <c r="Q324" i="95"/>
  <c r="S326" i="95"/>
  <c r="R325" i="95"/>
  <c r="N323" i="95"/>
  <c r="K219" i="107"/>
  <c r="K227" i="107"/>
  <c r="K220" i="107"/>
  <c r="K225" i="107"/>
  <c r="K210" i="107"/>
  <c r="K221" i="107"/>
  <c r="K226" i="107"/>
  <c r="K214" i="107"/>
  <c r="K222" i="107"/>
  <c r="K217" i="107"/>
  <c r="K215" i="107"/>
  <c r="K223" i="107"/>
  <c r="K216" i="107"/>
  <c r="K224" i="107"/>
  <c r="K218" i="107"/>
  <c r="K209" i="107"/>
  <c r="K208" i="107"/>
  <c r="K207" i="107"/>
  <c r="X360" i="95"/>
  <c r="T358" i="95"/>
  <c r="W360" i="95"/>
  <c r="S358" i="95"/>
  <c r="V360" i="95"/>
  <c r="R358" i="95"/>
  <c r="AE361" i="95"/>
  <c r="S359" i="95"/>
  <c r="AG360" i="95"/>
  <c r="AB360" i="95"/>
  <c r="X358" i="95"/>
  <c r="U361" i="95"/>
  <c r="I359" i="95"/>
  <c r="E358" i="95"/>
  <c r="AF359" i="95"/>
  <c r="H360" i="95"/>
  <c r="G360" i="95"/>
  <c r="F360" i="95"/>
  <c r="O361" i="95"/>
  <c r="AG358" i="95"/>
  <c r="O359" i="95"/>
  <c r="L360" i="95"/>
  <c r="H358" i="95"/>
  <c r="AA360" i="95"/>
  <c r="W358" i="95"/>
  <c r="T361" i="95"/>
  <c r="P359" i="95"/>
  <c r="Y463" i="95"/>
  <c r="Z361" i="95"/>
  <c r="V359" i="95"/>
  <c r="Y361" i="95"/>
  <c r="U359" i="95"/>
  <c r="X361" i="95"/>
  <c r="T359" i="95"/>
  <c r="Y360" i="95"/>
  <c r="AC360" i="95"/>
  <c r="Q358" i="95"/>
  <c r="AD361" i="95"/>
  <c r="Z359" i="95"/>
  <c r="K360" i="95"/>
  <c r="G358" i="95"/>
  <c r="AH360" i="95"/>
  <c r="AD358" i="95"/>
  <c r="AE359" i="95"/>
  <c r="AF466" i="95"/>
  <c r="Q463" i="95"/>
  <c r="AH465" i="95"/>
  <c r="AA501" i="95"/>
  <c r="Z500" i="95"/>
  <c r="Q498" i="95"/>
  <c r="H501" i="95"/>
  <c r="AB498" i="95"/>
  <c r="H465" i="95"/>
  <c r="F465" i="95"/>
  <c r="S465" i="95"/>
  <c r="H464" i="95"/>
  <c r="AB501" i="95"/>
  <c r="Y498" i="95"/>
  <c r="P501" i="95"/>
  <c r="F499" i="95"/>
  <c r="AD463" i="95"/>
  <c r="AB464" i="95"/>
  <c r="K465" i="95"/>
  <c r="AC463" i="95"/>
  <c r="O463" i="95"/>
  <c r="S501" i="95"/>
  <c r="AE498" i="95"/>
  <c r="AC500" i="95"/>
  <c r="T500" i="95"/>
  <c r="J501" i="95"/>
  <c r="AD464" i="95"/>
  <c r="AG466" i="95"/>
  <c r="AD466" i="95"/>
  <c r="G463" i="95"/>
  <c r="N498" i="95"/>
  <c r="AG499" i="95"/>
  <c r="G501" i="95"/>
  <c r="M499" i="95"/>
  <c r="G465" i="95"/>
  <c r="G466" i="95"/>
  <c r="AH464" i="95"/>
  <c r="AC464" i="95"/>
  <c r="AC465" i="95"/>
  <c r="Z464" i="95"/>
  <c r="AA466" i="95"/>
  <c r="X499" i="95"/>
  <c r="M501" i="95"/>
  <c r="AH498" i="95"/>
  <c r="Q501" i="95"/>
  <c r="E226" i="107"/>
  <c r="E221" i="107"/>
  <c r="E208" i="107"/>
  <c r="E216" i="107"/>
  <c r="E224" i="107"/>
  <c r="E211" i="107"/>
  <c r="E209" i="107"/>
  <c r="E223" i="107"/>
  <c r="E222" i="107"/>
  <c r="E220" i="107"/>
  <c r="E219" i="107"/>
  <c r="E218" i="107"/>
  <c r="E217" i="107"/>
  <c r="E214" i="107"/>
  <c r="E215" i="107"/>
  <c r="E212" i="107"/>
  <c r="E213" i="107"/>
  <c r="E210" i="107"/>
  <c r="L79" i="107"/>
  <c r="L78" i="107"/>
  <c r="L85" i="107"/>
  <c r="L77" i="107"/>
  <c r="L84" i="107"/>
  <c r="L80" i="107"/>
  <c r="L82" i="107"/>
  <c r="L86" i="107"/>
  <c r="L81" i="107"/>
  <c r="E207" i="107"/>
  <c r="E227" i="107"/>
  <c r="AE499" i="95"/>
  <c r="AD498" i="95"/>
  <c r="AH500" i="95"/>
  <c r="I499" i="95"/>
  <c r="U501" i="95"/>
  <c r="AG498" i="95"/>
  <c r="O501" i="95"/>
  <c r="T499" i="95"/>
  <c r="X501" i="95"/>
  <c r="AB500" i="95"/>
  <c r="AC499" i="95"/>
  <c r="AG501" i="95"/>
  <c r="N499" i="95"/>
  <c r="R501" i="95"/>
  <c r="H499" i="95"/>
  <c r="L501" i="95"/>
  <c r="Q499" i="95"/>
  <c r="AC501" i="95"/>
  <c r="W501" i="95"/>
  <c r="AB499" i="95"/>
  <c r="AF501" i="95"/>
  <c r="N501" i="95"/>
  <c r="G500" i="95"/>
  <c r="X498" i="95"/>
  <c r="V499" i="95"/>
  <c r="Z501" i="95"/>
  <c r="AG500" i="95"/>
  <c r="K499" i="95"/>
  <c r="P499" i="95"/>
  <c r="T501" i="95"/>
  <c r="Y499" i="95"/>
  <c r="H498" i="95"/>
  <c r="S499" i="95"/>
  <c r="AE501" i="95"/>
  <c r="F500" i="95"/>
  <c r="P498" i="95"/>
  <c r="K498" i="95"/>
  <c r="O500" i="95"/>
  <c r="R499" i="95"/>
  <c r="AD499" i="95"/>
  <c r="AH501" i="95"/>
  <c r="AC498" i="95"/>
  <c r="N500" i="95"/>
  <c r="AF498" i="95"/>
  <c r="S498" i="95"/>
  <c r="W500" i="95"/>
  <c r="F501" i="95"/>
  <c r="H500" i="95"/>
  <c r="W499" i="95"/>
  <c r="O499" i="95"/>
  <c r="AF499" i="95"/>
  <c r="G498" i="95"/>
  <c r="K500" i="95"/>
  <c r="AD501" i="95"/>
  <c r="M500" i="95"/>
  <c r="R498" i="95"/>
  <c r="V500" i="95"/>
  <c r="Z499" i="95"/>
  <c r="AA498" i="95"/>
  <c r="AE500" i="95"/>
  <c r="L498" i="95"/>
  <c r="P500" i="95"/>
  <c r="K501" i="95"/>
  <c r="F498" i="95"/>
  <c r="J500" i="95"/>
  <c r="O498" i="95"/>
  <c r="S500" i="95"/>
  <c r="I498" i="95"/>
  <c r="U500" i="95"/>
  <c r="Z498" i="95"/>
  <c r="AD500" i="95"/>
  <c r="AH499" i="95"/>
  <c r="E499" i="95"/>
  <c r="I501" i="95"/>
  <c r="T498" i="95"/>
  <c r="X500" i="95"/>
  <c r="V501" i="95"/>
  <c r="Y500" i="95"/>
  <c r="Q500" i="95"/>
  <c r="I500" i="95"/>
  <c r="U498" i="95"/>
  <c r="M498" i="95"/>
  <c r="E498" i="95"/>
  <c r="Z466" i="95"/>
  <c r="Y466" i="95"/>
  <c r="X466" i="95"/>
  <c r="S466" i="95"/>
  <c r="I463" i="95"/>
  <c r="V466" i="95"/>
  <c r="AG465" i="95"/>
  <c r="Z465" i="95"/>
  <c r="O464" i="95"/>
  <c r="R466" i="95"/>
  <c r="N464" i="95"/>
  <c r="Q466" i="95"/>
  <c r="M464" i="95"/>
  <c r="P466" i="95"/>
  <c r="L464" i="95"/>
  <c r="AE464" i="95"/>
  <c r="M465" i="95"/>
  <c r="N466" i="95"/>
  <c r="J464" i="95"/>
  <c r="M463" i="95"/>
  <c r="Y464" i="95"/>
  <c r="R465" i="95"/>
  <c r="N463" i="95"/>
  <c r="E463" i="95"/>
  <c r="F464" i="95"/>
  <c r="H466" i="95"/>
  <c r="G464" i="95"/>
  <c r="F466" i="95"/>
  <c r="AF463" i="95"/>
  <c r="Y465" i="95"/>
  <c r="F463" i="95"/>
  <c r="AF465" i="95"/>
  <c r="AB463" i="95"/>
  <c r="AE465" i="95"/>
  <c r="AA463" i="95"/>
  <c r="AD465" i="95"/>
  <c r="Z463" i="95"/>
  <c r="AE466" i="95"/>
  <c r="S464" i="95"/>
  <c r="K466" i="95"/>
  <c r="AB465" i="95"/>
  <c r="X463" i="95"/>
  <c r="U466" i="95"/>
  <c r="I464" i="95"/>
  <c r="U463" i="95"/>
  <c r="AF464" i="95"/>
  <c r="I466" i="95"/>
  <c r="AH463" i="95"/>
  <c r="AA464" i="95"/>
  <c r="Q464" i="95"/>
  <c r="X465" i="95"/>
  <c r="W465" i="95"/>
  <c r="R463" i="95"/>
  <c r="K464" i="95"/>
  <c r="P463" i="95"/>
  <c r="J466" i="95"/>
  <c r="E464" i="95"/>
  <c r="AC466" i="95"/>
  <c r="J465" i="95"/>
  <c r="T463" i="95"/>
  <c r="S463" i="95"/>
  <c r="V465" i="95"/>
  <c r="W466" i="95"/>
  <c r="Q465" i="95"/>
  <c r="T465" i="95"/>
  <c r="M466" i="95"/>
  <c r="AE463" i="95"/>
  <c r="AB466" i="95"/>
  <c r="X464" i="95"/>
  <c r="P465" i="95"/>
  <c r="L463" i="95"/>
  <c r="O465" i="95"/>
  <c r="K463" i="95"/>
  <c r="N465" i="95"/>
  <c r="J463" i="95"/>
  <c r="O466" i="95"/>
  <c r="AG463" i="95"/>
  <c r="W464" i="95"/>
  <c r="L465" i="95"/>
  <c r="H463" i="95"/>
  <c r="AA465" i="95"/>
  <c r="W463" i="95"/>
  <c r="T466" i="95"/>
  <c r="P464" i="95"/>
  <c r="V464" i="95"/>
  <c r="U464" i="95"/>
  <c r="T464" i="95"/>
  <c r="U465" i="95"/>
  <c r="R464" i="95"/>
  <c r="AG464" i="95"/>
  <c r="V463" i="95"/>
  <c r="AH746" i="95"/>
  <c r="Z746" i="95"/>
  <c r="R746" i="95"/>
  <c r="J746" i="95"/>
  <c r="AF745" i="95"/>
  <c r="X745" i="95"/>
  <c r="P745" i="95"/>
  <c r="H745" i="95"/>
  <c r="AD744" i="95"/>
  <c r="V744" i="95"/>
  <c r="N744" i="95"/>
  <c r="F744" i="95"/>
  <c r="AB743" i="95"/>
  <c r="T743" i="95"/>
  <c r="L743" i="95"/>
  <c r="AG746" i="95"/>
  <c r="Y746" i="95"/>
  <c r="Q746" i="95"/>
  <c r="I746" i="95"/>
  <c r="AE745" i="95"/>
  <c r="W745" i="95"/>
  <c r="O745" i="95"/>
  <c r="G745" i="95"/>
  <c r="AC744" i="95"/>
  <c r="U744" i="95"/>
  <c r="M744" i="95"/>
  <c r="E744" i="95"/>
  <c r="AA743" i="95"/>
  <c r="S743" i="95"/>
  <c r="K743" i="95"/>
  <c r="T746" i="95"/>
  <c r="R745" i="95"/>
  <c r="AF744" i="95"/>
  <c r="P744" i="95"/>
  <c r="V743" i="95"/>
  <c r="AF746" i="95"/>
  <c r="X746" i="95"/>
  <c r="P746" i="95"/>
  <c r="H746" i="95"/>
  <c r="AD745" i="95"/>
  <c r="V745" i="95"/>
  <c r="N745" i="95"/>
  <c r="F745" i="95"/>
  <c r="AB744" i="95"/>
  <c r="T744" i="95"/>
  <c r="L744" i="95"/>
  <c r="AH743" i="95"/>
  <c r="Z743" i="95"/>
  <c r="R743" i="95"/>
  <c r="J743" i="95"/>
  <c r="L746" i="95"/>
  <c r="F743" i="95"/>
  <c r="AE746" i="95"/>
  <c r="W746" i="95"/>
  <c r="O746" i="95"/>
  <c r="G746" i="95"/>
  <c r="AC745" i="95"/>
  <c r="U745" i="95"/>
  <c r="M745" i="95"/>
  <c r="AA744" i="95"/>
  <c r="S744" i="95"/>
  <c r="K744" i="95"/>
  <c r="AG743" i="95"/>
  <c r="Y743" i="95"/>
  <c r="Q743" i="95"/>
  <c r="I743" i="95"/>
  <c r="AD743" i="95"/>
  <c r="AD746" i="95"/>
  <c r="V746" i="95"/>
  <c r="N746" i="95"/>
  <c r="F746" i="95"/>
  <c r="AB745" i="95"/>
  <c r="T745" i="95"/>
  <c r="L745" i="95"/>
  <c r="AH744" i="95"/>
  <c r="Z744" i="95"/>
  <c r="R744" i="95"/>
  <c r="J744" i="95"/>
  <c r="AF743" i="95"/>
  <c r="X743" i="95"/>
  <c r="P743" i="95"/>
  <c r="H743" i="95"/>
  <c r="AH745" i="95"/>
  <c r="AC746" i="95"/>
  <c r="U746" i="95"/>
  <c r="M746" i="95"/>
  <c r="AA745" i="95"/>
  <c r="S745" i="95"/>
  <c r="K745" i="95"/>
  <c r="AG744" i="95"/>
  <c r="Y744" i="95"/>
  <c r="Q744" i="95"/>
  <c r="I744" i="95"/>
  <c r="AE743" i="95"/>
  <c r="W743" i="95"/>
  <c r="O743" i="95"/>
  <c r="G743" i="95"/>
  <c r="AB746" i="95"/>
  <c r="Z745" i="95"/>
  <c r="J745" i="95"/>
  <c r="X744" i="95"/>
  <c r="H744" i="95"/>
  <c r="N743" i="95"/>
  <c r="AA746" i="95"/>
  <c r="S746" i="95"/>
  <c r="K746" i="95"/>
  <c r="AG745" i="95"/>
  <c r="Y745" i="95"/>
  <c r="Q745" i="95"/>
  <c r="I745" i="95"/>
  <c r="AE744" i="95"/>
  <c r="W744" i="95"/>
  <c r="O744" i="95"/>
  <c r="G744" i="95"/>
  <c r="AC743" i="95"/>
  <c r="U743" i="95"/>
  <c r="M743" i="95"/>
  <c r="E743" i="95"/>
  <c r="H728" i="95"/>
  <c r="H693" i="95"/>
  <c r="AH711" i="95"/>
  <c r="Z711" i="95"/>
  <c r="R711" i="95"/>
  <c r="J711" i="95"/>
  <c r="AF710" i="95"/>
  <c r="X710" i="95"/>
  <c r="P710" i="95"/>
  <c r="H710" i="95"/>
  <c r="AD709" i="95"/>
  <c r="V709" i="95"/>
  <c r="N709" i="95"/>
  <c r="F709" i="95"/>
  <c r="AB708" i="95"/>
  <c r="T708" i="95"/>
  <c r="L708" i="95"/>
  <c r="AG711" i="95"/>
  <c r="Y711" i="95"/>
  <c r="Q711" i="95"/>
  <c r="I711" i="95"/>
  <c r="AE710" i="95"/>
  <c r="W710" i="95"/>
  <c r="O710" i="95"/>
  <c r="G710" i="95"/>
  <c r="AC709" i="95"/>
  <c r="U709" i="95"/>
  <c r="M709" i="95"/>
  <c r="E709" i="95"/>
  <c r="AA708" i="95"/>
  <c r="S708" i="95"/>
  <c r="K708" i="95"/>
  <c r="AF711" i="95"/>
  <c r="X711" i="95"/>
  <c r="P711" i="95"/>
  <c r="H711" i="95"/>
  <c r="AD710" i="95"/>
  <c r="V710" i="95"/>
  <c r="N710" i="95"/>
  <c r="F710" i="95"/>
  <c r="AB709" i="95"/>
  <c r="T709" i="95"/>
  <c r="L709" i="95"/>
  <c r="AH708" i="95"/>
  <c r="Z708" i="95"/>
  <c r="R708" i="95"/>
  <c r="J708" i="95"/>
  <c r="AH710" i="95"/>
  <c r="H709" i="95"/>
  <c r="AE711" i="95"/>
  <c r="W711" i="95"/>
  <c r="O711" i="95"/>
  <c r="G711" i="95"/>
  <c r="AC710" i="95"/>
  <c r="U710" i="95"/>
  <c r="M710" i="95"/>
  <c r="AA709" i="95"/>
  <c r="S709" i="95"/>
  <c r="K709" i="95"/>
  <c r="AG708" i="95"/>
  <c r="Y708" i="95"/>
  <c r="Q708" i="95"/>
  <c r="I708" i="95"/>
  <c r="L711" i="95"/>
  <c r="Z710" i="95"/>
  <c r="J710" i="95"/>
  <c r="AF709" i="95"/>
  <c r="AD708" i="95"/>
  <c r="F708" i="95"/>
  <c r="AD711" i="95"/>
  <c r="V711" i="95"/>
  <c r="N711" i="95"/>
  <c r="F711" i="95"/>
  <c r="AB710" i="95"/>
  <c r="T710" i="95"/>
  <c r="L710" i="95"/>
  <c r="AH709" i="95"/>
  <c r="Z709" i="95"/>
  <c r="R709" i="95"/>
  <c r="J709" i="95"/>
  <c r="AF708" i="95"/>
  <c r="X708" i="95"/>
  <c r="P708" i="95"/>
  <c r="H708" i="95"/>
  <c r="AB711" i="95"/>
  <c r="R710" i="95"/>
  <c r="P709" i="95"/>
  <c r="V708" i="95"/>
  <c r="AC711" i="95"/>
  <c r="U711" i="95"/>
  <c r="M711" i="95"/>
  <c r="AA710" i="95"/>
  <c r="S710" i="95"/>
  <c r="K710" i="95"/>
  <c r="AG709" i="95"/>
  <c r="Y709" i="95"/>
  <c r="Q709" i="95"/>
  <c r="I709" i="95"/>
  <c r="AE708" i="95"/>
  <c r="W708" i="95"/>
  <c r="O708" i="95"/>
  <c r="G708" i="95"/>
  <c r="T711" i="95"/>
  <c r="X709" i="95"/>
  <c r="N708" i="95"/>
  <c r="AA711" i="95"/>
  <c r="S711" i="95"/>
  <c r="K711" i="95"/>
  <c r="AG710" i="95"/>
  <c r="Y710" i="95"/>
  <c r="Q710" i="95"/>
  <c r="I710" i="95"/>
  <c r="AE709" i="95"/>
  <c r="W709" i="95"/>
  <c r="O709" i="95"/>
  <c r="G709" i="95"/>
  <c r="AC708" i="95"/>
  <c r="U708" i="95"/>
  <c r="M708" i="95"/>
  <c r="E708" i="95"/>
  <c r="H658" i="95"/>
  <c r="AH676" i="95"/>
  <c r="Z676" i="95"/>
  <c r="R676" i="95"/>
  <c r="J676" i="95"/>
  <c r="AF675" i="95"/>
  <c r="X675" i="95"/>
  <c r="P675" i="95"/>
  <c r="H675" i="95"/>
  <c r="AD674" i="95"/>
  <c r="V674" i="95"/>
  <c r="N674" i="95"/>
  <c r="F674" i="95"/>
  <c r="AB673" i="95"/>
  <c r="T673" i="95"/>
  <c r="L673" i="95"/>
  <c r="M676" i="95"/>
  <c r="K675" i="95"/>
  <c r="I674" i="95"/>
  <c r="O673" i="95"/>
  <c r="L676" i="95"/>
  <c r="AF674" i="95"/>
  <c r="V673" i="95"/>
  <c r="AG676" i="95"/>
  <c r="Y676" i="95"/>
  <c r="Q676" i="95"/>
  <c r="I676" i="95"/>
  <c r="AE675" i="95"/>
  <c r="W675" i="95"/>
  <c r="O675" i="95"/>
  <c r="G675" i="95"/>
  <c r="AC674" i="95"/>
  <c r="U674" i="95"/>
  <c r="M674" i="95"/>
  <c r="E674" i="95"/>
  <c r="AA673" i="95"/>
  <c r="S673" i="95"/>
  <c r="K673" i="95"/>
  <c r="U676" i="95"/>
  <c r="AG674" i="95"/>
  <c r="AE673" i="95"/>
  <c r="AB676" i="95"/>
  <c r="X674" i="95"/>
  <c r="F673" i="95"/>
  <c r="AF676" i="95"/>
  <c r="X676" i="95"/>
  <c r="P676" i="95"/>
  <c r="H676" i="95"/>
  <c r="AD675" i="95"/>
  <c r="V675" i="95"/>
  <c r="N675" i="95"/>
  <c r="F675" i="95"/>
  <c r="AB674" i="95"/>
  <c r="T674" i="95"/>
  <c r="L674" i="95"/>
  <c r="AH673" i="95"/>
  <c r="Z673" i="95"/>
  <c r="R673" i="95"/>
  <c r="J673" i="95"/>
  <c r="Z675" i="95"/>
  <c r="AE676" i="95"/>
  <c r="W676" i="95"/>
  <c r="O676" i="95"/>
  <c r="G676" i="95"/>
  <c r="AC675" i="95"/>
  <c r="U675" i="95"/>
  <c r="M675" i="95"/>
  <c r="AA674" i="95"/>
  <c r="S674" i="95"/>
  <c r="K674" i="95"/>
  <c r="AG673" i="95"/>
  <c r="Y673" i="95"/>
  <c r="Q673" i="95"/>
  <c r="I673" i="95"/>
  <c r="S675" i="95"/>
  <c r="H674" i="95"/>
  <c r="AD676" i="95"/>
  <c r="V676" i="95"/>
  <c r="N676" i="95"/>
  <c r="F676" i="95"/>
  <c r="AB675" i="95"/>
  <c r="T675" i="95"/>
  <c r="L675" i="95"/>
  <c r="AH674" i="95"/>
  <c r="Z674" i="95"/>
  <c r="R674" i="95"/>
  <c r="J674" i="95"/>
  <c r="AF673" i="95"/>
  <c r="X673" i="95"/>
  <c r="P673" i="95"/>
  <c r="H673" i="95"/>
  <c r="AC676" i="95"/>
  <c r="Q674" i="95"/>
  <c r="G673" i="95"/>
  <c r="T676" i="95"/>
  <c r="J675" i="95"/>
  <c r="AD673" i="95"/>
  <c r="AA676" i="95"/>
  <c r="S676" i="95"/>
  <c r="K676" i="95"/>
  <c r="AG675" i="95"/>
  <c r="Y675" i="95"/>
  <c r="Q675" i="95"/>
  <c r="I675" i="95"/>
  <c r="AE674" i="95"/>
  <c r="W674" i="95"/>
  <c r="O674" i="95"/>
  <c r="G674" i="95"/>
  <c r="AC673" i="95"/>
  <c r="U673" i="95"/>
  <c r="M673" i="95"/>
  <c r="E673" i="95"/>
  <c r="AA675" i="95"/>
  <c r="Y674" i="95"/>
  <c r="W673" i="95"/>
  <c r="AH675" i="95"/>
  <c r="R675" i="95"/>
  <c r="P674" i="95"/>
  <c r="N673" i="95"/>
  <c r="AH641" i="95"/>
  <c r="Z641" i="95"/>
  <c r="R641" i="95"/>
  <c r="J641" i="95"/>
  <c r="AF640" i="95"/>
  <c r="X640" i="95"/>
  <c r="P640" i="95"/>
  <c r="H640" i="95"/>
  <c r="AD639" i="95"/>
  <c r="V639" i="95"/>
  <c r="N639" i="95"/>
  <c r="F639" i="95"/>
  <c r="AB638" i="95"/>
  <c r="T638" i="95"/>
  <c r="L638" i="95"/>
  <c r="R640" i="95"/>
  <c r="AF639" i="95"/>
  <c r="N638" i="95"/>
  <c r="AG641" i="95"/>
  <c r="Y641" i="95"/>
  <c r="Q641" i="95"/>
  <c r="I641" i="95"/>
  <c r="AE640" i="95"/>
  <c r="W640" i="95"/>
  <c r="O640" i="95"/>
  <c r="G640" i="95"/>
  <c r="AC639" i="95"/>
  <c r="U639" i="95"/>
  <c r="M639" i="95"/>
  <c r="E639" i="95"/>
  <c r="AA638" i="95"/>
  <c r="S638" i="95"/>
  <c r="K638" i="95"/>
  <c r="Z640" i="95"/>
  <c r="H639" i="95"/>
  <c r="AF641" i="95"/>
  <c r="X641" i="95"/>
  <c r="P641" i="95"/>
  <c r="H641" i="95"/>
  <c r="AD640" i="95"/>
  <c r="V640" i="95"/>
  <c r="N640" i="95"/>
  <c r="F640" i="95"/>
  <c r="AB639" i="95"/>
  <c r="T639" i="95"/>
  <c r="L639" i="95"/>
  <c r="AH638" i="95"/>
  <c r="Z638" i="95"/>
  <c r="R638" i="95"/>
  <c r="J638" i="95"/>
  <c r="AH640" i="95"/>
  <c r="AE641" i="95"/>
  <c r="W641" i="95"/>
  <c r="O641" i="95"/>
  <c r="G641" i="95"/>
  <c r="AC640" i="95"/>
  <c r="U640" i="95"/>
  <c r="M640" i="95"/>
  <c r="AA639" i="95"/>
  <c r="S639" i="95"/>
  <c r="K639" i="95"/>
  <c r="AG638" i="95"/>
  <c r="Y638" i="95"/>
  <c r="Q638" i="95"/>
  <c r="I638" i="95"/>
  <c r="L641" i="95"/>
  <c r="P639" i="95"/>
  <c r="AD641" i="95"/>
  <c r="V641" i="95"/>
  <c r="N641" i="95"/>
  <c r="F641" i="95"/>
  <c r="AB640" i="95"/>
  <c r="T640" i="95"/>
  <c r="L640" i="95"/>
  <c r="AH639" i="95"/>
  <c r="Z639" i="95"/>
  <c r="R639" i="95"/>
  <c r="J639" i="95"/>
  <c r="AF638" i="95"/>
  <c r="X638" i="95"/>
  <c r="P638" i="95"/>
  <c r="H638" i="95"/>
  <c r="T641" i="95"/>
  <c r="AD638" i="95"/>
  <c r="AC641" i="95"/>
  <c r="U641" i="95"/>
  <c r="M641" i="95"/>
  <c r="AA640" i="95"/>
  <c r="S640" i="95"/>
  <c r="K640" i="95"/>
  <c r="AG639" i="95"/>
  <c r="Y639" i="95"/>
  <c r="Q639" i="95"/>
  <c r="I639" i="95"/>
  <c r="AE638" i="95"/>
  <c r="W638" i="95"/>
  <c r="O638" i="95"/>
  <c r="G638" i="95"/>
  <c r="AB641" i="95"/>
  <c r="V638" i="95"/>
  <c r="AA641" i="95"/>
  <c r="S641" i="95"/>
  <c r="K641" i="95"/>
  <c r="AG640" i="95"/>
  <c r="Y640" i="95"/>
  <c r="Q640" i="95"/>
  <c r="I640" i="95"/>
  <c r="AE639" i="95"/>
  <c r="W639" i="95"/>
  <c r="O639" i="95"/>
  <c r="G639" i="95"/>
  <c r="AC638" i="95"/>
  <c r="U638" i="95"/>
  <c r="M638" i="95"/>
  <c r="E638" i="95"/>
  <c r="J640" i="95"/>
  <c r="X639" i="95"/>
  <c r="F638" i="95"/>
  <c r="H623" i="95"/>
  <c r="J588" i="95"/>
  <c r="AH606" i="95"/>
  <c r="Z606" i="95"/>
  <c r="R606" i="95"/>
  <c r="J606" i="95"/>
  <c r="AF605" i="95"/>
  <c r="X605" i="95"/>
  <c r="P605" i="95"/>
  <c r="H605" i="95"/>
  <c r="AD604" i="95"/>
  <c r="V604" i="95"/>
  <c r="N604" i="95"/>
  <c r="F604" i="95"/>
  <c r="AB603" i="95"/>
  <c r="T603" i="95"/>
  <c r="L603" i="95"/>
  <c r="AA605" i="95"/>
  <c r="AG604" i="95"/>
  <c r="AE603" i="95"/>
  <c r="T606" i="95"/>
  <c r="AF604" i="95"/>
  <c r="AD603" i="95"/>
  <c r="AG606" i="95"/>
  <c r="Y606" i="95"/>
  <c r="Q606" i="95"/>
  <c r="I606" i="95"/>
  <c r="AE605" i="95"/>
  <c r="W605" i="95"/>
  <c r="O605" i="95"/>
  <c r="G605" i="95"/>
  <c r="AC604" i="95"/>
  <c r="U604" i="95"/>
  <c r="M604" i="95"/>
  <c r="E604" i="95"/>
  <c r="AA603" i="95"/>
  <c r="S603" i="95"/>
  <c r="K603" i="95"/>
  <c r="Y604" i="95"/>
  <c r="W603" i="95"/>
  <c r="G603" i="95"/>
  <c r="AH605" i="95"/>
  <c r="R605" i="95"/>
  <c r="P604" i="95"/>
  <c r="V603" i="95"/>
  <c r="AF606" i="95"/>
  <c r="X606" i="95"/>
  <c r="P606" i="95"/>
  <c r="H606" i="95"/>
  <c r="AD605" i="95"/>
  <c r="V605" i="95"/>
  <c r="N605" i="95"/>
  <c r="F605" i="95"/>
  <c r="AB604" i="95"/>
  <c r="T604" i="95"/>
  <c r="L604" i="95"/>
  <c r="AH603" i="95"/>
  <c r="Z603" i="95"/>
  <c r="R603" i="95"/>
  <c r="J603" i="95"/>
  <c r="U606" i="95"/>
  <c r="Z605" i="95"/>
  <c r="AE606" i="95"/>
  <c r="W606" i="95"/>
  <c r="O606" i="95"/>
  <c r="G606" i="95"/>
  <c r="AC605" i="95"/>
  <c r="U605" i="95"/>
  <c r="M605" i="95"/>
  <c r="AA604" i="95"/>
  <c r="S604" i="95"/>
  <c r="K604" i="95"/>
  <c r="AG603" i="95"/>
  <c r="Y603" i="95"/>
  <c r="Q603" i="95"/>
  <c r="I603" i="95"/>
  <c r="AC606" i="95"/>
  <c r="I604" i="95"/>
  <c r="L606" i="95"/>
  <c r="J605" i="95"/>
  <c r="H604" i="95"/>
  <c r="F603" i="95"/>
  <c r="AD606" i="95"/>
  <c r="V606" i="95"/>
  <c r="N606" i="95"/>
  <c r="F606" i="95"/>
  <c r="AB605" i="95"/>
  <c r="T605" i="95"/>
  <c r="L605" i="95"/>
  <c r="AH604" i="95"/>
  <c r="Z604" i="95"/>
  <c r="R604" i="95"/>
  <c r="J604" i="95"/>
  <c r="AF603" i="95"/>
  <c r="X603" i="95"/>
  <c r="P603" i="95"/>
  <c r="H603" i="95"/>
  <c r="M606" i="95"/>
  <c r="AA606" i="95"/>
  <c r="S606" i="95"/>
  <c r="K606" i="95"/>
  <c r="AG605" i="95"/>
  <c r="Y605" i="95"/>
  <c r="Q605" i="95"/>
  <c r="I605" i="95"/>
  <c r="AE604" i="95"/>
  <c r="W604" i="95"/>
  <c r="O604" i="95"/>
  <c r="G604" i="95"/>
  <c r="AC603" i="95"/>
  <c r="U603" i="95"/>
  <c r="M603" i="95"/>
  <c r="E603" i="95"/>
  <c r="S605" i="95"/>
  <c r="K605" i="95"/>
  <c r="Q604" i="95"/>
  <c r="O603" i="95"/>
  <c r="AB606" i="95"/>
  <c r="X604" i="95"/>
  <c r="N603" i="95"/>
  <c r="AH571" i="95"/>
  <c r="Z571" i="95"/>
  <c r="R571" i="95"/>
  <c r="J571" i="95"/>
  <c r="AF570" i="95"/>
  <c r="X570" i="95"/>
  <c r="P570" i="95"/>
  <c r="H570" i="95"/>
  <c r="AD569" i="95"/>
  <c r="V569" i="95"/>
  <c r="N569" i="95"/>
  <c r="F569" i="95"/>
  <c r="AB568" i="95"/>
  <c r="T568" i="95"/>
  <c r="L568" i="95"/>
  <c r="J570" i="95"/>
  <c r="H569" i="95"/>
  <c r="F568" i="95"/>
  <c r="AG571" i="95"/>
  <c r="Y571" i="95"/>
  <c r="Q571" i="95"/>
  <c r="I571" i="95"/>
  <c r="AE570" i="95"/>
  <c r="W570" i="95"/>
  <c r="O570" i="95"/>
  <c r="G570" i="95"/>
  <c r="AC569" i="95"/>
  <c r="U569" i="95"/>
  <c r="M569" i="95"/>
  <c r="E569" i="95"/>
  <c r="AA568" i="95"/>
  <c r="S568" i="95"/>
  <c r="K568" i="95"/>
  <c r="AH570" i="95"/>
  <c r="AD568" i="95"/>
  <c r="AF571" i="95"/>
  <c r="X571" i="95"/>
  <c r="P571" i="95"/>
  <c r="H571" i="95"/>
  <c r="AD570" i="95"/>
  <c r="V570" i="95"/>
  <c r="N570" i="95"/>
  <c r="F570" i="95"/>
  <c r="AB569" i="95"/>
  <c r="T569" i="95"/>
  <c r="L569" i="95"/>
  <c r="AH568" i="95"/>
  <c r="Z568" i="95"/>
  <c r="R568" i="95"/>
  <c r="J568" i="95"/>
  <c r="Z570" i="95"/>
  <c r="P569" i="95"/>
  <c r="AE571" i="95"/>
  <c r="W571" i="95"/>
  <c r="O571" i="95"/>
  <c r="G571" i="95"/>
  <c r="AC570" i="95"/>
  <c r="U570" i="95"/>
  <c r="M570" i="95"/>
  <c r="AA569" i="95"/>
  <c r="S569" i="95"/>
  <c r="K569" i="95"/>
  <c r="AG568" i="95"/>
  <c r="Y568" i="95"/>
  <c r="Q568" i="95"/>
  <c r="I568" i="95"/>
  <c r="L571" i="95"/>
  <c r="X569" i="95"/>
  <c r="AD571" i="95"/>
  <c r="V571" i="95"/>
  <c r="N571" i="95"/>
  <c r="F571" i="95"/>
  <c r="AB570" i="95"/>
  <c r="T570" i="95"/>
  <c r="L570" i="95"/>
  <c r="AH569" i="95"/>
  <c r="Z569" i="95"/>
  <c r="R569" i="95"/>
  <c r="J569" i="95"/>
  <c r="AF568" i="95"/>
  <c r="X568" i="95"/>
  <c r="P568" i="95"/>
  <c r="H568" i="95"/>
  <c r="T571" i="95"/>
  <c r="AC571" i="95"/>
  <c r="U571" i="95"/>
  <c r="M571" i="95"/>
  <c r="AA570" i="95"/>
  <c r="S570" i="95"/>
  <c r="K570" i="95"/>
  <c r="AG569" i="95"/>
  <c r="Y569" i="95"/>
  <c r="Q569" i="95"/>
  <c r="I569" i="95"/>
  <c r="AE568" i="95"/>
  <c r="W568" i="95"/>
  <c r="O568" i="95"/>
  <c r="G568" i="95"/>
  <c r="AB571" i="95"/>
  <c r="V568" i="95"/>
  <c r="AA571" i="95"/>
  <c r="S571" i="95"/>
  <c r="K571" i="95"/>
  <c r="AG570" i="95"/>
  <c r="Y570" i="95"/>
  <c r="Q570" i="95"/>
  <c r="I570" i="95"/>
  <c r="AE569" i="95"/>
  <c r="W569" i="95"/>
  <c r="O569" i="95"/>
  <c r="G569" i="95"/>
  <c r="AC568" i="95"/>
  <c r="U568" i="95"/>
  <c r="M568" i="95"/>
  <c r="E568" i="95"/>
  <c r="R570" i="95"/>
  <c r="AF569" i="95"/>
  <c r="N568" i="95"/>
  <c r="J553" i="95"/>
  <c r="AH536" i="95"/>
  <c r="Z536" i="95"/>
  <c r="R536" i="95"/>
  <c r="J536" i="95"/>
  <c r="AF535" i="95"/>
  <c r="X535" i="95"/>
  <c r="P535" i="95"/>
  <c r="H535" i="95"/>
  <c r="AD534" i="95"/>
  <c r="V534" i="95"/>
  <c r="N534" i="95"/>
  <c r="F534" i="95"/>
  <c r="AB533" i="95"/>
  <c r="T533" i="95"/>
  <c r="L533" i="95"/>
  <c r="J535" i="95"/>
  <c r="H534" i="95"/>
  <c r="AG536" i="95"/>
  <c r="Y536" i="95"/>
  <c r="Q536" i="95"/>
  <c r="I536" i="95"/>
  <c r="AE535" i="95"/>
  <c r="W535" i="95"/>
  <c r="O535" i="95"/>
  <c r="G535" i="95"/>
  <c r="AC534" i="95"/>
  <c r="U534" i="95"/>
  <c r="M534" i="95"/>
  <c r="E534" i="95"/>
  <c r="AA533" i="95"/>
  <c r="S533" i="95"/>
  <c r="K533" i="95"/>
  <c r="Z535" i="95"/>
  <c r="AF534" i="95"/>
  <c r="P534" i="95"/>
  <c r="AF536" i="95"/>
  <c r="X536" i="95"/>
  <c r="P536" i="95"/>
  <c r="H536" i="95"/>
  <c r="AD535" i="95"/>
  <c r="V535" i="95"/>
  <c r="N535" i="95"/>
  <c r="F535" i="95"/>
  <c r="AB534" i="95"/>
  <c r="T534" i="95"/>
  <c r="L534" i="95"/>
  <c r="AH533" i="95"/>
  <c r="Z533" i="95"/>
  <c r="R533" i="95"/>
  <c r="J533" i="95"/>
  <c r="AH535" i="95"/>
  <c r="V533" i="95"/>
  <c r="AE536" i="95"/>
  <c r="W536" i="95"/>
  <c r="O536" i="95"/>
  <c r="G536" i="95"/>
  <c r="AC535" i="95"/>
  <c r="U535" i="95"/>
  <c r="M535" i="95"/>
  <c r="AA534" i="95"/>
  <c r="S534" i="95"/>
  <c r="K534" i="95"/>
  <c r="AG533" i="95"/>
  <c r="Y533" i="95"/>
  <c r="Q533" i="95"/>
  <c r="I533" i="95"/>
  <c r="L536" i="95"/>
  <c r="X534" i="95"/>
  <c r="F533" i="95"/>
  <c r="AD536" i="95"/>
  <c r="V536" i="95"/>
  <c r="N536" i="95"/>
  <c r="F536" i="95"/>
  <c r="AB535" i="95"/>
  <c r="T535" i="95"/>
  <c r="L535" i="95"/>
  <c r="AH534" i="95"/>
  <c r="Z534" i="95"/>
  <c r="R534" i="95"/>
  <c r="J534" i="95"/>
  <c r="AF533" i="95"/>
  <c r="X533" i="95"/>
  <c r="P533" i="95"/>
  <c r="H533" i="95"/>
  <c r="T536" i="95"/>
  <c r="N533" i="95"/>
  <c r="AC536" i="95"/>
  <c r="U536" i="95"/>
  <c r="M536" i="95"/>
  <c r="AA535" i="95"/>
  <c r="S535" i="95"/>
  <c r="K535" i="95"/>
  <c r="AG534" i="95"/>
  <c r="Y534" i="95"/>
  <c r="Q534" i="95"/>
  <c r="I534" i="95"/>
  <c r="AE533" i="95"/>
  <c r="W533" i="95"/>
  <c r="O533" i="95"/>
  <c r="G533" i="95"/>
  <c r="AB536" i="95"/>
  <c r="AA536" i="95"/>
  <c r="S536" i="95"/>
  <c r="K536" i="95"/>
  <c r="AG535" i="95"/>
  <c r="Y535" i="95"/>
  <c r="Q535" i="95"/>
  <c r="I535" i="95"/>
  <c r="AE534" i="95"/>
  <c r="W534" i="95"/>
  <c r="O534" i="95"/>
  <c r="G534" i="95"/>
  <c r="AC533" i="95"/>
  <c r="U533" i="95"/>
  <c r="M533" i="95"/>
  <c r="E533" i="95"/>
  <c r="R535" i="95"/>
  <c r="AD533" i="95"/>
  <c r="H518" i="95"/>
  <c r="I483" i="95"/>
  <c r="I448" i="95"/>
  <c r="AH431" i="95"/>
  <c r="Z431" i="95"/>
  <c r="R431" i="95"/>
  <c r="J431" i="95"/>
  <c r="AF430" i="95"/>
  <c r="X430" i="95"/>
  <c r="P430" i="95"/>
  <c r="H430" i="95"/>
  <c r="AD429" i="95"/>
  <c r="V429" i="95"/>
  <c r="N429" i="95"/>
  <c r="F429" i="95"/>
  <c r="AB428" i="95"/>
  <c r="T428" i="95"/>
  <c r="L428" i="95"/>
  <c r="I430" i="95"/>
  <c r="U428" i="95"/>
  <c r="E428" i="95"/>
  <c r="AG431" i="95"/>
  <c r="Y431" i="95"/>
  <c r="Q431" i="95"/>
  <c r="I431" i="95"/>
  <c r="AE430" i="95"/>
  <c r="W430" i="95"/>
  <c r="O430" i="95"/>
  <c r="G430" i="95"/>
  <c r="AC429" i="95"/>
  <c r="U429" i="95"/>
  <c r="M429" i="95"/>
  <c r="E429" i="95"/>
  <c r="AA428" i="95"/>
  <c r="S428" i="95"/>
  <c r="K428" i="95"/>
  <c r="Q430" i="95"/>
  <c r="O429" i="95"/>
  <c r="AF431" i="95"/>
  <c r="X431" i="95"/>
  <c r="P431" i="95"/>
  <c r="H431" i="95"/>
  <c r="AD430" i="95"/>
  <c r="V430" i="95"/>
  <c r="N430" i="95"/>
  <c r="F430" i="95"/>
  <c r="AB429" i="95"/>
  <c r="T429" i="95"/>
  <c r="L429" i="95"/>
  <c r="AH428" i="95"/>
  <c r="Z428" i="95"/>
  <c r="R428" i="95"/>
  <c r="J428" i="95"/>
  <c r="K431" i="95"/>
  <c r="W429" i="95"/>
  <c r="AE431" i="95"/>
  <c r="W431" i="95"/>
  <c r="O431" i="95"/>
  <c r="G431" i="95"/>
  <c r="AC430" i="95"/>
  <c r="U430" i="95"/>
  <c r="M430" i="95"/>
  <c r="AA429" i="95"/>
  <c r="S429" i="95"/>
  <c r="K429" i="95"/>
  <c r="AG428" i="95"/>
  <c r="Y428" i="95"/>
  <c r="Q428" i="95"/>
  <c r="I428" i="95"/>
  <c r="Y430" i="95"/>
  <c r="G429" i="95"/>
  <c r="AD431" i="95"/>
  <c r="V431" i="95"/>
  <c r="N431" i="95"/>
  <c r="F431" i="95"/>
  <c r="AB430" i="95"/>
  <c r="T430" i="95"/>
  <c r="L430" i="95"/>
  <c r="AH429" i="95"/>
  <c r="Z429" i="95"/>
  <c r="R429" i="95"/>
  <c r="J429" i="95"/>
  <c r="AF428" i="95"/>
  <c r="X428" i="95"/>
  <c r="P428" i="95"/>
  <c r="H428" i="95"/>
  <c r="AG430" i="95"/>
  <c r="AC431" i="95"/>
  <c r="U431" i="95"/>
  <c r="M431" i="95"/>
  <c r="AA430" i="95"/>
  <c r="S430" i="95"/>
  <c r="K430" i="95"/>
  <c r="AG429" i="95"/>
  <c r="Y429" i="95"/>
  <c r="Q429" i="95"/>
  <c r="I429" i="95"/>
  <c r="AE428" i="95"/>
  <c r="W428" i="95"/>
  <c r="O428" i="95"/>
  <c r="G428" i="95"/>
  <c r="S431" i="95"/>
  <c r="AC428" i="95"/>
  <c r="AB431" i="95"/>
  <c r="T431" i="95"/>
  <c r="L431" i="95"/>
  <c r="AH430" i="95"/>
  <c r="Z430" i="95"/>
  <c r="R430" i="95"/>
  <c r="J430" i="95"/>
  <c r="AF429" i="95"/>
  <c r="X429" i="95"/>
  <c r="P429" i="95"/>
  <c r="H429" i="95"/>
  <c r="AD428" i="95"/>
  <c r="V428" i="95"/>
  <c r="N428" i="95"/>
  <c r="F428" i="95"/>
  <c r="AA431" i="95"/>
  <c r="AE429" i="95"/>
  <c r="M428" i="95"/>
  <c r="I413" i="95"/>
  <c r="AH396" i="95"/>
  <c r="Z396" i="95"/>
  <c r="R396" i="95"/>
  <c r="J396" i="95"/>
  <c r="AF395" i="95"/>
  <c r="X395" i="95"/>
  <c r="P395" i="95"/>
  <c r="H395" i="95"/>
  <c r="AD394" i="95"/>
  <c r="V394" i="95"/>
  <c r="N394" i="95"/>
  <c r="F394" i="95"/>
  <c r="AB393" i="95"/>
  <c r="T393" i="95"/>
  <c r="L393" i="95"/>
  <c r="AC396" i="95"/>
  <c r="Q394" i="95"/>
  <c r="W393" i="95"/>
  <c r="T396" i="95"/>
  <c r="AF394" i="95"/>
  <c r="P394" i="95"/>
  <c r="AD393" i="95"/>
  <c r="AG396" i="95"/>
  <c r="Y396" i="95"/>
  <c r="Q396" i="95"/>
  <c r="I396" i="95"/>
  <c r="AE395" i="95"/>
  <c r="W395" i="95"/>
  <c r="O395" i="95"/>
  <c r="G395" i="95"/>
  <c r="AC394" i="95"/>
  <c r="U394" i="95"/>
  <c r="M394" i="95"/>
  <c r="E394" i="95"/>
  <c r="AA393" i="95"/>
  <c r="S393" i="95"/>
  <c r="K393" i="95"/>
  <c r="AA395" i="95"/>
  <c r="K395" i="95"/>
  <c r="I394" i="95"/>
  <c r="G393" i="95"/>
  <c r="AH395" i="95"/>
  <c r="J395" i="95"/>
  <c r="X394" i="95"/>
  <c r="H394" i="95"/>
  <c r="F393" i="95"/>
  <c r="AF396" i="95"/>
  <c r="X396" i="95"/>
  <c r="P396" i="95"/>
  <c r="H396" i="95"/>
  <c r="AD395" i="95"/>
  <c r="V395" i="95"/>
  <c r="N395" i="95"/>
  <c r="F395" i="95"/>
  <c r="AB394" i="95"/>
  <c r="T394" i="95"/>
  <c r="L394" i="95"/>
  <c r="AH393" i="95"/>
  <c r="Z393" i="95"/>
  <c r="R393" i="95"/>
  <c r="J393" i="95"/>
  <c r="M396" i="95"/>
  <c r="Z395" i="95"/>
  <c r="AE396" i="95"/>
  <c r="W396" i="95"/>
  <c r="O396" i="95"/>
  <c r="G396" i="95"/>
  <c r="AC395" i="95"/>
  <c r="U395" i="95"/>
  <c r="M395" i="95"/>
  <c r="AA394" i="95"/>
  <c r="S394" i="95"/>
  <c r="K394" i="95"/>
  <c r="AG393" i="95"/>
  <c r="Y393" i="95"/>
  <c r="Q393" i="95"/>
  <c r="I393" i="95"/>
  <c r="S395" i="95"/>
  <c r="R395" i="95"/>
  <c r="AD396" i="95"/>
  <c r="V396" i="95"/>
  <c r="N396" i="95"/>
  <c r="F396" i="95"/>
  <c r="AB395" i="95"/>
  <c r="T395" i="95"/>
  <c r="L395" i="95"/>
  <c r="AH394" i="95"/>
  <c r="Z394" i="95"/>
  <c r="R394" i="95"/>
  <c r="J394" i="95"/>
  <c r="AF393" i="95"/>
  <c r="X393" i="95"/>
  <c r="P393" i="95"/>
  <c r="H393" i="95"/>
  <c r="U396" i="95"/>
  <c r="AG394" i="95"/>
  <c r="O393" i="95"/>
  <c r="AB396" i="95"/>
  <c r="N393" i="95"/>
  <c r="AA396" i="95"/>
  <c r="S396" i="95"/>
  <c r="K396" i="95"/>
  <c r="AG395" i="95"/>
  <c r="Y395" i="95"/>
  <c r="Q395" i="95"/>
  <c r="I395" i="95"/>
  <c r="AE394" i="95"/>
  <c r="W394" i="95"/>
  <c r="O394" i="95"/>
  <c r="G394" i="95"/>
  <c r="AC393" i="95"/>
  <c r="U393" i="95"/>
  <c r="M393" i="95"/>
  <c r="E393" i="95"/>
  <c r="Y394" i="95"/>
  <c r="AE393" i="95"/>
  <c r="L396" i="95"/>
  <c r="V393" i="95"/>
  <c r="H378" i="95"/>
  <c r="I343" i="95"/>
  <c r="I308" i="95"/>
  <c r="H273" i="95"/>
  <c r="AH291" i="95"/>
  <c r="Z291" i="95"/>
  <c r="R291" i="95"/>
  <c r="J291" i="95"/>
  <c r="AF290" i="95"/>
  <c r="X290" i="95"/>
  <c r="P290" i="95"/>
  <c r="H290" i="95"/>
  <c r="AD289" i="95"/>
  <c r="V289" i="95"/>
  <c r="N289" i="95"/>
  <c r="F289" i="95"/>
  <c r="AB288" i="95"/>
  <c r="T288" i="95"/>
  <c r="L288" i="95"/>
  <c r="W288" i="95"/>
  <c r="Z290" i="95"/>
  <c r="H289" i="95"/>
  <c r="AG291" i="95"/>
  <c r="Y291" i="95"/>
  <c r="Q291" i="95"/>
  <c r="I291" i="95"/>
  <c r="AE290" i="95"/>
  <c r="W290" i="95"/>
  <c r="O290" i="95"/>
  <c r="G290" i="95"/>
  <c r="AC289" i="95"/>
  <c r="U289" i="95"/>
  <c r="M289" i="95"/>
  <c r="E289" i="95"/>
  <c r="AA288" i="95"/>
  <c r="S288" i="95"/>
  <c r="K288" i="95"/>
  <c r="M291" i="95"/>
  <c r="Y289" i="95"/>
  <c r="G288" i="95"/>
  <c r="T291" i="95"/>
  <c r="V288" i="95"/>
  <c r="AF291" i="95"/>
  <c r="X291" i="95"/>
  <c r="P291" i="95"/>
  <c r="H291" i="95"/>
  <c r="AD290" i="95"/>
  <c r="V290" i="95"/>
  <c r="N290" i="95"/>
  <c r="F290" i="95"/>
  <c r="AB289" i="95"/>
  <c r="T289" i="95"/>
  <c r="L289" i="95"/>
  <c r="AH288" i="95"/>
  <c r="Z288" i="95"/>
  <c r="R288" i="95"/>
  <c r="J288" i="95"/>
  <c r="AA290" i="95"/>
  <c r="K290" i="95"/>
  <c r="AE288" i="95"/>
  <c r="AH290" i="95"/>
  <c r="X289" i="95"/>
  <c r="AE291" i="95"/>
  <c r="W291" i="95"/>
  <c r="O291" i="95"/>
  <c r="G291" i="95"/>
  <c r="AC290" i="95"/>
  <c r="U290" i="95"/>
  <c r="M290" i="95"/>
  <c r="AA289" i="95"/>
  <c r="S289" i="95"/>
  <c r="K289" i="95"/>
  <c r="AG288" i="95"/>
  <c r="Y288" i="95"/>
  <c r="Q288" i="95"/>
  <c r="I288" i="95"/>
  <c r="U291" i="95"/>
  <c r="I289" i="95"/>
  <c r="R290" i="95"/>
  <c r="J290" i="95"/>
  <c r="P289" i="95"/>
  <c r="N288" i="95"/>
  <c r="AD291" i="95"/>
  <c r="V291" i="95"/>
  <c r="N291" i="95"/>
  <c r="F291" i="95"/>
  <c r="AB290" i="95"/>
  <c r="T290" i="95"/>
  <c r="L290" i="95"/>
  <c r="AH289" i="95"/>
  <c r="Z289" i="95"/>
  <c r="R289" i="95"/>
  <c r="J289" i="95"/>
  <c r="AF288" i="95"/>
  <c r="X288" i="95"/>
  <c r="P288" i="95"/>
  <c r="H288" i="95"/>
  <c r="AC291" i="95"/>
  <c r="Q289" i="95"/>
  <c r="L291" i="95"/>
  <c r="AF289" i="95"/>
  <c r="F288" i="95"/>
  <c r="AA291" i="95"/>
  <c r="S291" i="95"/>
  <c r="K291" i="95"/>
  <c r="AG290" i="95"/>
  <c r="Y290" i="95"/>
  <c r="Q290" i="95"/>
  <c r="I290" i="95"/>
  <c r="AE289" i="95"/>
  <c r="W289" i="95"/>
  <c r="O289" i="95"/>
  <c r="G289" i="95"/>
  <c r="AC288" i="95"/>
  <c r="U288" i="95"/>
  <c r="M288" i="95"/>
  <c r="E288" i="95"/>
  <c r="S290" i="95"/>
  <c r="AG289" i="95"/>
  <c r="O288" i="95"/>
  <c r="AB291" i="95"/>
  <c r="AD288" i="95"/>
  <c r="I238" i="95"/>
  <c r="AH256" i="95"/>
  <c r="Z256" i="95"/>
  <c r="R256" i="95"/>
  <c r="J256" i="95"/>
  <c r="AF255" i="95"/>
  <c r="X255" i="95"/>
  <c r="P255" i="95"/>
  <c r="H255" i="95"/>
  <c r="AD254" i="95"/>
  <c r="V254" i="95"/>
  <c r="N254" i="95"/>
  <c r="F254" i="95"/>
  <c r="AB253" i="95"/>
  <c r="T253" i="95"/>
  <c r="L253" i="95"/>
  <c r="R255" i="95"/>
  <c r="J255" i="95"/>
  <c r="X254" i="95"/>
  <c r="V253" i="95"/>
  <c r="S256" i="95"/>
  <c r="W254" i="95"/>
  <c r="AG256" i="95"/>
  <c r="Y256" i="95"/>
  <c r="Q256" i="95"/>
  <c r="I256" i="95"/>
  <c r="AE255" i="95"/>
  <c r="W255" i="95"/>
  <c r="O255" i="95"/>
  <c r="G255" i="95"/>
  <c r="AC254" i="95"/>
  <c r="U254" i="95"/>
  <c r="M254" i="95"/>
  <c r="E254" i="95"/>
  <c r="AA253" i="95"/>
  <c r="S253" i="95"/>
  <c r="K253" i="95"/>
  <c r="Z255" i="95"/>
  <c r="AF254" i="95"/>
  <c r="AD253" i="95"/>
  <c r="K256" i="95"/>
  <c r="U253" i="95"/>
  <c r="AF256" i="95"/>
  <c r="X256" i="95"/>
  <c r="P256" i="95"/>
  <c r="H256" i="95"/>
  <c r="AD255" i="95"/>
  <c r="V255" i="95"/>
  <c r="N255" i="95"/>
  <c r="F255" i="95"/>
  <c r="AB254" i="95"/>
  <c r="T254" i="95"/>
  <c r="L254" i="95"/>
  <c r="AH253" i="95"/>
  <c r="Z253" i="95"/>
  <c r="R253" i="95"/>
  <c r="J253" i="95"/>
  <c r="L256" i="95"/>
  <c r="N253" i="95"/>
  <c r="Y255" i="95"/>
  <c r="M253" i="95"/>
  <c r="AE256" i="95"/>
  <c r="W256" i="95"/>
  <c r="O256" i="95"/>
  <c r="G256" i="95"/>
  <c r="AC255" i="95"/>
  <c r="U255" i="95"/>
  <c r="M255" i="95"/>
  <c r="AA254" i="95"/>
  <c r="S254" i="95"/>
  <c r="K254" i="95"/>
  <c r="AG253" i="95"/>
  <c r="Y253" i="95"/>
  <c r="Q253" i="95"/>
  <c r="I253" i="95"/>
  <c r="T256" i="95"/>
  <c r="P254" i="95"/>
  <c r="F253" i="95"/>
  <c r="AA256" i="95"/>
  <c r="AE254" i="95"/>
  <c r="AD256" i="95"/>
  <c r="V256" i="95"/>
  <c r="N256" i="95"/>
  <c r="F256" i="95"/>
  <c r="AB255" i="95"/>
  <c r="T255" i="95"/>
  <c r="L255" i="95"/>
  <c r="AH254" i="95"/>
  <c r="Z254" i="95"/>
  <c r="R254" i="95"/>
  <c r="J254" i="95"/>
  <c r="AF253" i="95"/>
  <c r="X253" i="95"/>
  <c r="P253" i="95"/>
  <c r="H253" i="95"/>
  <c r="AH255" i="95"/>
  <c r="Q255" i="95"/>
  <c r="G254" i="95"/>
  <c r="AC256" i="95"/>
  <c r="U256" i="95"/>
  <c r="M256" i="95"/>
  <c r="AA255" i="95"/>
  <c r="S255" i="95"/>
  <c r="K255" i="95"/>
  <c r="AG254" i="95"/>
  <c r="Y254" i="95"/>
  <c r="Q254" i="95"/>
  <c r="I254" i="95"/>
  <c r="AE253" i="95"/>
  <c r="W253" i="95"/>
  <c r="O253" i="95"/>
  <c r="G253" i="95"/>
  <c r="AB256" i="95"/>
  <c r="H254" i="95"/>
  <c r="AG255" i="95"/>
  <c r="O254" i="95"/>
  <c r="I255" i="95"/>
  <c r="AC253" i="95"/>
  <c r="E253" i="95"/>
  <c r="AH221" i="95"/>
  <c r="Z221" i="95"/>
  <c r="R221" i="95"/>
  <c r="J221" i="95"/>
  <c r="AF220" i="95"/>
  <c r="X220" i="95"/>
  <c r="P220" i="95"/>
  <c r="H220" i="95"/>
  <c r="AD219" i="95"/>
  <c r="V219" i="95"/>
  <c r="N219" i="95"/>
  <c r="F219" i="95"/>
  <c r="AB218" i="95"/>
  <c r="T218" i="95"/>
  <c r="L218" i="95"/>
  <c r="L221" i="95"/>
  <c r="X219" i="95"/>
  <c r="V218" i="95"/>
  <c r="AG221" i="95"/>
  <c r="Y221" i="95"/>
  <c r="Q221" i="95"/>
  <c r="I221" i="95"/>
  <c r="AE220" i="95"/>
  <c r="W220" i="95"/>
  <c r="O220" i="95"/>
  <c r="G220" i="95"/>
  <c r="AC219" i="95"/>
  <c r="U219" i="95"/>
  <c r="M219" i="95"/>
  <c r="E219" i="95"/>
  <c r="AA218" i="95"/>
  <c r="S218" i="95"/>
  <c r="K218" i="95"/>
  <c r="R220" i="95"/>
  <c r="AF221" i="95"/>
  <c r="X221" i="95"/>
  <c r="P221" i="95"/>
  <c r="H221" i="95"/>
  <c r="AD220" i="95"/>
  <c r="V220" i="95"/>
  <c r="N220" i="95"/>
  <c r="F220" i="95"/>
  <c r="AB219" i="95"/>
  <c r="T219" i="95"/>
  <c r="L219" i="95"/>
  <c r="AH218" i="95"/>
  <c r="Z218" i="95"/>
  <c r="R218" i="95"/>
  <c r="J218" i="95"/>
  <c r="AH220" i="95"/>
  <c r="AF219" i="95"/>
  <c r="N218" i="95"/>
  <c r="AE221" i="95"/>
  <c r="W221" i="95"/>
  <c r="O221" i="95"/>
  <c r="G221" i="95"/>
  <c r="AC220" i="95"/>
  <c r="U220" i="95"/>
  <c r="M220" i="95"/>
  <c r="AA219" i="95"/>
  <c r="S219" i="95"/>
  <c r="K219" i="95"/>
  <c r="AG218" i="95"/>
  <c r="Y218" i="95"/>
  <c r="Q218" i="95"/>
  <c r="I218" i="95"/>
  <c r="T221" i="95"/>
  <c r="J220" i="95"/>
  <c r="H219" i="95"/>
  <c r="F218" i="95"/>
  <c r="AD221" i="95"/>
  <c r="V221" i="95"/>
  <c r="N221" i="95"/>
  <c r="F221" i="95"/>
  <c r="AB220" i="95"/>
  <c r="T220" i="95"/>
  <c r="L220" i="95"/>
  <c r="AH219" i="95"/>
  <c r="Z219" i="95"/>
  <c r="R219" i="95"/>
  <c r="J219" i="95"/>
  <c r="AF218" i="95"/>
  <c r="X218" i="95"/>
  <c r="P218" i="95"/>
  <c r="H218" i="95"/>
  <c r="AB221" i="95"/>
  <c r="P219" i="95"/>
  <c r="AC221" i="95"/>
  <c r="U221" i="95"/>
  <c r="M221" i="95"/>
  <c r="AA220" i="95"/>
  <c r="S220" i="95"/>
  <c r="K220" i="95"/>
  <c r="AG219" i="95"/>
  <c r="Y219" i="95"/>
  <c r="Q219" i="95"/>
  <c r="I219" i="95"/>
  <c r="AE218" i="95"/>
  <c r="W218" i="95"/>
  <c r="O218" i="95"/>
  <c r="G218" i="95"/>
  <c r="AA221" i="95"/>
  <c r="S221" i="95"/>
  <c r="K221" i="95"/>
  <c r="AG220" i="95"/>
  <c r="Y220" i="95"/>
  <c r="Q220" i="95"/>
  <c r="I220" i="95"/>
  <c r="AE219" i="95"/>
  <c r="W219" i="95"/>
  <c r="O219" i="95"/>
  <c r="G219" i="95"/>
  <c r="AC218" i="95"/>
  <c r="U218" i="95"/>
  <c r="M218" i="95"/>
  <c r="E218" i="95"/>
  <c r="Z220" i="95"/>
  <c r="AD218" i="95"/>
  <c r="K203" i="95"/>
  <c r="AH186" i="95"/>
  <c r="Z186" i="95"/>
  <c r="AD184" i="95"/>
  <c r="V184" i="95"/>
  <c r="AB183" i="95"/>
  <c r="T183" i="95"/>
  <c r="L183" i="95"/>
  <c r="AG186" i="95"/>
  <c r="Y186" i="95"/>
  <c r="AC184" i="95"/>
  <c r="U184" i="95"/>
  <c r="AA183" i="95"/>
  <c r="S183" i="95"/>
  <c r="K183" i="95"/>
  <c r="X184" i="95"/>
  <c r="N183" i="95"/>
  <c r="AF186" i="95"/>
  <c r="X186" i="95"/>
  <c r="AB184" i="95"/>
  <c r="T184" i="95"/>
  <c r="AH183" i="95"/>
  <c r="Z183" i="95"/>
  <c r="R183" i="95"/>
  <c r="J183" i="95"/>
  <c r="V183" i="95"/>
  <c r="AE186" i="95"/>
  <c r="W186" i="95"/>
  <c r="AA184" i="95"/>
  <c r="AG183" i="95"/>
  <c r="Y183" i="95"/>
  <c r="Q183" i="95"/>
  <c r="I183" i="95"/>
  <c r="AD186" i="95"/>
  <c r="V186" i="95"/>
  <c r="AH184" i="95"/>
  <c r="Z184" i="95"/>
  <c r="AF183" i="95"/>
  <c r="X183" i="95"/>
  <c r="P183" i="95"/>
  <c r="H183" i="95"/>
  <c r="T186" i="95"/>
  <c r="F183" i="95"/>
  <c r="AC186" i="95"/>
  <c r="U186" i="95"/>
  <c r="AG184" i="95"/>
  <c r="Y184" i="95"/>
  <c r="AE183" i="95"/>
  <c r="W183" i="95"/>
  <c r="O183" i="95"/>
  <c r="G183" i="95"/>
  <c r="AB186" i="95"/>
  <c r="AD183" i="95"/>
  <c r="AA186" i="95"/>
  <c r="AE184" i="95"/>
  <c r="W184" i="95"/>
  <c r="AC183" i="95"/>
  <c r="U183" i="95"/>
  <c r="M183" i="95"/>
  <c r="E183" i="95"/>
  <c r="AF184" i="95"/>
  <c r="H168" i="95"/>
  <c r="H133" i="95"/>
  <c r="AH151" i="95"/>
  <c r="Z151" i="95"/>
  <c r="R151" i="95"/>
  <c r="J151" i="95"/>
  <c r="AF150" i="95"/>
  <c r="X150" i="95"/>
  <c r="P150" i="95"/>
  <c r="H150" i="95"/>
  <c r="AD149" i="95"/>
  <c r="V149" i="95"/>
  <c r="N149" i="95"/>
  <c r="F149" i="95"/>
  <c r="AB148" i="95"/>
  <c r="T148" i="95"/>
  <c r="L148" i="95"/>
  <c r="R150" i="95"/>
  <c r="N148" i="95"/>
  <c r="AG151" i="95"/>
  <c r="Y151" i="95"/>
  <c r="Q151" i="95"/>
  <c r="I151" i="95"/>
  <c r="AE150" i="95"/>
  <c r="W150" i="95"/>
  <c r="O150" i="95"/>
  <c r="G150" i="95"/>
  <c r="AC149" i="95"/>
  <c r="U149" i="95"/>
  <c r="M149" i="95"/>
  <c r="E149" i="95"/>
  <c r="AA148" i="95"/>
  <c r="S148" i="95"/>
  <c r="K148" i="95"/>
  <c r="Z150" i="95"/>
  <c r="AF149" i="95"/>
  <c r="P149" i="95"/>
  <c r="AF151" i="95"/>
  <c r="X151" i="95"/>
  <c r="P151" i="95"/>
  <c r="H151" i="95"/>
  <c r="AD150" i="95"/>
  <c r="V150" i="95"/>
  <c r="N150" i="95"/>
  <c r="F150" i="95"/>
  <c r="AB149" i="95"/>
  <c r="T149" i="95"/>
  <c r="L149" i="95"/>
  <c r="AH148" i="95"/>
  <c r="Z148" i="95"/>
  <c r="R148" i="95"/>
  <c r="J148" i="95"/>
  <c r="AH150" i="95"/>
  <c r="AD148" i="95"/>
  <c r="AE151" i="95"/>
  <c r="W151" i="95"/>
  <c r="O151" i="95"/>
  <c r="G151" i="95"/>
  <c r="AC150" i="95"/>
  <c r="U150" i="95"/>
  <c r="M150" i="95"/>
  <c r="AA149" i="95"/>
  <c r="S149" i="95"/>
  <c r="K149" i="95"/>
  <c r="AG148" i="95"/>
  <c r="Y148" i="95"/>
  <c r="Q148" i="95"/>
  <c r="I148" i="95"/>
  <c r="L151" i="95"/>
  <c r="F148" i="95"/>
  <c r="AD151" i="95"/>
  <c r="V151" i="95"/>
  <c r="N151" i="95"/>
  <c r="F151" i="95"/>
  <c r="AB150" i="95"/>
  <c r="T150" i="95"/>
  <c r="L150" i="95"/>
  <c r="AH149" i="95"/>
  <c r="Z149" i="95"/>
  <c r="R149" i="95"/>
  <c r="J149" i="95"/>
  <c r="AF148" i="95"/>
  <c r="X148" i="95"/>
  <c r="P148" i="95"/>
  <c r="H148" i="95"/>
  <c r="T151" i="95"/>
  <c r="X149" i="95"/>
  <c r="V148" i="95"/>
  <c r="AC151" i="95"/>
  <c r="U151" i="95"/>
  <c r="M151" i="95"/>
  <c r="AA150" i="95"/>
  <c r="S150" i="95"/>
  <c r="K150" i="95"/>
  <c r="AG149" i="95"/>
  <c r="Y149" i="95"/>
  <c r="Q149" i="95"/>
  <c r="I149" i="95"/>
  <c r="AE148" i="95"/>
  <c r="W148" i="95"/>
  <c r="O148" i="95"/>
  <c r="G148" i="95"/>
  <c r="AB151" i="95"/>
  <c r="AA151" i="95"/>
  <c r="S151" i="95"/>
  <c r="K151" i="95"/>
  <c r="AG150" i="95"/>
  <c r="Y150" i="95"/>
  <c r="Q150" i="95"/>
  <c r="I150" i="95"/>
  <c r="AE149" i="95"/>
  <c r="W149" i="95"/>
  <c r="O149" i="95"/>
  <c r="G149" i="95"/>
  <c r="AC148" i="95"/>
  <c r="U148" i="95"/>
  <c r="M148" i="95"/>
  <c r="E148" i="95"/>
  <c r="J150" i="95"/>
  <c r="H149" i="95"/>
  <c r="Y354" i="95" l="1"/>
  <c r="AD284" i="95"/>
  <c r="F704" i="95"/>
  <c r="W319" i="95"/>
  <c r="W704" i="95"/>
  <c r="AC319" i="95"/>
  <c r="G354" i="95"/>
  <c r="O564" i="95"/>
  <c r="AC529" i="95"/>
  <c r="AG319" i="95"/>
  <c r="F319" i="95"/>
  <c r="U354" i="95"/>
  <c r="I354" i="95"/>
  <c r="Q354" i="95"/>
  <c r="U214" i="95"/>
  <c r="L354" i="95"/>
  <c r="AD354" i="95"/>
  <c r="F354" i="95"/>
  <c r="V319" i="95"/>
  <c r="X249" i="95"/>
  <c r="R319" i="95"/>
  <c r="AE354" i="95"/>
  <c r="S354" i="95"/>
  <c r="H354" i="95"/>
  <c r="AH354" i="95"/>
  <c r="K354" i="95"/>
  <c r="T354" i="95"/>
  <c r="Z284" i="95"/>
  <c r="AA319" i="95"/>
  <c r="W354" i="95"/>
  <c r="Q319" i="95"/>
  <c r="M459" i="95"/>
  <c r="V354" i="95"/>
  <c r="U739" i="95"/>
  <c r="O354" i="95"/>
  <c r="V669" i="95"/>
  <c r="AC354" i="95"/>
  <c r="M319" i="95"/>
  <c r="E354" i="95"/>
  <c r="R354" i="95"/>
  <c r="AE319" i="95"/>
  <c r="Y319" i="95"/>
  <c r="AB354" i="95"/>
  <c r="P354" i="95"/>
  <c r="L319" i="95"/>
  <c r="S319" i="95"/>
  <c r="AB319" i="95"/>
  <c r="N354" i="95"/>
  <c r="E319" i="95"/>
  <c r="N319" i="95"/>
  <c r="J354" i="95"/>
  <c r="U319" i="95"/>
  <c r="AF319" i="95"/>
  <c r="Z354" i="95"/>
  <c r="P319" i="95"/>
  <c r="Z669" i="95"/>
  <c r="Z319" i="95"/>
  <c r="M354" i="95"/>
  <c r="F284" i="95"/>
  <c r="AF354" i="95"/>
  <c r="V284" i="95"/>
  <c r="H284" i="95"/>
  <c r="X354" i="95"/>
  <c r="G319" i="95"/>
  <c r="AG354" i="95"/>
  <c r="K319" i="95"/>
  <c r="H319" i="95"/>
  <c r="L529" i="95"/>
  <c r="AH319" i="95"/>
  <c r="F599" i="95"/>
  <c r="X319" i="95"/>
  <c r="I319" i="95"/>
  <c r="J319" i="95"/>
  <c r="AD319" i="95"/>
  <c r="AA354" i="95"/>
  <c r="O319" i="95"/>
  <c r="T319" i="95"/>
  <c r="L284" i="95"/>
  <c r="AC599" i="95"/>
  <c r="L564" i="95"/>
  <c r="E529" i="95"/>
  <c r="Q669" i="95"/>
  <c r="G249" i="95"/>
  <c r="AE284" i="95"/>
  <c r="AD634" i="95"/>
  <c r="AB459" i="95"/>
  <c r="T214" i="95"/>
  <c r="E284" i="95"/>
  <c r="F494" i="95"/>
  <c r="AE669" i="95"/>
  <c r="S669" i="95"/>
  <c r="AH704" i="95"/>
  <c r="X669" i="95"/>
  <c r="AG669" i="95"/>
  <c r="O704" i="95"/>
  <c r="W599" i="95"/>
  <c r="P599" i="95"/>
  <c r="Q389" i="95"/>
  <c r="M669" i="95"/>
  <c r="F424" i="95"/>
  <c r="L424" i="95"/>
  <c r="AD389" i="95"/>
  <c r="AD494" i="95"/>
  <c r="E599" i="95"/>
  <c r="J214" i="95"/>
  <c r="M249" i="95"/>
  <c r="Z634" i="95"/>
  <c r="V529" i="95"/>
  <c r="P389" i="95"/>
  <c r="S739" i="95"/>
  <c r="AD214" i="95"/>
  <c r="Q634" i="95"/>
  <c r="AG494" i="95"/>
  <c r="Q249" i="95"/>
  <c r="AA459" i="95"/>
  <c r="AC284" i="95"/>
  <c r="AA529" i="95"/>
  <c r="P704" i="95"/>
  <c r="AF284" i="95"/>
  <c r="L669" i="95"/>
  <c r="O389" i="95"/>
  <c r="M424" i="95"/>
  <c r="G284" i="95"/>
  <c r="P249" i="95"/>
  <c r="I634" i="95"/>
  <c r="P669" i="95"/>
  <c r="X564" i="95"/>
  <c r="M494" i="95"/>
  <c r="U669" i="95"/>
  <c r="P634" i="95"/>
  <c r="H669" i="95"/>
  <c r="X459" i="95"/>
  <c r="T739" i="95"/>
  <c r="AA179" i="95"/>
  <c r="Z599" i="95"/>
  <c r="AF634" i="95"/>
  <c r="J249" i="95"/>
  <c r="X494" i="95"/>
  <c r="E424" i="95"/>
  <c r="O599" i="95"/>
  <c r="V389" i="95"/>
  <c r="Y459" i="95"/>
  <c r="Z214" i="95"/>
  <c r="AG214" i="95"/>
  <c r="L249" i="95"/>
  <c r="O214" i="95"/>
  <c r="J529" i="95"/>
  <c r="E249" i="95"/>
  <c r="AH634" i="95"/>
  <c r="J459" i="95"/>
  <c r="S284" i="95"/>
  <c r="G634" i="95"/>
  <c r="V739" i="95"/>
  <c r="J599" i="95"/>
  <c r="Q529" i="95"/>
  <c r="M529" i="95"/>
  <c r="AE494" i="95"/>
  <c r="K669" i="95"/>
  <c r="AH669" i="95"/>
  <c r="R424" i="95"/>
  <c r="X389" i="95"/>
  <c r="Z459" i="95"/>
  <c r="U249" i="95"/>
  <c r="AB424" i="95"/>
  <c r="AB599" i="95"/>
  <c r="R564" i="95"/>
  <c r="Y249" i="95"/>
  <c r="J739" i="95"/>
  <c r="AH389" i="95"/>
  <c r="O634" i="95"/>
  <c r="N249" i="95"/>
  <c r="K704" i="95"/>
  <c r="J704" i="95"/>
  <c r="S599" i="95"/>
  <c r="N634" i="95"/>
  <c r="AF459" i="95"/>
  <c r="M284" i="95"/>
  <c r="H599" i="95"/>
  <c r="N599" i="95"/>
  <c r="M564" i="95"/>
  <c r="L494" i="95"/>
  <c r="AD739" i="95"/>
  <c r="O739" i="95"/>
  <c r="AA564" i="95"/>
  <c r="M704" i="95"/>
  <c r="AF669" i="95"/>
  <c r="Z424" i="95"/>
  <c r="W529" i="95"/>
  <c r="N704" i="95"/>
  <c r="AC424" i="95"/>
  <c r="K599" i="95"/>
  <c r="R599" i="95"/>
  <c r="U599" i="95"/>
  <c r="H389" i="95"/>
  <c r="L389" i="95"/>
  <c r="S634" i="95"/>
  <c r="AG529" i="95"/>
  <c r="AB529" i="95"/>
  <c r="G739" i="95"/>
  <c r="R739" i="95"/>
  <c r="L739" i="95"/>
  <c r="Y704" i="95"/>
  <c r="I669" i="95"/>
  <c r="E634" i="95"/>
  <c r="I459" i="95"/>
  <c r="Q214" i="95"/>
  <c r="AF564" i="95"/>
  <c r="AF704" i="95"/>
  <c r="Y424" i="95"/>
  <c r="U494" i="95"/>
  <c r="W739" i="95"/>
  <c r="S704" i="95"/>
  <c r="V599" i="95"/>
  <c r="AH494" i="95"/>
  <c r="Z494" i="95"/>
  <c r="R494" i="95"/>
  <c r="F389" i="95"/>
  <c r="AB704" i="95"/>
  <c r="O669" i="95"/>
  <c r="E459" i="95"/>
  <c r="I214" i="95"/>
  <c r="V249" i="95"/>
  <c r="Q494" i="95"/>
  <c r="W284" i="95"/>
  <c r="AH179" i="95"/>
  <c r="S424" i="95"/>
  <c r="J389" i="95"/>
  <c r="F634" i="95"/>
  <c r="Y634" i="95"/>
  <c r="AG459" i="95"/>
  <c r="AH214" i="95"/>
  <c r="AF214" i="95"/>
  <c r="K529" i="95"/>
  <c r="H739" i="95"/>
  <c r="I704" i="95"/>
  <c r="N284" i="95"/>
  <c r="T424" i="95"/>
  <c r="AE424" i="95"/>
  <c r="P424" i="95"/>
  <c r="H424" i="95"/>
  <c r="M599" i="95"/>
  <c r="AD459" i="95"/>
  <c r="N459" i="95"/>
  <c r="G214" i="95"/>
  <c r="J564" i="95"/>
  <c r="W564" i="95"/>
  <c r="F529" i="95"/>
  <c r="AF249" i="95"/>
  <c r="AA249" i="95"/>
  <c r="AA739" i="95"/>
  <c r="X739" i="95"/>
  <c r="R704" i="95"/>
  <c r="E669" i="95"/>
  <c r="X424" i="95"/>
  <c r="T599" i="95"/>
  <c r="W389" i="95"/>
  <c r="K459" i="95"/>
  <c r="L459" i="95"/>
  <c r="S214" i="95"/>
  <c r="G564" i="95"/>
  <c r="U564" i="95"/>
  <c r="AH249" i="95"/>
  <c r="K249" i="95"/>
  <c r="AD249" i="95"/>
  <c r="AB494" i="95"/>
  <c r="AC739" i="95"/>
  <c r="N739" i="95"/>
  <c r="R284" i="95"/>
  <c r="AF179" i="95"/>
  <c r="Q599" i="95"/>
  <c r="AA389" i="95"/>
  <c r="R459" i="95"/>
  <c r="AG564" i="95"/>
  <c r="AF529" i="95"/>
  <c r="AH529" i="95"/>
  <c r="W249" i="95"/>
  <c r="AC704" i="95"/>
  <c r="X704" i="95"/>
  <c r="AC389" i="95"/>
  <c r="V494" i="95"/>
  <c r="O494" i="95"/>
  <c r="AG424" i="95"/>
  <c r="R389" i="95"/>
  <c r="Z389" i="95"/>
  <c r="T459" i="95"/>
  <c r="R669" i="95"/>
  <c r="AH424" i="95"/>
  <c r="T389" i="95"/>
  <c r="U459" i="95"/>
  <c r="F459" i="95"/>
  <c r="V214" i="95"/>
  <c r="E214" i="95"/>
  <c r="G529" i="95"/>
  <c r="K494" i="95"/>
  <c r="AF739" i="95"/>
  <c r="AB739" i="95"/>
  <c r="I284" i="95"/>
  <c r="Y284" i="95"/>
  <c r="F669" i="95"/>
  <c r="J424" i="95"/>
  <c r="AG599" i="95"/>
  <c r="H634" i="95"/>
  <c r="G459" i="95"/>
  <c r="O529" i="95"/>
  <c r="J669" i="95"/>
  <c r="N669" i="95"/>
  <c r="AG179" i="95"/>
  <c r="AH459" i="95"/>
  <c r="Z564" i="95"/>
  <c r="AC494" i="95"/>
  <c r="AA704" i="95"/>
  <c r="AG284" i="95"/>
  <c r="AA599" i="95"/>
  <c r="AE389" i="95"/>
  <c r="AC459" i="95"/>
  <c r="P214" i="95"/>
  <c r="W214" i="95"/>
  <c r="I564" i="95"/>
  <c r="T249" i="95"/>
  <c r="AG249" i="95"/>
  <c r="P284" i="95"/>
  <c r="X284" i="95"/>
  <c r="AA669" i="95"/>
  <c r="AD179" i="95"/>
  <c r="AB179" i="95"/>
  <c r="AG389" i="95"/>
  <c r="AF389" i="95"/>
  <c r="AB389" i="95"/>
  <c r="X634" i="95"/>
  <c r="P529" i="95"/>
  <c r="P494" i="95"/>
  <c r="AH739" i="95"/>
  <c r="T704" i="95"/>
  <c r="L704" i="95"/>
  <c r="W669" i="95"/>
  <c r="AC179" i="95"/>
  <c r="AH599" i="95"/>
  <c r="N529" i="95"/>
  <c r="Z529" i="95"/>
  <c r="H249" i="95"/>
  <c r="H494" i="95"/>
  <c r="K739" i="95"/>
  <c r="Q704" i="95"/>
  <c r="N389" i="95"/>
  <c r="H459" i="95"/>
  <c r="AC214" i="95"/>
  <c r="R529" i="95"/>
  <c r="M634" i="95"/>
  <c r="V459" i="95"/>
  <c r="N214" i="95"/>
  <c r="G494" i="95"/>
  <c r="AE704" i="95"/>
  <c r="J284" i="95"/>
  <c r="G669" i="95"/>
  <c r="N424" i="95"/>
  <c r="V424" i="95"/>
  <c r="G389" i="95"/>
  <c r="F214" i="95"/>
  <c r="T564" i="95"/>
  <c r="P564" i="95"/>
  <c r="AB564" i="95"/>
  <c r="AF494" i="95"/>
  <c r="G424" i="95"/>
  <c r="I424" i="95"/>
  <c r="L634" i="95"/>
  <c r="W459" i="95"/>
  <c r="M214" i="95"/>
  <c r="I529" i="95"/>
  <c r="O249" i="95"/>
  <c r="I494" i="95"/>
  <c r="P739" i="95"/>
  <c r="AE179" i="95"/>
  <c r="Q424" i="95"/>
  <c r="V634" i="95"/>
  <c r="AB214" i="95"/>
  <c r="Q564" i="95"/>
  <c r="U529" i="95"/>
  <c r="R249" i="95"/>
  <c r="J494" i="95"/>
  <c r="N494" i="95"/>
  <c r="AE739" i="95"/>
  <c r="Q284" i="95"/>
  <c r="AB669" i="95"/>
  <c r="AA634" i="95"/>
  <c r="X529" i="95"/>
  <c r="AA494" i="95"/>
  <c r="O284" i="95"/>
  <c r="AD669" i="95"/>
  <c r="X599" i="95"/>
  <c r="AD599" i="95"/>
  <c r="Y599" i="95"/>
  <c r="S389" i="95"/>
  <c r="AB634" i="95"/>
  <c r="T634" i="95"/>
  <c r="W634" i="95"/>
  <c r="Q459" i="95"/>
  <c r="AE459" i="95"/>
  <c r="AE214" i="95"/>
  <c r="Y494" i="95"/>
  <c r="F739" i="95"/>
  <c r="Y739" i="95"/>
  <c r="E739" i="95"/>
  <c r="Q739" i="95"/>
  <c r="T284" i="95"/>
  <c r="T669" i="95"/>
  <c r="O459" i="95"/>
  <c r="Z249" i="95"/>
  <c r="E564" i="95"/>
  <c r="V704" i="95"/>
  <c r="W494" i="95"/>
  <c r="Z704" i="95"/>
  <c r="AH284" i="95"/>
  <c r="O424" i="95"/>
  <c r="G599" i="95"/>
  <c r="L599" i="95"/>
  <c r="I389" i="95"/>
  <c r="H214" i="95"/>
  <c r="R214" i="95"/>
  <c r="H564" i="95"/>
  <c r="AD529" i="95"/>
  <c r="S249" i="95"/>
  <c r="AG739" i="95"/>
  <c r="X214" i="95"/>
  <c r="M389" i="95"/>
  <c r="K564" i="95"/>
  <c r="F249" i="95"/>
  <c r="H704" i="95"/>
  <c r="U284" i="95"/>
  <c r="K284" i="95"/>
  <c r="AF424" i="95"/>
  <c r="I599" i="95"/>
  <c r="E389" i="95"/>
  <c r="R634" i="95"/>
  <c r="J634" i="95"/>
  <c r="P459" i="95"/>
  <c r="K214" i="95"/>
  <c r="F564" i="95"/>
  <c r="H529" i="95"/>
  <c r="AE529" i="95"/>
  <c r="AB249" i="95"/>
  <c r="E494" i="95"/>
  <c r="S494" i="95"/>
  <c r="M739" i="95"/>
  <c r="K389" i="95"/>
  <c r="I739" i="95"/>
  <c r="AC669" i="95"/>
  <c r="K424" i="95"/>
  <c r="AA424" i="95"/>
  <c r="AG634" i="95"/>
  <c r="Y564" i="95"/>
  <c r="E704" i="95"/>
  <c r="AA284" i="95"/>
  <c r="AD424" i="95"/>
  <c r="U424" i="95"/>
  <c r="Y389" i="95"/>
  <c r="U389" i="95"/>
  <c r="AE634" i="95"/>
  <c r="S459" i="95"/>
  <c r="L214" i="95"/>
  <c r="AD564" i="95"/>
  <c r="AH564" i="95"/>
  <c r="S564" i="95"/>
  <c r="S529" i="95"/>
  <c r="Y529" i="95"/>
  <c r="AC249" i="95"/>
  <c r="Z739" i="95"/>
  <c r="AC564" i="95"/>
  <c r="G704" i="95"/>
  <c r="AD704" i="95"/>
  <c r="U704" i="95"/>
  <c r="AG704" i="95"/>
  <c r="AB284" i="95"/>
  <c r="Y669" i="95"/>
  <c r="W424" i="95"/>
  <c r="AF599" i="95"/>
  <c r="AE599" i="95"/>
  <c r="K634" i="95"/>
  <c r="U634" i="95"/>
  <c r="AC634" i="95"/>
  <c r="AA214" i="95"/>
  <c r="Y214" i="95"/>
  <c r="AE564" i="95"/>
  <c r="N564" i="95"/>
  <c r="V564" i="95"/>
  <c r="T529" i="95"/>
  <c r="AE249" i="95"/>
  <c r="I249" i="95"/>
  <c r="T494" i="95"/>
  <c r="L87" i="107"/>
  <c r="I728" i="95"/>
  <c r="I693" i="95"/>
  <c r="I658" i="95"/>
  <c r="I623" i="95"/>
  <c r="K588" i="95"/>
  <c r="K553" i="95"/>
  <c r="I518" i="95"/>
  <c r="J483" i="95"/>
  <c r="J448" i="95"/>
  <c r="J413" i="95"/>
  <c r="I378" i="95"/>
  <c r="J343" i="95"/>
  <c r="J308" i="95"/>
  <c r="I273" i="95"/>
  <c r="J238" i="95"/>
  <c r="L203" i="95"/>
  <c r="I168" i="95"/>
  <c r="I133" i="95"/>
  <c r="J728" i="95" l="1"/>
  <c r="J693" i="95"/>
  <c r="J658" i="95"/>
  <c r="J623" i="95"/>
  <c r="L588" i="95"/>
  <c r="L553" i="95"/>
  <c r="J518" i="95"/>
  <c r="K483" i="95"/>
  <c r="K448" i="95"/>
  <c r="K413" i="95"/>
  <c r="J378" i="95"/>
  <c r="K343" i="95"/>
  <c r="K308" i="95"/>
  <c r="J273" i="95"/>
  <c r="K238" i="95"/>
  <c r="M203" i="95"/>
  <c r="J168" i="95"/>
  <c r="J133" i="95"/>
  <c r="K728" i="95" l="1"/>
  <c r="K693" i="95"/>
  <c r="K658" i="95"/>
  <c r="K623" i="95"/>
  <c r="M588" i="95"/>
  <c r="M553" i="95"/>
  <c r="K518" i="95"/>
  <c r="L483" i="95"/>
  <c r="L448" i="95"/>
  <c r="L413" i="95"/>
  <c r="K378" i="95"/>
  <c r="L343" i="95"/>
  <c r="L308" i="95"/>
  <c r="K273" i="95"/>
  <c r="L238" i="95"/>
  <c r="N203" i="95"/>
  <c r="K168" i="95"/>
  <c r="K133" i="95"/>
  <c r="L728" i="95" l="1"/>
  <c r="L693" i="95"/>
  <c r="L658" i="95"/>
  <c r="L623" i="95"/>
  <c r="N588" i="95"/>
  <c r="N553" i="95"/>
  <c r="L518" i="95"/>
  <c r="M483" i="95"/>
  <c r="M448" i="95"/>
  <c r="M413" i="95"/>
  <c r="L378" i="95"/>
  <c r="M343" i="95"/>
  <c r="M308" i="95"/>
  <c r="L273" i="95"/>
  <c r="M238" i="95"/>
  <c r="O203" i="95"/>
  <c r="L168" i="95"/>
  <c r="L133" i="95"/>
  <c r="M728" i="95" l="1"/>
  <c r="M693" i="95"/>
  <c r="M658" i="95"/>
  <c r="M623" i="95"/>
  <c r="O588" i="95"/>
  <c r="O553" i="95"/>
  <c r="M518" i="95"/>
  <c r="N483" i="95"/>
  <c r="N448" i="95"/>
  <c r="N413" i="95"/>
  <c r="M378" i="95"/>
  <c r="N343" i="95"/>
  <c r="N308" i="95"/>
  <c r="M273" i="95"/>
  <c r="N238" i="95"/>
  <c r="P203" i="95"/>
  <c r="M168" i="95"/>
  <c r="M133" i="95"/>
  <c r="N728" i="95" l="1"/>
  <c r="N693" i="95"/>
  <c r="N658" i="95"/>
  <c r="N623" i="95"/>
  <c r="P588" i="95"/>
  <c r="P553" i="95"/>
  <c r="N518" i="95"/>
  <c r="O483" i="95"/>
  <c r="O448" i="95"/>
  <c r="O413" i="95"/>
  <c r="N378" i="95"/>
  <c r="O343" i="95"/>
  <c r="O308" i="95"/>
  <c r="N273" i="95"/>
  <c r="O238" i="95"/>
  <c r="Q203" i="95"/>
  <c r="N168" i="95"/>
  <c r="N133" i="95"/>
  <c r="O728" i="95" l="1"/>
  <c r="O693" i="95"/>
  <c r="O658" i="95"/>
  <c r="O623" i="95"/>
  <c r="Q588" i="95"/>
  <c r="Q553" i="95"/>
  <c r="O518" i="95"/>
  <c r="P483" i="95"/>
  <c r="P448" i="95"/>
  <c r="P413" i="95"/>
  <c r="O378" i="95"/>
  <c r="P343" i="95"/>
  <c r="P308" i="95"/>
  <c r="O273" i="95"/>
  <c r="P238" i="95"/>
  <c r="R203" i="95"/>
  <c r="O168" i="95"/>
  <c r="O133" i="95"/>
  <c r="P728" i="95" l="1"/>
  <c r="P693" i="95"/>
  <c r="P658" i="95"/>
  <c r="P623" i="95"/>
  <c r="R588" i="95"/>
  <c r="R553" i="95"/>
  <c r="P518" i="95"/>
  <c r="Q483" i="95"/>
  <c r="Q448" i="95"/>
  <c r="Q413" i="95"/>
  <c r="P378" i="95"/>
  <c r="Q343" i="95"/>
  <c r="Q308" i="95"/>
  <c r="P273" i="95"/>
  <c r="Q238" i="95"/>
  <c r="S203" i="95"/>
  <c r="P168" i="95"/>
  <c r="P133" i="95"/>
  <c r="Q728" i="95" l="1"/>
  <c r="Q693" i="95"/>
  <c r="Q658" i="95"/>
  <c r="Q623" i="95"/>
  <c r="S588" i="95"/>
  <c r="S553" i="95"/>
  <c r="Q518" i="95"/>
  <c r="R483" i="95"/>
  <c r="R448" i="95"/>
  <c r="R413" i="95"/>
  <c r="Q378" i="95"/>
  <c r="R343" i="95"/>
  <c r="R308" i="95"/>
  <c r="Q273" i="95"/>
  <c r="R238" i="95"/>
  <c r="T203" i="95"/>
  <c r="Q168" i="95"/>
  <c r="Q133" i="95"/>
  <c r="R728" i="95" l="1"/>
  <c r="R693" i="95"/>
  <c r="R658" i="95"/>
  <c r="R623" i="95"/>
  <c r="T588" i="95"/>
  <c r="T553" i="95"/>
  <c r="R518" i="95"/>
  <c r="S483" i="95"/>
  <c r="S448" i="95"/>
  <c r="S413" i="95"/>
  <c r="R378" i="95"/>
  <c r="S343" i="95"/>
  <c r="S308" i="95"/>
  <c r="R273" i="95"/>
  <c r="S238" i="95"/>
  <c r="U203" i="95"/>
  <c r="R168" i="95"/>
  <c r="R133" i="95"/>
  <c r="S728" i="95" l="1"/>
  <c r="S693" i="95"/>
  <c r="S658" i="95"/>
  <c r="S623" i="95"/>
  <c r="U588" i="95"/>
  <c r="U553" i="95"/>
  <c r="S518" i="95"/>
  <c r="T483" i="95"/>
  <c r="T448" i="95"/>
  <c r="T413" i="95"/>
  <c r="S378" i="95"/>
  <c r="T343" i="95"/>
  <c r="T308" i="95"/>
  <c r="S273" i="95"/>
  <c r="T238" i="95"/>
  <c r="V203" i="95"/>
  <c r="S168" i="95"/>
  <c r="S133" i="95"/>
  <c r="T728" i="95" l="1"/>
  <c r="T693" i="95"/>
  <c r="T658" i="95"/>
  <c r="T623" i="95"/>
  <c r="V588" i="95"/>
  <c r="V553" i="95"/>
  <c r="T518" i="95"/>
  <c r="U483" i="95"/>
  <c r="U448" i="95"/>
  <c r="U413" i="95"/>
  <c r="T378" i="95"/>
  <c r="U343" i="95"/>
  <c r="U308" i="95"/>
  <c r="T273" i="95"/>
  <c r="U238" i="95"/>
  <c r="W203" i="95"/>
  <c r="T168" i="95"/>
  <c r="T133" i="95"/>
  <c r="U728" i="95" l="1"/>
  <c r="U693" i="95"/>
  <c r="U658" i="95"/>
  <c r="U623" i="95"/>
  <c r="W588" i="95"/>
  <c r="W553" i="95"/>
  <c r="U518" i="95"/>
  <c r="V483" i="95"/>
  <c r="V448" i="95"/>
  <c r="V413" i="95"/>
  <c r="U378" i="95"/>
  <c r="V343" i="95"/>
  <c r="V308" i="95"/>
  <c r="U273" i="95"/>
  <c r="V238" i="95"/>
  <c r="X203" i="95"/>
  <c r="U168" i="95"/>
  <c r="U133" i="95"/>
  <c r="V728" i="95" l="1"/>
  <c r="V693" i="95"/>
  <c r="V658" i="95"/>
  <c r="V623" i="95"/>
  <c r="X588" i="95"/>
  <c r="X553" i="95"/>
  <c r="V518" i="95"/>
  <c r="W483" i="95"/>
  <c r="W448" i="95"/>
  <c r="W413" i="95"/>
  <c r="V378" i="95"/>
  <c r="W343" i="95"/>
  <c r="W308" i="95"/>
  <c r="V273" i="95"/>
  <c r="W238" i="95"/>
  <c r="Y203" i="95"/>
  <c r="V168" i="95"/>
  <c r="V133" i="95"/>
  <c r="W728" i="95" l="1"/>
  <c r="W693" i="95"/>
  <c r="W658" i="95"/>
  <c r="W623" i="95"/>
  <c r="Y588" i="95"/>
  <c r="Y553" i="95"/>
  <c r="W518" i="95"/>
  <c r="X483" i="95"/>
  <c r="X448" i="95"/>
  <c r="X413" i="95"/>
  <c r="W378" i="95"/>
  <c r="X343" i="95"/>
  <c r="X308" i="95"/>
  <c r="W273" i="95"/>
  <c r="X238" i="95"/>
  <c r="Z203" i="95"/>
  <c r="W168" i="95"/>
  <c r="W133" i="95"/>
  <c r="X728" i="95" l="1"/>
  <c r="X693" i="95"/>
  <c r="X658" i="95"/>
  <c r="X623" i="95"/>
  <c r="Z588" i="95"/>
  <c r="Z553" i="95"/>
  <c r="X518" i="95"/>
  <c r="Y483" i="95"/>
  <c r="Y448" i="95"/>
  <c r="Y413" i="95"/>
  <c r="X378" i="95"/>
  <c r="Y343" i="95"/>
  <c r="Y308" i="95"/>
  <c r="X273" i="95"/>
  <c r="Y238" i="95"/>
  <c r="AA203" i="95"/>
  <c r="X168" i="95"/>
  <c r="X133" i="95"/>
  <c r="Y728" i="95" l="1"/>
  <c r="Y693" i="95"/>
  <c r="Y658" i="95"/>
  <c r="Y623" i="95"/>
  <c r="AA588" i="95"/>
  <c r="AA553" i="95"/>
  <c r="Y518" i="95"/>
  <c r="Z483" i="95"/>
  <c r="Z448" i="95"/>
  <c r="Z413" i="95"/>
  <c r="Y378" i="95"/>
  <c r="Z343" i="95"/>
  <c r="Z308" i="95"/>
  <c r="Y273" i="95"/>
  <c r="Z238" i="95"/>
  <c r="AB203" i="95"/>
  <c r="Y168" i="95"/>
  <c r="Y133" i="95"/>
  <c r="Z728" i="95" l="1"/>
  <c r="Z693" i="95"/>
  <c r="Z658" i="95"/>
  <c r="Z623" i="95"/>
  <c r="AB588" i="95"/>
  <c r="AB553" i="95"/>
  <c r="Z518" i="95"/>
  <c r="AA483" i="95"/>
  <c r="AA448" i="95"/>
  <c r="AA413" i="95"/>
  <c r="Z378" i="95"/>
  <c r="AA343" i="95"/>
  <c r="AA308" i="95"/>
  <c r="Z273" i="95"/>
  <c r="AA238" i="95"/>
  <c r="AC203" i="95"/>
  <c r="Z168" i="95"/>
  <c r="Z133" i="95"/>
  <c r="AA728" i="95" l="1"/>
  <c r="AA693" i="95"/>
  <c r="AA658" i="95"/>
  <c r="AA623" i="95"/>
  <c r="AC588" i="95"/>
  <c r="AC553" i="95"/>
  <c r="AA518" i="95"/>
  <c r="AB483" i="95"/>
  <c r="AB448" i="95"/>
  <c r="AB413" i="95"/>
  <c r="AA378" i="95"/>
  <c r="AB343" i="95"/>
  <c r="AB308" i="95"/>
  <c r="AA273" i="95"/>
  <c r="AB238" i="95"/>
  <c r="AD203" i="95"/>
  <c r="AA168" i="95"/>
  <c r="AA133" i="95"/>
  <c r="AB728" i="95" l="1"/>
  <c r="AB693" i="95"/>
  <c r="AB658" i="95"/>
  <c r="AB623" i="95"/>
  <c r="AD588" i="95"/>
  <c r="AD553" i="95"/>
  <c r="AB518" i="95"/>
  <c r="AC483" i="95"/>
  <c r="AC448" i="95"/>
  <c r="AC413" i="95"/>
  <c r="AB378" i="95"/>
  <c r="AC343" i="95"/>
  <c r="AC308" i="95"/>
  <c r="AB273" i="95"/>
  <c r="AC238" i="95"/>
  <c r="AE203" i="95"/>
  <c r="AB168" i="95"/>
  <c r="AB133" i="95"/>
  <c r="AC728" i="95" l="1"/>
  <c r="AC693" i="95"/>
  <c r="AC658" i="95"/>
  <c r="AC623" i="95"/>
  <c r="AE588" i="95"/>
  <c r="AE553" i="95"/>
  <c r="AC518" i="95"/>
  <c r="AD483" i="95"/>
  <c r="AD448" i="95"/>
  <c r="AD413" i="95"/>
  <c r="AC378" i="95"/>
  <c r="AD343" i="95"/>
  <c r="AD308" i="95"/>
  <c r="AC273" i="95"/>
  <c r="AD238" i="95"/>
  <c r="AF203" i="95"/>
  <c r="AC168" i="95"/>
  <c r="AC133" i="95"/>
  <c r="AD728" i="95" l="1"/>
  <c r="AD693" i="95"/>
  <c r="AD658" i="95"/>
  <c r="AD623" i="95"/>
  <c r="AF588" i="95"/>
  <c r="AF553" i="95"/>
  <c r="AD518" i="95"/>
  <c r="AE483" i="95"/>
  <c r="AE448" i="95"/>
  <c r="AE413" i="95"/>
  <c r="AD378" i="95"/>
  <c r="AE343" i="95"/>
  <c r="AE308" i="95"/>
  <c r="AD273" i="95"/>
  <c r="AE238" i="95"/>
  <c r="AG203" i="95"/>
  <c r="AD168" i="95"/>
  <c r="AD133" i="95"/>
  <c r="AE728" i="95" l="1"/>
  <c r="AE693" i="95"/>
  <c r="AE658" i="95"/>
  <c r="AE623" i="95"/>
  <c r="AG588" i="95"/>
  <c r="AG553" i="95"/>
  <c r="AE518" i="95"/>
  <c r="AF483" i="95"/>
  <c r="AF448" i="95"/>
  <c r="AF413" i="95"/>
  <c r="AE378" i="95"/>
  <c r="AF343" i="95"/>
  <c r="AF308" i="95"/>
  <c r="AE273" i="95"/>
  <c r="AF238" i="95"/>
  <c r="AH203" i="95"/>
  <c r="AE168" i="95"/>
  <c r="AE133" i="95"/>
  <c r="AF728" i="95" l="1"/>
  <c r="AF693" i="95"/>
  <c r="AF658" i="95"/>
  <c r="AF623" i="95"/>
  <c r="AH588" i="95"/>
  <c r="AH553" i="95"/>
  <c r="AF518" i="95"/>
  <c r="AG483" i="95"/>
  <c r="AG448" i="95"/>
  <c r="AG413" i="95"/>
  <c r="AF378" i="95"/>
  <c r="AG343" i="95"/>
  <c r="AG308" i="95"/>
  <c r="AF273" i="95"/>
  <c r="AG238" i="95"/>
  <c r="E201" i="95"/>
  <c r="AF168" i="95"/>
  <c r="AF133" i="95"/>
  <c r="AG728" i="95" l="1"/>
  <c r="AG693" i="95"/>
  <c r="AG658" i="95"/>
  <c r="AG623" i="95"/>
  <c r="E586" i="95"/>
  <c r="E551" i="95"/>
  <c r="AG518" i="95"/>
  <c r="AH483" i="95"/>
  <c r="AH448" i="95"/>
  <c r="AH413" i="95"/>
  <c r="AG378" i="95"/>
  <c r="AH343" i="95"/>
  <c r="AH308" i="95"/>
  <c r="AG273" i="95"/>
  <c r="AH238" i="95"/>
  <c r="AG168" i="95"/>
  <c r="AG133" i="95"/>
  <c r="AH728" i="95" l="1"/>
  <c r="AH693" i="95"/>
  <c r="AH658" i="95"/>
  <c r="AH623" i="95"/>
  <c r="AH518" i="95"/>
  <c r="E481" i="95"/>
  <c r="E446" i="95"/>
  <c r="E411" i="95"/>
  <c r="AH378" i="95"/>
  <c r="E341" i="95"/>
  <c r="E306" i="95"/>
  <c r="AH273" i="95"/>
  <c r="E236" i="95"/>
  <c r="AH168" i="95"/>
  <c r="AH133" i="95"/>
  <c r="E726" i="95" l="1"/>
  <c r="E691" i="95"/>
  <c r="E656" i="95"/>
  <c r="E621" i="95"/>
  <c r="E516" i="95"/>
  <c r="E376" i="95"/>
  <c r="E271" i="95"/>
  <c r="E169" i="16" l="1"/>
  <c r="FK8" i="51" s="1"/>
  <c r="E168" i="16"/>
  <c r="FJ8" i="51" s="1"/>
  <c r="C84" i="95" l="1"/>
  <c r="G84" i="95" s="1"/>
  <c r="G98" i="95"/>
  <c r="H98" i="95" s="1"/>
  <c r="I98" i="95" s="1"/>
  <c r="J98" i="95" s="1"/>
  <c r="K98" i="95" s="1"/>
  <c r="L98" i="95" s="1"/>
  <c r="M98" i="95" s="1"/>
  <c r="N98" i="95" s="1"/>
  <c r="O98" i="95" s="1"/>
  <c r="P98" i="95" s="1"/>
  <c r="Q98" i="95" s="1"/>
  <c r="R98" i="95" s="1"/>
  <c r="S98" i="95" s="1"/>
  <c r="T98" i="95" s="1"/>
  <c r="U98" i="95" s="1"/>
  <c r="V98" i="95" s="1"/>
  <c r="W98" i="95" s="1"/>
  <c r="X98" i="95" s="1"/>
  <c r="Y98" i="95" s="1"/>
  <c r="Z98" i="95" s="1"/>
  <c r="AA98" i="95" s="1"/>
  <c r="AB98" i="95" s="1"/>
  <c r="AC98" i="95" s="1"/>
  <c r="AD98" i="95" s="1"/>
  <c r="AE98" i="95" s="1"/>
  <c r="AF98" i="95" s="1"/>
  <c r="AG98" i="95" s="1"/>
  <c r="AH98" i="95" s="1"/>
  <c r="F98" i="95"/>
  <c r="I92" i="95" l="1"/>
  <c r="I91" i="95"/>
  <c r="E91" i="95"/>
  <c r="E87" i="95"/>
  <c r="I90" i="95"/>
  <c r="E115" i="95" s="1"/>
  <c r="E116" i="95" s="1"/>
  <c r="I89" i="95"/>
  <c r="E89" i="95"/>
  <c r="E95" i="95"/>
  <c r="E90" i="95"/>
  <c r="E94" i="95"/>
  <c r="E93" i="95"/>
  <c r="I88" i="95"/>
  <c r="E92" i="95"/>
  <c r="E88" i="95"/>
  <c r="I87" i="95"/>
  <c r="E104" i="95" l="1"/>
  <c r="E105" i="95" s="1"/>
  <c r="AH116" i="95"/>
  <c r="Z116" i="95"/>
  <c r="R116" i="95"/>
  <c r="J116" i="95"/>
  <c r="AF115" i="95"/>
  <c r="X115" i="95"/>
  <c r="P115" i="95"/>
  <c r="H115" i="95"/>
  <c r="AD114" i="95"/>
  <c r="V114" i="95"/>
  <c r="N114" i="95"/>
  <c r="F114" i="95"/>
  <c r="AB113" i="95"/>
  <c r="T113" i="95"/>
  <c r="L113" i="95"/>
  <c r="F116" i="95"/>
  <c r="P113" i="95"/>
  <c r="AG116" i="95"/>
  <c r="Y116" i="95"/>
  <c r="Q116" i="95"/>
  <c r="I116" i="95"/>
  <c r="AE115" i="95"/>
  <c r="W115" i="95"/>
  <c r="O115" i="95"/>
  <c r="G115" i="95"/>
  <c r="AC114" i="95"/>
  <c r="U114" i="95"/>
  <c r="M114" i="95"/>
  <c r="E114" i="95"/>
  <c r="AA113" i="95"/>
  <c r="S113" i="95"/>
  <c r="K113" i="95"/>
  <c r="N116" i="95"/>
  <c r="AB115" i="95"/>
  <c r="T115" i="95"/>
  <c r="L115" i="95"/>
  <c r="AH114" i="95"/>
  <c r="Z114" i="95"/>
  <c r="R114" i="95"/>
  <c r="J114" i="95"/>
  <c r="AF113" i="95"/>
  <c r="AF116" i="95"/>
  <c r="X116" i="95"/>
  <c r="P116" i="95"/>
  <c r="H116" i="95"/>
  <c r="AD115" i="95"/>
  <c r="V115" i="95"/>
  <c r="N115" i="95"/>
  <c r="F115" i="95"/>
  <c r="AB114" i="95"/>
  <c r="T114" i="95"/>
  <c r="L114" i="95"/>
  <c r="AH113" i="95"/>
  <c r="Z113" i="95"/>
  <c r="R113" i="95"/>
  <c r="J113" i="95"/>
  <c r="V116" i="95"/>
  <c r="X113" i="95"/>
  <c r="AE116" i="95"/>
  <c r="W116" i="95"/>
  <c r="O116" i="95"/>
  <c r="G116" i="95"/>
  <c r="AC115" i="95"/>
  <c r="U115" i="95"/>
  <c r="M115" i="95"/>
  <c r="AA114" i="95"/>
  <c r="S114" i="95"/>
  <c r="K114" i="95"/>
  <c r="AG113" i="95"/>
  <c r="Y113" i="95"/>
  <c r="Q113" i="95"/>
  <c r="I113" i="95"/>
  <c r="AD116" i="95"/>
  <c r="H113" i="95"/>
  <c r="AC116" i="95"/>
  <c r="U116" i="95"/>
  <c r="M116" i="95"/>
  <c r="AA115" i="95"/>
  <c r="S115" i="95"/>
  <c r="K115" i="95"/>
  <c r="AG114" i="95"/>
  <c r="Y114" i="95"/>
  <c r="Q114" i="95"/>
  <c r="I114" i="95"/>
  <c r="AE113" i="95"/>
  <c r="W113" i="95"/>
  <c r="O113" i="95"/>
  <c r="G113" i="95"/>
  <c r="AA116" i="95"/>
  <c r="Q115" i="95"/>
  <c r="W114" i="95"/>
  <c r="AC113" i="95"/>
  <c r="E113" i="95"/>
  <c r="AB116" i="95"/>
  <c r="T116" i="95"/>
  <c r="L116" i="95"/>
  <c r="AH115" i="95"/>
  <c r="Z115" i="95"/>
  <c r="R115" i="95"/>
  <c r="J115" i="95"/>
  <c r="AF114" i="95"/>
  <c r="X114" i="95"/>
  <c r="P114" i="95"/>
  <c r="H114" i="95"/>
  <c r="AD113" i="95"/>
  <c r="V113" i="95"/>
  <c r="N113" i="95"/>
  <c r="F113" i="95"/>
  <c r="S116" i="95"/>
  <c r="K116" i="95"/>
  <c r="AG115" i="95"/>
  <c r="Y115" i="95"/>
  <c r="I115" i="95"/>
  <c r="AE114" i="95"/>
  <c r="O114" i="95"/>
  <c r="G114" i="95"/>
  <c r="U113" i="95"/>
  <c r="M113" i="95"/>
  <c r="K58" i="77"/>
  <c r="K55" i="77"/>
  <c r="K54" i="77"/>
  <c r="O35" i="77"/>
  <c r="D30" i="77"/>
  <c r="E30" i="77" s="1"/>
  <c r="D31" i="77"/>
  <c r="D32" i="77"/>
  <c r="E32" i="77" s="1"/>
  <c r="D29" i="77"/>
  <c r="E29" i="77" s="1"/>
  <c r="B30" i="77"/>
  <c r="B31" i="77"/>
  <c r="B32" i="77"/>
  <c r="B29" i="77"/>
  <c r="D19" i="77"/>
  <c r="D10" i="77"/>
  <c r="D35" i="77" l="1"/>
  <c r="E35" i="77" s="1"/>
  <c r="EE17" i="85"/>
  <c r="C212" i="82"/>
  <c r="F153" i="102"/>
  <c r="AKM8" i="51" s="1"/>
  <c r="D159" i="77" l="1"/>
  <c r="D160" i="77"/>
  <c r="B159" i="77"/>
  <c r="B160" i="77"/>
  <c r="B161" i="77"/>
  <c r="B162" i="77"/>
  <c r="B163" i="77"/>
  <c r="B164" i="77"/>
  <c r="B165" i="77"/>
  <c r="B166" i="77"/>
  <c r="B168" i="77"/>
  <c r="G30" i="3"/>
  <c r="F23" i="102"/>
  <c r="F21" i="101"/>
  <c r="AIZ8" i="51" s="1"/>
  <c r="F31" i="97"/>
  <c r="AFI8" i="51" s="1"/>
  <c r="F19" i="97"/>
  <c r="D28" i="107" s="1"/>
  <c r="E28" i="107" s="1"/>
  <c r="AA75" i="84"/>
  <c r="L19" i="3" l="1"/>
  <c r="QE8" i="51"/>
  <c r="L23" i="3"/>
  <c r="L22" i="3"/>
  <c r="L21" i="3"/>
  <c r="L20" i="3"/>
  <c r="E29" i="103" l="1"/>
  <c r="E30" i="103" s="1"/>
  <c r="D29" i="103"/>
  <c r="D30" i="103" s="1"/>
  <c r="D31" i="103" s="1"/>
  <c r="D32" i="103" s="1"/>
  <c r="D33" i="103" s="1"/>
  <c r="D34" i="103" s="1"/>
  <c r="D35" i="103" s="1"/>
  <c r="D36" i="103" s="1"/>
  <c r="D37" i="103" s="1"/>
  <c r="E17" i="103" l="1"/>
  <c r="AIE8" i="51" s="1"/>
  <c r="E16" i="103"/>
  <c r="AID8" i="51" s="1"/>
  <c r="G34" i="103" l="1"/>
  <c r="G37" i="103"/>
  <c r="G36" i="103"/>
  <c r="F37" i="103"/>
  <c r="F31" i="103"/>
  <c r="G31" i="103"/>
  <c r="F35" i="103"/>
  <c r="G30" i="103"/>
  <c r="G35" i="103"/>
  <c r="F30" i="103"/>
  <c r="I30" i="103" s="1"/>
  <c r="F36" i="103"/>
  <c r="F32" i="103"/>
  <c r="G32" i="103"/>
  <c r="F33" i="103"/>
  <c r="G33" i="103"/>
  <c r="F34" i="103"/>
  <c r="H36" i="103" l="1"/>
  <c r="H34" i="103"/>
  <c r="H33" i="103"/>
  <c r="H32" i="103"/>
  <c r="H31" i="103"/>
  <c r="H37" i="103"/>
  <c r="H35" i="103"/>
  <c r="H30" i="103"/>
  <c r="E31" i="103"/>
  <c r="I31" i="103" l="1"/>
  <c r="E32" i="103" s="1"/>
  <c r="I32" i="103" s="1"/>
  <c r="E33" i="103" s="1"/>
  <c r="I33" i="103" l="1"/>
  <c r="E34" i="103" s="1"/>
  <c r="I34" i="103" l="1"/>
  <c r="E35" i="103" s="1"/>
  <c r="I35" i="103" l="1"/>
  <c r="E36" i="103" s="1"/>
  <c r="I36" i="103" l="1"/>
  <c r="E37" i="103" s="1"/>
  <c r="I37" i="103" s="1"/>
  <c r="G3" i="97" l="1"/>
  <c r="G3" i="103"/>
  <c r="G3" i="5"/>
  <c r="J3" i="3"/>
  <c r="G2" i="103"/>
  <c r="D28" i="77" l="1"/>
  <c r="E28" i="77" s="1"/>
  <c r="F32" i="97"/>
  <c r="AFJ8" i="51" s="1"/>
  <c r="H3" i="100"/>
  <c r="E141" i="102"/>
  <c r="E140" i="102"/>
  <c r="E139" i="102"/>
  <c r="E138" i="102"/>
  <c r="E137" i="102"/>
  <c r="E136" i="102"/>
  <c r="F51" i="102"/>
  <c r="AJY8" i="51" s="1"/>
  <c r="F48" i="101"/>
  <c r="AJC8" i="51" s="1"/>
  <c r="F50" i="102"/>
  <c r="F47" i="101"/>
  <c r="AJB8" i="51" s="1"/>
  <c r="G3" i="102"/>
  <c r="E168" i="101"/>
  <c r="E169" i="101"/>
  <c r="E170" i="101"/>
  <c r="E171" i="101"/>
  <c r="E167" i="101"/>
  <c r="E166" i="101"/>
  <c r="E94" i="102"/>
  <c r="E125" i="101"/>
  <c r="E96" i="102"/>
  <c r="E97" i="102"/>
  <c r="CJ16" i="85"/>
  <c r="E128" i="101" s="1"/>
  <c r="E93" i="102"/>
  <c r="CH16" i="85"/>
  <c r="D98" i="102"/>
  <c r="D97" i="102"/>
  <c r="D96" i="102"/>
  <c r="D95" i="102"/>
  <c r="D94" i="102"/>
  <c r="D93" i="102"/>
  <c r="F86" i="102"/>
  <c r="F84" i="102"/>
  <c r="F83" i="102"/>
  <c r="F82" i="102"/>
  <c r="F81" i="102"/>
  <c r="F80" i="102"/>
  <c r="F79" i="102"/>
  <c r="F78" i="102"/>
  <c r="F77" i="102"/>
  <c r="F76" i="102"/>
  <c r="F75" i="102"/>
  <c r="F74" i="102"/>
  <c r="F73" i="102"/>
  <c r="F72" i="102"/>
  <c r="F71" i="102"/>
  <c r="F70" i="102"/>
  <c r="F69" i="102"/>
  <c r="F68" i="102"/>
  <c r="F67" i="102"/>
  <c r="F66" i="102"/>
  <c r="F65" i="102"/>
  <c r="F64" i="102"/>
  <c r="I117" i="101"/>
  <c r="I69" i="101"/>
  <c r="F107" i="102" l="1"/>
  <c r="AKI8" i="51" s="1"/>
  <c r="AJX8" i="51"/>
  <c r="F90" i="101"/>
  <c r="AJM8" i="51" s="1"/>
  <c r="D136" i="102"/>
  <c r="D171" i="102"/>
  <c r="D183" i="102"/>
  <c r="D174" i="102"/>
  <c r="D186" i="102"/>
  <c r="D184" i="102"/>
  <c r="D172" i="102"/>
  <c r="D175" i="102"/>
  <c r="D187" i="102"/>
  <c r="D138" i="102"/>
  <c r="F138" i="102" s="1"/>
  <c r="D185" i="102"/>
  <c r="D173" i="102"/>
  <c r="D141" i="102"/>
  <c r="F141" i="102" s="1"/>
  <c r="D176" i="102"/>
  <c r="D188" i="102"/>
  <c r="E142" i="102"/>
  <c r="E98" i="102"/>
  <c r="F98" i="102" s="1"/>
  <c r="E127" i="101"/>
  <c r="E81" i="101"/>
  <c r="E123" i="101"/>
  <c r="E76" i="101"/>
  <c r="E124" i="101"/>
  <c r="E77" i="101"/>
  <c r="E126" i="101"/>
  <c r="E78" i="101"/>
  <c r="E95" i="102"/>
  <c r="F95" i="102" s="1"/>
  <c r="E79" i="101"/>
  <c r="E80" i="101"/>
  <c r="D139" i="102"/>
  <c r="F139" i="102" s="1"/>
  <c r="F96" i="102"/>
  <c r="D140" i="102"/>
  <c r="F140" i="102" s="1"/>
  <c r="F85" i="102"/>
  <c r="E172" i="101"/>
  <c r="F137" i="101"/>
  <c r="F136" i="102"/>
  <c r="F93" i="102"/>
  <c r="F97" i="102"/>
  <c r="D137" i="102"/>
  <c r="F94" i="102"/>
  <c r="F104" i="102"/>
  <c r="F163" i="102" l="1"/>
  <c r="G163" i="102" s="1"/>
  <c r="F87" i="102"/>
  <c r="F108" i="102" s="1"/>
  <c r="AKJ8" i="51" s="1"/>
  <c r="D189" i="102"/>
  <c r="D177" i="102"/>
  <c r="E177" i="102" s="1"/>
  <c r="D142" i="102"/>
  <c r="F99" i="102"/>
  <c r="F109" i="102" s="1"/>
  <c r="F137" i="102"/>
  <c r="F142" i="102" s="1"/>
  <c r="G129" i="102" s="1"/>
  <c r="E189" i="102" l="1"/>
  <c r="F110" i="102"/>
  <c r="E175" i="102"/>
  <c r="E183" i="102"/>
  <c r="E186" i="102"/>
  <c r="E176" i="102"/>
  <c r="E171" i="102"/>
  <c r="E184" i="102"/>
  <c r="E173" i="102"/>
  <c r="E188" i="102"/>
  <c r="E174" i="102"/>
  <c r="E172" i="102"/>
  <c r="E185" i="102"/>
  <c r="E187" i="102"/>
  <c r="I174" i="102"/>
  <c r="I177" i="102"/>
  <c r="F164" i="102"/>
  <c r="G110" i="102" l="1"/>
  <c r="AKL8" i="51"/>
  <c r="F165" i="102"/>
  <c r="F185" i="102"/>
  <c r="F187" i="102"/>
  <c r="G164" i="102"/>
  <c r="F184" i="102"/>
  <c r="F188" i="102"/>
  <c r="F183" i="102"/>
  <c r="F186" i="102"/>
  <c r="I187" i="102"/>
  <c r="C168" i="102"/>
  <c r="I175" i="102"/>
  <c r="C180" i="102"/>
  <c r="I172" i="102"/>
  <c r="I176" i="102"/>
  <c r="I188" i="102"/>
  <c r="I185" i="102"/>
  <c r="I173" i="102"/>
  <c r="I171" i="102"/>
  <c r="I186" i="102"/>
  <c r="I183" i="102"/>
  <c r="H2" i="100"/>
  <c r="F189" i="102" l="1"/>
  <c r="G190" i="102" s="1"/>
  <c r="F173" i="102"/>
  <c r="F174" i="102"/>
  <c r="F171" i="102"/>
  <c r="G165" i="102"/>
  <c r="F172" i="102"/>
  <c r="F175" i="102"/>
  <c r="F176" i="102"/>
  <c r="H150" i="77"/>
  <c r="H151" i="77"/>
  <c r="H152" i="77"/>
  <c r="H153" i="77"/>
  <c r="H154" i="77"/>
  <c r="H155" i="77"/>
  <c r="H156" i="77"/>
  <c r="H157" i="77"/>
  <c r="H158" i="77"/>
  <c r="H159" i="77"/>
  <c r="H160" i="77"/>
  <c r="H161" i="77"/>
  <c r="H162" i="77"/>
  <c r="H163" i="77"/>
  <c r="H164" i="77"/>
  <c r="H165" i="77"/>
  <c r="X10" i="84"/>
  <c r="W10" i="84"/>
  <c r="X9" i="84"/>
  <c r="W9" i="84"/>
  <c r="EG31" i="85"/>
  <c r="EG28" i="85"/>
  <c r="EG29" i="85"/>
  <c r="EG30" i="85"/>
  <c r="H149" i="77"/>
  <c r="B149" i="77"/>
  <c r="D150" i="77"/>
  <c r="D151" i="77"/>
  <c r="D152" i="77"/>
  <c r="D153" i="77"/>
  <c r="D155" i="77"/>
  <c r="D156" i="77"/>
  <c r="D157" i="77"/>
  <c r="D158" i="77"/>
  <c r="B150" i="77"/>
  <c r="B151" i="77"/>
  <c r="B152" i="77"/>
  <c r="B153" i="77"/>
  <c r="B155" i="77"/>
  <c r="B156" i="77"/>
  <c r="B157" i="77"/>
  <c r="B158" i="77"/>
  <c r="O88" i="84"/>
  <c r="P88" i="84"/>
  <c r="Q88" i="84"/>
  <c r="R88" i="84"/>
  <c r="S10" i="84"/>
  <c r="R10" i="84"/>
  <c r="Q10" i="84"/>
  <c r="P10" i="84"/>
  <c r="O10" i="84"/>
  <c r="R9" i="84"/>
  <c r="Q9" i="84"/>
  <c r="P9" i="84"/>
  <c r="O9" i="84"/>
  <c r="H88" i="84"/>
  <c r="H10" i="84"/>
  <c r="H9" i="84"/>
  <c r="K72" i="96"/>
  <c r="F177" i="102" l="1"/>
  <c r="G178" i="102" s="1"/>
  <c r="AB75" i="84"/>
  <c r="P89" i="84"/>
  <c r="Q89" i="84"/>
  <c r="O89" i="84"/>
  <c r="R89" i="84"/>
  <c r="H89" i="84"/>
  <c r="H39" i="97" l="1"/>
  <c r="H40" i="97" s="1"/>
  <c r="H41" i="97" s="1"/>
  <c r="H42" i="97" s="1"/>
  <c r="H43" i="97" s="1"/>
  <c r="H44" i="97" s="1"/>
  <c r="H45" i="97" s="1"/>
  <c r="H46" i="97" s="1"/>
  <c r="H47" i="97" s="1"/>
  <c r="H48" i="97" s="1"/>
  <c r="H49" i="97" s="1"/>
  <c r="H50" i="97" s="1"/>
  <c r="H51" i="97" s="1"/>
  <c r="H52" i="97" s="1"/>
  <c r="H53" i="97" s="1"/>
  <c r="F39" i="97"/>
  <c r="AFL8" i="51" s="1"/>
  <c r="I46" i="97"/>
  <c r="AGH8" i="51" s="1"/>
  <c r="G2" i="97"/>
  <c r="EG18" i="85"/>
  <c r="EG19" i="85"/>
  <c r="EG20" i="85"/>
  <c r="EG21" i="85"/>
  <c r="EG22" i="85"/>
  <c r="EG23" i="85"/>
  <c r="EG24" i="85"/>
  <c r="EG25" i="85"/>
  <c r="EG26" i="85"/>
  <c r="EG27" i="85"/>
  <c r="D43" i="8"/>
  <c r="I44" i="97" l="1"/>
  <c r="AGB8" i="51" s="1"/>
  <c r="I52" i="97"/>
  <c r="AGZ8" i="51" s="1"/>
  <c r="I49" i="97"/>
  <c r="AGQ8" i="51" s="1"/>
  <c r="I39" i="97"/>
  <c r="I47" i="97"/>
  <c r="AGK8" i="51" s="1"/>
  <c r="I42" i="97"/>
  <c r="AFV8" i="51" s="1"/>
  <c r="I50" i="97"/>
  <c r="AGT8" i="51" s="1"/>
  <c r="I41" i="97"/>
  <c r="AFS8" i="51" s="1"/>
  <c r="I45" i="97"/>
  <c r="AGE8" i="51" s="1"/>
  <c r="I53" i="97"/>
  <c r="AHC8" i="51" s="1"/>
  <c r="I40" i="97"/>
  <c r="AFP8" i="51" s="1"/>
  <c r="I48" i="97"/>
  <c r="AGN8" i="51" s="1"/>
  <c r="I43" i="97"/>
  <c r="AFY8" i="51" s="1"/>
  <c r="I51" i="97"/>
  <c r="AGW8" i="51" s="1"/>
  <c r="J39" i="97" l="1"/>
  <c r="AFM8" i="51"/>
  <c r="J40" i="97"/>
  <c r="J41" i="97" l="1"/>
  <c r="J42" i="97" s="1"/>
  <c r="J43" i="97" s="1"/>
  <c r="J44" i="97" s="1"/>
  <c r="J45" i="97" s="1"/>
  <c r="J46" i="97" s="1"/>
  <c r="J47" i="97" s="1"/>
  <c r="J48" i="97" s="1"/>
  <c r="J49" i="97" s="1"/>
  <c r="J50" i="97" s="1"/>
  <c r="J51" i="97" s="1"/>
  <c r="J52" i="97" s="1"/>
  <c r="J53" i="97" s="1"/>
  <c r="F55" i="97" a="1"/>
  <c r="F55" i="97" s="1"/>
  <c r="D42" i="8" l="1"/>
  <c r="C56" i="8"/>
  <c r="D56" i="8" s="1"/>
  <c r="C49" i="95"/>
  <c r="G49" i="95" s="1"/>
  <c r="F63" i="95"/>
  <c r="G63" i="95" s="1"/>
  <c r="I57" i="95" l="1"/>
  <c r="I56" i="95"/>
  <c r="I52" i="95"/>
  <c r="E52" i="95"/>
  <c r="I55" i="95"/>
  <c r="E57" i="95"/>
  <c r="E53" i="95"/>
  <c r="E56" i="95"/>
  <c r="E60" i="95"/>
  <c r="E55" i="95"/>
  <c r="I53" i="95"/>
  <c r="E59" i="95"/>
  <c r="I54" i="95"/>
  <c r="E58" i="95"/>
  <c r="E54" i="95"/>
  <c r="H63" i="95"/>
  <c r="AE70" i="95" l="1"/>
  <c r="AA72" i="95"/>
  <c r="T71" i="95"/>
  <c r="V71" i="95"/>
  <c r="X71" i="95"/>
  <c r="W75" i="95"/>
  <c r="Y71" i="95"/>
  <c r="X75" i="95"/>
  <c r="Z75" i="95"/>
  <c r="Y73" i="95"/>
  <c r="Z73" i="95"/>
  <c r="AE71" i="95"/>
  <c r="T70" i="95"/>
  <c r="AC73" i="95"/>
  <c r="AH75" i="95"/>
  <c r="X70" i="95"/>
  <c r="Z70" i="95"/>
  <c r="T69" i="95"/>
  <c r="AF70" i="95"/>
  <c r="AB72" i="95"/>
  <c r="V69" i="95"/>
  <c r="X69" i="95"/>
  <c r="AG72" i="95"/>
  <c r="T75" i="95"/>
  <c r="Z69" i="95"/>
  <c r="U73" i="95"/>
  <c r="AD69" i="95"/>
  <c r="AA71" i="95"/>
  <c r="AB71" i="95"/>
  <c r="X73" i="95"/>
  <c r="AB75" i="95"/>
  <c r="AC75" i="95"/>
  <c r="AD75" i="95"/>
  <c r="AB73" i="95"/>
  <c r="AH71" i="95"/>
  <c r="AG75" i="95"/>
  <c r="AE73" i="95"/>
  <c r="AF73" i="95"/>
  <c r="Y70" i="95"/>
  <c r="AH73" i="95"/>
  <c r="W72" i="95"/>
  <c r="AB70" i="95"/>
  <c r="Y72" i="95"/>
  <c r="Z72" i="95"/>
  <c r="U69" i="95"/>
  <c r="AG70" i="95"/>
  <c r="AC72" i="95"/>
  <c r="AH70" i="95"/>
  <c r="AD72" i="95"/>
  <c r="W69" i="95"/>
  <c r="AE72" i="95"/>
  <c r="AF72" i="95"/>
  <c r="U71" i="95"/>
  <c r="AH72" i="95"/>
  <c r="W71" i="95"/>
  <c r="T73" i="95"/>
  <c r="V73" i="95"/>
  <c r="Y75" i="95"/>
  <c r="W73" i="95"/>
  <c r="AF69" i="95"/>
  <c r="AC71" i="95"/>
  <c r="AH69" i="95"/>
  <c r="AA73" i="95"/>
  <c r="AE75" i="95"/>
  <c r="AG71" i="95"/>
  <c r="AF75" i="95"/>
  <c r="V70" i="95"/>
  <c r="T72" i="95"/>
  <c r="AG73" i="95"/>
  <c r="Y69" i="95"/>
  <c r="U75" i="95"/>
  <c r="AA69" i="95"/>
  <c r="V75" i="95"/>
  <c r="AB69" i="95"/>
  <c r="AC69" i="95"/>
  <c r="Z71" i="95"/>
  <c r="AE69" i="95"/>
  <c r="AA75" i="95"/>
  <c r="AG69" i="95"/>
  <c r="AD71" i="95"/>
  <c r="AF71" i="95"/>
  <c r="U70" i="95"/>
  <c r="AD73" i="95"/>
  <c r="U72" i="95"/>
  <c r="V72" i="95"/>
  <c r="AA70" i="95"/>
  <c r="X72" i="95"/>
  <c r="AC70" i="95"/>
  <c r="AD70" i="95"/>
  <c r="W70" i="95"/>
  <c r="Q70" i="95"/>
  <c r="Q71" i="95" s="1"/>
  <c r="Q72" i="95"/>
  <c r="Q73" i="95"/>
  <c r="Q75" i="95" s="1"/>
  <c r="R69" i="95" s="1"/>
  <c r="R70" i="95"/>
  <c r="R71" i="95" s="1"/>
  <c r="R72" i="95"/>
  <c r="R73" i="95"/>
  <c r="R75" i="95" s="1"/>
  <c r="S69" i="95" s="1"/>
  <c r="S70" i="95"/>
  <c r="S71" i="95" s="1"/>
  <c r="S72" i="95"/>
  <c r="S73" i="95"/>
  <c r="S75" i="95" s="1"/>
  <c r="E69" i="95"/>
  <c r="E70" i="95" s="1"/>
  <c r="I63" i="95"/>
  <c r="AH81" i="95"/>
  <c r="Z81" i="95"/>
  <c r="AD79" i="95"/>
  <c r="V79" i="95"/>
  <c r="AB78" i="95"/>
  <c r="T78" i="95"/>
  <c r="L78" i="95"/>
  <c r="Y81" i="95"/>
  <c r="AC79" i="95"/>
  <c r="U79" i="95"/>
  <c r="AA78" i="95"/>
  <c r="S78" i="95"/>
  <c r="K78" i="95"/>
  <c r="AG81" i="95"/>
  <c r="AF81" i="95"/>
  <c r="X81" i="95"/>
  <c r="AB79" i="95"/>
  <c r="T79" i="95"/>
  <c r="AH78" i="95"/>
  <c r="Z78" i="95"/>
  <c r="R78" i="95"/>
  <c r="J78" i="95"/>
  <c r="O78" i="95"/>
  <c r="AE81" i="95"/>
  <c r="W81" i="95"/>
  <c r="AA79" i="95"/>
  <c r="AG78" i="95"/>
  <c r="Y78" i="95"/>
  <c r="Q78" i="95"/>
  <c r="I78" i="95"/>
  <c r="U81" i="95"/>
  <c r="Y79" i="95"/>
  <c r="W78" i="95"/>
  <c r="AD81" i="95"/>
  <c r="V81" i="95"/>
  <c r="AH79" i="95"/>
  <c r="Z79" i="95"/>
  <c r="AF78" i="95"/>
  <c r="X78" i="95"/>
  <c r="P78" i="95"/>
  <c r="H78" i="95"/>
  <c r="AC81" i="95"/>
  <c r="AG79" i="95"/>
  <c r="AE78" i="95"/>
  <c r="G78" i="95"/>
  <c r="AB81" i="95"/>
  <c r="X79" i="95"/>
  <c r="V78" i="95"/>
  <c r="AA81" i="95"/>
  <c r="W79" i="95"/>
  <c r="U78" i="95"/>
  <c r="T81" i="95"/>
  <c r="N78" i="95"/>
  <c r="AD78" i="95"/>
  <c r="M78" i="95"/>
  <c r="E78" i="95"/>
  <c r="AC78" i="95"/>
  <c r="F78" i="95"/>
  <c r="AF79" i="95"/>
  <c r="AE79" i="95"/>
  <c r="AC74" i="95" l="1"/>
  <c r="T74" i="95"/>
  <c r="AA74" i="95"/>
  <c r="V74" i="95"/>
  <c r="W74" i="95"/>
  <c r="Z74" i="95"/>
  <c r="U74" i="95"/>
  <c r="Y74" i="95"/>
  <c r="AB74" i="95"/>
  <c r="AH74" i="95"/>
  <c r="S74" i="95"/>
  <c r="AG74" i="95"/>
  <c r="AD74" i="95"/>
  <c r="AF74" i="95"/>
  <c r="R74" i="95"/>
  <c r="Q74" i="95"/>
  <c r="X74" i="95"/>
  <c r="AE74" i="95"/>
  <c r="J63" i="95"/>
  <c r="L113" i="77"/>
  <c r="L112" i="77"/>
  <c r="L111" i="77"/>
  <c r="D154" i="77" l="1"/>
  <c r="B154" i="77"/>
  <c r="K63" i="95"/>
  <c r="EG17" i="85"/>
  <c r="EG16" i="85"/>
  <c r="L63" i="95" l="1"/>
  <c r="M63" i="95" l="1"/>
  <c r="N63" i="95" l="1"/>
  <c r="O63" i="95" l="1"/>
  <c r="P63" i="95" l="1"/>
  <c r="Q63" i="95" l="1"/>
  <c r="R63" i="95" l="1"/>
  <c r="S63" i="95" l="1"/>
  <c r="T63" i="95" l="1"/>
  <c r="U63" i="95" l="1"/>
  <c r="V63" i="95" l="1"/>
  <c r="W63" i="95" l="1"/>
  <c r="X63" i="95" l="1"/>
  <c r="Y63" i="95" l="1"/>
  <c r="Z63" i="95" l="1"/>
  <c r="AA63" i="95" l="1"/>
  <c r="AB63" i="95" l="1"/>
  <c r="AC63" i="95" l="1"/>
  <c r="AD63" i="95" l="1"/>
  <c r="AE63" i="95" l="1"/>
  <c r="AF63" i="95" l="1"/>
  <c r="AG63" i="95" l="1"/>
  <c r="AH63" i="95" l="1"/>
  <c r="F39" i="95" l="1"/>
  <c r="F20" i="95"/>
  <c r="G20" i="95" s="1"/>
  <c r="H20" i="95" s="1"/>
  <c r="I20" i="95" s="1"/>
  <c r="J20" i="95" s="1"/>
  <c r="K20" i="95" s="1"/>
  <c r="L20" i="95" s="1"/>
  <c r="M20" i="95" s="1"/>
  <c r="N20" i="95" s="1"/>
  <c r="O20" i="95" s="1"/>
  <c r="P20" i="95" s="1"/>
  <c r="Q20" i="95" s="1"/>
  <c r="R20" i="95" s="1"/>
  <c r="S20" i="95" s="1"/>
  <c r="T20" i="95" s="1"/>
  <c r="U20" i="95" s="1"/>
  <c r="V20" i="95" s="1"/>
  <c r="W20" i="95" s="1"/>
  <c r="X20" i="95" s="1"/>
  <c r="Y20" i="95" s="1"/>
  <c r="Z20" i="95" s="1"/>
  <c r="AA20" i="95" s="1"/>
  <c r="AB20" i="95" s="1"/>
  <c r="AC20" i="95" s="1"/>
  <c r="AD20" i="95" s="1"/>
  <c r="AE20" i="95" s="1"/>
  <c r="AF20" i="95" s="1"/>
  <c r="AG20" i="95" s="1"/>
  <c r="AH20" i="95" s="1"/>
  <c r="E34" i="95"/>
  <c r="E36" i="95"/>
  <c r="E35" i="95"/>
  <c r="E33" i="95"/>
  <c r="E32" i="95"/>
  <c r="E17" i="95"/>
  <c r="E16" i="95"/>
  <c r="E15" i="95"/>
  <c r="E14" i="95"/>
  <c r="E13" i="95"/>
  <c r="I158" i="16"/>
  <c r="I160" i="16"/>
  <c r="I161" i="16"/>
  <c r="I162" i="16"/>
  <c r="I163" i="16"/>
  <c r="I164" i="16"/>
  <c r="I165" i="16"/>
  <c r="I166" i="16"/>
  <c r="I157" i="16"/>
  <c r="H157" i="16"/>
  <c r="G3" i="51"/>
  <c r="G2" i="51"/>
  <c r="G2" i="5"/>
  <c r="D86" i="84"/>
  <c r="D85" i="84"/>
  <c r="D81" i="84"/>
  <c r="D80" i="84"/>
  <c r="D72" i="84"/>
  <c r="D71" i="84"/>
  <c r="D58" i="84"/>
  <c r="D57" i="84"/>
  <c r="D48" i="84"/>
  <c r="D47" i="84"/>
  <c r="D33" i="84"/>
  <c r="D32" i="84"/>
  <c r="D26" i="84"/>
  <c r="D25" i="84"/>
  <c r="D16" i="84"/>
  <c r="D15" i="84"/>
  <c r="C57" i="8"/>
  <c r="D57" i="8" s="1"/>
  <c r="C58" i="8"/>
  <c r="D58" i="8" s="1"/>
  <c r="C59" i="8"/>
  <c r="D59" i="8" s="1"/>
  <c r="C60" i="8"/>
  <c r="D60" i="8" s="1"/>
  <c r="C61" i="8"/>
  <c r="D61" i="8" s="1"/>
  <c r="C62" i="8"/>
  <c r="D62" i="8" s="1"/>
  <c r="C63" i="8"/>
  <c r="D63" i="8" s="1"/>
  <c r="C64" i="8"/>
  <c r="D64" i="8" s="1"/>
  <c r="C65" i="8"/>
  <c r="D65" i="8" s="1"/>
  <c r="C66" i="8"/>
  <c r="D66" i="8" s="1"/>
  <c r="C67" i="8"/>
  <c r="D67" i="8" s="1"/>
  <c r="C68" i="8"/>
  <c r="D68" i="8" s="1"/>
  <c r="C69" i="8"/>
  <c r="D69" i="8" s="1"/>
  <c r="C70" i="8"/>
  <c r="D70" i="8" s="1"/>
  <c r="H84" i="96"/>
  <c r="H10" i="5" s="1"/>
  <c r="G84" i="96"/>
  <c r="F84" i="96"/>
  <c r="K83" i="96"/>
  <c r="F86" i="84" s="1"/>
  <c r="AB86" i="84" s="1"/>
  <c r="K82" i="96"/>
  <c r="ABZ8" i="51" s="1"/>
  <c r="K81" i="96"/>
  <c r="ABY8" i="51" s="1"/>
  <c r="K80" i="96"/>
  <c r="ABX8" i="51" s="1"/>
  <c r="K78" i="96"/>
  <c r="F81" i="84" s="1"/>
  <c r="AB81" i="84" s="1"/>
  <c r="K75" i="96"/>
  <c r="K74" i="96"/>
  <c r="ABS8" i="51" s="1"/>
  <c r="K71" i="96"/>
  <c r="I69" i="96"/>
  <c r="K69" i="96" s="1"/>
  <c r="I68" i="96"/>
  <c r="K68" i="96" s="1"/>
  <c r="ABN8" i="51" s="1"/>
  <c r="I67" i="96"/>
  <c r="K67" i="96" s="1"/>
  <c r="ABM8" i="51" s="1"/>
  <c r="K66" i="96"/>
  <c r="ABL8" i="51" s="1"/>
  <c r="K65" i="96"/>
  <c r="ABK8" i="51" s="1"/>
  <c r="K64" i="96"/>
  <c r="ABJ8" i="51" s="1"/>
  <c r="I63" i="96"/>
  <c r="K63" i="96"/>
  <c r="ABI8" i="51" s="1"/>
  <c r="I62" i="96"/>
  <c r="K62" i="96" s="1"/>
  <c r="ABH8" i="51" s="1"/>
  <c r="I61" i="96"/>
  <c r="K61" i="96" s="1"/>
  <c r="ABG8" i="51" s="1"/>
  <c r="I60" i="96"/>
  <c r="I59" i="96"/>
  <c r="I58" i="96"/>
  <c r="I57" i="96"/>
  <c r="VU8" i="51" s="1"/>
  <c r="I55" i="96"/>
  <c r="K55" i="96" s="1"/>
  <c r="I54" i="96"/>
  <c r="K54" i="96" s="1"/>
  <c r="I53" i="96"/>
  <c r="K53" i="96" s="1"/>
  <c r="AAZ8" i="51" s="1"/>
  <c r="I52" i="96"/>
  <c r="I51" i="96"/>
  <c r="K51" i="96" s="1"/>
  <c r="AAX8" i="51" s="1"/>
  <c r="I50" i="96"/>
  <c r="K50" i="96" s="1"/>
  <c r="AAW8" i="51" s="1"/>
  <c r="I49" i="96"/>
  <c r="I48" i="96"/>
  <c r="I47" i="96"/>
  <c r="VL8" i="51" s="1"/>
  <c r="I45" i="96"/>
  <c r="I44" i="96"/>
  <c r="I43" i="96"/>
  <c r="I42" i="96"/>
  <c r="I41" i="96"/>
  <c r="I40" i="96"/>
  <c r="I39" i="96"/>
  <c r="K39" i="96" s="1"/>
  <c r="I38" i="96"/>
  <c r="K38" i="96" s="1"/>
  <c r="I37" i="96"/>
  <c r="I36" i="96"/>
  <c r="K36" i="96" s="1"/>
  <c r="I35" i="96"/>
  <c r="K35" i="96"/>
  <c r="I34" i="96"/>
  <c r="I33" i="96"/>
  <c r="I32" i="96"/>
  <c r="UX8" i="51" s="1"/>
  <c r="I30" i="96"/>
  <c r="K30" i="96"/>
  <c r="I29" i="96"/>
  <c r="K29" i="96" s="1"/>
  <c r="I28" i="96"/>
  <c r="I27" i="96"/>
  <c r="UT8" i="51" s="1"/>
  <c r="I26" i="96"/>
  <c r="K26" i="96" s="1"/>
  <c r="F29" i="84" s="1"/>
  <c r="I25" i="96"/>
  <c r="K25" i="96" s="1"/>
  <c r="I23" i="96"/>
  <c r="I22" i="96"/>
  <c r="I21" i="96"/>
  <c r="UO8" i="51" s="1"/>
  <c r="I20" i="96"/>
  <c r="I19" i="96"/>
  <c r="I18" i="96"/>
  <c r="I17" i="96"/>
  <c r="I16" i="96"/>
  <c r="I15" i="96"/>
  <c r="UI8" i="51" s="1"/>
  <c r="I13" i="96"/>
  <c r="K13" i="96"/>
  <c r="F16" i="84" s="1"/>
  <c r="AB16" i="84" s="1"/>
  <c r="I12" i="96"/>
  <c r="K12" i="96" s="1"/>
  <c r="F15" i="84" s="1"/>
  <c r="I11" i="96"/>
  <c r="K11" i="96" s="1"/>
  <c r="F14" i="84" s="1"/>
  <c r="AB14" i="84" s="1"/>
  <c r="I10" i="96"/>
  <c r="UE8" i="51" s="1"/>
  <c r="I9" i="96"/>
  <c r="K9" i="96" s="1"/>
  <c r="ZK8" i="51" s="1"/>
  <c r="I3" i="96"/>
  <c r="I2" i="96"/>
  <c r="F6" i="95"/>
  <c r="G6" i="95" s="1"/>
  <c r="H6" i="95" s="1"/>
  <c r="I6" i="95" s="1"/>
  <c r="J6" i="95" s="1"/>
  <c r="K6" i="95" s="1"/>
  <c r="L6" i="95" s="1"/>
  <c r="M6" i="95" s="1"/>
  <c r="N6" i="95" s="1"/>
  <c r="O6" i="95" s="1"/>
  <c r="P6" i="95" s="1"/>
  <c r="Q6" i="95" s="1"/>
  <c r="R6" i="95" s="1"/>
  <c r="S6" i="95" s="1"/>
  <c r="T6" i="95" s="1"/>
  <c r="U6" i="95" s="1"/>
  <c r="V6" i="95" s="1"/>
  <c r="W6" i="95" s="1"/>
  <c r="X6" i="95" s="1"/>
  <c r="P3" i="95"/>
  <c r="P2" i="95"/>
  <c r="E21" i="94"/>
  <c r="AB17" i="84"/>
  <c r="AB27" i="84"/>
  <c r="AB34" i="84"/>
  <c r="AB49" i="84"/>
  <c r="AB59" i="84"/>
  <c r="AB73" i="84"/>
  <c r="AB82" i="84"/>
  <c r="AB87" i="84"/>
  <c r="Z10" i="84"/>
  <c r="Y10" i="84"/>
  <c r="V10" i="84"/>
  <c r="U10" i="84"/>
  <c r="U89" i="84" s="1"/>
  <c r="Y88" i="84"/>
  <c r="W88" i="84"/>
  <c r="V88" i="84"/>
  <c r="U88" i="84"/>
  <c r="T88" i="84"/>
  <c r="Z88" i="84"/>
  <c r="Y9" i="84"/>
  <c r="V9" i="84"/>
  <c r="U9" i="84"/>
  <c r="F26" i="80"/>
  <c r="G3" i="94"/>
  <c r="G2" i="94"/>
  <c r="D33" i="77"/>
  <c r="E33" i="77" s="1"/>
  <c r="H158" i="16"/>
  <c r="H160" i="16"/>
  <c r="H161" i="16"/>
  <c r="H162" i="16"/>
  <c r="H163" i="16"/>
  <c r="H164" i="16"/>
  <c r="H165" i="16"/>
  <c r="H166" i="16"/>
  <c r="G161" i="16"/>
  <c r="G162" i="16"/>
  <c r="G163" i="16"/>
  <c r="G164" i="16"/>
  <c r="G165" i="16"/>
  <c r="G166" i="16"/>
  <c r="M14" i="83"/>
  <c r="FW8" i="51" s="1"/>
  <c r="M15" i="83"/>
  <c r="M16" i="83"/>
  <c r="M17" i="83"/>
  <c r="M18" i="83"/>
  <c r="M19" i="83"/>
  <c r="M20" i="83"/>
  <c r="M21" i="83"/>
  <c r="M22" i="83"/>
  <c r="M23" i="83"/>
  <c r="M24" i="83"/>
  <c r="M25" i="83"/>
  <c r="M26" i="83"/>
  <c r="M27" i="83"/>
  <c r="M28" i="83"/>
  <c r="M29" i="83"/>
  <c r="M30" i="83"/>
  <c r="M31" i="83"/>
  <c r="M32" i="83"/>
  <c r="M33" i="83"/>
  <c r="M34" i="83"/>
  <c r="M35" i="83"/>
  <c r="M36" i="83"/>
  <c r="M37" i="83"/>
  <c r="M38" i="83"/>
  <c r="M39" i="83"/>
  <c r="M40" i="83"/>
  <c r="M41" i="83"/>
  <c r="M42" i="83"/>
  <c r="M43" i="83"/>
  <c r="M44" i="83"/>
  <c r="M45" i="83"/>
  <c r="M46" i="83"/>
  <c r="M47" i="83"/>
  <c r="M48" i="83"/>
  <c r="M49" i="83"/>
  <c r="M50" i="83"/>
  <c r="M51" i="83"/>
  <c r="M52" i="83"/>
  <c r="M53" i="83"/>
  <c r="M54" i="83"/>
  <c r="M55" i="83"/>
  <c r="M56" i="83"/>
  <c r="M57" i="83"/>
  <c r="M58" i="83"/>
  <c r="M59" i="83"/>
  <c r="M60" i="83"/>
  <c r="M61" i="83"/>
  <c r="M62" i="83"/>
  <c r="M63" i="83"/>
  <c r="G157" i="16"/>
  <c r="AA86" i="84"/>
  <c r="AA85" i="84"/>
  <c r="AA84" i="84"/>
  <c r="AA83" i="84"/>
  <c r="AA81" i="84"/>
  <c r="AA80" i="84"/>
  <c r="AA79" i="84"/>
  <c r="AA78" i="84"/>
  <c r="AA77" i="84"/>
  <c r="AA76" i="84"/>
  <c r="AA74" i="84"/>
  <c r="AA72" i="84"/>
  <c r="AA71" i="84"/>
  <c r="AA70" i="84"/>
  <c r="AA69" i="84"/>
  <c r="AA68" i="84"/>
  <c r="AA67" i="84"/>
  <c r="AA66" i="84"/>
  <c r="AA65" i="84"/>
  <c r="AA64" i="84"/>
  <c r="AA63" i="84"/>
  <c r="AA62" i="84"/>
  <c r="AA61" i="84"/>
  <c r="AA60" i="84"/>
  <c r="AA58" i="84"/>
  <c r="AA57" i="84"/>
  <c r="AA56" i="84"/>
  <c r="AA55" i="84"/>
  <c r="AA54" i="84"/>
  <c r="AA53" i="84"/>
  <c r="AA52" i="84"/>
  <c r="AA51" i="84"/>
  <c r="AA50" i="84"/>
  <c r="AA48" i="84"/>
  <c r="AA47" i="84"/>
  <c r="AA46" i="84"/>
  <c r="AA45" i="84"/>
  <c r="AA44" i="84"/>
  <c r="AA43" i="84"/>
  <c r="AA42" i="84"/>
  <c r="AA41" i="84"/>
  <c r="AA40" i="84"/>
  <c r="AA39" i="84"/>
  <c r="AA38" i="84"/>
  <c r="AA37" i="84"/>
  <c r="AA36" i="84"/>
  <c r="AA35" i="84"/>
  <c r="AA33" i="84"/>
  <c r="AA32" i="84"/>
  <c r="AA31" i="84"/>
  <c r="AA30" i="84"/>
  <c r="AA29" i="84"/>
  <c r="K111" i="81"/>
  <c r="K112" i="81"/>
  <c r="K113" i="81"/>
  <c r="K114" i="81"/>
  <c r="K115" i="81"/>
  <c r="K116" i="81"/>
  <c r="K117" i="81"/>
  <c r="K118" i="81"/>
  <c r="K110" i="81"/>
  <c r="AA28" i="84"/>
  <c r="AA26" i="84"/>
  <c r="AA25" i="84"/>
  <c r="AA24" i="84"/>
  <c r="AA23" i="84"/>
  <c r="AA22" i="84"/>
  <c r="AA21" i="84"/>
  <c r="AA20" i="84"/>
  <c r="AA19" i="84"/>
  <c r="AA18" i="84"/>
  <c r="AA13" i="84"/>
  <c r="AA14" i="84"/>
  <c r="AA15" i="84"/>
  <c r="AA16" i="84"/>
  <c r="AA12" i="84"/>
  <c r="J445" i="82"/>
  <c r="I445" i="82"/>
  <c r="EE24" i="85"/>
  <c r="EE23" i="85"/>
  <c r="EE22" i="85"/>
  <c r="EE21" i="85"/>
  <c r="EE20" i="85"/>
  <c r="EE19" i="85"/>
  <c r="EE18" i="85"/>
  <c r="EE16" i="85"/>
  <c r="G445" i="82"/>
  <c r="F445" i="82"/>
  <c r="J149" i="77"/>
  <c r="D149" i="77"/>
  <c r="J136" i="77"/>
  <c r="K9" i="8"/>
  <c r="F18" i="8"/>
  <c r="G18" i="8" s="1"/>
  <c r="H18" i="8" s="1"/>
  <c r="I18" i="8" s="1"/>
  <c r="J18" i="8" s="1"/>
  <c r="K18" i="8" s="1"/>
  <c r="L18" i="8" s="1"/>
  <c r="M18" i="8" s="1"/>
  <c r="N18" i="8" s="1"/>
  <c r="O18" i="8" s="1"/>
  <c r="P18" i="8" s="1"/>
  <c r="Q18" i="8" s="1"/>
  <c r="R18" i="8" s="1"/>
  <c r="S18" i="8" s="1"/>
  <c r="T18" i="8" s="1"/>
  <c r="U18" i="8" s="1"/>
  <c r="V18" i="8" s="1"/>
  <c r="W18" i="8" s="1"/>
  <c r="X18" i="8" s="1"/>
  <c r="Y18" i="8" s="1"/>
  <c r="Z18" i="8" s="1"/>
  <c r="AA18" i="8" s="1"/>
  <c r="AB18" i="8" s="1"/>
  <c r="AC18" i="8" s="1"/>
  <c r="AD18" i="8" s="1"/>
  <c r="AE18" i="8" s="1"/>
  <c r="AF18" i="8" s="1"/>
  <c r="AG18" i="8" s="1"/>
  <c r="AH18" i="8" s="1"/>
  <c r="AI18" i="8" s="1"/>
  <c r="E35" i="8"/>
  <c r="E34" i="8"/>
  <c r="E33" i="8"/>
  <c r="E31" i="8"/>
  <c r="E30" i="8"/>
  <c r="E29" i="8"/>
  <c r="E28" i="8"/>
  <c r="K10" i="8"/>
  <c r="E20" i="8"/>
  <c r="E22" i="8"/>
  <c r="E18" i="8"/>
  <c r="E17" i="8"/>
  <c r="E27" i="8"/>
  <c r="J18" i="80"/>
  <c r="J24" i="80"/>
  <c r="J25" i="80"/>
  <c r="J23" i="80"/>
  <c r="G33" i="8"/>
  <c r="H33" i="8" s="1"/>
  <c r="I33" i="8" s="1"/>
  <c r="J33" i="8" s="1"/>
  <c r="K33" i="8" s="1"/>
  <c r="L33" i="8" s="1"/>
  <c r="M33" i="8" s="1"/>
  <c r="N33" i="8" s="1"/>
  <c r="O33" i="8" s="1"/>
  <c r="P33" i="8" s="1"/>
  <c r="Q33" i="8" s="1"/>
  <c r="R33" i="8" s="1"/>
  <c r="S33" i="8" s="1"/>
  <c r="T33" i="8" s="1"/>
  <c r="U33" i="8" s="1"/>
  <c r="V33" i="8" s="1"/>
  <c r="W33" i="8" s="1"/>
  <c r="X33" i="8" s="1"/>
  <c r="Y33" i="8" s="1"/>
  <c r="Z33" i="8" s="1"/>
  <c r="AA33" i="8" s="1"/>
  <c r="AB33" i="8" s="1"/>
  <c r="AC33" i="8" s="1"/>
  <c r="AD33" i="8" s="1"/>
  <c r="AE33" i="8" s="1"/>
  <c r="AF33" i="8" s="1"/>
  <c r="AG33" i="8" s="1"/>
  <c r="AH33" i="8" s="1"/>
  <c r="AI33" i="8" s="1"/>
  <c r="K94" i="77"/>
  <c r="K93" i="77"/>
  <c r="K92" i="77"/>
  <c r="K91" i="77"/>
  <c r="K90" i="77"/>
  <c r="D16" i="77"/>
  <c r="D15" i="77"/>
  <c r="D13" i="77"/>
  <c r="D12" i="77"/>
  <c r="D11" i="77"/>
  <c r="T10" i="84"/>
  <c r="N10" i="84"/>
  <c r="M10" i="84"/>
  <c r="L10" i="84"/>
  <c r="J10" i="84"/>
  <c r="I10" i="84"/>
  <c r="K22" i="80"/>
  <c r="K23" i="80"/>
  <c r="K24" i="80"/>
  <c r="K25" i="80"/>
  <c r="K18" i="80"/>
  <c r="F28" i="8"/>
  <c r="F108" i="80"/>
  <c r="MV8" i="51" s="1"/>
  <c r="F101" i="80"/>
  <c r="MN8" i="51" s="1"/>
  <c r="F88" i="80"/>
  <c r="LY8" i="51" s="1"/>
  <c r="F68" i="80"/>
  <c r="LC8" i="51" s="1"/>
  <c r="G72" i="16"/>
  <c r="G3" i="12"/>
  <c r="G2" i="12"/>
  <c r="I2" i="77"/>
  <c r="H69" i="16"/>
  <c r="BN8" i="51" s="1"/>
  <c r="H70" i="16"/>
  <c r="BS8" i="51" s="1"/>
  <c r="H71" i="16"/>
  <c r="BX8" i="51" s="1"/>
  <c r="E171" i="16"/>
  <c r="D9" i="77"/>
  <c r="C184" i="82"/>
  <c r="C242" i="82"/>
  <c r="C121" i="82"/>
  <c r="C72" i="82"/>
  <c r="C23" i="82"/>
  <c r="I3" i="77"/>
  <c r="H3" i="82"/>
  <c r="H2" i="82"/>
  <c r="Q3" i="8"/>
  <c r="Q2" i="8"/>
  <c r="G2" i="80"/>
  <c r="Z3" i="84"/>
  <c r="W2" i="84"/>
  <c r="J2" i="3"/>
  <c r="I95" i="83"/>
  <c r="I94" i="83"/>
  <c r="I93" i="83"/>
  <c r="I92" i="83"/>
  <c r="I91" i="83"/>
  <c r="I90" i="83"/>
  <c r="I89" i="83"/>
  <c r="I88" i="83"/>
  <c r="F88" i="83"/>
  <c r="J95" i="83"/>
  <c r="J94" i="83"/>
  <c r="J93" i="83"/>
  <c r="J89" i="83"/>
  <c r="J90" i="83"/>
  <c r="J91" i="83"/>
  <c r="J92" i="83"/>
  <c r="J88" i="83"/>
  <c r="K95" i="83"/>
  <c r="K94" i="83"/>
  <c r="K93" i="83"/>
  <c r="K92" i="83"/>
  <c r="K91" i="83"/>
  <c r="K90" i="83"/>
  <c r="K89" i="83"/>
  <c r="K88" i="83"/>
  <c r="H3" i="16"/>
  <c r="I3" i="83"/>
  <c r="N3" i="81"/>
  <c r="H3" i="80"/>
  <c r="M2" i="81"/>
  <c r="F57" i="80"/>
  <c r="KR8" i="51" s="1"/>
  <c r="J130" i="81"/>
  <c r="E118" i="81"/>
  <c r="C102" i="107" s="1"/>
  <c r="C97" i="77"/>
  <c r="E112" i="81"/>
  <c r="HO8" i="51" s="1"/>
  <c r="E113" i="81"/>
  <c r="HP8" i="51" s="1"/>
  <c r="E114" i="81"/>
  <c r="HQ8" i="51" s="1"/>
  <c r="E115" i="81"/>
  <c r="HR8" i="51" s="1"/>
  <c r="E116" i="81"/>
  <c r="HS8" i="51" s="1"/>
  <c r="E111" i="81"/>
  <c r="HN8" i="51" s="1"/>
  <c r="E110" i="81"/>
  <c r="HM8" i="51" s="1"/>
  <c r="J118" i="81"/>
  <c r="J112" i="81"/>
  <c r="HV8" i="51" s="1"/>
  <c r="J113" i="81"/>
  <c r="HW8" i="51" s="1"/>
  <c r="J114" i="81"/>
  <c r="HX8" i="51" s="1"/>
  <c r="J115" i="81"/>
  <c r="HY8" i="51" s="1"/>
  <c r="J116" i="81"/>
  <c r="HZ8" i="51" s="1"/>
  <c r="J110" i="81"/>
  <c r="HT8" i="51" s="1"/>
  <c r="J111" i="81"/>
  <c r="HU8" i="51" s="1"/>
  <c r="N112" i="81"/>
  <c r="IE8" i="51" s="1"/>
  <c r="N113" i="81"/>
  <c r="IF8" i="51" s="1"/>
  <c r="N114" i="81"/>
  <c r="IG8" i="51" s="1"/>
  <c r="N115" i="81"/>
  <c r="IH8" i="51" s="1"/>
  <c r="N111" i="81"/>
  <c r="ID8" i="51" s="1"/>
  <c r="N110" i="81"/>
  <c r="O48" i="81"/>
  <c r="L112" i="107" s="1"/>
  <c r="O49" i="81"/>
  <c r="O50" i="81"/>
  <c r="O51" i="81"/>
  <c r="O52" i="81"/>
  <c r="O53" i="81"/>
  <c r="O54" i="81"/>
  <c r="O55" i="81"/>
  <c r="O56" i="81"/>
  <c r="O57" i="81"/>
  <c r="O58" i="81"/>
  <c r="O59" i="81"/>
  <c r="O60" i="81"/>
  <c r="O61" i="81"/>
  <c r="O62" i="81"/>
  <c r="O63" i="81"/>
  <c r="O64" i="81"/>
  <c r="O65" i="81"/>
  <c r="O66" i="81"/>
  <c r="O67" i="81"/>
  <c r="L131" i="107" s="1"/>
  <c r="P67" i="81"/>
  <c r="O68" i="81"/>
  <c r="L132" i="107" s="1"/>
  <c r="P68" i="81"/>
  <c r="O69" i="81"/>
  <c r="L133" i="107" s="1"/>
  <c r="P69" i="81"/>
  <c r="O70" i="81"/>
  <c r="L134" i="107" s="1"/>
  <c r="P70" i="81"/>
  <c r="O71" i="81"/>
  <c r="L135" i="107" s="1"/>
  <c r="P71" i="81"/>
  <c r="O72" i="81"/>
  <c r="L136" i="107" s="1"/>
  <c r="P72" i="81"/>
  <c r="O73" i="81"/>
  <c r="L137" i="107" s="1"/>
  <c r="P73" i="81"/>
  <c r="O74" i="81"/>
  <c r="L138" i="107" s="1"/>
  <c r="P74" i="81"/>
  <c r="O75" i="81"/>
  <c r="L139" i="107" s="1"/>
  <c r="P75" i="81"/>
  <c r="O76" i="81"/>
  <c r="L140" i="107" s="1"/>
  <c r="P76" i="81"/>
  <c r="O77" i="81"/>
  <c r="L141" i="107" s="1"/>
  <c r="P77" i="81"/>
  <c r="O78" i="81"/>
  <c r="L142" i="107" s="1"/>
  <c r="P78" i="81"/>
  <c r="O79" i="81"/>
  <c r="L143" i="107" s="1"/>
  <c r="P79" i="81"/>
  <c r="O80" i="81"/>
  <c r="L144" i="107" s="1"/>
  <c r="P80" i="81"/>
  <c r="O81" i="81"/>
  <c r="L145" i="107" s="1"/>
  <c r="P81" i="81"/>
  <c r="O82" i="81"/>
  <c r="L146" i="107" s="1"/>
  <c r="P82" i="81"/>
  <c r="O83" i="81"/>
  <c r="L147" i="107" s="1"/>
  <c r="P83" i="81"/>
  <c r="O84" i="81"/>
  <c r="L148" i="107" s="1"/>
  <c r="P84" i="81"/>
  <c r="O85" i="81"/>
  <c r="L149" i="107" s="1"/>
  <c r="P85" i="81"/>
  <c r="O86" i="81"/>
  <c r="L150" i="107" s="1"/>
  <c r="P86" i="81"/>
  <c r="O87" i="81"/>
  <c r="L151" i="107" s="1"/>
  <c r="P87" i="81"/>
  <c r="O88" i="81"/>
  <c r="L152" i="107" s="1"/>
  <c r="P88" i="81"/>
  <c r="O89" i="81"/>
  <c r="L153" i="107" s="1"/>
  <c r="P89" i="81"/>
  <c r="O90" i="81"/>
  <c r="L154" i="107" s="1"/>
  <c r="P90" i="81"/>
  <c r="O91" i="81"/>
  <c r="L155" i="107" s="1"/>
  <c r="P91" i="81"/>
  <c r="O92" i="81"/>
  <c r="P92" i="81"/>
  <c r="O47" i="81"/>
  <c r="H2" i="16"/>
  <c r="K59" i="81"/>
  <c r="H123" i="107" s="1"/>
  <c r="K60" i="81"/>
  <c r="H124" i="107" s="1"/>
  <c r="K61" i="81"/>
  <c r="H125" i="107" s="1"/>
  <c r="K62" i="81"/>
  <c r="H126" i="107" s="1"/>
  <c r="K63" i="81"/>
  <c r="H127" i="107" s="1"/>
  <c r="K64" i="81"/>
  <c r="H128" i="107" s="1"/>
  <c r="K65" i="81"/>
  <c r="H129" i="107" s="1"/>
  <c r="K66" i="81"/>
  <c r="H130" i="107" s="1"/>
  <c r="K67" i="81"/>
  <c r="H131" i="107" s="1"/>
  <c r="L67" i="81"/>
  <c r="I131" i="107" s="1"/>
  <c r="K68" i="81"/>
  <c r="H132" i="107" s="1"/>
  <c r="L68" i="81"/>
  <c r="I132" i="107" s="1"/>
  <c r="K69" i="81"/>
  <c r="H133" i="107" s="1"/>
  <c r="L69" i="81"/>
  <c r="I133" i="107" s="1"/>
  <c r="K70" i="81"/>
  <c r="H134" i="107" s="1"/>
  <c r="L70" i="81"/>
  <c r="I134" i="107" s="1"/>
  <c r="K71" i="81"/>
  <c r="H135" i="107" s="1"/>
  <c r="L71" i="81"/>
  <c r="I135" i="107" s="1"/>
  <c r="K72" i="81"/>
  <c r="H136" i="107" s="1"/>
  <c r="L72" i="81"/>
  <c r="I136" i="107" s="1"/>
  <c r="K73" i="81"/>
  <c r="H137" i="107" s="1"/>
  <c r="L73" i="81"/>
  <c r="I137" i="107" s="1"/>
  <c r="K74" i="81"/>
  <c r="H138" i="107" s="1"/>
  <c r="L74" i="81"/>
  <c r="I138" i="107" s="1"/>
  <c r="K75" i="81"/>
  <c r="H139" i="107" s="1"/>
  <c r="L75" i="81"/>
  <c r="I139" i="107" s="1"/>
  <c r="K76" i="81"/>
  <c r="H140" i="107" s="1"/>
  <c r="L76" i="81"/>
  <c r="I140" i="107" s="1"/>
  <c r="K77" i="81"/>
  <c r="H141" i="107" s="1"/>
  <c r="L77" i="81"/>
  <c r="I141" i="107" s="1"/>
  <c r="K78" i="81"/>
  <c r="H142" i="107" s="1"/>
  <c r="L78" i="81"/>
  <c r="I142" i="107" s="1"/>
  <c r="K79" i="81"/>
  <c r="H143" i="107" s="1"/>
  <c r="L79" i="81"/>
  <c r="I143" i="107" s="1"/>
  <c r="K80" i="81"/>
  <c r="H144" i="107" s="1"/>
  <c r="L80" i="81"/>
  <c r="I144" i="107" s="1"/>
  <c r="K81" i="81"/>
  <c r="H145" i="107" s="1"/>
  <c r="L81" i="81"/>
  <c r="I145" i="107" s="1"/>
  <c r="K82" i="81"/>
  <c r="H146" i="107" s="1"/>
  <c r="L82" i="81"/>
  <c r="I146" i="107" s="1"/>
  <c r="K83" i="81"/>
  <c r="H147" i="107" s="1"/>
  <c r="L83" i="81"/>
  <c r="I147" i="107" s="1"/>
  <c r="K84" i="81"/>
  <c r="H148" i="107" s="1"/>
  <c r="L84" i="81"/>
  <c r="I148" i="107" s="1"/>
  <c r="K85" i="81"/>
  <c r="H149" i="107" s="1"/>
  <c r="L85" i="81"/>
  <c r="I149" i="107" s="1"/>
  <c r="K86" i="81"/>
  <c r="H150" i="107" s="1"/>
  <c r="L86" i="81"/>
  <c r="I150" i="107" s="1"/>
  <c r="K87" i="81"/>
  <c r="H151" i="107" s="1"/>
  <c r="L87" i="81"/>
  <c r="I151" i="107" s="1"/>
  <c r="K88" i="81"/>
  <c r="H152" i="107" s="1"/>
  <c r="L88" i="81"/>
  <c r="I152" i="107" s="1"/>
  <c r="K89" i="81"/>
  <c r="H153" i="107" s="1"/>
  <c r="L89" i="81"/>
  <c r="I153" i="107" s="1"/>
  <c r="K90" i="81"/>
  <c r="H154" i="107" s="1"/>
  <c r="L90" i="81"/>
  <c r="I154" i="107" s="1"/>
  <c r="K91" i="81"/>
  <c r="H155" i="107" s="1"/>
  <c r="L91" i="81"/>
  <c r="I155" i="107" s="1"/>
  <c r="K92" i="81"/>
  <c r="L92" i="81"/>
  <c r="H110" i="83"/>
  <c r="H109" i="83"/>
  <c r="G88" i="83"/>
  <c r="H88" i="83"/>
  <c r="G89" i="83"/>
  <c r="H89" i="83"/>
  <c r="G90" i="83"/>
  <c r="H90" i="83"/>
  <c r="G91" i="83"/>
  <c r="H91" i="83"/>
  <c r="G92" i="83"/>
  <c r="H92" i="83"/>
  <c r="G93" i="83"/>
  <c r="H93" i="83"/>
  <c r="G94" i="83"/>
  <c r="H94" i="83"/>
  <c r="G95" i="83"/>
  <c r="H95" i="83"/>
  <c r="F95" i="83"/>
  <c r="F94" i="83"/>
  <c r="F93" i="83"/>
  <c r="F92" i="83"/>
  <c r="F91" i="83"/>
  <c r="F90" i="83"/>
  <c r="F89" i="83"/>
  <c r="H70" i="83"/>
  <c r="G70" i="83"/>
  <c r="F70" i="83"/>
  <c r="H71" i="83"/>
  <c r="G71" i="83"/>
  <c r="F71" i="83"/>
  <c r="F69" i="83" a="1"/>
  <c r="F69" i="83" s="1"/>
  <c r="G69" i="83" a="1"/>
  <c r="G69" i="83" s="1"/>
  <c r="H69" i="83" a="1"/>
  <c r="H69" i="83" s="1"/>
  <c r="F2" i="85"/>
  <c r="L3" i="1"/>
  <c r="BC98" i="85"/>
  <c r="BB98" i="85"/>
  <c r="BA98" i="85"/>
  <c r="BC97" i="85"/>
  <c r="BB97" i="85"/>
  <c r="BA97" i="85"/>
  <c r="BC96" i="85"/>
  <c r="BB96" i="85"/>
  <c r="BA96" i="85"/>
  <c r="BC95" i="85"/>
  <c r="BB95" i="85"/>
  <c r="BA95" i="85"/>
  <c r="BC94" i="85"/>
  <c r="BB94" i="85"/>
  <c r="BA94" i="85"/>
  <c r="BC93" i="85"/>
  <c r="BB93" i="85"/>
  <c r="BA93" i="85"/>
  <c r="BC92" i="85"/>
  <c r="BB92" i="85"/>
  <c r="BA92" i="85"/>
  <c r="BC91" i="85"/>
  <c r="BB91" i="85"/>
  <c r="BA91" i="85"/>
  <c r="BC90" i="85"/>
  <c r="BB90" i="85"/>
  <c r="BA90" i="85"/>
  <c r="BC89" i="85"/>
  <c r="BB89" i="85"/>
  <c r="BA89" i="85"/>
  <c r="BC88" i="85"/>
  <c r="BB88" i="85"/>
  <c r="BA88" i="85"/>
  <c r="BC87" i="85"/>
  <c r="BB87" i="85"/>
  <c r="BA87" i="85"/>
  <c r="BC86" i="85"/>
  <c r="BB86" i="85"/>
  <c r="BA86" i="85"/>
  <c r="BC85" i="85"/>
  <c r="BB85" i="85"/>
  <c r="BA85" i="85"/>
  <c r="BC84" i="85"/>
  <c r="BB84" i="85"/>
  <c r="BA84" i="85"/>
  <c r="BC83" i="85"/>
  <c r="BB83" i="85"/>
  <c r="BA83" i="85"/>
  <c r="BC82" i="85"/>
  <c r="BB82" i="85"/>
  <c r="BA82" i="85"/>
  <c r="BC81" i="85"/>
  <c r="BB81" i="85"/>
  <c r="BA81" i="85"/>
  <c r="BC80" i="85"/>
  <c r="BB80" i="85"/>
  <c r="BA80" i="85"/>
  <c r="BC79" i="85"/>
  <c r="BB79" i="85"/>
  <c r="BA79" i="85"/>
  <c r="BC78" i="85"/>
  <c r="BB78" i="85"/>
  <c r="BA78" i="85"/>
  <c r="BC77" i="85"/>
  <c r="BB77" i="85"/>
  <c r="BA77" i="85"/>
  <c r="BC76" i="85"/>
  <c r="BB76" i="85"/>
  <c r="BA76" i="85"/>
  <c r="BC75" i="85"/>
  <c r="BB75" i="85"/>
  <c r="BA75" i="85"/>
  <c r="BC74" i="85"/>
  <c r="BB74" i="85"/>
  <c r="BA74" i="85"/>
  <c r="BC73" i="85"/>
  <c r="BB73" i="85"/>
  <c r="BA73" i="85"/>
  <c r="BC72" i="85"/>
  <c r="BB72" i="85"/>
  <c r="BA72" i="85"/>
  <c r="BC71" i="85"/>
  <c r="BB71" i="85"/>
  <c r="BA71" i="85"/>
  <c r="BC70" i="85"/>
  <c r="BB70" i="85"/>
  <c r="BA70" i="85"/>
  <c r="BC69" i="85"/>
  <c r="BB69" i="85"/>
  <c r="BA69" i="85"/>
  <c r="BC68" i="85"/>
  <c r="BB68" i="85"/>
  <c r="BA68" i="85"/>
  <c r="BC67" i="85"/>
  <c r="BB67" i="85"/>
  <c r="BA67" i="85"/>
  <c r="BC66" i="85"/>
  <c r="BB66" i="85"/>
  <c r="BA66" i="85"/>
  <c r="BC65" i="85"/>
  <c r="BB65" i="85"/>
  <c r="BA65" i="85"/>
  <c r="BC64" i="85"/>
  <c r="BB64" i="85"/>
  <c r="BA64" i="85"/>
  <c r="BC63" i="85"/>
  <c r="BB63" i="85"/>
  <c r="BA63" i="85"/>
  <c r="BC62" i="85"/>
  <c r="BB62" i="85"/>
  <c r="BA62" i="85"/>
  <c r="BC61" i="85"/>
  <c r="BB61" i="85"/>
  <c r="BA61" i="85"/>
  <c r="BC60" i="85"/>
  <c r="BB60" i="85"/>
  <c r="BA60" i="85"/>
  <c r="BC59" i="85"/>
  <c r="BB59" i="85"/>
  <c r="BA59" i="85"/>
  <c r="BC58" i="85"/>
  <c r="BB58" i="85"/>
  <c r="BA58" i="85"/>
  <c r="BC57" i="85"/>
  <c r="BB57" i="85"/>
  <c r="BA57" i="85"/>
  <c r="BC56" i="85"/>
  <c r="BB56" i="85"/>
  <c r="BA56" i="85"/>
  <c r="BC55" i="85"/>
  <c r="BB55" i="85"/>
  <c r="BA55" i="85"/>
  <c r="BC54" i="85"/>
  <c r="BB54" i="85"/>
  <c r="BA54" i="85"/>
  <c r="BC53" i="85"/>
  <c r="BB53" i="85"/>
  <c r="BA53" i="85"/>
  <c r="BC52" i="85"/>
  <c r="BB52" i="85"/>
  <c r="BA52" i="85"/>
  <c r="BC51" i="85"/>
  <c r="BB51" i="85"/>
  <c r="BA51" i="85"/>
  <c r="BC50" i="85"/>
  <c r="BB50" i="85"/>
  <c r="BA50" i="85"/>
  <c r="BC49" i="85"/>
  <c r="BB49" i="85"/>
  <c r="BA49" i="85"/>
  <c r="BC48" i="85"/>
  <c r="BB48" i="85"/>
  <c r="BA48" i="85"/>
  <c r="BC47" i="85"/>
  <c r="BB47" i="85"/>
  <c r="BA47" i="85"/>
  <c r="BC46" i="85"/>
  <c r="BB46" i="85"/>
  <c r="BA46" i="85"/>
  <c r="BC45" i="85"/>
  <c r="BB45" i="85"/>
  <c r="BA45" i="85"/>
  <c r="BC44" i="85"/>
  <c r="BB44" i="85"/>
  <c r="BA44" i="85"/>
  <c r="BC43" i="85"/>
  <c r="BB43" i="85"/>
  <c r="BA43" i="85"/>
  <c r="BC42" i="85"/>
  <c r="BB42" i="85"/>
  <c r="BA42" i="85"/>
  <c r="BC41" i="85"/>
  <c r="BB41" i="85"/>
  <c r="BA41" i="85"/>
  <c r="E87" i="100" s="1"/>
  <c r="BC40" i="85"/>
  <c r="BB40" i="85"/>
  <c r="BA40" i="85"/>
  <c r="BC39" i="85"/>
  <c r="BB39" i="85"/>
  <c r="BA39" i="85"/>
  <c r="BC38" i="85"/>
  <c r="BB38" i="85"/>
  <c r="BA38" i="85"/>
  <c r="BC37" i="85"/>
  <c r="BB37" i="85"/>
  <c r="BA37" i="85"/>
  <c r="BC36" i="85"/>
  <c r="BB36" i="85"/>
  <c r="BA36" i="85"/>
  <c r="BC35" i="85"/>
  <c r="BB35" i="85"/>
  <c r="L61" i="81" s="1"/>
  <c r="I125" i="107" s="1"/>
  <c r="BA35" i="85"/>
  <c r="BC34" i="85"/>
  <c r="BB34" i="85"/>
  <c r="BA34" i="85"/>
  <c r="BC33" i="85"/>
  <c r="BB33" i="85"/>
  <c r="BA33" i="85"/>
  <c r="BC32" i="85"/>
  <c r="BB32" i="85"/>
  <c r="BA32" i="85"/>
  <c r="BC31" i="85"/>
  <c r="BB31" i="85"/>
  <c r="BA31" i="85"/>
  <c r="BC30" i="85"/>
  <c r="BB30" i="85"/>
  <c r="BA30" i="85"/>
  <c r="BC29" i="85"/>
  <c r="BB29" i="85"/>
  <c r="BA29" i="85"/>
  <c r="BC28" i="85"/>
  <c r="BB28" i="85"/>
  <c r="BA28" i="85"/>
  <c r="BC27" i="85"/>
  <c r="BB27" i="85"/>
  <c r="BA27" i="85"/>
  <c r="BC26" i="85"/>
  <c r="BB26" i="85"/>
  <c r="BA26" i="85"/>
  <c r="BC25" i="85"/>
  <c r="BB25" i="85"/>
  <c r="BA25" i="85"/>
  <c r="BC24" i="85"/>
  <c r="BB24" i="85"/>
  <c r="BA24" i="85"/>
  <c r="BC23" i="85"/>
  <c r="BB23" i="85"/>
  <c r="BA23" i="85"/>
  <c r="BC22" i="85"/>
  <c r="BB22" i="85"/>
  <c r="BA22" i="85"/>
  <c r="BC21" i="85"/>
  <c r="BB21" i="85"/>
  <c r="BA21" i="85"/>
  <c r="BC20" i="85"/>
  <c r="BB20" i="85"/>
  <c r="BA20" i="85"/>
  <c r="BC19" i="85"/>
  <c r="BB19" i="85"/>
  <c r="BA19" i="85"/>
  <c r="BC18" i="85"/>
  <c r="BB18" i="85"/>
  <c r="BA18" i="85"/>
  <c r="BC17" i="85"/>
  <c r="BB17" i="85"/>
  <c r="BA17" i="85"/>
  <c r="BC16" i="85"/>
  <c r="BB16" i="85"/>
  <c r="BA16" i="85"/>
  <c r="BC15" i="85"/>
  <c r="BB15" i="85"/>
  <c r="BA15" i="85"/>
  <c r="BC14" i="85"/>
  <c r="BB14" i="85"/>
  <c r="BA14" i="85"/>
  <c r="BC13" i="85"/>
  <c r="BB13" i="85"/>
  <c r="BA13" i="85"/>
  <c r="BC12" i="85"/>
  <c r="BB12" i="85"/>
  <c r="BA12" i="85"/>
  <c r="BC11" i="85"/>
  <c r="BB11" i="85"/>
  <c r="BA11" i="85"/>
  <c r="Z9" i="84"/>
  <c r="T9" i="84"/>
  <c r="S9" i="84"/>
  <c r="N9" i="84"/>
  <c r="M9" i="84"/>
  <c r="L9" i="84"/>
  <c r="K9" i="84"/>
  <c r="J9" i="84"/>
  <c r="I9" i="84"/>
  <c r="G9" i="84"/>
  <c r="K88" i="84"/>
  <c r="J88" i="84"/>
  <c r="I88" i="84"/>
  <c r="G88" i="84"/>
  <c r="C15" i="83"/>
  <c r="C16" i="83"/>
  <c r="C17" i="83" s="1"/>
  <c r="C18" i="83" s="1"/>
  <c r="C19" i="83" s="1"/>
  <c r="C20" i="83" s="1"/>
  <c r="C21" i="83" s="1"/>
  <c r="C22" i="83" s="1"/>
  <c r="C23" i="83" s="1"/>
  <c r="C24" i="83" s="1"/>
  <c r="C25" i="83" s="1"/>
  <c r="C26" i="83" s="1"/>
  <c r="C27" i="83" s="1"/>
  <c r="C28" i="83" s="1"/>
  <c r="C29" i="83" s="1"/>
  <c r="C30" i="83" s="1"/>
  <c r="C31" i="83" s="1"/>
  <c r="C32" i="83" s="1"/>
  <c r="C33" i="83" s="1"/>
  <c r="C34" i="83" s="1"/>
  <c r="C35" i="83" s="1"/>
  <c r="C36" i="83" s="1"/>
  <c r="C37" i="83" s="1"/>
  <c r="C38" i="83" s="1"/>
  <c r="C39" i="83" s="1"/>
  <c r="C40" i="83" s="1"/>
  <c r="C41" i="83" s="1"/>
  <c r="C42" i="83" s="1"/>
  <c r="C43" i="83" s="1"/>
  <c r="C44" i="83" s="1"/>
  <c r="C45" i="83" s="1"/>
  <c r="C46" i="83" s="1"/>
  <c r="C47" i="83" s="1"/>
  <c r="C48" i="83" s="1"/>
  <c r="C49" i="83" s="1"/>
  <c r="C50" i="83" s="1"/>
  <c r="C51" i="83" s="1"/>
  <c r="C52" i="83" s="1"/>
  <c r="C53" i="83" s="1"/>
  <c r="C54" i="83" s="1"/>
  <c r="C55" i="83" s="1"/>
  <c r="C56" i="83" s="1"/>
  <c r="C57" i="83" s="1"/>
  <c r="C58" i="83" s="1"/>
  <c r="C59" i="83" s="1"/>
  <c r="C60" i="83" s="1"/>
  <c r="C61" i="83" s="1"/>
  <c r="C62" i="83" s="1"/>
  <c r="C63" i="83" s="1"/>
  <c r="G89" i="12"/>
  <c r="K445" i="82"/>
  <c r="H445" i="82"/>
  <c r="E445" i="82"/>
  <c r="M88" i="84"/>
  <c r="L88" i="84"/>
  <c r="K35" i="81"/>
  <c r="J35" i="81"/>
  <c r="I35" i="81"/>
  <c r="H35" i="81"/>
  <c r="G35" i="81"/>
  <c r="HH8" i="51" s="1"/>
  <c r="E35" i="81"/>
  <c r="J134" i="81"/>
  <c r="J133" i="81"/>
  <c r="J132" i="81"/>
  <c r="J131" i="81"/>
  <c r="K50" i="81"/>
  <c r="H114" i="107" s="1"/>
  <c r="K49" i="81"/>
  <c r="H113" i="107" s="1"/>
  <c r="K47" i="81"/>
  <c r="H111" i="107" s="1"/>
  <c r="K51" i="81"/>
  <c r="H115" i="107" s="1"/>
  <c r="K52" i="81"/>
  <c r="H116" i="107" s="1"/>
  <c r="K53" i="81"/>
  <c r="H117" i="107" s="1"/>
  <c r="K54" i="81"/>
  <c r="H118" i="107" s="1"/>
  <c r="K48" i="81"/>
  <c r="H112" i="107" s="1"/>
  <c r="K55" i="81"/>
  <c r="H119" i="107" s="1"/>
  <c r="K56" i="81"/>
  <c r="H120" i="107" s="1"/>
  <c r="K57" i="81"/>
  <c r="H121" i="107" s="1"/>
  <c r="K58" i="81"/>
  <c r="H122" i="107" s="1"/>
  <c r="S88" i="84"/>
  <c r="S89" i="84" s="1"/>
  <c r="N88" i="84"/>
  <c r="J136" i="81"/>
  <c r="F17" i="80"/>
  <c r="K17" i="80" s="1"/>
  <c r="C94" i="81"/>
  <c r="G15" i="8"/>
  <c r="F46" i="5"/>
  <c r="ADB8" i="51" s="1"/>
  <c r="F130" i="16"/>
  <c r="EE8" i="51" s="1"/>
  <c r="F23" i="5"/>
  <c r="ACQ8" i="51" s="1"/>
  <c r="F146" i="16"/>
  <c r="EU8" i="51" s="1"/>
  <c r="F145" i="16"/>
  <c r="ET8" i="51" s="1"/>
  <c r="H15" i="8"/>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L60" i="81"/>
  <c r="I124" i="107" s="1"/>
  <c r="F10" i="5" l="1"/>
  <c r="ACB8" i="51"/>
  <c r="K28" i="96"/>
  <c r="AAC8" i="51" s="1"/>
  <c r="UU8" i="51"/>
  <c r="K19" i="96"/>
  <c r="ZT8" i="51" s="1"/>
  <c r="UM8" i="51"/>
  <c r="K23" i="96"/>
  <c r="ZX8" i="51" s="1"/>
  <c r="UQ8" i="51"/>
  <c r="K16" i="96"/>
  <c r="ZQ8" i="51" s="1"/>
  <c r="UJ8" i="51"/>
  <c r="K18" i="96"/>
  <c r="ZS8" i="51" s="1"/>
  <c r="UL8" i="51"/>
  <c r="K20" i="96"/>
  <c r="ZU8" i="51" s="1"/>
  <c r="UN8" i="51"/>
  <c r="K17" i="96"/>
  <c r="ZR8" i="51" s="1"/>
  <c r="UK8" i="51"/>
  <c r="K22" i="96"/>
  <c r="ZW8" i="51" s="1"/>
  <c r="UP8" i="51"/>
  <c r="K33" i="96"/>
  <c r="AAG8" i="51" s="1"/>
  <c r="UY8" i="51"/>
  <c r="K34" i="96"/>
  <c r="AAH8" i="51" s="1"/>
  <c r="UZ8" i="51"/>
  <c r="K37" i="96"/>
  <c r="AAK8" i="51" s="1"/>
  <c r="VC8" i="51"/>
  <c r="K40" i="96"/>
  <c r="AAN8" i="51" s="1"/>
  <c r="VF8" i="51"/>
  <c r="K41" i="96"/>
  <c r="AAO8" i="51" s="1"/>
  <c r="VG8" i="51"/>
  <c r="K44" i="96"/>
  <c r="AAR8" i="51" s="1"/>
  <c r="VJ8" i="51"/>
  <c r="K42" i="96"/>
  <c r="AAP8" i="51" s="1"/>
  <c r="VH8" i="51"/>
  <c r="K43" i="96"/>
  <c r="AAQ8" i="51" s="1"/>
  <c r="VI8" i="51"/>
  <c r="K45" i="96"/>
  <c r="AAS8" i="51" s="1"/>
  <c r="VK8" i="51"/>
  <c r="K60" i="96"/>
  <c r="ABF8" i="51" s="1"/>
  <c r="VX8" i="51"/>
  <c r="K59" i="96"/>
  <c r="VW8" i="51"/>
  <c r="K58" i="96"/>
  <c r="ABD8" i="51" s="1"/>
  <c r="VV8" i="51"/>
  <c r="K52" i="96"/>
  <c r="AAY8" i="51" s="1"/>
  <c r="VQ8" i="51"/>
  <c r="K48" i="96"/>
  <c r="AAU8" i="51" s="1"/>
  <c r="VM8" i="51"/>
  <c r="K49" i="96"/>
  <c r="AAV8" i="51" s="1"/>
  <c r="VN8" i="51"/>
  <c r="G10" i="5"/>
  <c r="E129" i="77" s="1"/>
  <c r="E131" i="77" s="1"/>
  <c r="ACC8" i="51"/>
  <c r="M19" i="5"/>
  <c r="N20" i="5" s="1"/>
  <c r="ABE8" i="51"/>
  <c r="I287" i="100"/>
  <c r="AXF8" i="51" s="1"/>
  <c r="IC8" i="51"/>
  <c r="F16" i="8"/>
  <c r="G16" i="8" s="1"/>
  <c r="FM8" i="51"/>
  <c r="P61" i="81"/>
  <c r="L125" i="107"/>
  <c r="P60" i="81"/>
  <c r="L124" i="107"/>
  <c r="P59" i="81"/>
  <c r="L123" i="107"/>
  <c r="P58" i="81"/>
  <c r="L122" i="107"/>
  <c r="P57" i="81"/>
  <c r="L121" i="107"/>
  <c r="P56" i="81"/>
  <c r="L120" i="107"/>
  <c r="R29" i="107"/>
  <c r="J157" i="114"/>
  <c r="J158" i="114" s="1"/>
  <c r="J161" i="114" s="1"/>
  <c r="J134" i="114"/>
  <c r="J136" i="114" s="1"/>
  <c r="J141" i="114" s="1"/>
  <c r="AYR8" i="51" s="1"/>
  <c r="I288" i="100"/>
  <c r="R42" i="107" a="1"/>
  <c r="R42" i="107" s="1"/>
  <c r="R39" i="107" a="1"/>
  <c r="R39" i="107" s="1"/>
  <c r="P63" i="81"/>
  <c r="L127" i="107"/>
  <c r="P66" i="81"/>
  <c r="L130" i="107"/>
  <c r="P65" i="81"/>
  <c r="L129" i="107"/>
  <c r="P62" i="81"/>
  <c r="L126" i="107"/>
  <c r="P64" i="81"/>
  <c r="L128" i="107"/>
  <c r="P51" i="81"/>
  <c r="L115" i="107"/>
  <c r="P52" i="81"/>
  <c r="L116" i="107"/>
  <c r="P50" i="81"/>
  <c r="L114" i="107"/>
  <c r="P49" i="81"/>
  <c r="L113" i="107"/>
  <c r="P47" i="81"/>
  <c r="L111" i="107"/>
  <c r="P55" i="81"/>
  <c r="L119" i="107"/>
  <c r="P54" i="81"/>
  <c r="L118" i="107"/>
  <c r="I90" i="77"/>
  <c r="D21" i="107"/>
  <c r="P53" i="81"/>
  <c r="L117" i="107"/>
  <c r="D21" i="77"/>
  <c r="D20" i="107"/>
  <c r="R31" i="107"/>
  <c r="K45" i="107"/>
  <c r="R28" i="107" a="1"/>
  <c r="R28" i="107" s="1"/>
  <c r="K44" i="107"/>
  <c r="R30" i="107"/>
  <c r="D199" i="107"/>
  <c r="D141" i="77"/>
  <c r="F129" i="77"/>
  <c r="F187" i="107"/>
  <c r="F189" i="107" s="1"/>
  <c r="D129" i="77"/>
  <c r="D131" i="77" s="1"/>
  <c r="D187" i="107"/>
  <c r="D189" i="107" s="1"/>
  <c r="H66" i="115"/>
  <c r="AZO8" i="51" s="1"/>
  <c r="F387" i="115"/>
  <c r="F389" i="115" s="1"/>
  <c r="F390" i="115" s="1"/>
  <c r="K374" i="115" s="1"/>
  <c r="F258" i="114"/>
  <c r="F260" i="114" s="1"/>
  <c r="F261" i="114" s="1"/>
  <c r="K245" i="114" s="1"/>
  <c r="F271" i="113"/>
  <c r="F273" i="113" s="1"/>
  <c r="F274" i="113" s="1"/>
  <c r="K258" i="113" s="1"/>
  <c r="H64" i="77"/>
  <c r="K64" i="77" s="1"/>
  <c r="C101" i="81"/>
  <c r="K47" i="107" s="1"/>
  <c r="H63" i="115"/>
  <c r="H43" i="77"/>
  <c r="E196" i="102"/>
  <c r="G196" i="102" s="1"/>
  <c r="E198" i="102"/>
  <c r="G198" i="102" s="1"/>
  <c r="F67" i="114"/>
  <c r="I404" i="115"/>
  <c r="BAY8" i="51" s="1"/>
  <c r="I276" i="114"/>
  <c r="AZE8" i="51" s="1"/>
  <c r="I287" i="113"/>
  <c r="H72" i="83"/>
  <c r="E72" i="100"/>
  <c r="E75" i="100" s="1"/>
  <c r="E77" i="100" s="1"/>
  <c r="E82" i="100" s="1"/>
  <c r="AWR8" i="51" s="1"/>
  <c r="F61" i="100"/>
  <c r="F271" i="100"/>
  <c r="F273" i="100" s="1"/>
  <c r="F274" i="100" s="1"/>
  <c r="K258" i="100" s="1"/>
  <c r="D36" i="107"/>
  <c r="E36" i="107" s="1"/>
  <c r="F27" i="8"/>
  <c r="E111" i="77"/>
  <c r="F112" i="80"/>
  <c r="F138" i="80"/>
  <c r="E113" i="77"/>
  <c r="F140" i="80"/>
  <c r="F29" i="8"/>
  <c r="F114" i="80"/>
  <c r="E114" i="77"/>
  <c r="F30" i="8"/>
  <c r="F141" i="80"/>
  <c r="F115" i="80"/>
  <c r="F34" i="8"/>
  <c r="G34" i="8" s="1"/>
  <c r="H34" i="8" s="1"/>
  <c r="I34" i="8" s="1"/>
  <c r="J34" i="8" s="1"/>
  <c r="K34" i="8" s="1"/>
  <c r="L34" i="8" s="1"/>
  <c r="M34" i="8" s="1"/>
  <c r="N34" i="8" s="1"/>
  <c r="O34" i="8" s="1"/>
  <c r="P34" i="8" s="1"/>
  <c r="Q34" i="8" s="1"/>
  <c r="R34" i="8" s="1"/>
  <c r="S34" i="8" s="1"/>
  <c r="T34" i="8" s="1"/>
  <c r="U34" i="8" s="1"/>
  <c r="V34" i="8" s="1"/>
  <c r="W34" i="8" s="1"/>
  <c r="X34" i="8" s="1"/>
  <c r="Y34" i="8" s="1"/>
  <c r="Z34" i="8" s="1"/>
  <c r="AA34" i="8" s="1"/>
  <c r="AB34" i="8" s="1"/>
  <c r="AC34" i="8" s="1"/>
  <c r="AD34" i="8" s="1"/>
  <c r="AE34" i="8" s="1"/>
  <c r="AF34" i="8" s="1"/>
  <c r="AG34" i="8" s="1"/>
  <c r="AH34" i="8" s="1"/>
  <c r="AI34" i="8" s="1"/>
  <c r="E117" i="77"/>
  <c r="F146" i="80"/>
  <c r="F120" i="80"/>
  <c r="F147" i="80"/>
  <c r="F35" i="8"/>
  <c r="E118" i="77"/>
  <c r="F121" i="80"/>
  <c r="J170" i="107"/>
  <c r="F85" i="84"/>
  <c r="AB85" i="84" s="1"/>
  <c r="F84" i="84"/>
  <c r="AB84" i="84" s="1"/>
  <c r="F71" i="84"/>
  <c r="AB71" i="84" s="1"/>
  <c r="H67" i="16"/>
  <c r="BD8" i="51" s="1"/>
  <c r="H68" i="16"/>
  <c r="BI8" i="51" s="1"/>
  <c r="I89" i="84"/>
  <c r="G89" i="84"/>
  <c r="F31" i="80"/>
  <c r="E107" i="77" s="1"/>
  <c r="F107" i="77" s="1"/>
  <c r="E176" i="107"/>
  <c r="F22" i="8"/>
  <c r="F19" i="80"/>
  <c r="F33" i="84"/>
  <c r="AB33" i="84" s="1"/>
  <c r="J168" i="107"/>
  <c r="F32" i="84"/>
  <c r="AB32" i="84" s="1"/>
  <c r="P48" i="81"/>
  <c r="E7" i="95"/>
  <c r="F414" i="95" s="1"/>
  <c r="H6" i="77"/>
  <c r="L167" i="107"/>
  <c r="F67" i="84"/>
  <c r="AB67" i="84" s="1"/>
  <c r="K10" i="96"/>
  <c r="ZL8" i="51" s="1"/>
  <c r="L162" i="107"/>
  <c r="C94" i="107"/>
  <c r="L166" i="107"/>
  <c r="L165" i="107"/>
  <c r="K27" i="96"/>
  <c r="L164" i="107"/>
  <c r="L163" i="107"/>
  <c r="I60" i="5"/>
  <c r="ADV8" i="51" s="1"/>
  <c r="H55" i="5"/>
  <c r="H56" i="5" s="1"/>
  <c r="H57" i="5" s="1"/>
  <c r="H58" i="5" s="1"/>
  <c r="H59" i="5" s="1"/>
  <c r="G31" i="8"/>
  <c r="H31" i="8" s="1"/>
  <c r="I31" i="8" s="1"/>
  <c r="J31" i="8" s="1"/>
  <c r="K31" i="8" s="1"/>
  <c r="L31" i="8" s="1"/>
  <c r="M31" i="8" s="1"/>
  <c r="N31" i="8" s="1"/>
  <c r="O31" i="8" s="1"/>
  <c r="P31" i="8" s="1"/>
  <c r="Q31" i="8" s="1"/>
  <c r="R31" i="8" s="1"/>
  <c r="S31" i="8" s="1"/>
  <c r="T31" i="8" s="1"/>
  <c r="U31" i="8" s="1"/>
  <c r="V31" i="8" s="1"/>
  <c r="W31" i="8" s="1"/>
  <c r="X31" i="8" s="1"/>
  <c r="Y31" i="8" s="1"/>
  <c r="Z31" i="8" s="1"/>
  <c r="AA31" i="8" s="1"/>
  <c r="AB31" i="8" s="1"/>
  <c r="AC31" i="8" s="1"/>
  <c r="AD31" i="8" s="1"/>
  <c r="AE31" i="8" s="1"/>
  <c r="AF31" i="8" s="1"/>
  <c r="AG31" i="8" s="1"/>
  <c r="AH31" i="8" s="1"/>
  <c r="AI31" i="8" s="1"/>
  <c r="E172" i="107"/>
  <c r="E174" i="107"/>
  <c r="E169" i="107"/>
  <c r="C62" i="109"/>
  <c r="H62" i="109" s="1"/>
  <c r="I62" i="109" s="1"/>
  <c r="C47" i="109"/>
  <c r="I47" i="109" s="1"/>
  <c r="C76" i="109"/>
  <c r="H76" i="109" s="1"/>
  <c r="I95" i="107"/>
  <c r="C61" i="109"/>
  <c r="H61" i="109" s="1"/>
  <c r="I61" i="109" s="1"/>
  <c r="C75" i="109"/>
  <c r="H75" i="109" s="1"/>
  <c r="C46" i="109"/>
  <c r="I46" i="109" s="1"/>
  <c r="I94" i="107"/>
  <c r="C95" i="77"/>
  <c r="C100" i="107"/>
  <c r="C94" i="77"/>
  <c r="C99" i="107"/>
  <c r="C66" i="109"/>
  <c r="H66" i="109" s="1"/>
  <c r="I66" i="109" s="1"/>
  <c r="C80" i="109"/>
  <c r="H80" i="109" s="1"/>
  <c r="C51" i="109"/>
  <c r="I51" i="109" s="1"/>
  <c r="I99" i="107"/>
  <c r="C93" i="77"/>
  <c r="C98" i="107"/>
  <c r="C65" i="109"/>
  <c r="H65" i="109" s="1"/>
  <c r="I65" i="109" s="1"/>
  <c r="C79" i="109"/>
  <c r="H79" i="109" s="1"/>
  <c r="C50" i="109"/>
  <c r="I50" i="109" s="1"/>
  <c r="I98" i="107"/>
  <c r="C97" i="107"/>
  <c r="C49" i="109"/>
  <c r="I49" i="109" s="1"/>
  <c r="C64" i="109"/>
  <c r="H64" i="109" s="1"/>
  <c r="I64" i="109" s="1"/>
  <c r="C78" i="109"/>
  <c r="H78" i="109" s="1"/>
  <c r="I97" i="107"/>
  <c r="C96" i="107"/>
  <c r="C48" i="109"/>
  <c r="I48" i="109" s="1"/>
  <c r="C63" i="109"/>
  <c r="H63" i="109" s="1"/>
  <c r="I63" i="109" s="1"/>
  <c r="C77" i="109"/>
  <c r="H77" i="109" s="1"/>
  <c r="I96" i="107"/>
  <c r="C96" i="77"/>
  <c r="C101" i="107"/>
  <c r="C95" i="107"/>
  <c r="E519" i="95"/>
  <c r="E484" i="95"/>
  <c r="E659" i="95"/>
  <c r="E449" i="95"/>
  <c r="E414" i="95"/>
  <c r="E344" i="95"/>
  <c r="E589" i="95"/>
  <c r="E379" i="95"/>
  <c r="E309" i="95"/>
  <c r="E239" i="95"/>
  <c r="E274" i="95"/>
  <c r="E204" i="95"/>
  <c r="E624" i="95"/>
  <c r="E729" i="95"/>
  <c r="E694" i="95"/>
  <c r="E554" i="95"/>
  <c r="E169" i="95"/>
  <c r="E134" i="95"/>
  <c r="L54" i="81"/>
  <c r="I118" i="107" s="1"/>
  <c r="D14" i="107"/>
  <c r="K49" i="107" s="1"/>
  <c r="G72" i="83"/>
  <c r="K57" i="77"/>
  <c r="E99" i="95"/>
  <c r="F77" i="84"/>
  <c r="AB77" i="84" s="1"/>
  <c r="F70" i="84"/>
  <c r="AB70" i="84" s="1"/>
  <c r="F68" i="84"/>
  <c r="AB68" i="84" s="1"/>
  <c r="F62" i="84"/>
  <c r="AB62" i="84" s="1"/>
  <c r="F64" i="84"/>
  <c r="AB64" i="84" s="1"/>
  <c r="F61" i="84"/>
  <c r="AB61" i="84" s="1"/>
  <c r="F53" i="84"/>
  <c r="AB53" i="84" s="1"/>
  <c r="F56" i="84"/>
  <c r="AB56" i="84" s="1"/>
  <c r="F57" i="84"/>
  <c r="AB57" i="84" s="1"/>
  <c r="F55" i="84"/>
  <c r="AB55" i="84" s="1"/>
  <c r="F54" i="84"/>
  <c r="AB54" i="84" s="1"/>
  <c r="F51" i="84"/>
  <c r="AB51" i="84" s="1"/>
  <c r="F52" i="84"/>
  <c r="AB52" i="84" s="1"/>
  <c r="F43" i="84"/>
  <c r="AB43" i="84" s="1"/>
  <c r="F44" i="84"/>
  <c r="AB44" i="84" s="1"/>
  <c r="F45" i="84"/>
  <c r="AB45" i="84" s="1"/>
  <c r="F46" i="84"/>
  <c r="AB46" i="84" s="1"/>
  <c r="F47" i="84"/>
  <c r="AB47" i="84" s="1"/>
  <c r="F39" i="84"/>
  <c r="AB39" i="84" s="1"/>
  <c r="F36" i="84"/>
  <c r="AB36" i="84" s="1"/>
  <c r="F37" i="84"/>
  <c r="AB37" i="84" s="1"/>
  <c r="F26" i="84"/>
  <c r="AB26" i="84" s="1"/>
  <c r="F19" i="84"/>
  <c r="AB19" i="84" s="1"/>
  <c r="F20" i="84"/>
  <c r="AB20" i="84" s="1"/>
  <c r="F21" i="84"/>
  <c r="AB21" i="84" s="1"/>
  <c r="F22" i="84"/>
  <c r="AB22" i="84" s="1"/>
  <c r="F23" i="84"/>
  <c r="AB23" i="84" s="1"/>
  <c r="F25" i="84"/>
  <c r="AB25" i="84" s="1"/>
  <c r="I62" i="5"/>
  <c r="AEB8" i="51" s="1"/>
  <c r="I63" i="5"/>
  <c r="AEE8" i="51" s="1"/>
  <c r="K56" i="77"/>
  <c r="L57" i="81"/>
  <c r="I121" i="107" s="1"/>
  <c r="L59" i="81"/>
  <c r="I123" i="107" s="1"/>
  <c r="L53" i="81"/>
  <c r="I117" i="107" s="1"/>
  <c r="L51" i="81"/>
  <c r="I115" i="107" s="1"/>
  <c r="L50" i="81"/>
  <c r="I114" i="107" s="1"/>
  <c r="L55" i="81"/>
  <c r="I119" i="107" s="1"/>
  <c r="L58" i="81"/>
  <c r="I122" i="107" s="1"/>
  <c r="L52" i="81"/>
  <c r="I116" i="107" s="1"/>
  <c r="L56" i="81"/>
  <c r="I120" i="107" s="1"/>
  <c r="L49" i="81"/>
  <c r="I113" i="107" s="1"/>
  <c r="C92" i="77"/>
  <c r="I93" i="77"/>
  <c r="F72" i="84"/>
  <c r="AB72" i="84" s="1"/>
  <c r="F69" i="84"/>
  <c r="AB69" i="84" s="1"/>
  <c r="F66" i="84"/>
  <c r="AB66" i="84" s="1"/>
  <c r="F65" i="84"/>
  <c r="AB65" i="84" s="1"/>
  <c r="F63" i="84"/>
  <c r="AB63" i="84" s="1"/>
  <c r="F58" i="84"/>
  <c r="AB58" i="84" s="1"/>
  <c r="F42" i="84"/>
  <c r="AB42" i="84" s="1"/>
  <c r="F40" i="84"/>
  <c r="AB40" i="84" s="1"/>
  <c r="F41" i="84"/>
  <c r="AB41" i="84" s="1"/>
  <c r="F38" i="84"/>
  <c r="AB38" i="84" s="1"/>
  <c r="C91" i="77"/>
  <c r="I70" i="83"/>
  <c r="GN8" i="51" s="1"/>
  <c r="D14" i="77"/>
  <c r="L48" i="81"/>
  <c r="I112" i="107" s="1"/>
  <c r="L47" i="81"/>
  <c r="I111" i="107" s="1"/>
  <c r="D17" i="77"/>
  <c r="AB74" i="84"/>
  <c r="AA88" i="84"/>
  <c r="E170" i="16"/>
  <c r="FL8" i="51" s="1"/>
  <c r="F72" i="83"/>
  <c r="F78" i="83"/>
  <c r="E21" i="95"/>
  <c r="E64" i="95"/>
  <c r="L62" i="81"/>
  <c r="I126" i="107" s="1"/>
  <c r="E207" i="102"/>
  <c r="F239" i="101"/>
  <c r="F226" i="101"/>
  <c r="E210" i="102"/>
  <c r="E206" i="102"/>
  <c r="E239" i="101"/>
  <c r="F237" i="101"/>
  <c r="E226" i="101"/>
  <c r="F238" i="101"/>
  <c r="F209" i="102"/>
  <c r="F210" i="102" s="1"/>
  <c r="F205" i="102"/>
  <c r="E240" i="101"/>
  <c r="F236" i="101"/>
  <c r="E227" i="101"/>
  <c r="E209" i="102"/>
  <c r="E205" i="102"/>
  <c r="E241" i="101"/>
  <c r="E225" i="101"/>
  <c r="E228" i="101"/>
  <c r="E236" i="101"/>
  <c r="F207" i="102"/>
  <c r="F208" i="102"/>
  <c r="E200" i="102"/>
  <c r="E237" i="101"/>
  <c r="F227" i="101"/>
  <c r="E229" i="101"/>
  <c r="F229" i="101"/>
  <c r="F206" i="102"/>
  <c r="E208" i="102"/>
  <c r="F228" i="101"/>
  <c r="E230" i="101"/>
  <c r="F240" i="101"/>
  <c r="E238" i="101"/>
  <c r="F225" i="101"/>
  <c r="C90" i="77"/>
  <c r="C89" i="77"/>
  <c r="C110" i="101"/>
  <c r="C62" i="101"/>
  <c r="G62" i="101" s="1"/>
  <c r="C111" i="101"/>
  <c r="G111" i="101" s="1"/>
  <c r="C63" i="101"/>
  <c r="G63" i="101" s="1"/>
  <c r="I94" i="77"/>
  <c r="C67" i="101"/>
  <c r="G67" i="101" s="1"/>
  <c r="C115" i="101"/>
  <c r="G115" i="101" s="1"/>
  <c r="C66" i="101"/>
  <c r="G66" i="101" s="1"/>
  <c r="C114" i="101"/>
  <c r="G114" i="101" s="1"/>
  <c r="I92" i="77"/>
  <c r="C65" i="101"/>
  <c r="G65" i="101" s="1"/>
  <c r="C113" i="101"/>
  <c r="G113" i="101" s="1"/>
  <c r="I91" i="77"/>
  <c r="C64" i="101"/>
  <c r="G64" i="101" s="1"/>
  <c r="C112" i="101"/>
  <c r="G112" i="101" s="1"/>
  <c r="F31" i="84"/>
  <c r="AB31" i="84" s="1"/>
  <c r="F56" i="102"/>
  <c r="AKD8" i="51" s="1"/>
  <c r="F52" i="101"/>
  <c r="AJG8" i="51" s="1"/>
  <c r="L64" i="81"/>
  <c r="I128" i="107" s="1"/>
  <c r="L63" i="81"/>
  <c r="I127" i="107" s="1"/>
  <c r="L66" i="81"/>
  <c r="I130" i="107" s="1"/>
  <c r="L65" i="81"/>
  <c r="I129" i="107" s="1"/>
  <c r="L106" i="77"/>
  <c r="T89" i="84"/>
  <c r="Z89" i="84"/>
  <c r="L89" i="84"/>
  <c r="Y89" i="84"/>
  <c r="M89" i="84"/>
  <c r="N89" i="84"/>
  <c r="AB29" i="84"/>
  <c r="V89" i="84"/>
  <c r="J89" i="84"/>
  <c r="W89" i="84"/>
  <c r="AB15" i="84"/>
  <c r="G14" i="5"/>
  <c r="F28" i="84"/>
  <c r="AB28" i="84" s="1"/>
  <c r="F12" i="84"/>
  <c r="AB12" i="84" s="1"/>
  <c r="E31" i="94"/>
  <c r="AHJ8" i="51" s="1"/>
  <c r="F14" i="5"/>
  <c r="F20" i="5" s="1"/>
  <c r="K15" i="96"/>
  <c r="ZP8" i="51" s="1"/>
  <c r="K32" i="96"/>
  <c r="AAF8" i="51" s="1"/>
  <c r="L108" i="77"/>
  <c r="J111" i="77"/>
  <c r="F83" i="84"/>
  <c r="AB83" i="84" s="1"/>
  <c r="J113" i="77"/>
  <c r="K47" i="96"/>
  <c r="L109" i="77"/>
  <c r="L105" i="77"/>
  <c r="L107" i="77"/>
  <c r="K57" i="96"/>
  <c r="ABC8" i="51" s="1"/>
  <c r="L110" i="77"/>
  <c r="F78" i="84"/>
  <c r="AB78" i="84" s="1"/>
  <c r="D36" i="77"/>
  <c r="E36" i="77" s="1"/>
  <c r="L11" i="3"/>
  <c r="L27" i="3"/>
  <c r="L15" i="3"/>
  <c r="L17" i="3"/>
  <c r="L26" i="3"/>
  <c r="L12" i="3"/>
  <c r="L28" i="3"/>
  <c r="L24" i="3"/>
  <c r="L18" i="3"/>
  <c r="L13" i="3"/>
  <c r="L29" i="3"/>
  <c r="L25" i="3"/>
  <c r="L14" i="3"/>
  <c r="L16" i="3"/>
  <c r="N37" i="3"/>
  <c r="N45" i="3"/>
  <c r="N54" i="3"/>
  <c r="N38" i="3"/>
  <c r="N46" i="3"/>
  <c r="N55" i="3"/>
  <c r="N44" i="3"/>
  <c r="N39" i="3"/>
  <c r="N47" i="3"/>
  <c r="N40" i="3"/>
  <c r="N48" i="3"/>
  <c r="N41" i="3"/>
  <c r="N49" i="3"/>
  <c r="N52" i="3"/>
  <c r="N42" i="3"/>
  <c r="N50" i="3"/>
  <c r="N43" i="3"/>
  <c r="N51" i="3"/>
  <c r="E42" i="95"/>
  <c r="AB44" i="95"/>
  <c r="T44" i="95"/>
  <c r="L44" i="95"/>
  <c r="AF42" i="95"/>
  <c r="X42" i="95"/>
  <c r="P42" i="95"/>
  <c r="H42" i="95"/>
  <c r="AA44" i="95"/>
  <c r="S44" i="95"/>
  <c r="K44" i="95"/>
  <c r="AE42" i="95"/>
  <c r="W42" i="95"/>
  <c r="O42" i="95"/>
  <c r="G42" i="95"/>
  <c r="AH44" i="95"/>
  <c r="Z44" i="95"/>
  <c r="R44" i="95"/>
  <c r="J44" i="95"/>
  <c r="AD42" i="95"/>
  <c r="V42" i="95"/>
  <c r="N42" i="95"/>
  <c r="F44" i="95"/>
  <c r="AG44" i="95"/>
  <c r="Y44" i="95"/>
  <c r="Q44" i="95"/>
  <c r="I44" i="95"/>
  <c r="AC42" i="95"/>
  <c r="U42" i="95"/>
  <c r="M42" i="95"/>
  <c r="E44" i="95"/>
  <c r="E46" i="95" s="1"/>
  <c r="AF44" i="95"/>
  <c r="X44" i="95"/>
  <c r="P44" i="95"/>
  <c r="H44" i="95"/>
  <c r="AB42" i="95"/>
  <c r="T42" i="95"/>
  <c r="L42" i="95"/>
  <c r="F42" i="95"/>
  <c r="AE44" i="95"/>
  <c r="W44" i="95"/>
  <c r="O44" i="95"/>
  <c r="G44" i="95"/>
  <c r="AA42" i="95"/>
  <c r="S42" i="95"/>
  <c r="K42" i="95"/>
  <c r="AD44" i="95"/>
  <c r="V44" i="95"/>
  <c r="N44" i="95"/>
  <c r="AH42" i="95"/>
  <c r="Z42" i="95"/>
  <c r="R42" i="95"/>
  <c r="J42" i="95"/>
  <c r="AC44" i="95"/>
  <c r="U44" i="95"/>
  <c r="M44" i="95"/>
  <c r="AG42" i="95"/>
  <c r="Y42" i="95"/>
  <c r="Q42" i="95"/>
  <c r="I42" i="95"/>
  <c r="F23" i="8"/>
  <c r="G22" i="8"/>
  <c r="G28" i="8"/>
  <c r="H28" i="8" s="1"/>
  <c r="I28" i="8" s="1"/>
  <c r="J28" i="8" s="1"/>
  <c r="K28" i="8" s="1"/>
  <c r="L28" i="8" s="1"/>
  <c r="M28" i="8" s="1"/>
  <c r="N28" i="8" s="1"/>
  <c r="O28" i="8" s="1"/>
  <c r="P28" i="8" s="1"/>
  <c r="Q28" i="8" s="1"/>
  <c r="R28" i="8" s="1"/>
  <c r="S28" i="8" s="1"/>
  <c r="T28" i="8" s="1"/>
  <c r="U28" i="8" s="1"/>
  <c r="V28" i="8" s="1"/>
  <c r="W28" i="8" s="1"/>
  <c r="X28" i="8" s="1"/>
  <c r="Y28" i="8" s="1"/>
  <c r="Z28" i="8" s="1"/>
  <c r="AA28" i="8" s="1"/>
  <c r="AB28" i="8" s="1"/>
  <c r="AC28" i="8" s="1"/>
  <c r="AD28" i="8" s="1"/>
  <c r="AE28" i="8" s="1"/>
  <c r="AF28" i="8" s="1"/>
  <c r="AG28" i="8" s="1"/>
  <c r="AH28" i="8" s="1"/>
  <c r="AI28" i="8" s="1"/>
  <c r="I84" i="96"/>
  <c r="ACE8" i="51" s="1"/>
  <c r="H14" i="5"/>
  <c r="F131" i="77"/>
  <c r="K21" i="96"/>
  <c r="ZV8" i="51" s="1"/>
  <c r="I89" i="77"/>
  <c r="N116" i="81"/>
  <c r="O112" i="81" s="1"/>
  <c r="K119" i="81"/>
  <c r="E119" i="81"/>
  <c r="I280" i="114" s="1"/>
  <c r="J119" i="81"/>
  <c r="I71" i="83"/>
  <c r="I69" i="83"/>
  <c r="GM8" i="51" s="1"/>
  <c r="F79" i="83"/>
  <c r="H16" i="8"/>
  <c r="I16" i="8" s="1"/>
  <c r="J16" i="8" s="1"/>
  <c r="K16" i="8" s="1"/>
  <c r="L16" i="8" s="1"/>
  <c r="M16" i="8" s="1"/>
  <c r="N16" i="8" s="1"/>
  <c r="O16" i="8" s="1"/>
  <c r="P16" i="8" s="1"/>
  <c r="Q16" i="8" s="1"/>
  <c r="R16" i="8" s="1"/>
  <c r="S16" i="8" s="1"/>
  <c r="T16" i="8" s="1"/>
  <c r="U16" i="8" s="1"/>
  <c r="V16" i="8" s="1"/>
  <c r="W16" i="8" s="1"/>
  <c r="X16" i="8" s="1"/>
  <c r="Y16" i="8" s="1"/>
  <c r="Z16" i="8" s="1"/>
  <c r="AA16" i="8" s="1"/>
  <c r="AB16" i="8" s="1"/>
  <c r="AC16" i="8" s="1"/>
  <c r="AD16" i="8" s="1"/>
  <c r="AE16" i="8" s="1"/>
  <c r="AF16" i="8" s="1"/>
  <c r="AG16" i="8" s="1"/>
  <c r="AH16" i="8" s="1"/>
  <c r="AI16" i="8" s="1"/>
  <c r="E40" i="95"/>
  <c r="F147" i="16"/>
  <c r="EV8" i="51" s="1"/>
  <c r="F148" i="16"/>
  <c r="EW8" i="51" s="1"/>
  <c r="N36" i="3"/>
  <c r="K10" i="84"/>
  <c r="G39" i="95"/>
  <c r="E45" i="95"/>
  <c r="F43" i="8" s="1"/>
  <c r="E37" i="95"/>
  <c r="Y6" i="95"/>
  <c r="Z6" i="95" s="1"/>
  <c r="AA6" i="95" s="1"/>
  <c r="AB6" i="95" s="1"/>
  <c r="E22" i="95"/>
  <c r="F25" i="95" s="1"/>
  <c r="D169" i="77"/>
  <c r="E41" i="95"/>
  <c r="E43" i="95" s="1"/>
  <c r="I55" i="5"/>
  <c r="I69" i="5"/>
  <c r="AEW8" i="51" s="1"/>
  <c r="I61" i="5"/>
  <c r="ADY8" i="51" s="1"/>
  <c r="I68" i="5"/>
  <c r="AET8" i="51" s="1"/>
  <c r="E23" i="95"/>
  <c r="I67" i="5"/>
  <c r="AEQ8" i="51" s="1"/>
  <c r="I59" i="5"/>
  <c r="ADS8" i="51" s="1"/>
  <c r="I66" i="5"/>
  <c r="AEN8" i="51" s="1"/>
  <c r="I58" i="5"/>
  <c r="ADP8" i="51" s="1"/>
  <c r="I65" i="5"/>
  <c r="AEK8" i="51" s="1"/>
  <c r="I57" i="5"/>
  <c r="ADM8" i="51" s="1"/>
  <c r="I64" i="5"/>
  <c r="AEH8" i="51" s="1"/>
  <c r="I56" i="5"/>
  <c r="ADJ8" i="51" s="1"/>
  <c r="L10" i="3"/>
  <c r="G58" i="3"/>
  <c r="ACL8" i="51" l="1"/>
  <c r="J164" i="107"/>
  <c r="AAB8" i="51"/>
  <c r="J165" i="107"/>
  <c r="F48" i="84"/>
  <c r="AB48" i="84" s="1"/>
  <c r="N22" i="5"/>
  <c r="N19" i="5"/>
  <c r="N21" i="5"/>
  <c r="E187" i="107"/>
  <c r="E189" i="107" s="1"/>
  <c r="J166" i="107"/>
  <c r="AAT8" i="51"/>
  <c r="J55" i="5"/>
  <c r="ADG8" i="51"/>
  <c r="K199" i="113"/>
  <c r="AYB8" i="51"/>
  <c r="H64" i="115"/>
  <c r="AZM8" i="51" s="1"/>
  <c r="AZL8" i="51"/>
  <c r="F185" i="114"/>
  <c r="AZI8" i="51"/>
  <c r="F204" i="113"/>
  <c r="AYE8" i="51"/>
  <c r="K174" i="114"/>
  <c r="AYZ8" i="51"/>
  <c r="K199" i="100"/>
  <c r="AXC8" i="51"/>
  <c r="F204" i="100"/>
  <c r="AXG8" i="51"/>
  <c r="K305" i="115"/>
  <c r="BAU8" i="51"/>
  <c r="AYT8" i="51"/>
  <c r="X29" i="107"/>
  <c r="J105" i="77"/>
  <c r="G53" i="80"/>
  <c r="G140" i="80"/>
  <c r="G114" i="80"/>
  <c r="G81" i="80"/>
  <c r="G77" i="80"/>
  <c r="G93" i="80"/>
  <c r="G85" i="80"/>
  <c r="G12" i="80"/>
  <c r="G11" i="80"/>
  <c r="G138" i="80"/>
  <c r="G63" i="80"/>
  <c r="D20" i="77"/>
  <c r="G46" i="80"/>
  <c r="G61" i="80"/>
  <c r="G31" i="80"/>
  <c r="D19" i="107"/>
  <c r="G66" i="80"/>
  <c r="G42" i="80"/>
  <c r="G25" i="80"/>
  <c r="G97" i="80"/>
  <c r="G67" i="80"/>
  <c r="G71" i="80"/>
  <c r="G148" i="80"/>
  <c r="G91" i="80"/>
  <c r="G22" i="80"/>
  <c r="G86" i="80"/>
  <c r="G50" i="80"/>
  <c r="G96" i="80"/>
  <c r="G108" i="80"/>
  <c r="G68" i="80"/>
  <c r="G145" i="80"/>
  <c r="G17" i="80"/>
  <c r="G65" i="80"/>
  <c r="G82" i="80"/>
  <c r="G56" i="80"/>
  <c r="G158" i="101"/>
  <c r="E46" i="114"/>
  <c r="E47" i="114" s="1"/>
  <c r="AYK8" i="51" s="1"/>
  <c r="G112" i="80"/>
  <c r="G79" i="80"/>
  <c r="G44" i="80"/>
  <c r="K59" i="77"/>
  <c r="G128" i="102"/>
  <c r="G131" i="102" s="1"/>
  <c r="F181" i="114"/>
  <c r="G49" i="80"/>
  <c r="G76" i="80"/>
  <c r="G105" i="80"/>
  <c r="G57" i="80"/>
  <c r="G54" i="80"/>
  <c r="F109" i="83"/>
  <c r="G109" i="83" s="1"/>
  <c r="I109" i="83" s="1"/>
  <c r="J109" i="83" s="1"/>
  <c r="HA8" i="51" s="1"/>
  <c r="G107" i="80"/>
  <c r="G75" i="80"/>
  <c r="G80" i="80"/>
  <c r="J10" i="80"/>
  <c r="K8" i="8" s="1"/>
  <c r="AHR8" i="51" s="1"/>
  <c r="G78" i="80"/>
  <c r="G106" i="80"/>
  <c r="F68" i="114"/>
  <c r="G84" i="80"/>
  <c r="G60" i="80"/>
  <c r="G104" i="80"/>
  <c r="G141" i="80"/>
  <c r="G72" i="80"/>
  <c r="G64" i="80"/>
  <c r="G24" i="80"/>
  <c r="F149" i="16"/>
  <c r="EX8" i="51" s="1"/>
  <c r="G55" i="80"/>
  <c r="G41" i="80"/>
  <c r="R34" i="107"/>
  <c r="X27" i="107" s="1"/>
  <c r="M24" i="5"/>
  <c r="H18" i="5" s="1"/>
  <c r="ACN8" i="51" s="1"/>
  <c r="G144" i="80"/>
  <c r="G143" i="80"/>
  <c r="G142" i="80"/>
  <c r="P94" i="81"/>
  <c r="F17" i="8" s="1"/>
  <c r="G17" i="8" s="1"/>
  <c r="H17" i="8" s="1"/>
  <c r="G131" i="80"/>
  <c r="F110" i="83"/>
  <c r="G110" i="83" s="1"/>
  <c r="I110" i="83" s="1"/>
  <c r="G132" i="80"/>
  <c r="G121" i="80"/>
  <c r="G51" i="80"/>
  <c r="G95" i="80"/>
  <c r="G73" i="80"/>
  <c r="G52" i="80"/>
  <c r="G120" i="80"/>
  <c r="G113" i="80"/>
  <c r="G94" i="80"/>
  <c r="G26" i="80"/>
  <c r="G146" i="80"/>
  <c r="G74" i="80"/>
  <c r="G88" i="80"/>
  <c r="G45" i="80"/>
  <c r="G23" i="80"/>
  <c r="G92" i="80"/>
  <c r="G87" i="80"/>
  <c r="G48" i="80"/>
  <c r="G99" i="80"/>
  <c r="G18" i="80"/>
  <c r="G101" i="80"/>
  <c r="G100" i="80"/>
  <c r="G43" i="80"/>
  <c r="G47" i="80"/>
  <c r="G62" i="80"/>
  <c r="G13" i="80"/>
  <c r="G83" i="80"/>
  <c r="G115" i="80"/>
  <c r="D192" i="107"/>
  <c r="D134" i="77"/>
  <c r="G118" i="80"/>
  <c r="J76" i="96"/>
  <c r="G117" i="80"/>
  <c r="G98" i="80"/>
  <c r="G147" i="80"/>
  <c r="G116" i="80"/>
  <c r="G139" i="80"/>
  <c r="G122" i="80"/>
  <c r="G119" i="80"/>
  <c r="D23" i="114"/>
  <c r="D23" i="113"/>
  <c r="D23" i="100"/>
  <c r="D23" i="116"/>
  <c r="D23" i="115"/>
  <c r="F59" i="100"/>
  <c r="F60" i="100" s="1"/>
  <c r="F62" i="100" s="1"/>
  <c r="AWQ8" i="51" s="1"/>
  <c r="J262" i="115"/>
  <c r="J263" i="115" s="1"/>
  <c r="L45" i="77"/>
  <c r="L44" i="77"/>
  <c r="L43" i="77"/>
  <c r="K43" i="77"/>
  <c r="K44" i="77"/>
  <c r="K45" i="77"/>
  <c r="F48" i="77"/>
  <c r="E45" i="77"/>
  <c r="E48" i="77"/>
  <c r="F45" i="77"/>
  <c r="F47" i="77"/>
  <c r="E47" i="77"/>
  <c r="F46" i="77"/>
  <c r="G117" i="81"/>
  <c r="I294" i="100"/>
  <c r="I291" i="113"/>
  <c r="F123" i="80"/>
  <c r="E171" i="107"/>
  <c r="E170" i="107"/>
  <c r="H39" i="77"/>
  <c r="E120" i="77"/>
  <c r="F13" i="84"/>
  <c r="AB13" i="84" s="1"/>
  <c r="J167" i="107"/>
  <c r="F30" i="84"/>
  <c r="AB30" i="84" s="1"/>
  <c r="J107" i="77"/>
  <c r="F149" i="80"/>
  <c r="G35" i="8"/>
  <c r="H35" i="8" s="1"/>
  <c r="I35" i="8" s="1"/>
  <c r="J35" i="8" s="1"/>
  <c r="K35" i="8" s="1"/>
  <c r="L35" i="8" s="1"/>
  <c r="M35" i="8" s="1"/>
  <c r="N35" i="8" s="1"/>
  <c r="O35" i="8" s="1"/>
  <c r="P35" i="8" s="1"/>
  <c r="Q35" i="8" s="1"/>
  <c r="R35" i="8" s="1"/>
  <c r="S35" i="8" s="1"/>
  <c r="T35" i="8" s="1"/>
  <c r="U35" i="8" s="1"/>
  <c r="V35" i="8" s="1"/>
  <c r="W35" i="8" s="1"/>
  <c r="X35" i="8" s="1"/>
  <c r="Y35" i="8" s="1"/>
  <c r="Z35" i="8" s="1"/>
  <c r="AA35" i="8" s="1"/>
  <c r="AB35" i="8" s="1"/>
  <c r="AC35" i="8" s="1"/>
  <c r="AD35" i="8" s="1"/>
  <c r="AE35" i="8" s="1"/>
  <c r="AF35" i="8" s="1"/>
  <c r="AG35" i="8" s="1"/>
  <c r="AH35" i="8" s="1"/>
  <c r="AI35" i="8" s="1"/>
  <c r="E164" i="107"/>
  <c r="F164" i="107" s="1"/>
  <c r="G30" i="8"/>
  <c r="H30" i="8" s="1"/>
  <c r="I30" i="8" s="1"/>
  <c r="J30" i="8" s="1"/>
  <c r="K30" i="8" s="1"/>
  <c r="L30" i="8" s="1"/>
  <c r="M30" i="8" s="1"/>
  <c r="N30" i="8" s="1"/>
  <c r="O30" i="8" s="1"/>
  <c r="P30" i="8" s="1"/>
  <c r="Q30" i="8" s="1"/>
  <c r="R30" i="8" s="1"/>
  <c r="S30" i="8" s="1"/>
  <c r="T30" i="8" s="1"/>
  <c r="U30" i="8" s="1"/>
  <c r="V30" i="8" s="1"/>
  <c r="W30" i="8" s="1"/>
  <c r="X30" i="8" s="1"/>
  <c r="Y30" i="8" s="1"/>
  <c r="Z30" i="8" s="1"/>
  <c r="AA30" i="8" s="1"/>
  <c r="AB30" i="8" s="1"/>
  <c r="AC30" i="8" s="1"/>
  <c r="AD30" i="8" s="1"/>
  <c r="AE30" i="8" s="1"/>
  <c r="AF30" i="8" s="1"/>
  <c r="AG30" i="8" s="1"/>
  <c r="AH30" i="8" s="1"/>
  <c r="AI30" i="8" s="1"/>
  <c r="H72" i="16"/>
  <c r="G29" i="8"/>
  <c r="H29" i="8" s="1"/>
  <c r="I29" i="8" s="1"/>
  <c r="J29" i="8" s="1"/>
  <c r="K29" i="8" s="1"/>
  <c r="L29" i="8" s="1"/>
  <c r="M29" i="8" s="1"/>
  <c r="N29" i="8" s="1"/>
  <c r="O29" i="8" s="1"/>
  <c r="P29" i="8" s="1"/>
  <c r="Q29" i="8" s="1"/>
  <c r="R29" i="8" s="1"/>
  <c r="S29" i="8" s="1"/>
  <c r="T29" i="8" s="1"/>
  <c r="U29" i="8" s="1"/>
  <c r="V29" i="8" s="1"/>
  <c r="W29" i="8" s="1"/>
  <c r="X29" i="8" s="1"/>
  <c r="Y29" i="8" s="1"/>
  <c r="Z29" i="8" s="1"/>
  <c r="AA29" i="8" s="1"/>
  <c r="AB29" i="8" s="1"/>
  <c r="AC29" i="8" s="1"/>
  <c r="AD29" i="8" s="1"/>
  <c r="AE29" i="8" s="1"/>
  <c r="AF29" i="8" s="1"/>
  <c r="AG29" i="8" s="1"/>
  <c r="AH29" i="8" s="1"/>
  <c r="AI29" i="8" s="1"/>
  <c r="G19" i="80"/>
  <c r="E175" i="107"/>
  <c r="F20" i="8"/>
  <c r="F30" i="80"/>
  <c r="F519" i="95"/>
  <c r="F169" i="95"/>
  <c r="F185" i="95" s="1"/>
  <c r="J163" i="107"/>
  <c r="F40" i="95"/>
  <c r="F64" i="95"/>
  <c r="F80" i="95" s="1"/>
  <c r="F449" i="95"/>
  <c r="F729" i="95"/>
  <c r="F7" i="95"/>
  <c r="G7" i="95" s="1"/>
  <c r="H659" i="95" s="1"/>
  <c r="F484" i="95"/>
  <c r="F589" i="95"/>
  <c r="F624" i="95"/>
  <c r="F21" i="95"/>
  <c r="F659" i="95"/>
  <c r="F694" i="95"/>
  <c r="F554" i="95"/>
  <c r="F204" i="95"/>
  <c r="F274" i="95"/>
  <c r="F99" i="95"/>
  <c r="F239" i="95"/>
  <c r="F309" i="95"/>
  <c r="F379" i="95"/>
  <c r="F134" i="95"/>
  <c r="F344" i="95"/>
  <c r="I14" i="5"/>
  <c r="J162" i="107"/>
  <c r="C103" i="107"/>
  <c r="K168" i="107" s="1"/>
  <c r="K61" i="77"/>
  <c r="L171" i="107"/>
  <c r="K162" i="77"/>
  <c r="K163" i="77"/>
  <c r="K156" i="77"/>
  <c r="K164" i="77"/>
  <c r="K157" i="77"/>
  <c r="K165" i="77"/>
  <c r="K153" i="77"/>
  <c r="K158" i="77"/>
  <c r="K166" i="77"/>
  <c r="K160" i="77"/>
  <c r="K161" i="77"/>
  <c r="K151" i="77"/>
  <c r="K159" i="77"/>
  <c r="K167" i="77"/>
  <c r="K152" i="77"/>
  <c r="K168" i="77"/>
  <c r="K150" i="77"/>
  <c r="K154" i="77"/>
  <c r="K155" i="77"/>
  <c r="H60" i="5"/>
  <c r="H61" i="5" s="1"/>
  <c r="H62" i="5" s="1"/>
  <c r="H63" i="5" s="1"/>
  <c r="H64" i="5" s="1"/>
  <c r="H65" i="5" s="1"/>
  <c r="H66" i="5" s="1"/>
  <c r="H67" i="5" s="1"/>
  <c r="H68" i="5" s="1"/>
  <c r="H69" i="5" s="1"/>
  <c r="E163" i="77"/>
  <c r="E164" i="77"/>
  <c r="E165" i="77"/>
  <c r="E166" i="77"/>
  <c r="E167" i="77"/>
  <c r="E161" i="77"/>
  <c r="E160" i="77"/>
  <c r="E168" i="77"/>
  <c r="E162" i="77"/>
  <c r="G27" i="8"/>
  <c r="H27" i="8" s="1"/>
  <c r="E168" i="107"/>
  <c r="I100" i="107"/>
  <c r="J96" i="107" s="1"/>
  <c r="I40" i="109"/>
  <c r="I69" i="109"/>
  <c r="I54" i="109"/>
  <c r="AIV8" i="51" s="1"/>
  <c r="D17" i="107"/>
  <c r="E150" i="77"/>
  <c r="E151" i="77"/>
  <c r="F14" i="97"/>
  <c r="F50" i="84"/>
  <c r="AB50" i="84" s="1"/>
  <c r="F35" i="84"/>
  <c r="AB35" i="84" s="1"/>
  <c r="F24" i="84"/>
  <c r="AB24" i="84" s="1"/>
  <c r="I95" i="77"/>
  <c r="J91" i="77" s="1"/>
  <c r="C98" i="77"/>
  <c r="F60" i="84"/>
  <c r="AB60" i="84" s="1"/>
  <c r="F80" i="83"/>
  <c r="G227" i="101"/>
  <c r="E252" i="101" s="1"/>
  <c r="G207" i="102"/>
  <c r="H220" i="102" s="1"/>
  <c r="I251" i="101"/>
  <c r="G228" i="101"/>
  <c r="E253" i="101" s="1"/>
  <c r="I253" i="101"/>
  <c r="I222" i="102"/>
  <c r="G206" i="102"/>
  <c r="H219" i="102" s="1"/>
  <c r="I218" i="102"/>
  <c r="G225" i="101"/>
  <c r="E250" i="101" s="1"/>
  <c r="I250" i="101"/>
  <c r="G238" i="101"/>
  <c r="H252" i="101" s="1"/>
  <c r="E218" i="102"/>
  <c r="G226" i="101"/>
  <c r="E251" i="101" s="1"/>
  <c r="E219" i="102"/>
  <c r="G210" i="102"/>
  <c r="H223" i="102" s="1"/>
  <c r="G209" i="102"/>
  <c r="H222" i="102" s="1"/>
  <c r="I219" i="102"/>
  <c r="E221" i="102"/>
  <c r="F221" i="102"/>
  <c r="F254" i="101"/>
  <c r="F241" i="101"/>
  <c r="G241" i="101" s="1"/>
  <c r="H255" i="101" s="1"/>
  <c r="G240" i="101"/>
  <c r="H254" i="101" s="1"/>
  <c r="F253" i="101"/>
  <c r="F252" i="101"/>
  <c r="F251" i="101"/>
  <c r="G239" i="101"/>
  <c r="H253" i="101" s="1"/>
  <c r="F200" i="102"/>
  <c r="G200" i="102" s="1"/>
  <c r="E222" i="102"/>
  <c r="F222" i="102"/>
  <c r="F250" i="101"/>
  <c r="G236" i="101"/>
  <c r="H250" i="101" s="1"/>
  <c r="F218" i="102"/>
  <c r="F230" i="101"/>
  <c r="G230" i="101" s="1"/>
  <c r="E255" i="101" s="1"/>
  <c r="G229" i="101"/>
  <c r="E254" i="101" s="1"/>
  <c r="I252" i="101"/>
  <c r="F219" i="102"/>
  <c r="I254" i="101"/>
  <c r="G237" i="101"/>
  <c r="H251" i="101" s="1"/>
  <c r="I220" i="102"/>
  <c r="G208" i="102"/>
  <c r="H221" i="102" s="1"/>
  <c r="I221" i="102"/>
  <c r="G205" i="102"/>
  <c r="H218" i="102" s="1"/>
  <c r="F220" i="102"/>
  <c r="E220" i="102"/>
  <c r="I72" i="83"/>
  <c r="C68" i="101"/>
  <c r="G110" i="101"/>
  <c r="C116" i="101"/>
  <c r="J110" i="77"/>
  <c r="L114" i="77"/>
  <c r="J108" i="77"/>
  <c r="F18" i="84"/>
  <c r="AB18" i="84" s="1"/>
  <c r="J106" i="77"/>
  <c r="J109" i="77"/>
  <c r="G23" i="8"/>
  <c r="H22" i="8"/>
  <c r="E30" i="94"/>
  <c r="V23" i="95"/>
  <c r="AB23" i="95"/>
  <c r="W25" i="95"/>
  <c r="X25" i="95"/>
  <c r="V25" i="95"/>
  <c r="W23" i="95"/>
  <c r="X23" i="95"/>
  <c r="G115" i="81"/>
  <c r="O113" i="81"/>
  <c r="O115" i="81"/>
  <c r="O111" i="81"/>
  <c r="O114" i="81"/>
  <c r="O110" i="81"/>
  <c r="G114" i="81"/>
  <c r="F22" i="5"/>
  <c r="G113" i="81"/>
  <c r="G110" i="81"/>
  <c r="G118" i="81"/>
  <c r="G111" i="81"/>
  <c r="G116" i="81"/>
  <c r="G112" i="81"/>
  <c r="AA23" i="95"/>
  <c r="E25" i="95"/>
  <c r="E27" i="95" s="1"/>
  <c r="F22" i="95" s="1"/>
  <c r="F27" i="95" s="1"/>
  <c r="G22" i="95" s="1"/>
  <c r="Q23" i="95"/>
  <c r="I23" i="95"/>
  <c r="T25" i="95"/>
  <c r="K149" i="77"/>
  <c r="J56" i="5"/>
  <c r="AA10" i="84"/>
  <c r="AA89" i="84" s="1"/>
  <c r="K89" i="84"/>
  <c r="Y25" i="95"/>
  <c r="H39" i="95"/>
  <c r="N25" i="95"/>
  <c r="F23" i="95"/>
  <c r="Q25" i="95"/>
  <c r="S23" i="95"/>
  <c r="N23" i="95"/>
  <c r="U25" i="95"/>
  <c r="R25" i="95"/>
  <c r="J23" i="95"/>
  <c r="K25" i="95"/>
  <c r="L25" i="95"/>
  <c r="O25" i="95"/>
  <c r="T23" i="95"/>
  <c r="AA25" i="95"/>
  <c r="G23" i="95"/>
  <c r="E24" i="95"/>
  <c r="G25" i="95"/>
  <c r="P23" i="95"/>
  <c r="Y23" i="95"/>
  <c r="H25" i="95"/>
  <c r="S25" i="95"/>
  <c r="Z23" i="95"/>
  <c r="Z25" i="95"/>
  <c r="AC6" i="95"/>
  <c r="AB25" i="95"/>
  <c r="E154" i="77"/>
  <c r="E155" i="77"/>
  <c r="E159" i="77"/>
  <c r="E158" i="77"/>
  <c r="E169" i="77"/>
  <c r="E149" i="77"/>
  <c r="E157" i="77"/>
  <c r="E153" i="77"/>
  <c r="U23" i="95"/>
  <c r="H23" i="95"/>
  <c r="K23" i="95"/>
  <c r="O23" i="95"/>
  <c r="P25" i="95"/>
  <c r="R23" i="95"/>
  <c r="E152" i="77"/>
  <c r="E156" i="77"/>
  <c r="J25" i="95"/>
  <c r="I25" i="95"/>
  <c r="M23" i="95"/>
  <c r="L23" i="95"/>
  <c r="M25" i="95"/>
  <c r="F41" i="95"/>
  <c r="F43" i="95" s="1"/>
  <c r="F45" i="95" s="1"/>
  <c r="G43" i="8" s="1"/>
  <c r="I200" i="100" l="1"/>
  <c r="K200" i="100" s="1"/>
  <c r="I175" i="114"/>
  <c r="K175" i="114" s="1"/>
  <c r="I306" i="115"/>
  <c r="K306" i="115" s="1"/>
  <c r="I200" i="113"/>
  <c r="K200" i="113" s="1"/>
  <c r="E32" i="94"/>
  <c r="AHI8" i="51"/>
  <c r="G123" i="80"/>
  <c r="H108" i="80"/>
  <c r="H79" i="80"/>
  <c r="H41" i="80"/>
  <c r="H92" i="80"/>
  <c r="H61" i="80"/>
  <c r="H95" i="80"/>
  <c r="MW8" i="51"/>
  <c r="H99" i="80"/>
  <c r="H100" i="80"/>
  <c r="H42" i="80"/>
  <c r="H44" i="80"/>
  <c r="H46" i="80"/>
  <c r="H47" i="80"/>
  <c r="H49" i="80"/>
  <c r="H50" i="80"/>
  <c r="H51" i="80"/>
  <c r="H53" i="80"/>
  <c r="H105" i="80"/>
  <c r="H106" i="80"/>
  <c r="H57" i="80"/>
  <c r="H104" i="80"/>
  <c r="H80" i="80"/>
  <c r="H71" i="80"/>
  <c r="H93" i="80"/>
  <c r="H62" i="80"/>
  <c r="H63" i="80"/>
  <c r="H96" i="80"/>
  <c r="H97" i="80"/>
  <c r="H66" i="80"/>
  <c r="H60" i="80"/>
  <c r="H81" i="80"/>
  <c r="H83" i="80"/>
  <c r="H48" i="80"/>
  <c r="H74" i="80"/>
  <c r="H54" i="80"/>
  <c r="H55" i="80"/>
  <c r="H77" i="80"/>
  <c r="H78" i="80"/>
  <c r="H94" i="80"/>
  <c r="H64" i="80"/>
  <c r="H65" i="80"/>
  <c r="H98" i="80"/>
  <c r="H67" i="80"/>
  <c r="H101" i="80"/>
  <c r="H43" i="80"/>
  <c r="H82" i="80"/>
  <c r="H85" i="80"/>
  <c r="H86" i="80"/>
  <c r="H87" i="80"/>
  <c r="H73" i="80"/>
  <c r="H75" i="80"/>
  <c r="H52" i="80"/>
  <c r="H68" i="80"/>
  <c r="H91" i="80"/>
  <c r="H45" i="80"/>
  <c r="H84" i="80"/>
  <c r="H88" i="80"/>
  <c r="H72" i="80"/>
  <c r="H117" i="80"/>
  <c r="H76" i="80"/>
  <c r="H56" i="80"/>
  <c r="H107" i="80"/>
  <c r="F208" i="100"/>
  <c r="AXM8" i="51"/>
  <c r="F24" i="5"/>
  <c r="ACR8" i="51" s="1"/>
  <c r="ACP8" i="51"/>
  <c r="J11" i="80"/>
  <c r="K11" i="80" s="1"/>
  <c r="IZ8" i="51" s="1"/>
  <c r="F208" i="113"/>
  <c r="AYI8" i="51"/>
  <c r="AIX8" i="51"/>
  <c r="AIW8" i="51"/>
  <c r="K76" i="96"/>
  <c r="ZD8" i="51"/>
  <c r="H27" i="107"/>
  <c r="J12" i="80"/>
  <c r="K12" i="80" s="1"/>
  <c r="JB8" i="51" s="1"/>
  <c r="J13" i="80"/>
  <c r="K13" i="80" s="1"/>
  <c r="JD8" i="51" s="1"/>
  <c r="F15" i="97"/>
  <c r="AEZ8" i="51" s="1"/>
  <c r="AEY8" i="51"/>
  <c r="F69" i="114"/>
  <c r="F70" i="114" s="1"/>
  <c r="F75" i="114" s="1"/>
  <c r="AYM8" i="51" s="1"/>
  <c r="F79" i="84"/>
  <c r="AB79" i="84" s="1"/>
  <c r="F19" i="8"/>
  <c r="F10" i="80"/>
  <c r="F14" i="80" s="1"/>
  <c r="J110" i="83"/>
  <c r="HB8" i="51" s="1"/>
  <c r="G18" i="5"/>
  <c r="E133" i="77" s="1"/>
  <c r="E191" i="107"/>
  <c r="F191" i="107"/>
  <c r="F133" i="77"/>
  <c r="E50" i="100"/>
  <c r="E51" i="100" s="1"/>
  <c r="AWP8" i="51" s="1"/>
  <c r="E50" i="113"/>
  <c r="E51" i="113" s="1"/>
  <c r="AXO8" i="51" s="1"/>
  <c r="L46" i="77"/>
  <c r="C264" i="115"/>
  <c r="J265" i="115"/>
  <c r="J269" i="115" s="1"/>
  <c r="F175" i="107"/>
  <c r="H694" i="95"/>
  <c r="K46" i="77"/>
  <c r="F152" i="80"/>
  <c r="G152" i="80" s="1"/>
  <c r="G149" i="80"/>
  <c r="H118" i="80"/>
  <c r="H116" i="80"/>
  <c r="H119" i="80"/>
  <c r="H114" i="80"/>
  <c r="H112" i="80"/>
  <c r="H113" i="80"/>
  <c r="H115" i="80"/>
  <c r="E223" i="102"/>
  <c r="I184" i="102"/>
  <c r="I189" i="102"/>
  <c r="H120" i="80"/>
  <c r="H121" i="80"/>
  <c r="H309" i="95"/>
  <c r="H40" i="95"/>
  <c r="G99" i="95"/>
  <c r="H624" i="95"/>
  <c r="H554" i="95"/>
  <c r="H414" i="95"/>
  <c r="G21" i="95"/>
  <c r="G484" i="95"/>
  <c r="G624" i="95"/>
  <c r="G64" i="95"/>
  <c r="G80" i="95" s="1"/>
  <c r="H64" i="95"/>
  <c r="H80" i="95" s="1"/>
  <c r="G134" i="95"/>
  <c r="H99" i="95"/>
  <c r="G449" i="95"/>
  <c r="G40" i="95"/>
  <c r="H21" i="95"/>
  <c r="H519" i="95"/>
  <c r="H379" i="95"/>
  <c r="G274" i="95"/>
  <c r="H7" i="95"/>
  <c r="I729" i="95" s="1"/>
  <c r="H484" i="95"/>
  <c r="G204" i="95"/>
  <c r="G239" i="95"/>
  <c r="H344" i="95"/>
  <c r="H134" i="95"/>
  <c r="G729" i="95"/>
  <c r="H729" i="95"/>
  <c r="G554" i="95"/>
  <c r="G694" i="95"/>
  <c r="H589" i="95"/>
  <c r="E178" i="107"/>
  <c r="E106" i="77"/>
  <c r="F106" i="77" s="1"/>
  <c r="E163" i="107"/>
  <c r="F163" i="107" s="1"/>
  <c r="G20" i="8"/>
  <c r="F21" i="8"/>
  <c r="G37" i="8"/>
  <c r="G589" i="95"/>
  <c r="G309" i="95"/>
  <c r="H239" i="95"/>
  <c r="G379" i="95"/>
  <c r="H274" i="95"/>
  <c r="G659" i="95"/>
  <c r="H204" i="95"/>
  <c r="G169" i="95"/>
  <c r="G185" i="95" s="1"/>
  <c r="F171" i="107"/>
  <c r="F172" i="107"/>
  <c r="F169" i="107"/>
  <c r="F170" i="107"/>
  <c r="F176" i="107"/>
  <c r="F174" i="107"/>
  <c r="G519" i="95"/>
  <c r="H449" i="95"/>
  <c r="G344" i="95"/>
  <c r="H169" i="95"/>
  <c r="H185" i="95" s="1"/>
  <c r="G414" i="95"/>
  <c r="D96" i="107"/>
  <c r="K165" i="107"/>
  <c r="F37" i="8"/>
  <c r="F168" i="107"/>
  <c r="D97" i="107"/>
  <c r="D100" i="107"/>
  <c r="D101" i="107"/>
  <c r="D103" i="107"/>
  <c r="D94" i="107"/>
  <c r="D99" i="107"/>
  <c r="K162" i="107"/>
  <c r="K167" i="107"/>
  <c r="K164" i="107"/>
  <c r="K163" i="107"/>
  <c r="D102" i="107"/>
  <c r="D98" i="107"/>
  <c r="K166" i="107"/>
  <c r="K170" i="107"/>
  <c r="D95" i="107"/>
  <c r="J95" i="107"/>
  <c r="J94" i="107"/>
  <c r="J98" i="107"/>
  <c r="F83" i="109"/>
  <c r="AIY8" i="51" s="1"/>
  <c r="J97" i="107"/>
  <c r="K100" i="107"/>
  <c r="L100" i="107" s="1"/>
  <c r="J188" i="107" s="1"/>
  <c r="L98" i="107"/>
  <c r="L99" i="107"/>
  <c r="L97" i="107"/>
  <c r="L94" i="107"/>
  <c r="L96" i="107"/>
  <c r="L95" i="107"/>
  <c r="J99" i="107"/>
  <c r="G16" i="5"/>
  <c r="G17" i="5" s="1"/>
  <c r="G20" i="5" s="1"/>
  <c r="H16" i="5"/>
  <c r="K113" i="77"/>
  <c r="K106" i="77"/>
  <c r="D98" i="77"/>
  <c r="J90" i="77"/>
  <c r="L92" i="77"/>
  <c r="L94" i="77"/>
  <c r="K107" i="77"/>
  <c r="D92" i="77"/>
  <c r="D89" i="77"/>
  <c r="D97" i="77"/>
  <c r="K111" i="77"/>
  <c r="D96" i="77"/>
  <c r="D94" i="77"/>
  <c r="K108" i="77"/>
  <c r="D95" i="77"/>
  <c r="D93" i="77"/>
  <c r="D90" i="77"/>
  <c r="K110" i="77"/>
  <c r="D91" i="77"/>
  <c r="K109" i="77"/>
  <c r="L91" i="77"/>
  <c r="K105" i="77"/>
  <c r="J92" i="77"/>
  <c r="L90" i="77"/>
  <c r="K95" i="77"/>
  <c r="L95" i="77" s="1"/>
  <c r="J94" i="77"/>
  <c r="L89" i="77"/>
  <c r="J89" i="77"/>
  <c r="J93" i="77"/>
  <c r="L93" i="77"/>
  <c r="I223" i="102"/>
  <c r="F223" i="102"/>
  <c r="I255" i="101"/>
  <c r="F255" i="101"/>
  <c r="F46" i="95"/>
  <c r="G41" i="95" s="1"/>
  <c r="I22" i="8"/>
  <c r="H23" i="8"/>
  <c r="H37" i="8"/>
  <c r="I27" i="8"/>
  <c r="O116" i="81"/>
  <c r="G119" i="81"/>
  <c r="G121" i="81"/>
  <c r="II8" i="51" s="1"/>
  <c r="G19" i="8"/>
  <c r="I17" i="8"/>
  <c r="H19" i="8"/>
  <c r="E26" i="95"/>
  <c r="F24" i="95"/>
  <c r="F26" i="95" s="1"/>
  <c r="J57" i="5"/>
  <c r="J58" i="5" s="1"/>
  <c r="J59" i="5" s="1"/>
  <c r="J60" i="5" s="1"/>
  <c r="J61" i="5" s="1"/>
  <c r="J62" i="5" s="1"/>
  <c r="J63" i="5" s="1"/>
  <c r="J64" i="5" s="1"/>
  <c r="J65" i="5" s="1"/>
  <c r="J66" i="5" s="1"/>
  <c r="J67" i="5" s="1"/>
  <c r="J68" i="5" s="1"/>
  <c r="J69" i="5" s="1"/>
  <c r="F71" i="5" a="1"/>
  <c r="F71" i="5" s="1"/>
  <c r="I39" i="95"/>
  <c r="K169" i="77"/>
  <c r="AD6" i="95"/>
  <c r="AC25" i="95"/>
  <c r="AC23" i="95"/>
  <c r="G24" i="95"/>
  <c r="G26" i="95" s="1"/>
  <c r="G27" i="95"/>
  <c r="H22" i="95" s="1"/>
  <c r="G35" i="94" l="1"/>
  <c r="AHM8" i="51" s="1"/>
  <c r="AHK8" i="51"/>
  <c r="E46" i="77"/>
  <c r="BAK8" i="51"/>
  <c r="F130" i="80"/>
  <c r="JE8" i="51"/>
  <c r="K10" i="80"/>
  <c r="IW8" i="51"/>
  <c r="ABU8" i="51"/>
  <c r="L84" i="96"/>
  <c r="ACH8" i="51" s="1"/>
  <c r="D135" i="77"/>
  <c r="D136" i="77" s="1"/>
  <c r="D138" i="77" s="1"/>
  <c r="F26" i="5"/>
  <c r="F28" i="5" s="1"/>
  <c r="F31" i="5" s="1"/>
  <c r="F193" i="107"/>
  <c r="F24" i="8"/>
  <c r="F39" i="8" s="1"/>
  <c r="D193" i="107"/>
  <c r="D194" i="107" s="1"/>
  <c r="D196" i="107" s="1"/>
  <c r="E135" i="77"/>
  <c r="F135" i="77"/>
  <c r="E193" i="107"/>
  <c r="H17" i="5"/>
  <c r="H20" i="5" s="1"/>
  <c r="ACO8" i="51" s="1"/>
  <c r="ACM8" i="51"/>
  <c r="G10" i="80"/>
  <c r="F132" i="77"/>
  <c r="F190" i="107"/>
  <c r="E132" i="77"/>
  <c r="E190" i="107"/>
  <c r="F133" i="80"/>
  <c r="G133" i="80" s="1"/>
  <c r="G130" i="80"/>
  <c r="I7" i="95"/>
  <c r="J554" i="95" s="1"/>
  <c r="I659" i="95"/>
  <c r="I40" i="95"/>
  <c r="I99" i="95"/>
  <c r="I309" i="95"/>
  <c r="I21" i="95"/>
  <c r="I589" i="95"/>
  <c r="I169" i="95"/>
  <c r="I185" i="95" s="1"/>
  <c r="I449" i="95"/>
  <c r="I379" i="95"/>
  <c r="I134" i="95"/>
  <c r="I344" i="95"/>
  <c r="I554" i="95"/>
  <c r="I239" i="95"/>
  <c r="I694" i="95"/>
  <c r="I204" i="95"/>
  <c r="I274" i="95"/>
  <c r="I64" i="95"/>
  <c r="I80" i="95" s="1"/>
  <c r="I484" i="95"/>
  <c r="I519" i="95"/>
  <c r="I624" i="95"/>
  <c r="I414" i="95"/>
  <c r="H20" i="8"/>
  <c r="G21" i="8"/>
  <c r="G24" i="8" s="1"/>
  <c r="G47" i="8" s="1"/>
  <c r="F178" i="107"/>
  <c r="F37" i="102"/>
  <c r="G37" i="102" s="1"/>
  <c r="F34" i="101"/>
  <c r="J100" i="107"/>
  <c r="J589" i="95"/>
  <c r="J519" i="95"/>
  <c r="J169" i="95"/>
  <c r="J185" i="95" s="1"/>
  <c r="J414" i="95"/>
  <c r="J379" i="95"/>
  <c r="J694" i="95"/>
  <c r="J449" i="95"/>
  <c r="J484" i="95"/>
  <c r="J239" i="95"/>
  <c r="J134" i="95"/>
  <c r="J274" i="95"/>
  <c r="J204" i="95"/>
  <c r="J309" i="95"/>
  <c r="J344" i="95"/>
  <c r="J199" i="107"/>
  <c r="I17" i="5"/>
  <c r="J130" i="77"/>
  <c r="J142" i="77" s="1"/>
  <c r="J95" i="77"/>
  <c r="G46" i="95"/>
  <c r="H41" i="95" s="1"/>
  <c r="G43" i="95"/>
  <c r="G45" i="95" s="1"/>
  <c r="H43" i="8" s="1"/>
  <c r="J64" i="95"/>
  <c r="J80" i="95" s="1"/>
  <c r="J22" i="8"/>
  <c r="I23" i="8"/>
  <c r="J27" i="8"/>
  <c r="I37" i="8"/>
  <c r="G14" i="80"/>
  <c r="F29" i="80"/>
  <c r="E162" i="107" s="1"/>
  <c r="I19" i="8"/>
  <c r="J17" i="8"/>
  <c r="J21" i="95"/>
  <c r="G42" i="8"/>
  <c r="G50" i="8" s="1"/>
  <c r="F42" i="8"/>
  <c r="J39" i="95"/>
  <c r="AE6" i="95"/>
  <c r="AD25" i="95"/>
  <c r="AD23" i="95"/>
  <c r="H27" i="95"/>
  <c r="I22" i="95" s="1"/>
  <c r="H24" i="95"/>
  <c r="H26" i="95" s="1"/>
  <c r="H42" i="8"/>
  <c r="IX8" i="51" l="1"/>
  <c r="F134" i="80"/>
  <c r="G134" i="80" s="1"/>
  <c r="F33" i="80"/>
  <c r="F47" i="8"/>
  <c r="AHX8" i="51" s="1"/>
  <c r="J99" i="95"/>
  <c r="J129" i="77"/>
  <c r="F192" i="107"/>
  <c r="F194" i="107" s="1"/>
  <c r="F196" i="107" s="1"/>
  <c r="F134" i="77"/>
  <c r="F136" i="77" s="1"/>
  <c r="F138" i="77" s="1"/>
  <c r="E134" i="77"/>
  <c r="E136" i="77" s="1"/>
  <c r="E138" i="77" s="1"/>
  <c r="E192" i="107"/>
  <c r="E194" i="107" s="1"/>
  <c r="E196" i="107" s="1"/>
  <c r="D197" i="107" s="1"/>
  <c r="J7" i="95"/>
  <c r="K624" i="95" s="1"/>
  <c r="J624" i="95"/>
  <c r="J659" i="95"/>
  <c r="H50" i="8"/>
  <c r="J40" i="95"/>
  <c r="J729" i="95"/>
  <c r="H26" i="5"/>
  <c r="H28" i="5" s="1"/>
  <c r="H31" i="5" s="1"/>
  <c r="G26" i="5"/>
  <c r="G39" i="8"/>
  <c r="G55" i="8" s="1"/>
  <c r="F50" i="8"/>
  <c r="AHU8" i="51" s="1"/>
  <c r="J187" i="107"/>
  <c r="J189" i="107" s="1"/>
  <c r="J193" i="107" s="1"/>
  <c r="K187" i="107"/>
  <c r="K189" i="107" s="1"/>
  <c r="K193" i="107" s="1"/>
  <c r="H21" i="8"/>
  <c r="H24" i="8" s="1"/>
  <c r="I20" i="8"/>
  <c r="E8" i="95"/>
  <c r="E65" i="95" s="1"/>
  <c r="K484" i="95"/>
  <c r="K274" i="95"/>
  <c r="K729" i="95"/>
  <c r="K309" i="95"/>
  <c r="K659" i="95"/>
  <c r="K589" i="95"/>
  <c r="K519" i="95"/>
  <c r="K239" i="95"/>
  <c r="K134" i="95"/>
  <c r="K414" i="95"/>
  <c r="G34" i="101"/>
  <c r="F162" i="107"/>
  <c r="K99" i="95"/>
  <c r="H46" i="95"/>
  <c r="I41" i="95" s="1"/>
  <c r="H43" i="95"/>
  <c r="H45" i="95" s="1"/>
  <c r="I43" i="8" s="1"/>
  <c r="K64" i="95"/>
  <c r="K80" i="95" s="1"/>
  <c r="J23" i="8"/>
  <c r="K22" i="8"/>
  <c r="J37" i="8"/>
  <c r="K27" i="8"/>
  <c r="E105" i="77"/>
  <c r="G29" i="80"/>
  <c r="F32" i="80"/>
  <c r="K17" i="8"/>
  <c r="J19" i="8"/>
  <c r="F44" i="8"/>
  <c r="F55" i="8"/>
  <c r="K39" i="95"/>
  <c r="AF6" i="95"/>
  <c r="AE25" i="95"/>
  <c r="AE23" i="95"/>
  <c r="I42" i="8"/>
  <c r="I27" i="95"/>
  <c r="J22" i="95" s="1"/>
  <c r="I24" i="95"/>
  <c r="I26" i="95" s="1"/>
  <c r="J141" i="77" l="1"/>
  <c r="H30" i="80"/>
  <c r="H26" i="80"/>
  <c r="H19" i="80"/>
  <c r="H14" i="80"/>
  <c r="G33" i="80"/>
  <c r="E165" i="107"/>
  <c r="E108" i="77"/>
  <c r="F108" i="77" s="1"/>
  <c r="G28" i="5"/>
  <c r="ACS8" i="51"/>
  <c r="K344" i="95"/>
  <c r="K449" i="95"/>
  <c r="K694" i="95"/>
  <c r="K21" i="95"/>
  <c r="K379" i="95"/>
  <c r="K169" i="95"/>
  <c r="K185" i="95" s="1"/>
  <c r="K7" i="95"/>
  <c r="L729" i="95" s="1"/>
  <c r="K40" i="95"/>
  <c r="K554" i="95"/>
  <c r="K204" i="95"/>
  <c r="D139" i="77"/>
  <c r="J131" i="77"/>
  <c r="J135" i="77" s="1"/>
  <c r="J138" i="77" s="1"/>
  <c r="E79" i="95"/>
  <c r="E80" i="95" s="1"/>
  <c r="E81" i="95" s="1"/>
  <c r="F81" i="95" s="1"/>
  <c r="G81" i="95" s="1"/>
  <c r="H81" i="95" s="1"/>
  <c r="I81" i="95" s="1"/>
  <c r="J81" i="95" s="1"/>
  <c r="E68" i="95"/>
  <c r="I50" i="8"/>
  <c r="G44" i="8"/>
  <c r="F8" i="95"/>
  <c r="F65" i="95" s="1"/>
  <c r="F68" i="95" s="1"/>
  <c r="H47" i="8"/>
  <c r="H39" i="8"/>
  <c r="G8" i="95" s="1"/>
  <c r="G65" i="95" s="1"/>
  <c r="J195" i="107"/>
  <c r="J20" i="8"/>
  <c r="I21" i="8"/>
  <c r="I24" i="8" s="1"/>
  <c r="L554" i="95"/>
  <c r="L344" i="95"/>
  <c r="L659" i="95"/>
  <c r="L449" i="95"/>
  <c r="L694" i="95"/>
  <c r="L134" i="95"/>
  <c r="L274" i="95"/>
  <c r="L309" i="95"/>
  <c r="L519" i="95"/>
  <c r="L204" i="95"/>
  <c r="L589" i="95"/>
  <c r="J198" i="107"/>
  <c r="F34" i="5"/>
  <c r="ACV8" i="51" s="1"/>
  <c r="J73" i="96"/>
  <c r="F79" i="95"/>
  <c r="K81" i="95"/>
  <c r="L99" i="95"/>
  <c r="K77" i="96"/>
  <c r="I46" i="95"/>
  <c r="J41" i="95" s="1"/>
  <c r="I43" i="95"/>
  <c r="I45" i="95" s="1"/>
  <c r="J43" i="8" s="1"/>
  <c r="L64" i="95"/>
  <c r="L80" i="95" s="1"/>
  <c r="L81" i="95" s="1"/>
  <c r="L22" i="8"/>
  <c r="K23" i="8"/>
  <c r="K37" i="8"/>
  <c r="L27" i="8"/>
  <c r="H31" i="80"/>
  <c r="H25" i="80"/>
  <c r="H17" i="80"/>
  <c r="G32" i="80"/>
  <c r="H13" i="80"/>
  <c r="H23" i="80"/>
  <c r="H10" i="80"/>
  <c r="H32" i="80"/>
  <c r="H29" i="80"/>
  <c r="H24" i="80"/>
  <c r="H11" i="80"/>
  <c r="H22" i="80"/>
  <c r="H33" i="80"/>
  <c r="H18" i="80"/>
  <c r="H12" i="80"/>
  <c r="F34" i="80"/>
  <c r="D108" i="77"/>
  <c r="F105" i="77"/>
  <c r="E109" i="77"/>
  <c r="L17" i="8"/>
  <c r="K19" i="8"/>
  <c r="L39" i="95"/>
  <c r="AG6" i="95"/>
  <c r="AF23" i="95"/>
  <c r="AF25" i="95"/>
  <c r="J42" i="8"/>
  <c r="J24" i="95"/>
  <c r="J26" i="95" s="1"/>
  <c r="J27" i="95"/>
  <c r="K22" i="95" s="1"/>
  <c r="K73" i="96" l="1"/>
  <c r="ZA8" i="51"/>
  <c r="F165" i="107"/>
  <c r="D165" i="107"/>
  <c r="E166" i="107"/>
  <c r="F135" i="80"/>
  <c r="G135" i="80" s="1"/>
  <c r="JX8" i="51"/>
  <c r="G31" i="5"/>
  <c r="F32" i="5" s="1"/>
  <c r="ACT8" i="51"/>
  <c r="L379" i="95"/>
  <c r="L40" i="95"/>
  <c r="L169" i="95"/>
  <c r="L185" i="95" s="1"/>
  <c r="L239" i="95"/>
  <c r="L624" i="95"/>
  <c r="L414" i="95"/>
  <c r="L7" i="95"/>
  <c r="M99" i="95" s="1"/>
  <c r="L484" i="95"/>
  <c r="L21" i="95"/>
  <c r="D198" i="107"/>
  <c r="D140" i="77"/>
  <c r="G79" i="95"/>
  <c r="G68" i="95"/>
  <c r="H44" i="8"/>
  <c r="H55" i="8"/>
  <c r="F13" i="97"/>
  <c r="E122" i="77"/>
  <c r="F122" i="77" s="1"/>
  <c r="F118" i="77"/>
  <c r="F114" i="77"/>
  <c r="F111" i="77"/>
  <c r="F113" i="77"/>
  <c r="F119" i="77"/>
  <c r="F112" i="77"/>
  <c r="F120" i="77"/>
  <c r="F117" i="77"/>
  <c r="F116" i="77"/>
  <c r="F115" i="77"/>
  <c r="I47" i="8"/>
  <c r="I39" i="8"/>
  <c r="J50" i="8"/>
  <c r="F151" i="80"/>
  <c r="G151" i="80" s="1"/>
  <c r="F80" i="84"/>
  <c r="AB80" i="84" s="1"/>
  <c r="J169" i="107"/>
  <c r="J171" i="107" s="1"/>
  <c r="J21" i="8"/>
  <c r="J24" i="8" s="1"/>
  <c r="K20" i="8"/>
  <c r="M659" i="95"/>
  <c r="M624" i="95"/>
  <c r="M554" i="95"/>
  <c r="M204" i="95"/>
  <c r="M729" i="95"/>
  <c r="M169" i="95"/>
  <c r="M185" i="95" s="1"/>
  <c r="M519" i="95"/>
  <c r="M449" i="95"/>
  <c r="M309" i="95"/>
  <c r="M274" i="95"/>
  <c r="M344" i="95"/>
  <c r="M379" i="95"/>
  <c r="M694" i="95"/>
  <c r="M134" i="95"/>
  <c r="M484" i="95"/>
  <c r="M414" i="95"/>
  <c r="M239" i="95"/>
  <c r="M589" i="95"/>
  <c r="F48" i="5"/>
  <c r="ADD8" i="51" s="1"/>
  <c r="J84" i="96"/>
  <c r="ACF8" i="51" s="1"/>
  <c r="H34" i="80"/>
  <c r="F50" i="101"/>
  <c r="AJE8" i="51" s="1"/>
  <c r="F53" i="102"/>
  <c r="AKA8" i="51" s="1"/>
  <c r="J112" i="77"/>
  <c r="J114" i="77" s="1"/>
  <c r="J46" i="95"/>
  <c r="K41" i="95" s="1"/>
  <c r="J43" i="95"/>
  <c r="J45" i="95" s="1"/>
  <c r="K43" i="8" s="1"/>
  <c r="M64" i="95"/>
  <c r="M80" i="95" s="1"/>
  <c r="M81" i="95" s="1"/>
  <c r="M40" i="95"/>
  <c r="M21" i="95"/>
  <c r="M7" i="95"/>
  <c r="L23" i="8"/>
  <c r="M22" i="8"/>
  <c r="L37" i="8"/>
  <c r="M27" i="8"/>
  <c r="F109" i="77"/>
  <c r="G34" i="80"/>
  <c r="M17" i="8"/>
  <c r="L19" i="8"/>
  <c r="K84" i="96"/>
  <c r="M39" i="95"/>
  <c r="AH6" i="95"/>
  <c r="AG25" i="95"/>
  <c r="AG23" i="95"/>
  <c r="K24" i="95"/>
  <c r="K26" i="95" s="1"/>
  <c r="K27" i="95"/>
  <c r="L22" i="95" s="1"/>
  <c r="K42" i="8"/>
  <c r="F16" i="97" l="1"/>
  <c r="AFA8" i="51" s="1"/>
  <c r="AEX8" i="51"/>
  <c r="F76" i="84"/>
  <c r="AB76" i="84" s="1"/>
  <c r="ABR8" i="51"/>
  <c r="G59" i="3"/>
  <c r="ACG8" i="51"/>
  <c r="F166" i="107"/>
  <c r="E180" i="107"/>
  <c r="F180" i="107" s="1"/>
  <c r="D200" i="107"/>
  <c r="D142" i="77"/>
  <c r="D29" i="114"/>
  <c r="D30" i="114" s="1"/>
  <c r="D29" i="100"/>
  <c r="D30" i="100" s="1"/>
  <c r="D29" i="115"/>
  <c r="D30" i="115" s="1"/>
  <c r="D29" i="113"/>
  <c r="D30" i="113" s="1"/>
  <c r="K50" i="8"/>
  <c r="I55" i="8"/>
  <c r="H8" i="95"/>
  <c r="H65" i="95" s="1"/>
  <c r="I44" i="8"/>
  <c r="J47" i="8"/>
  <c r="J39" i="8"/>
  <c r="I8" i="95" s="1"/>
  <c r="I65" i="95" s="1"/>
  <c r="K169" i="107"/>
  <c r="F153" i="80"/>
  <c r="L20" i="8"/>
  <c r="K21" i="8"/>
  <c r="K24" i="8" s="1"/>
  <c r="N414" i="95"/>
  <c r="N344" i="95"/>
  <c r="N309" i="95"/>
  <c r="N484" i="95"/>
  <c r="N134" i="95"/>
  <c r="N379" i="95"/>
  <c r="N204" i="95"/>
  <c r="N239" i="95"/>
  <c r="N274" i="95"/>
  <c r="N659" i="95"/>
  <c r="N589" i="95"/>
  <c r="N554" i="95"/>
  <c r="N694" i="95"/>
  <c r="N449" i="95"/>
  <c r="N519" i="95"/>
  <c r="N729" i="95"/>
  <c r="N624" i="95"/>
  <c r="N169" i="95"/>
  <c r="N185" i="95" s="1"/>
  <c r="J177" i="107"/>
  <c r="L177" i="107" s="1"/>
  <c r="L172" i="107"/>
  <c r="K171" i="107"/>
  <c r="J176" i="107" s="1"/>
  <c r="L176" i="107" s="1"/>
  <c r="N99" i="95"/>
  <c r="F52" i="102"/>
  <c r="AJZ8" i="51" s="1"/>
  <c r="F49" i="101"/>
  <c r="AJD8" i="51" s="1"/>
  <c r="K112" i="77"/>
  <c r="J120" i="77"/>
  <c r="L120" i="77" s="1"/>
  <c r="L115" i="77"/>
  <c r="K114" i="77"/>
  <c r="J119" i="77" s="1"/>
  <c r="L119" i="77" s="1"/>
  <c r="K43" i="95"/>
  <c r="K45" i="95" s="1"/>
  <c r="L43" i="8" s="1"/>
  <c r="K46" i="95"/>
  <c r="L41" i="95" s="1"/>
  <c r="N64" i="95"/>
  <c r="N80" i="95" s="1"/>
  <c r="N81" i="95" s="1"/>
  <c r="N40" i="95"/>
  <c r="N21" i="95"/>
  <c r="N7" i="95"/>
  <c r="M23" i="8"/>
  <c r="N22" i="8"/>
  <c r="N27" i="8"/>
  <c r="M37" i="8"/>
  <c r="N17" i="8"/>
  <c r="M19" i="8"/>
  <c r="F88" i="84"/>
  <c r="N39" i="95"/>
  <c r="AH23" i="95"/>
  <c r="AH25" i="95"/>
  <c r="L42" i="8"/>
  <c r="L24" i="95"/>
  <c r="L26" i="95" s="1"/>
  <c r="L27" i="95"/>
  <c r="M22" i="95" s="1"/>
  <c r="G153" i="80" l="1"/>
  <c r="MX8" i="51"/>
  <c r="D31" i="100"/>
  <c r="D31" i="113"/>
  <c r="D31" i="115"/>
  <c r="D31" i="114"/>
  <c r="I79" i="95"/>
  <c r="I68" i="95"/>
  <c r="H79" i="95"/>
  <c r="H68" i="95"/>
  <c r="L50" i="8"/>
  <c r="J55" i="8"/>
  <c r="J44" i="8"/>
  <c r="K47" i="8"/>
  <c r="K39" i="8"/>
  <c r="J8" i="95" s="1"/>
  <c r="J65" i="95" s="1"/>
  <c r="M20" i="8"/>
  <c r="L21" i="8"/>
  <c r="L24" i="8" s="1"/>
  <c r="O239" i="95"/>
  <c r="O519" i="95"/>
  <c r="O484" i="95"/>
  <c r="O449" i="95"/>
  <c r="O134" i="95"/>
  <c r="O729" i="95"/>
  <c r="O624" i="95"/>
  <c r="O659" i="95"/>
  <c r="O589" i="95"/>
  <c r="O379" i="95"/>
  <c r="O309" i="95"/>
  <c r="O414" i="95"/>
  <c r="O344" i="95"/>
  <c r="O169" i="95"/>
  <c r="O185" i="95" s="1"/>
  <c r="O274" i="95"/>
  <c r="O204" i="95"/>
  <c r="O694" i="95"/>
  <c r="O554" i="95"/>
  <c r="F54" i="101"/>
  <c r="AJI8" i="51" s="1"/>
  <c r="F58" i="102"/>
  <c r="O99" i="95"/>
  <c r="L43" i="95"/>
  <c r="L45" i="95" s="1"/>
  <c r="M43" i="8" s="1"/>
  <c r="L46" i="95"/>
  <c r="M41" i="95" s="1"/>
  <c r="O64" i="95"/>
  <c r="O80" i="95" s="1"/>
  <c r="O81" i="95" s="1"/>
  <c r="O7" i="95"/>
  <c r="O21" i="95"/>
  <c r="O40" i="95"/>
  <c r="O22" i="8"/>
  <c r="N23" i="8"/>
  <c r="O27" i="8"/>
  <c r="N37" i="8"/>
  <c r="O17" i="8"/>
  <c r="N19" i="8"/>
  <c r="F89" i="84"/>
  <c r="AB89" i="84" s="1"/>
  <c r="AB88" i="84"/>
  <c r="O39" i="95"/>
  <c r="M24" i="95"/>
  <c r="M26" i="95" s="1"/>
  <c r="M27" i="95"/>
  <c r="N22" i="95" s="1"/>
  <c r="M42" i="8"/>
  <c r="F59" i="102" l="1"/>
  <c r="AKG8" i="51" s="1"/>
  <c r="AKF8" i="51"/>
  <c r="F55" i="101"/>
  <c r="F56" i="101"/>
  <c r="AJK8" i="51" s="1"/>
  <c r="J79" i="95"/>
  <c r="J68" i="95"/>
  <c r="K55" i="8"/>
  <c r="K44" i="8"/>
  <c r="L47" i="8"/>
  <c r="L39" i="8"/>
  <c r="K8" i="95" s="1"/>
  <c r="K65" i="95" s="1"/>
  <c r="M50" i="8"/>
  <c r="M21" i="8"/>
  <c r="M24" i="8" s="1"/>
  <c r="N20" i="8"/>
  <c r="P414" i="95"/>
  <c r="P344" i="95"/>
  <c r="P694" i="95"/>
  <c r="P379" i="95"/>
  <c r="P309" i="95"/>
  <c r="P134" i="95"/>
  <c r="P589" i="95"/>
  <c r="P519" i="95"/>
  <c r="P624" i="95"/>
  <c r="P729" i="95"/>
  <c r="P554" i="95"/>
  <c r="P239" i="95"/>
  <c r="P274" i="95"/>
  <c r="P204" i="95"/>
  <c r="P449" i="95"/>
  <c r="P169" i="95"/>
  <c r="P185" i="95" s="1"/>
  <c r="P659" i="95"/>
  <c r="P484" i="95"/>
  <c r="P99" i="95"/>
  <c r="M43" i="95"/>
  <c r="M45" i="95" s="1"/>
  <c r="N43" i="8" s="1"/>
  <c r="M46" i="95"/>
  <c r="N41" i="95" s="1"/>
  <c r="P40" i="95"/>
  <c r="P64" i="95"/>
  <c r="P80" i="95" s="1"/>
  <c r="P81" i="95" s="1"/>
  <c r="P21" i="95"/>
  <c r="P7" i="95"/>
  <c r="O23" i="8"/>
  <c r="P22" i="8"/>
  <c r="O37" i="8"/>
  <c r="P27" i="8"/>
  <c r="O19" i="8"/>
  <c r="P17" i="8"/>
  <c r="P39" i="95"/>
  <c r="N27" i="95"/>
  <c r="O22" i="95" s="1"/>
  <c r="N24" i="95"/>
  <c r="N26" i="95" s="1"/>
  <c r="N42" i="8"/>
  <c r="H63" i="101" l="1"/>
  <c r="AJJ8" i="51"/>
  <c r="E62" i="101"/>
  <c r="F62" i="101" s="1"/>
  <c r="D76" i="101" s="1"/>
  <c r="F76" i="101" s="1"/>
  <c r="H115" i="101"/>
  <c r="H66" i="101"/>
  <c r="H110" i="101"/>
  <c r="H62" i="101"/>
  <c r="H114" i="101"/>
  <c r="H113" i="101"/>
  <c r="H112" i="101"/>
  <c r="H111" i="101"/>
  <c r="H64" i="101"/>
  <c r="H67" i="101"/>
  <c r="H65" i="101"/>
  <c r="K79" i="95"/>
  <c r="K68" i="95"/>
  <c r="I62" i="101"/>
  <c r="L44" i="8"/>
  <c r="L55" i="8"/>
  <c r="M47" i="8"/>
  <c r="M39" i="8"/>
  <c r="M55" i="8" s="1"/>
  <c r="N50" i="8"/>
  <c r="O20" i="8"/>
  <c r="N21" i="8"/>
  <c r="N24" i="8" s="1"/>
  <c r="Q274" i="95"/>
  <c r="Q204" i="95"/>
  <c r="Q239" i="95"/>
  <c r="Q624" i="95"/>
  <c r="Q484" i="95"/>
  <c r="Q169" i="95"/>
  <c r="Q185" i="95" s="1"/>
  <c r="Q694" i="95"/>
  <c r="Q554" i="95"/>
  <c r="Q519" i="95"/>
  <c r="Q344" i="95"/>
  <c r="Q729" i="95"/>
  <c r="Q379" i="95"/>
  <c r="Q309" i="95"/>
  <c r="Q414" i="95"/>
  <c r="Q659" i="95"/>
  <c r="Q589" i="95"/>
  <c r="Q134" i="95"/>
  <c r="Q449" i="95"/>
  <c r="E63" i="101"/>
  <c r="E65" i="101"/>
  <c r="F65" i="101" s="1"/>
  <c r="E64" i="101"/>
  <c r="F64" i="101" s="1"/>
  <c r="D78" i="101" s="1"/>
  <c r="F78" i="101" s="1"/>
  <c r="F104" i="101"/>
  <c r="E66" i="101"/>
  <c r="F66" i="101" s="1"/>
  <c r="E67" i="101"/>
  <c r="F67" i="101" s="1"/>
  <c r="D81" i="101" s="1"/>
  <c r="F81" i="101" s="1"/>
  <c r="Q99" i="95"/>
  <c r="N43" i="95"/>
  <c r="N45" i="95" s="1"/>
  <c r="O43" i="8" s="1"/>
  <c r="N46" i="95"/>
  <c r="O41" i="95" s="1"/>
  <c r="Q40" i="95"/>
  <c r="Q7" i="95"/>
  <c r="Q64" i="95"/>
  <c r="Q80" i="95" s="1"/>
  <c r="Q81" i="95" s="1"/>
  <c r="Q21" i="95"/>
  <c r="P23" i="8"/>
  <c r="Q22" i="8"/>
  <c r="Q27" i="8"/>
  <c r="P37" i="8"/>
  <c r="P19" i="8"/>
  <c r="Q17" i="8"/>
  <c r="Q39" i="95"/>
  <c r="O42" i="8"/>
  <c r="O24" i="95"/>
  <c r="O26" i="95" s="1"/>
  <c r="O27" i="95"/>
  <c r="P22" i="95" s="1"/>
  <c r="E114" i="101" l="1"/>
  <c r="F114" i="101" s="1"/>
  <c r="AJQ8" i="51"/>
  <c r="I66" i="101"/>
  <c r="D80" i="101"/>
  <c r="F80" i="101" s="1"/>
  <c r="I65" i="101"/>
  <c r="D79" i="101"/>
  <c r="F79" i="101" s="1"/>
  <c r="I64" i="101"/>
  <c r="I67" i="101"/>
  <c r="D205" i="101"/>
  <c r="F63" i="101"/>
  <c r="D77" i="101" s="1"/>
  <c r="F77" i="101" s="1"/>
  <c r="D217" i="101"/>
  <c r="M44" i="8"/>
  <c r="L8" i="95"/>
  <c r="L65" i="95" s="1"/>
  <c r="N47" i="8"/>
  <c r="N39" i="8"/>
  <c r="M8" i="95" s="1"/>
  <c r="M65" i="95" s="1"/>
  <c r="O50" i="8"/>
  <c r="P20" i="8"/>
  <c r="O21" i="8"/>
  <c r="O24" i="8" s="1"/>
  <c r="R169" i="95"/>
  <c r="R185" i="95" s="1"/>
  <c r="R694" i="95"/>
  <c r="R554" i="95"/>
  <c r="R659" i="95"/>
  <c r="R379" i="95"/>
  <c r="R449" i="95"/>
  <c r="R624" i="95"/>
  <c r="R484" i="95"/>
  <c r="R239" i="95"/>
  <c r="R134" i="95"/>
  <c r="R309" i="95"/>
  <c r="R274" i="95"/>
  <c r="R204" i="95"/>
  <c r="R729" i="95"/>
  <c r="R344" i="95"/>
  <c r="R589" i="95"/>
  <c r="R414" i="95"/>
  <c r="R519" i="95"/>
  <c r="E111" i="101"/>
  <c r="F111" i="101" s="1"/>
  <c r="E113" i="101"/>
  <c r="F113" i="101" s="1"/>
  <c r="D170" i="101"/>
  <c r="F170" i="101" s="1"/>
  <c r="I114" i="101"/>
  <c r="D127" i="101"/>
  <c r="F127" i="101" s="1"/>
  <c r="E112" i="101"/>
  <c r="F112" i="101" s="1"/>
  <c r="E115" i="101"/>
  <c r="F115" i="101" s="1"/>
  <c r="E110" i="101"/>
  <c r="F110" i="101" s="1"/>
  <c r="R99" i="95"/>
  <c r="R64" i="95"/>
  <c r="R80" i="95" s="1"/>
  <c r="R81" i="95" s="1"/>
  <c r="O46" i="95"/>
  <c r="P41" i="95" s="1"/>
  <c r="O43" i="95"/>
  <c r="O45" i="95" s="1"/>
  <c r="P43" i="8" s="1"/>
  <c r="R7" i="95"/>
  <c r="R21" i="95"/>
  <c r="R40" i="95"/>
  <c r="R22" i="8"/>
  <c r="Q23" i="8"/>
  <c r="Q37" i="8"/>
  <c r="R27" i="8"/>
  <c r="Q19" i="8"/>
  <c r="R17" i="8"/>
  <c r="R39" i="95"/>
  <c r="P24" i="95"/>
  <c r="P26" i="95" s="1"/>
  <c r="P27" i="95"/>
  <c r="Q22" i="95" s="1"/>
  <c r="P42" i="8"/>
  <c r="M79" i="95" l="1"/>
  <c r="M68" i="95"/>
  <c r="L79" i="95"/>
  <c r="L68" i="95"/>
  <c r="P50" i="8"/>
  <c r="N55" i="8"/>
  <c r="N44" i="8"/>
  <c r="F82" i="101"/>
  <c r="F92" i="101" s="1"/>
  <c r="AJO8" i="51" s="1"/>
  <c r="I63" i="101"/>
  <c r="I68" i="101" s="1"/>
  <c r="I70" i="101" s="1"/>
  <c r="F91" i="101" s="1"/>
  <c r="AJN8" i="51" s="1"/>
  <c r="D254" i="101"/>
  <c r="D229" i="101"/>
  <c r="D203" i="101"/>
  <c r="D202" i="101"/>
  <c r="D201" i="101"/>
  <c r="D204" i="101"/>
  <c r="D206" i="101"/>
  <c r="D213" i="101"/>
  <c r="D218" i="101"/>
  <c r="D216" i="101"/>
  <c r="D214" i="101"/>
  <c r="D215" i="101"/>
  <c r="O47" i="8"/>
  <c r="O39" i="8"/>
  <c r="N8" i="95" s="1"/>
  <c r="N65" i="95" s="1"/>
  <c r="P21" i="8"/>
  <c r="P24" i="8" s="1"/>
  <c r="Q20" i="8"/>
  <c r="D167" i="101"/>
  <c r="F167" i="101" s="1"/>
  <c r="I113" i="101"/>
  <c r="D169" i="101"/>
  <c r="F169" i="101" s="1"/>
  <c r="I111" i="101"/>
  <c r="D126" i="101"/>
  <c r="F126" i="101" s="1"/>
  <c r="D124" i="101"/>
  <c r="F124" i="101" s="1"/>
  <c r="S729" i="95"/>
  <c r="S239" i="95"/>
  <c r="S309" i="95"/>
  <c r="S624" i="95"/>
  <c r="S379" i="95"/>
  <c r="S274" i="95"/>
  <c r="S554" i="95"/>
  <c r="S449" i="95"/>
  <c r="S694" i="95"/>
  <c r="S169" i="95"/>
  <c r="S185" i="95" s="1"/>
  <c r="S344" i="95"/>
  <c r="S484" i="95"/>
  <c r="S589" i="95"/>
  <c r="S519" i="95"/>
  <c r="S414" i="95"/>
  <c r="S659" i="95"/>
  <c r="S134" i="95"/>
  <c r="S204" i="95"/>
  <c r="I112" i="101"/>
  <c r="D125" i="101"/>
  <c r="F125" i="101" s="1"/>
  <c r="D166" i="101"/>
  <c r="F166" i="101" s="1"/>
  <c r="D171" i="101"/>
  <c r="F171" i="101" s="1"/>
  <c r="D123" i="101"/>
  <c r="F123" i="101" s="1"/>
  <c r="I110" i="101"/>
  <c r="D128" i="101"/>
  <c r="F128" i="101" s="1"/>
  <c r="D168" i="101"/>
  <c r="F168" i="101" s="1"/>
  <c r="I115" i="101"/>
  <c r="S21" i="95"/>
  <c r="S99" i="95"/>
  <c r="S7" i="95"/>
  <c r="T21" i="95" s="1"/>
  <c r="S64" i="95"/>
  <c r="S80" i="95" s="1"/>
  <c r="S81" i="95" s="1"/>
  <c r="S40" i="95"/>
  <c r="P46" i="95"/>
  <c r="Q41" i="95" s="1"/>
  <c r="P43" i="95"/>
  <c r="P45" i="95" s="1"/>
  <c r="Q43" i="8" s="1"/>
  <c r="S22" i="8"/>
  <c r="R23" i="8"/>
  <c r="R37" i="8"/>
  <c r="S27" i="8"/>
  <c r="S17" i="8"/>
  <c r="R19" i="8"/>
  <c r="S39" i="95"/>
  <c r="Q24" i="95"/>
  <c r="Q26" i="95" s="1"/>
  <c r="Q27" i="95"/>
  <c r="R22" i="95" s="1"/>
  <c r="Q42" i="8"/>
  <c r="N79" i="95" l="1"/>
  <c r="N68" i="95"/>
  <c r="F87" i="101"/>
  <c r="AJL8" i="51" s="1"/>
  <c r="O44" i="8"/>
  <c r="O55" i="8"/>
  <c r="Q50" i="8"/>
  <c r="D252" i="101"/>
  <c r="D227" i="101"/>
  <c r="D255" i="101"/>
  <c r="D230" i="101"/>
  <c r="D251" i="101"/>
  <c r="D226" i="101"/>
  <c r="D253" i="101"/>
  <c r="D228" i="101"/>
  <c r="D225" i="101"/>
  <c r="D250" i="101"/>
  <c r="D207" i="101"/>
  <c r="F93" i="101"/>
  <c r="AJP8" i="51" s="1"/>
  <c r="P47" i="8"/>
  <c r="P39" i="8"/>
  <c r="R20" i="8"/>
  <c r="Q21" i="8"/>
  <c r="Q24" i="8" s="1"/>
  <c r="D219" i="101"/>
  <c r="E205" i="101" s="1"/>
  <c r="I205" i="101" s="1"/>
  <c r="F172" i="101"/>
  <c r="G159" i="101" s="1"/>
  <c r="G161" i="101" s="1"/>
  <c r="I116" i="101"/>
  <c r="I118" i="101" s="1"/>
  <c r="F138" i="101" s="1"/>
  <c r="D172" i="101"/>
  <c r="T729" i="95"/>
  <c r="T169" i="95"/>
  <c r="T185" i="95" s="1"/>
  <c r="T484" i="95"/>
  <c r="T379" i="95"/>
  <c r="T414" i="95"/>
  <c r="T659" i="95"/>
  <c r="T624" i="95"/>
  <c r="T554" i="95"/>
  <c r="T344" i="95"/>
  <c r="T694" i="95"/>
  <c r="T134" i="95"/>
  <c r="T274" i="95"/>
  <c r="T204" i="95"/>
  <c r="T519" i="95"/>
  <c r="T589" i="95"/>
  <c r="T449" i="95"/>
  <c r="T309" i="95"/>
  <c r="T239" i="95"/>
  <c r="T7" i="95"/>
  <c r="U7" i="95" s="1"/>
  <c r="F129" i="101"/>
  <c r="F139" i="101" s="1"/>
  <c r="F134" i="101"/>
  <c r="AJS8" i="51" s="1"/>
  <c r="T99" i="95"/>
  <c r="T64" i="95"/>
  <c r="T80" i="95" s="1"/>
  <c r="T40" i="95"/>
  <c r="Q46" i="95"/>
  <c r="R41" i="95" s="1"/>
  <c r="Q43" i="95"/>
  <c r="Q45" i="95" s="1"/>
  <c r="R43" i="8" s="1"/>
  <c r="T22" i="8"/>
  <c r="S23" i="8"/>
  <c r="S37" i="8"/>
  <c r="T27" i="8"/>
  <c r="S19" i="8"/>
  <c r="T17" i="8"/>
  <c r="T39" i="95"/>
  <c r="R27" i="95"/>
  <c r="S22" i="95" s="1"/>
  <c r="R24" i="95"/>
  <c r="R26" i="95" s="1"/>
  <c r="R42" i="8"/>
  <c r="F102" i="101" l="1"/>
  <c r="U99" i="95"/>
  <c r="U64" i="95"/>
  <c r="U80" i="95" s="1"/>
  <c r="R50" i="8"/>
  <c r="E202" i="101"/>
  <c r="E201" i="101"/>
  <c r="I201" i="101" s="1"/>
  <c r="E203" i="101"/>
  <c r="I203" i="101" s="1"/>
  <c r="E207" i="101"/>
  <c r="E204" i="101"/>
  <c r="I204" i="101" s="1"/>
  <c r="E206" i="101"/>
  <c r="I206" i="101" s="1"/>
  <c r="E219" i="101"/>
  <c r="I219" i="101" s="1"/>
  <c r="E217" i="101"/>
  <c r="I217" i="101" s="1"/>
  <c r="E216" i="101"/>
  <c r="I216" i="101" s="1"/>
  <c r="E218" i="101"/>
  <c r="I218" i="101" s="1"/>
  <c r="E215" i="101"/>
  <c r="I215" i="101" s="1"/>
  <c r="E214" i="101"/>
  <c r="I214" i="101" s="1"/>
  <c r="E213" i="101"/>
  <c r="G93" i="101"/>
  <c r="F193" i="101"/>
  <c r="G193" i="101" s="1"/>
  <c r="O8" i="95"/>
  <c r="O65" i="95" s="1"/>
  <c r="P44" i="8"/>
  <c r="P55" i="8"/>
  <c r="Q47" i="8"/>
  <c r="Q39" i="8"/>
  <c r="Q55" i="8" s="1"/>
  <c r="S20" i="8"/>
  <c r="R21" i="8"/>
  <c r="R24" i="8" s="1"/>
  <c r="U40" i="95"/>
  <c r="F140" i="101"/>
  <c r="G140" i="101" s="1"/>
  <c r="G105" i="101"/>
  <c r="V379" i="95"/>
  <c r="V134" i="95"/>
  <c r="V204" i="95"/>
  <c r="V344" i="95"/>
  <c r="V239" i="95"/>
  <c r="V274" i="95"/>
  <c r="V659" i="95"/>
  <c r="V589" i="95"/>
  <c r="V554" i="95"/>
  <c r="V309" i="95"/>
  <c r="V449" i="95"/>
  <c r="V729" i="95"/>
  <c r="V519" i="95"/>
  <c r="V624" i="95"/>
  <c r="V694" i="95"/>
  <c r="V414" i="95"/>
  <c r="V169" i="95"/>
  <c r="V185" i="95" s="1"/>
  <c r="V484" i="95"/>
  <c r="U554" i="95"/>
  <c r="U204" i="95"/>
  <c r="U729" i="95"/>
  <c r="U169" i="95"/>
  <c r="U185" i="95" s="1"/>
  <c r="U519" i="95"/>
  <c r="U589" i="95"/>
  <c r="U449" i="95"/>
  <c r="U309" i="95"/>
  <c r="U274" i="95"/>
  <c r="U344" i="95"/>
  <c r="U379" i="95"/>
  <c r="U694" i="95"/>
  <c r="U134" i="95"/>
  <c r="U484" i="95"/>
  <c r="U414" i="95"/>
  <c r="U239" i="95"/>
  <c r="U624" i="95"/>
  <c r="U659" i="95"/>
  <c r="U21" i="95"/>
  <c r="V99" i="95"/>
  <c r="R46" i="95"/>
  <c r="S41" i="95" s="1"/>
  <c r="R43" i="95"/>
  <c r="R45" i="95" s="1"/>
  <c r="S43" i="8" s="1"/>
  <c r="V64" i="95"/>
  <c r="V80" i="95" s="1"/>
  <c r="T23" i="8"/>
  <c r="U22" i="8"/>
  <c r="T37" i="8"/>
  <c r="U27" i="8"/>
  <c r="T19" i="8"/>
  <c r="U17" i="8"/>
  <c r="U39" i="95"/>
  <c r="V21" i="95"/>
  <c r="V40" i="95"/>
  <c r="V7" i="95"/>
  <c r="S42" i="8"/>
  <c r="S27" i="95"/>
  <c r="T22" i="95" s="1"/>
  <c r="S24" i="95"/>
  <c r="S26" i="95" s="1"/>
  <c r="O79" i="95" l="1"/>
  <c r="O68" i="95"/>
  <c r="I213" i="101"/>
  <c r="F194" i="101"/>
  <c r="P8" i="95"/>
  <c r="P65" i="95" s="1"/>
  <c r="Q44" i="8"/>
  <c r="R47" i="8"/>
  <c r="R39" i="8"/>
  <c r="R55" i="8" s="1"/>
  <c r="S50" i="8"/>
  <c r="T20" i="8"/>
  <c r="S21" i="8"/>
  <c r="S24" i="8" s="1"/>
  <c r="W449" i="95"/>
  <c r="W134" i="95"/>
  <c r="W729" i="95"/>
  <c r="W519" i="95"/>
  <c r="W659" i="95"/>
  <c r="W589" i="95"/>
  <c r="W379" i="95"/>
  <c r="W309" i="95"/>
  <c r="W414" i="95"/>
  <c r="W344" i="95"/>
  <c r="W484" i="95"/>
  <c r="W169" i="95"/>
  <c r="W185" i="95" s="1"/>
  <c r="W274" i="95"/>
  <c r="W204" i="95"/>
  <c r="W694" i="95"/>
  <c r="W554" i="95"/>
  <c r="W624" i="95"/>
  <c r="W239" i="95"/>
  <c r="W99" i="95"/>
  <c r="S43" i="95"/>
  <c r="S45" i="95" s="1"/>
  <c r="T43" i="8" s="1"/>
  <c r="S46" i="95"/>
  <c r="T41" i="95" s="1"/>
  <c r="W64" i="95"/>
  <c r="W80" i="95" s="1"/>
  <c r="V22" i="8"/>
  <c r="U23" i="8"/>
  <c r="V27" i="8"/>
  <c r="U37" i="8"/>
  <c r="V17" i="8"/>
  <c r="U19" i="8"/>
  <c r="V39" i="95"/>
  <c r="W7" i="95"/>
  <c r="W40" i="95"/>
  <c r="W21" i="95"/>
  <c r="T24" i="95"/>
  <c r="T26" i="95" s="1"/>
  <c r="T27" i="95"/>
  <c r="U22" i="95" s="1"/>
  <c r="T42" i="8"/>
  <c r="C210" i="101" l="1"/>
  <c r="AJU8" i="51"/>
  <c r="P79" i="95"/>
  <c r="P68" i="95"/>
  <c r="Q8" i="95"/>
  <c r="Q65" i="95" s="1"/>
  <c r="R44" i="8"/>
  <c r="F216" i="101"/>
  <c r="F218" i="101"/>
  <c r="F214" i="101"/>
  <c r="F213" i="101"/>
  <c r="F215" i="101"/>
  <c r="F217" i="101"/>
  <c r="F195" i="101"/>
  <c r="AJV8" i="51" s="1"/>
  <c r="G194" i="101"/>
  <c r="T50" i="8"/>
  <c r="AHV8" i="51" s="1"/>
  <c r="S47" i="8"/>
  <c r="S39" i="8"/>
  <c r="R8" i="95" s="1"/>
  <c r="R65" i="95" s="1"/>
  <c r="T21" i="8"/>
  <c r="T24" i="8" s="1"/>
  <c r="U20" i="8"/>
  <c r="X379" i="95"/>
  <c r="X309" i="95"/>
  <c r="X134" i="95"/>
  <c r="X344" i="95"/>
  <c r="X519" i="95"/>
  <c r="X624" i="95"/>
  <c r="X729" i="95"/>
  <c r="X239" i="95"/>
  <c r="X274" i="95"/>
  <c r="X204" i="95"/>
  <c r="X449" i="95"/>
  <c r="X414" i="95"/>
  <c r="X169" i="95"/>
  <c r="X185" i="95" s="1"/>
  <c r="X484" i="95"/>
  <c r="X659" i="95"/>
  <c r="X589" i="95"/>
  <c r="X694" i="95"/>
  <c r="X554" i="95"/>
  <c r="X99" i="95"/>
  <c r="T43" i="95"/>
  <c r="T45" i="95" s="1"/>
  <c r="U43" i="8" s="1"/>
  <c r="T46" i="95"/>
  <c r="U41" i="95" s="1"/>
  <c r="X64" i="95"/>
  <c r="X80" i="95" s="1"/>
  <c r="W22" i="8"/>
  <c r="V23" i="8"/>
  <c r="W27" i="8"/>
  <c r="V37" i="8"/>
  <c r="W17" i="8"/>
  <c r="V19" i="8"/>
  <c r="W39" i="95"/>
  <c r="X21" i="95"/>
  <c r="X7" i="95"/>
  <c r="X40" i="95"/>
  <c r="U24" i="95"/>
  <c r="U26" i="95" s="1"/>
  <c r="U27" i="95"/>
  <c r="U42" i="8"/>
  <c r="E52" i="8" l="1"/>
  <c r="AHW8" i="51" s="1"/>
  <c r="H202" i="101"/>
  <c r="I202" i="101" s="1"/>
  <c r="H207" i="101"/>
  <c r="I207" i="101" s="1"/>
  <c r="Q79" i="95"/>
  <c r="Q68" i="95"/>
  <c r="R79" i="95"/>
  <c r="R68" i="95"/>
  <c r="C198" i="101"/>
  <c r="F202" i="101"/>
  <c r="F203" i="101"/>
  <c r="F205" i="101"/>
  <c r="F206" i="101"/>
  <c r="F204" i="101"/>
  <c r="F201" i="101"/>
  <c r="G195" i="101"/>
  <c r="F219" i="101"/>
  <c r="G220" i="101" s="1"/>
  <c r="S55" i="8"/>
  <c r="S44" i="8"/>
  <c r="T47" i="8"/>
  <c r="AHY8" i="51" s="1"/>
  <c r="T39" i="8"/>
  <c r="K129" i="77" s="1"/>
  <c r="K131" i="77" s="1"/>
  <c r="K135" i="77" s="1"/>
  <c r="J137" i="77" s="1"/>
  <c r="U50" i="8"/>
  <c r="U21" i="8"/>
  <c r="U24" i="8" s="1"/>
  <c r="V20" i="8"/>
  <c r="Y239" i="95"/>
  <c r="Y624" i="95"/>
  <c r="Y449" i="95"/>
  <c r="Y169" i="95"/>
  <c r="Y185" i="95" s="1"/>
  <c r="Y204" i="95"/>
  <c r="Y694" i="95"/>
  <c r="Y554" i="95"/>
  <c r="Y519" i="95"/>
  <c r="Y379" i="95"/>
  <c r="Y309" i="95"/>
  <c r="Y274" i="95"/>
  <c r="Y659" i="95"/>
  <c r="Y589" i="95"/>
  <c r="Y414" i="95"/>
  <c r="Y134" i="95"/>
  <c r="Y344" i="95"/>
  <c r="Y729" i="95"/>
  <c r="Y484" i="95"/>
  <c r="K198" i="107"/>
  <c r="Y99" i="95"/>
  <c r="U43" i="95"/>
  <c r="U45" i="95" s="1"/>
  <c r="V43" i="8" s="1"/>
  <c r="U46" i="95"/>
  <c r="V41" i="95" s="1"/>
  <c r="Y64" i="95"/>
  <c r="Y80" i="95" s="1"/>
  <c r="E51" i="8"/>
  <c r="X22" i="8"/>
  <c r="W23" i="8"/>
  <c r="V22" i="95"/>
  <c r="W37" i="8"/>
  <c r="X27" i="8"/>
  <c r="W19" i="8"/>
  <c r="X17" i="8"/>
  <c r="X39" i="95"/>
  <c r="Y21" i="95"/>
  <c r="Y7" i="95"/>
  <c r="Y40" i="95"/>
  <c r="V42" i="8"/>
  <c r="E49" i="8" l="1"/>
  <c r="AHZ8" i="51" s="1"/>
  <c r="K141" i="77"/>
  <c r="F207" i="101"/>
  <c r="G208" i="101" s="1"/>
  <c r="E48" i="8"/>
  <c r="U47" i="8"/>
  <c r="U39" i="8"/>
  <c r="T8" i="95" s="1"/>
  <c r="T65" i="95" s="1"/>
  <c r="T68" i="95" s="1"/>
  <c r="S8" i="95"/>
  <c r="S65" i="95" s="1"/>
  <c r="T55" i="8"/>
  <c r="T44" i="8"/>
  <c r="V50" i="8"/>
  <c r="V21" i="8"/>
  <c r="V24" i="8" s="1"/>
  <c r="W20" i="8"/>
  <c r="Z694" i="95"/>
  <c r="Z554" i="95"/>
  <c r="Z379" i="95"/>
  <c r="Z449" i="95"/>
  <c r="Z169" i="95"/>
  <c r="Z185" i="95" s="1"/>
  <c r="Z624" i="95"/>
  <c r="Z484" i="95"/>
  <c r="Z239" i="95"/>
  <c r="Z309" i="95"/>
  <c r="Z134" i="95"/>
  <c r="Z274" i="95"/>
  <c r="Z204" i="95"/>
  <c r="Z729" i="95"/>
  <c r="Z344" i="95"/>
  <c r="Z414" i="95"/>
  <c r="Z659" i="95"/>
  <c r="Z589" i="95"/>
  <c r="Z519" i="95"/>
  <c r="Z99" i="95"/>
  <c r="V43" i="95"/>
  <c r="V45" i="95" s="1"/>
  <c r="V46" i="95"/>
  <c r="W41" i="95" s="1"/>
  <c r="W43" i="8"/>
  <c r="Z64" i="95"/>
  <c r="Z80" i="95" s="1"/>
  <c r="X23" i="8"/>
  <c r="Y22" i="8"/>
  <c r="V27" i="95"/>
  <c r="W22" i="95" s="1"/>
  <c r="V24" i="95"/>
  <c r="V26" i="95" s="1"/>
  <c r="W42" i="8" s="1"/>
  <c r="X37" i="8"/>
  <c r="Y27" i="8"/>
  <c r="X19" i="8"/>
  <c r="Y17" i="8"/>
  <c r="Y39" i="95"/>
  <c r="Z40" i="95"/>
  <c r="Z7" i="95"/>
  <c r="Z21" i="95"/>
  <c r="S79" i="95" l="1"/>
  <c r="S68" i="95"/>
  <c r="U55" i="8"/>
  <c r="V47" i="8"/>
  <c r="V39" i="8"/>
  <c r="U8" i="95" s="1"/>
  <c r="U65" i="95" s="1"/>
  <c r="U68" i="95" s="1"/>
  <c r="U44" i="8"/>
  <c r="W50" i="8"/>
  <c r="W21" i="8"/>
  <c r="W24" i="8" s="1"/>
  <c r="X20" i="8"/>
  <c r="AA624" i="95"/>
  <c r="AA379" i="95"/>
  <c r="AA554" i="95"/>
  <c r="AA449" i="95"/>
  <c r="AA694" i="95"/>
  <c r="AA169" i="95"/>
  <c r="AA185" i="95" s="1"/>
  <c r="AA344" i="95"/>
  <c r="AA589" i="95"/>
  <c r="AA519" i="95"/>
  <c r="AA729" i="95"/>
  <c r="AA414" i="95"/>
  <c r="AA659" i="95"/>
  <c r="AA134" i="95"/>
  <c r="AA204" i="95"/>
  <c r="AA239" i="95"/>
  <c r="AA484" i="95"/>
  <c r="AA274" i="95"/>
  <c r="AA309" i="95"/>
  <c r="AA99" i="95"/>
  <c r="W46" i="95"/>
  <c r="X41" i="95" s="1"/>
  <c r="W43" i="95"/>
  <c r="W45" i="95" s="1"/>
  <c r="X43" i="8"/>
  <c r="AA64" i="95"/>
  <c r="AA80" i="95" s="1"/>
  <c r="Z22" i="8"/>
  <c r="Y23" i="8"/>
  <c r="W27" i="95"/>
  <c r="X22" i="95" s="1"/>
  <c r="W24" i="95"/>
  <c r="W26" i="95" s="1"/>
  <c r="X42" i="8" s="1"/>
  <c r="Z27" i="8"/>
  <c r="Y37" i="8"/>
  <c r="Y19" i="8"/>
  <c r="Z17" i="8"/>
  <c r="Z39" i="95"/>
  <c r="AA7" i="95"/>
  <c r="AA21" i="95"/>
  <c r="AA40" i="95"/>
  <c r="V44" i="8" l="1"/>
  <c r="V55" i="8"/>
  <c r="X50" i="8"/>
  <c r="W47" i="8"/>
  <c r="W39" i="8"/>
  <c r="V8" i="95" s="1"/>
  <c r="V65" i="95" s="1"/>
  <c r="V68" i="95" s="1"/>
  <c r="X21" i="8"/>
  <c r="X24" i="8" s="1"/>
  <c r="Y20" i="8"/>
  <c r="AB414" i="95"/>
  <c r="AB624" i="95"/>
  <c r="AB169" i="95"/>
  <c r="AB185" i="95" s="1"/>
  <c r="AB694" i="95"/>
  <c r="AB134" i="95"/>
  <c r="AB484" i="95"/>
  <c r="AB274" i="95"/>
  <c r="AB519" i="95"/>
  <c r="AB589" i="95"/>
  <c r="AB449" i="95"/>
  <c r="AB309" i="95"/>
  <c r="AB239" i="95"/>
  <c r="AB729" i="95"/>
  <c r="AB554" i="95"/>
  <c r="AB344" i="95"/>
  <c r="AB659" i="95"/>
  <c r="AB204" i="95"/>
  <c r="AB379" i="95"/>
  <c r="AB99" i="95"/>
  <c r="X46" i="95"/>
  <c r="Y41" i="95" s="1"/>
  <c r="X43" i="95"/>
  <c r="X45" i="95" s="1"/>
  <c r="Y43" i="8" s="1"/>
  <c r="AB64" i="95"/>
  <c r="AB80" i="95" s="1"/>
  <c r="AA22" i="8"/>
  <c r="Z23" i="8"/>
  <c r="X24" i="95"/>
  <c r="X26" i="95" s="1"/>
  <c r="Y42" i="8" s="1"/>
  <c r="X27" i="95"/>
  <c r="Y22" i="95" s="1"/>
  <c r="AA27" i="8"/>
  <c r="Z37" i="8"/>
  <c r="AA17" i="8"/>
  <c r="Z19" i="8"/>
  <c r="AA39" i="95"/>
  <c r="AB21" i="95"/>
  <c r="AB40" i="95"/>
  <c r="AB7" i="95"/>
  <c r="W55" i="8" l="1"/>
  <c r="W44" i="8"/>
  <c r="Y50" i="8"/>
  <c r="X47" i="8"/>
  <c r="X39" i="8"/>
  <c r="X44" i="8" s="1"/>
  <c r="Y21" i="8"/>
  <c r="Y24" i="8" s="1"/>
  <c r="Z20" i="8"/>
  <c r="AC204" i="95"/>
  <c r="AC729" i="95"/>
  <c r="AC169" i="95"/>
  <c r="AC185" i="95" s="1"/>
  <c r="AC589" i="95"/>
  <c r="AC624" i="95"/>
  <c r="AC519" i="95"/>
  <c r="AC449" i="95"/>
  <c r="AC309" i="95"/>
  <c r="AC274" i="95"/>
  <c r="AC554" i="95"/>
  <c r="AC344" i="95"/>
  <c r="AC379" i="95"/>
  <c r="AC694" i="95"/>
  <c r="AC134" i="95"/>
  <c r="AC484" i="95"/>
  <c r="AC414" i="95"/>
  <c r="AC239" i="95"/>
  <c r="AC659" i="95"/>
  <c r="AC99" i="95"/>
  <c r="Y46" i="95"/>
  <c r="Z41" i="95" s="1"/>
  <c r="Y43" i="95"/>
  <c r="Y45" i="95" s="1"/>
  <c r="Z43" i="8" s="1"/>
  <c r="AC64" i="95"/>
  <c r="AC80" i="95" s="1"/>
  <c r="AB22" i="8"/>
  <c r="AA23" i="8"/>
  <c r="Y27" i="95"/>
  <c r="Z22" i="95" s="1"/>
  <c r="Y24" i="95"/>
  <c r="Y26" i="95" s="1"/>
  <c r="Z42" i="8" s="1"/>
  <c r="AA37" i="8"/>
  <c r="AB27" i="8"/>
  <c r="AB17" i="8"/>
  <c r="AA19" i="8"/>
  <c r="AB39" i="95"/>
  <c r="AC7" i="95"/>
  <c r="AC40" i="95"/>
  <c r="AC21" i="95"/>
  <c r="X55" i="8" l="1"/>
  <c r="W8" i="95"/>
  <c r="W65" i="95" s="1"/>
  <c r="W68" i="95" s="1"/>
  <c r="Z50" i="8"/>
  <c r="Y47" i="8"/>
  <c r="Y39" i="8"/>
  <c r="Z21" i="8"/>
  <c r="Z24" i="8" s="1"/>
  <c r="AA20" i="8"/>
  <c r="AD694" i="95"/>
  <c r="AD239" i="95"/>
  <c r="AD729" i="95"/>
  <c r="AD274" i="95"/>
  <c r="AD659" i="95"/>
  <c r="AD589" i="95"/>
  <c r="AD554" i="95"/>
  <c r="AD204" i="95"/>
  <c r="AD169" i="95"/>
  <c r="AD185" i="95" s="1"/>
  <c r="AD449" i="95"/>
  <c r="AD519" i="95"/>
  <c r="AD624" i="95"/>
  <c r="AD379" i="95"/>
  <c r="AD414" i="95"/>
  <c r="AD344" i="95"/>
  <c r="AD309" i="95"/>
  <c r="AD484" i="95"/>
  <c r="AD134" i="95"/>
  <c r="AD99" i="95"/>
  <c r="Z46" i="95"/>
  <c r="AA41" i="95" s="1"/>
  <c r="Z43" i="95"/>
  <c r="Z45" i="95" s="1"/>
  <c r="AA43" i="8" s="1"/>
  <c r="AD64" i="95"/>
  <c r="AD80" i="95" s="1"/>
  <c r="AB23" i="8"/>
  <c r="AC22" i="8"/>
  <c r="Z24" i="95"/>
  <c r="Z26" i="95" s="1"/>
  <c r="AA42" i="8" s="1"/>
  <c r="Z27" i="95"/>
  <c r="AA22" i="95" s="1"/>
  <c r="AB37" i="8"/>
  <c r="AC27" i="8"/>
  <c r="AB19" i="8"/>
  <c r="AC17" i="8"/>
  <c r="AC39" i="95"/>
  <c r="AD21" i="95"/>
  <c r="AD40" i="95"/>
  <c r="AD7" i="95"/>
  <c r="Z47" i="8" l="1"/>
  <c r="Z39" i="8"/>
  <c r="Z44" i="8" s="1"/>
  <c r="AA50" i="8"/>
  <c r="AA21" i="8"/>
  <c r="AB20" i="8"/>
  <c r="AA24" i="8"/>
  <c r="Y44" i="8"/>
  <c r="Y55" i="8"/>
  <c r="X8" i="95"/>
  <c r="X65" i="95" s="1"/>
  <c r="X68" i="95" s="1"/>
  <c r="AE484" i="95"/>
  <c r="AE729" i="95"/>
  <c r="AE449" i="95"/>
  <c r="AE659" i="95"/>
  <c r="AE589" i="95"/>
  <c r="AE379" i="95"/>
  <c r="AE309" i="95"/>
  <c r="AE519" i="95"/>
  <c r="AE414" i="95"/>
  <c r="AE344" i="95"/>
  <c r="AE169" i="95"/>
  <c r="AE185" i="95" s="1"/>
  <c r="AE274" i="95"/>
  <c r="AE204" i="95"/>
  <c r="AE694" i="95"/>
  <c r="AE554" i="95"/>
  <c r="AE624" i="95"/>
  <c r="AE134" i="95"/>
  <c r="AE239" i="95"/>
  <c r="AE99" i="95"/>
  <c r="AA43" i="95"/>
  <c r="AA45" i="95" s="1"/>
  <c r="AA46" i="95"/>
  <c r="AB41" i="95" s="1"/>
  <c r="AB43" i="8"/>
  <c r="AE64" i="95"/>
  <c r="AE80" i="95" s="1"/>
  <c r="AD22" i="8"/>
  <c r="AC23" i="8"/>
  <c r="AA24" i="95"/>
  <c r="AA26" i="95" s="1"/>
  <c r="AB42" i="8" s="1"/>
  <c r="AA27" i="95"/>
  <c r="AB22" i="95" s="1"/>
  <c r="AD27" i="8"/>
  <c r="AC37" i="8"/>
  <c r="AC19" i="8"/>
  <c r="AD17" i="8"/>
  <c r="AD39" i="95"/>
  <c r="AE7" i="95"/>
  <c r="AE21" i="95"/>
  <c r="AE40" i="95"/>
  <c r="Z55" i="8" l="1"/>
  <c r="Y8" i="95"/>
  <c r="Y65" i="95" s="1"/>
  <c r="Y68" i="95" s="1"/>
  <c r="AA47" i="8"/>
  <c r="AA39" i="8"/>
  <c r="Z8" i="95" s="1"/>
  <c r="Z65" i="95" s="1"/>
  <c r="Z68" i="95" s="1"/>
  <c r="AB50" i="8"/>
  <c r="AC20" i="8"/>
  <c r="AB21" i="8"/>
  <c r="AB24" i="8" s="1"/>
  <c r="AF519" i="95"/>
  <c r="AF624" i="95"/>
  <c r="AF729" i="95"/>
  <c r="AF239" i="95"/>
  <c r="AF274" i="95"/>
  <c r="AF204" i="95"/>
  <c r="AF449" i="95"/>
  <c r="AF134" i="95"/>
  <c r="AF169" i="95"/>
  <c r="AF185" i="95" s="1"/>
  <c r="AF379" i="95"/>
  <c r="AF484" i="95"/>
  <c r="AF659" i="95"/>
  <c r="AF589" i="95"/>
  <c r="AF694" i="95"/>
  <c r="AF554" i="95"/>
  <c r="AF414" i="95"/>
  <c r="AF344" i="95"/>
  <c r="AF309" i="95"/>
  <c r="AF99" i="95"/>
  <c r="AB43" i="95"/>
  <c r="AB45" i="95" s="1"/>
  <c r="AC43" i="8" s="1"/>
  <c r="AB46" i="95"/>
  <c r="AC41" i="95" s="1"/>
  <c r="AF64" i="95"/>
  <c r="AF80" i="95" s="1"/>
  <c r="AD23" i="8"/>
  <c r="AE22" i="8"/>
  <c r="AB27" i="95"/>
  <c r="AC22" i="95" s="1"/>
  <c r="AB24" i="95"/>
  <c r="AB26" i="95" s="1"/>
  <c r="AC42" i="8" s="1"/>
  <c r="AD37" i="8"/>
  <c r="AE27" i="8"/>
  <c r="AE17" i="8"/>
  <c r="AD19" i="8"/>
  <c r="AE39" i="95"/>
  <c r="AF7" i="95"/>
  <c r="AF40" i="95"/>
  <c r="AF21" i="95"/>
  <c r="AA44" i="8" l="1"/>
  <c r="AA55" i="8"/>
  <c r="AB47" i="8"/>
  <c r="AB39" i="8"/>
  <c r="AB55" i="8" s="1"/>
  <c r="AC50" i="8"/>
  <c r="AC21" i="8"/>
  <c r="AD20" i="8"/>
  <c r="AC24" i="8"/>
  <c r="AG169" i="95"/>
  <c r="AG185" i="95" s="1"/>
  <c r="AG624" i="95"/>
  <c r="AG414" i="95"/>
  <c r="AG694" i="95"/>
  <c r="AG554" i="95"/>
  <c r="AG519" i="95"/>
  <c r="AG379" i="95"/>
  <c r="AG309" i="95"/>
  <c r="AG449" i="95"/>
  <c r="AG659" i="95"/>
  <c r="AG589" i="95"/>
  <c r="AG134" i="95"/>
  <c r="AG729" i="95"/>
  <c r="AG344" i="95"/>
  <c r="AG484" i="95"/>
  <c r="AG239" i="95"/>
  <c r="AG274" i="95"/>
  <c r="AG204" i="95"/>
  <c r="AG99" i="95"/>
  <c r="AC43" i="95"/>
  <c r="AC45" i="95" s="1"/>
  <c r="AD43" i="8" s="1"/>
  <c r="AC46" i="95"/>
  <c r="AD41" i="95" s="1"/>
  <c r="AG64" i="95"/>
  <c r="AG80" i="95" s="1"/>
  <c r="AE23" i="8"/>
  <c r="AF22" i="8"/>
  <c r="AC27" i="95"/>
  <c r="AD22" i="95" s="1"/>
  <c r="AC24" i="95"/>
  <c r="AC26" i="95" s="1"/>
  <c r="AD42" i="8" s="1"/>
  <c r="AE37" i="8"/>
  <c r="AF27" i="8"/>
  <c r="AF17" i="8"/>
  <c r="AE19" i="8"/>
  <c r="AF39" i="95"/>
  <c r="AG40" i="95"/>
  <c r="AG21" i="95"/>
  <c r="AG7" i="95"/>
  <c r="AA8" i="95" l="1"/>
  <c r="AA65" i="95" s="1"/>
  <c r="AA68" i="95" s="1"/>
  <c r="AB44" i="8"/>
  <c r="AD50" i="8"/>
  <c r="AC47" i="8"/>
  <c r="AC39" i="8"/>
  <c r="AD21" i="8"/>
  <c r="AD24" i="8" s="1"/>
  <c r="AE20" i="8"/>
  <c r="AH449" i="95"/>
  <c r="AH624" i="95"/>
  <c r="AH484" i="95"/>
  <c r="AH239" i="95"/>
  <c r="AH554" i="95"/>
  <c r="AH134" i="95"/>
  <c r="AH379" i="95"/>
  <c r="AH274" i="95"/>
  <c r="AH204" i="95"/>
  <c r="AH729" i="95"/>
  <c r="AH309" i="95"/>
  <c r="AH344" i="95"/>
  <c r="AH414" i="95"/>
  <c r="AH659" i="95"/>
  <c r="AH589" i="95"/>
  <c r="AH519" i="95"/>
  <c r="AH169" i="95"/>
  <c r="AH185" i="95" s="1"/>
  <c r="AH694" i="95"/>
  <c r="AH99" i="95"/>
  <c r="AD43" i="95"/>
  <c r="AD45" i="95" s="1"/>
  <c r="AE43" i="8" s="1"/>
  <c r="AD46" i="95"/>
  <c r="AE41" i="95" s="1"/>
  <c r="AH64" i="95"/>
  <c r="AH80" i="95" s="1"/>
  <c r="AG22" i="8"/>
  <c r="AF23" i="8"/>
  <c r="AD27" i="95"/>
  <c r="AE22" i="95" s="1"/>
  <c r="AD24" i="95"/>
  <c r="AD26" i="95" s="1"/>
  <c r="AE42" i="8" s="1"/>
  <c r="AF37" i="8"/>
  <c r="AG27" i="8"/>
  <c r="AG17" i="8"/>
  <c r="AF19" i="8"/>
  <c r="AG39" i="95"/>
  <c r="AH21" i="95"/>
  <c r="AH40" i="95"/>
  <c r="AH7" i="95"/>
  <c r="AE50" i="8" l="1"/>
  <c r="AD47" i="8"/>
  <c r="AD39" i="8"/>
  <c r="AE21" i="8"/>
  <c r="AE24" i="8" s="1"/>
  <c r="AF20" i="8"/>
  <c r="AB8" i="95"/>
  <c r="AB65" i="95" s="1"/>
  <c r="AB68" i="95" s="1"/>
  <c r="AC55" i="8"/>
  <c r="AC44" i="8"/>
  <c r="AE46" i="95"/>
  <c r="AF41" i="95" s="1"/>
  <c r="AE43" i="95"/>
  <c r="AE45" i="95" s="1"/>
  <c r="AF43" i="8" s="1"/>
  <c r="AG23" i="8"/>
  <c r="AH22" i="8"/>
  <c r="AE24" i="95"/>
  <c r="AE26" i="95" s="1"/>
  <c r="AF42" i="8" s="1"/>
  <c r="AE27" i="95"/>
  <c r="AF22" i="95" s="1"/>
  <c r="AH27" i="8"/>
  <c r="AG37" i="8"/>
  <c r="AH17" i="8"/>
  <c r="AG19" i="8"/>
  <c r="AH39" i="95"/>
  <c r="AE47" i="8" l="1"/>
  <c r="AE39" i="8"/>
  <c r="AF50" i="8"/>
  <c r="AC8" i="95"/>
  <c r="AC65" i="95" s="1"/>
  <c r="AC68" i="95" s="1"/>
  <c r="AD44" i="8"/>
  <c r="AD55" i="8"/>
  <c r="AF21" i="8"/>
  <c r="AF24" i="8" s="1"/>
  <c r="AG20" i="8"/>
  <c r="AF46" i="95"/>
  <c r="AG41" i="95" s="1"/>
  <c r="AF43" i="95"/>
  <c r="AF45" i="95" s="1"/>
  <c r="AG43" i="8" s="1"/>
  <c r="AH23" i="8"/>
  <c r="AI22" i="8"/>
  <c r="AI23" i="8" s="1"/>
  <c r="AF27" i="95"/>
  <c r="AG22" i="95" s="1"/>
  <c r="AF24" i="95"/>
  <c r="AF26" i="95" s="1"/>
  <c r="AG42" i="8" s="1"/>
  <c r="AI27" i="8"/>
  <c r="AI37" i="8" s="1"/>
  <c r="AH37" i="8"/>
  <c r="AH19" i="8"/>
  <c r="AI17" i="8"/>
  <c r="AI19" i="8" s="1"/>
  <c r="AF47" i="8" l="1"/>
  <c r="AF39" i="8"/>
  <c r="AF55" i="8" s="1"/>
  <c r="AG50" i="8"/>
  <c r="AG21" i="8"/>
  <c r="AG24" i="8" s="1"/>
  <c r="AH20" i="8"/>
  <c r="AE44" i="8"/>
  <c r="AD8" i="95"/>
  <c r="AD65" i="95" s="1"/>
  <c r="AD68" i="95" s="1"/>
  <c r="AE55" i="8"/>
  <c r="AG46" i="95"/>
  <c r="AH41" i="95" s="1"/>
  <c r="AG43" i="95"/>
  <c r="AG45" i="95" s="1"/>
  <c r="AH43" i="8" s="1"/>
  <c r="AG24" i="95"/>
  <c r="AG26" i="95" s="1"/>
  <c r="AH42" i="8" s="1"/>
  <c r="AG27" i="95"/>
  <c r="AH22" i="95" s="1"/>
  <c r="AF44" i="8" l="1"/>
  <c r="AE8" i="95"/>
  <c r="AE65" i="95" s="1"/>
  <c r="AE68" i="95" s="1"/>
  <c r="AG47" i="8"/>
  <c r="AG39" i="8"/>
  <c r="AG55" i="8" s="1"/>
  <c r="AH50" i="8"/>
  <c r="AI20" i="8"/>
  <c r="AH21" i="8"/>
  <c r="AH24" i="8" s="1"/>
  <c r="AH46" i="95"/>
  <c r="AH43" i="95"/>
  <c r="AH45" i="95" s="1"/>
  <c r="AI43" i="8" s="1"/>
  <c r="AH27" i="95"/>
  <c r="E18" i="95" s="1"/>
  <c r="AH24" i="95"/>
  <c r="AH26" i="95" s="1"/>
  <c r="AI42" i="8" s="1"/>
  <c r="AF8" i="95" l="1"/>
  <c r="AF65" i="95" s="1"/>
  <c r="AF68" i="95" s="1"/>
  <c r="AG44" i="8"/>
  <c r="AH47" i="8"/>
  <c r="AH39" i="8"/>
  <c r="AH55" i="8" s="1"/>
  <c r="AI50" i="8"/>
  <c r="AI21" i="8"/>
  <c r="AI24" i="8"/>
  <c r="AG8" i="95" l="1"/>
  <c r="AG65" i="95" s="1"/>
  <c r="AG68" i="95" s="1"/>
  <c r="AH44" i="8"/>
  <c r="AI47" i="8"/>
  <c r="AI39" i="8"/>
  <c r="E71" i="95"/>
  <c r="E73" i="95" s="1"/>
  <c r="E75" i="95" s="1"/>
  <c r="AH8" i="95" l="1"/>
  <c r="AH65" i="95" s="1"/>
  <c r="AH68" i="95" s="1"/>
  <c r="AI55" i="8"/>
  <c r="AI44" i="8"/>
  <c r="E72" i="95"/>
  <c r="E74" i="95"/>
  <c r="E100" i="95" s="1"/>
  <c r="E103" i="95" s="1"/>
  <c r="E106" i="95" l="1"/>
  <c r="F56" i="8"/>
  <c r="E107" i="95" l="1"/>
  <c r="E108" i="95"/>
  <c r="E110" i="95" s="1"/>
  <c r="F104" i="95" s="1"/>
  <c r="F105" i="95" s="1"/>
  <c r="E109" i="95" l="1"/>
  <c r="E135" i="95" s="1"/>
  <c r="E138" i="95" s="1"/>
  <c r="E141" i="95" s="1"/>
  <c r="E184" i="95"/>
  <c r="E185" i="95" s="1"/>
  <c r="E186" i="95" s="1"/>
  <c r="F186" i="95" s="1"/>
  <c r="G186" i="95" s="1"/>
  <c r="H186" i="95" s="1"/>
  <c r="I186" i="95" s="1"/>
  <c r="J186" i="95" s="1"/>
  <c r="K186" i="95" s="1"/>
  <c r="L186" i="95" s="1"/>
  <c r="M186" i="95" s="1"/>
  <c r="N186" i="95" s="1"/>
  <c r="O186" i="95" s="1"/>
  <c r="P186" i="95" s="1"/>
  <c r="Q186" i="95" s="1"/>
  <c r="R186" i="95" s="1"/>
  <c r="S186" i="95" s="1"/>
  <c r="F57" i="8" l="1"/>
  <c r="E142" i="95"/>
  <c r="E143" i="95"/>
  <c r="E145" i="95" s="1"/>
  <c r="F139" i="95" s="1"/>
  <c r="F140" i="95" l="1"/>
  <c r="E144" i="95"/>
  <c r="E170" i="95" s="1"/>
  <c r="E173" i="95" l="1"/>
  <c r="F58" i="8"/>
  <c r="E176" i="95" l="1"/>
  <c r="E177" i="95" l="1"/>
  <c r="E178" i="95"/>
  <c r="E180" i="95" s="1"/>
  <c r="F174" i="95" s="1"/>
  <c r="G184" i="95"/>
  <c r="F184" i="95"/>
  <c r="E179" i="95" l="1"/>
  <c r="E205" i="95" s="1"/>
  <c r="E240" i="95" s="1"/>
  <c r="E275" i="95" s="1"/>
  <c r="E310" i="95" s="1"/>
  <c r="E345" i="95" s="1"/>
  <c r="E380" i="95" s="1"/>
  <c r="E415" i="95" s="1"/>
  <c r="E450" i="95" s="1"/>
  <c r="E485" i="95" s="1"/>
  <c r="F175" i="95"/>
  <c r="F60" i="8"/>
  <c r="E520" i="95" l="1"/>
  <c r="E555" i="95" s="1"/>
  <c r="F62" i="8" l="1"/>
  <c r="F59" i="8"/>
  <c r="E590" i="95" l="1"/>
  <c r="E625" i="95" s="1"/>
  <c r="E660" i="95" s="1"/>
  <c r="H184" i="95"/>
  <c r="F63" i="8"/>
  <c r="E695" i="95" l="1"/>
  <c r="I184" i="95"/>
  <c r="F61" i="8"/>
  <c r="F64" i="8"/>
  <c r="E730" i="95" l="1"/>
  <c r="F65" i="8"/>
  <c r="G60" i="8"/>
  <c r="F66" i="8" l="1"/>
  <c r="J184" i="95" l="1"/>
  <c r="F67" i="8"/>
  <c r="K184" i="95" l="1"/>
  <c r="F68" i="8"/>
  <c r="F69" i="8" l="1"/>
  <c r="L184" i="95" l="1"/>
  <c r="G62" i="8"/>
  <c r="H60" i="8"/>
  <c r="G64" i="8"/>
  <c r="F70" i="8" l="1"/>
  <c r="F71" i="8" s="1"/>
  <c r="G63" i="8" l="1"/>
  <c r="H65" i="8"/>
  <c r="M184" i="95" l="1"/>
  <c r="G66" i="8"/>
  <c r="H61" i="8" l="1"/>
  <c r="N184" i="95" l="1"/>
  <c r="H63" i="8"/>
  <c r="I65" i="8"/>
  <c r="G67" i="8"/>
  <c r="O184" i="95" l="1"/>
  <c r="I60" i="8"/>
  <c r="G68" i="8"/>
  <c r="Q100" i="95"/>
  <c r="Q103" i="95" s="1"/>
  <c r="H64" i="8" l="1"/>
  <c r="J63" i="8"/>
  <c r="H68" i="8"/>
  <c r="R56" i="8"/>
  <c r="I62" i="8" l="1"/>
  <c r="G69" i="8"/>
  <c r="K62" i="8"/>
  <c r="R100" i="95"/>
  <c r="R103" i="95" s="1"/>
  <c r="P184" i="95" l="1"/>
  <c r="H66" i="8"/>
  <c r="J60" i="8"/>
  <c r="H70" i="8"/>
  <c r="J64" i="8"/>
  <c r="J66" i="8"/>
  <c r="S56" i="8"/>
  <c r="H67" i="8" l="1"/>
  <c r="I61" i="8"/>
  <c r="I63" i="8"/>
  <c r="G70" i="8"/>
  <c r="J65" i="8"/>
  <c r="K64" i="8"/>
  <c r="S100" i="95"/>
  <c r="S103" i="95" s="1"/>
  <c r="Q184" i="95" l="1"/>
  <c r="H69" i="8"/>
  <c r="K60" i="8"/>
  <c r="I64" i="8"/>
  <c r="I69" i="8"/>
  <c r="K65" i="8"/>
  <c r="T56" i="8"/>
  <c r="I66" i="8" l="1"/>
  <c r="K63" i="8"/>
  <c r="L62" i="8"/>
  <c r="J67" i="8"/>
  <c r="L63" i="8"/>
  <c r="T100" i="95"/>
  <c r="T103" i="95" s="1"/>
  <c r="R184" i="95" l="1"/>
  <c r="J68" i="8"/>
  <c r="J61" i="8"/>
  <c r="M60" i="8"/>
  <c r="I67" i="8"/>
  <c r="L60" i="8"/>
  <c r="I70" i="8"/>
  <c r="K66" i="8"/>
  <c r="U56" i="8"/>
  <c r="M64" i="8" l="1"/>
  <c r="L64" i="8"/>
  <c r="J69" i="8"/>
  <c r="U100" i="95"/>
  <c r="U103" i="95" s="1"/>
  <c r="S184" i="95" l="1"/>
  <c r="M62" i="8"/>
  <c r="I68" i="8"/>
  <c r="L65" i="8"/>
  <c r="K67" i="8"/>
  <c r="V56" i="8"/>
  <c r="N60" i="8" l="1"/>
  <c r="M63" i="8"/>
  <c r="J70" i="8"/>
  <c r="N63" i="8"/>
  <c r="O64" i="8"/>
  <c r="V100" i="95"/>
  <c r="V103" i="95" s="1"/>
  <c r="N62" i="8" l="1"/>
  <c r="L66" i="8"/>
  <c r="K68" i="8"/>
  <c r="W56" i="8"/>
  <c r="L61" i="8" l="1"/>
  <c r="O60" i="8"/>
  <c r="M65" i="8"/>
  <c r="N64" i="8"/>
  <c r="W100" i="95"/>
  <c r="W103" i="95" s="1"/>
  <c r="M61" i="8" l="1"/>
  <c r="L67" i="8"/>
  <c r="P64" i="8"/>
  <c r="M66" i="8"/>
  <c r="X56" i="8"/>
  <c r="O62" i="8" l="1"/>
  <c r="P60" i="8"/>
  <c r="M67" i="8"/>
  <c r="Q62" i="8"/>
  <c r="X100" i="95"/>
  <c r="X103" i="95" s="1"/>
  <c r="N61" i="8" l="1"/>
  <c r="O63" i="8"/>
  <c r="K70" i="8"/>
  <c r="M68" i="8"/>
  <c r="Q63" i="8"/>
  <c r="Q64" i="8"/>
  <c r="L68" i="8"/>
  <c r="Y56" i="8"/>
  <c r="N65" i="8" l="1"/>
  <c r="O65" i="8"/>
  <c r="P63" i="8"/>
  <c r="M69" i="8"/>
  <c r="Y100" i="95"/>
  <c r="Y103" i="95" s="1"/>
  <c r="N66" i="8" l="1"/>
  <c r="P65" i="8"/>
  <c r="Q60" i="8"/>
  <c r="R63" i="8"/>
  <c r="Q66" i="8"/>
  <c r="L69" i="8"/>
  <c r="Z56" i="8"/>
  <c r="P61" i="8" l="1"/>
  <c r="N67" i="8"/>
  <c r="R60" i="8"/>
  <c r="P66" i="8"/>
  <c r="M70" i="8"/>
  <c r="S63" i="8"/>
  <c r="Z100" i="95"/>
  <c r="Z103" i="95" s="1"/>
  <c r="L70" i="8" l="1"/>
  <c r="R64" i="8"/>
  <c r="O67" i="8"/>
  <c r="T62" i="8"/>
  <c r="AA56" i="8"/>
  <c r="N68" i="8" l="1"/>
  <c r="R62" i="8"/>
  <c r="N70" i="8"/>
  <c r="R66" i="8"/>
  <c r="S64" i="8"/>
  <c r="O68" i="8"/>
  <c r="P67" i="8"/>
  <c r="AA100" i="95"/>
  <c r="AA103" i="95" s="1"/>
  <c r="Q61" i="8" l="1"/>
  <c r="S60" i="8"/>
  <c r="T64" i="8"/>
  <c r="O69" i="8"/>
  <c r="P68" i="8"/>
  <c r="U62" i="8"/>
  <c r="U64" i="8"/>
  <c r="AB56" i="8"/>
  <c r="N69" i="8" l="1"/>
  <c r="S62" i="8"/>
  <c r="T60" i="8"/>
  <c r="S66" i="8"/>
  <c r="V62" i="8"/>
  <c r="Q67" i="8"/>
  <c r="U63" i="8"/>
  <c r="U65" i="8"/>
  <c r="V64" i="8"/>
  <c r="AB100" i="95"/>
  <c r="AB103" i="95" s="1"/>
  <c r="R67" i="8" l="1"/>
  <c r="T63" i="8"/>
  <c r="O70" i="8"/>
  <c r="T65" i="8"/>
  <c r="Q68" i="8"/>
  <c r="P69" i="8"/>
  <c r="V63" i="8"/>
  <c r="W62" i="8"/>
  <c r="W64" i="8"/>
  <c r="AC56" i="8"/>
  <c r="P70" i="8" l="1"/>
  <c r="R68" i="8"/>
  <c r="T66" i="8"/>
  <c r="V65" i="8"/>
  <c r="AC100" i="95"/>
  <c r="AC103" i="95" s="1"/>
  <c r="U60" i="8" l="1"/>
  <c r="Q69" i="8"/>
  <c r="AD56" i="8"/>
  <c r="S61" i="8" l="1"/>
  <c r="Q70" i="8"/>
  <c r="X63" i="8"/>
  <c r="W65" i="8"/>
  <c r="W63" i="8"/>
  <c r="X64" i="8"/>
  <c r="AD100" i="95"/>
  <c r="AD103" i="95" s="1"/>
  <c r="W60" i="8" l="1"/>
  <c r="V60" i="8"/>
  <c r="T68" i="8"/>
  <c r="X62" i="8"/>
  <c r="Y64" i="8"/>
  <c r="R69" i="8"/>
  <c r="Y63" i="8"/>
  <c r="AE56" i="8"/>
  <c r="T61" i="8" l="1"/>
  <c r="R70" i="8"/>
  <c r="V66" i="8"/>
  <c r="AE100" i="95"/>
  <c r="AE103" i="95" s="1"/>
  <c r="S67" i="8" l="1"/>
  <c r="T67" i="8"/>
  <c r="Y62" i="8"/>
  <c r="X65" i="8"/>
  <c r="Z63" i="8"/>
  <c r="W66" i="8"/>
  <c r="U67" i="8"/>
  <c r="AF56" i="8"/>
  <c r="X60" i="8" l="1"/>
  <c r="S68" i="8"/>
  <c r="S70" i="8"/>
  <c r="Y65" i="8"/>
  <c r="X66" i="8"/>
  <c r="U68" i="8"/>
  <c r="AF100" i="95"/>
  <c r="AF103" i="95" s="1"/>
  <c r="S69" i="8" l="1"/>
  <c r="U61" i="8"/>
  <c r="Y60" i="8"/>
  <c r="V68" i="8"/>
  <c r="Z64" i="8"/>
  <c r="Y66" i="8"/>
  <c r="T69" i="8"/>
  <c r="AG56" i="8"/>
  <c r="U66" i="8" l="1"/>
  <c r="Z62" i="8"/>
  <c r="V67" i="8"/>
  <c r="Z65" i="8"/>
  <c r="W68" i="8"/>
  <c r="AA65" i="8"/>
  <c r="AA64" i="8"/>
  <c r="AG100" i="95"/>
  <c r="AG103" i="95" s="1"/>
  <c r="V61" i="8" l="1"/>
  <c r="T70" i="8"/>
  <c r="AA62" i="8"/>
  <c r="W67" i="8"/>
  <c r="U69" i="8"/>
  <c r="AA63" i="8"/>
  <c r="Z66" i="8"/>
  <c r="X68" i="8"/>
  <c r="U70" i="8"/>
  <c r="AA66" i="8"/>
  <c r="AH56" i="8"/>
  <c r="Z60" i="8" l="1"/>
  <c r="AH100" i="95"/>
  <c r="AH103" i="95" s="1"/>
  <c r="Y68" i="8" l="1"/>
  <c r="X67" i="8"/>
  <c r="V69" i="8"/>
  <c r="V70" i="8"/>
  <c r="AI56" i="8"/>
  <c r="W61" i="8" l="1"/>
  <c r="AB59" i="8"/>
  <c r="AA60" i="8" l="1"/>
  <c r="AB62" i="8"/>
  <c r="Y67" i="8"/>
  <c r="W69" i="8"/>
  <c r="W70" i="8"/>
  <c r="AA68" i="8"/>
  <c r="Z68" i="8"/>
  <c r="X61" i="8" l="1"/>
  <c r="AB60" i="8"/>
  <c r="AB63" i="8"/>
  <c r="AB65" i="8"/>
  <c r="AC59" i="8"/>
  <c r="AC62" i="8" l="1"/>
  <c r="AB64" i="8"/>
  <c r="X69" i="8"/>
  <c r="X70" i="8"/>
  <c r="AB68" i="8"/>
  <c r="H62" i="8" l="1"/>
  <c r="G61" i="8"/>
  <c r="Y61" i="8"/>
  <c r="Z67" i="8"/>
  <c r="AB66" i="8"/>
  <c r="AC64" i="8"/>
  <c r="AC63" i="8" l="1"/>
  <c r="AD62" i="8"/>
  <c r="Y69" i="8"/>
  <c r="AC66" i="8"/>
  <c r="AC65" i="8"/>
  <c r="Y70" i="8"/>
  <c r="AE59" i="8"/>
  <c r="AD59" i="8"/>
  <c r="G65" i="8" l="1"/>
  <c r="AC60" i="8"/>
  <c r="AD65" i="8"/>
  <c r="J62" i="8" l="1"/>
  <c r="Z61" i="8"/>
  <c r="AD60" i="8"/>
  <c r="AA67" i="8"/>
  <c r="Z69" i="8"/>
  <c r="AE62" i="8"/>
  <c r="AD66" i="8"/>
  <c r="AD64" i="8"/>
  <c r="Z70" i="8"/>
  <c r="AC68" i="8" l="1"/>
  <c r="AD63" i="8"/>
  <c r="AE64" i="8"/>
  <c r="AF64" i="8"/>
  <c r="AA70" i="8"/>
  <c r="F173" i="95" l="1"/>
  <c r="K61" i="8"/>
  <c r="AE60" i="8"/>
  <c r="AA69" i="8"/>
  <c r="AE66" i="8"/>
  <c r="AE65" i="8"/>
  <c r="AF59" i="8"/>
  <c r="F176" i="95" l="1"/>
  <c r="K69" i="8"/>
  <c r="AF60" i="8"/>
  <c r="AA61" i="8"/>
  <c r="AE63" i="8"/>
  <c r="AB67" i="8"/>
  <c r="AD68" i="8"/>
  <c r="AG59" i="8"/>
  <c r="G173" i="95" l="1"/>
  <c r="F177" i="95"/>
  <c r="F178" i="95"/>
  <c r="F180" i="95" s="1"/>
  <c r="G174" i="95" s="1"/>
  <c r="AF62" i="8"/>
  <c r="AB69" i="8"/>
  <c r="AG64" i="8"/>
  <c r="AE68" i="8"/>
  <c r="F179" i="95" l="1"/>
  <c r="G59" i="8" s="1"/>
  <c r="G175" i="95"/>
  <c r="G176" i="95" s="1"/>
  <c r="AG60" i="8"/>
  <c r="AH60" i="8"/>
  <c r="AF63" i="8"/>
  <c r="AF66" i="8"/>
  <c r="AB70" i="8"/>
  <c r="AF68" i="8"/>
  <c r="AH59" i="8"/>
  <c r="H173" i="95" l="1"/>
  <c r="G177" i="95"/>
  <c r="G178" i="95"/>
  <c r="G180" i="95" s="1"/>
  <c r="H174" i="95" s="1"/>
  <c r="O61" i="8"/>
  <c r="P62" i="8"/>
  <c r="AB61" i="8"/>
  <c r="AC67" i="8"/>
  <c r="AG62" i="8"/>
  <c r="AF65" i="8"/>
  <c r="AC69" i="8"/>
  <c r="AI59" i="8"/>
  <c r="H175" i="95" l="1"/>
  <c r="H176" i="95" s="1"/>
  <c r="G179" i="95"/>
  <c r="Q65" i="8"/>
  <c r="O66" i="8"/>
  <c r="AI60" i="8"/>
  <c r="AD67" i="8"/>
  <c r="AH62" i="8"/>
  <c r="AG65" i="8"/>
  <c r="AH64" i="8"/>
  <c r="AC70" i="8"/>
  <c r="AG68" i="8"/>
  <c r="H177" i="95" l="1"/>
  <c r="I173" i="95"/>
  <c r="H59" i="8"/>
  <c r="H178" i="95"/>
  <c r="H180" i="95" s="1"/>
  <c r="I174" i="95" s="1"/>
  <c r="AC61" i="8"/>
  <c r="AG63" i="8"/>
  <c r="AD69" i="8"/>
  <c r="AI64" i="8"/>
  <c r="AE67" i="8"/>
  <c r="AH68" i="8"/>
  <c r="H179" i="95" l="1"/>
  <c r="I175" i="95"/>
  <c r="I176" i="95" s="1"/>
  <c r="R61" i="8"/>
  <c r="AF67" i="8"/>
  <c r="AG66" i="8"/>
  <c r="J173" i="95" l="1"/>
  <c r="I177" i="95"/>
  <c r="I178" i="95"/>
  <c r="I180" i="95" s="1"/>
  <c r="J174" i="95" s="1"/>
  <c r="I59" i="8"/>
  <c r="S65" i="8"/>
  <c r="R65" i="8"/>
  <c r="AH66" i="8"/>
  <c r="AE69" i="8"/>
  <c r="AI62" i="8"/>
  <c r="J175" i="95" l="1"/>
  <c r="J176" i="95" s="1"/>
  <c r="J178" i="95" s="1"/>
  <c r="J180" i="95" s="1"/>
  <c r="K174" i="95" s="1"/>
  <c r="I179" i="95"/>
  <c r="AD61" i="8"/>
  <c r="AD70" i="8"/>
  <c r="AH65" i="8"/>
  <c r="K175" i="95" l="1"/>
  <c r="K176" i="95" s="1"/>
  <c r="J177" i="95"/>
  <c r="J179" i="95"/>
  <c r="J59" i="8"/>
  <c r="AE61" i="8"/>
  <c r="AF69" i="8"/>
  <c r="AG67" i="8"/>
  <c r="AH67" i="8"/>
  <c r="AH63" i="8"/>
  <c r="K177" i="95" l="1"/>
  <c r="K178" i="95"/>
  <c r="K180" i="95" s="1"/>
  <c r="L174" i="95" s="1"/>
  <c r="K59" i="8"/>
  <c r="AE70" i="8"/>
  <c r="AI65" i="8"/>
  <c r="AF70" i="8"/>
  <c r="L173" i="95" l="1"/>
  <c r="K179" i="95"/>
  <c r="L175" i="95"/>
  <c r="AG69" i="8"/>
  <c r="AI66" i="8"/>
  <c r="L176" i="95" l="1"/>
  <c r="L177" i="95" s="1"/>
  <c r="L59" i="8"/>
  <c r="AF61" i="8"/>
  <c r="AI63" i="8"/>
  <c r="L178" i="95" l="1"/>
  <c r="L179" i="95" s="1"/>
  <c r="L180" i="95"/>
  <c r="M174" i="95" s="1"/>
  <c r="M173" i="95"/>
  <c r="AH69" i="8"/>
  <c r="M175" i="95" l="1"/>
  <c r="M176" i="95" s="1"/>
  <c r="M59" i="8"/>
  <c r="AG61" i="8"/>
  <c r="AI67" i="8"/>
  <c r="N173" i="95" l="1"/>
  <c r="M177" i="95"/>
  <c r="M178" i="95"/>
  <c r="M180" i="95" s="1"/>
  <c r="N174" i="95" s="1"/>
  <c r="AG70" i="8"/>
  <c r="AI68" i="8"/>
  <c r="M179" i="95" l="1"/>
  <c r="N175" i="95"/>
  <c r="N176" i="95" s="1"/>
  <c r="AH61" i="8"/>
  <c r="N177" i="95" l="1"/>
  <c r="N178" i="95"/>
  <c r="N180" i="95" s="1"/>
  <c r="O174" i="95" s="1"/>
  <c r="N59" i="8"/>
  <c r="AH70" i="8"/>
  <c r="AI69" i="8"/>
  <c r="O173" i="95" l="1"/>
  <c r="N179" i="95"/>
  <c r="O175" i="95"/>
  <c r="O176" i="95" s="1"/>
  <c r="AI61" i="8"/>
  <c r="AI70" i="8"/>
  <c r="O177" i="95" l="1"/>
  <c r="O59" i="8"/>
  <c r="O178" i="95"/>
  <c r="O180" i="95" s="1"/>
  <c r="P174" i="95" s="1"/>
  <c r="P175" i="95" l="1"/>
  <c r="P173" i="95"/>
  <c r="O179" i="95"/>
  <c r="P59" i="8" l="1"/>
  <c r="P176" i="95"/>
  <c r="Q173" i="95" l="1"/>
  <c r="P177" i="95"/>
  <c r="P178" i="95"/>
  <c r="P180" i="95" s="1"/>
  <c r="Q174" i="95" s="1"/>
  <c r="P179" i="95" l="1"/>
  <c r="Q59" i="8" s="1"/>
  <c r="Q175" i="95"/>
  <c r="Q176" i="95" s="1"/>
  <c r="Q178" i="95" s="1"/>
  <c r="Q180" i="95" s="1"/>
  <c r="R174" i="95" s="1"/>
  <c r="R175" i="95" l="1"/>
  <c r="R173" i="95"/>
  <c r="Q177" i="95"/>
  <c r="Q179" i="95"/>
  <c r="R176" i="95" l="1"/>
  <c r="R59" i="8"/>
  <c r="R177" i="95"/>
  <c r="R178" i="95"/>
  <c r="R180" i="95" s="1"/>
  <c r="S174" i="95" s="1"/>
  <c r="S173" i="95" l="1"/>
  <c r="S175" i="95"/>
  <c r="R179" i="95"/>
  <c r="S176" i="95" l="1"/>
  <c r="S178" i="95"/>
  <c r="S180" i="95" s="1"/>
  <c r="S59" i="8"/>
  <c r="S177" i="95"/>
  <c r="T174" i="95" l="1"/>
  <c r="S179" i="95"/>
  <c r="T59" i="8" s="1"/>
  <c r="T173" i="95" l="1"/>
  <c r="T175" i="95"/>
  <c r="T176" i="95" s="1"/>
  <c r="T177" i="95" l="1"/>
  <c r="U173" i="95"/>
  <c r="T178" i="95"/>
  <c r="T180" i="95" s="1"/>
  <c r="U174" i="95" s="1"/>
  <c r="T179" i="95" l="1"/>
  <c r="U175" i="95"/>
  <c r="U176" i="95" s="1"/>
  <c r="U177" i="95" l="1"/>
  <c r="U59" i="8"/>
  <c r="U178" i="95"/>
  <c r="U180" i="95" s="1"/>
  <c r="V174" i="95" s="1"/>
  <c r="V175" i="95" l="1"/>
  <c r="U179" i="95"/>
  <c r="V173" i="95"/>
  <c r="V176" i="95" l="1"/>
  <c r="V178" i="95" s="1"/>
  <c r="V180" i="95" s="1"/>
  <c r="W174" i="95" s="1"/>
  <c r="W173" i="95"/>
  <c r="V59" i="8"/>
  <c r="W175" i="95" l="1"/>
  <c r="W176" i="95" s="1"/>
  <c r="V177" i="95"/>
  <c r="V179" i="95"/>
  <c r="W177" i="95" l="1"/>
  <c r="W59" i="8"/>
  <c r="W178" i="95"/>
  <c r="W180" i="95" s="1"/>
  <c r="X174" i="95" s="1"/>
  <c r="X173" i="95" l="1"/>
  <c r="X175" i="95"/>
  <c r="X176" i="95" s="1"/>
  <c r="W179" i="95"/>
  <c r="X59" i="8" l="1"/>
  <c r="X178" i="95"/>
  <c r="X180" i="95" s="1"/>
  <c r="X177" i="95"/>
  <c r="Y174" i="95" l="1"/>
  <c r="Y173" i="95"/>
  <c r="X179" i="95"/>
  <c r="Y175" i="95" l="1"/>
  <c r="Y176" i="95" s="1"/>
  <c r="Z173" i="95"/>
  <c r="Y59" i="8"/>
  <c r="Y177" i="95" l="1"/>
  <c r="Y178" i="95"/>
  <c r="Y180" i="95" s="1"/>
  <c r="Z174" i="95" s="1"/>
  <c r="Z175" i="95" l="1"/>
  <c r="Z176" i="95" s="1"/>
  <c r="Y179" i="95"/>
  <c r="Z59" i="8" l="1"/>
  <c r="Z177" i="95"/>
  <c r="Z178" i="95"/>
  <c r="Z180" i="95" s="1"/>
  <c r="E166" i="95" s="1"/>
  <c r="AA173" i="95"/>
  <c r="Z179" i="95" l="1"/>
  <c r="AA59" i="8" l="1"/>
  <c r="AB173" i="95"/>
  <c r="AC173" i="95" l="1"/>
  <c r="AD173" i="95" l="1"/>
  <c r="AE173" i="95" l="1"/>
  <c r="AF173" i="95" l="1"/>
  <c r="AG173" i="95" l="1"/>
  <c r="AH173" i="95" l="1"/>
  <c r="F69" i="95"/>
  <c r="F70" i="95" s="1"/>
  <c r="F71" i="95" s="1"/>
  <c r="K173" i="95"/>
  <c r="Q69" i="95"/>
  <c r="F73" i="95" l="1"/>
  <c r="F75" i="95" s="1"/>
  <c r="G69" i="95" s="1"/>
  <c r="F72" i="95"/>
  <c r="F74" i="95" l="1"/>
  <c r="G56" i="8" s="1"/>
  <c r="G70" i="95"/>
  <c r="G71" i="95" s="1"/>
  <c r="F100" i="95" l="1"/>
  <c r="F103" i="95"/>
  <c r="G73" i="95"/>
  <c r="G75" i="95" s="1"/>
  <c r="H69" i="95" s="1"/>
  <c r="G72" i="95"/>
  <c r="H70" i="95" l="1"/>
  <c r="H71" i="95" s="1"/>
  <c r="G74" i="95"/>
  <c r="F106" i="95"/>
  <c r="F108" i="95" s="1"/>
  <c r="F110" i="95" s="1"/>
  <c r="G104" i="95" s="1"/>
  <c r="G105" i="95" l="1"/>
  <c r="G100" i="95"/>
  <c r="H56" i="8"/>
  <c r="F109" i="95"/>
  <c r="F107" i="95"/>
  <c r="H73" i="95"/>
  <c r="H75" i="95" s="1"/>
  <c r="I69" i="95" s="1"/>
  <c r="H72" i="95"/>
  <c r="I70" i="95" l="1"/>
  <c r="I71" i="95" s="1"/>
  <c r="H74" i="95"/>
  <c r="G57" i="8"/>
  <c r="F135" i="95"/>
  <c r="G103" i="95"/>
  <c r="F138" i="95" l="1"/>
  <c r="H100" i="95"/>
  <c r="I56" i="8"/>
  <c r="I73" i="95"/>
  <c r="I75" i="95" s="1"/>
  <c r="J69" i="95" s="1"/>
  <c r="I72" i="95"/>
  <c r="G106" i="95"/>
  <c r="G108" i="95" s="1"/>
  <c r="G110" i="95" s="1"/>
  <c r="H104" i="95" s="1"/>
  <c r="I74" i="95" l="1"/>
  <c r="H105" i="95"/>
  <c r="G107" i="95"/>
  <c r="G109" i="95"/>
  <c r="J70" i="95"/>
  <c r="J71" i="95" s="1"/>
  <c r="H103" i="95"/>
  <c r="F141" i="95"/>
  <c r="J73" i="95" l="1"/>
  <c r="J75" i="95" s="1"/>
  <c r="K69" i="95" s="1"/>
  <c r="J72" i="95"/>
  <c r="F142" i="95"/>
  <c r="F143" i="95"/>
  <c r="F145" i="95" s="1"/>
  <c r="G139" i="95" s="1"/>
  <c r="H106" i="95"/>
  <c r="H108" i="95" s="1"/>
  <c r="H110" i="95" s="1"/>
  <c r="I104" i="95" s="1"/>
  <c r="H57" i="8"/>
  <c r="G135" i="95"/>
  <c r="I100" i="95"/>
  <c r="J56" i="8"/>
  <c r="I105" i="95" l="1"/>
  <c r="G140" i="95"/>
  <c r="F144" i="95"/>
  <c r="I103" i="95"/>
  <c r="K70" i="95"/>
  <c r="K71" i="95" s="1"/>
  <c r="H109" i="95"/>
  <c r="H107" i="95"/>
  <c r="G138" i="95"/>
  <c r="J74" i="95"/>
  <c r="G141" i="95" l="1"/>
  <c r="G142" i="95" s="1"/>
  <c r="I106" i="95"/>
  <c r="I108" i="95" s="1"/>
  <c r="I110" i="95" s="1"/>
  <c r="J104" i="95" s="1"/>
  <c r="J100" i="95"/>
  <c r="K56" i="8"/>
  <c r="G58" i="8"/>
  <c r="G71" i="8" s="1"/>
  <c r="F170" i="95"/>
  <c r="F205" i="95" s="1"/>
  <c r="F240" i="95" s="1"/>
  <c r="F275" i="95" s="1"/>
  <c r="F310" i="95" s="1"/>
  <c r="F345" i="95" s="1"/>
  <c r="F380" i="95" s="1"/>
  <c r="F415" i="95" s="1"/>
  <c r="F450" i="95" s="1"/>
  <c r="F485" i="95" s="1"/>
  <c r="F520" i="95" s="1"/>
  <c r="F555" i="95" s="1"/>
  <c r="F590" i="95" s="1"/>
  <c r="F625" i="95" s="1"/>
  <c r="F660" i="95" s="1"/>
  <c r="F695" i="95" s="1"/>
  <c r="F730" i="95" s="1"/>
  <c r="I57" i="8"/>
  <c r="H135" i="95"/>
  <c r="K73" i="95"/>
  <c r="K75" i="95" s="1"/>
  <c r="L69" i="95" s="1"/>
  <c r="K72" i="95"/>
  <c r="K74" i="95" l="1"/>
  <c r="L56" i="8" s="1"/>
  <c r="G143" i="95"/>
  <c r="G145" i="95" s="1"/>
  <c r="H139" i="95" s="1"/>
  <c r="H140" i="95" s="1"/>
  <c r="I107" i="95"/>
  <c r="J105" i="95"/>
  <c r="I109" i="95"/>
  <c r="L70" i="95"/>
  <c r="L71" i="95" s="1"/>
  <c r="H138" i="95"/>
  <c r="J103" i="95"/>
  <c r="G144" i="95" l="1"/>
  <c r="K100" i="95"/>
  <c r="H141" i="95"/>
  <c r="H58" i="8"/>
  <c r="H71" i="8" s="1"/>
  <c r="G170" i="95"/>
  <c r="G205" i="95" s="1"/>
  <c r="G240" i="95" s="1"/>
  <c r="G275" i="95" s="1"/>
  <c r="G310" i="95" s="1"/>
  <c r="G345" i="95" s="1"/>
  <c r="G380" i="95" s="1"/>
  <c r="G415" i="95" s="1"/>
  <c r="G450" i="95" s="1"/>
  <c r="G485" i="95" s="1"/>
  <c r="G520" i="95" s="1"/>
  <c r="G555" i="95" s="1"/>
  <c r="G590" i="95" s="1"/>
  <c r="G625" i="95" s="1"/>
  <c r="G660" i="95" s="1"/>
  <c r="G695" i="95" s="1"/>
  <c r="G730" i="95" s="1"/>
  <c r="J57" i="8"/>
  <c r="I135" i="95"/>
  <c r="H143" i="95"/>
  <c r="H145" i="95" s="1"/>
  <c r="I139" i="95" s="1"/>
  <c r="H142" i="95"/>
  <c r="J106" i="95"/>
  <c r="J108" i="95" s="1"/>
  <c r="J110" i="95" s="1"/>
  <c r="K104" i="95" s="1"/>
  <c r="L73" i="95"/>
  <c r="L75" i="95" s="1"/>
  <c r="M69" i="95" s="1"/>
  <c r="L72" i="95"/>
  <c r="K103" i="95"/>
  <c r="L74" i="95" l="1"/>
  <c r="H144" i="95"/>
  <c r="H170" i="95" s="1"/>
  <c r="H205" i="95" s="1"/>
  <c r="H240" i="95" s="1"/>
  <c r="H275" i="95" s="1"/>
  <c r="H310" i="95" s="1"/>
  <c r="H345" i="95" s="1"/>
  <c r="H380" i="95" s="1"/>
  <c r="H415" i="95" s="1"/>
  <c r="H450" i="95" s="1"/>
  <c r="H485" i="95" s="1"/>
  <c r="H520" i="95" s="1"/>
  <c r="H555" i="95" s="1"/>
  <c r="H590" i="95" s="1"/>
  <c r="H625" i="95" s="1"/>
  <c r="H660" i="95" s="1"/>
  <c r="H695" i="95" s="1"/>
  <c r="H730" i="95" s="1"/>
  <c r="K105" i="95"/>
  <c r="K106" i="95" s="1"/>
  <c r="K108" i="95" s="1"/>
  <c r="K110" i="95" s="1"/>
  <c r="L104" i="95" s="1"/>
  <c r="J109" i="95"/>
  <c r="J107" i="95"/>
  <c r="I140" i="95"/>
  <c r="I138" i="95"/>
  <c r="L100" i="95"/>
  <c r="M56" i="8"/>
  <c r="M70" i="95"/>
  <c r="M71" i="95" s="1"/>
  <c r="I58" i="8" l="1"/>
  <c r="I71" i="8" s="1"/>
  <c r="I141" i="95"/>
  <c r="I143" i="95" s="1"/>
  <c r="I145" i="95" s="1"/>
  <c r="J139" i="95" s="1"/>
  <c r="L105" i="95"/>
  <c r="M73" i="95"/>
  <c r="M75" i="95" s="1"/>
  <c r="N69" i="95" s="1"/>
  <c r="M72" i="95"/>
  <c r="L103" i="95"/>
  <c r="I142" i="95"/>
  <c r="K57" i="8"/>
  <c r="J135" i="95"/>
  <c r="K109" i="95"/>
  <c r="K107" i="95"/>
  <c r="M74" i="95" l="1"/>
  <c r="M100" i="95" s="1"/>
  <c r="J140" i="95"/>
  <c r="J138" i="95"/>
  <c r="L106" i="95"/>
  <c r="L57" i="8"/>
  <c r="K135" i="95"/>
  <c r="N70" i="95"/>
  <c r="N71" i="95" s="1"/>
  <c r="I144" i="95"/>
  <c r="N56" i="8" l="1"/>
  <c r="L107" i="95"/>
  <c r="M103" i="95"/>
  <c r="N73" i="95"/>
  <c r="N75" i="95" s="1"/>
  <c r="O69" i="95" s="1"/>
  <c r="N72" i="95"/>
  <c r="J141" i="95"/>
  <c r="J143" i="95" s="1"/>
  <c r="J145" i="95" s="1"/>
  <c r="K139" i="95" s="1"/>
  <c r="J58" i="8"/>
  <c r="J71" i="8" s="1"/>
  <c r="I170" i="95"/>
  <c r="I205" i="95" s="1"/>
  <c r="I240" i="95" s="1"/>
  <c r="I275" i="95" s="1"/>
  <c r="I310" i="95" s="1"/>
  <c r="I345" i="95" s="1"/>
  <c r="I380" i="95" s="1"/>
  <c r="I415" i="95" s="1"/>
  <c r="I450" i="95" s="1"/>
  <c r="I485" i="95" s="1"/>
  <c r="I520" i="95" s="1"/>
  <c r="I555" i="95" s="1"/>
  <c r="I590" i="95" s="1"/>
  <c r="I625" i="95" s="1"/>
  <c r="I660" i="95" s="1"/>
  <c r="I695" i="95" s="1"/>
  <c r="I730" i="95" s="1"/>
  <c r="K138" i="95"/>
  <c r="L108" i="95"/>
  <c r="L110" i="95" s="1"/>
  <c r="M104" i="95" s="1"/>
  <c r="N74" i="95" l="1"/>
  <c r="N100" i="95" s="1"/>
  <c r="O70" i="95"/>
  <c r="O71" i="95" s="1"/>
  <c r="L109" i="95"/>
  <c r="M105" i="95"/>
  <c r="M106" i="95" s="1"/>
  <c r="K140" i="95"/>
  <c r="K141" i="95" s="1"/>
  <c r="K143" i="95" s="1"/>
  <c r="K145" i="95" s="1"/>
  <c r="L139" i="95" s="1"/>
  <c r="J142" i="95"/>
  <c r="J144" i="95"/>
  <c r="O56" i="8" l="1"/>
  <c r="L140" i="95"/>
  <c r="M107" i="95"/>
  <c r="O73" i="95"/>
  <c r="O75" i="95" s="1"/>
  <c r="P69" i="95" s="1"/>
  <c r="O72" i="95"/>
  <c r="M57" i="8"/>
  <c r="L135" i="95"/>
  <c r="K58" i="8"/>
  <c r="K71" i="8" s="1"/>
  <c r="J170" i="95"/>
  <c r="J205" i="95" s="1"/>
  <c r="J240" i="95" s="1"/>
  <c r="J275" i="95" s="1"/>
  <c r="J310" i="95" s="1"/>
  <c r="J345" i="95" s="1"/>
  <c r="J380" i="95" s="1"/>
  <c r="J415" i="95" s="1"/>
  <c r="J450" i="95" s="1"/>
  <c r="J485" i="95" s="1"/>
  <c r="J520" i="95" s="1"/>
  <c r="J555" i="95" s="1"/>
  <c r="J590" i="95" s="1"/>
  <c r="J625" i="95" s="1"/>
  <c r="J660" i="95" s="1"/>
  <c r="J695" i="95" s="1"/>
  <c r="J730" i="95" s="1"/>
  <c r="M108" i="95"/>
  <c r="M110" i="95" s="1"/>
  <c r="N104" i="95" s="1"/>
  <c r="K144" i="95"/>
  <c r="K142" i="95"/>
  <c r="N103" i="95"/>
  <c r="O74" i="95" l="1"/>
  <c r="O100" i="95" s="1"/>
  <c r="L58" i="8"/>
  <c r="L71" i="8" s="1"/>
  <c r="K170" i="95"/>
  <c r="K205" i="95" s="1"/>
  <c r="K240" i="95" s="1"/>
  <c r="K275" i="95" s="1"/>
  <c r="K310" i="95" s="1"/>
  <c r="K345" i="95" s="1"/>
  <c r="K380" i="95" s="1"/>
  <c r="K415" i="95" s="1"/>
  <c r="K450" i="95" s="1"/>
  <c r="K485" i="95" s="1"/>
  <c r="K520" i="95" s="1"/>
  <c r="K555" i="95" s="1"/>
  <c r="K590" i="95" s="1"/>
  <c r="K625" i="95" s="1"/>
  <c r="K660" i="95" s="1"/>
  <c r="K695" i="95" s="1"/>
  <c r="K730" i="95" s="1"/>
  <c r="P70" i="95"/>
  <c r="P71" i="95" s="1"/>
  <c r="M109" i="95"/>
  <c r="L138" i="95"/>
  <c r="N105" i="95"/>
  <c r="N106" i="95" s="1"/>
  <c r="N108" i="95" s="1"/>
  <c r="N110" i="95" s="1"/>
  <c r="O104" i="95" s="1"/>
  <c r="P56" i="8" l="1"/>
  <c r="O105" i="95"/>
  <c r="P73" i="95"/>
  <c r="P75" i="95" s="1"/>
  <c r="E61" i="95" s="1"/>
  <c r="P72" i="95"/>
  <c r="N57" i="8"/>
  <c r="M135" i="95"/>
  <c r="L141" i="95"/>
  <c r="L143" i="95" s="1"/>
  <c r="L145" i="95" s="1"/>
  <c r="M139" i="95" s="1"/>
  <c r="N109" i="95"/>
  <c r="N107" i="95"/>
  <c r="O103" i="95"/>
  <c r="M138" i="95" l="1"/>
  <c r="O57" i="8"/>
  <c r="N135" i="95"/>
  <c r="P74" i="95"/>
  <c r="M140" i="95"/>
  <c r="M141" i="95" s="1"/>
  <c r="L144" i="95"/>
  <c r="L142" i="95"/>
  <c r="O106" i="95"/>
  <c r="O108" i="95" s="1"/>
  <c r="O110" i="95" s="1"/>
  <c r="P104" i="95" s="1"/>
  <c r="P105" i="95" l="1"/>
  <c r="P100" i="95"/>
  <c r="Q56" i="8"/>
  <c r="M58" i="8"/>
  <c r="M71" i="8" s="1"/>
  <c r="L170" i="95"/>
  <c r="L205" i="95" s="1"/>
  <c r="L240" i="95" s="1"/>
  <c r="L275" i="95" s="1"/>
  <c r="L310" i="95" s="1"/>
  <c r="L345" i="95" s="1"/>
  <c r="L380" i="95" s="1"/>
  <c r="L415" i="95" s="1"/>
  <c r="L450" i="95" s="1"/>
  <c r="L485" i="95" s="1"/>
  <c r="L520" i="95" s="1"/>
  <c r="L555" i="95" s="1"/>
  <c r="L590" i="95" s="1"/>
  <c r="L625" i="95" s="1"/>
  <c r="L660" i="95" s="1"/>
  <c r="L695" i="95" s="1"/>
  <c r="L730" i="95" s="1"/>
  <c r="M142" i="95"/>
  <c r="N138" i="95"/>
  <c r="O107" i="95"/>
  <c r="O109" i="95"/>
  <c r="M143" i="95"/>
  <c r="M145" i="95" s="1"/>
  <c r="N139" i="95" s="1"/>
  <c r="N140" i="95" l="1"/>
  <c r="N141" i="95" s="1"/>
  <c r="N143" i="95" s="1"/>
  <c r="N145" i="95" s="1"/>
  <c r="O139" i="95" s="1"/>
  <c r="M144" i="95"/>
  <c r="P57" i="8"/>
  <c r="O135" i="95"/>
  <c r="P103" i="95"/>
  <c r="O138" i="95" l="1"/>
  <c r="N58" i="8"/>
  <c r="N71" i="8" s="1"/>
  <c r="M170" i="95"/>
  <c r="M205" i="95" s="1"/>
  <c r="M240" i="95" s="1"/>
  <c r="M275" i="95" s="1"/>
  <c r="M310" i="95" s="1"/>
  <c r="M345" i="95" s="1"/>
  <c r="M380" i="95" s="1"/>
  <c r="M415" i="95" s="1"/>
  <c r="M450" i="95" s="1"/>
  <c r="M485" i="95" s="1"/>
  <c r="M520" i="95" s="1"/>
  <c r="M555" i="95" s="1"/>
  <c r="M590" i="95" s="1"/>
  <c r="M625" i="95" s="1"/>
  <c r="M660" i="95" s="1"/>
  <c r="M695" i="95" s="1"/>
  <c r="M730" i="95" s="1"/>
  <c r="P106" i="95"/>
  <c r="O140" i="95"/>
  <c r="O141" i="95" s="1"/>
  <c r="N142" i="95"/>
  <c r="N144" i="95"/>
  <c r="P107" i="95" l="1"/>
  <c r="O58" i="8"/>
  <c r="O71" i="8" s="1"/>
  <c r="N170" i="95"/>
  <c r="N205" i="95" s="1"/>
  <c r="N240" i="95" s="1"/>
  <c r="N275" i="95" s="1"/>
  <c r="N310" i="95" s="1"/>
  <c r="N345" i="95" s="1"/>
  <c r="N380" i="95" s="1"/>
  <c r="N415" i="95" s="1"/>
  <c r="N450" i="95" s="1"/>
  <c r="N485" i="95" s="1"/>
  <c r="N520" i="95" s="1"/>
  <c r="N555" i="95" s="1"/>
  <c r="N590" i="95" s="1"/>
  <c r="N625" i="95" s="1"/>
  <c r="N660" i="95" s="1"/>
  <c r="N695" i="95" s="1"/>
  <c r="N730" i="95" s="1"/>
  <c r="P108" i="95"/>
  <c r="P110" i="95" s="1"/>
  <c r="Q104" i="95" s="1"/>
  <c r="O142" i="95"/>
  <c r="O143" i="95"/>
  <c r="O145" i="95" s="1"/>
  <c r="P139" i="95" s="1"/>
  <c r="P140" i="95" l="1"/>
  <c r="O144" i="95"/>
  <c r="Q105" i="95"/>
  <c r="Q106" i="95" s="1"/>
  <c r="P109" i="95"/>
  <c r="Q57" i="8" l="1"/>
  <c r="P135" i="95"/>
  <c r="Q108" i="95"/>
  <c r="Q110" i="95" s="1"/>
  <c r="R104" i="95" s="1"/>
  <c r="Q107" i="95"/>
  <c r="P58" i="8"/>
  <c r="P71" i="8" s="1"/>
  <c r="O170" i="95"/>
  <c r="O205" i="95" s="1"/>
  <c r="O240" i="95" s="1"/>
  <c r="O275" i="95" s="1"/>
  <c r="O310" i="95" s="1"/>
  <c r="O345" i="95" s="1"/>
  <c r="O380" i="95" s="1"/>
  <c r="O415" i="95" s="1"/>
  <c r="O450" i="95" s="1"/>
  <c r="O485" i="95" s="1"/>
  <c r="O520" i="95" s="1"/>
  <c r="O555" i="95" s="1"/>
  <c r="O590" i="95" s="1"/>
  <c r="O625" i="95" s="1"/>
  <c r="O660" i="95" s="1"/>
  <c r="O695" i="95" s="1"/>
  <c r="O730" i="95" s="1"/>
  <c r="R105" i="95" l="1"/>
  <c r="R106" i="95" s="1"/>
  <c r="P138" i="95"/>
  <c r="Q109" i="95"/>
  <c r="Q135" i="95" l="1"/>
  <c r="R57" i="8"/>
  <c r="P141" i="95"/>
  <c r="R108" i="95"/>
  <c r="R110" i="95" s="1"/>
  <c r="S104" i="95" s="1"/>
  <c r="R107" i="95"/>
  <c r="P142" i="95" l="1"/>
  <c r="S105" i="95"/>
  <c r="S106" i="95" s="1"/>
  <c r="P143" i="95"/>
  <c r="P145" i="95" s="1"/>
  <c r="Q139" i="95" s="1"/>
  <c r="R109" i="95"/>
  <c r="Q138" i="95"/>
  <c r="Q140" i="95" l="1"/>
  <c r="Q141" i="95" s="1"/>
  <c r="P144" i="95"/>
  <c r="R135" i="95"/>
  <c r="S57" i="8"/>
  <c r="S108" i="95"/>
  <c r="S110" i="95" s="1"/>
  <c r="T104" i="95" s="1"/>
  <c r="S107" i="95"/>
  <c r="Q142" i="95" l="1"/>
  <c r="T105" i="95"/>
  <c r="T106" i="95" s="1"/>
  <c r="R138" i="95"/>
  <c r="Q58" i="8"/>
  <c r="Q71" i="8" s="1"/>
  <c r="P170" i="95"/>
  <c r="P205" i="95" s="1"/>
  <c r="P240" i="95" s="1"/>
  <c r="P275" i="95" s="1"/>
  <c r="P310" i="95" s="1"/>
  <c r="P345" i="95" s="1"/>
  <c r="P380" i="95" s="1"/>
  <c r="P415" i="95" s="1"/>
  <c r="P450" i="95" s="1"/>
  <c r="P485" i="95" s="1"/>
  <c r="P520" i="95" s="1"/>
  <c r="P555" i="95" s="1"/>
  <c r="P590" i="95" s="1"/>
  <c r="P625" i="95" s="1"/>
  <c r="P660" i="95" s="1"/>
  <c r="P695" i="95" s="1"/>
  <c r="P730" i="95" s="1"/>
  <c r="S109" i="95"/>
  <c r="Q143" i="95"/>
  <c r="Q145" i="95" s="1"/>
  <c r="R139" i="95" s="1"/>
  <c r="R140" i="95" l="1"/>
  <c r="R141" i="95" s="1"/>
  <c r="Q144" i="95"/>
  <c r="S135" i="95"/>
  <c r="T57" i="8"/>
  <c r="T108" i="95"/>
  <c r="T110" i="95" s="1"/>
  <c r="U104" i="95" s="1"/>
  <c r="T107" i="95"/>
  <c r="T109" i="95" l="1"/>
  <c r="U57" i="8" s="1"/>
  <c r="U105" i="95"/>
  <c r="U106" i="95" s="1"/>
  <c r="S138" i="95"/>
  <c r="R142" i="95"/>
  <c r="R58" i="8"/>
  <c r="R71" i="8" s="1"/>
  <c r="Q170" i="95"/>
  <c r="Q205" i="95" s="1"/>
  <c r="Q240" i="95" s="1"/>
  <c r="Q275" i="95" s="1"/>
  <c r="Q310" i="95" s="1"/>
  <c r="Q345" i="95" s="1"/>
  <c r="Q380" i="95" s="1"/>
  <c r="Q415" i="95" s="1"/>
  <c r="Q450" i="95" s="1"/>
  <c r="Q485" i="95" s="1"/>
  <c r="Q520" i="95" s="1"/>
  <c r="Q555" i="95" s="1"/>
  <c r="Q590" i="95" s="1"/>
  <c r="Q625" i="95" s="1"/>
  <c r="Q660" i="95" s="1"/>
  <c r="Q695" i="95" s="1"/>
  <c r="Q730" i="95" s="1"/>
  <c r="R143" i="95"/>
  <c r="R145" i="95" s="1"/>
  <c r="S139" i="95" s="1"/>
  <c r="R144" i="95" l="1"/>
  <c r="S58" i="8" s="1"/>
  <c r="S71" i="8" s="1"/>
  <c r="T135" i="95"/>
  <c r="S140" i="95"/>
  <c r="S141" i="95" s="1"/>
  <c r="S143" i="95" s="1"/>
  <c r="S145" i="95" s="1"/>
  <c r="T139" i="95" s="1"/>
  <c r="U108" i="95"/>
  <c r="U110" i="95" s="1"/>
  <c r="V104" i="95" s="1"/>
  <c r="U107" i="95"/>
  <c r="T138" i="95"/>
  <c r="R170" i="95" l="1"/>
  <c r="R205" i="95" s="1"/>
  <c r="R240" i="95" s="1"/>
  <c r="R275" i="95" s="1"/>
  <c r="R310" i="95" s="1"/>
  <c r="R345" i="95" s="1"/>
  <c r="R380" i="95" s="1"/>
  <c r="R415" i="95" s="1"/>
  <c r="R450" i="95" s="1"/>
  <c r="R485" i="95" s="1"/>
  <c r="R520" i="95" s="1"/>
  <c r="R555" i="95" s="1"/>
  <c r="R590" i="95" s="1"/>
  <c r="R625" i="95" s="1"/>
  <c r="R660" i="95" s="1"/>
  <c r="R695" i="95" s="1"/>
  <c r="R730" i="95" s="1"/>
  <c r="U109" i="95"/>
  <c r="U135" i="95" s="1"/>
  <c r="T140" i="95"/>
  <c r="T141" i="95" s="1"/>
  <c r="T143" i="95" s="1"/>
  <c r="T145" i="95" s="1"/>
  <c r="U139" i="95" s="1"/>
  <c r="V105" i="95"/>
  <c r="V106" i="95" s="1"/>
  <c r="S142" i="95"/>
  <c r="S144" i="95"/>
  <c r="V57" i="8" l="1"/>
  <c r="U140" i="95"/>
  <c r="U138" i="95"/>
  <c r="V108" i="95"/>
  <c r="V110" i="95" s="1"/>
  <c r="W104" i="95" s="1"/>
  <c r="V107" i="95"/>
  <c r="T58" i="8"/>
  <c r="T71" i="8" s="1"/>
  <c r="S170" i="95"/>
  <c r="S205" i="95" s="1"/>
  <c r="S240" i="95" s="1"/>
  <c r="S275" i="95" s="1"/>
  <c r="S310" i="95" s="1"/>
  <c r="S345" i="95" s="1"/>
  <c r="S380" i="95" s="1"/>
  <c r="S415" i="95" s="1"/>
  <c r="S450" i="95" s="1"/>
  <c r="S485" i="95" s="1"/>
  <c r="S520" i="95" s="1"/>
  <c r="S555" i="95" s="1"/>
  <c r="S590" i="95" s="1"/>
  <c r="S625" i="95" s="1"/>
  <c r="S660" i="95" s="1"/>
  <c r="S695" i="95" s="1"/>
  <c r="S730" i="95" s="1"/>
  <c r="T144" i="95"/>
  <c r="T142" i="95"/>
  <c r="V109" i="95" l="1"/>
  <c r="V135" i="95" s="1"/>
  <c r="W105" i="95"/>
  <c r="W106" i="95" s="1"/>
  <c r="U58" i="8"/>
  <c r="U71" i="8" s="1"/>
  <c r="T170" i="95"/>
  <c r="T205" i="95" s="1"/>
  <c r="T240" i="95" s="1"/>
  <c r="T275" i="95" s="1"/>
  <c r="T310" i="95" s="1"/>
  <c r="T345" i="95" s="1"/>
  <c r="T380" i="95" s="1"/>
  <c r="T415" i="95" s="1"/>
  <c r="T450" i="95" s="1"/>
  <c r="T485" i="95" s="1"/>
  <c r="T520" i="95" s="1"/>
  <c r="T555" i="95" s="1"/>
  <c r="T590" i="95" s="1"/>
  <c r="T625" i="95" s="1"/>
  <c r="T660" i="95" s="1"/>
  <c r="T695" i="95" s="1"/>
  <c r="T730" i="95" s="1"/>
  <c r="U141" i="95"/>
  <c r="W57" i="8" l="1"/>
  <c r="U142" i="95"/>
  <c r="U143" i="95"/>
  <c r="U145" i="95" s="1"/>
  <c r="V139" i="95" s="1"/>
  <c r="W107" i="95"/>
  <c r="W108" i="95"/>
  <c r="W110" i="95" s="1"/>
  <c r="X104" i="95" s="1"/>
  <c r="V138" i="95"/>
  <c r="W109" i="95" l="1"/>
  <c r="W135" i="95" s="1"/>
  <c r="U144" i="95"/>
  <c r="V58" i="8" s="1"/>
  <c r="V71" i="8" s="1"/>
  <c r="X105" i="95"/>
  <c r="X106" i="95" s="1"/>
  <c r="V140" i="95"/>
  <c r="V141" i="95" s="1"/>
  <c r="U170" i="95" l="1"/>
  <c r="U205" i="95" s="1"/>
  <c r="U240" i="95" s="1"/>
  <c r="U275" i="95" s="1"/>
  <c r="U310" i="95" s="1"/>
  <c r="U345" i="95" s="1"/>
  <c r="U380" i="95" s="1"/>
  <c r="U415" i="95" s="1"/>
  <c r="U450" i="95" s="1"/>
  <c r="U485" i="95" s="1"/>
  <c r="U520" i="95" s="1"/>
  <c r="U555" i="95" s="1"/>
  <c r="U590" i="95" s="1"/>
  <c r="U625" i="95" s="1"/>
  <c r="U660" i="95" s="1"/>
  <c r="U695" i="95" s="1"/>
  <c r="U730" i="95" s="1"/>
  <c r="X57" i="8"/>
  <c r="V142" i="95"/>
  <c r="X108" i="95"/>
  <c r="X110" i="95" s="1"/>
  <c r="Y104" i="95" s="1"/>
  <c r="X107" i="95"/>
  <c r="V143" i="95"/>
  <c r="V145" i="95" s="1"/>
  <c r="W139" i="95" s="1"/>
  <c r="W138" i="95"/>
  <c r="X109" i="95" l="1"/>
  <c r="X135" i="95" s="1"/>
  <c r="W140" i="95"/>
  <c r="W141" i="95" s="1"/>
  <c r="Y105" i="95"/>
  <c r="Y106" i="95" s="1"/>
  <c r="V144" i="95"/>
  <c r="Y57" i="8" l="1"/>
  <c r="W58" i="8"/>
  <c r="W71" i="8" s="1"/>
  <c r="V170" i="95"/>
  <c r="V205" i="95" s="1"/>
  <c r="V240" i="95" s="1"/>
  <c r="V275" i="95" s="1"/>
  <c r="V310" i="95" s="1"/>
  <c r="V345" i="95" s="1"/>
  <c r="V380" i="95" s="1"/>
  <c r="V415" i="95" s="1"/>
  <c r="V450" i="95" s="1"/>
  <c r="V485" i="95" s="1"/>
  <c r="V520" i="95" s="1"/>
  <c r="V555" i="95" s="1"/>
  <c r="V590" i="95" s="1"/>
  <c r="V625" i="95" s="1"/>
  <c r="V660" i="95" s="1"/>
  <c r="V695" i="95" s="1"/>
  <c r="V730" i="95" s="1"/>
  <c r="Y108" i="95"/>
  <c r="Y110" i="95" s="1"/>
  <c r="Z104" i="95" s="1"/>
  <c r="Y107" i="95"/>
  <c r="W142" i="95"/>
  <c r="X138" i="95"/>
  <c r="W143" i="95"/>
  <c r="W145" i="95" s="1"/>
  <c r="X139" i="95" s="1"/>
  <c r="Y109" i="95" l="1"/>
  <c r="Z57" i="8" s="1"/>
  <c r="W144" i="95"/>
  <c r="X58" i="8" s="1"/>
  <c r="X71" i="8" s="1"/>
  <c r="X140" i="95"/>
  <c r="X141" i="95" s="1"/>
  <c r="Z105" i="95"/>
  <c r="Z106" i="95" s="1"/>
  <c r="Y135" i="95" l="1"/>
  <c r="W170" i="95"/>
  <c r="W205" i="95" s="1"/>
  <c r="W240" i="95" s="1"/>
  <c r="W275" i="95" s="1"/>
  <c r="W310" i="95" s="1"/>
  <c r="W345" i="95" s="1"/>
  <c r="W380" i="95" s="1"/>
  <c r="W415" i="95" s="1"/>
  <c r="W450" i="95" s="1"/>
  <c r="W485" i="95" s="1"/>
  <c r="W520" i="95" s="1"/>
  <c r="W555" i="95" s="1"/>
  <c r="W590" i="95" s="1"/>
  <c r="W625" i="95" s="1"/>
  <c r="W660" i="95" s="1"/>
  <c r="W695" i="95" s="1"/>
  <c r="W730" i="95" s="1"/>
  <c r="Z107" i="95"/>
  <c r="Z108" i="95"/>
  <c r="Z110" i="95" s="1"/>
  <c r="AA104" i="95" s="1"/>
  <c r="X142" i="95"/>
  <c r="X143" i="95"/>
  <c r="X145" i="95" s="1"/>
  <c r="Y139" i="95" s="1"/>
  <c r="Y138" i="95"/>
  <c r="Y140" i="95" l="1"/>
  <c r="Y141" i="95" s="1"/>
  <c r="Y143" i="95" s="1"/>
  <c r="Y145" i="95" s="1"/>
  <c r="Z139" i="95" s="1"/>
  <c r="AA105" i="95"/>
  <c r="AA106" i="95" s="1"/>
  <c r="X144" i="95"/>
  <c r="Z109" i="95"/>
  <c r="Z140" i="95" l="1"/>
  <c r="Z135" i="95"/>
  <c r="AA57" i="8"/>
  <c r="Y58" i="8"/>
  <c r="Y71" i="8" s="1"/>
  <c r="X170" i="95"/>
  <c r="X205" i="95" s="1"/>
  <c r="X240" i="95" s="1"/>
  <c r="X275" i="95" s="1"/>
  <c r="X310" i="95" s="1"/>
  <c r="X345" i="95" s="1"/>
  <c r="X380" i="95" s="1"/>
  <c r="X415" i="95" s="1"/>
  <c r="X450" i="95" s="1"/>
  <c r="X485" i="95" s="1"/>
  <c r="X520" i="95" s="1"/>
  <c r="X555" i="95" s="1"/>
  <c r="X590" i="95" s="1"/>
  <c r="X625" i="95" s="1"/>
  <c r="X660" i="95" s="1"/>
  <c r="X695" i="95" s="1"/>
  <c r="X730" i="95" s="1"/>
  <c r="AA108" i="95"/>
  <c r="AA110" i="95" s="1"/>
  <c r="AB104" i="95" s="1"/>
  <c r="AA107" i="95"/>
  <c r="Y144" i="95"/>
  <c r="Y142" i="95"/>
  <c r="AB105" i="95" l="1"/>
  <c r="AB106" i="95" s="1"/>
  <c r="Z138" i="95"/>
  <c r="Z58" i="8"/>
  <c r="Z71" i="8" s="1"/>
  <c r="Y170" i="95"/>
  <c r="Y205" i="95" s="1"/>
  <c r="Y240" i="95" s="1"/>
  <c r="Y275" i="95" s="1"/>
  <c r="Y310" i="95" s="1"/>
  <c r="Y345" i="95" s="1"/>
  <c r="Y380" i="95" s="1"/>
  <c r="Y415" i="95" s="1"/>
  <c r="Y450" i="95" s="1"/>
  <c r="Y485" i="95" s="1"/>
  <c r="Y520" i="95" s="1"/>
  <c r="Y555" i="95" s="1"/>
  <c r="Y590" i="95" s="1"/>
  <c r="Y625" i="95" s="1"/>
  <c r="Y660" i="95" s="1"/>
  <c r="Y695" i="95" s="1"/>
  <c r="Y730" i="95" s="1"/>
  <c r="AA109" i="95"/>
  <c r="AA135" i="95" l="1"/>
  <c r="AB57" i="8"/>
  <c r="AB107" i="95"/>
  <c r="AB108" i="95"/>
  <c r="AB110" i="95" s="1"/>
  <c r="AC104" i="95" s="1"/>
  <c r="Z141" i="95"/>
  <c r="AB109" i="95" l="1"/>
  <c r="AB135" i="95" s="1"/>
  <c r="Z142" i="95"/>
  <c r="AC105" i="95"/>
  <c r="AC106" i="95" s="1"/>
  <c r="Z143" i="95"/>
  <c r="Z145" i="95" s="1"/>
  <c r="AA139" i="95" s="1"/>
  <c r="AA138" i="95"/>
  <c r="AC57" i="8" l="1"/>
  <c r="Z144" i="95"/>
  <c r="AA58" i="8" s="1"/>
  <c r="AA71" i="8" s="1"/>
  <c r="AC108" i="95"/>
  <c r="AC110" i="95" s="1"/>
  <c r="AD104" i="95" s="1"/>
  <c r="AC107" i="95"/>
  <c r="AA140" i="95"/>
  <c r="AA141" i="95" s="1"/>
  <c r="AB138" i="95"/>
  <c r="Z170" i="95" l="1"/>
  <c r="Z205" i="95" s="1"/>
  <c r="Z240" i="95" s="1"/>
  <c r="Z275" i="95" s="1"/>
  <c r="Z310" i="95" s="1"/>
  <c r="Z345" i="95" s="1"/>
  <c r="Z380" i="95" s="1"/>
  <c r="Z415" i="95" s="1"/>
  <c r="Z450" i="95" s="1"/>
  <c r="Z485" i="95" s="1"/>
  <c r="Z520" i="95" s="1"/>
  <c r="Z555" i="95" s="1"/>
  <c r="Z590" i="95" s="1"/>
  <c r="Z625" i="95" s="1"/>
  <c r="Z660" i="95" s="1"/>
  <c r="Z695" i="95" s="1"/>
  <c r="Z730" i="95" s="1"/>
  <c r="AC109" i="95"/>
  <c r="AC135" i="95" s="1"/>
  <c r="AA142" i="95"/>
  <c r="AA143" i="95"/>
  <c r="AA145" i="95" s="1"/>
  <c r="AB139" i="95" s="1"/>
  <c r="AD105" i="95"/>
  <c r="AD106" i="95" s="1"/>
  <c r="AD57" i="8" l="1"/>
  <c r="AD108" i="95"/>
  <c r="AD110" i="95" s="1"/>
  <c r="AE104" i="95" s="1"/>
  <c r="AD107" i="95"/>
  <c r="AB140" i="95"/>
  <c r="AB141" i="95" s="1"/>
  <c r="AA144" i="95"/>
  <c r="AC138" i="95"/>
  <c r="AD109" i="95" l="1"/>
  <c r="AD135" i="95" s="1"/>
  <c r="AB58" i="8"/>
  <c r="AB71" i="8" s="1"/>
  <c r="AA170" i="95"/>
  <c r="AA205" i="95" s="1"/>
  <c r="AA240" i="95" s="1"/>
  <c r="AA275" i="95" s="1"/>
  <c r="AA310" i="95" s="1"/>
  <c r="AA345" i="95" s="1"/>
  <c r="AA380" i="95" s="1"/>
  <c r="AA415" i="95" s="1"/>
  <c r="AA450" i="95" s="1"/>
  <c r="AA485" i="95" s="1"/>
  <c r="AA520" i="95" s="1"/>
  <c r="AA555" i="95" s="1"/>
  <c r="AA590" i="95" s="1"/>
  <c r="AA625" i="95" s="1"/>
  <c r="AA660" i="95" s="1"/>
  <c r="AA695" i="95" s="1"/>
  <c r="AA730" i="95" s="1"/>
  <c r="AB142" i="95"/>
  <c r="AB143" i="95"/>
  <c r="AB145" i="95" s="1"/>
  <c r="AC139" i="95" s="1"/>
  <c r="AE105" i="95"/>
  <c r="AE106" i="95" s="1"/>
  <c r="AE57" i="8" l="1"/>
  <c r="AD138" i="95"/>
  <c r="AB144" i="95"/>
  <c r="AC140" i="95"/>
  <c r="AC141" i="95" s="1"/>
  <c r="AE108" i="95"/>
  <c r="AE110" i="95" s="1"/>
  <c r="AF104" i="95" s="1"/>
  <c r="AE107" i="95"/>
  <c r="AF105" i="95" l="1"/>
  <c r="AF106" i="95" s="1"/>
  <c r="AC142" i="95"/>
  <c r="AC143" i="95"/>
  <c r="AC145" i="95" s="1"/>
  <c r="AD139" i="95" s="1"/>
  <c r="AC58" i="8"/>
  <c r="AC71" i="8" s="1"/>
  <c r="AB170" i="95"/>
  <c r="AB205" i="95" s="1"/>
  <c r="AB240" i="95" s="1"/>
  <c r="AB275" i="95" s="1"/>
  <c r="AB310" i="95" s="1"/>
  <c r="AB345" i="95" s="1"/>
  <c r="AB380" i="95" s="1"/>
  <c r="AB415" i="95" s="1"/>
  <c r="AB450" i="95" s="1"/>
  <c r="AB485" i="95" s="1"/>
  <c r="AB520" i="95" s="1"/>
  <c r="AB555" i="95" s="1"/>
  <c r="AB590" i="95" s="1"/>
  <c r="AB625" i="95" s="1"/>
  <c r="AB660" i="95" s="1"/>
  <c r="AB695" i="95" s="1"/>
  <c r="AB730" i="95" s="1"/>
  <c r="AE109" i="95"/>
  <c r="AE135" i="95" l="1"/>
  <c r="AF57" i="8"/>
  <c r="AD140" i="95"/>
  <c r="AD141" i="95" s="1"/>
  <c r="AC144" i="95"/>
  <c r="AF108" i="95"/>
  <c r="AF110" i="95" s="1"/>
  <c r="AG104" i="95" s="1"/>
  <c r="AF107" i="95"/>
  <c r="AG105" i="95" l="1"/>
  <c r="AG106" i="95" s="1"/>
  <c r="AD58" i="8"/>
  <c r="AD71" i="8" s="1"/>
  <c r="AC170" i="95"/>
  <c r="AC205" i="95" s="1"/>
  <c r="AC240" i="95" s="1"/>
  <c r="AC275" i="95" s="1"/>
  <c r="AC310" i="95" s="1"/>
  <c r="AC345" i="95" s="1"/>
  <c r="AC380" i="95" s="1"/>
  <c r="AC415" i="95" s="1"/>
  <c r="AC450" i="95" s="1"/>
  <c r="AC485" i="95" s="1"/>
  <c r="AC520" i="95" s="1"/>
  <c r="AC555" i="95" s="1"/>
  <c r="AC590" i="95" s="1"/>
  <c r="AC625" i="95" s="1"/>
  <c r="AC660" i="95" s="1"/>
  <c r="AC695" i="95" s="1"/>
  <c r="AC730" i="95" s="1"/>
  <c r="AD142" i="95"/>
  <c r="AD143" i="95"/>
  <c r="AD145" i="95" s="1"/>
  <c r="AE139" i="95" s="1"/>
  <c r="AF109" i="95"/>
  <c r="AE138" i="95"/>
  <c r="AF135" i="95" l="1"/>
  <c r="AG57" i="8"/>
  <c r="AE140" i="95"/>
  <c r="AE141" i="95" s="1"/>
  <c r="AE143" i="95" s="1"/>
  <c r="AE145" i="95" s="1"/>
  <c r="AF139" i="95" s="1"/>
  <c r="AD144" i="95"/>
  <c r="AG108" i="95"/>
  <c r="AG110" i="95" s="1"/>
  <c r="AH104" i="95" s="1"/>
  <c r="AG107" i="95"/>
  <c r="AF140" i="95" l="1"/>
  <c r="AH105" i="95"/>
  <c r="AH106" i="95" s="1"/>
  <c r="AE58" i="8"/>
  <c r="AE71" i="8" s="1"/>
  <c r="AD170" i="95"/>
  <c r="AD205" i="95" s="1"/>
  <c r="AD240" i="95" s="1"/>
  <c r="AD275" i="95" s="1"/>
  <c r="AD310" i="95" s="1"/>
  <c r="AD345" i="95" s="1"/>
  <c r="AD380" i="95" s="1"/>
  <c r="AD415" i="95" s="1"/>
  <c r="AD450" i="95" s="1"/>
  <c r="AD485" i="95" s="1"/>
  <c r="AD520" i="95" s="1"/>
  <c r="AD555" i="95" s="1"/>
  <c r="AD590" i="95" s="1"/>
  <c r="AD625" i="95" s="1"/>
  <c r="AD660" i="95" s="1"/>
  <c r="AD695" i="95" s="1"/>
  <c r="AD730" i="95" s="1"/>
  <c r="AE142" i="95"/>
  <c r="AE144" i="95"/>
  <c r="AG109" i="95"/>
  <c r="AF138" i="95"/>
  <c r="AH108" i="95" l="1"/>
  <c r="AH110" i="95" s="1"/>
  <c r="E96" i="95" s="1"/>
  <c r="AH107" i="95"/>
  <c r="AF58" i="8"/>
  <c r="AF71" i="8" s="1"/>
  <c r="AE170" i="95"/>
  <c r="AE205" i="95" s="1"/>
  <c r="AE240" i="95" s="1"/>
  <c r="AE275" i="95" s="1"/>
  <c r="AE310" i="95" s="1"/>
  <c r="AE345" i="95" s="1"/>
  <c r="AE380" i="95" s="1"/>
  <c r="AE415" i="95" s="1"/>
  <c r="AE450" i="95" s="1"/>
  <c r="AE485" i="95" s="1"/>
  <c r="AE520" i="95" s="1"/>
  <c r="AE555" i="95" s="1"/>
  <c r="AE590" i="95" s="1"/>
  <c r="AE625" i="95" s="1"/>
  <c r="AE660" i="95" s="1"/>
  <c r="AE695" i="95" s="1"/>
  <c r="AE730" i="95" s="1"/>
  <c r="AG135" i="95"/>
  <c r="AH57" i="8"/>
  <c r="AF141" i="95"/>
  <c r="AH109" i="95" l="1"/>
  <c r="AH135" i="95" s="1"/>
  <c r="AG138" i="95"/>
  <c r="AF142" i="95"/>
  <c r="AF143" i="95"/>
  <c r="AF145" i="95" s="1"/>
  <c r="AG139" i="95" s="1"/>
  <c r="AI57" i="8" l="1"/>
  <c r="AG140" i="95"/>
  <c r="AG141" i="95" s="1"/>
  <c r="AG143" i="95" s="1"/>
  <c r="AG145" i="95" s="1"/>
  <c r="AH139" i="95" s="1"/>
  <c r="AF144" i="95"/>
  <c r="AH138" i="95"/>
  <c r="AH140" i="95" l="1"/>
  <c r="AH141" i="95" s="1"/>
  <c r="AH143" i="95" s="1"/>
  <c r="AH145" i="95" s="1"/>
  <c r="E131" i="95" s="1"/>
  <c r="AG58" i="8"/>
  <c r="AG71" i="8" s="1"/>
  <c r="AF170" i="95"/>
  <c r="AF205" i="95" s="1"/>
  <c r="AF240" i="95" s="1"/>
  <c r="AF275" i="95" s="1"/>
  <c r="AF310" i="95" s="1"/>
  <c r="AF345" i="95" s="1"/>
  <c r="AF380" i="95" s="1"/>
  <c r="AF415" i="95" s="1"/>
  <c r="AF450" i="95" s="1"/>
  <c r="AF485" i="95" s="1"/>
  <c r="AF520" i="95" s="1"/>
  <c r="AF555" i="95" s="1"/>
  <c r="AF590" i="95" s="1"/>
  <c r="AF625" i="95" s="1"/>
  <c r="AF660" i="95" s="1"/>
  <c r="AF695" i="95" s="1"/>
  <c r="AF730" i="95" s="1"/>
  <c r="AG144" i="95"/>
  <c r="AG142" i="95"/>
  <c r="AH58" i="8" l="1"/>
  <c r="AH71" i="8" s="1"/>
  <c r="AG170" i="95"/>
  <c r="AG205" i="95" s="1"/>
  <c r="AG240" i="95" s="1"/>
  <c r="AG275" i="95" s="1"/>
  <c r="AG310" i="95" s="1"/>
  <c r="AG345" i="95" s="1"/>
  <c r="AG380" i="95" s="1"/>
  <c r="AG415" i="95" s="1"/>
  <c r="AG450" i="95" s="1"/>
  <c r="AG485" i="95" s="1"/>
  <c r="AG520" i="95" s="1"/>
  <c r="AG555" i="95" s="1"/>
  <c r="AG590" i="95" s="1"/>
  <c r="AG625" i="95" s="1"/>
  <c r="AG660" i="95" s="1"/>
  <c r="AG695" i="95" s="1"/>
  <c r="AG730" i="95" s="1"/>
  <c r="AH142" i="95"/>
  <c r="AH144" i="95"/>
  <c r="AI58" i="8" l="1"/>
  <c r="AI71" i="8" s="1"/>
  <c r="AH170" i="95"/>
  <c r="AH205" i="95" s="1"/>
  <c r="AH240" i="95" s="1"/>
  <c r="AH275" i="95" s="1"/>
  <c r="AH310" i="95" s="1"/>
  <c r="AH345" i="95" s="1"/>
  <c r="AH380" i="95" s="1"/>
  <c r="AH415" i="95" s="1"/>
  <c r="AH450" i="95" s="1"/>
  <c r="AH485" i="95" s="1"/>
  <c r="AH520" i="95" s="1"/>
  <c r="AH555" i="95" s="1"/>
  <c r="AH590" i="95" s="1"/>
  <c r="AH625" i="95" s="1"/>
  <c r="AH660" i="95" s="1"/>
  <c r="AH695" i="95" s="1"/>
  <c r="AH730" i="9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9" authorId="0" shapeId="0" xr:uid="{EAA5439F-99A8-4099-9465-B5682577BD22}">
      <text>
        <r>
          <rPr>
            <sz val="9"/>
            <color indexed="81"/>
            <rFont val="Arial"/>
            <family val="2"/>
            <scheme val="minor"/>
          </rPr>
          <t>If more than one affordability type exists, select one that represents the majority of affordable units included in the project.</t>
        </r>
      </text>
    </comment>
    <comment ref="J10" authorId="0" shapeId="0" xr:uid="{AA581572-BF34-4311-A426-813143375586}">
      <text>
        <r>
          <rPr>
            <sz val="9"/>
            <color indexed="81"/>
            <rFont val="Arial"/>
            <family val="2"/>
            <scheme val="minor"/>
          </rPr>
          <t>If more than one construction type exists, select one that represents the majority of affordable units included in the project.</t>
        </r>
      </text>
    </comment>
    <comment ref="E13" authorId="0" shapeId="0" xr:uid="{384E7F6C-6EA4-4E3F-AEC3-50FA43F8A9ED}">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affordable units.</t>
        </r>
        <r>
          <rPr>
            <sz val="9"/>
            <color indexed="81"/>
            <rFont val="Tahoma"/>
            <family val="2"/>
          </rPr>
          <t xml:space="preserve">
</t>
        </r>
      </text>
    </comment>
    <comment ref="E16" authorId="0" shapeId="0" xr:uid="{EA520F67-D837-4CDF-96C9-4DFB25FFF778}">
      <text>
        <r>
          <rPr>
            <sz val="9"/>
            <color indexed="81"/>
            <rFont val="Tahoma"/>
            <family val="2"/>
          </rPr>
          <t>Applicants may find the 5-digit zip code in the linked Census Bureau Geocoding Web site. Enter the site address (approximate if the address has not been established), and scroll to "Address Range Components". The matched zip code is the last piece of data under that subheading.
If multiple, use the Census Tract with most affordable units.</t>
        </r>
      </text>
    </comment>
    <comment ref="E17" authorId="0" shapeId="0" xr:uid="{1D03EC97-F836-4B89-9DB9-A8D7B9165A71}">
      <text>
        <r>
          <rPr>
            <sz val="8"/>
            <color indexed="81"/>
            <rFont val="Arial"/>
            <family val="2"/>
            <scheme val="minor"/>
          </rPr>
          <t>Zip Code Tabulation Areas (ZCTAs) are Census Bureau approximations of USPS Zip Codes and are used to determine the geography of Difficult Development Areas and Small Area Fair Market Rents. Often, the USPS Zip Code and ZCTA are the same.
Applicants may find the 5-digit 2020 ZCTA in the linked ArcGIS map. Click the magnifying glass icon on the righthand side of the screen. A search bar will appear at the top of the screen. Enter the site address (approximate if the address has not been established), then click anywhere in the map to determine the ZCTA.
If multiple, use the ZCTA with most affordable units.</t>
        </r>
      </text>
    </comment>
    <comment ref="E23" authorId="0" shapeId="0" xr:uid="{8BA95998-F46C-413D-B189-732B2DD171AB}">
      <text>
        <r>
          <rPr>
            <sz val="9"/>
            <color indexed="81"/>
            <rFont val="Arial"/>
            <family val="2"/>
            <scheme val="minor"/>
          </rPr>
          <t>When completing the 11-Digit 2020 Census Tract lookup on geocoding.geo.census.gov, the longitude and latitute coordinates are listed just below the matched address.</t>
        </r>
      </text>
    </comment>
    <comment ref="E24" authorId="0" shapeId="0" xr:uid="{B025A755-56FC-4AB0-A87F-F68AD6EE779E}">
      <text>
        <r>
          <rPr>
            <sz val="9"/>
            <color indexed="81"/>
            <rFont val="Arial"/>
            <family val="2"/>
            <scheme val="minor"/>
          </rPr>
          <t>When completing the 11-Digit 2020 Census Tract lookup on geocoding.geo.census.gov, the longitude and latitute coordinates are listed just below the matched address.</t>
        </r>
      </text>
    </comment>
    <comment ref="E25" authorId="0" shapeId="0" xr:uid="{6E2A88E8-D901-4C98-B37B-1560980BA986}">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6" authorId="0" shapeId="0" xr:uid="{66000737-57DA-4A9E-A51B-BFE36BAB6CBB}">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7" authorId="0" shapeId="0" xr:uid="{3B74B069-3739-4489-A363-E1A120190961}">
      <text>
        <r>
          <rPr>
            <sz val="9"/>
            <color indexed="81"/>
            <rFont val="Arial"/>
            <family val="2"/>
            <scheme val="minor"/>
          </rPr>
          <t>When searching for the 11-Digit 2020 Census Tract on geocoding.geo.census.gov, the last output item is the Congressional District. Input just the number after "Congressional District" in the Name field.</t>
        </r>
      </text>
    </comment>
    <comment ref="C130" authorId="0" shapeId="0" xr:uid="{6D022191-4F9C-4D7D-9BB1-C1A247DEB302}">
      <text>
        <r>
          <rPr>
            <sz val="9"/>
            <color indexed="81"/>
            <rFont val="Arial"/>
            <family val="2"/>
            <scheme val="minor"/>
          </rPr>
          <t xml:space="preserve">Measure from exterior face of exterior building, including structured exterior spaces (stair, balcony, portico). </t>
        </r>
      </text>
    </comment>
    <comment ref="C131" authorId="0" shapeId="0" xr:uid="{B56EAADD-8BD1-43DE-8533-90DF4DB61972}">
      <text>
        <r>
          <rPr>
            <sz val="9"/>
            <color indexed="81"/>
            <rFont val="Arial"/>
            <family val="2"/>
            <scheme val="minor"/>
          </rPr>
          <t>Legally separate space under control of another program or condominimized legal separation.</t>
        </r>
      </text>
    </comment>
    <comment ref="C132" authorId="0" shapeId="0" xr:uid="{AF5F8A24-1E73-4877-9C4D-632E05A9C0E1}">
      <text>
        <r>
          <rPr>
            <sz val="9"/>
            <color indexed="81"/>
            <rFont val="Arial"/>
            <family val="2"/>
            <scheme val="minor"/>
          </rPr>
          <t>Includes garages, storage, and other spaces for which residents must pay a fee for use/access.</t>
        </r>
      </text>
    </comment>
    <comment ref="C133" authorId="0" shapeId="0" xr:uid="{F2DA092A-F9AC-4A40-80B2-D97BE93A2B18}">
      <text>
        <r>
          <rPr>
            <sz val="9"/>
            <color indexed="81"/>
            <rFont val="Tahoma"/>
            <family val="2"/>
          </rPr>
          <t>Includes lofts, mezzanine and restricted headroom areas</t>
        </r>
      </text>
    </comment>
    <comment ref="C134" authorId="0" shapeId="0" xr:uid="{A40B33F6-5105-4BF4-8848-FFE935A8B245}">
      <text>
        <r>
          <rPr>
            <sz val="9"/>
            <color indexed="81"/>
            <rFont val="Arial"/>
            <family val="2"/>
            <scheme val="minor"/>
          </rPr>
          <t>Includes lofts, mezzanine and restricted headroom areas</t>
        </r>
      </text>
    </comment>
    <comment ref="C135" authorId="0" shapeId="0" xr:uid="{C562C531-1754-4DF3-BBD0-B48A647BC61D}">
      <text>
        <r>
          <rPr>
            <sz val="9"/>
            <color indexed="81"/>
            <rFont val="Arial"/>
            <family val="2"/>
            <scheme val="minor"/>
          </rPr>
          <t>Includes lofts, mezzanine and restricted headroom areas</t>
        </r>
      </text>
    </comment>
    <comment ref="C136" authorId="0" shapeId="0" xr:uid="{91A8A05F-4DE8-4DB1-9392-27D57EE7A0AA}">
      <text>
        <r>
          <rPr>
            <sz val="9"/>
            <color indexed="81"/>
            <rFont val="Arial"/>
            <family val="2"/>
            <scheme val="minor"/>
          </rPr>
          <t>Public restrooms, community rooms, libraries, offices, meeting rooms, kitchens, car canopy, portico, fitness rooms, laundry, mailboxes.</t>
        </r>
      </text>
    </comment>
    <comment ref="C137" authorId="0" shapeId="0" xr:uid="{DF00DE02-4862-4597-B874-0596355821E9}">
      <text>
        <r>
          <rPr>
            <sz val="9"/>
            <color indexed="81"/>
            <rFont val="Arial"/>
            <family val="2"/>
            <scheme val="minor"/>
          </rPr>
          <t>Public hallways, stairways,  and corridors to residential units.</t>
        </r>
      </text>
    </comment>
    <comment ref="C138" authorId="0" shapeId="0" xr:uid="{20153D12-1A77-4EED-8F82-07B0E4DC4456}">
      <text>
        <r>
          <rPr>
            <sz val="9"/>
            <color indexed="81"/>
            <rFont val="Arial"/>
            <family val="2"/>
            <scheme val="minor"/>
          </rPr>
          <t>Counseling space, wellness and health clinic areas, day care centers, etc.</t>
        </r>
      </text>
    </comment>
    <comment ref="C139" authorId="0" shapeId="0" xr:uid="{47B7EDD9-FAE4-4959-877E-047743A904B3}">
      <text>
        <r>
          <rPr>
            <sz val="9"/>
            <color indexed="81"/>
            <rFont val="Arial"/>
            <family val="2"/>
            <scheme val="minor"/>
          </rPr>
          <t>Exterior spaces with access only through residential unit. i.e. balcony/porch/deck (patios without roof are not included)</t>
        </r>
      </text>
    </comment>
    <comment ref="C140" authorId="0" shapeId="0" xr:uid="{B31F9C6A-60D7-4707-BA69-1F328AEDCF3E}">
      <text>
        <r>
          <rPr>
            <sz val="9"/>
            <color indexed="81"/>
            <rFont val="Arial"/>
            <family val="2"/>
            <scheme val="minor"/>
          </rPr>
          <t>Electrical, mechanical, elevator room, sprinkler room, janitorial, trash, maintenance, storage that is not for tenant use.</t>
        </r>
      </text>
    </comment>
    <comment ref="C141" authorId="0" shapeId="0" xr:uid="{75600A34-7A73-480A-A2C7-ADFE62CCA77E}">
      <text>
        <r>
          <rPr>
            <sz val="9"/>
            <color indexed="81"/>
            <rFont val="Arial"/>
            <family val="2"/>
            <scheme val="minor"/>
          </rPr>
          <t>Tenant storage outside of unit.</t>
        </r>
        <r>
          <rPr>
            <sz val="9"/>
            <color indexed="81"/>
            <rFont val="Tahoma"/>
            <family val="2"/>
          </rPr>
          <t xml:space="preserve">
</t>
        </r>
      </text>
    </comment>
    <comment ref="C142" authorId="0" shapeId="0" xr:uid="{0392E45A-C9EB-4779-A264-57B06A171478}">
      <text>
        <r>
          <rPr>
            <sz val="9"/>
            <color indexed="81"/>
            <rFont val="Arial"/>
            <family val="2"/>
            <scheme val="minor"/>
          </rPr>
          <t>Includes duct shafts, stair shaft, elevator shaft, space open to below.</t>
        </r>
        <r>
          <rPr>
            <sz val="9"/>
            <color indexed="81"/>
            <rFont val="Tahoma"/>
            <family val="2"/>
          </rPr>
          <t xml:space="preserve">
</t>
        </r>
      </text>
    </comment>
    <comment ref="C143" authorId="0" shapeId="0" xr:uid="{5B5DA909-C6FB-45A4-94E8-380C7206BA86}">
      <text>
        <r>
          <rPr>
            <sz val="9"/>
            <color indexed="81"/>
            <rFont val="Arial"/>
            <family val="2"/>
            <scheme val="minor"/>
          </rPr>
          <t>Free standing maintenance buildings are included in support.</t>
        </r>
        <r>
          <rPr>
            <sz val="9"/>
            <color indexed="81"/>
            <rFont val="Tahoma"/>
            <family val="2"/>
          </rPr>
          <t xml:space="preserve">
</t>
        </r>
      </text>
    </comment>
    <comment ref="C144" authorId="0" shapeId="0" xr:uid="{04DDEE5B-2A67-4D6F-AF48-6E0188FE9A44}">
      <text>
        <r>
          <rPr>
            <sz val="9"/>
            <color indexed="81"/>
            <rFont val="Arial"/>
            <family val="2"/>
            <scheme val="minor"/>
          </rPr>
          <t>Includes spaces with a minimum of 7' clear head height. Spaces less than 7' are crawl spaces per RCO 305.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3" authorId="0" shapeId="0" xr:uid="{603A62D4-2AA2-4031-BCAA-0F17A321B371}">
      <text>
        <r>
          <rPr>
            <sz val="9"/>
            <color indexed="81"/>
            <rFont val="Tahoma"/>
            <family val="2"/>
          </rPr>
          <t>Zip Code Tabulation Areas (ZCTAs) are Census Bureau approximations of USPS Zip Codes and are used to determine the geography of Difficult Development Areas and Small Area Fair Market Rents. Often, the USPS Zip Code and ZCTA are the same.
Applicants may find the 5-digit 2020 ZCTA in the linked ArcGIS map. Click the magnifying glass icon on the righthand side of the screen. A search bar will appear at the top of the screen. Enter the site address (approximate if the address has not been established), then click anywhere in the map to determine the ZCTA.
If multiple, use the ZCTA with most affordable units.</t>
        </r>
      </text>
    </comment>
    <comment ref="K13" authorId="0" shapeId="0" xr:uid="{AE99B18B-4E81-4BBC-9A86-FFEB7F01BF5E}">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text>
    </comment>
    <comment ref="X13" authorId="0" shapeId="0" xr:uid="{7EE839E5-06F2-4338-94BA-4AAC1170B990}">
      <text>
        <r>
          <rPr>
            <b/>
            <sz val="9"/>
            <color indexed="81"/>
            <rFont val="Arial"/>
            <family val="2"/>
            <scheme val="minor"/>
          </rPr>
          <t xml:space="preserve">Building Definitions
</t>
        </r>
        <r>
          <rPr>
            <u/>
            <sz val="9"/>
            <color indexed="81"/>
            <rFont val="Arial"/>
            <family val="2"/>
            <scheme val="minor"/>
          </rPr>
          <t xml:space="preserve">
Single Family:</t>
        </r>
        <r>
          <rPr>
            <sz val="9"/>
            <color indexed="81"/>
            <rFont val="Arial"/>
            <family val="2"/>
            <scheme val="minor"/>
          </rPr>
          <t xml:space="preserve"> One building consisting of one unit</t>
        </r>
        <r>
          <rPr>
            <u/>
            <sz val="9"/>
            <color indexed="81"/>
            <rFont val="Arial"/>
            <family val="2"/>
            <scheme val="minor"/>
          </rPr>
          <t xml:space="preserve">
Duplex</t>
        </r>
        <r>
          <rPr>
            <sz val="9"/>
            <color indexed="81"/>
            <rFont val="Arial"/>
            <family val="2"/>
            <scheme val="minor"/>
          </rPr>
          <t xml:space="preserve">: One building consisting of two units
</t>
        </r>
        <r>
          <rPr>
            <u/>
            <sz val="9"/>
            <color indexed="81"/>
            <rFont val="Arial"/>
            <family val="2"/>
            <scheme val="minor"/>
          </rPr>
          <t>Triplex</t>
        </r>
        <r>
          <rPr>
            <sz val="9"/>
            <color indexed="81"/>
            <rFont val="Arial"/>
            <family val="2"/>
            <scheme val="minor"/>
          </rPr>
          <t xml:space="preserve">: One building consisting of three units
</t>
        </r>
        <r>
          <rPr>
            <u/>
            <sz val="9"/>
            <color indexed="81"/>
            <rFont val="Arial"/>
            <family val="2"/>
            <scheme val="minor"/>
          </rPr>
          <t>Quadplex</t>
        </r>
        <r>
          <rPr>
            <sz val="9"/>
            <color indexed="81"/>
            <rFont val="Arial"/>
            <family val="2"/>
            <scheme val="minor"/>
          </rPr>
          <t xml:space="preserve">: One building consisting of four units
</t>
        </r>
        <r>
          <rPr>
            <u/>
            <sz val="9"/>
            <color indexed="81"/>
            <rFont val="Arial"/>
            <family val="2"/>
            <scheme val="minor"/>
          </rPr>
          <t>Low-Rise Multifamily</t>
        </r>
        <r>
          <rPr>
            <sz val="9"/>
            <color indexed="81"/>
            <rFont val="Arial"/>
            <family val="2"/>
            <scheme val="minor"/>
          </rPr>
          <t xml:space="preserve">: One building consisting of more than four units with 1 to 4 stories
</t>
        </r>
        <r>
          <rPr>
            <u/>
            <sz val="9"/>
            <color indexed="81"/>
            <rFont val="Arial"/>
            <family val="2"/>
            <scheme val="minor"/>
          </rPr>
          <t>Mid-Rise Multifamily</t>
        </r>
        <r>
          <rPr>
            <sz val="9"/>
            <color indexed="81"/>
            <rFont val="Arial"/>
            <family val="2"/>
            <scheme val="minor"/>
          </rPr>
          <t xml:space="preserve">: One building consisting of more than four units with 5 to 12 stories
</t>
        </r>
        <r>
          <rPr>
            <u/>
            <sz val="9"/>
            <color indexed="81"/>
            <rFont val="Arial"/>
            <family val="2"/>
            <scheme val="minor"/>
          </rPr>
          <t>High-Rise Multifamily</t>
        </r>
        <r>
          <rPr>
            <sz val="9"/>
            <color indexed="81"/>
            <rFont val="Arial"/>
            <family val="2"/>
            <scheme val="minor"/>
          </rPr>
          <t>: One building consisting of more than four units with 12 or more stories</t>
        </r>
      </text>
    </comment>
    <comment ref="C100" authorId="0" shapeId="0" xr:uid="{E09399E8-4C1D-465D-964A-F43A0B4EC019}">
      <text>
        <r>
          <rPr>
            <sz val="9"/>
            <color indexed="81"/>
            <rFont val="Arial"/>
            <family val="2"/>
            <scheme val="minor"/>
          </rPr>
          <t>All non-dwelling space must be provided, even if included in LIHTC eligible basis (including detached community buildings).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9" authorId="0" shapeId="0" xr:uid="{0A2DA4DD-CB98-4BD0-A9B8-1F62A0ECEAF6}">
      <text>
        <r>
          <rPr>
            <sz val="9"/>
            <color indexed="81"/>
            <rFont val="Arial"/>
            <family val="2"/>
            <scheme val="minor"/>
          </rPr>
          <t>A community service facility (CSF) is defined in 26 U.S.C. §42(d)(4)(C)(iii) as a facility designed to primarily serve individuals with incomes at or below 60% of the Area Median Income (AMI). Revenue Ruling 2003-77 further clarified that the facility must be located on the same tract of land as one of the project buildings and that fees must also be affordable to individuals at or below 60% AMI. Unlike other commercial space, CSF space is includable in LIHTC eligible basis.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67" authorId="0" shapeId="0" xr:uid="{855AE176-74D7-410D-9ED7-62D7D154232F}">
      <text>
        <r>
          <rPr>
            <b/>
            <u/>
            <sz val="8"/>
            <color indexed="81"/>
            <rFont val="Arial"/>
            <family val="2"/>
            <scheme val="minor"/>
          </rPr>
          <t xml:space="preserve">Note to Applicants:
</t>
        </r>
        <r>
          <rPr>
            <i/>
            <sz val="8"/>
            <color indexed="81"/>
            <rFont val="Arial"/>
            <family val="2"/>
            <scheme val="minor"/>
          </rPr>
          <t>Pari passu</t>
        </r>
        <r>
          <rPr>
            <sz val="8"/>
            <color indexed="81"/>
            <rFont val="Arial"/>
            <family val="2"/>
            <scheme val="minor"/>
          </rPr>
          <t xml:space="preserve"> is Latin for "equal footing" and is used here to denote cash flow contingent sources that share the same position. For example, if more than one HDAP source is being included, they share the same position and split the cash flow of that position equally.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9" authorId="0" shapeId="0" xr:uid="{CB9E0253-C64B-4EAC-A603-259C4FC7F0FC}">
      <text>
        <r>
          <rPr>
            <sz val="9"/>
            <color indexed="81"/>
            <rFont val="Arial"/>
            <family val="2"/>
            <scheme val="minor"/>
          </rPr>
          <t xml:space="preserve">Amenity Fee items include items that tenants must pay a fee to use, such as garages, carports, pools, and recreation rooms.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47" authorId="0" shapeId="0" xr:uid="{A187DE4F-E5B2-4FA6-96A2-65CAA34D24B3}">
      <text>
        <r>
          <rPr>
            <sz val="9"/>
            <color indexed="81"/>
            <rFont val="Tahoma"/>
            <family val="2"/>
          </rPr>
          <t>This is the percentage of the overall LIHTC ownership entity anticipated to be owned by either the limited partner (if structured as a limited partnership) or investor member (if structured as a limited liability corporation)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51" authorId="0" shapeId="0" xr:uid="{97C4D4E2-B40A-4133-955D-1243371F3BB9}">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 ref="F105" authorId="0" shapeId="0" xr:uid="{8A35FEFA-1F95-4F2D-A68F-9B779798778F}">
      <text>
        <r>
          <rPr>
            <sz val="9"/>
            <color indexed="81"/>
            <rFont val="Tahoma"/>
            <family val="2"/>
          </rPr>
          <t>Start at the next percentage higher than the cell above until the cell to the right says "The minimum HDAP Share Ratio is met."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54" authorId="0" shapeId="0" xr:uid="{109481A6-64DD-4ACB-8ADA-756CC2DD41B7}">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<sst xmlns="http://schemas.openxmlformats.org/spreadsheetml/2006/main" count="28144" uniqueCount="4616">
  <si>
    <t>Instructions</t>
  </si>
  <si>
    <t>Program Certification</t>
  </si>
  <si>
    <t>Project Name</t>
  </si>
  <si>
    <t>County</t>
  </si>
  <si>
    <t>Data</t>
  </si>
  <si>
    <t>Adams</t>
  </si>
  <si>
    <t>Yes</t>
  </si>
  <si>
    <t>Allen</t>
  </si>
  <si>
    <t>No</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</si>
  <si>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</si>
  <si>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</si>
  <si>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</si>
  <si>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</si>
  <si>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</si>
  <si>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</si>
  <si>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</si>
  <si>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</si>
  <si>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</si>
  <si>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</si>
  <si>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</si>
  <si>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</si>
  <si>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</si>
  <si>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</si>
  <si>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</si>
  <si>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</si>
  <si>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</si>
  <si>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</si>
  <si>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</si>
  <si>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</si>
  <si>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</si>
  <si>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</si>
  <si>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</si>
  <si>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</si>
  <si>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</si>
  <si>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</si>
  <si>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</si>
  <si>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</si>
  <si>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</si>
  <si>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</si>
  <si>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</si>
  <si>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</si>
  <si>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</si>
  <si>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</si>
  <si>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</si>
  <si>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</si>
  <si>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</si>
  <si>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</si>
  <si>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</si>
  <si>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Lake</t>
  </si>
  <si>
    <t>Lawrence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</si>
  <si>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</si>
  <si>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</si>
  <si>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</si>
  <si>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</si>
  <si>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</si>
  <si>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</si>
  <si>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</si>
  <si>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</si>
  <si>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</si>
  <si>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</si>
  <si>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</si>
  <si>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</si>
  <si>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</si>
  <si>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</si>
  <si>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</si>
  <si>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</si>
  <si>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</si>
  <si>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</si>
  <si>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</si>
  <si>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</si>
  <si>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</si>
  <si>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</si>
  <si>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</si>
  <si>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</si>
  <si>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</si>
  <si>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</si>
  <si>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</si>
  <si>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</si>
  <si>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</si>
  <si>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</si>
  <si>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</si>
  <si>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</si>
  <si>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</si>
  <si>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</si>
  <si>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</si>
  <si>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</si>
  <si>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</si>
  <si>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</si>
  <si>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</si>
  <si>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</si>
  <si>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</si>
  <si>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</si>
  <si>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</si>
  <si>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</si>
  <si>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Address</t>
  </si>
  <si>
    <t>City</t>
  </si>
  <si>
    <t>State</t>
  </si>
  <si>
    <t>Title</t>
  </si>
  <si>
    <t>Organization</t>
  </si>
  <si>
    <t>Project Manager</t>
  </si>
  <si>
    <t>Other</t>
  </si>
  <si>
    <t>Total</t>
  </si>
  <si>
    <t>Type of Site Control</t>
  </si>
  <si>
    <t>Type of Construction</t>
  </si>
  <si>
    <t>New Construction</t>
  </si>
  <si>
    <t>Rehabilitation</t>
  </si>
  <si>
    <t>Census Tract</t>
  </si>
  <si>
    <t>Building Type</t>
  </si>
  <si>
    <t>Accessory Buildings</t>
  </si>
  <si>
    <t>Recreation Facilities</t>
  </si>
  <si>
    <t>Commercial Facilities</t>
  </si>
  <si>
    <t>Basement</t>
  </si>
  <si>
    <t>Gross Square Footage - Non-Low Income floor area</t>
  </si>
  <si>
    <t>Net Rentable Square Footage/ Total number of Low Income Units</t>
  </si>
  <si>
    <t>Knox</t>
  </si>
  <si>
    <t>Laundry Revenue</t>
  </si>
  <si>
    <t>Tenant Charges/Fees</t>
  </si>
  <si>
    <t>Elderly Care/Service Delivery</t>
  </si>
  <si>
    <t>Effective Gross Income</t>
  </si>
  <si>
    <t>Advertising and Marketing</t>
  </si>
  <si>
    <t>Office Expenses</t>
  </si>
  <si>
    <t>Administrative Salaries</t>
  </si>
  <si>
    <t>Telephone</t>
  </si>
  <si>
    <t>Management Fee</t>
  </si>
  <si>
    <t xml:space="preserve">Management Salary </t>
  </si>
  <si>
    <t>Legal Expense</t>
  </si>
  <si>
    <t>Audit Expense</t>
  </si>
  <si>
    <t>Accounting Fees</t>
  </si>
  <si>
    <t>Bad Debts</t>
  </si>
  <si>
    <t>Tenant Relations</t>
  </si>
  <si>
    <t>Misc. Administrative Expenses</t>
  </si>
  <si>
    <t>Electricity</t>
  </si>
  <si>
    <t>Water</t>
  </si>
  <si>
    <t>Gas</t>
  </si>
  <si>
    <t>Sewer</t>
  </si>
  <si>
    <t>Elevator</t>
  </si>
  <si>
    <t>Garbage/Trash Removal</t>
  </si>
  <si>
    <t>Van Driver Payroll</t>
  </si>
  <si>
    <t>Janitor Payroll</t>
  </si>
  <si>
    <t>Maintenance Payroll</t>
  </si>
  <si>
    <t>Maintenance Supplies</t>
  </si>
  <si>
    <t>Painting and Decorating</t>
  </si>
  <si>
    <t>HVAC Maintenance</t>
  </si>
  <si>
    <t>Snow Removal/Landscaping</t>
  </si>
  <si>
    <t xml:space="preserve">Vehicle Operation and Repairs </t>
  </si>
  <si>
    <t>Rent Concessions/Incentives</t>
  </si>
  <si>
    <t>Extermination</t>
  </si>
  <si>
    <t>Operating/Maintenance Contracts</t>
  </si>
  <si>
    <t>Real Estate Taxes</t>
  </si>
  <si>
    <t>Payroll Taxes</t>
  </si>
  <si>
    <t>Property/Liability Insurance</t>
  </si>
  <si>
    <t>Fidelity Bond Insurance</t>
  </si>
  <si>
    <t>Workers Compensation</t>
  </si>
  <si>
    <t>Health Insurance/Benefits</t>
  </si>
  <si>
    <t>Replacement Reserves</t>
  </si>
  <si>
    <t>Net Operating Income</t>
  </si>
  <si>
    <t xml:space="preserve">Heat </t>
  </si>
  <si>
    <t xml:space="preserve">Electric </t>
  </si>
  <si>
    <t xml:space="preserve">Water </t>
  </si>
  <si>
    <t xml:space="preserve">Sewer </t>
  </si>
  <si>
    <t xml:space="preserve">Trash </t>
  </si>
  <si>
    <t>Construction Loan</t>
  </si>
  <si>
    <t>Deferred Developer Fee</t>
  </si>
  <si>
    <t>Amount</t>
  </si>
  <si>
    <t>Interest Rate</t>
  </si>
  <si>
    <t>Acquisition</t>
  </si>
  <si>
    <t>Land Broker Fees</t>
  </si>
  <si>
    <t xml:space="preserve">Survey(s) Costs </t>
  </si>
  <si>
    <t xml:space="preserve">Architectural Fees </t>
  </si>
  <si>
    <t xml:space="preserve">Engineering Fees </t>
  </si>
  <si>
    <t xml:space="preserve">Appraisal </t>
  </si>
  <si>
    <t xml:space="preserve">Market Study </t>
  </si>
  <si>
    <t xml:space="preserve">Environmental Report </t>
  </si>
  <si>
    <t xml:space="preserve">Title &amp; Recording </t>
  </si>
  <si>
    <t>Demolition</t>
  </si>
  <si>
    <t xml:space="preserve">Off-Site Improvements </t>
  </si>
  <si>
    <t xml:space="preserve">On-Site Improvements </t>
  </si>
  <si>
    <t xml:space="preserve">General Requirements </t>
  </si>
  <si>
    <t>Permit</t>
  </si>
  <si>
    <t>Site Security</t>
  </si>
  <si>
    <t xml:space="preserve">Hard Construction (Residential New Const.) </t>
  </si>
  <si>
    <t xml:space="preserve">Hard Construction (Commercial) </t>
  </si>
  <si>
    <t xml:space="preserve">Construction Contingency </t>
  </si>
  <si>
    <t>Furniture, Fixtures &amp; Equipment</t>
  </si>
  <si>
    <t xml:space="preserve">Contractor Overhead </t>
  </si>
  <si>
    <t xml:space="preserve">Contractor Profit </t>
  </si>
  <si>
    <t xml:space="preserve">Construction Insurance </t>
  </si>
  <si>
    <t xml:space="preserve">Construction Interest </t>
  </si>
  <si>
    <t xml:space="preserve">Construction Loan(s) Fees </t>
  </si>
  <si>
    <t xml:space="preserve">Permanent Loan(s) Fees </t>
  </si>
  <si>
    <t xml:space="preserve">Impact Fees/Tap Fees/Taxes </t>
  </si>
  <si>
    <t xml:space="preserve">Rent-up Costs/Marketing </t>
  </si>
  <si>
    <t xml:space="preserve">Legal Fees (not syndication related) </t>
  </si>
  <si>
    <t xml:space="preserve">Accounting Fees </t>
  </si>
  <si>
    <t>Hard Construction</t>
  </si>
  <si>
    <t>Professional Fees</t>
  </si>
  <si>
    <t>Commercial Costs (Non-Construction)</t>
  </si>
  <si>
    <t>Elevator?</t>
  </si>
  <si>
    <t>Purchase Price</t>
  </si>
  <si>
    <t>Total Units</t>
  </si>
  <si>
    <t>Housing Development Loan</t>
  </si>
  <si>
    <t>Per Unit</t>
  </si>
  <si>
    <t>Loan Term (Years)</t>
  </si>
  <si>
    <t>Management Company</t>
  </si>
  <si>
    <t>Predevelopment Planning</t>
  </si>
  <si>
    <t>Site Selection</t>
  </si>
  <si>
    <t>Development Team Selection</t>
  </si>
  <si>
    <t>Design</t>
  </si>
  <si>
    <t>Feasibility Analysis</t>
  </si>
  <si>
    <t>Financing Arrangements</t>
  </si>
  <si>
    <t>Contractor Selection</t>
  </si>
  <si>
    <t>Construction Management</t>
  </si>
  <si>
    <t>Construction Close-out</t>
  </si>
  <si>
    <t>Marketing</t>
  </si>
  <si>
    <t>Lease-up of Rental Units</t>
  </si>
  <si>
    <t>Ongoing Project Compliance</t>
  </si>
  <si>
    <t>General Contractor</t>
  </si>
  <si>
    <t>Predevelopment</t>
  </si>
  <si>
    <t>Site Development</t>
  </si>
  <si>
    <t>IN WITNESS WHEREOF, the undersigned has caused this document to be duly executed in its name on</t>
  </si>
  <si>
    <t>this</t>
  </si>
  <si>
    <t xml:space="preserve">day of </t>
  </si>
  <si>
    <t>Legal Name of Actual or Proposed Ownership Entity</t>
  </si>
  <si>
    <t>BY:</t>
  </si>
  <si>
    <t>Print Name</t>
  </si>
  <si>
    <t>Architect of Record</t>
  </si>
  <si>
    <t>Developer Fee</t>
  </si>
  <si>
    <t>Developer-Charged Financing Fees</t>
  </si>
  <si>
    <t>Adjusted Basis with Boost</t>
  </si>
  <si>
    <t xml:space="preserve">Other: </t>
  </si>
  <si>
    <t>Project Address</t>
  </si>
  <si>
    <t>Project County</t>
  </si>
  <si>
    <t>Development Consultant</t>
  </si>
  <si>
    <t>Townhome</t>
  </si>
  <si>
    <t>Relocation Costs</t>
  </si>
  <si>
    <t>Single Family</t>
  </si>
  <si>
    <t>Manager Units</t>
  </si>
  <si>
    <t>Description, Including Purpose and Building Age</t>
  </si>
  <si>
    <t>Ownership Type</t>
  </si>
  <si>
    <t>If "Other," Describe</t>
  </si>
  <si>
    <t>Income to Expense Ratio</t>
  </si>
  <si>
    <t>Management Company Name</t>
  </si>
  <si>
    <t>Common Area (Public) + Common Area (Circulation) / Gross Square Footage</t>
  </si>
  <si>
    <t>LI unit area + Common Area (Circulation) + Limited Common Area (Private) + Tenant Storage</t>
  </si>
  <si>
    <t>Commercial Space Condo Areas + Commercial Areas + Market Rate Unit Area</t>
  </si>
  <si>
    <t>total floor space of the residential rental units in the project</t>
  </si>
  <si>
    <t>total floor space of the low-income units in the project</t>
  </si>
  <si>
    <t>Scattered Site?</t>
  </si>
  <si>
    <t>Adaptive Reuse</t>
  </si>
  <si>
    <t>30% AMI</t>
  </si>
  <si>
    <t>40% AMI</t>
  </si>
  <si>
    <t>50% AMI</t>
  </si>
  <si>
    <t>60% AMI</t>
  </si>
  <si>
    <t>70% AMI</t>
  </si>
  <si>
    <t>80% AMI</t>
  </si>
  <si>
    <t>20% AMI</t>
  </si>
  <si>
    <t>Service Income</t>
  </si>
  <si>
    <t xml:space="preserve">• Error messages may appear and must be resolved by the applicant prior to submission. </t>
  </si>
  <si>
    <t xml:space="preserve">Full-time employee units only per IRS Revenue Ruling 92-61 (common space). </t>
  </si>
  <si>
    <t>ERROR Exceeds Credits Allowable</t>
  </si>
  <si>
    <t>Year 1</t>
  </si>
  <si>
    <t>Year 15</t>
  </si>
  <si>
    <t>Gross LIHTC Equity</t>
  </si>
  <si>
    <t>LIHTC Net Equity Factor</t>
  </si>
  <si>
    <t>LIHTC Type</t>
  </si>
  <si>
    <t>N/A</t>
  </si>
  <si>
    <t>2020 Census Tract GEOID</t>
  </si>
  <si>
    <t>Lima, OH MSA</t>
  </si>
  <si>
    <t>Wheeling, WV-OH MSA</t>
  </si>
  <si>
    <t>Canton-Massillon, OH MSA</t>
  </si>
  <si>
    <t>Springfield, OH MSA</t>
  </si>
  <si>
    <t>Toledo, OH MSA</t>
  </si>
  <si>
    <t>Weirton-Steubenville, WV-OH MSA</t>
  </si>
  <si>
    <t>Akron, OH MSA</t>
  </si>
  <si>
    <t>Mansfield, OH MSA</t>
  </si>
  <si>
    <t>Cincinnati</t>
  </si>
  <si>
    <t>Akron</t>
  </si>
  <si>
    <t>Dayton</t>
  </si>
  <si>
    <t>Columbus</t>
  </si>
  <si>
    <t>Toledo</t>
  </si>
  <si>
    <t>Lima</t>
  </si>
  <si>
    <t>Springfield</t>
  </si>
  <si>
    <t>Mansfield</t>
  </si>
  <si>
    <t>11-Digit 2020 Census Tract</t>
  </si>
  <si>
    <t>County Name</t>
  </si>
  <si>
    <t>Unit Type (Bedrooms)</t>
  </si>
  <si>
    <t>Assumed Occupancy (Persons)</t>
  </si>
  <si>
    <t>Occupancy Assumptions</t>
  </si>
  <si>
    <t>Lead Developer</t>
  </si>
  <si>
    <t>Link to Data:</t>
  </si>
  <si>
    <t>Click here</t>
  </si>
  <si>
    <t>See 26 U.S.C. §42(g)(2)(C).</t>
  </si>
  <si>
    <t>Rural</t>
  </si>
  <si>
    <t>Construction Funding Source</t>
  </si>
  <si>
    <t>Autocalculates based on info to left</t>
  </si>
  <si>
    <t>Construction Sources</t>
  </si>
  <si>
    <t>Basic Project Information</t>
  </si>
  <si>
    <t>Development and Operations Team</t>
  </si>
  <si>
    <t>Project Name:</t>
  </si>
  <si>
    <t>Address:</t>
  </si>
  <si>
    <t>County:</t>
  </si>
  <si>
    <t>Variance</t>
  </si>
  <si>
    <t>2020 ZCTA</t>
  </si>
  <si>
    <t>Columbus, OH HUD Metro FMR Area</t>
  </si>
  <si>
    <t>Cincinnati, OH-KY-IN  HUD Metro FMR Area</t>
  </si>
  <si>
    <t>Huntington-Ashland, WV-KY-OH HUD Metro FMR Area</t>
  </si>
  <si>
    <t>Perry County, OH HUD Metro FMR Area</t>
  </si>
  <si>
    <t>Hocking County, OH HUD Metro FMR Area</t>
  </si>
  <si>
    <t>Union County, OH HUD Metro FMR Area</t>
  </si>
  <si>
    <t>Brown County, OH HUD Metro FMR Area</t>
  </si>
  <si>
    <t>Ottawa County, OH HUD Metro FMR Area</t>
  </si>
  <si>
    <t>Ohio City PJs</t>
  </si>
  <si>
    <t>Ohio County PJs</t>
  </si>
  <si>
    <t>Consortium?</t>
  </si>
  <si>
    <t>Canton</t>
  </si>
  <si>
    <t>Cleveland</t>
  </si>
  <si>
    <t>East Cleveland</t>
  </si>
  <si>
    <t>Youngstown</t>
  </si>
  <si>
    <t>City PJ</t>
  </si>
  <si>
    <t>County PJ</t>
  </si>
  <si>
    <t>Assumptions</t>
  </si>
  <si>
    <t>Debt Service Coverage Ratio</t>
  </si>
  <si>
    <t>LIHTC Eligible Basis</t>
  </si>
  <si>
    <t xml:space="preserve">Syndication Expenses </t>
  </si>
  <si>
    <t xml:space="preserve">Organizational Fees </t>
  </si>
  <si>
    <t>Total:</t>
  </si>
  <si>
    <t>LP/MM Percent of LIHTC Ownership</t>
  </si>
  <si>
    <t>Permanent LIHTC Equity to Project</t>
  </si>
  <si>
    <t>(Operating Subsidy)</t>
  </si>
  <si>
    <t>Resource Type</t>
  </si>
  <si>
    <t>Soft Debt</t>
  </si>
  <si>
    <t>Equity</t>
  </si>
  <si>
    <t xml:space="preserve">The following chart should be filled out to reflect the roles that each member of the development team will play. Each role will be filled out in a percentage. For example, for the role of planning, the majority general partner/manging member may be involved 60% and the minority general/managing member partner 40%. All roles should equal 100%. </t>
  </si>
  <si>
    <t>Negotiation of LPA/OA</t>
  </si>
  <si>
    <t>Total Operating Expenses</t>
  </si>
  <si>
    <t>Construction Management Fees</t>
  </si>
  <si>
    <t>Guarantee Fees</t>
  </si>
  <si>
    <t>Project Narrative</t>
  </si>
  <si>
    <t>Co-Developer #1</t>
  </si>
  <si>
    <t>Co-Developer #2</t>
  </si>
  <si>
    <t>LIHTC Syndicator/Investor</t>
  </si>
  <si>
    <t>GP/MM #1 Parent Entity</t>
  </si>
  <si>
    <t>GP/MM #2 Parent Entity</t>
  </si>
  <si>
    <t>GP/MM #3 Parent Entity</t>
  </si>
  <si>
    <t>Number of Units</t>
  </si>
  <si>
    <t>Percent of Total Units</t>
  </si>
  <si>
    <t>Units with Rental Subsidy</t>
  </si>
  <si>
    <t>Percent of Total Units Subsidized</t>
  </si>
  <si>
    <t>Studio</t>
  </si>
  <si>
    <t>1-BR</t>
  </si>
  <si>
    <t xml:space="preserve">2-BR </t>
  </si>
  <si>
    <t>3-BR</t>
  </si>
  <si>
    <t>4-BR</t>
  </si>
  <si>
    <t>5-BR</t>
  </si>
  <si>
    <t>Unrestricted</t>
  </si>
  <si>
    <t>Development Costs</t>
  </si>
  <si>
    <t>Per Unit Amount</t>
  </si>
  <si>
    <t>Permanent First Mortgage</t>
  </si>
  <si>
    <t>Financing</t>
  </si>
  <si>
    <t>Capitalized Reserves</t>
  </si>
  <si>
    <t>Total Permanent Sources</t>
  </si>
  <si>
    <t>Property Management Firm</t>
  </si>
  <si>
    <t>LIHTC Income Restriction</t>
  </si>
  <si>
    <t>Manager's</t>
  </si>
  <si>
    <t>Operating Line Item</t>
  </si>
  <si>
    <t>Annual Amount</t>
  </si>
  <si>
    <t>Annual Per Unit Amount</t>
  </si>
  <si>
    <t>Consolidated Annual Operating Budget</t>
  </si>
  <si>
    <t>Vacancy Allowance</t>
  </si>
  <si>
    <t>Effective Gross Income (EGI)</t>
  </si>
  <si>
    <t>Administrative Expenses</t>
  </si>
  <si>
    <t>Net Operating Income (EGI - OpEx)</t>
  </si>
  <si>
    <t>Total Development Costs (TDC)</t>
  </si>
  <si>
    <t>TDC per Unit</t>
  </si>
  <si>
    <t>TDC per Gross Square Foot</t>
  </si>
  <si>
    <t>Cost Containment Standards</t>
  </si>
  <si>
    <t>Project</t>
  </si>
  <si>
    <t>Maximum</t>
  </si>
  <si>
    <t>Potential Gross Commercial Income</t>
  </si>
  <si>
    <t>Permanent Sources of Funds</t>
  </si>
  <si>
    <t>Construction Sources of Funds</t>
  </si>
  <si>
    <t>Permanent Second Mortgage</t>
  </si>
  <si>
    <t>Total Construction Sources</t>
  </si>
  <si>
    <t>Percent of Total</t>
  </si>
  <si>
    <t>LIHTC Calculation</t>
  </si>
  <si>
    <t>LIHTC Eligible Basis as a Percent of Total Development Costs</t>
  </si>
  <si>
    <t>- Reductions in Eligible Basis</t>
  </si>
  <si>
    <t>= Net Eligible Basis</t>
  </si>
  <si>
    <t>Adjusted Eligible Basis</t>
  </si>
  <si>
    <t>X Applicable Fraction</t>
  </si>
  <si>
    <t>Qualified Basis</t>
  </si>
  <si>
    <t>Annual LIHTC Generated</t>
  </si>
  <si>
    <t>LIHTC Equity Generated</t>
  </si>
  <si>
    <t>Net Operating Income (NOI)</t>
  </si>
  <si>
    <t>NOI Available for Debt Service</t>
  </si>
  <si>
    <t>Amortization Period (Years)</t>
  </si>
  <si>
    <t>Maximum Perm Loan Amount</t>
  </si>
  <si>
    <t>Actual Perm Loan Amount</t>
  </si>
  <si>
    <t>Maximum Permanent Debt Sizing</t>
  </si>
  <si>
    <t>Max Loan for Stabilized Y1</t>
  </si>
  <si>
    <t>Max Loan to Stabilized Y15</t>
  </si>
  <si>
    <t>OHFA Minimum DSCR</t>
  </si>
  <si>
    <t>Site Information</t>
  </si>
  <si>
    <t>Site Size (Acres)</t>
  </si>
  <si>
    <t>Total Parking Spaces</t>
  </si>
  <si>
    <t>Located in a Participating Jurisdiction (PJ)?</t>
  </si>
  <si>
    <t>Located in a Qualfied Census Tract (QCT)?</t>
  </si>
  <si>
    <t>Commercial and Fee-Driven Space</t>
  </si>
  <si>
    <t>Size (SF)</t>
  </si>
  <si>
    <t>Unrestricted/Market-Rate Unit Area</t>
  </si>
  <si>
    <t>LIHTC Unit Area</t>
  </si>
  <si>
    <t>Manager's Unit Area</t>
  </si>
  <si>
    <t>Common Area</t>
  </si>
  <si>
    <t>Tenant Storage Space</t>
  </si>
  <si>
    <t>Major Vertical Penetrations (Elevator/Stairs, Etc.)</t>
  </si>
  <si>
    <t>Structured Parking/Garage</t>
  </si>
  <si>
    <t>Support and Program Space</t>
  </si>
  <si>
    <t>Building Square Footage Breakdown</t>
  </si>
  <si>
    <t>Parking Ratio (Parking Spaces per Unit)</t>
  </si>
  <si>
    <t>Total Square Footage of all Buildings</t>
  </si>
  <si>
    <t>Scattered Sites?</t>
  </si>
  <si>
    <t>Total Number of Buildings</t>
  </si>
  <si>
    <r>
      <rPr>
        <b/>
        <u/>
        <sz val="11"/>
        <rFont val="Arial"/>
        <family val="2"/>
      </rPr>
      <t>Note to Applicants</t>
    </r>
    <r>
      <rPr>
        <sz val="11"/>
        <rFont val="Arial"/>
        <family val="2"/>
      </rPr>
      <t xml:space="preserve">: 
Please insert a project rendering (if new construction or adpative reuse) or an existing project photo (if rehabilitation) in the area to the left.
</t>
    </r>
    <r>
      <rPr>
        <sz val="20"/>
        <rFont val="Arial"/>
        <family val="2"/>
      </rPr>
      <t>←</t>
    </r>
  </si>
  <si>
    <r>
      <rPr>
        <b/>
        <u/>
        <sz val="11"/>
        <rFont val="Arial"/>
        <family val="2"/>
      </rPr>
      <t>Note to Applicants</t>
    </r>
    <r>
      <rPr>
        <sz val="11"/>
        <rFont val="Arial"/>
        <family val="2"/>
      </rPr>
      <t xml:space="preserve">: 
Please include a brief narrative about the project in the area to the left in 1,000 characters or less.
</t>
    </r>
    <r>
      <rPr>
        <sz val="20"/>
        <rFont val="Arial"/>
        <family val="2"/>
      </rPr>
      <t>←</t>
    </r>
  </si>
  <si>
    <t>Number of Bedrooms</t>
  </si>
  <si>
    <t>Scope of Work</t>
  </si>
  <si>
    <t>OHFA and Other Fees</t>
  </si>
  <si>
    <t>Studio Units</t>
  </si>
  <si>
    <t>1-BR Units</t>
  </si>
  <si>
    <t>2-BR Units</t>
  </si>
  <si>
    <t>3-BR Units</t>
  </si>
  <si>
    <t>4-BR Units</t>
  </si>
  <si>
    <t>5-BR Units</t>
  </si>
  <si>
    <t>TDC per GSF</t>
  </si>
  <si>
    <t>Property and Liability Insurance</t>
  </si>
  <si>
    <t>Operating Subsidy</t>
  </si>
  <si>
    <t xml:space="preserve">• The document is best viewed at 85% zoom; you may need to scroll right to enter all information.  </t>
  </si>
  <si>
    <t>Affordable Housing Funding Application (AHFA)</t>
  </si>
  <si>
    <t>Tips for Using the AHFA</t>
  </si>
  <si>
    <t>• Design &amp; Architectural Standards</t>
  </si>
  <si>
    <t>• Many sections of this workbook auto-populate. You must follow all directions listed herein to ensure formulas operate correctly.</t>
  </si>
  <si>
    <t>• Do not attempt to jailbreak this document or override formulas. OHFA may not accept such AHFAs.</t>
  </si>
  <si>
    <t>• This document works best when tabs are completed by the applicant in the order presented.</t>
  </si>
  <si>
    <t>• Copying and pasting information is discouraged; if attempting to paste information, use the "values paste" option (see sidebar).</t>
  </si>
  <si>
    <t>• Use the "Not Applicable" (N/A) option if a question does not apply to your project.</t>
  </si>
  <si>
    <t xml:space="preserve">• Use the following color code to determine your response type: </t>
  </si>
  <si>
    <t>City or Township:</t>
  </si>
  <si>
    <t>Application Number:</t>
  </si>
  <si>
    <t>Operating Budget</t>
  </si>
  <si>
    <t>Tenant Utility Allowance</t>
  </si>
  <si>
    <t>Project-Based Rental Subsidy Amount</t>
  </si>
  <si>
    <t>Project-Based Rental Subsidy Source</t>
  </si>
  <si>
    <t>Income Restriction</t>
  </si>
  <si>
    <t>Rent Restriction</t>
  </si>
  <si>
    <t>Number of Units, by Income Restriction</t>
  </si>
  <si>
    <t>Number of Units, by Rent Restriction</t>
  </si>
  <si>
    <t>Number of Units, by Number of Bedrooms</t>
  </si>
  <si>
    <t>Revenue Assumptions</t>
  </si>
  <si>
    <t>0 (Studio)</t>
  </si>
  <si>
    <t>Breakdown of Residental Rental Revenue, by Unit Type</t>
  </si>
  <si>
    <t>Summary of Residental Rental Breakdown</t>
  </si>
  <si>
    <t>LIHTC Minimum Set Aside</t>
  </si>
  <si>
    <t>All LIHTC proposals must select one of the following three federally-mandated Minimum Set Asides as referenced in 26 U.S.C. §42(g) listed below. Please select one:</t>
  </si>
  <si>
    <t>Total Rental Units</t>
  </si>
  <si>
    <t>Manager's Unit(s)</t>
  </si>
  <si>
    <t>Total Residential Units</t>
  </si>
  <si>
    <t>Manager Unit</t>
  </si>
  <si>
    <t>Average Income:</t>
  </si>
  <si>
    <t xml:space="preserve">Commercial and Ancillary Revenue </t>
  </si>
  <si>
    <t>Introduction to the AHFA</t>
  </si>
  <si>
    <t>Description of Commercial Space</t>
  </si>
  <si>
    <t>Commercial Revenue</t>
  </si>
  <si>
    <t>Community Service Facility?</t>
  </si>
  <si>
    <t>Total Annual Commercial Revenue:</t>
  </si>
  <si>
    <t>Annual Revenue</t>
  </si>
  <si>
    <r>
      <t xml:space="preserve">(1) </t>
    </r>
    <r>
      <rPr>
        <u/>
        <sz val="11"/>
        <color theme="1"/>
        <rFont val="Arial"/>
        <family val="2"/>
        <scheme val="minor"/>
      </rPr>
      <t>20-50 Set Aside</t>
    </r>
    <r>
      <rPr>
        <sz val="11"/>
        <color theme="1"/>
        <rFont val="Arial"/>
        <family val="2"/>
        <scheme val="minor"/>
      </rPr>
      <t>: At least 20% of the residential units must be both rent restricted and occupied by households at or below 50% of the Area Median Income (AMI)</t>
    </r>
  </si>
  <si>
    <t>Total Annual Rental Revenue:</t>
  </si>
  <si>
    <r>
      <t xml:space="preserve">(2) </t>
    </r>
    <r>
      <rPr>
        <u/>
        <sz val="11"/>
        <color theme="1"/>
        <rFont val="Arial"/>
        <family val="2"/>
        <scheme val="minor"/>
      </rPr>
      <t>40-60 Set Aside</t>
    </r>
    <r>
      <rPr>
        <sz val="11"/>
        <color theme="1"/>
        <rFont val="Arial"/>
        <family val="2"/>
        <scheme val="minor"/>
      </rPr>
      <t>: At least 40% of the residential units must be both rent restricted and occupied by households at or below 60% of the Area Median Income (AMI)</t>
    </r>
  </si>
  <si>
    <r>
      <t xml:space="preserve">(3) </t>
    </r>
    <r>
      <rPr>
        <u/>
        <sz val="11"/>
        <color theme="1"/>
        <rFont val="Arial"/>
        <family val="2"/>
        <scheme val="minor"/>
      </rPr>
      <t>Average Income</t>
    </r>
    <r>
      <rPr>
        <sz val="11"/>
        <color theme="1"/>
        <rFont val="Arial"/>
        <family val="2"/>
        <scheme val="minor"/>
      </rPr>
      <t>: At least 40% of the residential units must be both rent restricted and occupied by households that do not exceed the inputed income limitation of the respective unit so long as the average of the imputed income limitations does not exceed 60% AMI. Imputed income limits can range from 20% to 80% AMI in 10% increments.</t>
    </r>
  </si>
  <si>
    <t>For each tranch of units types, please enter the following information below. A few tips on completing this table:</t>
  </si>
  <si>
    <t>Per-Unit Monthly Rent to Project</t>
  </si>
  <si>
    <t>No. of Units</t>
  </si>
  <si>
    <t>No. of Beds</t>
  </si>
  <si>
    <t>No. of Baths</t>
  </si>
  <si>
    <t>Tenant Utility Allowances</t>
  </si>
  <si>
    <t>Tenant-Paid Utility Type</t>
  </si>
  <si>
    <t>Utility Allowance Source:</t>
  </si>
  <si>
    <t>Permanent Financing Source</t>
  </si>
  <si>
    <t>Total Construction Sources:</t>
  </si>
  <si>
    <t>Fed. Historic Tax Credit Equity</t>
  </si>
  <si>
    <t>Total Permanent Sources:</t>
  </si>
  <si>
    <t>OHFA</t>
  </si>
  <si>
    <t>Developer-Charged Asset Management Fee</t>
  </si>
  <si>
    <t>Application/Development Consultant Fees</t>
  </si>
  <si>
    <t>Capitalized Operating Reserve Account</t>
  </si>
  <si>
    <t>Capitalized Replacement Reserve Account</t>
  </si>
  <si>
    <t xml:space="preserve">Purchase Price: Land </t>
  </si>
  <si>
    <t>Purchase Price: Buildings</t>
  </si>
  <si>
    <t>Acquisition Costs</t>
  </si>
  <si>
    <t>Pre-Development Costs</t>
  </si>
  <si>
    <t>Development Cost</t>
  </si>
  <si>
    <t>[Specify Here]</t>
  </si>
  <si>
    <t>Site Preparation Costs</t>
  </si>
  <si>
    <t>Hard Construction Costs</t>
  </si>
  <si>
    <t>Financing Costs</t>
  </si>
  <si>
    <t>OHFA Fees</t>
  </si>
  <si>
    <r>
      <t>LIHTC Reservation Fee</t>
    </r>
    <r>
      <rPr>
        <sz val="10"/>
        <color theme="1"/>
        <rFont val="Arial"/>
        <family val="2"/>
        <scheme val="minor"/>
      </rPr>
      <t xml:space="preserve"> </t>
    </r>
    <r>
      <rPr>
        <sz val="9"/>
        <color theme="1"/>
        <rFont val="Arial"/>
        <family val="2"/>
        <scheme val="minor"/>
      </rPr>
      <t>(6% of Annual LIHTC)</t>
    </r>
  </si>
  <si>
    <t>Cost in Acquisition Basis</t>
  </si>
  <si>
    <t>Cost in Rehabilitation Basis</t>
  </si>
  <si>
    <t>Cost in New Construction Basis</t>
  </si>
  <si>
    <t>Total Costs in Eligible Basis</t>
  </si>
  <si>
    <t>Other Costs Outside Eligible Basis</t>
  </si>
  <si>
    <t>Total Costs</t>
  </si>
  <si>
    <t>Lead Developer/Sponsor</t>
  </si>
  <si>
    <t>Development Manager Contact</t>
  </si>
  <si>
    <t>Web Site</t>
  </si>
  <si>
    <t>Co-Developer #1 (if applicable)</t>
  </si>
  <si>
    <t>Is this section applicable?</t>
  </si>
  <si>
    <t>Co-Developer #2 (if applicable)</t>
  </si>
  <si>
    <t>Consultant Organization Name</t>
  </si>
  <si>
    <t>Parent Organization</t>
  </si>
  <si>
    <t>Ownership Percent of LP/LLC</t>
  </si>
  <si>
    <t>General Contractor (GC)</t>
  </si>
  <si>
    <t>If yes, which entity?</t>
  </si>
  <si>
    <t>Project Manager Salutation:</t>
  </si>
  <si>
    <t>Project Manager First Name:</t>
  </si>
  <si>
    <t>Project Manager Last Name:</t>
  </si>
  <si>
    <t>Project Manager Title:</t>
  </si>
  <si>
    <t>Office Phone Number:</t>
  </si>
  <si>
    <t>Cell Phone Number:</t>
  </si>
  <si>
    <t>E-Mail Address:</t>
  </si>
  <si>
    <t>This individual has the ability to execute legal documents for the organization</t>
  </si>
  <si>
    <t>Lead Developer Organization</t>
  </si>
  <si>
    <t>This organization is responsible for the majority of development activities</t>
  </si>
  <si>
    <t>Authorized Signer</t>
  </si>
  <si>
    <t>Authorized Signer Salutation:</t>
  </si>
  <si>
    <t>Authorized Signer First Name:</t>
  </si>
  <si>
    <t>Authorized Signer Last Name:</t>
  </si>
  <si>
    <t>Authorized Signer Title:</t>
  </si>
  <si>
    <t>Organization Name:</t>
  </si>
  <si>
    <t>City:</t>
  </si>
  <si>
    <t>State:</t>
  </si>
  <si>
    <t>Federal Tax Identification (EIN):</t>
  </si>
  <si>
    <t>Web Site:</t>
  </si>
  <si>
    <t>Main Contact Salutation:</t>
  </si>
  <si>
    <t>Main Contact First Name:</t>
  </si>
  <si>
    <t>Main Contact Last Name:</t>
  </si>
  <si>
    <t>Main Contact Title:</t>
  </si>
  <si>
    <t>Co-Developer #1 Organization</t>
  </si>
  <si>
    <t>Co-Developer #2 Organization</t>
  </si>
  <si>
    <t>Consultant Contact Salutation:</t>
  </si>
  <si>
    <t>Consultant Contact First Name:</t>
  </si>
  <si>
    <t>Consultant Contact Last Name:</t>
  </si>
  <si>
    <t>Organization:</t>
  </si>
  <si>
    <t>Federal LIHTC Syndicator/Investor Organization</t>
  </si>
  <si>
    <t>Federal LIHTC Syndicator/Investor Manager Contact</t>
  </si>
  <si>
    <t>This individual is responsible for originating LIHTC transactions</t>
  </si>
  <si>
    <t>This organization is responsible for syndicating/investing in federal LIHTC</t>
  </si>
  <si>
    <t>Ownership Type:</t>
  </si>
  <si>
    <t>If "Other," Describe:</t>
  </si>
  <si>
    <t>General Partner or Managing Member #1</t>
  </si>
  <si>
    <t>General Partner or Managing Member #2</t>
  </si>
  <si>
    <t>General Partner or Managing Member #3</t>
  </si>
  <si>
    <t>Supportive Services Org Name</t>
  </si>
  <si>
    <t>Lead Development Manager Contact</t>
  </si>
  <si>
    <t>This organization is responsible for syndicating/investing in Historic Tax Credits</t>
  </si>
  <si>
    <t>Historic Tax Credit Syndicator/Investor Organization</t>
  </si>
  <si>
    <t>This individual is responsible for originating Historic Tax Credit transactions</t>
  </si>
  <si>
    <t>Developer Consultant (if applicable)</t>
  </si>
  <si>
    <t>Federal Historic Preservation Tax Credit Syndicator or Investor (if applicable)</t>
  </si>
  <si>
    <t>Property Ownership Structure</t>
  </si>
  <si>
    <t>Mangement Company</t>
  </si>
  <si>
    <t>Supportive Services Provider (if applicable)</t>
  </si>
  <si>
    <t>Architect Organization Name:</t>
  </si>
  <si>
    <t>Zip Code:</t>
  </si>
  <si>
    <t>Tax Status:</t>
  </si>
  <si>
    <t>GC Organization Name:</t>
  </si>
  <si>
    <t>Development Team Responsibilities</t>
  </si>
  <si>
    <t>Development Activity</t>
  </si>
  <si>
    <t>GP/MM #1</t>
  </si>
  <si>
    <t>GP/MM #2</t>
  </si>
  <si>
    <t>GP/MM #3</t>
  </si>
  <si>
    <t>Site Acquisition</t>
  </si>
  <si>
    <r>
      <t xml:space="preserve">1. </t>
    </r>
    <r>
      <rPr>
        <u/>
        <sz val="11"/>
        <color theme="1"/>
        <rFont val="Arial"/>
        <family val="2"/>
        <scheme val="minor"/>
      </rPr>
      <t>Ownership entity and interest</t>
    </r>
    <r>
      <rPr>
        <sz val="11"/>
        <color theme="1"/>
        <rFont val="Arial"/>
        <family val="2"/>
        <scheme val="minor"/>
      </rPr>
      <t>: Indicate the type of ownership entity, the split of ownership interest between the partners, and how this will be determined. Also, how change or sale of ownership interest occurs:  how partners acquire interest from other partners, rights of 1st refusal by other partners, and succession in event of death/demise of partner.</t>
    </r>
  </si>
  <si>
    <r>
      <t xml:space="preserve">3. </t>
    </r>
    <r>
      <rPr>
        <u/>
        <sz val="11"/>
        <color theme="1"/>
        <rFont val="Arial"/>
        <family val="2"/>
        <scheme val="minor"/>
      </rPr>
      <t>Division of responsibilities</t>
    </r>
    <r>
      <rPr>
        <sz val="11"/>
        <color theme="1"/>
        <rFont val="Arial"/>
        <family val="2"/>
        <scheme val="minor"/>
      </rPr>
      <t>: Indicate how the responsibilities of the development will be split among the partners: management of the joint venture, acquisition, financing, design, local approvals, construction, marketing and occupancy. What rights to complete exist if a partner fails to fulfill its responsibilities.</t>
    </r>
  </si>
  <si>
    <r>
      <t xml:space="preserve">4. </t>
    </r>
    <r>
      <rPr>
        <u/>
        <sz val="11"/>
        <color theme="1"/>
        <rFont val="Arial"/>
        <family val="2"/>
        <scheme val="minor"/>
      </rPr>
      <t>Split of developer fees</t>
    </r>
    <r>
      <rPr>
        <sz val="11"/>
        <color theme="1"/>
        <rFont val="Arial"/>
        <family val="2"/>
        <scheme val="minor"/>
      </rPr>
      <t>: Indicate how the developer fees will be split among the partners. Provide a schedule of values with payment amounts below for each responsibility.</t>
    </r>
  </si>
  <si>
    <r>
      <t xml:space="preserve">6. </t>
    </r>
    <r>
      <rPr>
        <u/>
        <sz val="11"/>
        <color theme="1"/>
        <rFont val="Arial"/>
        <family val="2"/>
        <scheme val="minor"/>
      </rPr>
      <t>Dispute resolution</t>
    </r>
    <r>
      <rPr>
        <sz val="11"/>
        <color theme="1"/>
        <rFont val="Arial"/>
        <family val="2"/>
        <scheme val="minor"/>
      </rPr>
      <t>: Indicate how the parties will resolve situations when there is disagreement (mediation, arbitration, etc.)</t>
    </r>
  </si>
  <si>
    <t>Federal LIHTC Calculation</t>
  </si>
  <si>
    <t>Service Revenue</t>
  </si>
  <si>
    <t>Cash Flow After Hard Debt Service</t>
  </si>
  <si>
    <t>This organization is typically responsible for a portion development activities</t>
  </si>
  <si>
    <t>Parent Organization:</t>
  </si>
  <si>
    <t>Ownership Percent of LP/LLC:</t>
  </si>
  <si>
    <t>This entity is typically a SPE that controls decisionmaking of the LP/LLC</t>
  </si>
  <si>
    <t>This entity is typically a SPE that controls some decisionmaking of the LP/LLC</t>
  </si>
  <si>
    <t>Is this a related party to a developer or owner for this project?</t>
  </si>
  <si>
    <t>Proposal Summary</t>
  </si>
  <si>
    <t>The undersigned will unconditionally comply with all policies, rules, regulations, and guidelines of the Ohio Housing Finance Agency including all requirements set forth in the most current and applicable Qualified Allocation Plan.</t>
  </si>
  <si>
    <t>The undersigned is responsible for the provision of R.C. §175, the pertinent Administrative Rules, and OHFA HDL Guidelines. The undersigned certifies that this project can proceed only "but for" the receipt of the Housing Development Loan.</t>
  </si>
  <si>
    <t xml:space="preserve">The undersigned has full power and authority to execute, deliver, perform, enter into and carry out the performance of this proposal according to the undersigned's charter, by-laws, and/or articles of incorporation. The undersigned has read, understood and will abide by the current HDAP guidelines. The board of the nonprofit organization has passed a resolution authorizing submission of this request for funding to the Ohio Housing Finance Agency, and a copy of this resolution is attached. </t>
  </si>
  <si>
    <r>
      <t xml:space="preserve">If applying for the </t>
    </r>
    <r>
      <rPr>
        <b/>
        <sz val="11"/>
        <rFont val="Arial"/>
        <family val="2"/>
        <scheme val="minor"/>
      </rPr>
      <t>federal Low Income Housing Tax Credit</t>
    </r>
    <r>
      <rPr>
        <sz val="11"/>
        <rFont val="Arial"/>
        <family val="2"/>
        <scheme val="minor"/>
      </rPr>
      <t xml:space="preserve"> (LIHTC) program, the following additional conditions will apply:</t>
    </r>
  </si>
  <si>
    <r>
      <t xml:space="preserve">If applying for the </t>
    </r>
    <r>
      <rPr>
        <b/>
        <sz val="11"/>
        <rFont val="Arial"/>
        <family val="2"/>
        <scheme val="minor"/>
      </rPr>
      <t>Housing Development Loan</t>
    </r>
    <r>
      <rPr>
        <sz val="11"/>
        <rFont val="Arial"/>
        <family val="2"/>
        <scheme val="minor"/>
      </rPr>
      <t xml:space="preserve"> (HDL) program, the following additional conditions will apply:</t>
    </r>
  </si>
  <si>
    <r>
      <t xml:space="preserve">If applying for </t>
    </r>
    <r>
      <rPr>
        <b/>
        <sz val="11"/>
        <rFont val="Arial"/>
        <family val="2"/>
        <scheme val="minor"/>
      </rPr>
      <t>Housing Development Assistance Program</t>
    </r>
    <r>
      <rPr>
        <sz val="11"/>
        <rFont val="Arial"/>
        <family val="2"/>
        <scheme val="minor"/>
      </rPr>
      <t xml:space="preserve"> (HDAP) resources, the following additional conditions will apply:</t>
    </r>
  </si>
  <si>
    <t>Certification</t>
  </si>
  <si>
    <r>
      <t xml:space="preserve">If applying for the </t>
    </r>
    <r>
      <rPr>
        <b/>
        <sz val="11"/>
        <rFont val="Arial"/>
        <family val="2"/>
        <scheme val="minor"/>
      </rPr>
      <t>Ohio Low Income Housing Tax Credit</t>
    </r>
    <r>
      <rPr>
        <sz val="11"/>
        <rFont val="Arial"/>
        <family val="2"/>
        <scheme val="minor"/>
      </rPr>
      <t xml:space="preserve"> (OLIHTC) program, the following additional conditions will apply:</t>
    </r>
  </si>
  <si>
    <t xml:space="preserve">The undersigned is responsible for the provision of R.C. §175.16, the pertinent Administrative Rules, and applicable OLIHTC guidelines. The undersigned certifies that the requested OLIHTC amount does not exceed the amount necessary, when combined with the federal credit, to ensure the financial feasibility of the qualified project and that the proposed project will create additional housing units that would not have otherwise been created with other state, federal, or private financing. </t>
  </si>
  <si>
    <t>The undersigned is responsible for ensuring that the project consists or will consist of a qualified low-income building or buildings as defined in 26 U.S.C. §42 and will satisfy all applicable requirements of federal tax law in the acquisition, rehabilitation, or construction and operation of the project to receive low-income housing tax credits. In accordance with 26 U.S.C. §42(m)(2)(C)(iii), the undersigned certifies that it has disclosed the full extent of all Federal, State, and local subsidies which apply (or which the taxpayer expects to apply) with respect to the qualifying low-income building(s).</t>
  </si>
  <si>
    <t>The undersigned declares that notification pursuant to R.C. §175.07 and applicable program guidelines has been made. The undersigned assumes full responsibility for notification and agrees to hold the OHFA harmless for notification requirements.</t>
  </si>
  <si>
    <t>The undersigned, having full power and authority to execute, deliver, perform, enter into and carry out the performance of this application, hereby represents and certifies under penalty of perjury that: (1) To the best of his/her knowledge, all information contained within, attached to, and submitted with this application is true and complete, and accurately describes the proposed project; and (2) Any additional information requested by the Ohio Housing Finance Agency will be supplied by the undersigned in order for this application to remain valid.</t>
  </si>
  <si>
    <t>The undersigned affirmatively covenants that it does not owe (1) any delinquent taxes to the State of Ohio ("the State") or apolitical subdivision of the State; (2) any moneys to the State or a state agency for the administration or enforcement of any environmental laws of the State; and (3) any other moneys to the State, a state agency or a political subdivision of the State that are past due, whether the amounts owed are being contested in a court of law or not.</t>
  </si>
  <si>
    <t>The undersigned agrees that the Ohio Housing Finance Agency (including its agencies) will at all times be indemnified and held harmless against all losses, costs, damages, expenses, and liabilities whatsoever nature or kind (including, but not limited to attorney's fees, litigation, and court costs, amounts paid in settlement, and amounts paid to discharge judgment, and any loss from judgment from the Internal Revenue Service) directly or indirectly resulting from, arising out of, or related to acceptance, consideration, and approval or disapproval of such allocation and/or funding request.</t>
  </si>
  <si>
    <t>It is the responsibility of the undersigned and any of its employees, agents or sub-contractors in doing business with the Ohio Housing Finance Agency to adhere to and comply with all Federal Civil Rights legislation inclusive of the Fair Housing Laws, Section 504 of the Rehabilitation Act of 1973, the Americans With Disabilities Act as well as any state and local Civil Rights legislation along with any required related codes and laws.  Should the Ohio Housing Finance Agency not specify any requirements, such as design, it is none the less the owners responsibility to be aware of and comply with all non-discrimination provisions relating to race, color, religion, sex, sexual orientation, gender identity or expression, handicap, familial status, and national origin.  This includes design requirements for construction or rehabilitation, Equal Opportunity in regard to marketing and tenant selection and reasonable accommodation and modification for those tenants covered under the Laws.</t>
  </si>
  <si>
    <t>The undersigned acknowledges that any document submitted to the Ohio Housing Finance Agency is considered a public record and will be released in accordance with R.C. Sections 149.43 and 175.12(B).</t>
  </si>
  <si>
    <t>Rental Income</t>
  </si>
  <si>
    <t>Total Rental Income</t>
  </si>
  <si>
    <t>Total Service Income</t>
  </si>
  <si>
    <t>Effective Gross Income Calculation</t>
  </si>
  <si>
    <t>+ Service Income</t>
  </si>
  <si>
    <t>= Potential Gross Income</t>
  </si>
  <si>
    <t xml:space="preserve"> - Vacancy Allowance</t>
  </si>
  <si>
    <t>= Effective Gross Income</t>
  </si>
  <si>
    <t>Annual Operating Expenses</t>
  </si>
  <si>
    <t>Total Amount</t>
  </si>
  <si>
    <t>Percent of Total Project Expenses</t>
  </si>
  <si>
    <t>Supportive Services Coordination</t>
  </si>
  <si>
    <t>Total Administrative Expenses</t>
  </si>
  <si>
    <t>Owner-Paid Utility Expenses</t>
  </si>
  <si>
    <t>Total Owner-Paid Utility Expenses</t>
  </si>
  <si>
    <t>Repairs and Maintainence Expenses</t>
  </si>
  <si>
    <t>Total Repairs and Maintenance Expenses</t>
  </si>
  <si>
    <t>Tax and Insurance Expenses</t>
  </si>
  <si>
    <t>Miscellaneous Taxes/Insurance/License</t>
  </si>
  <si>
    <t>Total Tax and Insurance Expenses</t>
  </si>
  <si>
    <t>Ongoing Reserve Contributions</t>
  </si>
  <si>
    <t>Total Ongoing Reserve Contributions</t>
  </si>
  <si>
    <t>Condensed Operating Expense Summary</t>
  </si>
  <si>
    <t>Property Management Fee</t>
  </si>
  <si>
    <t>Maintenance Expenses</t>
  </si>
  <si>
    <t>Annual Property Revenue</t>
  </si>
  <si>
    <t>Project Details</t>
  </si>
  <si>
    <t>Limited Partner or Investor Member #1</t>
  </si>
  <si>
    <t>Limited Partner or Investor Member #2</t>
  </si>
  <si>
    <t>Total Eligible Basis:</t>
  </si>
  <si>
    <t>Deducted Federal Financing:</t>
  </si>
  <si>
    <t>Net Eligible Basis:</t>
  </si>
  <si>
    <t>Total Annual Rent to Project</t>
  </si>
  <si>
    <t xml:space="preserve"> • For studio units, please enter "0" (zero) under the column "Number of Bedrooms"</t>
  </si>
  <si>
    <t>Latitude:</t>
  </si>
  <si>
    <t>Longitude:</t>
  </si>
  <si>
    <t>US Congressional District:</t>
  </si>
  <si>
    <t>Affordability Type:</t>
  </si>
  <si>
    <t>Construction Type:</t>
  </si>
  <si>
    <t>Development Benchmark</t>
  </si>
  <si>
    <t>Building Number</t>
  </si>
  <si>
    <t>Site or Building Address</t>
  </si>
  <si>
    <t>Last Placed-In-Service Date</t>
  </si>
  <si>
    <t>Permanent
 Parcel Number</t>
  </si>
  <si>
    <t>Site or Building City/Township</t>
  </si>
  <si>
    <t>Is the seller a related party to a developer or owner of the proposed project?</t>
  </si>
  <si>
    <t>Number of Floors</t>
  </si>
  <si>
    <t>Number of
Units in Building</t>
  </si>
  <si>
    <t>Seller City/Township</t>
  </si>
  <si>
    <t>Seller
Address</t>
  </si>
  <si>
    <t>Date Originally Constructed
 (if applicable)</t>
  </si>
  <si>
    <t>Site and Building Table Instructions</t>
  </si>
  <si>
    <t>11-Digit 2020 Census Tract:</t>
  </si>
  <si>
    <t>Number of Buildings with an Elevator</t>
  </si>
  <si>
    <t>Duplex</t>
  </si>
  <si>
    <t>Triplex</t>
  </si>
  <si>
    <t>Quadplex</t>
  </si>
  <si>
    <t>Mid-Rise Multifamily (5-12 stories)</t>
  </si>
  <si>
    <t>High-Rise Multifamily (&gt;12 stories)</t>
  </si>
  <si>
    <t>Low-Rise Multifamily (1-4 stories)</t>
  </si>
  <si>
    <t>Number of Structures</t>
  </si>
  <si>
    <t>Site Size (Acres):</t>
  </si>
  <si>
    <t>Located in a Difficult Development Area (DDA)?</t>
  </si>
  <si>
    <t>Number of Parking Spaces:</t>
  </si>
  <si>
    <t>Previous Project Information</t>
  </si>
  <si>
    <t>If yes, detail the OHFA Project Numbers associated with prior applications:</t>
  </si>
  <si>
    <t xml:space="preserve">Project Name </t>
  </si>
  <si>
    <t>Prior OHFA Project Number</t>
  </si>
  <si>
    <t>If yes, detail the OHFA Project Numbers associated with prior allocations:</t>
  </si>
  <si>
    <t>OHFA Project Number</t>
  </si>
  <si>
    <r>
      <t xml:space="preserve">Has this project ever </t>
    </r>
    <r>
      <rPr>
        <u/>
        <sz val="11"/>
        <color theme="1"/>
        <rFont val="Arial"/>
        <family val="2"/>
        <scheme val="minor"/>
      </rPr>
      <t>received</t>
    </r>
    <r>
      <rPr>
        <sz val="11"/>
        <color theme="1"/>
        <rFont val="Arial"/>
        <family val="2"/>
        <scheme val="minor"/>
      </rPr>
      <t xml:space="preserve"> an allocation of LIHTC before?</t>
    </r>
  </si>
  <si>
    <r>
      <t xml:space="preserve">Has this project ever </t>
    </r>
    <r>
      <rPr>
        <u/>
        <sz val="11"/>
        <color theme="1"/>
        <rFont val="Arial"/>
        <family val="2"/>
        <scheme val="minor"/>
      </rPr>
      <t>received</t>
    </r>
    <r>
      <rPr>
        <sz val="11"/>
        <color theme="1"/>
        <rFont val="Arial"/>
        <family val="2"/>
        <scheme val="minor"/>
      </rPr>
      <t xml:space="preserve"> HDAP before?</t>
    </r>
  </si>
  <si>
    <t>Floor Area Breakdown</t>
  </si>
  <si>
    <t>Enter the total square footage in each category below for all buildings in the project. For multifamily projects, use Building Owner Management Association (BOMA) Multi-Unit Residential Standards using the gross method. For single-family, 1, 2, or 3-family dwellings, or townhome buildings, use BOMA Gross Areas Standard. All square footages shall be calculated and certified by the Architect of Record. See Design and Architectural Standards for definitions and guidance.</t>
  </si>
  <si>
    <t>Construction Period (Months):</t>
  </si>
  <si>
    <t>Lease-Up Period (Months):</t>
  </si>
  <si>
    <t>First Stabilized Year:</t>
  </si>
  <si>
    <t>Anticipated Development Schedule</t>
  </si>
  <si>
    <t>Commercial Space Condominium Areas:</t>
  </si>
  <si>
    <t>Commercial Areas and Fee-Driven Space:</t>
  </si>
  <si>
    <t>Market Rate Unit Area:</t>
  </si>
  <si>
    <t>Low Income Unit Area:</t>
  </si>
  <si>
    <t>Managers Unit Area:</t>
  </si>
  <si>
    <t>Common Area (Public):</t>
  </si>
  <si>
    <t>Common Area (Circulation):</t>
  </si>
  <si>
    <t>Dedicated Program Space:</t>
  </si>
  <si>
    <t>Limited Common Area (Private):</t>
  </si>
  <si>
    <t>Support:</t>
  </si>
  <si>
    <t>Tenant Storage:</t>
  </si>
  <si>
    <t>Major Vertical Penetrations:</t>
  </si>
  <si>
    <t>Structured Parking / Garage:</t>
  </si>
  <si>
    <t>Basement:</t>
  </si>
  <si>
    <t>Non-Low-Income Floor Area:</t>
  </si>
  <si>
    <t>Net Rentable Square Footage:</t>
  </si>
  <si>
    <t>Common Area as a Percent of All Building SF:</t>
  </si>
  <si>
    <t>Average Net Rentable SF per LIHTC Unit:</t>
  </si>
  <si>
    <t>Gross Square Footage of All Buildings:</t>
  </si>
  <si>
    <t>Low-Income Floor Area:</t>
  </si>
  <si>
    <t>Permanent Sources by Uses of Funds</t>
  </si>
  <si>
    <t>Permanent Sources by Uses</t>
  </si>
  <si>
    <t>Sponsor Loan</t>
  </si>
  <si>
    <t>GP/MM Capital Contribution</t>
  </si>
  <si>
    <t>Federal LIHTC Equity</t>
  </si>
  <si>
    <t>Post-Construction Costs</t>
  </si>
  <si>
    <t>Lender, Grantor, Syndicator or 
Equity Provider</t>
  </si>
  <si>
    <t>Federal LIHTC Syndicator or Investor</t>
  </si>
  <si>
    <t>Historic Tax Credit Syndicator/Investor Manager Contact</t>
  </si>
  <si>
    <t>This entity is typically a single-purpose entity structured to invest in LIHTC</t>
  </si>
  <si>
    <t>This entity is typically a single-purpose entity structured to invest in tax credits</t>
  </si>
  <si>
    <t>Application Stage:</t>
  </si>
  <si>
    <t>Appalachian Counties</t>
  </si>
  <si>
    <t>QCT Data Link:</t>
  </si>
  <si>
    <t>See 40 U.S.C. §14102</t>
  </si>
  <si>
    <t>GEOID</t>
  </si>
  <si>
    <t>Appalachian County?</t>
  </si>
  <si>
    <t>860Z200US43001</t>
  </si>
  <si>
    <t>860Z200US43002</t>
  </si>
  <si>
    <t>860Z200US43003</t>
  </si>
  <si>
    <t>860Z200US43004</t>
  </si>
  <si>
    <t>860Z200US43005</t>
  </si>
  <si>
    <t>860Z200US43006</t>
  </si>
  <si>
    <t>860Z200US43007</t>
  </si>
  <si>
    <t>860Z200US43008</t>
  </si>
  <si>
    <t>860Z200US43009</t>
  </si>
  <si>
    <t>860Z200US43010</t>
  </si>
  <si>
    <t>860Z200US43011</t>
  </si>
  <si>
    <t>860Z200US43013</t>
  </si>
  <si>
    <t>860Z200US43014</t>
  </si>
  <si>
    <t>860Z200US43015</t>
  </si>
  <si>
    <t>860Z200US43016</t>
  </si>
  <si>
    <t>860Z200US43017</t>
  </si>
  <si>
    <t>860Z200US43018</t>
  </si>
  <si>
    <t>860Z200US43019</t>
  </si>
  <si>
    <t>860Z200US43021</t>
  </si>
  <si>
    <t>860Z200US43022</t>
  </si>
  <si>
    <t>860Z200US43023</t>
  </si>
  <si>
    <t>860Z200US43025</t>
  </si>
  <si>
    <t>860Z200US43026</t>
  </si>
  <si>
    <t>860Z200US43027</t>
  </si>
  <si>
    <t>860Z200US43028</t>
  </si>
  <si>
    <t>860Z200US43029</t>
  </si>
  <si>
    <t>860Z200US43030</t>
  </si>
  <si>
    <t>860Z200US43031</t>
  </si>
  <si>
    <t>860Z200US43032</t>
  </si>
  <si>
    <t>860Z200US43033</t>
  </si>
  <si>
    <t>860Z200US43035</t>
  </si>
  <si>
    <t>860Z200US43036</t>
  </si>
  <si>
    <t>860Z200US43037</t>
  </si>
  <si>
    <t>860Z200US43040</t>
  </si>
  <si>
    <t>860Z200US43044</t>
  </si>
  <si>
    <t>860Z200US43045</t>
  </si>
  <si>
    <t>860Z200US43046</t>
  </si>
  <si>
    <t>860Z200US43047</t>
  </si>
  <si>
    <t>860Z200US43050</t>
  </si>
  <si>
    <t>860Z200US43054</t>
  </si>
  <si>
    <t>860Z200US43055</t>
  </si>
  <si>
    <t>860Z200US43056</t>
  </si>
  <si>
    <t>860Z200US43060</t>
  </si>
  <si>
    <t>860Z200US43061</t>
  </si>
  <si>
    <t>860Z200US43062</t>
  </si>
  <si>
    <t>860Z200US43064</t>
  </si>
  <si>
    <t>860Z200US43065</t>
  </si>
  <si>
    <t>860Z200US43066</t>
  </si>
  <si>
    <t>860Z200US43067</t>
  </si>
  <si>
    <t>860Z200US43068</t>
  </si>
  <si>
    <t>860Z200US43070</t>
  </si>
  <si>
    <t>860Z200US43071</t>
  </si>
  <si>
    <t>860Z200US43072</t>
  </si>
  <si>
    <t>860Z200US43074</t>
  </si>
  <si>
    <t>860Z200US43076</t>
  </si>
  <si>
    <t>860Z200US43077</t>
  </si>
  <si>
    <t>860Z200US43078</t>
  </si>
  <si>
    <t>860Z200US43080</t>
  </si>
  <si>
    <t>860Z200US43081</t>
  </si>
  <si>
    <t>860Z200US43082</t>
  </si>
  <si>
    <t>860Z200US43084</t>
  </si>
  <si>
    <t>860Z200US43085</t>
  </si>
  <si>
    <t>860Z200US43101</t>
  </si>
  <si>
    <t>860Z200US43102</t>
  </si>
  <si>
    <t>860Z200US43103</t>
  </si>
  <si>
    <t>860Z200US43105</t>
  </si>
  <si>
    <t>860Z200US43106</t>
  </si>
  <si>
    <t>860Z200US43107</t>
  </si>
  <si>
    <t>860Z200US43109</t>
  </si>
  <si>
    <t>860Z200US43110</t>
  </si>
  <si>
    <t>860Z200US43111</t>
  </si>
  <si>
    <t>860Z200US43112</t>
  </si>
  <si>
    <t>860Z200US43113</t>
  </si>
  <si>
    <t>860Z200US43115</t>
  </si>
  <si>
    <t>860Z200US43116</t>
  </si>
  <si>
    <t>860Z200US43117</t>
  </si>
  <si>
    <t>860Z200US43119</t>
  </si>
  <si>
    <t>860Z200US43123</t>
  </si>
  <si>
    <t>860Z200US43125</t>
  </si>
  <si>
    <t>860Z200US43126</t>
  </si>
  <si>
    <t>860Z200US43127</t>
  </si>
  <si>
    <t>860Z200US43128</t>
  </si>
  <si>
    <t>860Z200US43130</t>
  </si>
  <si>
    <t>860Z200US43135</t>
  </si>
  <si>
    <t>860Z200US43136</t>
  </si>
  <si>
    <t>860Z200US43137</t>
  </si>
  <si>
    <t>860Z200US43138</t>
  </si>
  <si>
    <t>860Z200US43140</t>
  </si>
  <si>
    <t>860Z200US43142</t>
  </si>
  <si>
    <t>860Z200US43143</t>
  </si>
  <si>
    <t>860Z200US43144</t>
  </si>
  <si>
    <t>860Z200US43145</t>
  </si>
  <si>
    <t>860Z200US43146</t>
  </si>
  <si>
    <t>860Z200US43147</t>
  </si>
  <si>
    <t>860Z200US43148</t>
  </si>
  <si>
    <t>860Z200US43149</t>
  </si>
  <si>
    <t>860Z200US43150</t>
  </si>
  <si>
    <t>860Z200US43151</t>
  </si>
  <si>
    <t>860Z200US43152</t>
  </si>
  <si>
    <t>860Z200US43153</t>
  </si>
  <si>
    <t>860Z200US43154</t>
  </si>
  <si>
    <t>860Z200US43155</t>
  </si>
  <si>
    <t>860Z200US43156</t>
  </si>
  <si>
    <t>860Z200US43157</t>
  </si>
  <si>
    <t>860Z200US43158</t>
  </si>
  <si>
    <t>860Z200US43160</t>
  </si>
  <si>
    <t>860Z200US43162</t>
  </si>
  <si>
    <t>860Z200US43164</t>
  </si>
  <si>
    <t>860Z200US43201</t>
  </si>
  <si>
    <t>860Z200US43202</t>
  </si>
  <si>
    <t>860Z200US43203</t>
  </si>
  <si>
    <t>860Z200US43204</t>
  </si>
  <si>
    <t>860Z200US43205</t>
  </si>
  <si>
    <t>860Z200US43206</t>
  </si>
  <si>
    <t>860Z200US43207</t>
  </si>
  <si>
    <t>860Z200US43209</t>
  </si>
  <si>
    <t>860Z200US43210</t>
  </si>
  <si>
    <t>860Z200US43211</t>
  </si>
  <si>
    <t>860Z200US43212</t>
  </si>
  <si>
    <t>860Z200US43213</t>
  </si>
  <si>
    <t>860Z200US43214</t>
  </si>
  <si>
    <t>860Z200US43215</t>
  </si>
  <si>
    <t>860Z200US43217</t>
  </si>
  <si>
    <t>860Z200US43218</t>
  </si>
  <si>
    <t>860Z200US43219</t>
  </si>
  <si>
    <t>860Z200US43220</t>
  </si>
  <si>
    <t>860Z200US43221</t>
  </si>
  <si>
    <t>860Z200US43222</t>
  </si>
  <si>
    <t>860Z200US43223</t>
  </si>
  <si>
    <t>860Z200US43224</t>
  </si>
  <si>
    <t>860Z200US43227</t>
  </si>
  <si>
    <t>860Z200US43228</t>
  </si>
  <si>
    <t>860Z200US43229</t>
  </si>
  <si>
    <t>860Z200US43230</t>
  </si>
  <si>
    <t>860Z200US43231</t>
  </si>
  <si>
    <t>860Z200US43232</t>
  </si>
  <si>
    <t>860Z200US43235</t>
  </si>
  <si>
    <t>860Z200US43240</t>
  </si>
  <si>
    <t>860Z200US43302</t>
  </si>
  <si>
    <t>860Z200US43310</t>
  </si>
  <si>
    <t>860Z200US43311</t>
  </si>
  <si>
    <t>860Z200US43314</t>
  </si>
  <si>
    <t>860Z200US43315</t>
  </si>
  <si>
    <t>860Z200US43316</t>
  </si>
  <si>
    <t>860Z200US43317</t>
  </si>
  <si>
    <t>860Z200US43318</t>
  </si>
  <si>
    <t>860Z200US43319</t>
  </si>
  <si>
    <t>860Z200US43320</t>
  </si>
  <si>
    <t>860Z200US43321</t>
  </si>
  <si>
    <t>860Z200US43322</t>
  </si>
  <si>
    <t>860Z200US43323</t>
  </si>
  <si>
    <t>860Z200US43324</t>
  </si>
  <si>
    <t>860Z200US43325</t>
  </si>
  <si>
    <t>860Z200US43326</t>
  </si>
  <si>
    <t>860Z200US43330</t>
  </si>
  <si>
    <t>860Z200US43331</t>
  </si>
  <si>
    <t>860Z200US43332</t>
  </si>
  <si>
    <t>860Z200US43333</t>
  </si>
  <si>
    <t>860Z200US43334</t>
  </si>
  <si>
    <t>860Z200US43336</t>
  </si>
  <si>
    <t>860Z200US43337</t>
  </si>
  <si>
    <t>860Z200US43338</t>
  </si>
  <si>
    <t>860Z200US43340</t>
  </si>
  <si>
    <t>860Z200US43341</t>
  </si>
  <si>
    <t>860Z200US43342</t>
  </si>
  <si>
    <t>860Z200US43343</t>
  </si>
  <si>
    <t>860Z200US43344</t>
  </si>
  <si>
    <t>860Z200US43345</t>
  </si>
  <si>
    <t>860Z200US43346</t>
  </si>
  <si>
    <t>860Z200US43347</t>
  </si>
  <si>
    <t>860Z200US43348</t>
  </si>
  <si>
    <t>860Z200US43350</t>
  </si>
  <si>
    <t>860Z200US43351</t>
  </si>
  <si>
    <t>860Z200US43356</t>
  </si>
  <si>
    <t>860Z200US43357</t>
  </si>
  <si>
    <t>860Z200US43358</t>
  </si>
  <si>
    <t>860Z200US43359</t>
  </si>
  <si>
    <t>860Z200US43360</t>
  </si>
  <si>
    <t>860Z200US43402</t>
  </si>
  <si>
    <t>860Z200US43403</t>
  </si>
  <si>
    <t>860Z200US43406</t>
  </si>
  <si>
    <t>860Z200US43407</t>
  </si>
  <si>
    <t>860Z200US43408</t>
  </si>
  <si>
    <t>860Z200US43410</t>
  </si>
  <si>
    <t>860Z200US43412</t>
  </si>
  <si>
    <t>860Z200US43413</t>
  </si>
  <si>
    <t>860Z200US43414</t>
  </si>
  <si>
    <t>860Z200US43416</t>
  </si>
  <si>
    <t>860Z200US43420</t>
  </si>
  <si>
    <t>860Z200US43430</t>
  </si>
  <si>
    <t>860Z200US43431</t>
  </si>
  <si>
    <t>860Z200US43432</t>
  </si>
  <si>
    <t>860Z200US43433</t>
  </si>
  <si>
    <t>860Z200US43434</t>
  </si>
  <si>
    <t>860Z200US43435</t>
  </si>
  <si>
    <t>860Z200US43436</t>
  </si>
  <si>
    <t>860Z200US43437</t>
  </si>
  <si>
    <t>860Z200US43438</t>
  </si>
  <si>
    <t>860Z200US43439</t>
  </si>
  <si>
    <t>860Z200US43440</t>
  </si>
  <si>
    <t>860Z200US43442</t>
  </si>
  <si>
    <t>860Z200US43443</t>
  </si>
  <si>
    <t>860Z200US43445</t>
  </si>
  <si>
    <t>860Z200US43446</t>
  </si>
  <si>
    <t>860Z200US43447</t>
  </si>
  <si>
    <t>860Z200US43449</t>
  </si>
  <si>
    <t>860Z200US43450</t>
  </si>
  <si>
    <t>860Z200US43451</t>
  </si>
  <si>
    <t>860Z200US43452</t>
  </si>
  <si>
    <t>860Z200US43456</t>
  </si>
  <si>
    <t>860Z200US43457</t>
  </si>
  <si>
    <t>860Z200US43458</t>
  </si>
  <si>
    <t>860Z200US43460</t>
  </si>
  <si>
    <t>860Z200US43462</t>
  </si>
  <si>
    <t>860Z200US43463</t>
  </si>
  <si>
    <t>860Z200US43464</t>
  </si>
  <si>
    <t>860Z200US43465</t>
  </si>
  <si>
    <t>860Z200US43466</t>
  </si>
  <si>
    <t>860Z200US43467</t>
  </si>
  <si>
    <t>860Z200US43468</t>
  </si>
  <si>
    <t>860Z200US43469</t>
  </si>
  <si>
    <t>860Z200US43501</t>
  </si>
  <si>
    <t>860Z200US43502</t>
  </si>
  <si>
    <t>860Z200US43504</t>
  </si>
  <si>
    <t>860Z200US43505</t>
  </si>
  <si>
    <t>860Z200US43506</t>
  </si>
  <si>
    <t>860Z200US43510</t>
  </si>
  <si>
    <t>860Z200US43511</t>
  </si>
  <si>
    <t>860Z200US43512</t>
  </si>
  <si>
    <t>860Z200US43515</t>
  </si>
  <si>
    <t>860Z200US43516</t>
  </si>
  <si>
    <t>860Z200US43517</t>
  </si>
  <si>
    <t>860Z200US43518</t>
  </si>
  <si>
    <t>860Z200US43519</t>
  </si>
  <si>
    <t>860Z200US43520</t>
  </si>
  <si>
    <t>860Z200US43521</t>
  </si>
  <si>
    <t>860Z200US43522</t>
  </si>
  <si>
    <t>860Z200US43523</t>
  </si>
  <si>
    <t>860Z200US43524</t>
  </si>
  <si>
    <t>860Z200US43525</t>
  </si>
  <si>
    <t>860Z200US43526</t>
  </si>
  <si>
    <t>860Z200US43527</t>
  </si>
  <si>
    <t>860Z200US43528</t>
  </si>
  <si>
    <t>860Z200US43529</t>
  </si>
  <si>
    <t>860Z200US43530</t>
  </si>
  <si>
    <t>860Z200US43531</t>
  </si>
  <si>
    <t>860Z200US43532</t>
  </si>
  <si>
    <t>860Z200US43533</t>
  </si>
  <si>
    <t>860Z200US43534</t>
  </si>
  <si>
    <t>860Z200US43535</t>
  </si>
  <si>
    <t>860Z200US43536</t>
  </si>
  <si>
    <t>860Z200US43537</t>
  </si>
  <si>
    <t>860Z200US43540</t>
  </si>
  <si>
    <t>860Z200US43541</t>
  </si>
  <si>
    <t>860Z200US43542</t>
  </si>
  <si>
    <t>860Z200US43543</t>
  </si>
  <si>
    <t>860Z200US43545</t>
  </si>
  <si>
    <t>860Z200US43547</t>
  </si>
  <si>
    <t>860Z200US43548</t>
  </si>
  <si>
    <t>860Z200US43549</t>
  </si>
  <si>
    <t>860Z200US43551</t>
  </si>
  <si>
    <t>860Z200US43553</t>
  </si>
  <si>
    <t>860Z200US43554</t>
  </si>
  <si>
    <t>860Z200US43555</t>
  </si>
  <si>
    <t>860Z200US43556</t>
  </si>
  <si>
    <t>860Z200US43557</t>
  </si>
  <si>
    <t>860Z200US43558</t>
  </si>
  <si>
    <t>860Z200US43560</t>
  </si>
  <si>
    <t>860Z200US43565</t>
  </si>
  <si>
    <t>860Z200US43566</t>
  </si>
  <si>
    <t>860Z200US43567</t>
  </si>
  <si>
    <t>860Z200US43569</t>
  </si>
  <si>
    <t>860Z200US43570</t>
  </si>
  <si>
    <t>860Z200US43571</t>
  </si>
  <si>
    <t>860Z200US43604</t>
  </si>
  <si>
    <t>860Z200US43605</t>
  </si>
  <si>
    <t>860Z200US43606</t>
  </si>
  <si>
    <t>860Z200US43607</t>
  </si>
  <si>
    <t>860Z200US43608</t>
  </si>
  <si>
    <t>860Z200US43609</t>
  </si>
  <si>
    <t>860Z200US43610</t>
  </si>
  <si>
    <t>860Z200US43611</t>
  </si>
  <si>
    <t>860Z200US43612</t>
  </si>
  <si>
    <t>860Z200US43613</t>
  </si>
  <si>
    <t>860Z200US43614</t>
  </si>
  <si>
    <t>860Z200US43615</t>
  </si>
  <si>
    <t>860Z200US43616</t>
  </si>
  <si>
    <t>860Z200US43617</t>
  </si>
  <si>
    <t>860Z200US43619</t>
  </si>
  <si>
    <t>860Z200US43620</t>
  </si>
  <si>
    <t>860Z200US43623</t>
  </si>
  <si>
    <t>860Z200US43701</t>
  </si>
  <si>
    <t>860Z200US43711</t>
  </si>
  <si>
    <t>860Z200US43713</t>
  </si>
  <si>
    <t>860Z200US43716</t>
  </si>
  <si>
    <t>860Z200US43717</t>
  </si>
  <si>
    <t>860Z200US43718</t>
  </si>
  <si>
    <t>860Z200US43719</t>
  </si>
  <si>
    <t>860Z200US43720</t>
  </si>
  <si>
    <t>860Z200US43721</t>
  </si>
  <si>
    <t>860Z200US43722</t>
  </si>
  <si>
    <t>860Z200US43723</t>
  </si>
  <si>
    <t>860Z200US43724</t>
  </si>
  <si>
    <t>860Z200US43725</t>
  </si>
  <si>
    <t>860Z200US43727</t>
  </si>
  <si>
    <t>860Z200US43728</t>
  </si>
  <si>
    <t>860Z200US43730</t>
  </si>
  <si>
    <t>860Z200US43731</t>
  </si>
  <si>
    <t>860Z200US43732</t>
  </si>
  <si>
    <t>860Z200US43733</t>
  </si>
  <si>
    <t>860Z200US43734</t>
  </si>
  <si>
    <t>860Z200US43735</t>
  </si>
  <si>
    <t>860Z200US43736</t>
  </si>
  <si>
    <t>860Z200US43738</t>
  </si>
  <si>
    <t>860Z200US43739</t>
  </si>
  <si>
    <t>860Z200US43740</t>
  </si>
  <si>
    <t>860Z200US43746</t>
  </si>
  <si>
    <t>860Z200US43747</t>
  </si>
  <si>
    <t>860Z200US43748</t>
  </si>
  <si>
    <t>860Z200US43749</t>
  </si>
  <si>
    <t>860Z200US43750</t>
  </si>
  <si>
    <t>860Z200US43754</t>
  </si>
  <si>
    <t>860Z200US43755</t>
  </si>
  <si>
    <t>860Z200US43756</t>
  </si>
  <si>
    <t>860Z200US43758</t>
  </si>
  <si>
    <t>860Z200US43759</t>
  </si>
  <si>
    <t>860Z200US43760</t>
  </si>
  <si>
    <t>860Z200US43761</t>
  </si>
  <si>
    <t>860Z200US43762</t>
  </si>
  <si>
    <t>860Z200US43764</t>
  </si>
  <si>
    <t>860Z200US43766</t>
  </si>
  <si>
    <t>860Z200US43767</t>
  </si>
  <si>
    <t>860Z200US43768</t>
  </si>
  <si>
    <t>860Z200US43771</t>
  </si>
  <si>
    <t>860Z200US43772</t>
  </si>
  <si>
    <t>860Z200US43773</t>
  </si>
  <si>
    <t>860Z200US43777</t>
  </si>
  <si>
    <t>860Z200US43778</t>
  </si>
  <si>
    <t>860Z200US43779</t>
  </si>
  <si>
    <t>860Z200US43780</t>
  </si>
  <si>
    <t>860Z200US43782</t>
  </si>
  <si>
    <t>860Z200US43783</t>
  </si>
  <si>
    <t>860Z200US43786</t>
  </si>
  <si>
    <t>860Z200US43787</t>
  </si>
  <si>
    <t>860Z200US43788</t>
  </si>
  <si>
    <t>860Z200US43791</t>
  </si>
  <si>
    <t>860Z200US43793</t>
  </si>
  <si>
    <t>860Z200US43802</t>
  </si>
  <si>
    <t>860Z200US43804</t>
  </si>
  <si>
    <t>860Z200US43805</t>
  </si>
  <si>
    <t>860Z200US43811</t>
  </si>
  <si>
    <t>860Z200US43812</t>
  </si>
  <si>
    <t>860Z200US43821</t>
  </si>
  <si>
    <t>860Z200US43822</t>
  </si>
  <si>
    <t>860Z200US43824</t>
  </si>
  <si>
    <t>860Z200US43830</t>
  </si>
  <si>
    <t>860Z200US43832</t>
  </si>
  <si>
    <t>860Z200US43836</t>
  </si>
  <si>
    <t>860Z200US43837</t>
  </si>
  <si>
    <t>860Z200US43840</t>
  </si>
  <si>
    <t>860Z200US43842</t>
  </si>
  <si>
    <t>860Z200US43843</t>
  </si>
  <si>
    <t>860Z200US43844</t>
  </si>
  <si>
    <t>860Z200US43845</t>
  </si>
  <si>
    <t>860Z200US43901</t>
  </si>
  <si>
    <t>860Z200US43902</t>
  </si>
  <si>
    <t>860Z200US43903</t>
  </si>
  <si>
    <t>860Z200US43905</t>
  </si>
  <si>
    <t>860Z200US43906</t>
  </si>
  <si>
    <t>860Z200US43907</t>
  </si>
  <si>
    <t>860Z200US43908</t>
  </si>
  <si>
    <t>860Z200US43909</t>
  </si>
  <si>
    <t>860Z200US43910</t>
  </si>
  <si>
    <t>860Z200US43912</t>
  </si>
  <si>
    <t>860Z200US43913</t>
  </si>
  <si>
    <t>860Z200US43914</t>
  </si>
  <si>
    <t>860Z200US43915</t>
  </si>
  <si>
    <t>860Z200US43917</t>
  </si>
  <si>
    <t>860Z200US43920</t>
  </si>
  <si>
    <t>860Z200US43925</t>
  </si>
  <si>
    <t>860Z200US43926</t>
  </si>
  <si>
    <t>860Z200US43928</t>
  </si>
  <si>
    <t>860Z200US43930</t>
  </si>
  <si>
    <t>860Z200US43931</t>
  </si>
  <si>
    <t>860Z200US43932</t>
  </si>
  <si>
    <t>860Z200US43933</t>
  </si>
  <si>
    <t>860Z200US43934</t>
  </si>
  <si>
    <t>860Z200US43935</t>
  </si>
  <si>
    <t>860Z200US43938</t>
  </si>
  <si>
    <t>860Z200US43939</t>
  </si>
  <si>
    <t>860Z200US43940</t>
  </si>
  <si>
    <t>860Z200US43942</t>
  </si>
  <si>
    <t>860Z200US43943</t>
  </si>
  <si>
    <t>860Z200US43944</t>
  </si>
  <si>
    <t>860Z200US43945</t>
  </si>
  <si>
    <t>860Z200US43946</t>
  </si>
  <si>
    <t>860Z200US43947</t>
  </si>
  <si>
    <t>860Z200US43948</t>
  </si>
  <si>
    <t>860Z200US43950</t>
  </si>
  <si>
    <t>860Z200US43951</t>
  </si>
  <si>
    <t>860Z200US43952</t>
  </si>
  <si>
    <t>860Z200US43953</t>
  </si>
  <si>
    <t>860Z200US43961</t>
  </si>
  <si>
    <t>860Z200US43962</t>
  </si>
  <si>
    <t>860Z200US43963</t>
  </si>
  <si>
    <t>860Z200US43964</t>
  </si>
  <si>
    <t>860Z200US43967</t>
  </si>
  <si>
    <t>860Z200US43968</t>
  </si>
  <si>
    <t>860Z200US43971</t>
  </si>
  <si>
    <t>860Z200US43972</t>
  </si>
  <si>
    <t>860Z200US43973</t>
  </si>
  <si>
    <t>860Z200US43974</t>
  </si>
  <si>
    <t>860Z200US43976</t>
  </si>
  <si>
    <t>860Z200US43977</t>
  </si>
  <si>
    <t>860Z200US43981</t>
  </si>
  <si>
    <t>860Z200US43983</t>
  </si>
  <si>
    <t>860Z200US43985</t>
  </si>
  <si>
    <t>860Z200US43986</t>
  </si>
  <si>
    <t>860Z200US43988</t>
  </si>
  <si>
    <t>860Z200US44001</t>
  </si>
  <si>
    <t>860Z200US44003</t>
  </si>
  <si>
    <t>860Z200US44004</t>
  </si>
  <si>
    <t>860Z200US44010</t>
  </si>
  <si>
    <t>860Z200US44011</t>
  </si>
  <si>
    <t>860Z200US44012</t>
  </si>
  <si>
    <t>860Z200US44017</t>
  </si>
  <si>
    <t>860Z200US44021</t>
  </si>
  <si>
    <t>860Z200US44022</t>
  </si>
  <si>
    <t>860Z200US44023</t>
  </si>
  <si>
    <t>860Z200US44024</t>
  </si>
  <si>
    <t>860Z200US44026</t>
  </si>
  <si>
    <t>860Z200US44028</t>
  </si>
  <si>
    <t>860Z200US44030</t>
  </si>
  <si>
    <t>860Z200US44032</t>
  </si>
  <si>
    <t>860Z200US44035</t>
  </si>
  <si>
    <t>860Z200US44039</t>
  </si>
  <si>
    <t>860Z200US44040</t>
  </si>
  <si>
    <t>860Z200US44041</t>
  </si>
  <si>
    <t>860Z200US44044</t>
  </si>
  <si>
    <t>860Z200US44045</t>
  </si>
  <si>
    <t>860Z200US44046</t>
  </si>
  <si>
    <t>860Z200US44047</t>
  </si>
  <si>
    <t>860Z200US44048</t>
  </si>
  <si>
    <t>860Z200US44049</t>
  </si>
  <si>
    <t>860Z200US44050</t>
  </si>
  <si>
    <t>860Z200US44052</t>
  </si>
  <si>
    <t>860Z200US44053</t>
  </si>
  <si>
    <t>860Z200US44054</t>
  </si>
  <si>
    <t>860Z200US44055</t>
  </si>
  <si>
    <t>860Z200US44056</t>
  </si>
  <si>
    <t>860Z200US44057</t>
  </si>
  <si>
    <t>860Z200US44060</t>
  </si>
  <si>
    <t>860Z200US44062</t>
  </si>
  <si>
    <t>860Z200US44064</t>
  </si>
  <si>
    <t>860Z200US44065</t>
  </si>
  <si>
    <t>860Z200US44067</t>
  </si>
  <si>
    <t>860Z200US44068</t>
  </si>
  <si>
    <t>860Z200US44070</t>
  </si>
  <si>
    <t>860Z200US44072</t>
  </si>
  <si>
    <t>860Z200US44074</t>
  </si>
  <si>
    <t>860Z200US44076</t>
  </si>
  <si>
    <t>860Z200US44077</t>
  </si>
  <si>
    <t>860Z200US44080</t>
  </si>
  <si>
    <t>860Z200US44081</t>
  </si>
  <si>
    <t>860Z200US44082</t>
  </si>
  <si>
    <t>860Z200US44084</t>
  </si>
  <si>
    <t>860Z200US44085</t>
  </si>
  <si>
    <t>860Z200US44086</t>
  </si>
  <si>
    <t>860Z200US44087</t>
  </si>
  <si>
    <t>860Z200US44089</t>
  </si>
  <si>
    <t>860Z200US44090</t>
  </si>
  <si>
    <t>860Z200US44092</t>
  </si>
  <si>
    <t>860Z200US44093</t>
  </si>
  <si>
    <t>860Z200US44094</t>
  </si>
  <si>
    <t>860Z200US44095</t>
  </si>
  <si>
    <t>860Z200US44099</t>
  </si>
  <si>
    <t>860Z200US44101</t>
  </si>
  <si>
    <t>860Z200US44102</t>
  </si>
  <si>
    <t>860Z200US44103</t>
  </si>
  <si>
    <t>860Z200US44104</t>
  </si>
  <si>
    <t>860Z200US44105</t>
  </si>
  <si>
    <t>860Z200US44106</t>
  </si>
  <si>
    <t>860Z200US44107</t>
  </si>
  <si>
    <t>860Z200US44108</t>
  </si>
  <si>
    <t>860Z200US44109</t>
  </si>
  <si>
    <t>860Z200US44110</t>
  </si>
  <si>
    <t>860Z200US44111</t>
  </si>
  <si>
    <t>860Z200US44112</t>
  </si>
  <si>
    <t>860Z200US44113</t>
  </si>
  <si>
    <t>860Z200US44114</t>
  </si>
  <si>
    <t>860Z200US44115</t>
  </si>
  <si>
    <t>860Z200US44116</t>
  </si>
  <si>
    <t>860Z200US44117</t>
  </si>
  <si>
    <t>860Z200US44118</t>
  </si>
  <si>
    <t>860Z200US44119</t>
  </si>
  <si>
    <t>860Z200US44120</t>
  </si>
  <si>
    <t>860Z200US44121</t>
  </si>
  <si>
    <t>860Z200US44122</t>
  </si>
  <si>
    <t>860Z200US44123</t>
  </si>
  <si>
    <t>860Z200US44124</t>
  </si>
  <si>
    <t>860Z200US44125</t>
  </si>
  <si>
    <t>860Z200US44126</t>
  </si>
  <si>
    <t>860Z200US44127</t>
  </si>
  <si>
    <t>860Z200US44128</t>
  </si>
  <si>
    <t>860Z200US44129</t>
  </si>
  <si>
    <t>860Z200US44130</t>
  </si>
  <si>
    <t>860Z200US44131</t>
  </si>
  <si>
    <t>860Z200US44132</t>
  </si>
  <si>
    <t>860Z200US44133</t>
  </si>
  <si>
    <t>860Z200US44134</t>
  </si>
  <si>
    <t>860Z200US44135</t>
  </si>
  <si>
    <t>860Z200US44136</t>
  </si>
  <si>
    <t>860Z200US44137</t>
  </si>
  <si>
    <t>860Z200US44138</t>
  </si>
  <si>
    <t>860Z200US44139</t>
  </si>
  <si>
    <t>860Z200US44140</t>
  </si>
  <si>
    <t>860Z200US44141</t>
  </si>
  <si>
    <t>860Z200US44142</t>
  </si>
  <si>
    <t>860Z200US44143</t>
  </si>
  <si>
    <t>860Z200US44144</t>
  </si>
  <si>
    <t>860Z200US44145</t>
  </si>
  <si>
    <t>860Z200US44146</t>
  </si>
  <si>
    <t>860Z200US44147</t>
  </si>
  <si>
    <t>860Z200US44149</t>
  </si>
  <si>
    <t>860Z200US44201</t>
  </si>
  <si>
    <t>860Z200US44202</t>
  </si>
  <si>
    <t>860Z200US44203</t>
  </si>
  <si>
    <t>860Z200US44212</t>
  </si>
  <si>
    <t>860Z200US44214</t>
  </si>
  <si>
    <t>860Z200US44215</t>
  </si>
  <si>
    <t>860Z200US44216</t>
  </si>
  <si>
    <t>860Z200US44217</t>
  </si>
  <si>
    <t>860Z200US44221</t>
  </si>
  <si>
    <t>860Z200US44223</t>
  </si>
  <si>
    <t>860Z200US44224</t>
  </si>
  <si>
    <t>860Z200US44230</t>
  </si>
  <si>
    <t>860Z200US44231</t>
  </si>
  <si>
    <t>860Z200US44232</t>
  </si>
  <si>
    <t>860Z200US44233</t>
  </si>
  <si>
    <t>860Z200US44234</t>
  </si>
  <si>
    <t>860Z200US44235</t>
  </si>
  <si>
    <t>860Z200US44236</t>
  </si>
  <si>
    <t>860Z200US44240</t>
  </si>
  <si>
    <t>860Z200US44241</t>
  </si>
  <si>
    <t>860Z200US44243</t>
  </si>
  <si>
    <t>860Z200US44250</t>
  </si>
  <si>
    <t>860Z200US44251</t>
  </si>
  <si>
    <t>860Z200US44253</t>
  </si>
  <si>
    <t>860Z200US44254</t>
  </si>
  <si>
    <t>860Z200US44255</t>
  </si>
  <si>
    <t>860Z200US44256</t>
  </si>
  <si>
    <t>860Z200US44260</t>
  </si>
  <si>
    <t>860Z200US44262</t>
  </si>
  <si>
    <t>860Z200US44264</t>
  </si>
  <si>
    <t>860Z200US44266</t>
  </si>
  <si>
    <t>860Z200US44270</t>
  </si>
  <si>
    <t>860Z200US44272</t>
  </si>
  <si>
    <t>860Z200US44273</t>
  </si>
  <si>
    <t>860Z200US44274</t>
  </si>
  <si>
    <t>860Z200US44275</t>
  </si>
  <si>
    <t>860Z200US44276</t>
  </si>
  <si>
    <t>860Z200US44278</t>
  </si>
  <si>
    <t>860Z200US44280</t>
  </si>
  <si>
    <t>860Z200US44281</t>
  </si>
  <si>
    <t>860Z200US44285</t>
  </si>
  <si>
    <t>860Z200US44286</t>
  </si>
  <si>
    <t>860Z200US44287</t>
  </si>
  <si>
    <t>860Z200US44288</t>
  </si>
  <si>
    <t>860Z200US44301</t>
  </si>
  <si>
    <t>860Z200US44302</t>
  </si>
  <si>
    <t>860Z200US44303</t>
  </si>
  <si>
    <t>860Z200US44304</t>
  </si>
  <si>
    <t>860Z200US44305</t>
  </si>
  <si>
    <t>860Z200US44306</t>
  </si>
  <si>
    <t>860Z200US44307</t>
  </si>
  <si>
    <t>860Z200US44308</t>
  </si>
  <si>
    <t>860Z200US44310</t>
  </si>
  <si>
    <t>860Z200US44311</t>
  </si>
  <si>
    <t>860Z200US44312</t>
  </si>
  <si>
    <t>860Z200US44313</t>
  </si>
  <si>
    <t>860Z200US44314</t>
  </si>
  <si>
    <t>860Z200US44319</t>
  </si>
  <si>
    <t>860Z200US44320</t>
  </si>
  <si>
    <t>860Z200US44321</t>
  </si>
  <si>
    <t>860Z200US44325</t>
  </si>
  <si>
    <t>860Z200US44333</t>
  </si>
  <si>
    <t>860Z200US44401</t>
  </si>
  <si>
    <t>860Z200US44402</t>
  </si>
  <si>
    <t>860Z200US44403</t>
  </si>
  <si>
    <t>860Z200US44404</t>
  </si>
  <si>
    <t>860Z200US44405</t>
  </si>
  <si>
    <t>860Z200US44406</t>
  </si>
  <si>
    <t>860Z200US44408</t>
  </si>
  <si>
    <t>860Z200US44410</t>
  </si>
  <si>
    <t>860Z200US44411</t>
  </si>
  <si>
    <t>860Z200US44412</t>
  </si>
  <si>
    <t>860Z200US44413</t>
  </si>
  <si>
    <t>860Z200US44415</t>
  </si>
  <si>
    <t>860Z200US44417</t>
  </si>
  <si>
    <t>860Z200US44418</t>
  </si>
  <si>
    <t>860Z200US44420</t>
  </si>
  <si>
    <t>860Z200US44423</t>
  </si>
  <si>
    <t>860Z200US44424</t>
  </si>
  <si>
    <t>860Z200US44425</t>
  </si>
  <si>
    <t>860Z200US44427</t>
  </si>
  <si>
    <t>860Z200US44428</t>
  </si>
  <si>
    <t>860Z200US44429</t>
  </si>
  <si>
    <t>860Z200US44430</t>
  </si>
  <si>
    <t>860Z200US44431</t>
  </si>
  <si>
    <t>860Z200US44432</t>
  </si>
  <si>
    <t>860Z200US44436</t>
  </si>
  <si>
    <t>860Z200US44437</t>
  </si>
  <si>
    <t>860Z200US44438</t>
  </si>
  <si>
    <t>860Z200US44439</t>
  </si>
  <si>
    <t>860Z200US44440</t>
  </si>
  <si>
    <t>860Z200US44441</t>
  </si>
  <si>
    <t>860Z200US44442</t>
  </si>
  <si>
    <t>860Z200US44443</t>
  </si>
  <si>
    <t>860Z200US44444</t>
  </si>
  <si>
    <t>860Z200US44445</t>
  </si>
  <si>
    <t>860Z200US44446</t>
  </si>
  <si>
    <t>860Z200US44449</t>
  </si>
  <si>
    <t>860Z200US44450</t>
  </si>
  <si>
    <t>860Z200US44451</t>
  </si>
  <si>
    <t>860Z200US44452</t>
  </si>
  <si>
    <t>860Z200US44454</t>
  </si>
  <si>
    <t>860Z200US44455</t>
  </si>
  <si>
    <t>860Z200US44460</t>
  </si>
  <si>
    <t>860Z200US44470</t>
  </si>
  <si>
    <t>860Z200US44471</t>
  </si>
  <si>
    <t>860Z200US44473</t>
  </si>
  <si>
    <t>860Z200US44481</t>
  </si>
  <si>
    <t>860Z200US44483</t>
  </si>
  <si>
    <t>860Z200US44484</t>
  </si>
  <si>
    <t>860Z200US44485</t>
  </si>
  <si>
    <t>860Z200US44490</t>
  </si>
  <si>
    <t>860Z200US44491</t>
  </si>
  <si>
    <t>860Z200US44493</t>
  </si>
  <si>
    <t>860Z200US44502</t>
  </si>
  <si>
    <t>860Z200US44503</t>
  </si>
  <si>
    <t>860Z200US44504</t>
  </si>
  <si>
    <t>860Z200US44505</t>
  </si>
  <si>
    <t>860Z200US44506</t>
  </si>
  <si>
    <t>860Z200US44507</t>
  </si>
  <si>
    <t>860Z200US44509</t>
  </si>
  <si>
    <t>860Z200US44510</t>
  </si>
  <si>
    <t>860Z200US44511</t>
  </si>
  <si>
    <t>860Z200US44512</t>
  </si>
  <si>
    <t>860Z200US44514</t>
  </si>
  <si>
    <t>860Z200US44515</t>
  </si>
  <si>
    <t>860Z200US44555</t>
  </si>
  <si>
    <t>860Z200US44601</t>
  </si>
  <si>
    <t>860Z200US44606</t>
  </si>
  <si>
    <t>860Z200US44607</t>
  </si>
  <si>
    <t>860Z200US44608</t>
  </si>
  <si>
    <t>860Z200US44609</t>
  </si>
  <si>
    <t>860Z200US44610</t>
  </si>
  <si>
    <t>860Z200US44611</t>
  </si>
  <si>
    <t>860Z200US44612</t>
  </si>
  <si>
    <t>860Z200US44613</t>
  </si>
  <si>
    <t>860Z200US44614</t>
  </si>
  <si>
    <t>860Z200US44615</t>
  </si>
  <si>
    <t>860Z200US44618</t>
  </si>
  <si>
    <t>860Z200US44619</t>
  </si>
  <si>
    <t>860Z200US44620</t>
  </si>
  <si>
    <t>860Z200US44621</t>
  </si>
  <si>
    <t>860Z200US44622</t>
  </si>
  <si>
    <t>860Z200US44624</t>
  </si>
  <si>
    <t>860Z200US44625</t>
  </si>
  <si>
    <t>860Z200US44626</t>
  </si>
  <si>
    <t>860Z200US44627</t>
  </si>
  <si>
    <t>860Z200US44628</t>
  </si>
  <si>
    <t>860Z200US44629</t>
  </si>
  <si>
    <t>860Z200US44630</t>
  </si>
  <si>
    <t>860Z200US44632</t>
  </si>
  <si>
    <t>860Z200US44633</t>
  </si>
  <si>
    <t>860Z200US44634</t>
  </si>
  <si>
    <t>860Z200US44637</t>
  </si>
  <si>
    <t>860Z200US44638</t>
  </si>
  <si>
    <t>860Z200US44639</t>
  </si>
  <si>
    <t>860Z200US44640</t>
  </si>
  <si>
    <t>860Z200US44641</t>
  </si>
  <si>
    <t>860Z200US44643</t>
  </si>
  <si>
    <t>860Z200US44644</t>
  </si>
  <si>
    <t>860Z200US44645</t>
  </si>
  <si>
    <t>860Z200US44646</t>
  </si>
  <si>
    <t>860Z200US44647</t>
  </si>
  <si>
    <t>860Z200US44651</t>
  </si>
  <si>
    <t>860Z200US44652</t>
  </si>
  <si>
    <t>860Z200US44653</t>
  </si>
  <si>
    <t>860Z200US44654</t>
  </si>
  <si>
    <t>860Z200US44656</t>
  </si>
  <si>
    <t>860Z200US44657</t>
  </si>
  <si>
    <t>860Z200US44659</t>
  </si>
  <si>
    <t>860Z200US44660</t>
  </si>
  <si>
    <t>860Z200US44661</t>
  </si>
  <si>
    <t>860Z200US44662</t>
  </si>
  <si>
    <t>860Z200US44663</t>
  </si>
  <si>
    <t>860Z200US44665</t>
  </si>
  <si>
    <t>860Z200US44666</t>
  </si>
  <si>
    <t>860Z200US44667</t>
  </si>
  <si>
    <t>860Z200US44669</t>
  </si>
  <si>
    <t>860Z200US44670</t>
  </si>
  <si>
    <t>860Z200US44671</t>
  </si>
  <si>
    <t>860Z200US44672</t>
  </si>
  <si>
    <t>860Z200US44675</t>
  </si>
  <si>
    <t>860Z200US44676</t>
  </si>
  <si>
    <t>860Z200US44677</t>
  </si>
  <si>
    <t>860Z200US44678</t>
  </si>
  <si>
    <t>860Z200US44680</t>
  </si>
  <si>
    <t>860Z200US44681</t>
  </si>
  <si>
    <t>860Z200US44682</t>
  </si>
  <si>
    <t>860Z200US44683</t>
  </si>
  <si>
    <t>860Z200US44685</t>
  </si>
  <si>
    <t>860Z200US44687</t>
  </si>
  <si>
    <t>860Z200US44688</t>
  </si>
  <si>
    <t>860Z200US44689</t>
  </si>
  <si>
    <t>860Z200US44690</t>
  </si>
  <si>
    <t>860Z200US44691</t>
  </si>
  <si>
    <t>860Z200US44693</t>
  </si>
  <si>
    <t>860Z200US44695</t>
  </si>
  <si>
    <t>860Z200US44697</t>
  </si>
  <si>
    <t>860Z200US44699</t>
  </si>
  <si>
    <t>860Z200US44702</t>
  </si>
  <si>
    <t>860Z200US44703</t>
  </si>
  <si>
    <t>860Z200US44704</t>
  </si>
  <si>
    <t>860Z200US44705</t>
  </si>
  <si>
    <t>860Z200US44706</t>
  </si>
  <si>
    <t>860Z200US44707</t>
  </si>
  <si>
    <t>860Z200US44708</t>
  </si>
  <si>
    <t>860Z200US44709</t>
  </si>
  <si>
    <t>860Z200US44710</t>
  </si>
  <si>
    <t>860Z200US44714</t>
  </si>
  <si>
    <t>860Z200US44718</t>
  </si>
  <si>
    <t>860Z200US44720</t>
  </si>
  <si>
    <t>860Z200US44721</t>
  </si>
  <si>
    <t>860Z200US44730</t>
  </si>
  <si>
    <t>860Z200US44802</t>
  </si>
  <si>
    <t>860Z200US44804</t>
  </si>
  <si>
    <t>860Z200US44805</t>
  </si>
  <si>
    <t>860Z200US44807</t>
  </si>
  <si>
    <t>860Z200US44809</t>
  </si>
  <si>
    <t>860Z200US44811</t>
  </si>
  <si>
    <t>860Z200US44813</t>
  </si>
  <si>
    <t>860Z200US44814</t>
  </si>
  <si>
    <t>860Z200US44815</t>
  </si>
  <si>
    <t>860Z200US44817</t>
  </si>
  <si>
    <t>860Z200US44818</t>
  </si>
  <si>
    <t>860Z200US44820</t>
  </si>
  <si>
    <t>860Z200US44822</t>
  </si>
  <si>
    <t>860Z200US44824</t>
  </si>
  <si>
    <t>860Z200US44825</t>
  </si>
  <si>
    <t>860Z200US44826</t>
  </si>
  <si>
    <t>860Z200US44827</t>
  </si>
  <si>
    <t>860Z200US44828</t>
  </si>
  <si>
    <t>860Z200US44830</t>
  </si>
  <si>
    <t>860Z200US44833</t>
  </si>
  <si>
    <t>860Z200US44836</t>
  </si>
  <si>
    <t>860Z200US44837</t>
  </si>
  <si>
    <t>860Z200US44838</t>
  </si>
  <si>
    <t>860Z200US44839</t>
  </si>
  <si>
    <t>860Z200US44840</t>
  </si>
  <si>
    <t>860Z200US44841</t>
  </si>
  <si>
    <t>860Z200US44842</t>
  </si>
  <si>
    <t>860Z200US44843</t>
  </si>
  <si>
    <t>860Z200US44844</t>
  </si>
  <si>
    <t>860Z200US44846</t>
  </si>
  <si>
    <t>860Z200US44847</t>
  </si>
  <si>
    <t>860Z200US44849</t>
  </si>
  <si>
    <t>860Z200US44850</t>
  </si>
  <si>
    <t>860Z200US44851</t>
  </si>
  <si>
    <t>860Z200US44853</t>
  </si>
  <si>
    <t>860Z200US44854</t>
  </si>
  <si>
    <t>860Z200US44855</t>
  </si>
  <si>
    <t>860Z200US44856</t>
  </si>
  <si>
    <t>860Z200US44857</t>
  </si>
  <si>
    <t>860Z200US44859</t>
  </si>
  <si>
    <t>860Z200US44861</t>
  </si>
  <si>
    <t>860Z200US44864</t>
  </si>
  <si>
    <t>860Z200US44865</t>
  </si>
  <si>
    <t>860Z200US44866</t>
  </si>
  <si>
    <t>860Z200US44867</t>
  </si>
  <si>
    <t>860Z200US44870</t>
  </si>
  <si>
    <t>860Z200US44874</t>
  </si>
  <si>
    <t>860Z200US44875</t>
  </si>
  <si>
    <t>860Z200US44878</t>
  </si>
  <si>
    <t>860Z200US44880</t>
  </si>
  <si>
    <t>860Z200US44881</t>
  </si>
  <si>
    <t>860Z200US44882</t>
  </si>
  <si>
    <t>860Z200US44883</t>
  </si>
  <si>
    <t>860Z200US44887</t>
  </si>
  <si>
    <t>860Z200US44889</t>
  </si>
  <si>
    <t>860Z200US44890</t>
  </si>
  <si>
    <t>860Z200US44901</t>
  </si>
  <si>
    <t>860Z200US44902</t>
  </si>
  <si>
    <t>860Z200US44903</t>
  </si>
  <si>
    <t>860Z200US44904</t>
  </si>
  <si>
    <t>860Z200US44905</t>
  </si>
  <si>
    <t>860Z200US44906</t>
  </si>
  <si>
    <t>860Z200US44907</t>
  </si>
  <si>
    <t>860Z200US45001</t>
  </si>
  <si>
    <t>860Z200US45002</t>
  </si>
  <si>
    <t>860Z200US45003</t>
  </si>
  <si>
    <t>860Z200US45005</t>
  </si>
  <si>
    <t>860Z200US45011</t>
  </si>
  <si>
    <t>860Z200US45013</t>
  </si>
  <si>
    <t>860Z200US45014</t>
  </si>
  <si>
    <t>860Z200US45015</t>
  </si>
  <si>
    <t>860Z200US45030</t>
  </si>
  <si>
    <t>860Z200US45032</t>
  </si>
  <si>
    <t>860Z200US45033</t>
  </si>
  <si>
    <t>860Z200US45034</t>
  </si>
  <si>
    <t>860Z200US45036</t>
  </si>
  <si>
    <t>860Z200US45039</t>
  </si>
  <si>
    <t>860Z200US45040</t>
  </si>
  <si>
    <t>860Z200US45041</t>
  </si>
  <si>
    <t>860Z200US45042</t>
  </si>
  <si>
    <t>860Z200US45044</t>
  </si>
  <si>
    <t>860Z200US45050</t>
  </si>
  <si>
    <t>860Z200US45051</t>
  </si>
  <si>
    <t>860Z200US45052</t>
  </si>
  <si>
    <t>860Z200US45053</t>
  </si>
  <si>
    <t>860Z200US45054</t>
  </si>
  <si>
    <t>860Z200US45055</t>
  </si>
  <si>
    <t>860Z200US45056</t>
  </si>
  <si>
    <t>860Z200US45062</t>
  </si>
  <si>
    <t>860Z200US45064</t>
  </si>
  <si>
    <t>860Z200US45065</t>
  </si>
  <si>
    <t>860Z200US45066</t>
  </si>
  <si>
    <t>860Z200US45067</t>
  </si>
  <si>
    <t>860Z200US45068</t>
  </si>
  <si>
    <t>860Z200US45069</t>
  </si>
  <si>
    <t>860Z200US45070</t>
  </si>
  <si>
    <t>860Z200US45101</t>
  </si>
  <si>
    <t>860Z200US45102</t>
  </si>
  <si>
    <t>860Z200US45103</t>
  </si>
  <si>
    <t>860Z200US45105</t>
  </si>
  <si>
    <t>860Z200US45106</t>
  </si>
  <si>
    <t>860Z200US45107</t>
  </si>
  <si>
    <t>860Z200US45111</t>
  </si>
  <si>
    <t>860Z200US45112</t>
  </si>
  <si>
    <t>860Z200US45113</t>
  </si>
  <si>
    <t>860Z200US45115</t>
  </si>
  <si>
    <t>860Z200US45118</t>
  </si>
  <si>
    <t>860Z200US45119</t>
  </si>
  <si>
    <t>860Z200US45120</t>
  </si>
  <si>
    <t>860Z200US45121</t>
  </si>
  <si>
    <t>860Z200US45122</t>
  </si>
  <si>
    <t>860Z200US45123</t>
  </si>
  <si>
    <t>860Z200US45130</t>
  </si>
  <si>
    <t>860Z200US45131</t>
  </si>
  <si>
    <t>860Z200US45132</t>
  </si>
  <si>
    <t>860Z200US45133</t>
  </si>
  <si>
    <t>860Z200US45135</t>
  </si>
  <si>
    <t>860Z200US45140</t>
  </si>
  <si>
    <t>860Z200US45142</t>
  </si>
  <si>
    <t>860Z200US45144</t>
  </si>
  <si>
    <t>860Z200US45146</t>
  </si>
  <si>
    <t>860Z200US45147</t>
  </si>
  <si>
    <t>860Z200US45148</t>
  </si>
  <si>
    <t>860Z200US45150</t>
  </si>
  <si>
    <t>860Z200US45152</t>
  </si>
  <si>
    <t>860Z200US45153</t>
  </si>
  <si>
    <t>860Z200US45154</t>
  </si>
  <si>
    <t>860Z200US45155</t>
  </si>
  <si>
    <t>860Z200US45156</t>
  </si>
  <si>
    <t>860Z200US45157</t>
  </si>
  <si>
    <t>860Z200US45158</t>
  </si>
  <si>
    <t>860Z200US45159</t>
  </si>
  <si>
    <t>860Z200US45160</t>
  </si>
  <si>
    <t>860Z200US45162</t>
  </si>
  <si>
    <t>860Z200US45164</t>
  </si>
  <si>
    <t>860Z200US45166</t>
  </si>
  <si>
    <t>860Z200US45167</t>
  </si>
  <si>
    <t>860Z200US45168</t>
  </si>
  <si>
    <t>860Z200US45169</t>
  </si>
  <si>
    <t>860Z200US45171</t>
  </si>
  <si>
    <t>860Z200US45172</t>
  </si>
  <si>
    <t>860Z200US45174</t>
  </si>
  <si>
    <t>860Z200US45176</t>
  </si>
  <si>
    <t>860Z200US45177</t>
  </si>
  <si>
    <t>860Z200US45202</t>
  </si>
  <si>
    <t>860Z200US45203</t>
  </si>
  <si>
    <t>860Z200US45204</t>
  </si>
  <si>
    <t>860Z200US45205</t>
  </si>
  <si>
    <t>860Z200US45206</t>
  </si>
  <si>
    <t>860Z200US45207</t>
  </si>
  <si>
    <t>860Z200US45208</t>
  </si>
  <si>
    <t>860Z200US45209</t>
  </si>
  <si>
    <t>860Z200US45211</t>
  </si>
  <si>
    <t>860Z200US45212</t>
  </si>
  <si>
    <t>860Z200US45213</t>
  </si>
  <si>
    <t>860Z200US45214</t>
  </si>
  <si>
    <t>860Z200US45215</t>
  </si>
  <si>
    <t>860Z200US45216</t>
  </si>
  <si>
    <t>860Z200US45217</t>
  </si>
  <si>
    <t>860Z200US45218</t>
  </si>
  <si>
    <t>860Z200US45219</t>
  </si>
  <si>
    <t>860Z200US45220</t>
  </si>
  <si>
    <t>860Z200US45223</t>
  </si>
  <si>
    <t>860Z200US45224</t>
  </si>
  <si>
    <t>860Z200US45225</t>
  </si>
  <si>
    <t>860Z200US45226</t>
  </si>
  <si>
    <t>860Z200US45227</t>
  </si>
  <si>
    <t>860Z200US45229</t>
  </si>
  <si>
    <t>860Z200US45230</t>
  </si>
  <si>
    <t>860Z200US45231</t>
  </si>
  <si>
    <t>860Z200US45232</t>
  </si>
  <si>
    <t>860Z200US45233</t>
  </si>
  <si>
    <t>860Z200US45236</t>
  </si>
  <si>
    <t>860Z200US45237</t>
  </si>
  <si>
    <t>860Z200US45238</t>
  </si>
  <si>
    <t>860Z200US45239</t>
  </si>
  <si>
    <t>860Z200US45240</t>
  </si>
  <si>
    <t>860Z200US45241</t>
  </si>
  <si>
    <t>860Z200US45242</t>
  </si>
  <si>
    <t>860Z200US45243</t>
  </si>
  <si>
    <t>860Z200US45244</t>
  </si>
  <si>
    <t>860Z200US45245</t>
  </si>
  <si>
    <t>860Z200US45246</t>
  </si>
  <si>
    <t>860Z200US45247</t>
  </si>
  <si>
    <t>860Z200US45248</t>
  </si>
  <si>
    <t>860Z200US45249</t>
  </si>
  <si>
    <t>860Z200US45251</t>
  </si>
  <si>
    <t>860Z200US45252</t>
  </si>
  <si>
    <t>860Z200US45255</t>
  </si>
  <si>
    <t>860Z200US45267</t>
  </si>
  <si>
    <t>860Z200US45301</t>
  </si>
  <si>
    <t>860Z200US45302</t>
  </si>
  <si>
    <t>860Z200US45303</t>
  </si>
  <si>
    <t>860Z200US45304</t>
  </si>
  <si>
    <t>860Z200US45305</t>
  </si>
  <si>
    <t>860Z200US45306</t>
  </si>
  <si>
    <t>860Z200US45307</t>
  </si>
  <si>
    <t>860Z200US45308</t>
  </si>
  <si>
    <t>860Z200US45309</t>
  </si>
  <si>
    <t>860Z200US45310</t>
  </si>
  <si>
    <t>860Z200US45311</t>
  </si>
  <si>
    <t>860Z200US45312</t>
  </si>
  <si>
    <t>860Z200US45314</t>
  </si>
  <si>
    <t>860Z200US45315</t>
  </si>
  <si>
    <t>860Z200US45316</t>
  </si>
  <si>
    <t>860Z200US45317</t>
  </si>
  <si>
    <t>860Z200US45318</t>
  </si>
  <si>
    <t>860Z200US45319</t>
  </si>
  <si>
    <t>860Z200US45320</t>
  </si>
  <si>
    <t>860Z200US45321</t>
  </si>
  <si>
    <t>860Z200US45322</t>
  </si>
  <si>
    <t>860Z200US45323</t>
  </si>
  <si>
    <t>860Z200US45324</t>
  </si>
  <si>
    <t>860Z200US45325</t>
  </si>
  <si>
    <t>860Z200US45326</t>
  </si>
  <si>
    <t>860Z200US45327</t>
  </si>
  <si>
    <t>860Z200US45328</t>
  </si>
  <si>
    <t>860Z200US45330</t>
  </si>
  <si>
    <t>860Z200US45331</t>
  </si>
  <si>
    <t>860Z200US45332</t>
  </si>
  <si>
    <t>860Z200US45333</t>
  </si>
  <si>
    <t>860Z200US45334</t>
  </si>
  <si>
    <t>860Z200US45335</t>
  </si>
  <si>
    <t>860Z200US45336</t>
  </si>
  <si>
    <t>860Z200US45337</t>
  </si>
  <si>
    <t>860Z200US45338</t>
  </si>
  <si>
    <t>860Z200US45339</t>
  </si>
  <si>
    <t>860Z200US45340</t>
  </si>
  <si>
    <t>860Z200US45341</t>
  </si>
  <si>
    <t>860Z200US45342</t>
  </si>
  <si>
    <t>860Z200US45344</t>
  </si>
  <si>
    <t>860Z200US45345</t>
  </si>
  <si>
    <t>860Z200US45346</t>
  </si>
  <si>
    <t>860Z200US45347</t>
  </si>
  <si>
    <t>860Z200US45348</t>
  </si>
  <si>
    <t>860Z200US45349</t>
  </si>
  <si>
    <t>860Z200US45350</t>
  </si>
  <si>
    <t>860Z200US45351</t>
  </si>
  <si>
    <t>860Z200US45352</t>
  </si>
  <si>
    <t>860Z200US45353</t>
  </si>
  <si>
    <t>860Z200US45354</t>
  </si>
  <si>
    <t>860Z200US45356</t>
  </si>
  <si>
    <t>860Z200US45358</t>
  </si>
  <si>
    <t>860Z200US45359</t>
  </si>
  <si>
    <t>860Z200US45360</t>
  </si>
  <si>
    <t>860Z200US45361</t>
  </si>
  <si>
    <t>860Z200US45362</t>
  </si>
  <si>
    <t>860Z200US45363</t>
  </si>
  <si>
    <t>860Z200US45365</t>
  </si>
  <si>
    <t>860Z200US45368</t>
  </si>
  <si>
    <t>860Z200US45369</t>
  </si>
  <si>
    <t>860Z200US45370</t>
  </si>
  <si>
    <t>860Z200US45371</t>
  </si>
  <si>
    <t>860Z200US45372</t>
  </si>
  <si>
    <t>860Z200US45373</t>
  </si>
  <si>
    <t>860Z200US45377</t>
  </si>
  <si>
    <t>860Z200US45378</t>
  </si>
  <si>
    <t>860Z200US45380</t>
  </si>
  <si>
    <t>860Z200US45381</t>
  </si>
  <si>
    <t>860Z200US45382</t>
  </si>
  <si>
    <t>860Z200US45383</t>
  </si>
  <si>
    <t>860Z200US45384</t>
  </si>
  <si>
    <t>860Z200US45385</t>
  </si>
  <si>
    <t>860Z200US45387</t>
  </si>
  <si>
    <t>860Z200US45388</t>
  </si>
  <si>
    <t>860Z200US45389</t>
  </si>
  <si>
    <t>860Z200US45390</t>
  </si>
  <si>
    <t>860Z200US45402</t>
  </si>
  <si>
    <t>860Z200US45403</t>
  </si>
  <si>
    <t>860Z200US45404</t>
  </si>
  <si>
    <t>860Z200US45405</t>
  </si>
  <si>
    <t>860Z200US45406</t>
  </si>
  <si>
    <t>860Z200US45409</t>
  </si>
  <si>
    <t>860Z200US45410</t>
  </si>
  <si>
    <t>860Z200US45414</t>
  </si>
  <si>
    <t>860Z200US45415</t>
  </si>
  <si>
    <t>860Z200US45416</t>
  </si>
  <si>
    <t>860Z200US45417</t>
  </si>
  <si>
    <t>860Z200US45419</t>
  </si>
  <si>
    <t>860Z200US45420</t>
  </si>
  <si>
    <t>860Z200US45423</t>
  </si>
  <si>
    <t>860Z200US45424</t>
  </si>
  <si>
    <t>860Z200US45426</t>
  </si>
  <si>
    <t>860Z200US45428</t>
  </si>
  <si>
    <t>860Z200US45429</t>
  </si>
  <si>
    <t>860Z200US45430</t>
  </si>
  <si>
    <t>860Z200US45431</t>
  </si>
  <si>
    <t>860Z200US45432</t>
  </si>
  <si>
    <t>860Z200US45433</t>
  </si>
  <si>
    <t>860Z200US45434</t>
  </si>
  <si>
    <t>860Z200US45435</t>
  </si>
  <si>
    <t>860Z200US45439</t>
  </si>
  <si>
    <t>860Z200US45440</t>
  </si>
  <si>
    <t>860Z200US45449</t>
  </si>
  <si>
    <t>860Z200US45458</t>
  </si>
  <si>
    <t>860Z200US45459</t>
  </si>
  <si>
    <t>860Z200US45469</t>
  </si>
  <si>
    <t>860Z200US45501</t>
  </si>
  <si>
    <t>860Z200US45502</t>
  </si>
  <si>
    <t>860Z200US45503</t>
  </si>
  <si>
    <t>860Z200US45504</t>
  </si>
  <si>
    <t>860Z200US45505</t>
  </si>
  <si>
    <t>860Z200US45506</t>
  </si>
  <si>
    <t>860Z200US45601</t>
  </si>
  <si>
    <t>860Z200US45612</t>
  </si>
  <si>
    <t>860Z200US45613</t>
  </si>
  <si>
    <t>860Z200US45614</t>
  </si>
  <si>
    <t>860Z200US45616</t>
  </si>
  <si>
    <t>860Z200US45617</t>
  </si>
  <si>
    <t>860Z200US45618</t>
  </si>
  <si>
    <t>860Z200US45619</t>
  </si>
  <si>
    <t>860Z200US45620</t>
  </si>
  <si>
    <t>860Z200US45621</t>
  </si>
  <si>
    <t>860Z200US45622</t>
  </si>
  <si>
    <t>860Z200US45623</t>
  </si>
  <si>
    <t>860Z200US45624</t>
  </si>
  <si>
    <t>860Z200US45628</t>
  </si>
  <si>
    <t>860Z200US45629</t>
  </si>
  <si>
    <t>860Z200US45630</t>
  </si>
  <si>
    <t>860Z200US45631</t>
  </si>
  <si>
    <t>860Z200US45634</t>
  </si>
  <si>
    <t>860Z200US45636</t>
  </si>
  <si>
    <t>860Z200US45638</t>
  </si>
  <si>
    <t>860Z200US45640</t>
  </si>
  <si>
    <t>860Z200US45642</t>
  </si>
  <si>
    <t>860Z200US45644</t>
  </si>
  <si>
    <t>860Z200US45645</t>
  </si>
  <si>
    <t>860Z200US45646</t>
  </si>
  <si>
    <t>860Z200US45647</t>
  </si>
  <si>
    <t>860Z200US45648</t>
  </si>
  <si>
    <t>860Z200US45650</t>
  </si>
  <si>
    <t>860Z200US45651</t>
  </si>
  <si>
    <t>860Z200US45652</t>
  </si>
  <si>
    <t>860Z200US45653</t>
  </si>
  <si>
    <t>860Z200US45654</t>
  </si>
  <si>
    <t>860Z200US45656</t>
  </si>
  <si>
    <t>860Z200US45657</t>
  </si>
  <si>
    <t>860Z200US45658</t>
  </si>
  <si>
    <t>860Z200US45659</t>
  </si>
  <si>
    <t>860Z200US45660</t>
  </si>
  <si>
    <t>860Z200US45661</t>
  </si>
  <si>
    <t>860Z200US45662</t>
  </si>
  <si>
    <t>860Z200US45663</t>
  </si>
  <si>
    <t>860Z200US45669</t>
  </si>
  <si>
    <t>860Z200US45671</t>
  </si>
  <si>
    <t>860Z200US45672</t>
  </si>
  <si>
    <t>860Z200US45673</t>
  </si>
  <si>
    <t>860Z200US45674</t>
  </si>
  <si>
    <t>860Z200US45677</t>
  </si>
  <si>
    <t>860Z200US45678</t>
  </si>
  <si>
    <t>860Z200US45679</t>
  </si>
  <si>
    <t>860Z200US45680</t>
  </si>
  <si>
    <t>860Z200US45681</t>
  </si>
  <si>
    <t>860Z200US45682</t>
  </si>
  <si>
    <t>860Z200US45684</t>
  </si>
  <si>
    <t>860Z200US45685</t>
  </si>
  <si>
    <t>860Z200US45686</t>
  </si>
  <si>
    <t>860Z200US45688</t>
  </si>
  <si>
    <t>860Z200US45690</t>
  </si>
  <si>
    <t>860Z200US45692</t>
  </si>
  <si>
    <t>860Z200US45693</t>
  </si>
  <si>
    <t>860Z200US45694</t>
  </si>
  <si>
    <t>860Z200US45695</t>
  </si>
  <si>
    <t>860Z200US45696</t>
  </si>
  <si>
    <t>860Z200US45697</t>
  </si>
  <si>
    <t>860Z200US45698</t>
  </si>
  <si>
    <t>860Z200US45699</t>
  </si>
  <si>
    <t>860Z200US45701</t>
  </si>
  <si>
    <t>860Z200US45710</t>
  </si>
  <si>
    <t>860Z200US45711</t>
  </si>
  <si>
    <t>860Z200US45714</t>
  </si>
  <si>
    <t>860Z200US45715</t>
  </si>
  <si>
    <t>860Z200US45716</t>
  </si>
  <si>
    <t>860Z200US45719</t>
  </si>
  <si>
    <t>860Z200US45720</t>
  </si>
  <si>
    <t>860Z200US45721</t>
  </si>
  <si>
    <t>860Z200US45723</t>
  </si>
  <si>
    <t>860Z200US45724</t>
  </si>
  <si>
    <t>860Z200US45727</t>
  </si>
  <si>
    <t>860Z200US45729</t>
  </si>
  <si>
    <t>860Z200US45732</t>
  </si>
  <si>
    <t>860Z200US45734</t>
  </si>
  <si>
    <t>860Z200US45735</t>
  </si>
  <si>
    <t>860Z200US45739</t>
  </si>
  <si>
    <t>860Z200US45740</t>
  </si>
  <si>
    <t>860Z200US45741</t>
  </si>
  <si>
    <t>860Z200US45742</t>
  </si>
  <si>
    <t>860Z200US45743</t>
  </si>
  <si>
    <t>860Z200US45744</t>
  </si>
  <si>
    <t>860Z200US45745</t>
  </si>
  <si>
    <t>860Z200US45746</t>
  </si>
  <si>
    <t>860Z200US45750</t>
  </si>
  <si>
    <t>860Z200US45760</t>
  </si>
  <si>
    <t>860Z200US45761</t>
  </si>
  <si>
    <t>860Z200US45764</t>
  </si>
  <si>
    <t>860Z200US45766</t>
  </si>
  <si>
    <t>860Z200US45767</t>
  </si>
  <si>
    <t>860Z200US45768</t>
  </si>
  <si>
    <t>860Z200US45769</t>
  </si>
  <si>
    <t>860Z200US45770</t>
  </si>
  <si>
    <t>860Z200US45771</t>
  </si>
  <si>
    <t>860Z200US45772</t>
  </si>
  <si>
    <t>860Z200US45773</t>
  </si>
  <si>
    <t>860Z200US45775</t>
  </si>
  <si>
    <t>860Z200US45776</t>
  </si>
  <si>
    <t>860Z200US45778</t>
  </si>
  <si>
    <t>860Z200US45779</t>
  </si>
  <si>
    <t>860Z200US45780</t>
  </si>
  <si>
    <t>860Z200US45782</t>
  </si>
  <si>
    <t>860Z200US45783</t>
  </si>
  <si>
    <t>860Z200US45784</t>
  </si>
  <si>
    <t>860Z200US45786</t>
  </si>
  <si>
    <t>860Z200US45788</t>
  </si>
  <si>
    <t>860Z200US45789</t>
  </si>
  <si>
    <t>860Z200US45801</t>
  </si>
  <si>
    <t>860Z200US45804</t>
  </si>
  <si>
    <t>860Z200US45805</t>
  </si>
  <si>
    <t>860Z200US45806</t>
  </si>
  <si>
    <t>860Z200US45807</t>
  </si>
  <si>
    <t>860Z200US45808</t>
  </si>
  <si>
    <t>860Z200US45809</t>
  </si>
  <si>
    <t>860Z200US45810</t>
  </si>
  <si>
    <t>860Z200US45812</t>
  </si>
  <si>
    <t>860Z200US45813</t>
  </si>
  <si>
    <t>860Z200US45814</t>
  </si>
  <si>
    <t>860Z200US45815</t>
  </si>
  <si>
    <t>860Z200US45816</t>
  </si>
  <si>
    <t>860Z200US45817</t>
  </si>
  <si>
    <t>860Z200US45819</t>
  </si>
  <si>
    <t>860Z200US45820</t>
  </si>
  <si>
    <t>860Z200US45821</t>
  </si>
  <si>
    <t>860Z200US45822</t>
  </si>
  <si>
    <t>860Z200US45826</t>
  </si>
  <si>
    <t>860Z200US45827</t>
  </si>
  <si>
    <t>860Z200US45828</t>
  </si>
  <si>
    <t>860Z200US45830</t>
  </si>
  <si>
    <t>860Z200US45831</t>
  </si>
  <si>
    <t>860Z200US45832</t>
  </si>
  <si>
    <t>860Z200US45833</t>
  </si>
  <si>
    <t>860Z200US45835</t>
  </si>
  <si>
    <t>860Z200US45836</t>
  </si>
  <si>
    <t>860Z200US45838</t>
  </si>
  <si>
    <t>860Z200US45840</t>
  </si>
  <si>
    <t>860Z200US45841</t>
  </si>
  <si>
    <t>860Z200US45843</t>
  </si>
  <si>
    <t>860Z200US45844</t>
  </si>
  <si>
    <t>860Z200US45845</t>
  </si>
  <si>
    <t>860Z200US45846</t>
  </si>
  <si>
    <t>860Z200US45848</t>
  </si>
  <si>
    <t>860Z200US45849</t>
  </si>
  <si>
    <t>860Z200US45850</t>
  </si>
  <si>
    <t>860Z200US45851</t>
  </si>
  <si>
    <t>860Z200US45853</t>
  </si>
  <si>
    <t>860Z200US45854</t>
  </si>
  <si>
    <t>860Z200US45855</t>
  </si>
  <si>
    <t>860Z200US45856</t>
  </si>
  <si>
    <t>860Z200US45858</t>
  </si>
  <si>
    <t>860Z200US45859</t>
  </si>
  <si>
    <t>860Z200US45860</t>
  </si>
  <si>
    <t>860Z200US45861</t>
  </si>
  <si>
    <t>860Z200US45862</t>
  </si>
  <si>
    <t>860Z200US45863</t>
  </si>
  <si>
    <t>860Z200US45864</t>
  </si>
  <si>
    <t>860Z200US45865</t>
  </si>
  <si>
    <t>860Z200US45866</t>
  </si>
  <si>
    <t>860Z200US45867</t>
  </si>
  <si>
    <t>860Z200US45868</t>
  </si>
  <si>
    <t>860Z200US45869</t>
  </si>
  <si>
    <t>860Z200US45870</t>
  </si>
  <si>
    <t>860Z200US45871</t>
  </si>
  <si>
    <t>860Z200US45872</t>
  </si>
  <si>
    <t>860Z200US45873</t>
  </si>
  <si>
    <t>860Z200US45874</t>
  </si>
  <si>
    <t>860Z200US45875</t>
  </si>
  <si>
    <t>860Z200US45876</t>
  </si>
  <si>
    <t>860Z200US45877</t>
  </si>
  <si>
    <t>860Z200US45879</t>
  </si>
  <si>
    <t>860Z200US45880</t>
  </si>
  <si>
    <t>860Z200US45881</t>
  </si>
  <si>
    <t>860Z200US45882</t>
  </si>
  <si>
    <t>860Z200US45883</t>
  </si>
  <si>
    <t>860Z200US45884</t>
  </si>
  <si>
    <t>860Z200US45885</t>
  </si>
  <si>
    <t>860Z200US45886</t>
  </si>
  <si>
    <t>860Z200US45887</t>
  </si>
  <si>
    <t>860Z200US45888</t>
  </si>
  <si>
    <t>860Z200US45889</t>
  </si>
  <si>
    <t>860Z200US45890</t>
  </si>
  <si>
    <t>860Z200US45891</t>
  </si>
  <si>
    <t>860Z200US45893</t>
  </si>
  <si>
    <t>860Z200US45894</t>
  </si>
  <si>
    <t>860Z200US45895</t>
  </si>
  <si>
    <t>860Z200US45896</t>
  </si>
  <si>
    <t>860Z200US45897</t>
  </si>
  <si>
    <t>860Z200US45898</t>
  </si>
  <si>
    <t>860Z200US45899</t>
  </si>
  <si>
    <t>Metropolitan Statistical Area:</t>
  </si>
  <si>
    <t>Ohio State Senate District:</t>
  </si>
  <si>
    <t>Ohio State House District:</t>
  </si>
  <si>
    <t>Age Restriction:</t>
  </si>
  <si>
    <r>
      <t xml:space="preserve">Was this project ever </t>
    </r>
    <r>
      <rPr>
        <u/>
        <sz val="11"/>
        <color theme="1"/>
        <rFont val="Arial"/>
        <family val="2"/>
        <scheme val="minor"/>
      </rPr>
      <t>submitted</t>
    </r>
    <r>
      <rPr>
        <sz val="11"/>
        <color theme="1"/>
        <rFont val="Arial"/>
        <family val="2"/>
        <scheme val="minor"/>
      </rPr>
      <t xml:space="preserve"> as a LIHTC application before?</t>
    </r>
  </si>
  <si>
    <t>Projected Date</t>
  </si>
  <si>
    <t>Marginal Time (months)</t>
  </si>
  <si>
    <t>Cumulative Time (months)</t>
  </si>
  <si>
    <t>Construction Commencement:</t>
  </si>
  <si>
    <t>First Building Placed in Service:</t>
  </si>
  <si>
    <t>Last Building Placed in Service:</t>
  </si>
  <si>
    <t>Permanent Debt Closing Date:</t>
  </si>
  <si>
    <t>Stabilized Occupancy:</t>
  </si>
  <si>
    <t>Qualified Occupancy (all LIHTC units):</t>
  </si>
  <si>
    <t>Percent of Sites Eligible for Basis Boost:</t>
  </si>
  <si>
    <t>Percent of Site Type Under Control:</t>
  </si>
  <si>
    <t>Total Number of Sites:</t>
  </si>
  <si>
    <t>Number of Sites Proposed to Acquire:</t>
  </si>
  <si>
    <t>Number of Sites Under Control:</t>
  </si>
  <si>
    <t>Site Control Type</t>
  </si>
  <si>
    <t>or more</t>
  </si>
  <si>
    <t>Site Control Status, by Construction Type</t>
  </si>
  <si>
    <t>Sites Eligible for Non-Discretionary Basis Boost</t>
  </si>
  <si>
    <t>Non-Discretionary Basis Boost Type</t>
  </si>
  <si>
    <t>Number of Sites</t>
  </si>
  <si>
    <t>Sites in a Qualified Census Tract:</t>
  </si>
  <si>
    <t>Sites in a Difficult Development Area:</t>
  </si>
  <si>
    <t>Building Type by Number of Floors</t>
  </si>
  <si>
    <t>Detached, Non-Residential Structures</t>
  </si>
  <si>
    <t>Structure Type</t>
  </si>
  <si>
    <t>Section 504 Mobility and Sensory Units</t>
  </si>
  <si>
    <t>Section 504 Unit Type</t>
  </si>
  <si>
    <t>Mobility</t>
  </si>
  <si>
    <t>Sensory</t>
  </si>
  <si>
    <t>OHFA 504 Requirement Met?</t>
  </si>
  <si>
    <t>OHFA Minimum 504 Units</t>
  </si>
  <si>
    <t>Federal 504 Minimum Percent</t>
  </si>
  <si>
    <t>Federal Minimum
504 Units</t>
  </si>
  <si>
    <t>Variance from OHFA 504 Minimum</t>
  </si>
  <si>
    <t>Rentable Size
(Square Feet)</t>
  </si>
  <si>
    <t>Monthly Net Rent per SF</t>
  </si>
  <si>
    <t>Do construction and permanent sources balance?</t>
  </si>
  <si>
    <t>Locked cell due to auto-calculation</t>
  </si>
  <si>
    <t>Unrestricted or drop-down answer</t>
  </si>
  <si>
    <t>Selling Entity or Seller Name</t>
  </si>
  <si>
    <t>Total Units in Each Building Type Category</t>
  </si>
  <si>
    <t>Cash Flow Pro Forma</t>
  </si>
  <si>
    <t>This individual is responsible for all firm affordable housing development</t>
  </si>
  <si>
    <t>Percent of Total Property Revenue</t>
  </si>
  <si>
    <t>811 PRA</t>
  </si>
  <si>
    <t>HDAP Type</t>
  </si>
  <si>
    <t>Tax Status</t>
  </si>
  <si>
    <t>Equity Bridge Loan</t>
  </si>
  <si>
    <t>Locked cell due to entry being not applicable</t>
  </si>
  <si>
    <t>MLP Application and Closing Fee</t>
  </si>
  <si>
    <t>HDL Application, Servicing, and Closing Fee</t>
  </si>
  <si>
    <t>Hard Debt</t>
  </si>
  <si>
    <t>Percent of Sites Located in a QCT and/or DDA:</t>
  </si>
  <si>
    <t>Low Income Unit Fraction:</t>
  </si>
  <si>
    <t>Low Income Floor Space Fraction:</t>
  </si>
  <si>
    <t>Applicable Fraction:</t>
  </si>
  <si>
    <t>Total Qualified Basis:</t>
  </si>
  <si>
    <t>Applicable Tax Credit Percentage:</t>
  </si>
  <si>
    <t>Annual LIHTC Amount:</t>
  </si>
  <si>
    <t>Other Required LIHTC Reductions:</t>
  </si>
  <si>
    <t>Total Annual LIHTCs Eligible :</t>
  </si>
  <si>
    <t>Total Annual LIHTCs Requested:</t>
  </si>
  <si>
    <t>Total 10-Year LIHTC Request:</t>
  </si>
  <si>
    <t>Rehabilitation Credit Calculation</t>
  </si>
  <si>
    <t>New Construction Credit Calculation</t>
  </si>
  <si>
    <t>Annual LIHTCs Eligible:</t>
  </si>
  <si>
    <t>Upper-tier Bridge Loan interest</t>
  </si>
  <si>
    <t>Lower-tier OHFA Bridge Loan interest</t>
  </si>
  <si>
    <t>Lower-tier other Bridge Loan interest</t>
  </si>
  <si>
    <t>Other Deductions</t>
  </si>
  <si>
    <t>Supportive Populations</t>
  </si>
  <si>
    <t>Supportive Services Provided?</t>
  </si>
  <si>
    <t>AIDS</t>
  </si>
  <si>
    <t>Alcohol Abuse</t>
  </si>
  <si>
    <t>Assisted Living</t>
  </si>
  <si>
    <t>Developmental Disabilities</t>
  </si>
  <si>
    <t>Domestic Violence</t>
  </si>
  <si>
    <t>Drug Abuse</t>
  </si>
  <si>
    <t>Dual Diagnosis</t>
  </si>
  <si>
    <t>Ex-Offenders</t>
  </si>
  <si>
    <t>Formely Homeless</t>
  </si>
  <si>
    <t>Mental Illness</t>
  </si>
  <si>
    <t>Physical Disability</t>
  </si>
  <si>
    <t>Single Parent</t>
  </si>
  <si>
    <t>Veterans</t>
  </si>
  <si>
    <t>Supportive Population</t>
  </si>
  <si>
    <t>If "Other", Describe Below</t>
  </si>
  <si>
    <t>Federal Resource</t>
  </si>
  <si>
    <t>Community Development Block Grant</t>
  </si>
  <si>
    <t>Included in Project?</t>
  </si>
  <si>
    <t>Use of certain federal financial assistance in excess of $2,000 can trigger the Davis Bacon Act (DBA) of 1931 which requires the paying of local prevailing wages for laborers and mechanics.</t>
  </si>
  <si>
    <t>8 or more units in project</t>
  </si>
  <si>
    <t>HOME Investment Partnerships Program</t>
  </si>
  <si>
    <t>Section 8 Project-Based Rental Assistance</t>
  </si>
  <si>
    <t>Threshold to Trigger DBA</t>
  </si>
  <si>
    <t>DBA Triggered?</t>
  </si>
  <si>
    <t>Acronym</t>
  </si>
  <si>
    <t>CDBG</t>
  </si>
  <si>
    <t>HOME</t>
  </si>
  <si>
    <t>PBRA</t>
  </si>
  <si>
    <t>RAD</t>
  </si>
  <si>
    <t>RAD for Project Rental Assistance Contract</t>
  </si>
  <si>
    <t>RAD for PRAC</t>
  </si>
  <si>
    <t>202 Supportive Housing for the Elderly</t>
  </si>
  <si>
    <t>202 PRAC</t>
  </si>
  <si>
    <t>811 Supportive Housing for Persons with Disabilities</t>
  </si>
  <si>
    <t>811 PRAC</t>
  </si>
  <si>
    <t>811 Project Rental Assistance</t>
  </si>
  <si>
    <t>Section 8 Project-Based Voucher</t>
  </si>
  <si>
    <t>PBV</t>
  </si>
  <si>
    <t>9 or more Assisted Units</t>
  </si>
  <si>
    <t>Rental Assistance Demonstration First Component</t>
  </si>
  <si>
    <t>Rental Assistance Demonstration Second Component</t>
  </si>
  <si>
    <t>12 or more Assisted Units</t>
  </si>
  <si>
    <t>9 or more newly-Assisted Units</t>
  </si>
  <si>
    <t>Davis Bacon Wage Rate Compliance</t>
  </si>
  <si>
    <t>Codified Basis Boost Amount:</t>
  </si>
  <si>
    <t>Were Davis-Bacon wage rates used in estimating development costs?</t>
  </si>
  <si>
    <t>[Describe here]</t>
  </si>
  <si>
    <t>Cable</t>
  </si>
  <si>
    <t xml:space="preserve">Residential Fee Income </t>
  </si>
  <si>
    <t xml:space="preserve">Commercial Income </t>
  </si>
  <si>
    <t>Stabilized
Vacancy Rate</t>
  </si>
  <si>
    <t>+ Commercial Income</t>
  </si>
  <si>
    <t xml:space="preserve">Costs of Tax-Exempt Bond Issuance </t>
  </si>
  <si>
    <t xml:space="preserve">Hard Construction (Amenity Fee Items) </t>
  </si>
  <si>
    <t xml:space="preserve">Hard Construction (Residential Rehabilitation) </t>
  </si>
  <si>
    <t>Soft Cost Contingency</t>
  </si>
  <si>
    <t>Do permanent sources and uses balance?</t>
  </si>
  <si>
    <t xml:space="preserve">    </t>
  </si>
  <si>
    <t>Balance:</t>
  </si>
  <si>
    <t>Budget Line Item Cost</t>
  </si>
  <si>
    <t>Age Restriction</t>
  </si>
  <si>
    <t>Potential Gross Service Income</t>
  </si>
  <si>
    <t>Vacancy Allowance (Blended)</t>
  </si>
  <si>
    <t>Other Insurance and Tax Expenses</t>
  </si>
  <si>
    <t>Federal Historic Tax Credit (Residential Portion):</t>
  </si>
  <si>
    <t>Other Ineligible Costs:</t>
  </si>
  <si>
    <t>Total Commercial Income</t>
  </si>
  <si>
    <t>Property Revenue</t>
  </si>
  <si>
    <t>Property Expenses</t>
  </si>
  <si>
    <t>Gross Potential Rental Revenue</t>
  </si>
  <si>
    <t>Inflator</t>
  </si>
  <si>
    <t>Gross Potential Residential Fee Revenue</t>
  </si>
  <si>
    <t>(Commercial Vacancy Allowance)</t>
  </si>
  <si>
    <t>(Service Revenue Vacancy Allowance)</t>
  </si>
  <si>
    <t>(Rental Revenue Vacancy Allowance)</t>
  </si>
  <si>
    <t>(Abated Real Estate Taxes)</t>
  </si>
  <si>
    <t>Annual Residential Revenue Vacancy Rate:</t>
  </si>
  <si>
    <t>Annual Commercial Revenue Vacancy Rate:</t>
  </si>
  <si>
    <t>Annual Service Revenue Vacancy Rate:</t>
  </si>
  <si>
    <t>Perm 2nd Mortgage</t>
  </si>
  <si>
    <t>Perm 1st Mortgage</t>
  </si>
  <si>
    <t>Annual Residential Revenue Escalation:</t>
  </si>
  <si>
    <t>Annual Commercial Revenue Escalation:</t>
  </si>
  <si>
    <t>Annual Service Revenue Escalation:</t>
  </si>
  <si>
    <t>Annual Operating Revenue Escalation:</t>
  </si>
  <si>
    <t>Total 10-Year LIHTC Requested</t>
  </si>
  <si>
    <t>Acquisition
Credit Calculation</t>
  </si>
  <si>
    <t>Federal LIHTC Equity Proceed Calculation</t>
  </si>
  <si>
    <t>Cash Flow Available for Distribution</t>
  </si>
  <si>
    <t>Financial Feasibility Ratios</t>
  </si>
  <si>
    <t>Developer/Owner Entities</t>
  </si>
  <si>
    <t>OHFA Resource Request Requiring Board Approval</t>
  </si>
  <si>
    <t>Multifamily Lending Program:</t>
  </si>
  <si>
    <t>Serving Special Populations</t>
  </si>
  <si>
    <t>If the proposed project will serve special populations, please indicate the population type and number of units designated to serving the specific population:</t>
  </si>
  <si>
    <t>Population Type</t>
  </si>
  <si>
    <t>Funding Pool</t>
  </si>
  <si>
    <t>Lease Purchase?</t>
  </si>
  <si>
    <t>Rental Income and Rental Fee Income</t>
  </si>
  <si>
    <t>Potential Gross Rental Income and Fee Income</t>
  </si>
  <si>
    <t xml:space="preserve"> • Additional rows can be added if necessary by clicking the (+) button on the left side of the screen. Please contact OHFA if necessary to add additional rows.</t>
  </si>
  <si>
    <t>504 Units from Above Site Table</t>
  </si>
  <si>
    <t>Total Annual Operating Expenses</t>
  </si>
  <si>
    <t>• 4% LIHTC Qualified Allocation Plan FAQ</t>
  </si>
  <si>
    <t>• 4% LIHTC Qualified Allocation Plan</t>
  </si>
  <si>
    <t>OHFA Final Application Submission:</t>
  </si>
  <si>
    <t>Internet</t>
  </si>
  <si>
    <t>§142(d) Bond Resolution Approval:</t>
  </si>
  <si>
    <t>Residential Rental Private Activity Bonds</t>
  </si>
  <si>
    <t>About Residential Rental Private Activity Bonds</t>
  </si>
  <si>
    <t>Aggregate Basis:</t>
  </si>
  <si>
    <t>Bond Minimum Set Aside:</t>
  </si>
  <si>
    <t>Type of Bond Offering:</t>
  </si>
  <si>
    <t>Housing Development Loan:</t>
  </si>
  <si>
    <t>Land:</t>
  </si>
  <si>
    <t>Aggregate Basis and Land:</t>
  </si>
  <si>
    <t>Bond Structuring Details</t>
  </si>
  <si>
    <t>Percent of Aggregate Basis and Land Financed with Tax-Exempt Bonds:</t>
  </si>
  <si>
    <t>Credit Enhancement Type:</t>
  </si>
  <si>
    <t>If using OHFA as the bond issuer, please contact OHFA's bond counsel for the process of seeking a bond inducement resolution and/or a bond resolution.</t>
  </si>
  <si>
    <t>Developer's Estimated Tax-Exempt Bond Aggregate Principal Amount:</t>
  </si>
  <si>
    <t>Percent of Construction Sources</t>
  </si>
  <si>
    <t>Percent of Permanent Sources</t>
  </si>
  <si>
    <t>Will OHFA serve as the issuer?</t>
  </si>
  <si>
    <t>Non-OHFA Issuing Entity:</t>
  </si>
  <si>
    <t>Bedroom
Type</t>
  </si>
  <si>
    <t>Seller State</t>
  </si>
  <si>
    <t>Values pastes the end result, but does not transfer over formulas or formatting. This prevents users from inadvertently interfering with important restrictions that already exists in a cell. When pasting, right-click and select the option with a clipboard and the graphic showing numbers 123.</t>
  </si>
  <si>
    <t>Balance</t>
  </si>
  <si>
    <t>Proximity to Amenities</t>
  </si>
  <si>
    <t>Amenity</t>
  </si>
  <si>
    <t>Linear Distance from Proposed Project (miles)</t>
  </si>
  <si>
    <t>Grocery Store</t>
  </si>
  <si>
    <t>Medical Clinic</t>
  </si>
  <si>
    <t>Childcare</t>
  </si>
  <si>
    <t>Pharmacy</t>
  </si>
  <si>
    <t>Public Library</t>
  </si>
  <si>
    <t>Public Park</t>
  </si>
  <si>
    <t>Amenity Definition</t>
  </si>
  <si>
    <t>A business establishment with the primary purpose of selling food for home consumption and preparation, which regularly provides products in each of the following categories: fresh fruits (eight or more types), fresh vegetables (eight or more types), fresh meat (five or more types), dairy, and bread. The supermarket must be a permanent location that is currently in operation.</t>
  </si>
  <si>
    <t>An establishment with the primary purpose of medically diagnosing or treating outpatient clients. This must be a generalist, non-specialty, non-referral based medical establishment involved in the treatment and/or diagnosis of general or urgent health conditions.</t>
  </si>
  <si>
    <t>A childcare facility that accepts the Publicly Funded Childcare Program, as defined on the Ohio Department of Jobs and Family Services Early Care and Education Programs website. Childcare facilities include the following: Licensed Type A Family Child Care Home, Licensed Type B Family Child Care Home, Licensed Child Care Center, Ohio Department of Education Licensed Preschool, or Ohio Department of Education Licensed School Age Childcare (SACC).</t>
  </si>
  <si>
    <t>An establishment which fills prescriptions and sells or dispenses medicinal prescription or over-the-counter drugs. The pharmacy must be a permanent location that is currently in operation.</t>
  </si>
  <si>
    <t>An establishment with the primary purpose of providing library resources to the general public and is usually funded from public and/or philanthropic sources. Membership and the use of the library facilities are accessible without fees. The library must be a permanent location that is currently in operation.</t>
  </si>
  <si>
    <t>Senior Center</t>
  </si>
  <si>
    <t>Childcare Facility</t>
  </si>
  <si>
    <t>Name of Business/Amenity</t>
  </si>
  <si>
    <t>Please indicate the linear distance between the proposed project and the closest amenities listed below.</t>
  </si>
  <si>
    <t>Interest Due</t>
  </si>
  <si>
    <t>Mortgage Insurance Premium</t>
  </si>
  <si>
    <t>Principal Due</t>
  </si>
  <si>
    <t>Beginning Principal Balance:</t>
  </si>
  <si>
    <t>Ending Principal Balance</t>
  </si>
  <si>
    <t>Total Payment</t>
  </si>
  <si>
    <t>Sources of Funds</t>
  </si>
  <si>
    <t>Uses of Funds</t>
  </si>
  <si>
    <t>Cash Flow Waterfall Priority</t>
  </si>
  <si>
    <t>Payment Priority</t>
  </si>
  <si>
    <t>Cash Flow Waterfall Options</t>
  </si>
  <si>
    <t>Waterfall Options</t>
  </si>
  <si>
    <t>Incentive Management Fee</t>
  </si>
  <si>
    <t>Source Title</t>
  </si>
  <si>
    <t>Cash Flow Contingent Fees</t>
  </si>
  <si>
    <t>Fee Type</t>
  </si>
  <si>
    <t>Partnership Administration Fee</t>
  </si>
  <si>
    <t>Guaranty Fee</t>
  </si>
  <si>
    <t>Annual Percent Inflator</t>
  </si>
  <si>
    <t>Hard Debt Service</t>
  </si>
  <si>
    <t>Distribution of Cash Flow after Hard Debt Service</t>
  </si>
  <si>
    <t>Installment Number</t>
  </si>
  <si>
    <t>Cumulative LIHTC Equity Percent</t>
  </si>
  <si>
    <t>Percent of LIHTC Equity</t>
  </si>
  <si>
    <t>Lower-Tier LIHTC Equity</t>
  </si>
  <si>
    <t>Installment Benchmark</t>
  </si>
  <si>
    <t>Admission of LP/MM</t>
  </si>
  <si>
    <t>Equity Installment Benchmarks</t>
  </si>
  <si>
    <t>LIHTC Equity Benchmarks</t>
  </si>
  <si>
    <t>5% Construction Completion</t>
  </si>
  <si>
    <t>10% Construction Completion</t>
  </si>
  <si>
    <t>15% Construction Completion</t>
  </si>
  <si>
    <t>20% Construction Completion</t>
  </si>
  <si>
    <t>25% Construction Completion</t>
  </si>
  <si>
    <t>30% Construction Completion</t>
  </si>
  <si>
    <t>35% Construction Completion</t>
  </si>
  <si>
    <t>40% Construction Completion</t>
  </si>
  <si>
    <t>45% Construction Completion</t>
  </si>
  <si>
    <t>50% Construction Completion</t>
  </si>
  <si>
    <t>55% Construction Completion</t>
  </si>
  <si>
    <t>60% Construction Completion</t>
  </si>
  <si>
    <t>65% Construction Completion</t>
  </si>
  <si>
    <t>70% Construction Completion</t>
  </si>
  <si>
    <t>75% Construction Completion</t>
  </si>
  <si>
    <t>80% Construction Completion</t>
  </si>
  <si>
    <t>85% Construction Completion</t>
  </si>
  <si>
    <t>90% Construction Completion</t>
  </si>
  <si>
    <t>95% Construction Completion</t>
  </si>
  <si>
    <t>100% Construction Completion</t>
  </si>
  <si>
    <t>Qualified Occupancy</t>
  </si>
  <si>
    <t>HDL Repayment</t>
  </si>
  <si>
    <t>Stabilized Occupancy/Perm Loan Conversion</t>
  </si>
  <si>
    <t>Y1 Tax Return and 8609 Issuance</t>
  </si>
  <si>
    <t>Estimated Date</t>
  </si>
  <si>
    <t xml:space="preserve">List all sites under control as of the application submission date. All sites must contain at least one unit and must have a permanent parcel number listed. Sites that do not have parcel numbers will not be accepted. See the applicable Qualified Allocation Plan for details regarding site control and scattered site projects. Include residential sites and buildings only. The same address may be entered multiple times for each building. You may list multiple parcel numbers for a single building. </t>
  </si>
  <si>
    <t>Data Extract</t>
  </si>
  <si>
    <r>
      <t>Helpful Links when Completing the AHFA</t>
    </r>
    <r>
      <rPr>
        <sz val="11"/>
        <color theme="1"/>
        <rFont val="Arial"/>
        <family val="2"/>
        <scheme val="minor"/>
      </rPr>
      <t xml:space="preserve"> (Click for hyperlink)</t>
    </r>
  </si>
  <si>
    <r>
      <rPr>
        <b/>
        <u/>
        <sz val="11"/>
        <rFont val="Arial"/>
        <family val="2"/>
      </rPr>
      <t>Note to Applicants</t>
    </r>
    <r>
      <rPr>
        <sz val="11"/>
        <rFont val="Arial"/>
        <family val="2"/>
      </rPr>
      <t>: 
← For Childcare facilities, please visit the website below. Input the project county, city, and zip code. Under "Program Type", select "All". Then, under "Other Services Provided and Funding Sources", select "Publicly Funded Child Care".</t>
    </r>
  </si>
  <si>
    <t>Ohio Department of Children and Youth Early Care and Education Search website</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</si>
  <si>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</si>
  <si>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Cumulative Time (years)</t>
  </si>
  <si>
    <t xml:space="preserve">  </t>
  </si>
  <si>
    <t>Cumulative Lower-Tier LIHTC Equity</t>
  </si>
  <si>
    <t>←</t>
  </si>
  <si>
    <t>Maximum Construction Period LIHTC Equity:</t>
  </si>
  <si>
    <t>• Minimum 15-Year Income to Expense Ratio</t>
  </si>
  <si>
    <t>• Average 15-Year Income to Expense Ratio</t>
  </si>
  <si>
    <t xml:space="preserve">       </t>
  </si>
  <si>
    <t>Cash Flow Available</t>
  </si>
  <si>
    <t>Principal Amount:</t>
  </si>
  <si>
    <t>Annual Interest Rate:</t>
  </si>
  <si>
    <t>Loan Term (Years):</t>
  </si>
  <si>
    <t>Amortization Period (Years):</t>
  </si>
  <si>
    <t>Loan Amortization</t>
  </si>
  <si>
    <t>If loan:</t>
  </si>
  <si>
    <t>If fee:</t>
  </si>
  <si>
    <t>Annual Fee:</t>
  </si>
  <si>
    <t>Split of Cash Fow:</t>
  </si>
  <si>
    <t>Est. Balloon Payment at Loan Term End:</t>
  </si>
  <si>
    <t>Split of Cash Flow</t>
  </si>
  <si>
    <t>Loan or Fee?</t>
  </si>
  <si>
    <t>Split of Cash Flow:</t>
  </si>
  <si>
    <t>Annual Inflator:</t>
  </si>
  <si>
    <t>[Describe here for Other Fee]</t>
  </si>
  <si>
    <t>Interest Paid</t>
  </si>
  <si>
    <t>Interest Accrued</t>
  </si>
  <si>
    <t>Principal Paid</t>
  </si>
  <si>
    <t>Fee Due</t>
  </si>
  <si>
    <t>Fee Paid</t>
  </si>
  <si>
    <t>Fee Accrued</t>
  </si>
  <si>
    <t>Fee Accrual Balance</t>
  </si>
  <si>
    <t>Balance at End of Loan Term:</t>
  </si>
  <si>
    <t xml:space="preserve">   </t>
  </si>
  <si>
    <t>Simple or Compound Interest?</t>
  </si>
  <si>
    <t>Simple</t>
  </si>
  <si>
    <t>Accrue Unpaid Fee?</t>
  </si>
  <si>
    <t>Total Cash Flow Payment</t>
  </si>
  <si>
    <t>Beginning Payment Year</t>
  </si>
  <si>
    <t>Beginning Payment Year:</t>
  </si>
  <si>
    <t>Cash Flow Available (adjusted for CF split)</t>
  </si>
  <si>
    <t>If loan,</t>
  </si>
  <si>
    <t>If fee,</t>
  </si>
  <si>
    <t>Development Budget, Eligible Basis, and Cost Containment Standards</t>
  </si>
  <si>
    <t>Pari Passu?</t>
  </si>
  <si>
    <t>Fee Cap (if applicable)</t>
  </si>
  <si>
    <t>Deferred Loan?</t>
  </si>
  <si>
    <t>Fee End Year:</t>
  </si>
  <si>
    <t>Fee Cap:</t>
  </si>
  <si>
    <t>Shared Position Split of Cash Flow</t>
  </si>
  <si>
    <t>Pari Passu Split of Cash Flow:</t>
  </si>
  <si>
    <t>Asset Management Fee</t>
  </si>
  <si>
    <t>Please indicate the priority position of net cash flow distributions after payment(s) of hard debt (if applicable). Please select the priority cash flow distribution ranking for each payment source.</t>
  </si>
  <si>
    <r>
      <rPr>
        <b/>
        <u/>
        <sz val="11"/>
        <rFont val="Arial"/>
        <family val="2"/>
      </rPr>
      <t>Note to Applicants</t>
    </r>
    <r>
      <rPr>
        <sz val="11"/>
        <rFont val="Arial"/>
        <family val="2"/>
      </rPr>
      <t>: 
If seeking Ohio Housing Trust Fund (OHTF) and/or HOME Investment Partnerships Program (HOME) soft loans, such loans must be in position after payment of Asset Management Fees (if applicable) and deferred developer fees beginning at Year 10. National Housing Trust Fund (NHTF) soft loans are deferred.</t>
    </r>
  </si>
  <si>
    <t>Ohio LIHTC Equity</t>
  </si>
  <si>
    <t>HDAP: OHTF</t>
  </si>
  <si>
    <t>HDAP: HOME</t>
  </si>
  <si>
    <t>HDAP: NHTF</t>
  </si>
  <si>
    <r>
      <rPr>
        <b/>
        <u/>
        <sz val="11"/>
        <rFont val="Arial"/>
        <family val="2"/>
      </rPr>
      <t>Note to Applicants</t>
    </r>
    <r>
      <rPr>
        <sz val="11"/>
        <rFont val="Arial"/>
        <family val="2"/>
      </rPr>
      <t xml:space="preserve">:
If a cash flow contingent source is not structured </t>
    </r>
    <r>
      <rPr>
        <i/>
        <sz val="11"/>
        <rFont val="Arial"/>
        <family val="2"/>
      </rPr>
      <t>pari passu</t>
    </r>
    <r>
      <rPr>
        <sz val="11"/>
        <rFont val="Arial"/>
        <family val="2"/>
      </rPr>
      <t>, type N/A for "Shared Position of Cash Flow".</t>
    </r>
  </si>
  <si>
    <t>Ohio LIHTC Calculation</t>
  </si>
  <si>
    <t>Ohio LIHTC Equity Installments</t>
  </si>
  <si>
    <t>Ohio LIHTC Equity Proceed Calculation</t>
  </si>
  <si>
    <t>Annual Federal LIHTC Eligible:</t>
  </si>
  <si>
    <t>R.C. §176.16(D)(1) limits the maximum OLIHTC amount to the lesser of (1) the annual amount of federal LIHTC generated or (2) one-tenth of the amount necessary, when combined with federal LIHTC, to ensure financial feasibility. Under the OLIHTC Guidelines, OHFA also limits the maximum amount of OLIHTC for any singular project due to the limited amount of OLIHTC it can allocate annually.</t>
  </si>
  <si>
    <t>Pool Maximum Annual OLIHTC Request:</t>
  </si>
  <si>
    <t>Maximum Annual OLIHTC Request:</t>
  </si>
  <si>
    <t>OLIHTC Funding Pool:</t>
  </si>
  <si>
    <t>Total 10-Year OLIHTC Requested:</t>
  </si>
  <si>
    <t>Total Annual OLIHTC Requested:</t>
  </si>
  <si>
    <t>Gross OLIHTC LIHTC Equity</t>
  </si>
  <si>
    <t>Permanent OLIHTC Equity to Project</t>
  </si>
  <si>
    <t>Maximum Construction Period OLIHTC Equity:</t>
  </si>
  <si>
    <t>Souce Name</t>
  </si>
  <si>
    <t>If seeking 4% LIHTCs:</t>
  </si>
  <si>
    <t>If seeking 9% LIHTCs:</t>
  </si>
  <si>
    <t>If seeking ancillary resources from OHFA:</t>
  </si>
  <si>
    <t>For all applicants:</t>
  </si>
  <si>
    <t>• Housing Development Loan (HDL) Guidelines</t>
  </si>
  <si>
    <t>• Multifamily Lending Program Guidelines</t>
  </si>
  <si>
    <t>• 811 Project Rental Assistance</t>
  </si>
  <si>
    <t>Low HOME/OHTF Rent Amount</t>
  </si>
  <si>
    <t>Low HOME/OHTF Rent Standard</t>
  </si>
  <si>
    <t>Low HOME/ OHTF Assisted Units</t>
  </si>
  <si>
    <t>High HOME/OHTF Rent Amount</t>
  </si>
  <si>
    <t>High HOME/OHTF Rent Standard</t>
  </si>
  <si>
    <t>High HOME/OHTF Assisted Units</t>
  </si>
  <si>
    <t>Unit Type (Number of Bedrooms)</t>
  </si>
  <si>
    <t>Low HOME/OHTF Assisted Units</t>
  </si>
  <si>
    <t>Summary of High and Low HOME/OHTF Rent and Income Restrictions, by Unit Type</t>
  </si>
  <si>
    <t>To comply with HOME/OHTF rent and income restrictions, the following High and Low HOME/OHTF Assisted Units must be met:</t>
  </si>
  <si>
    <t>Max Rent Standard</t>
  </si>
  <si>
    <t>Fair Market Rent (FMR)</t>
  </si>
  <si>
    <t>50% AMI 
MTSP Rent</t>
  </si>
  <si>
    <t>Low HOME/OHTF Unit Rent and Income Restrictions</t>
  </si>
  <si>
    <t>65% AMI 
MTSP Rent</t>
  </si>
  <si>
    <t>High HOME/OHTF Unit Rent and Income Restrictions</t>
  </si>
  <si>
    <t>Rounded HDAP Assisted Units</t>
  </si>
  <si>
    <t>24 C.F.R. §92.219(b)(2)(i)</t>
  </si>
  <si>
    <t>OHTF</t>
  </si>
  <si>
    <t>Ohio Housing Trust Fund (as state match for HOME):</t>
  </si>
  <si>
    <t>24 C.F.R. §92.252(a)-(b)</t>
  </si>
  <si>
    <t>HOME Investment Partnerships Program:</t>
  </si>
  <si>
    <t>Statutory Reference</t>
  </si>
  <si>
    <t>Funding Source</t>
  </si>
  <si>
    <t>HOME and OHTF (because Ohio uses OHTF as state match for HOME) Assisted Units are those restricted to households at or below 65% AMI and 50% AMI, depending on the number of calculated Assisted Units. But, all HOME and OHTF Assisted Units may not exceed Fair Market Rents (FMRs). These may overlap with HDAP Restricted Units, so long as the most restrictive is used.</t>
  </si>
  <si>
    <r>
      <t>HOME/OHTF Assisted Units</t>
    </r>
    <r>
      <rPr>
        <sz val="11"/>
        <color theme="1"/>
        <rFont val="Arial"/>
        <family val="2"/>
      </rPr>
      <t xml:space="preserve"> (if applicable)</t>
    </r>
  </si>
  <si>
    <t>Maximum HDAP Investment</t>
  </si>
  <si>
    <t>(3) The maximum subsidy based on per-unit maximums:</t>
  </si>
  <si>
    <t>(2) The actual cost of HDAP Assisted Units:</t>
  </si>
  <si>
    <t>(1) The proposed subsidy amount:</t>
  </si>
  <si>
    <t>Maximum HDAP Investment is the lesser of:</t>
  </si>
  <si>
    <t>Finalized Assisted Units:</t>
  </si>
  <si>
    <t>Step 3: Determining if enough Assisted Units were Estimated to Generate HDAP Investment</t>
  </si>
  <si>
    <t>Maximum Subsidy based on Per-Unit Maximums:</t>
  </si>
  <si>
    <t>Maximum Subsidy by Unit Size</t>
  </si>
  <si>
    <t>Number of HOME-Assisted Units</t>
  </si>
  <si>
    <t>Step 2: Comparing Estimated Assisted Units Costs to Per-Unit Maximums</t>
  </si>
  <si>
    <t>Actual Costs of HDAP Assisted Units:</t>
  </si>
  <si>
    <t>Relocation Costs Exclusively Allocated to HDAP-Assisted Units:</t>
  </si>
  <si>
    <t>Subtotal of HDAP-Assisted Unit Costs:</t>
  </si>
  <si>
    <t>Subtotal of HDAP-Assisted Unit Costs</t>
  </si>
  <si>
    <t>Individual HDAP-Assisted Unit Cost</t>
  </si>
  <si>
    <t>Average Size (SF)</t>
  </si>
  <si>
    <t>Minimum HDAP Assisted Units</t>
  </si>
  <si>
    <t>Step 1: Calculating the Actual Cost of Assisted Units</t>
  </si>
  <si>
    <t>Needed HDAP Share Ratio (to justify investment)</t>
  </si>
  <si>
    <t>Minimum HDAP Share Ratio (based on cost):</t>
  </si>
  <si>
    <t>Is this calculation necessary?</t>
  </si>
  <si>
    <t>If the maximum HDAP investment determined above is below the proposed HDAP award, more Assisted Units will need to be incorporated into the project. To distribute the Assisted Units evenly among unit types, increase the HDAP Share Ratio.</t>
  </si>
  <si>
    <t>Adding and Finalizing Assisted Units Using the Proration Method (if necessary)</t>
  </si>
  <si>
    <t>Estimated Assisted Units:</t>
  </si>
  <si>
    <t>(3) Maximum HDAP based on Per-Unit Maximums:</t>
  </si>
  <si>
    <t>Number of HDAP-Assisted Units</t>
  </si>
  <si>
    <t>(2) Actual Costs of HDAP Assisted Units:</t>
  </si>
  <si>
    <t>Base Project Cost per Gross Residential Square Foot:</t>
  </si>
  <si>
    <t>Base Project Cost:</t>
  </si>
  <si>
    <t>Assign Relocation Costs Exclusively to HDAP Units?:</t>
  </si>
  <si>
    <t>Relocation Costs:</t>
  </si>
  <si>
    <t>Total Development Cost:</t>
  </si>
  <si>
    <t>Gross Residential Square Footage:</t>
  </si>
  <si>
    <t>Proposed HDAP Investment (1):</t>
  </si>
  <si>
    <t>• 24 C.F.R. §92.214</t>
  </si>
  <si>
    <t>• Allocating Eligible Costs and Identifying HOME-Assisted Units (CPD-16-15)</t>
  </si>
  <si>
    <r>
      <t xml:space="preserve">Per CPD-16-15, </t>
    </r>
    <r>
      <rPr>
        <b/>
        <sz val="11"/>
        <color theme="3"/>
        <rFont val="Arial"/>
        <family val="2"/>
      </rPr>
      <t>the Proration Method is only permitted for projects with comparable units</t>
    </r>
    <r>
      <rPr>
        <sz val="11"/>
        <color theme="3"/>
        <rFont val="Arial"/>
        <family val="2"/>
      </rPr>
      <t xml:space="preserve">. If units are not comparable, please use the Standard Method for Cost Allocation in the adjacent Excel tab. The Proration Method allows a PJ to determine the cost of units designated as HDAP-Assisted by prorating the total HDAP eligible development costs of the project. </t>
    </r>
  </si>
  <si>
    <t>Estimating Assisted Units Using the Proration Method</t>
  </si>
  <si>
    <t>Which cost allocation methodology should be used?</t>
  </si>
  <si>
    <t>Are units comparable in amenities and finishes?</t>
  </si>
  <si>
    <t>Are units comparable in size?</t>
  </si>
  <si>
    <t>Are units comparable in configuration?</t>
  </si>
  <si>
    <t>To use the Proration Method, units must be comparable. Please reference the Unit Comparability Form submitted at Pre-Application to answer the following questions:</t>
  </si>
  <si>
    <t>Proration Method Eligibility</t>
  </si>
  <si>
    <t>24 C.F.R. §93.200(c)(1)</t>
  </si>
  <si>
    <t>NHTF</t>
  </si>
  <si>
    <t>National Housing Trust Fund:</t>
  </si>
  <si>
    <t>24 C.F.R. §92.205(d)(1)</t>
  </si>
  <si>
    <t>Statutory Reference Triggering Cost Allocation</t>
  </si>
  <si>
    <t>Cost Allocation Background</t>
  </si>
  <si>
    <t>HDAP Assisted Units:</t>
  </si>
  <si>
    <t>Relocation Costs Exclusively Allocated to Assisted Units:</t>
  </si>
  <si>
    <t>Individual Assisted Unit Cost</t>
  </si>
  <si>
    <t>Unit Size (SF)</t>
  </si>
  <si>
    <t>Unit Number</t>
  </si>
  <si>
    <t>Step 1: Assign HDAP Assisted Units</t>
  </si>
  <si>
    <t>* Only the difference between the base finish and the upgrade (if applicable) must be deducted.</t>
  </si>
  <si>
    <t>Cost of Unit-Specific Upgrades:</t>
  </si>
  <si>
    <t>Ineligible Development Costs:</t>
  </si>
  <si>
    <t>Proposed HDAP Investment:</t>
  </si>
  <si>
    <t>Per CPD-16-15, if the units in a project are not comparable, the PJ must designate the units as fixed and allocate costs using this method. When using the Standard Method, a PJ will determine the development cost of each individual unit designated as HOME-assisted, including its allocation or share of common area costs.</t>
  </si>
  <si>
    <t>Estimating Assisted Units Using the Standard Method</t>
  </si>
  <si>
    <t>To use the Standard Method, units must be uncomparable. Please reference the Unit Comparability Form submitted at Pre-Application to answer the following questions:</t>
  </si>
  <si>
    <t>Standard Method Eligibility</t>
  </si>
  <si>
    <r>
      <t xml:space="preserve">The HOME Investment Partnerships Program, National Housing Trust Fund, Ohio Housing Trust Fund (as state match for federal HOME resources), and HOME-American Rescue Plan resources all follow a cost allocation methodology for determining the number of Assisted Units. These sources all reference cost allocation language for the federal HOME program, which is outlined in further detail in CPD-16-15. If Assisted Units and unassisted units are not comparable, the Standard Method must be used. The Standard Method calculates the development cost of each individual Assisted Unit on a per gross residential square foot basis after fixing the Assisted Units. </t>
    </r>
    <r>
      <rPr>
        <b/>
        <sz val="11"/>
        <color theme="3"/>
        <rFont val="Arial"/>
        <family val="2"/>
      </rPr>
      <t>The Standard Method is being implemented through this spreadsheet.</t>
    </r>
  </si>
  <si>
    <t>Project Information</t>
  </si>
  <si>
    <t>Lead Developer:</t>
  </si>
  <si>
    <t>LIHTC Type:</t>
  </si>
  <si>
    <t>Co-Developer #1:</t>
  </si>
  <si>
    <t>Co-Developer #2:</t>
  </si>
  <si>
    <t>LIHTC Syndicator/Investor:</t>
  </si>
  <si>
    <t>General Contractor:</t>
  </si>
  <si>
    <t>Architect of Record:</t>
  </si>
  <si>
    <t>Number of Units:</t>
  </si>
  <si>
    <t>Property Management Company:</t>
  </si>
  <si>
    <t>OHFA Resource Request</t>
  </si>
  <si>
    <t>This Project</t>
  </si>
  <si>
    <t>HDAP:</t>
  </si>
  <si>
    <t>HDL:</t>
  </si>
  <si>
    <t>Competitive Scoring Summary</t>
  </si>
  <si>
    <t>Scoring Criterion</t>
  </si>
  <si>
    <t>Maximum Score</t>
  </si>
  <si>
    <t>Self Score</t>
  </si>
  <si>
    <t>OHFA Score</t>
  </si>
  <si>
    <t>Total Score</t>
  </si>
  <si>
    <t>Tiebreakers</t>
  </si>
  <si>
    <t>OHFA Determined</t>
  </si>
  <si>
    <t>Competitive Scoring Criteria</t>
  </si>
  <si>
    <t>OHFA Competitive Scoring Determination</t>
  </si>
  <si>
    <t>Auto-Calculated Score:</t>
  </si>
  <si>
    <t>Applicant Self Score:</t>
  </si>
  <si>
    <t>OHFA Comments:</t>
  </si>
  <si>
    <t>LIHTC Units:</t>
  </si>
  <si>
    <t>In the event of tie scores between applications, the following tiebreakers will be used in succession to break the tie(s).</t>
  </si>
  <si>
    <t>HDAP Cost Allocation: Proration Method</t>
  </si>
  <si>
    <t>HDAP Cost Allocation: Standard Method</t>
  </si>
  <si>
    <t>HOME Per-Unit Maximum Subsidy</t>
  </si>
  <si>
    <r>
      <t xml:space="preserve">NHTF Assisted Units </t>
    </r>
    <r>
      <rPr>
        <sz val="11"/>
        <color theme="1"/>
        <rFont val="Arial"/>
        <family val="2"/>
      </rPr>
      <t>(if applicable)</t>
    </r>
  </si>
  <si>
    <t>NHTF Assisted Units are restricted to households ≤30% of the Area Median Income (AMI), so long as the total amount of available NHTF resources is less than $1 billion, which has not yet occurred since the inception of the NHTF program. These may overlap with HDAP Restricted Units.</t>
  </si>
  <si>
    <t>National Housing Trust Fund</t>
  </si>
  <si>
    <t>24 C.F.R. §93.302(b)(1)(i)</t>
  </si>
  <si>
    <t>Is this project seeking to be eligible for NHTF?</t>
  </si>
  <si>
    <t>If no, skip this section and complete the HOME/OHTF or HOME-ARP Assisted Units section.</t>
  </si>
  <si>
    <t>To be eligible for NHTF, all of the following standards must be met:</t>
  </si>
  <si>
    <t xml:space="preserve"> • ≥ 10% of permanent financing comes from non-OHFA, non-federal resources?</t>
  </si>
  <si>
    <t xml:space="preserve"> • ≥ 5% of the units are encumbered by a project-based rental assistance contract?</t>
  </si>
  <si>
    <t xml:space="preserve"> • At a minimum, all Assisted Units must be restricted to households ≤30% AMI</t>
  </si>
  <si>
    <t>Is this project eligible for NHTF based on the provided information?</t>
  </si>
  <si>
    <t>Required NHTF-Assisted Units (if applicable), by Bedroom Type</t>
  </si>
  <si>
    <t>Rounded NHTF Assisted Units</t>
  </si>
  <si>
    <t>Units Restricted at 30% AMI in Budget</t>
  </si>
  <si>
    <t>Variance from Required Units</t>
  </si>
  <si>
    <t>Does this HOME/OHTF Assisted Unit Section apply?</t>
  </si>
  <si>
    <t>Number of NHTF Assisted Units</t>
  </si>
  <si>
    <t/>
  </si>
  <si>
    <t>HDAP Eligible Cost?</t>
  </si>
  <si>
    <t>Bedrooms</t>
  </si>
  <si>
    <t>3Cs High Cost Percent</t>
  </si>
  <si>
    <t>3Cs Per Unit Maximum</t>
  </si>
  <si>
    <t>CPD High Cost Percent Limit</t>
  </si>
  <si>
    <t>GP/MM #1 Parent Entity:</t>
  </si>
  <si>
    <t>GP/MM #2 Parent Entity:</t>
  </si>
  <si>
    <t>GP/MM #3 Parent Entity:</t>
  </si>
  <si>
    <t>Set Aside Eligibility</t>
  </si>
  <si>
    <t>(1)</t>
  </si>
  <si>
    <t>(2)</t>
  </si>
  <si>
    <t>Auto Calculated</t>
  </si>
  <si>
    <t>Rural/Metropolitan County Designations</t>
  </si>
  <si>
    <t>Geographic Designation</t>
  </si>
  <si>
    <t>Metropolitan</t>
  </si>
  <si>
    <t>See Rural Industrial Park Loan Program</t>
  </si>
  <si>
    <t>Funding Pool:</t>
  </si>
  <si>
    <t>Basic Information</t>
  </si>
  <si>
    <t>OHFA's Housing Development Loan (HDL) program offers equity bridge loans to LIHTC owners that allows LIHTC syndicators or investors to delay LIHTC equity payments, thereby marginally increasing LIHTC equity pricing. Funding stems from the Ohio Department of Commerce's Unclaimed Funds.</t>
  </si>
  <si>
    <t>Requested HDL Amount:</t>
  </si>
  <si>
    <t>Requested Loan Term:</t>
  </si>
  <si>
    <t>Collateral:</t>
  </si>
  <si>
    <t>HDL Type:</t>
  </si>
  <si>
    <t>HDL Amortization Table</t>
  </si>
  <si>
    <t>Interest Rate:</t>
  </si>
  <si>
    <t>Amortization Period:</t>
  </si>
  <si>
    <t>Maximum HDL Amount:</t>
  </si>
  <si>
    <t>Minimum Term:</t>
  </si>
  <si>
    <t>Maximum Term:</t>
  </si>
  <si>
    <t>HDL Construction-to-Perm Collateral</t>
  </si>
  <si>
    <t>Investor Fund Note</t>
  </si>
  <si>
    <t>HDL Collateral Sources</t>
  </si>
  <si>
    <t>HDL Perm Only Collateral</t>
  </si>
  <si>
    <t>Pledge of Subscription Agreements</t>
  </si>
  <si>
    <t>Qualified Letter of Credit</t>
  </si>
  <si>
    <t>Qualified Cognovit Corporate Guaranty</t>
  </si>
  <si>
    <t>Other Unencumbered Pledged Assets</t>
  </si>
  <si>
    <t>Payment Number</t>
  </si>
  <si>
    <t>Payment Date</t>
  </si>
  <si>
    <t>Beginning Balance</t>
  </si>
  <si>
    <t>Principal Payment</t>
  </si>
  <si>
    <t>Interest Payment</t>
  </si>
  <si>
    <t>Ending Balance</t>
  </si>
  <si>
    <t>Disbursement</t>
  </si>
  <si>
    <t>Qualified Cognovit Investor Notes</t>
  </si>
  <si>
    <t>Is the development team seeking HDAP resources?</t>
  </si>
  <si>
    <t>Does this tab need to be completed?</t>
  </si>
  <si>
    <t>• 9% LIHTC Qualified Allocation Plan</t>
  </si>
  <si>
    <t>• 9% LIHTC Qualified Allocation Plan FAQ</t>
  </si>
  <si>
    <t>• 4% LIHTC with Ohio LIHTC</t>
  </si>
  <si>
    <t>• 4% LIHTC with BGF</t>
  </si>
  <si>
    <t>Est. LIHTC Equity Benefit:</t>
  </si>
  <si>
    <t>Is this project seeking either HOME or OHTF?</t>
  </si>
  <si>
    <t>Is this project seeking either OHTF or HOME?</t>
  </si>
  <si>
    <t>Ohio LIHTC Syndicator or Investor</t>
  </si>
  <si>
    <t>Ohio LIHTC Syndicator/Investor Organization</t>
  </si>
  <si>
    <t>Ohio LIHTC Syndicator/Investor Manager Contact</t>
  </si>
  <si>
    <t>TBD</t>
  </si>
  <si>
    <t>Current Characters:</t>
  </si>
  <si>
    <t>Est. Total 10-Year Ohio LIHTCs:</t>
  </si>
  <si>
    <t>OLIHTC Syndicator/Investor</t>
  </si>
  <si>
    <t>OHFA Project Number:</t>
  </si>
  <si>
    <t>Total Number of Units:</t>
  </si>
  <si>
    <t>Total Number of Buildings:</t>
  </si>
  <si>
    <t>Approval Date</t>
  </si>
  <si>
    <t>Multifamily Bonds (Inducement):</t>
  </si>
  <si>
    <t>Multifamily Bonds (Final):</t>
  </si>
  <si>
    <t>Total Number of Elevator-Serviced Buildings</t>
  </si>
  <si>
    <t>Nearby Amenities</t>
  </si>
  <si>
    <t>Name of Amenity</t>
  </si>
  <si>
    <t>Public Recreation Center</t>
  </si>
  <si>
    <t>A building or space that is open to the public at least 5 hours per day, where meetings are held, sports are played, and/or there are activities available for younger and older people. This category includes indoor and outdoor parks, buildings, or other facilities which are dedicated to recreation purposes (i.e. sports, arts, activity programs, education programs) and administered by public or private nonprofit agencies to serve the recreation needs of community residents. Public facilities should be readily accessible to residential neighborhoods. The public recreation center must be a permanent location that is currently in operation. Accessing the building and/or facility must be low to no-cost, such that they are accessible to low-income households.</t>
  </si>
  <si>
    <t>Public Elementary, Middle, or High School</t>
  </si>
  <si>
    <t>A physical structure with the primary purpose of providing education to children aged 5 to 18. The school is generally maintained at public expense and is part of the community’s system of free public education. The school must be a permanent location that is currently in operation.  This category does not include day cares, private schools that charge a tuition fee, or online schools.</t>
  </si>
  <si>
    <t>Public School</t>
  </si>
  <si>
    <t>Amenity Type</t>
  </si>
  <si>
    <t>Total Dev. Costs</t>
  </si>
  <si>
    <t>I acknowledge the above information is true and correct, to the best of my knowledge.</t>
  </si>
  <si>
    <t>Authorized Signatory Name:</t>
  </si>
  <si>
    <t>Title:</t>
  </si>
  <si>
    <t>Signature:</t>
  </si>
  <si>
    <t xml:space="preserve">Date: </t>
  </si>
  <si>
    <t>An executed OHFA Program Certification must be executed and individually submitted in .PDF format by each developer, general partner, and/or managing member participating in the project. An original signature is not required; electronic signatures and signature images will be accepted. Do not edit or alter this text; the page is unlocked singularly to permit uploading signature images.</t>
  </si>
  <si>
    <t>Authorized Signatory</t>
  </si>
  <si>
    <t xml:space="preserve">The undersigned affirmatively covenants that it has not (1) failed to pay any fee or expense due to OHFA, (2) been in default or in major non-compliance with any OHFA program, (3) been debarred or suspended from any OHFA, HUD, or Rural Housing programs, (4) is currently in foreclosure or been foreclosed, or (5) is under felony investigation, indicted or been convicted of a felony. </t>
  </si>
  <si>
    <t>The undersigned acknowledges that OHFA may contact other local, state, and/or federal housing agencies to solicit feedback.</t>
  </si>
  <si>
    <t>The undersigned acknowledges that any member of the development team or ownership that is federally debarred may not participate. OHFA will confirm through the System for Award Management (SAM) website that no member of the development team has been debarred or suspended from doing business with the federal government.</t>
  </si>
  <si>
    <t>The undersigned acknowledges that OHFA may pull business credit reports on any or all members of the development team to determine if outstanding liens or judgements exist, depending on the results provided in the Lien and Litigation Reports.</t>
  </si>
  <si>
    <t>Experience and Capacity</t>
  </si>
  <si>
    <t>Name of most recent Ohio LIHTC deal placed in service by the above entity:</t>
  </si>
  <si>
    <t>OHFA Project Number associated with the above project name:</t>
  </si>
  <si>
    <t>Last building placed-in-service date from IRS Form 8609 for the above project:</t>
  </si>
  <si>
    <t>Option 1: In-State Experience</t>
  </si>
  <si>
    <t>Has the above entity placed in service ≥ 1  Ohio LIHTC project  within the last 10 years?</t>
  </si>
  <si>
    <t>Option 2: Out-of-State Experience</t>
  </si>
  <si>
    <t>Is the above entity claiming OHFA's In-State Experience Standards?</t>
  </si>
  <si>
    <t>Is the above claiming OHFA's Out-of-State Experience Standards?</t>
  </si>
  <si>
    <t>Is the above developer entity being used to meet OHFA's Experience Standards?</t>
  </si>
  <si>
    <t>Has the above entity placed in service ≥ 1  LIHTC project  within the last 10 years?</t>
  </si>
  <si>
    <t>Name of most recent non-Ohio LIHTC deal placed in service by the above entity:</t>
  </si>
  <si>
    <t>Name of State Housing Credit Agency that approved the above LIHTC allocation:</t>
  </si>
  <si>
    <t>State Housing Credit Agency project number associated with the above project name:</t>
  </si>
  <si>
    <t>* If no, skip this section.</t>
  </si>
  <si>
    <t>Number of Years Fee Exists</t>
  </si>
  <si>
    <t>Proposal Application</t>
  </si>
  <si>
    <t>OHFA Board Approval (for HDL and/or HDAP)</t>
  </si>
  <si>
    <t>Unabated Real Estate Taxes</t>
  </si>
  <si>
    <t>• Minimum 15-Year Debt Coverage Ratio</t>
  </si>
  <si>
    <t>• Average 15-Year Debt Coverage Ratio</t>
  </si>
  <si>
    <t>Project Address:</t>
  </si>
  <si>
    <t>Project City or Township:</t>
  </si>
  <si>
    <t>Project County:</t>
  </si>
  <si>
    <t>Executive Summary</t>
  </si>
  <si>
    <t>Reviewer Notes</t>
  </si>
  <si>
    <t>Closing Conditions</t>
  </si>
  <si>
    <t>HDAP Site and Neighborhood Standards</t>
  </si>
  <si>
    <t>Click here.</t>
  </si>
  <si>
    <t>Applicability of the Proposed Project</t>
  </si>
  <si>
    <t>Is the proposed project new construction?</t>
  </si>
  <si>
    <t>Site and Neighborhood Standards Background</t>
  </si>
  <si>
    <t>All new construction affordable housing proposals seeking Housing Development Assistance Program (HDAP) gap financing resources must secure Site and Neighborhood Standards Review approval from OHFA in accordance with 24 C.F.R. §§983.57(e)(2)-(3). This review prohibits new construction projects funded with HDAP from being located in an Area of Minority Concentration or a Racially-Mixed Area unless certain criteria are met. In CPD 2016-17 Section 5.4(B), HUD defines Areas of Minority Concentration and Racially-Mixed Areas.</t>
  </si>
  <si>
    <t>HDAP Source</t>
  </si>
  <si>
    <t>OHFA Acronym</t>
  </si>
  <si>
    <t>Federal Reference Triggering Review</t>
  </si>
  <si>
    <t>24 C.F.R. §92.202(b)</t>
  </si>
  <si>
    <t>24 C.F.R. §93.150(a)</t>
  </si>
  <si>
    <t>Helpful Links:</t>
  </si>
  <si>
    <t>• PIH 2016-17: RAD Notice Regarding Fair Housing and Civil Rights Requirements and Relocation Requirements</t>
  </si>
  <si>
    <t>• RAD Minority Concentration Map</t>
  </si>
  <si>
    <t>Step 1: Determine if the Project is Located in an Area of Minority Concentration</t>
  </si>
  <si>
    <t>OHFA references the HUD Rental Assistance Demonstration (RAD) Minority Concentration Analysis map to determine if a project is located in an area of Minority Concentration.</t>
  </si>
  <si>
    <t>What are Areas of Minority Concentration?</t>
  </si>
  <si>
    <t>Per CPD 2016-17 Section 5.4(B), a site is considered to be in an Area of Minority Concentration when either:</t>
  </si>
  <si>
    <r>
      <t xml:space="preserve">(i) the percentage of persons of a </t>
    </r>
    <r>
      <rPr>
        <u/>
        <sz val="11"/>
        <rFont val="Arial"/>
        <family val="2"/>
        <scheme val="minor"/>
      </rPr>
      <t>particular</t>
    </r>
    <r>
      <rPr>
        <sz val="11"/>
        <rFont val="Arial"/>
        <family val="2"/>
        <scheme val="minor"/>
      </rPr>
      <t xml:space="preserve"> racial or ethnic minority within the area of the site is at least 20 percentage points higher than the percentage of that minority group in the housing market area as a whole or </t>
    </r>
  </si>
  <si>
    <r>
      <t xml:space="preserve">(ii) the </t>
    </r>
    <r>
      <rPr>
        <u/>
        <sz val="11"/>
        <rFont val="Arial"/>
        <family val="2"/>
        <scheme val="minor"/>
      </rPr>
      <t>total</t>
    </r>
    <r>
      <rPr>
        <sz val="11"/>
        <rFont val="Arial"/>
        <family val="2"/>
        <scheme val="minor"/>
      </rPr>
      <t xml:space="preserve"> percentage of minority persons within the area of the site is at least 20 points higher than the total percentage of minorities in the housing market area as a whole."</t>
    </r>
  </si>
  <si>
    <t>The "area" is defined as the census tract in which the site is to be located and the "housing market area" is either the MSA or the county (or statistically equivalent area).</t>
  </si>
  <si>
    <t>To determine if your proposed project is located in an Area of Minority Concentration, use the following instructions:</t>
  </si>
  <si>
    <t>• Navigate to the RAD Minority Concentration Analysis Web site. Select the link:</t>
  </si>
  <si>
    <t>• Type the site address into the field at the top of the Web site.</t>
  </si>
  <si>
    <t>• Select "Show Minority &amp; Tracts (Zoom 9+)"</t>
  </si>
  <si>
    <t>• If the site is located in a shaded area, it is within an Area of Minority Concentration.</t>
  </si>
  <si>
    <t>Is the project located in an area of minority concentration?</t>
  </si>
  <si>
    <t>Step 2: Determine if the Project Qualifies for an Exemption</t>
  </si>
  <si>
    <t>New construction projects in Areas of Minority Concentration are prohibited unless at least one of two exemptions can be demonstrated by the development team and approved by OHFA.</t>
  </si>
  <si>
    <t>Exemption #1: Sufficient, Comparable Housing Outside of Areas of Minority Concentration</t>
  </si>
  <si>
    <t>Developer is seeking this exemption:</t>
  </si>
  <si>
    <t>• For a database of HUD-assisted units, see the following link:</t>
  </si>
  <si>
    <t>Developer Response:</t>
  </si>
  <si>
    <t>Exemption #2: Proposed Project is Necessary to Meet Overriding Housing Needs</t>
  </si>
  <si>
    <t>Step 3: Determine if the Project is Located in a Racially-Mixed Area</t>
  </si>
  <si>
    <t>Is the project located in an Area of Minority Concentration?</t>
  </si>
  <si>
    <t>2020 Census Tract of proposed project site:</t>
  </si>
  <si>
    <t>Percent of White, Non-Hispanic Persons in Census Tract:</t>
  </si>
  <si>
    <t>Is the project located in a Non-Minority Area?</t>
  </si>
  <si>
    <t>Is the project located in a Racially-Mixed Area?</t>
  </si>
  <si>
    <t>Lead Developer Certification</t>
  </si>
  <si>
    <t>Is the proposed project seeking any HUD HDAP sources?</t>
  </si>
  <si>
    <t>Unit Comparability and Cost Allocation</t>
  </si>
  <si>
    <t>All affordable housing proposals seeking Housing Development Assistance Program (HDAP) gap financing resources must certify whether HDAP-Assisted and unassisted units are comparable. Attesting to unit comparability is the first step in the HDAP cost allocation process, as the determination affects which cost allocation method OHFA implements and whether HDAP-Assisted units are either fixed or floating.</t>
  </si>
  <si>
    <t>• This form must be completed by the project architect.</t>
  </si>
  <si>
    <t>24 C.F.R. §92.252(j)</t>
  </si>
  <si>
    <t>Ohio Housing Trust Fund (used as HOME match)</t>
  </si>
  <si>
    <t>• 24 C.F.R. §92.205(d)(1)</t>
  </si>
  <si>
    <t>Determining Unit Comparability</t>
  </si>
  <si>
    <t>From CPD-16-15 Section V(B): The first step that a PJ must take before allocating costs is to determine whether or not units are comparable – that is, whether they are sufficiently similar in size, configuration, and amenities to be considered interchangeable.</t>
  </si>
  <si>
    <t>(A) Comparable Unit Configurations</t>
  </si>
  <si>
    <t xml:space="preserve">It is not required that unit layout/configuration be exact. Small variations in space and layout are acceptable if the key features – number of bedrooms, bathrooms, and total rooms – are identical. </t>
  </si>
  <si>
    <t>Smallest Number of Bathrooms</t>
  </si>
  <si>
    <t>Largest Number of Bathrooms</t>
  </si>
  <si>
    <t>Smallest Number of Rooms</t>
  </si>
  <si>
    <t>Largest Number of Rooms</t>
  </si>
  <si>
    <t>Variance in Rooms or Bathrooms?</t>
  </si>
  <si>
    <t>(B) Comparable Unit Sizes</t>
  </si>
  <si>
    <t>Within each unit configuration, unit size can be considered comparable if the square footage is within a small variance of the average square footage of all such units. In the Agency's Design and Architectural Standards, primary bedrooms must be at least 120 square feet in size. Therefore, OHFA considers unit size variations +/- 120 square feet of the average to exceed the HUD definition of a "small variance".</t>
  </si>
  <si>
    <t>Average Size
(Net Rentable SF)</t>
  </si>
  <si>
    <t>Smallest Unit Size
 (Net Rentable SF)</t>
  </si>
  <si>
    <t>Largest Unit Size (Net Rentable SF)</t>
  </si>
  <si>
    <t>&gt;120 SF Variance from Average Size?</t>
  </si>
  <si>
    <t>Comparable Unit Size?</t>
  </si>
  <si>
    <t>(C) Comparable Amenities and Finishes</t>
  </si>
  <si>
    <t>If the planned HDAP-Assisted units will have fewer or lower-quality amenities or finishes than the unassisted units of the same unit type, then the units are not comparable.</t>
  </si>
  <si>
    <t>Comparable
Finishes?</t>
  </si>
  <si>
    <t>Comparable
Fixtures?</t>
  </si>
  <si>
    <t>Comparable Appliances?</t>
  </si>
  <si>
    <t>Comparable Amenities and Finishes?</t>
  </si>
  <si>
    <t>Are all above unit configurations comparable?</t>
  </si>
  <si>
    <t>Architect Certification</t>
  </si>
  <si>
    <t>HDAP Unit Comparability Form</t>
  </si>
  <si>
    <t>Is the proposed project seeking any HDAP resources?</t>
  </si>
  <si>
    <t>Non-Minority Area?</t>
  </si>
  <si>
    <r>
      <rPr>
        <b/>
        <u/>
        <sz val="11"/>
        <rFont val="Arial"/>
        <family val="2"/>
      </rPr>
      <t>Note to Applicants</t>
    </r>
    <r>
      <rPr>
        <sz val="11"/>
        <rFont val="Arial"/>
        <family val="2"/>
      </rPr>
      <t xml:space="preserve">: 
</t>
    </r>
    <r>
      <rPr>
        <sz val="10"/>
        <rFont val="Arial"/>
        <family val="2"/>
      </rPr>
      <t>For projects seeking to meet Option 2 for Minimum Experience and Capacity standards, the following information must be submitted:
(1) A signed and dated statement from the Housing Credit Agency that details the project name(s), that the project(s) were funded with LIHTC, and when they were placed in service. The statement must affirm that the developer listed above acted as the developer on the project; and 
(2) An executed IRS Form 8609 for the above-referenced LIHTC project</t>
    </r>
    <r>
      <rPr>
        <sz val="11"/>
        <rFont val="Arial"/>
        <family val="2"/>
      </rPr>
      <t>.</t>
    </r>
  </si>
  <si>
    <t>Ineligible Development Costs from Uses Tab:</t>
  </si>
  <si>
    <t>Ineligible Accessory Building Costs:</t>
  </si>
  <si>
    <t>Is this application potentially eligible for the CHDO set aside?</t>
  </si>
  <si>
    <t>Sole general partner entity:</t>
  </si>
  <si>
    <t>OHFA Number of LIHTC Units:</t>
  </si>
  <si>
    <t>Absorption Rate (Units/Month):</t>
  </si>
  <si>
    <t>Net Federal LIHTC Equity Installments</t>
  </si>
  <si>
    <t>Percent of Net LIHTC Equity</t>
  </si>
  <si>
    <t>Seeking CHDO Set Aside?</t>
  </si>
  <si>
    <t>Is the applicant seeking the CHDO Set Aside?</t>
  </si>
  <si>
    <t>9% LIHTC Pools</t>
  </si>
  <si>
    <t>New Affordability - General Occupancy</t>
  </si>
  <si>
    <t>9% LIHTC Funding Pools</t>
  </si>
  <si>
    <t>Overall Community Housing Development Organization (CHDO) Set Aside</t>
  </si>
  <si>
    <t>(i) Support from the municipal corporation in which project is proposed?</t>
  </si>
  <si>
    <t>* Please note: OHFA must receive and verify support letters or resolutions in the Competitive Support Documentation folder.</t>
  </si>
  <si>
    <t>(ii) Support from the county in which the project is proposed?</t>
  </si>
  <si>
    <t>(iii) Support from a municipal corporation within 0.5 miles of the project?</t>
  </si>
  <si>
    <t>Please note: responses are limited to 2,400 characters (approximately 350 to 600 words)</t>
  </si>
  <si>
    <t>Current characters:</t>
  </si>
  <si>
    <t>(3)</t>
  </si>
  <si>
    <t>(4)</t>
  </si>
  <si>
    <t>(5)</t>
  </si>
  <si>
    <t>Annual LIHTC Request per LIHTC Unit</t>
  </si>
  <si>
    <t>New Affordability: General Occupancy Pool</t>
  </si>
  <si>
    <t>Energy Star-certified washer and dryer in all units</t>
  </si>
  <si>
    <t>Energy Star-certified dishwasher in all units</t>
  </si>
  <si>
    <t>An outdoor playground area designed for children</t>
  </si>
  <si>
    <t>Tenant credit reporting system participation</t>
  </si>
  <si>
    <t>Annual LIHTC Request:</t>
  </si>
  <si>
    <t>LIHTC Request per LIHTC Unit:</t>
  </si>
  <si>
    <t>Ohio Housing Trust Fund</t>
  </si>
  <si>
    <t>Financial Resource Name</t>
  </si>
  <si>
    <t>Statutory Underwriting Reference</t>
  </si>
  <si>
    <t>Regulatory Underwriting Reference</t>
  </si>
  <si>
    <t>R.C. 174.03(D)(1)</t>
  </si>
  <si>
    <t>24 C.F.R. §92.250(b)</t>
  </si>
  <si>
    <t>24 C.F.R. §93.300(b)</t>
  </si>
  <si>
    <t>OAC Chapter 122:6-1(A)</t>
  </si>
  <si>
    <t>Discretionary Basis Boost Amount:</t>
  </si>
  <si>
    <t>Construction Type</t>
  </si>
  <si>
    <t>Any</t>
  </si>
  <si>
    <t>OHFA Cost Containment</t>
  </si>
  <si>
    <t>See Cost Database</t>
  </si>
  <si>
    <t>2020 ZCTA GEOID</t>
  </si>
  <si>
    <t>Total LIHTC Units:</t>
  </si>
  <si>
    <t>OHFA LIHTC per LIHTC Unit Score:</t>
  </si>
  <si>
    <t>Experienced Service Coordinator</t>
  </si>
  <si>
    <t>Preserved Affordability Scoring Summary</t>
  </si>
  <si>
    <t>New Affordability - Senior Scoring Summary</t>
  </si>
  <si>
    <t>New Affordability - General Occupancy Scoring Summary</t>
  </si>
  <si>
    <t>Rehabilitation Hard Costs per Unit</t>
  </si>
  <si>
    <t>Preserved Affordability Pool</t>
  </si>
  <si>
    <t>2020 Zip Code Tabulation Area (ZCTA)</t>
  </si>
  <si>
    <r>
      <rPr>
        <b/>
        <u/>
        <sz val="11"/>
        <rFont val="Arial"/>
        <family val="2"/>
      </rPr>
      <t>Note to Applicants</t>
    </r>
    <r>
      <rPr>
        <sz val="11"/>
        <rFont val="Arial"/>
        <family val="2"/>
      </rPr>
      <t xml:space="preserve">: 
The maximum amount of construction-period LIHTC equity is the sum of equity installments commencing at financial closing up to, but </t>
    </r>
    <r>
      <rPr>
        <u/>
        <sz val="11"/>
        <rFont val="Arial"/>
        <family val="2"/>
      </rPr>
      <t>not</t>
    </r>
    <r>
      <rPr>
        <sz val="11"/>
        <rFont val="Arial"/>
        <family val="2"/>
      </rPr>
      <t xml:space="preserve"> including, the 100% Construction Completion installment, per the LIHTC Rental Underwriting Guidelines. If an error message is populated, ensure that the LIHTCs tab is completed first.</t>
    </r>
  </si>
  <si>
    <t>Acryonym</t>
  </si>
  <si>
    <r>
      <t xml:space="preserve">5. </t>
    </r>
    <r>
      <rPr>
        <u/>
        <sz val="11"/>
        <color theme="1"/>
        <rFont val="Arial"/>
        <family val="2"/>
        <scheme val="minor"/>
      </rPr>
      <t>Guarantees</t>
    </r>
    <r>
      <rPr>
        <sz val="11"/>
        <color theme="1"/>
        <rFont val="Arial"/>
        <family val="2"/>
        <scheme val="minor"/>
      </rPr>
      <t>: Indicate which partners are responsible for guarantees to lenders and syndicators/investors, and the compensation associated with those guarantees.</t>
    </r>
  </si>
  <si>
    <r>
      <t xml:space="preserve">2. </t>
    </r>
    <r>
      <rPr>
        <u/>
        <sz val="11"/>
        <color theme="1"/>
        <rFont val="Arial"/>
        <family val="2"/>
        <scheme val="minor"/>
      </rPr>
      <t>Decision-making</t>
    </r>
    <r>
      <rPr>
        <sz val="11"/>
        <color theme="1"/>
        <rFont val="Arial"/>
        <family val="2"/>
        <scheme val="minor"/>
      </rPr>
      <t>: Indicate how the partners will make decisions (voting, consensus, etc.)  Voting rights are usually based on ownership interest, but some key decisions that must be made jointly or by consensus, such as incurring debt or financial obligations and significant changes in project scope. Also, what decisions individual partners can make in fulfilling developer obligations.</t>
    </r>
  </si>
  <si>
    <r>
      <t xml:space="preserve">7. </t>
    </r>
    <r>
      <rPr>
        <u/>
        <sz val="11"/>
        <color theme="1"/>
        <rFont val="Arial"/>
        <family val="2"/>
        <scheme val="minor"/>
      </rPr>
      <t>Termination</t>
    </r>
    <r>
      <rPr>
        <sz val="11"/>
        <color theme="1"/>
        <rFont val="Arial"/>
        <family val="2"/>
        <scheme val="minor"/>
      </rPr>
      <t>: Indicate how the partnership can be terminated, either before the project is completed or after all work has been completed. If a “handoff” from one partner to another is contemplated on completion, how that will occur.</t>
    </r>
  </si>
  <si>
    <t>OHFA Set Aside Eligibility Determination</t>
  </si>
  <si>
    <t>Meets CHDO Set Aside?</t>
  </si>
  <si>
    <t>Annual 9% LIHTCs:</t>
  </si>
  <si>
    <t>(b) Does the project demonstrate local support?</t>
  </si>
  <si>
    <t>(c) Does the project demonstrate a documented need?</t>
  </si>
  <si>
    <t>Balance of State/Small CoC Set Aside</t>
  </si>
  <si>
    <t>Meets BoS/Small CoC Set Aside?</t>
  </si>
  <si>
    <t>Is the applicant seeking the Balance of State/Small CoC Set Aside?</t>
  </si>
  <si>
    <t>Is this application potentially eligible for the Balance of State/Small CoC set aside?</t>
  </si>
  <si>
    <t>Development Team Partners Questionnaire</t>
  </si>
  <si>
    <t>Condensed Operating Budget</t>
  </si>
  <si>
    <t xml:space="preserve">   Rental Income and Rental Fee Income</t>
  </si>
  <si>
    <t>- Vacancy Allowance</t>
  </si>
  <si>
    <t>Seeking BoS/Small CoC Set Aside?</t>
  </si>
  <si>
    <t>Seeking CISI Set Aside?</t>
  </si>
  <si>
    <t>Preserved Affordability</t>
  </si>
  <si>
    <t>= Total Operating Expenses</t>
  </si>
  <si>
    <t>Net Operating Income (EGI - Operating Expenses)</t>
  </si>
  <si>
    <t xml:space="preserve">   Operating Expenses</t>
  </si>
  <si>
    <t>- Total Operating Expenses</t>
  </si>
  <si>
    <t>= Net Operating Income (NOI)</t>
  </si>
  <si>
    <t>Net Real Estate Taxes</t>
  </si>
  <si>
    <t>(Administrative Expenses)</t>
  </si>
  <si>
    <t>(Property Management Fee)</t>
  </si>
  <si>
    <t>(Owner-Paid Utility Expenses)</t>
  </si>
  <si>
    <t>(Maintenance Expenses)</t>
  </si>
  <si>
    <t>(Real Estate Taxes)</t>
  </si>
  <si>
    <t>Abated Real Estate Taxes</t>
  </si>
  <si>
    <t>(Property and Liability Insurance)</t>
  </si>
  <si>
    <t>(Other Insurance and Tax Expenses)</t>
  </si>
  <si>
    <t>(Ongoing Reserve Contributions)</t>
  </si>
  <si>
    <t>(Net Real Estate Taxes)</t>
  </si>
  <si>
    <t>(Unabated Real Estate Taxes)</t>
  </si>
  <si>
    <t>(Total Operating Expenses)</t>
  </si>
  <si>
    <t>Source Name</t>
  </si>
  <si>
    <t>Total 10-Year LIHTC Generated</t>
  </si>
  <si>
    <t>Percent Variance</t>
  </si>
  <si>
    <t>Amount Variance</t>
  </si>
  <si>
    <t>Set Asides Sought</t>
  </si>
  <si>
    <t>Community Housing Development Organization:</t>
  </si>
  <si>
    <t>Community Impact Strategic Initiative:</t>
  </si>
  <si>
    <t>Balance of State or Small Continuum of Care:</t>
  </si>
  <si>
    <t>Competitive Criterion</t>
  </si>
  <si>
    <t>Set Aside Type</t>
  </si>
  <si>
    <t>Total Number of HOME/OHTF-Assisted Units</t>
  </si>
  <si>
    <t>Remaining Number of High HOME/OHTF Assisted Units</t>
  </si>
  <si>
    <t>Determining the Minimum Number of Low HOME/OHTF-Assisted Units</t>
  </si>
  <si>
    <t>Percent</t>
  </si>
  <si>
    <t>Percent of Total HDAP Assisted Units</t>
  </si>
  <si>
    <t>Proportional Distribution of Low HOME Units</t>
  </si>
  <si>
    <t>Selected Distribution of Low HOME Units</t>
  </si>
  <si>
    <t>Percent of Low HOME Units</t>
  </si>
  <si>
    <t>Variance from Proportional Distribution</t>
  </si>
  <si>
    <t>Proportional Distribution of High HOME Units</t>
  </si>
  <si>
    <t>Selected Distribution of High HOME Units</t>
  </si>
  <si>
    <t>Percent of High HOME Units</t>
  </si>
  <si>
    <t>Minimum Number of Low HOME/OHTF Assisted Units (≥ 20%):</t>
  </si>
  <si>
    <r>
      <t xml:space="preserve">The HOME Investment Partnerships Program, National Housing Trust Fund, and Ohio Housing Trust Fund (as state match for federal HOME resources) all follow a cost allocation methodology for determining the number of Assisted Units. These sources all reference cost allocation language for the federal HOME program, which is outlined in further detail in CPD-16-15. If Assisted Units and unassisted units are comparable, the Proration Method must be used. The Proration Method allocates Assisted Units based on a ratio of HDAP requested to the adjusted project costs. </t>
    </r>
    <r>
      <rPr>
        <b/>
        <sz val="11"/>
        <color theme="3"/>
        <rFont val="Arial"/>
        <family val="2"/>
      </rPr>
      <t>The Proration Method is being implemented through this spreadsheet.</t>
    </r>
  </si>
  <si>
    <t>If no, skip this section and complete the HOME/OHTF section.</t>
  </si>
  <si>
    <t>OHFA will reserve LIHTC resources for the highest-scoring project in Canton/Stark, Youngstown/Mahoning, Lucas County, or the Balance of State Continuum of Care (CoC).</t>
  </si>
  <si>
    <t>Updates</t>
  </si>
  <si>
    <t>2025 Multifamily Tax Subsidy Program (MTSP) 50% AMI Income Limits, by Number of Persons in Household</t>
  </si>
  <si>
    <t>Metropolitan or Rural County?</t>
  </si>
  <si>
    <t>Housing Needs Index</t>
  </si>
  <si>
    <t>Overall Property Ownership Entity</t>
  </si>
  <si>
    <t>This entity is the single-purpose entity that will own the overall property</t>
  </si>
  <si>
    <t>Density (Population per Sq. Mile)</t>
  </si>
  <si>
    <t>Median Age (Years)</t>
  </si>
  <si>
    <t>Median Household Income</t>
  </si>
  <si>
    <t>10-Year Population Change</t>
  </si>
  <si>
    <t>2014 5-Yr Total Population</t>
  </si>
  <si>
    <t>2023 5-Yr Total Population</t>
  </si>
  <si>
    <t>Poverty Rate</t>
  </si>
  <si>
    <t>Percent White</t>
  </si>
  <si>
    <t>Percent Black or African American</t>
  </si>
  <si>
    <t>Percent American Indian Alaska Native</t>
  </si>
  <si>
    <t>Percent Asian</t>
  </si>
  <si>
    <t>Percent Native Hawaiian Pacific Islander</t>
  </si>
  <si>
    <t>Percent Some Other Race</t>
  </si>
  <si>
    <t>Percent Two or More Races</t>
  </si>
  <si>
    <t>Percent Hispanic or Latino</t>
  </si>
  <si>
    <t>Percent Not Hispanic or Latino: White Alone</t>
  </si>
  <si>
    <t>DP05_0037</t>
  </si>
  <si>
    <t>DP05_0038</t>
  </si>
  <si>
    <t>DP05_0039</t>
  </si>
  <si>
    <t>DP05_0047</t>
  </si>
  <si>
    <t>DP05_0055</t>
  </si>
  <si>
    <t>DP05_0060</t>
  </si>
  <si>
    <t>DP05_0061</t>
  </si>
  <si>
    <t>DP05_0076</t>
  </si>
  <si>
    <t>DP05_0082</t>
  </si>
  <si>
    <t>General Occupancy Opportunity Index</t>
  </si>
  <si>
    <t>Senior Opportunity Index</t>
  </si>
  <si>
    <t>Neighborhood Change Index</t>
  </si>
  <si>
    <t>B17001_002</t>
  </si>
  <si>
    <t>S1901_C01_012</t>
  </si>
  <si>
    <t>DP05_0018</t>
  </si>
  <si>
    <t>TIGER Files</t>
  </si>
  <si>
    <t>DP05_0001</t>
  </si>
  <si>
    <t>From Urban Institute</t>
  </si>
  <si>
    <t>Homeowner Vacancy Rate</t>
  </si>
  <si>
    <t>DP04_0004</t>
  </si>
  <si>
    <t>Rental Vacancy Rate</t>
  </si>
  <si>
    <t>DP04_0005</t>
  </si>
  <si>
    <t>Percent of Housing Renter Occupied</t>
  </si>
  <si>
    <t>DP04_0047</t>
  </si>
  <si>
    <t>Unemployment Rate</t>
  </si>
  <si>
    <t>S2301_C04_001</t>
  </si>
  <si>
    <t>Percent of Renter Household Paying &gt;30% of Income Toward Rent</t>
  </si>
  <si>
    <t>B25140_011</t>
  </si>
  <si>
    <t>OMB Metropolitan Statistical Areas</t>
  </si>
  <si>
    <t>Cincinnati, OH-KY-IN</t>
  </si>
  <si>
    <t>Cleveland, OH</t>
  </si>
  <si>
    <t>Columbus, OH</t>
  </si>
  <si>
    <t>MSA Code</t>
  </si>
  <si>
    <t>MSA Name</t>
  </si>
  <si>
    <t>Dayton-Kettering-Beavercreek, OH</t>
  </si>
  <si>
    <t>Huntington-Ashland, WV-KY-OH</t>
  </si>
  <si>
    <t>Lima, OH</t>
  </si>
  <si>
    <t>Mansfield, OH</t>
  </si>
  <si>
    <t>Sandusky, OH</t>
  </si>
  <si>
    <t>Springfield, OH</t>
  </si>
  <si>
    <t>Toledo, OH</t>
  </si>
  <si>
    <t>Weirton-Steubenville, WV-OH</t>
  </si>
  <si>
    <t>Wheeling, WV-OH</t>
  </si>
  <si>
    <t>Youngstown-Warren, OH</t>
  </si>
  <si>
    <t>Akron, OH</t>
  </si>
  <si>
    <t>Canton-Massillon, OH</t>
  </si>
  <si>
    <t>See OMB-23-01</t>
  </si>
  <si>
    <t>County Code</t>
  </si>
  <si>
    <t>OMB MSA Code</t>
  </si>
  <si>
    <t>OMB MSA Name</t>
  </si>
  <si>
    <t>FY2024 Ohio Participating Jurisdictions</t>
  </si>
  <si>
    <t>FY2026 Fair Market Rents (FMR)</t>
  </si>
  <si>
    <t>FY2026 Small Area Fair Market Rent</t>
  </si>
  <si>
    <t>Cleveland, OH HUD Metro FMR Area</t>
  </si>
  <si>
    <t>Dayton-Kettering-Beavercreek, OH MSA</t>
  </si>
  <si>
    <t>Ashtabula County, OH HUD Metro FMR Area</t>
  </si>
  <si>
    <t>Erie County, OH HUD Metro FMR Area</t>
  </si>
  <si>
    <t>Youngstown-Warren, OH MSA</t>
  </si>
  <si>
    <t>HUD Area Code</t>
  </si>
  <si>
    <t>HUD Area Name</t>
  </si>
  <si>
    <t>NCNTY39071N39071</t>
  </si>
  <si>
    <t>Highland County, OH</t>
  </si>
  <si>
    <t>NCNTY39105N39105</t>
  </si>
  <si>
    <t>Meigs County, OH</t>
  </si>
  <si>
    <t>METRO17140MM1220</t>
  </si>
  <si>
    <t>NCNTY39115N39115</t>
  </si>
  <si>
    <t>Morgan County, OH</t>
  </si>
  <si>
    <t>METRO18140N39073</t>
  </si>
  <si>
    <t>NCNTY39009N39009</t>
  </si>
  <si>
    <t>Athens County, OH</t>
  </si>
  <si>
    <t>NCNTY39111N39111</t>
  </si>
  <si>
    <t>Monroe County, OH</t>
  </si>
  <si>
    <t>METRO17140M17140</t>
  </si>
  <si>
    <t>NCNTY39047N39047</t>
  </si>
  <si>
    <t>Fayette County, OH</t>
  </si>
  <si>
    <t>METRO19430M19430</t>
  </si>
  <si>
    <t>NCNTY39001N39001</t>
  </si>
  <si>
    <t>Adams County, OH</t>
  </si>
  <si>
    <t>METRO26580M26580</t>
  </si>
  <si>
    <t>NCNTY39131N39131</t>
  </si>
  <si>
    <t>Pike County, OH</t>
  </si>
  <si>
    <t>NCNTY39079N39079</t>
  </si>
  <si>
    <t>Jackson County, OH</t>
  </si>
  <si>
    <t>METRO18140M18140</t>
  </si>
  <si>
    <t>NCNTY39053N39053</t>
  </si>
  <si>
    <t>Gallia County, OH</t>
  </si>
  <si>
    <t>NCNTY39027N39027</t>
  </si>
  <si>
    <t>Clinton County, OH</t>
  </si>
  <si>
    <t>METRO18140N39127</t>
  </si>
  <si>
    <t>NCNTY39167N39167</t>
  </si>
  <si>
    <t>Washington County, OH</t>
  </si>
  <si>
    <t>NCNTY39141N39141</t>
  </si>
  <si>
    <t>Ross County, OH</t>
  </si>
  <si>
    <t>NCNTY39145N39145</t>
  </si>
  <si>
    <t>Scioto County, OH</t>
  </si>
  <si>
    <t>NCNTY39135N39135</t>
  </si>
  <si>
    <t>Preble County, OH</t>
  </si>
  <si>
    <t>NCNTY39163N39163</t>
  </si>
  <si>
    <t>Vinton County, OH</t>
  </si>
  <si>
    <t>NCNTY39121N39121</t>
  </si>
  <si>
    <t>Noble County, OH</t>
  </si>
  <si>
    <t>METRO17410N17460</t>
  </si>
  <si>
    <t>METRO41780M39123</t>
  </si>
  <si>
    <t>NCNTY39031N39031</t>
  </si>
  <si>
    <t>Coshocton County, OH</t>
  </si>
  <si>
    <t>METRO45780M45780</t>
  </si>
  <si>
    <t>NCNTY39125N39125</t>
  </si>
  <si>
    <t>Paulding County, OH</t>
  </si>
  <si>
    <t>NCNTY39067N39067</t>
  </si>
  <si>
    <t>Harrison County, OH</t>
  </si>
  <si>
    <t>NCNTY39149N39149</t>
  </si>
  <si>
    <t>Shelby County, OH</t>
  </si>
  <si>
    <t>NCNTY39011N39011</t>
  </si>
  <si>
    <t>Auglaize County, OH</t>
  </si>
  <si>
    <t>METRO15940M15940</t>
  </si>
  <si>
    <t>NCNTY39075N39075</t>
  </si>
  <si>
    <t>Holmes County, OH</t>
  </si>
  <si>
    <t>METRO48260M48260</t>
  </si>
  <si>
    <t>NCNTY39029N39029</t>
  </si>
  <si>
    <t>Columbiana County, OH</t>
  </si>
  <si>
    <t>METRO17410N39007</t>
  </si>
  <si>
    <t>METRO48540M48540</t>
  </si>
  <si>
    <t>NCNTY39137N39137</t>
  </si>
  <si>
    <t>Putnam County, OH</t>
  </si>
  <si>
    <t>METRO31900M31900</t>
  </si>
  <si>
    <t>METRO49660M49660</t>
  </si>
  <si>
    <t>NCNTY39059N39059</t>
  </si>
  <si>
    <t>Guernsey County, OH</t>
  </si>
  <si>
    <t>NCNTY39119N39119</t>
  </si>
  <si>
    <t>Muskingum County, OH</t>
  </si>
  <si>
    <t>METRO10420M10420</t>
  </si>
  <si>
    <t>NCNTY39037N39037</t>
  </si>
  <si>
    <t>Darke County, OH</t>
  </si>
  <si>
    <t>METRO41780N39043</t>
  </si>
  <si>
    <t>METRO18140N39159</t>
  </si>
  <si>
    <t>NCNTY39039N39039</t>
  </si>
  <si>
    <t>Defiance County, OH</t>
  </si>
  <si>
    <t>NCNTY39063N39063</t>
  </si>
  <si>
    <t>Hancock County, OH</t>
  </si>
  <si>
    <t>NCNTY39147N39147</t>
  </si>
  <si>
    <t>Seneca County, OH</t>
  </si>
  <si>
    <t>NCNTY39033N39033</t>
  </si>
  <si>
    <t>Crawford County, OH</t>
  </si>
  <si>
    <t>NCNTY39005N39005</t>
  </si>
  <si>
    <t>Ashland County, OH</t>
  </si>
  <si>
    <t>NCNTY39101N39101</t>
  </si>
  <si>
    <t>Marion County, OH</t>
  </si>
  <si>
    <t>NCNTY39069N39069</t>
  </si>
  <si>
    <t>Henry County, OH</t>
  </si>
  <si>
    <t>NCNTY39077N39077</t>
  </si>
  <si>
    <t>Huron County, OH</t>
  </si>
  <si>
    <t>METRO30620M30620</t>
  </si>
  <si>
    <t>NCNTY39143N39143</t>
  </si>
  <si>
    <t>Sandusky County, OH</t>
  </si>
  <si>
    <t>NCNTY39083N39083</t>
  </si>
  <si>
    <t>Knox County, OH</t>
  </si>
  <si>
    <t>NCNTY39171N39171</t>
  </si>
  <si>
    <t>Williams County, OH</t>
  </si>
  <si>
    <t>NCNTY39091N39091</t>
  </si>
  <si>
    <t>Logan County, OH</t>
  </si>
  <si>
    <t>NCNTY39065N39065</t>
  </si>
  <si>
    <t>Hardin County, OH</t>
  </si>
  <si>
    <t>NCNTY39021N39021</t>
  </si>
  <si>
    <t>Champaign County, OH</t>
  </si>
  <si>
    <t>NCNTY39169N39169</t>
  </si>
  <si>
    <t>Wayne County, OH</t>
  </si>
  <si>
    <t>METRO44220M44220</t>
  </si>
  <si>
    <t>NCNTY39157N39157</t>
  </si>
  <si>
    <t>Tuscarawas County, OH</t>
  </si>
  <si>
    <t>NCNTY39161N39161</t>
  </si>
  <si>
    <t>Van Wert County, OH</t>
  </si>
  <si>
    <t>NCNTY39107N39107</t>
  </si>
  <si>
    <t>Mercer County, OH</t>
  </si>
  <si>
    <t>NCNTY39175N39175</t>
  </si>
  <si>
    <t>Wyandot County, OH</t>
  </si>
  <si>
    <t>FY2024 HOME Per Unit Maximum</t>
  </si>
  <si>
    <t>County Type</t>
  </si>
  <si>
    <t>§234 Elevator Maximum</t>
  </si>
  <si>
    <t>Ohio Per Unit Max</t>
  </si>
  <si>
    <t>New Affordability - Seniors</t>
  </si>
  <si>
    <t>Tenant Populations with Special Housing Needs</t>
  </si>
  <si>
    <t>LIHTC Closing:</t>
  </si>
  <si>
    <t>Proposal Application Fee</t>
  </si>
  <si>
    <t>Final Application Fee</t>
  </si>
  <si>
    <r>
      <t>Compliance Monitoring Fee</t>
    </r>
    <r>
      <rPr>
        <sz val="9"/>
        <color theme="1"/>
        <rFont val="Arial"/>
        <family val="2"/>
        <scheme val="minor"/>
      </rPr>
      <t xml:space="preserve"> ($2,400/unit)</t>
    </r>
  </si>
  <si>
    <t>Zip Code Tabulation Area:</t>
  </si>
  <si>
    <t>OMB Metropolitan Statistical Area</t>
  </si>
  <si>
    <t>USPS Zip Code:</t>
  </si>
  <si>
    <t>General Occ. Opportunity Index:</t>
  </si>
  <si>
    <t>Senior Opportunity Index:</t>
  </si>
  <si>
    <t>Housing Needs Index:</t>
  </si>
  <si>
    <t>Neighborhood Change Index:</t>
  </si>
  <si>
    <t>Raw Number</t>
  </si>
  <si>
    <t>Percentile</t>
  </si>
  <si>
    <t>2026 OHFA Indices</t>
  </si>
  <si>
    <t>Original HDAP Principal Amount</t>
  </si>
  <si>
    <t>Maximum Gross MTSP Rent</t>
  </si>
  <si>
    <t>If the cost of any utility (other than telephone, cable television, or internet) for a residential rental unit is paid directly by the tenant, the gross MTSP rent must be reduced by an allowable utility allowance in accordance with 26 U.S.C. §42(g)(2)(B) and 26 C.F.R. §1.42-10.</t>
  </si>
  <si>
    <t>Metropolitan or Rural?</t>
  </si>
  <si>
    <t>Supportive Services Provider</t>
  </si>
  <si>
    <t>Median Age</t>
  </si>
  <si>
    <t>Land Area
(Sq. Miles)</t>
  </si>
  <si>
    <t>Population Density (per Sq. Mile)</t>
  </si>
  <si>
    <t>10-Year Population Change:</t>
  </si>
  <si>
    <t>Ohio</t>
  </si>
  <si>
    <t>Demographic Information</t>
  </si>
  <si>
    <t>White</t>
  </si>
  <si>
    <t>Asian</t>
  </si>
  <si>
    <t>Native Hawaiian/Pacific Islander</t>
  </si>
  <si>
    <t>Native American/Alaska Native</t>
  </si>
  <si>
    <t>Black/African American</t>
  </si>
  <si>
    <t>Some Other Race</t>
  </si>
  <si>
    <t>Two or More Races</t>
  </si>
  <si>
    <t>Hispanic or Latino (of any race)</t>
  </si>
  <si>
    <t>Geographic Indicators</t>
  </si>
  <si>
    <t>2026 Metropolitan Difficult Development Areas (DDAs), by 2020 ZCTA X County</t>
  </si>
  <si>
    <t>2026 QCT?</t>
  </si>
  <si>
    <t>Census Tract Data (2026 Qualified Census Tracts, 2026 OHFA Geographic Indices, 2023 Five-Year ACS Estimates)</t>
  </si>
  <si>
    <t>County ACS Data, 2023 Five Year ACS Estimates</t>
  </si>
  <si>
    <t>2026 DDA?</t>
  </si>
  <si>
    <t>2026 Qualified Census Tract?</t>
  </si>
  <si>
    <t>2026 Difficult Development Area?</t>
  </si>
  <si>
    <t>2026 9% LIHTC AHFA</t>
  </si>
  <si>
    <t>The Ohio Housing Finance Agency's (OHFA's) Affordable Housing Funding Application (AHFA) is the Agency's template financial pro forma used to validate the underwriting requirements for Low-Income Housing Tax Credit (LIHTC) proposals. These include the following resources and regulations:</t>
  </si>
  <si>
    <t>Low-Income Housing Tax Credit</t>
  </si>
  <si>
    <t>LIHTC</t>
  </si>
  <si>
    <t>26 U.S.C. §42(m)(2)</t>
  </si>
  <si>
    <t>26 C.F.R. §1.42-17(3)</t>
  </si>
  <si>
    <t>HDAP Closing (if applicable):</t>
  </si>
  <si>
    <t>HDAP: Other</t>
  </si>
  <si>
    <r>
      <t>Compliance Monitoring Fee</t>
    </r>
    <r>
      <rPr>
        <sz val="9"/>
        <color theme="1"/>
        <rFont val="Arial"/>
        <family val="2"/>
        <scheme val="minor"/>
      </rPr>
      <t xml:space="preserve"> ($2,550/unit)</t>
    </r>
  </si>
  <si>
    <t>Percent Renters Cost Burdened</t>
  </si>
  <si>
    <t>OHFA will reserve LIHTC resources for at least two of the highest-scoring projects sponsored by a Community Housing Development Organization (CHDO) as referenced on OHFA’s Website and defined in 24 C.F.R. §92.300.</t>
  </si>
  <si>
    <t>Did the CHDO sponsor submit a CHDO Certification by the deadline?</t>
  </si>
  <si>
    <t>Was the CHDO certification submission for this specific project/geography?</t>
  </si>
  <si>
    <t>Is there &gt;1 general partner or managing member in the ownership?</t>
  </si>
  <si>
    <t>Funding Pool Workbook</t>
  </si>
  <si>
    <t>New Affordability: Seniors Pool</t>
  </si>
  <si>
    <t>OHFA will reserve resources for the two highest scoring projects that serve target populations at or below 30% AMI with a disability, as identified and outlined in the Ohio Interagency Council on Homelessness and Affordable Housing Permanent Supportive Housing Policy Framework and meet the prioritization factors set forth in Section II.B.3 of HUD Coordinated Entry Notice CPD-17-01</t>
  </si>
  <si>
    <t>Does the project have a referral partnership with the applicable CoC?</t>
  </si>
  <si>
    <t>Continuum of Care (CoC) Referral Partnership Set Aside</t>
  </si>
  <si>
    <t>Non-Continuum of Care (CoC) Referral Partnership Set Aside</t>
  </si>
  <si>
    <t>OHFA will reserve resources for the highest-scoring project that serves populations with a referral partnership outside of the local Continuum of Care and falls within the funding pool’s list of eligible target populations.</t>
  </si>
  <si>
    <t>Is the project specifically targeting individuals with disabilities?</t>
  </si>
  <si>
    <t>If yes, are no more than 25% of units set aside for the targeted population?</t>
  </si>
  <si>
    <t>Subpool Eligibility</t>
  </si>
  <si>
    <t>Qualified Census Tract (QCT) with Concerted Community Revitalization Plan</t>
  </si>
  <si>
    <t>Is the project located in a 2026 Qualified Census Tract?</t>
  </si>
  <si>
    <t>When was the Revitalization Plan created?</t>
  </si>
  <si>
    <t>• Is the Revitalization Plan older than 10 years from the application deadline?</t>
  </si>
  <si>
    <t>• If yes, was a supplemental letter or administrator evidence provided?</t>
  </si>
  <si>
    <t>Was the Revitalization Plan developed through a public process?</t>
  </si>
  <si>
    <t>Does the Revitalization Plan include the incorporation of affordable housing in the target area?</t>
  </si>
  <si>
    <t>Is the project located in a Revitalization Plan's target area?</t>
  </si>
  <si>
    <t>• Was the Revitalization Plan created by a Community Development Corporation (CDC)?</t>
  </si>
  <si>
    <t>• Was the Revitalization Plan adopted or endorsed by the local government?</t>
  </si>
  <si>
    <t>• Does the Revitalization Plan have proof of the solicitation of public and stakeholder input?</t>
  </si>
  <si>
    <t>OHFA will fund two projects located in a Qualified Census Tract with a Concerted Community Revitalization Plan ("Revitalization Plan"). Projects must be located in a program year qualified census tract (QCT) (as defined in subsection (d)(5)(b)(ii)) and the development of which contributes to a concerted community revitalization plan as referenced in 26 U.S.C. §42(m)(1)(B)(III). The applicant must supply the community revitalization plan and demonstrate how the project contributes to the community revitalization plan, including a description of project’s proposed impact on the community. The applicant must also submit a local support letter from the local municipal corporation and township in which the project is proposed to be constructed, detailing how this the development supports the local community revitalization plan.</t>
  </si>
  <si>
    <t>Was a city/township letter provided detailing how this project supports the Revitalization Plan?</t>
  </si>
  <si>
    <t>Is the Revitalization Plan sanctioned by the City, County, or HUD?</t>
  </si>
  <si>
    <t>Is the Revitalization Plan a draft, short-term work plan, Condolidated Plan, Zoning Plan, or PUD?</t>
  </si>
  <si>
    <r>
      <t xml:space="preserve">Is the application </t>
    </r>
    <r>
      <rPr>
        <b/>
        <u/>
        <sz val="11"/>
        <color theme="1"/>
        <rFont val="Arial"/>
        <family val="2"/>
        <scheme val="minor"/>
      </rPr>
      <t>potentially eligible for</t>
    </r>
    <r>
      <rPr>
        <b/>
        <sz val="11"/>
        <color theme="1"/>
        <rFont val="Arial"/>
        <family val="2"/>
        <scheme val="minor"/>
      </rPr>
      <t xml:space="preserve"> the QCT with Revitalization Plan Set Aside?</t>
    </r>
  </si>
  <si>
    <r>
      <t xml:space="preserve">Is the applicant </t>
    </r>
    <r>
      <rPr>
        <b/>
        <u/>
        <sz val="11"/>
        <color theme="1"/>
        <rFont val="Arial"/>
        <family val="2"/>
        <scheme val="minor"/>
      </rPr>
      <t>seeking</t>
    </r>
    <r>
      <rPr>
        <b/>
        <sz val="11"/>
        <color theme="1"/>
        <rFont val="Arial"/>
        <family val="2"/>
        <scheme val="minor"/>
      </rPr>
      <t xml:space="preserve"> the QCT with Revitalization Plan Set Aside?</t>
    </r>
  </si>
  <si>
    <r>
      <t xml:space="preserve">Is this application </t>
    </r>
    <r>
      <rPr>
        <b/>
        <u/>
        <sz val="11"/>
        <color theme="1"/>
        <rFont val="Arial"/>
        <family val="2"/>
        <scheme val="minor"/>
      </rPr>
      <t>potentially eligible for</t>
    </r>
    <r>
      <rPr>
        <b/>
        <sz val="11"/>
        <color theme="1"/>
        <rFont val="Arial"/>
        <family val="2"/>
        <scheme val="minor"/>
      </rPr>
      <t xml:space="preserve"> the CHDO set aside?</t>
    </r>
  </si>
  <si>
    <r>
      <t xml:space="preserve">Is the applicant </t>
    </r>
    <r>
      <rPr>
        <b/>
        <u/>
        <sz val="11"/>
        <color theme="1"/>
        <rFont val="Arial"/>
        <family val="2"/>
        <scheme val="minor"/>
      </rPr>
      <t>seeking</t>
    </r>
    <r>
      <rPr>
        <b/>
        <sz val="11"/>
        <color theme="1"/>
        <rFont val="Arial"/>
        <family val="2"/>
        <scheme val="minor"/>
      </rPr>
      <t xml:space="preserve"> the CHDO Set Aside?</t>
    </r>
  </si>
  <si>
    <t>Seeking QCT with Plan Set Aside?</t>
  </si>
  <si>
    <t>Meets QCT with Plan Set Aside?</t>
  </si>
  <si>
    <t>(i) Provide a description of project’s proposed impact on the community and a connection to workforce demand below:</t>
  </si>
  <si>
    <r>
      <t xml:space="preserve">Community Impact Strategic Initiative </t>
    </r>
    <r>
      <rPr>
        <sz val="11"/>
        <color theme="1"/>
        <rFont val="Arial"/>
        <family val="2"/>
        <scheme val="minor"/>
      </rPr>
      <t>(New Affordability- General Occupancy or New Affordability - Senior Only)</t>
    </r>
  </si>
  <si>
    <t>• The County in which the project is proposed to be constructed.</t>
  </si>
  <si>
    <t>• Projects that were not funded competitively or through one of the other Agency set asides</t>
  </si>
  <si>
    <t>All support letters, resolutions and/or any other supporting documentation must be provided under 8. Competitive Support Documentation.</t>
  </si>
  <si>
    <t>Decisions will be made at OHFA Board’s discretion based on staff recommendation with preference given to the following:</t>
  </si>
  <si>
    <t>(1) The applicant must complete the narrative below.</t>
  </si>
  <si>
    <t>OHFA will reserve LIHTC resources for at least one new construction housing development (New Affordability – General Occupancy or New Affordability – Senior) that meets the Agency’s threshold, underwriting, and architectural standards; was not funded in the Regional Award Sequence; and applied for and meets the Community Impact Strategic Initiatives set aside. Requirements include the following:</t>
  </si>
  <si>
    <t>Number of LIHTC Awards in Past 3 Program Years</t>
  </si>
  <si>
    <t>Highest number of LIHTC Units</t>
  </si>
  <si>
    <t>Highest Neighborhood Change Index Raw Score</t>
  </si>
  <si>
    <t>Highest Housing Needs Index Raw Score</t>
  </si>
  <si>
    <t>Highest Neighborhood Opportunity Senior Raw Score</t>
  </si>
  <si>
    <t>Higher Percent of ELI (&lt;30% AMI) Units</t>
  </si>
  <si>
    <t>OHFA Discretion</t>
  </si>
  <si>
    <t>OHFA NOI Score:</t>
  </si>
  <si>
    <t>Neighborhood Opportunity Senior Index</t>
  </si>
  <si>
    <t>The Neighborhood Opportunity – Senior Index distills three critical categories of neighborhood opportunity with 15 total indicators into one Neighborhood Opportunity – Senior Index Score number that aims to identify access to economic and social opportunity by individual Census Tracts. These categories include opportunity-rich and inclusive neighborhoods, rewarding work, and healthy environment and access to good healthcare. The project’s raw Neighborhood Opportunity Index Score is delineated in OHFA’s 2026-2027 Neighborhood Opportunity Index.</t>
  </si>
  <si>
    <t>Required Supporting Documentation: The AHFA will automatically calculate the Neighborhood Opportunity Index score based on the project’s location (majority of LIHTC units) within a 2020 Census Tract and the population served. Scoring is calculated by multiplying the Census Tract's raw Neighborhood Opportunity Index score by 0.40</t>
  </si>
  <si>
    <r>
      <rPr>
        <b/>
        <sz val="11"/>
        <color theme="1"/>
        <rFont val="Arial"/>
        <family val="2"/>
        <scheme val="minor"/>
      </rPr>
      <t xml:space="preserve">(1) </t>
    </r>
    <r>
      <rPr>
        <b/>
        <u/>
        <sz val="11"/>
        <color theme="1"/>
        <rFont val="Arial"/>
        <family val="2"/>
        <scheme val="minor"/>
      </rPr>
      <t>Neighborhood Opportunity Senior Index</t>
    </r>
  </si>
  <si>
    <t>Maximum Points:</t>
  </si>
  <si>
    <t>Project Site's 2020 Census Tract GEOID:</t>
  </si>
  <si>
    <t>Project Site's 2020 Census Tract Name:</t>
  </si>
  <si>
    <t>Neighborhood Opportunity Index Score:</t>
  </si>
  <si>
    <t>The Housing Needs Index distills three critical categories of Housing Need with four indicators total into one Housing Need Index Score, which aims to identify Census Tracts with the greatest housing need across Ohio. These categories include housing supply, affordable housing stock, and affordability. The Census Tract’s raw Housing Needs Index Score is delineated in OHFA’s 2026-2027 Housing Needs Index</t>
  </si>
  <si>
    <t>Required Supporting Documentation: N/A - The AHFA will automatically calculate the Housing Needs Index score based on the project’s location (majority of LIHTC units) within a 2020 Census Tract. Scoring is calculated by multiplying the Census Tract's raw Housing Needs Index score by 0.35.</t>
  </si>
  <si>
    <t>OHFA Housing Needs Index:</t>
  </si>
  <si>
    <t xml:space="preserve">To incentivize cost efficiency and maximize the impact of limited 9% LIHTC resources, OHFA will award up to 25 points based on the annual LIHTC amount requested per LIHTC unit. Projects that request $27,935 or less in annual LIHTC per LIHTC unit will receive the full 25 points. For requests above $27,935, points are reduced proportionally, with no points awarded for requests of $48,252 or more. </t>
  </si>
  <si>
    <t>Required Supporting Documentation: N/A - The AHFA will automatically calculate this criterion by dividing the project’s total annual 9% LIHTC request by the total number of LIHTC units in the project and then applying the following formula: =MAX(0, MIN(25, ((48252 - [Annual LIHTC Request per LIHTC Unit]) / 20317) * 25))</t>
  </si>
  <si>
    <t>LIHTC Request per LIHTC Unit Score:</t>
  </si>
  <si>
    <t>Tiebreaker Order Number</t>
  </si>
  <si>
    <t>Tiebreaker Description</t>
  </si>
  <si>
    <t>Tiebreaker Value</t>
  </si>
  <si>
    <t>Higher Percent of ELI (≤30% AMI) Units</t>
  </si>
  <si>
    <t>Number of LIHTC Awards in Census Tract in Past 3 Years</t>
  </si>
  <si>
    <t>OHFA LIHTC Awards in Tract:</t>
  </si>
  <si>
    <t>OHFA Neighborhood Change Index:</t>
  </si>
  <si>
    <t>OHFA Percent ELI Units:</t>
  </si>
  <si>
    <r>
      <t xml:space="preserve">(2) </t>
    </r>
    <r>
      <rPr>
        <b/>
        <u/>
        <sz val="11"/>
        <color theme="1"/>
        <rFont val="Arial"/>
        <family val="2"/>
        <scheme val="minor"/>
      </rPr>
      <t>Housing Needs Index</t>
    </r>
  </si>
  <si>
    <t>Metro or Rural?</t>
  </si>
  <si>
    <t>OHFA Region</t>
  </si>
  <si>
    <t>Southwest</t>
  </si>
  <si>
    <t>Northwest</t>
  </si>
  <si>
    <t>Northeast</t>
  </si>
  <si>
    <t>Southeast</t>
  </si>
  <si>
    <t>Central</t>
  </si>
  <si>
    <t>Supportive Services Provider:</t>
  </si>
  <si>
    <t>• All municipal corporations in which the project is proposed to be constructed;</t>
  </si>
  <si>
    <t>• Projects located in a county that have not received a LIHTC award (9% or 4%) in the last five program years;</t>
  </si>
  <si>
    <t>• Projects meeting a quantifiable need and targeted policy; and</t>
  </si>
  <si>
    <t>(2) A letter of support and/or resolution from one of the following:</t>
  </si>
  <si>
    <t>• Any municipal corporation located within one-half mile of the project's boundaries; or</t>
  </si>
  <si>
    <t>Building, Unit, and Lifestyle Amenities</t>
  </si>
  <si>
    <t>OHFA Amenity Determination</t>
  </si>
  <si>
    <t>All projects must include at least two building amenities, two unit amenities, and two lifestyle amenities from OHFA’s provided list (see below). Documentation for these claimed amenities will be due with the project’s Final Application in the Competitive Support Documents folder (#8) with specific threshold items highlighted and other documentation highlighted that is noted below.</t>
  </si>
  <si>
    <r>
      <rPr>
        <u/>
        <sz val="11"/>
        <color theme="1"/>
        <rFont val="Arial"/>
        <family val="2"/>
        <scheme val="minor"/>
      </rPr>
      <t>Exception Request</t>
    </r>
    <r>
      <rPr>
        <sz val="11"/>
        <color theme="1"/>
        <rFont val="Arial"/>
        <family val="2"/>
        <scheme val="minor"/>
      </rPr>
      <t>: Applicants may request an Amenity Waiver to meet a threshold amenity requirement if the required amenity is located within ½ mile of the project site. Further, no more than 50% of the amenities may be waived. This exception request is due with the project’s Proposal Application.</t>
    </r>
  </si>
  <si>
    <t>Eligible Project Types</t>
  </si>
  <si>
    <t>Property-wide Wi-Fi at no cost to residents</t>
  </si>
  <si>
    <t>Business center/computer room with Wi-Fi at no cost to residents and a 1:15 resident-to-computer ratio</t>
  </si>
  <si>
    <t>A minimum 500 SF community kitchen or multipurpose room with Wi-Fi at no cost to residents</t>
  </si>
  <si>
    <t>A minimum 400 SF outdoor patio area for residents that is at least 50% covered (scaled)</t>
  </si>
  <si>
    <t>Designated outdoor smoking area with seating</t>
  </si>
  <si>
    <t>Outdoor bike racks and interior secured bike storage lockers</t>
  </si>
  <si>
    <t>A minimum 1,500 SF securely fenced dog park with double-gated entry, waste station, and resident seating</t>
  </si>
  <si>
    <t>A minimum 400 SF exercise or fitness room</t>
  </si>
  <si>
    <t>24/7 secured entrance and security cameras around the property</t>
  </si>
  <si>
    <t>On-site supportive services offices</t>
  </si>
  <si>
    <t>A minimum 200 SF community resource pantry (food, clothes, etc.)</t>
  </si>
  <si>
    <t>All</t>
  </si>
  <si>
    <t>Tenant Populations with Special Housing Needs Pool</t>
  </si>
  <si>
    <t>Claiming Amenity?</t>
  </si>
  <si>
    <t>The AHFA operating budget must include the annual cost of providing Wi-Fi throughout the project, the AHFA Development Budget must include the initial cost of equipment and installation, and the applicant must provide a quote from an internet provider matching cost outlined in the AHFA.</t>
  </si>
  <si>
    <t>The developer must provide a screenshot of the
architectural plans in the Competitive Support
Documentation and highlight the subject amenity.</t>
  </si>
  <si>
    <t>The developer must provide a screenshot of the architectural plans in the Competitive Support Documentation and highlight the subject amenity.</t>
  </si>
  <si>
    <t>General Occupancy projects</t>
  </si>
  <si>
    <t>The developer must provide a screenshot of the architectural plans in the Competitive Support Documentation and highlight the subject amenity</t>
  </si>
  <si>
    <t xml:space="preserve">The developer must provide a screenshot of the architectural plans in the Competitive Support Documentation and highlight the subject amenity. A narrative must also be provided with a description of the space, dimensions, and equipment to be included. </t>
  </si>
  <si>
    <t>Projects proposing supportive services</t>
  </si>
  <si>
    <t>Any construction features that qualifies the project for the Investment Tax Credit, and generates equity included as a project source, provided such features result in lower resident utility costs or lower owner-paid operating expenses.</t>
  </si>
  <si>
    <t>The developer must provide a screenshot of the architectural plans in the Competitive Support Documentation and highlight the subject amenity. A narrative must also be provided that details how the construction feature reduces utility costs for either the residents or owner.</t>
  </si>
  <si>
    <t>Private patio or balcony for at least 20% of the units</t>
  </si>
  <si>
    <t>Washer/dryer hookups in all units (except efficiency units) with on-site laundry facilities</t>
  </si>
  <si>
    <t>Roll-in showers in at least 30% of the total units</t>
  </si>
  <si>
    <t>At least 15 additional SF of enclosed storage space per unit, separate from bedroom and kitchen cabinetry</t>
  </si>
  <si>
    <t>Fixed pantry storage closet/cabinet with shelving</t>
  </si>
  <si>
    <t>At least 15% of total units are constructed and fully compliant with Section 504</t>
  </si>
  <si>
    <t>Owner-paid utilities</t>
  </si>
  <si>
    <t>Fully-furnished units provided by owner</t>
  </si>
  <si>
    <t>Ceiling fans in all bedrooms and living rooms</t>
  </si>
  <si>
    <t>Towel bars installed in 100% of resident bathrooms structurally equivalent to grab bars (in-wall blocking to be load bearing)</t>
  </si>
  <si>
    <t>Projects serving seniors</t>
  </si>
  <si>
    <t>Projects serving Tenant Populations with Special Housing Needs</t>
  </si>
  <si>
    <t>The developer must provide a screenshot of the architectural plans in the Competitive Support Documentation and highlight the subject amenity. The AHFA must indicate additional 504 units.</t>
  </si>
  <si>
    <t>The AHFA must demonstrate owner-paid utilities</t>
  </si>
  <si>
    <t>The developer must provide a narrative detailing the furnishing provided in all units by the owner and state that this feature will be maintained throughout the 15-year Compliance Period.</t>
  </si>
  <si>
    <t>Amenity Description</t>
  </si>
  <si>
    <r>
      <t xml:space="preserve">Lifestyle Amenities </t>
    </r>
    <r>
      <rPr>
        <sz val="11"/>
        <color theme="1"/>
        <rFont val="Arial"/>
        <family val="2"/>
        <scheme val="minor"/>
      </rPr>
      <t>(must include at least two)</t>
    </r>
  </si>
  <si>
    <r>
      <t>Unit Amenities</t>
    </r>
    <r>
      <rPr>
        <sz val="11"/>
        <color theme="1"/>
        <rFont val="Arial"/>
        <family val="2"/>
        <scheme val="minor"/>
      </rPr>
      <t xml:space="preserve"> (must include at least two)</t>
    </r>
  </si>
  <si>
    <r>
      <t>Building Amenities</t>
    </r>
    <r>
      <rPr>
        <sz val="11"/>
        <color theme="1"/>
        <rFont val="Arial"/>
        <family val="2"/>
        <scheme val="minor"/>
      </rPr>
      <t xml:space="preserve"> (must include at least two)</t>
    </r>
  </si>
  <si>
    <t>Pet Lease Addendum that includes no additional refundable fees for pets, no beed restrictions, or weight limitations</t>
  </si>
  <si>
    <t>On-demand transportation available to residents, coordinated by the property, and provided at no charge or reduced charge for residents.</t>
  </si>
  <si>
    <t>Public transit stop within 0.5 miles offering service at regular frequencies (at least 5 outbound and 5 inbound trips per weekday)</t>
  </si>
  <si>
    <t>On-site childcare or early childhood education partnerships</t>
  </si>
  <si>
    <t>Dedicated outdoor walking path (standard sidewalks, driveways, or internal parking lot walkways do not qualify)</t>
  </si>
  <si>
    <t>On-site resident services/service coordination</t>
  </si>
  <si>
    <t>On-site wellness programming such as exercise and cooking classes</t>
  </si>
  <si>
    <t>Security deposit of no more than 50% of rent</t>
  </si>
  <si>
    <t>All on-site staff trained on trauma-informed care, harm reduction, and de-escalation</t>
  </si>
  <si>
    <t>Grocery store within 2 miles in Metropolitan Counties and 3 miles for Rural Counties</t>
  </si>
  <si>
    <t>Projects serving tenant populations with special housing needs</t>
  </si>
  <si>
    <t>General occupany projects</t>
  </si>
  <si>
    <t>General occupancy projects (except those serving tenant populations with special housing needs)</t>
  </si>
  <si>
    <t>The owner must provide an executed commitment to report on-time rent payments made by residents that opt-in to the three national credit bureaus using a service acceptable to OHFA. The AHFA operating budget must include the annual cost of providing the service. The service must be free to participating residents for the 15-year Compliance Period.</t>
  </si>
  <si>
    <t>Owner must provide sample lease addendum.</t>
  </si>
  <si>
    <t>The developer must submit a written certification that they will provide transportation services that meet the stated requirements and specify how the transportation services will be paid for.</t>
  </si>
  <si>
    <t>Developer must provide a map and documentation that the property is located within 0.5 miles of a public transit stop and that it offers regular services.</t>
  </si>
  <si>
    <t>The developer must submit a written certification that they will provide on-site childcare or will partner with an early childhood education partner</t>
  </si>
  <si>
    <t>The developer must provide a screenshot of the architectural plans in the Competitive Support Documentation and highlight the subject amenity or connection to a larger outdoor walking path.</t>
  </si>
  <si>
    <t>The developer must submit a written certification that they will provide on-site resident services/service coordination. If the project is in the New Affordability Seniors or Tenant Population with Special Housing Needs funding pools, then they must comply with those requirements.</t>
  </si>
  <si>
    <t>The developer must submit a written certification that they will provide on-site wellness programming such as exercise and cooking classes.</t>
  </si>
  <si>
    <t>The developer must submit a written certification that they will charge no more than 50% of rent for security deposit.</t>
  </si>
  <si>
    <t>The developer must submit a written certification that the property will be located near an establishment intended for the primary purpose of providing older adults a space to congregate.</t>
  </si>
  <si>
    <t>The developer must submit a written certification that all on-site staff are trained on trauma informed care, harm reduction, and de-escalation.</t>
  </si>
  <si>
    <t>The developer must submit a written certification that the property will be located near a grocery store.</t>
  </si>
  <si>
    <t>Total Building Amenities Being Claimed:</t>
  </si>
  <si>
    <t>Number of Claimed Amenities:</t>
  </si>
  <si>
    <t>OHFA Determined Amenities:</t>
  </si>
  <si>
    <t>Unit Amenities Threshold</t>
  </si>
  <si>
    <t>Building Amenities Threshold</t>
  </si>
  <si>
    <r>
      <rPr>
        <b/>
        <sz val="11"/>
        <color theme="1"/>
        <rFont val="Arial"/>
        <family val="2"/>
        <scheme val="minor"/>
      </rPr>
      <t xml:space="preserve">(1) </t>
    </r>
    <r>
      <rPr>
        <b/>
        <u/>
        <sz val="11"/>
        <color theme="1"/>
        <rFont val="Arial"/>
        <family val="2"/>
        <scheme val="minor"/>
      </rPr>
      <t>Neighborhood Opportunity General Occupancy Index</t>
    </r>
  </si>
  <si>
    <t>The Neighborhood Opportunity – General Occupancy Index distills four critical categories of neighborhood opportunity with 20 total indicators into one Neighborhood Opportunity – General Occupancy Index Score number that aims to identify access to economic and social opportunity by individual Census Tracts. These categories include opportunity-rich and inclusive neighborhoods, high-quality education, rewarding work, and healthy environment and access to good healthcare. The project’s raw Neighborhood Opportunity Index Score is delineated in OHFA’s 2026-2027 Neighborhood Opportunity Index.</t>
  </si>
  <si>
    <t>Neighborhood Opportunity Index Raw Score:</t>
  </si>
  <si>
    <t>Highest number of bedrooms</t>
  </si>
  <si>
    <t>Historic nature via use of Federal Historic Tax Credits</t>
  </si>
  <si>
    <t>Developments intended for eventual tenant ownership</t>
  </si>
  <si>
    <t>Highest Neighborhood Opportunity GO Raw Score</t>
  </si>
  <si>
    <t>New Affordability - Senior Threshold Requirements</t>
  </si>
  <si>
    <t>OHFA Pool Threshold Determination</t>
  </si>
  <si>
    <t>Extremely Low-Income Units</t>
  </si>
  <si>
    <t>• In a Census Tract with a Housing Needs Index score of greater than 45: 10%</t>
  </si>
  <si>
    <t>• In a Census Tract with a Housing Needs Index score less than or equal to 45: 15%</t>
  </si>
  <si>
    <t>Minimum Percent of ELI Units:</t>
  </si>
  <si>
    <t>Current Percent of ELI Units:</t>
  </si>
  <si>
    <t>Census Tract Name:</t>
  </si>
  <si>
    <t>Census Tract GEOID:</t>
  </si>
  <si>
    <t>Housing Needs Index Raw Score:</t>
  </si>
  <si>
    <t>Housing Needs Index Score:</t>
  </si>
  <si>
    <t xml:space="preserve">In addition, the general partner, managing member, or a contracted third-party entity of the local or regional service entity that will be providing the services must obtain at least one of the following prior to the first building placing in service and maintain such designation for the duration of the compliance period: </t>
  </si>
  <si>
    <t>(b) Organization participates in the Professional Service Coordinator Program through The Ohio State University and the American Association of Service Coordinators; or</t>
  </si>
  <si>
    <t>(d) Designation as an Area Agency on Aging by the Ohio Department of Aging as established by the Older Americans Act of 1965.</t>
  </si>
  <si>
    <t>(c) Entities whose service coordinators are community health workers certified through the Ohio Board of Nursing; or</t>
  </si>
  <si>
    <t>(b) Professional Service Coordinator Program</t>
  </si>
  <si>
    <t>(a) CORES</t>
  </si>
  <si>
    <t>Meets ELI Threshold?</t>
  </si>
  <si>
    <t>Meets Service Coord. Threshold?</t>
  </si>
  <si>
    <t>In accordance with the statutory preference outlined in 26 U.S.C. §42(m)(1)(B)(I) for “…serving the lowest income tenants”, applicants seeking 9% LIHTC in the New Affordability – Seniors funding pool must include units that target households at or below 30% AMI. The percent of units at or below 30% AMI will be determined as follows:</t>
  </si>
  <si>
    <t>New Affordability - General Occupancy Threshold Requirements</t>
  </si>
  <si>
    <t>Three or More Bedroom Units</t>
  </si>
  <si>
    <t>All projects competing in the New Affordability – General Occupancy pool must designate at least 15% of total units as three- or more bedroom units.</t>
  </si>
  <si>
    <t>Meets 3+ Bedroom Threshold?</t>
  </si>
  <si>
    <t>Total Units:</t>
  </si>
  <si>
    <t>Current Number of 3+ Bedroom Units:</t>
  </si>
  <si>
    <t>811 Project Rental Assistance (PRA) Units</t>
  </si>
  <si>
    <t>All projects competing in the New Affordability – General Occupancy pool must commit 15% of the total LIHTC units or 11 units total, whichever is lower, to being encumbered by 811 PRA and accept referrals from the Interagency 811 PRA team. All 811 PRA units must be one-bedroom units. The AHFA’s rent breakdown must include 15% of the total LIHTC units (rounded up to the nearest whole unit) or 11 total units, whichever is lower, being underwritten at or below 50% AMI or Fair Market Rent (FMR), whichever is lower.</t>
  </si>
  <si>
    <t>Meets 811 PRA Threshold?</t>
  </si>
  <si>
    <t>Lower of:</t>
  </si>
  <si>
    <t>Minimum Number of 811 PRA Units:</t>
  </si>
  <si>
    <t>811 PRA Units Assumed in AHFA:</t>
  </si>
  <si>
    <t>All 811 PRA Units are 1-BR?</t>
  </si>
  <si>
    <t>• 15% of the Total LIHTC Units:</t>
  </si>
  <si>
    <t>• 11 Units:</t>
  </si>
  <si>
    <t>811 PRA rents sized at the lower of:</t>
  </si>
  <si>
    <t>Maximum Gross 811 PRA Rent:</t>
  </si>
  <si>
    <t>50% AMI Gross 1-BR MTSP Rent:</t>
  </si>
  <si>
    <t>Gross 1-BR FMR:</t>
  </si>
  <si>
    <t>Current Underwritten 811 PRA Rent:</t>
  </si>
  <si>
    <t xml:space="preserve">Projects competing in the New Affordability – Seniors funding pool must demonstrate at Proposal and Final Application a commitment by an experienced local or regional service entity to coordinate appropriate services on-site or allows for the resident to connect to services while on-site (e.g., remote services) at least 15 minutes per unit per week for the duration of the compliance period. The service coordinator must have a history of serving the targeted area. In addition, the general partner, managing member, or a contracted third-party entity of the local or regional service entity that will be providing the services must obtain at least one of the following prior to the first
building placing in service and maintain such designation for the duration of the compliance period: </t>
  </si>
  <si>
    <t>(a) Certified Organization for Resident Engagement &amp; Services (CORES); or</t>
  </si>
  <si>
    <t>Applicants must evidence this requirement in the Supportive Services Plan due at Proposal Application, Final Application, and IRS Form 8609 (requirements outlined in the document submission section), identifying partnerships with qualified service coordination agencies, detailing the specific services to be provided, including at least 15 minutes of on-site services or allows for the resident to be connected to services while on-site per unit per week for the 15-year Compliance Period, the commitment to achieve one of (a) through (d) above, and the service coordinator’s demonstrated history of serving the target area.</t>
  </si>
  <si>
    <t>Has a commitment by an experienced local or regional service entity been provided?</t>
  </si>
  <si>
    <t>Will service coordination be provided on-site?</t>
  </si>
  <si>
    <t>Will residents have the opportunity to connect to services on-site (i.e. remote services)?</t>
  </si>
  <si>
    <t>Will services be provided at least 15 minutes/unit/week for the 15-Year Compliance Period?</t>
  </si>
  <si>
    <t>Will the service entity providing the services obtain one of the certifications (a) - (d)?</t>
  </si>
  <si>
    <t>(c) Community Health Workers</t>
  </si>
  <si>
    <t>Which certification will the entity obtain/maintain?</t>
  </si>
  <si>
    <t>Was a Supportive Services Plan provided?</t>
  </si>
  <si>
    <t>Were partnerships with qualified service coordination agencies identified?</t>
  </si>
  <si>
    <t>Were the specific services to be provided detailed?</t>
  </si>
  <si>
    <t>Will on-site services be offered at least 15 minutes/unit/week during the Compliance Period?</t>
  </si>
  <si>
    <t>Was a commitment for the service provider to obtain one of the certifications (a) - (d) made?</t>
  </si>
  <si>
    <t>Was the service coordinator's history of serving the target area demonstrated?</t>
  </si>
  <si>
    <t>Preserved Affordability Threshold Requirements</t>
  </si>
  <si>
    <t>Large Projects in Qualified Census Tracts Prohibition</t>
  </si>
  <si>
    <t>Projects located in a program year Qualified Census Tract and include more than 70 total units are ineligible to compete in the 9% LIHTC round unless the development team can demonstrate project infeasibility with the 4% LIHTC program.</t>
  </si>
  <si>
    <t>To seek an exception, the development team must provide a clear and data-supported narrative and documentation that substantiates why the proposed project cannot proceed using 4% LIHTC with tax-exempt bonds. The explanation should convincingly outline financial, market, and structural limitations such as identifying a funding gap that cannot be reasonably bridged with 4% LIHTC only. These exceptions must be received to OHFA via QAP@ohiohome.org no more than 60 days prior to the Proposal Application deadline as noted in the program calendar. Projects that do not receive approval from OHFA at least 30 days prior to the Proposal Application deadline will not be permitted to submit a Proposal Application.</t>
  </si>
  <si>
    <t>Eligible to Participate?</t>
  </si>
  <si>
    <t>Was an Exception Request approved by OHFA?</t>
  </si>
  <si>
    <t>Minimum Rehabilitation Hard Construction Costs per Unit</t>
  </si>
  <si>
    <t>By incentivizing higher hard construction costs beyond the minimum $40,000 per unit, development teams are encouraged to reinforce the scope of work with enough improvements that will allow for long-term sustainability while leveraging construction mobilization. All projects competing in the Preserved Affordability pool must meet the following requirements:</t>
  </si>
  <si>
    <t>(1) Have a minimum rehabilitation hard construction costs per unit of $80,000</t>
  </si>
  <si>
    <t xml:space="preserve">(2) Meet Moderate Rehab B or Substantial Rehab as outlined in the most recently published Design and Architectural Standards. </t>
  </si>
  <si>
    <t>Rehabilitation Hard Costs</t>
  </si>
  <si>
    <t>Total Number of Units</t>
  </si>
  <si>
    <t>Which rehabilitation standard does this project meet?</t>
  </si>
  <si>
    <t>Rental Assistance</t>
  </si>
  <si>
    <t>LIHTC Resyndication</t>
  </si>
  <si>
    <t xml:space="preserve">Projects meeting the definition of Preserved Affordability that will have project-based rental assistance or project-based operating subsidies on at least 50% of units, such as U.S. Department of Agriculture’s Rural Development office subsidy preservation projects or public housing authority Rental Assistance Demonstration (RAD) projects. Projects do not need to have a prior LIHTC award to be eligible for this subpool. </t>
  </si>
  <si>
    <t>Projects meeting the definition of Preserved Affordability and are seeking a new allocation of credits to preserve an existing LIHTC property but have less than 50% of units encumbered by a project-based rental assistance or project-based operating subsidy. The subject property must meet the federal LIHTC requirements of a LIHTC resyndication (e.g., the project has exited its 15-year compliance period).</t>
  </si>
  <si>
    <t>Is the applicant potentially eligible for the Renal Assistance subpool?</t>
  </si>
  <si>
    <t>Was the project previously financed with LIHTC?</t>
  </si>
  <si>
    <t>OHFA Meets Rehab Hard Cost/Unit?</t>
  </si>
  <si>
    <t>OHFA Eligible Project?</t>
  </si>
  <si>
    <t>Seeking Rental Assistance Pool?</t>
  </si>
  <si>
    <t>Meets Rental Assistance Pool?</t>
  </si>
  <si>
    <t>Is the applicant potentially eligible for the LIHTC Resyndication subpool?</t>
  </si>
  <si>
    <t>Is the applicant seeking to participate in the LIHTC Resyndication pool?</t>
  </si>
  <si>
    <t xml:space="preserve">The Neighborhood Opportunity – Senior Index distills three critical categories of neighborhood opportunity with 15 total indicators into one Neighborhood Opportunity – Senior Index Score number that aims to identify access to economic and social opportunity by individual Census Tracts. These categories include opportunity-rich and inclusive neighborhoods, rewarding work, and healthy environment and access to good healthcare. </t>
  </si>
  <si>
    <t xml:space="preserve">Projects that serve seniors, must use the Neighborhood Opportunity – Senior Index. All other projects must use the Neighborhood Opportunity – General Occupancy Index. </t>
  </si>
  <si>
    <r>
      <rPr>
        <b/>
        <sz val="11"/>
        <color theme="1"/>
        <rFont val="Arial"/>
        <family val="2"/>
        <scheme val="minor"/>
      </rPr>
      <t xml:space="preserve">(1) </t>
    </r>
    <r>
      <rPr>
        <b/>
        <u/>
        <sz val="11"/>
        <color theme="1"/>
        <rFont val="Arial"/>
        <family val="2"/>
        <scheme val="minor"/>
      </rPr>
      <t>Neighborhood Opportunity Index</t>
    </r>
    <r>
      <rPr>
        <sz val="11"/>
        <color theme="1"/>
        <rFont val="Arial"/>
        <family val="2"/>
        <scheme val="minor"/>
      </rPr>
      <t xml:space="preserve"> (General Occupancy or Senior)</t>
    </r>
  </si>
  <si>
    <t>Population Served:</t>
  </si>
  <si>
    <t>Neighborhood Opportunity Index - General Occupancy</t>
  </si>
  <si>
    <t>Neighborhood Opportunity Index - Senior:</t>
  </si>
  <si>
    <t>Highest number of units with Rental Assistance</t>
  </si>
  <si>
    <t>Oldest LIHTC Award</t>
  </si>
  <si>
    <t>OHFA Rental Assistance Units:</t>
  </si>
  <si>
    <t>OHFA Oldest LIHTC Award:</t>
  </si>
  <si>
    <t>What is the last building Placed-in-Service (PIS) date from this project's IRS Form 8609?</t>
  </si>
  <si>
    <t>Was the 10(a) election made to begin the credit period one year after the last building PIS date?</t>
  </si>
  <si>
    <t>• Project's estimated beginning year of the Compliance Period:</t>
  </si>
  <si>
    <t>• Project's estimated current Compliance Year:</t>
  </si>
  <si>
    <t>Highest number of units with rental assistance (ex. 811 PRA)</t>
  </si>
  <si>
    <t>Tenant Populations with Special Housing Needs Threshold Requirements</t>
  </si>
  <si>
    <t>Serving Eligible Populations</t>
  </si>
  <si>
    <t>(a) significant challenges or functional impairments, including physical, mental, developmental, or behavioral health challenges, which require a significant level of support in order to maintain permanent housing;</t>
  </si>
  <si>
    <t>(b) high utilization of crisis or emergency services to meet basic needs, including but not limited to emergency rooms, jails, and psychiatric facilities;</t>
  </si>
  <si>
    <t>(c) vulnerability to illness or death;</t>
  </si>
  <si>
    <t>(d) high risk of homelessness; and/or</t>
  </si>
  <si>
    <t>(e) vulnerability to victimization, including physical assault, trafficking, or sex work;</t>
  </si>
  <si>
    <r>
      <t xml:space="preserve">(i) </t>
    </r>
    <r>
      <rPr>
        <u/>
        <sz val="11"/>
        <color theme="1"/>
        <rFont val="Arial"/>
        <family val="2"/>
        <scheme val="minor"/>
      </rPr>
      <t>Populations at or below 30% AMI with a disability</t>
    </r>
    <r>
      <rPr>
        <sz val="11"/>
        <color theme="1"/>
        <rFont val="Arial"/>
        <family val="2"/>
        <scheme val="minor"/>
      </rPr>
      <t>, as defined in the Interagency Council on Homelessness and Affordable Housing Permanent Supportive Housing (PSH) Policy Framework and, as evidenced by one of the following factors set forth in Section II.B.3 of HUD Coordinated Entry Notice CPD-17-01:</t>
    </r>
  </si>
  <si>
    <r>
      <t>(ii)</t>
    </r>
    <r>
      <rPr>
        <u/>
        <sz val="11"/>
        <color theme="1"/>
        <rFont val="Arial"/>
        <family val="2"/>
        <scheme val="minor"/>
      </rPr>
      <t xml:space="preserve"> Transition-Aged Youth</t>
    </r>
    <r>
      <rPr>
        <sz val="11"/>
        <color theme="1"/>
        <rFont val="Arial"/>
        <family val="2"/>
        <scheme val="minor"/>
      </rPr>
      <t xml:space="preserve"> (TAY), those 18-24 years of age who are exiting or formerly involved in the foster care, juvenile justice, or behavioral health systems without a qualifying disability under item (i);</t>
    </r>
  </si>
  <si>
    <r>
      <t xml:space="preserve">(iii) </t>
    </r>
    <r>
      <rPr>
        <u/>
        <sz val="11"/>
        <color theme="1"/>
        <rFont val="Arial"/>
        <family val="2"/>
        <scheme val="minor"/>
      </rPr>
      <t>Expectant mothers or parents experiencing housing instability</t>
    </r>
    <r>
      <rPr>
        <sz val="11"/>
        <color theme="1"/>
        <rFont val="Arial"/>
        <family val="2"/>
        <scheme val="minor"/>
      </rPr>
      <t>, particularly those engaged with public health or maternal health programs aimed at reducing infant mortality;</t>
    </r>
  </si>
  <si>
    <r>
      <t xml:space="preserve">(iv) </t>
    </r>
    <r>
      <rPr>
        <u/>
        <sz val="11"/>
        <color theme="1"/>
        <rFont val="Arial"/>
        <family val="2"/>
        <scheme val="minor"/>
      </rPr>
      <t>Parenting students</t>
    </r>
    <r>
      <rPr>
        <sz val="11"/>
        <color theme="1"/>
        <rFont val="Arial"/>
        <family val="2"/>
        <scheme val="minor"/>
      </rPr>
      <t xml:space="preserve"> that are 18 years of age, the custodial parent of at least one child, and are enrolled in a degree-seeking program at an accredited college or university (e.g., Scholar House model);</t>
    </r>
  </si>
  <si>
    <r>
      <t xml:space="preserve">(v) </t>
    </r>
    <r>
      <rPr>
        <u/>
        <sz val="11"/>
        <color theme="1"/>
        <rFont val="Arial"/>
        <family val="2"/>
        <scheme val="minor"/>
      </rPr>
      <t>Refugees</t>
    </r>
    <r>
      <rPr>
        <sz val="11"/>
        <color theme="1"/>
        <rFont val="Arial"/>
        <family val="2"/>
        <scheme val="minor"/>
      </rPr>
      <t xml:space="preserve"> identified by a Refugee Resettlement Agency, as referenced on the Ohio Department of Job and Family Services website, that are experiencing housing barriers.</t>
    </r>
  </si>
  <si>
    <t>At least 25% of the total units serve target populations with special housing needs at or below 30% AMI. Eligible target populations include the following:</t>
  </si>
  <si>
    <t>Which target population is this application intended to serve?</t>
  </si>
  <si>
    <t>Rental Subsidy</t>
  </si>
  <si>
    <t>100% of the total units serving the target population must have a firm commitment for project-based rental subsidy or rental assistance, excluding HUD 811 PRA.</t>
  </si>
  <si>
    <t>Total units in the project:</t>
  </si>
  <si>
    <t>How many units will serve the target population?</t>
  </si>
  <si>
    <t>How many units must have project-based rental subsidy?</t>
  </si>
  <si>
    <t>How many subsidized units are currently underwritten?</t>
  </si>
  <si>
    <t>Experienced Non-Profit Owner</t>
  </si>
  <si>
    <t>The majority general partner or managing member must be a non-profit organization with experience developing, owning, or managing housing for the proposed target population(s).</t>
  </si>
  <si>
    <t>Supportive Services</t>
  </si>
  <si>
    <t>Supportive services must be available and appropriate to the needs of the target population.</t>
  </si>
  <si>
    <t>Expert Recommendation</t>
  </si>
  <si>
    <t xml:space="preserve">Projects competing in this pool must have a designation of a primary or secondary priority/recommendation at the time of Proposal Application from the applicable CoC for those targeting populations outlined in the PSH Policy Framework or, for PSH Framework populations that utilize a parallel public coordination system such as individuals with developmental disabilities, from the applicable County Board of Developmental Disabilities, or from a public entity (e.g., Mental Health and Recovery Board, County Board of Developmental Disabilities, local child welfare system of care, maternal health agency, refugee resettlement agency, postsecondary institution, local ADAMH board, etc.) which has no affiliation with any member of the Development Team for those targeting populations outside of the PSH Framework. </t>
  </si>
  <si>
    <t>Applicants must submit the applicable letter of designation or recommendation in the 8. Competitive Support Documentation of the Proposal Application that includes the following:</t>
  </si>
  <si>
    <t>• Summarizing what, if any, relationship the development will have with the local partner, below;</t>
  </si>
  <si>
    <t>• Confirming there is sufficient market demand for the project and its target population in its defined market area;</t>
  </si>
  <si>
    <t xml:space="preserve">• Identifying funding resources that the expert entity has allocated, committed, or can access to support the target population, and confirming whether the proposed project would be eligible to apply for such funding if constructed; </t>
  </si>
  <si>
    <t>• Confirming that the expert entity has evaluated the proposed project’s Supportive Services Plan, including the project’s service provider, service plan budget, and identified funding sources, and agrees the plan is reasonable, incorporates documented best practices, and has a strong likelihood of success; and</t>
  </si>
  <si>
    <t>• Stating that the expert entity will either serve as a coordinated referral agency for the community to the project or will provide long-term support by marketing the project and its units to the target population for a minimum of 15 years (LIHTC compliance period).</t>
  </si>
  <si>
    <t>For projects serving populations with a statutory or regulatory 'free choice of provider' requirement, the expert entity may, in lieu of evaluating a single designated service provider, attest that it has reviewed and approved a comprehensive Service Delivery Plan. This Plan must detail the robust process for connecting residents to a wide array of Medicaid-funded service providers, the formal role of the County Board of DD in service coordination and quality assurance, and the mechanisms for ensuring individual
resident needs are met through person-centered planning.</t>
  </si>
  <si>
    <t>Local Partners/Tenant Referral System</t>
  </si>
  <si>
    <t>The parent entity of the non-profit majority general partner of the project competing in this pool must have an established memorandum of understanding (MOU) with a referral agency (e.g., Continuum of Care, Mental Health and Recovery Board, County Board of Developmental Disabilities, local child welfare system of care, maternal health agency, refugee resettlement agency, post-secondary institution, local ADAMH board, etc.) that has:</t>
  </si>
  <si>
    <t>(1) A county-wide level reach for the proposed Special Housing Needs target population.</t>
  </si>
  <si>
    <t>(3) Policies and procedures that have been reviewed to ensure compliance with all Fair Housing Laws.</t>
  </si>
  <si>
    <t>Applicants must submit the MOU with the referral agency outlining the above criteria in the 8. Competitive Support Documentation of the Proposal Application.</t>
  </si>
  <si>
    <t xml:space="preserve">(2) An agreement for priority or preference in place with the local Housing Authority for the Special Housing Needs target population. </t>
  </si>
  <si>
    <t>(6)</t>
  </si>
  <si>
    <t>Experienced Service Provider</t>
  </si>
  <si>
    <t>Projects competing in this funding pool must demonstrate at Proposal and Final Application a commitment by an experienced local or regional service entity to coordinate appropriate services on-site or allows for the resident to connect to services while on-site (e.g., remote services) at least 15 minutes per unit per week for the duration of the compliance period. The service coordinator must have a history of serving the targeted area.</t>
  </si>
  <si>
    <t>(d) Council on Accreditation (COA); or</t>
  </si>
  <si>
    <t>(e) Commission on Accreditation of Rehabilitation Facilities (CARF); or</t>
  </si>
  <si>
    <t>(f) The Joint Commission; or</t>
  </si>
  <si>
    <t>(g) Ohio Department of Medicaid; or</t>
  </si>
  <si>
    <t>(h) Department of Developmental Disabilities (DODD).</t>
  </si>
  <si>
    <t>Service Coordination Designations</t>
  </si>
  <si>
    <t>(d) Council on Accreditation</t>
  </si>
  <si>
    <t>(e) CARF</t>
  </si>
  <si>
    <t>(f) The Joint Commission</t>
  </si>
  <si>
    <t>(g) Ohio Department of Medicaid</t>
  </si>
  <si>
    <t>(h) Ohio Department of Developmental Disabilities</t>
  </si>
  <si>
    <t>Applicants must evidence this requirement in the Supportive Services Plan due at Proposal Application, Final Application, and IRS Form 8609 (requirements outlined in the document submission section), identifying partnerships with qualified service coordination agencies, detailing the specific services to be provided, including at least 15 minutes of on-site services or allows for the resident to be connected to services while on-site per unit per week for the 15-year Compliance Period, the commitment to achieve one of (a) through (h) above, and the service coordinator’s demonstrated history of serving the target area.</t>
  </si>
  <si>
    <t>Will the service entity providing the services obtain one of the designations (a) - (h)?</t>
  </si>
  <si>
    <t>Was a commitment for the service provider to obtain one of the certifications (a) - (h) made?</t>
  </si>
  <si>
    <t>Parent Entity of the Non-Profit Majority General Partner:</t>
  </si>
  <si>
    <t>What is the name of the referral agency?</t>
  </si>
  <si>
    <t>Does it have a county-wide reach for the proposed population?</t>
  </si>
  <si>
    <t>Was an MOU between the entity and a referral agency submitted?</t>
  </si>
  <si>
    <t>Does it have an agreement with the local housing authority to serve the target population?</t>
  </si>
  <si>
    <t>Have its policies/procedures been reviewed for compliance with Fair Housing laws?</t>
  </si>
  <si>
    <t>Does the letter provide this project a primary or secondary recommendation from that entity?</t>
  </si>
  <si>
    <t>Does the entity have any affiliation with any member of the Development Team?</t>
  </si>
  <si>
    <t>Does it summarize the relationship the development will have with the local partner?</t>
  </si>
  <si>
    <t>What is the name of the CoC, County Board of DD, or other public entity?</t>
  </si>
  <si>
    <t>Was a letter submitted from the applicable CoC, County Board of DD, or other public entity?</t>
  </si>
  <si>
    <t>Does it confirm that there is sufficient market demand for the project and its target population?</t>
  </si>
  <si>
    <t>Does it identify resources it has allocated, committed, or can access for the target population?</t>
  </si>
  <si>
    <t>Does it confirm that the entity has evaluated the project's Supportive Services Plan?</t>
  </si>
  <si>
    <t>• Does it confirm whether the project would be eligible to apply for such funding?</t>
  </si>
  <si>
    <t>• Does it confirm it has evaluated the service provider, service budget, and sources?</t>
  </si>
  <si>
    <t>• Does it confirm the Supportive Services Plan incorporates documented best practices?</t>
  </si>
  <si>
    <t>• Does it confirm the Supportive Services Plan has a strong likelihood of success?</t>
  </si>
  <si>
    <t>Does it state it will serve as a referal agency or market the units to the population for 15 years?</t>
  </si>
  <si>
    <t>Does the target population have a "free choice of provider" requirement?</t>
  </si>
  <si>
    <t>Has the entity attested it has reviewed and approved a comprehensive Service Delivery Plan?</t>
  </si>
  <si>
    <t>Does the Plan detail a process for connecting residents to Medicaid-funded service providers?</t>
  </si>
  <si>
    <t>Does the Plan detail a service coordination/quality assurance role of the County Board of DD?</t>
  </si>
  <si>
    <t>Does the Plan detail mechanisms for meeting resident needs via person-centered planning?</t>
  </si>
  <si>
    <t>OHFA Serving Eligible Population?</t>
  </si>
  <si>
    <t>OHFA Rental Subsidy Eligibility?</t>
  </si>
  <si>
    <t>OHFA Non-Profit Owner Eligibility?</t>
  </si>
  <si>
    <t>OHFA Supportive Services Eligibility?</t>
  </si>
  <si>
    <t>OHFA Eligible Recommendations?</t>
  </si>
  <si>
    <t>(7)</t>
  </si>
  <si>
    <t>OHFA Local Partners Eligibility?</t>
  </si>
  <si>
    <t>OHFA Service Provider Eligibility?</t>
  </si>
  <si>
    <t>Amenities Workbook</t>
  </si>
  <si>
    <t>All Funding Pools</t>
  </si>
  <si>
    <t>Projects serving populations with Special Housing Needs</t>
  </si>
  <si>
    <t>Tenant Populations with Special Housing Needs Scoring Summary</t>
  </si>
  <si>
    <t>Seeking CoC Referral Set Aside?</t>
  </si>
  <si>
    <t>Meets CoC Referral Set Aside?</t>
  </si>
  <si>
    <t>Seeking Non-CoC Referral Set Aside?</t>
  </si>
  <si>
    <t>Meets Non-CoC Referral Set Aside?</t>
  </si>
  <si>
    <t>Continuum of Care Referral Partnership:</t>
  </si>
  <si>
    <t>Non-Continuum of Care Referral Partnership:</t>
  </si>
  <si>
    <t>Tiebreaker #1: LIHTC Awards in Census Tract over Past Three Years:</t>
  </si>
  <si>
    <t>Source: U.S. Census Bureau American Community Survey (ACS) 2023 Five-Year Estimates</t>
  </si>
  <si>
    <t>Meets Number of 3+ Bedroom Units Threshold?</t>
  </si>
  <si>
    <t>Is the 811 PRA Threshold Met?</t>
  </si>
  <si>
    <t>Minimum number of units for target population (25%):</t>
  </si>
  <si>
    <t>Minimum Number of 3+ Bedroom Units (15%):</t>
  </si>
  <si>
    <t>Total number of units:</t>
  </si>
  <si>
    <t>Minimum number of units serving the target population and covered by project-based rental assistance:</t>
  </si>
  <si>
    <t>Number of units covered by project-based rental assistance:</t>
  </si>
  <si>
    <t>Minimum number of units serving target populations ≤30% AMI in the PSH Framework (50%):</t>
  </si>
  <si>
    <r>
      <t xml:space="preserve">Is this application </t>
    </r>
    <r>
      <rPr>
        <b/>
        <u/>
        <sz val="11"/>
        <color theme="1"/>
        <rFont val="Arial"/>
        <family val="2"/>
        <scheme val="minor"/>
      </rPr>
      <t>potentially eligible</t>
    </r>
    <r>
      <rPr>
        <b/>
        <sz val="11"/>
        <color theme="1"/>
        <rFont val="Arial"/>
        <family val="2"/>
        <scheme val="minor"/>
      </rPr>
      <t xml:space="preserve"> for the CoC Referral Partnership set aside?</t>
    </r>
  </si>
  <si>
    <r>
      <t xml:space="preserve">Is the applicant </t>
    </r>
    <r>
      <rPr>
        <b/>
        <u/>
        <sz val="11"/>
        <color theme="1"/>
        <rFont val="Arial"/>
        <family val="2"/>
        <scheme val="minor"/>
      </rPr>
      <t>seeking</t>
    </r>
    <r>
      <rPr>
        <b/>
        <sz val="11"/>
        <color theme="1"/>
        <rFont val="Arial"/>
        <family val="2"/>
        <scheme val="minor"/>
      </rPr>
      <t xml:space="preserve"> the CoC Referral Partnership Set Aside?</t>
    </r>
  </si>
  <si>
    <t>Potentially Eligible?</t>
  </si>
  <si>
    <t>Sought by Applicant?</t>
  </si>
  <si>
    <r>
      <t xml:space="preserve">Is the application </t>
    </r>
    <r>
      <rPr>
        <b/>
        <u/>
        <sz val="11"/>
        <color theme="1"/>
        <rFont val="Arial"/>
        <family val="2"/>
        <scheme val="minor"/>
      </rPr>
      <t>potentially eligible for</t>
    </r>
    <r>
      <rPr>
        <b/>
        <sz val="11"/>
        <color theme="1"/>
        <rFont val="Arial"/>
        <family val="2"/>
        <scheme val="minor"/>
      </rPr>
      <t xml:space="preserve"> this Set Aside?</t>
    </r>
  </si>
  <si>
    <r>
      <t xml:space="preserve">Is the applicant </t>
    </r>
    <r>
      <rPr>
        <b/>
        <u/>
        <sz val="11"/>
        <color theme="1"/>
        <rFont val="Arial"/>
        <family val="2"/>
        <scheme val="minor"/>
      </rPr>
      <t>seeking</t>
    </r>
    <r>
      <rPr>
        <b/>
        <sz val="11"/>
        <color theme="1"/>
        <rFont val="Arial"/>
        <family val="2"/>
        <scheme val="minor"/>
      </rPr>
      <t xml:space="preserve"> this Set Aside?</t>
    </r>
  </si>
  <si>
    <t>QCT with Concerted Community Revitalization Plan:</t>
  </si>
  <si>
    <t>OHFA Discretionary Basis Boost</t>
  </si>
  <si>
    <t>QCT/DDA Codified Basis Boost</t>
  </si>
  <si>
    <t>Neighborhood Opportunity General Occupancy Index</t>
  </si>
  <si>
    <t>Auto-Calculated Score</t>
  </si>
  <si>
    <t>Applicant
Self-Score</t>
  </si>
  <si>
    <t>State Region:</t>
  </si>
  <si>
    <t>25% Test Estimate</t>
  </si>
  <si>
    <t>OHFA Research</t>
  </si>
  <si>
    <t>Tiebreaker #1: Awards in Past 3 Years</t>
  </si>
  <si>
    <t>CISI Total Awards in Past Five Years</t>
  </si>
  <si>
    <t>CISI Total Units in Past Five Years</t>
  </si>
  <si>
    <t>(a) Number of LIHTC projects funded in the county over the last five years:</t>
  </si>
  <si>
    <t>Does the project have a referral partnership with an entity outside of the local CoC?</t>
  </si>
  <si>
    <t>OHFA Geneal Occ. Opportunity Score:</t>
  </si>
  <si>
    <t>Parent is a non-profit organization?</t>
  </si>
  <si>
    <t>Parent has housing experience with the target population?</t>
  </si>
  <si>
    <t>Are supportive service available to the target population?</t>
  </si>
  <si>
    <t>Supportive services provider organization:</t>
  </si>
  <si>
    <t>Service provider has experience serving the target population?</t>
  </si>
  <si>
    <t>Parent organization of the majority GP/managing member:</t>
  </si>
  <si>
    <t>Percent of GP/MM ownership:</t>
  </si>
  <si>
    <t>OHFA Opportunity Senior Index:</t>
  </si>
  <si>
    <t>OHFA Opportunity Gen. Occ. Index:</t>
  </si>
  <si>
    <t>Highest Neighborhood Opportunity Gen. Occ. Raw Score</t>
  </si>
  <si>
    <t>In accordance with 26 U.S.C. §42(h)(4)(B), projects are eligible for the full amount of 4% LIHTCs if, among other requirements, at least 25% of the aggregate basis and land is financed with proceeds from tax-exempt private activity bonds subject to the state's volume cap. This is known as the "25% Test". If less than 25% of the aggregate basis and land is financed with such proceeds, LIHTC eligible basis is reduced by the proportion of aggregate basis and land financed by bond proceeds. Therefore, failure to meet the 25% Test reduces a project's eligible 4% LIHTCs by half or more.</t>
  </si>
  <si>
    <r>
      <t xml:space="preserve">(3) </t>
    </r>
    <r>
      <rPr>
        <b/>
        <u/>
        <sz val="11"/>
        <color theme="1"/>
        <rFont val="Arial"/>
        <family val="2"/>
        <scheme val="minor"/>
      </rPr>
      <t>Annual LIHTC Request per LIHTC Unit</t>
    </r>
  </si>
  <si>
    <t>Neighborhood Opportunity Senior Index Score:</t>
  </si>
  <si>
    <t>Raw Neighborhood Opportunity Senior Index:</t>
  </si>
  <si>
    <t>Raw Housing Needs Index:</t>
  </si>
  <si>
    <r>
      <t xml:space="preserve">Is the applicant </t>
    </r>
    <r>
      <rPr>
        <b/>
        <u/>
        <sz val="11"/>
        <color theme="1"/>
        <rFont val="Arial"/>
        <family val="2"/>
        <scheme val="minor"/>
      </rPr>
      <t>potentially eligible</t>
    </r>
    <r>
      <rPr>
        <b/>
        <sz val="11"/>
        <color theme="1"/>
        <rFont val="Arial"/>
        <family val="2"/>
        <scheme val="minor"/>
      </rPr>
      <t xml:space="preserve"> for the Renal Assistance subpool?</t>
    </r>
  </si>
  <si>
    <r>
      <t xml:space="preserve">Is the applicant </t>
    </r>
    <r>
      <rPr>
        <b/>
        <u/>
        <sz val="11"/>
        <color theme="1"/>
        <rFont val="Arial"/>
        <family val="2"/>
        <scheme val="minor"/>
      </rPr>
      <t>potentially eligible</t>
    </r>
    <r>
      <rPr>
        <b/>
        <sz val="11"/>
        <color theme="1"/>
        <rFont val="Arial"/>
        <family val="2"/>
        <scheme val="minor"/>
      </rPr>
      <t xml:space="preserve"> for the LIHTC Resyndication subpool?</t>
    </r>
  </si>
  <si>
    <r>
      <t xml:space="preserve">Is the applicant </t>
    </r>
    <r>
      <rPr>
        <b/>
        <u/>
        <sz val="11"/>
        <color theme="1"/>
        <rFont val="Arial"/>
        <family val="2"/>
        <scheme val="minor"/>
      </rPr>
      <t>seeking to participate</t>
    </r>
    <r>
      <rPr>
        <b/>
        <sz val="11"/>
        <color theme="1"/>
        <rFont val="Arial"/>
        <family val="2"/>
        <scheme val="minor"/>
      </rPr>
      <t xml:space="preserve"> in the LIHTC Resyndication pool?</t>
    </r>
  </si>
  <si>
    <t>How many units are restricted to households ≤ 30% AMI?</t>
  </si>
  <si>
    <t>Staff Recommended for CISI Set Aside?</t>
  </si>
  <si>
    <t>Board Selected for CISI Set Aside?</t>
  </si>
  <si>
    <t>Is the above sole general partner/managing member a non-profit?</t>
  </si>
  <si>
    <t>LIHTC Net Equity Price</t>
  </si>
  <si>
    <t>Located near an establishment intended for the primary purpose of providing older adults a space to congregate (i.e. senior center, YMCA Silver Sneakers)</t>
  </si>
  <si>
    <t>Amortization Period</t>
  </si>
  <si>
    <t>Total Building Amenities Seeking Waiver:</t>
  </si>
  <si>
    <t>Number of Buildings</t>
  </si>
  <si>
    <t>Number of Buildings:</t>
  </si>
  <si>
    <t>Elevator-Serviced Buildings:</t>
  </si>
  <si>
    <t>Special Populations Served:</t>
  </si>
  <si>
    <t>To Be Located or Located?</t>
  </si>
  <si>
    <r>
      <t xml:space="preserve">Rent Limit </t>
    </r>
    <r>
      <rPr>
        <sz val="9"/>
        <color theme="0"/>
        <rFont val="Arial"/>
        <family val="2"/>
        <scheme val="minor"/>
      </rPr>
      <t>(Affordable to What Percent AMI?)</t>
    </r>
  </si>
  <si>
    <r>
      <t xml:space="preserve">Income Limit </t>
    </r>
    <r>
      <rPr>
        <sz val="9"/>
        <color theme="0"/>
        <rFont val="Arial"/>
        <family val="2"/>
        <scheme val="minor"/>
      </rPr>
      <t>(Occupied by What Percent AMI?)</t>
    </r>
  </si>
  <si>
    <r>
      <t xml:space="preserve">Net Rent
</t>
    </r>
    <r>
      <rPr>
        <sz val="9"/>
        <color theme="0"/>
        <rFont val="Arial"/>
        <family val="2"/>
        <scheme val="minor"/>
      </rPr>
      <t>(Rent Net of Utility Allowance)</t>
    </r>
  </si>
  <si>
    <r>
      <t xml:space="preserve">Gross Rent
</t>
    </r>
    <r>
      <rPr>
        <sz val="9"/>
        <color theme="0"/>
        <rFont val="Arial"/>
        <family val="2"/>
        <scheme val="minor"/>
      </rPr>
      <t xml:space="preserve"> (Net Rent + Utility Allowance)</t>
    </r>
  </si>
  <si>
    <t>Number of Subsidized Units:</t>
  </si>
  <si>
    <t>Subsidy Type:</t>
  </si>
  <si>
    <t>Auto-Generated Narrative Format</t>
  </si>
  <si>
    <t>Sentence 1:</t>
  </si>
  <si>
    <t>Sentence 2:</t>
  </si>
  <si>
    <t>Sentence 3:</t>
  </si>
  <si>
    <t>Unit Distribution:</t>
  </si>
  <si>
    <t>Bedroom Mix:</t>
  </si>
  <si>
    <t>Manager's Unit:</t>
  </si>
  <si>
    <t>Unrestricted (Market Rate) Units?</t>
  </si>
  <si>
    <t>Sentence 4:</t>
  </si>
  <si>
    <t>Year Submitted</t>
  </si>
  <si>
    <t>Developer(s)</t>
  </si>
  <si>
    <t>Residential Units by LIHTC Income Restrictions</t>
  </si>
  <si>
    <t>Residential Units by Bedroom Type and Rental Subsidy</t>
  </si>
  <si>
    <t>Residential Units by Income Restrictions</t>
  </si>
  <si>
    <t>Project City or Township</t>
  </si>
  <si>
    <t>Total Number of Bedrooms</t>
  </si>
  <si>
    <t>Budgeted Developer Fee:</t>
  </si>
  <si>
    <t>Deferred Developer Fee at Perm:</t>
  </si>
  <si>
    <t>GP/MM Capital Contribution:</t>
  </si>
  <si>
    <t>Sponsor Loan:</t>
  </si>
  <si>
    <t>Discretionary Basis Boost Calculation for 9% LIHTC</t>
  </si>
  <si>
    <t>Pct. Discretionary Basis Boost:</t>
  </si>
  <si>
    <r>
      <t xml:space="preserve">How to Demonstrate Compliance at </t>
    </r>
    <r>
      <rPr>
        <u/>
        <sz val="10"/>
        <color theme="0"/>
        <rFont val="Arial"/>
        <family val="2"/>
        <scheme val="minor"/>
      </rPr>
      <t>Final</t>
    </r>
    <r>
      <rPr>
        <sz val="10"/>
        <color theme="0"/>
        <rFont val="Arial"/>
        <family val="2"/>
        <scheme val="minor"/>
      </rPr>
      <t xml:space="preserve"> Application</t>
    </r>
  </si>
  <si>
    <r>
      <t xml:space="preserve">Claiming Amenity at </t>
    </r>
    <r>
      <rPr>
        <u/>
        <sz val="10"/>
        <color theme="0"/>
        <rFont val="Arial"/>
        <family val="2"/>
        <scheme val="minor"/>
      </rPr>
      <t>Proposal</t>
    </r>
    <r>
      <rPr>
        <sz val="10"/>
        <color theme="0"/>
        <rFont val="Arial"/>
        <family val="2"/>
        <scheme val="minor"/>
      </rPr>
      <t xml:space="preserve"> App?</t>
    </r>
  </si>
  <si>
    <r>
      <t xml:space="preserve">Term </t>
    </r>
    <r>
      <rPr>
        <sz val="9"/>
        <color theme="0"/>
        <rFont val="Arial"/>
        <family val="2"/>
        <scheme val="minor"/>
      </rPr>
      <t>(Years)</t>
    </r>
  </si>
  <si>
    <r>
      <t xml:space="preserve">Amortization Period </t>
    </r>
    <r>
      <rPr>
        <sz val="9"/>
        <color theme="0"/>
        <rFont val="Arial"/>
        <family val="2"/>
        <scheme val="minor"/>
      </rPr>
      <t>(Years)</t>
    </r>
  </si>
  <si>
    <r>
      <t xml:space="preserve">Term
</t>
    </r>
    <r>
      <rPr>
        <sz val="9"/>
        <color theme="0"/>
        <rFont val="Arial"/>
        <family val="2"/>
        <scheme val="minor"/>
      </rPr>
      <t>(Months)</t>
    </r>
  </si>
  <si>
    <r>
      <t xml:space="preserve">Amortization Period
</t>
    </r>
    <r>
      <rPr>
        <sz val="9"/>
        <color theme="0"/>
        <rFont val="Arial"/>
        <family val="2"/>
        <scheme val="minor"/>
      </rPr>
      <t>(Months)</t>
    </r>
  </si>
  <si>
    <r>
      <t>Average Unit Size</t>
    </r>
    <r>
      <rPr>
        <sz val="9"/>
        <color theme="0"/>
        <rFont val="Arial"/>
        <family val="2"/>
        <scheme val="minor"/>
      </rPr>
      <t xml:space="preserve"> 
(Net Square Footage)</t>
    </r>
  </si>
  <si>
    <r>
      <t>Size</t>
    </r>
    <r>
      <rPr>
        <sz val="9"/>
        <color theme="0"/>
        <rFont val="Arial"/>
        <family val="2"/>
        <scheme val="minor"/>
      </rPr>
      <t xml:space="preserve"> 
(SF)</t>
    </r>
  </si>
  <si>
    <r>
      <t xml:space="preserve">Size
</t>
    </r>
    <r>
      <rPr>
        <sz val="9"/>
        <color theme="0"/>
        <rFont val="Arial"/>
        <family val="2"/>
        <scheme val="minor"/>
      </rPr>
      <t>(Square Feet)</t>
    </r>
  </si>
  <si>
    <r>
      <t xml:space="preserve">Number of </t>
    </r>
    <r>
      <rPr>
        <u/>
        <sz val="10"/>
        <color theme="0"/>
        <rFont val="Arial"/>
        <family val="2"/>
        <scheme val="minor"/>
      </rPr>
      <t>Currently Occupied</t>
    </r>
    <r>
      <rPr>
        <sz val="10"/>
        <color theme="0"/>
        <rFont val="Arial"/>
        <family val="2"/>
        <scheme val="minor"/>
      </rPr>
      <t xml:space="preserve"> Units</t>
    </r>
  </si>
  <si>
    <r>
      <t xml:space="preserve">Number of </t>
    </r>
    <r>
      <rPr>
        <u/>
        <sz val="10"/>
        <color theme="0"/>
        <rFont val="Arial"/>
        <family val="2"/>
        <scheme val="minor"/>
      </rPr>
      <t>Manager</t>
    </r>
    <r>
      <rPr>
        <sz val="10"/>
        <color theme="0"/>
        <rFont val="Arial"/>
        <family val="2"/>
        <scheme val="minor"/>
      </rPr>
      <t xml:space="preserve"> Units</t>
    </r>
  </si>
  <si>
    <r>
      <t xml:space="preserve">Number of 
504 </t>
    </r>
    <r>
      <rPr>
        <u/>
        <sz val="10"/>
        <color theme="0"/>
        <rFont val="Arial"/>
        <family val="2"/>
        <scheme val="minor"/>
      </rPr>
      <t>Mobility</t>
    </r>
    <r>
      <rPr>
        <sz val="10"/>
        <color theme="0"/>
        <rFont val="Arial"/>
        <family val="2"/>
        <scheme val="minor"/>
      </rPr>
      <t xml:space="preserve"> Units</t>
    </r>
  </si>
  <si>
    <r>
      <t xml:space="preserve">Number of
504 </t>
    </r>
    <r>
      <rPr>
        <u/>
        <sz val="10"/>
        <color theme="0"/>
        <rFont val="Arial"/>
        <family val="2"/>
        <scheme val="minor"/>
      </rPr>
      <t>Sensory</t>
    </r>
    <r>
      <rPr>
        <sz val="10"/>
        <color theme="0"/>
        <rFont val="Arial"/>
        <family val="2"/>
        <scheme val="minor"/>
      </rPr>
      <t xml:space="preserve"> Units</t>
    </r>
  </si>
  <si>
    <t>Version</t>
  </si>
  <si>
    <t>Release Date</t>
  </si>
  <si>
    <t>Summary of Changes</t>
  </si>
  <si>
    <t>N/A -  First Release</t>
  </si>
  <si>
    <t>Percent of Budgeted Fee</t>
  </si>
  <si>
    <t>Sentence 5:</t>
  </si>
  <si>
    <t>Total number of units</t>
  </si>
  <si>
    <t>Total number of units with project-based rental assistance contract:</t>
  </si>
  <si>
    <t>Percent of units with project-based rental assistance contract:</t>
  </si>
  <si>
    <t>Type of project-based rental assistance contract:</t>
  </si>
  <si>
    <t>Is project-based operating subsidy assumed on the project?</t>
  </si>
  <si>
    <t>What percent of the units is covered by project-based rental assistance?</t>
  </si>
  <si>
    <r>
      <t xml:space="preserve">Is the applicant </t>
    </r>
    <r>
      <rPr>
        <b/>
        <u/>
        <sz val="11"/>
        <color theme="1"/>
        <rFont val="Arial"/>
        <family val="2"/>
        <scheme val="minor"/>
      </rPr>
      <t>seeking to participate</t>
    </r>
    <r>
      <rPr>
        <b/>
        <sz val="11"/>
        <color theme="1"/>
        <rFont val="Arial"/>
        <family val="2"/>
        <scheme val="minor"/>
      </rPr>
      <t xml:space="preserve"> in the Rental Assistance subpool?</t>
    </r>
  </si>
  <si>
    <t>• Less than 50% of the units are covered by project-based rental assistance?</t>
  </si>
  <si>
    <t>Oldest LIHTC award</t>
  </si>
  <si>
    <r>
      <t xml:space="preserve">Highest number of units with rental assistance </t>
    </r>
    <r>
      <rPr>
        <b/>
        <u/>
        <sz val="11"/>
        <color theme="1"/>
        <rFont val="Arial"/>
        <family val="2"/>
        <scheme val="minor"/>
      </rPr>
      <t>OR</t>
    </r>
  </si>
  <si>
    <t>• 24 C.F.R. §983.55(e)</t>
  </si>
  <si>
    <t>Is this form required?</t>
  </si>
  <si>
    <t>Proceed to Step 2?</t>
  </si>
  <si>
    <t>(A) Per 24 C.F.R. §983.55(e)(3)(v)(A), are there a significant number of HUD-assisted housing units available outside of areas of minority concentration, but within the same housing market?</t>
  </si>
  <si>
    <t>Per 24 C.F.R. §983.55(e)(3)(i), a project may be sited in an Area of Minority Concentration if “sufficient, comparable opportunities exist for housing for minority families in the income range to be served by the proposed project outside areas of minority concentration…” Per 24 C.F.R. §983.55(e)(3)(iv), units may be considered “comparable opportunities” if they serve the same population, have similar rent and income restrictions, are located in the same housing market, and are in standard condition. To demonstrate that a proposed project meets this exemption, complete the following questions:</t>
  </si>
  <si>
    <t>(B) Per 24 C.F.R. §983.55(e)(3)(v)(B), is there significant integration of HUD-assisted housing projects constructed or rehabilitated in the past 10 years, relative to the racial mix of the eligible population.?</t>
  </si>
  <si>
    <t>(C) Per 24 C.F.R. §983.55(e)(3)(v)(B), are there racially-integrated neighborhoods in the locality?</t>
  </si>
  <si>
    <t>(D) Per 24 C.F.R. §983.55(e)(3)(v)(D), are there any programs operated by the locality to assist minority families that wish to find housing outside areas of minority concentration?</t>
  </si>
  <si>
    <t>(E) Per 24 C.F.R. §983.55(e)(3)(v)(E), have minority families benefited from local activities (e.g., acquisition and write-down of sites, tax relief programs for homeowners, acquisitions of units for use as HUD-Assisted housing units) undertaken to expand choice for minority families outside of areas of minority concentration?</t>
  </si>
  <si>
    <t>(F) Per 24 C.F.R. §983.55(e)(3)(v)(F), has a significant proportion of minority households been successful in finding units in non-minority areas under the tenant-based assistance programs?</t>
  </si>
  <si>
    <t>(G) Per 24 C.F.R. §983.55(e)(3)(v)(G), have comparable housing opportunities have been made available outside areas of minority concentration through other programs?</t>
  </si>
  <si>
    <t>Per 24 C.F.R. §983.55(e)(3)(ii), a project may be sited in an Area of Minority Concentration if it is “…necessary to meet overriding housing needs that cannot be met in the housing market area.” To demonstrate that a proposed project meets this exemption, answer the following question:</t>
  </si>
  <si>
    <t>(A) Per 24 C.F.R. §983.55(e)(3)(vi), is the site an integral part of an overall local strategy for the preservation or restoration of the immediate neighborhood and of sites in a neighborhood experiencing significant private investment that is demonstrably improving the economic character of the area?</t>
  </si>
  <si>
    <t>Per 24 C.F.R. §983.55(e)(2), new construction projects in Racially-Mixed Areas are prohibited unless the project will not cause a significant increase in the proportion of minority to non-minority residents in the area. HUD defined Racially-Mixed Areas in HUD Form 52614 as "an area that is neither minority concentrated, nor a non-minority area. A non-minority area is an area in which the minority population is lower than 10 percent." HUD does not currently have a mapping tool for Racially-Mixed Areas. Per CPD-16-17, HUD uses the percent of white, non-Hispanic persons in the census tract as the non-minority percent. Therefore, if the percent of white, non-Hispanic persons in project census tract is 90 percent or higher, OHFA considers it a non-minority area.</t>
  </si>
  <si>
    <t>(A) Per 24 C.F.R. §983.55(e)(2), will the project will cause a significant increase in the proportion of minority to non-minority residents in the area?</t>
  </si>
  <si>
    <t>Is a response required below in (A)?</t>
  </si>
  <si>
    <t>Was this project ever submitted as a LIHTC application before?</t>
  </si>
  <si>
    <t>Prior OHFA Project Names(s):</t>
  </si>
  <si>
    <t>Prior OHFA Project Number(s):</t>
  </si>
  <si>
    <t>Previous LIHTC Types:</t>
  </si>
  <si>
    <t>Has this project ever received an allocation of LIHTC before?</t>
  </si>
  <si>
    <t>Has this project ever received HDAP before?</t>
  </si>
  <si>
    <t>Special Population #1</t>
  </si>
  <si>
    <t>Special Population #1 Number of Units</t>
  </si>
  <si>
    <t>Special Population #1 Percent of Total Units</t>
  </si>
  <si>
    <t>Special Population #1 Supportive Services Provided?</t>
  </si>
  <si>
    <t>Special Population #1 if Other Describe</t>
  </si>
  <si>
    <t>Special Population #2</t>
  </si>
  <si>
    <t>Special Population #2 if Other Describe</t>
  </si>
  <si>
    <t>Special Population #3 Number of Units</t>
  </si>
  <si>
    <t>Special Population #2 Number of Units</t>
  </si>
  <si>
    <t>Special Population #2 Percent of Total Units</t>
  </si>
  <si>
    <t>Special Population #2 Supportive Services Provided?</t>
  </si>
  <si>
    <t>Special Population #3</t>
  </si>
  <si>
    <t>Special Population #3 if Other Describe</t>
  </si>
  <si>
    <t>Special Population #3 Percent of Total Units</t>
  </si>
  <si>
    <t>Special Population #3 Supportive Services Provided?</t>
  </si>
  <si>
    <t>Special Population #4</t>
  </si>
  <si>
    <t>Special Population #4 if Other Describe</t>
  </si>
  <si>
    <t>Special Population #4 Number of Units</t>
  </si>
  <si>
    <t>Special Population #4 Percent of Total Units</t>
  </si>
  <si>
    <t>Special Population #4 Supportive Services Provided?</t>
  </si>
  <si>
    <t>Special Population #5</t>
  </si>
  <si>
    <t>Special Population #5 if Other Describe</t>
  </si>
  <si>
    <t>Special Population #5 Number of Units</t>
  </si>
  <si>
    <t>Special Population #5 Percent of Total Units</t>
  </si>
  <si>
    <t>Special Population #5 Supportive Services Provided?</t>
  </si>
  <si>
    <t>Nearby Grocery Store Name</t>
  </si>
  <si>
    <t>Nearby Grocery Store Address</t>
  </si>
  <si>
    <t>Nearby Grocery Store City</t>
  </si>
  <si>
    <t>Nearby Grocery Store Linear Distance (Miles)</t>
  </si>
  <si>
    <t>Nearby Medical Clinic Name</t>
  </si>
  <si>
    <t>Nearby Childcare Facility Name</t>
  </si>
  <si>
    <t>Nearby Senior Center Name</t>
  </si>
  <si>
    <t>Nearby Pharmacy Name</t>
  </si>
  <si>
    <t>Nearby Public Library Name</t>
  </si>
  <si>
    <t>Nearby Public Park Name</t>
  </si>
  <si>
    <t>Nearby Public School Name</t>
  </si>
  <si>
    <t>Nearby Public Recreation Center Name</t>
  </si>
  <si>
    <t>Nearby Medical Clinic Address</t>
  </si>
  <si>
    <t>Nearby Medical Clinic City</t>
  </si>
  <si>
    <t>Nearby Medical Clinic Linear Distance (Miles)</t>
  </si>
  <si>
    <t>Nearby Childcare Facility Address</t>
  </si>
  <si>
    <t>Nearby Childcare Facility City</t>
  </si>
  <si>
    <t>Nearby Childcare Facility Linear Distance (Miles)</t>
  </si>
  <si>
    <t>Nearby Senior Center Address</t>
  </si>
  <si>
    <t>Nearby Senior Center City</t>
  </si>
  <si>
    <t>Nearby Pharmacy Address</t>
  </si>
  <si>
    <t>Nearby Pharmacy City</t>
  </si>
  <si>
    <t>Nearby Public Library Address</t>
  </si>
  <si>
    <t>Nearby Public Library City</t>
  </si>
  <si>
    <t>Nearby Public Library Linear Distance (Miles)</t>
  </si>
  <si>
    <t>Nearby Pharmacy Linear Distance (Miles)</t>
  </si>
  <si>
    <t>Nearby Senior Center Linear Distance (Miles)</t>
  </si>
  <si>
    <t>Nearby Public Park Address</t>
  </si>
  <si>
    <t>Nearby Public Park City</t>
  </si>
  <si>
    <t>Nearby Public Park Linear Distance (Miles)</t>
  </si>
  <si>
    <t>Nearby Public School Address</t>
  </si>
  <si>
    <t>Nearby Public School City</t>
  </si>
  <si>
    <t>Nearby Public School Linear Distance (Miles)</t>
  </si>
  <si>
    <t>Nearby Public Recreation Center Address</t>
  </si>
  <si>
    <t>Nearby Public Recreation Center City</t>
  </si>
  <si>
    <t>Nearby Public Recreation Center Linear Distance (Miles)</t>
  </si>
  <si>
    <t>CDBG Triggering Davis Bacon</t>
  </si>
  <si>
    <t>HOME Triggering Davis Bacon</t>
  </si>
  <si>
    <t>PBRA Triggering Davis Bacon</t>
  </si>
  <si>
    <t>PBV Triggering Davis Bacon</t>
  </si>
  <si>
    <t>RAD First Component Triggering Davis Bacon</t>
  </si>
  <si>
    <t>RAD Second Component Triggering Davis Bacon</t>
  </si>
  <si>
    <t>RAD for PRAC Triggering Davis Bacon</t>
  </si>
  <si>
    <t>202 PRAC Triggering Davis Bacon</t>
  </si>
  <si>
    <t>811 PRAC Triggering Davis Bacon</t>
  </si>
  <si>
    <t>811 PRA Triggering Davis Bacon</t>
  </si>
  <si>
    <t>CDBG Included?</t>
  </si>
  <si>
    <t>HOME Included?</t>
  </si>
  <si>
    <t>PBRA Included?</t>
  </si>
  <si>
    <t>PBV Included?</t>
  </si>
  <si>
    <t>RAD First Component Included?</t>
  </si>
  <si>
    <t>RAD Second Component Included?</t>
  </si>
  <si>
    <t>RAD for PRAC Included?</t>
  </si>
  <si>
    <t>202 PRAC Included?</t>
  </si>
  <si>
    <t>811 PRAC Included?</t>
  </si>
  <si>
    <t>811 PRA Included?</t>
  </si>
  <si>
    <t>General Occ. Opportunity Index Percentile:</t>
  </si>
  <si>
    <t>Senior Opportunity Index Percentile:</t>
  </si>
  <si>
    <t>Housing Needs Index Percentile:</t>
  </si>
  <si>
    <t>Neighborhood Change Index Percentile:</t>
  </si>
  <si>
    <t>Details</t>
  </si>
  <si>
    <t>Site</t>
  </si>
  <si>
    <t>Number of Currently Occupied Units</t>
  </si>
  <si>
    <t>Number of Manager Units</t>
  </si>
  <si>
    <t>Number of 
504 Mobility Units</t>
  </si>
  <si>
    <t>Permanent Parcel Number(s)</t>
  </si>
  <si>
    <t>2020 Zip Code Tabulation Area(s) (ZCTA)</t>
  </si>
  <si>
    <t>Site or Building City/Township(s)</t>
  </si>
  <si>
    <t>Type(s) of Site Control</t>
  </si>
  <si>
    <t>11-Digit 2020 Census Tract(s)</t>
  </si>
  <si>
    <t>Type(s) of Construction</t>
  </si>
  <si>
    <t>Site or Building Address(es)</t>
  </si>
  <si>
    <t>Sites in a 2026 QCT</t>
  </si>
  <si>
    <t>Sites in a 2026 DDA</t>
  </si>
  <si>
    <t>Earliest Date Originally Constructed
 (if applicable)</t>
  </si>
  <si>
    <t>Latest Date Originally Constructed
 (if applicable)</t>
  </si>
  <si>
    <t>Earliest Placed-In-Service Date(s)</t>
  </si>
  <si>
    <t>Latest Last Placed-In-Service Date(s)</t>
  </si>
  <si>
    <t>Any seller a related party to a developer or owner of the proposed project?</t>
  </si>
  <si>
    <t>Building Type(s)</t>
  </si>
  <si>
    <t>Minimum Number of Floors</t>
  </si>
  <si>
    <t>Maximum Number of Floors</t>
  </si>
  <si>
    <t>Elevator-Serviced Buildings</t>
  </si>
  <si>
    <t>Number of 504 Sensory Units</t>
  </si>
  <si>
    <t>Number of Accessory Buildings</t>
  </si>
  <si>
    <t>Number of Recreation Facilities</t>
  </si>
  <si>
    <t>Number of Commercial Facilities</t>
  </si>
  <si>
    <t>Number of Other Detached, Non-Residential Structures</t>
  </si>
  <si>
    <t>Accessory Buildings Size (SF)</t>
  </si>
  <si>
    <t>Accessory Buildings Description</t>
  </si>
  <si>
    <t>Recreation Facilities Buildings Size (SF)</t>
  </si>
  <si>
    <t>Recreation Facilities Buildings Description</t>
  </si>
  <si>
    <t>Commercial Facilities Buildings Size (SF)</t>
  </si>
  <si>
    <t>Commercial Facilities Buildings Description</t>
  </si>
  <si>
    <t>Other Detached, Non-Residential Structures Buildings Size (SF)</t>
  </si>
  <si>
    <t>Other Detached, Non-Residential Structures Buildings Description</t>
  </si>
  <si>
    <t>OHFA 504-Mobility Unit Count Met?</t>
  </si>
  <si>
    <t>OHFA 504-Sensory Unit Count Met?</t>
  </si>
  <si>
    <t>Revenue</t>
  </si>
  <si>
    <t>20-50 LIHTC Minimum Set Aside Sought?</t>
  </si>
  <si>
    <t>40-60 LIHTC Minimum Set Aside Sought?</t>
  </si>
  <si>
    <t>Average Income LIHTC Minimum Set Aside Sought?</t>
  </si>
  <si>
    <t>Studio Utility Allowance Total</t>
  </si>
  <si>
    <t>1-BR Utility Allowance Total</t>
  </si>
  <si>
    <t>2-BR Utility Allowance Total</t>
  </si>
  <si>
    <t>3-BR Utility Allowance Total</t>
  </si>
  <si>
    <t>4-BR Utility Allowance Total</t>
  </si>
  <si>
    <t>5-BR Utility Allowance Total</t>
  </si>
  <si>
    <t>Units with 20% AMI Income Restriction</t>
  </si>
  <si>
    <t>Units with 30% AMI Income Restriction</t>
  </si>
  <si>
    <t>Units with 40% AMI Income Restriction</t>
  </si>
  <si>
    <t>Units with 50% AMI Income Restriction</t>
  </si>
  <si>
    <t>Units with 60% AMI Income Restriction</t>
  </si>
  <si>
    <t>Units with 70% AMI Income Restriction</t>
  </si>
  <si>
    <t>Units with 80% AMI Income Restriction</t>
  </si>
  <si>
    <t>Units with 20% AMI Rent Restriction</t>
  </si>
  <si>
    <t>Units with 30% AMI Rent Restriction</t>
  </si>
  <si>
    <t>Units with 40% AMI Rent Restriction</t>
  </si>
  <si>
    <t>Units with 50% AMI Rent Restriction</t>
  </si>
  <si>
    <t>Units with 60% AMI Rent Restriction</t>
  </si>
  <si>
    <t>Units with 70% AMI Rent Restriction</t>
  </si>
  <si>
    <t>Units with 80% AMI Rent Restriction</t>
  </si>
  <si>
    <t>Unrestricted Units</t>
  </si>
  <si>
    <t>Average Income Restriction Among All Units</t>
  </si>
  <si>
    <t>Average 1-BR Unit Size (SF)</t>
  </si>
  <si>
    <t>Average Studio Unit Size (SF)</t>
  </si>
  <si>
    <t>Average 2-BR Unit Size (SF)</t>
  </si>
  <si>
    <t>Average 3-BR Unit Size (SF)</t>
  </si>
  <si>
    <t>Average 4-BR Unit Size (SF)</t>
  </si>
  <si>
    <t>Average 5-BR Unit Size (SF)</t>
  </si>
  <si>
    <t>Types of Project-Based Rental Subsidy</t>
  </si>
  <si>
    <t>Number of Commercial Spaces</t>
  </si>
  <si>
    <t>Number of Commercial Spaces that are Community Service Facilities:</t>
  </si>
  <si>
    <t>Commercial Space Size (SF)</t>
  </si>
  <si>
    <t>Commercial Space Size that is Community Service Facility (SF)</t>
  </si>
  <si>
    <t>Annual Commercial Space Revenue</t>
  </si>
  <si>
    <t>Annual Commercial Space Revenue that is Community Service Facility</t>
  </si>
  <si>
    <t>Other Commercial Income</t>
  </si>
  <si>
    <t>Other Commercial Income Description</t>
  </si>
  <si>
    <t>Other Service Income #1</t>
  </si>
  <si>
    <t>Other Service Income #1 Description</t>
  </si>
  <si>
    <t>Other Service Income #2</t>
  </si>
  <si>
    <t>Other Service Income #2 Description</t>
  </si>
  <si>
    <t>Other Service Income #3</t>
  </si>
  <si>
    <t>Other Service Income #3 Description</t>
  </si>
  <si>
    <t>Rental Income Vacancy Allowance</t>
  </si>
  <si>
    <t>Residential Fee Income Vacancy Allowance</t>
  </si>
  <si>
    <t>Laundry Revenue Vacancy Allowance</t>
  </si>
  <si>
    <t>Tenant Charges/Fees Vacancy Allowance</t>
  </si>
  <si>
    <t>Commercial Income Vacancy Allowance</t>
  </si>
  <si>
    <t>Other Commercial Income Vacancy Allowance</t>
  </si>
  <si>
    <t>Elderly Care/Service Delivery Vacancy Allowance</t>
  </si>
  <si>
    <t>Other Service Income #1 Vacancy Allowance</t>
  </si>
  <si>
    <t>Other Service Income #2 Vacancy Allowance</t>
  </si>
  <si>
    <t>Other Service Income #3 Vacancy Allowance</t>
  </si>
  <si>
    <t>Administrative: Advertising and Marketing</t>
  </si>
  <si>
    <t>Administrative: Office Expenses</t>
  </si>
  <si>
    <t>Administrative: Administrative Salaries</t>
  </si>
  <si>
    <t>Administrative: Supportive Services Coordination</t>
  </si>
  <si>
    <t>Administrative: Telephone</t>
  </si>
  <si>
    <t>Administrative: Management Fee</t>
  </si>
  <si>
    <t xml:space="preserve">Administrative: Management Salary </t>
  </si>
  <si>
    <t>Administrative: Legal Expense</t>
  </si>
  <si>
    <t>Administrative: Audit Expense</t>
  </si>
  <si>
    <t>Administrative: Accounting Fees</t>
  </si>
  <si>
    <t>Administrative: Bad Debts</t>
  </si>
  <si>
    <t>Administrative: Tenant Relations</t>
  </si>
  <si>
    <t>Administrative: Misc. Administrative Expenses</t>
  </si>
  <si>
    <t>Administrative: Other Administrative Expense #1</t>
  </si>
  <si>
    <t>Administrative: Other Administrative Expense #1 Description</t>
  </si>
  <si>
    <t>Administrative: Other Administrative Expense #2</t>
  </si>
  <si>
    <t>Administrative: Other Administrative Expense #2 Description</t>
  </si>
  <si>
    <t>Administrative: Other Administrative Expense #3</t>
  </si>
  <si>
    <t>Administrative: Other Administrative Expense #1=3 Description</t>
  </si>
  <si>
    <t>Owner-Paid Utilities: Electricity</t>
  </si>
  <si>
    <t>Owner-Paid Utilities: Water</t>
  </si>
  <si>
    <t>Owner-Paid Utilities: Gas</t>
  </si>
  <si>
    <t>Owner-Paid Utilities: Sewer</t>
  </si>
  <si>
    <t>Owner-Paid Utilities: Cable</t>
  </si>
  <si>
    <t>Owner-Paid Utilities: Internet</t>
  </si>
  <si>
    <t>Owner-Paid Utilities: Other Owner Paid Utility #1</t>
  </si>
  <si>
    <t>Owner-Paid Utilities: Other Owner Paid Utility #1 Description</t>
  </si>
  <si>
    <t>Owner-Paid Utilities: Other Owner Paid Utility #2</t>
  </si>
  <si>
    <t>Owner-Paid Utilities: Other Owner Paid Utility #2 Description</t>
  </si>
  <si>
    <t>Repairs and Maintenance: Operating/Maintenance Contracts</t>
  </si>
  <si>
    <t>Repairs and Maintenance: Elevator</t>
  </si>
  <si>
    <t>Repairs and Maintenance: Garbage/Trash Removal</t>
  </si>
  <si>
    <t>Repairs and Maintenance: Van Driver Payroll</t>
  </si>
  <si>
    <t>Repairs and Maintenance: Janitor Payroll</t>
  </si>
  <si>
    <t>Repairs and Maintenance: Maintenance Payroll</t>
  </si>
  <si>
    <t>Repairs and Maintenance: Maintenance Supplies</t>
  </si>
  <si>
    <t>Repairs and Maintenance: Painting and Decorating</t>
  </si>
  <si>
    <t>Repairs and Maintenance: HVAC Maintenance</t>
  </si>
  <si>
    <t>Repairs and Maintenance: Snow Removal/Landscaping</t>
  </si>
  <si>
    <t xml:space="preserve">Repairs and Maintenance: Vehicle Operation and Repairs </t>
  </si>
  <si>
    <t>Repairs and Maintenance: Rent Concessions/Incentives</t>
  </si>
  <si>
    <t>Repairs and Maintenance: Extermination</t>
  </si>
  <si>
    <t>Repairs and Maintenance: Other Repair and Administrative Expense #1</t>
  </si>
  <si>
    <t>Repairs and Maintenance: Other Repair and Administrative Expense #1 Description</t>
  </si>
  <si>
    <t>Repairs and Maintenance: Other Repair and Administrative Expense #2</t>
  </si>
  <si>
    <t>Repairs and Maintenance: Other Repair and Administrative Expense #2 Description</t>
  </si>
  <si>
    <t>Repairs and Maintenance: Other Repair and Administrative Expense #3</t>
  </si>
  <si>
    <t>Repairs and Maintenance: Other Repair and Administrative Expense #3 Description</t>
  </si>
  <si>
    <t>Repairs and Maintenance: Other Repair and Administrative Expense #4</t>
  </si>
  <si>
    <t>Repairs and Maintenance: Other Repair and Administrative Expense #4 Description</t>
  </si>
  <si>
    <t>Taxes and Insurance: Unabated Real Estate Taxes</t>
  </si>
  <si>
    <t>Taxes and Insurance: Payroll Taxes</t>
  </si>
  <si>
    <t>Taxes and Insurance: Property/Liability Insurance</t>
  </si>
  <si>
    <t>Taxes and Insurance: Fidelity Bond Insurance</t>
  </si>
  <si>
    <t>Taxes and Insurance: Workers Compensation</t>
  </si>
  <si>
    <t>Taxes and Insurance: Health Insurance/Benefits</t>
  </si>
  <si>
    <t>Taxes and Insurance: Miscellaneous Taxes/Insurance/License</t>
  </si>
  <si>
    <t>Taxes and Insurance: Other Tax and Insurance Expense #1</t>
  </si>
  <si>
    <t>Taxes and Insurance: Other Tax and Insurance Expense #1 Description</t>
  </si>
  <si>
    <t>Taxes and Insurance: Other Tax and Insurance Expense #2</t>
  </si>
  <si>
    <t>Taxes and Insurance: Other Tax and Insurance Expense #2 Description</t>
  </si>
  <si>
    <t>Taxes and Insurance: Other Tax and Insurance Expense #3</t>
  </si>
  <si>
    <t>Taxes and Insurance: Other Tax and Insurance Expense #3 Description</t>
  </si>
  <si>
    <t>Ongoing Reserve Contributions: Replacement Reserves</t>
  </si>
  <si>
    <t>Ongoing Reserve Contributions: Other Ongoing Reserve Contribution #1</t>
  </si>
  <si>
    <t>Ongoing Reserve Contributions: Other Ongoing Reserve Contribution #1 Description</t>
  </si>
  <si>
    <t>Ongoing Reserve Contributions: Other Ongoing Reserve Contribution #2</t>
  </si>
  <si>
    <t>Ongoing Reserve Contributions: Other Ongoing Reserve Contribution #2 Description</t>
  </si>
  <si>
    <t>Ongoing Reserve Contributions: Other Ongoing Reserve Contribution #3</t>
  </si>
  <si>
    <t>Ongoing Reserve Contributions: Other Ongoing Reserve Contribution #3 Description</t>
  </si>
  <si>
    <t>Administrative: Total Expenses</t>
  </si>
  <si>
    <t>Owner-Paid Utilities: Total Expenses</t>
  </si>
  <si>
    <t>Repairs and Maintenance: Total Expenses</t>
  </si>
  <si>
    <t>Taxes and Insurance: Total Expenses</t>
  </si>
  <si>
    <t>Ongoing Reserve Contributions: Total Expenses</t>
  </si>
  <si>
    <t>Taxes and Insurance: Abated Real Estate Taxes</t>
  </si>
  <si>
    <t>Asset Management Fee Annual Amount</t>
  </si>
  <si>
    <t>Incentive Management Fee Annual Amount</t>
  </si>
  <si>
    <t>Partnership Administration Fee Annual Amount</t>
  </si>
  <si>
    <t>Guaranty Fee Annual Amount</t>
  </si>
  <si>
    <t>Sources</t>
  </si>
  <si>
    <t>Construction: Housing Development Loan</t>
  </si>
  <si>
    <t>Construction: Post-Construction Costs</t>
  </si>
  <si>
    <t>Construction: Federal LIHTC Equity Provider</t>
  </si>
  <si>
    <t>Construction: Federal LIHTC Equity Amount</t>
  </si>
  <si>
    <t>Construction: Ohio LIHTC Equity Provider</t>
  </si>
  <si>
    <t>Construction: Ohio LIHTC Equity Amount</t>
  </si>
  <si>
    <t>Construction: Construction Loan Provider</t>
  </si>
  <si>
    <t>Construction: Construction Loan Amount</t>
  </si>
  <si>
    <t>Construction: Construction Loan Interest Rate</t>
  </si>
  <si>
    <t>Construction: Construction Loan Term (Months)</t>
  </si>
  <si>
    <t>Construction: Housing Development Loan Interest Rate</t>
  </si>
  <si>
    <t>Construction: Housing Development Loan Term (Months)</t>
  </si>
  <si>
    <t>Construction: Fed. Historic Tax Credit Equity Provider</t>
  </si>
  <si>
    <t>Construction: Fed. Historic Tax Credit Equity Amount</t>
  </si>
  <si>
    <t>Construction: Deferred Developer Fee Provider</t>
  </si>
  <si>
    <t>Construction: Deferred Developer Fee Amount</t>
  </si>
  <si>
    <t>Construction: Deferred Developer Fee Interest Rate</t>
  </si>
  <si>
    <t>Construction: Deferred Developer Fee Term (Months)</t>
  </si>
  <si>
    <t>Construction: Sponsor Loan Provider</t>
  </si>
  <si>
    <t>Construction: Sponsor Loan Amount</t>
  </si>
  <si>
    <t>Construction: Sponsor Loan Interest Rate</t>
  </si>
  <si>
    <t>Construction: Sponsor Loan Term (Months)</t>
  </si>
  <si>
    <t>Construction: GP/MM Capital Contribution Provider</t>
  </si>
  <si>
    <t>Construction: GP/MM Capital Contribution Amount</t>
  </si>
  <si>
    <t>Construction: HDAP: OHTF Amount</t>
  </si>
  <si>
    <t>Construction: HDAP: OHTF Interest Rate</t>
  </si>
  <si>
    <t>Construction: HDAP: OHTF Term (Months)</t>
  </si>
  <si>
    <t>Construction: HDAP: HOME Amount</t>
  </si>
  <si>
    <t>Construction: HDAP: HOME Interest Rate</t>
  </si>
  <si>
    <t>Construction: HDAP: HOME Term (Months)</t>
  </si>
  <si>
    <t>Construction: HDAP: NHTF Amount</t>
  </si>
  <si>
    <t>Construction: HDAP: NHTF Interest Rate</t>
  </si>
  <si>
    <t>Construction: HDAP: Other Amount</t>
  </si>
  <si>
    <t>Construction: HDAP: Other Interest Rate</t>
  </si>
  <si>
    <t>Construction: HDAP: Other Term (Months)</t>
  </si>
  <si>
    <t>Construction: HDAP: NHTF Term (Months)</t>
  </si>
  <si>
    <t>Construction: Other 1 Description</t>
  </si>
  <si>
    <t>Construction: Other 1 Provider</t>
  </si>
  <si>
    <t>Construction: Other 1 Amount</t>
  </si>
  <si>
    <t>Construction: Other 1 Interest Rate</t>
  </si>
  <si>
    <t>Construction: Other 1 Term (Months)</t>
  </si>
  <si>
    <t>Construction: Other 2 Description</t>
  </si>
  <si>
    <t>Construction: Other 2 Provider</t>
  </si>
  <si>
    <t>Construction: Other 2 Amount</t>
  </si>
  <si>
    <t>Construction: Other 2 Interest Rate</t>
  </si>
  <si>
    <t>Construction: Other 3 Description</t>
  </si>
  <si>
    <t>Construction: Other 3 Provider</t>
  </si>
  <si>
    <t>Construction: Other 3 Amount</t>
  </si>
  <si>
    <t>Construction: Other 3 Interest Rate</t>
  </si>
  <si>
    <t>Construction: Other 3 Term (Months)</t>
  </si>
  <si>
    <t>Construction: Other 4 Description</t>
  </si>
  <si>
    <t>Construction: Other 4 Provider</t>
  </si>
  <si>
    <t>Construction: Other 4 Amount</t>
  </si>
  <si>
    <t>Construction: Other 4 Interest Rate</t>
  </si>
  <si>
    <t>Construction: Other 4 Term (Months)</t>
  </si>
  <si>
    <t>Construction: Other 5 Description</t>
  </si>
  <si>
    <t>Construction: Other 5 Provider</t>
  </si>
  <si>
    <t>Construction: Other 5 Amount</t>
  </si>
  <si>
    <t>Construction: Other 5 Interest Rate</t>
  </si>
  <si>
    <t>Construction: Other 5 Term (Months)</t>
  </si>
  <si>
    <t>Construction: Other 6 Description</t>
  </si>
  <si>
    <t>Construction: Other 6 Provider</t>
  </si>
  <si>
    <t>Construction: Other 6 Amount</t>
  </si>
  <si>
    <t>Construction: Other 6 Interest Rate</t>
  </si>
  <si>
    <t>Construction: Other 6 Term (Months)</t>
  </si>
  <si>
    <t>Construction: Other 7 Description</t>
  </si>
  <si>
    <t>Construction: Other 7 Provider</t>
  </si>
  <si>
    <t>Construction: Other 7 Amount</t>
  </si>
  <si>
    <t>Construction: Other 7 Interest Rate</t>
  </si>
  <si>
    <t>Construction: Other 7 Term (Months)</t>
  </si>
  <si>
    <t>Construction: Other 1 Resource Type</t>
  </si>
  <si>
    <t>Construction: Other 2 Term (Months)</t>
  </si>
  <si>
    <t>Construction: Other 2 Resource Type</t>
  </si>
  <si>
    <t>Construction: Other 3 Resource Type</t>
  </si>
  <si>
    <t>Construction: Other 4 Resource Type</t>
  </si>
  <si>
    <t>Construction: Other 5 Resource Type</t>
  </si>
  <si>
    <t>Construction: Other 6 Resource Type</t>
  </si>
  <si>
    <t>Construction: Other 7 Resource Type</t>
  </si>
  <si>
    <t>Construction: Total Construction Sources</t>
  </si>
  <si>
    <t>Perm: Other 1 Description</t>
  </si>
  <si>
    <t>Perm: Federal LIHTC Equity Provider</t>
  </si>
  <si>
    <t>Perm: Federal LIHTC Equity Amount</t>
  </si>
  <si>
    <t>Perm: Ohio LIHTC Equity Provider</t>
  </si>
  <si>
    <t>Perm: Ohio LIHTC Equity Amount</t>
  </si>
  <si>
    <t>Perm: Permanent First Mortgage Provider</t>
  </si>
  <si>
    <t>Perm: Permanent First Mortgage Amount</t>
  </si>
  <si>
    <t>Perm: Permanent First Mortgage Interest Rate</t>
  </si>
  <si>
    <t>Perm: Permanent First Mortgage Amortization Period (Years)</t>
  </si>
  <si>
    <t>Perm: Permanent First Mortgage MIP</t>
  </si>
  <si>
    <t>Perm: Permanent First Mortgage Term (Years)</t>
  </si>
  <si>
    <t>Perm: Permanent Second Mortgage Provider</t>
  </si>
  <si>
    <t>Perm: Permanent Second Mortgage Amount</t>
  </si>
  <si>
    <t>Perm: Permanent Second Mortgage Interest Rate</t>
  </si>
  <si>
    <t>Perm: Permanent Second Mortgage Term (Years)</t>
  </si>
  <si>
    <t>Perm: Permanent Second Mortgage MIP</t>
  </si>
  <si>
    <t>Perm: Fed. Historic Tax Credit Equity Provider</t>
  </si>
  <si>
    <t>Perm: Fed. Historic Tax Credit Equity Amount</t>
  </si>
  <si>
    <t>Perm: Deferred Developer Fee Provider</t>
  </si>
  <si>
    <t>Perm: Deferred Developer Fee Amount</t>
  </si>
  <si>
    <t>Perm: Deferred Developer Fee Interest Rate</t>
  </si>
  <si>
    <t>Perm: Deferred Developer Fee Simple or Compound Interest?</t>
  </si>
  <si>
    <t>Perm: Sponsor Loan Provider</t>
  </si>
  <si>
    <t>Perm: Sponsor Loan Amount</t>
  </si>
  <si>
    <t>Perm: Sponsor Loan Interest Rate</t>
  </si>
  <si>
    <t>Perm: Sponsor Loan Simple or Compound Interest?</t>
  </si>
  <si>
    <t>Perm: GP/MM Capital Contribution Provider</t>
  </si>
  <si>
    <t>Perm: GP/MM Capital Contribution Amount</t>
  </si>
  <si>
    <t>Perm: HDAP: OHTF Amount</t>
  </si>
  <si>
    <t>Perm: HDAP: OHTF Interest Rate</t>
  </si>
  <si>
    <t>Perm: HDAP: OHTF Simple or Compound Interest?</t>
  </si>
  <si>
    <t>Perm: Sponsor Loan Term (Years)</t>
  </si>
  <si>
    <t>Perm: HDAP: OHTF Term (Years)</t>
  </si>
  <si>
    <t>Perm: Deferred Developer Fee Term (Years)</t>
  </si>
  <si>
    <t>Perm: Permanent Second Mortgage Amortization Period (Years)</t>
  </si>
  <si>
    <t>Perm: HDAP: HOME Amount</t>
  </si>
  <si>
    <t>Perm: HDAP: HOME Interest Rate</t>
  </si>
  <si>
    <t>Perm: HDAP: HOME Term (Years)</t>
  </si>
  <si>
    <t>Perm: HDAP: HOME Simple or Compound Interest?</t>
  </si>
  <si>
    <t>Perm: HDAP: NHTF Amount</t>
  </si>
  <si>
    <t>Perm: HDAP: NHTF Interest Rate</t>
  </si>
  <si>
    <t>Perm: HDAP: NHTF Simple or Compound Interest?</t>
  </si>
  <si>
    <t>Perm: HDAP: NHTF Term (Years)</t>
  </si>
  <si>
    <t>Perm: HDAP: Other Amount</t>
  </si>
  <si>
    <t>Perm: HDAP: Other Interest</t>
  </si>
  <si>
    <t>Perm: HDAP: Other Simple or Compound Interest</t>
  </si>
  <si>
    <t>Perm: HDAP: Other Term (Years)</t>
  </si>
  <si>
    <t>Perm: Other 1 Provider</t>
  </si>
  <si>
    <t>Perm: Other 1 Amount</t>
  </si>
  <si>
    <t>Perm: Other 1 Interest Rate</t>
  </si>
  <si>
    <t>Perm: Other 1 Simple or Compound Interest?</t>
  </si>
  <si>
    <t>Perm: Other 1 Term (Years)</t>
  </si>
  <si>
    <t>Perm: Other 1 Resource Type</t>
  </si>
  <si>
    <t>Perm: Other 2 Description</t>
  </si>
  <si>
    <t>Perm: Other 2 Provider</t>
  </si>
  <si>
    <t>Perm: Other 2 Amount</t>
  </si>
  <si>
    <t>Perm: Other 2 Interest Rate</t>
  </si>
  <si>
    <t>Perm: Other 2 Simple or Compound Interest?</t>
  </si>
  <si>
    <t>Perm: Other 2 Term (Years)</t>
  </si>
  <si>
    <t>Perm: Other 2 Resource Type</t>
  </si>
  <si>
    <t>Perm: Other 3 Description</t>
  </si>
  <si>
    <t>Perm: Other 3 Provider</t>
  </si>
  <si>
    <t>Perm: Other 3 Amount</t>
  </si>
  <si>
    <t>Perm: Other 3 Interest Rate</t>
  </si>
  <si>
    <t>Perm: Other 3 Simple or Compound Interest?</t>
  </si>
  <si>
    <t>Perm: Other 3 Term (Years)</t>
  </si>
  <si>
    <t>Perm: Other 3 Resource Type</t>
  </si>
  <si>
    <t>Perm: Other 4 Description</t>
  </si>
  <si>
    <t>Perm: Other 4 Provider</t>
  </si>
  <si>
    <t>Perm: Other 4 Amount</t>
  </si>
  <si>
    <t>Perm: Other 4 Interest Rate</t>
  </si>
  <si>
    <t>Perm: Other 4 Simple or Compound Interest?</t>
  </si>
  <si>
    <t>Perm: Other 4 Term (Years)</t>
  </si>
  <si>
    <t>Perm: Other 4 Resource Type</t>
  </si>
  <si>
    <t>Perm: Other 5 Description</t>
  </si>
  <si>
    <t>Perm: Other 5 Provider</t>
  </si>
  <si>
    <t>Perm: Other 5 Amount</t>
  </si>
  <si>
    <t>Perm: Other 5 Interest Rate</t>
  </si>
  <si>
    <t>Perm: Other 5 Simple or Compound Interest?</t>
  </si>
  <si>
    <t>Perm: Other 5 Term (Years)</t>
  </si>
  <si>
    <t>Perm: Other 5 Resource Type</t>
  </si>
  <si>
    <t>Perm: Other 6 Description</t>
  </si>
  <si>
    <t>Perm: Other 6 Provider</t>
  </si>
  <si>
    <t>Perm: Other 6 Amount</t>
  </si>
  <si>
    <t>Perm: Other 6 Interest Rate</t>
  </si>
  <si>
    <t>Perm: Other 6 Simple or Compound Interest?</t>
  </si>
  <si>
    <t>Perm: Other 6 Term (Years)</t>
  </si>
  <si>
    <t>Perm: Other 6 Resource Type</t>
  </si>
  <si>
    <t>Perm: Other 7 Provider</t>
  </si>
  <si>
    <t>Perm: Other 7 Amount</t>
  </si>
  <si>
    <t>Perm: Other 7 Interest Rate</t>
  </si>
  <si>
    <t>Perm: Other 7 Simple or Compound Interest?</t>
  </si>
  <si>
    <t>Perm: Other 7 Term (Years)</t>
  </si>
  <si>
    <t>Perm: Other 7 Resource Type</t>
  </si>
  <si>
    <t>Perm: Other 8 Provider</t>
  </si>
  <si>
    <t>Perm: Other 8 Amount</t>
  </si>
  <si>
    <t>Perm: Other 8 Interest Rate</t>
  </si>
  <si>
    <t>Perm: Other 8 Simple or Compound Interest?</t>
  </si>
  <si>
    <t>Perm: Other 8 Term (Years)</t>
  </si>
  <si>
    <t>Perm: Other 8 Resource Type</t>
  </si>
  <si>
    <t>Perm: Other 7 Description</t>
  </si>
  <si>
    <t>Perm: Other 8 Description</t>
  </si>
  <si>
    <t>Uses</t>
  </si>
  <si>
    <t xml:space="preserve">Acquisition: Basis Eligible: Purchase Price: Land </t>
  </si>
  <si>
    <t>Acquisition: Basis Eligible: Purchase Price: Buildings</t>
  </si>
  <si>
    <t>Acquisition: Basis Eligible: Land Broker Fees</t>
  </si>
  <si>
    <t xml:space="preserve">Acquisition: Basis Eligible: Other: </t>
  </si>
  <si>
    <t xml:space="preserve">Predevelopment: Basis Eligible: Survey(s) Costs </t>
  </si>
  <si>
    <t xml:space="preserve">Predevelopment: Basis Eligible: Architectural Fees </t>
  </si>
  <si>
    <t xml:space="preserve">Predevelopment: Basis Eligible: Engineering Fees </t>
  </si>
  <si>
    <t xml:space="preserve">Predevelopment: Basis Eligible: Appraisal </t>
  </si>
  <si>
    <t xml:space="preserve">Predevelopment: Basis Eligible: Market Study </t>
  </si>
  <si>
    <t xml:space="preserve">Predevelopment: Basis Eligible: Environmental Report </t>
  </si>
  <si>
    <t xml:space="preserve">Predevelopment: Basis Eligible: Title &amp; Recording </t>
  </si>
  <si>
    <t xml:space="preserve">Predevelopment: Basis Eligible: Other: </t>
  </si>
  <si>
    <t xml:space="preserve">Site PreparationBasis Eligible: </t>
  </si>
  <si>
    <t>Site Preparation: Basis Eligible: Demolition</t>
  </si>
  <si>
    <t xml:space="preserve">Site Preparation: Basis Eligible: Off-Site Improvements </t>
  </si>
  <si>
    <t xml:space="preserve">Site Preparation: Basis Eligible: On-Site Improvements </t>
  </si>
  <si>
    <t>Site Preparation: Basis Eligible: Relocation Costs</t>
  </si>
  <si>
    <t xml:space="preserve">Site Preparation: Basis Eligible: Other: </t>
  </si>
  <si>
    <t xml:space="preserve">Hard Construction: Basis Eligible: General Requirements </t>
  </si>
  <si>
    <t>Hard Construction: Basis Eligible: Permit</t>
  </si>
  <si>
    <t>Hard Construction: Basis Eligible: Site Security</t>
  </si>
  <si>
    <t>Hard Construction: Basis Eligible: Commercial Costs (Non-Construction)</t>
  </si>
  <si>
    <t xml:space="preserve">Hard Construction Basis Eligible: Hard Construction (Residential New Const.) </t>
  </si>
  <si>
    <t xml:space="preserve">Hard Construction: Basis Eligible: Hard Construction (Residential Rehabilitation) </t>
  </si>
  <si>
    <t xml:space="preserve">Hard Construction: Basis Eligible: Hard Construction (Commercial) </t>
  </si>
  <si>
    <t xml:space="preserve">Hard Construction: Basis Eligible: Hard Construction (Amenity Fee Items) </t>
  </si>
  <si>
    <t xml:space="preserve">Hard Construction: Basis Eligible: Construction Contingency </t>
  </si>
  <si>
    <t>Hard Construction: Basis Eligible: Furniture, Fixtures &amp; Equipment</t>
  </si>
  <si>
    <t xml:space="preserve">Hard Construction: Basis Eligible: Contractor Overhead </t>
  </si>
  <si>
    <t xml:space="preserve">Hard Construction:Basis Eligible:  Contractor Profit </t>
  </si>
  <si>
    <t xml:space="preserve">Hard Construction: Basis Eligible: Other: </t>
  </si>
  <si>
    <t xml:space="preserve">Financing: Basis Eligible: Construction Insurance </t>
  </si>
  <si>
    <t xml:space="preserve">Financing: Basis Eligible: Construction Interest </t>
  </si>
  <si>
    <t xml:space="preserve">Financing: Basis Eligible: Construction Loan(s) Fees </t>
  </si>
  <si>
    <t xml:space="preserve">Financing: Basis Eligible: Permanent Loan(s) Fees </t>
  </si>
  <si>
    <t xml:space="preserve">Financing: Basis Eligible: Costs of Tax-Exempt Bond Issuance </t>
  </si>
  <si>
    <t xml:space="preserve">Financing: Basis Eligible: Impact Fees/Tap Fees/Taxes </t>
  </si>
  <si>
    <t xml:space="preserve">Financing: Basis Eligible: Rent-up Costs/Marketing </t>
  </si>
  <si>
    <t xml:space="preserve">Financing: Basis Eligible: Other: </t>
  </si>
  <si>
    <t xml:space="preserve">Professional: Basis Eligible: Legal Fees (not syndication related) </t>
  </si>
  <si>
    <t xml:space="preserve">Professional: Basis Eligible: Accounting Fees </t>
  </si>
  <si>
    <t>Professional: Basis Eligible: Developer Fee</t>
  </si>
  <si>
    <t>Professional: Basis Eligible: Application/Development Consultant Fees</t>
  </si>
  <si>
    <t>Professional: Basis Eligible: Construction Management Fees</t>
  </si>
  <si>
    <t>Professional: Basis Eligible: Guarantee Fees</t>
  </si>
  <si>
    <t>Professional: Basis Eligible: Developer-Charged Financing Fees</t>
  </si>
  <si>
    <t xml:space="preserve">Professional: Basis Eligible: Organizational Fees </t>
  </si>
  <si>
    <t xml:space="preserve">Professional: Basis Eligible: Syndication Expenses </t>
  </si>
  <si>
    <t>Professional: Basis Eligible: Developer-Charged Asset Management Fee</t>
  </si>
  <si>
    <t>Professional: Basis Eligible: Soft Cost Contingency</t>
  </si>
  <si>
    <t xml:space="preserve">Professional: Basis Eligible: Other: </t>
  </si>
  <si>
    <t>OHFA: Basis Eligible: Proposal Application Fee</t>
  </si>
  <si>
    <t>OHFA: Basis Eligible: Final Application Fee</t>
  </si>
  <si>
    <t>OHFA: Basis Eligible: LIHTC Reservation Fee (6% of Annual LIHTC)</t>
  </si>
  <si>
    <t>OHFA: Basis Eligible: HDL Application, Servicing, and Closing Fee</t>
  </si>
  <si>
    <t>OHFA: Basis Eligible: MLP Application and Closing Fee</t>
  </si>
  <si>
    <t>OHFA: Basis Eligible: Compliance Monitoring Fee ($2,550/unit)</t>
  </si>
  <si>
    <t xml:space="preserve">OHFA: Basis Eligible: Other: </t>
  </si>
  <si>
    <t>Capitalized Reserves: Basis Eligible: Capitalized Operating Reserve Account</t>
  </si>
  <si>
    <t>Capitalized Reserves: Basis Eligible: Capitalized Replacement Reserve Account</t>
  </si>
  <si>
    <t xml:space="preserve">Capitalized Reserves: Basis Eligible: Other: </t>
  </si>
  <si>
    <t xml:space="preserve">Acquisition: Not Basis Eligible: Purchase Price: Land </t>
  </si>
  <si>
    <t>Acquisition: Not Basis Eligible: Purchase Price: Buildings</t>
  </si>
  <si>
    <t>Acquisition: Not Basis Eligible: Land Broker Fees</t>
  </si>
  <si>
    <t xml:space="preserve">Acquisition: Not Basis Eligible: Other: </t>
  </si>
  <si>
    <t xml:space="preserve">Predevelopment: Not Basis Eligible: Survey(s) Costs </t>
  </si>
  <si>
    <t xml:space="preserve">Predevelopment: Not Basis Eligible: Architectural Fees </t>
  </si>
  <si>
    <t xml:space="preserve">Predevelopment: Not Basis Eligible: Engineering Fees </t>
  </si>
  <si>
    <t xml:space="preserve">Predevelopment: Not Basis Eligible: Appraisal </t>
  </si>
  <si>
    <t xml:space="preserve">Predevelopment: Not Basis Eligible: Market Study </t>
  </si>
  <si>
    <t xml:space="preserve">Predevelopment: Not Basis Eligible: Environmental Report </t>
  </si>
  <si>
    <t xml:space="preserve">Predevelopment: Not Basis Eligible: Title &amp; Recording </t>
  </si>
  <si>
    <t xml:space="preserve">Predevelopment: Not Basis Eligible: Other: </t>
  </si>
  <si>
    <t>Site Preparation: Not Basis Eligible: Demolition</t>
  </si>
  <si>
    <t xml:space="preserve">Site Preparation: Not Basis Eligible: Off-Site Improvements </t>
  </si>
  <si>
    <t xml:space="preserve">Site Preparation: Not Basis Eligible: On-Site Improvements </t>
  </si>
  <si>
    <t>Site Preparation: Not Basis Eligible: Relocation Costs</t>
  </si>
  <si>
    <t xml:space="preserve">Site Preparation: Not Basis Eligible: Other: </t>
  </si>
  <si>
    <t xml:space="preserve">Hard Construction: Not Basis Eligible: General Requirements </t>
  </si>
  <si>
    <t>Hard Construction: Not Basis Eligible: Permit</t>
  </si>
  <si>
    <t>Hard Construction: Not Basis Eligible: Site Security</t>
  </si>
  <si>
    <t>Hard Construction: Not Basis Eligible: Commercial Costs (Non-Construction)</t>
  </si>
  <si>
    <t xml:space="preserve">Hard Construction Not Basis Eligible: Hard Construction (Residential New Const.) </t>
  </si>
  <si>
    <t xml:space="preserve">Hard Construction: Not Basis Eligible: Hard Construction (Residential Rehabilitation) </t>
  </si>
  <si>
    <t xml:space="preserve">Hard Construction: Not Basis Eligible: Hard Construction (Commercial) </t>
  </si>
  <si>
    <t xml:space="preserve">Hard Construction: Not Basis Eligible: Hard Construction (Amenity Fee Items) </t>
  </si>
  <si>
    <t xml:space="preserve">Hard Construction: Not Basis Eligible: Construction Contingency </t>
  </si>
  <si>
    <t>Hard Construction: Not Basis Eligible: Furniture, Fixtures &amp; Equipment</t>
  </si>
  <si>
    <t xml:space="preserve">Hard Construction: Not Basis Eligible: Contractor Overhead </t>
  </si>
  <si>
    <t xml:space="preserve">Hard Construction:Not Basis Eligible:  Contractor Profit </t>
  </si>
  <si>
    <t xml:space="preserve">Hard Construction: Not Basis Eligible: Other: </t>
  </si>
  <si>
    <t xml:space="preserve">Financing: Not Basis Eligible: Construction Insurance </t>
  </si>
  <si>
    <t xml:space="preserve">Financing: Not Basis Eligible: Construction Interest </t>
  </si>
  <si>
    <t xml:space="preserve">Financing: Not Basis Eligible: Construction Loan(s) Fees </t>
  </si>
  <si>
    <t xml:space="preserve">Financing: Not Basis Eligible: Permanent Loan(s) Fees </t>
  </si>
  <si>
    <t xml:space="preserve">Financing: Not Basis Eligible: Costs of Tax-Exempt Bond Issuance </t>
  </si>
  <si>
    <t xml:space="preserve">Financing: Not Basis Eligible: Impact Fees/Tap Fees/Taxes </t>
  </si>
  <si>
    <t xml:space="preserve">Financing: Not Basis Eligible: Rent-up Costs/Marketing </t>
  </si>
  <si>
    <t xml:space="preserve">Financing: Not Basis Eligible: Other: </t>
  </si>
  <si>
    <t xml:space="preserve">Professional: Not Basis Eligible: Legal Fees (not syndication related) </t>
  </si>
  <si>
    <t xml:space="preserve">Professional: Not Basis Eligible: Accounting Fees </t>
  </si>
  <si>
    <t>Professional: Not Basis Eligible: Developer Fee</t>
  </si>
  <si>
    <t>Professional: Not Basis Eligible: Application/Development Consultant Fees</t>
  </si>
  <si>
    <t>Professional: Not Basis Eligible: Construction Management Fees</t>
  </si>
  <si>
    <t>Professional: Not Basis Eligible: Guarantee Fees</t>
  </si>
  <si>
    <t>Professional: Not Basis Eligible: Developer-Charged Financing Fees</t>
  </si>
  <si>
    <t xml:space="preserve">Professional: Not Basis Eligible: Organizational Fees </t>
  </si>
  <si>
    <t xml:space="preserve">Professional: Not Basis Eligible: Syndication Expenses </t>
  </si>
  <si>
    <t>Professional: Not Basis Eligible: Developer-Charged Asset Management Fee</t>
  </si>
  <si>
    <t>Professional: Not Basis Eligible: Soft Cost Contingency</t>
  </si>
  <si>
    <t xml:space="preserve">Professional: Not Basis Eligible: Other: </t>
  </si>
  <si>
    <t>OHFA: Not Basis Eligible: Proposal Application Fee</t>
  </si>
  <si>
    <t>OHFA: Not Basis Eligible: Final Application Fee</t>
  </si>
  <si>
    <t>OHFA: Not Basis Eligible: LIHTC Reservation Fee (6% of Annual LIHTC)</t>
  </si>
  <si>
    <t>OHFA: Not Basis Eligible: HDL Application, Servicing, and Closing Fee</t>
  </si>
  <si>
    <t>OHFA: Not Basis Eligible: MLP Application and Closing Fee</t>
  </si>
  <si>
    <t>OHFA: Not Basis Eligible: Compliance Monitoring Fee ($2,550/unit)</t>
  </si>
  <si>
    <t xml:space="preserve">OHFA: Not Basis Eligible: Other: </t>
  </si>
  <si>
    <t>Capitalized Reserves: Not Basis Eligible: Capitalized Operating Reserve Account</t>
  </si>
  <si>
    <t>Capitalized Reserves: Not Basis Eligible: Capitalized Replacement Reserve Account</t>
  </si>
  <si>
    <t xml:space="preserve">Capitalized Reserves: Not Basis Eligible: Other: </t>
  </si>
  <si>
    <t xml:space="preserve">Acquisition: Total: Purchase Price: Land </t>
  </si>
  <si>
    <t>Acquisition: Total: Purchase Price: Buildings</t>
  </si>
  <si>
    <t>Acquisition: Total: Land Broker Fees</t>
  </si>
  <si>
    <t xml:space="preserve">Acquisition: Total: Other: </t>
  </si>
  <si>
    <t xml:space="preserve">Predevelopment: Total: Survey(s) Costs </t>
  </si>
  <si>
    <t xml:space="preserve">Predevelopment: Total: Architectural Fees </t>
  </si>
  <si>
    <t xml:space="preserve">Predevelopment: Total: Engineering Fees </t>
  </si>
  <si>
    <t xml:space="preserve">Predevelopment: Total: Appraisal </t>
  </si>
  <si>
    <t xml:space="preserve">Predevelopment: Total: Market Study </t>
  </si>
  <si>
    <t xml:space="preserve">Predevelopment: Total: Environmental Report </t>
  </si>
  <si>
    <t xml:space="preserve">Predevelopment: Total: Title &amp; Recording </t>
  </si>
  <si>
    <t xml:space="preserve">Predevelopment: Total: Other: </t>
  </si>
  <si>
    <t>Site Preparation: Total: Demolition</t>
  </si>
  <si>
    <t xml:space="preserve">Site Preparation: Total: Off-Site Improvements </t>
  </si>
  <si>
    <t xml:space="preserve">Site Preparation: Total: On-Site Improvements </t>
  </si>
  <si>
    <t>Site Preparation: Total: Relocation Costs</t>
  </si>
  <si>
    <t xml:space="preserve">Site Preparation: Total: Other: </t>
  </si>
  <si>
    <t xml:space="preserve">Hard Construction: Total: General Requirements </t>
  </si>
  <si>
    <t>Hard Construction: Total: Permit</t>
  </si>
  <si>
    <t>Hard Construction: Total: Site Security</t>
  </si>
  <si>
    <t>Hard Construction: Total: Commercial Costs (Non-Construction)</t>
  </si>
  <si>
    <t xml:space="preserve">Hard Construction Total: Hard Construction (Residential New Const.) </t>
  </si>
  <si>
    <t xml:space="preserve">Hard Construction: Total: Hard Construction (Residential Rehabilitation) </t>
  </si>
  <si>
    <t xml:space="preserve">Hard Construction: Total: Hard Construction (Commercial) </t>
  </si>
  <si>
    <t xml:space="preserve">Hard Construction: Total: Hard Construction (Amenity Fee Items) </t>
  </si>
  <si>
    <t xml:space="preserve">Hard Construction: Total: Construction Contingency </t>
  </si>
  <si>
    <t>Hard Construction: Total: Furniture, Fixtures &amp; Equipment</t>
  </si>
  <si>
    <t xml:space="preserve">Hard Construction: Total: Contractor Overhead </t>
  </si>
  <si>
    <t xml:space="preserve">Hard Construction: Total: Contractor Profit </t>
  </si>
  <si>
    <t xml:space="preserve">Hard Construction: Total: Other: </t>
  </si>
  <si>
    <t xml:space="preserve">Financing: Total: Construction Insurance </t>
  </si>
  <si>
    <t xml:space="preserve">Financing: Total: Construction Interest </t>
  </si>
  <si>
    <t xml:space="preserve">Financing: Total: Construction Loan(s) Fees </t>
  </si>
  <si>
    <t xml:space="preserve">Financing: Total: Permanent Loan(s) Fees </t>
  </si>
  <si>
    <t xml:space="preserve">Financing: Total: Costs of Tax-Exempt Bond Issuance </t>
  </si>
  <si>
    <t xml:space="preserve">Financing: Total: Impact Fees/Tap Fees/Taxes </t>
  </si>
  <si>
    <t xml:space="preserve">Financing: Total: Rent-up Costs/Marketing </t>
  </si>
  <si>
    <t xml:space="preserve">Financing: Total: Other: </t>
  </si>
  <si>
    <t xml:space="preserve">Professional: Total: Legal Fees (not syndication related) </t>
  </si>
  <si>
    <t xml:space="preserve">Professional: Total: Accounting Fees </t>
  </si>
  <si>
    <t>Professional: Total: Developer Fee</t>
  </si>
  <si>
    <t>Professional: Total: Application/Development Consultant Fees</t>
  </si>
  <si>
    <t>Professional: Total: Construction Management Fees</t>
  </si>
  <si>
    <t>Professional: Total: Guarantee Fees</t>
  </si>
  <si>
    <t>Professional: Total: Developer-Charged Financing Fees</t>
  </si>
  <si>
    <t xml:space="preserve">Professional: Total: Organizational Fees </t>
  </si>
  <si>
    <t xml:space="preserve">Professional: Total: Syndication Expenses </t>
  </si>
  <si>
    <t>Professional: Total: Developer-Charged Asset Management Fee</t>
  </si>
  <si>
    <t>Professional: Total: Soft Cost Contingency</t>
  </si>
  <si>
    <t xml:space="preserve">Professional: Total: Other: </t>
  </si>
  <si>
    <t>OHFA: Total: Proposal Application Fee</t>
  </si>
  <si>
    <t>OHFA: Total: Final Application Fee</t>
  </si>
  <si>
    <t>OHFA: Total: LIHTC Reservation Fee (6% of Annual LIHTC)</t>
  </si>
  <si>
    <t>OHFA: Total: HDL Application, Servicing, and Closing Fee</t>
  </si>
  <si>
    <t>OHFA: Total: MLP Application and Closing Fee</t>
  </si>
  <si>
    <t>OHFA: Total: Compliance Monitoring Fee ($2,550/unit)</t>
  </si>
  <si>
    <t xml:space="preserve">OHFA: Total: Other: </t>
  </si>
  <si>
    <t>Capitalized Reserves: Total: Capitalized Operating Reserve Account</t>
  </si>
  <si>
    <t>Capitalized Reserves: Total: Capitalized Replacement Reserve Account</t>
  </si>
  <si>
    <t xml:space="preserve">Capitalized Reserves: Total: Other: </t>
  </si>
  <si>
    <t>Total Acquisition Basis</t>
  </si>
  <si>
    <t>Total Rehabilitation Basis</t>
  </si>
  <si>
    <t>Total New Construction Basis</t>
  </si>
  <si>
    <t>Total Eligible Basis</t>
  </si>
  <si>
    <t>Total Costs Outside Eligible Basis</t>
  </si>
  <si>
    <t>Total HDAP Eligible Costs</t>
  </si>
  <si>
    <t>LIHTCs</t>
  </si>
  <si>
    <t>Reduction in Eligible Basis for Residential Portion of Federal Historic Tax Credit</t>
  </si>
  <si>
    <t>Deducted Federal Financing</t>
  </si>
  <si>
    <t>Other Ineligible Costs</t>
  </si>
  <si>
    <t>Net Eligible Basis</t>
  </si>
  <si>
    <t>Codified Basis Boost Amount</t>
  </si>
  <si>
    <t>Discretionary Basis Boost Amount</t>
  </si>
  <si>
    <t>Adjust Basis with Boost</t>
  </si>
  <si>
    <t>Total Qualified Basis</t>
  </si>
  <si>
    <t>Annual LIHTC Requested</t>
  </si>
  <si>
    <t>10-Year LIHTC Requested</t>
  </si>
  <si>
    <t>Installment #1 Benchmark</t>
  </si>
  <si>
    <t>Installment #1 Estimated Date</t>
  </si>
  <si>
    <t>Installment #1 Amount</t>
  </si>
  <si>
    <t>Installment #2 Benchmark</t>
  </si>
  <si>
    <t>Installment #2 Estimated Date</t>
  </si>
  <si>
    <t>Installment #2 Amount</t>
  </si>
  <si>
    <t>Installment #3 Benchmark</t>
  </si>
  <si>
    <t>Installment #3 Estimated Date</t>
  </si>
  <si>
    <t>Installment #3 Amount</t>
  </si>
  <si>
    <t>Installment #4 Benchmark</t>
  </si>
  <si>
    <t>Installment #4 Estimated Date</t>
  </si>
  <si>
    <t>Installment #4 Amount</t>
  </si>
  <si>
    <t>Installment #5 Benchmark</t>
  </si>
  <si>
    <t>Installment #5 Estimated Date</t>
  </si>
  <si>
    <t>Installment #5 Amount</t>
  </si>
  <si>
    <t>Installment #6 Benchmark</t>
  </si>
  <si>
    <t>Installment #6 Estimated Date</t>
  </si>
  <si>
    <t>Installment #6 Amount</t>
  </si>
  <si>
    <t>Installment #7 Benchmark</t>
  </si>
  <si>
    <t>Installment #7 Estimated Date</t>
  </si>
  <si>
    <t>Installment #7 Amount</t>
  </si>
  <si>
    <t>Installment #8 Benchmark</t>
  </si>
  <si>
    <t>Installment #8 Estimated Date</t>
  </si>
  <si>
    <t>Installment #8 Amount</t>
  </si>
  <si>
    <t>Installment #9 Benchmark</t>
  </si>
  <si>
    <t>Installment #9 Estimated Date</t>
  </si>
  <si>
    <t>Installment #9 Amount</t>
  </si>
  <si>
    <t>Installment #10 Benchmark</t>
  </si>
  <si>
    <t>Installment #10 Estimated Date</t>
  </si>
  <si>
    <t>Installment #10 Amount</t>
  </si>
  <si>
    <t>Installment #11 Benchmark</t>
  </si>
  <si>
    <t>Installment #11 Estimated Date</t>
  </si>
  <si>
    <t>Installment #11 Amount</t>
  </si>
  <si>
    <t>Installment #12 Benchmark</t>
  </si>
  <si>
    <t>Installment #12 Estimated Date</t>
  </si>
  <si>
    <t>Installment #12 Amount</t>
  </si>
  <si>
    <t>Installment #13 Benchmark</t>
  </si>
  <si>
    <t>Installment #13 Estimated Date</t>
  </si>
  <si>
    <t>Installment #13 Amount</t>
  </si>
  <si>
    <t>Installment #14 Benchmark</t>
  </si>
  <si>
    <t>Installment #14 Estimated Date</t>
  </si>
  <si>
    <t>Installment #14 Amount</t>
  </si>
  <si>
    <t>Installment #15 Benchmark</t>
  </si>
  <si>
    <t>Installment #15 Estimated Date</t>
  </si>
  <si>
    <t>Installment #15 Amount</t>
  </si>
  <si>
    <t>Cashflow</t>
  </si>
  <si>
    <t>Stable Year 1 Debt Service Coverage Ratio</t>
  </si>
  <si>
    <t>Stable Year 15 Debt Service Coverage Ratio</t>
  </si>
  <si>
    <t>Average 15-Year Debt Service Coverage Ratio</t>
  </si>
  <si>
    <t>Average 15-Year Income to Expense Ratio</t>
  </si>
  <si>
    <t>Stable Year 1 Income to Expense Ratio</t>
  </si>
  <si>
    <t>Stable Year 15 Income to Expense Ratio</t>
  </si>
  <si>
    <t>HDL</t>
  </si>
  <si>
    <t>OLIHTCs</t>
  </si>
  <si>
    <t>Bonds</t>
  </si>
  <si>
    <t>HDAP-Site and Neighborhood Standards</t>
  </si>
  <si>
    <t>Developer seeking Exemption #1</t>
  </si>
  <si>
    <t>Developer seeking Exemption #2</t>
  </si>
  <si>
    <t>HDAP-Unit Comparability</t>
  </si>
  <si>
    <t>HDAP-Proration</t>
  </si>
  <si>
    <t>Finalized Assisted Units</t>
  </si>
  <si>
    <t>HDAP-Standard</t>
  </si>
  <si>
    <t>Team</t>
  </si>
  <si>
    <t>Lead Developer Organization Name:</t>
  </si>
  <si>
    <t>Lead Developer Address:</t>
  </si>
  <si>
    <t>Lead Developer City:</t>
  </si>
  <si>
    <t>Lead Developer State:</t>
  </si>
  <si>
    <t>Lead Developer Zip Code:</t>
  </si>
  <si>
    <t>Lead Developer Tax Status:</t>
  </si>
  <si>
    <t>Lead Developer Federal Tax Identification (EIN):</t>
  </si>
  <si>
    <t>Lead Developer Web Site:</t>
  </si>
  <si>
    <t>Lead Developer Parent Organization:</t>
  </si>
  <si>
    <t>Lead Developer Main Contact Salutation:</t>
  </si>
  <si>
    <t>Lead Developer Main Contact First Name:</t>
  </si>
  <si>
    <t>Lead Developer Main Contact Last Name:</t>
  </si>
  <si>
    <t>Lead Developer Main Contact Title:</t>
  </si>
  <si>
    <t>Lead Developer Office Phone Number:</t>
  </si>
  <si>
    <t>Lead Developer Cell Phone Number:</t>
  </si>
  <si>
    <t>Lead Developer E-Mail Address:</t>
  </si>
  <si>
    <t>Co-Developer #1 Organization Name:</t>
  </si>
  <si>
    <t>Co-Developer #1 Address:</t>
  </si>
  <si>
    <t>Co-Developer #1 Federal Tax Identification (EIN):</t>
  </si>
  <si>
    <t>Co-Developer #1 Web Site:</t>
  </si>
  <si>
    <t>Co-Developer #1 Parent Organization:</t>
  </si>
  <si>
    <t>Co-Developer #1 Main Contact Salutation:</t>
  </si>
  <si>
    <t>Co-Developer #1 Main Contact First Name:</t>
  </si>
  <si>
    <t>Co-Developer #1 Main Contact Last Name:</t>
  </si>
  <si>
    <t>Co-Developer #1 Main Contact Title:</t>
  </si>
  <si>
    <t>Co-Developer #1 Office Phone Number:</t>
  </si>
  <si>
    <t>Co-Developer #1 Cell Phone Number:</t>
  </si>
  <si>
    <t>Co-Developer #1 E-Mail Address:</t>
  </si>
  <si>
    <t>Co-Developer #1 Tax Status:</t>
  </si>
  <si>
    <t>Co-Developer #1 Zip Code:</t>
  </si>
  <si>
    <t>Co-Developer #1 State:</t>
  </si>
  <si>
    <t>Co-Developer #1 City:</t>
  </si>
  <si>
    <t>Co-Developer #2 Organization Name:</t>
  </si>
  <si>
    <t>Co-Developer #2 Address:</t>
  </si>
  <si>
    <t>Co-Developer #2 City:</t>
  </si>
  <si>
    <t>Co-Developer #2 State:</t>
  </si>
  <si>
    <t>Co-Developer #2 Zip Code:</t>
  </si>
  <si>
    <t>Co-Developer #2 Tax Status:</t>
  </si>
  <si>
    <t>Co-Developer #2 Federal Tax Identification (EIN):</t>
  </si>
  <si>
    <t>Co-Developer #2 Web Site:</t>
  </si>
  <si>
    <t>Co-Developer #2 Parent Organization:</t>
  </si>
  <si>
    <t>Co-Developer #2 Main Contact Salutation:</t>
  </si>
  <si>
    <t>Co-Developer #2 Main Contact First Name:</t>
  </si>
  <si>
    <t>Co-Developer #2 Main Contact Last Name:</t>
  </si>
  <si>
    <t>Co-Developer #2 Main Contact Title:</t>
  </si>
  <si>
    <t>Co-Developer #2 Office Phone Number:</t>
  </si>
  <si>
    <t>Co-Developer #2 Cell Phone Number:</t>
  </si>
  <si>
    <t>Co-Developer #2 E-Mail Address:</t>
  </si>
  <si>
    <t>Consultant Organization Name:</t>
  </si>
  <si>
    <t>Consultant Address:</t>
  </si>
  <si>
    <t>Consultant City:</t>
  </si>
  <si>
    <t>Consultant State:</t>
  </si>
  <si>
    <t>Consultant Zip Code:</t>
  </si>
  <si>
    <t>Consultant Tax Status:</t>
  </si>
  <si>
    <t>Consultant Federal Tax Identification (EIN):</t>
  </si>
  <si>
    <t>Consultant Web Site:</t>
  </si>
  <si>
    <t>Consultant Parent Organization:</t>
  </si>
  <si>
    <t>Consultant Main Contact Salutation:</t>
  </si>
  <si>
    <t>Consultant Main Contact First Name:</t>
  </si>
  <si>
    <t>Consultant Main Contact Last Name:</t>
  </si>
  <si>
    <t>Consultant Main Contact Title:</t>
  </si>
  <si>
    <t>Consultant Office Phone Number:</t>
  </si>
  <si>
    <t>Consultant Cell Phone Number:</t>
  </si>
  <si>
    <t>Consultant E-Mail Address:</t>
  </si>
  <si>
    <t>Federal LIHTC Syndicator/Investor Organization Name:</t>
  </si>
  <si>
    <t>Federal LIHTC Syndicator/Investor Address:</t>
  </si>
  <si>
    <t>Federal LIHTC Syndicator/Investor City:</t>
  </si>
  <si>
    <t>Federal LIHTC Syndicator/Investor State:</t>
  </si>
  <si>
    <t>Federal LIHTC Syndicator/Investor Zip Code:</t>
  </si>
  <si>
    <t>Federal LIHTC Syndicator/Investor Tax Status:</t>
  </si>
  <si>
    <t>Federal LIHTC Syndicator/Investor Federal Tax Identification (EIN):</t>
  </si>
  <si>
    <t>Federal LIHTC Syndicator/Investor Web Site:</t>
  </si>
  <si>
    <t>Federal LIHTC Syndicator/Investor Parent Organization:</t>
  </si>
  <si>
    <t>Federal LIHTC Syndicator/Investor Main Contact Salutation:</t>
  </si>
  <si>
    <t>Federal LIHTC Syndicator/Investor Main Contact First Name:</t>
  </si>
  <si>
    <t>Federal LIHTC Syndicator/Investor Main Contact Last Name:</t>
  </si>
  <si>
    <t>Federal LIHTC Syndicator/Investor Main Contact Title:</t>
  </si>
  <si>
    <t>Federal LIHTC Syndicator/Investor Office Phone Number:</t>
  </si>
  <si>
    <t>Federal LIHTC Syndicator/Investor Cell Phone Number:</t>
  </si>
  <si>
    <t>Federal LIHTC Syndicator/Investor E-Mail Address:</t>
  </si>
  <si>
    <t>Federal Historic Preservation Tax Credit Syndicator/Investor Organization Name:</t>
  </si>
  <si>
    <t>Federal Historic Preservation Tax Credit Syndicator/Investor Address:</t>
  </si>
  <si>
    <t>Federal Historic Preservation Tax Credit Syndicator/Investor City:</t>
  </si>
  <si>
    <t>Federal Historic Preservation Tax Credit Syndicator/Investor State:</t>
  </si>
  <si>
    <t>Federal Historic Preservation Tax Credit Syndicator/Investor Zip Code:</t>
  </si>
  <si>
    <t>Federal Historic Preservation Tax Credit Syndicator/Investor Tax Status:</t>
  </si>
  <si>
    <t>Federal Historic Preservation Tax Credit Syndicator/Investor Federal Tax Identification (EIN):</t>
  </si>
  <si>
    <t>Federal Historic Preservation Tax Credit Syndicator/Investor Web Site:</t>
  </si>
  <si>
    <t>Federal Historic Preservation Tax Credit Syndicator/Investor Parent Organization:</t>
  </si>
  <si>
    <t>Federal Historic Preservation Tax Credit Syndicator/Investor Main Contact Salutation:</t>
  </si>
  <si>
    <t>Federal Historic Preservation Tax Credit Syndicator/Investor Main Contact First Name:</t>
  </si>
  <si>
    <t>Federal Historic Preservation Tax Credit Syndicator/Investor Main Contact Last Name:</t>
  </si>
  <si>
    <t>Federal Historic Preservation Tax Credit Syndicator/Investor Main Contact Title:</t>
  </si>
  <si>
    <t>Federal Historic Preservation Tax Credit Syndicator/Investor Office Phone Number:</t>
  </si>
  <si>
    <t>Federal Historic Preservation Tax Credit Syndicator/Investor Cell Phone Number:</t>
  </si>
  <si>
    <t>Federal Historic Preservation Tax Credit Syndicator/Investor E-Mail Address:</t>
  </si>
  <si>
    <t>Ownership Entity Organization Name:</t>
  </si>
  <si>
    <t>Ownership Entity Address:</t>
  </si>
  <si>
    <t>Ownership Entity City:</t>
  </si>
  <si>
    <t>Ownership Entity State:</t>
  </si>
  <si>
    <t>Ownership Entity Zip Code:</t>
  </si>
  <si>
    <t>Ownership Entity Tax Status:</t>
  </si>
  <si>
    <t>Ownership Entity Federal Tax Identification (EIN):</t>
  </si>
  <si>
    <t>Ownership Entity Ownership Type:</t>
  </si>
  <si>
    <t>Ownership Entity If "Other," Describe:</t>
  </si>
  <si>
    <t>Ownership Entity Authorized Signer Salutation:</t>
  </si>
  <si>
    <t>Ownership Entity Authorized Signer First Name:</t>
  </si>
  <si>
    <t>Ownership Entity Authorized Signer Last Name:</t>
  </si>
  <si>
    <t>Ownership Entity Authorized Signer Title:</t>
  </si>
  <si>
    <t>Ownership Entity Organization:</t>
  </si>
  <si>
    <t>Ownership Entity Office Phone Number:</t>
  </si>
  <si>
    <t>Ownership Entity Cell Phone Number:</t>
  </si>
  <si>
    <t>Ownership Entity E-Mail Address:</t>
  </si>
  <si>
    <t>Limited Partner #1 Organization Name:</t>
  </si>
  <si>
    <t>Limited Partner #1 Address:</t>
  </si>
  <si>
    <t>Limited Partner #1 City:</t>
  </si>
  <si>
    <t>Limited Partner #1 State:</t>
  </si>
  <si>
    <t>Limited Partner #1 Zip Code:</t>
  </si>
  <si>
    <t>Limited Partner #1 Tax Status:</t>
  </si>
  <si>
    <t>Limited Partner #1 Federal Tax Identification (EIN):</t>
  </si>
  <si>
    <t>Limited Partner #1 Ownership Type:</t>
  </si>
  <si>
    <t>Limited Partner #1  If "Other," Describe:</t>
  </si>
  <si>
    <t>Limited Partner #1 Authorized Signer Salutation:</t>
  </si>
  <si>
    <t>Limited Partner #1 Authorized Signer First Name:</t>
  </si>
  <si>
    <t>Limited Partner #1 Authorized Signer Last Name:</t>
  </si>
  <si>
    <t>Limited Partner #1 Authorized Signer Title:</t>
  </si>
  <si>
    <t>Limited Partner #1 Organization:</t>
  </si>
  <si>
    <t>Limited Partner #1 Office Phone Number:</t>
  </si>
  <si>
    <t>Limited Partner #1 Cell Phone Number:</t>
  </si>
  <si>
    <t>Limited Partner #1 E-Mail Address:</t>
  </si>
  <si>
    <t>Limited Partner #1 Parent Organization:</t>
  </si>
  <si>
    <t>Limited Partner #1 Ownership Percent of LP/LLC:</t>
  </si>
  <si>
    <t>Limited Partner #1 Web Site:</t>
  </si>
  <si>
    <t>Limited Partner #2 Organization Name:</t>
  </si>
  <si>
    <t>Limited Partner #2 Address:</t>
  </si>
  <si>
    <t>Limited Partner #2 City:</t>
  </si>
  <si>
    <t>Limited Partner #2 State:</t>
  </si>
  <si>
    <t>Limited Partner #2 Zip Code:</t>
  </si>
  <si>
    <t>Limited Partner #2 Tax Status:</t>
  </si>
  <si>
    <t>Limited Partner #2 Federal Tax Identification (EIN):</t>
  </si>
  <si>
    <t>Limited Partner #2 Web Site:</t>
  </si>
  <si>
    <t>Limited Partner #2 Ownership Type:</t>
  </si>
  <si>
    <t>Limited Partner #2  If "Other," Describe:</t>
  </si>
  <si>
    <t>Limited Partner #2 Parent Organization:</t>
  </si>
  <si>
    <t>Limited Partner #2 Ownership Percent of LP/LLC:</t>
  </si>
  <si>
    <t>Limited Partner #2 Authorized Signer Salutation:</t>
  </si>
  <si>
    <t>Limited Partner #2 Authorized Signer First Name:</t>
  </si>
  <si>
    <t>Limited Partner #2 Authorized Signer Last Name:</t>
  </si>
  <si>
    <t>Limited Partner #2 Authorized Signer Title:</t>
  </si>
  <si>
    <t>Limited Partner #2 Organization:</t>
  </si>
  <si>
    <t>Limited Partner #2 Office Phone Number:</t>
  </si>
  <si>
    <t>Limited Partner #2 Cell Phone Number:</t>
  </si>
  <si>
    <t>Limited Partner #2 E-Mail Address:</t>
  </si>
  <si>
    <t>General Partner #1 Organization Name:</t>
  </si>
  <si>
    <t>General Partner #1 Address:</t>
  </si>
  <si>
    <t>General Partner #1 City:</t>
  </si>
  <si>
    <t>General Partner #1 State:</t>
  </si>
  <si>
    <t>General Partner #1 Zip Code:</t>
  </si>
  <si>
    <t>General Partner #1 Tax Status:</t>
  </si>
  <si>
    <t>General Partner #1 Federal Tax Identification (EIN):</t>
  </si>
  <si>
    <t>General Partner #1 Ownership Type:</t>
  </si>
  <si>
    <t>General Partner #1 If "Other," Describe:</t>
  </si>
  <si>
    <t>General Partner #1 Parent Organization:</t>
  </si>
  <si>
    <t>General Partner #1 Ownership Percent of LP/LLC:</t>
  </si>
  <si>
    <t>General Partner #1 Authorized Signer Salutation:</t>
  </si>
  <si>
    <t>General Partner #1 Authorized Signer First Name:</t>
  </si>
  <si>
    <t>General Partner #1 Authorized Signer Last Name:</t>
  </si>
  <si>
    <t>General Partner #1 Authorized Signer Title:</t>
  </si>
  <si>
    <t>General Partner #1 Office Phone Number:</t>
  </si>
  <si>
    <t>General Partner #1 Cell Phone Number:</t>
  </si>
  <si>
    <t>General Partner #1 E-Mail Address:</t>
  </si>
  <si>
    <t>General Partner #2 Organization Name:</t>
  </si>
  <si>
    <t>General Partner #2 Address:</t>
  </si>
  <si>
    <t>General Partner #2 City:</t>
  </si>
  <si>
    <t>General Partner #2 State:</t>
  </si>
  <si>
    <t>General Partner #2 Zip Code:</t>
  </si>
  <si>
    <t>General Partner #2 Tax Status:</t>
  </si>
  <si>
    <t>General Partner #2 Federal Tax Identification (EIN):</t>
  </si>
  <si>
    <t>General Partner #2 Ownership Type:</t>
  </si>
  <si>
    <t>General Partner #2 If "Other," Describe:</t>
  </si>
  <si>
    <t>General Partner #2 Parent Organization:</t>
  </si>
  <si>
    <t>General Partner #2 Ownership Percent of LP/LLC:</t>
  </si>
  <si>
    <t>General Partner #2 Authorized Signer Salutation:</t>
  </si>
  <si>
    <t>General Partner #2 Authorized Signer First Name:</t>
  </si>
  <si>
    <t>General Partner #2 Authorized Signer Last Name:</t>
  </si>
  <si>
    <t>General Partner #2 Authorized Signer Title:</t>
  </si>
  <si>
    <t>General Partner #2 Office Phone Number:</t>
  </si>
  <si>
    <t>General Partner #2 Cell Phone Number:</t>
  </si>
  <si>
    <t>General Partner #2 E-Mail Address:</t>
  </si>
  <si>
    <t>General Partner #3 Organization Name:</t>
  </si>
  <si>
    <t>General Partner #3 Address:</t>
  </si>
  <si>
    <t>General Partner #3 City:</t>
  </si>
  <si>
    <t>General Partner #3 State:</t>
  </si>
  <si>
    <t>General Partner #3 Zip Code:</t>
  </si>
  <si>
    <t>General Partner #3 Tax Status:</t>
  </si>
  <si>
    <t>General Partner #3 Federal Tax Identification (EIN):</t>
  </si>
  <si>
    <t>General Partner #3 Ownership Type:</t>
  </si>
  <si>
    <t>General Partner #3 If "Other," Describe:</t>
  </si>
  <si>
    <t>General Partner #3 Parent Organization:</t>
  </si>
  <si>
    <t>General Partner #3 Ownership Percent of LP/LLC:</t>
  </si>
  <si>
    <t>General Partner #3 Authorized Signer Salutation:</t>
  </si>
  <si>
    <t>General Partner #3 Authorized Signer First Name:</t>
  </si>
  <si>
    <t>General Partner #3 Authorized Signer Last Name:</t>
  </si>
  <si>
    <t>General Partner #3 Authorized Signer Title:</t>
  </si>
  <si>
    <t>General Partner #3 Office Phone Number:</t>
  </si>
  <si>
    <t>General Partner #3 Cell Phone Number:</t>
  </si>
  <si>
    <t>General Partner #3 E-Mail Address:</t>
  </si>
  <si>
    <t>Architect Address:</t>
  </si>
  <si>
    <t>Architect City:</t>
  </si>
  <si>
    <t>Architect State:</t>
  </si>
  <si>
    <t>Architect Zip Code:</t>
  </si>
  <si>
    <t>Architect Tax Status:</t>
  </si>
  <si>
    <t>Architect Federal Tax Identification (EIN):</t>
  </si>
  <si>
    <t>Architect Web Site:</t>
  </si>
  <si>
    <t>Architect Main Contact Salutation:</t>
  </si>
  <si>
    <t>Architect Main Contact First Name:</t>
  </si>
  <si>
    <t>Architect Main Contact Last Name:</t>
  </si>
  <si>
    <t>Architect Main Contact Title:</t>
  </si>
  <si>
    <t>Architect Office Phone Number:</t>
  </si>
  <si>
    <t>Architect Cell Phone Number:</t>
  </si>
  <si>
    <t>Architect E-Mail Address:</t>
  </si>
  <si>
    <t>General Contractor Organization Name:</t>
  </si>
  <si>
    <t>General Contractor Address:</t>
  </si>
  <si>
    <t>General Contractor City:</t>
  </si>
  <si>
    <t>General Contractor State:</t>
  </si>
  <si>
    <t>General Contractor Zip Code:</t>
  </si>
  <si>
    <t>General Contractor Tax Status:</t>
  </si>
  <si>
    <t>General Contractor Federal Tax Identification (EIN):</t>
  </si>
  <si>
    <t>General Contractor Web Site:</t>
  </si>
  <si>
    <t>General Contractor Main Contact Salutation:</t>
  </si>
  <si>
    <t>General Contractor Main Contact First Name:</t>
  </si>
  <si>
    <t>General Contractor Main Contact Last Name:</t>
  </si>
  <si>
    <t>General Contractor Main Contact Title:</t>
  </si>
  <si>
    <t>General Contractor Office Phone Number:</t>
  </si>
  <si>
    <t>General Contractor Cell Phone Number:</t>
  </si>
  <si>
    <t>General Contractor E-Mail Address:</t>
  </si>
  <si>
    <t>Affiliated Architect?</t>
  </si>
  <si>
    <t>Affiliated General Contractor?</t>
  </si>
  <si>
    <t>Management Company Address:</t>
  </si>
  <si>
    <t>Management Company City:</t>
  </si>
  <si>
    <t>Management Company State:</t>
  </si>
  <si>
    <t>Management Company Zip Code:</t>
  </si>
  <si>
    <t>Management Company Tax Status:</t>
  </si>
  <si>
    <t>Management Company Federal Tax Identification (EIN):</t>
  </si>
  <si>
    <t>Management Company Web Site:</t>
  </si>
  <si>
    <t>Management Company Main Contact Salutation:</t>
  </si>
  <si>
    <t>Management Company Main Contact First Name:</t>
  </si>
  <si>
    <t>Management Company Main Contact Last Name:</t>
  </si>
  <si>
    <t>Management Company Main Contact Title:</t>
  </si>
  <si>
    <t>Management Company Office Phone Number:</t>
  </si>
  <si>
    <t>Management Company Cell Phone Number:</t>
  </si>
  <si>
    <t>Management Company E-Mail Address:</t>
  </si>
  <si>
    <t>Supportive Services Organization Name</t>
  </si>
  <si>
    <t>Architect Affiliation:</t>
  </si>
  <si>
    <t>General Contractor Affiliation:</t>
  </si>
  <si>
    <t>Management Company Affiliation:</t>
  </si>
  <si>
    <t>Affiliated Management Company?</t>
  </si>
  <si>
    <t>Affiliated Supportive Services Organization?</t>
  </si>
  <si>
    <t>Supportive Services Organization Affiliation:</t>
  </si>
  <si>
    <t>Supportive Services Organization Federal Tax Identification (EIN):</t>
  </si>
  <si>
    <t>Supportive Services Organization Tax Status:</t>
  </si>
  <si>
    <t>Supportive Services Organization Zip Code:</t>
  </si>
  <si>
    <t>Supportive Services Organization State:</t>
  </si>
  <si>
    <t>Supportive Services Organization City:</t>
  </si>
  <si>
    <t>Supportive Services Organization Address:</t>
  </si>
  <si>
    <t>Supportive Services Organization Web Site:</t>
  </si>
  <si>
    <t>Supportive Services Organization Main Contact Salutation:</t>
  </si>
  <si>
    <t>Supportive Services Organization Main Contact First Name:</t>
  </si>
  <si>
    <t>Supportive Services Organization Main Contact Last Name:</t>
  </si>
  <si>
    <t>Supportive Services Organization Main Contact Title:</t>
  </si>
  <si>
    <t>Supportive Services Organization Office Phone Number:</t>
  </si>
  <si>
    <t>Supportive Services Organization Cell Phone Number:</t>
  </si>
  <si>
    <t>Supportive Services Organization E-Mail Address:</t>
  </si>
  <si>
    <t>Amenities</t>
  </si>
  <si>
    <t>Building: Property-wide Wi-Fi at no cost to residents</t>
  </si>
  <si>
    <t>Building: Business center/computer room with Wi-Fi at no cost to residents and a 1:15 resident-to-computer ratio</t>
  </si>
  <si>
    <t>Building: A minimum 500 SF community kitchen or multipurpose room with Wi-Fi at no cost to residents</t>
  </si>
  <si>
    <t>Building: A minimum 400 SF outdoor patio area for residents that is at least 50% covered (scaled)</t>
  </si>
  <si>
    <t>Building: An outdoor playground area designed for children</t>
  </si>
  <si>
    <t>Building: Designated outdoor smoking area with seating</t>
  </si>
  <si>
    <t>Building: Outdoor bike racks and interior secured bike storage lockers</t>
  </si>
  <si>
    <t>Building: A minimum 1,500 SF securely fenced dog park with double-gated entry, waste station, and resident seating</t>
  </si>
  <si>
    <t>Building: A minimum 400 SF exercise or fitness room</t>
  </si>
  <si>
    <t>Building: 24/7 secured entrance and security cameras around the property</t>
  </si>
  <si>
    <t>Building: On-site supportive services offices</t>
  </si>
  <si>
    <t>Building: A minimum 200 SF community resource pantry (food, clothes, etc.)</t>
  </si>
  <si>
    <t>Building: Any construction features that qualifies the project for the Investment Tax Credit, and generates equity included as a project source, provided such features result in lower resident utility costs or lower owner-paid operating expenses.</t>
  </si>
  <si>
    <t>Unit: Private patio or balcony for at least 20% of the units</t>
  </si>
  <si>
    <t>Unit: Energy Star-certified washer and dryer in all units</t>
  </si>
  <si>
    <t>Unit: Washer/dryer hookups in all units (except efficiency units) with on-site laundry facilities</t>
  </si>
  <si>
    <t>Unit: Energy Star-certified dishwasher in all units</t>
  </si>
  <si>
    <t>Unit: Roll-in showers in at least 30% of the total units</t>
  </si>
  <si>
    <t>Unit: At least 15 additional SF of enclosed storage space per unit, separate from bedroom and kitchen cabinetry</t>
  </si>
  <si>
    <t>Unit: Fixed pantry storage closet/cabinet with shelving</t>
  </si>
  <si>
    <t>Unit: At least 15% of total units are constructed and fully compliant with Section 504</t>
  </si>
  <si>
    <t>Unit: Owner-paid utilities</t>
  </si>
  <si>
    <t>Unit: Fully-furnished units provided by owner</t>
  </si>
  <si>
    <t>Unit: Ceiling fans in all bedrooms and living rooms</t>
  </si>
  <si>
    <t>Unit: Towel bars installed in 100% of resident bathrooms structurally equivalent to grab bars (in-wall blocking to be load bearing)</t>
  </si>
  <si>
    <t>Lifestyle: Tenant credit reporting system participation</t>
  </si>
  <si>
    <t>Lifestyle: Pet Lease Addendum that includes no additional refundable fees for pets, no beed restrictions, or weight limitations</t>
  </si>
  <si>
    <t>Lifestyle: On-demand transportation available to residents, coordinated by the property, and provided at no charge or reduced charge for residents.</t>
  </si>
  <si>
    <t>Lifestyle: Public transit stop within 0.5 miles offering service at regular frequencies (at least 5 outbound and 5 inbound trips per weekday)</t>
  </si>
  <si>
    <t>Lifestyle: On-site childcare or early childhood education partnerships</t>
  </si>
  <si>
    <t>Lifestyle: Dedicated outdoor walking path (standard sidewalks, driveways, or internal parking lot walkways do not qualify)</t>
  </si>
  <si>
    <t>Lifestyle: On-site resident services/service coordination</t>
  </si>
  <si>
    <t>Lifestyle: On-site wellness programming such as exercise and cooking classes</t>
  </si>
  <si>
    <t>Lifestyle: Security deposit of no more than 50% of rent</t>
  </si>
  <si>
    <t>Lifestyle: Located near an establishment intended for the primary purpose of providing older adults a space to congregate (i.e. senior center, YMCA Silver Sneakers)</t>
  </si>
  <si>
    <t>Lifestyle: All on-site staff trained on trauma-informed care, harm reduction, and de-escalation</t>
  </si>
  <si>
    <t>Lifestyle: Grocery store within 2 miles in Metropolitan Counties and 3 miles for Rural Counties</t>
  </si>
  <si>
    <t>Is the application potentially eligible for the QCT with Revitalization Plan Set Aside?</t>
  </si>
  <si>
    <t>Is the applicant seeking the QCT with Revitalization Plan Set Aside?</t>
  </si>
  <si>
    <t>Is the application potentially eligible for the CISI Set Aside?</t>
  </si>
  <si>
    <t>Is the applicant seeking the CISI Set Aside?</t>
  </si>
  <si>
    <t>Neighborhood Opportunity Index Auto-Calculated Score:</t>
  </si>
  <si>
    <t>Neighborhood Opportunity Index Applicant Self-Score:</t>
  </si>
  <si>
    <t>Housing Needs Index Auto-Calculated Score:</t>
  </si>
  <si>
    <t>Housing Needs Index Applicant Self-Score:</t>
  </si>
  <si>
    <t>Annual LIHTC per LIHTC Unit Auto-Calculated Score:</t>
  </si>
  <si>
    <t>Annual LIHTC per LIHTC Unit Applicant Self-Score:</t>
  </si>
  <si>
    <t>Tiebreaker: Number of LIHTC Awards in Census Tract in Past 3 Years</t>
  </si>
  <si>
    <t>Tiebreaker: Highest number of bedrooms</t>
  </si>
  <si>
    <t>Tiebreaker: Highest number of LIHTC Units</t>
  </si>
  <si>
    <t>Tiebreaker: Highest Neighborhood Change Index Raw Score</t>
  </si>
  <si>
    <t>Tiebreaker: Highest Housing Needs Index Raw Score</t>
  </si>
  <si>
    <t>Tiebreaker: Historic nature via use of Federal Historic Tax Credits</t>
  </si>
  <si>
    <t>Tiebreaker: Developments intended for eventual tenant ownership</t>
  </si>
  <si>
    <t>Tiebreaker: Highest Neighborhood Opportunity GO Raw Score</t>
  </si>
  <si>
    <t>Tiebreaker: Higher Percent of ELI (≤30% AMI) Units</t>
  </si>
  <si>
    <t>Tiebreaker: OHFA Discretion</t>
  </si>
  <si>
    <t>New Affordability - Senior</t>
  </si>
  <si>
    <t>Eligible (&lt;=70 units and outside a QCT)?</t>
  </si>
  <si>
    <t>Was an Exception Request approved by OHFA for having over 70 units and in a QCT?</t>
  </si>
  <si>
    <t>Meets Minimum Rehabilitation Hard Costs per Unit?</t>
  </si>
  <si>
    <t>Meets Moderate Rehab B or Substantial Rehab?</t>
  </si>
  <si>
    <t>Meets Rehabilitation Standards?</t>
  </si>
  <si>
    <t>Is the applicant seeking to participate in the Rental Assistance subpool?</t>
  </si>
  <si>
    <t>Is this application potentially eligible for the CoC Referral Partnership set aside?</t>
  </si>
  <si>
    <t>Is the applicant seeking the CoC Referral Partnership Set Aside?</t>
  </si>
  <si>
    <t>Eligible Populations: Which target population is this application intended to serve?</t>
  </si>
  <si>
    <t>Eligible Populations: Total units in the project:</t>
  </si>
  <si>
    <t>Eligible Populations: Minimum number of units for target population (25%):</t>
  </si>
  <si>
    <t>Eligible Populations: How many units will serve the target population?</t>
  </si>
  <si>
    <t>Eligible Populations: How many units are restricted to households ≤ 30% AMI?</t>
  </si>
  <si>
    <t>Rental Subsidy: How many units will serve the target population?</t>
  </si>
  <si>
    <t>Rental Subsidy: How many units must have project-based rental subsidy?</t>
  </si>
  <si>
    <t>Rental Subsidy: How many subsidized units are currently underwritten?</t>
  </si>
  <si>
    <t>Non-Profit Partner: Parent organization of the majority GP/managing member:</t>
  </si>
  <si>
    <t>Non-Profit Partner: Percent of GP/MM ownership:</t>
  </si>
  <si>
    <t>Non-Profit Partner: Parent is a non-profit organization?</t>
  </si>
  <si>
    <t>Non-Profit Partner: Parent has housing experience with the target population?</t>
  </si>
  <si>
    <t>Supportive Services: Supportive services provider organization:</t>
  </si>
  <si>
    <t>Supportive Services: Service provider has experience serving the target population?</t>
  </si>
  <si>
    <t>Supportive Services: Are supportive service available to the target population?</t>
  </si>
  <si>
    <t>Expert Recommendation: Was a letter submitted from the applicable CoC, County Board of DD, or other public entity?</t>
  </si>
  <si>
    <t>Expert Recommendation: Does the target population have a "free choice of provider" requirement?</t>
  </si>
  <si>
    <t>Local Partners: Parent Entity of the Non-Profit Majority General Partner:</t>
  </si>
  <si>
    <t>Local Partners: Was an MOU between the entity and a referral agency submitted?</t>
  </si>
  <si>
    <t>Experienced Service Provider: Has a commitment by an experienced local or regional service entity been provided?</t>
  </si>
  <si>
    <t>Experienced Service Provider: Was a Supportive Services Plan provided?</t>
  </si>
  <si>
    <t>Local Partners: Name of Referral Agency</t>
  </si>
  <si>
    <t>AHFA Tab</t>
  </si>
  <si>
    <t>Data Point</t>
  </si>
  <si>
    <t>Minimum Number of Building Amenities:</t>
  </si>
  <si>
    <t>Total Unit Amenities Being Claimed:</t>
  </si>
  <si>
    <t>Minimum Number of Unit Amenities:</t>
  </si>
  <si>
    <t>Total Lifestyle Amenities Being Claimed:</t>
  </si>
  <si>
    <t>Total Lifestyle Amenities Seeking Waiver:</t>
  </si>
  <si>
    <t>Minimum Number of Lifestyle Amenities:</t>
  </si>
  <si>
    <t>• 2026 Multifamily Rental Underwriting Guidelines</t>
  </si>
  <si>
    <t>Mobility Units</t>
  </si>
  <si>
    <t>Sensory Units</t>
  </si>
  <si>
    <t>504-Compliant Units</t>
  </si>
  <si>
    <t>Total Bedrooms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</si>
</sst>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
    <numFmt numFmtId="167" formatCode="#####\-####"/>
    <numFmt numFmtId="168" formatCode="[&lt;=9999999]###\-####;\(###\)\ ###\-####"/>
    <numFmt numFmtId="169" formatCode="0.000%"/>
    <numFmt numFmtId="170" formatCode="0.000000"/>
    <numFmt numFmtId="171" formatCode="##\-#######"/>
    <numFmt numFmtId="172" formatCode="General_)"/>
    <numFmt numFmtId="173" formatCode="&quot;$&quot;#,##0.00"/>
    <numFmt numFmtId="174" formatCode="0.0"/>
    <numFmt numFmtId="175" formatCode="mm/dd/yy;@"/>
    <numFmt numFmtId="176" formatCode="00000"/>
    <numFmt numFmtId="177" formatCode="&quot;$&quot;#,##0.0000_);\(&quot;$&quot;#,##0.0000\)"/>
    <numFmt numFmtId="178" formatCode="0_);\(0\)"/>
    <numFmt numFmtId="179" formatCode="&quot;Stable Year &quot;##"/>
    <numFmt numFmtId="180" formatCode="&quot;$&quot;#,##0.0000"/>
    <numFmt numFmtId="181" formatCode="[$-409]mmmm\ d\,\ yyyy;@"/>
  </numFmts>
  <fonts count="82" x14ac:knownFonts="1">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sz val="11"/>
      <color theme="3"/>
      <name val="Arial"/>
      <family val="2"/>
      <scheme val="minor"/>
    </font>
    <font>
      <sz val="11"/>
      <name val="Arial"/>
      <family val="2"/>
      <scheme val="minor"/>
    </font>
    <font>
      <b/>
      <sz val="12"/>
      <color theme="4"/>
      <name val="Century Gothic"/>
      <family val="2"/>
    </font>
    <font>
      <b/>
      <sz val="14"/>
      <color theme="5"/>
      <name val="Century Gothic"/>
      <family val="2"/>
    </font>
    <font>
      <u/>
      <sz val="11"/>
      <color theme="10"/>
      <name val="Arial"/>
      <family val="2"/>
      <scheme val="minor"/>
    </font>
    <font>
      <b/>
      <sz val="11"/>
      <name val="Arial"/>
      <family val="2"/>
      <scheme val="minor"/>
    </font>
    <font>
      <b/>
      <sz val="11"/>
      <color theme="4"/>
      <name val="Arial"/>
      <family val="2"/>
      <scheme val="minor"/>
    </font>
    <font>
      <sz val="10"/>
      <color theme="1"/>
      <name val="Arial"/>
      <family val="2"/>
      <scheme val="minor"/>
    </font>
    <font>
      <b/>
      <i/>
      <sz val="11"/>
      <color rgb="FFC00000"/>
      <name val="Arial"/>
      <family val="2"/>
      <scheme val="minor"/>
    </font>
    <font>
      <sz val="12"/>
      <color theme="1"/>
      <name val="Arial"/>
      <family val="2"/>
      <scheme val="minor"/>
    </font>
    <font>
      <i/>
      <sz val="11"/>
      <color rgb="FFC00000"/>
      <name val="Arial"/>
      <family val="2"/>
      <scheme val="minor"/>
    </font>
    <font>
      <sz val="11"/>
      <color theme="0"/>
      <name val="Arial"/>
      <family val="2"/>
      <scheme val="minor"/>
    </font>
    <font>
      <i/>
      <sz val="11"/>
      <color theme="1"/>
      <name val="Arial"/>
      <family val="2"/>
      <scheme val="minor"/>
    </font>
    <font>
      <b/>
      <sz val="18"/>
      <color theme="0"/>
      <name val="Arial"/>
      <family val="2"/>
      <scheme val="minor"/>
    </font>
    <font>
      <sz val="10"/>
      <name val="Arial"/>
      <family val="2"/>
    </font>
    <font>
      <i/>
      <sz val="10"/>
      <color theme="1"/>
      <name val="Arial"/>
      <family val="2"/>
      <scheme val="minor"/>
    </font>
    <font>
      <b/>
      <sz val="11"/>
      <name val="Arial"/>
      <family val="2"/>
    </font>
    <font>
      <sz val="9"/>
      <color indexed="81"/>
      <name val="Tahoma"/>
      <family val="2"/>
    </font>
    <font>
      <i/>
      <sz val="11"/>
      <color rgb="FF333333"/>
      <name val="Arial"/>
      <family val="2"/>
      <scheme val="minor"/>
    </font>
    <font>
      <b/>
      <i/>
      <sz val="12"/>
      <color rgb="FFC00000"/>
      <name val="Arial"/>
      <family val="2"/>
      <scheme val="minor"/>
    </font>
    <font>
      <b/>
      <i/>
      <sz val="11"/>
      <color theme="0"/>
      <name val="Arial"/>
      <family val="2"/>
      <scheme val="minor"/>
    </font>
    <font>
      <sz val="10"/>
      <color rgb="FF3F3F3F"/>
      <name val="Arial"/>
      <family val="2"/>
    </font>
    <font>
      <sz val="10"/>
      <color rgb="FF000000"/>
      <name val="Arial"/>
      <family val="2"/>
    </font>
    <font>
      <sz val="11"/>
      <color theme="1"/>
      <name val="Arial"/>
      <family val="2"/>
    </font>
    <font>
      <sz val="11"/>
      <color theme="10"/>
      <name val="Arial"/>
      <family val="2"/>
      <scheme val="minor"/>
    </font>
    <font>
      <i/>
      <u/>
      <sz val="11"/>
      <color theme="10"/>
      <name val="Arial"/>
      <family val="2"/>
      <scheme val="minor"/>
    </font>
    <font>
      <sz val="8"/>
      <name val="Arial"/>
      <family val="2"/>
      <scheme val="minor"/>
    </font>
    <font>
      <sz val="12"/>
      <name val="Arial"/>
      <family val="2"/>
      <scheme val="minor"/>
    </font>
    <font>
      <sz val="11"/>
      <name val="Arial"/>
      <family val="2"/>
    </font>
    <font>
      <sz val="11"/>
      <color theme="3"/>
      <name val="Arial"/>
      <family val="2"/>
    </font>
    <font>
      <sz val="11"/>
      <color theme="0"/>
      <name val="Arial"/>
      <family val="2"/>
    </font>
    <font>
      <b/>
      <sz val="11"/>
      <color theme="1"/>
      <name val="Arial"/>
      <family val="2"/>
    </font>
    <font>
      <sz val="20"/>
      <name val="Arial"/>
      <family val="2"/>
    </font>
    <font>
      <b/>
      <u/>
      <sz val="11"/>
      <name val="Arial"/>
      <family val="2"/>
    </font>
    <font>
      <sz val="9"/>
      <name val="Arial"/>
      <family val="2"/>
      <scheme val="minor"/>
    </font>
    <font>
      <u/>
      <sz val="11"/>
      <color theme="1"/>
      <name val="Arial"/>
      <family val="2"/>
      <scheme val="minor"/>
    </font>
    <font>
      <sz val="9"/>
      <color indexed="81"/>
      <name val="Arial"/>
      <family val="2"/>
      <scheme val="minor"/>
    </font>
    <font>
      <sz val="9"/>
      <color theme="1"/>
      <name val="Arial"/>
      <family val="2"/>
      <scheme val="minor"/>
    </font>
    <font>
      <b/>
      <sz val="14"/>
      <color theme="5"/>
      <name val="Arial"/>
      <family val="2"/>
      <scheme val="minor"/>
    </font>
    <font>
      <i/>
      <sz val="9"/>
      <color theme="1"/>
      <name val="Arial"/>
      <family val="2"/>
      <scheme val="minor"/>
    </font>
    <font>
      <b/>
      <sz val="12"/>
      <color theme="1"/>
      <name val="Arial"/>
      <family val="2"/>
      <scheme val="minor"/>
    </font>
    <font>
      <sz val="10"/>
      <name val="Arial"/>
      <family val="2"/>
      <scheme val="minor"/>
    </font>
    <font>
      <b/>
      <sz val="9"/>
      <color indexed="81"/>
      <name val="Arial"/>
      <family val="2"/>
      <scheme val="minor"/>
    </font>
    <font>
      <u/>
      <sz val="9"/>
      <color indexed="81"/>
      <name val="Arial"/>
      <family val="2"/>
      <scheme val="minor"/>
    </font>
    <font>
      <i/>
      <sz val="9"/>
      <name val="Arial"/>
      <family val="2"/>
      <scheme val="minor"/>
    </font>
    <font>
      <i/>
      <sz val="10"/>
      <color rgb="FF333333"/>
      <name val="Arial"/>
      <family val="2"/>
      <scheme val="minor"/>
    </font>
    <font>
      <i/>
      <sz val="10"/>
      <name val="Arial"/>
      <family val="2"/>
      <scheme val="minor"/>
    </font>
    <font>
      <b/>
      <i/>
      <sz val="11"/>
      <name val="Arial"/>
      <family val="2"/>
      <scheme val="minor"/>
    </font>
    <font>
      <u/>
      <sz val="11"/>
      <name val="Arial"/>
      <family val="2"/>
    </font>
    <font>
      <b/>
      <sz val="10"/>
      <color theme="0"/>
      <name val="Arial"/>
      <family val="2"/>
      <scheme val="minor"/>
    </font>
    <font>
      <b/>
      <i/>
      <sz val="10"/>
      <color rgb="FFC00000"/>
      <name val="Arial"/>
      <family val="2"/>
      <scheme val="minor"/>
    </font>
    <font>
      <b/>
      <sz val="10"/>
      <name val="Arial"/>
      <family val="2"/>
      <scheme val="minor"/>
    </font>
    <font>
      <b/>
      <sz val="10"/>
      <color theme="1"/>
      <name val="Arial"/>
      <family val="2"/>
      <scheme val="minor"/>
    </font>
    <font>
      <b/>
      <sz val="12"/>
      <name val="Arial"/>
      <family val="2"/>
    </font>
    <font>
      <i/>
      <sz val="11"/>
      <name val="Arial"/>
      <family val="2"/>
    </font>
    <font>
      <b/>
      <u/>
      <sz val="8"/>
      <color indexed="81"/>
      <name val="Arial"/>
      <family val="2"/>
      <scheme val="minor"/>
    </font>
    <font>
      <sz val="8"/>
      <color indexed="81"/>
      <name val="Arial"/>
      <family val="2"/>
      <scheme val="minor"/>
    </font>
    <font>
      <i/>
      <sz val="8"/>
      <color indexed="81"/>
      <name val="Arial"/>
      <family val="2"/>
      <scheme val="minor"/>
    </font>
    <font>
      <b/>
      <sz val="11"/>
      <color theme="3"/>
      <name val="Arial"/>
      <family val="2"/>
    </font>
    <font>
      <b/>
      <sz val="14"/>
      <color theme="1"/>
      <name val="Arial"/>
      <family val="2"/>
      <scheme val="minor"/>
    </font>
    <font>
      <b/>
      <sz val="12"/>
      <name val="Arial"/>
      <family val="2"/>
      <scheme val="minor"/>
    </font>
    <font>
      <b/>
      <u/>
      <sz val="11"/>
      <color theme="1"/>
      <name val="Arial"/>
      <family val="2"/>
      <scheme val="minor"/>
    </font>
    <font>
      <sz val="9"/>
      <name val="Arial"/>
      <family val="2"/>
    </font>
    <font>
      <i/>
      <sz val="10"/>
      <name val="Arial"/>
      <family val="2"/>
    </font>
    <font>
      <sz val="11"/>
      <color theme="10"/>
      <name val="Arial"/>
      <family val="2"/>
    </font>
    <font>
      <u/>
      <sz val="11"/>
      <name val="Arial"/>
      <family val="2"/>
      <scheme val="minor"/>
    </font>
    <font>
      <u/>
      <sz val="11"/>
      <color theme="1"/>
      <name val="Arial"/>
      <family val="2"/>
    </font>
    <font>
      <sz val="11"/>
      <color rgb="FFFF0000"/>
      <name val="Arial"/>
      <family val="2"/>
    </font>
    <font>
      <b/>
      <sz val="11"/>
      <color rgb="FFFF0000"/>
      <name val="Arial"/>
      <family val="2"/>
      <scheme val="minor"/>
    </font>
    <font>
      <sz val="11"/>
      <color rgb="FFFF0000"/>
      <name val="Arial"/>
      <family val="2"/>
      <scheme val="minor"/>
    </font>
    <font>
      <sz val="11"/>
      <color theme="1" tint="0.499984740745262"/>
      <name val="Arial"/>
      <family val="2"/>
      <scheme val="minor"/>
    </font>
    <font>
      <i/>
      <sz val="9"/>
      <name val="Arial"/>
      <family val="2"/>
    </font>
    <font>
      <sz val="9"/>
      <color theme="0"/>
      <name val="Arial"/>
      <family val="2"/>
      <scheme val="minor"/>
    </font>
    <font>
      <sz val="10"/>
      <color theme="0"/>
      <name val="Arial"/>
      <family val="2"/>
      <scheme val="minor"/>
    </font>
    <font>
      <sz val="8"/>
      <color theme="0"/>
      <name val="Arial"/>
      <family val="2"/>
      <scheme val="minor"/>
    </font>
    <font>
      <u/>
      <sz val="10"/>
      <color theme="0"/>
      <name val="Arial"/>
      <family val="2"/>
      <scheme val="minor"/>
    </font>
    <font>
      <sz val="10"/>
      <name val="Century Gothic"/>
      <family val="2"/>
    </font>
    <font>
      <b/>
      <sz val="12"/>
      <color theme="0"/>
      <name val="Arial"/>
      <family val="2"/>
    </font>
  </fonts>
  <fills count="37">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1C1C1"/>
        <bgColor indexed="64"/>
      </patternFill>
    </fill>
    <fill>
      <patternFill patternType="solid">
        <fgColor rgb="FFCFE7DB"/>
        <bgColor indexed="64"/>
      </patternFill>
    </fill>
    <fill>
      <patternFill patternType="solid">
        <fgColor rgb="FF56AA80"/>
        <bgColor indexed="64"/>
      </patternFill>
    </fill>
    <fill>
      <patternFill patternType="solid">
        <fgColor rgb="FFEAEAEA"/>
        <bgColor indexed="64"/>
      </patternFill>
    </fill>
    <fill>
      <patternFill patternType="solid">
        <fgColor rgb="FFA8DCDC"/>
        <bgColor indexed="64"/>
      </patternFill>
    </fill>
    <fill>
      <patternFill patternType="solid">
        <fgColor rgb="FF005186"/>
        <bgColor indexed="64"/>
      </patternFill>
    </fill>
    <fill>
      <patternFill patternType="lightUp">
        <fgColor theme="0" tint="-0.14996795556505021"/>
        <bgColor theme="0" tint="-4.9989318521683403E-2"/>
      </patternFill>
    </fill>
    <fill>
      <patternFill patternType="solid">
        <fgColor rgb="FFEBF7FF"/>
        <bgColor indexed="64"/>
      </patternFill>
    </fill>
    <fill>
      <patternFill patternType="solid">
        <fgColor rgb="FFD9D9D9"/>
        <bgColor indexed="64"/>
      </patternFill>
    </fill>
    <fill>
      <patternFill patternType="lightUp">
        <fgColor theme="0" tint="-0.499984740745262"/>
        <bgColor theme="0" tint="-4.9989318521683403E-2"/>
      </patternFill>
    </fill>
    <fill>
      <patternFill patternType="lightUp">
        <fgColor theme="0" tint="-0.24994659260841701"/>
        <bgColor theme="0"/>
      </patternFill>
    </fill>
    <fill>
      <patternFill patternType="lightUp">
        <fgColor theme="0" tint="-0.499984740745262"/>
        <bgColor theme="0"/>
      </patternFill>
    </fill>
    <fill>
      <patternFill patternType="solid">
        <fgColor rgb="FFC9EAE9"/>
        <bgColor indexed="64"/>
      </patternFill>
    </fill>
    <fill>
      <patternFill patternType="solid">
        <fgColor rgb="FFFFFFFF"/>
        <bgColor indexed="64"/>
      </patternFill>
    </fill>
    <fill>
      <patternFill patternType="solid">
        <fgColor rgb="FF0E3F75"/>
        <bgColor indexed="64"/>
      </patternFill>
    </fill>
    <fill>
      <patternFill patternType="solid">
        <fgColor theme="9" tint="0.79998168889431442"/>
        <bgColor indexed="64"/>
      </patternFill>
    </fill>
    <fill>
      <patternFill patternType="solid">
        <fgColor theme="2"/>
        <bgColor indexed="64"/>
      </patternFill>
    </fill>
    <fill>
      <patternFill patternType="solid">
        <fgColor rgb="FFE0F2F3"/>
        <bgColor indexed="64"/>
      </patternFill>
    </fill>
    <fill>
      <patternFill patternType="solid">
        <fgColor rgb="FFA4DADD"/>
        <bgColor indexed="64"/>
      </patternFill>
    </fill>
    <fill>
      <patternFill patternType="solid">
        <fgColor rgb="FFFEFAF0"/>
        <bgColor indexed="64"/>
      </patternFill>
    </fill>
    <fill>
      <patternFill patternType="solid">
        <fgColor rgb="FFF2F2F2"/>
        <bgColor indexed="64"/>
      </patternFill>
    </fill>
    <fill>
      <patternFill patternType="solid">
        <fgColor rgb="FFDCF1F1"/>
        <bgColor indexed="64"/>
      </patternFill>
    </fill>
    <fill>
      <patternFill patternType="solid">
        <fgColor rgb="FFEAF6F6"/>
        <bgColor indexed="64"/>
      </patternFill>
    </fill>
    <fill>
      <patternFill patternType="lightUp">
        <fgColor theme="0" tint="-0.24994659260841701"/>
        <bgColor theme="0" tint="-4.9989318521683403E-2"/>
      </patternFill>
    </fill>
    <fill>
      <patternFill patternType="solid">
        <fgColor theme="7" tint="0.79998168889431442"/>
        <bgColor indexed="64"/>
      </patternFill>
    </fill>
    <fill>
      <patternFill patternType="lightUp">
        <fgColor theme="0" tint="-0.24994659260841701"/>
        <bgColor indexed="65"/>
      </patternFill>
    </fill>
    <fill>
      <patternFill patternType="solid">
        <fgColor rgb="FFC00000"/>
        <bgColor indexed="64"/>
      </patternFill>
    </fill>
    <fill>
      <patternFill patternType="solid">
        <fgColor rgb="FFC12637"/>
        <bgColor indexed="64"/>
      </patternFill>
    </fill>
    <fill>
      <patternFill patternType="solid">
        <fgColor theme="5"/>
        <bgColor indexed="64"/>
      </patternFill>
    </fill>
    <fill>
      <patternFill patternType="solid">
        <fgColor rgb="FFF4C8CD"/>
        <bgColor indexed="64"/>
      </patternFill>
    </fill>
    <fill>
      <patternFill patternType="solid">
        <fgColor theme="1" tint="0.249977111117893"/>
        <bgColor indexed="64"/>
      </patternFill>
    </fill>
  </fills>
  <borders count="87">
    <border>
      <left/>
      <right/>
      <top/>
      <bottom/>
      <diagonal/>
    </border>
    <border>
      <left/>
      <right/>
      <top/>
      <bottom style="thin">
        <color indexed="64"/>
      </bottom>
      <diagonal/>
    </border>
    <border>
      <left/>
      <right/>
      <top style="thin">
        <color auto="1"/>
      </top>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style="double">
        <color theme="0" tint="-0.499984740745262"/>
      </bottom>
      <diagonal/>
    </border>
    <border>
      <left/>
      <right/>
      <top/>
      <bottom style="double">
        <color theme="0" tint="-0.499984740745262"/>
      </bottom>
      <diagonal/>
    </border>
    <border>
      <left/>
      <right/>
      <top style="double">
        <color theme="0" tint="-0.499984740745262"/>
      </top>
      <bottom/>
      <diagonal/>
    </border>
    <border>
      <left style="medium">
        <color theme="0" tint="-0.499984740745262"/>
      </left>
      <right/>
      <top style="medium">
        <color theme="0" tint="-0.499984740745262"/>
      </top>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right/>
      <top style="thin">
        <color theme="0" tint="-0.499984740745262"/>
      </top>
      <bottom style="double">
        <color theme="0" tint="-0.499984740745262"/>
      </bottom>
      <diagonal/>
    </border>
    <border>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right style="thin">
        <color theme="0" tint="-0.499984740745262"/>
      </right>
      <top/>
      <bottom style="medium">
        <color theme="0" tint="-0.499984740745262"/>
      </bottom>
      <diagonal/>
    </border>
    <border>
      <left/>
      <right style="thin">
        <color theme="0" tint="-0.499984740745262"/>
      </right>
      <top style="medium">
        <color theme="0" tint="-0.499984740745262"/>
      </top>
      <bottom/>
      <diagonal/>
    </border>
    <border>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double">
        <color theme="0" tint="-0.499984740745262"/>
      </bottom>
      <diagonal/>
    </border>
    <border>
      <left style="thin">
        <color theme="0" tint="-0.499984740745262"/>
      </left>
      <right style="thick">
        <color theme="0" tint="-0.499984740745262"/>
      </right>
      <top/>
      <bottom style="thin">
        <color theme="0" tint="-0.499984740745262"/>
      </bottom>
      <diagonal/>
    </border>
    <border>
      <left/>
      <right style="thick">
        <color theme="0" tint="-0.499984740745262"/>
      </right>
      <top/>
      <bottom/>
      <diagonal/>
    </border>
    <border>
      <left/>
      <right style="thick">
        <color theme="0" tint="-0.499984740745262"/>
      </right>
      <top style="thin">
        <color theme="0" tint="-0.499984740745262"/>
      </top>
      <bottom style="double">
        <color theme="0" tint="-0.499984740745262"/>
      </bottom>
      <diagonal/>
    </border>
    <border>
      <left/>
      <right style="thick">
        <color theme="0" tint="-0.499984740745262"/>
      </right>
      <top style="thin">
        <color theme="0" tint="-0.499984740745262"/>
      </top>
      <bottom/>
      <diagonal/>
    </border>
    <border>
      <left/>
      <right style="thick">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theme="0" tint="-0.499984740745262"/>
      </bottom>
      <diagonal/>
    </border>
    <border>
      <left/>
      <right style="thin">
        <color indexed="64"/>
      </right>
      <top/>
      <bottom/>
      <diagonal/>
    </border>
    <border>
      <left style="thin">
        <color indexed="64"/>
      </left>
      <right style="thick">
        <color theme="0" tint="-0.499984740745262"/>
      </right>
      <top/>
      <bottom style="thin">
        <color indexed="64"/>
      </bottom>
      <diagonal/>
    </border>
    <border>
      <left style="thin">
        <color indexed="64"/>
      </left>
      <right style="thick">
        <color theme="0" tint="-0.499984740745262"/>
      </right>
      <top style="thin">
        <color indexed="64"/>
      </top>
      <bottom style="thin">
        <color indexed="64"/>
      </bottom>
      <diagonal/>
    </border>
    <border>
      <left style="thin">
        <color theme="0" tint="-0.499984740745262"/>
      </left>
      <right style="thick">
        <color theme="0" tint="-0.499984740745262"/>
      </right>
      <top style="thin">
        <color theme="0" tint="-0.499984740745262"/>
      </top>
      <bottom/>
      <diagonal/>
    </border>
    <border>
      <left/>
      <right style="thin">
        <color indexed="64"/>
      </right>
      <top style="thin">
        <color indexed="64"/>
      </top>
      <bottom style="double">
        <color theme="0" tint="-0.499984740745262"/>
      </bottom>
      <diagonal/>
    </border>
    <border>
      <left style="thin">
        <color indexed="64"/>
      </left>
      <right style="thick">
        <color theme="0" tint="-0.499984740745262"/>
      </right>
      <top style="thin">
        <color indexed="64"/>
      </top>
      <bottom style="double">
        <color theme="0" tint="-0.499984740745262"/>
      </bottom>
      <diagonal/>
    </border>
    <border>
      <left/>
      <right/>
      <top style="double">
        <color theme="0" tint="-0.499984740745262"/>
      </top>
      <bottom style="thin">
        <color theme="0" tint="-0.499984740745262"/>
      </bottom>
      <diagonal/>
    </border>
    <border>
      <left style="thin">
        <color theme="0" tint="-0.499984740745262"/>
      </left>
      <right style="thick">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theme="0" tint="-0.499984740745262"/>
      </right>
      <top style="double">
        <color theme="0" tint="-0.499984740745262"/>
      </top>
      <bottom/>
      <diagonal/>
    </border>
    <border>
      <left style="thin">
        <color theme="0" tint="-0.499984740745262"/>
      </left>
      <right style="medium">
        <color theme="0" tint="-0.499984740745262"/>
      </right>
      <top style="medium">
        <color theme="0" tint="-0.499984740745262"/>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top style="medium">
        <color theme="0" tint="-0.499984740745262"/>
      </top>
      <bottom/>
      <diagonal/>
    </border>
  </borders>
  <cellStyleXfs count="14">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3" fontId="1" fillId="0" borderId="0" applyFont="0" applyFill="0" applyBorder="0" applyAlignment="0" applyProtection="0"/>
    <xf numFmtId="172" fontId="18" fillId="0" borderId="0"/>
    <xf numFmtId="0" fontId="1" fillId="0" borderId="0"/>
    <xf numFmtId="43" fontId="25" fillId="0" borderId="0" applyFont="0" applyFill="0" applyBorder="0" applyAlignment="0" applyProtection="0"/>
    <xf numFmtId="44" fontId="25" fillId="0" borderId="0" applyFont="0" applyFill="0" applyBorder="0" applyAlignment="0" applyProtection="0"/>
    <xf numFmtId="0" fontId="25" fillId="0" borderId="0"/>
    <xf numFmtId="0" fontId="26" fillId="0" borderId="0"/>
    <xf numFmtId="9" fontId="25" fillId="0" borderId="0" applyFont="0" applyFill="0" applyBorder="0" applyAlignment="0" applyProtection="0"/>
    <xf numFmtId="9" fontId="26" fillId="0" borderId="0" applyFont="0" applyFill="0" applyBorder="0" applyAlignment="0" applyProtection="0"/>
    <xf numFmtId="42" fontId="1" fillId="0" borderId="0" applyFont="0" applyFill="0" applyBorder="0" applyAlignment="0" applyProtection="0"/>
  </cellStyleXfs>
  <cellXfs count="1935">
    <xf numFmtId="0" fontId="0" fillId="0" borderId="0" xfId="0"/>
    <xf numFmtId="0" fontId="0" fillId="3" borderId="0" xfId="0" applyFill="1"/>
    <xf numFmtId="0" fontId="7" fillId="3" borderId="0" xfId="0" applyFont="1" applyFill="1"/>
    <xf numFmtId="0" fontId="5" fillId="3" borderId="0" xfId="0" applyFont="1" applyFill="1"/>
    <xf numFmtId="0" fontId="0" fillId="3" borderId="0" xfId="0" applyFill="1" applyAlignment="1">
      <alignment wrapText="1"/>
    </xf>
    <xf numFmtId="0" fontId="0" fillId="3" borderId="0" xfId="0" applyFill="1" applyAlignment="1">
      <alignment horizontal="right"/>
    </xf>
    <xf numFmtId="0" fontId="0" fillId="3" borderId="0" xfId="0" applyFill="1" applyAlignment="1">
      <alignment horizontal="left"/>
    </xf>
    <xf numFmtId="0" fontId="0" fillId="3" borderId="0" xfId="0" applyFill="1" applyAlignment="1">
      <alignment horizontal="center" vertical="center" wrapText="1"/>
    </xf>
    <xf numFmtId="0" fontId="3" fillId="3" borderId="0" xfId="0" applyFont="1" applyFill="1"/>
    <xf numFmtId="0" fontId="0" fillId="3" borderId="0" xfId="0" applyFill="1" applyAlignment="1">
      <alignment horizontal="center"/>
    </xf>
    <xf numFmtId="9" fontId="0" fillId="3" borderId="0" xfId="2" applyFont="1" applyFill="1" applyAlignment="1" applyProtection="1">
      <alignment horizontal="center"/>
    </xf>
    <xf numFmtId="0" fontId="0" fillId="0" borderId="0" xfId="0" applyAlignment="1">
      <alignment horizontal="center"/>
    </xf>
    <xf numFmtId="0" fontId="0" fillId="0" borderId="0" xfId="0" applyAlignment="1">
      <alignment horizontal="left"/>
    </xf>
    <xf numFmtId="9" fontId="0" fillId="0" borderId="0" xfId="2" applyFont="1" applyAlignment="1" applyProtection="1">
      <alignment horizontal="center"/>
    </xf>
    <xf numFmtId="0" fontId="0" fillId="3" borderId="0" xfId="0" applyFill="1" applyAlignment="1">
      <alignment horizontal="left" vertical="top" wrapText="1"/>
    </xf>
    <xf numFmtId="0" fontId="16" fillId="3" borderId="0" xfId="0" applyFont="1" applyFill="1"/>
    <xf numFmtId="0" fontId="5" fillId="0" borderId="0" xfId="0" applyFont="1"/>
    <xf numFmtId="0" fontId="0" fillId="0" borderId="0" xfId="0" applyAlignment="1">
      <alignment horizontal="left" vertical="center" indent="1"/>
    </xf>
    <xf numFmtId="0" fontId="0" fillId="0" borderId="0" xfId="0" applyAlignment="1">
      <alignment horizontal="center" vertical="center" wrapText="1"/>
    </xf>
    <xf numFmtId="9" fontId="0" fillId="0" borderId="0" xfId="2" applyFont="1" applyAlignment="1" applyProtection="1">
      <alignment horizontal="left" vertical="center" indent="1"/>
    </xf>
    <xf numFmtId="0" fontId="0" fillId="0" borderId="4" xfId="0" applyBorder="1" applyAlignment="1">
      <alignment horizontal="left" vertical="center" indent="1"/>
    </xf>
    <xf numFmtId="0" fontId="5" fillId="7" borderId="4" xfId="0" applyFont="1" applyFill="1" applyBorder="1" applyAlignment="1">
      <alignment horizontal="center" vertical="center" wrapText="1"/>
    </xf>
    <xf numFmtId="164" fontId="5" fillId="7" borderId="4" xfId="2" applyNumberFormat="1" applyFont="1" applyFill="1" applyBorder="1" applyAlignment="1" applyProtection="1">
      <alignment horizontal="center" vertical="center" wrapText="1"/>
    </xf>
    <xf numFmtId="164" fontId="0" fillId="3" borderId="0" xfId="2" applyNumberFormat="1" applyFont="1" applyFill="1" applyBorder="1" applyAlignment="1" applyProtection="1">
      <alignment horizontal="center"/>
    </xf>
    <xf numFmtId="165" fontId="27" fillId="0" borderId="4" xfId="0" applyNumberFormat="1" applyFont="1" applyBorder="1" applyAlignment="1">
      <alignment horizontal="left" vertical="center" indent="1"/>
    </xf>
    <xf numFmtId="0" fontId="0" fillId="3" borderId="0" xfId="0" applyFill="1" applyAlignment="1">
      <alignment horizontal="left" vertical="center" indent="1"/>
    </xf>
    <xf numFmtId="164" fontId="0" fillId="3" borderId="0" xfId="2" applyNumberFormat="1" applyFont="1" applyFill="1" applyBorder="1" applyAlignment="1" applyProtection="1">
      <alignment horizontal="center" vertical="center" wrapText="1"/>
    </xf>
    <xf numFmtId="0" fontId="5" fillId="2" borderId="9" xfId="0" applyFont="1" applyFill="1" applyBorder="1"/>
    <xf numFmtId="0" fontId="0" fillId="9" borderId="4" xfId="0" applyFill="1" applyBorder="1" applyAlignment="1">
      <alignment horizontal="left" vertical="center" indent="1"/>
    </xf>
    <xf numFmtId="165" fontId="0" fillId="9" borderId="4" xfId="0" applyNumberFormat="1" applyFill="1" applyBorder="1" applyAlignment="1">
      <alignment horizontal="left" vertical="center" indent="1"/>
    </xf>
    <xf numFmtId="0" fontId="0" fillId="3" borderId="6" xfId="0" applyFill="1" applyBorder="1"/>
    <xf numFmtId="0" fontId="16" fillId="3" borderId="0" xfId="0" applyFont="1" applyFill="1" applyAlignment="1">
      <alignment horizontal="left" vertical="center"/>
    </xf>
    <xf numFmtId="0" fontId="29" fillId="3" borderId="0" xfId="3" applyFont="1" applyFill="1" applyAlignment="1">
      <alignment vertical="center"/>
    </xf>
    <xf numFmtId="0" fontId="16" fillId="3" borderId="0" xfId="0" applyFont="1" applyFill="1" applyAlignment="1">
      <alignment vertical="center"/>
    </xf>
    <xf numFmtId="0" fontId="29" fillId="3" borderId="0" xfId="3" applyFont="1" applyFill="1" applyAlignment="1">
      <alignment horizontal="left"/>
    </xf>
    <xf numFmtId="0" fontId="29" fillId="3" borderId="0" xfId="3" applyFont="1" applyFill="1"/>
    <xf numFmtId="9" fontId="0" fillId="3" borderId="0" xfId="2" applyFont="1" applyFill="1" applyAlignment="1" applyProtection="1">
      <alignment horizontal="left" vertical="center" indent="1"/>
    </xf>
    <xf numFmtId="0" fontId="0" fillId="3" borderId="4" xfId="0" applyFill="1" applyBorder="1" applyAlignment="1">
      <alignment horizontal="left" vertical="center" indent="1"/>
    </xf>
    <xf numFmtId="0" fontId="5" fillId="8" borderId="11" xfId="0" applyFont="1" applyFill="1" applyBorder="1" applyAlignment="1">
      <alignment horizontal="center" vertical="center" wrapText="1"/>
    </xf>
    <xf numFmtId="0" fontId="27" fillId="0" borderId="4" xfId="0" applyFont="1" applyBorder="1" applyAlignment="1">
      <alignment horizontal="left" vertical="center" indent="1"/>
    </xf>
    <xf numFmtId="0" fontId="27" fillId="7" borderId="4" xfId="0" applyFont="1" applyFill="1" applyBorder="1" applyAlignment="1">
      <alignment horizontal="center" vertical="center" wrapText="1"/>
    </xf>
    <xf numFmtId="0" fontId="32" fillId="3" borderId="0" xfId="0" applyFont="1" applyFill="1" applyAlignment="1">
      <alignment vertical="center" wrapText="1"/>
    </xf>
    <xf numFmtId="0" fontId="33" fillId="3" borderId="0" xfId="0" applyFont="1" applyFill="1" applyAlignment="1">
      <alignment horizontal="left" vertical="center" wrapText="1"/>
    </xf>
    <xf numFmtId="0" fontId="33" fillId="3" borderId="0" xfId="0" applyFont="1" applyFill="1" applyAlignment="1">
      <alignment vertical="center" wrapText="1"/>
    </xf>
    <xf numFmtId="0" fontId="27" fillId="3" borderId="0" xfId="0" applyFont="1" applyFill="1"/>
    <xf numFmtId="0" fontId="27" fillId="3" borderId="4" xfId="0" applyFont="1" applyFill="1" applyBorder="1" applyAlignment="1">
      <alignment horizontal="left" vertical="center" indent="1"/>
    </xf>
    <xf numFmtId="0" fontId="27" fillId="7" borderId="4" xfId="0" applyFont="1" applyFill="1" applyBorder="1" applyAlignment="1">
      <alignment horizontal="center" vertical="center"/>
    </xf>
    <xf numFmtId="5" fontId="0" fillId="3" borderId="0" xfId="1" applyNumberFormat="1" applyFont="1" applyFill="1" applyAlignment="1" applyProtection="1">
      <alignment horizontal="left" vertical="center" indent="1"/>
    </xf>
    <xf numFmtId="0" fontId="32" fillId="3" borderId="4" xfId="0" applyFont="1" applyFill="1" applyBorder="1" applyAlignment="1">
      <alignment horizontal="left" vertical="center" indent="1"/>
    </xf>
    <xf numFmtId="5" fontId="27" fillId="3" borderId="4" xfId="1" applyNumberFormat="1" applyFont="1" applyFill="1" applyBorder="1" applyAlignment="1" applyProtection="1">
      <alignment horizontal="left" vertical="center" indent="1"/>
    </xf>
    <xf numFmtId="165" fontId="27" fillId="3" borderId="25" xfId="1" applyNumberFormat="1" applyFont="1" applyFill="1" applyBorder="1" applyAlignment="1" applyProtection="1">
      <alignment horizontal="left" vertical="center" indent="1"/>
    </xf>
    <xf numFmtId="165" fontId="27" fillId="3" borderId="10" xfId="1" applyNumberFormat="1" applyFont="1" applyFill="1" applyBorder="1" applyAlignment="1" applyProtection="1">
      <alignment horizontal="left" vertical="center" indent="1"/>
    </xf>
    <xf numFmtId="5" fontId="27" fillId="3" borderId="14" xfId="1" applyNumberFormat="1" applyFont="1" applyFill="1" applyBorder="1" applyAlignment="1" applyProtection="1">
      <alignment horizontal="left" vertical="center" indent="1"/>
    </xf>
    <xf numFmtId="5" fontId="27" fillId="4" borderId="11" xfId="1" applyNumberFormat="1" applyFont="1" applyFill="1" applyBorder="1" applyAlignment="1" applyProtection="1">
      <alignment horizontal="left" vertical="center" indent="1"/>
    </xf>
    <xf numFmtId="5" fontId="27" fillId="3" borderId="0" xfId="1" applyNumberFormat="1" applyFont="1" applyFill="1" applyBorder="1" applyAlignment="1" applyProtection="1">
      <alignment horizontal="left" vertical="center" indent="1"/>
    </xf>
    <xf numFmtId="165" fontId="27" fillId="3" borderId="30" xfId="1" applyNumberFormat="1" applyFont="1" applyFill="1" applyBorder="1" applyAlignment="1" applyProtection="1">
      <alignment horizontal="left" vertical="center" indent="1"/>
    </xf>
    <xf numFmtId="165" fontId="27" fillId="3" borderId="29" xfId="1" applyNumberFormat="1" applyFont="1" applyFill="1" applyBorder="1" applyAlignment="1" applyProtection="1">
      <alignment horizontal="left" vertical="center" indent="1"/>
    </xf>
    <xf numFmtId="165" fontId="27" fillId="4" borderId="31" xfId="1" applyNumberFormat="1" applyFont="1" applyFill="1" applyBorder="1" applyAlignment="1" applyProtection="1">
      <alignment horizontal="left" vertical="center" indent="1"/>
    </xf>
    <xf numFmtId="165" fontId="27" fillId="4" borderId="8" xfId="1" applyNumberFormat="1" applyFont="1" applyFill="1" applyBorder="1" applyAlignment="1" applyProtection="1">
      <alignment horizontal="left" vertical="center" indent="1"/>
    </xf>
    <xf numFmtId="9" fontId="32" fillId="4" borderId="4" xfId="2" applyFont="1" applyFill="1" applyBorder="1" applyAlignment="1" applyProtection="1">
      <alignment horizontal="left" vertical="center" indent="1"/>
    </xf>
    <xf numFmtId="9" fontId="32" fillId="3" borderId="0" xfId="2"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indent="1"/>
    </xf>
    <xf numFmtId="165" fontId="27" fillId="3" borderId="4" xfId="1" applyNumberFormat="1" applyFont="1" applyFill="1" applyBorder="1" applyAlignment="1" applyProtection="1">
      <alignment horizontal="left" vertical="center" indent="1"/>
    </xf>
    <xf numFmtId="9" fontId="27" fillId="3" borderId="4" xfId="1" applyNumberFormat="1"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wrapText="1" indent="1"/>
    </xf>
    <xf numFmtId="4" fontId="27" fillId="3" borderId="4" xfId="1" applyNumberFormat="1" applyFont="1" applyFill="1" applyBorder="1" applyAlignment="1" applyProtection="1">
      <alignment horizontal="left" vertical="center" indent="1"/>
    </xf>
    <xf numFmtId="2" fontId="27" fillId="3" borderId="4" xfId="1" applyNumberFormat="1" applyFont="1" applyFill="1" applyBorder="1" applyAlignment="1" applyProtection="1">
      <alignment horizontal="center" vertical="center"/>
    </xf>
    <xf numFmtId="165" fontId="27" fillId="3" borderId="14" xfId="1" applyNumberFormat="1" applyFont="1" applyFill="1" applyBorder="1" applyAlignment="1" applyProtection="1">
      <alignment horizontal="left" vertical="center" indent="1"/>
    </xf>
    <xf numFmtId="9" fontId="27" fillId="3" borderId="14" xfId="1" applyNumberFormat="1" applyFont="1" applyFill="1" applyBorder="1" applyAlignment="1" applyProtection="1">
      <alignment horizontal="left" vertical="center" indent="1"/>
    </xf>
    <xf numFmtId="9" fontId="27" fillId="4" borderId="11" xfId="1" applyNumberFormat="1" applyFont="1" applyFill="1" applyBorder="1" applyAlignment="1" applyProtection="1">
      <alignment horizontal="left" vertical="center" indent="1"/>
    </xf>
    <xf numFmtId="0" fontId="28" fillId="3" borderId="6" xfId="3" applyFont="1" applyFill="1" applyBorder="1" applyAlignment="1">
      <alignment horizontal="left" vertical="center" wrapText="1" indent="3"/>
    </xf>
    <xf numFmtId="165" fontId="0" fillId="0" borderId="4" xfId="0" applyNumberFormat="1" applyBorder="1" applyAlignment="1">
      <alignment horizontal="left" vertical="center" indent="1"/>
    </xf>
    <xf numFmtId="0" fontId="7" fillId="3" borderId="0" xfId="0" applyFont="1" applyFill="1" applyAlignment="1">
      <alignment vertical="center"/>
    </xf>
    <xf numFmtId="0" fontId="0" fillId="3" borderId="0" xfId="0" applyFill="1" applyAlignment="1">
      <alignment vertical="center"/>
    </xf>
    <xf numFmtId="5" fontId="0" fillId="3" borderId="0" xfId="0" applyNumberFormat="1" applyFill="1" applyAlignment="1">
      <alignment horizontal="left" vertical="center" indent="1"/>
    </xf>
    <xf numFmtId="0" fontId="0" fillId="10" borderId="4" xfId="0" applyFill="1" applyBorder="1" applyAlignment="1">
      <alignment horizontal="center" vertical="center" wrapText="1"/>
    </xf>
    <xf numFmtId="0" fontId="0" fillId="3" borderId="0" xfId="0" applyFill="1" applyAlignment="1">
      <alignment horizontal="center" vertical="center"/>
    </xf>
    <xf numFmtId="0" fontId="0" fillId="3" borderId="4" xfId="0" applyFill="1" applyBorder="1" applyAlignment="1">
      <alignment horizontal="center" vertical="center"/>
    </xf>
    <xf numFmtId="0" fontId="0" fillId="4" borderId="4" xfId="0" applyFill="1" applyBorder="1" applyAlignment="1">
      <alignment horizontal="left" vertical="center" indent="1"/>
    </xf>
    <xf numFmtId="165" fontId="0" fillId="4" borderId="4" xfId="0" applyNumberFormat="1" applyFill="1" applyBorder="1" applyAlignment="1">
      <alignment horizontal="left" vertical="center" indent="1"/>
    </xf>
    <xf numFmtId="3" fontId="0" fillId="4" borderId="4" xfId="0" applyNumberFormat="1" applyFill="1" applyBorder="1" applyAlignment="1">
      <alignment horizontal="left" vertical="center" indent="1"/>
    </xf>
    <xf numFmtId="0" fontId="4" fillId="3" borderId="0" xfId="0" applyFont="1" applyFill="1"/>
    <xf numFmtId="0" fontId="4" fillId="3" borderId="0" xfId="0" applyFont="1" applyFill="1" applyAlignment="1">
      <alignment horizontal="left" wrapText="1"/>
    </xf>
    <xf numFmtId="0" fontId="0" fillId="3" borderId="0" xfId="0" applyFill="1" applyAlignment="1">
      <alignment horizontal="left" vertical="center"/>
    </xf>
    <xf numFmtId="44" fontId="15" fillId="3" borderId="0" xfId="1" applyFont="1" applyFill="1" applyProtection="1"/>
    <xf numFmtId="44" fontId="0" fillId="3" borderId="0" xfId="1" applyFont="1" applyFill="1" applyProtection="1"/>
    <xf numFmtId="0" fontId="0" fillId="3" borderId="0" xfId="0" applyFill="1" applyAlignment="1">
      <alignment vertical="center" wrapText="1"/>
    </xf>
    <xf numFmtId="0" fontId="10" fillId="3" borderId="0" xfId="0" applyFont="1" applyFill="1" applyAlignment="1">
      <alignment horizontal="center" wrapText="1"/>
    </xf>
    <xf numFmtId="0" fontId="6" fillId="3" borderId="0" xfId="0" applyFont="1" applyFill="1"/>
    <xf numFmtId="1" fontId="0" fillId="4" borderId="4" xfId="0" applyNumberFormat="1" applyFill="1" applyBorder="1" applyAlignment="1">
      <alignment horizontal="left" vertical="center" indent="1"/>
    </xf>
    <xf numFmtId="9" fontId="0" fillId="4" borderId="4" xfId="0" applyNumberFormat="1" applyFill="1" applyBorder="1" applyAlignment="1">
      <alignment horizontal="left" vertical="center" indent="1"/>
    </xf>
    <xf numFmtId="0" fontId="9" fillId="4" borderId="4" xfId="0" applyFont="1" applyFill="1" applyBorder="1" applyAlignment="1">
      <alignment horizontal="left" vertical="center" indent="1"/>
    </xf>
    <xf numFmtId="5" fontId="0" fillId="4" borderId="4" xfId="0" applyNumberFormat="1" applyFill="1" applyBorder="1" applyAlignment="1">
      <alignment horizontal="left" vertical="center" indent="1"/>
    </xf>
    <xf numFmtId="0" fontId="0" fillId="5" borderId="6" xfId="0" applyFill="1" applyBorder="1"/>
    <xf numFmtId="0" fontId="0" fillId="3" borderId="0" xfId="0" applyFill="1" applyAlignment="1">
      <alignment horizontal="left" vertical="center" wrapText="1" indent="1"/>
    </xf>
    <xf numFmtId="0" fontId="2" fillId="2" borderId="9" xfId="0" applyFont="1" applyFill="1" applyBorder="1" applyAlignment="1">
      <alignment horizontal="left" vertical="center" indent="1"/>
    </xf>
    <xf numFmtId="0" fontId="0" fillId="5" borderId="6" xfId="0" applyFill="1" applyBorder="1" applyAlignment="1">
      <alignment horizontal="right" vertical="center"/>
    </xf>
    <xf numFmtId="0" fontId="5" fillId="10" borderId="4" xfId="0" applyFont="1" applyFill="1" applyBorder="1" applyAlignment="1">
      <alignment horizontal="center" vertical="center" wrapText="1"/>
    </xf>
    <xf numFmtId="0" fontId="0" fillId="5" borderId="9" xfId="0" applyFill="1" applyBorder="1" applyAlignment="1">
      <alignment horizontal="right" vertical="center"/>
    </xf>
    <xf numFmtId="0" fontId="0" fillId="3" borderId="0" xfId="0" applyFill="1" applyAlignment="1">
      <alignment horizontal="left" vertical="center" wrapText="1"/>
    </xf>
    <xf numFmtId="0" fontId="0" fillId="3" borderId="5" xfId="0" applyFill="1" applyBorder="1" applyAlignment="1">
      <alignment horizontal="left" vertical="center" indent="1"/>
    </xf>
    <xf numFmtId="9" fontId="0" fillId="3" borderId="0" xfId="0" applyNumberFormat="1" applyFill="1"/>
    <xf numFmtId="5" fontId="5" fillId="4" borderId="11" xfId="1" applyNumberFormat="1" applyFont="1" applyFill="1" applyBorder="1" applyAlignment="1" applyProtection="1">
      <alignment horizontal="left" vertical="center" indent="1"/>
    </xf>
    <xf numFmtId="165" fontId="0" fillId="3" borderId="0" xfId="1" applyNumberFormat="1" applyFont="1" applyFill="1" applyBorder="1" applyAlignment="1" applyProtection="1">
      <alignment horizontal="left" vertical="center" indent="1"/>
    </xf>
    <xf numFmtId="5" fontId="0" fillId="4" borderId="4" xfId="1" applyNumberFormat="1" applyFont="1" applyFill="1" applyBorder="1" applyAlignment="1" applyProtection="1">
      <alignment horizontal="left" vertical="center" indent="1"/>
    </xf>
    <xf numFmtId="165" fontId="0" fillId="4" borderId="4" xfId="1" applyNumberFormat="1" applyFont="1" applyFill="1" applyBorder="1" applyAlignment="1" applyProtection="1">
      <alignment horizontal="left" vertical="center" indent="1"/>
    </xf>
    <xf numFmtId="165" fontId="9" fillId="4" borderId="4" xfId="1" applyNumberFormat="1" applyFont="1" applyFill="1" applyBorder="1" applyAlignment="1" applyProtection="1">
      <alignment horizontal="left" vertical="center" indent="1"/>
    </xf>
    <xf numFmtId="0" fontId="0" fillId="3" borderId="7" xfId="0" applyFill="1" applyBorder="1" applyAlignment="1">
      <alignment horizontal="left" vertical="center" indent="1"/>
    </xf>
    <xf numFmtId="165" fontId="0" fillId="12" borderId="11" xfId="1" applyNumberFormat="1" applyFont="1" applyFill="1" applyBorder="1" applyAlignment="1" applyProtection="1">
      <alignment horizontal="left" vertical="center" indent="1"/>
    </xf>
    <xf numFmtId="5" fontId="0" fillId="3" borderId="4" xfId="1" applyNumberFormat="1" applyFont="1" applyFill="1" applyBorder="1" applyAlignment="1" applyProtection="1">
      <alignment horizontal="left" vertical="center" indent="1"/>
    </xf>
    <xf numFmtId="0" fontId="0" fillId="3" borderId="1" xfId="0" applyFill="1" applyBorder="1" applyAlignment="1" applyProtection="1">
      <alignment vertical="center"/>
      <protection locked="0"/>
    </xf>
    <xf numFmtId="14" fontId="0" fillId="3" borderId="1" xfId="0" applyNumberFormat="1" applyFill="1" applyBorder="1" applyAlignment="1" applyProtection="1">
      <alignment vertical="center"/>
      <protection locked="0"/>
    </xf>
    <xf numFmtId="177" fontId="0" fillId="4" borderId="4" xfId="4" applyNumberFormat="1" applyFont="1" applyFill="1" applyBorder="1" applyAlignment="1" applyProtection="1">
      <alignment horizontal="left" vertical="center" indent="1"/>
    </xf>
    <xf numFmtId="9" fontId="0" fillId="4" borderId="4" xfId="2" applyFont="1" applyFill="1" applyBorder="1" applyAlignment="1" applyProtection="1">
      <alignment horizontal="left" vertical="center" indent="1"/>
    </xf>
    <xf numFmtId="0" fontId="28" fillId="3" borderId="0" xfId="3" applyFont="1" applyFill="1" applyBorder="1" applyAlignment="1" applyProtection="1">
      <alignment horizontal="left" vertical="center" indent="9"/>
    </xf>
    <xf numFmtId="0" fontId="0" fillId="4" borderId="4" xfId="2" applyNumberFormat="1" applyFont="1" applyFill="1" applyBorder="1" applyAlignment="1" applyProtection="1">
      <alignment horizontal="left" vertical="center" indent="1"/>
    </xf>
    <xf numFmtId="37" fontId="0" fillId="6" borderId="14" xfId="4" applyNumberFormat="1" applyFont="1" applyFill="1" applyBorder="1" applyAlignment="1" applyProtection="1">
      <alignment horizontal="left" vertical="center" indent="1"/>
    </xf>
    <xf numFmtId="0" fontId="5" fillId="3" borderId="0" xfId="0" applyFont="1" applyFill="1" applyAlignment="1">
      <alignment horizontal="center" vertical="center" wrapText="1"/>
    </xf>
    <xf numFmtId="0" fontId="0" fillId="3" borderId="6" xfId="0" applyFill="1" applyBorder="1" applyAlignment="1">
      <alignment vertical="center"/>
    </xf>
    <xf numFmtId="0" fontId="8" fillId="3" borderId="6" xfId="3" applyFill="1" applyBorder="1" applyAlignment="1">
      <alignment vertical="center" wrapText="1"/>
    </xf>
    <xf numFmtId="0" fontId="28" fillId="3" borderId="0" xfId="3" applyFont="1" applyFill="1" applyBorder="1" applyAlignment="1">
      <alignment horizontal="left" vertical="center" wrapText="1" indent="3"/>
    </xf>
    <xf numFmtId="0" fontId="28" fillId="3" borderId="6" xfId="3" applyFont="1" applyFill="1" applyBorder="1" applyAlignment="1">
      <alignment vertical="center"/>
    </xf>
    <xf numFmtId="165" fontId="27" fillId="3" borderId="0" xfId="0" applyNumberFormat="1" applyFont="1" applyFill="1" applyAlignment="1">
      <alignment horizontal="left" vertical="center" indent="1"/>
    </xf>
    <xf numFmtId="0" fontId="0" fillId="3" borderId="0" xfId="1" applyNumberFormat="1" applyFont="1" applyFill="1" applyBorder="1" applyAlignment="1" applyProtection="1">
      <alignment horizontal="left" vertical="center" indent="1"/>
    </xf>
    <xf numFmtId="9" fontId="0" fillId="3" borderId="0" xfId="2" applyFont="1" applyFill="1" applyBorder="1" applyAlignment="1" applyProtection="1">
      <alignment horizontal="left" vertical="center" indent="1"/>
    </xf>
    <xf numFmtId="0" fontId="0" fillId="4" borderId="11" xfId="0" applyFill="1" applyBorder="1" applyAlignment="1">
      <alignment horizontal="left" vertical="center" indent="1"/>
    </xf>
    <xf numFmtId="0" fontId="0" fillId="4" borderId="14" xfId="0" applyFill="1" applyBorder="1" applyAlignment="1">
      <alignment horizontal="left" vertical="center" indent="1"/>
    </xf>
    <xf numFmtId="9" fontId="0" fillId="4" borderId="11" xfId="2" applyFont="1" applyFill="1" applyBorder="1" applyAlignment="1" applyProtection="1">
      <alignment horizontal="left" vertical="center" indent="1"/>
    </xf>
    <xf numFmtId="0" fontId="0" fillId="4" borderId="14" xfId="2" applyNumberFormat="1" applyFont="1" applyFill="1" applyBorder="1" applyAlignment="1" applyProtection="1">
      <alignment horizontal="left" vertical="center" indent="1"/>
    </xf>
    <xf numFmtId="0" fontId="0" fillId="3" borderId="0" xfId="0" applyFill="1" applyAlignment="1">
      <alignment horizontal="right" vertical="center" indent="1"/>
    </xf>
    <xf numFmtId="9" fontId="0" fillId="3" borderId="6" xfId="2" applyFont="1" applyFill="1" applyBorder="1" applyAlignment="1" applyProtection="1">
      <alignment horizontal="left" vertical="center" indent="1"/>
    </xf>
    <xf numFmtId="0" fontId="3" fillId="3" borderId="6" xfId="0" applyFont="1" applyFill="1" applyBorder="1"/>
    <xf numFmtId="169" fontId="0" fillId="16" borderId="4" xfId="2" applyNumberFormat="1" applyFont="1" applyFill="1" applyBorder="1" applyAlignment="1" applyProtection="1">
      <alignment horizontal="center"/>
    </xf>
    <xf numFmtId="0" fontId="0" fillId="16" borderId="4" xfId="1" applyNumberFormat="1" applyFont="1" applyFill="1" applyBorder="1" applyAlignment="1" applyProtection="1">
      <alignment horizontal="left" vertical="center" indent="1"/>
    </xf>
    <xf numFmtId="37" fontId="0" fillId="4" borderId="11" xfId="4" applyNumberFormat="1" applyFont="1" applyFill="1" applyBorder="1" applyAlignment="1" applyProtection="1">
      <alignment horizontal="left" vertical="center" indent="1"/>
    </xf>
    <xf numFmtId="37" fontId="0" fillId="4" borderId="4" xfId="4" applyNumberFormat="1" applyFont="1" applyFill="1" applyBorder="1" applyAlignment="1" applyProtection="1">
      <alignment horizontal="left" vertical="center" indent="1"/>
    </xf>
    <xf numFmtId="164" fontId="0" fillId="4" borderId="4" xfId="2" applyNumberFormat="1" applyFont="1" applyFill="1" applyBorder="1" applyAlignment="1" applyProtection="1">
      <alignment horizontal="left" vertical="center" indent="1"/>
    </xf>
    <xf numFmtId="0" fontId="8" fillId="3" borderId="0" xfId="3" applyFill="1" applyAlignment="1">
      <alignment horizontal="left" vertical="center"/>
    </xf>
    <xf numFmtId="0" fontId="0" fillId="4" borderId="4" xfId="1" applyNumberFormat="1" applyFont="1" applyFill="1" applyBorder="1" applyAlignment="1" applyProtection="1">
      <alignment horizontal="left" vertical="center" indent="1"/>
    </xf>
    <xf numFmtId="178" fontId="0" fillId="4" borderId="4" xfId="4" applyNumberFormat="1" applyFont="1" applyFill="1" applyBorder="1" applyAlignment="1" applyProtection="1">
      <alignment horizontal="left" vertical="center" indent="1"/>
    </xf>
    <xf numFmtId="0" fontId="3" fillId="15" borderId="4" xfId="0" applyFont="1" applyFill="1" applyBorder="1"/>
    <xf numFmtId="165" fontId="0" fillId="4" borderId="11" xfId="1" applyNumberFormat="1" applyFont="1" applyFill="1" applyBorder="1" applyAlignment="1" applyProtection="1">
      <alignment horizontal="left" vertical="center" indent="1"/>
    </xf>
    <xf numFmtId="165" fontId="9" fillId="4" borderId="11" xfId="1" applyNumberFormat="1" applyFont="1" applyFill="1" applyBorder="1" applyAlignment="1" applyProtection="1">
      <alignment horizontal="left" vertical="center" indent="1"/>
    </xf>
    <xf numFmtId="165" fontId="0" fillId="12" borderId="14" xfId="1" applyNumberFormat="1" applyFont="1" applyFill="1" applyBorder="1" applyAlignment="1" applyProtection="1">
      <alignment horizontal="left" vertical="center" indent="1"/>
    </xf>
    <xf numFmtId="165" fontId="0" fillId="4" borderId="14"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0" fontId="0" fillId="3" borderId="10" xfId="0" applyFill="1" applyBorder="1" applyAlignment="1">
      <alignment horizontal="left" vertical="center" indent="1"/>
    </xf>
    <xf numFmtId="0" fontId="3" fillId="3" borderId="0" xfId="0" applyFont="1" applyFill="1" applyAlignment="1">
      <alignment horizontal="left" vertical="center"/>
    </xf>
    <xf numFmtId="0" fontId="0" fillId="3" borderId="6" xfId="0" applyFill="1" applyBorder="1" applyAlignment="1">
      <alignment horizontal="left" vertical="center"/>
    </xf>
    <xf numFmtId="0" fontId="0" fillId="3" borderId="6" xfId="0" applyFill="1" applyBorder="1" applyAlignment="1">
      <alignment horizontal="left" vertical="center" indent="1"/>
    </xf>
    <xf numFmtId="9" fontId="5" fillId="4" borderId="4" xfId="0" applyNumberFormat="1" applyFont="1" applyFill="1" applyBorder="1" applyAlignment="1">
      <alignment horizontal="left" vertical="center" indent="1"/>
    </xf>
    <xf numFmtId="5" fontId="0" fillId="3" borderId="0" xfId="1" applyNumberFormat="1" applyFont="1" applyFill="1" applyBorder="1" applyAlignment="1" applyProtection="1">
      <alignment horizontal="left" vertical="center" indent="1"/>
    </xf>
    <xf numFmtId="0" fontId="5" fillId="3" borderId="0" xfId="0" applyFont="1" applyFill="1" applyAlignment="1">
      <alignment wrapText="1"/>
    </xf>
    <xf numFmtId="0" fontId="5" fillId="5" borderId="6" xfId="0" applyFont="1" applyFill="1" applyBorder="1" applyAlignment="1">
      <alignment horizontal="right" vertical="center"/>
    </xf>
    <xf numFmtId="0" fontId="0" fillId="0" borderId="0" xfId="0" applyAlignment="1">
      <alignment horizontal="left" vertical="top"/>
    </xf>
    <xf numFmtId="0" fontId="3" fillId="3" borderId="0" xfId="0" applyFont="1" applyFill="1" applyAlignment="1">
      <alignment horizontal="left" vertical="top" wrapText="1"/>
    </xf>
    <xf numFmtId="0" fontId="0" fillId="3" borderId="0" xfId="0" applyFill="1" applyAlignment="1">
      <alignment horizontal="center" vertical="top" wrapText="1"/>
    </xf>
    <xf numFmtId="0" fontId="28" fillId="3" borderId="0" xfId="3" applyFont="1" applyFill="1" applyAlignment="1" applyProtection="1">
      <alignment horizontal="left" indent="1"/>
    </xf>
    <xf numFmtId="0" fontId="0" fillId="3" borderId="12" xfId="0" applyFill="1" applyBorder="1" applyAlignment="1">
      <alignment horizontal="left" vertical="center"/>
    </xf>
    <xf numFmtId="0" fontId="1" fillId="3" borderId="0" xfId="0" applyFont="1" applyFill="1" applyAlignment="1">
      <alignment horizontal="left" vertical="center"/>
    </xf>
    <xf numFmtId="0" fontId="1" fillId="3" borderId="0" xfId="0" applyFont="1" applyFill="1" applyAlignment="1">
      <alignment horizontal="left" vertical="center" indent="4"/>
    </xf>
    <xf numFmtId="0" fontId="7" fillId="3" borderId="0" xfId="0" applyFont="1" applyFill="1" applyAlignment="1">
      <alignment horizontal="left"/>
    </xf>
    <xf numFmtId="0" fontId="4" fillId="3" borderId="0" xfId="0" applyFont="1" applyFill="1" applyAlignment="1">
      <alignment horizontal="center" vertical="center" wrapText="1"/>
    </xf>
    <xf numFmtId="0" fontId="2" fillId="3" borderId="0" xfId="0" applyFont="1" applyFill="1"/>
    <xf numFmtId="1" fontId="3" fillId="4" borderId="4" xfId="0" applyNumberFormat="1" applyFont="1" applyFill="1" applyBorder="1" applyAlignment="1">
      <alignment horizontal="left" vertical="center" indent="1"/>
    </xf>
    <xf numFmtId="1" fontId="11" fillId="4" borderId="4" xfId="0" applyNumberFormat="1" applyFont="1" applyFill="1" applyBorder="1" applyAlignment="1">
      <alignment horizontal="center" vertical="center"/>
    </xf>
    <xf numFmtId="165" fontId="11" fillId="4" borderId="4" xfId="0" applyNumberFormat="1" applyFont="1" applyFill="1" applyBorder="1" applyAlignment="1">
      <alignment horizontal="left" vertical="center" indent="1"/>
    </xf>
    <xf numFmtId="0" fontId="11" fillId="3" borderId="0" xfId="0" applyFont="1" applyFill="1"/>
    <xf numFmtId="0" fontId="11" fillId="3" borderId="6" xfId="0" applyFont="1" applyFill="1" applyBorder="1"/>
    <xf numFmtId="0" fontId="3" fillId="3" borderId="6" xfId="0" applyFont="1" applyFill="1" applyBorder="1" applyAlignment="1">
      <alignment vertical="center"/>
    </xf>
    <xf numFmtId="0" fontId="9" fillId="3" borderId="6" xfId="0" applyFont="1" applyFill="1" applyBorder="1"/>
    <xf numFmtId="0" fontId="5" fillId="3" borderId="6" xfId="0" applyFont="1" applyFill="1" applyBorder="1"/>
    <xf numFmtId="1" fontId="5" fillId="4" borderId="4" xfId="0" applyNumberFormat="1" applyFont="1" applyFill="1" applyBorder="1" applyAlignment="1">
      <alignment horizontal="left" indent="1"/>
    </xf>
    <xf numFmtId="3" fontId="5" fillId="4" borderId="4" xfId="0" applyNumberFormat="1" applyFont="1" applyFill="1" applyBorder="1" applyAlignment="1">
      <alignment horizontal="left" vertical="center" indent="1"/>
    </xf>
    <xf numFmtId="3" fontId="5" fillId="4" borderId="4" xfId="0" applyNumberFormat="1" applyFont="1" applyFill="1" applyBorder="1" applyAlignment="1">
      <alignment horizontal="left" indent="1"/>
    </xf>
    <xf numFmtId="165" fontId="0" fillId="4" borderId="10" xfId="0" applyNumberFormat="1" applyFill="1" applyBorder="1" applyAlignment="1">
      <alignment horizontal="left" vertical="center" indent="1"/>
    </xf>
    <xf numFmtId="0" fontId="3" fillId="3" borderId="0" xfId="0" applyFont="1" applyFill="1" applyAlignment="1">
      <alignment horizontal="left" indent="1"/>
    </xf>
    <xf numFmtId="165" fontId="3" fillId="4" borderId="4" xfId="0" applyNumberFormat="1" applyFont="1" applyFill="1" applyBorder="1" applyAlignment="1">
      <alignment horizontal="left" vertical="center" indent="1"/>
    </xf>
    <xf numFmtId="9" fontId="0" fillId="3" borderId="4" xfId="2" applyFont="1" applyFill="1" applyBorder="1" applyAlignment="1" applyProtection="1">
      <alignment horizontal="left" vertical="center" indent="1"/>
    </xf>
    <xf numFmtId="3" fontId="0" fillId="3" borderId="4" xfId="0" applyNumberFormat="1" applyFill="1" applyBorder="1" applyAlignment="1">
      <alignment horizontal="left" vertical="center" indent="1"/>
    </xf>
    <xf numFmtId="3" fontId="0" fillId="3" borderId="14" xfId="0" applyNumberFormat="1" applyFill="1" applyBorder="1" applyAlignment="1">
      <alignment horizontal="left" vertical="center" indent="1"/>
    </xf>
    <xf numFmtId="3" fontId="0" fillId="4" borderId="14" xfId="0" applyNumberFormat="1" applyFill="1" applyBorder="1" applyAlignment="1">
      <alignment horizontal="left" vertical="center" indent="1"/>
    </xf>
    <xf numFmtId="9" fontId="0" fillId="4" borderId="14" xfId="0" applyNumberFormat="1" applyFill="1" applyBorder="1" applyAlignment="1">
      <alignment horizontal="left" vertical="center" indent="1"/>
    </xf>
    <xf numFmtId="0" fontId="3" fillId="4" borderId="11" xfId="0" applyFont="1" applyFill="1" applyBorder="1" applyAlignment="1">
      <alignment horizontal="left" vertical="center" indent="1"/>
    </xf>
    <xf numFmtId="3" fontId="3" fillId="4" borderId="11" xfId="0" applyNumberFormat="1" applyFont="1" applyFill="1" applyBorder="1" applyAlignment="1">
      <alignment horizontal="left" vertical="center" indent="1"/>
    </xf>
    <xf numFmtId="9" fontId="3" fillId="4" borderId="11" xfId="0" applyNumberFormat="1" applyFont="1" applyFill="1" applyBorder="1" applyAlignment="1">
      <alignment horizontal="left" vertical="center" indent="1"/>
    </xf>
    <xf numFmtId="0" fontId="0" fillId="3" borderId="14" xfId="0" applyFill="1" applyBorder="1" applyAlignment="1">
      <alignment horizontal="left" vertical="center" indent="1"/>
    </xf>
    <xf numFmtId="9" fontId="3" fillId="3" borderId="0" xfId="0" applyNumberFormat="1" applyFont="1" applyFill="1" applyAlignment="1">
      <alignment horizontal="left" vertical="center" indent="1"/>
    </xf>
    <xf numFmtId="164" fontId="0" fillId="4" borderId="4" xfId="0" applyNumberFormat="1" applyFill="1" applyBorder="1" applyAlignment="1">
      <alignment horizontal="left" vertical="center" indent="1"/>
    </xf>
    <xf numFmtId="0" fontId="2" fillId="0" borderId="0" xfId="0" applyFont="1" applyAlignment="1">
      <alignment horizontal="left" vertical="center" indent="1"/>
    </xf>
    <xf numFmtId="0" fontId="5" fillId="0" borderId="0" xfId="0" applyFont="1" applyAlignment="1">
      <alignment horizontal="left" vertical="center"/>
    </xf>
    <xf numFmtId="5" fontId="0" fillId="4" borderId="14" xfId="1" applyNumberFormat="1" applyFont="1" applyFill="1" applyBorder="1" applyAlignment="1" applyProtection="1">
      <alignment horizontal="left" vertical="center" indent="1"/>
    </xf>
    <xf numFmtId="9" fontId="0" fillId="4" borderId="14" xfId="2" applyFont="1" applyFill="1" applyBorder="1" applyAlignment="1" applyProtection="1">
      <alignment horizontal="left" vertical="center" indent="1"/>
    </xf>
    <xf numFmtId="5" fontId="3" fillId="4" borderId="11" xfId="1" applyNumberFormat="1" applyFont="1" applyFill="1" applyBorder="1" applyAlignment="1" applyProtection="1">
      <alignment horizontal="left" vertical="center" indent="1"/>
    </xf>
    <xf numFmtId="9" fontId="3" fillId="4" borderId="11" xfId="2" applyFont="1" applyFill="1" applyBorder="1" applyAlignment="1" applyProtection="1">
      <alignment horizontal="left" vertical="center" indent="1"/>
    </xf>
    <xf numFmtId="44" fontId="0" fillId="3" borderId="0" xfId="1" applyFont="1" applyFill="1" applyAlignment="1" applyProtection="1">
      <alignment vertical="center"/>
    </xf>
    <xf numFmtId="42" fontId="0" fillId="3" borderId="0" xfId="0" applyNumberFormat="1" applyFill="1"/>
    <xf numFmtId="9" fontId="0" fillId="4" borderId="4" xfId="1" applyNumberFormat="1" applyFont="1" applyFill="1" applyBorder="1" applyAlignment="1" applyProtection="1">
      <alignment horizontal="left" vertical="center" indent="1"/>
    </xf>
    <xf numFmtId="9" fontId="0" fillId="4" borderId="14" xfId="1" applyNumberFormat="1" applyFont="1" applyFill="1" applyBorder="1" applyAlignment="1" applyProtection="1">
      <alignment horizontal="left" vertical="center" indent="1"/>
    </xf>
    <xf numFmtId="165" fontId="3" fillId="4" borderId="11" xfId="1" applyNumberFormat="1" applyFont="1" applyFill="1" applyBorder="1" applyAlignment="1" applyProtection="1">
      <alignment horizontal="left" vertical="center" indent="1"/>
    </xf>
    <xf numFmtId="165" fontId="0" fillId="3" borderId="0" xfId="0" applyNumberFormat="1" applyFill="1" applyAlignment="1">
      <alignment horizontal="left" vertical="center" indent="1"/>
    </xf>
    <xf numFmtId="9" fontId="0" fillId="3" borderId="0" xfId="0" applyNumberFormat="1" applyFill="1" applyAlignment="1">
      <alignment horizontal="left" vertical="center" indent="1"/>
    </xf>
    <xf numFmtId="9" fontId="3" fillId="4" borderId="11" xfId="1" applyNumberFormat="1" applyFont="1" applyFill="1" applyBorder="1" applyAlignment="1" applyProtection="1">
      <alignment horizontal="left" vertical="center" indent="1"/>
    </xf>
    <xf numFmtId="0" fontId="3" fillId="4" borderId="4" xfId="0" applyFont="1" applyFill="1" applyBorder="1" applyAlignment="1">
      <alignment horizontal="left" vertical="center" indent="1"/>
    </xf>
    <xf numFmtId="0" fontId="14" fillId="3" borderId="0" xfId="0" applyFont="1" applyFill="1" applyAlignment="1">
      <alignment horizontal="center"/>
    </xf>
    <xf numFmtId="0" fontId="10" fillId="3" borderId="0" xfId="0" applyFont="1" applyFill="1" applyAlignment="1">
      <alignment horizontal="center"/>
    </xf>
    <xf numFmtId="5" fontId="0" fillId="15" borderId="4" xfId="0" applyNumberFormat="1" applyFill="1" applyBorder="1" applyAlignment="1">
      <alignment horizontal="left" vertical="center" indent="1"/>
    </xf>
    <xf numFmtId="0" fontId="15" fillId="3" borderId="0" xfId="0" applyFont="1" applyFill="1"/>
    <xf numFmtId="44" fontId="15" fillId="3" borderId="0" xfId="0" applyNumberFormat="1" applyFont="1" applyFill="1"/>
    <xf numFmtId="10" fontId="0" fillId="4" borderId="4" xfId="0" applyNumberFormat="1" applyFill="1" applyBorder="1" applyAlignment="1">
      <alignment horizontal="left" vertical="center" indent="1"/>
    </xf>
    <xf numFmtId="165" fontId="0" fillId="3" borderId="0" xfId="0" applyNumberFormat="1" applyFill="1"/>
    <xf numFmtId="0" fontId="24" fillId="3" borderId="0" xfId="0" applyFont="1" applyFill="1"/>
    <xf numFmtId="0" fontId="0" fillId="3" borderId="20" xfId="0" applyFill="1" applyBorder="1" applyAlignment="1">
      <alignment horizontal="left" vertical="center" indent="1"/>
    </xf>
    <xf numFmtId="0" fontId="0" fillId="3" borderId="0" xfId="0" quotePrefix="1" applyFill="1" applyAlignment="1">
      <alignment horizontal="left" vertical="center" indent="1"/>
    </xf>
    <xf numFmtId="0" fontId="5" fillId="3" borderId="0" xfId="0" applyFont="1" applyFill="1" applyAlignment="1">
      <alignment vertical="center"/>
    </xf>
    <xf numFmtId="0" fontId="41" fillId="3" borderId="0" xfId="0" applyFont="1" applyFill="1" applyAlignment="1">
      <alignment horizontal="center"/>
    </xf>
    <xf numFmtId="9" fontId="41" fillId="3" borderId="0" xfId="0" applyNumberFormat="1" applyFont="1" applyFill="1" applyAlignment="1" applyProtection="1">
      <alignment horizontal="left" vertical="center" indent="1"/>
      <protection locked="0"/>
    </xf>
    <xf numFmtId="9" fontId="41" fillId="3" borderId="0" xfId="0" applyNumberFormat="1" applyFont="1" applyFill="1" applyAlignment="1">
      <alignment horizontal="left" vertical="center" indent="1"/>
    </xf>
    <xf numFmtId="0" fontId="9" fillId="3" borderId="0" xfId="0" applyFont="1" applyFill="1" applyAlignment="1">
      <alignment horizontal="left" vertical="center"/>
    </xf>
    <xf numFmtId="44" fontId="5" fillId="3" borderId="0" xfId="1" applyFont="1" applyFill="1" applyProtection="1"/>
    <xf numFmtId="0" fontId="51" fillId="3" borderId="0" xfId="0" applyFont="1" applyFill="1"/>
    <xf numFmtId="0" fontId="9" fillId="3" borderId="0" xfId="0" applyFont="1" applyFill="1" applyAlignment="1">
      <alignment horizontal="center" wrapText="1"/>
    </xf>
    <xf numFmtId="165" fontId="3" fillId="4" borderId="8" xfId="1" applyNumberFormat="1" applyFont="1" applyFill="1" applyBorder="1" applyAlignment="1" applyProtection="1">
      <alignment horizontal="left" vertical="center" indent="1"/>
    </xf>
    <xf numFmtId="165" fontId="9" fillId="4" borderId="10" xfId="1" applyNumberFormat="1" applyFont="1" applyFill="1" applyBorder="1" applyAlignment="1" applyProtection="1">
      <alignment horizontal="left" vertical="center" indent="1"/>
    </xf>
    <xf numFmtId="165" fontId="9" fillId="4" borderId="38" xfId="1" applyNumberFormat="1" applyFont="1" applyFill="1" applyBorder="1" applyAlignment="1" applyProtection="1">
      <alignment horizontal="left" vertical="center" indent="1"/>
    </xf>
    <xf numFmtId="165" fontId="3" fillId="3" borderId="0" xfId="1" applyNumberFormat="1" applyFont="1" applyFill="1" applyBorder="1" applyAlignment="1" applyProtection="1">
      <alignment horizontal="left" vertical="center" indent="1"/>
    </xf>
    <xf numFmtId="9" fontId="27" fillId="3" borderId="0" xfId="1" applyNumberFormat="1" applyFont="1" applyFill="1" applyBorder="1" applyAlignment="1" applyProtection="1">
      <alignment horizontal="left" vertical="center" indent="1"/>
    </xf>
    <xf numFmtId="5" fontId="0" fillId="3" borderId="0" xfId="1" applyNumberFormat="1" applyFont="1" applyFill="1" applyBorder="1" applyAlignment="1" applyProtection="1">
      <alignment horizontal="left" vertical="center" indent="1"/>
      <protection locked="0"/>
    </xf>
    <xf numFmtId="5" fontId="0" fillId="3" borderId="10" xfId="1" applyNumberFormat="1" applyFont="1" applyFill="1" applyBorder="1" applyAlignment="1" applyProtection="1">
      <alignment horizontal="left" vertical="center" indent="1"/>
    </xf>
    <xf numFmtId="0" fontId="0" fillId="3" borderId="0" xfId="0" applyFill="1" applyAlignment="1">
      <alignment horizontal="left" vertical="center" indent="2"/>
    </xf>
    <xf numFmtId="0" fontId="0" fillId="3" borderId="16" xfId="0" applyFill="1" applyBorder="1" applyAlignment="1">
      <alignment horizontal="left" vertical="center"/>
    </xf>
    <xf numFmtId="0" fontId="0" fillId="3" borderId="17" xfId="0" applyFill="1" applyBorder="1" applyAlignment="1">
      <alignment horizontal="left" vertical="center"/>
    </xf>
    <xf numFmtId="0" fontId="0" fillId="4" borderId="5" xfId="0" applyFill="1" applyBorder="1" applyAlignment="1">
      <alignment horizontal="left" vertical="center" indent="1"/>
    </xf>
    <xf numFmtId="0" fontId="9" fillId="0" borderId="0" xfId="0" applyFont="1" applyAlignment="1">
      <alignment horizontal="right" vertical="center" indent="1"/>
    </xf>
    <xf numFmtId="0" fontId="2" fillId="3" borderId="0" xfId="0" applyFont="1" applyFill="1" applyAlignment="1">
      <alignment horizontal="left" vertical="center" indent="1"/>
    </xf>
    <xf numFmtId="0" fontId="5" fillId="3" borderId="0" xfId="0" applyFont="1" applyFill="1" applyAlignment="1">
      <alignment horizontal="left" vertical="center"/>
    </xf>
    <xf numFmtId="165" fontId="0" fillId="3" borderId="4" xfId="0" applyNumberFormat="1" applyFill="1" applyBorder="1" applyAlignment="1">
      <alignment horizontal="left" vertical="center" indent="1"/>
    </xf>
    <xf numFmtId="0" fontId="0" fillId="5" borderId="9" xfId="0" applyFill="1" applyBorder="1"/>
    <xf numFmtId="0" fontId="31" fillId="3" borderId="0" xfId="0" applyFont="1" applyFill="1" applyAlignment="1">
      <alignment horizontal="left" vertical="center" indent="1"/>
    </xf>
    <xf numFmtId="0" fontId="0" fillId="3" borderId="0" xfId="0" applyFill="1" applyAlignment="1">
      <alignment horizontal="right" vertical="center"/>
    </xf>
    <xf numFmtId="0" fontId="42" fillId="3" borderId="0" xfId="0" applyFont="1" applyFill="1" applyAlignment="1">
      <alignment horizontal="left" vertical="center"/>
    </xf>
    <xf numFmtId="0" fontId="0" fillId="3" borderId="0" xfId="1" applyNumberFormat="1" applyFont="1" applyFill="1" applyBorder="1" applyAlignment="1" applyProtection="1">
      <alignment horizontal="left" vertical="center"/>
    </xf>
    <xf numFmtId="0" fontId="19" fillId="3" borderId="0" xfId="0" applyFont="1" applyFill="1" applyAlignment="1">
      <alignment vertical="center"/>
    </xf>
    <xf numFmtId="167" fontId="0" fillId="3"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xf>
    <xf numFmtId="0" fontId="19" fillId="3" borderId="0" xfId="0" applyFont="1" applyFill="1" applyAlignment="1">
      <alignment horizontal="left" vertical="center"/>
    </xf>
    <xf numFmtId="168" fontId="0" fillId="3" borderId="0" xfId="1" applyNumberFormat="1" applyFont="1" applyFill="1" applyBorder="1" applyAlignment="1" applyProtection="1">
      <alignment horizontal="left" vertical="center"/>
    </xf>
    <xf numFmtId="0" fontId="0" fillId="0"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indent="1"/>
    </xf>
    <xf numFmtId="0" fontId="0" fillId="3" borderId="0" xfId="0" applyFill="1" applyAlignment="1">
      <alignment horizontal="left" vertical="center" indent="3"/>
    </xf>
    <xf numFmtId="0" fontId="0" fillId="3" borderId="12" xfId="0" applyFill="1" applyBorder="1" applyAlignment="1">
      <alignment horizontal="left" vertical="center" indent="3"/>
    </xf>
    <xf numFmtId="0" fontId="32" fillId="3" borderId="0" xfId="0" applyFont="1" applyFill="1" applyAlignment="1">
      <alignment horizontal="left" vertical="center" indent="1"/>
    </xf>
    <xf numFmtId="0" fontId="20" fillId="3" borderId="0" xfId="0" applyFont="1" applyFill="1" applyAlignment="1">
      <alignment horizontal="left" vertical="center" indent="1"/>
    </xf>
    <xf numFmtId="0" fontId="32" fillId="3" borderId="0" xfId="0" applyFont="1" applyFill="1" applyAlignment="1">
      <alignment horizontal="left" vertical="top" wrapText="1" indent="1"/>
    </xf>
    <xf numFmtId="0" fontId="32" fillId="3" borderId="0" xfId="0" applyFont="1" applyFill="1" applyAlignment="1">
      <alignment horizontal="left" vertical="center" wrapText="1" indent="1"/>
    </xf>
    <xf numFmtId="9" fontId="32" fillId="3" borderId="4" xfId="0" applyNumberFormat="1" applyFont="1" applyFill="1" applyBorder="1" applyAlignment="1">
      <alignment horizontal="left" vertical="center" indent="1"/>
    </xf>
    <xf numFmtId="37" fontId="32" fillId="3" borderId="0" xfId="0" applyNumberFormat="1" applyFont="1" applyFill="1" applyAlignment="1">
      <alignment horizontal="left" vertical="center" indent="1"/>
    </xf>
    <xf numFmtId="165" fontId="32" fillId="3" borderId="4" xfId="0" applyNumberFormat="1" applyFont="1" applyFill="1" applyBorder="1" applyAlignment="1">
      <alignment horizontal="left" vertical="center" indent="1"/>
    </xf>
    <xf numFmtId="165" fontId="32" fillId="3" borderId="0" xfId="0" applyNumberFormat="1" applyFont="1" applyFill="1" applyAlignment="1">
      <alignment horizontal="left" vertical="center" indent="1"/>
    </xf>
    <xf numFmtId="3" fontId="32" fillId="3" borderId="0" xfId="0" applyNumberFormat="1" applyFont="1" applyFill="1" applyAlignment="1">
      <alignment horizontal="left" vertical="center" indent="1"/>
    </xf>
    <xf numFmtId="0" fontId="32" fillId="3" borderId="0" xfId="0" applyFont="1" applyFill="1" applyAlignment="1">
      <alignment horizontal="center" vertical="center" wrapText="1"/>
    </xf>
    <xf numFmtId="0" fontId="34" fillId="3" borderId="0" xfId="0" applyFont="1" applyFill="1" applyAlignment="1">
      <alignment horizontal="center" vertical="center" wrapText="1"/>
    </xf>
    <xf numFmtId="3" fontId="32" fillId="3" borderId="4" xfId="0" applyNumberFormat="1" applyFont="1" applyFill="1" applyBorder="1" applyAlignment="1">
      <alignment horizontal="left" vertical="center" indent="1"/>
    </xf>
    <xf numFmtId="9" fontId="32" fillId="3" borderId="0" xfId="0" applyNumberFormat="1" applyFont="1" applyFill="1" applyAlignment="1">
      <alignment horizontal="left" vertical="center" indent="1"/>
    </xf>
    <xf numFmtId="37" fontId="32" fillId="3" borderId="4" xfId="0" applyNumberFormat="1" applyFont="1" applyFill="1" applyBorder="1" applyAlignment="1">
      <alignment horizontal="left" vertical="center" indent="1"/>
    </xf>
    <xf numFmtId="0" fontId="32" fillId="3" borderId="20" xfId="0" applyFont="1" applyFill="1" applyBorder="1" applyAlignment="1">
      <alignment horizontal="left" vertical="center" indent="1"/>
    </xf>
    <xf numFmtId="37" fontId="32" fillId="3" borderId="14" xfId="0" applyNumberFormat="1" applyFont="1" applyFill="1" applyBorder="1" applyAlignment="1">
      <alignment horizontal="left" vertical="center" indent="1"/>
    </xf>
    <xf numFmtId="9" fontId="32" fillId="3" borderId="14" xfId="0" applyNumberFormat="1" applyFont="1" applyFill="1" applyBorder="1" applyAlignment="1">
      <alignment horizontal="left" vertical="center" indent="1"/>
    </xf>
    <xf numFmtId="3" fontId="32" fillId="3" borderId="11" xfId="0" applyNumberFormat="1" applyFont="1" applyFill="1" applyBorder="1" applyAlignment="1">
      <alignment horizontal="left" vertical="center" indent="1"/>
    </xf>
    <xf numFmtId="9" fontId="32" fillId="3" borderId="11" xfId="0" applyNumberFormat="1" applyFont="1" applyFill="1" applyBorder="1" applyAlignment="1">
      <alignment horizontal="left" vertical="center" indent="1"/>
    </xf>
    <xf numFmtId="0" fontId="20" fillId="0" borderId="0" xfId="0" applyFont="1" applyAlignment="1">
      <alignment horizontal="left" vertical="center" wrapText="1" indent="1"/>
    </xf>
    <xf numFmtId="0" fontId="32" fillId="3" borderId="19" xfId="0" applyFont="1" applyFill="1" applyBorder="1" applyAlignment="1">
      <alignment horizontal="left" vertical="center" indent="1"/>
    </xf>
    <xf numFmtId="3" fontId="32" fillId="3" borderId="14" xfId="0" applyNumberFormat="1" applyFont="1" applyFill="1" applyBorder="1" applyAlignment="1">
      <alignment horizontal="left" vertical="center" indent="1"/>
    </xf>
    <xf numFmtId="5" fontId="32" fillId="3" borderId="4" xfId="0" applyNumberFormat="1" applyFont="1" applyFill="1" applyBorder="1" applyAlignment="1">
      <alignment horizontal="left" vertical="center" indent="1"/>
    </xf>
    <xf numFmtId="9" fontId="32" fillId="4" borderId="14" xfId="2" applyFont="1" applyFill="1" applyBorder="1" applyAlignment="1" applyProtection="1">
      <alignment horizontal="left" vertical="center" indent="1"/>
    </xf>
    <xf numFmtId="5" fontId="32" fillId="3" borderId="14" xfId="0" applyNumberFormat="1" applyFont="1" applyFill="1" applyBorder="1" applyAlignment="1">
      <alignment horizontal="left" vertical="center" indent="1"/>
    </xf>
    <xf numFmtId="5" fontId="32" fillId="4" borderId="11" xfId="0" applyNumberFormat="1" applyFont="1" applyFill="1" applyBorder="1" applyAlignment="1">
      <alignment horizontal="left" vertical="center" indent="1"/>
    </xf>
    <xf numFmtId="5" fontId="32" fillId="3" borderId="0" xfId="0" applyNumberFormat="1" applyFont="1" applyFill="1" applyAlignment="1">
      <alignment horizontal="left" vertical="center" indent="1"/>
    </xf>
    <xf numFmtId="165" fontId="32" fillId="3" borderId="14" xfId="0" applyNumberFormat="1" applyFont="1" applyFill="1" applyBorder="1" applyAlignment="1">
      <alignment horizontal="left" vertical="center" indent="1"/>
    </xf>
    <xf numFmtId="165" fontId="32" fillId="4" borderId="11" xfId="0" applyNumberFormat="1" applyFont="1" applyFill="1" applyBorder="1" applyAlignment="1">
      <alignment horizontal="left" vertical="center" indent="1"/>
    </xf>
    <xf numFmtId="0" fontId="32" fillId="3" borderId="0" xfId="0" applyFont="1" applyFill="1" applyAlignment="1">
      <alignment horizontal="left" vertical="center" indent="2"/>
    </xf>
    <xf numFmtId="2" fontId="32" fillId="3" borderId="4" xfId="0" applyNumberFormat="1" applyFont="1" applyFill="1" applyBorder="1" applyAlignment="1">
      <alignment horizontal="left" vertical="center" indent="1"/>
    </xf>
    <xf numFmtId="10" fontId="32" fillId="3" borderId="4" xfId="0" applyNumberFormat="1" applyFont="1" applyFill="1" applyBorder="1" applyAlignment="1">
      <alignment horizontal="left" vertical="center" indent="1"/>
    </xf>
    <xf numFmtId="5" fontId="32" fillId="3" borderId="11" xfId="0" applyNumberFormat="1" applyFont="1" applyFill="1" applyBorder="1" applyAlignment="1">
      <alignment horizontal="left" vertical="center" indent="1"/>
    </xf>
    <xf numFmtId="0" fontId="32" fillId="3" borderId="14" xfId="0" applyFont="1" applyFill="1" applyBorder="1" applyAlignment="1">
      <alignment horizontal="left" vertical="center" indent="1"/>
    </xf>
    <xf numFmtId="165" fontId="32" fillId="3" borderId="11" xfId="0" applyNumberFormat="1" applyFont="1" applyFill="1" applyBorder="1" applyAlignment="1">
      <alignment horizontal="left" vertical="center" indent="1"/>
    </xf>
    <xf numFmtId="5" fontId="32" fillId="3" borderId="32" xfId="0" applyNumberFormat="1" applyFont="1" applyFill="1" applyBorder="1" applyAlignment="1">
      <alignment horizontal="left" vertical="center" indent="1"/>
    </xf>
    <xf numFmtId="5" fontId="32" fillId="3" borderId="25" xfId="0" applyNumberFormat="1" applyFont="1" applyFill="1" applyBorder="1" applyAlignment="1">
      <alignment horizontal="left" vertical="center" indent="1"/>
    </xf>
    <xf numFmtId="2" fontId="32" fillId="3" borderId="4" xfId="0" applyNumberFormat="1" applyFont="1" applyFill="1" applyBorder="1" applyAlignment="1">
      <alignment horizontal="center" vertical="center"/>
    </xf>
    <xf numFmtId="165" fontId="27" fillId="4" borderId="11" xfId="0" applyNumberFormat="1" applyFont="1" applyFill="1" applyBorder="1" applyAlignment="1">
      <alignment horizontal="left" vertical="center" indent="1"/>
    </xf>
    <xf numFmtId="0" fontId="0" fillId="3" borderId="15" xfId="0" applyFill="1" applyBorder="1"/>
    <xf numFmtId="0" fontId="0" fillId="3" borderId="18" xfId="0" applyFill="1" applyBorder="1"/>
    <xf numFmtId="0" fontId="0" fillId="3" borderId="7" xfId="0" applyFill="1" applyBorder="1"/>
    <xf numFmtId="0" fontId="12" fillId="3" borderId="0" xfId="0" quotePrefix="1" applyFont="1" applyFill="1" applyAlignment="1">
      <alignment horizontal="left" vertical="top" wrapText="1"/>
    </xf>
    <xf numFmtId="0" fontId="5" fillId="3" borderId="0" xfId="0" quotePrefix="1" applyFont="1" applyFill="1" applyAlignment="1">
      <alignment horizontal="left" vertical="center" wrapText="1"/>
    </xf>
    <xf numFmtId="0" fontId="12" fillId="3" borderId="0" xfId="0" quotePrefix="1" applyFont="1" applyFill="1" applyAlignment="1">
      <alignment horizontal="left" vertical="center" wrapText="1"/>
    </xf>
    <xf numFmtId="0" fontId="13" fillId="3" borderId="0" xfId="0" applyFont="1" applyFill="1"/>
    <xf numFmtId="0" fontId="0" fillId="3" borderId="0" xfId="0" applyFill="1" applyAlignment="1">
      <alignment horizontal="right" vertical="center" indent="2"/>
    </xf>
    <xf numFmtId="0" fontId="13" fillId="3" borderId="0" xfId="0" applyFont="1" applyFill="1" applyAlignment="1">
      <alignment horizontal="left" vertical="center"/>
    </xf>
    <xf numFmtId="0" fontId="0" fillId="3" borderId="18" xfId="0" applyFill="1" applyBorder="1" applyAlignment="1">
      <alignment horizontal="right" vertical="center" indent="2"/>
    </xf>
    <xf numFmtId="0" fontId="0" fillId="3" borderId="18" xfId="0" applyFill="1" applyBorder="1" applyAlignment="1">
      <alignment horizontal="right" vertical="center" indent="1"/>
    </xf>
    <xf numFmtId="0" fontId="0" fillId="3" borderId="8" xfId="0" applyFill="1" applyBorder="1" applyAlignment="1">
      <alignment horizontal="left" vertical="center"/>
    </xf>
    <xf numFmtId="0" fontId="0" fillId="14" borderId="6" xfId="0" applyFill="1" applyBorder="1"/>
    <xf numFmtId="0" fontId="5" fillId="14" borderId="6" xfId="0" applyFont="1" applyFill="1" applyBorder="1" applyAlignment="1">
      <alignment horizontal="left" vertical="center"/>
    </xf>
    <xf numFmtId="0" fontId="0" fillId="14" borderId="6" xfId="0" applyFill="1" applyBorder="1" applyAlignment="1">
      <alignment horizontal="right" vertical="center"/>
    </xf>
    <xf numFmtId="0" fontId="0" fillId="4" borderId="7" xfId="0" applyFill="1" applyBorder="1" applyAlignment="1">
      <alignment horizontal="left" vertical="center" indent="1"/>
    </xf>
    <xf numFmtId="165" fontId="3" fillId="4" borderId="38" xfId="0" applyNumberFormat="1" applyFont="1" applyFill="1" applyBorder="1" applyAlignment="1">
      <alignment horizontal="left" vertical="center" indent="1"/>
    </xf>
    <xf numFmtId="165" fontId="3" fillId="4" borderId="10" xfId="0" applyNumberFormat="1" applyFont="1" applyFill="1" applyBorder="1" applyAlignment="1">
      <alignment horizontal="left" vertical="center" indent="1"/>
    </xf>
    <xf numFmtId="165" fontId="27" fillId="3" borderId="4" xfId="0" applyNumberFormat="1" applyFont="1" applyFill="1" applyBorder="1" applyAlignment="1">
      <alignment horizontal="left" vertical="center" indent="1"/>
    </xf>
    <xf numFmtId="0" fontId="23" fillId="3" borderId="0" xfId="0" applyFont="1" applyFill="1"/>
    <xf numFmtId="179" fontId="0" fillId="10" borderId="13" xfId="0" applyNumberFormat="1" applyFill="1" applyBorder="1" applyAlignment="1">
      <alignment horizontal="center"/>
    </xf>
    <xf numFmtId="179" fontId="0" fillId="10" borderId="16" xfId="0" applyNumberFormat="1" applyFill="1" applyBorder="1" applyAlignment="1">
      <alignment horizontal="center"/>
    </xf>
    <xf numFmtId="179" fontId="0" fillId="18" borderId="16" xfId="0" applyNumberFormat="1" applyFill="1" applyBorder="1" applyAlignment="1">
      <alignment horizontal="center"/>
    </xf>
    <xf numFmtId="179" fontId="0" fillId="18" borderId="17" xfId="0" applyNumberFormat="1" applyFill="1" applyBorder="1" applyAlignment="1">
      <alignment horizontal="center"/>
    </xf>
    <xf numFmtId="0" fontId="0" fillId="10" borderId="11" xfId="0" applyFill="1" applyBorder="1" applyAlignment="1">
      <alignment horizontal="center"/>
    </xf>
    <xf numFmtId="0" fontId="0" fillId="10" borderId="6" xfId="0" applyFill="1" applyBorder="1" applyAlignment="1">
      <alignment horizontal="center"/>
    </xf>
    <xf numFmtId="5" fontId="0" fillId="3" borderId="11" xfId="0" applyNumberFormat="1" applyFill="1" applyBorder="1" applyAlignment="1">
      <alignment horizontal="left" vertical="center" indent="1"/>
    </xf>
    <xf numFmtId="5" fontId="5" fillId="3" borderId="0" xfId="0" applyNumberFormat="1" applyFont="1" applyFill="1" applyAlignment="1">
      <alignment horizontal="left" vertical="center" indent="1"/>
    </xf>
    <xf numFmtId="3" fontId="32" fillId="19" borderId="11" xfId="0" applyNumberFormat="1" applyFont="1" applyFill="1" applyBorder="1" applyAlignment="1">
      <alignment horizontal="left" vertical="center" indent="1"/>
    </xf>
    <xf numFmtId="9" fontId="32" fillId="19" borderId="11" xfId="0" applyNumberFormat="1" applyFont="1" applyFill="1" applyBorder="1" applyAlignment="1">
      <alignment horizontal="left" vertical="center" indent="1"/>
    </xf>
    <xf numFmtId="5" fontId="32" fillId="4" borderId="4" xfId="0" applyNumberFormat="1" applyFont="1" applyFill="1" applyBorder="1" applyAlignment="1">
      <alignment horizontal="left" vertical="center" indent="1"/>
    </xf>
    <xf numFmtId="5" fontId="27" fillId="4" borderId="4" xfId="1" applyNumberFormat="1" applyFont="1" applyFill="1" applyBorder="1" applyAlignment="1" applyProtection="1">
      <alignment horizontal="left" vertical="center" indent="1"/>
    </xf>
    <xf numFmtId="9" fontId="9" fillId="4" borderId="4" xfId="0" applyNumberFormat="1" applyFont="1" applyFill="1" applyBorder="1" applyAlignment="1">
      <alignment horizontal="left" wrapText="1" indent="1"/>
    </xf>
    <xf numFmtId="1" fontId="0" fillId="15" borderId="4" xfId="0" applyNumberFormat="1" applyFill="1" applyBorder="1" applyAlignment="1">
      <alignment horizontal="left" vertical="center" indent="1"/>
    </xf>
    <xf numFmtId="0" fontId="5" fillId="0" borderId="0" xfId="0" applyFont="1" applyAlignment="1">
      <alignment horizontal="left" vertical="center" indent="1"/>
    </xf>
    <xf numFmtId="0" fontId="0" fillId="3" borderId="20" xfId="0" applyFill="1" applyBorder="1" applyAlignment="1">
      <alignment horizontal="left" vertical="center"/>
    </xf>
    <xf numFmtId="165" fontId="0" fillId="4" borderId="13" xfId="0" applyNumberFormat="1" applyFill="1" applyBorder="1" applyAlignment="1">
      <alignment horizontal="left" vertical="center" indent="1"/>
    </xf>
    <xf numFmtId="165" fontId="0" fillId="4" borderId="14" xfId="0" applyNumberFormat="1" applyFill="1" applyBorder="1" applyAlignment="1">
      <alignment horizontal="left" vertical="center" indent="1"/>
    </xf>
    <xf numFmtId="165" fontId="0" fillId="4" borderId="11" xfId="0" applyNumberFormat="1" applyFill="1" applyBorder="1" applyAlignment="1">
      <alignment horizontal="left" vertical="center" indent="1"/>
    </xf>
    <xf numFmtId="0" fontId="0" fillId="3" borderId="0" xfId="2" applyNumberFormat="1" applyFont="1" applyFill="1" applyBorder="1" applyAlignment="1" applyProtection="1">
      <alignment horizontal="left" vertical="center" indent="1"/>
      <protection locked="0"/>
    </xf>
    <xf numFmtId="0" fontId="20" fillId="3" borderId="0" xfId="0" applyFont="1" applyFill="1" applyAlignment="1">
      <alignment horizontal="left" vertical="center" wrapText="1" indent="1"/>
    </xf>
    <xf numFmtId="5" fontId="0" fillId="3" borderId="43" xfId="1" applyNumberFormat="1" applyFont="1" applyFill="1" applyBorder="1" applyAlignment="1" applyProtection="1">
      <alignment horizontal="left" vertical="center" indent="1"/>
    </xf>
    <xf numFmtId="5" fontId="0" fillId="3" borderId="45" xfId="0" applyNumberFormat="1" applyFill="1" applyBorder="1" applyAlignment="1">
      <alignment horizontal="left" vertical="center" indent="1"/>
    </xf>
    <xf numFmtId="5" fontId="0" fillId="3" borderId="46" xfId="0" applyNumberFormat="1" applyFill="1" applyBorder="1" applyAlignment="1">
      <alignment horizontal="left" vertical="center" indent="1"/>
    </xf>
    <xf numFmtId="179" fontId="0" fillId="10" borderId="48" xfId="0" applyNumberFormat="1" applyFill="1" applyBorder="1" applyAlignment="1">
      <alignment horizontal="center"/>
    </xf>
    <xf numFmtId="0" fontId="0" fillId="10" borderId="49" xfId="0" applyFill="1" applyBorder="1" applyAlignment="1">
      <alignment horizontal="center"/>
    </xf>
    <xf numFmtId="5" fontId="0" fillId="3" borderId="46" xfId="1" applyNumberFormat="1" applyFont="1" applyFill="1" applyBorder="1" applyAlignment="1" applyProtection="1">
      <alignment horizontal="left" vertical="center" indent="1"/>
    </xf>
    <xf numFmtId="165" fontId="9" fillId="15" borderId="4" xfId="0" applyNumberFormat="1" applyFont="1" applyFill="1" applyBorder="1" applyAlignment="1">
      <alignment horizontal="left" vertical="center" wrapText="1" indent="1"/>
    </xf>
    <xf numFmtId="165" fontId="3" fillId="3" borderId="6" xfId="1" applyNumberFormat="1" applyFont="1" applyFill="1" applyBorder="1" applyAlignment="1" applyProtection="1">
      <alignment horizontal="left" vertical="center" indent="1"/>
    </xf>
    <xf numFmtId="0" fontId="5" fillId="3" borderId="0" xfId="0" applyFont="1" applyFill="1" applyAlignment="1">
      <alignment horizontal="left" vertical="center" wrapText="1" indent="1"/>
    </xf>
    <xf numFmtId="0" fontId="11" fillId="3" borderId="0" xfId="0" applyFont="1" applyFill="1" applyAlignment="1">
      <alignment horizontal="center" vertical="center" wrapText="1"/>
    </xf>
    <xf numFmtId="5" fontId="0" fillId="3" borderId="50" xfId="1" applyNumberFormat="1" applyFont="1" applyFill="1" applyBorder="1" applyAlignment="1" applyProtection="1">
      <alignment horizontal="left" vertical="center" indent="1"/>
    </xf>
    <xf numFmtId="5" fontId="0" fillId="3" borderId="50" xfId="0" applyNumberFormat="1" applyFill="1" applyBorder="1" applyAlignment="1">
      <alignment horizontal="left" vertical="center" indent="1"/>
    </xf>
    <xf numFmtId="5" fontId="0" fillId="3" borderId="55" xfId="1" applyNumberFormat="1" applyFont="1" applyFill="1" applyBorder="1" applyAlignment="1" applyProtection="1">
      <alignment horizontal="left" vertical="center" indent="1"/>
    </xf>
    <xf numFmtId="0" fontId="0" fillId="4" borderId="4" xfId="0" applyFill="1" applyBorder="1" applyAlignment="1">
      <alignment horizontal="center" vertical="center"/>
    </xf>
    <xf numFmtId="5" fontId="3" fillId="3" borderId="0" xfId="0" applyNumberFormat="1" applyFont="1" applyFill="1" applyAlignment="1">
      <alignment vertical="center"/>
    </xf>
    <xf numFmtId="5" fontId="0" fillId="3" borderId="4" xfId="0" applyNumberFormat="1" applyFill="1" applyBorder="1" applyAlignment="1">
      <alignment horizontal="left" vertical="center" indent="1"/>
    </xf>
    <xf numFmtId="175" fontId="0" fillId="4" borderId="10" xfId="0" applyNumberFormat="1" applyFill="1" applyBorder="1" applyAlignment="1">
      <alignment horizontal="left" vertical="center" indent="1"/>
    </xf>
    <xf numFmtId="0" fontId="5" fillId="20" borderId="9" xfId="0" applyFont="1" applyFill="1" applyBorder="1"/>
    <xf numFmtId="0" fontId="2" fillId="20" borderId="9" xfId="0" applyFont="1" applyFill="1" applyBorder="1" applyAlignment="1">
      <alignment horizontal="right" vertical="center"/>
    </xf>
    <xf numFmtId="0" fontId="3" fillId="22" borderId="4" xfId="0" applyFont="1" applyFill="1" applyBorder="1"/>
    <xf numFmtId="0" fontId="0" fillId="21" borderId="32" xfId="0" applyFill="1" applyBorder="1" applyAlignment="1">
      <alignment horizontal="left" vertical="top" wrapText="1" indent="1"/>
    </xf>
    <xf numFmtId="0" fontId="0" fillId="21" borderId="32" xfId="0" applyFill="1" applyBorder="1" applyAlignment="1">
      <alignment horizontal="center" vertical="top" wrapText="1"/>
    </xf>
    <xf numFmtId="0" fontId="0" fillId="21" borderId="11" xfId="0" applyFill="1" applyBorder="1" applyAlignment="1">
      <alignment horizontal="center" vertical="top" wrapText="1"/>
    </xf>
    <xf numFmtId="0" fontId="3" fillId="23" borderId="4" xfId="0" applyFont="1" applyFill="1" applyBorder="1"/>
    <xf numFmtId="0" fontId="0" fillId="23" borderId="4" xfId="0" applyFill="1" applyBorder="1" applyAlignment="1" applyProtection="1">
      <alignment horizontal="left" vertical="center" indent="1"/>
      <protection locked="0"/>
    </xf>
    <xf numFmtId="9" fontId="0" fillId="23" borderId="4" xfId="0" applyNumberFormat="1" applyFill="1" applyBorder="1" applyAlignment="1" applyProtection="1">
      <alignment horizontal="left" vertical="center" indent="1"/>
      <protection locked="0"/>
    </xf>
    <xf numFmtId="165" fontId="0" fillId="23" borderId="4" xfId="0" applyNumberFormat="1" applyFill="1" applyBorder="1" applyAlignment="1" applyProtection="1">
      <alignment horizontal="left" vertical="center" indent="1"/>
      <protection locked="0"/>
    </xf>
    <xf numFmtId="1" fontId="0" fillId="23" borderId="4" xfId="0" applyNumberFormat="1" applyFill="1" applyBorder="1" applyAlignment="1" applyProtection="1">
      <alignment horizontal="left" vertical="center" indent="1"/>
      <protection locked="0"/>
    </xf>
    <xf numFmtId="37" fontId="0" fillId="23" borderId="11" xfId="4" applyNumberFormat="1" applyFont="1" applyFill="1" applyBorder="1" applyAlignment="1" applyProtection="1">
      <alignment horizontal="left" vertical="center" indent="1"/>
      <protection locked="0"/>
    </xf>
    <xf numFmtId="37" fontId="0" fillId="23" borderId="4" xfId="4" applyNumberFormat="1" applyFont="1" applyFill="1" applyBorder="1" applyAlignment="1" applyProtection="1">
      <alignment horizontal="left" vertical="center" indent="1"/>
      <protection locked="0"/>
    </xf>
    <xf numFmtId="37" fontId="0" fillId="23" borderId="14" xfId="4" applyNumberFormat="1" applyFont="1" applyFill="1" applyBorder="1" applyAlignment="1" applyProtection="1">
      <alignment horizontal="left" vertical="center" indent="1"/>
      <protection locked="0"/>
    </xf>
    <xf numFmtId="175" fontId="0" fillId="23" borderId="4" xfId="0" applyNumberFormat="1" applyFill="1" applyBorder="1" applyAlignment="1" applyProtection="1">
      <alignment horizontal="left" vertical="center" indent="1"/>
      <protection locked="0"/>
    </xf>
    <xf numFmtId="174" fontId="0" fillId="4" borderId="4" xfId="0" applyNumberFormat="1" applyFill="1" applyBorder="1" applyAlignment="1">
      <alignment horizontal="left" vertical="center" indent="1"/>
    </xf>
    <xf numFmtId="1" fontId="11" fillId="23" borderId="10" xfId="0" applyNumberFormat="1" applyFont="1" applyFill="1" applyBorder="1" applyAlignment="1" applyProtection="1">
      <alignment horizontal="left" vertical="center" indent="1"/>
      <protection locked="0"/>
    </xf>
    <xf numFmtId="1" fontId="11" fillId="23" borderId="4" xfId="0" applyNumberFormat="1" applyFont="1" applyFill="1" applyBorder="1" applyAlignment="1" applyProtection="1">
      <alignment horizontal="left" vertical="center" indent="1"/>
      <protection locked="0"/>
    </xf>
    <xf numFmtId="49" fontId="11" fillId="23" borderId="4" xfId="0" applyNumberFormat="1" applyFont="1" applyFill="1" applyBorder="1" applyAlignment="1" applyProtection="1">
      <alignment horizontal="left" vertical="center" indent="1"/>
      <protection locked="0"/>
    </xf>
    <xf numFmtId="9" fontId="11" fillId="23" borderId="4" xfId="0" applyNumberFormat="1" applyFont="1" applyFill="1" applyBorder="1" applyAlignment="1" applyProtection="1">
      <alignment horizontal="left" vertical="center" indent="1"/>
      <protection locked="0"/>
    </xf>
    <xf numFmtId="165" fontId="11" fillId="23" borderId="4" xfId="0" applyNumberFormat="1" applyFont="1" applyFill="1" applyBorder="1" applyAlignment="1" applyProtection="1">
      <alignment horizontal="left" vertical="center" indent="1"/>
      <protection locked="0"/>
    </xf>
    <xf numFmtId="1" fontId="11" fillId="23" borderId="5" xfId="0" applyNumberFormat="1" applyFont="1" applyFill="1" applyBorder="1" applyAlignment="1" applyProtection="1">
      <alignment horizontal="left" vertical="center" indent="1"/>
      <protection locked="0"/>
    </xf>
    <xf numFmtId="175" fontId="11" fillId="23" borderId="4" xfId="0" applyNumberFormat="1"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11" fillId="23" borderId="4" xfId="0" applyFont="1" applyFill="1" applyBorder="1" applyAlignment="1" applyProtection="1">
      <alignment horizontal="left" vertical="center" indent="1"/>
      <protection locked="0"/>
    </xf>
    <xf numFmtId="3" fontId="11" fillId="23" borderId="4" xfId="0" applyNumberFormat="1" applyFont="1" applyFill="1" applyBorder="1" applyAlignment="1" applyProtection="1">
      <alignment horizontal="left" vertical="center" indent="1"/>
      <protection locked="0"/>
    </xf>
    <xf numFmtId="0" fontId="11" fillId="23" borderId="5" xfId="0" applyFont="1" applyFill="1" applyBorder="1" applyAlignment="1" applyProtection="1">
      <alignment horizontal="left" vertical="center" indent="1"/>
      <protection locked="0"/>
    </xf>
    <xf numFmtId="0" fontId="0" fillId="24" borderId="4" xfId="0" applyFill="1" applyBorder="1" applyAlignment="1">
      <alignment horizontal="center" vertical="center" wrapText="1"/>
    </xf>
    <xf numFmtId="5" fontId="0" fillId="23" borderId="4" xfId="1" applyNumberFormat="1" applyFont="1" applyFill="1" applyBorder="1" applyAlignment="1" applyProtection="1">
      <alignment horizontal="left" vertical="center" indent="1"/>
      <protection locked="0"/>
    </xf>
    <xf numFmtId="5" fontId="0" fillId="23" borderId="14" xfId="1" applyNumberFormat="1" applyFont="1" applyFill="1" applyBorder="1" applyAlignment="1" applyProtection="1">
      <alignment horizontal="left" vertical="center" indent="1"/>
      <protection locked="0"/>
    </xf>
    <xf numFmtId="174" fontId="0" fillId="23" borderId="4" xfId="0" applyNumberFormat="1" applyFill="1" applyBorder="1" applyAlignment="1" applyProtection="1">
      <alignment horizontal="left" vertical="center" indent="1"/>
      <protection locked="0"/>
    </xf>
    <xf numFmtId="3" fontId="0" fillId="23" borderId="4" xfId="0" applyNumberFormat="1" applyFill="1" applyBorder="1" applyAlignment="1" applyProtection="1">
      <alignment horizontal="left" vertical="center" indent="1"/>
      <protection locked="0"/>
    </xf>
    <xf numFmtId="165" fontId="0" fillId="23" borderId="5" xfId="0" applyNumberFormat="1" applyFill="1" applyBorder="1" applyAlignment="1" applyProtection="1">
      <alignment horizontal="left" vertical="center" indent="1"/>
      <protection locked="0"/>
    </xf>
    <xf numFmtId="173" fontId="0" fillId="23" borderId="4" xfId="0" applyNumberFormat="1" applyFill="1" applyBorder="1" applyAlignment="1" applyProtection="1">
      <alignment horizontal="left" vertical="center" indent="1"/>
      <protection locked="0"/>
    </xf>
    <xf numFmtId="165" fontId="0" fillId="23" borderId="4" xfId="1" applyNumberFormat="1" applyFont="1" applyFill="1" applyBorder="1" applyAlignment="1" applyProtection="1">
      <alignment horizontal="left" vertical="center" indent="1"/>
      <protection locked="0"/>
    </xf>
    <xf numFmtId="165" fontId="0" fillId="23" borderId="14" xfId="1" applyNumberFormat="1" applyFont="1" applyFill="1" applyBorder="1" applyAlignment="1" applyProtection="1">
      <alignment horizontal="left" vertical="center" indent="1"/>
      <protection locked="0"/>
    </xf>
    <xf numFmtId="165" fontId="0" fillId="23" borderId="13" xfId="1" applyNumberFormat="1" applyFont="1" applyFill="1" applyBorder="1" applyAlignment="1" applyProtection="1">
      <alignment horizontal="left" vertical="center" indent="1"/>
      <protection locked="0"/>
    </xf>
    <xf numFmtId="165" fontId="0" fillId="23" borderId="10" xfId="1" applyNumberFormat="1" applyFont="1" applyFill="1" applyBorder="1" applyAlignment="1" applyProtection="1">
      <alignment horizontal="left" vertical="center" indent="1"/>
      <protection locked="0"/>
    </xf>
    <xf numFmtId="165" fontId="0" fillId="23" borderId="11" xfId="1" applyNumberFormat="1" applyFont="1" applyFill="1" applyBorder="1" applyAlignment="1" applyProtection="1">
      <alignment horizontal="left" vertical="center" indent="1"/>
      <protection locked="0"/>
    </xf>
    <xf numFmtId="0" fontId="5" fillId="25" borderId="9" xfId="0" applyFont="1" applyFill="1" applyBorder="1" applyAlignment="1">
      <alignment horizontal="center" vertical="center" wrapText="1"/>
    </xf>
    <xf numFmtId="0" fontId="5" fillId="25" borderId="10" xfId="0" applyFont="1" applyFill="1" applyBorder="1" applyAlignment="1">
      <alignment horizontal="center" vertical="center" wrapText="1"/>
    </xf>
    <xf numFmtId="165" fontId="5" fillId="24" borderId="4" xfId="0" applyNumberFormat="1" applyFont="1" applyFill="1" applyBorder="1" applyAlignment="1">
      <alignment horizontal="left" vertical="center" wrapText="1" indent="1"/>
    </xf>
    <xf numFmtId="165" fontId="5" fillId="24" borderId="38" xfId="0" applyNumberFormat="1" applyFont="1" applyFill="1" applyBorder="1" applyAlignment="1">
      <alignment horizontal="left" vertical="center" wrapText="1" indent="1"/>
    </xf>
    <xf numFmtId="165" fontId="9" fillId="24" borderId="9" xfId="0" applyNumberFormat="1" applyFont="1" applyFill="1" applyBorder="1" applyAlignment="1">
      <alignment horizontal="left" vertical="center" wrapText="1" indent="1"/>
    </xf>
    <xf numFmtId="0" fontId="9" fillId="25" borderId="6" xfId="0" applyFont="1" applyFill="1" applyBorder="1" applyAlignment="1">
      <alignment horizontal="left" vertical="center" wrapText="1" indent="1"/>
    </xf>
    <xf numFmtId="0" fontId="5" fillId="25" borderId="37" xfId="0" applyFont="1" applyFill="1" applyBorder="1" applyAlignment="1">
      <alignment horizontal="center" vertical="center" wrapText="1"/>
    </xf>
    <xf numFmtId="0" fontId="5" fillId="25" borderId="6" xfId="0" applyFont="1" applyFill="1" applyBorder="1" applyAlignment="1">
      <alignment horizontal="center" vertical="center" wrapText="1"/>
    </xf>
    <xf numFmtId="165" fontId="5" fillId="25" borderId="9" xfId="0" applyNumberFormat="1" applyFont="1" applyFill="1" applyBorder="1" applyAlignment="1">
      <alignment horizontal="center" vertical="center" wrapText="1"/>
    </xf>
    <xf numFmtId="165" fontId="5" fillId="25" borderId="37" xfId="0" applyNumberFormat="1" applyFont="1" applyFill="1" applyBorder="1" applyAlignment="1">
      <alignment horizontal="center" vertical="center" wrapText="1"/>
    </xf>
    <xf numFmtId="165" fontId="9" fillId="25" borderId="9" xfId="0" applyNumberFormat="1" applyFont="1" applyFill="1" applyBorder="1" applyAlignment="1">
      <alignment horizontal="center" vertical="center" wrapText="1"/>
    </xf>
    <xf numFmtId="165" fontId="5" fillId="25" borderId="10" xfId="0" applyNumberFormat="1" applyFont="1" applyFill="1" applyBorder="1" applyAlignment="1">
      <alignment horizontal="center" vertical="center" wrapText="1"/>
    </xf>
    <xf numFmtId="0" fontId="0" fillId="24" borderId="10" xfId="0" applyFill="1" applyBorder="1" applyAlignment="1">
      <alignment horizontal="center" vertical="center" wrapText="1"/>
    </xf>
    <xf numFmtId="0" fontId="0" fillId="23" borderId="13" xfId="2" applyNumberFormat="1" applyFont="1" applyFill="1" applyBorder="1" applyAlignment="1" applyProtection="1">
      <alignment horizontal="left" vertical="center" indent="1"/>
      <protection locked="0"/>
    </xf>
    <xf numFmtId="165" fontId="0" fillId="23" borderId="7" xfId="1" applyNumberFormat="1" applyFont="1" applyFill="1" applyBorder="1" applyAlignment="1" applyProtection="1">
      <alignment horizontal="left" vertical="center" indent="1"/>
      <protection locked="0"/>
    </xf>
    <xf numFmtId="165" fontId="0" fillId="23" borderId="39" xfId="1" applyNumberFormat="1" applyFont="1" applyFill="1" applyBorder="1" applyAlignment="1" applyProtection="1">
      <alignment horizontal="left" vertical="center" indent="1"/>
      <protection locked="0"/>
    </xf>
    <xf numFmtId="165" fontId="0" fillId="23" borderId="38" xfId="1" applyNumberFormat="1" applyFont="1" applyFill="1" applyBorder="1" applyAlignment="1" applyProtection="1">
      <alignment horizontal="left" vertical="center" indent="1"/>
      <protection locked="0"/>
    </xf>
    <xf numFmtId="165" fontId="0" fillId="23" borderId="5" xfId="1" applyNumberFormat="1" applyFont="1" applyFill="1" applyBorder="1" applyAlignment="1" applyProtection="1">
      <alignment horizontal="left" vertical="center" indent="1"/>
      <protection locked="0"/>
    </xf>
    <xf numFmtId="5" fontId="0" fillId="23" borderId="4" xfId="2" applyNumberFormat="1" applyFont="1" applyFill="1" applyBorder="1" applyAlignment="1" applyProtection="1">
      <alignment horizontal="left" vertical="center" indent="1"/>
      <protection locked="0"/>
    </xf>
    <xf numFmtId="169" fontId="0" fillId="23" borderId="4" xfId="1" applyNumberFormat="1" applyFont="1" applyFill="1" applyBorder="1" applyAlignment="1" applyProtection="1">
      <alignment horizontal="left" vertical="center" indent="1"/>
      <protection locked="0"/>
    </xf>
    <xf numFmtId="0" fontId="0" fillId="23" borderId="4" xfId="1" applyNumberFormat="1" applyFont="1" applyFill="1" applyBorder="1" applyAlignment="1" applyProtection="1">
      <alignment horizontal="left" vertical="center" indent="1"/>
      <protection locked="0"/>
    </xf>
    <xf numFmtId="0" fontId="0" fillId="23" borderId="4" xfId="2" applyNumberFormat="1" applyFont="1" applyFill="1" applyBorder="1" applyAlignment="1" applyProtection="1">
      <alignment horizontal="left" vertical="center" indent="1"/>
      <protection locked="0"/>
    </xf>
    <xf numFmtId="169" fontId="0" fillId="23" borderId="4" xfId="2" applyNumberFormat="1" applyFont="1" applyFill="1" applyBorder="1" applyAlignment="1" applyProtection="1">
      <alignment horizontal="left" vertical="center" indent="1"/>
      <protection locked="0"/>
    </xf>
    <xf numFmtId="0" fontId="9" fillId="3" borderId="0" xfId="0" applyFont="1" applyFill="1" applyAlignment="1">
      <alignment horizontal="center" vertical="center"/>
    </xf>
    <xf numFmtId="5" fontId="0" fillId="3" borderId="14" xfId="0" applyNumberFormat="1" applyFill="1" applyBorder="1" applyAlignment="1">
      <alignment horizontal="left" vertical="center" indent="1"/>
    </xf>
    <xf numFmtId="5" fontId="0" fillId="3" borderId="6" xfId="0" applyNumberFormat="1" applyFill="1" applyBorder="1" applyAlignment="1">
      <alignment horizontal="left" vertical="center" indent="1"/>
    </xf>
    <xf numFmtId="5" fontId="16" fillId="3" borderId="4" xfId="0" applyNumberFormat="1" applyFont="1" applyFill="1" applyBorder="1" applyAlignment="1">
      <alignment horizontal="left" vertical="center" indent="1"/>
    </xf>
    <xf numFmtId="10" fontId="16" fillId="3" borderId="4" xfId="0" applyNumberFormat="1" applyFont="1" applyFill="1" applyBorder="1" applyAlignment="1">
      <alignment horizontal="left" vertical="center" indent="1"/>
    </xf>
    <xf numFmtId="37" fontId="16" fillId="3" borderId="4" xfId="0" applyNumberFormat="1" applyFont="1" applyFill="1" applyBorder="1" applyAlignment="1">
      <alignment horizontal="left" vertical="center" indent="1"/>
    </xf>
    <xf numFmtId="0" fontId="0" fillId="2" borderId="9" xfId="0" applyFill="1" applyBorder="1"/>
    <xf numFmtId="5" fontId="0" fillId="3" borderId="0" xfId="0" applyNumberFormat="1" applyFill="1" applyAlignment="1">
      <alignment vertical="center"/>
    </xf>
    <xf numFmtId="5" fontId="0" fillId="3" borderId="56" xfId="1" applyNumberFormat="1" applyFont="1" applyFill="1" applyBorder="1" applyAlignment="1" applyProtection="1">
      <alignment horizontal="left" vertical="center" indent="1"/>
    </xf>
    <xf numFmtId="9" fontId="0" fillId="3" borderId="0" xfId="2" applyFont="1" applyFill="1" applyAlignment="1">
      <alignment horizontal="left" vertical="center" indent="1"/>
    </xf>
    <xf numFmtId="1" fontId="16" fillId="3" borderId="4" xfId="2" applyNumberFormat="1" applyFont="1" applyFill="1" applyBorder="1" applyAlignment="1">
      <alignment horizontal="left" vertical="center" indent="1"/>
    </xf>
    <xf numFmtId="165" fontId="0" fillId="3" borderId="4" xfId="0" applyNumberFormat="1" applyFill="1" applyBorder="1" applyAlignment="1">
      <alignment horizontal="left" indent="1"/>
    </xf>
    <xf numFmtId="165" fontId="0" fillId="3" borderId="11" xfId="0" applyNumberFormat="1" applyFill="1" applyBorder="1" applyAlignment="1">
      <alignment horizontal="left" indent="1"/>
    </xf>
    <xf numFmtId="165" fontId="0" fillId="3" borderId="14" xfId="0" applyNumberFormat="1" applyFill="1" applyBorder="1" applyAlignment="1">
      <alignment horizontal="left" vertical="center" indent="1"/>
    </xf>
    <xf numFmtId="5" fontId="16" fillId="3" borderId="0" xfId="0" applyNumberFormat="1" applyFont="1" applyFill="1" applyAlignment="1">
      <alignment horizontal="left" vertical="center" indent="3"/>
    </xf>
    <xf numFmtId="0" fontId="5" fillId="0" borderId="0" xfId="0" applyFont="1" applyAlignment="1">
      <alignment horizontal="center" vertical="center" wrapText="1"/>
    </xf>
    <xf numFmtId="9" fontId="0" fillId="0" borderId="0" xfId="1" applyNumberFormat="1" applyFont="1" applyFill="1" applyBorder="1" applyAlignment="1" applyProtection="1">
      <alignment horizontal="left" vertical="center" indent="1"/>
    </xf>
    <xf numFmtId="169" fontId="0" fillId="4" borderId="4" xfId="2" applyNumberFormat="1" applyFont="1" applyFill="1" applyBorder="1" applyAlignment="1" applyProtection="1">
      <alignment horizontal="left" vertical="center" indent="1"/>
      <protection locked="0"/>
    </xf>
    <xf numFmtId="179" fontId="0" fillId="10" borderId="17" xfId="0" applyNumberFormat="1" applyFill="1" applyBorder="1" applyAlignment="1">
      <alignment horizontal="center"/>
    </xf>
    <xf numFmtId="5" fontId="0" fillId="3" borderId="8" xfId="0" applyNumberFormat="1" applyFill="1" applyBorder="1" applyAlignment="1">
      <alignment horizontal="left" vertical="center" indent="1"/>
    </xf>
    <xf numFmtId="5" fontId="0" fillId="3" borderId="55" xfId="0" applyNumberFormat="1" applyFill="1" applyBorder="1" applyAlignment="1">
      <alignment horizontal="left" vertical="center" indent="1"/>
    </xf>
    <xf numFmtId="5" fontId="0" fillId="3" borderId="29" xfId="0" applyNumberFormat="1" applyFill="1" applyBorder="1" applyAlignment="1">
      <alignment horizontal="left" vertical="center" indent="1"/>
    </xf>
    <xf numFmtId="5" fontId="3" fillId="3" borderId="0" xfId="0" applyNumberFormat="1" applyFont="1" applyFill="1" applyAlignment="1">
      <alignment horizontal="left" vertical="center" indent="1"/>
    </xf>
    <xf numFmtId="0" fontId="0" fillId="10" borderId="8" xfId="0" applyFill="1" applyBorder="1" applyAlignment="1">
      <alignment horizontal="center"/>
    </xf>
    <xf numFmtId="165" fontId="0" fillId="3" borderId="29" xfId="0" applyNumberFormat="1" applyFill="1" applyBorder="1" applyAlignment="1">
      <alignment horizontal="left" vertical="center" indent="1"/>
    </xf>
    <xf numFmtId="5" fontId="0" fillId="3" borderId="10" xfId="0" applyNumberFormat="1" applyFill="1" applyBorder="1" applyAlignment="1">
      <alignment horizontal="left" vertical="center" indent="1"/>
    </xf>
    <xf numFmtId="5" fontId="0" fillId="3" borderId="54" xfId="0" applyNumberFormat="1" applyFill="1" applyBorder="1" applyAlignment="1">
      <alignment horizontal="left" vertical="center" indent="1"/>
    </xf>
    <xf numFmtId="5" fontId="0" fillId="3" borderId="52" xfId="0" applyNumberFormat="1" applyFill="1" applyBorder="1" applyAlignment="1">
      <alignment horizontal="left" vertical="center" indent="1"/>
    </xf>
    <xf numFmtId="165" fontId="0" fillId="3" borderId="10" xfId="0" applyNumberFormat="1" applyFill="1" applyBorder="1" applyAlignment="1">
      <alignment horizontal="left" vertical="center" indent="1"/>
    </xf>
    <xf numFmtId="165" fontId="0" fillId="3" borderId="10" xfId="0" applyNumberFormat="1" applyFill="1" applyBorder="1" applyAlignment="1">
      <alignment horizontal="left" indent="1"/>
    </xf>
    <xf numFmtId="0" fontId="0" fillId="10" borderId="45" xfId="0" applyFill="1" applyBorder="1" applyAlignment="1">
      <alignment horizontal="center"/>
    </xf>
    <xf numFmtId="165" fontId="0" fillId="3" borderId="44" xfId="0" applyNumberFormat="1" applyFill="1" applyBorder="1" applyAlignment="1">
      <alignment horizontal="left" vertical="center" indent="1"/>
    </xf>
    <xf numFmtId="5" fontId="0" fillId="3" borderId="43" xfId="0" applyNumberFormat="1" applyFill="1" applyBorder="1" applyAlignment="1">
      <alignment horizontal="left" vertical="center" indent="1"/>
    </xf>
    <xf numFmtId="5" fontId="0" fillId="3" borderId="44" xfId="0" applyNumberFormat="1" applyFill="1" applyBorder="1" applyAlignment="1">
      <alignment horizontal="left" vertical="center" indent="1"/>
    </xf>
    <xf numFmtId="5" fontId="0" fillId="3" borderId="58" xfId="0" applyNumberFormat="1" applyFill="1" applyBorder="1" applyAlignment="1">
      <alignment horizontal="left" vertical="center" indent="1"/>
    </xf>
    <xf numFmtId="5" fontId="0" fillId="3" borderId="59" xfId="0" applyNumberFormat="1" applyFill="1" applyBorder="1" applyAlignment="1">
      <alignment horizontal="left" vertical="center" indent="1"/>
    </xf>
    <xf numFmtId="165" fontId="0" fillId="3" borderId="43" xfId="0" applyNumberFormat="1" applyFill="1" applyBorder="1" applyAlignment="1">
      <alignment horizontal="left" vertical="center" indent="1"/>
    </xf>
    <xf numFmtId="165" fontId="0" fillId="3" borderId="43" xfId="0" applyNumberFormat="1" applyFill="1" applyBorder="1" applyAlignment="1">
      <alignment horizontal="left" indent="1"/>
    </xf>
    <xf numFmtId="179" fontId="0" fillId="10" borderId="60" xfId="0" applyNumberFormat="1" applyFill="1" applyBorder="1" applyAlignment="1">
      <alignment horizontal="center"/>
    </xf>
    <xf numFmtId="5" fontId="0" fillId="3" borderId="52" xfId="1" applyNumberFormat="1" applyFont="1" applyFill="1" applyBorder="1" applyAlignment="1" applyProtection="1">
      <alignment horizontal="left" vertical="center" indent="1"/>
    </xf>
    <xf numFmtId="5" fontId="0" fillId="3" borderId="61" xfId="1" applyNumberFormat="1" applyFont="1" applyFill="1" applyBorder="1" applyAlignment="1" applyProtection="1">
      <alignment horizontal="left" vertical="center" indent="1"/>
    </xf>
    <xf numFmtId="5" fontId="0" fillId="3" borderId="57" xfId="1" applyNumberFormat="1" applyFont="1" applyFill="1" applyBorder="1" applyAlignment="1" applyProtection="1">
      <alignment horizontal="left" vertical="center" indent="1"/>
    </xf>
    <xf numFmtId="5" fontId="0" fillId="3" borderId="59" xfId="1" applyNumberFormat="1" applyFont="1" applyFill="1" applyBorder="1" applyAlignment="1" applyProtection="1">
      <alignment horizontal="left" vertical="center" indent="1"/>
    </xf>
    <xf numFmtId="5" fontId="0" fillId="3" borderId="62" xfId="1" applyNumberFormat="1" applyFont="1" applyFill="1" applyBorder="1" applyAlignment="1" applyProtection="1">
      <alignment horizontal="left" vertical="center" indent="1"/>
    </xf>
    <xf numFmtId="5" fontId="0" fillId="3" borderId="58" xfId="1" applyNumberFormat="1" applyFont="1" applyFill="1" applyBorder="1" applyAlignment="1" applyProtection="1">
      <alignment horizontal="left" vertical="center" indent="1"/>
    </xf>
    <xf numFmtId="0" fontId="53" fillId="2" borderId="9" xfId="0" applyFont="1" applyFill="1" applyBorder="1" applyAlignment="1">
      <alignment horizontal="left" vertical="center" indent="1"/>
    </xf>
    <xf numFmtId="0" fontId="45" fillId="2" borderId="9" xfId="0" applyFont="1" applyFill="1" applyBorder="1"/>
    <xf numFmtId="0" fontId="11" fillId="2" borderId="9" xfId="0" applyFont="1" applyFill="1" applyBorder="1"/>
    <xf numFmtId="0" fontId="53" fillId="3" borderId="0" xfId="0" applyFont="1" applyFill="1" applyAlignment="1">
      <alignment horizontal="left" vertical="center" indent="1"/>
    </xf>
    <xf numFmtId="0" fontId="11" fillId="5" borderId="6" xfId="0" applyFont="1" applyFill="1" applyBorder="1"/>
    <xf numFmtId="0" fontId="11" fillId="5" borderId="6" xfId="0" applyFont="1" applyFill="1" applyBorder="1" applyAlignment="1">
      <alignment horizontal="right" vertical="center"/>
    </xf>
    <xf numFmtId="0" fontId="45" fillId="3" borderId="0" xfId="0" applyFont="1" applyFill="1" applyAlignment="1">
      <alignment horizontal="left" vertical="center"/>
    </xf>
    <xf numFmtId="0" fontId="54" fillId="3" borderId="0" xfId="0" applyFont="1" applyFill="1"/>
    <xf numFmtId="0" fontId="11" fillId="3" borderId="0" xfId="0" applyFont="1" applyFill="1" applyAlignment="1">
      <alignment vertical="center"/>
    </xf>
    <xf numFmtId="0" fontId="55" fillId="3" borderId="0" xfId="0" applyFont="1" applyFill="1" applyAlignment="1">
      <alignment vertical="center"/>
    </xf>
    <xf numFmtId="9" fontId="11" fillId="9" borderId="4" xfId="0" applyNumberFormat="1" applyFont="1" applyFill="1" applyBorder="1" applyAlignment="1">
      <alignment horizontal="left" vertical="center" indent="1"/>
    </xf>
    <xf numFmtId="9" fontId="11" fillId="3" borderId="0" xfId="0" applyNumberFormat="1" applyFont="1" applyFill="1" applyAlignment="1">
      <alignment horizontal="left" vertical="center" indent="1"/>
    </xf>
    <xf numFmtId="0" fontId="45" fillId="3" borderId="5" xfId="0" applyFont="1" applyFill="1" applyBorder="1" applyAlignment="1">
      <alignment horizontal="left" vertical="center" indent="1"/>
    </xf>
    <xf numFmtId="9" fontId="45" fillId="4" borderId="4" xfId="0" applyNumberFormat="1" applyFont="1" applyFill="1" applyBorder="1" applyAlignment="1">
      <alignment horizontal="center" vertical="center"/>
    </xf>
    <xf numFmtId="5" fontId="11" fillId="3" borderId="4" xfId="1" applyNumberFormat="1" applyFont="1" applyFill="1" applyBorder="1" applyAlignment="1" applyProtection="1">
      <alignment horizontal="left" vertical="center" indent="1"/>
    </xf>
    <xf numFmtId="5" fontId="11" fillId="3" borderId="43" xfId="1" applyNumberFormat="1" applyFont="1" applyFill="1" applyBorder="1" applyAlignment="1" applyProtection="1">
      <alignment horizontal="left" vertical="center" indent="1"/>
    </xf>
    <xf numFmtId="5" fontId="11" fillId="4" borderId="10" xfId="1" applyNumberFormat="1" applyFont="1" applyFill="1" applyBorder="1" applyAlignment="1" applyProtection="1">
      <alignment horizontal="left" vertical="center" indent="1"/>
    </xf>
    <xf numFmtId="5" fontId="11" fillId="4" borderId="4" xfId="1" applyNumberFormat="1" applyFont="1" applyFill="1" applyBorder="1" applyAlignment="1" applyProtection="1">
      <alignment horizontal="left" vertical="center" indent="1"/>
    </xf>
    <xf numFmtId="5" fontId="11" fillId="3" borderId="0" xfId="0" applyNumberFormat="1" applyFont="1" applyFill="1" applyAlignment="1">
      <alignment horizontal="left" vertical="center" indent="1"/>
    </xf>
    <xf numFmtId="9" fontId="45" fillId="17" borderId="4" xfId="0" applyNumberFormat="1" applyFont="1" applyFill="1" applyBorder="1" applyAlignment="1">
      <alignment horizontal="center" vertical="center"/>
    </xf>
    <xf numFmtId="0" fontId="45" fillId="3" borderId="33" xfId="0" applyFont="1" applyFill="1" applyBorder="1" applyAlignment="1">
      <alignment horizontal="left" vertical="center" indent="1"/>
    </xf>
    <xf numFmtId="9" fontId="45" fillId="17" borderId="14" xfId="0" applyNumberFormat="1" applyFont="1" applyFill="1" applyBorder="1" applyAlignment="1">
      <alignment horizontal="center" vertical="center"/>
    </xf>
    <xf numFmtId="5" fontId="11" fillId="3" borderId="14" xfId="1" applyNumberFormat="1" applyFont="1" applyFill="1" applyBorder="1" applyAlignment="1" applyProtection="1">
      <alignment horizontal="left" vertical="center" indent="1"/>
    </xf>
    <xf numFmtId="5" fontId="11" fillId="3" borderId="44" xfId="1" applyNumberFormat="1" applyFont="1" applyFill="1" applyBorder="1" applyAlignment="1" applyProtection="1">
      <alignment horizontal="left" vertical="center" indent="1"/>
    </xf>
    <xf numFmtId="5" fontId="11" fillId="3" borderId="29" xfId="1" applyNumberFormat="1" applyFont="1" applyFill="1" applyBorder="1" applyAlignment="1" applyProtection="1">
      <alignment horizontal="left" vertical="center" indent="1"/>
    </xf>
    <xf numFmtId="9" fontId="45" fillId="17" borderId="11" xfId="0" applyNumberFormat="1" applyFont="1" applyFill="1" applyBorder="1" applyAlignment="1">
      <alignment horizontal="center" vertical="center"/>
    </xf>
    <xf numFmtId="5" fontId="11" fillId="3" borderId="11" xfId="1" applyNumberFormat="1" applyFont="1" applyFill="1" applyBorder="1" applyAlignment="1" applyProtection="1">
      <alignment horizontal="left" vertical="center" indent="1"/>
    </xf>
    <xf numFmtId="5" fontId="11" fillId="3" borderId="45" xfId="1" applyNumberFormat="1" applyFont="1" applyFill="1" applyBorder="1" applyAlignment="1" applyProtection="1">
      <alignment horizontal="left" vertical="center" indent="1"/>
    </xf>
    <xf numFmtId="5" fontId="11" fillId="4" borderId="8" xfId="1" applyNumberFormat="1" applyFont="1" applyFill="1" applyBorder="1" applyAlignment="1" applyProtection="1">
      <alignment horizontal="left" vertical="center" indent="1"/>
    </xf>
    <xf numFmtId="5" fontId="11" fillId="4" borderId="11" xfId="1" applyNumberFormat="1" applyFont="1" applyFill="1" applyBorder="1" applyAlignment="1" applyProtection="1">
      <alignment horizontal="left" vertical="center" indent="1"/>
    </xf>
    <xf numFmtId="5" fontId="11" fillId="3" borderId="0" xfId="1" applyNumberFormat="1" applyFont="1" applyFill="1" applyAlignment="1" applyProtection="1">
      <alignment horizontal="left" vertical="center" indent="1"/>
    </xf>
    <xf numFmtId="5" fontId="11" fillId="3" borderId="46" xfId="1" applyNumberFormat="1" applyFont="1" applyFill="1" applyBorder="1" applyAlignment="1" applyProtection="1">
      <alignment horizontal="left" vertical="center" indent="1"/>
    </xf>
    <xf numFmtId="5" fontId="11" fillId="3" borderId="0" xfId="1" applyNumberFormat="1" applyFont="1" applyFill="1" applyBorder="1" applyAlignment="1" applyProtection="1">
      <alignment horizontal="left" vertical="center" indent="1"/>
    </xf>
    <xf numFmtId="5" fontId="11" fillId="13" borderId="4" xfId="0" applyNumberFormat="1" applyFont="1" applyFill="1" applyBorder="1" applyAlignment="1" applyProtection="1">
      <alignment horizontal="left" vertical="center" indent="1"/>
      <protection locked="0"/>
    </xf>
    <xf numFmtId="5" fontId="11" fillId="13" borderId="4" xfId="1" applyNumberFormat="1" applyFont="1" applyFill="1" applyBorder="1" applyAlignment="1" applyProtection="1">
      <alignment horizontal="left" vertical="center" indent="1"/>
      <protection locked="0"/>
    </xf>
    <xf numFmtId="5" fontId="11" fillId="13" borderId="43" xfId="1" applyNumberFormat="1" applyFont="1" applyFill="1" applyBorder="1" applyAlignment="1" applyProtection="1">
      <alignment horizontal="left" vertical="center" indent="1"/>
      <protection locked="0"/>
    </xf>
    <xf numFmtId="5" fontId="11" fillId="13" borderId="10" xfId="1" applyNumberFormat="1" applyFont="1" applyFill="1" applyBorder="1" applyAlignment="1" applyProtection="1">
      <alignment horizontal="left" vertical="center" indent="1"/>
      <protection locked="0"/>
    </xf>
    <xf numFmtId="5" fontId="11" fillId="13" borderId="14" xfId="1" applyNumberFormat="1" applyFont="1" applyFill="1" applyBorder="1" applyAlignment="1" applyProtection="1">
      <alignment horizontal="left" vertical="center" indent="1"/>
      <protection locked="0"/>
    </xf>
    <xf numFmtId="5" fontId="11" fillId="13" borderId="44" xfId="1" applyNumberFormat="1" applyFont="1" applyFill="1" applyBorder="1" applyAlignment="1" applyProtection="1">
      <alignment horizontal="left" vertical="center" indent="1"/>
      <protection locked="0"/>
    </xf>
    <xf numFmtId="5" fontId="11" fillId="13" borderId="29" xfId="1" applyNumberFormat="1" applyFont="1" applyFill="1" applyBorder="1" applyAlignment="1" applyProtection="1">
      <alignment horizontal="left" vertical="center" indent="1"/>
      <protection locked="0"/>
    </xf>
    <xf numFmtId="5" fontId="11" fillId="3" borderId="46" xfId="0" applyNumberFormat="1" applyFont="1" applyFill="1" applyBorder="1" applyAlignment="1">
      <alignment horizontal="left" vertical="center" indent="1"/>
    </xf>
    <xf numFmtId="5" fontId="11" fillId="3" borderId="10" xfId="1" applyNumberFormat="1" applyFont="1" applyFill="1" applyBorder="1" applyAlignment="1" applyProtection="1">
      <alignment horizontal="left" vertical="center" indent="1"/>
    </xf>
    <xf numFmtId="5" fontId="11" fillId="3" borderId="42" xfId="1" applyNumberFormat="1" applyFont="1" applyFill="1" applyBorder="1" applyAlignment="1" applyProtection="1">
      <alignment horizontal="left" vertical="center" indent="1"/>
    </xf>
    <xf numFmtId="5" fontId="11" fillId="3" borderId="47" xfId="1" applyNumberFormat="1" applyFont="1" applyFill="1" applyBorder="1" applyAlignment="1" applyProtection="1">
      <alignment horizontal="left" vertical="center" indent="1"/>
    </xf>
    <xf numFmtId="5" fontId="11" fillId="4" borderId="29" xfId="1" applyNumberFormat="1" applyFont="1" applyFill="1" applyBorder="1" applyAlignment="1" applyProtection="1">
      <alignment horizontal="left" vertical="center" indent="1"/>
    </xf>
    <xf numFmtId="5" fontId="11" fillId="3" borderId="11" xfId="0" applyNumberFormat="1" applyFont="1" applyFill="1" applyBorder="1" applyAlignment="1">
      <alignment horizontal="left" vertical="center" indent="1"/>
    </xf>
    <xf numFmtId="5" fontId="11" fillId="3" borderId="45" xfId="0" applyNumberFormat="1" applyFont="1" applyFill="1" applyBorder="1" applyAlignment="1">
      <alignment horizontal="left" vertical="center" indent="1"/>
    </xf>
    <xf numFmtId="5" fontId="11" fillId="4" borderId="8" xfId="0" applyNumberFormat="1" applyFont="1" applyFill="1" applyBorder="1" applyAlignment="1">
      <alignment horizontal="left" vertical="center" indent="1"/>
    </xf>
    <xf numFmtId="5" fontId="11" fillId="4" borderId="11" xfId="0" applyNumberFormat="1" applyFont="1" applyFill="1" applyBorder="1" applyAlignment="1">
      <alignment horizontal="left" vertical="center" indent="1"/>
    </xf>
    <xf numFmtId="5" fontId="45" fillId="3" borderId="0" xfId="0" applyNumberFormat="1" applyFont="1" applyFill="1" applyAlignment="1">
      <alignment horizontal="left" vertical="center" indent="1"/>
    </xf>
    <xf numFmtId="0" fontId="11" fillId="3" borderId="46" xfId="0" applyFont="1" applyFill="1" applyBorder="1"/>
    <xf numFmtId="2" fontId="11" fillId="3" borderId="4" xfId="0" applyNumberFormat="1" applyFont="1" applyFill="1" applyBorder="1" applyAlignment="1">
      <alignment horizontal="left" vertical="center" indent="1"/>
    </xf>
    <xf numFmtId="2" fontId="11" fillId="3" borderId="0" xfId="0" applyNumberFormat="1" applyFont="1" applyFill="1" applyAlignment="1">
      <alignment horizontal="left" vertical="center" indent="1"/>
    </xf>
    <xf numFmtId="2" fontId="11" fillId="3" borderId="46" xfId="0" applyNumberFormat="1" applyFont="1" applyFill="1" applyBorder="1" applyAlignment="1">
      <alignment horizontal="left" vertical="center" indent="1"/>
    </xf>
    <xf numFmtId="39" fontId="11" fillId="3" borderId="4" xfId="1" applyNumberFormat="1" applyFont="1" applyFill="1" applyBorder="1" applyAlignment="1">
      <alignment horizontal="left" vertical="center" indent="1"/>
    </xf>
    <xf numFmtId="39" fontId="11" fillId="3" borderId="43" xfId="1" applyNumberFormat="1" applyFont="1" applyFill="1" applyBorder="1" applyAlignment="1">
      <alignment horizontal="left" vertical="center" indent="1"/>
    </xf>
    <xf numFmtId="5" fontId="11" fillId="3" borderId="14" xfId="0" applyNumberFormat="1" applyFont="1" applyFill="1" applyBorder="1" applyAlignment="1">
      <alignment horizontal="left" vertical="center" indent="1"/>
    </xf>
    <xf numFmtId="5" fontId="11" fillId="3" borderId="44" xfId="0" applyNumberFormat="1" applyFont="1" applyFill="1" applyBorder="1" applyAlignment="1">
      <alignment horizontal="left" vertical="center" indent="1"/>
    </xf>
    <xf numFmtId="5" fontId="11" fillId="4" borderId="29" xfId="0" applyNumberFormat="1" applyFont="1" applyFill="1" applyBorder="1" applyAlignment="1">
      <alignment horizontal="left" vertical="center" indent="1"/>
    </xf>
    <xf numFmtId="5" fontId="11" fillId="4" borderId="14" xfId="0" applyNumberFormat="1" applyFont="1" applyFill="1" applyBorder="1" applyAlignment="1">
      <alignment horizontal="left" vertical="center" indent="1"/>
    </xf>
    <xf numFmtId="0" fontId="0" fillId="23" borderId="13" xfId="0" applyFill="1" applyBorder="1" applyAlignment="1" applyProtection="1">
      <alignment horizontal="left" vertical="center" indent="1"/>
      <protection locked="0"/>
    </xf>
    <xf numFmtId="9" fontId="0" fillId="23" borderId="11" xfId="2" applyFont="1" applyFill="1" applyBorder="1" applyAlignment="1" applyProtection="1">
      <alignment horizontal="left" vertical="center" indent="1"/>
      <protection locked="0"/>
    </xf>
    <xf numFmtId="9" fontId="0" fillId="23" borderId="4" xfId="2" applyFont="1" applyFill="1" applyBorder="1" applyAlignment="1" applyProtection="1">
      <alignment horizontal="left" vertical="center" indent="1"/>
      <protection locked="0"/>
    </xf>
    <xf numFmtId="1" fontId="0" fillId="23" borderId="5" xfId="1" applyNumberFormat="1" applyFont="1" applyFill="1" applyBorder="1" applyAlignment="1" applyProtection="1">
      <alignment horizontal="left" vertical="center" indent="1"/>
      <protection locked="0"/>
    </xf>
    <xf numFmtId="0" fontId="9" fillId="3" borderId="0" xfId="0" applyFont="1" applyFill="1" applyAlignment="1">
      <alignment horizontal="right" vertical="center" indent="1"/>
    </xf>
    <xf numFmtId="165" fontId="10" fillId="3" borderId="0" xfId="0" applyNumberFormat="1" applyFont="1" applyFill="1" applyAlignment="1">
      <alignment horizontal="center" wrapText="1"/>
    </xf>
    <xf numFmtId="165" fontId="0" fillId="3" borderId="11" xfId="0" applyNumberFormat="1" applyFill="1" applyBorder="1" applyAlignment="1">
      <alignment horizontal="left" vertical="center" indent="1"/>
    </xf>
    <xf numFmtId="165" fontId="0" fillId="3" borderId="8" xfId="0" applyNumberFormat="1" applyFill="1" applyBorder="1" applyAlignment="1">
      <alignment horizontal="left" vertical="center" indent="1"/>
    </xf>
    <xf numFmtId="165" fontId="0" fillId="3" borderId="45" xfId="0" applyNumberFormat="1" applyFill="1" applyBorder="1" applyAlignment="1">
      <alignment horizontal="left" vertical="center" indent="1"/>
    </xf>
    <xf numFmtId="39" fontId="11" fillId="3" borderId="0" xfId="0" applyNumberFormat="1" applyFont="1" applyFill="1" applyAlignment="1">
      <alignment horizontal="left" vertical="center" indent="1"/>
    </xf>
    <xf numFmtId="39" fontId="45" fillId="3" borderId="4" xfId="0" applyNumberFormat="1" applyFont="1" applyFill="1" applyBorder="1" applyAlignment="1">
      <alignment horizontal="center" vertical="center"/>
    </xf>
    <xf numFmtId="1" fontId="16" fillId="3" borderId="0" xfId="2" applyNumberFormat="1" applyFont="1" applyFill="1" applyBorder="1" applyAlignment="1">
      <alignment horizontal="left" vertical="center" indent="1"/>
    </xf>
    <xf numFmtId="0" fontId="45" fillId="3" borderId="34" xfId="0" applyFont="1" applyFill="1" applyBorder="1" applyAlignment="1">
      <alignment horizontal="left" vertical="center" indent="1"/>
    </xf>
    <xf numFmtId="0" fontId="28" fillId="3" borderId="0" xfId="3" applyFont="1" applyFill="1" applyAlignment="1" applyProtection="1">
      <alignment vertical="center"/>
    </xf>
    <xf numFmtId="0" fontId="17" fillId="2" borderId="9" xfId="0" applyFont="1" applyFill="1" applyBorder="1" applyAlignment="1">
      <alignment horizontal="left" vertical="center" indent="1"/>
    </xf>
    <xf numFmtId="0" fontId="31" fillId="14" borderId="6" xfId="0" applyFont="1" applyFill="1" applyBorder="1" applyAlignment="1">
      <alignment horizontal="left" vertical="center" indent="1"/>
    </xf>
    <xf numFmtId="0" fontId="5" fillId="3" borderId="0" xfId="0" applyFont="1" applyFill="1" applyAlignment="1">
      <alignment horizontal="left" vertical="center" indent="1"/>
    </xf>
    <xf numFmtId="1" fontId="0" fillId="3" borderId="0" xfId="0" applyNumberFormat="1" applyFill="1" applyAlignment="1">
      <alignment horizontal="center" vertical="center"/>
    </xf>
    <xf numFmtId="165" fontId="0" fillId="3" borderId="0" xfId="0" applyNumberFormat="1" applyFill="1" applyAlignment="1">
      <alignment horizontal="left" indent="1"/>
    </xf>
    <xf numFmtId="0" fontId="32" fillId="3" borderId="4" xfId="0" applyFont="1" applyFill="1" applyBorder="1" applyAlignment="1">
      <alignment horizontal="left" vertical="center" wrapText="1" indent="1"/>
    </xf>
    <xf numFmtId="0" fontId="38" fillId="3" borderId="0" xfId="0" applyFont="1" applyFill="1" applyAlignment="1" applyProtection="1">
      <alignment vertical="top" wrapText="1"/>
      <protection locked="0"/>
    </xf>
    <xf numFmtId="169" fontId="0" fillId="16" borderId="4" xfId="2" applyNumberFormat="1" applyFont="1" applyFill="1" applyBorder="1" applyAlignment="1" applyProtection="1">
      <alignment horizontal="left" vertical="center" indent="1"/>
    </xf>
    <xf numFmtId="169" fontId="0" fillId="4" borderId="4" xfId="2" applyNumberFormat="1" applyFont="1" applyFill="1" applyBorder="1" applyAlignment="1" applyProtection="1">
      <alignment horizontal="left" vertical="center" indent="1"/>
    </xf>
    <xf numFmtId="5" fontId="11" fillId="3" borderId="64" xfId="1" applyNumberFormat="1" applyFont="1" applyFill="1" applyBorder="1" applyAlignment="1" applyProtection="1">
      <alignment horizontal="left" vertical="center" indent="1"/>
    </xf>
    <xf numFmtId="5" fontId="11" fillId="4" borderId="14" xfId="1" applyNumberFormat="1" applyFont="1" applyFill="1" applyBorder="1" applyAlignment="1" applyProtection="1">
      <alignment horizontal="left" vertical="center" indent="1"/>
    </xf>
    <xf numFmtId="0" fontId="5" fillId="24" borderId="11" xfId="0" applyFont="1" applyFill="1" applyBorder="1" applyAlignment="1">
      <alignment horizontal="center" vertical="center" wrapText="1"/>
    </xf>
    <xf numFmtId="3" fontId="32" fillId="3" borderId="10" xfId="0" applyNumberFormat="1" applyFont="1" applyFill="1" applyBorder="1" applyAlignment="1">
      <alignment horizontal="left" vertical="center" indent="1"/>
    </xf>
    <xf numFmtId="3" fontId="32" fillId="3" borderId="29" xfId="0" applyNumberFormat="1" applyFont="1" applyFill="1" applyBorder="1" applyAlignment="1">
      <alignment horizontal="left" vertical="center" indent="1"/>
    </xf>
    <xf numFmtId="3" fontId="32" fillId="19" borderId="8" xfId="0" applyNumberFormat="1" applyFont="1" applyFill="1" applyBorder="1" applyAlignment="1">
      <alignment horizontal="left" vertical="center" indent="1"/>
    </xf>
    <xf numFmtId="9" fontId="32" fillId="3" borderId="38" xfId="0" applyNumberFormat="1" applyFont="1" applyFill="1" applyBorder="1" applyAlignment="1">
      <alignment horizontal="left" vertical="center" indent="1"/>
    </xf>
    <xf numFmtId="9" fontId="32" fillId="3" borderId="65" xfId="0" applyNumberFormat="1" applyFont="1" applyFill="1" applyBorder="1" applyAlignment="1">
      <alignment horizontal="left" vertical="center" indent="1"/>
    </xf>
    <xf numFmtId="9" fontId="32" fillId="19" borderId="39" xfId="0" applyNumberFormat="1" applyFont="1" applyFill="1" applyBorder="1" applyAlignment="1">
      <alignment horizontal="left" vertical="center" indent="1"/>
    </xf>
    <xf numFmtId="0" fontId="27" fillId="0" borderId="0" xfId="0" applyFont="1"/>
    <xf numFmtId="0" fontId="27" fillId="3" borderId="6" xfId="0" applyFont="1" applyFill="1" applyBorder="1"/>
    <xf numFmtId="165" fontId="27" fillId="4" borderId="28" xfId="0" applyNumberFormat="1" applyFont="1" applyFill="1" applyBorder="1" applyAlignment="1">
      <alignment horizontal="left" vertical="center" indent="1"/>
    </xf>
    <xf numFmtId="3" fontId="27" fillId="4" borderId="66" xfId="0" applyNumberFormat="1" applyFont="1" applyFill="1" applyBorder="1" applyAlignment="1">
      <alignment horizontal="left" vertical="center" indent="1"/>
    </xf>
    <xf numFmtId="165" fontId="27" fillId="4" borderId="66" xfId="0" applyNumberFormat="1" applyFont="1" applyFill="1" applyBorder="1" applyAlignment="1">
      <alignment horizontal="left" vertical="center" indent="1"/>
    </xf>
    <xf numFmtId="0" fontId="32" fillId="26" borderId="5" xfId="0" applyFont="1" applyFill="1" applyBorder="1" applyAlignment="1">
      <alignment horizontal="left" vertical="center" wrapText="1" indent="1"/>
    </xf>
    <xf numFmtId="165" fontId="27" fillId="4" borderId="25" xfId="0" applyNumberFormat="1" applyFont="1" applyFill="1" applyBorder="1" applyAlignment="1">
      <alignment horizontal="left" vertical="center" indent="1"/>
    </xf>
    <xf numFmtId="3" fontId="27" fillId="4" borderId="4" xfId="0" applyNumberFormat="1" applyFont="1" applyFill="1" applyBorder="1" applyAlignment="1">
      <alignment horizontal="left" vertical="center" indent="1"/>
    </xf>
    <xf numFmtId="165" fontId="27" fillId="4" borderId="4" xfId="0" applyNumberFormat="1" applyFont="1" applyFill="1" applyBorder="1" applyAlignment="1">
      <alignment horizontal="left" vertical="center" indent="1"/>
    </xf>
    <xf numFmtId="1" fontId="32" fillId="26" borderId="69" xfId="0" applyNumberFormat="1" applyFont="1" applyFill="1" applyBorder="1" applyAlignment="1">
      <alignment horizontal="left" vertical="center" wrapText="1" indent="1"/>
    </xf>
    <xf numFmtId="0" fontId="32" fillId="10" borderId="4" xfId="0" applyFont="1" applyFill="1" applyBorder="1" applyAlignment="1">
      <alignment horizontal="center" vertical="center" wrapText="1"/>
    </xf>
    <xf numFmtId="0" fontId="27" fillId="3" borderId="6" xfId="0" applyFont="1" applyFill="1" applyBorder="1" applyAlignment="1">
      <alignment horizontal="left" vertical="center"/>
    </xf>
    <xf numFmtId="1" fontId="32" fillId="26" borderId="4" xfId="0" applyNumberFormat="1" applyFont="1" applyFill="1" applyBorder="1" applyAlignment="1">
      <alignment horizontal="left" vertical="center" wrapText="1" indent="1"/>
    </xf>
    <xf numFmtId="0" fontId="32" fillId="26" borderId="4" xfId="0" applyFont="1" applyFill="1" applyBorder="1" applyAlignment="1">
      <alignment horizontal="left" vertical="center" wrapText="1" indent="1"/>
    </xf>
    <xf numFmtId="0" fontId="35" fillId="3" borderId="0" xfId="0" applyFont="1" applyFill="1" applyAlignment="1">
      <alignment horizontal="right" vertical="center" indent="1"/>
    </xf>
    <xf numFmtId="1" fontId="32" fillId="26" borderId="14" xfId="0" applyNumberFormat="1" applyFont="1" applyFill="1" applyBorder="1" applyAlignment="1">
      <alignment horizontal="left" vertical="center" wrapText="1" indent="1"/>
    </xf>
    <xf numFmtId="0" fontId="27" fillId="3" borderId="0" xfId="0" applyFont="1" applyFill="1" applyAlignment="1">
      <alignment horizontal="left" vertical="center"/>
    </xf>
    <xf numFmtId="0" fontId="32" fillId="27" borderId="4" xfId="0" applyFont="1" applyFill="1" applyBorder="1" applyAlignment="1">
      <alignment horizontal="center" vertical="center" wrapText="1"/>
    </xf>
    <xf numFmtId="5" fontId="20" fillId="3" borderId="0" xfId="0" applyNumberFormat="1" applyFont="1" applyFill="1" applyAlignment="1">
      <alignment horizontal="left" vertical="center" wrapText="1" indent="1"/>
    </xf>
    <xf numFmtId="165" fontId="32" fillId="4" borderId="14" xfId="0" applyNumberFormat="1" applyFont="1" applyFill="1" applyBorder="1" applyAlignment="1">
      <alignment horizontal="left" vertical="center" wrapText="1" indent="1"/>
    </xf>
    <xf numFmtId="165" fontId="32" fillId="4" borderId="4" xfId="0" applyNumberFormat="1" applyFont="1" applyFill="1" applyBorder="1" applyAlignment="1">
      <alignment horizontal="left" vertical="center" wrapText="1" indent="1"/>
    </xf>
    <xf numFmtId="5" fontId="32" fillId="4" borderId="4" xfId="0" applyNumberFormat="1" applyFont="1" applyFill="1" applyBorder="1" applyAlignment="1">
      <alignment horizontal="left" vertical="center" wrapText="1" indent="1"/>
    </xf>
    <xf numFmtId="165" fontId="20" fillId="26" borderId="4" xfId="0" applyNumberFormat="1" applyFont="1" applyFill="1" applyBorder="1" applyAlignment="1">
      <alignment horizontal="left" vertical="center" wrapText="1" indent="1"/>
    </xf>
    <xf numFmtId="165" fontId="32" fillId="26" borderId="4" xfId="0" applyNumberFormat="1" applyFont="1" applyFill="1" applyBorder="1" applyAlignment="1">
      <alignment horizontal="left" vertical="center" wrapText="1" indent="1"/>
    </xf>
    <xf numFmtId="165" fontId="20" fillId="26" borderId="11" xfId="0" applyNumberFormat="1" applyFont="1" applyFill="1" applyBorder="1" applyAlignment="1">
      <alignment horizontal="left" vertical="center" wrapText="1" indent="1"/>
    </xf>
    <xf numFmtId="165" fontId="32" fillId="26" borderId="14" xfId="0" applyNumberFormat="1" applyFont="1" applyFill="1" applyBorder="1" applyAlignment="1">
      <alignment horizontal="left" vertical="center" wrapText="1" indent="1"/>
    </xf>
    <xf numFmtId="0" fontId="32" fillId="26" borderId="11" xfId="0" applyFont="1" applyFill="1" applyBorder="1" applyAlignment="1">
      <alignment horizontal="left" vertical="center" wrapText="1" indent="1"/>
    </xf>
    <xf numFmtId="3" fontId="32" fillId="26" borderId="4" xfId="0" applyNumberFormat="1" applyFont="1" applyFill="1" applyBorder="1" applyAlignment="1">
      <alignment horizontal="left" vertical="center" wrapText="1" indent="1"/>
    </xf>
    <xf numFmtId="2" fontId="32" fillId="26" borderId="4" xfId="0" applyNumberFormat="1" applyFont="1" applyFill="1" applyBorder="1" applyAlignment="1">
      <alignment horizontal="left" vertical="center" wrapText="1" indent="1"/>
    </xf>
    <xf numFmtId="10" fontId="20" fillId="27" borderId="4" xfId="0" applyNumberFormat="1" applyFont="1" applyFill="1" applyBorder="1" applyAlignment="1" applyProtection="1">
      <alignment horizontal="left" vertical="center" wrapText="1" indent="1"/>
      <protection locked="0"/>
    </xf>
    <xf numFmtId="10" fontId="32" fillId="26" borderId="4" xfId="0" applyNumberFormat="1" applyFont="1" applyFill="1" applyBorder="1" applyAlignment="1">
      <alignment horizontal="left" vertical="center" wrapText="1" indent="1"/>
    </xf>
    <xf numFmtId="0" fontId="35" fillId="26" borderId="4" xfId="0" applyFont="1" applyFill="1" applyBorder="1" applyAlignment="1">
      <alignment horizontal="left" vertical="center" indent="1"/>
    </xf>
    <xf numFmtId="165" fontId="32" fillId="26" borderId="13" xfId="0" applyNumberFormat="1" applyFont="1" applyFill="1" applyBorder="1" applyAlignment="1">
      <alignment horizontal="left" vertical="center" wrapText="1" indent="1"/>
    </xf>
    <xf numFmtId="0" fontId="32" fillId="4" borderId="13" xfId="0" applyFont="1" applyFill="1" applyBorder="1" applyAlignment="1">
      <alignment horizontal="left" vertical="center" wrapText="1" indent="1"/>
    </xf>
    <xf numFmtId="5" fontId="32" fillId="26" borderId="4" xfId="0" applyNumberFormat="1" applyFont="1" applyFill="1" applyBorder="1" applyAlignment="1">
      <alignment horizontal="left" vertical="center" wrapText="1" indent="1"/>
    </xf>
    <xf numFmtId="0" fontId="27" fillId="9" borderId="4" xfId="0" applyFont="1" applyFill="1" applyBorder="1" applyAlignment="1">
      <alignment horizontal="left" vertical="center" wrapText="1" indent="1"/>
    </xf>
    <xf numFmtId="0" fontId="27" fillId="3" borderId="0" xfId="0" applyFont="1" applyFill="1" applyAlignment="1">
      <alignment vertical="center" wrapText="1"/>
    </xf>
    <xf numFmtId="0" fontId="35" fillId="3" borderId="0" xfId="0" applyFont="1" applyFill="1" applyAlignment="1">
      <alignment horizontal="left" indent="1"/>
    </xf>
    <xf numFmtId="0" fontId="27" fillId="3" borderId="0" xfId="0" applyFont="1" applyFill="1" applyAlignment="1">
      <alignment vertical="center"/>
    </xf>
    <xf numFmtId="165" fontId="27" fillId="3" borderId="0" xfId="0" applyNumberFormat="1" applyFont="1" applyFill="1"/>
    <xf numFmtId="1" fontId="20" fillId="26" borderId="11" xfId="0" applyNumberFormat="1" applyFont="1" applyFill="1" applyBorder="1" applyAlignment="1">
      <alignment horizontal="left" vertical="center" wrapText="1" indent="1"/>
    </xf>
    <xf numFmtId="3" fontId="32" fillId="27" borderId="4" xfId="0" applyNumberFormat="1" applyFont="1" applyFill="1" applyBorder="1" applyAlignment="1" applyProtection="1">
      <alignment horizontal="left" vertical="center" wrapText="1" indent="1"/>
      <protection locked="0"/>
    </xf>
    <xf numFmtId="0" fontId="32" fillId="27" borderId="4" xfId="0" applyFont="1" applyFill="1" applyBorder="1" applyAlignment="1" applyProtection="1">
      <alignment horizontal="left" vertical="center" wrapText="1" indent="1"/>
      <protection locked="0"/>
    </xf>
    <xf numFmtId="165" fontId="32" fillId="27" borderId="4" xfId="0" applyNumberFormat="1" applyFont="1" applyFill="1" applyBorder="1" applyAlignment="1" applyProtection="1">
      <alignment horizontal="left" vertical="center" wrapText="1" indent="1"/>
      <protection locked="0"/>
    </xf>
    <xf numFmtId="0" fontId="5" fillId="4" borderId="4" xfId="0" applyFont="1" applyFill="1" applyBorder="1" applyAlignment="1">
      <alignment horizontal="left" vertical="center" indent="1"/>
    </xf>
    <xf numFmtId="0" fontId="0" fillId="3" borderId="3" xfId="1" applyNumberFormat="1" applyFont="1" applyFill="1" applyBorder="1" applyAlignment="1" applyProtection="1">
      <alignment horizontal="left" indent="1"/>
    </xf>
    <xf numFmtId="0" fontId="0" fillId="3" borderId="3" xfId="1" applyNumberFormat="1" applyFont="1" applyFill="1" applyBorder="1" applyAlignment="1" applyProtection="1">
      <alignment horizontal="left" vertical="center" indent="1"/>
    </xf>
    <xf numFmtId="1" fontId="11" fillId="3" borderId="3" xfId="1" applyNumberFormat="1" applyFont="1" applyFill="1" applyBorder="1" applyAlignment="1" applyProtection="1">
      <alignment horizontal="center" vertical="center"/>
    </xf>
    <xf numFmtId="9" fontId="5" fillId="0" borderId="3" xfId="2" applyFont="1" applyBorder="1" applyAlignment="1" applyProtection="1">
      <alignment horizontal="left" vertical="center" wrapText="1" indent="1"/>
    </xf>
    <xf numFmtId="0" fontId="27" fillId="3" borderId="0" xfId="0" applyFont="1" applyFill="1" applyAlignment="1">
      <alignment horizontal="left" vertical="center" wrapText="1" indent="1"/>
    </xf>
    <xf numFmtId="178" fontId="32" fillId="26" borderId="4" xfId="0" applyNumberFormat="1" applyFont="1" applyFill="1" applyBorder="1" applyAlignment="1">
      <alignment horizontal="left" vertical="center" wrapText="1" indent="1"/>
    </xf>
    <xf numFmtId="178" fontId="32" fillId="26" borderId="14" xfId="0" applyNumberFormat="1" applyFont="1" applyFill="1" applyBorder="1" applyAlignment="1">
      <alignment horizontal="left" vertical="center" wrapText="1" indent="1"/>
    </xf>
    <xf numFmtId="1" fontId="35" fillId="4" borderId="11" xfId="0" applyNumberFormat="1" applyFont="1" applyFill="1" applyBorder="1" applyAlignment="1">
      <alignment horizontal="left" vertical="center" indent="1"/>
    </xf>
    <xf numFmtId="178" fontId="35" fillId="4" borderId="11" xfId="0" applyNumberFormat="1" applyFont="1" applyFill="1" applyBorder="1" applyAlignment="1">
      <alignment horizontal="left" vertical="center" indent="1"/>
    </xf>
    <xf numFmtId="0" fontId="35" fillId="4" borderId="4" xfId="0" applyFont="1" applyFill="1" applyBorder="1" applyAlignment="1">
      <alignment horizontal="left" indent="1"/>
    </xf>
    <xf numFmtId="0" fontId="5" fillId="25" borderId="0" xfId="0" applyFont="1" applyFill="1" applyAlignment="1">
      <alignment horizontal="center" vertical="center" wrapText="1"/>
    </xf>
    <xf numFmtId="165" fontId="0" fillId="4" borderId="32" xfId="1" applyNumberFormat="1" applyFont="1" applyFill="1" applyBorder="1" applyAlignment="1" applyProtection="1">
      <alignment horizontal="left" vertical="center" indent="1"/>
    </xf>
    <xf numFmtId="0" fontId="5" fillId="4" borderId="14" xfId="0" applyFont="1" applyFill="1" applyBorder="1" applyAlignment="1">
      <alignment horizontal="left" vertical="center" indent="1"/>
    </xf>
    <xf numFmtId="3" fontId="32" fillId="26" borderId="14" xfId="0" applyNumberFormat="1" applyFont="1" applyFill="1" applyBorder="1" applyAlignment="1">
      <alignment horizontal="left" vertical="center" wrapText="1" indent="1"/>
    </xf>
    <xf numFmtId="1" fontId="0" fillId="3" borderId="4" xfId="0" applyNumberFormat="1" applyFill="1" applyBorder="1" applyAlignment="1">
      <alignment horizontal="left" vertical="center" indent="1"/>
    </xf>
    <xf numFmtId="9" fontId="0" fillId="3" borderId="4" xfId="0" applyNumberFormat="1" applyFill="1" applyBorder="1" applyAlignment="1">
      <alignment horizontal="left" vertical="center" indent="1"/>
    </xf>
    <xf numFmtId="0" fontId="8" fillId="3" borderId="0" xfId="3" applyFill="1" applyBorder="1" applyAlignment="1">
      <alignment horizontal="left" vertical="center"/>
    </xf>
    <xf numFmtId="0" fontId="63" fillId="3" borderId="0" xfId="0" applyFont="1" applyFill="1" applyAlignment="1">
      <alignment vertical="center"/>
    </xf>
    <xf numFmtId="0" fontId="64" fillId="3" borderId="0" xfId="0" applyFont="1" applyFill="1"/>
    <xf numFmtId="0" fontId="42" fillId="3" borderId="0" xfId="0" applyFont="1" applyFill="1"/>
    <xf numFmtId="1" fontId="5" fillId="4" borderId="4" xfId="0" applyNumberFormat="1" applyFont="1" applyFill="1" applyBorder="1" applyAlignment="1">
      <alignment horizontal="left" vertical="center" indent="1"/>
    </xf>
    <xf numFmtId="165" fontId="5" fillId="4" borderId="4" xfId="0" applyNumberFormat="1" applyFont="1" applyFill="1" applyBorder="1" applyAlignment="1">
      <alignment horizontal="left" vertical="center" indent="1"/>
    </xf>
    <xf numFmtId="0" fontId="0" fillId="3" borderId="73" xfId="0" applyFill="1" applyBorder="1"/>
    <xf numFmtId="0" fontId="5" fillId="3" borderId="2" xfId="0" applyFont="1" applyFill="1" applyBorder="1" applyAlignment="1">
      <alignment horizontal="left" vertical="center" indent="1"/>
    </xf>
    <xf numFmtId="0" fontId="3" fillId="3" borderId="2" xfId="0" applyFont="1" applyFill="1" applyBorder="1"/>
    <xf numFmtId="0" fontId="0" fillId="3" borderId="2" xfId="0" applyFill="1" applyBorder="1"/>
    <xf numFmtId="0" fontId="0" fillId="3" borderId="74" xfId="0" applyFill="1" applyBorder="1"/>
    <xf numFmtId="0" fontId="0" fillId="3" borderId="75" xfId="0" applyFill="1" applyBorder="1"/>
    <xf numFmtId="0" fontId="3" fillId="3" borderId="0" xfId="0" applyFont="1" applyFill="1" applyAlignment="1">
      <alignment horizontal="left" vertical="center" wrapText="1" indent="1"/>
    </xf>
    <xf numFmtId="0" fontId="65" fillId="3" borderId="0" xfId="0" applyFont="1" applyFill="1" applyAlignment="1">
      <alignment horizontal="left" vertical="center" wrapText="1" indent="1"/>
    </xf>
    <xf numFmtId="0" fontId="0" fillId="3" borderId="57" xfId="0" applyFill="1" applyBorder="1"/>
    <xf numFmtId="1" fontId="11" fillId="3" borderId="0" xfId="0" applyNumberFormat="1" applyFont="1" applyFill="1" applyAlignment="1">
      <alignment horizontal="center" vertical="center"/>
    </xf>
    <xf numFmtId="0" fontId="0" fillId="3" borderId="53" xfId="0" applyFill="1" applyBorder="1"/>
    <xf numFmtId="0" fontId="0" fillId="3" borderId="3" xfId="0" applyFill="1" applyBorder="1" applyAlignment="1">
      <alignment horizontal="left" indent="2"/>
    </xf>
    <xf numFmtId="0" fontId="0" fillId="3" borderId="3" xfId="0" applyFill="1" applyBorder="1" applyAlignment="1">
      <alignment horizontal="left" indent="6"/>
    </xf>
    <xf numFmtId="0" fontId="0" fillId="3" borderId="54" xfId="0" applyFill="1" applyBorder="1"/>
    <xf numFmtId="0" fontId="0" fillId="3" borderId="3" xfId="0" applyFill="1" applyBorder="1"/>
    <xf numFmtId="0" fontId="0" fillId="28" borderId="73" xfId="0" applyFill="1" applyBorder="1"/>
    <xf numFmtId="0" fontId="0" fillId="28" borderId="2" xfId="0" applyFill="1" applyBorder="1"/>
    <xf numFmtId="0" fontId="0" fillId="28" borderId="74" xfId="0" applyFill="1" applyBorder="1"/>
    <xf numFmtId="0" fontId="0" fillId="28" borderId="75" xfId="0" applyFill="1" applyBorder="1"/>
    <xf numFmtId="0" fontId="0" fillId="28" borderId="0" xfId="0" applyFill="1"/>
    <xf numFmtId="0" fontId="0" fillId="28" borderId="57" xfId="0" applyFill="1" applyBorder="1"/>
    <xf numFmtId="0" fontId="0" fillId="0" borderId="0" xfId="0" applyAlignment="1">
      <alignment horizontal="left" vertical="center" wrapText="1" indent="1"/>
    </xf>
    <xf numFmtId="0" fontId="5" fillId="3" borderId="3" xfId="0" applyFont="1" applyFill="1" applyBorder="1" applyAlignment="1">
      <alignment horizontal="left" vertical="center" indent="1"/>
    </xf>
    <xf numFmtId="0" fontId="3" fillId="3" borderId="3" xfId="0" applyFont="1" applyFill="1" applyBorder="1"/>
    <xf numFmtId="0" fontId="0" fillId="28" borderId="53" xfId="0" applyFill="1" applyBorder="1"/>
    <xf numFmtId="0" fontId="0" fillId="28" borderId="3" xfId="0" applyFill="1" applyBorder="1"/>
    <xf numFmtId="0" fontId="0" fillId="28" borderId="54" xfId="0" applyFill="1" applyBorder="1"/>
    <xf numFmtId="0" fontId="11" fillId="0" borderId="0" xfId="0" applyFont="1" applyAlignment="1">
      <alignment horizontal="center" vertical="center" wrapText="1"/>
    </xf>
    <xf numFmtId="9" fontId="11" fillId="0" borderId="0" xfId="0" applyNumberFormat="1" applyFont="1" applyAlignment="1">
      <alignment horizontal="center" vertical="center" wrapText="1"/>
    </xf>
    <xf numFmtId="0" fontId="0" fillId="0" borderId="57" xfId="0" applyBorder="1" applyAlignment="1">
      <alignment horizontal="center" vertical="center"/>
    </xf>
    <xf numFmtId="0" fontId="5" fillId="0" borderId="3" xfId="0" applyFont="1" applyBorder="1" applyAlignment="1">
      <alignment horizontal="left" vertical="center" wrapText="1" indent="1"/>
    </xf>
    <xf numFmtId="0" fontId="0" fillId="0" borderId="3" xfId="0" applyBorder="1" applyAlignment="1">
      <alignment horizontal="left" vertical="center" wrapText="1" indent="4"/>
    </xf>
    <xf numFmtId="0" fontId="11" fillId="0" borderId="3" xfId="0" applyFont="1" applyBorder="1" applyAlignment="1">
      <alignment horizontal="center" vertical="center"/>
    </xf>
    <xf numFmtId="0" fontId="0" fillId="0" borderId="3" xfId="0" applyBorder="1"/>
    <xf numFmtId="9" fontId="0" fillId="28" borderId="3" xfId="0" applyNumberFormat="1" applyFill="1" applyBorder="1"/>
    <xf numFmtId="9" fontId="0" fillId="28" borderId="54" xfId="0" applyNumberFormat="1" applyFill="1" applyBorder="1"/>
    <xf numFmtId="0" fontId="32" fillId="3" borderId="0" xfId="0" applyFont="1" applyFill="1" applyAlignment="1" applyProtection="1">
      <alignment horizontal="left" vertical="center" indent="1"/>
      <protection locked="0"/>
    </xf>
    <xf numFmtId="0" fontId="5" fillId="3" borderId="0" xfId="0" applyFont="1" applyFill="1" applyAlignment="1" applyProtection="1">
      <alignment horizontal="left" vertical="center" wrapText="1"/>
      <protection locked="0"/>
    </xf>
    <xf numFmtId="10" fontId="0" fillId="4" borderId="4" xfId="2" applyNumberFormat="1" applyFont="1" applyFill="1" applyBorder="1" applyAlignment="1">
      <alignment horizontal="left" vertical="center" indent="1"/>
    </xf>
    <xf numFmtId="1" fontId="0" fillId="4" borderId="4" xfId="2" applyNumberFormat="1" applyFont="1" applyFill="1" applyBorder="1" applyAlignment="1">
      <alignment horizontal="left" vertical="center" indent="1"/>
    </xf>
    <xf numFmtId="0" fontId="0" fillId="4" borderId="4" xfId="0" applyFill="1" applyBorder="1" applyAlignment="1">
      <alignment horizontal="left" indent="1"/>
    </xf>
    <xf numFmtId="165" fontId="0" fillId="4" borderId="4" xfId="0" applyNumberFormat="1" applyFill="1" applyBorder="1" applyAlignment="1">
      <alignment horizontal="left" indent="1"/>
    </xf>
    <xf numFmtId="175" fontId="0" fillId="4" borderId="4" xfId="0" applyNumberFormat="1" applyFill="1" applyBorder="1" applyAlignment="1">
      <alignment horizontal="left" indent="1"/>
    </xf>
    <xf numFmtId="0" fontId="0" fillId="29" borderId="4" xfId="0" applyFill="1" applyBorder="1" applyAlignment="1">
      <alignment horizontal="left" indent="1"/>
    </xf>
    <xf numFmtId="173" fontId="0" fillId="3" borderId="0" xfId="0" applyNumberFormat="1" applyFill="1"/>
    <xf numFmtId="0" fontId="32" fillId="4" borderId="4" xfId="0" applyFont="1" applyFill="1" applyBorder="1" applyAlignment="1">
      <alignment horizontal="left" vertical="center" wrapText="1" indent="1"/>
    </xf>
    <xf numFmtId="0" fontId="20" fillId="4" borderId="4" xfId="0" applyFont="1" applyFill="1" applyBorder="1" applyAlignment="1">
      <alignment horizontal="left" vertical="center" wrapText="1" indent="1"/>
    </xf>
    <xf numFmtId="0" fontId="0" fillId="21" borderId="73" xfId="0" applyFill="1" applyBorder="1"/>
    <xf numFmtId="0" fontId="5" fillId="21" borderId="2" xfId="0" applyFont="1" applyFill="1" applyBorder="1" applyAlignment="1">
      <alignment horizontal="left" vertical="center" indent="1"/>
    </xf>
    <xf numFmtId="0" fontId="3" fillId="21" borderId="2" xfId="0" applyFont="1" applyFill="1" applyBorder="1"/>
    <xf numFmtId="0" fontId="0" fillId="21" borderId="2" xfId="0" applyFill="1" applyBorder="1"/>
    <xf numFmtId="0" fontId="0" fillId="21" borderId="74" xfId="0" applyFill="1" applyBorder="1"/>
    <xf numFmtId="0" fontId="0" fillId="21" borderId="75" xfId="0" applyFill="1" applyBorder="1"/>
    <xf numFmtId="0" fontId="0" fillId="21" borderId="0" xfId="0" applyFill="1" applyAlignment="1">
      <alignment vertical="center" wrapText="1"/>
    </xf>
    <xf numFmtId="0" fontId="0" fillId="21" borderId="0" xfId="0" applyFill="1"/>
    <xf numFmtId="0" fontId="19" fillId="21" borderId="3" xfId="0" applyFont="1" applyFill="1" applyBorder="1" applyAlignment="1">
      <alignment horizontal="left" vertical="center" wrapText="1" indent="1"/>
    </xf>
    <xf numFmtId="0" fontId="0" fillId="21" borderId="3" xfId="0" applyFill="1" applyBorder="1"/>
    <xf numFmtId="0" fontId="0" fillId="21" borderId="53" xfId="0" applyFill="1" applyBorder="1"/>
    <xf numFmtId="0" fontId="0" fillId="21" borderId="57" xfId="0" applyFill="1" applyBorder="1"/>
    <xf numFmtId="0" fontId="0" fillId="21" borderId="54" xfId="0" applyFill="1" applyBorder="1"/>
    <xf numFmtId="0" fontId="3" fillId="21" borderId="0" xfId="0" applyFont="1" applyFill="1" applyAlignment="1">
      <alignment horizontal="left" vertical="center" indent="1"/>
    </xf>
    <xf numFmtId="0" fontId="5" fillId="21" borderId="0" xfId="0" applyFont="1" applyFill="1" applyAlignment="1">
      <alignment horizontal="left" vertical="center" indent="2"/>
    </xf>
    <xf numFmtId="0" fontId="3" fillId="21" borderId="0" xfId="0" applyFont="1" applyFill="1"/>
    <xf numFmtId="0" fontId="3" fillId="21" borderId="3" xfId="0" applyFont="1" applyFill="1" applyBorder="1"/>
    <xf numFmtId="0" fontId="5" fillId="21" borderId="0" xfId="0" applyFont="1" applyFill="1" applyAlignment="1">
      <alignment horizontal="left" vertical="center" indent="1"/>
    </xf>
    <xf numFmtId="0" fontId="0" fillId="21" borderId="0" xfId="0" applyFill="1" applyAlignment="1">
      <alignment horizontal="left" vertical="center" wrapText="1" indent="1"/>
    </xf>
    <xf numFmtId="0" fontId="0" fillId="21" borderId="3" xfId="0" applyFill="1" applyBorder="1" applyAlignment="1">
      <alignment horizontal="center" vertical="center" wrapText="1"/>
    </xf>
    <xf numFmtId="0" fontId="3" fillId="21" borderId="0" xfId="0" applyFont="1" applyFill="1" applyAlignment="1">
      <alignment vertical="center"/>
    </xf>
    <xf numFmtId="0" fontId="0" fillId="21" borderId="0" xfId="0" applyFill="1" applyAlignment="1">
      <alignment horizontal="center" vertical="center"/>
    </xf>
    <xf numFmtId="0" fontId="5" fillId="21" borderId="0" xfId="0" applyFont="1" applyFill="1" applyAlignment="1">
      <alignment vertical="center"/>
    </xf>
    <xf numFmtId="0" fontId="0" fillId="21" borderId="3" xfId="0" applyFill="1" applyBorder="1" applyAlignment="1">
      <alignment horizontal="left" vertical="center" wrapText="1" indent="1"/>
    </xf>
    <xf numFmtId="165" fontId="0" fillId="23" borderId="13" xfId="0" applyNumberFormat="1" applyFill="1" applyBorder="1" applyAlignment="1" applyProtection="1">
      <alignment horizontal="left" vertical="center" indent="1"/>
      <protection locked="0"/>
    </xf>
    <xf numFmtId="175" fontId="32" fillId="3" borderId="4" xfId="0" applyNumberFormat="1" applyFont="1" applyFill="1" applyBorder="1" applyAlignment="1">
      <alignment horizontal="left" vertical="center" indent="1"/>
    </xf>
    <xf numFmtId="0" fontId="45" fillId="3" borderId="4" xfId="0" applyFont="1" applyFill="1" applyBorder="1" applyAlignment="1">
      <alignment horizontal="left" vertical="center" wrapText="1" indent="1"/>
    </xf>
    <xf numFmtId="0" fontId="42" fillId="3" borderId="6" xfId="0" applyFont="1" applyFill="1" applyBorder="1" applyAlignment="1">
      <alignment horizontal="left" vertical="center"/>
    </xf>
    <xf numFmtId="0" fontId="0" fillId="23" borderId="11" xfId="0" applyFill="1" applyBorder="1" applyAlignment="1" applyProtection="1">
      <alignment horizontal="left" vertical="center" indent="1"/>
      <protection locked="0"/>
    </xf>
    <xf numFmtId="0" fontId="19" fillId="3" borderId="0" xfId="0" applyFont="1" applyFill="1" applyAlignment="1">
      <alignment horizontal="left" vertical="center" indent="1"/>
    </xf>
    <xf numFmtId="0" fontId="27" fillId="3" borderId="12" xfId="0" applyFont="1" applyFill="1" applyBorder="1"/>
    <xf numFmtId="0" fontId="35" fillId="3" borderId="0" xfId="0" applyFont="1" applyFill="1"/>
    <xf numFmtId="0" fontId="27" fillId="11" borderId="0" xfId="0" applyFont="1" applyFill="1" applyAlignment="1">
      <alignment vertical="center"/>
    </xf>
    <xf numFmtId="0" fontId="52" fillId="3" borderId="0" xfId="0" applyFont="1" applyFill="1" applyAlignment="1">
      <alignment vertical="center" wrapText="1"/>
    </xf>
    <xf numFmtId="0" fontId="28" fillId="3" borderId="0" xfId="3" applyFont="1" applyFill="1" applyBorder="1" applyAlignment="1" applyProtection="1">
      <alignment vertical="center"/>
    </xf>
    <xf numFmtId="10" fontId="0" fillId="23" borderId="4" xfId="0" applyNumberFormat="1" applyFill="1" applyBorder="1" applyAlignment="1" applyProtection="1">
      <alignment horizontal="left" vertical="center" indent="1"/>
      <protection locked="0"/>
    </xf>
    <xf numFmtId="1" fontId="32" fillId="3" borderId="4" xfId="0" applyNumberFormat="1" applyFont="1" applyFill="1" applyBorder="1" applyAlignment="1">
      <alignment horizontal="left" vertical="center" indent="1"/>
    </xf>
    <xf numFmtId="0" fontId="27" fillId="3" borderId="0" xfId="0" applyFont="1" applyFill="1" applyAlignment="1">
      <alignment horizontal="left" vertical="center" indent="1"/>
    </xf>
    <xf numFmtId="0" fontId="27" fillId="3" borderId="12" xfId="0" applyFont="1" applyFill="1" applyBorder="1" applyAlignment="1">
      <alignment horizontal="left" vertical="center" indent="1"/>
    </xf>
    <xf numFmtId="175" fontId="0" fillId="23" borderId="10" xfId="0" applyNumberFormat="1" applyFill="1" applyBorder="1" applyAlignment="1" applyProtection="1">
      <alignment horizontal="left" vertical="center" indent="1"/>
      <protection locked="0"/>
    </xf>
    <xf numFmtId="5" fontId="0" fillId="23" borderId="4" xfId="0" applyNumberFormat="1" applyFill="1" applyBorder="1" applyAlignment="1" applyProtection="1">
      <alignment horizontal="left" vertical="center" indent="1"/>
      <protection locked="0"/>
    </xf>
    <xf numFmtId="169" fontId="16" fillId="3" borderId="4" xfId="2" applyNumberFormat="1" applyFont="1" applyFill="1" applyBorder="1" applyAlignment="1">
      <alignment horizontal="left" vertical="center" indent="1"/>
    </xf>
    <xf numFmtId="9" fontId="16" fillId="3" borderId="4" xfId="2" applyFont="1" applyFill="1" applyBorder="1" applyAlignment="1">
      <alignment horizontal="left" vertical="center" indent="1"/>
    </xf>
    <xf numFmtId="0" fontId="16" fillId="3" borderId="4" xfId="2" applyNumberFormat="1" applyFont="1" applyFill="1" applyBorder="1" applyAlignment="1">
      <alignment horizontal="left" vertical="center" indent="1"/>
    </xf>
    <xf numFmtId="165" fontId="16" fillId="3" borderId="4" xfId="2" applyNumberFormat="1" applyFont="1" applyFill="1" applyBorder="1" applyAlignment="1">
      <alignment horizontal="left" vertical="center" indent="1"/>
    </xf>
    <xf numFmtId="0" fontId="32" fillId="3" borderId="0" xfId="3" applyFont="1" applyFill="1" applyBorder="1" applyAlignment="1" applyProtection="1">
      <alignment vertical="center"/>
    </xf>
    <xf numFmtId="0" fontId="68" fillId="3" borderId="0" xfId="3" applyFont="1" applyFill="1" applyBorder="1" applyAlignment="1" applyProtection="1">
      <alignment vertical="center"/>
    </xf>
    <xf numFmtId="0" fontId="32" fillId="3" borderId="0" xfId="3" applyFont="1" applyFill="1" applyBorder="1" applyAlignment="1" applyProtection="1">
      <alignment horizontal="left" vertical="center" indent="2"/>
    </xf>
    <xf numFmtId="0" fontId="32" fillId="3" borderId="0" xfId="3" applyFont="1" applyFill="1" applyBorder="1" applyAlignment="1" applyProtection="1">
      <alignment horizontal="left" vertical="center" indent="1"/>
    </xf>
    <xf numFmtId="0" fontId="69"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32" fillId="3" borderId="0" xfId="3" applyFont="1" applyFill="1" applyBorder="1" applyAlignment="1" applyProtection="1">
      <alignment vertical="center" wrapText="1"/>
    </xf>
    <xf numFmtId="0" fontId="35" fillId="27" borderId="4" xfId="0" applyFont="1" applyFill="1" applyBorder="1" applyAlignment="1" applyProtection="1">
      <alignment horizontal="left" vertical="center" indent="1"/>
      <protection locked="0"/>
    </xf>
    <xf numFmtId="0" fontId="27" fillId="3" borderId="0" xfId="0" applyFont="1" applyFill="1" applyAlignment="1">
      <alignment horizontal="left" vertical="center" wrapText="1" indent="2"/>
    </xf>
    <xf numFmtId="0" fontId="27" fillId="26" borderId="4" xfId="0" applyFont="1" applyFill="1" applyBorder="1" applyAlignment="1">
      <alignment horizontal="left" vertical="center" indent="1"/>
    </xf>
    <xf numFmtId="0" fontId="27" fillId="3" borderId="12" xfId="0" applyFont="1" applyFill="1" applyBorder="1" applyAlignment="1">
      <alignment horizontal="left" vertical="center"/>
    </xf>
    <xf numFmtId="164" fontId="27" fillId="26" borderId="4" xfId="0" applyNumberFormat="1" applyFont="1" applyFill="1" applyBorder="1" applyAlignment="1">
      <alignment horizontal="left" vertical="center" indent="1"/>
    </xf>
    <xf numFmtId="0" fontId="27" fillId="3" borderId="0" xfId="0" applyFont="1" applyFill="1" applyAlignment="1" applyProtection="1">
      <alignment horizontal="left" vertical="center" wrapText="1" indent="1"/>
      <protection locked="0"/>
    </xf>
    <xf numFmtId="0" fontId="27" fillId="3" borderId="15" xfId="0" applyFont="1" applyFill="1" applyBorder="1"/>
    <xf numFmtId="0" fontId="27" fillId="3" borderId="16" xfId="0" applyFont="1" applyFill="1" applyBorder="1"/>
    <xf numFmtId="0" fontId="27" fillId="3" borderId="17" xfId="0" applyFont="1" applyFill="1" applyBorder="1"/>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27" fillId="3" borderId="7" xfId="0" applyFont="1" applyFill="1" applyBorder="1"/>
    <xf numFmtId="0" fontId="27" fillId="3" borderId="8" xfId="0" applyFont="1" applyFill="1" applyBorder="1"/>
    <xf numFmtId="0" fontId="32" fillId="4" borderId="4" xfId="3" applyFont="1" applyFill="1" applyBorder="1" applyAlignment="1" applyProtection="1">
      <alignment horizontal="left" vertical="center" indent="1"/>
    </xf>
    <xf numFmtId="3" fontId="32" fillId="27" borderId="5" xfId="0" applyNumberFormat="1" applyFont="1" applyFill="1" applyBorder="1" applyAlignment="1" applyProtection="1">
      <alignment horizontal="left" vertical="center" wrapText="1" indent="1"/>
      <protection locked="0"/>
    </xf>
    <xf numFmtId="0" fontId="32" fillId="27" borderId="5" xfId="0" applyFont="1" applyFill="1" applyBorder="1" applyAlignment="1" applyProtection="1">
      <alignment horizontal="left" vertical="center" wrapText="1" indent="1"/>
      <protection locked="0"/>
    </xf>
    <xf numFmtId="0" fontId="18" fillId="3" borderId="0" xfId="0" applyFont="1" applyFill="1" applyAlignment="1">
      <alignment horizontal="center" vertical="center" wrapText="1"/>
    </xf>
    <xf numFmtId="0" fontId="18" fillId="3" borderId="0" xfId="0" applyFont="1" applyFill="1" applyAlignment="1">
      <alignment vertical="center" wrapText="1"/>
    </xf>
    <xf numFmtId="0" fontId="20" fillId="26" borderId="4" xfId="0" applyFont="1" applyFill="1" applyBorder="1" applyAlignment="1">
      <alignment horizontal="left" vertical="center" wrapText="1" indent="1"/>
    </xf>
    <xf numFmtId="0" fontId="27" fillId="4" borderId="4" xfId="0" applyFont="1" applyFill="1" applyBorder="1" applyAlignment="1">
      <alignment horizontal="left" vertical="center" wrapText="1" indent="1"/>
    </xf>
    <xf numFmtId="3" fontId="32" fillId="4" borderId="4" xfId="0" applyNumberFormat="1" applyFont="1" applyFill="1" applyBorder="1" applyAlignment="1">
      <alignment horizontal="left" vertical="center" wrapText="1" indent="1"/>
    </xf>
    <xf numFmtId="3" fontId="0" fillId="0" borderId="4" xfId="0" applyNumberFormat="1" applyBorder="1" applyAlignment="1">
      <alignment horizontal="left" vertical="center" indent="1"/>
    </xf>
    <xf numFmtId="0" fontId="2" fillId="3" borderId="0" xfId="0" applyFont="1" applyFill="1" applyAlignment="1">
      <alignment horizontal="right" vertical="center" indent="1"/>
    </xf>
    <xf numFmtId="0" fontId="5" fillId="3" borderId="0" xfId="0" applyFont="1" applyFill="1" applyAlignment="1">
      <alignment horizontal="right" vertical="center" indent="1"/>
    </xf>
    <xf numFmtId="165" fontId="32" fillId="23" borderId="4" xfId="0" applyNumberFormat="1" applyFont="1" applyFill="1" applyBorder="1" applyAlignment="1" applyProtection="1">
      <alignment horizontal="left" vertical="center" wrapText="1" indent="1"/>
      <protection locked="0"/>
    </xf>
    <xf numFmtId="0" fontId="43" fillId="3" borderId="0" xfId="0" applyFont="1" applyFill="1" applyAlignment="1">
      <alignment horizontal="left" vertical="center" wrapText="1" indent="2"/>
    </xf>
    <xf numFmtId="0" fontId="0" fillId="0" borderId="0" xfId="0" applyAlignment="1">
      <alignment vertical="center" wrapText="1"/>
    </xf>
    <xf numFmtId="164" fontId="0" fillId="3" borderId="0" xfId="0" applyNumberFormat="1" applyFill="1" applyAlignment="1">
      <alignment horizontal="left" vertical="center" indent="1"/>
    </xf>
    <xf numFmtId="0" fontId="71" fillId="3" borderId="0" xfId="0" applyFont="1" applyFill="1" applyAlignment="1">
      <alignment horizontal="left" vertical="center" indent="1"/>
    </xf>
    <xf numFmtId="0" fontId="72" fillId="3" borderId="0" xfId="0" applyFont="1" applyFill="1"/>
    <xf numFmtId="0" fontId="43" fillId="3" borderId="0" xfId="0" applyFont="1" applyFill="1" applyAlignment="1">
      <alignment horizontal="left" vertical="center" indent="1"/>
    </xf>
    <xf numFmtId="3" fontId="43" fillId="4" borderId="4" xfId="0" applyNumberFormat="1" applyFont="1" applyFill="1" applyBorder="1" applyAlignment="1">
      <alignment horizontal="left" vertical="center" indent="1"/>
    </xf>
    <xf numFmtId="0" fontId="9" fillId="3" borderId="6" xfId="0" quotePrefix="1" applyFont="1" applyFill="1" applyBorder="1" applyAlignment="1">
      <alignment horizontal="center" vertical="center"/>
    </xf>
    <xf numFmtId="0" fontId="0" fillId="0" borderId="0" xfId="1" applyNumberFormat="1" applyFont="1" applyFill="1" applyBorder="1" applyAlignment="1" applyProtection="1">
      <alignment horizontal="left" vertical="center" indent="1"/>
    </xf>
    <xf numFmtId="1" fontId="0" fillId="0" borderId="0" xfId="1" applyNumberFormat="1" applyFont="1" applyFill="1" applyBorder="1" applyAlignment="1" applyProtection="1">
      <alignment horizontal="center" vertical="center"/>
    </xf>
    <xf numFmtId="0" fontId="0" fillId="23" borderId="73" xfId="0" applyFill="1" applyBorder="1"/>
    <xf numFmtId="0" fontId="5" fillId="23" borderId="2" xfId="0" applyFont="1" applyFill="1" applyBorder="1" applyAlignment="1">
      <alignment horizontal="left" vertical="center" indent="1"/>
    </xf>
    <xf numFmtId="0" fontId="3" fillId="23" borderId="2" xfId="0" applyFont="1" applyFill="1" applyBorder="1"/>
    <xf numFmtId="0" fontId="0" fillId="23" borderId="75" xfId="0" applyFill="1" applyBorder="1"/>
    <xf numFmtId="0" fontId="65" fillId="23" borderId="0" xfId="0" applyFont="1" applyFill="1" applyAlignment="1">
      <alignment horizontal="left" vertical="center" wrapText="1" indent="1"/>
    </xf>
    <xf numFmtId="0" fontId="3" fillId="23" borderId="0" xfId="0" applyFont="1" applyFill="1" applyAlignment="1">
      <alignment horizontal="left" vertical="center" wrapText="1" indent="1"/>
    </xf>
    <xf numFmtId="0" fontId="0" fillId="23" borderId="0" xfId="0" applyFill="1" applyAlignment="1">
      <alignment vertical="center" wrapText="1"/>
    </xf>
    <xf numFmtId="0" fontId="0" fillId="23" borderId="0" xfId="0" applyFill="1"/>
    <xf numFmtId="0" fontId="0" fillId="23" borderId="57" xfId="0" applyFill="1" applyBorder="1"/>
    <xf numFmtId="0" fontId="0" fillId="23" borderId="53" xfId="0" applyFill="1" applyBorder="1"/>
    <xf numFmtId="0" fontId="19" fillId="23" borderId="3" xfId="0" applyFont="1" applyFill="1" applyBorder="1" applyAlignment="1">
      <alignment horizontal="left" vertical="center" wrapText="1" indent="1"/>
    </xf>
    <xf numFmtId="0" fontId="0" fillId="23" borderId="3" xfId="0" applyFill="1" applyBorder="1"/>
    <xf numFmtId="0" fontId="0" fillId="23" borderId="54" xfId="0" applyFill="1" applyBorder="1"/>
    <xf numFmtId="0" fontId="0" fillId="23" borderId="2" xfId="0" applyFill="1" applyBorder="1"/>
    <xf numFmtId="0" fontId="0" fillId="23" borderId="74" xfId="0" applyFill="1" applyBorder="1"/>
    <xf numFmtId="0" fontId="3" fillId="23" borderId="0" xfId="0" applyFont="1" applyFill="1"/>
    <xf numFmtId="0" fontId="0" fillId="3" borderId="4" xfId="0" applyFill="1" applyBorder="1" applyAlignment="1">
      <alignment horizontal="left" vertical="center" wrapText="1" indent="1"/>
    </xf>
    <xf numFmtId="0" fontId="0" fillId="4" borderId="4" xfId="0" applyFill="1" applyBorder="1" applyAlignment="1">
      <alignment horizontal="left" vertical="center" wrapText="1" indent="1"/>
    </xf>
    <xf numFmtId="0" fontId="0" fillId="28" borderId="15" xfId="0" applyFill="1" applyBorder="1"/>
    <xf numFmtId="0" fontId="0" fillId="28" borderId="16" xfId="0" applyFill="1" applyBorder="1"/>
    <xf numFmtId="0" fontId="0" fillId="28" borderId="17" xfId="0" applyFill="1" applyBorder="1"/>
    <xf numFmtId="0" fontId="0" fillId="28" borderId="18" xfId="0" applyFill="1" applyBorder="1"/>
    <xf numFmtId="0" fontId="0" fillId="28" borderId="12" xfId="0" applyFill="1" applyBorder="1"/>
    <xf numFmtId="0" fontId="0" fillId="28" borderId="7" xfId="0" applyFill="1" applyBorder="1"/>
    <xf numFmtId="0" fontId="0" fillId="28" borderId="6" xfId="0" applyFill="1" applyBorder="1"/>
    <xf numFmtId="0" fontId="0" fillId="28" borderId="8" xfId="0" applyFill="1" applyBorder="1"/>
    <xf numFmtId="0" fontId="3" fillId="23" borderId="4" xfId="0" applyFont="1" applyFill="1" applyBorder="1" applyAlignment="1" applyProtection="1">
      <alignment horizontal="left" vertical="center" indent="1"/>
      <protection locked="0"/>
    </xf>
    <xf numFmtId="0" fontId="0" fillId="28" borderId="6" xfId="0" applyFill="1" applyBorder="1" applyAlignment="1">
      <alignment horizontal="left" vertical="top" wrapText="1" indent="1"/>
    </xf>
    <xf numFmtId="0" fontId="3" fillId="3" borderId="0" xfId="0" applyFont="1" applyFill="1" applyAlignment="1">
      <alignment vertical="center"/>
    </xf>
    <xf numFmtId="180" fontId="32" fillId="3" borderId="28" xfId="0" applyNumberFormat="1" applyFont="1" applyFill="1" applyBorder="1" applyAlignment="1">
      <alignment horizontal="left" vertical="center" indent="1"/>
    </xf>
    <xf numFmtId="0" fontId="0" fillId="28" borderId="0" xfId="0" applyFill="1" applyAlignment="1">
      <alignment vertical="top" wrapText="1"/>
    </xf>
    <xf numFmtId="0" fontId="0" fillId="28" borderId="6" xfId="0" applyFill="1" applyBorder="1" applyAlignment="1">
      <alignment vertical="top" wrapText="1"/>
    </xf>
    <xf numFmtId="174" fontId="5" fillId="23" borderId="4" xfId="0" applyNumberFormat="1" applyFont="1" applyFill="1" applyBorder="1" applyAlignment="1" applyProtection="1">
      <alignment horizontal="left" vertical="center" indent="1"/>
      <protection locked="0"/>
    </xf>
    <xf numFmtId="0" fontId="0" fillId="3" borderId="0" xfId="0" quotePrefix="1" applyFill="1" applyAlignment="1">
      <alignment vertical="center"/>
    </xf>
    <xf numFmtId="0" fontId="0" fillId="3" borderId="0" xfId="0" quotePrefix="1" applyFill="1"/>
    <xf numFmtId="0" fontId="0" fillId="3" borderId="0" xfId="0" quotePrefix="1" applyFill="1" applyAlignment="1">
      <alignment horizontal="left" vertical="center"/>
    </xf>
    <xf numFmtId="5" fontId="0" fillId="4" borderId="11" xfId="1" applyNumberFormat="1" applyFont="1" applyFill="1" applyBorder="1" applyAlignment="1" applyProtection="1">
      <alignment horizontal="left" vertical="center" indent="1"/>
    </xf>
    <xf numFmtId="5" fontId="1" fillId="4" borderId="4" xfId="1" applyNumberFormat="1" applyFont="1" applyFill="1" applyBorder="1" applyAlignment="1" applyProtection="1">
      <alignment horizontal="left" vertical="center" indent="1"/>
    </xf>
    <xf numFmtId="0" fontId="0" fillId="7" borderId="4" xfId="0" applyFill="1" applyBorder="1" applyAlignment="1" applyProtection="1">
      <alignment horizontal="left" vertical="center" indent="1"/>
      <protection locked="0"/>
    </xf>
    <xf numFmtId="3" fontId="0" fillId="7" borderId="4" xfId="0" applyNumberFormat="1" applyFill="1" applyBorder="1" applyAlignment="1" applyProtection="1">
      <alignment horizontal="left" vertical="center" indent="1"/>
      <protection locked="0"/>
    </xf>
    <xf numFmtId="1" fontId="0" fillId="7" borderId="4" xfId="2" applyNumberFormat="1" applyFont="1" applyFill="1" applyBorder="1" applyAlignment="1" applyProtection="1">
      <alignment horizontal="left" vertical="center" indent="1"/>
      <protection locked="0"/>
    </xf>
    <xf numFmtId="0" fontId="3" fillId="3" borderId="0" xfId="0" quotePrefix="1" applyFont="1" applyFill="1" applyAlignment="1">
      <alignment horizontal="left" vertical="center"/>
    </xf>
    <xf numFmtId="0" fontId="27" fillId="4" borderId="4" xfId="0" applyFont="1" applyFill="1" applyBorder="1" applyAlignment="1">
      <alignment horizontal="left" vertical="center" indent="1"/>
    </xf>
    <xf numFmtId="0" fontId="27" fillId="27" borderId="4" xfId="0" applyFont="1" applyFill="1" applyBorder="1" applyAlignment="1" applyProtection="1">
      <alignment horizontal="left" vertical="center" wrapText="1" indent="1"/>
      <protection locked="0"/>
    </xf>
    <xf numFmtId="0" fontId="35" fillId="27" borderId="4" xfId="0" applyFont="1" applyFill="1" applyBorder="1" applyAlignment="1" applyProtection="1">
      <alignment horizontal="left" vertical="center" wrapText="1" indent="1"/>
      <protection locked="0"/>
    </xf>
    <xf numFmtId="1" fontId="32" fillId="26" borderId="68" xfId="0" applyNumberFormat="1" applyFont="1" applyFill="1" applyBorder="1" applyAlignment="1">
      <alignment horizontal="left" vertical="center" wrapText="1" indent="1"/>
    </xf>
    <xf numFmtId="1" fontId="32" fillId="26" borderId="67" xfId="0" applyNumberFormat="1" applyFont="1" applyFill="1" applyBorder="1" applyAlignment="1">
      <alignment horizontal="left" vertical="center" wrapText="1" indent="1"/>
    </xf>
    <xf numFmtId="0" fontId="32" fillId="3" borderId="18" xfId="0" applyFont="1" applyFill="1" applyBorder="1" applyAlignment="1">
      <alignment vertical="center" wrapText="1"/>
    </xf>
    <xf numFmtId="0" fontId="35" fillId="9" borderId="4" xfId="0" applyFont="1" applyFill="1" applyBorder="1" applyAlignment="1">
      <alignment horizontal="left" vertical="center" wrapText="1" indent="1"/>
    </xf>
    <xf numFmtId="0" fontId="20" fillId="3" borderId="0" xfId="0" quotePrefix="1" applyFont="1" applyFill="1" applyAlignment="1">
      <alignment vertical="center"/>
    </xf>
    <xf numFmtId="5" fontId="3" fillId="0" borderId="0" xfId="1" applyNumberFormat="1" applyFont="1" applyFill="1" applyBorder="1" applyAlignment="1" applyProtection="1">
      <alignment horizontal="left" vertical="center" indent="1"/>
    </xf>
    <xf numFmtId="5" fontId="74" fillId="4" borderId="4" xfId="1" applyNumberFormat="1" applyFont="1" applyFill="1" applyBorder="1" applyAlignment="1" applyProtection="1">
      <alignment horizontal="left" vertical="center" indent="1"/>
    </xf>
    <xf numFmtId="165" fontId="74" fillId="4" borderId="4" xfId="0" applyNumberFormat="1" applyFont="1" applyFill="1" applyBorder="1" applyAlignment="1">
      <alignment horizontal="left" vertical="center" indent="1"/>
    </xf>
    <xf numFmtId="5" fontId="11" fillId="3" borderId="4" xfId="0" applyNumberFormat="1" applyFont="1" applyFill="1" applyBorder="1" applyAlignment="1">
      <alignment horizontal="left" vertical="center" indent="1"/>
    </xf>
    <xf numFmtId="2" fontId="11" fillId="3" borderId="10" xfId="0" applyNumberFormat="1" applyFont="1" applyFill="1" applyBorder="1" applyAlignment="1">
      <alignment horizontal="left" vertical="center" indent="1"/>
    </xf>
    <xf numFmtId="39" fontId="11" fillId="3" borderId="10" xfId="1" applyNumberFormat="1" applyFont="1" applyFill="1" applyBorder="1" applyAlignment="1">
      <alignment horizontal="left" vertical="center" indent="1"/>
    </xf>
    <xf numFmtId="2" fontId="11" fillId="3" borderId="43" xfId="0" applyNumberFormat="1" applyFont="1" applyFill="1" applyBorder="1" applyAlignment="1">
      <alignment horizontal="left" vertical="center" indent="1"/>
    </xf>
    <xf numFmtId="5" fontId="0" fillId="0" borderId="0" xfId="1" applyNumberFormat="1" applyFont="1" applyFill="1" applyBorder="1" applyAlignment="1" applyProtection="1">
      <alignment horizontal="left" vertical="center" indent="1"/>
    </xf>
    <xf numFmtId="5" fontId="5" fillId="3" borderId="4" xfId="1" applyNumberFormat="1" applyFont="1" applyFill="1" applyBorder="1" applyAlignment="1" applyProtection="1">
      <alignment horizontal="left" vertical="center" indent="1"/>
    </xf>
    <xf numFmtId="5" fontId="1" fillId="3" borderId="4" xfId="1" applyNumberFormat="1" applyFont="1" applyFill="1" applyBorder="1" applyAlignment="1" applyProtection="1">
      <alignment horizontal="left" vertical="center" indent="1"/>
    </xf>
    <xf numFmtId="5" fontId="0" fillId="3" borderId="14" xfId="1" applyNumberFormat="1" applyFont="1" applyFill="1" applyBorder="1" applyAlignment="1" applyProtection="1">
      <alignment horizontal="left" vertical="center" indent="1"/>
    </xf>
    <xf numFmtId="9" fontId="32" fillId="3" borderId="14" xfId="2" applyFont="1" applyFill="1" applyBorder="1" applyAlignment="1" applyProtection="1">
      <alignment horizontal="left" vertical="center" indent="1"/>
    </xf>
    <xf numFmtId="5" fontId="32" fillId="3" borderId="31" xfId="0" applyNumberFormat="1" applyFont="1" applyFill="1" applyBorder="1" applyAlignment="1">
      <alignment horizontal="left" vertical="center" indent="1"/>
    </xf>
    <xf numFmtId="5" fontId="32" fillId="3" borderId="77" xfId="0" applyNumberFormat="1" applyFont="1" applyFill="1" applyBorder="1" applyAlignment="1">
      <alignment horizontal="left" vertical="center" indent="1"/>
    </xf>
    <xf numFmtId="164" fontId="32" fillId="3" borderId="4" xfId="2" applyNumberFormat="1" applyFont="1" applyFill="1" applyBorder="1" applyAlignment="1">
      <alignment horizontal="left" vertical="center" indent="1"/>
    </xf>
    <xf numFmtId="174" fontId="32" fillId="26" borderId="4" xfId="0" applyNumberFormat="1" applyFont="1" applyFill="1" applyBorder="1" applyAlignment="1">
      <alignment horizontal="left" vertical="center" wrapText="1" indent="1"/>
    </xf>
    <xf numFmtId="174" fontId="32" fillId="26" borderId="14" xfId="0" applyNumberFormat="1" applyFont="1" applyFill="1" applyBorder="1" applyAlignment="1">
      <alignment horizontal="left" vertical="center" wrapText="1" indent="1"/>
    </xf>
    <xf numFmtId="0" fontId="27" fillId="4" borderId="11" xfId="0" applyFont="1" applyFill="1" applyBorder="1" applyAlignment="1">
      <alignment horizontal="left" vertical="center" indent="1"/>
    </xf>
    <xf numFmtId="0" fontId="27" fillId="4" borderId="14" xfId="0" applyFont="1" applyFill="1" applyBorder="1" applyAlignment="1">
      <alignment horizontal="left" vertical="center" indent="1"/>
    </xf>
    <xf numFmtId="1" fontId="32" fillId="26" borderId="5" xfId="0" applyNumberFormat="1" applyFont="1" applyFill="1" applyBorder="1" applyAlignment="1">
      <alignment horizontal="left" vertical="center" wrapText="1" indent="1"/>
    </xf>
    <xf numFmtId="1" fontId="32" fillId="26" borderId="33" xfId="0" applyNumberFormat="1" applyFont="1" applyFill="1" applyBorder="1" applyAlignment="1">
      <alignment horizontal="left" vertical="center" wrapText="1" indent="1"/>
    </xf>
    <xf numFmtId="9" fontId="32" fillId="26" borderId="4" xfId="0" applyNumberFormat="1" applyFont="1" applyFill="1" applyBorder="1" applyAlignment="1">
      <alignment horizontal="left" vertical="center" wrapText="1" indent="1"/>
    </xf>
    <xf numFmtId="9" fontId="32" fillId="26" borderId="14" xfId="0" applyNumberFormat="1" applyFont="1" applyFill="1" applyBorder="1" applyAlignment="1">
      <alignment horizontal="left" vertical="center" wrapText="1" indent="1"/>
    </xf>
    <xf numFmtId="9" fontId="27" fillId="4" borderId="14" xfId="0" applyNumberFormat="1" applyFont="1" applyFill="1" applyBorder="1" applyAlignment="1">
      <alignment horizontal="left" vertical="center" indent="1"/>
    </xf>
    <xf numFmtId="9" fontId="27" fillId="4" borderId="4" xfId="0" applyNumberFormat="1" applyFont="1" applyFill="1" applyBorder="1" applyAlignment="1">
      <alignment horizontal="left" vertical="center" indent="1"/>
    </xf>
    <xf numFmtId="9" fontId="27" fillId="4" borderId="11" xfId="0" applyNumberFormat="1" applyFont="1" applyFill="1" applyBorder="1" applyAlignment="1">
      <alignment horizontal="left" vertical="center" indent="1"/>
    </xf>
    <xf numFmtId="9" fontId="32" fillId="26" borderId="11" xfId="0" applyNumberFormat="1" applyFont="1" applyFill="1" applyBorder="1" applyAlignment="1">
      <alignment horizontal="left" vertical="center" wrapText="1" indent="1"/>
    </xf>
    <xf numFmtId="1" fontId="20" fillId="26" borderId="7" xfId="0" applyNumberFormat="1" applyFont="1" applyFill="1" applyBorder="1" applyAlignment="1">
      <alignment horizontal="left" vertical="center" wrapText="1" indent="1"/>
    </xf>
    <xf numFmtId="3" fontId="35" fillId="4" borderId="7" xfId="0" applyNumberFormat="1" applyFont="1" applyFill="1" applyBorder="1" applyAlignment="1">
      <alignment horizontal="left" vertical="center" indent="1"/>
    </xf>
    <xf numFmtId="3" fontId="27" fillId="23" borderId="5" xfId="0" applyNumberFormat="1" applyFont="1" applyFill="1" applyBorder="1" applyAlignment="1" applyProtection="1">
      <alignment horizontal="left" vertical="center" indent="1"/>
      <protection locked="0"/>
    </xf>
    <xf numFmtId="3" fontId="27" fillId="23" borderId="14" xfId="0" applyNumberFormat="1" applyFont="1" applyFill="1" applyBorder="1" applyAlignment="1" applyProtection="1">
      <alignment horizontal="left" vertical="center" indent="1"/>
      <protection locked="0"/>
    </xf>
    <xf numFmtId="0" fontId="27" fillId="23" borderId="4" xfId="0" applyFont="1" applyFill="1" applyBorder="1" applyAlignment="1" applyProtection="1">
      <alignment horizontal="left" vertical="center" wrapText="1" indent="1"/>
      <protection locked="0"/>
    </xf>
    <xf numFmtId="174" fontId="32" fillId="26" borderId="11" xfId="0" applyNumberFormat="1" applyFont="1" applyFill="1" applyBorder="1" applyAlignment="1">
      <alignment horizontal="left" vertical="center" wrapText="1" indent="1"/>
    </xf>
    <xf numFmtId="0" fontId="0" fillId="3" borderId="6" xfId="0" applyFill="1" applyBorder="1" applyAlignment="1">
      <alignment horizontal="left" vertical="center" wrapText="1"/>
    </xf>
    <xf numFmtId="0" fontId="43" fillId="3" borderId="0" xfId="0" applyFont="1" applyFill="1" applyAlignment="1">
      <alignment vertical="center" wrapText="1"/>
    </xf>
    <xf numFmtId="0" fontId="43" fillId="3" borderId="6" xfId="0" applyFont="1" applyFill="1" applyBorder="1" applyAlignment="1">
      <alignment vertical="center" wrapText="1"/>
    </xf>
    <xf numFmtId="0" fontId="31" fillId="5" borderId="9" xfId="0" applyFont="1" applyFill="1" applyBorder="1" applyAlignment="1">
      <alignment horizontal="left" vertical="center" indent="1"/>
    </xf>
    <xf numFmtId="0" fontId="16" fillId="3" borderId="0" xfId="0" applyFont="1" applyFill="1" applyAlignment="1">
      <alignment horizontal="center" vertical="center"/>
    </xf>
    <xf numFmtId="0" fontId="27" fillId="3" borderId="11" xfId="0" applyFont="1" applyFill="1" applyBorder="1" applyAlignment="1">
      <alignment horizontal="left" vertical="center" indent="1"/>
    </xf>
    <xf numFmtId="2" fontId="0" fillId="3" borderId="0" xfId="0" applyNumberFormat="1" applyFill="1"/>
    <xf numFmtId="2" fontId="5" fillId="7" borderId="4" xfId="0" applyNumberFormat="1" applyFont="1" applyFill="1" applyBorder="1" applyAlignment="1">
      <alignment horizontal="center" vertical="center" wrapText="1"/>
    </xf>
    <xf numFmtId="2" fontId="0" fillId="0" borderId="4" xfId="0" applyNumberFormat="1" applyBorder="1" applyAlignment="1">
      <alignment horizontal="left" vertical="center" indent="1"/>
    </xf>
    <xf numFmtId="2" fontId="0" fillId="0" borderId="0" xfId="0" applyNumberFormat="1"/>
    <xf numFmtId="164" fontId="0" fillId="3" borderId="0" xfId="0" applyNumberFormat="1" applyFill="1"/>
    <xf numFmtId="164" fontId="0" fillId="3" borderId="6" xfId="0" applyNumberFormat="1" applyFill="1" applyBorder="1" applyAlignment="1">
      <alignment horizontal="left" vertical="center"/>
    </xf>
    <xf numFmtId="164" fontId="5" fillId="7" borderId="4" xfId="0" applyNumberFormat="1" applyFont="1" applyFill="1" applyBorder="1" applyAlignment="1">
      <alignment horizontal="center" vertical="center" wrapText="1"/>
    </xf>
    <xf numFmtId="164" fontId="0" fillId="0" borderId="4" xfId="0" applyNumberFormat="1" applyBorder="1" applyAlignment="1">
      <alignment horizontal="left" vertical="center" indent="1"/>
    </xf>
    <xf numFmtId="164" fontId="0" fillId="0" borderId="0" xfId="0" applyNumberFormat="1"/>
    <xf numFmtId="174" fontId="0" fillId="3" borderId="0" xfId="0" applyNumberFormat="1" applyFill="1"/>
    <xf numFmtId="174" fontId="5" fillId="7" borderId="4" xfId="0" applyNumberFormat="1" applyFont="1" applyFill="1" applyBorder="1" applyAlignment="1">
      <alignment horizontal="center" vertical="center" wrapText="1"/>
    </xf>
    <xf numFmtId="174" fontId="0" fillId="0" borderId="4" xfId="0" applyNumberFormat="1" applyBorder="1" applyAlignment="1">
      <alignment horizontal="left" vertical="center" indent="1"/>
    </xf>
    <xf numFmtId="174" fontId="0" fillId="0" borderId="0" xfId="0" applyNumberFormat="1"/>
    <xf numFmtId="165" fontId="5" fillId="7" borderId="4" xfId="0" applyNumberFormat="1" applyFont="1" applyFill="1" applyBorder="1" applyAlignment="1">
      <alignment horizontal="center" vertical="center" wrapText="1"/>
    </xf>
    <xf numFmtId="165" fontId="0" fillId="0" borderId="0" xfId="0" applyNumberFormat="1"/>
    <xf numFmtId="3" fontId="0" fillId="3" borderId="0" xfId="0" applyNumberFormat="1" applyFill="1"/>
    <xf numFmtId="3" fontId="5" fillId="7" borderId="4" xfId="0" applyNumberFormat="1" applyFont="1" applyFill="1" applyBorder="1" applyAlignment="1">
      <alignment horizontal="center" vertical="center" wrapText="1"/>
    </xf>
    <xf numFmtId="3" fontId="0" fillId="0" borderId="0" xfId="0" applyNumberFormat="1"/>
    <xf numFmtId="0" fontId="31" fillId="5" borderId="5" xfId="0" applyFont="1" applyFill="1" applyBorder="1" applyAlignment="1">
      <alignment horizontal="left" vertical="center" indent="1"/>
    </xf>
    <xf numFmtId="0" fontId="17" fillId="2" borderId="5" xfId="0" applyFont="1" applyFill="1" applyBorder="1" applyAlignment="1">
      <alignment horizontal="left" vertical="center" indent="1"/>
    </xf>
    <xf numFmtId="9" fontId="32" fillId="3" borderId="0" xfId="0" applyNumberFormat="1" applyFont="1" applyFill="1" applyAlignment="1">
      <alignment vertical="center"/>
    </xf>
    <xf numFmtId="2" fontId="0" fillId="3" borderId="0" xfId="0" applyNumberFormat="1" applyFill="1" applyAlignment="1">
      <alignment wrapText="1"/>
    </xf>
    <xf numFmtId="2" fontId="0" fillId="0" borderId="0" xfId="0" applyNumberFormat="1" applyAlignment="1">
      <alignment wrapText="1"/>
    </xf>
    <xf numFmtId="2" fontId="0" fillId="0" borderId="4" xfId="0" applyNumberFormat="1" applyBorder="1" applyAlignment="1">
      <alignment horizontal="left" vertical="center" wrapText="1" indent="1"/>
    </xf>
    <xf numFmtId="164" fontId="0" fillId="5" borderId="9" xfId="0" applyNumberFormat="1" applyFill="1" applyBorder="1" applyAlignment="1">
      <alignment horizontal="right" vertical="center"/>
    </xf>
    <xf numFmtId="0" fontId="8" fillId="3" borderId="0" xfId="3" applyFill="1"/>
    <xf numFmtId="164" fontId="0" fillId="3" borderId="0" xfId="0" applyNumberFormat="1" applyFill="1" applyAlignment="1">
      <alignment horizontal="center"/>
    </xf>
    <xf numFmtId="2" fontId="0" fillId="3" borderId="0" xfId="0" applyNumberFormat="1" applyFill="1" applyAlignment="1">
      <alignment horizontal="center"/>
    </xf>
    <xf numFmtId="174" fontId="0" fillId="3" borderId="0" xfId="0" applyNumberFormat="1" applyFill="1" applyAlignment="1">
      <alignment horizontal="center"/>
    </xf>
    <xf numFmtId="165" fontId="0" fillId="3" borderId="0" xfId="0" applyNumberFormat="1" applyFill="1" applyAlignment="1">
      <alignment horizontal="center"/>
    </xf>
    <xf numFmtId="2" fontId="0" fillId="3" borderId="0" xfId="0" applyNumberFormat="1" applyFill="1" applyAlignment="1">
      <alignment horizontal="center" wrapText="1"/>
    </xf>
    <xf numFmtId="3" fontId="0" fillId="3" borderId="0" xfId="0" applyNumberFormat="1" applyFill="1" applyAlignment="1">
      <alignment horizontal="center"/>
    </xf>
    <xf numFmtId="0" fontId="0" fillId="3" borderId="4" xfId="0" applyFill="1" applyBorder="1" applyAlignment="1">
      <alignment horizontal="center"/>
    </xf>
    <xf numFmtId="2" fontId="0" fillId="3" borderId="4" xfId="0" applyNumberFormat="1" applyFill="1" applyBorder="1" applyAlignment="1">
      <alignment horizontal="center"/>
    </xf>
    <xf numFmtId="174" fontId="0" fillId="3" borderId="4" xfId="0" applyNumberFormat="1" applyFill="1" applyBorder="1" applyAlignment="1">
      <alignment horizontal="center"/>
    </xf>
    <xf numFmtId="165" fontId="0" fillId="3" borderId="4" xfId="0" applyNumberFormat="1" applyFill="1" applyBorder="1" applyAlignment="1">
      <alignment horizontal="center"/>
    </xf>
    <xf numFmtId="164" fontId="0" fillId="3" borderId="4" xfId="0" applyNumberFormat="1" applyFill="1" applyBorder="1" applyAlignment="1">
      <alignment horizontal="center"/>
    </xf>
    <xf numFmtId="0" fontId="32" fillId="3" borderId="4" xfId="0" applyFont="1" applyFill="1" applyBorder="1" applyAlignment="1">
      <alignment horizontal="center" vertical="center"/>
    </xf>
    <xf numFmtId="2" fontId="32" fillId="4" borderId="4" xfId="0" applyNumberFormat="1" applyFont="1" applyFill="1" applyBorder="1" applyAlignment="1">
      <alignment horizontal="left" vertical="center" indent="1"/>
    </xf>
    <xf numFmtId="2" fontId="32" fillId="4" borderId="11" xfId="0" applyNumberFormat="1" applyFont="1" applyFill="1" applyBorder="1" applyAlignment="1">
      <alignment horizontal="left" vertical="center" indent="1"/>
    </xf>
    <xf numFmtId="164" fontId="0" fillId="3" borderId="4" xfId="0" applyNumberFormat="1" applyFill="1" applyBorder="1" applyAlignment="1">
      <alignment horizontal="left" vertical="center" indent="1"/>
    </xf>
    <xf numFmtId="164" fontId="32" fillId="3" borderId="4" xfId="0" applyNumberFormat="1" applyFont="1" applyFill="1" applyBorder="1" applyAlignment="1">
      <alignment horizontal="left" vertical="center" indent="1"/>
    </xf>
    <xf numFmtId="174" fontId="32" fillId="3" borderId="4" xfId="0" applyNumberFormat="1" applyFont="1" applyFill="1" applyBorder="1" applyAlignment="1">
      <alignment horizontal="left" vertical="center" indent="1"/>
    </xf>
    <xf numFmtId="164" fontId="0" fillId="3" borderId="4" xfId="2" applyNumberFormat="1" applyFont="1" applyFill="1" applyBorder="1" applyAlignment="1">
      <alignment horizontal="left" vertical="center" indent="1"/>
    </xf>
    <xf numFmtId="0" fontId="0" fillId="3" borderId="0" xfId="0" applyFill="1" applyAlignment="1">
      <alignment horizontal="left" indent="2"/>
    </xf>
    <xf numFmtId="0" fontId="0" fillId="3" borderId="12" xfId="0" applyFill="1" applyBorder="1" applyAlignment="1">
      <alignment horizontal="left" vertical="center" indent="1"/>
    </xf>
    <xf numFmtId="0" fontId="0" fillId="3" borderId="5" xfId="0" applyFill="1" applyBorder="1" applyAlignment="1">
      <alignment horizontal="left" vertical="center" wrapText="1" indent="1"/>
    </xf>
    <xf numFmtId="0" fontId="0" fillId="21" borderId="0" xfId="0" applyFill="1" applyAlignment="1">
      <alignment horizontal="right" vertical="center" indent="1"/>
    </xf>
    <xf numFmtId="0" fontId="0" fillId="28" borderId="0" xfId="0" applyFill="1" applyAlignment="1">
      <alignment horizontal="left" vertical="center"/>
    </xf>
    <xf numFmtId="0" fontId="0" fillId="28" borderId="12" xfId="0" applyFill="1" applyBorder="1" applyAlignment="1">
      <alignment horizontal="left" vertical="center"/>
    </xf>
    <xf numFmtId="0" fontId="0" fillId="0" borderId="0" xfId="0" applyAlignment="1">
      <alignment vertical="top" wrapText="1"/>
    </xf>
    <xf numFmtId="0" fontId="0" fillId="3" borderId="0" xfId="0" applyFill="1" applyAlignment="1" applyProtection="1">
      <alignment horizontal="left" vertical="top" wrapText="1"/>
      <protection locked="0"/>
    </xf>
    <xf numFmtId="0" fontId="3" fillId="3" borderId="0" xfId="0" quotePrefix="1" applyFont="1" applyFill="1"/>
    <xf numFmtId="0" fontId="0" fillId="28" borderId="0" xfId="0" applyFill="1" applyAlignment="1" applyProtection="1">
      <alignment horizontal="left" vertical="center" indent="1"/>
      <protection locked="0"/>
    </xf>
    <xf numFmtId="0" fontId="0" fillId="3" borderId="0" xfId="0" applyFill="1" applyAlignment="1">
      <alignment horizontal="left" vertical="center" wrapText="1" indent="2"/>
    </xf>
    <xf numFmtId="2" fontId="0" fillId="4" borderId="4" xfId="0" applyNumberFormat="1" applyFill="1" applyBorder="1" applyAlignment="1">
      <alignment horizontal="left" vertical="center" indent="1"/>
    </xf>
    <xf numFmtId="2" fontId="0" fillId="7" borderId="4" xfId="0" applyNumberFormat="1" applyFill="1" applyBorder="1" applyAlignment="1" applyProtection="1">
      <alignment horizontal="center" vertical="center"/>
      <protection locked="0"/>
    </xf>
    <xf numFmtId="0" fontId="19" fillId="21" borderId="0" xfId="0" applyFont="1" applyFill="1" applyAlignment="1">
      <alignment horizontal="left" vertical="center" wrapText="1" indent="1"/>
    </xf>
    <xf numFmtId="0" fontId="0" fillId="3" borderId="78" xfId="0" applyFill="1" applyBorder="1"/>
    <xf numFmtId="0" fontId="19" fillId="0" borderId="79" xfId="0" applyFont="1" applyBorder="1" applyAlignment="1">
      <alignment horizontal="left" vertical="center" wrapText="1" indent="1"/>
    </xf>
    <xf numFmtId="0" fontId="3" fillId="3" borderId="79" xfId="0" applyFont="1" applyFill="1" applyBorder="1"/>
    <xf numFmtId="0" fontId="0" fillId="3" borderId="79" xfId="0" applyFill="1" applyBorder="1"/>
    <xf numFmtId="0" fontId="0" fillId="3" borderId="80" xfId="0" applyFill="1" applyBorder="1"/>
    <xf numFmtId="0" fontId="0" fillId="3" borderId="81" xfId="0" applyFill="1" applyBorder="1"/>
    <xf numFmtId="0" fontId="0" fillId="3" borderId="82" xfId="0" applyFill="1" applyBorder="1"/>
    <xf numFmtId="0" fontId="0" fillId="3" borderId="83" xfId="0" applyFill="1" applyBorder="1"/>
    <xf numFmtId="0" fontId="19" fillId="0" borderId="84" xfId="0" applyFont="1" applyBorder="1" applyAlignment="1">
      <alignment horizontal="left" vertical="center" wrapText="1" indent="1"/>
    </xf>
    <xf numFmtId="0" fontId="3" fillId="3" borderId="84" xfId="0" applyFont="1" applyFill="1" applyBorder="1"/>
    <xf numFmtId="0" fontId="0" fillId="3" borderId="84" xfId="0" applyFill="1" applyBorder="1"/>
    <xf numFmtId="0" fontId="0" fillId="3" borderId="85" xfId="0" applyFill="1" applyBorder="1"/>
    <xf numFmtId="0" fontId="0" fillId="28" borderId="6" xfId="0" applyFill="1" applyBorder="1" applyAlignment="1" applyProtection="1">
      <alignment horizontal="left" vertical="top" wrapText="1" indent="1"/>
      <protection locked="0"/>
    </xf>
    <xf numFmtId="0" fontId="0" fillId="23" borderId="0" xfId="0" applyFill="1" applyAlignment="1" applyProtection="1">
      <alignment horizontal="center" vertical="center"/>
      <protection locked="0"/>
    </xf>
    <xf numFmtId="0" fontId="0" fillId="0" borderId="4" xfId="0" applyBorder="1" applyAlignment="1">
      <alignment horizontal="left" vertical="center" wrapText="1" indent="1"/>
    </xf>
    <xf numFmtId="0" fontId="0" fillId="31" borderId="4" xfId="0" applyFill="1" applyBorder="1" applyAlignment="1">
      <alignment horizontal="left" vertical="center" wrapText="1" indent="1"/>
    </xf>
    <xf numFmtId="0" fontId="0" fillId="28" borderId="0" xfId="0" applyFill="1" applyAlignment="1">
      <alignment horizontal="left" vertical="center" indent="1"/>
    </xf>
    <xf numFmtId="0" fontId="0" fillId="28" borderId="0" xfId="0" applyFill="1" applyAlignment="1" applyProtection="1">
      <alignment horizontal="left" vertical="top" wrapText="1" indent="1"/>
      <protection locked="0"/>
    </xf>
    <xf numFmtId="3" fontId="0" fillId="7" borderId="4" xfId="2" applyNumberFormat="1" applyFont="1" applyFill="1" applyBorder="1" applyAlignment="1" applyProtection="1">
      <alignment horizontal="left" vertical="center" indent="1"/>
      <protection locked="0"/>
    </xf>
    <xf numFmtId="2" fontId="0" fillId="7" borderId="4" xfId="2" applyNumberFormat="1" applyFont="1" applyFill="1" applyBorder="1" applyAlignment="1" applyProtection="1">
      <alignment horizontal="left" vertical="center" indent="1"/>
      <protection locked="0"/>
    </xf>
    <xf numFmtId="164" fontId="0" fillId="7" borderId="4" xfId="2" applyNumberFormat="1" applyFont="1" applyFill="1" applyBorder="1" applyAlignment="1" applyProtection="1">
      <alignment horizontal="left" vertical="center" indent="1"/>
      <protection locked="0"/>
    </xf>
    <xf numFmtId="2" fontId="0" fillId="7" borderId="4" xfId="0" applyNumberFormat="1" applyFill="1" applyBorder="1" applyAlignment="1" applyProtection="1">
      <alignment horizontal="left" vertical="center" indent="1"/>
      <protection locked="0"/>
    </xf>
    <xf numFmtId="4" fontId="0" fillId="4" borderId="4" xfId="0" applyNumberFormat="1" applyFill="1" applyBorder="1" applyAlignment="1">
      <alignment horizontal="left" vertical="center" indent="1"/>
    </xf>
    <xf numFmtId="2" fontId="0" fillId="30" borderId="4" xfId="0" applyNumberFormat="1" applyFill="1" applyBorder="1" applyAlignment="1" applyProtection="1">
      <alignment horizontal="left" vertical="center" indent="1"/>
      <protection locked="0"/>
    </xf>
    <xf numFmtId="2" fontId="0" fillId="4" borderId="4" xfId="0" applyNumberFormat="1" applyFill="1" applyBorder="1" applyAlignment="1">
      <alignment horizontal="left" vertical="center" wrapText="1" indent="1"/>
    </xf>
    <xf numFmtId="2" fontId="0" fillId="4" borderId="14" xfId="0" applyNumberFormat="1" applyFill="1" applyBorder="1" applyAlignment="1">
      <alignment horizontal="left" vertical="center" wrapText="1" indent="1"/>
    </xf>
    <xf numFmtId="2" fontId="0" fillId="4" borderId="11" xfId="0" applyNumberFormat="1" applyFill="1" applyBorder="1" applyAlignment="1">
      <alignment horizontal="left" vertical="center" wrapText="1" indent="1"/>
    </xf>
    <xf numFmtId="0" fontId="0" fillId="3" borderId="0" xfId="0" applyFill="1" applyAlignment="1">
      <alignment vertical="top" wrapText="1"/>
    </xf>
    <xf numFmtId="0" fontId="5" fillId="7" borderId="13" xfId="0" applyFont="1" applyFill="1" applyBorder="1" applyAlignment="1">
      <alignment horizontal="center" vertical="center" wrapText="1"/>
    </xf>
    <xf numFmtId="0" fontId="3" fillId="4" borderId="4" xfId="0" applyFont="1" applyFill="1" applyBorder="1" applyAlignment="1">
      <alignment horizontal="left" vertical="center" wrapText="1" indent="1"/>
    </xf>
    <xf numFmtId="0" fontId="42" fillId="3" borderId="0" xfId="0" applyFont="1" applyFill="1" applyAlignment="1">
      <alignment horizontal="center" vertical="center"/>
    </xf>
    <xf numFmtId="0" fontId="0" fillId="7" borderId="4" xfId="0" applyFill="1" applyBorder="1" applyAlignment="1">
      <alignment horizontal="left" vertical="center" indent="1"/>
    </xf>
    <xf numFmtId="0" fontId="0" fillId="28" borderId="6" xfId="0" applyFill="1" applyBorder="1" applyAlignment="1">
      <alignment horizontal="left" vertical="center" indent="1"/>
    </xf>
    <xf numFmtId="0" fontId="0" fillId="0" borderId="0" xfId="0" applyAlignment="1">
      <alignment wrapText="1"/>
    </xf>
    <xf numFmtId="0" fontId="0" fillId="28" borderId="16" xfId="0" applyFill="1" applyBorder="1" applyAlignment="1">
      <alignment wrapText="1"/>
    </xf>
    <xf numFmtId="0" fontId="0" fillId="28" borderId="0" xfId="0" applyFill="1" applyAlignment="1" applyProtection="1">
      <alignment horizontal="left" vertical="center" wrapText="1"/>
      <protection locked="0"/>
    </xf>
    <xf numFmtId="0" fontId="0" fillId="28" borderId="0" xfId="0" applyFill="1" applyAlignment="1">
      <alignment wrapText="1"/>
    </xf>
    <xf numFmtId="0" fontId="0" fillId="28" borderId="6" xfId="0" applyFill="1" applyBorder="1" applyAlignment="1">
      <alignment wrapText="1"/>
    </xf>
    <xf numFmtId="0" fontId="0" fillId="28" borderId="6" xfId="0" applyFill="1" applyBorder="1" applyAlignment="1" applyProtection="1">
      <alignment horizontal="left" vertical="top" wrapText="1"/>
      <protection locked="0"/>
    </xf>
    <xf numFmtId="0" fontId="0" fillId="28" borderId="2" xfId="0" applyFill="1" applyBorder="1" applyAlignment="1">
      <alignment wrapText="1"/>
    </xf>
    <xf numFmtId="0" fontId="0" fillId="28" borderId="3" xfId="0" applyFill="1" applyBorder="1" applyAlignment="1">
      <alignment wrapText="1"/>
    </xf>
    <xf numFmtId="0" fontId="0" fillId="28" borderId="0" xfId="0" applyFill="1" applyAlignment="1" applyProtection="1">
      <alignment horizontal="left" vertical="top" wrapText="1"/>
      <protection locked="0"/>
    </xf>
    <xf numFmtId="9" fontId="0" fillId="28" borderId="3" xfId="0" applyNumberFormat="1" applyFill="1" applyBorder="1" applyAlignment="1">
      <alignment wrapText="1"/>
    </xf>
    <xf numFmtId="0" fontId="3" fillId="3" borderId="0" xfId="0" applyFont="1" applyFill="1" applyAlignment="1">
      <alignment horizontal="left" indent="2"/>
    </xf>
    <xf numFmtId="0" fontId="0" fillId="28" borderId="6" xfId="0" applyFill="1" applyBorder="1" applyAlignment="1" applyProtection="1">
      <alignment vertical="top" wrapText="1"/>
      <protection locked="0"/>
    </xf>
    <xf numFmtId="0" fontId="0" fillId="7" borderId="4" xfId="0" applyFill="1" applyBorder="1" applyAlignment="1" applyProtection="1">
      <alignment horizontal="left" vertical="center" wrapText="1" indent="1"/>
      <protection locked="0"/>
    </xf>
    <xf numFmtId="2" fontId="0" fillId="7" borderId="4" xfId="0" applyNumberFormat="1" applyFill="1" applyBorder="1" applyAlignment="1" applyProtection="1">
      <alignment horizontal="left" vertical="center" wrapText="1" indent="1"/>
      <protection locked="0"/>
    </xf>
    <xf numFmtId="3" fontId="0" fillId="7" borderId="4" xfId="0" applyNumberFormat="1" applyFill="1" applyBorder="1" applyAlignment="1" applyProtection="1">
      <alignment horizontal="left" vertical="center" wrapText="1" indent="1"/>
      <protection locked="0"/>
    </xf>
    <xf numFmtId="3" fontId="0" fillId="7" borderId="4" xfId="2" applyNumberFormat="1" applyFont="1" applyFill="1" applyBorder="1" applyAlignment="1" applyProtection="1">
      <alignment horizontal="left" vertical="center" wrapText="1" indent="1"/>
      <protection locked="0"/>
    </xf>
    <xf numFmtId="2" fontId="0" fillId="7" borderId="4" xfId="2" applyNumberFormat="1" applyFont="1" applyFill="1" applyBorder="1" applyAlignment="1" applyProtection="1">
      <alignment horizontal="left" vertical="center" wrapText="1" indent="1"/>
      <protection locked="0"/>
    </xf>
    <xf numFmtId="164" fontId="0" fillId="7" borderId="4" xfId="2" applyNumberFormat="1" applyFont="1" applyFill="1" applyBorder="1" applyAlignment="1" applyProtection="1">
      <alignment horizontal="left" vertical="center" wrapText="1" indent="1"/>
      <protection locked="0"/>
    </xf>
    <xf numFmtId="1" fontId="0" fillId="7" borderId="4" xfId="2" applyNumberFormat="1" applyFont="1" applyFill="1" applyBorder="1" applyAlignment="1" applyProtection="1">
      <alignment horizontal="left" vertical="center" wrapText="1" indent="1"/>
      <protection locked="0"/>
    </xf>
    <xf numFmtId="0" fontId="0" fillId="28" borderId="0" xfId="0" applyFill="1" applyAlignment="1">
      <alignment horizontal="left" vertical="top" indent="1"/>
    </xf>
    <xf numFmtId="0" fontId="0" fillId="28" borderId="6" xfId="0" applyFill="1" applyBorder="1" applyAlignment="1">
      <alignment horizontal="left" vertical="top" indent="1"/>
    </xf>
    <xf numFmtId="0" fontId="0" fillId="4" borderId="14" xfId="0" applyFill="1" applyBorder="1" applyAlignment="1">
      <alignment horizontal="left" vertical="center" wrapText="1" indent="1"/>
    </xf>
    <xf numFmtId="0" fontId="3" fillId="3" borderId="0" xfId="0" applyFont="1" applyFill="1" applyAlignment="1">
      <alignment horizontal="left" indent="3"/>
    </xf>
    <xf numFmtId="0" fontId="0" fillId="3" borderId="0" xfId="0" applyFill="1" applyAlignment="1">
      <alignment horizontal="left" indent="3"/>
    </xf>
    <xf numFmtId="0" fontId="0" fillId="0" borderId="0" xfId="0" applyAlignment="1">
      <alignment horizontal="left" vertical="top" wrapText="1" indent="1"/>
    </xf>
    <xf numFmtId="1" fontId="0" fillId="28" borderId="0" xfId="2" applyNumberFormat="1" applyFont="1" applyFill="1" applyBorder="1" applyAlignment="1" applyProtection="1">
      <alignment horizontal="left" vertical="center" indent="1"/>
      <protection locked="0"/>
    </xf>
    <xf numFmtId="0" fontId="0" fillId="3" borderId="0" xfId="0" applyFill="1" applyAlignment="1" applyProtection="1">
      <alignment vertical="top" wrapText="1"/>
      <protection locked="0"/>
    </xf>
    <xf numFmtId="0" fontId="0" fillId="28" borderId="32" xfId="0" applyFill="1" applyBorder="1"/>
    <xf numFmtId="0" fontId="3" fillId="3" borderId="0" xfId="0" applyFont="1" applyFill="1" applyAlignment="1">
      <alignment horizontal="left" vertical="center" indent="1"/>
    </xf>
    <xf numFmtId="0" fontId="0" fillId="3" borderId="3" xfId="0" applyFill="1" applyBorder="1" applyAlignment="1">
      <alignment horizontal="left" vertical="center"/>
    </xf>
    <xf numFmtId="2" fontId="0" fillId="3" borderId="3" xfId="0" applyNumberFormat="1" applyFill="1" applyBorder="1" applyAlignment="1">
      <alignment horizontal="left" vertical="center" wrapText="1"/>
    </xf>
    <xf numFmtId="3" fontId="0" fillId="3" borderId="3" xfId="0" applyNumberFormat="1" applyFill="1" applyBorder="1" applyAlignment="1">
      <alignment horizontal="left" vertical="center"/>
    </xf>
    <xf numFmtId="164" fontId="0" fillId="3" borderId="3" xfId="0" applyNumberFormat="1" applyFill="1" applyBorder="1" applyAlignment="1">
      <alignment horizontal="left" vertical="center"/>
    </xf>
    <xf numFmtId="2" fontId="0" fillId="3" borderId="3" xfId="0" applyNumberFormat="1" applyFill="1" applyBorder="1" applyAlignment="1">
      <alignment horizontal="left" vertical="center"/>
    </xf>
    <xf numFmtId="174" fontId="0" fillId="3" borderId="3" xfId="0" applyNumberFormat="1" applyFill="1" applyBorder="1" applyAlignment="1">
      <alignment horizontal="left" vertical="center"/>
    </xf>
    <xf numFmtId="165" fontId="0" fillId="3" borderId="3" xfId="0" applyNumberFormat="1" applyFill="1" applyBorder="1" applyAlignment="1">
      <alignment horizontal="left" vertical="center"/>
    </xf>
    <xf numFmtId="164" fontId="32" fillId="3" borderId="11" xfId="0" applyNumberFormat="1" applyFont="1" applyFill="1" applyBorder="1" applyAlignment="1">
      <alignment horizontal="left" vertical="center" indent="1"/>
    </xf>
    <xf numFmtId="164" fontId="32" fillId="3" borderId="11" xfId="2" applyNumberFormat="1" applyFont="1" applyFill="1" applyBorder="1" applyAlignment="1">
      <alignment horizontal="left" vertical="center" indent="1"/>
    </xf>
    <xf numFmtId="0" fontId="5" fillId="3" borderId="12" xfId="0" applyFont="1" applyFill="1" applyBorder="1" applyAlignment="1">
      <alignment horizontal="left" vertical="center" indent="1"/>
    </xf>
    <xf numFmtId="0" fontId="0" fillId="28" borderId="0" xfId="0" applyFill="1" applyAlignment="1">
      <alignment horizontal="left" vertical="top" wrapText="1" indent="1"/>
    </xf>
    <xf numFmtId="0" fontId="3" fillId="4" borderId="50" xfId="0" applyFont="1" applyFill="1" applyBorder="1" applyAlignment="1">
      <alignment horizontal="left" vertical="center" indent="1"/>
    </xf>
    <xf numFmtId="1" fontId="0" fillId="4" borderId="11" xfId="0" applyNumberFormat="1" applyFill="1" applyBorder="1" applyAlignment="1">
      <alignment horizontal="left" vertical="center" indent="1"/>
    </xf>
    <xf numFmtId="0" fontId="28" fillId="3" borderId="0" xfId="3" applyFont="1" applyFill="1" applyAlignment="1">
      <alignment horizontal="left" vertical="top" wrapText="1" indent="1"/>
    </xf>
    <xf numFmtId="0" fontId="17" fillId="2" borderId="15" xfId="0" applyFont="1" applyFill="1" applyBorder="1" applyAlignment="1">
      <alignment horizontal="left" vertical="center" indent="1"/>
    </xf>
    <xf numFmtId="0" fontId="17" fillId="2" borderId="16" xfId="0" applyFont="1" applyFill="1" applyBorder="1" applyAlignment="1">
      <alignment horizontal="left" vertical="center" indent="1"/>
    </xf>
    <xf numFmtId="2" fontId="0" fillId="3" borderId="4" xfId="0" applyNumberFormat="1" applyFill="1" applyBorder="1" applyAlignment="1">
      <alignment horizontal="center" vertical="center"/>
    </xf>
    <xf numFmtId="164" fontId="0" fillId="4" borderId="13" xfId="0" applyNumberFormat="1" applyFill="1" applyBorder="1" applyAlignment="1">
      <alignment horizontal="left" vertical="center" indent="1"/>
    </xf>
    <xf numFmtId="0" fontId="3" fillId="0" borderId="0" xfId="0" applyFont="1" applyAlignment="1" applyProtection="1">
      <alignment horizontal="left" vertical="center" indent="1"/>
      <protection locked="0"/>
    </xf>
    <xf numFmtId="2" fontId="32" fillId="3" borderId="0" xfId="0" applyNumberFormat="1" applyFont="1" applyFill="1" applyAlignment="1">
      <alignment horizontal="left" vertical="center" indent="1"/>
    </xf>
    <xf numFmtId="164" fontId="32" fillId="3" borderId="0" xfId="0" applyNumberFormat="1" applyFont="1" applyFill="1" applyAlignment="1">
      <alignment horizontal="left" vertical="center" indent="1"/>
    </xf>
    <xf numFmtId="164" fontId="32" fillId="4" borderId="4" xfId="0" applyNumberFormat="1" applyFont="1" applyFill="1" applyBorder="1" applyAlignment="1">
      <alignment horizontal="left" vertical="center" indent="1"/>
    </xf>
    <xf numFmtId="0" fontId="32" fillId="3" borderId="0" xfId="0" applyFont="1" applyFill="1" applyAlignment="1">
      <alignment horizontal="center" vertical="center"/>
    </xf>
    <xf numFmtId="0" fontId="0" fillId="3" borderId="0" xfId="0" applyFill="1" applyAlignment="1">
      <alignment horizontal="left" vertical="top" wrapText="1" indent="1"/>
    </xf>
    <xf numFmtId="1" fontId="0" fillId="0" borderId="4" xfId="0" applyNumberFormat="1" applyBorder="1" applyAlignment="1">
      <alignment horizontal="left" vertical="center" wrapText="1" indent="1"/>
    </xf>
    <xf numFmtId="10" fontId="0" fillId="4" borderId="11" xfId="0" applyNumberFormat="1" applyFill="1" applyBorder="1" applyAlignment="1">
      <alignment horizontal="left" vertical="center" indent="1"/>
    </xf>
    <xf numFmtId="3" fontId="32" fillId="3" borderId="4" xfId="0" applyNumberFormat="1" applyFont="1" applyFill="1" applyBorder="1" applyAlignment="1">
      <alignment horizontal="left" vertical="center" wrapText="1" indent="1"/>
    </xf>
    <xf numFmtId="0" fontId="0" fillId="31" borderId="4" xfId="0" applyFill="1" applyBorder="1" applyAlignment="1">
      <alignment horizontal="left" vertical="center" indent="1"/>
    </xf>
    <xf numFmtId="0" fontId="0" fillId="4" borderId="13" xfId="0" applyFill="1" applyBorder="1" applyAlignment="1">
      <alignment horizontal="left" vertical="center" indent="1"/>
    </xf>
    <xf numFmtId="0" fontId="0" fillId="28" borderId="4" xfId="0" applyFill="1" applyBorder="1" applyAlignment="1" applyProtection="1">
      <alignment horizontal="left" vertical="center" indent="1"/>
      <protection locked="0"/>
    </xf>
    <xf numFmtId="0" fontId="0" fillId="28" borderId="11" xfId="0" applyFill="1" applyBorder="1" applyAlignment="1" applyProtection="1">
      <alignment horizontal="left" vertical="center" indent="1"/>
      <protection locked="0"/>
    </xf>
    <xf numFmtId="0" fontId="20" fillId="33" borderId="0" xfId="0" applyFont="1" applyFill="1" applyAlignment="1">
      <alignment horizontal="left" vertical="center" indent="1"/>
    </xf>
    <xf numFmtId="0" fontId="32" fillId="33" borderId="0" xfId="0" applyFont="1" applyFill="1" applyAlignment="1">
      <alignment horizontal="left" vertical="center" indent="1"/>
    </xf>
    <xf numFmtId="1" fontId="32" fillId="3" borderId="0" xfId="0" applyNumberFormat="1" applyFont="1" applyFill="1" applyAlignment="1">
      <alignment horizontal="left" vertical="center" indent="1"/>
    </xf>
    <xf numFmtId="0" fontId="34" fillId="2" borderId="4" xfId="0" applyFont="1" applyFill="1" applyBorder="1" applyAlignment="1">
      <alignment horizontal="center" vertical="center"/>
    </xf>
    <xf numFmtId="0" fontId="34" fillId="2" borderId="4" xfId="0" applyFont="1" applyFill="1" applyBorder="1" applyAlignment="1">
      <alignment horizontal="left" vertical="center" indent="1"/>
    </xf>
    <xf numFmtId="0" fontId="34" fillId="20" borderId="11" xfId="0" applyFont="1" applyFill="1" applyBorder="1" applyAlignment="1">
      <alignment horizontal="center" vertical="center" wrapText="1"/>
    </xf>
    <xf numFmtId="0" fontId="34" fillId="20" borderId="4" xfId="0" applyFont="1" applyFill="1" applyBorder="1" applyAlignment="1">
      <alignment horizontal="center" vertical="center" wrapText="1"/>
    </xf>
    <xf numFmtId="0" fontId="34" fillId="20" borderId="38" xfId="0" applyFont="1" applyFill="1" applyBorder="1" applyAlignment="1">
      <alignment horizontal="center" vertical="center" wrapText="1"/>
    </xf>
    <xf numFmtId="0" fontId="34" fillId="20" borderId="10" xfId="0" applyFont="1" applyFill="1" applyBorder="1" applyAlignment="1">
      <alignment horizontal="center" vertical="center" wrapText="1"/>
    </xf>
    <xf numFmtId="0" fontId="34" fillId="20" borderId="4" xfId="0" applyFont="1" applyFill="1" applyBorder="1" applyAlignment="1">
      <alignment horizontal="center" vertical="center"/>
    </xf>
    <xf numFmtId="0" fontId="34" fillId="20" borderId="25" xfId="0" applyFont="1" applyFill="1" applyBorder="1" applyAlignment="1">
      <alignment horizontal="center" vertical="center" wrapText="1"/>
    </xf>
    <xf numFmtId="3" fontId="32" fillId="3" borderId="0" xfId="0" applyNumberFormat="1" applyFont="1" applyFill="1" applyAlignment="1">
      <alignment horizontal="left" vertical="center" wrapText="1" indent="1"/>
    </xf>
    <xf numFmtId="174" fontId="32" fillId="3" borderId="0" xfId="0" applyNumberFormat="1" applyFont="1" applyFill="1" applyAlignment="1">
      <alignment horizontal="left" vertical="center" indent="1"/>
    </xf>
    <xf numFmtId="0" fontId="32" fillId="32" borderId="0" xfId="0" applyFont="1" applyFill="1" applyAlignment="1">
      <alignment horizontal="left" vertical="center" indent="1"/>
    </xf>
    <xf numFmtId="174" fontId="32" fillId="3" borderId="4" xfId="0" applyNumberFormat="1" applyFont="1" applyFill="1" applyBorder="1" applyAlignment="1">
      <alignment horizontal="left" vertical="center" wrapText="1" indent="1"/>
    </xf>
    <xf numFmtId="0" fontId="15" fillId="20" borderId="4" xfId="0" applyFont="1" applyFill="1" applyBorder="1" applyAlignment="1">
      <alignment horizontal="center" vertical="center" wrapText="1"/>
    </xf>
    <xf numFmtId="0" fontId="0" fillId="3" borderId="27" xfId="0" applyFill="1" applyBorder="1"/>
    <xf numFmtId="165" fontId="0" fillId="3" borderId="66" xfId="0" applyNumberFormat="1" applyFill="1" applyBorder="1" applyAlignment="1">
      <alignment horizontal="left" vertical="center" indent="1"/>
    </xf>
    <xf numFmtId="0" fontId="15" fillId="20" borderId="5" xfId="0" applyFont="1" applyFill="1" applyBorder="1" applyAlignment="1">
      <alignment horizontal="center" vertical="center" wrapText="1"/>
    </xf>
    <xf numFmtId="0" fontId="15" fillId="20" borderId="10" xfId="0" applyFont="1" applyFill="1" applyBorder="1" applyAlignment="1">
      <alignment horizontal="center" vertical="center" wrapText="1"/>
    </xf>
    <xf numFmtId="0" fontId="15" fillId="20" borderId="13" xfId="0" applyFont="1" applyFill="1" applyBorder="1" applyAlignment="1">
      <alignment horizontal="center" vertical="center" wrapText="1"/>
    </xf>
    <xf numFmtId="0" fontId="15" fillId="20" borderId="38" xfId="0" applyFont="1" applyFill="1" applyBorder="1" applyAlignment="1">
      <alignment horizontal="center" vertical="center" wrapText="1"/>
    </xf>
    <xf numFmtId="0" fontId="2" fillId="20" borderId="10" xfId="0" applyFont="1" applyFill="1" applyBorder="1" applyAlignment="1">
      <alignment horizontal="center" vertical="center" wrapText="1"/>
    </xf>
    <xf numFmtId="0" fontId="2" fillId="20" borderId="17" xfId="0" applyFont="1" applyFill="1" applyBorder="1" applyAlignment="1">
      <alignment horizontal="center" vertical="center" wrapText="1"/>
    </xf>
    <xf numFmtId="9" fontId="32" fillId="16" borderId="4" xfId="0" applyNumberFormat="1" applyFont="1" applyFill="1" applyBorder="1" applyAlignment="1">
      <alignment horizontal="left" vertical="center" indent="1"/>
    </xf>
    <xf numFmtId="0" fontId="77" fillId="20" borderId="5" xfId="0" applyFont="1" applyFill="1" applyBorder="1" applyAlignment="1">
      <alignment horizontal="center" vertical="center" wrapText="1"/>
    </xf>
    <xf numFmtId="179" fontId="77" fillId="20" borderId="13" xfId="0" applyNumberFormat="1" applyFont="1" applyFill="1" applyBorder="1" applyAlignment="1">
      <alignment horizontal="center"/>
    </xf>
    <xf numFmtId="179" fontId="77" fillId="20" borderId="16" xfId="0" applyNumberFormat="1" applyFont="1" applyFill="1" applyBorder="1" applyAlignment="1">
      <alignment horizontal="center"/>
    </xf>
    <xf numFmtId="179" fontId="77" fillId="20" borderId="48" xfId="0" applyNumberFormat="1" applyFont="1" applyFill="1" applyBorder="1" applyAlignment="1">
      <alignment horizontal="center"/>
    </xf>
    <xf numFmtId="179" fontId="77" fillId="20" borderId="17" xfId="0" applyNumberFormat="1" applyFont="1" applyFill="1" applyBorder="1" applyAlignment="1">
      <alignment horizontal="center"/>
    </xf>
    <xf numFmtId="0" fontId="77" fillId="20" borderId="11" xfId="0" applyFont="1" applyFill="1" applyBorder="1" applyAlignment="1">
      <alignment horizontal="center"/>
    </xf>
    <xf numFmtId="0" fontId="77" fillId="20" borderId="6" xfId="0" applyFont="1" applyFill="1" applyBorder="1" applyAlignment="1">
      <alignment horizontal="center"/>
    </xf>
    <xf numFmtId="0" fontId="77" fillId="20" borderId="49" xfId="0" applyFont="1" applyFill="1" applyBorder="1" applyAlignment="1">
      <alignment horizontal="center"/>
    </xf>
    <xf numFmtId="0" fontId="77" fillId="20" borderId="13" xfId="0" applyFont="1" applyFill="1" applyBorder="1" applyAlignment="1">
      <alignment horizontal="center" vertical="center" wrapText="1"/>
    </xf>
    <xf numFmtId="0" fontId="34" fillId="20" borderId="5" xfId="0" applyFont="1" applyFill="1" applyBorder="1" applyAlignment="1">
      <alignment horizontal="center" vertical="center" wrapText="1"/>
    </xf>
    <xf numFmtId="0" fontId="34" fillId="20" borderId="69" xfId="0" applyFont="1" applyFill="1" applyBorder="1" applyAlignment="1">
      <alignment horizontal="center" vertical="center" wrapText="1"/>
    </xf>
    <xf numFmtId="0" fontId="34" fillId="20" borderId="70" xfId="0" applyFont="1" applyFill="1" applyBorder="1" applyAlignment="1">
      <alignment horizontal="center" vertical="center" wrapText="1"/>
    </xf>
    <xf numFmtId="0" fontId="34" fillId="20" borderId="31" xfId="0" applyFont="1" applyFill="1" applyBorder="1" applyAlignment="1">
      <alignment horizontal="center" vertical="center" wrapText="1"/>
    </xf>
    <xf numFmtId="0" fontId="34" fillId="2" borderId="4"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11" xfId="0" applyFont="1" applyFill="1" applyBorder="1" applyAlignment="1">
      <alignment horizontal="center" vertical="center" wrapText="1"/>
    </xf>
    <xf numFmtId="0" fontId="77" fillId="20" borderId="4" xfId="0" applyFont="1" applyFill="1" applyBorder="1" applyAlignment="1">
      <alignment horizontal="center" vertical="center" wrapText="1"/>
    </xf>
    <xf numFmtId="0" fontId="15" fillId="20" borderId="4" xfId="0" applyFont="1" applyFill="1" applyBorder="1" applyAlignment="1">
      <alignment horizontal="center" vertical="center"/>
    </xf>
    <xf numFmtId="0" fontId="0" fillId="33" borderId="0" xfId="0" applyFill="1"/>
    <xf numFmtId="42" fontId="15" fillId="20" borderId="4" xfId="0" applyNumberFormat="1" applyFont="1" applyFill="1" applyBorder="1" applyAlignment="1">
      <alignment horizontal="center" vertical="center"/>
    </xf>
    <xf numFmtId="42" fontId="15" fillId="20" borderId="4" xfId="0" applyNumberFormat="1" applyFont="1" applyFill="1" applyBorder="1" applyAlignment="1">
      <alignment horizontal="center" vertical="center" wrapText="1"/>
    </xf>
    <xf numFmtId="165" fontId="15" fillId="20" borderId="4" xfId="0" applyNumberFormat="1" applyFont="1" applyFill="1" applyBorder="1" applyAlignment="1">
      <alignment horizontal="center" vertical="center"/>
    </xf>
    <xf numFmtId="9" fontId="15" fillId="20" borderId="4" xfId="0" applyNumberFormat="1" applyFont="1" applyFill="1" applyBorder="1" applyAlignment="1">
      <alignment horizontal="center" vertical="center" wrapText="1"/>
    </xf>
    <xf numFmtId="165" fontId="15" fillId="20" borderId="13" xfId="0" applyNumberFormat="1" applyFont="1" applyFill="1" applyBorder="1" applyAlignment="1">
      <alignment horizontal="center" vertical="center"/>
    </xf>
    <xf numFmtId="165" fontId="15" fillId="20" borderId="5" xfId="0" applyNumberFormat="1" applyFont="1" applyFill="1" applyBorder="1" applyAlignment="1">
      <alignment horizontal="center" vertical="center" wrapText="1"/>
    </xf>
    <xf numFmtId="165" fontId="15" fillId="20" borderId="4" xfId="0" applyNumberFormat="1" applyFont="1" applyFill="1" applyBorder="1" applyAlignment="1">
      <alignment horizontal="center" vertical="center" wrapText="1"/>
    </xf>
    <xf numFmtId="0" fontId="2" fillId="20" borderId="4" xfId="0" applyFont="1" applyFill="1" applyBorder="1" applyAlignment="1">
      <alignment horizontal="center" vertical="center" wrapText="1"/>
    </xf>
    <xf numFmtId="0" fontId="15" fillId="20" borderId="13" xfId="0" applyFont="1" applyFill="1" applyBorder="1" applyAlignment="1">
      <alignment horizontal="center" wrapText="1"/>
    </xf>
    <xf numFmtId="0" fontId="15" fillId="20" borderId="11" xfId="0" applyFont="1" applyFill="1" applyBorder="1" applyAlignment="1">
      <alignment horizontal="center" vertical="top" wrapText="1"/>
    </xf>
    <xf numFmtId="0" fontId="77" fillId="20" borderId="10" xfId="0" applyFont="1" applyFill="1" applyBorder="1" applyAlignment="1">
      <alignment horizontal="center" vertical="center" wrapText="1"/>
    </xf>
    <xf numFmtId="0" fontId="77" fillId="20" borderId="4" xfId="3" applyFont="1" applyFill="1" applyBorder="1" applyAlignment="1">
      <alignment horizontal="center" vertical="center" wrapText="1"/>
    </xf>
    <xf numFmtId="0" fontId="77" fillId="20" borderId="5" xfId="3" applyFont="1" applyFill="1" applyBorder="1" applyAlignment="1">
      <alignment horizontal="center" vertical="center" wrapText="1"/>
    </xf>
    <xf numFmtId="0" fontId="0" fillId="33" borderId="0" xfId="0" applyFill="1" applyAlignment="1">
      <alignment horizontal="left"/>
    </xf>
    <xf numFmtId="0" fontId="0" fillId="33" borderId="0" xfId="0" applyFill="1" applyAlignment="1">
      <alignment horizontal="left" vertical="center" indent="1"/>
    </xf>
    <xf numFmtId="0" fontId="4" fillId="33" borderId="0" xfId="0" applyFont="1" applyFill="1" applyAlignment="1">
      <alignment horizontal="left" wrapText="1"/>
    </xf>
    <xf numFmtId="0" fontId="0" fillId="33" borderId="0" xfId="0" applyFill="1" applyAlignment="1">
      <alignment horizontal="right"/>
    </xf>
    <xf numFmtId="0" fontId="15" fillId="20" borderId="4" xfId="0" applyFont="1" applyFill="1" applyBorder="1" applyAlignment="1">
      <alignment horizontal="center" wrapText="1"/>
    </xf>
    <xf numFmtId="0" fontId="0" fillId="33" borderId="0" xfId="0" applyFill="1" applyAlignment="1">
      <alignment wrapText="1"/>
    </xf>
    <xf numFmtId="0" fontId="15" fillId="33" borderId="0" xfId="0" applyFont="1" applyFill="1"/>
    <xf numFmtId="0" fontId="15" fillId="33" borderId="0" xfId="0" applyFont="1" applyFill="1" applyAlignment="1">
      <alignment wrapText="1"/>
    </xf>
    <xf numFmtId="175" fontId="0" fillId="3" borderId="4" xfId="0" applyNumberFormat="1" applyFill="1" applyBorder="1" applyAlignment="1">
      <alignment horizontal="left" vertical="center" wrapText="1" indent="1"/>
    </xf>
    <xf numFmtId="9" fontId="0" fillId="3" borderId="66" xfId="0" applyNumberFormat="1" applyFill="1" applyBorder="1" applyAlignment="1">
      <alignment horizontal="left" vertical="center" indent="1"/>
    </xf>
    <xf numFmtId="0" fontId="27" fillId="3" borderId="0" xfId="0" applyFont="1" applyFill="1" applyAlignment="1">
      <alignment wrapText="1"/>
    </xf>
    <xf numFmtId="175" fontId="0" fillId="28" borderId="4" xfId="0" applyNumberFormat="1" applyFill="1" applyBorder="1" applyAlignment="1" applyProtection="1">
      <alignment horizontal="left" vertical="center" indent="1"/>
      <protection locked="0"/>
    </xf>
    <xf numFmtId="14" fontId="0" fillId="28" borderId="4" xfId="0" applyNumberFormat="1" applyFill="1" applyBorder="1" applyAlignment="1" applyProtection="1">
      <alignment horizontal="left" vertical="center" indent="1"/>
      <protection locked="0"/>
    </xf>
    <xf numFmtId="14" fontId="3" fillId="28" borderId="11" xfId="0" applyNumberFormat="1" applyFont="1" applyFill="1" applyBorder="1" applyAlignment="1" applyProtection="1">
      <alignment horizontal="left" vertical="center" indent="1"/>
      <protection locked="0"/>
    </xf>
    <xf numFmtId="1" fontId="0" fillId="4" borderId="13" xfId="0" applyNumberFormat="1" applyFill="1" applyBorder="1" applyAlignment="1">
      <alignment horizontal="left" vertical="center" indent="1"/>
    </xf>
    <xf numFmtId="0" fontId="34" fillId="20" borderId="4" xfId="0" applyFont="1" applyFill="1" applyBorder="1" applyAlignment="1">
      <alignment horizontal="left" vertical="center" wrapText="1" indent="1"/>
    </xf>
    <xf numFmtId="0" fontId="20" fillId="4" borderId="4" xfId="3" applyFont="1" applyFill="1" applyBorder="1" applyAlignment="1" applyProtection="1">
      <alignment horizontal="left" vertical="center" indent="1"/>
    </xf>
    <xf numFmtId="0" fontId="20" fillId="27" borderId="4" xfId="3" applyFont="1" applyFill="1" applyBorder="1" applyAlignment="1" applyProtection="1">
      <alignment horizontal="left" vertical="center" indent="1"/>
      <protection locked="0"/>
    </xf>
    <xf numFmtId="164" fontId="27" fillId="26" borderId="13" xfId="0" applyNumberFormat="1" applyFont="1" applyFill="1" applyBorder="1" applyAlignment="1">
      <alignment horizontal="left" vertical="center" indent="1"/>
    </xf>
    <xf numFmtId="0" fontId="35" fillId="26" borderId="11" xfId="0" applyFont="1" applyFill="1" applyBorder="1" applyAlignment="1">
      <alignment horizontal="left" vertical="center" indent="1"/>
    </xf>
    <xf numFmtId="164" fontId="27" fillId="3" borderId="0" xfId="0" applyNumberFormat="1" applyFont="1" applyFill="1" applyAlignment="1">
      <alignment horizontal="left" vertical="center" indent="1"/>
    </xf>
    <xf numFmtId="0" fontId="34" fillId="20" borderId="4" xfId="0" applyFont="1" applyFill="1" applyBorder="1" applyAlignment="1">
      <alignment horizontal="left" vertical="center" indent="1"/>
    </xf>
    <xf numFmtId="0" fontId="67" fillId="3" borderId="4" xfId="0" applyFont="1" applyFill="1" applyBorder="1" applyAlignment="1">
      <alignment horizontal="left" vertical="center" wrapText="1" indent="1"/>
    </xf>
    <xf numFmtId="3" fontId="34" fillId="20" borderId="4" xfId="0" applyNumberFormat="1" applyFont="1" applyFill="1" applyBorder="1" applyAlignment="1">
      <alignment horizontal="center" vertical="center" wrapText="1"/>
    </xf>
    <xf numFmtId="0" fontId="0" fillId="0" borderId="11" xfId="0" applyBorder="1" applyAlignment="1">
      <alignment horizontal="left" vertical="center" indent="1"/>
    </xf>
    <xf numFmtId="0" fontId="32" fillId="3" borderId="0" xfId="0" applyFont="1" applyFill="1" applyAlignment="1">
      <alignment vertical="center"/>
    </xf>
    <xf numFmtId="174" fontId="32" fillId="3" borderId="14" xfId="0" applyNumberFormat="1" applyFont="1" applyFill="1" applyBorder="1" applyAlignment="1">
      <alignment horizontal="left" vertical="center" indent="1"/>
    </xf>
    <xf numFmtId="0" fontId="32" fillId="3" borderId="11" xfId="0" applyFont="1" applyFill="1" applyBorder="1" applyAlignment="1">
      <alignment horizontal="left" vertical="center" indent="1"/>
    </xf>
    <xf numFmtId="174" fontId="32" fillId="3" borderId="11" xfId="0" applyNumberFormat="1" applyFont="1" applyFill="1" applyBorder="1" applyAlignment="1">
      <alignment horizontal="left" vertical="center" indent="1"/>
    </xf>
    <xf numFmtId="164" fontId="32" fillId="3" borderId="11" xfId="2" applyNumberFormat="1" applyFont="1" applyFill="1" applyBorder="1" applyAlignment="1" applyProtection="1">
      <alignment horizontal="left" vertical="center" indent="1"/>
    </xf>
    <xf numFmtId="164" fontId="32" fillId="3" borderId="4" xfId="2" applyNumberFormat="1" applyFont="1" applyFill="1" applyBorder="1" applyAlignment="1" applyProtection="1">
      <alignment horizontal="left" vertical="center" indent="1"/>
    </xf>
    <xf numFmtId="5" fontId="32" fillId="16" borderId="4" xfId="0" applyNumberFormat="1" applyFont="1" applyFill="1" applyBorder="1" applyAlignment="1">
      <alignment horizontal="left" vertical="center" indent="1"/>
    </xf>
    <xf numFmtId="165" fontId="32" fillId="3" borderId="32" xfId="0" applyNumberFormat="1" applyFont="1" applyFill="1" applyBorder="1" applyAlignment="1">
      <alignment horizontal="left" vertical="center" indent="1"/>
    </xf>
    <xf numFmtId="165" fontId="32" fillId="3" borderId="23" xfId="0" applyNumberFormat="1" applyFont="1" applyFill="1" applyBorder="1" applyAlignment="1">
      <alignment horizontal="left" vertical="center" indent="1"/>
    </xf>
    <xf numFmtId="164" fontId="32" fillId="3" borderId="28" xfId="2" applyNumberFormat="1" applyFont="1" applyFill="1" applyBorder="1" applyAlignment="1" applyProtection="1">
      <alignment horizontal="left" vertical="center" indent="1"/>
    </xf>
    <xf numFmtId="0" fontId="45" fillId="3" borderId="0" xfId="0" applyFont="1" applyFill="1" applyAlignment="1">
      <alignment horizontal="left"/>
    </xf>
    <xf numFmtId="0" fontId="45" fillId="0" borderId="0" xfId="0" applyFont="1" applyAlignment="1">
      <alignment horizontal="left"/>
    </xf>
    <xf numFmtId="0" fontId="45" fillId="0" borderId="0" xfId="0" applyFont="1" applyAlignment="1">
      <alignment horizontal="left" vertical="center" indent="1"/>
    </xf>
    <xf numFmtId="0" fontId="45" fillId="3" borderId="0" xfId="0" applyFont="1" applyFill="1"/>
    <xf numFmtId="0" fontId="45" fillId="0" borderId="0" xfId="0" applyFont="1"/>
    <xf numFmtId="0" fontId="80" fillId="3" borderId="0" xfId="0" applyFont="1" applyFill="1"/>
    <xf numFmtId="5" fontId="45" fillId="3" borderId="0" xfId="0" applyNumberFormat="1" applyFont="1" applyFill="1"/>
    <xf numFmtId="0" fontId="80" fillId="3" borderId="0" xfId="0" applyFont="1" applyFill="1" applyAlignment="1">
      <alignment horizontal="left" vertical="center" indent="1"/>
    </xf>
    <xf numFmtId="0" fontId="45" fillId="0" borderId="4" xfId="0" applyFont="1" applyBorder="1" applyAlignment="1">
      <alignment horizontal="left" vertical="center" indent="1"/>
    </xf>
    <xf numFmtId="9" fontId="45" fillId="0" borderId="4" xfId="0" applyNumberFormat="1" applyFont="1" applyBorder="1" applyAlignment="1">
      <alignment horizontal="left" vertical="center" indent="1"/>
    </xf>
    <xf numFmtId="1" fontId="45" fillId="0" borderId="4" xfId="0" applyNumberFormat="1" applyFont="1" applyBorder="1" applyAlignment="1">
      <alignment horizontal="left" vertical="center" indent="1"/>
    </xf>
    <xf numFmtId="2" fontId="45" fillId="0" borderId="4" xfId="0" applyNumberFormat="1" applyFont="1" applyBorder="1" applyAlignment="1">
      <alignment horizontal="left" vertical="center" indent="1"/>
    </xf>
    <xf numFmtId="164" fontId="45" fillId="0" borderId="4" xfId="0" applyNumberFormat="1" applyFont="1" applyBorder="1" applyAlignment="1">
      <alignment horizontal="left" vertical="center" indent="1"/>
    </xf>
    <xf numFmtId="9" fontId="45" fillId="0" borderId="4" xfId="2" applyFont="1" applyBorder="1" applyAlignment="1">
      <alignment horizontal="left" vertical="center" indent="1"/>
    </xf>
    <xf numFmtId="37" fontId="45" fillId="0" borderId="4" xfId="0" applyNumberFormat="1" applyFont="1" applyBorder="1" applyAlignment="1">
      <alignment horizontal="left" vertical="center" indent="1"/>
    </xf>
    <xf numFmtId="175" fontId="45" fillId="0" borderId="4" xfId="0" applyNumberFormat="1" applyFont="1" applyBorder="1" applyAlignment="1">
      <alignment horizontal="left" vertical="center" indent="1"/>
    </xf>
    <xf numFmtId="3" fontId="45" fillId="0" borderId="4" xfId="0" applyNumberFormat="1" applyFont="1" applyBorder="1" applyAlignment="1">
      <alignment horizontal="left" vertical="center" indent="1"/>
    </xf>
    <xf numFmtId="165" fontId="45" fillId="0" borderId="4" xfId="0" applyNumberFormat="1" applyFont="1" applyBorder="1" applyAlignment="1">
      <alignment horizontal="left" vertical="center" indent="1"/>
    </xf>
    <xf numFmtId="5" fontId="45" fillId="0" borderId="4" xfId="0" applyNumberFormat="1" applyFont="1" applyBorder="1" applyAlignment="1">
      <alignment horizontal="left" vertical="center" indent="1"/>
    </xf>
    <xf numFmtId="10" fontId="45" fillId="0" borderId="4" xfId="0" applyNumberFormat="1" applyFont="1" applyBorder="1" applyAlignment="1">
      <alignment horizontal="left" vertical="center" indent="1"/>
    </xf>
    <xf numFmtId="177" fontId="45" fillId="0" borderId="4" xfId="0" applyNumberFormat="1" applyFont="1" applyBorder="1" applyAlignment="1">
      <alignment horizontal="left" vertical="center" indent="1"/>
    </xf>
    <xf numFmtId="180" fontId="45" fillId="0" borderId="4" xfId="0" applyNumberFormat="1" applyFont="1" applyBorder="1" applyAlignment="1">
      <alignment horizontal="left" vertical="center" indent="1"/>
    </xf>
    <xf numFmtId="39" fontId="45" fillId="0" borderId="4" xfId="0" applyNumberFormat="1" applyFont="1" applyBorder="1" applyAlignment="1">
      <alignment horizontal="left" vertical="center" indent="1"/>
    </xf>
    <xf numFmtId="169" fontId="45" fillId="0" borderId="4" xfId="0" applyNumberFormat="1" applyFont="1" applyBorder="1" applyAlignment="1">
      <alignment horizontal="left" vertical="center" indent="1"/>
    </xf>
    <xf numFmtId="4" fontId="45" fillId="0" borderId="4" xfId="0" applyNumberFormat="1" applyFont="1" applyBorder="1" applyAlignment="1">
      <alignment horizontal="left" vertical="center" indent="1"/>
    </xf>
    <xf numFmtId="14" fontId="45" fillId="0" borderId="4" xfId="0" applyNumberFormat="1" applyFont="1" applyBorder="1" applyAlignment="1">
      <alignment horizontal="left" vertical="center" indent="1"/>
    </xf>
    <xf numFmtId="0" fontId="77" fillId="20" borderId="4" xfId="0" applyFont="1" applyFill="1" applyBorder="1" applyAlignment="1">
      <alignment horizontal="center" vertical="center"/>
    </xf>
    <xf numFmtId="0" fontId="45" fillId="4" borderId="4" xfId="0" applyFont="1" applyFill="1" applyBorder="1" applyAlignment="1">
      <alignment horizontal="center" vertical="center"/>
    </xf>
    <xf numFmtId="0" fontId="77" fillId="36" borderId="4" xfId="0" applyFont="1" applyFill="1" applyBorder="1" applyAlignment="1">
      <alignment horizontal="left" vertical="center" indent="1"/>
    </xf>
    <xf numFmtId="0" fontId="34" fillId="3" borderId="4" xfId="0" applyFont="1" applyFill="1" applyBorder="1" applyAlignment="1">
      <alignment horizontal="center" vertical="center" wrapText="1"/>
    </xf>
    <xf numFmtId="0" fontId="34" fillId="3" borderId="0" xfId="0" applyFont="1" applyFill="1" applyAlignment="1">
      <alignment horizontal="left" vertical="center" indent="1"/>
    </xf>
    <xf numFmtId="165" fontId="34" fillId="3" borderId="0" xfId="0" applyNumberFormat="1" applyFont="1" applyFill="1" applyAlignment="1">
      <alignment horizontal="left" vertical="center" indent="1"/>
    </xf>
    <xf numFmtId="165" fontId="34" fillId="3" borderId="0" xfId="1" applyNumberFormat="1" applyFont="1" applyFill="1" applyBorder="1" applyAlignment="1" applyProtection="1">
      <alignment horizontal="left" vertical="center" indent="1"/>
    </xf>
    <xf numFmtId="165" fontId="34" fillId="3" borderId="0" xfId="1" applyNumberFormat="1" applyFont="1" applyFill="1" applyBorder="1" applyAlignment="1" applyProtection="1">
      <alignment horizontal="left" vertical="center" wrapText="1" indent="1"/>
    </xf>
    <xf numFmtId="5" fontId="34" fillId="3" borderId="4" xfId="0" applyNumberFormat="1" applyFont="1" applyFill="1" applyBorder="1" applyAlignment="1">
      <alignment horizontal="left" vertical="center" indent="1"/>
    </xf>
    <xf numFmtId="165" fontId="34" fillId="3" borderId="4" xfId="1" applyNumberFormat="1" applyFont="1" applyFill="1" applyBorder="1" applyAlignment="1" applyProtection="1">
      <alignment horizontal="left" vertical="center" indent="1"/>
    </xf>
    <xf numFmtId="2" fontId="34" fillId="3" borderId="4" xfId="0" applyNumberFormat="1" applyFont="1" applyFill="1" applyBorder="1" applyAlignment="1">
      <alignment horizontal="left" vertical="center" indent="1"/>
    </xf>
    <xf numFmtId="4" fontId="34" fillId="3" borderId="4" xfId="1" applyNumberFormat="1" applyFont="1" applyFill="1" applyBorder="1" applyAlignment="1" applyProtection="1">
      <alignment horizontal="left" vertical="center" indent="1"/>
    </xf>
    <xf numFmtId="10" fontId="34" fillId="3" borderId="4" xfId="0" applyNumberFormat="1" applyFont="1" applyFill="1" applyBorder="1" applyAlignment="1">
      <alignment horizontal="left" vertical="center" indent="1"/>
    </xf>
    <xf numFmtId="0" fontId="34" fillId="3" borderId="4" xfId="0" applyFont="1" applyFill="1" applyBorder="1" applyAlignment="1">
      <alignment horizontal="left" vertical="center" indent="1"/>
    </xf>
    <xf numFmtId="0" fontId="34" fillId="3" borderId="14" xfId="0" applyFont="1" applyFill="1" applyBorder="1" applyAlignment="1">
      <alignment horizontal="left" vertical="center" indent="1"/>
    </xf>
    <xf numFmtId="165" fontId="34" fillId="3" borderId="11" xfId="0" applyNumberFormat="1" applyFont="1" applyFill="1" applyBorder="1" applyAlignment="1">
      <alignment horizontal="left" vertical="center" indent="1"/>
    </xf>
    <xf numFmtId="165" fontId="34" fillId="3" borderId="4" xfId="0" applyNumberFormat="1" applyFont="1" applyFill="1" applyBorder="1" applyAlignment="1">
      <alignment horizontal="left" vertical="center" indent="1"/>
    </xf>
    <xf numFmtId="2" fontId="34" fillId="3" borderId="4" xfId="0" applyNumberFormat="1" applyFont="1" applyFill="1" applyBorder="1" applyAlignment="1">
      <alignment horizontal="center" vertical="center"/>
    </xf>
    <xf numFmtId="2" fontId="34" fillId="3" borderId="4" xfId="1" applyNumberFormat="1" applyFont="1" applyFill="1" applyBorder="1" applyAlignment="1" applyProtection="1">
      <alignment horizontal="center" vertical="center"/>
    </xf>
    <xf numFmtId="0" fontId="20" fillId="3" borderId="0" xfId="0" applyFont="1" applyFill="1" applyAlignment="1">
      <alignment horizontal="right" vertical="center" indent="1"/>
    </xf>
    <xf numFmtId="0" fontId="32" fillId="3" borderId="50" xfId="0" applyFont="1" applyFill="1" applyBorder="1" applyAlignment="1">
      <alignment horizontal="left" vertical="center"/>
    </xf>
    <xf numFmtId="3" fontId="32" fillId="3" borderId="50" xfId="0" applyNumberFormat="1" applyFont="1" applyFill="1" applyBorder="1" applyAlignment="1">
      <alignment horizontal="left" vertical="center"/>
    </xf>
    <xf numFmtId="3" fontId="32" fillId="3" borderId="50" xfId="0" applyNumberFormat="1" applyFont="1" applyFill="1" applyBorder="1" applyAlignment="1">
      <alignment horizontal="left" vertical="center" indent="1"/>
    </xf>
    <xf numFmtId="0" fontId="0" fillId="3" borderId="5" xfId="0" applyFill="1" applyBorder="1" applyAlignment="1">
      <alignment horizontal="left" vertical="center" wrapText="1" indent="1"/>
    </xf>
    <xf numFmtId="0" fontId="0" fillId="3" borderId="9" xfId="0" applyFill="1" applyBorder="1" applyAlignment="1">
      <alignment horizontal="left" vertical="center" wrapText="1" indent="1"/>
    </xf>
    <xf numFmtId="0" fontId="0" fillId="3" borderId="10" xfId="0" applyFill="1" applyBorder="1" applyAlignment="1">
      <alignment horizontal="left" vertical="center" wrapText="1" indent="1"/>
    </xf>
    <xf numFmtId="0" fontId="0" fillId="33" borderId="0" xfId="0" applyFill="1"/>
    <xf numFmtId="0" fontId="15" fillId="20" borderId="5" xfId="0" applyFont="1" applyFill="1" applyBorder="1" applyAlignment="1">
      <alignment horizontal="center" vertical="center" wrapText="1"/>
    </xf>
    <xf numFmtId="0" fontId="15" fillId="20" borderId="9" xfId="0" applyFont="1" applyFill="1" applyBorder="1" applyAlignment="1">
      <alignment horizontal="center" vertical="center" wrapText="1"/>
    </xf>
    <xf numFmtId="0" fontId="15" fillId="20" borderId="10" xfId="0" applyFont="1" applyFill="1" applyBorder="1" applyAlignment="1">
      <alignment horizontal="center" vertical="center" wrapText="1"/>
    </xf>
    <xf numFmtId="0" fontId="3" fillId="3" borderId="0" xfId="0" applyFont="1" applyFill="1" applyAlignment="1">
      <alignment vertical="center"/>
    </xf>
    <xf numFmtId="0" fontId="15" fillId="20" borderId="15" xfId="0" applyFont="1" applyFill="1" applyBorder="1" applyAlignment="1">
      <alignment horizontal="center" vertical="center" wrapText="1"/>
    </xf>
    <xf numFmtId="0" fontId="15" fillId="20" borderId="17" xfId="0" applyFont="1" applyFill="1" applyBorder="1" applyAlignment="1">
      <alignment horizontal="center" vertical="center" wrapText="1"/>
    </xf>
    <xf numFmtId="0" fontId="28" fillId="3" borderId="11" xfId="3" applyFont="1" applyFill="1" applyBorder="1" applyAlignment="1">
      <alignment horizontal="left" vertical="center" wrapText="1" indent="1"/>
    </xf>
    <xf numFmtId="0" fontId="28" fillId="3" borderId="4" xfId="3" applyFont="1" applyFill="1" applyBorder="1" applyAlignment="1">
      <alignment horizontal="left" vertical="center" wrapText="1" indent="1"/>
    </xf>
    <xf numFmtId="0" fontId="1" fillId="3" borderId="7" xfId="0" applyFont="1" applyFill="1" applyBorder="1" applyAlignment="1">
      <alignment horizontal="left" vertical="center" wrapText="1" indent="1"/>
    </xf>
    <xf numFmtId="0" fontId="1" fillId="3" borderId="8" xfId="0" applyFont="1" applyFill="1" applyBorder="1" applyAlignment="1">
      <alignment horizontal="left" vertical="center" wrapText="1" indent="1"/>
    </xf>
    <xf numFmtId="0" fontId="1" fillId="3" borderId="5" xfId="0" applyFont="1" applyFill="1" applyBorder="1" applyAlignment="1">
      <alignment horizontal="left" vertical="center" wrapText="1" indent="1"/>
    </xf>
    <xf numFmtId="0" fontId="1" fillId="3" borderId="10" xfId="0" applyFont="1" applyFill="1" applyBorder="1" applyAlignment="1">
      <alignment horizontal="left" vertical="center" wrapText="1" indent="1"/>
    </xf>
    <xf numFmtId="0" fontId="0" fillId="21" borderId="13" xfId="0" applyFill="1" applyBorder="1" applyAlignment="1">
      <alignment horizontal="left" vertical="top" wrapText="1" indent="1"/>
    </xf>
    <xf numFmtId="0" fontId="0" fillId="21" borderId="32" xfId="0" applyFill="1" applyBorder="1" applyAlignment="1">
      <alignment horizontal="left" vertical="top" wrapText="1" indent="1"/>
    </xf>
    <xf numFmtId="0" fontId="0" fillId="3" borderId="0" xfId="0" applyFill="1" applyAlignment="1">
      <alignment vertical="center" wrapText="1"/>
    </xf>
    <xf numFmtId="0" fontId="0" fillId="3" borderId="0" xfId="0" applyFill="1" applyAlignment="1">
      <alignment vertical="center"/>
    </xf>
    <xf numFmtId="0" fontId="0" fillId="3" borderId="4" xfId="0" applyFill="1" applyBorder="1" applyAlignment="1">
      <alignment horizontal="left" vertical="center" wrapText="1" indent="1"/>
    </xf>
    <xf numFmtId="0" fontId="28" fillId="3" borderId="5" xfId="3" applyFont="1" applyFill="1" applyBorder="1" applyAlignment="1">
      <alignment horizontal="left" vertical="center" wrapText="1" indent="1"/>
    </xf>
    <xf numFmtId="0" fontId="28" fillId="3" borderId="10" xfId="3" applyFont="1" applyFill="1" applyBorder="1" applyAlignment="1">
      <alignment horizontal="left" vertical="center" wrapText="1" indent="1"/>
    </xf>
    <xf numFmtId="0" fontId="28" fillId="3" borderId="0" xfId="3" applyFont="1" applyFill="1" applyAlignment="1" applyProtection="1">
      <alignment vertical="center"/>
    </xf>
    <xf numFmtId="0" fontId="0" fillId="3" borderId="0" xfId="0" applyFill="1" applyAlignment="1">
      <alignment horizontal="left" vertical="top" wrapText="1"/>
    </xf>
    <xf numFmtId="0" fontId="0" fillId="3" borderId="0" xfId="0" applyFill="1" applyAlignment="1">
      <alignment horizontal="left" vertical="center" indent="1"/>
    </xf>
    <xf numFmtId="0" fontId="28" fillId="0" borderId="0" xfId="3" applyFont="1" applyFill="1" applyAlignment="1" applyProtection="1">
      <alignment vertical="center"/>
    </xf>
    <xf numFmtId="0" fontId="0" fillId="3" borderId="6" xfId="0" applyFill="1" applyBorder="1" applyAlignment="1">
      <alignment vertical="center"/>
    </xf>
    <xf numFmtId="0" fontId="28" fillId="3" borderId="16" xfId="3" applyFont="1" applyFill="1" applyBorder="1" applyAlignment="1" applyProtection="1">
      <alignment vertical="center"/>
    </xf>
    <xf numFmtId="0" fontId="17" fillId="20" borderId="5" xfId="0" applyFont="1" applyFill="1" applyBorder="1" applyAlignment="1">
      <alignment horizontal="left" vertical="center" indent="1"/>
    </xf>
    <xf numFmtId="0" fontId="17" fillId="20" borderId="9" xfId="0" applyFont="1" applyFill="1" applyBorder="1" applyAlignment="1">
      <alignment horizontal="left" vertical="center" indent="1"/>
    </xf>
    <xf numFmtId="0" fontId="2" fillId="20" borderId="9" xfId="0" applyFont="1" applyFill="1" applyBorder="1" applyAlignment="1">
      <alignment horizontal="right" vertical="center" indent="1"/>
    </xf>
    <xf numFmtId="0" fontId="2" fillId="20" borderId="10" xfId="0" applyFont="1" applyFill="1" applyBorder="1" applyAlignment="1">
      <alignment horizontal="right" vertical="center" indent="1"/>
    </xf>
    <xf numFmtId="14" fontId="5" fillId="5" borderId="9" xfId="0" applyNumberFormat="1" applyFont="1" applyFill="1" applyBorder="1" applyAlignment="1">
      <alignment horizontal="right" vertical="center" wrapText="1" indent="1"/>
    </xf>
    <xf numFmtId="14" fontId="5" fillId="5" borderId="10" xfId="0" applyNumberFormat="1" applyFont="1" applyFill="1" applyBorder="1" applyAlignment="1">
      <alignment horizontal="right" vertical="center" wrapText="1" indent="1"/>
    </xf>
    <xf numFmtId="0" fontId="5" fillId="5" borderId="9" xfId="0" applyFont="1" applyFill="1" applyBorder="1" applyAlignment="1">
      <alignment horizontal="right" vertical="center"/>
    </xf>
    <xf numFmtId="0" fontId="31" fillId="5" borderId="5" xfId="0" applyFont="1" applyFill="1" applyBorder="1" applyAlignment="1">
      <alignment horizontal="left" vertical="center" indent="1"/>
    </xf>
    <xf numFmtId="0" fontId="31" fillId="5" borderId="9" xfId="0" applyFont="1" applyFill="1" applyBorder="1" applyAlignment="1">
      <alignment horizontal="left" vertical="center" indent="1"/>
    </xf>
    <xf numFmtId="0" fontId="0" fillId="3" borderId="5" xfId="0" applyFill="1" applyBorder="1" applyAlignment="1">
      <alignment horizontal="left" vertical="center" indent="1"/>
    </xf>
    <xf numFmtId="0" fontId="0" fillId="3" borderId="9" xfId="0" applyFill="1" applyBorder="1" applyAlignment="1">
      <alignment horizontal="left" vertical="center" indent="1"/>
    </xf>
    <xf numFmtId="0" fontId="0" fillId="3" borderId="10" xfId="0" applyFill="1" applyBorder="1" applyAlignment="1">
      <alignment horizontal="left" vertical="center" indent="1"/>
    </xf>
    <xf numFmtId="176" fontId="0" fillId="23" borderId="5" xfId="1" applyNumberFormat="1" applyFont="1" applyFill="1" applyBorder="1" applyAlignment="1" applyProtection="1">
      <alignment horizontal="left" vertical="center" indent="1"/>
      <protection locked="0"/>
    </xf>
    <xf numFmtId="176" fontId="0" fillId="23" borderId="10" xfId="1" applyNumberFormat="1" applyFont="1" applyFill="1" applyBorder="1" applyAlignment="1" applyProtection="1">
      <alignment horizontal="left" vertical="center" indent="1"/>
      <protection locked="0"/>
    </xf>
    <xf numFmtId="0" fontId="28" fillId="3" borderId="0" xfId="3" applyFont="1" applyFill="1" applyAlignment="1" applyProtection="1">
      <alignment horizontal="left" vertical="center"/>
    </xf>
    <xf numFmtId="0" fontId="28" fillId="3" borderId="12" xfId="3" applyFont="1" applyFill="1" applyBorder="1" applyAlignment="1" applyProtection="1">
      <alignment horizontal="left" vertical="center"/>
    </xf>
    <xf numFmtId="0" fontId="0" fillId="3" borderId="0" xfId="0" applyFill="1" applyAlignment="1">
      <alignment horizontal="left" vertical="center"/>
    </xf>
    <xf numFmtId="0" fontId="0" fillId="3" borderId="12" xfId="0" applyFill="1" applyBorder="1" applyAlignment="1">
      <alignment horizontal="left" vertical="center"/>
    </xf>
    <xf numFmtId="164" fontId="32" fillId="3" borderId="0" xfId="0" applyNumberFormat="1" applyFont="1" applyFill="1" applyAlignment="1">
      <alignment horizontal="left" vertical="center" indent="1"/>
    </xf>
    <xf numFmtId="0" fontId="0" fillId="3" borderId="0" xfId="0" applyFill="1"/>
    <xf numFmtId="0" fontId="45" fillId="3" borderId="4" xfId="0" applyFont="1" applyFill="1" applyBorder="1" applyAlignment="1">
      <alignment horizontal="left" vertical="center" wrapText="1" indent="1"/>
    </xf>
    <xf numFmtId="0" fontId="15" fillId="20" borderId="4" xfId="0" applyFont="1" applyFill="1" applyBorder="1" applyAlignment="1">
      <alignment horizontal="center" vertical="center" wrapText="1"/>
    </xf>
    <xf numFmtId="0" fontId="5" fillId="3" borderId="4" xfId="0" applyFont="1" applyFill="1" applyBorder="1" applyAlignment="1">
      <alignment horizontal="left" vertical="center" indent="1"/>
    </xf>
    <xf numFmtId="0" fontId="5" fillId="23" borderId="4" xfId="0" applyFont="1" applyFill="1" applyBorder="1" applyAlignment="1" applyProtection="1">
      <alignment horizontal="left" vertical="center" indent="1"/>
      <protection locked="0"/>
    </xf>
    <xf numFmtId="0" fontId="11" fillId="3" borderId="18" xfId="0" applyFont="1" applyFill="1" applyBorder="1" applyAlignment="1">
      <alignment horizontal="left" vertical="center" indent="1"/>
    </xf>
    <xf numFmtId="0" fontId="11" fillId="3" borderId="0" xfId="0" applyFont="1" applyFill="1" applyAlignment="1">
      <alignment horizontal="left" vertical="center" indent="1"/>
    </xf>
    <xf numFmtId="0" fontId="22" fillId="3" borderId="18" xfId="0" applyFont="1" applyFill="1" applyBorder="1" applyAlignment="1">
      <alignment horizontal="left" vertical="center" indent="1"/>
    </xf>
    <xf numFmtId="0" fontId="22" fillId="3" borderId="0" xfId="0" applyFont="1" applyFill="1" applyAlignment="1">
      <alignment horizontal="left" vertical="center" indent="1"/>
    </xf>
    <xf numFmtId="0" fontId="32" fillId="0" borderId="0" xfId="0" applyFont="1" applyAlignment="1">
      <alignment horizontal="left" vertical="center" indent="1"/>
    </xf>
    <xf numFmtId="0" fontId="0" fillId="23" borderId="5" xfId="0" applyFill="1" applyBorder="1" applyAlignment="1" applyProtection="1">
      <alignment horizontal="left" vertical="center" indent="1"/>
      <protection locked="0"/>
    </xf>
    <xf numFmtId="0" fontId="0" fillId="23" borderId="10" xfId="0" applyFill="1" applyBorder="1" applyAlignment="1" applyProtection="1">
      <alignment horizontal="left" vertical="center" indent="1"/>
      <protection locked="0"/>
    </xf>
    <xf numFmtId="0" fontId="15" fillId="20" borderId="5" xfId="0" applyFont="1" applyFill="1" applyBorder="1" applyAlignment="1">
      <alignment horizontal="center" vertical="center"/>
    </xf>
    <xf numFmtId="0" fontId="15" fillId="20" borderId="10" xfId="0" applyFont="1" applyFill="1" applyBorder="1" applyAlignment="1">
      <alignment horizontal="center" vertical="center"/>
    </xf>
    <xf numFmtId="0" fontId="28" fillId="3" borderId="0" xfId="3" applyFont="1" applyFill="1" applyAlignment="1">
      <alignment horizontal="left" vertical="top" wrapText="1" indent="1"/>
    </xf>
    <xf numFmtId="0" fontId="32" fillId="3" borderId="0" xfId="0" applyFont="1" applyFill="1" applyAlignment="1">
      <alignment horizontal="left" vertical="top" wrapText="1" indent="1"/>
    </xf>
    <xf numFmtId="1" fontId="0" fillId="23" borderId="5" xfId="0" applyNumberFormat="1" applyFill="1" applyBorder="1" applyAlignment="1" applyProtection="1">
      <alignment horizontal="left" vertical="center" indent="1"/>
      <protection locked="0"/>
    </xf>
    <xf numFmtId="1" fontId="0" fillId="23" borderId="10" xfId="0" applyNumberFormat="1" applyFill="1" applyBorder="1" applyAlignment="1" applyProtection="1">
      <alignment horizontal="left" vertical="center" indent="1"/>
      <protection locked="0"/>
    </xf>
    <xf numFmtId="0" fontId="0" fillId="3" borderId="0" xfId="0" applyFill="1" applyAlignment="1">
      <alignment horizontal="left" vertical="center" wrapText="1"/>
    </xf>
    <xf numFmtId="0" fontId="0" fillId="23" borderId="5" xfId="1" applyNumberFormat="1" applyFont="1" applyFill="1" applyBorder="1" applyAlignment="1" applyProtection="1">
      <alignment horizontal="left" vertical="center" indent="1"/>
      <protection locked="0"/>
    </xf>
    <xf numFmtId="0" fontId="0" fillId="23" borderId="10" xfId="1" applyNumberFormat="1" applyFont="1" applyFill="1" applyBorder="1" applyAlignment="1" applyProtection="1">
      <alignment horizontal="left" vertical="center" indent="1"/>
      <protection locked="0"/>
    </xf>
    <xf numFmtId="0" fontId="0" fillId="3" borderId="0" xfId="1" applyNumberFormat="1" applyFont="1" applyFill="1" applyBorder="1" applyAlignment="1" applyProtection="1">
      <alignment horizontal="left" vertical="center" indent="1"/>
    </xf>
    <xf numFmtId="0" fontId="1" fillId="3" borderId="0" xfId="0" applyFont="1" applyFill="1" applyAlignment="1">
      <alignment horizontal="left" vertical="center"/>
    </xf>
    <xf numFmtId="0" fontId="1" fillId="3" borderId="12" xfId="0" applyFont="1" applyFill="1" applyBorder="1" applyAlignment="1">
      <alignment horizontal="left" vertical="center"/>
    </xf>
    <xf numFmtId="0" fontId="0" fillId="4" borderId="5" xfId="1" applyNumberFormat="1" applyFont="1" applyFill="1" applyBorder="1" applyAlignment="1" applyProtection="1">
      <alignment horizontal="left" vertical="center" indent="1"/>
    </xf>
    <xf numFmtId="0" fontId="0" fillId="4" borderId="10" xfId="1" applyNumberFormat="1" applyFont="1" applyFill="1" applyBorder="1" applyAlignment="1" applyProtection="1">
      <alignment horizontal="left" vertical="center" indent="1"/>
    </xf>
    <xf numFmtId="0" fontId="0" fillId="3" borderId="12" xfId="0" applyFill="1" applyBorder="1" applyAlignment="1">
      <alignment vertical="center"/>
    </xf>
    <xf numFmtId="170" fontId="0" fillId="23" borderId="5" xfId="1" applyNumberFormat="1" applyFont="1" applyFill="1" applyBorder="1" applyAlignment="1" applyProtection="1">
      <alignment horizontal="left" vertical="center" indent="1"/>
      <protection locked="0"/>
    </xf>
    <xf numFmtId="170" fontId="0" fillId="23" borderId="10" xfId="1" applyNumberFormat="1" applyFont="1" applyFill="1" applyBorder="1" applyAlignment="1" applyProtection="1">
      <alignment horizontal="left" vertical="center" indent="1"/>
      <protection locked="0"/>
    </xf>
    <xf numFmtId="0" fontId="28" fillId="3" borderId="0" xfId="3" applyFont="1" applyFill="1" applyBorder="1" applyAlignment="1" applyProtection="1">
      <alignment horizontal="left" vertical="center"/>
    </xf>
    <xf numFmtId="9" fontId="32" fillId="0" borderId="0" xfId="0" applyNumberFormat="1" applyFont="1" applyAlignment="1">
      <alignment vertical="center"/>
    </xf>
    <xf numFmtId="1" fontId="0" fillId="23" borderId="5" xfId="1" applyNumberFormat="1" applyFont="1" applyFill="1" applyBorder="1" applyAlignment="1" applyProtection="1">
      <alignment horizontal="left" vertical="center" indent="1"/>
      <protection locked="0"/>
    </xf>
    <xf numFmtId="1" fontId="0" fillId="23" borderId="10" xfId="1" applyNumberFormat="1" applyFont="1" applyFill="1" applyBorder="1" applyAlignment="1" applyProtection="1">
      <alignment horizontal="left" vertical="center" indent="1"/>
      <protection locked="0"/>
    </xf>
    <xf numFmtId="0" fontId="17" fillId="2" borderId="5" xfId="0" applyFont="1" applyFill="1" applyBorder="1" applyAlignment="1">
      <alignment horizontal="left" vertical="center" indent="1"/>
    </xf>
    <xf numFmtId="0" fontId="17" fillId="2" borderId="9" xfId="0" applyFont="1" applyFill="1" applyBorder="1" applyAlignment="1">
      <alignment horizontal="left" vertical="center" indent="1"/>
    </xf>
    <xf numFmtId="166" fontId="0" fillId="23" borderId="5" xfId="1" applyNumberFormat="1" applyFont="1" applyFill="1" applyBorder="1" applyAlignment="1" applyProtection="1">
      <alignment horizontal="left" vertical="center" indent="1"/>
      <protection locked="0"/>
    </xf>
    <xf numFmtId="166" fontId="0" fillId="23" borderId="10" xfId="1" applyNumberFormat="1" applyFont="1" applyFill="1" applyBorder="1" applyAlignment="1" applyProtection="1">
      <alignment horizontal="left" vertical="center" indent="1"/>
      <protection locked="0"/>
    </xf>
    <xf numFmtId="9" fontId="0" fillId="4" borderId="5"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0" fontId="2" fillId="2" borderId="9" xfId="0" applyFont="1" applyFill="1" applyBorder="1" applyAlignment="1">
      <alignment horizontal="right" vertical="center" indent="1"/>
    </xf>
    <xf numFmtId="0" fontId="2" fillId="2" borderId="10" xfId="0" applyFont="1" applyFill="1" applyBorder="1" applyAlignment="1">
      <alignment horizontal="right" vertical="center" indent="1"/>
    </xf>
    <xf numFmtId="0" fontId="5" fillId="5" borderId="9" xfId="0" applyFont="1" applyFill="1" applyBorder="1" applyAlignment="1">
      <alignment horizontal="right" vertical="center" indent="1"/>
    </xf>
    <xf numFmtId="0" fontId="5" fillId="5" borderId="10" xfId="0" applyFont="1" applyFill="1" applyBorder="1" applyAlignment="1">
      <alignment horizontal="right" vertical="center" indent="1"/>
    </xf>
    <xf numFmtId="0" fontId="0" fillId="3" borderId="0" xfId="0" applyFill="1" applyAlignment="1">
      <alignment horizontal="left"/>
    </xf>
    <xf numFmtId="0" fontId="1" fillId="0" borderId="0" xfId="0" applyFont="1" applyAlignment="1">
      <alignment vertical="center"/>
    </xf>
    <xf numFmtId="0" fontId="1" fillId="0" borderId="12" xfId="0" applyFont="1" applyBorder="1" applyAlignment="1">
      <alignment vertical="center"/>
    </xf>
    <xf numFmtId="2" fontId="0" fillId="23" borderId="5" xfId="1" applyNumberFormat="1" applyFont="1" applyFill="1" applyBorder="1" applyAlignment="1" applyProtection="1">
      <alignment horizontal="left" vertical="center" indent="1"/>
      <protection locked="0"/>
    </xf>
    <xf numFmtId="2" fontId="0" fillId="23" borderId="10" xfId="1" applyNumberFormat="1" applyFont="1" applyFill="1" applyBorder="1" applyAlignment="1" applyProtection="1">
      <alignment horizontal="left" vertical="center" indent="1"/>
      <protection locked="0"/>
    </xf>
    <xf numFmtId="9" fontId="32" fillId="3" borderId="6" xfId="0" applyNumberFormat="1" applyFont="1" applyFill="1" applyBorder="1" applyAlignment="1">
      <alignment vertical="center"/>
    </xf>
    <xf numFmtId="0" fontId="0" fillId="3" borderId="0" xfId="0" applyFill="1" applyAlignment="1">
      <alignment horizontal="left" wrapText="1"/>
    </xf>
    <xf numFmtId="0" fontId="0" fillId="3" borderId="12" xfId="0" applyFill="1" applyBorder="1" applyAlignment="1">
      <alignment horizontal="left"/>
    </xf>
    <xf numFmtId="0" fontId="0" fillId="3" borderId="0" xfId="0" applyFill="1" applyAlignment="1">
      <alignment horizontal="center"/>
    </xf>
    <xf numFmtId="9" fontId="32" fillId="3" borderId="0" xfId="0" applyNumberFormat="1" applyFont="1" applyFill="1" applyAlignment="1">
      <alignment vertical="center"/>
    </xf>
    <xf numFmtId="0" fontId="15" fillId="20" borderId="4" xfId="0" applyFont="1" applyFill="1" applyBorder="1" applyAlignment="1">
      <alignment horizontal="center" vertical="center"/>
    </xf>
    <xf numFmtId="0" fontId="49" fillId="0" borderId="18" xfId="0" applyFont="1" applyBorder="1" applyAlignment="1">
      <alignment horizontal="left" vertical="center" indent="1"/>
    </xf>
    <xf numFmtId="0" fontId="49" fillId="0" borderId="0" xfId="0" applyFont="1" applyAlignment="1">
      <alignment horizontal="left" vertical="center" indent="1"/>
    </xf>
    <xf numFmtId="0" fontId="0" fillId="3" borderId="4" xfId="0" applyFill="1" applyBorder="1" applyAlignment="1">
      <alignment horizontal="left" vertical="center" indent="1"/>
    </xf>
    <xf numFmtId="0" fontId="0" fillId="3" borderId="20" xfId="0" applyFill="1" applyBorder="1"/>
    <xf numFmtId="0" fontId="0" fillId="3" borderId="0" xfId="0" applyFill="1" applyAlignment="1">
      <alignment horizontal="left" vertical="center" indent="2"/>
    </xf>
    <xf numFmtId="0" fontId="0" fillId="3" borderId="20" xfId="0" applyFill="1" applyBorder="1" applyAlignment="1">
      <alignment horizontal="left" vertical="center" indent="2"/>
    </xf>
    <xf numFmtId="0" fontId="0" fillId="3" borderId="18" xfId="0" applyFill="1" applyBorder="1" applyAlignment="1">
      <alignment horizontal="left" vertical="center" indent="1"/>
    </xf>
    <xf numFmtId="0" fontId="49" fillId="3" borderId="18" xfId="0" applyFont="1" applyFill="1" applyBorder="1" applyAlignment="1">
      <alignment horizontal="left" vertical="center" indent="1"/>
    </xf>
    <xf numFmtId="0" fontId="49" fillId="3" borderId="0" xfId="0" applyFont="1" applyFill="1" applyAlignment="1">
      <alignment horizontal="left" vertical="center" indent="1"/>
    </xf>
    <xf numFmtId="0" fontId="50" fillId="3" borderId="18" xfId="0" applyFont="1" applyFill="1" applyBorder="1" applyAlignment="1">
      <alignment horizontal="left" vertical="center" indent="1"/>
    </xf>
    <xf numFmtId="0" fontId="50" fillId="3" borderId="0" xfId="0" applyFont="1" applyFill="1" applyAlignment="1">
      <alignment horizontal="left" vertical="center" indent="1"/>
    </xf>
    <xf numFmtId="0" fontId="2" fillId="2" borderId="16" xfId="0" applyFont="1" applyFill="1" applyBorder="1" applyAlignment="1">
      <alignment horizontal="right" vertical="center" indent="1"/>
    </xf>
    <xf numFmtId="0" fontId="2" fillId="2" borderId="17" xfId="0" applyFont="1" applyFill="1" applyBorder="1" applyAlignment="1">
      <alignment horizontal="right" vertical="center" indent="1"/>
    </xf>
    <xf numFmtId="0" fontId="0" fillId="5" borderId="6" xfId="0" applyFill="1" applyBorder="1" applyAlignment="1">
      <alignment horizontal="right" vertical="center" indent="1"/>
    </xf>
    <xf numFmtId="0" fontId="0" fillId="5" borderId="8" xfId="0" applyFill="1" applyBorder="1" applyAlignment="1">
      <alignment horizontal="right" vertical="center" indent="1"/>
    </xf>
    <xf numFmtId="0" fontId="0" fillId="4" borderId="4" xfId="0" applyFill="1" applyBorder="1" applyAlignment="1">
      <alignment horizontal="left" vertical="center" indent="1"/>
    </xf>
    <xf numFmtId="0" fontId="0" fillId="4" borderId="11" xfId="0" applyFill="1" applyBorder="1" applyAlignment="1">
      <alignment horizontal="left" vertical="center" indent="1"/>
    </xf>
    <xf numFmtId="0" fontId="0" fillId="4" borderId="14" xfId="0" applyFill="1" applyBorder="1" applyAlignment="1">
      <alignment horizontal="left" vertical="center" indent="1"/>
    </xf>
    <xf numFmtId="0" fontId="0" fillId="4" borderId="33" xfId="0" applyFill="1" applyBorder="1" applyAlignment="1">
      <alignment horizontal="left" vertical="center" indent="1"/>
    </xf>
    <xf numFmtId="0" fontId="0" fillId="4" borderId="36" xfId="0" applyFill="1" applyBorder="1" applyAlignment="1">
      <alignment horizontal="left" vertical="center" indent="1"/>
    </xf>
    <xf numFmtId="0" fontId="0" fillId="4" borderId="29" xfId="0" applyFill="1" applyBorder="1" applyAlignment="1">
      <alignment horizontal="left" vertical="center" indent="1"/>
    </xf>
    <xf numFmtId="1" fontId="11" fillId="23" borderId="5" xfId="0" applyNumberFormat="1" applyFont="1" applyFill="1" applyBorder="1" applyAlignment="1" applyProtection="1">
      <alignment horizontal="left" vertical="center" indent="1"/>
      <protection locked="0"/>
    </xf>
    <xf numFmtId="1" fontId="11" fillId="23" borderId="10" xfId="0" applyNumberFormat="1" applyFont="1" applyFill="1" applyBorder="1" applyAlignment="1" applyProtection="1">
      <alignment horizontal="left" vertical="center" indent="1"/>
      <protection locked="0"/>
    </xf>
    <xf numFmtId="0" fontId="11" fillId="23" borderId="5" xfId="0"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77" fillId="20" borderId="5" xfId="0" applyFont="1" applyFill="1" applyBorder="1" applyAlignment="1">
      <alignment horizontal="center" vertical="center" wrapText="1"/>
    </xf>
    <xf numFmtId="0" fontId="77" fillId="20" borderId="10" xfId="0" applyFont="1" applyFill="1" applyBorder="1" applyAlignment="1">
      <alignment horizontal="center" vertical="center" wrapText="1"/>
    </xf>
    <xf numFmtId="0" fontId="0" fillId="4" borderId="5" xfId="0" applyFill="1" applyBorder="1" applyAlignment="1">
      <alignment horizontal="left" vertical="center" indent="1"/>
    </xf>
    <xf numFmtId="0" fontId="0" fillId="4" borderId="9" xfId="0" applyFill="1" applyBorder="1" applyAlignment="1">
      <alignment horizontal="left" vertical="center" indent="1"/>
    </xf>
    <xf numFmtId="0" fontId="0" fillId="4" borderId="10" xfId="0" applyFill="1" applyBorder="1" applyAlignment="1">
      <alignment horizontal="left" vertical="center" indent="1"/>
    </xf>
    <xf numFmtId="0" fontId="0" fillId="23" borderId="4" xfId="0" applyFill="1" applyBorder="1" applyAlignment="1" applyProtection="1">
      <alignment horizontal="left" vertical="center" indent="1"/>
      <protection locked="0"/>
    </xf>
    <xf numFmtId="0" fontId="11" fillId="4" borderId="4" xfId="0" applyFont="1" applyFill="1" applyBorder="1" applyAlignment="1">
      <alignment horizontal="center" vertical="center"/>
    </xf>
    <xf numFmtId="0" fontId="11" fillId="4" borderId="13" xfId="0" applyFont="1" applyFill="1" applyBorder="1" applyAlignment="1">
      <alignment horizontal="center" vertical="center"/>
    </xf>
    <xf numFmtId="0" fontId="15" fillId="20" borderId="16" xfId="0" applyFont="1" applyFill="1" applyBorder="1" applyAlignment="1">
      <alignment horizontal="center" vertical="center" wrapText="1"/>
    </xf>
    <xf numFmtId="0" fontId="15" fillId="20" borderId="7" xfId="0" applyFont="1" applyFill="1" applyBorder="1" applyAlignment="1">
      <alignment horizontal="center" vertical="center" wrapText="1"/>
    </xf>
    <xf numFmtId="0" fontId="15" fillId="20" borderId="6" xfId="0" applyFont="1" applyFill="1" applyBorder="1" applyAlignment="1">
      <alignment horizontal="center" vertical="center" wrapText="1"/>
    </xf>
    <xf numFmtId="0" fontId="15" fillId="20" borderId="8" xfId="0" applyFont="1" applyFill="1" applyBorder="1" applyAlignment="1">
      <alignment horizontal="center" vertical="center" wrapText="1"/>
    </xf>
    <xf numFmtId="0" fontId="15" fillId="20" borderId="13" xfId="0" applyFont="1" applyFill="1" applyBorder="1" applyAlignment="1">
      <alignment horizontal="center" vertical="center" wrapText="1"/>
    </xf>
    <xf numFmtId="0" fontId="15" fillId="20" borderId="11" xfId="0" applyFont="1" applyFill="1" applyBorder="1" applyAlignment="1">
      <alignment horizontal="center" vertical="center" wrapText="1"/>
    </xf>
    <xf numFmtId="0" fontId="2" fillId="20" borderId="4" xfId="0" applyFont="1" applyFill="1" applyBorder="1" applyAlignment="1">
      <alignment horizontal="center" vertical="center" wrapText="1"/>
    </xf>
    <xf numFmtId="0" fontId="5" fillId="4" borderId="11" xfId="0" applyFont="1" applyFill="1" applyBorder="1" applyAlignment="1">
      <alignment horizontal="left" vertical="center" indent="1"/>
    </xf>
    <xf numFmtId="1" fontId="0" fillId="4" borderId="33" xfId="0" applyNumberFormat="1" applyFill="1" applyBorder="1" applyAlignment="1">
      <alignment horizontal="left" vertical="center" indent="1"/>
    </xf>
    <xf numFmtId="1" fontId="0" fillId="4" borderId="29" xfId="0" applyNumberFormat="1" applyFill="1" applyBorder="1" applyAlignment="1">
      <alignment horizontal="left" vertical="center" indent="1"/>
    </xf>
    <xf numFmtId="9" fontId="0" fillId="3" borderId="5" xfId="2" applyFont="1" applyFill="1" applyBorder="1" applyAlignment="1" applyProtection="1">
      <alignment horizontal="left" vertical="center" indent="1"/>
    </xf>
    <xf numFmtId="9" fontId="0" fillId="3" borderId="10" xfId="2" applyFont="1" applyFill="1" applyBorder="1" applyAlignment="1" applyProtection="1">
      <alignment horizontal="left" vertical="center" indent="1"/>
    </xf>
    <xf numFmtId="0" fontId="0" fillId="3" borderId="33" xfId="0" applyFill="1" applyBorder="1" applyAlignment="1">
      <alignment horizontal="left" vertical="center" indent="1"/>
    </xf>
    <xf numFmtId="0" fontId="0" fillId="3" borderId="29" xfId="0" applyFill="1" applyBorder="1" applyAlignment="1">
      <alignment horizontal="left" vertical="center" indent="1"/>
    </xf>
    <xf numFmtId="1" fontId="0" fillId="4" borderId="5" xfId="0" applyNumberFormat="1" applyFill="1" applyBorder="1" applyAlignment="1">
      <alignment horizontal="left" vertical="center" indent="1"/>
    </xf>
    <xf numFmtId="1" fontId="0" fillId="4" borderId="10" xfId="0" applyNumberFormat="1" applyFill="1" applyBorder="1" applyAlignment="1">
      <alignment horizontal="left" vertical="center" indent="1"/>
    </xf>
    <xf numFmtId="0" fontId="3" fillId="3" borderId="0" xfId="0" applyFont="1" applyFill="1" applyAlignment="1">
      <alignment horizontal="left" vertical="center"/>
    </xf>
    <xf numFmtId="0" fontId="3" fillId="4" borderId="34" xfId="0" applyFont="1" applyFill="1" applyBorder="1" applyAlignment="1">
      <alignment horizontal="left" vertical="center" indent="1"/>
    </xf>
    <xf numFmtId="0" fontId="3" fillId="4" borderId="35" xfId="0" applyFont="1" applyFill="1" applyBorder="1" applyAlignment="1">
      <alignment horizontal="left" vertical="center" indent="1"/>
    </xf>
    <xf numFmtId="0" fontId="0" fillId="3" borderId="0" xfId="0" applyFill="1" applyAlignment="1">
      <alignment horizontal="right" vertical="center" indent="1"/>
    </xf>
    <xf numFmtId="0" fontId="0" fillId="3" borderId="12" xfId="0" applyFill="1" applyBorder="1" applyAlignment="1">
      <alignment horizontal="right" vertical="center" indent="1"/>
    </xf>
    <xf numFmtId="1" fontId="3" fillId="4" borderId="34" xfId="0" applyNumberFormat="1" applyFont="1" applyFill="1" applyBorder="1" applyAlignment="1">
      <alignment horizontal="left" vertical="center" indent="1"/>
    </xf>
    <xf numFmtId="1" fontId="3" fillId="4" borderId="35" xfId="0" applyNumberFormat="1" applyFont="1" applyFill="1" applyBorder="1" applyAlignment="1">
      <alignment horizontal="left" vertical="center" indent="1"/>
    </xf>
    <xf numFmtId="0" fontId="5" fillId="3" borderId="0" xfId="0" applyFont="1" applyFill="1" applyAlignment="1">
      <alignment vertical="center" wrapText="1"/>
    </xf>
    <xf numFmtId="0" fontId="0" fillId="4" borderId="10" xfId="0" applyFill="1" applyBorder="1" applyAlignment="1">
      <alignment horizontal="center" vertical="center"/>
    </xf>
    <xf numFmtId="0" fontId="0" fillId="4" borderId="4" xfId="0" applyFill="1" applyBorder="1" applyAlignment="1">
      <alignment horizontal="center" vertical="center"/>
    </xf>
    <xf numFmtId="5" fontId="0" fillId="23" borderId="4" xfId="1" applyNumberFormat="1" applyFont="1" applyFill="1" applyBorder="1" applyAlignment="1" applyProtection="1">
      <alignment horizontal="left" vertical="center" indent="1"/>
      <protection locked="0"/>
    </xf>
    <xf numFmtId="0" fontId="0" fillId="23" borderId="9" xfId="1" applyNumberFormat="1" applyFont="1" applyFill="1" applyBorder="1" applyAlignment="1" applyProtection="1">
      <alignment horizontal="left" vertical="center" indent="1"/>
      <protection locked="0"/>
    </xf>
    <xf numFmtId="5" fontId="0" fillId="23" borderId="33" xfId="1" applyNumberFormat="1" applyFont="1" applyFill="1" applyBorder="1" applyAlignment="1" applyProtection="1">
      <alignment horizontal="left" vertical="center" indent="1"/>
      <protection locked="0"/>
    </xf>
    <xf numFmtId="5" fontId="0" fillId="23" borderId="29" xfId="1" applyNumberFormat="1" applyFont="1" applyFill="1" applyBorder="1" applyAlignment="1" applyProtection="1">
      <alignment horizontal="left" vertical="center" indent="1"/>
      <protection locked="0"/>
    </xf>
    <xf numFmtId="0" fontId="3" fillId="3" borderId="18" xfId="0" applyFont="1" applyFill="1" applyBorder="1" applyAlignment="1">
      <alignment horizontal="left" vertical="center" indent="1"/>
    </xf>
    <xf numFmtId="0" fontId="3" fillId="3" borderId="0" xfId="0" applyFont="1" applyFill="1" applyAlignment="1">
      <alignment horizontal="left" vertical="center" indent="1"/>
    </xf>
    <xf numFmtId="0" fontId="5" fillId="3" borderId="33" xfId="0" applyFont="1" applyFill="1" applyBorder="1" applyAlignment="1">
      <alignment horizontal="left" vertical="center" indent="1"/>
    </xf>
    <xf numFmtId="0" fontId="5" fillId="3" borderId="29" xfId="0" applyFont="1" applyFill="1" applyBorder="1" applyAlignment="1">
      <alignment horizontal="left" vertical="center" indent="1"/>
    </xf>
    <xf numFmtId="0" fontId="3" fillId="3" borderId="0" xfId="0" applyFont="1" applyFill="1" applyAlignment="1">
      <alignment horizontal="right" vertical="center" indent="1"/>
    </xf>
    <xf numFmtId="0" fontId="3" fillId="3" borderId="12" xfId="0" applyFont="1" applyFill="1" applyBorder="1" applyAlignment="1">
      <alignment horizontal="right" vertical="center" indent="1"/>
    </xf>
    <xf numFmtId="0" fontId="0" fillId="3" borderId="6" xfId="0" applyFill="1" applyBorder="1" applyAlignment="1">
      <alignment horizontal="left" vertical="center"/>
    </xf>
    <xf numFmtId="5" fontId="5" fillId="4" borderId="11" xfId="1" applyNumberFormat="1" applyFont="1" applyFill="1" applyBorder="1" applyAlignment="1" applyProtection="1">
      <alignment horizontal="left" vertical="center" indent="1"/>
    </xf>
    <xf numFmtId="0" fontId="0" fillId="3" borderId="0" xfId="0" applyFill="1" applyAlignment="1">
      <alignment horizontal="left" vertical="center" wrapText="1" indent="1"/>
    </xf>
    <xf numFmtId="0" fontId="0" fillId="5" borderId="9" xfId="0" applyFill="1" applyBorder="1" applyAlignment="1">
      <alignment horizontal="right" vertical="center" indent="1"/>
    </xf>
    <xf numFmtId="0" fontId="0" fillId="5" borderId="10" xfId="0" applyFill="1" applyBorder="1" applyAlignment="1">
      <alignment horizontal="right" vertical="center" indent="1"/>
    </xf>
    <xf numFmtId="0" fontId="0" fillId="3" borderId="0" xfId="0" quotePrefix="1" applyFill="1" applyAlignment="1">
      <alignment horizontal="left" vertical="center" indent="2"/>
    </xf>
    <xf numFmtId="0" fontId="0" fillId="3" borderId="12" xfId="0" quotePrefix="1" applyFill="1" applyBorder="1" applyAlignment="1">
      <alignment horizontal="left" vertical="center" indent="2"/>
    </xf>
    <xf numFmtId="0" fontId="0" fillId="3" borderId="20" xfId="0" applyFill="1" applyBorder="1" applyAlignment="1">
      <alignment horizontal="left" vertical="center" indent="1"/>
    </xf>
    <xf numFmtId="0" fontId="74" fillId="3" borderId="0" xfId="0" quotePrefix="1" applyFont="1" applyFill="1" applyAlignment="1">
      <alignment horizontal="left" vertical="center" indent="4"/>
    </xf>
    <xf numFmtId="0" fontId="74" fillId="3" borderId="12" xfId="0" quotePrefix="1" applyFont="1" applyFill="1" applyBorder="1" applyAlignment="1">
      <alignment horizontal="left" vertical="center" indent="4"/>
    </xf>
    <xf numFmtId="0" fontId="0" fillId="23" borderId="14" xfId="0" applyFill="1" applyBorder="1" applyAlignment="1" applyProtection="1">
      <alignment horizontal="left" vertical="center" indent="1"/>
      <protection locked="0"/>
    </xf>
    <xf numFmtId="0" fontId="0" fillId="33" borderId="0" xfId="0" applyFill="1" applyAlignment="1">
      <alignment horizontal="left" vertical="center"/>
    </xf>
    <xf numFmtId="0" fontId="44" fillId="3" borderId="0" xfId="0" applyFont="1" applyFill="1" applyAlignment="1">
      <alignment horizontal="left" vertical="center"/>
    </xf>
    <xf numFmtId="0" fontId="0" fillId="3" borderId="0" xfId="0" quotePrefix="1" applyFill="1" applyAlignment="1">
      <alignment horizontal="left" indent="1"/>
    </xf>
    <xf numFmtId="0" fontId="0" fillId="3" borderId="0" xfId="0" applyFill="1" applyAlignment="1">
      <alignment horizontal="left" indent="1"/>
    </xf>
    <xf numFmtId="0" fontId="0" fillId="3" borderId="0" xfId="0" quotePrefix="1" applyFill="1" applyAlignment="1">
      <alignment horizontal="left" vertical="center" indent="1"/>
    </xf>
    <xf numFmtId="0" fontId="0" fillId="3" borderId="20" xfId="0" quotePrefix="1" applyFill="1" applyBorder="1" applyAlignment="1">
      <alignment horizontal="left" indent="1"/>
    </xf>
    <xf numFmtId="9" fontId="0" fillId="23" borderId="5" xfId="1" applyNumberFormat="1" applyFont="1" applyFill="1" applyBorder="1" applyAlignment="1" applyProtection="1">
      <alignment horizontal="left" vertical="center" indent="1"/>
      <protection locked="0"/>
    </xf>
    <xf numFmtId="9" fontId="0" fillId="23" borderId="10" xfId="1" applyNumberFormat="1" applyFont="1" applyFill="1" applyBorder="1" applyAlignment="1" applyProtection="1">
      <alignment horizontal="left" vertical="center" indent="1"/>
      <protection locked="0"/>
    </xf>
    <xf numFmtId="165" fontId="15" fillId="20" borderId="4" xfId="0" applyNumberFormat="1" applyFont="1" applyFill="1" applyBorder="1" applyAlignment="1">
      <alignment horizontal="center" vertical="center"/>
    </xf>
    <xf numFmtId="0" fontId="0" fillId="3" borderId="4" xfId="0" applyFill="1" applyBorder="1" applyAlignment="1">
      <alignment horizontal="left" indent="1"/>
    </xf>
    <xf numFmtId="0" fontId="5" fillId="33" borderId="0" xfId="0" applyFont="1" applyFill="1" applyAlignment="1">
      <alignment horizontal="left" vertical="center"/>
    </xf>
    <xf numFmtId="0" fontId="0" fillId="23" borderId="4" xfId="0" applyFill="1" applyBorder="1" applyAlignment="1" applyProtection="1">
      <alignment horizontal="left" indent="1"/>
      <protection locked="0"/>
    </xf>
    <xf numFmtId="0" fontId="0" fillId="3" borderId="12" xfId="0" applyFill="1" applyBorder="1" applyAlignment="1">
      <alignment horizontal="left" vertical="center" indent="1"/>
    </xf>
    <xf numFmtId="165" fontId="15" fillId="20" borderId="5" xfId="0" applyNumberFormat="1" applyFont="1" applyFill="1" applyBorder="1" applyAlignment="1">
      <alignment horizontal="center" vertical="center" wrapText="1"/>
    </xf>
    <xf numFmtId="165" fontId="15" fillId="20" borderId="10" xfId="0" applyNumberFormat="1" applyFont="1" applyFill="1" applyBorder="1" applyAlignment="1">
      <alignment horizontal="center" vertical="center" wrapText="1"/>
    </xf>
    <xf numFmtId="0" fontId="20" fillId="3" borderId="0" xfId="0" quotePrefix="1" applyFont="1" applyFill="1" applyAlignment="1">
      <alignment horizontal="left" vertical="center"/>
    </xf>
    <xf numFmtId="0" fontId="20" fillId="3" borderId="12" xfId="0" quotePrefix="1" applyFont="1" applyFill="1" applyBorder="1" applyAlignment="1">
      <alignment horizontal="left" vertical="center"/>
    </xf>
    <xf numFmtId="0" fontId="20" fillId="3" borderId="21" xfId="0" quotePrefix="1" applyFont="1" applyFill="1" applyBorder="1" applyAlignment="1">
      <alignment vertical="center"/>
    </xf>
    <xf numFmtId="0" fontId="20" fillId="3" borderId="76" xfId="0" quotePrefix="1" applyFont="1" applyFill="1" applyBorder="1" applyAlignment="1">
      <alignment vertical="center"/>
    </xf>
    <xf numFmtId="0" fontId="0" fillId="3" borderId="0" xfId="0" quotePrefix="1" applyFill="1" applyAlignment="1">
      <alignment horizontal="left" indent="2"/>
    </xf>
    <xf numFmtId="0" fontId="0" fillId="3" borderId="0" xfId="0" applyFill="1" applyAlignment="1">
      <alignment horizontal="left" indent="2"/>
    </xf>
    <xf numFmtId="0" fontId="0" fillId="3" borderId="20" xfId="0" quotePrefix="1" applyFill="1" applyBorder="1" applyAlignment="1">
      <alignment horizontal="left" indent="2"/>
    </xf>
    <xf numFmtId="0" fontId="3" fillId="3" borderId="0" xfId="0" quotePrefix="1" applyFont="1" applyFill="1" applyAlignment="1">
      <alignment horizontal="left" vertical="center"/>
    </xf>
    <xf numFmtId="0" fontId="32" fillId="3" borderId="0" xfId="0" quotePrefix="1" applyFont="1" applyFill="1" applyAlignment="1">
      <alignment horizontal="left" vertical="center" indent="1"/>
    </xf>
    <xf numFmtId="0" fontId="32" fillId="3" borderId="20" xfId="0" quotePrefix="1" applyFont="1" applyFill="1" applyBorder="1" applyAlignment="1">
      <alignment horizontal="left" vertical="center" indent="1"/>
    </xf>
    <xf numFmtId="0" fontId="32" fillId="3" borderId="20" xfId="0" quotePrefix="1" applyFont="1" applyFill="1" applyBorder="1" applyAlignment="1">
      <alignment horizontal="left" vertical="center" indent="2"/>
    </xf>
    <xf numFmtId="0" fontId="32" fillId="3" borderId="19" xfId="0" quotePrefix="1" applyFont="1" applyFill="1" applyBorder="1" applyAlignment="1">
      <alignment horizontal="left" vertical="center" indent="2"/>
    </xf>
    <xf numFmtId="0" fontId="1" fillId="23" borderId="4" xfId="1" applyNumberFormat="1" applyFont="1" applyFill="1" applyBorder="1" applyAlignment="1" applyProtection="1">
      <alignment horizontal="left" vertical="center" indent="1"/>
      <protection locked="0"/>
    </xf>
    <xf numFmtId="0" fontId="32" fillId="3" borderId="0" xfId="0" applyFont="1" applyFill="1" applyAlignment="1">
      <alignment horizontal="left" vertical="center" wrapText="1" indent="1"/>
    </xf>
    <xf numFmtId="0" fontId="5" fillId="3" borderId="5" xfId="0" applyFont="1" applyFill="1" applyBorder="1" applyAlignment="1">
      <alignment horizontal="left" vertical="center" indent="1"/>
    </xf>
    <xf numFmtId="0" fontId="5" fillId="3" borderId="10" xfId="0" applyFont="1" applyFill="1" applyBorder="1" applyAlignment="1">
      <alignment horizontal="left" vertical="center" indent="1"/>
    </xf>
    <xf numFmtId="0" fontId="5" fillId="23" borderId="5" xfId="0" applyFont="1" applyFill="1" applyBorder="1" applyAlignment="1" applyProtection="1">
      <alignment horizontal="left" vertical="center" indent="1"/>
      <protection locked="0"/>
    </xf>
    <xf numFmtId="0" fontId="5" fillId="23" borderId="10" xfId="0" applyFont="1" applyFill="1" applyBorder="1" applyAlignment="1" applyProtection="1">
      <alignment horizontal="left" vertical="center" indent="1"/>
      <protection locked="0"/>
    </xf>
    <xf numFmtId="0" fontId="0" fillId="23" borderId="4" xfId="1" applyNumberFormat="1" applyFont="1" applyFill="1" applyBorder="1" applyAlignment="1" applyProtection="1">
      <alignment horizontal="left" vertical="center" indent="1"/>
      <protection locked="0"/>
    </xf>
    <xf numFmtId="0" fontId="3" fillId="3" borderId="12" xfId="0" applyFont="1" applyFill="1" applyBorder="1" applyAlignment="1">
      <alignment vertical="center"/>
    </xf>
    <xf numFmtId="0" fontId="0" fillId="3" borderId="16" xfId="0" applyFill="1" applyBorder="1" applyAlignment="1">
      <alignment horizontal="right" vertical="center" indent="1"/>
    </xf>
    <xf numFmtId="0" fontId="0" fillId="3" borderId="16" xfId="0" applyFill="1" applyBorder="1" applyAlignment="1">
      <alignment horizontal="right" indent="1"/>
    </xf>
    <xf numFmtId="0" fontId="0" fillId="3" borderId="17" xfId="0" applyFill="1" applyBorder="1" applyAlignment="1">
      <alignment horizontal="right" indent="1"/>
    </xf>
    <xf numFmtId="0" fontId="0" fillId="2" borderId="0" xfId="0" applyFill="1"/>
    <xf numFmtId="0" fontId="5" fillId="10" borderId="4" xfId="0" applyFont="1" applyFill="1" applyBorder="1" applyAlignment="1">
      <alignment horizontal="center" vertical="center" wrapText="1"/>
    </xf>
    <xf numFmtId="169" fontId="0" fillId="16" borderId="5" xfId="2" applyNumberFormat="1" applyFont="1" applyFill="1" applyBorder="1" applyAlignment="1" applyProtection="1">
      <alignment horizontal="left" vertical="center" indent="1"/>
    </xf>
    <xf numFmtId="169" fontId="0" fillId="16" borderId="10" xfId="2" applyNumberFormat="1" applyFont="1" applyFill="1" applyBorder="1" applyAlignment="1" applyProtection="1">
      <alignment horizontal="left" vertical="center" indent="1"/>
    </xf>
    <xf numFmtId="0" fontId="0" fillId="23" borderId="9" xfId="0" applyFill="1" applyBorder="1" applyAlignment="1" applyProtection="1">
      <alignment vertical="center"/>
      <protection locked="0"/>
    </xf>
    <xf numFmtId="0" fontId="0" fillId="23" borderId="10" xfId="0" applyFill="1" applyBorder="1" applyAlignment="1" applyProtection="1">
      <alignment vertical="center"/>
      <protection locked="0"/>
    </xf>
    <xf numFmtId="0" fontId="0" fillId="23" borderId="6" xfId="0" applyFill="1" applyBorder="1" applyAlignment="1" applyProtection="1">
      <alignment vertical="center"/>
      <protection locked="0"/>
    </xf>
    <xf numFmtId="0" fontId="0" fillId="23" borderId="8" xfId="0" applyFill="1" applyBorder="1" applyAlignment="1" applyProtection="1">
      <alignment vertical="center"/>
      <protection locked="0"/>
    </xf>
    <xf numFmtId="0" fontId="9" fillId="0" borderId="0" xfId="0" applyFont="1" applyAlignment="1">
      <alignment horizontal="right" vertical="center" indent="1"/>
    </xf>
    <xf numFmtId="0" fontId="9" fillId="25" borderId="5" xfId="0" applyFont="1" applyFill="1" applyBorder="1" applyAlignment="1">
      <alignment horizontal="left" vertical="center" wrapText="1" indent="1"/>
    </xf>
    <xf numFmtId="0" fontId="9" fillId="25" borderId="9" xfId="0" applyFont="1" applyFill="1" applyBorder="1" applyAlignment="1">
      <alignment horizontal="left" vertical="center" wrapText="1" indent="1"/>
    </xf>
    <xf numFmtId="0" fontId="5" fillId="3" borderId="9" xfId="0" applyFont="1" applyFill="1" applyBorder="1" applyAlignment="1">
      <alignment horizontal="left" vertical="center" indent="1"/>
    </xf>
    <xf numFmtId="9" fontId="5" fillId="3" borderId="5" xfId="2" applyFont="1" applyFill="1" applyBorder="1" applyAlignment="1" applyProtection="1">
      <alignment horizontal="left" vertical="center" indent="1"/>
    </xf>
    <xf numFmtId="9" fontId="5" fillId="3" borderId="9" xfId="2" applyFont="1" applyFill="1" applyBorder="1" applyAlignment="1" applyProtection="1">
      <alignment horizontal="left" vertical="center" indent="1"/>
    </xf>
    <xf numFmtId="9" fontId="5" fillId="3" borderId="10" xfId="2" applyFont="1" applyFill="1" applyBorder="1" applyAlignment="1" applyProtection="1">
      <alignment horizontal="left" vertical="center" indent="1"/>
    </xf>
    <xf numFmtId="0" fontId="0" fillId="3" borderId="11" xfId="0" applyFill="1" applyBorder="1" applyAlignment="1">
      <alignment horizontal="left" vertical="center" indent="1"/>
    </xf>
    <xf numFmtId="0" fontId="9" fillId="25" borderId="7" xfId="0" applyFont="1" applyFill="1" applyBorder="1" applyAlignment="1">
      <alignment horizontal="left" vertical="center" wrapText="1" indent="1"/>
    </xf>
    <xf numFmtId="0" fontId="9" fillId="25" borderId="6" xfId="0" applyFont="1" applyFill="1" applyBorder="1" applyAlignment="1">
      <alignment horizontal="left" vertical="center" wrapText="1" indent="1"/>
    </xf>
    <xf numFmtId="0" fontId="0" fillId="4" borderId="9" xfId="0" applyFill="1" applyBorder="1" applyAlignment="1">
      <alignment vertical="center"/>
    </xf>
    <xf numFmtId="0" fontId="0" fillId="4" borderId="15" xfId="0" applyFill="1" applyBorder="1" applyAlignment="1">
      <alignment horizontal="left" vertical="center" indent="1"/>
    </xf>
    <xf numFmtId="0" fontId="0" fillId="4" borderId="16" xfId="0" applyFill="1" applyBorder="1" applyAlignment="1">
      <alignment horizontal="left" vertical="center" indent="1"/>
    </xf>
    <xf numFmtId="9" fontId="5" fillId="4" borderId="5" xfId="2" applyFont="1" applyFill="1" applyBorder="1" applyAlignment="1" applyProtection="1">
      <alignment horizontal="left" vertical="center" indent="1"/>
    </xf>
    <xf numFmtId="9" fontId="5" fillId="4" borderId="9" xfId="2" applyFont="1" applyFill="1" applyBorder="1" applyAlignment="1" applyProtection="1">
      <alignment horizontal="left" vertical="center" indent="1"/>
    </xf>
    <xf numFmtId="0" fontId="5" fillId="4" borderId="5" xfId="0" applyFont="1" applyFill="1" applyBorder="1" applyAlignment="1">
      <alignment horizontal="left" vertical="center" indent="1"/>
    </xf>
    <xf numFmtId="0" fontId="5" fillId="4" borderId="9" xfId="0" applyFont="1" applyFill="1" applyBorder="1" applyAlignment="1">
      <alignment horizontal="left" vertical="center" indent="1"/>
    </xf>
    <xf numFmtId="0" fontId="0" fillId="14" borderId="9" xfId="0" applyFill="1" applyBorder="1" applyAlignment="1">
      <alignment horizontal="right" vertical="center" indent="1"/>
    </xf>
    <xf numFmtId="0" fontId="0" fillId="14" borderId="10" xfId="0" applyFill="1" applyBorder="1" applyAlignment="1">
      <alignment horizontal="right" vertical="center" indent="1"/>
    </xf>
    <xf numFmtId="0" fontId="0" fillId="14" borderId="6" xfId="0" applyFill="1" applyBorder="1" applyAlignment="1">
      <alignment horizontal="left" vertical="center"/>
    </xf>
    <xf numFmtId="0" fontId="31" fillId="14" borderId="7" xfId="0" applyFont="1" applyFill="1" applyBorder="1" applyAlignment="1">
      <alignment horizontal="left" vertical="center" indent="1"/>
    </xf>
    <xf numFmtId="0" fontId="31" fillId="14" borderId="6" xfId="0" applyFont="1" applyFill="1" applyBorder="1" applyAlignment="1">
      <alignment horizontal="left" vertical="center" indent="1"/>
    </xf>
    <xf numFmtId="0" fontId="5" fillId="24" borderId="7" xfId="0" applyFont="1" applyFill="1" applyBorder="1" applyAlignment="1">
      <alignment horizontal="center" vertical="center" wrapText="1"/>
    </xf>
    <xf numFmtId="0" fontId="5" fillId="24" borderId="6" xfId="0" applyFont="1" applyFill="1" applyBorder="1" applyAlignment="1">
      <alignment horizontal="center" vertical="center" wrapText="1"/>
    </xf>
    <xf numFmtId="0" fontId="5" fillId="24" borderId="8" xfId="0" applyFont="1" applyFill="1" applyBorder="1" applyAlignment="1">
      <alignment horizontal="center" vertical="center" wrapText="1"/>
    </xf>
    <xf numFmtId="0" fontId="9" fillId="0" borderId="0" xfId="0" applyFont="1" applyAlignment="1">
      <alignment horizontal="right" vertical="center" indent="5"/>
    </xf>
    <xf numFmtId="0" fontId="9" fillId="0" borderId="12" xfId="0" applyFont="1" applyBorder="1" applyAlignment="1">
      <alignment horizontal="right" vertical="center" indent="5"/>
    </xf>
    <xf numFmtId="0" fontId="3" fillId="3" borderId="0" xfId="0" applyFont="1" applyFill="1" applyAlignment="1">
      <alignment horizontal="right" vertical="center" indent="5"/>
    </xf>
    <xf numFmtId="0" fontId="3" fillId="3" borderId="12" xfId="0" applyFont="1" applyFill="1" applyBorder="1" applyAlignment="1">
      <alignment horizontal="right" vertical="center" indent="5"/>
    </xf>
    <xf numFmtId="0" fontId="0" fillId="34" borderId="0" xfId="0" applyFill="1" applyAlignment="1">
      <alignment horizontal="left" vertical="center"/>
    </xf>
    <xf numFmtId="0" fontId="0" fillId="3" borderId="12" xfId="0" applyFill="1" applyBorder="1" applyAlignment="1">
      <alignment vertical="center" wrapText="1"/>
    </xf>
    <xf numFmtId="0" fontId="0" fillId="3" borderId="12" xfId="0" applyFill="1" applyBorder="1"/>
    <xf numFmtId="0" fontId="0" fillId="3" borderId="16" xfId="0" applyFill="1" applyBorder="1"/>
    <xf numFmtId="0" fontId="0" fillId="3" borderId="12" xfId="0" applyFill="1" applyBorder="1" applyAlignment="1">
      <alignment horizontal="left" vertical="center" wrapText="1" indent="1"/>
    </xf>
    <xf numFmtId="0" fontId="0" fillId="3" borderId="12" xfId="0" applyFill="1" applyBorder="1" applyAlignment="1">
      <alignment horizontal="left" indent="1"/>
    </xf>
    <xf numFmtId="0" fontId="0" fillId="24" borderId="5" xfId="0" applyFill="1" applyBorder="1" applyAlignment="1">
      <alignment horizontal="center" vertical="center" wrapText="1"/>
    </xf>
    <xf numFmtId="0" fontId="0" fillId="24" borderId="10" xfId="0" applyFill="1" applyBorder="1" applyAlignment="1">
      <alignment horizontal="center" vertical="center" wrapText="1"/>
    </xf>
    <xf numFmtId="0" fontId="0" fillId="3" borderId="19" xfId="0" applyFill="1" applyBorder="1" applyAlignment="1">
      <alignment horizontal="left" vertical="center" indent="1"/>
    </xf>
    <xf numFmtId="0" fontId="0" fillId="23" borderId="4" xfId="2" applyNumberFormat="1" applyFont="1" applyFill="1" applyBorder="1" applyAlignment="1" applyProtection="1">
      <alignment horizontal="left" vertical="center" indent="1"/>
      <protection locked="0"/>
    </xf>
    <xf numFmtId="0" fontId="0" fillId="23" borderId="5" xfId="2" applyNumberFormat="1" applyFont="1" applyFill="1" applyBorder="1" applyAlignment="1" applyProtection="1">
      <alignment horizontal="left" vertical="center" indent="1"/>
      <protection locked="0"/>
    </xf>
    <xf numFmtId="0" fontId="0" fillId="23" borderId="10" xfId="2" applyNumberFormat="1" applyFont="1" applyFill="1" applyBorder="1" applyAlignment="1" applyProtection="1">
      <alignment horizontal="left" vertical="center" indent="1"/>
      <protection locked="0"/>
    </xf>
    <xf numFmtId="165" fontId="45" fillId="3" borderId="9" xfId="0" applyNumberFormat="1" applyFont="1" applyFill="1" applyBorder="1" applyAlignment="1">
      <alignment horizontal="left" vertical="center" indent="1"/>
    </xf>
    <xf numFmtId="165" fontId="45" fillId="3" borderId="10" xfId="0" applyNumberFormat="1" applyFont="1" applyFill="1" applyBorder="1" applyAlignment="1">
      <alignment horizontal="left" vertical="center" indent="1"/>
    </xf>
    <xf numFmtId="5" fontId="45" fillId="3" borderId="34" xfId="0" applyNumberFormat="1" applyFont="1" applyFill="1" applyBorder="1" applyAlignment="1">
      <alignment horizontal="left" vertical="center" indent="1"/>
    </xf>
    <xf numFmtId="5" fontId="45" fillId="3" borderId="63" xfId="0" applyNumberFormat="1" applyFont="1" applyFill="1" applyBorder="1" applyAlignment="1">
      <alignment horizontal="left" vertical="center" indent="1"/>
    </xf>
    <xf numFmtId="5" fontId="45" fillId="3" borderId="35" xfId="0" applyNumberFormat="1" applyFont="1" applyFill="1" applyBorder="1" applyAlignment="1">
      <alignment horizontal="left" vertical="center" indent="1"/>
    </xf>
    <xf numFmtId="0" fontId="53" fillId="2" borderId="9" xfId="0" applyFont="1" applyFill="1" applyBorder="1" applyAlignment="1">
      <alignment horizontal="right" vertical="center" indent="1"/>
    </xf>
    <xf numFmtId="0" fontId="53" fillId="2" borderId="10" xfId="0" applyFont="1" applyFill="1" applyBorder="1" applyAlignment="1">
      <alignment horizontal="right" vertical="center" indent="1"/>
    </xf>
    <xf numFmtId="0" fontId="45" fillId="3" borderId="5" xfId="0" applyFont="1" applyFill="1" applyBorder="1" applyAlignment="1">
      <alignment horizontal="left" vertical="center" indent="1"/>
    </xf>
    <xf numFmtId="0" fontId="45" fillId="3" borderId="10" xfId="0" applyFont="1" applyFill="1" applyBorder="1" applyAlignment="1">
      <alignment horizontal="left" vertical="center" indent="1"/>
    </xf>
    <xf numFmtId="0" fontId="45" fillId="3" borderId="9" xfId="0" applyFont="1" applyFill="1" applyBorder="1" applyAlignment="1">
      <alignment horizontal="left" vertical="center" indent="1"/>
    </xf>
    <xf numFmtId="0" fontId="56" fillId="3" borderId="0" xfId="0" applyFont="1" applyFill="1" applyAlignment="1">
      <alignment horizontal="left" vertical="center" indent="1"/>
    </xf>
    <xf numFmtId="0" fontId="56" fillId="3" borderId="0" xfId="0" applyFont="1" applyFill="1" applyAlignment="1">
      <alignment vertical="center"/>
    </xf>
    <xf numFmtId="0" fontId="55" fillId="3" borderId="0" xfId="0" applyFont="1" applyFill="1" applyAlignment="1">
      <alignment vertical="center"/>
    </xf>
    <xf numFmtId="0" fontId="55" fillId="33" borderId="0" xfId="0" applyFont="1" applyFill="1" applyAlignment="1">
      <alignment vertical="center"/>
    </xf>
    <xf numFmtId="0" fontId="45" fillId="3" borderId="0" xfId="0" applyFont="1" applyFill="1" applyAlignment="1">
      <alignment horizontal="left" vertical="center" indent="1"/>
    </xf>
    <xf numFmtId="0" fontId="45" fillId="3" borderId="12" xfId="0" applyFont="1" applyFill="1" applyBorder="1" applyAlignment="1">
      <alignment horizontal="left" vertical="center" indent="1"/>
    </xf>
    <xf numFmtId="0" fontId="45" fillId="3" borderId="0" xfId="0" applyFont="1" applyFill="1" applyAlignment="1">
      <alignment vertical="center"/>
    </xf>
    <xf numFmtId="0" fontId="45" fillId="3" borderId="0" xfId="0" applyFont="1" applyFill="1" applyAlignment="1">
      <alignment horizontal="left" vertical="center" indent="3"/>
    </xf>
    <xf numFmtId="0" fontId="45" fillId="3" borderId="12" xfId="0" applyFont="1" applyFill="1" applyBorder="1" applyAlignment="1">
      <alignment horizontal="left" vertical="center" indent="3"/>
    </xf>
    <xf numFmtId="0" fontId="45" fillId="5" borderId="9" xfId="0" applyFont="1" applyFill="1" applyBorder="1" applyAlignment="1">
      <alignment horizontal="right" vertical="center" indent="1"/>
    </xf>
    <xf numFmtId="0" fontId="45" fillId="5" borderId="10" xfId="0" applyFont="1" applyFill="1" applyBorder="1" applyAlignment="1">
      <alignment horizontal="right" vertical="center" indent="1"/>
    </xf>
    <xf numFmtId="165" fontId="45" fillId="3" borderId="63" xfId="0" applyNumberFormat="1" applyFont="1" applyFill="1" applyBorder="1" applyAlignment="1">
      <alignment horizontal="left" vertical="center" indent="1"/>
    </xf>
    <xf numFmtId="165" fontId="45" fillId="3" borderId="35" xfId="0" applyNumberFormat="1" applyFont="1" applyFill="1" applyBorder="1" applyAlignment="1">
      <alignment horizontal="left" vertical="center" indent="1"/>
    </xf>
    <xf numFmtId="0" fontId="45" fillId="3" borderId="33" xfId="0" applyFont="1" applyFill="1" applyBorder="1" applyAlignment="1">
      <alignment horizontal="left" vertical="center" indent="1"/>
    </xf>
    <xf numFmtId="0" fontId="45" fillId="3" borderId="36" xfId="0" applyFont="1" applyFill="1" applyBorder="1" applyAlignment="1">
      <alignment horizontal="left" vertical="center" indent="1"/>
    </xf>
    <xf numFmtId="0" fontId="45" fillId="3" borderId="7" xfId="0" applyFont="1" applyFill="1" applyBorder="1" applyAlignment="1">
      <alignment horizontal="left" vertical="center" indent="1"/>
    </xf>
    <xf numFmtId="0" fontId="45" fillId="3" borderId="6" xfId="0" applyFont="1" applyFill="1" applyBorder="1" applyAlignment="1">
      <alignment horizontal="left" vertical="center" indent="1"/>
    </xf>
    <xf numFmtId="5" fontId="45" fillId="3" borderId="14" xfId="0" applyNumberFormat="1" applyFont="1" applyFill="1" applyBorder="1" applyAlignment="1">
      <alignment horizontal="left" vertical="center" indent="1"/>
    </xf>
    <xf numFmtId="5" fontId="56" fillId="3" borderId="0" xfId="0" applyNumberFormat="1" applyFont="1" applyFill="1" applyAlignment="1">
      <alignment vertical="center"/>
    </xf>
    <xf numFmtId="0" fontId="45" fillId="3" borderId="9" xfId="0" applyFont="1" applyFill="1" applyBorder="1" applyAlignment="1">
      <alignment vertical="center"/>
    </xf>
    <xf numFmtId="0" fontId="45" fillId="3" borderId="10" xfId="0" applyFont="1" applyFill="1" applyBorder="1" applyAlignment="1">
      <alignment vertical="center"/>
    </xf>
    <xf numFmtId="0" fontId="45" fillId="3" borderId="36" xfId="0" applyFont="1" applyFill="1" applyBorder="1" applyAlignment="1">
      <alignment vertical="center"/>
    </xf>
    <xf numFmtId="0" fontId="45" fillId="3" borderId="29" xfId="0" applyFont="1" applyFill="1" applyBorder="1" applyAlignment="1">
      <alignment vertical="center"/>
    </xf>
    <xf numFmtId="0" fontId="45" fillId="3" borderId="11" xfId="0" applyFont="1" applyFill="1" applyBorder="1" applyAlignment="1">
      <alignment horizontal="left" vertical="center" indent="1"/>
    </xf>
    <xf numFmtId="0" fontId="45" fillId="3" borderId="4" xfId="0" applyFont="1" applyFill="1" applyBorder="1" applyAlignment="1">
      <alignment horizontal="left" vertical="center" indent="1"/>
    </xf>
    <xf numFmtId="0" fontId="45" fillId="3" borderId="29" xfId="0" applyFont="1" applyFill="1" applyBorder="1" applyAlignment="1">
      <alignment horizontal="left" vertical="center" indent="1"/>
    </xf>
    <xf numFmtId="5" fontId="45" fillId="3" borderId="4" xfId="0" applyNumberFormat="1" applyFont="1" applyFill="1" applyBorder="1" applyAlignment="1">
      <alignment horizontal="left" vertical="center" indent="1"/>
    </xf>
    <xf numFmtId="5" fontId="45" fillId="3" borderId="11" xfId="0" applyNumberFormat="1" applyFont="1" applyFill="1" applyBorder="1" applyAlignment="1">
      <alignment horizontal="left" vertical="center" indent="1"/>
    </xf>
    <xf numFmtId="5" fontId="11" fillId="3" borderId="16" xfId="0" applyNumberFormat="1" applyFont="1" applyFill="1" applyBorder="1" applyAlignment="1">
      <alignment horizontal="left" vertical="center" indent="1"/>
    </xf>
    <xf numFmtId="0" fontId="56" fillId="3" borderId="4" xfId="0" applyFont="1" applyFill="1" applyBorder="1" applyAlignment="1">
      <alignment vertical="center"/>
    </xf>
    <xf numFmtId="0" fontId="11" fillId="3" borderId="4" xfId="0" quotePrefix="1" applyFont="1" applyFill="1" applyBorder="1" applyAlignment="1">
      <alignment horizontal="left" vertical="center" indent="1"/>
    </xf>
    <xf numFmtId="5" fontId="45" fillId="3" borderId="15" xfId="0" applyNumberFormat="1" applyFont="1" applyFill="1" applyBorder="1" applyAlignment="1">
      <alignment horizontal="left" vertical="center" indent="2"/>
    </xf>
    <xf numFmtId="5" fontId="45" fillId="3" borderId="17" xfId="0" applyNumberFormat="1" applyFont="1" applyFill="1" applyBorder="1" applyAlignment="1">
      <alignment horizontal="left" vertical="center" indent="2"/>
    </xf>
    <xf numFmtId="5" fontId="45" fillId="3" borderId="7" xfId="0" applyNumberFormat="1" applyFont="1" applyFill="1" applyBorder="1" applyAlignment="1">
      <alignment horizontal="left" vertical="center" indent="2"/>
    </xf>
    <xf numFmtId="5" fontId="45" fillId="3" borderId="8" xfId="0" applyNumberFormat="1" applyFont="1" applyFill="1" applyBorder="1" applyAlignment="1">
      <alignment horizontal="left" vertical="center" indent="2"/>
    </xf>
    <xf numFmtId="0" fontId="31" fillId="5" borderId="7" xfId="0" applyFont="1" applyFill="1" applyBorder="1" applyAlignment="1">
      <alignment horizontal="left" vertical="center" indent="1"/>
    </xf>
    <xf numFmtId="0" fontId="31" fillId="5" borderId="6" xfId="0" applyFont="1" applyFill="1" applyBorder="1" applyAlignment="1">
      <alignment horizontal="left" vertical="center" indent="1"/>
    </xf>
    <xf numFmtId="0" fontId="11" fillId="3" borderId="5" xfId="0" quotePrefix="1" applyFont="1" applyFill="1" applyBorder="1" applyAlignment="1">
      <alignment horizontal="left" vertical="center" indent="1"/>
    </xf>
    <xf numFmtId="0" fontId="11" fillId="3" borderId="10" xfId="0" quotePrefix="1" applyFont="1" applyFill="1" applyBorder="1" applyAlignment="1">
      <alignment horizontal="left" vertical="center" indent="1"/>
    </xf>
    <xf numFmtId="0" fontId="5" fillId="3" borderId="14" xfId="0" applyFont="1" applyFill="1" applyBorder="1" applyAlignment="1">
      <alignment horizontal="left" vertical="center" indent="1"/>
    </xf>
    <xf numFmtId="0" fontId="5" fillId="3" borderId="11" xfId="0" applyFont="1" applyFill="1" applyBorder="1" applyAlignment="1">
      <alignment horizontal="left" vertical="center" indent="1"/>
    </xf>
    <xf numFmtId="0" fontId="0" fillId="3" borderId="7" xfId="0" applyFill="1" applyBorder="1" applyAlignment="1">
      <alignment horizontal="left" vertical="center" indent="1"/>
    </xf>
    <xf numFmtId="0" fontId="0" fillId="3" borderId="8" xfId="0" applyFill="1" applyBorder="1" applyAlignment="1">
      <alignment horizontal="left" vertical="center" indent="1"/>
    </xf>
    <xf numFmtId="5" fontId="16" fillId="3" borderId="0" xfId="0" applyNumberFormat="1" applyFont="1" applyFill="1" applyAlignment="1">
      <alignment horizontal="left" vertical="center" indent="2"/>
    </xf>
    <xf numFmtId="5" fontId="0" fillId="3" borderId="14" xfId="0" applyNumberFormat="1" applyFill="1" applyBorder="1" applyAlignment="1">
      <alignment horizontal="left" vertical="center" indent="1"/>
    </xf>
    <xf numFmtId="5" fontId="16" fillId="3" borderId="0" xfId="0" applyNumberFormat="1" applyFont="1" applyFill="1" applyAlignment="1">
      <alignment horizontal="left" vertical="center" indent="3"/>
    </xf>
    <xf numFmtId="5" fontId="0" fillId="3" borderId="0" xfId="0" applyNumberFormat="1" applyFill="1" applyAlignment="1">
      <alignment horizontal="center" vertical="center" wrapText="1"/>
    </xf>
    <xf numFmtId="5" fontId="3" fillId="3" borderId="6" xfId="0" applyNumberFormat="1" applyFont="1" applyFill="1" applyBorder="1" applyAlignment="1">
      <alignment vertical="center"/>
    </xf>
    <xf numFmtId="0" fontId="5" fillId="3" borderId="50" xfId="0" applyFont="1" applyFill="1" applyBorder="1" applyAlignment="1">
      <alignment horizontal="left" vertical="center" indent="1"/>
    </xf>
    <xf numFmtId="0" fontId="5" fillId="3" borderId="51" xfId="0" applyFont="1" applyFill="1" applyBorder="1" applyAlignment="1">
      <alignment horizontal="left" vertical="center" indent="1"/>
    </xf>
    <xf numFmtId="0" fontId="5" fillId="3" borderId="52" xfId="0" applyFont="1" applyFill="1" applyBorder="1" applyAlignment="1">
      <alignment horizontal="left" vertical="center" indent="1"/>
    </xf>
    <xf numFmtId="0" fontId="5" fillId="3" borderId="56" xfId="0" applyFont="1" applyFill="1" applyBorder="1" applyAlignment="1">
      <alignment horizontal="left" vertical="center" indent="1"/>
    </xf>
    <xf numFmtId="0" fontId="5" fillId="3" borderId="53" xfId="0" applyFont="1" applyFill="1" applyBorder="1" applyAlignment="1">
      <alignment horizontal="left" vertical="center" indent="1"/>
    </xf>
    <xf numFmtId="0" fontId="5" fillId="3" borderId="54" xfId="0" applyFont="1" applyFill="1" applyBorder="1" applyAlignment="1">
      <alignment horizontal="left" vertical="center" indent="1"/>
    </xf>
    <xf numFmtId="0" fontId="5" fillId="3" borderId="55" xfId="0" applyFont="1" applyFill="1" applyBorder="1" applyAlignment="1">
      <alignment horizontal="left" vertical="center" indent="1"/>
    </xf>
    <xf numFmtId="0" fontId="32" fillId="3" borderId="0" xfId="3" applyFont="1" applyFill="1" applyBorder="1" applyAlignment="1" applyProtection="1">
      <alignment horizontal="left" vertical="center" wrapText="1" indent="1"/>
    </xf>
    <xf numFmtId="0" fontId="28" fillId="3" borderId="0" xfId="3" applyFont="1" applyFill="1" applyBorder="1" applyAlignment="1" applyProtection="1">
      <alignment horizontal="left" vertical="center" wrapText="1" indent="2"/>
    </xf>
    <xf numFmtId="0" fontId="27" fillId="3" borderId="0" xfId="0" applyFont="1" applyFill="1" applyAlignment="1">
      <alignment vertical="center" wrapText="1"/>
    </xf>
    <xf numFmtId="0" fontId="20" fillId="3" borderId="0" xfId="3" applyFont="1" applyFill="1" applyBorder="1" applyAlignment="1" applyProtection="1">
      <alignment vertical="center"/>
    </xf>
    <xf numFmtId="0" fontId="35" fillId="3" borderId="0" xfId="0" applyFont="1" applyFill="1"/>
    <xf numFmtId="0" fontId="33" fillId="3" borderId="0" xfId="0" applyFont="1" applyFill="1" applyAlignment="1">
      <alignment vertical="center" wrapText="1"/>
    </xf>
    <xf numFmtId="0" fontId="70" fillId="3" borderId="0" xfId="0" applyFont="1" applyFill="1" applyAlignment="1">
      <alignment horizontal="left" vertical="center" indent="1"/>
    </xf>
    <xf numFmtId="0" fontId="35" fillId="3" borderId="0" xfId="0" applyFont="1" applyFill="1" applyAlignment="1">
      <alignment vertical="center"/>
    </xf>
    <xf numFmtId="0" fontId="35" fillId="3" borderId="12" xfId="0" applyFont="1" applyFill="1" applyBorder="1" applyAlignment="1">
      <alignment vertical="center"/>
    </xf>
    <xf numFmtId="0" fontId="27" fillId="3" borderId="0" xfId="0" applyFont="1" applyFill="1" applyAlignment="1">
      <alignment horizontal="left" vertical="center" wrapText="1" indent="1"/>
    </xf>
    <xf numFmtId="0" fontId="32" fillId="3" borderId="0" xfId="3" applyFont="1" applyFill="1" applyBorder="1" applyAlignment="1" applyProtection="1">
      <alignment vertical="center" wrapText="1"/>
    </xf>
    <xf numFmtId="0" fontId="27" fillId="27" borderId="4" xfId="0" applyFont="1" applyFill="1" applyBorder="1" applyAlignment="1" applyProtection="1">
      <alignment horizontal="left" vertical="center" wrapText="1" indent="1"/>
      <protection locked="0"/>
    </xf>
    <xf numFmtId="0" fontId="32" fillId="3" borderId="5" xfId="0" applyFont="1" applyFill="1" applyBorder="1" applyAlignment="1">
      <alignment horizontal="left" vertical="center" wrapText="1" indent="1"/>
    </xf>
    <xf numFmtId="0" fontId="32" fillId="3" borderId="10" xfId="0" applyFont="1" applyFill="1" applyBorder="1" applyAlignment="1">
      <alignment horizontal="left" vertical="center" wrapText="1" indent="1"/>
    </xf>
    <xf numFmtId="0" fontId="34" fillId="20" borderId="5" xfId="0" applyFont="1" applyFill="1" applyBorder="1" applyAlignment="1">
      <alignment horizontal="center" vertical="center" wrapText="1"/>
    </xf>
    <xf numFmtId="0" fontId="34" fillId="20" borderId="10" xfId="0" applyFont="1" applyFill="1" applyBorder="1" applyAlignment="1">
      <alignment horizontal="center" vertical="center" wrapText="1"/>
    </xf>
    <xf numFmtId="0" fontId="28" fillId="3" borderId="5" xfId="3" applyFont="1" applyFill="1" applyBorder="1" applyAlignment="1" applyProtection="1">
      <alignment horizontal="left" vertical="center" wrapText="1" indent="1"/>
    </xf>
    <xf numFmtId="0" fontId="28" fillId="3" borderId="10" xfId="3" applyFont="1" applyFill="1" applyBorder="1" applyAlignment="1" applyProtection="1">
      <alignment horizontal="left" vertical="center" wrapText="1" indent="1"/>
    </xf>
    <xf numFmtId="0" fontId="27" fillId="33" borderId="0" xfId="0" applyFont="1" applyFill="1" applyAlignment="1">
      <alignment vertical="center"/>
    </xf>
    <xf numFmtId="0" fontId="69"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5" fillId="3" borderId="0" xfId="3" applyFont="1" applyFill="1" applyBorder="1" applyAlignment="1" applyProtection="1">
      <alignment horizontal="left" vertical="center"/>
    </xf>
    <xf numFmtId="0" fontId="32" fillId="3" borderId="0" xfId="3" applyFont="1" applyFill="1" applyBorder="1" applyAlignment="1" applyProtection="1">
      <alignment horizontal="left" vertical="center" indent="1"/>
    </xf>
    <xf numFmtId="0" fontId="32" fillId="3" borderId="12" xfId="3" applyFont="1" applyFill="1" applyBorder="1" applyAlignment="1" applyProtection="1">
      <alignment horizontal="left" vertical="center" indent="1"/>
    </xf>
    <xf numFmtId="0" fontId="32" fillId="3" borderId="0" xfId="3" applyFont="1" applyFill="1" applyBorder="1" applyAlignment="1" applyProtection="1">
      <alignment horizontal="left" vertical="center" indent="2"/>
    </xf>
    <xf numFmtId="0" fontId="20" fillId="3" borderId="0" xfId="3" applyFont="1" applyFill="1" applyBorder="1" applyAlignment="1" applyProtection="1">
      <alignment horizontal="left" vertical="center" indent="1"/>
    </xf>
    <xf numFmtId="0" fontId="27" fillId="3" borderId="0" xfId="0" applyFont="1" applyFill="1" applyAlignment="1">
      <alignment horizontal="left" vertical="center" wrapText="1"/>
    </xf>
    <xf numFmtId="181" fontId="27" fillId="3" borderId="6" xfId="0" applyNumberFormat="1" applyFont="1" applyFill="1" applyBorder="1" applyAlignment="1" applyProtection="1">
      <alignment horizontal="left" vertical="center"/>
      <protection locked="0"/>
    </xf>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27" fillId="3" borderId="6" xfId="0" applyFont="1" applyFill="1" applyBorder="1" applyAlignment="1" applyProtection="1">
      <alignment horizontal="left" vertical="center" indent="1"/>
      <protection locked="0"/>
    </xf>
    <xf numFmtId="0" fontId="27" fillId="3" borderId="6" xfId="0" applyFont="1" applyFill="1" applyBorder="1" applyAlignment="1" applyProtection="1">
      <alignment horizontal="left" vertical="center"/>
      <protection locked="0"/>
    </xf>
    <xf numFmtId="0" fontId="28" fillId="3" borderId="0" xfId="3" applyFont="1" applyFill="1" applyBorder="1" applyAlignment="1" applyProtection="1">
      <alignment vertical="center"/>
    </xf>
    <xf numFmtId="0" fontId="28" fillId="0" borderId="0" xfId="3" applyFont="1" applyFill="1" applyBorder="1" applyAlignment="1" applyProtection="1">
      <alignment horizontal="left" vertical="center"/>
    </xf>
    <xf numFmtId="0" fontId="27" fillId="3" borderId="0" xfId="0" applyFont="1" applyFill="1" applyAlignment="1">
      <alignment horizontal="left" vertical="center"/>
    </xf>
    <xf numFmtId="0" fontId="27" fillId="3" borderId="12" xfId="0" applyFont="1" applyFill="1" applyBorder="1" applyAlignment="1">
      <alignment horizontal="left" vertical="center"/>
    </xf>
    <xf numFmtId="0" fontId="27" fillId="3" borderId="0" xfId="0" applyFont="1" applyFill="1" applyAlignment="1">
      <alignment vertical="center"/>
    </xf>
    <xf numFmtId="0" fontId="27" fillId="3" borderId="12" xfId="0" applyFont="1" applyFill="1" applyBorder="1" applyAlignment="1">
      <alignment vertical="center"/>
    </xf>
    <xf numFmtId="0" fontId="35" fillId="3" borderId="0" xfId="0" applyFont="1" applyFill="1" applyAlignment="1">
      <alignment horizontal="left" vertical="center"/>
    </xf>
    <xf numFmtId="0" fontId="32" fillId="3" borderId="6" xfId="0" applyFont="1" applyFill="1" applyBorder="1" applyAlignment="1">
      <alignment vertical="center" wrapText="1"/>
    </xf>
    <xf numFmtId="0" fontId="32" fillId="3" borderId="6" xfId="0" applyFont="1" applyFill="1" applyBorder="1" applyAlignment="1">
      <alignment horizontal="right" vertical="center" wrapText="1" indent="1"/>
    </xf>
    <xf numFmtId="0" fontId="32" fillId="3" borderId="8" xfId="0" applyFont="1" applyFill="1" applyBorder="1" applyAlignment="1">
      <alignment horizontal="right" vertical="center" wrapText="1" indent="1"/>
    </xf>
    <xf numFmtId="0" fontId="32" fillId="3" borderId="4" xfId="0" applyFont="1" applyFill="1" applyBorder="1" applyAlignment="1">
      <alignment horizontal="left" vertical="center" wrapText="1" indent="1"/>
    </xf>
    <xf numFmtId="0" fontId="32" fillId="3" borderId="0" xfId="3" applyFont="1" applyFill="1" applyBorder="1" applyAlignment="1" applyProtection="1">
      <alignment vertical="center"/>
    </xf>
    <xf numFmtId="0" fontId="32" fillId="3" borderId="12" xfId="3" applyFont="1" applyFill="1" applyBorder="1" applyAlignment="1" applyProtection="1">
      <alignment vertical="center"/>
    </xf>
    <xf numFmtId="0" fontId="20" fillId="3" borderId="0" xfId="0" applyFont="1" applyFill="1" applyAlignment="1">
      <alignment vertical="center" wrapText="1"/>
    </xf>
    <xf numFmtId="0" fontId="62" fillId="3" borderId="0" xfId="0" applyFont="1" applyFill="1" applyAlignment="1">
      <alignment vertical="center" wrapText="1"/>
    </xf>
    <xf numFmtId="0" fontId="34" fillId="20" borderId="4" xfId="0" applyFont="1" applyFill="1" applyBorder="1" applyAlignment="1">
      <alignment horizontal="center" vertical="center" wrapText="1"/>
    </xf>
    <xf numFmtId="0" fontId="32" fillId="3" borderId="0" xfId="0" applyFont="1" applyFill="1" applyAlignment="1">
      <alignment vertical="center" wrapText="1"/>
    </xf>
    <xf numFmtId="0" fontId="32" fillId="3" borderId="12" xfId="0" applyFont="1" applyFill="1" applyBorder="1" applyAlignment="1">
      <alignment vertical="center" wrapText="1"/>
    </xf>
    <xf numFmtId="0" fontId="33" fillId="33" borderId="0" xfId="0" applyFont="1" applyFill="1" applyAlignment="1">
      <alignment horizontal="left" vertical="center" wrapText="1"/>
    </xf>
    <xf numFmtId="0" fontId="71" fillId="3" borderId="0" xfId="0" applyFont="1" applyFill="1" applyAlignment="1">
      <alignment horizontal="left" vertical="center" wrapText="1" indent="1"/>
    </xf>
    <xf numFmtId="0" fontId="35" fillId="3" borderId="6" xfId="0" applyFont="1" applyFill="1" applyBorder="1" applyAlignment="1">
      <alignment horizontal="left" vertical="center"/>
    </xf>
    <xf numFmtId="0" fontId="32" fillId="3" borderId="9" xfId="0" applyFont="1" applyFill="1" applyBorder="1" applyAlignment="1">
      <alignment horizontal="left" vertical="center" wrapText="1" indent="1"/>
    </xf>
    <xf numFmtId="0" fontId="20" fillId="3" borderId="12" xfId="0" applyFont="1" applyFill="1" applyBorder="1" applyAlignment="1">
      <alignment vertical="center" wrapText="1"/>
    </xf>
    <xf numFmtId="0" fontId="34" fillId="20" borderId="9" xfId="0" applyFont="1" applyFill="1" applyBorder="1" applyAlignment="1">
      <alignment horizontal="center" vertical="center" wrapText="1"/>
    </xf>
    <xf numFmtId="0" fontId="28" fillId="3" borderId="0" xfId="3" applyFont="1" applyFill="1" applyBorder="1" applyAlignment="1">
      <alignment vertical="center"/>
    </xf>
    <xf numFmtId="0" fontId="28" fillId="3" borderId="0" xfId="3" applyFont="1" applyFill="1" applyBorder="1" applyAlignment="1">
      <alignment vertical="center" wrapText="1"/>
    </xf>
    <xf numFmtId="0" fontId="35" fillId="3" borderId="0" xfId="0" applyFont="1" applyFill="1" applyAlignment="1">
      <alignment horizontal="left"/>
    </xf>
    <xf numFmtId="0" fontId="32" fillId="3" borderId="16" xfId="0" applyFont="1" applyFill="1" applyBorder="1" applyAlignment="1">
      <alignment horizontal="left" vertical="center" wrapText="1" indent="2"/>
    </xf>
    <xf numFmtId="0" fontId="32" fillId="3" borderId="17" xfId="0" applyFont="1" applyFill="1" applyBorder="1" applyAlignment="1">
      <alignment horizontal="left" vertical="center" wrapText="1" indent="2"/>
    </xf>
    <xf numFmtId="0" fontId="32" fillId="3" borderId="20" xfId="0" applyFont="1" applyFill="1" applyBorder="1" applyAlignment="1">
      <alignment horizontal="left" vertical="center" wrapText="1" indent="2"/>
    </xf>
    <xf numFmtId="0" fontId="32" fillId="3" borderId="19" xfId="0" applyFont="1" applyFill="1" applyBorder="1" applyAlignment="1">
      <alignment horizontal="left" vertical="center" wrapText="1" indent="2"/>
    </xf>
    <xf numFmtId="0" fontId="37" fillId="3" borderId="0" xfId="0" applyFont="1" applyFill="1" applyAlignment="1">
      <alignment vertical="center" wrapText="1"/>
    </xf>
    <xf numFmtId="0" fontId="32" fillId="3" borderId="18" xfId="0" applyFont="1" applyFill="1" applyBorder="1" applyAlignment="1">
      <alignment horizontal="left" vertical="center" wrapText="1" indent="1"/>
    </xf>
    <xf numFmtId="0" fontId="32" fillId="3" borderId="20" xfId="0" applyFont="1" applyFill="1" applyBorder="1" applyAlignment="1">
      <alignment horizontal="left" vertical="center" wrapText="1" indent="1"/>
    </xf>
    <xf numFmtId="0" fontId="20" fillId="3" borderId="0" xfId="0" applyFont="1" applyFill="1" applyAlignment="1">
      <alignment horizontal="left" vertical="center" wrapText="1" indent="1"/>
    </xf>
    <xf numFmtId="0" fontId="20" fillId="3" borderId="0" xfId="0" applyFont="1" applyFill="1" applyAlignment="1">
      <alignment horizontal="left" vertical="center" wrapText="1" indent="2"/>
    </xf>
    <xf numFmtId="0" fontId="20" fillId="3" borderId="12" xfId="0" applyFont="1" applyFill="1" applyBorder="1" applyAlignment="1">
      <alignment horizontal="left" vertical="center" wrapText="1" indent="2"/>
    </xf>
    <xf numFmtId="0" fontId="20" fillId="3" borderId="16" xfId="0" applyFont="1" applyFill="1" applyBorder="1" applyAlignment="1">
      <alignment horizontal="right" vertical="center" wrapText="1" indent="1"/>
    </xf>
    <xf numFmtId="0" fontId="52" fillId="3" borderId="0" xfId="0" applyFont="1" applyFill="1" applyAlignment="1">
      <alignment vertical="center" wrapText="1"/>
    </xf>
    <xf numFmtId="0" fontId="27" fillId="11" borderId="0" xfId="0" applyFont="1" applyFill="1" applyAlignment="1">
      <alignment vertical="center"/>
    </xf>
    <xf numFmtId="0" fontId="27" fillId="3" borderId="6" xfId="0" applyFont="1" applyFill="1" applyBorder="1" applyAlignment="1">
      <alignment horizontal="left" vertical="center"/>
    </xf>
    <xf numFmtId="0" fontId="27" fillId="3" borderId="0" xfId="0" applyFont="1" applyFill="1"/>
    <xf numFmtId="0" fontId="27" fillId="3" borderId="12" xfId="0" applyFont="1" applyFill="1" applyBorder="1"/>
    <xf numFmtId="0" fontId="32" fillId="27" borderId="5" xfId="0" applyFont="1" applyFill="1" applyBorder="1" applyAlignment="1">
      <alignment horizontal="center" vertical="center" wrapText="1"/>
    </xf>
    <xf numFmtId="0" fontId="32" fillId="27" borderId="9" xfId="0" applyFont="1" applyFill="1" applyBorder="1" applyAlignment="1">
      <alignment horizontal="center" vertical="center" wrapText="1"/>
    </xf>
    <xf numFmtId="0" fontId="32" fillId="27" borderId="4" xfId="0" applyFont="1" applyFill="1" applyBorder="1" applyAlignment="1">
      <alignment horizontal="center" vertical="center" wrapText="1"/>
    </xf>
    <xf numFmtId="0" fontId="35" fillId="3" borderId="12" xfId="0" applyFont="1" applyFill="1" applyBorder="1" applyAlignment="1">
      <alignment horizontal="left" vertical="center"/>
    </xf>
    <xf numFmtId="0" fontId="27" fillId="4" borderId="72" xfId="0" applyFont="1" applyFill="1" applyBorder="1" applyAlignment="1">
      <alignment horizontal="center" vertical="center"/>
    </xf>
    <xf numFmtId="0" fontId="27" fillId="4" borderId="71" xfId="0" applyFont="1" applyFill="1" applyBorder="1" applyAlignment="1">
      <alignment horizontal="center" vertical="center"/>
    </xf>
    <xf numFmtId="0" fontId="27" fillId="4" borderId="23" xfId="0" applyFont="1" applyFill="1" applyBorder="1" applyAlignment="1">
      <alignment horizontal="center" vertical="center"/>
    </xf>
    <xf numFmtId="0" fontId="27" fillId="3" borderId="20" xfId="0" applyFont="1" applyFill="1" applyBorder="1" applyAlignment="1">
      <alignment horizontal="left" vertical="center"/>
    </xf>
    <xf numFmtId="0" fontId="27" fillId="3" borderId="19" xfId="0" applyFont="1" applyFill="1" applyBorder="1" applyAlignment="1">
      <alignment horizontal="left" vertical="center"/>
    </xf>
    <xf numFmtId="0" fontId="27" fillId="3" borderId="0" xfId="0" applyFont="1" applyFill="1" applyAlignment="1">
      <alignment horizontal="left" vertical="center" indent="1"/>
    </xf>
    <xf numFmtId="0" fontId="27" fillId="3" borderId="12" xfId="0" applyFont="1" applyFill="1" applyBorder="1" applyAlignment="1">
      <alignment horizontal="left" vertical="center" indent="1"/>
    </xf>
    <xf numFmtId="0" fontId="34" fillId="2" borderId="5"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4" fillId="2" borderId="9" xfId="0" applyFont="1" applyFill="1" applyBorder="1" applyAlignment="1">
      <alignment horizontal="center" vertical="center" wrapText="1"/>
    </xf>
    <xf numFmtId="0" fontId="32" fillId="3" borderId="20" xfId="0" applyFont="1" applyFill="1" applyBorder="1" applyAlignment="1">
      <alignment vertical="center" wrapText="1"/>
    </xf>
    <xf numFmtId="0" fontId="32" fillId="3" borderId="16" xfId="0" applyFont="1" applyFill="1" applyBorder="1" applyAlignment="1">
      <alignment vertical="center" wrapText="1"/>
    </xf>
    <xf numFmtId="0" fontId="28" fillId="3" borderId="0" xfId="3" applyFont="1" applyFill="1" applyBorder="1" applyAlignment="1" applyProtection="1">
      <alignment vertical="center" wrapText="1"/>
    </xf>
    <xf numFmtId="0" fontId="66" fillId="3" borderId="18" xfId="0" applyFont="1" applyFill="1" applyBorder="1" applyAlignment="1">
      <alignment horizontal="left" vertical="center" wrapText="1" indent="1"/>
    </xf>
    <xf numFmtId="0" fontId="66" fillId="3" borderId="0" xfId="0" applyFont="1" applyFill="1" applyAlignment="1">
      <alignment horizontal="left" vertical="center" wrapText="1" indent="1"/>
    </xf>
    <xf numFmtId="0" fontId="20" fillId="3" borderId="21" xfId="0" applyFont="1" applyFill="1" applyBorder="1" applyAlignment="1">
      <alignment vertical="center" wrapText="1"/>
    </xf>
    <xf numFmtId="0" fontId="28" fillId="3" borderId="4" xfId="3" applyFont="1" applyFill="1" applyBorder="1" applyAlignment="1" applyProtection="1">
      <alignment horizontal="left" vertical="center" wrapText="1" indent="1"/>
    </xf>
    <xf numFmtId="168" fontId="0" fillId="23" borderId="4" xfId="1" applyNumberFormat="1" applyFont="1" applyFill="1" applyBorder="1" applyAlignment="1" applyProtection="1">
      <alignment horizontal="left" vertical="center" indent="1"/>
      <protection locked="0"/>
    </xf>
    <xf numFmtId="171" fontId="0" fillId="23" borderId="4" xfId="1" applyNumberFormat="1" applyFont="1" applyFill="1" applyBorder="1" applyAlignment="1" applyProtection="1">
      <alignment horizontal="left" vertical="center" indent="1"/>
      <protection locked="0"/>
    </xf>
    <xf numFmtId="0" fontId="0" fillId="23" borderId="18" xfId="0" applyFill="1" applyBorder="1" applyAlignment="1" applyProtection="1">
      <alignment horizontal="left" vertical="top" wrapText="1" indent="1"/>
      <protection locked="0"/>
    </xf>
    <xf numFmtId="0" fontId="0" fillId="23" borderId="0" xfId="0" applyFill="1" applyAlignment="1" applyProtection="1">
      <alignment horizontal="left" vertical="top" wrapText="1" indent="1"/>
      <protection locked="0"/>
    </xf>
    <xf numFmtId="0" fontId="0" fillId="23" borderId="12" xfId="0" applyFill="1" applyBorder="1" applyAlignment="1" applyProtection="1">
      <alignment horizontal="left" vertical="top" wrapText="1" indent="1"/>
      <protection locked="0"/>
    </xf>
    <xf numFmtId="0" fontId="0" fillId="23" borderId="7" xfId="0" applyFill="1" applyBorder="1" applyAlignment="1" applyProtection="1">
      <alignment horizontal="left" vertical="top" wrapText="1" indent="1"/>
      <protection locked="0"/>
    </xf>
    <xf numFmtId="0" fontId="0" fillId="23" borderId="6" xfId="0" applyFill="1" applyBorder="1" applyAlignment="1" applyProtection="1">
      <alignment horizontal="left" vertical="top" wrapText="1" indent="1"/>
      <protection locked="0"/>
    </xf>
    <xf numFmtId="0" fontId="0" fillId="23" borderId="8" xfId="0" applyFill="1" applyBorder="1" applyAlignment="1" applyProtection="1">
      <alignment horizontal="left" vertical="top" wrapText="1" indent="1"/>
      <protection locked="0"/>
    </xf>
    <xf numFmtId="0" fontId="0" fillId="23" borderId="15" xfId="0" applyFill="1" applyBorder="1" applyAlignment="1">
      <alignment horizontal="left" vertical="top" indent="1"/>
    </xf>
    <xf numFmtId="0" fontId="0" fillId="23" borderId="16" xfId="0" applyFill="1" applyBorder="1" applyAlignment="1">
      <alignment horizontal="left" vertical="top" indent="1"/>
    </xf>
    <xf numFmtId="0" fontId="0" fillId="23" borderId="17" xfId="0" applyFill="1" applyBorder="1" applyAlignment="1">
      <alignment horizontal="left" vertical="top" indent="1"/>
    </xf>
    <xf numFmtId="0" fontId="5" fillId="3" borderId="0" xfId="0" applyFont="1" applyFill="1" applyAlignment="1">
      <alignment horizontal="left" vertical="center" wrapText="1"/>
    </xf>
    <xf numFmtId="10" fontId="0" fillId="23" borderId="4" xfId="0" applyNumberFormat="1" applyFill="1" applyBorder="1" applyAlignment="1" applyProtection="1">
      <alignment horizontal="left" vertical="center" indent="1"/>
      <protection locked="0"/>
    </xf>
    <xf numFmtId="0" fontId="41" fillId="3" borderId="0" xfId="0" applyFont="1" applyFill="1" applyAlignment="1">
      <alignment vertical="center"/>
    </xf>
    <xf numFmtId="0" fontId="43" fillId="3" borderId="0" xfId="0" applyFont="1" applyFill="1" applyAlignment="1">
      <alignment vertical="center"/>
    </xf>
    <xf numFmtId="167" fontId="0" fillId="23" borderId="4" xfId="1" applyNumberFormat="1" applyFont="1" applyFill="1" applyBorder="1" applyAlignment="1" applyProtection="1">
      <alignment horizontal="left" vertical="center" indent="1"/>
      <protection locked="0"/>
    </xf>
    <xf numFmtId="0" fontId="0" fillId="3" borderId="0" xfId="0" applyFill="1" applyAlignment="1">
      <alignment horizontal="left" vertical="center" indent="3"/>
    </xf>
    <xf numFmtId="0" fontId="0" fillId="3" borderId="0" xfId="1" applyNumberFormat="1" applyFont="1" applyFill="1" applyBorder="1" applyAlignment="1" applyProtection="1">
      <alignment horizontal="left" vertical="center" indent="1"/>
      <protection locked="0"/>
    </xf>
    <xf numFmtId="0" fontId="0" fillId="3" borderId="12" xfId="0" applyFill="1" applyBorder="1" applyAlignment="1">
      <alignment horizontal="left" vertical="center" indent="3"/>
    </xf>
    <xf numFmtId="0" fontId="8" fillId="23" borderId="4" xfId="3" applyNumberFormat="1" applyFill="1" applyBorder="1" applyAlignment="1" applyProtection="1">
      <alignment horizontal="left" vertical="center" indent="1"/>
      <protection locked="0"/>
    </xf>
    <xf numFmtId="168" fontId="0" fillId="23" borderId="5" xfId="1" applyNumberFormat="1" applyFont="1" applyFill="1" applyBorder="1" applyAlignment="1" applyProtection="1">
      <alignment horizontal="left" vertical="center" indent="1"/>
      <protection locked="0"/>
    </xf>
    <xf numFmtId="168" fontId="0" fillId="23" borderId="10" xfId="1" applyNumberFormat="1" applyFont="1" applyFill="1" applyBorder="1" applyAlignment="1" applyProtection="1">
      <alignment horizontal="left" vertical="center" indent="1"/>
      <protection locked="0"/>
    </xf>
    <xf numFmtId="171" fontId="0" fillId="23" borderId="5" xfId="1" applyNumberFormat="1" applyFont="1" applyFill="1" applyBorder="1" applyAlignment="1" applyProtection="1">
      <alignment horizontal="left" vertical="center" indent="1"/>
      <protection locked="0"/>
    </xf>
    <xf numFmtId="171" fontId="0" fillId="23" borderId="10" xfId="1" applyNumberFormat="1" applyFont="1" applyFill="1" applyBorder="1" applyAlignment="1" applyProtection="1">
      <alignment horizontal="left" vertical="center" indent="1"/>
      <protection locked="0"/>
    </xf>
    <xf numFmtId="0" fontId="8" fillId="23" borderId="5" xfId="3" applyNumberFormat="1" applyFill="1" applyBorder="1" applyAlignment="1" applyProtection="1">
      <alignment horizontal="left" vertical="center" indent="1"/>
      <protection locked="0"/>
    </xf>
    <xf numFmtId="0" fontId="0" fillId="23" borderId="15" xfId="1" applyNumberFormat="1" applyFont="1" applyFill="1" applyBorder="1" applyAlignment="1" applyProtection="1">
      <alignment horizontal="left" vertical="center" indent="1"/>
      <protection locked="0"/>
    </xf>
    <xf numFmtId="0" fontId="0" fillId="23" borderId="17" xfId="1" applyNumberFormat="1" applyFont="1" applyFill="1" applyBorder="1" applyAlignment="1" applyProtection="1">
      <alignment horizontal="left" vertical="center" indent="1"/>
      <protection locked="0"/>
    </xf>
    <xf numFmtId="0" fontId="8" fillId="23" borderId="10" xfId="3" applyNumberFormat="1" applyFill="1" applyBorder="1" applyAlignment="1" applyProtection="1">
      <alignment horizontal="left" vertical="center" indent="1"/>
      <protection locked="0"/>
    </xf>
    <xf numFmtId="0" fontId="43" fillId="3" borderId="0" xfId="0" applyFont="1" applyFill="1" applyAlignment="1">
      <alignment horizontal="left" vertical="center"/>
    </xf>
    <xf numFmtId="0" fontId="0" fillId="11" borderId="0" xfId="0" applyFill="1" applyAlignment="1">
      <alignment horizontal="left" vertical="center"/>
    </xf>
    <xf numFmtId="0" fontId="0" fillId="23" borderId="11" xfId="0" applyFill="1" applyBorder="1" applyAlignment="1" applyProtection="1">
      <alignment horizontal="left" vertical="center" indent="1"/>
      <protection locked="0"/>
    </xf>
    <xf numFmtId="0" fontId="0" fillId="3" borderId="0" xfId="0" applyFill="1" applyAlignment="1">
      <alignment horizontal="left" vertical="center" indent="6"/>
    </xf>
    <xf numFmtId="0" fontId="0" fillId="3" borderId="12" xfId="0" applyFill="1" applyBorder="1" applyAlignment="1">
      <alignment horizontal="left" vertical="center" indent="2"/>
    </xf>
    <xf numFmtId="0" fontId="15" fillId="20" borderId="15" xfId="0" applyFont="1" applyFill="1" applyBorder="1" applyAlignment="1">
      <alignment horizontal="center" vertical="center"/>
    </xf>
    <xf numFmtId="0" fontId="15" fillId="20" borderId="17" xfId="0" applyFont="1" applyFill="1" applyBorder="1" applyAlignment="1">
      <alignment horizontal="center" vertical="center"/>
    </xf>
    <xf numFmtId="0" fontId="15" fillId="20" borderId="7" xfId="0" applyFont="1" applyFill="1" applyBorder="1" applyAlignment="1">
      <alignment horizontal="center" vertical="center"/>
    </xf>
    <xf numFmtId="0" fontId="15" fillId="20" borderId="8" xfId="0" applyFont="1" applyFill="1" applyBorder="1" applyAlignment="1">
      <alignment horizontal="center" vertical="center"/>
    </xf>
    <xf numFmtId="167" fontId="0" fillId="23" borderId="5" xfId="1" applyNumberFormat="1" applyFont="1" applyFill="1" applyBorder="1" applyAlignment="1" applyProtection="1">
      <alignment horizontal="left" vertical="center" indent="1"/>
      <protection locked="0"/>
    </xf>
    <xf numFmtId="167" fontId="0" fillId="23" borderId="10" xfId="1" applyNumberFormat="1" applyFont="1" applyFill="1" applyBorder="1" applyAlignment="1" applyProtection="1">
      <alignment horizontal="left" vertical="center" indent="1"/>
      <protection locked="0"/>
    </xf>
    <xf numFmtId="0" fontId="3" fillId="3" borderId="6" xfId="0" applyFont="1" applyFill="1" applyBorder="1" applyAlignment="1">
      <alignment horizontal="left" vertical="center"/>
    </xf>
    <xf numFmtId="0" fontId="32" fillId="3" borderId="0" xfId="0" applyFont="1" applyFill="1" applyAlignment="1">
      <alignment horizontal="left" vertical="center" indent="1"/>
    </xf>
    <xf numFmtId="0" fontId="32" fillId="3" borderId="6" xfId="0" applyFont="1" applyFill="1" applyBorder="1" applyAlignment="1">
      <alignment horizontal="left" vertical="center" indent="1"/>
    </xf>
    <xf numFmtId="0" fontId="32" fillId="3" borderId="8" xfId="0" applyFont="1" applyFill="1" applyBorder="1" applyAlignment="1">
      <alignment horizontal="left" vertical="center" indent="1"/>
    </xf>
    <xf numFmtId="0" fontId="75" fillId="3" borderId="0" xfId="0" applyFont="1" applyFill="1" applyAlignment="1">
      <alignment horizontal="left" vertical="center" indent="1"/>
    </xf>
    <xf numFmtId="0" fontId="32" fillId="3" borderId="12" xfId="0" applyFont="1" applyFill="1" applyBorder="1" applyAlignment="1">
      <alignment horizontal="left" vertical="center" indent="1"/>
    </xf>
    <xf numFmtId="0" fontId="32" fillId="3" borderId="24" xfId="0" applyFont="1" applyFill="1" applyBorder="1" applyAlignment="1">
      <alignment horizontal="left" vertical="center" indent="1"/>
    </xf>
    <xf numFmtId="0" fontId="32" fillId="3" borderId="26" xfId="0" applyFont="1" applyFill="1" applyBorder="1" applyAlignment="1">
      <alignment horizontal="left" vertical="center" indent="1"/>
    </xf>
    <xf numFmtId="0" fontId="32" fillId="3" borderId="40" xfId="0" applyFont="1" applyFill="1" applyBorder="1" applyAlignment="1">
      <alignment horizontal="left" vertical="center" indent="1"/>
    </xf>
    <xf numFmtId="0" fontId="57" fillId="3" borderId="0" xfId="0" applyFont="1" applyFill="1" applyAlignment="1">
      <alignment vertical="center"/>
    </xf>
    <xf numFmtId="0" fontId="20" fillId="32" borderId="0" xfId="0" applyFont="1" applyFill="1" applyAlignment="1">
      <alignment horizontal="left" vertical="center" indent="1"/>
    </xf>
    <xf numFmtId="0" fontId="32" fillId="3" borderId="4" xfId="0" applyFont="1" applyFill="1" applyBorder="1" applyAlignment="1">
      <alignment horizontal="left" vertical="center" indent="1"/>
    </xf>
    <xf numFmtId="0" fontId="20" fillId="3" borderId="0" xfId="0" applyFont="1" applyFill="1" applyAlignment="1">
      <alignment horizontal="left" vertical="center" indent="1"/>
    </xf>
    <xf numFmtId="9" fontId="32" fillId="3" borderId="0" xfId="0" applyNumberFormat="1" applyFont="1" applyFill="1" applyAlignment="1">
      <alignment horizontal="left" vertical="center" indent="1"/>
    </xf>
    <xf numFmtId="9" fontId="32" fillId="3" borderId="12" xfId="0" applyNumberFormat="1" applyFont="1" applyFill="1" applyBorder="1" applyAlignment="1">
      <alignment horizontal="left" vertical="center" indent="1"/>
    </xf>
    <xf numFmtId="0" fontId="20" fillId="33" borderId="0" xfId="0" applyFont="1" applyFill="1" applyAlignment="1">
      <alignment horizontal="left" vertical="center" indent="1"/>
    </xf>
    <xf numFmtId="1" fontId="32" fillId="3" borderId="0" xfId="0" applyNumberFormat="1" applyFont="1" applyFill="1" applyAlignment="1">
      <alignment horizontal="left" vertical="center" indent="1"/>
    </xf>
    <xf numFmtId="0" fontId="32" fillId="3" borderId="4" xfId="0" applyFont="1" applyFill="1" applyBorder="1" applyAlignment="1" applyProtection="1">
      <alignment horizontal="left" vertical="center" indent="1"/>
      <protection locked="0"/>
    </xf>
    <xf numFmtId="0" fontId="32" fillId="3" borderId="5" xfId="0" applyFont="1" applyFill="1" applyBorder="1" applyAlignment="1">
      <alignment horizontal="left" vertical="center" indent="1"/>
    </xf>
    <xf numFmtId="0" fontId="32" fillId="3" borderId="9" xfId="0" applyFont="1" applyFill="1" applyBorder="1" applyAlignment="1">
      <alignment horizontal="left" vertical="center" indent="1"/>
    </xf>
    <xf numFmtId="0" fontId="32" fillId="3" borderId="10" xfId="0" applyFont="1" applyFill="1" applyBorder="1" applyAlignment="1">
      <alignment horizontal="left" vertical="center" indent="1"/>
    </xf>
    <xf numFmtId="9" fontId="32" fillId="3" borderId="4" xfId="0" applyNumberFormat="1" applyFont="1" applyFill="1" applyBorder="1" applyAlignment="1">
      <alignment horizontal="left" vertical="center" indent="1"/>
    </xf>
    <xf numFmtId="37" fontId="32" fillId="3" borderId="4" xfId="0" applyNumberFormat="1" applyFont="1" applyFill="1" applyBorder="1" applyAlignment="1">
      <alignment horizontal="left" vertical="center" indent="1"/>
    </xf>
    <xf numFmtId="0" fontId="32" fillId="33" borderId="0" xfId="0" applyFont="1" applyFill="1" applyAlignment="1">
      <alignment horizontal="left" vertical="center" indent="1"/>
    </xf>
    <xf numFmtId="0" fontId="32" fillId="3" borderId="15" xfId="0" applyFont="1" applyFill="1" applyBorder="1" applyAlignment="1" applyProtection="1">
      <alignment horizontal="left" vertical="top" wrapText="1" indent="1"/>
      <protection locked="0"/>
    </xf>
    <xf numFmtId="0" fontId="32" fillId="3" borderId="16" xfId="0" applyFont="1" applyFill="1" applyBorder="1" applyAlignment="1" applyProtection="1">
      <alignment horizontal="left" vertical="top" wrapText="1" indent="1"/>
      <protection locked="0"/>
    </xf>
    <xf numFmtId="0" fontId="32" fillId="3" borderId="17" xfId="0" applyFont="1" applyFill="1" applyBorder="1" applyAlignment="1" applyProtection="1">
      <alignment horizontal="left" vertical="top" wrapText="1" indent="1"/>
      <protection locked="0"/>
    </xf>
    <xf numFmtId="0" fontId="32" fillId="3" borderId="18" xfId="0" applyFont="1" applyFill="1" applyBorder="1" applyAlignment="1" applyProtection="1">
      <alignment horizontal="left" vertical="top" wrapText="1" indent="1"/>
      <protection locked="0"/>
    </xf>
    <xf numFmtId="0" fontId="32" fillId="3" borderId="0" xfId="0" applyFont="1" applyFill="1" applyAlignment="1" applyProtection="1">
      <alignment horizontal="left" vertical="top" wrapText="1" indent="1"/>
      <protection locked="0"/>
    </xf>
    <xf numFmtId="0" fontId="32" fillId="3" borderId="12" xfId="0" applyFont="1" applyFill="1" applyBorder="1" applyAlignment="1" applyProtection="1">
      <alignment horizontal="left" vertical="top" wrapText="1" indent="1"/>
      <protection locked="0"/>
    </xf>
    <xf numFmtId="0" fontId="32" fillId="3" borderId="7" xfId="0" applyFont="1" applyFill="1" applyBorder="1" applyAlignment="1" applyProtection="1">
      <alignment horizontal="left" vertical="top" wrapText="1" indent="1"/>
      <protection locked="0"/>
    </xf>
    <xf numFmtId="0" fontId="32" fillId="3" borderId="6" xfId="0" applyFont="1" applyFill="1" applyBorder="1" applyAlignment="1" applyProtection="1">
      <alignment horizontal="left" vertical="top" wrapText="1" indent="1"/>
      <protection locked="0"/>
    </xf>
    <xf numFmtId="0" fontId="32" fillId="3" borderId="8" xfId="0" applyFont="1" applyFill="1" applyBorder="1" applyAlignment="1" applyProtection="1">
      <alignment horizontal="left" vertical="top" wrapText="1" indent="1"/>
      <protection locked="0"/>
    </xf>
    <xf numFmtId="181" fontId="31" fillId="5" borderId="5" xfId="0" applyNumberFormat="1" applyFont="1" applyFill="1" applyBorder="1" applyAlignment="1">
      <alignment horizontal="left" vertical="center" indent="1"/>
    </xf>
    <xf numFmtId="181" fontId="31" fillId="5" borderId="9" xfId="0" applyNumberFormat="1" applyFont="1" applyFill="1" applyBorder="1" applyAlignment="1">
      <alignment horizontal="left" vertical="center" indent="1"/>
    </xf>
    <xf numFmtId="0" fontId="32" fillId="3" borderId="12" xfId="0" applyFont="1" applyFill="1" applyBorder="1" applyAlignment="1">
      <alignment horizontal="left" vertical="center" wrapText="1" indent="1"/>
    </xf>
    <xf numFmtId="0" fontId="20" fillId="3" borderId="12" xfId="0" applyFont="1" applyFill="1" applyBorder="1" applyAlignment="1">
      <alignment horizontal="left" vertical="center" wrapText="1" indent="1"/>
    </xf>
    <xf numFmtId="0" fontId="34" fillId="20" borderId="15" xfId="0" applyFont="1" applyFill="1" applyBorder="1" applyAlignment="1">
      <alignment horizontal="center" vertical="center" wrapText="1"/>
    </xf>
    <xf numFmtId="0" fontId="34" fillId="20" borderId="17" xfId="0" applyFont="1" applyFill="1" applyBorder="1" applyAlignment="1">
      <alignment horizontal="center" vertical="center" wrapText="1"/>
    </xf>
    <xf numFmtId="0" fontId="34" fillId="20" borderId="18" xfId="0" applyFont="1" applyFill="1" applyBorder="1" applyAlignment="1">
      <alignment horizontal="center" vertical="center" wrapText="1"/>
    </xf>
    <xf numFmtId="0" fontId="34" fillId="20" borderId="12" xfId="0" applyFont="1" applyFill="1" applyBorder="1" applyAlignment="1">
      <alignment horizontal="center" vertical="center" wrapText="1"/>
    </xf>
    <xf numFmtId="0" fontId="34" fillId="20" borderId="7" xfId="0" applyFont="1" applyFill="1" applyBorder="1" applyAlignment="1">
      <alignment horizontal="center" vertical="center" wrapText="1"/>
    </xf>
    <xf numFmtId="0" fontId="34" fillId="20" borderId="8" xfId="0" applyFont="1" applyFill="1" applyBorder="1" applyAlignment="1">
      <alignment horizontal="center" vertical="center" wrapText="1"/>
    </xf>
    <xf numFmtId="0" fontId="34" fillId="20" borderId="13" xfId="0" applyFont="1" applyFill="1" applyBorder="1" applyAlignment="1">
      <alignment horizontal="center" vertical="center" wrapText="1"/>
    </xf>
    <xf numFmtId="0" fontId="34" fillId="20" borderId="32" xfId="0" applyFont="1" applyFill="1" applyBorder="1" applyAlignment="1">
      <alignment horizontal="center" vertical="center" wrapText="1"/>
    </xf>
    <xf numFmtId="0" fontId="34" fillId="20" borderId="11" xfId="0" applyFont="1" applyFill="1" applyBorder="1" applyAlignment="1">
      <alignment horizontal="center" vertical="center" wrapText="1"/>
    </xf>
    <xf numFmtId="0" fontId="32" fillId="3" borderId="20" xfId="0" applyFont="1" applyFill="1" applyBorder="1" applyAlignment="1">
      <alignment horizontal="left" vertical="center" indent="1"/>
    </xf>
    <xf numFmtId="0" fontId="20" fillId="3" borderId="0" xfId="0" applyFont="1" applyFill="1" applyAlignment="1">
      <alignment vertical="center"/>
    </xf>
    <xf numFmtId="0" fontId="32" fillId="3" borderId="21" xfId="0" applyFont="1" applyFill="1" applyBorder="1" applyAlignment="1">
      <alignment horizontal="left" vertical="center" indent="1"/>
    </xf>
    <xf numFmtId="165" fontId="32" fillId="3" borderId="0" xfId="0" applyNumberFormat="1" applyFont="1" applyFill="1" applyAlignment="1">
      <alignment horizontal="left" vertical="center" indent="1"/>
    </xf>
    <xf numFmtId="165" fontId="32" fillId="3" borderId="12" xfId="0" applyNumberFormat="1" applyFont="1" applyFill="1" applyBorder="1" applyAlignment="1">
      <alignment horizontal="left" vertical="center" indent="1"/>
    </xf>
    <xf numFmtId="0" fontId="81" fillId="3" borderId="0" xfId="0" applyFont="1" applyFill="1" applyAlignment="1">
      <alignment vertical="center"/>
    </xf>
    <xf numFmtId="0" fontId="34" fillId="3" borderId="0" xfId="0" applyFont="1" applyFill="1" applyAlignment="1">
      <alignment horizontal="left" vertical="center" indent="1"/>
    </xf>
    <xf numFmtId="0" fontId="34" fillId="3" borderId="0" xfId="0" applyFont="1" applyFill="1" applyAlignment="1">
      <alignment horizontal="left" vertical="center" wrapText="1" indent="1"/>
    </xf>
    <xf numFmtId="0" fontId="34" fillId="3" borderId="12" xfId="0" applyFont="1" applyFill="1" applyBorder="1" applyAlignment="1">
      <alignment horizontal="left" vertical="center" wrapText="1" indent="1"/>
    </xf>
    <xf numFmtId="0" fontId="32" fillId="3" borderId="0" xfId="0" applyFont="1" applyFill="1" applyAlignment="1">
      <alignment horizontal="left" vertical="center" indent="2"/>
    </xf>
    <xf numFmtId="0" fontId="34" fillId="3" borderId="20" xfId="0" applyFont="1" applyFill="1" applyBorder="1" applyAlignment="1">
      <alignment horizontal="left" vertical="center" indent="1"/>
    </xf>
    <xf numFmtId="0" fontId="32" fillId="3" borderId="12" xfId="0" quotePrefix="1" applyFont="1" applyFill="1" applyBorder="1" applyAlignment="1">
      <alignment horizontal="left" vertical="center" indent="1"/>
    </xf>
    <xf numFmtId="0" fontId="32" fillId="3" borderId="22" xfId="0" applyFont="1" applyFill="1" applyBorder="1" applyAlignment="1">
      <alignment horizontal="left" vertical="center" indent="1"/>
    </xf>
    <xf numFmtId="0" fontId="32" fillId="3" borderId="41" xfId="0" applyFont="1" applyFill="1" applyBorder="1" applyAlignment="1">
      <alignment horizontal="left" vertical="center" indent="1"/>
    </xf>
    <xf numFmtId="0" fontId="32" fillId="3" borderId="19" xfId="0" applyFont="1" applyFill="1" applyBorder="1" applyAlignment="1">
      <alignment horizontal="left" vertical="center" indent="1"/>
    </xf>
    <xf numFmtId="0" fontId="5" fillId="3" borderId="0" xfId="0" applyFont="1" applyFill="1" applyAlignment="1">
      <alignment horizontal="left" vertical="center" indent="1"/>
    </xf>
    <xf numFmtId="0" fontId="5" fillId="3" borderId="12" xfId="0" applyFont="1" applyFill="1" applyBorder="1" applyAlignment="1">
      <alignment horizontal="left" vertical="center" indent="1"/>
    </xf>
    <xf numFmtId="0" fontId="27" fillId="3" borderId="20" xfId="0" applyFont="1" applyFill="1" applyBorder="1" applyAlignment="1">
      <alignment horizontal="left" vertical="center" indent="1"/>
    </xf>
    <xf numFmtId="0" fontId="27" fillId="3" borderId="19" xfId="0" applyFont="1" applyFill="1" applyBorder="1" applyAlignment="1">
      <alignment horizontal="left" vertical="center" indent="1"/>
    </xf>
    <xf numFmtId="0" fontId="5" fillId="3" borderId="20" xfId="0" applyFont="1" applyFill="1" applyBorder="1" applyAlignment="1">
      <alignment horizontal="left" vertical="center" indent="1"/>
    </xf>
    <xf numFmtId="0" fontId="5" fillId="3" borderId="19" xfId="0" applyFont="1" applyFill="1" applyBorder="1" applyAlignment="1">
      <alignment horizontal="left" vertical="center" indent="1"/>
    </xf>
    <xf numFmtId="0" fontId="32" fillId="3" borderId="18" xfId="0" applyFont="1" applyFill="1" applyBorder="1" applyAlignment="1">
      <alignment horizontal="left" vertical="top" wrapText="1" indent="1"/>
    </xf>
    <xf numFmtId="0" fontId="32" fillId="3" borderId="12" xfId="0" applyFont="1" applyFill="1" applyBorder="1" applyAlignment="1">
      <alignment horizontal="left" vertical="top" wrapText="1" indent="1"/>
    </xf>
    <xf numFmtId="0" fontId="32" fillId="3" borderId="7" xfId="0" applyFont="1" applyFill="1" applyBorder="1" applyAlignment="1">
      <alignment horizontal="left" vertical="top" wrapText="1" indent="1"/>
    </xf>
    <xf numFmtId="0" fontId="32" fillId="3" borderId="6" xfId="0" applyFont="1" applyFill="1" applyBorder="1" applyAlignment="1">
      <alignment horizontal="left" vertical="top" wrapText="1" indent="1"/>
    </xf>
    <xf numFmtId="0" fontId="32" fillId="3" borderId="8" xfId="0" applyFont="1" applyFill="1" applyBorder="1" applyAlignment="1">
      <alignment horizontal="left" vertical="top" wrapText="1" indent="1"/>
    </xf>
    <xf numFmtId="0" fontId="32" fillId="3" borderId="15" xfId="0" applyFont="1" applyFill="1" applyBorder="1" applyAlignment="1">
      <alignment horizontal="left" vertical="top" wrapText="1" indent="1"/>
    </xf>
    <xf numFmtId="0" fontId="32" fillId="3" borderId="16" xfId="0" applyFont="1" applyFill="1" applyBorder="1" applyAlignment="1">
      <alignment horizontal="left" vertical="top" wrapText="1" indent="1"/>
    </xf>
    <xf numFmtId="0" fontId="32" fillId="3" borderId="17" xfId="0" applyFont="1" applyFill="1" applyBorder="1" applyAlignment="1">
      <alignment horizontal="left" vertical="top" wrapText="1" indent="1"/>
    </xf>
    <xf numFmtId="0" fontId="27" fillId="3" borderId="0" xfId="0" quotePrefix="1" applyFont="1" applyFill="1" applyAlignment="1">
      <alignment horizontal="left" vertical="center" indent="1"/>
    </xf>
    <xf numFmtId="0" fontId="0" fillId="3" borderId="5" xfId="0" applyFill="1" applyBorder="1" applyAlignment="1">
      <alignment horizontal="center" vertical="center"/>
    </xf>
    <xf numFmtId="0" fontId="0" fillId="3" borderId="10" xfId="0" applyFill="1" applyBorder="1" applyAlignment="1">
      <alignment horizontal="center" vertical="center"/>
    </xf>
    <xf numFmtId="0" fontId="0" fillId="3" borderId="6" xfId="0" applyFill="1" applyBorder="1"/>
    <xf numFmtId="0" fontId="8" fillId="3" borderId="0" xfId="3" applyFill="1" applyAlignment="1">
      <alignment horizontal="left" vertical="center"/>
    </xf>
    <xf numFmtId="0" fontId="5" fillId="3" borderId="6" xfId="0" applyFont="1" applyFill="1" applyBorder="1" applyAlignment="1" applyProtection="1">
      <alignment horizontal="left" vertical="center" wrapText="1"/>
      <protection locked="0"/>
    </xf>
    <xf numFmtId="0" fontId="16" fillId="9" borderId="5" xfId="0" applyFont="1" applyFill="1" applyBorder="1" applyAlignment="1">
      <alignment horizontal="center" vertical="center"/>
    </xf>
    <xf numFmtId="0" fontId="16" fillId="9" borderId="9" xfId="0" applyFont="1" applyFill="1" applyBorder="1" applyAlignment="1">
      <alignment horizontal="center" vertical="center"/>
    </xf>
    <xf numFmtId="0" fontId="16" fillId="9" borderId="10" xfId="0" applyFont="1" applyFill="1" applyBorder="1" applyAlignment="1">
      <alignment horizontal="center" vertical="center"/>
    </xf>
    <xf numFmtId="2" fontId="0" fillId="3" borderId="4" xfId="0" applyNumberFormat="1" applyFill="1" applyBorder="1" applyAlignment="1">
      <alignment horizontal="center" vertical="center"/>
    </xf>
    <xf numFmtId="0" fontId="0" fillId="4" borderId="5" xfId="0" applyFill="1" applyBorder="1" applyAlignment="1">
      <alignment horizontal="center" vertical="center"/>
    </xf>
    <xf numFmtId="0" fontId="0" fillId="4" borderId="9" xfId="0" applyFill="1" applyBorder="1" applyAlignment="1">
      <alignment horizontal="center" vertical="center"/>
    </xf>
    <xf numFmtId="0" fontId="28" fillId="3" borderId="0" xfId="3" applyFont="1" applyFill="1" applyAlignment="1">
      <alignment horizontal="left" vertical="center"/>
    </xf>
    <xf numFmtId="0" fontId="48" fillId="3" borderId="0" xfId="0" applyFont="1" applyFill="1" applyAlignment="1" applyProtection="1">
      <alignment vertical="center" wrapText="1"/>
      <protection locked="0"/>
    </xf>
    <xf numFmtId="0" fontId="28" fillId="3" borderId="6" xfId="3" applyFont="1" applyFill="1" applyBorder="1" applyAlignment="1">
      <alignment horizontal="left" vertical="center" wrapText="1" indent="3"/>
    </xf>
    <xf numFmtId="0" fontId="18" fillId="3" borderId="0" xfId="0" applyFont="1" applyFill="1" applyAlignment="1">
      <alignment horizontal="left" vertical="center" wrapText="1" indent="1"/>
    </xf>
    <xf numFmtId="0" fontId="0" fillId="3" borderId="12" xfId="0" quotePrefix="1" applyFill="1" applyBorder="1" applyAlignment="1">
      <alignment horizontal="left" vertical="center" indent="1"/>
    </xf>
    <xf numFmtId="0" fontId="32" fillId="32" borderId="0" xfId="0" applyFont="1" applyFill="1" applyAlignment="1">
      <alignment horizontal="left" vertical="center" indent="1"/>
    </xf>
    <xf numFmtId="0" fontId="32" fillId="3" borderId="0" xfId="0" applyFont="1" applyFill="1" applyAlignment="1">
      <alignment vertical="center"/>
    </xf>
    <xf numFmtId="0" fontId="32" fillId="3" borderId="27" xfId="0" applyFont="1" applyFill="1" applyBorder="1" applyAlignment="1">
      <alignment horizontal="left" vertical="center" indent="1"/>
    </xf>
    <xf numFmtId="0" fontId="32" fillId="3" borderId="86" xfId="0" applyFont="1" applyFill="1" applyBorder="1" applyAlignment="1">
      <alignment horizontal="left" vertical="center" indent="1"/>
    </xf>
    <xf numFmtId="0" fontId="5" fillId="0" borderId="0" xfId="0" applyFont="1" applyAlignment="1">
      <alignment horizontal="left" vertical="center" indent="1"/>
    </xf>
    <xf numFmtId="0" fontId="0" fillId="0" borderId="0" xfId="0" applyAlignment="1">
      <alignment vertical="center" wrapText="1"/>
    </xf>
    <xf numFmtId="0" fontId="0" fillId="0" borderId="12" xfId="0" applyBorder="1" applyAlignment="1">
      <alignment vertical="center" wrapText="1"/>
    </xf>
    <xf numFmtId="0" fontId="0" fillId="0" borderId="0" xfId="0" applyAlignment="1">
      <alignment horizontal="left" vertical="center" wrapText="1"/>
    </xf>
    <xf numFmtId="0" fontId="0" fillId="0" borderId="12" xfId="0" applyBorder="1" applyAlignment="1">
      <alignment horizontal="left" vertical="center" wrapText="1"/>
    </xf>
    <xf numFmtId="0" fontId="18" fillId="3" borderId="12" xfId="0" applyFont="1" applyFill="1" applyBorder="1" applyAlignment="1">
      <alignment horizontal="left" vertical="center" wrapText="1" indent="1"/>
    </xf>
    <xf numFmtId="0" fontId="32" fillId="3" borderId="0" xfId="0" quotePrefix="1" applyFont="1" applyFill="1" applyAlignment="1">
      <alignment horizontal="left" vertical="center" indent="2"/>
    </xf>
    <xf numFmtId="0" fontId="32" fillId="3" borderId="19" xfId="0" quotePrefix="1" applyFont="1" applyFill="1" applyBorder="1" applyAlignment="1">
      <alignment horizontal="left" vertical="center" indent="1"/>
    </xf>
    <xf numFmtId="0" fontId="20" fillId="0" borderId="0" xfId="0" applyFont="1" applyAlignment="1">
      <alignment vertical="center"/>
    </xf>
    <xf numFmtId="0" fontId="32" fillId="3" borderId="20" xfId="0" applyFont="1" applyFill="1" applyBorder="1" applyAlignment="1">
      <alignment vertical="center"/>
    </xf>
    <xf numFmtId="0" fontId="32" fillId="3" borderId="21" xfId="0" applyFont="1" applyFill="1" applyBorder="1" applyAlignment="1">
      <alignment vertical="center"/>
    </xf>
    <xf numFmtId="0" fontId="11" fillId="3" borderId="4" xfId="0" applyFont="1" applyFill="1" applyBorder="1" applyAlignment="1">
      <alignment horizontal="left" vertical="center" wrapText="1" indent="1"/>
    </xf>
    <xf numFmtId="0" fontId="11" fillId="13" borderId="4" xfId="0" applyFont="1" applyFill="1" applyBorder="1" applyAlignment="1" applyProtection="1">
      <alignment horizontal="left" vertical="center" indent="1"/>
      <protection locked="0"/>
    </xf>
    <xf numFmtId="0" fontId="11" fillId="3" borderId="15" xfId="0" applyFont="1" applyFill="1" applyBorder="1" applyAlignment="1">
      <alignment horizontal="left" vertical="center" wrapText="1" indent="1"/>
    </xf>
    <xf numFmtId="0" fontId="11" fillId="3" borderId="16" xfId="0" applyFont="1" applyFill="1" applyBorder="1" applyAlignment="1">
      <alignment horizontal="left" vertical="center" wrapText="1" indent="1"/>
    </xf>
    <xf numFmtId="0" fontId="11" fillId="3" borderId="17" xfId="0" applyFont="1" applyFill="1" applyBorder="1" applyAlignment="1">
      <alignment horizontal="left" vertical="center" wrapText="1" indent="1"/>
    </xf>
    <xf numFmtId="0" fontId="11" fillId="3" borderId="18" xfId="0" applyFont="1" applyFill="1" applyBorder="1" applyAlignment="1">
      <alignment horizontal="left" vertical="center" wrapText="1" indent="1"/>
    </xf>
    <xf numFmtId="0" fontId="11" fillId="3" borderId="0" xfId="0" applyFont="1" applyFill="1" applyAlignment="1">
      <alignment horizontal="left" vertical="center" wrapText="1" indent="1"/>
    </xf>
    <xf numFmtId="0" fontId="11" fillId="3" borderId="12" xfId="0" applyFont="1" applyFill="1" applyBorder="1" applyAlignment="1">
      <alignment horizontal="left" vertical="center" wrapText="1" indent="1"/>
    </xf>
    <xf numFmtId="0" fontId="11" fillId="3" borderId="7" xfId="0" applyFont="1" applyFill="1" applyBorder="1" applyAlignment="1">
      <alignment horizontal="left" vertical="center" wrapText="1" indent="1"/>
    </xf>
    <xf numFmtId="0" fontId="11" fillId="3" borderId="6" xfId="0" applyFont="1" applyFill="1" applyBorder="1" applyAlignment="1">
      <alignment horizontal="left" vertical="center" wrapText="1" indent="1"/>
    </xf>
    <xf numFmtId="0" fontId="11" fillId="3" borderId="8" xfId="0" applyFont="1" applyFill="1" applyBorder="1" applyAlignment="1">
      <alignment horizontal="left" vertical="center" wrapText="1" indent="1"/>
    </xf>
    <xf numFmtId="0" fontId="0" fillId="3" borderId="15" xfId="0" applyFill="1" applyBorder="1" applyAlignment="1">
      <alignment horizontal="left" vertical="top" wrapText="1" indent="1"/>
    </xf>
    <xf numFmtId="0" fontId="0" fillId="3" borderId="16" xfId="0" applyFill="1" applyBorder="1" applyAlignment="1">
      <alignment horizontal="left" vertical="top" wrapText="1" indent="1"/>
    </xf>
    <xf numFmtId="0" fontId="0" fillId="3" borderId="17" xfId="0" applyFill="1" applyBorder="1" applyAlignment="1">
      <alignment horizontal="left" vertical="top" wrapText="1" indent="1"/>
    </xf>
    <xf numFmtId="0" fontId="0" fillId="3" borderId="18" xfId="0" applyFill="1" applyBorder="1" applyAlignment="1">
      <alignment horizontal="left" vertical="top" wrapText="1" indent="1"/>
    </xf>
    <xf numFmtId="0" fontId="0" fillId="3" borderId="0" xfId="0" applyFill="1" applyAlignment="1">
      <alignment horizontal="left" vertical="top" wrapText="1" indent="1"/>
    </xf>
    <xf numFmtId="0" fontId="0" fillId="3" borderId="12" xfId="0" applyFill="1" applyBorder="1" applyAlignment="1">
      <alignment horizontal="left" vertical="top" wrapText="1" indent="1"/>
    </xf>
    <xf numFmtId="0" fontId="0" fillId="3" borderId="7" xfId="0" applyFill="1" applyBorder="1" applyAlignment="1">
      <alignment horizontal="left" vertical="top" wrapText="1" indent="1"/>
    </xf>
    <xf numFmtId="0" fontId="0" fillId="3" borderId="6" xfId="0" applyFill="1" applyBorder="1" applyAlignment="1">
      <alignment horizontal="left" vertical="top" wrapText="1" indent="1"/>
    </xf>
    <xf numFmtId="0" fontId="0" fillId="3" borderId="8" xfId="0" applyFill="1" applyBorder="1" applyAlignment="1">
      <alignment horizontal="left" vertical="top" wrapText="1" indent="1"/>
    </xf>
    <xf numFmtId="0" fontId="11" fillId="3" borderId="13" xfId="0" applyFont="1" applyFill="1" applyBorder="1" applyAlignment="1">
      <alignment horizontal="left" vertical="center" wrapText="1" indent="1"/>
    </xf>
    <xf numFmtId="0" fontId="11" fillId="3" borderId="32" xfId="0" applyFont="1" applyFill="1" applyBorder="1" applyAlignment="1">
      <alignment horizontal="left" vertical="center" wrapText="1" indent="1"/>
    </xf>
    <xf numFmtId="0" fontId="11" fillId="3" borderId="11" xfId="0" applyFont="1" applyFill="1" applyBorder="1" applyAlignment="1">
      <alignment horizontal="left" vertical="center" wrapText="1" indent="1"/>
    </xf>
    <xf numFmtId="0" fontId="0" fillId="28" borderId="0" xfId="0" applyFill="1"/>
    <xf numFmtId="0" fontId="3" fillId="3" borderId="6" xfId="0" applyFont="1" applyFill="1" applyBorder="1" applyAlignment="1">
      <alignment vertical="center"/>
    </xf>
    <xf numFmtId="0" fontId="77" fillId="20" borderId="15" xfId="0" applyFont="1" applyFill="1" applyBorder="1" applyAlignment="1">
      <alignment horizontal="center" vertical="center"/>
    </xf>
    <xf numFmtId="0" fontId="77" fillId="20" borderId="17" xfId="0" applyFont="1" applyFill="1" applyBorder="1" applyAlignment="1">
      <alignment horizontal="center" vertical="center"/>
    </xf>
    <xf numFmtId="0" fontId="77" fillId="20" borderId="7" xfId="0" applyFont="1" applyFill="1" applyBorder="1" applyAlignment="1">
      <alignment horizontal="center" vertical="center"/>
    </xf>
    <xf numFmtId="0" fontId="77" fillId="20" borderId="8" xfId="0" applyFont="1" applyFill="1" applyBorder="1" applyAlignment="1">
      <alignment horizontal="center" vertical="center"/>
    </xf>
    <xf numFmtId="0" fontId="77" fillId="20" borderId="4" xfId="0" applyFont="1" applyFill="1" applyBorder="1" applyAlignment="1">
      <alignment horizontal="center" vertical="center" wrapText="1"/>
    </xf>
    <xf numFmtId="0" fontId="77" fillId="20" borderId="15" xfId="0" applyFont="1" applyFill="1" applyBorder="1" applyAlignment="1">
      <alignment horizontal="center" vertical="center" wrapText="1"/>
    </xf>
    <xf numFmtId="0" fontId="77" fillId="20" borderId="16" xfId="0" applyFont="1" applyFill="1" applyBorder="1" applyAlignment="1">
      <alignment horizontal="center" vertical="center" wrapText="1"/>
    </xf>
    <xf numFmtId="0" fontId="77" fillId="20" borderId="17" xfId="0" applyFont="1" applyFill="1" applyBorder="1" applyAlignment="1">
      <alignment horizontal="center" vertical="center" wrapText="1"/>
    </xf>
    <xf numFmtId="0" fontId="77" fillId="20" borderId="7" xfId="0" applyFont="1" applyFill="1" applyBorder="1" applyAlignment="1">
      <alignment horizontal="center" vertical="center" wrapText="1"/>
    </xf>
    <xf numFmtId="0" fontId="77" fillId="20" borderId="6" xfId="0" applyFont="1" applyFill="1" applyBorder="1" applyAlignment="1">
      <alignment horizontal="center" vertical="center" wrapText="1"/>
    </xf>
    <xf numFmtId="0" fontId="77" fillId="20" borderId="8" xfId="0" applyFont="1" applyFill="1" applyBorder="1" applyAlignment="1">
      <alignment horizontal="center" vertical="center" wrapText="1"/>
    </xf>
    <xf numFmtId="0" fontId="3" fillId="28" borderId="6" xfId="0" applyFont="1" applyFill="1" applyBorder="1"/>
    <xf numFmtId="0" fontId="11" fillId="3" borderId="13" xfId="0" applyFont="1" applyFill="1" applyBorder="1" applyAlignment="1">
      <alignment horizontal="left" vertical="center" indent="1"/>
    </xf>
    <xf numFmtId="0" fontId="11" fillId="3" borderId="32" xfId="0" applyFont="1" applyFill="1" applyBorder="1" applyAlignment="1">
      <alignment horizontal="left" vertical="center" indent="1"/>
    </xf>
    <xf numFmtId="0" fontId="11" fillId="3" borderId="11" xfId="0" applyFont="1" applyFill="1" applyBorder="1" applyAlignment="1">
      <alignment horizontal="left" vertical="center" indent="1"/>
    </xf>
    <xf numFmtId="0" fontId="11" fillId="3" borderId="4" xfId="0" applyFont="1" applyFill="1" applyBorder="1" applyAlignment="1">
      <alignment horizontal="left" vertical="center" indent="1"/>
    </xf>
    <xf numFmtId="0" fontId="63" fillId="3" borderId="0" xfId="0" applyFont="1" applyFill="1" applyAlignment="1">
      <alignment vertical="center"/>
    </xf>
    <xf numFmtId="0" fontId="0" fillId="33" borderId="4" xfId="0" applyFill="1" applyBorder="1"/>
    <xf numFmtId="0" fontId="0" fillId="32" borderId="4" xfId="0" applyFill="1" applyBorder="1"/>
    <xf numFmtId="0" fontId="5" fillId="3" borderId="0" xfId="0" applyFont="1" applyFill="1" applyAlignment="1">
      <alignment vertical="center"/>
    </xf>
    <xf numFmtId="0" fontId="5" fillId="4" borderId="4" xfId="0" applyFont="1" applyFill="1" applyBorder="1" applyAlignment="1">
      <alignment horizontal="left" vertical="center" indent="1"/>
    </xf>
    <xf numFmtId="0" fontId="5" fillId="3" borderId="12" xfId="0" applyFont="1" applyFill="1" applyBorder="1" applyAlignment="1">
      <alignment vertical="center"/>
    </xf>
    <xf numFmtId="0" fontId="5" fillId="4" borderId="10" xfId="0" applyFont="1" applyFill="1" applyBorder="1" applyAlignment="1">
      <alignment horizontal="left" vertical="center" indent="1"/>
    </xf>
    <xf numFmtId="0" fontId="73" fillId="3" borderId="6" xfId="0" applyFont="1" applyFill="1" applyBorder="1" applyAlignment="1">
      <alignment vertical="center" wrapText="1"/>
    </xf>
    <xf numFmtId="9" fontId="5" fillId="4" borderId="4" xfId="0" applyNumberFormat="1" applyFont="1" applyFill="1" applyBorder="1" applyAlignment="1">
      <alignment horizontal="left" vertical="center" indent="1"/>
    </xf>
    <xf numFmtId="0" fontId="64" fillId="3" borderId="0" xfId="0" applyFont="1" applyFill="1"/>
    <xf numFmtId="0" fontId="64" fillId="35" borderId="0" xfId="0" applyFont="1" applyFill="1"/>
    <xf numFmtId="0" fontId="3" fillId="3" borderId="0" xfId="0" applyFont="1" applyFill="1"/>
    <xf numFmtId="0" fontId="0" fillId="4" borderId="4" xfId="0" applyFill="1" applyBorder="1" applyAlignment="1">
      <alignment horizontal="left" vertical="center" wrapText="1" indent="1"/>
    </xf>
    <xf numFmtId="2" fontId="0" fillId="4" borderId="4" xfId="0" applyNumberFormat="1" applyFill="1" applyBorder="1" applyAlignment="1">
      <alignment horizontal="left" vertical="center" wrapText="1" indent="1"/>
    </xf>
    <xf numFmtId="164" fontId="0" fillId="4" borderId="4" xfId="0" applyNumberFormat="1" applyFill="1" applyBorder="1" applyAlignment="1">
      <alignment horizontal="left" vertical="center" indent="1"/>
    </xf>
    <xf numFmtId="2" fontId="0" fillId="4" borderId="4" xfId="0" applyNumberFormat="1" applyFill="1" applyBorder="1" applyAlignment="1">
      <alignment horizontal="left" vertical="center" indent="1"/>
    </xf>
    <xf numFmtId="0" fontId="43" fillId="3" borderId="0" xfId="0" applyFont="1" applyFill="1" applyAlignment="1">
      <alignment horizontal="left" vertical="center" indent="1"/>
    </xf>
    <xf numFmtId="0" fontId="0" fillId="23" borderId="15" xfId="0" applyFill="1" applyBorder="1" applyAlignment="1">
      <alignment horizontal="left" vertical="top" wrapText="1" indent="3"/>
    </xf>
    <xf numFmtId="0" fontId="0" fillId="23" borderId="16" xfId="0" applyFill="1" applyBorder="1" applyAlignment="1">
      <alignment horizontal="left" vertical="top" wrapText="1" indent="3"/>
    </xf>
    <xf numFmtId="0" fontId="0" fillId="23" borderId="17" xfId="0" applyFill="1" applyBorder="1" applyAlignment="1">
      <alignment horizontal="left" vertical="top" wrapText="1" indent="3"/>
    </xf>
    <xf numFmtId="0" fontId="0" fillId="23" borderId="18" xfId="0" applyFill="1" applyBorder="1" applyAlignment="1" applyProtection="1">
      <alignment vertical="top" wrapText="1"/>
      <protection locked="0"/>
    </xf>
    <xf numFmtId="0" fontId="0" fillId="23" borderId="0" xfId="0" applyFill="1" applyAlignment="1" applyProtection="1">
      <alignment vertical="top" wrapText="1"/>
      <protection locked="0"/>
    </xf>
    <xf numFmtId="0" fontId="0" fillId="23" borderId="12" xfId="0" applyFill="1" applyBorder="1" applyAlignment="1" applyProtection="1">
      <alignment vertical="top" wrapText="1"/>
      <protection locked="0"/>
    </xf>
    <xf numFmtId="0" fontId="0" fillId="23" borderId="7" xfId="0" applyFill="1" applyBorder="1" applyAlignment="1" applyProtection="1">
      <alignment vertical="top" wrapText="1"/>
      <protection locked="0"/>
    </xf>
    <xf numFmtId="0" fontId="0" fillId="23" borderId="6" xfId="0" applyFill="1" applyBorder="1" applyAlignment="1" applyProtection="1">
      <alignment vertical="top" wrapText="1"/>
      <protection locked="0"/>
    </xf>
    <xf numFmtId="0" fontId="0" fillId="23" borderId="8" xfId="0" applyFill="1" applyBorder="1" applyAlignment="1" applyProtection="1">
      <alignment vertical="top" wrapText="1"/>
      <protection locked="0"/>
    </xf>
    <xf numFmtId="0" fontId="0" fillId="3" borderId="4" xfId="0" applyFill="1" applyBorder="1" applyAlignment="1">
      <alignment horizontal="left" vertical="top" wrapText="1" indent="1"/>
    </xf>
    <xf numFmtId="0" fontId="3" fillId="3" borderId="12" xfId="0" applyFont="1" applyFill="1" applyBorder="1" applyAlignment="1">
      <alignment horizontal="left" vertical="center" indent="1"/>
    </xf>
    <xf numFmtId="0" fontId="0" fillId="28" borderId="0" xfId="0" applyFill="1" applyAlignment="1">
      <alignment horizontal="left" vertical="center"/>
    </xf>
    <xf numFmtId="0" fontId="0" fillId="28" borderId="12" xfId="0" applyFill="1" applyBorder="1" applyAlignment="1">
      <alignment horizontal="left" vertical="center"/>
    </xf>
    <xf numFmtId="0" fontId="0" fillId="3" borderId="0" xfId="0" applyFill="1" applyAlignment="1">
      <alignment horizontal="left" vertical="center" wrapText="1" indent="3"/>
    </xf>
    <xf numFmtId="0" fontId="0" fillId="3" borderId="14" xfId="0" applyFill="1" applyBorder="1" applyAlignment="1">
      <alignment horizontal="left" vertical="center" wrapText="1" indent="1"/>
    </xf>
    <xf numFmtId="2" fontId="0" fillId="4" borderId="14" xfId="0" applyNumberFormat="1" applyFill="1" applyBorder="1" applyAlignment="1">
      <alignment horizontal="left" vertical="center" wrapText="1" indent="1"/>
    </xf>
    <xf numFmtId="0" fontId="0" fillId="3" borderId="11" xfId="0" applyFill="1" applyBorder="1" applyAlignment="1">
      <alignment horizontal="left" vertical="center" wrapText="1" indent="1"/>
    </xf>
    <xf numFmtId="2" fontId="0" fillId="4" borderId="11" xfId="0" applyNumberFormat="1" applyFill="1" applyBorder="1" applyAlignment="1">
      <alignment horizontal="left" vertical="center" wrapText="1" indent="1"/>
    </xf>
    <xf numFmtId="0" fontId="0" fillId="28" borderId="12" xfId="0" applyFill="1" applyBorder="1"/>
    <xf numFmtId="2" fontId="0" fillId="4" borderId="5" xfId="0" applyNumberFormat="1" applyFill="1" applyBorder="1" applyAlignment="1">
      <alignment horizontal="left" vertical="center" wrapText="1" indent="1"/>
    </xf>
    <xf numFmtId="2" fontId="0" fillId="4" borderId="9" xfId="0" applyNumberFormat="1" applyFill="1" applyBorder="1" applyAlignment="1">
      <alignment horizontal="left" vertical="center" wrapText="1" indent="1"/>
    </xf>
    <xf numFmtId="2" fontId="0" fillId="4" borderId="10" xfId="0" applyNumberFormat="1" applyFill="1" applyBorder="1" applyAlignment="1">
      <alignment horizontal="left" vertical="center" wrapText="1" indent="1"/>
    </xf>
    <xf numFmtId="0" fontId="0" fillId="3" borderId="15" xfId="0" applyFill="1" applyBorder="1" applyAlignment="1">
      <alignment vertical="top" wrapText="1"/>
    </xf>
    <xf numFmtId="0" fontId="0" fillId="3" borderId="16" xfId="0" applyFill="1" applyBorder="1" applyAlignment="1">
      <alignment vertical="top" wrapText="1"/>
    </xf>
    <xf numFmtId="0" fontId="0" fillId="3" borderId="17" xfId="0" applyFill="1" applyBorder="1" applyAlignment="1">
      <alignment vertical="top" wrapText="1"/>
    </xf>
    <xf numFmtId="0" fontId="0" fillId="3" borderId="18" xfId="0" applyFill="1" applyBorder="1" applyAlignment="1">
      <alignment vertical="top" wrapText="1"/>
    </xf>
    <xf numFmtId="0" fontId="0" fillId="3" borderId="0" xfId="0" applyFill="1" applyAlignment="1">
      <alignment vertical="top" wrapText="1"/>
    </xf>
    <xf numFmtId="0" fontId="0" fillId="3" borderId="12" xfId="0" applyFill="1" applyBorder="1" applyAlignment="1">
      <alignment vertical="top" wrapText="1"/>
    </xf>
    <xf numFmtId="0" fontId="0" fillId="3" borderId="7" xfId="0" applyFill="1" applyBorder="1" applyAlignment="1">
      <alignment vertical="top" wrapText="1"/>
    </xf>
    <xf numFmtId="0" fontId="0" fillId="3" borderId="6" xfId="0" applyFill="1" applyBorder="1" applyAlignment="1">
      <alignment vertical="top" wrapText="1"/>
    </xf>
    <xf numFmtId="0" fontId="0" fillId="3" borderId="8" xfId="0" applyFill="1" applyBorder="1" applyAlignment="1">
      <alignment vertical="top" wrapText="1"/>
    </xf>
    <xf numFmtId="1" fontId="0" fillId="4" borderId="4" xfId="0" applyNumberFormat="1" applyFill="1" applyBorder="1" applyAlignment="1">
      <alignment horizontal="left" vertical="center" indent="1"/>
    </xf>
    <xf numFmtId="2" fontId="0" fillId="4" borderId="4" xfId="1" applyNumberFormat="1" applyFont="1" applyFill="1" applyBorder="1" applyAlignment="1" applyProtection="1">
      <alignment horizontal="left" vertical="center" indent="1"/>
    </xf>
    <xf numFmtId="1" fontId="0" fillId="16" borderId="5" xfId="0" applyNumberFormat="1" applyFill="1" applyBorder="1" applyAlignment="1">
      <alignment horizontal="left" vertical="center" indent="1"/>
    </xf>
    <xf numFmtId="1" fontId="0" fillId="16" borderId="9" xfId="0" applyNumberFormat="1" applyFill="1" applyBorder="1" applyAlignment="1">
      <alignment horizontal="left" vertical="center" indent="1"/>
    </xf>
    <xf numFmtId="1" fontId="0" fillId="16" borderId="10" xfId="0" applyNumberFormat="1" applyFill="1" applyBorder="1" applyAlignment="1">
      <alignment horizontal="left" vertical="center" indent="1"/>
    </xf>
    <xf numFmtId="0" fontId="65" fillId="23" borderId="0" xfId="0" applyFont="1" applyFill="1" applyAlignment="1">
      <alignment vertical="center" wrapText="1"/>
    </xf>
    <xf numFmtId="0" fontId="0" fillId="23" borderId="0" xfId="0" applyFill="1" applyAlignment="1">
      <alignment horizontal="right" vertical="center" indent="1"/>
    </xf>
    <xf numFmtId="0" fontId="0" fillId="23" borderId="0" xfId="0" applyFill="1" applyAlignment="1">
      <alignment vertical="center" wrapText="1"/>
    </xf>
    <xf numFmtId="0" fontId="3" fillId="21" borderId="0" xfId="0" applyFont="1" applyFill="1" applyAlignment="1">
      <alignment vertical="center" wrapText="1"/>
    </xf>
    <xf numFmtId="0" fontId="0" fillId="21" borderId="0" xfId="0" applyFill="1" applyAlignment="1">
      <alignment horizontal="right" vertical="center" indent="1"/>
    </xf>
    <xf numFmtId="0" fontId="0" fillId="21" borderId="0" xfId="0" applyFill="1" applyAlignment="1">
      <alignment vertical="center" wrapText="1"/>
    </xf>
    <xf numFmtId="0" fontId="0" fillId="3" borderId="15" xfId="0" applyFill="1" applyBorder="1" applyAlignment="1">
      <alignment horizontal="left" vertical="top" wrapText="1"/>
    </xf>
    <xf numFmtId="0" fontId="0" fillId="3" borderId="16" xfId="0" applyFill="1" applyBorder="1" applyAlignment="1">
      <alignment horizontal="left" vertical="top" wrapText="1"/>
    </xf>
    <xf numFmtId="0" fontId="0" fillId="3" borderId="17" xfId="0" applyFill="1" applyBorder="1" applyAlignment="1">
      <alignment horizontal="left" vertical="top" wrapText="1"/>
    </xf>
    <xf numFmtId="0" fontId="0" fillId="3" borderId="18" xfId="0" applyFill="1" applyBorder="1" applyAlignment="1">
      <alignment horizontal="left" vertical="top" wrapText="1"/>
    </xf>
    <xf numFmtId="0" fontId="0" fillId="3" borderId="12" xfId="0" applyFill="1" applyBorder="1" applyAlignment="1">
      <alignment horizontal="left" vertical="top" wrapText="1"/>
    </xf>
    <xf numFmtId="0" fontId="0" fillId="3" borderId="7" xfId="0" applyFill="1" applyBorder="1" applyAlignment="1">
      <alignment horizontal="left" vertical="top" wrapText="1"/>
    </xf>
    <xf numFmtId="0" fontId="0" fillId="3" borderId="6" xfId="0" applyFill="1" applyBorder="1" applyAlignment="1">
      <alignment horizontal="left" vertical="top" wrapText="1"/>
    </xf>
    <xf numFmtId="0" fontId="0" fillId="3" borderId="8" xfId="0" applyFill="1" applyBorder="1" applyAlignment="1">
      <alignment horizontal="left" vertical="top" wrapText="1"/>
    </xf>
    <xf numFmtId="0" fontId="19" fillId="21" borderId="0" xfId="0" applyFont="1" applyFill="1" applyAlignment="1">
      <alignment vertical="center" wrapText="1"/>
    </xf>
    <xf numFmtId="0" fontId="0" fillId="4" borderId="4" xfId="1" applyNumberFormat="1" applyFont="1" applyFill="1" applyBorder="1" applyAlignment="1" applyProtection="1">
      <alignment horizontal="left" vertical="center" indent="1"/>
    </xf>
    <xf numFmtId="0" fontId="0" fillId="3" borderId="15" xfId="0" applyFill="1" applyBorder="1" applyAlignment="1">
      <alignment horizontal="left" vertical="top" indent="1"/>
    </xf>
    <xf numFmtId="0" fontId="0" fillId="3" borderId="16" xfId="0" applyFill="1" applyBorder="1" applyAlignment="1">
      <alignment horizontal="left" vertical="top" indent="1"/>
    </xf>
    <xf numFmtId="0" fontId="0" fillId="3" borderId="17" xfId="0" applyFill="1" applyBorder="1" applyAlignment="1">
      <alignment horizontal="left" vertical="top" indent="1"/>
    </xf>
    <xf numFmtId="0" fontId="0" fillId="3" borderId="18" xfId="0" applyFill="1" applyBorder="1" applyAlignment="1">
      <alignment horizontal="left" vertical="top" indent="1"/>
    </xf>
    <xf numFmtId="0" fontId="0" fillId="3" borderId="0" xfId="0" applyFill="1" applyAlignment="1">
      <alignment horizontal="left" vertical="top" indent="1"/>
    </xf>
    <xf numFmtId="0" fontId="0" fillId="3" borderId="12" xfId="0" applyFill="1" applyBorder="1" applyAlignment="1">
      <alignment horizontal="left" vertical="top" indent="1"/>
    </xf>
    <xf numFmtId="0" fontId="0" fillId="3" borderId="7" xfId="0" applyFill="1" applyBorder="1" applyAlignment="1">
      <alignment horizontal="left" vertical="top" indent="1"/>
    </xf>
    <xf numFmtId="0" fontId="0" fillId="3" borderId="6" xfId="0" applyFill="1" applyBorder="1" applyAlignment="1">
      <alignment horizontal="left" vertical="top" indent="1"/>
    </xf>
    <xf numFmtId="0" fontId="0" fillId="3" borderId="8" xfId="0" applyFill="1" applyBorder="1" applyAlignment="1">
      <alignment horizontal="left" vertical="top" indent="1"/>
    </xf>
    <xf numFmtId="0" fontId="19" fillId="23" borderId="0" xfId="0" applyFont="1" applyFill="1" applyAlignment="1">
      <alignment vertical="center" wrapText="1"/>
    </xf>
    <xf numFmtId="0" fontId="0" fillId="21" borderId="12" xfId="0" applyFill="1" applyBorder="1" applyAlignment="1">
      <alignment horizontal="right" vertical="center" indent="1"/>
    </xf>
    <xf numFmtId="0" fontId="0" fillId="3" borderId="15" xfId="0" applyFill="1" applyBorder="1"/>
    <xf numFmtId="0" fontId="0" fillId="3" borderId="17" xfId="0" applyFill="1" applyBorder="1"/>
    <xf numFmtId="0" fontId="0" fillId="3" borderId="18" xfId="0" applyFill="1" applyBorder="1"/>
    <xf numFmtId="0" fontId="0" fillId="3" borderId="7" xfId="0" applyFill="1" applyBorder="1"/>
    <xf numFmtId="0" fontId="0" fillId="3" borderId="8" xfId="0" applyFill="1" applyBorder="1"/>
    <xf numFmtId="0" fontId="5" fillId="0" borderId="0" xfId="0" applyFont="1" applyAlignment="1">
      <alignment horizontal="left" vertical="center" wrapText="1" indent="1"/>
    </xf>
    <xf numFmtId="3" fontId="5" fillId="4" borderId="4" xfId="0" applyNumberFormat="1" applyFont="1" applyFill="1" applyBorder="1" applyAlignment="1">
      <alignment horizontal="left" vertical="center" wrapText="1" indent="1"/>
    </xf>
    <xf numFmtId="165" fontId="5" fillId="4" borderId="4" xfId="0" applyNumberFormat="1" applyFont="1" applyFill="1" applyBorder="1" applyAlignment="1">
      <alignment horizontal="left" vertical="center" wrapText="1" indent="1"/>
    </xf>
    <xf numFmtId="4" fontId="0" fillId="4" borderId="4" xfId="0" applyNumberFormat="1" applyFill="1" applyBorder="1" applyAlignment="1">
      <alignment horizontal="left" vertical="center" wrapText="1" indent="1"/>
    </xf>
    <xf numFmtId="0" fontId="0" fillId="28" borderId="0" xfId="0" applyFill="1" applyAlignment="1">
      <alignment horizontal="left" vertical="center" indent="1"/>
    </xf>
    <xf numFmtId="0" fontId="0" fillId="28" borderId="0" xfId="0" applyFill="1" applyAlignment="1">
      <alignment horizontal="left" indent="1"/>
    </xf>
    <xf numFmtId="0" fontId="0" fillId="28" borderId="0" xfId="0" applyFill="1" applyAlignment="1" applyProtection="1">
      <alignment horizontal="left" vertical="top" wrapText="1" indent="1"/>
      <protection locked="0"/>
    </xf>
    <xf numFmtId="0" fontId="15" fillId="20" borderId="16" xfId="0" applyFont="1" applyFill="1" applyBorder="1" applyAlignment="1">
      <alignment horizontal="center" vertical="center"/>
    </xf>
    <xf numFmtId="0" fontId="15" fillId="20" borderId="6" xfId="0" applyFont="1" applyFill="1" applyBorder="1" applyAlignment="1">
      <alignment horizontal="center" vertical="center"/>
    </xf>
    <xf numFmtId="0" fontId="0" fillId="21" borderId="0" xfId="0" applyFill="1" applyAlignment="1">
      <alignment vertical="center"/>
    </xf>
    <xf numFmtId="0" fontId="0" fillId="3" borderId="15" xfId="0" applyFill="1" applyBorder="1" applyAlignment="1" applyProtection="1">
      <alignment horizontal="left" vertical="top" wrapText="1" indent="1"/>
      <protection locked="0"/>
    </xf>
    <xf numFmtId="0" fontId="0" fillId="3" borderId="16" xfId="0" applyFill="1" applyBorder="1" applyAlignment="1" applyProtection="1">
      <alignment horizontal="left" vertical="top" wrapText="1" indent="1"/>
      <protection locked="0"/>
    </xf>
    <xf numFmtId="0" fontId="0" fillId="3" borderId="17" xfId="0" applyFill="1" applyBorder="1" applyAlignment="1" applyProtection="1">
      <alignment horizontal="left" vertical="top" wrapText="1" indent="1"/>
      <protection locked="0"/>
    </xf>
    <xf numFmtId="0" fontId="0" fillId="3" borderId="18" xfId="0" applyFill="1" applyBorder="1" applyAlignment="1" applyProtection="1">
      <alignment horizontal="left" vertical="top" wrapText="1" indent="1"/>
      <protection locked="0"/>
    </xf>
    <xf numFmtId="0" fontId="0" fillId="3" borderId="0" xfId="0" applyFill="1" applyAlignment="1" applyProtection="1">
      <alignment horizontal="left" vertical="top" wrapText="1" indent="1"/>
      <protection locked="0"/>
    </xf>
    <xf numFmtId="0" fontId="0" fillId="3" borderId="12" xfId="0" applyFill="1" applyBorder="1" applyAlignment="1" applyProtection="1">
      <alignment horizontal="left" vertical="top" wrapText="1" indent="1"/>
      <protection locked="0"/>
    </xf>
    <xf numFmtId="0" fontId="0" fillId="3" borderId="7" xfId="0" applyFill="1" applyBorder="1" applyAlignment="1" applyProtection="1">
      <alignment horizontal="left" vertical="top" wrapText="1" indent="1"/>
      <protection locked="0"/>
    </xf>
    <xf numFmtId="0" fontId="0" fillId="3" borderId="6" xfId="0" applyFill="1" applyBorder="1" applyAlignment="1" applyProtection="1">
      <alignment horizontal="left" vertical="top" wrapText="1" indent="1"/>
      <protection locked="0"/>
    </xf>
    <xf numFmtId="0" fontId="0" fillId="3" borderId="8" xfId="0" applyFill="1" applyBorder="1" applyAlignment="1" applyProtection="1">
      <alignment horizontal="left" vertical="top" wrapText="1" indent="1"/>
      <protection locked="0"/>
    </xf>
    <xf numFmtId="0" fontId="0" fillId="3" borderId="0" xfId="0" applyFill="1" applyAlignment="1">
      <alignment horizontal="left" vertical="center" wrapText="1" indent="2"/>
    </xf>
    <xf numFmtId="0" fontId="43" fillId="3" borderId="18" xfId="0" applyFont="1" applyFill="1" applyBorder="1" applyAlignment="1">
      <alignment horizontal="left" vertical="top" wrapText="1" indent="2"/>
    </xf>
    <xf numFmtId="0" fontId="43" fillId="3" borderId="0" xfId="0" applyFont="1" applyFill="1" applyAlignment="1">
      <alignment horizontal="left" vertical="top" wrapText="1" indent="2"/>
    </xf>
    <xf numFmtId="0" fontId="3" fillId="3" borderId="57" xfId="0" applyFont="1" applyFill="1" applyBorder="1"/>
    <xf numFmtId="0" fontId="3" fillId="3" borderId="0" xfId="0" applyFont="1" applyFill="1" applyAlignment="1">
      <alignment vertical="center" wrapText="1"/>
    </xf>
    <xf numFmtId="3" fontId="0" fillId="3" borderId="0" xfId="0" applyNumberFormat="1" applyFill="1" applyAlignment="1">
      <alignment horizontal="left" vertical="center" wrapText="1" indent="1"/>
    </xf>
    <xf numFmtId="0" fontId="0" fillId="3" borderId="16" xfId="0" applyFill="1" applyBorder="1" applyAlignment="1">
      <alignment horizontal="left" vertical="center" indent="1"/>
    </xf>
    <xf numFmtId="0" fontId="0" fillId="3" borderId="17" xfId="0" applyFill="1" applyBorder="1" applyAlignment="1">
      <alignment horizontal="left" vertical="center" indent="1"/>
    </xf>
    <xf numFmtId="0" fontId="0" fillId="3" borderId="21" xfId="0" applyFill="1" applyBorder="1" applyAlignment="1">
      <alignment vertical="center"/>
    </xf>
    <xf numFmtId="0" fontId="0" fillId="3" borderId="76" xfId="0" applyFill="1" applyBorder="1" applyAlignment="1">
      <alignment vertical="center"/>
    </xf>
    <xf numFmtId="0" fontId="3" fillId="3" borderId="0" xfId="0" applyFont="1" applyFill="1" applyAlignment="1">
      <alignment horizontal="left" vertical="center" wrapText="1" indent="1"/>
    </xf>
    <xf numFmtId="3" fontId="3" fillId="4" borderId="4" xfId="0" applyNumberFormat="1" applyFont="1" applyFill="1" applyBorder="1" applyAlignment="1">
      <alignment horizontal="left" vertical="center" wrapText="1" indent="1"/>
    </xf>
    <xf numFmtId="0" fontId="3" fillId="4" borderId="4" xfId="0" applyFont="1" applyFill="1" applyBorder="1" applyAlignment="1">
      <alignment horizontal="left" vertical="center" wrapText="1" indent="1"/>
    </xf>
    <xf numFmtId="164" fontId="0" fillId="4" borderId="13" xfId="0" applyNumberFormat="1" applyFill="1" applyBorder="1" applyAlignment="1">
      <alignment horizontal="left" vertical="center" indent="1"/>
    </xf>
    <xf numFmtId="3" fontId="0" fillId="4" borderId="4" xfId="0" applyNumberFormat="1" applyFill="1" applyBorder="1" applyAlignment="1">
      <alignment horizontal="left" vertical="center" wrapText="1" indent="1"/>
    </xf>
    <xf numFmtId="2" fontId="0" fillId="4" borderId="5" xfId="1" applyNumberFormat="1" applyFont="1" applyFill="1" applyBorder="1" applyAlignment="1" applyProtection="1">
      <alignment horizontal="left" vertical="center" indent="1"/>
    </xf>
    <xf numFmtId="2" fontId="0" fillId="4" borderId="9" xfId="1" applyNumberFormat="1" applyFont="1" applyFill="1" applyBorder="1" applyAlignment="1" applyProtection="1">
      <alignment horizontal="left" vertical="center" indent="1"/>
    </xf>
    <xf numFmtId="2" fontId="0" fillId="4" borderId="10" xfId="1" applyNumberFormat="1" applyFont="1" applyFill="1" applyBorder="1" applyAlignment="1" applyProtection="1">
      <alignment horizontal="left" vertical="center" indent="1"/>
    </xf>
    <xf numFmtId="0" fontId="0" fillId="3" borderId="6" xfId="0" applyFill="1" applyBorder="1" applyAlignment="1">
      <alignment horizontal="left" vertical="center" indent="1"/>
    </xf>
    <xf numFmtId="0" fontId="0" fillId="28" borderId="5" xfId="0" applyFill="1" applyBorder="1" applyAlignment="1" applyProtection="1">
      <alignment horizontal="left" vertical="center" indent="1"/>
      <protection locked="0"/>
    </xf>
    <xf numFmtId="0" fontId="0" fillId="28" borderId="9" xfId="0" applyFill="1" applyBorder="1" applyAlignment="1" applyProtection="1">
      <alignment horizontal="left" vertical="center" indent="1"/>
      <protection locked="0"/>
    </xf>
    <xf numFmtId="0" fontId="0" fillId="28" borderId="10" xfId="0" applyFill="1" applyBorder="1" applyAlignment="1" applyProtection="1">
      <alignment horizontal="left" vertical="center" indent="1"/>
      <protection locked="0"/>
    </xf>
    <xf numFmtId="0" fontId="0" fillId="3" borderId="0" xfId="0" applyFill="1" applyAlignment="1">
      <alignment horizontal="left" vertical="center" indent="5"/>
    </xf>
    <xf numFmtId="0" fontId="0" fillId="3" borderId="12" xfId="0" applyFill="1" applyBorder="1" applyAlignment="1">
      <alignment horizontal="left" vertical="center" indent="5"/>
    </xf>
    <xf numFmtId="0" fontId="0" fillId="28" borderId="0" xfId="0" applyFill="1" applyAlignment="1">
      <alignment horizontal="left" vertical="top" wrapText="1" indent="1"/>
    </xf>
    <xf numFmtId="0" fontId="0" fillId="3" borderId="15" xfId="0" applyFill="1" applyBorder="1" applyAlignment="1">
      <alignment horizontal="left" vertical="center" indent="1"/>
    </xf>
    <xf numFmtId="1" fontId="0" fillId="4" borderId="15" xfId="0" applyNumberFormat="1" applyFill="1" applyBorder="1" applyAlignment="1">
      <alignment horizontal="left" vertical="center" indent="1"/>
    </xf>
    <xf numFmtId="1" fontId="0" fillId="4" borderId="16" xfId="0" applyNumberFormat="1" applyFill="1" applyBorder="1" applyAlignment="1">
      <alignment horizontal="left" vertical="center" indent="1"/>
    </xf>
    <xf numFmtId="1" fontId="0" fillId="4" borderId="17" xfId="0" applyNumberFormat="1" applyFill="1" applyBorder="1" applyAlignment="1">
      <alignment horizontal="left" vertical="center" indent="1"/>
    </xf>
    <xf numFmtId="1" fontId="0" fillId="4" borderId="7" xfId="0" applyNumberFormat="1" applyFill="1" applyBorder="1" applyAlignment="1">
      <alignment horizontal="left" vertical="center" indent="1"/>
    </xf>
    <xf numFmtId="1" fontId="0" fillId="4" borderId="6" xfId="0" applyNumberFormat="1" applyFill="1" applyBorder="1" applyAlignment="1">
      <alignment horizontal="left" vertical="center" indent="1"/>
    </xf>
    <xf numFmtId="1" fontId="0" fillId="4" borderId="8" xfId="0" applyNumberFormat="1" applyFill="1" applyBorder="1" applyAlignment="1">
      <alignment horizontal="left" vertical="center" indent="1"/>
    </xf>
    <xf numFmtId="165" fontId="0" fillId="4" borderId="4" xfId="0" applyNumberFormat="1" applyFill="1" applyBorder="1" applyAlignment="1">
      <alignment horizontal="left" vertical="center" indent="1"/>
    </xf>
    <xf numFmtId="165" fontId="3" fillId="4" borderId="4" xfId="0" applyNumberFormat="1" applyFont="1" applyFill="1" applyBorder="1" applyAlignment="1">
      <alignment horizontal="left" vertical="center" indent="1"/>
    </xf>
    <xf numFmtId="0" fontId="3" fillId="4" borderId="4" xfId="0" applyFont="1" applyFill="1" applyBorder="1" applyAlignment="1">
      <alignment horizontal="left" vertical="center" indent="1"/>
    </xf>
    <xf numFmtId="0" fontId="0" fillId="4" borderId="9" xfId="1" applyNumberFormat="1" applyFont="1" applyFill="1" applyBorder="1" applyAlignment="1" applyProtection="1">
      <alignment horizontal="left" vertical="center" indent="1"/>
    </xf>
    <xf numFmtId="0" fontId="0" fillId="28" borderId="4" xfId="0" applyFill="1" applyBorder="1" applyAlignment="1" applyProtection="1">
      <alignment horizontal="left" vertical="center" indent="1"/>
      <protection locked="0"/>
    </xf>
    <xf numFmtId="164" fontId="3" fillId="4" borderId="5" xfId="0" applyNumberFormat="1" applyFont="1" applyFill="1" applyBorder="1" applyAlignment="1">
      <alignment horizontal="left" vertical="center" indent="1"/>
    </xf>
    <xf numFmtId="164" fontId="3" fillId="4" borderId="9" xfId="0" applyNumberFormat="1" applyFont="1" applyFill="1" applyBorder="1" applyAlignment="1">
      <alignment horizontal="left" vertical="center" indent="1"/>
    </xf>
    <xf numFmtId="164" fontId="3" fillId="4" borderId="10" xfId="0" applyNumberFormat="1" applyFont="1" applyFill="1" applyBorder="1" applyAlignment="1">
      <alignment horizontal="left" vertical="center" indent="1"/>
    </xf>
    <xf numFmtId="0" fontId="0" fillId="28" borderId="12" xfId="0" applyFill="1" applyBorder="1" applyAlignment="1">
      <alignment horizontal="left" vertical="center" indent="1"/>
    </xf>
    <xf numFmtId="0" fontId="0" fillId="3" borderId="13" xfId="0" applyFill="1" applyBorder="1" applyAlignment="1">
      <alignment horizontal="left" vertical="center" indent="1"/>
    </xf>
    <xf numFmtId="0" fontId="0" fillId="28" borderId="0" xfId="0" applyFill="1" applyAlignment="1" applyProtection="1">
      <alignment horizontal="left" vertical="center" wrapText="1" indent="1"/>
      <protection locked="0"/>
    </xf>
    <xf numFmtId="0" fontId="0" fillId="28" borderId="12" xfId="0" applyFill="1" applyBorder="1" applyAlignment="1" applyProtection="1">
      <alignment horizontal="left" vertical="center" wrapText="1" indent="1"/>
      <protection locked="0"/>
    </xf>
    <xf numFmtId="0" fontId="0" fillId="11" borderId="4" xfId="0" applyFill="1" applyBorder="1"/>
    <xf numFmtId="1" fontId="0" fillId="4" borderId="13" xfId="0" applyNumberFormat="1" applyFill="1" applyBorder="1" applyAlignment="1">
      <alignment horizontal="left" vertical="center" indent="1"/>
    </xf>
    <xf numFmtId="1" fontId="0" fillId="4" borderId="11" xfId="0" applyNumberFormat="1" applyFill="1" applyBorder="1" applyAlignment="1">
      <alignment horizontal="left" vertical="center" indent="1"/>
    </xf>
    <xf numFmtId="0" fontId="0" fillId="3" borderId="15" xfId="0" applyFill="1" applyBorder="1" applyAlignment="1" applyProtection="1">
      <alignment horizontal="left" vertical="top" indent="1"/>
      <protection locked="0"/>
    </xf>
    <xf numFmtId="0" fontId="0" fillId="3" borderId="16" xfId="0" applyFill="1" applyBorder="1" applyAlignment="1" applyProtection="1">
      <alignment horizontal="left" vertical="top" indent="1"/>
      <protection locked="0"/>
    </xf>
    <xf numFmtId="0" fontId="0" fillId="3" borderId="17" xfId="0" applyFill="1" applyBorder="1" applyAlignment="1" applyProtection="1">
      <alignment horizontal="left" vertical="top" indent="1"/>
      <protection locked="0"/>
    </xf>
    <xf numFmtId="0" fontId="0" fillId="3" borderId="18" xfId="0" applyFill="1" applyBorder="1" applyAlignment="1" applyProtection="1">
      <alignment horizontal="left" vertical="top" indent="1"/>
      <protection locked="0"/>
    </xf>
    <xf numFmtId="0" fontId="0" fillId="3" borderId="0" xfId="0" applyFill="1" applyAlignment="1" applyProtection="1">
      <alignment horizontal="left" vertical="top" indent="1"/>
      <protection locked="0"/>
    </xf>
    <xf numFmtId="0" fontId="0" fillId="3" borderId="12" xfId="0" applyFill="1" applyBorder="1" applyAlignment="1" applyProtection="1">
      <alignment horizontal="left" vertical="top" indent="1"/>
      <protection locked="0"/>
    </xf>
    <xf numFmtId="0" fontId="0" fillId="3" borderId="7" xfId="0" applyFill="1" applyBorder="1" applyAlignment="1" applyProtection="1">
      <alignment horizontal="left" vertical="top" indent="1"/>
      <protection locked="0"/>
    </xf>
    <xf numFmtId="0" fontId="0" fillId="3" borderId="6" xfId="0" applyFill="1" applyBorder="1" applyAlignment="1" applyProtection="1">
      <alignment horizontal="left" vertical="top" indent="1"/>
      <protection locked="0"/>
    </xf>
    <xf numFmtId="0" fontId="0" fillId="3" borderId="8" xfId="0" applyFill="1" applyBorder="1" applyAlignment="1" applyProtection="1">
      <alignment horizontal="left" vertical="top" indent="1"/>
      <protection locked="0"/>
    </xf>
    <xf numFmtId="0" fontId="0" fillId="3" borderId="0" xfId="0" applyFill="1" applyAlignment="1">
      <alignment horizontal="left" indent="3"/>
    </xf>
    <xf numFmtId="0" fontId="0" fillId="3" borderId="12" xfId="0" applyFill="1" applyBorder="1" applyAlignment="1">
      <alignment horizontal="left" indent="3"/>
    </xf>
    <xf numFmtId="0" fontId="0" fillId="3" borderId="50" xfId="0" applyFill="1" applyBorder="1" applyAlignment="1">
      <alignment horizontal="left" vertical="top" wrapText="1" indent="1"/>
    </xf>
    <xf numFmtId="0" fontId="63" fillId="3" borderId="6" xfId="0" applyFont="1" applyFill="1" applyBorder="1" applyAlignment="1">
      <alignment vertical="center"/>
    </xf>
    <xf numFmtId="0" fontId="0" fillId="33" borderId="5" xfId="0" applyFill="1" applyBorder="1"/>
    <xf numFmtId="0" fontId="0" fillId="33" borderId="9" xfId="0" applyFill="1" applyBorder="1"/>
    <xf numFmtId="0" fontId="0" fillId="33" borderId="10" xfId="0" applyFill="1" applyBorder="1"/>
    <xf numFmtId="0" fontId="0" fillId="3" borderId="16" xfId="0" applyFill="1" applyBorder="1" applyAlignment="1">
      <alignment horizontal="left" vertical="center" indent="3"/>
    </xf>
    <xf numFmtId="0" fontId="0" fillId="3" borderId="17" xfId="0" applyFill="1" applyBorder="1" applyAlignment="1">
      <alignment horizontal="left" vertical="center" indent="3"/>
    </xf>
    <xf numFmtId="0" fontId="0" fillId="3" borderId="0" xfId="0" applyFill="1" applyAlignment="1">
      <alignment horizontal="left" vertical="center" wrapText="1" indent="4"/>
    </xf>
    <xf numFmtId="0" fontId="0" fillId="0" borderId="0" xfId="0" applyAlignment="1">
      <alignment horizontal="left" vertical="center" wrapText="1" indent="2"/>
    </xf>
    <xf numFmtId="0" fontId="0" fillId="3" borderId="6" xfId="0" applyFill="1" applyBorder="1" applyAlignment="1">
      <alignment horizontal="left" vertical="center" wrapText="1"/>
    </xf>
    <xf numFmtId="0" fontId="0" fillId="28" borderId="4" xfId="0" applyFill="1" applyBorder="1" applyAlignment="1" applyProtection="1">
      <alignment horizontal="left" vertical="center" wrapText="1" indent="1"/>
      <protection locked="0"/>
    </xf>
    <xf numFmtId="0" fontId="0" fillId="3" borderId="6" xfId="0" applyFill="1" applyBorder="1" applyAlignment="1">
      <alignment horizontal="left" vertical="center" wrapText="1" indent="1"/>
    </xf>
    <xf numFmtId="0" fontId="0" fillId="3" borderId="8" xfId="0" applyFill="1" applyBorder="1" applyAlignment="1">
      <alignment horizontal="left" vertical="center" wrapText="1" indent="1"/>
    </xf>
    <xf numFmtId="0" fontId="0" fillId="23" borderId="9" xfId="0" applyFill="1" applyBorder="1" applyAlignment="1" applyProtection="1">
      <alignment horizontal="left" vertical="center" indent="1"/>
      <protection locked="0"/>
    </xf>
    <xf numFmtId="0" fontId="0" fillId="3" borderId="3" xfId="0" applyFill="1" applyBorder="1" applyAlignment="1" applyProtection="1">
      <alignment horizontal="left" vertical="center"/>
      <protection locked="0"/>
    </xf>
    <xf numFmtId="0" fontId="0" fillId="3" borderId="2" xfId="0" applyFill="1" applyBorder="1" applyAlignment="1">
      <alignment horizontal="left" vertical="center"/>
    </xf>
    <xf numFmtId="0" fontId="5" fillId="3" borderId="0" xfId="0" quotePrefix="1" applyFont="1" applyFill="1" applyAlignment="1">
      <alignment horizontal="left" vertical="center" wrapText="1" indent="2"/>
    </xf>
    <xf numFmtId="0" fontId="5" fillId="3" borderId="6" xfId="0" quotePrefix="1" applyFont="1" applyFill="1" applyBorder="1" applyAlignment="1">
      <alignment horizontal="left" vertical="center" wrapText="1"/>
    </xf>
    <xf numFmtId="0" fontId="5" fillId="3" borderId="0" xfId="0" quotePrefix="1" applyFont="1" applyFill="1" applyAlignment="1">
      <alignment horizontal="left" vertical="center" wrapText="1"/>
    </xf>
    <xf numFmtId="0" fontId="10" fillId="3" borderId="0" xfId="0" applyFont="1" applyFill="1" applyAlignment="1">
      <alignment horizontal="left" vertical="center"/>
    </xf>
    <xf numFmtId="0" fontId="0" fillId="0" borderId="0" xfId="0" applyAlignment="1">
      <alignment vertical="top" wrapText="1"/>
    </xf>
    <xf numFmtId="0" fontId="2" fillId="2" borderId="9" xfId="0" applyFont="1" applyFill="1" applyBorder="1" applyAlignment="1">
      <alignment horizontal="right" vertical="center" indent="2"/>
    </xf>
    <xf numFmtId="0" fontId="2" fillId="2" borderId="10" xfId="0" applyFont="1" applyFill="1" applyBorder="1" applyAlignment="1">
      <alignment horizontal="right" vertical="center" indent="2"/>
    </xf>
    <xf numFmtId="0" fontId="0" fillId="5" borderId="9" xfId="0" applyFill="1" applyBorder="1" applyAlignment="1">
      <alignment horizontal="right" vertical="center" indent="2"/>
    </xf>
    <xf numFmtId="0" fontId="0" fillId="5" borderId="10" xfId="0" applyFill="1" applyBorder="1" applyAlignment="1">
      <alignment horizontal="right" vertical="center" indent="2"/>
    </xf>
  </cellXfs>
  <cellStyles count="14">
    <cellStyle name="Comma" xfId="4" builtinId="3"/>
    <cellStyle name="Comma 2" xfId="7" xr:uid="{00000000-0005-0000-0000-000001000000}"/>
    <cellStyle name="Currency" xfId="1" builtinId="4"/>
    <cellStyle name="Currency [0] 2" xfId="13" xr:uid="{7F47DE7F-E1C6-4786-9BBA-921CC99C8494}"/>
    <cellStyle name="Currency 2" xfId="8" xr:uid="{00000000-0005-0000-0000-000004000000}"/>
    <cellStyle name="Hyperlink" xfId="3" builtinId="8"/>
    <cellStyle name="Normal" xfId="0" builtinId="0"/>
    <cellStyle name="Normal 15" xfId="6" xr:uid="{00000000-0005-0000-0000-000007000000}"/>
    <cellStyle name="Normal 2" xfId="9" xr:uid="{00000000-0005-0000-0000-000008000000}"/>
    <cellStyle name="Normal 3" xfId="10" xr:uid="{00000000-0005-0000-0000-000009000000}"/>
    <cellStyle name="Normal 3 2" xfId="5" xr:uid="{00000000-0005-0000-0000-00000A000000}"/>
    <cellStyle name="Percent" xfId="2" builtinId="5"/>
    <cellStyle name="Percent 2" xfId="11" xr:uid="{00000000-0005-0000-0000-00000F000000}"/>
    <cellStyle name="Percent 3" xfId="12" xr:uid="{00000000-0005-0000-0000-000010000000}"/>
  </cellStyles>
  <dxfs count="229">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CCFFCC"/>
        </patternFill>
      </fill>
    </dxf>
    <dxf>
      <fill>
        <patternFill>
          <bgColor rgb="FFFFCC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CCFFCC"/>
        </patternFill>
      </fill>
    </dxf>
    <dxf>
      <fill>
        <patternFill>
          <bgColor rgb="FFFFCC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CCFFCC"/>
        </patternFill>
      </fill>
    </dxf>
    <dxf>
      <fill>
        <patternFill>
          <bgColor rgb="FFFFCC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FFCCCC"/>
        </patternFill>
      </fill>
    </dxf>
    <dxf>
      <fill>
        <patternFill>
          <bgColor rgb="FFFFCCCC"/>
        </patternFill>
      </fill>
    </dxf>
    <dxf>
      <fill>
        <patternFill>
          <bgColor rgb="FFCCFFCC"/>
        </patternFill>
      </fill>
    </dxf>
    <dxf>
      <fill>
        <patternFill>
          <bgColor rgb="FFFFCCCC"/>
        </patternFill>
      </fill>
    </dxf>
    <dxf>
      <fill>
        <patternFill>
          <bgColor rgb="FFCCFFCC"/>
        </patternFill>
      </fill>
    </dxf>
    <dxf>
      <fill>
        <patternFill>
          <bgColor rgb="FFEBFFEB"/>
        </patternFill>
      </fill>
    </dxf>
    <dxf>
      <fill>
        <patternFill>
          <bgColor rgb="FFEBFFEB"/>
        </patternFill>
      </fill>
    </dxf>
    <dxf>
      <fill>
        <patternFill>
          <bgColor rgb="FFFFFFCC"/>
        </patternFill>
      </fill>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font>
      <fill>
        <patternFill>
          <bgColor theme="0"/>
        </patternFill>
      </fill>
      <border>
        <left/>
        <right/>
        <top/>
        <bottom/>
        <vertical/>
        <horizontal/>
      </border>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ill>
        <patternFill>
          <bgColor theme="0" tint="-4.9989318521683403E-2"/>
        </patternFill>
      </fill>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fill>
        <patternFill>
          <bgColor theme="0" tint="-0.34998626667073579"/>
        </patternFill>
      </fill>
      <border>
        <left/>
        <right/>
        <top/>
        <bottom/>
        <vertical/>
        <horizontal/>
      </border>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24994659260841701"/>
      </font>
      <fill>
        <patternFill>
          <bgColor theme="0" tint="-0.24994659260841701"/>
        </patternFill>
      </fill>
      <border>
        <left/>
        <right/>
        <top/>
        <bottom/>
      </border>
    </dxf>
    <dxf>
      <font>
        <color theme="0" tint="-0.499984740745262"/>
      </font>
      <fill>
        <patternFill>
          <bgColor theme="0" tint="-0.499984740745262"/>
        </patternFill>
      </fill>
    </dxf>
    <dxf>
      <font>
        <color theme="0" tint="-0.24994659260841701"/>
      </font>
      <fill>
        <patternFill>
          <bgColor theme="0" tint="-0.24994659260841701"/>
        </patternFill>
      </fill>
      <border>
        <left/>
        <right/>
        <top/>
        <bottom/>
        <vertical/>
        <horizontal/>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ont>
        <color theme="0" tint="-0.24994659260841701"/>
      </font>
      <fill>
        <patternFill>
          <bgColor theme="0" tint="-0.24994659260841701"/>
        </patternFill>
      </fill>
    </dxf>
    <dxf>
      <font>
        <color theme="0" tint="-0.24994659260841701"/>
      </font>
      <fill>
        <patternFill patternType="solid">
          <fgColor theme="0"/>
          <bgColor theme="0" tint="-0.24994659260841701"/>
        </patternFill>
      </fill>
      <border>
        <left/>
        <right/>
        <top/>
        <bottom/>
      </border>
    </dxf>
    <dxf>
      <fill>
        <patternFill>
          <bgColor theme="5" tint="0.79998168889431442"/>
        </patternFill>
      </fill>
    </dxf>
    <dxf>
      <fill>
        <patternFill>
          <bgColor theme="5" tint="0.79998168889431442"/>
        </patternFill>
      </fill>
    </dxf>
    <dxf>
      <fill>
        <patternFill>
          <bgColor rgb="FFFFCCCC"/>
        </patternFill>
      </fill>
    </dxf>
    <dxf>
      <font>
        <color theme="0"/>
      </font>
    </dxf>
    <dxf>
      <fill>
        <patternFill>
          <bgColor theme="5" tint="0.79998168889431442"/>
        </patternFill>
      </fill>
    </dxf>
    <dxf>
      <fill>
        <patternFill>
          <bgColor theme="0"/>
        </patternFill>
      </fill>
    </dxf>
    <dxf>
      <fill>
        <patternFill>
          <bgColor theme="0"/>
        </patternFill>
      </fill>
    </dxf>
    <dxf>
      <fill>
        <patternFill>
          <bgColor theme="5" tint="0.79998168889431442"/>
        </patternFill>
      </fill>
    </dxf>
    <dxf>
      <font>
        <b/>
        <i val="0"/>
        <strike val="0"/>
        <color rgb="FFFF0000"/>
      </font>
    </dxf>
    <dxf>
      <fill>
        <patternFill patternType="solid">
          <fgColor theme="0"/>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6795556505021"/>
        </patternFill>
      </fill>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9C0006"/>
      </font>
      <fill>
        <patternFill>
          <bgColor rgb="FFFFC7CE"/>
        </patternFill>
      </fill>
    </dxf>
    <dxf>
      <font>
        <color rgb="FF006100"/>
      </font>
      <fill>
        <patternFill>
          <bgColor rgb="FFC6EFCE"/>
        </patternFill>
      </fill>
    </dxf>
    <dxf>
      <fill>
        <patternFill>
          <bgColor rgb="FFFFFF00"/>
        </patternFill>
      </fill>
    </dxf>
  </dxfs>
  <tableStyles count="1" defaultTableStyle="TableStyleMedium2" defaultPivotStyle="PivotStyleLight16">
    <tableStyle name="Invisible" pivot="0" table="0" count="0" xr9:uid="{A1511430-807D-45E4-A5F0-469CE1C10598}"/>
  </tableStyles>
  <colors>
    <mruColors>
      <color rgb="FF0E3F75"/>
      <color rgb="FFC12637"/>
      <color rgb="FFE0F2F3"/>
      <color rgb="FFEAF6F6"/>
      <color rgb="FFF4C8CD"/>
      <color rgb="FFFFFFCC"/>
      <color rgb="FFC6D5BF"/>
      <color rgb="FFFFCCCC"/>
      <color rgb="FFCCFFCC"/>
      <color rgb="FFCFE7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microsoft.com/office/2017/06/relationships/rdRichValueStructure" Target="richData/rdrichvaluestructur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14</xdr:col>
      <xdr:colOff>77971</xdr:colOff>
      <xdr:row>31</xdr:row>
      <xdr:rowOff>9122</xdr:rowOff>
    </xdr:from>
    <xdr:to>
      <xdr:col>14</xdr:col>
      <xdr:colOff>2169690</xdr:colOff>
      <xdr:row>36</xdr:row>
      <xdr:rowOff>17030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240" t="9503" r="-240" b="53948"/>
        <a:stretch/>
      </xdr:blipFill>
      <xdr:spPr>
        <a:xfrm>
          <a:off x="11593136" y="6557840"/>
          <a:ext cx="2091719" cy="975424"/>
        </a:xfrm>
        <a:prstGeom prst="rect">
          <a:avLst/>
        </a:prstGeom>
        <a:ln>
          <a:solidFill>
            <a:schemeClr val="bg1">
              <a:lumMod val="50000"/>
            </a:schemeClr>
          </a:solidFill>
        </a:ln>
      </xdr:spPr>
    </xdr:pic>
    <xdr:clientData/>
  </xdr:twoCellAnchor>
  <xdr:twoCellAnchor editAs="oneCell">
    <xdr:from>
      <xdr:col>1</xdr:col>
      <xdr:colOff>0</xdr:colOff>
      <xdr:row>0</xdr:row>
      <xdr:rowOff>80676</xdr:rowOff>
    </xdr:from>
    <xdr:to>
      <xdr:col>4</xdr:col>
      <xdr:colOff>369</xdr:colOff>
      <xdr:row>0</xdr:row>
      <xdr:rowOff>612895</xdr:rowOff>
    </xdr:to>
    <xdr:pic>
      <xdr:nvPicPr>
        <xdr:cNvPr id="9" name="Picture 8">
          <a:extLst>
            <a:ext uri="{FF2B5EF4-FFF2-40B4-BE49-F238E27FC236}">
              <a16:creationId xmlns:a16="http://schemas.microsoft.com/office/drawing/2014/main" id="{23591C96-3BB8-4666-9089-EE6C8EE148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0671" y="80676"/>
          <a:ext cx="2048692" cy="5322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893954</xdr:colOff>
      <xdr:row>0</xdr:row>
      <xdr:rowOff>626451</xdr:rowOff>
    </xdr:to>
    <xdr:pic>
      <xdr:nvPicPr>
        <xdr:cNvPr id="2" name="Picture 1">
          <a:extLst>
            <a:ext uri="{FF2B5EF4-FFF2-40B4-BE49-F238E27FC236}">
              <a16:creationId xmlns:a16="http://schemas.microsoft.com/office/drawing/2014/main" id="{29D3931F-F069-4715-8153-D5B5B6DD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730033</xdr:colOff>
      <xdr:row>0</xdr:row>
      <xdr:rowOff>616532</xdr:rowOff>
    </xdr:to>
    <xdr:pic>
      <xdr:nvPicPr>
        <xdr:cNvPr id="4" name="Picture 3">
          <a:extLst>
            <a:ext uri="{FF2B5EF4-FFF2-40B4-BE49-F238E27FC236}">
              <a16:creationId xmlns:a16="http://schemas.microsoft.com/office/drawing/2014/main" id="{A8E3859F-B6AA-47B2-80BC-E98EA27290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0"/>
          <a:ext cx="2048692" cy="532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493316</xdr:colOff>
      <xdr:row>0</xdr:row>
      <xdr:rowOff>616474</xdr:rowOff>
    </xdr:to>
    <xdr:pic>
      <xdr:nvPicPr>
        <xdr:cNvPr id="2" name="Picture 1">
          <a:extLst>
            <a:ext uri="{FF2B5EF4-FFF2-40B4-BE49-F238E27FC236}">
              <a16:creationId xmlns:a16="http://schemas.microsoft.com/office/drawing/2014/main" id="{C65719C2-F995-4A10-A587-32D13E5119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85164</xdr:rowOff>
    </xdr:from>
    <xdr:to>
      <xdr:col>3</xdr:col>
      <xdr:colOff>493316</xdr:colOff>
      <xdr:row>0</xdr:row>
      <xdr:rowOff>617383</xdr:rowOff>
    </xdr:to>
    <xdr:pic>
      <xdr:nvPicPr>
        <xdr:cNvPr id="3" name="Picture 2">
          <a:extLst>
            <a:ext uri="{FF2B5EF4-FFF2-40B4-BE49-F238E27FC236}">
              <a16:creationId xmlns:a16="http://schemas.microsoft.com/office/drawing/2014/main" id="{40C10BCE-A9AB-4C34-A4F5-F69195315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4"/>
          <a:ext cx="2048692" cy="5322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918558</xdr:colOff>
      <xdr:row>0</xdr:row>
      <xdr:rowOff>615444</xdr:rowOff>
    </xdr:to>
    <xdr:pic>
      <xdr:nvPicPr>
        <xdr:cNvPr id="2" name="Picture 1">
          <a:extLst>
            <a:ext uri="{FF2B5EF4-FFF2-40B4-BE49-F238E27FC236}">
              <a16:creationId xmlns:a16="http://schemas.microsoft.com/office/drawing/2014/main" id="{02F75B27-E88E-4163-B0C3-634DCFFAD3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0</xdr:colOff>
      <xdr:row>38</xdr:row>
      <xdr:rowOff>71719</xdr:rowOff>
    </xdr:from>
    <xdr:to>
      <xdr:col>15</xdr:col>
      <xdr:colOff>385451</xdr:colOff>
      <xdr:row>55</xdr:row>
      <xdr:rowOff>30288</xdr:rowOff>
    </xdr:to>
    <xdr:pic>
      <xdr:nvPicPr>
        <xdr:cNvPr id="3" name="Picture 2">
          <a:extLst>
            <a:ext uri="{FF2B5EF4-FFF2-40B4-BE49-F238E27FC236}">
              <a16:creationId xmlns:a16="http://schemas.microsoft.com/office/drawing/2014/main" id="{3DAA8471-0592-43F8-A901-A894486591BC}"/>
            </a:ext>
          </a:extLst>
        </xdr:cNvPr>
        <xdr:cNvPicPr>
          <a:picLocks noChangeAspect="1"/>
        </xdr:cNvPicPr>
      </xdr:nvPicPr>
      <xdr:blipFill rotWithShape="1">
        <a:blip xmlns:r="http://schemas.openxmlformats.org/officeDocument/2006/relationships" r:embed="rId1"/>
        <a:srcRect l="-1" t="1" r="-858" b="212"/>
        <a:stretch/>
      </xdr:blipFill>
      <xdr:spPr>
        <a:xfrm>
          <a:off x="11004176" y="7549778"/>
          <a:ext cx="3044981" cy="2879568"/>
        </a:xfrm>
        <a:prstGeom prst="rect">
          <a:avLst/>
        </a:prstGeom>
        <a:ln>
          <a:solidFill>
            <a:schemeClr val="bg1">
              <a:lumMod val="50000"/>
            </a:schemeClr>
          </a:solidFill>
        </a:ln>
      </xdr:spPr>
    </xdr:pic>
    <xdr:clientData/>
  </xdr:twoCellAnchor>
  <xdr:twoCellAnchor editAs="oneCell">
    <xdr:from>
      <xdr:col>1</xdr:col>
      <xdr:colOff>0</xdr:colOff>
      <xdr:row>0</xdr:row>
      <xdr:rowOff>85160</xdr:rowOff>
    </xdr:from>
    <xdr:to>
      <xdr:col>3</xdr:col>
      <xdr:colOff>584830</xdr:colOff>
      <xdr:row>0</xdr:row>
      <xdr:rowOff>617379</xdr:rowOff>
    </xdr:to>
    <xdr:pic>
      <xdr:nvPicPr>
        <xdr:cNvPr id="5" name="Picture 4">
          <a:extLst>
            <a:ext uri="{FF2B5EF4-FFF2-40B4-BE49-F238E27FC236}">
              <a16:creationId xmlns:a16="http://schemas.microsoft.com/office/drawing/2014/main" id="{D52C7CF6-83CA-4E5F-90C2-20C1DEE3AA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709414</xdr:colOff>
      <xdr:row>0</xdr:row>
      <xdr:rowOff>616532</xdr:rowOff>
    </xdr:to>
    <xdr:pic>
      <xdr:nvPicPr>
        <xdr:cNvPr id="4" name="Picture 3">
          <a:extLst>
            <a:ext uri="{FF2B5EF4-FFF2-40B4-BE49-F238E27FC236}">
              <a16:creationId xmlns:a16="http://schemas.microsoft.com/office/drawing/2014/main" id="{D560ECA3-D1AF-4810-9EB7-584AF21816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596683</xdr:colOff>
      <xdr:row>0</xdr:row>
      <xdr:rowOff>615685</xdr:rowOff>
    </xdr:to>
    <xdr:pic>
      <xdr:nvPicPr>
        <xdr:cNvPr id="5" name="Picture 4">
          <a:extLst>
            <a:ext uri="{FF2B5EF4-FFF2-40B4-BE49-F238E27FC236}">
              <a16:creationId xmlns:a16="http://schemas.microsoft.com/office/drawing/2014/main" id="{73C30E6E-560F-4459-92D1-FE188ABC57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577210</xdr:colOff>
      <xdr:row>0</xdr:row>
      <xdr:rowOff>615685</xdr:rowOff>
    </xdr:to>
    <xdr:pic>
      <xdr:nvPicPr>
        <xdr:cNvPr id="3" name="Picture 2">
          <a:extLst>
            <a:ext uri="{FF2B5EF4-FFF2-40B4-BE49-F238E27FC236}">
              <a16:creationId xmlns:a16="http://schemas.microsoft.com/office/drawing/2014/main" id="{F0B67FBA-3CAD-479C-B8A6-ECD36A4503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85163</xdr:rowOff>
    </xdr:from>
    <xdr:to>
      <xdr:col>3</xdr:col>
      <xdr:colOff>907561</xdr:colOff>
      <xdr:row>0</xdr:row>
      <xdr:rowOff>613996</xdr:rowOff>
    </xdr:to>
    <xdr:pic>
      <xdr:nvPicPr>
        <xdr:cNvPr id="2" name="Picture 1">
          <a:extLst>
            <a:ext uri="{FF2B5EF4-FFF2-40B4-BE49-F238E27FC236}">
              <a16:creationId xmlns:a16="http://schemas.microsoft.com/office/drawing/2014/main" id="{0B7AB5DE-41F2-4493-9578-6DF950BDA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3"/>
          <a:ext cx="2048692" cy="5322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89640</xdr:rowOff>
    </xdr:from>
    <xdr:to>
      <xdr:col>3</xdr:col>
      <xdr:colOff>878293</xdr:colOff>
      <xdr:row>0</xdr:row>
      <xdr:rowOff>645622</xdr:rowOff>
    </xdr:to>
    <xdr:pic>
      <xdr:nvPicPr>
        <xdr:cNvPr id="3" name="Picture 2">
          <a:extLst>
            <a:ext uri="{FF2B5EF4-FFF2-40B4-BE49-F238E27FC236}">
              <a16:creationId xmlns:a16="http://schemas.microsoft.com/office/drawing/2014/main" id="{C0452B01-05CB-4D6B-97AE-7833712F7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0"/>
          <a:ext cx="2048692" cy="5322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878798</xdr:colOff>
      <xdr:row>0</xdr:row>
      <xdr:rowOff>612896</xdr:rowOff>
    </xdr:to>
    <xdr:pic>
      <xdr:nvPicPr>
        <xdr:cNvPr id="2" name="Picture 1">
          <a:extLst>
            <a:ext uri="{FF2B5EF4-FFF2-40B4-BE49-F238E27FC236}">
              <a16:creationId xmlns:a16="http://schemas.microsoft.com/office/drawing/2014/main" id="{935E7F9D-58A0-41A5-8A55-A2FC0F0CF4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0677"/>
          <a:ext cx="1990048" cy="532219"/>
        </a:xfrm>
        <a:prstGeom prst="rect">
          <a:avLst/>
        </a:prstGeom>
      </xdr:spPr>
    </xdr:pic>
    <xdr:clientData/>
  </xdr:twoCellAnchor>
  <xdr:twoCellAnchor editAs="absolute">
    <xdr:from>
      <xdr:col>1</xdr:col>
      <xdr:colOff>51547</xdr:colOff>
      <xdr:row>231</xdr:row>
      <xdr:rowOff>4556</xdr:rowOff>
    </xdr:from>
    <xdr:to>
      <xdr:col>6</xdr:col>
      <xdr:colOff>47065</xdr:colOff>
      <xdr:row>258</xdr:row>
      <xdr:rowOff>111721</xdr:rowOff>
    </xdr:to>
    <xdr:sp macro="" textlink="">
      <xdr:nvSpPr>
        <xdr:cNvPr id="3" name="TextBox 2">
          <a:extLst>
            <a:ext uri="{FF2B5EF4-FFF2-40B4-BE49-F238E27FC236}">
              <a16:creationId xmlns:a16="http://schemas.microsoft.com/office/drawing/2014/main" id="{6FBAD930-5FF7-1BE2-2E4C-0CF9E8CE44EC}"/>
            </a:ext>
          </a:extLst>
        </xdr:cNvPr>
        <xdr:cNvSpPr txBox="1"/>
      </xdr:nvSpPr>
      <xdr:spPr>
        <a:xfrm>
          <a:off x="253253" y="40200056"/>
          <a:ext cx="5542430" cy="49817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sng"/>
        </a:p>
        <a:p>
          <a:r>
            <a:rPr lang="en-US" b="0" u="sng"/>
            <a:t>Developer Experience </a:t>
          </a:r>
        </a:p>
        <a:p>
          <a:endParaRPr lang="en-US"/>
        </a:p>
        <a:p>
          <a:endParaRPr lang="en-US" b="0" u="sng"/>
        </a:p>
        <a:p>
          <a:r>
            <a:rPr lang="en-US" b="0" u="sng"/>
            <a:t>Exception Requests </a:t>
          </a:r>
        </a:p>
      </xdr:txBody>
    </xdr:sp>
    <xdr:clientData/>
  </xdr:twoCellAnchor>
  <xdr:twoCellAnchor editAs="absolute">
    <xdr:from>
      <xdr:col>7</xdr:col>
      <xdr:colOff>53790</xdr:colOff>
      <xdr:row>230</xdr:row>
      <xdr:rowOff>20919</xdr:rowOff>
    </xdr:from>
    <xdr:to>
      <xdr:col>12</xdr:col>
      <xdr:colOff>48634</xdr:colOff>
      <xdr:row>258</xdr:row>
      <xdr:rowOff>90319</xdr:rowOff>
    </xdr:to>
    <xdr:sp macro="" textlink="">
      <xdr:nvSpPr>
        <xdr:cNvPr id="4" name="TextBox 3">
          <a:extLst>
            <a:ext uri="{FF2B5EF4-FFF2-40B4-BE49-F238E27FC236}">
              <a16:creationId xmlns:a16="http://schemas.microsoft.com/office/drawing/2014/main" id="{2D4063A3-F4CF-4E74-80AA-3EDDF04D0639}"/>
            </a:ext>
          </a:extLst>
        </xdr:cNvPr>
        <xdr:cNvSpPr txBox="1"/>
      </xdr:nvSpPr>
      <xdr:spPr>
        <a:xfrm>
          <a:off x="6609231" y="40182801"/>
          <a:ext cx="5541756" cy="4977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none"/>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kumimoji="0" lang="en-US" sz="1050" b="0" i="0" u="none" strike="noStrike" kern="0" cap="none" spc="0" normalizeH="0" baseline="0" noProof="0">
              <a:ln>
                <a:noFill/>
              </a:ln>
              <a:solidFill>
                <a:srgbClr val="2A2F36"/>
              </a:solidFill>
              <a:effectLst/>
              <a:uLnTx/>
              <a:uFillTx/>
              <a:latin typeface="+mn-lt"/>
              <a:ea typeface="+mn-ea"/>
              <a:cs typeface="+mn-cs"/>
            </a:rPr>
            <a:t>Compliance with all federal, state and local guidelines, regulations and requirements applicable to the financing and the subject project.</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kumimoji="0" lang="en-US" sz="1050" b="0" i="0" u="none" strike="noStrike" kern="0" cap="none" spc="0" normalizeH="0" baseline="0" noProof="0">
            <a:ln>
              <a:noFill/>
            </a:ln>
            <a:solidFill>
              <a:srgbClr val="2A2F36"/>
            </a:solidFill>
            <a:effectLst/>
            <a:uLnTx/>
            <a:uFillTx/>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kumimoji="0" lang="en-US" sz="1050" b="0" i="0" u="none" strike="noStrike" kern="0" cap="none" spc="0" normalizeH="0" baseline="0" noProof="0">
              <a:ln>
                <a:noFill/>
              </a:ln>
              <a:solidFill>
                <a:srgbClr val="2A2F36"/>
              </a:solidFill>
              <a:effectLst/>
              <a:uLnTx/>
              <a:uFillTx/>
              <a:latin typeface="+mn-lt"/>
              <a:ea typeface="+mn-ea"/>
              <a:cs typeface="+mn-cs"/>
            </a:rPr>
            <a:t>Clearance from all appropriate state taxing authorities in a form acceptable to OHFA.</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kumimoji="0" lang="en-US" sz="1050" b="0" i="0" u="none" strike="noStrike" kern="0" cap="none" spc="0" normalizeH="0" baseline="0" noProof="0">
            <a:ln>
              <a:noFill/>
            </a:ln>
            <a:solidFill>
              <a:srgbClr val="2A2F36"/>
            </a:solidFill>
            <a:effectLst/>
            <a:uLnTx/>
            <a:uFillTx/>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kumimoji="0" lang="en-US" sz="1050" b="0" i="0" u="none" strike="noStrike" kern="0" cap="none" spc="0" normalizeH="0" baseline="0" noProof="0">
              <a:ln>
                <a:noFill/>
              </a:ln>
              <a:solidFill>
                <a:srgbClr val="2A2F36"/>
              </a:solidFill>
              <a:effectLst/>
              <a:uLnTx/>
              <a:uFillTx/>
              <a:latin typeface="+mn-lt"/>
              <a:ea typeface="+mn-ea"/>
              <a:cs typeface="+mn-cs"/>
            </a:rPr>
            <a:t>If applicable, EPA clearance in a form acceptable to OHFA.</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kumimoji="0" lang="en-US" sz="1050" b="0" i="0" u="none" strike="noStrike" kern="0" cap="none" spc="0" normalizeH="0" baseline="0" noProof="0">
            <a:ln>
              <a:noFill/>
            </a:ln>
            <a:solidFill>
              <a:srgbClr val="2A2F36"/>
            </a:solidFill>
            <a:effectLst/>
            <a:uLnTx/>
            <a:uFillTx/>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kumimoji="0" lang="en-US" sz="1050" b="0" i="0" u="none" strike="noStrike" kern="0" cap="none" spc="0" normalizeH="0" baseline="0" noProof="0">
              <a:ln>
                <a:noFill/>
              </a:ln>
              <a:solidFill>
                <a:srgbClr val="2A2F36"/>
              </a:solidFill>
              <a:effectLst/>
              <a:uLnTx/>
              <a:uFillTx/>
              <a:latin typeface="+mn-lt"/>
              <a:ea typeface="+mn-ea"/>
              <a:cs typeface="+mn-cs"/>
            </a:rPr>
            <a:t>Submission of all documents and information described in the Closing Checklist, as hereafter amended or supplemented by OHFA or its legal counsel (the “Due Diligence”).  All Due Diligence is subject to clarification or supplementation as required by OHFA.</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kumimoji="0" lang="en-US" sz="1050" b="0" i="0" u="none" strike="noStrike" kern="0" cap="none" spc="0" normalizeH="0" baseline="0" noProof="0">
            <a:ln>
              <a:noFill/>
            </a:ln>
            <a:solidFill>
              <a:srgbClr val="2A2F36"/>
            </a:solidFill>
            <a:effectLst/>
            <a:uLnTx/>
            <a:uFillTx/>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kumimoji="0" lang="en-US" sz="1050" b="0" i="0" u="none" strike="noStrike" kern="0" cap="none" spc="0" normalizeH="0" baseline="0" noProof="0">
              <a:ln>
                <a:noFill/>
              </a:ln>
              <a:solidFill>
                <a:srgbClr val="2A2F36"/>
              </a:solidFill>
              <a:effectLst/>
              <a:uLnTx/>
              <a:uFillTx/>
              <a:latin typeface="+mn-lt"/>
              <a:ea typeface="+mn-ea"/>
              <a:cs typeface="+mn-cs"/>
            </a:rPr>
            <a:t>Collateral must be unconditionally sufficient to OHFA in form, content  and value.</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endParaRPr kumimoji="0" lang="en-US" sz="1050" b="0" i="0" u="none" strike="noStrike" kern="0" cap="none" spc="0" normalizeH="0" baseline="0" noProof="0">
            <a:ln>
              <a:noFill/>
            </a:ln>
            <a:solidFill>
              <a:srgbClr val="2A2F36"/>
            </a:solidFill>
            <a:effectLst/>
            <a:uLnTx/>
            <a:uFillTx/>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kumimoji="0" lang="en-US" sz="1050" b="0" i="0" u="none" strike="noStrike" kern="0" cap="none" spc="0" normalizeH="0" baseline="0" noProof="0">
              <a:ln>
                <a:noFill/>
              </a:ln>
              <a:solidFill>
                <a:srgbClr val="2A2F36"/>
              </a:solidFill>
              <a:effectLst/>
              <a:uLnTx/>
              <a:uFillTx/>
              <a:latin typeface="+mn-lt"/>
              <a:ea typeface="+mn-ea"/>
              <a:cs typeface="+mn-cs"/>
            </a:rPr>
            <a:t>Applicant must provide an email demonstrating they have notified OHFA of the approximate date construction is to commence, whether or not a pre-construction meeting was held, and evidence OHFA was invited at least two weeks in advance of the meeting, if held.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Additional closing conditions (at the discretion of OHFA): N/A</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Additional funding conditions (at the discretion of OHFA): N/A</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87088</xdr:rowOff>
    </xdr:from>
    <xdr:to>
      <xdr:col>3</xdr:col>
      <xdr:colOff>55215</xdr:colOff>
      <xdr:row>0</xdr:row>
      <xdr:rowOff>613381</xdr:rowOff>
    </xdr:to>
    <xdr:pic>
      <xdr:nvPicPr>
        <xdr:cNvPr id="3" name="Picture 2">
          <a:extLst>
            <a:ext uri="{FF2B5EF4-FFF2-40B4-BE49-F238E27FC236}">
              <a16:creationId xmlns:a16="http://schemas.microsoft.com/office/drawing/2014/main" id="{779A912E-E9F7-4B3A-868A-9C86C0ADAC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1" y="87088"/>
          <a:ext cx="2074515" cy="52629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878375</xdr:colOff>
      <xdr:row>0</xdr:row>
      <xdr:rowOff>611627</xdr:rowOff>
    </xdr:to>
    <xdr:pic>
      <xdr:nvPicPr>
        <xdr:cNvPr id="2" name="Picture 1">
          <a:extLst>
            <a:ext uri="{FF2B5EF4-FFF2-40B4-BE49-F238E27FC236}">
              <a16:creationId xmlns:a16="http://schemas.microsoft.com/office/drawing/2014/main" id="{720104B6-0F96-45E7-B7CF-477FAA393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7"/>
          <a:ext cx="2048692" cy="53221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CAA81CE8-76ED-45A7-A9E8-BDA7ACBB5C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85160"/>
          <a:ext cx="1966588" cy="52629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3" name="Picture 2">
          <a:extLst>
            <a:ext uri="{FF2B5EF4-FFF2-40B4-BE49-F238E27FC236}">
              <a16:creationId xmlns:a16="http://schemas.microsoft.com/office/drawing/2014/main" id="{FF928555-48DC-4CED-8383-AF8D1F320B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0990" y="85160"/>
          <a:ext cx="2041520" cy="53221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08DCE7EF-52D8-422C-8B92-09BEF03091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E8AEE8A1-6552-48BC-A7BB-4F781E7418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993F3E93-75FD-4F39-9032-8BFCF71EC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80971</xdr:rowOff>
    </xdr:from>
    <xdr:to>
      <xdr:col>2</xdr:col>
      <xdr:colOff>1191442</xdr:colOff>
      <xdr:row>0</xdr:row>
      <xdr:rowOff>611498</xdr:rowOff>
    </xdr:to>
    <xdr:pic>
      <xdr:nvPicPr>
        <xdr:cNvPr id="3" name="Picture 2">
          <a:extLst>
            <a:ext uri="{FF2B5EF4-FFF2-40B4-BE49-F238E27FC236}">
              <a16:creationId xmlns:a16="http://schemas.microsoft.com/office/drawing/2014/main" id="{D048E8EF-7928-42EA-8490-C71C0AB9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971"/>
          <a:ext cx="2048692" cy="53221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80679</xdr:rowOff>
    </xdr:from>
    <xdr:to>
      <xdr:col>3</xdr:col>
      <xdr:colOff>901210</xdr:colOff>
      <xdr:row>0</xdr:row>
      <xdr:rowOff>612898</xdr:rowOff>
    </xdr:to>
    <xdr:pic>
      <xdr:nvPicPr>
        <xdr:cNvPr id="3" name="Picture 2">
          <a:extLst>
            <a:ext uri="{FF2B5EF4-FFF2-40B4-BE49-F238E27FC236}">
              <a16:creationId xmlns:a16="http://schemas.microsoft.com/office/drawing/2014/main" id="{967B2365-215B-48B2-B322-2C55895574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9"/>
          <a:ext cx="2048692" cy="532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89642</xdr:rowOff>
    </xdr:from>
    <xdr:to>
      <xdr:col>4</xdr:col>
      <xdr:colOff>192546</xdr:colOff>
      <xdr:row>0</xdr:row>
      <xdr:rowOff>645624</xdr:rowOff>
    </xdr:to>
    <xdr:pic>
      <xdr:nvPicPr>
        <xdr:cNvPr id="3" name="Picture 2">
          <a:extLst>
            <a:ext uri="{FF2B5EF4-FFF2-40B4-BE49-F238E27FC236}">
              <a16:creationId xmlns:a16="http://schemas.microsoft.com/office/drawing/2014/main" id="{CCAEC3F7-4769-448D-B69D-626F0F16FA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2"/>
          <a:ext cx="2048692" cy="5322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4</xdr:col>
      <xdr:colOff>573546</xdr:colOff>
      <xdr:row>0</xdr:row>
      <xdr:rowOff>611633</xdr:rowOff>
    </xdr:to>
    <xdr:pic>
      <xdr:nvPicPr>
        <xdr:cNvPr id="3" name="Picture 2">
          <a:extLst>
            <a:ext uri="{FF2B5EF4-FFF2-40B4-BE49-F238E27FC236}">
              <a16:creationId xmlns:a16="http://schemas.microsoft.com/office/drawing/2014/main" id="{C309C46D-AFFF-4991-83FA-4D984F894A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D812ABD-6340-48DD-952D-770C70E42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85159</xdr:rowOff>
    </xdr:from>
    <xdr:to>
      <xdr:col>3</xdr:col>
      <xdr:colOff>878354</xdr:colOff>
      <xdr:row>0</xdr:row>
      <xdr:rowOff>611513</xdr:rowOff>
    </xdr:to>
    <xdr:pic>
      <xdr:nvPicPr>
        <xdr:cNvPr id="3" name="Picture 2">
          <a:extLst>
            <a:ext uri="{FF2B5EF4-FFF2-40B4-BE49-F238E27FC236}">
              <a16:creationId xmlns:a16="http://schemas.microsoft.com/office/drawing/2014/main" id="{D005E434-D194-49A3-9899-0ACC4AD30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9"/>
          <a:ext cx="2048692" cy="5322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07287E0-D062-40EC-87FA-8E0A06BDC1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912638</xdr:colOff>
      <xdr:row>0</xdr:row>
      <xdr:rowOff>611453</xdr:rowOff>
    </xdr:to>
    <xdr:pic>
      <xdr:nvPicPr>
        <xdr:cNvPr id="3" name="Picture 2">
          <a:extLst>
            <a:ext uri="{FF2B5EF4-FFF2-40B4-BE49-F238E27FC236}">
              <a16:creationId xmlns:a16="http://schemas.microsoft.com/office/drawing/2014/main" id="{126FB059-9224-428D-A7A2-7D530F800B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882100</xdr:colOff>
      <xdr:row>0</xdr:row>
      <xdr:rowOff>615021</xdr:rowOff>
    </xdr:to>
    <xdr:pic>
      <xdr:nvPicPr>
        <xdr:cNvPr id="2" name="Picture 1">
          <a:extLst>
            <a:ext uri="{FF2B5EF4-FFF2-40B4-BE49-F238E27FC236}">
              <a16:creationId xmlns:a16="http://schemas.microsoft.com/office/drawing/2014/main" id="{82CF6C42-1D19-4AA4-9758-3AF9F171E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OHFA Theme">
  <a:themeElements>
    <a:clrScheme name="Custom 5">
      <a:dk1>
        <a:sysClr val="windowText" lastClr="000000"/>
      </a:dk1>
      <a:lt1>
        <a:sysClr val="window" lastClr="FFFFFF"/>
      </a:lt1>
      <a:dk2>
        <a:srgbClr val="44546A"/>
      </a:dk2>
      <a:lt2>
        <a:srgbClr val="B0B3AF"/>
      </a:lt2>
      <a:accent1>
        <a:srgbClr val="0E3F75"/>
      </a:accent1>
      <a:accent2>
        <a:srgbClr val="C12637"/>
      </a:accent2>
      <a:accent3>
        <a:srgbClr val="0098D3"/>
      </a:accent3>
      <a:accent4>
        <a:srgbClr val="729364"/>
      </a:accent4>
      <a:accent5>
        <a:srgbClr val="EBA70E"/>
      </a:accent5>
      <a:accent6>
        <a:srgbClr val="69C2C6"/>
      </a:accent6>
      <a:hlink>
        <a:srgbClr val="0E3F75"/>
      </a:hlink>
      <a:folHlink>
        <a:srgbClr val="0E3F75"/>
      </a:folHlink>
    </a:clrScheme>
    <a:fontScheme name="Custom 2">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ohiohome.org/ppd/documents/DesignArchitecturalStandards.pdf" TargetMode="External"/><Relationship Id="rId13" Type="http://schemas.openxmlformats.org/officeDocument/2006/relationships/hyperlink" Target="https://ohiohome.org/811pra/default.aspx" TargetMode="External"/><Relationship Id="rId18" Type="http://schemas.openxmlformats.org/officeDocument/2006/relationships/hyperlink" Target="https://ohiohome.org/ppd/4percent-bgf.aspx" TargetMode="External"/><Relationship Id="rId26" Type="http://schemas.openxmlformats.org/officeDocument/2006/relationships/hyperlink" Target="https://www.ecfr.gov/current/title-26/chapter-I/subchapter-A/part-1/subject-group-ECFRd13f17a89aa6852/section-1.42-17" TargetMode="External"/><Relationship Id="rId3" Type="http://schemas.openxmlformats.org/officeDocument/2006/relationships/hyperlink" Target="https://ohiohome.org/ppd/documents/4-LIHTC-QAP.pdf" TargetMode="External"/><Relationship Id="rId21" Type="http://schemas.openxmlformats.org/officeDocument/2006/relationships/hyperlink" Target="https://codes.ohio.gov/ohio-revised-code/section-174.03" TargetMode="External"/><Relationship Id="rId7" Type="http://schemas.openxmlformats.org/officeDocument/2006/relationships/hyperlink" Target="https://ohiohome.org/ppd/documents/LIHTC-RentalUnderwritingGuidelines.pdf" TargetMode="External"/><Relationship Id="rId12" Type="http://schemas.openxmlformats.org/officeDocument/2006/relationships/hyperlink" Target="https://ohiohome.org/ppd/mflending.aspx" TargetMode="External"/><Relationship Id="rId17" Type="http://schemas.openxmlformats.org/officeDocument/2006/relationships/hyperlink" Target="https://ohiohome.org/ppd/4percent-olihtc.aspx" TargetMode="External"/><Relationship Id="rId25" Type="http://schemas.openxmlformats.org/officeDocument/2006/relationships/hyperlink" Target="https://www.govinfo.gov/content/pkg/USCODE-2023-title26/pdf/USCODE-2023-title26-subtitleA-chap1-subchapA-partIV-subpartD-sec42.pdf" TargetMode="External"/><Relationship Id="rId2" Type="http://schemas.openxmlformats.org/officeDocument/2006/relationships/hyperlink" Target="https://ohiohome.org/ppd/documents/4-LIHTC-QAP.pdf" TargetMode="External"/><Relationship Id="rId16" Type="http://schemas.openxmlformats.org/officeDocument/2006/relationships/hyperlink" Target="https://ohiohome.org/ppd/documents/4-LIHTC-QAP.pdf" TargetMode="External"/><Relationship Id="rId20" Type="http://schemas.openxmlformats.org/officeDocument/2006/relationships/hyperlink" Target="https://ohiohome.org/ppd/9percent-htc.aspx" TargetMode="External"/><Relationship Id="rId1" Type="http://schemas.openxmlformats.org/officeDocument/2006/relationships/hyperlink" Target="http://ohiohome.org/ppd/hdl.aspx" TargetMode="External"/><Relationship Id="rId6" Type="http://schemas.openxmlformats.org/officeDocument/2006/relationships/hyperlink" Target="https://ohiohome.org/ppd/documents/2023-DesignArchitecturalStandards-Clean.pdf" TargetMode="External"/><Relationship Id="rId11" Type="http://schemas.openxmlformats.org/officeDocument/2006/relationships/hyperlink" Target="http://ohiohome.org/ppd/hdl.aspx" TargetMode="External"/><Relationship Id="rId24" Type="http://schemas.openxmlformats.org/officeDocument/2006/relationships/hyperlink" Target="https://codes.ohio.gov/ohio-administrative-code/rule-122:6-1-04" TargetMode="External"/><Relationship Id="rId5" Type="http://schemas.openxmlformats.org/officeDocument/2006/relationships/hyperlink" Target="https://ohiohome.org/ppd/documents/2023-MultifamilyUnderwritingGuidelines.pdf" TargetMode="External"/><Relationship Id="rId15" Type="http://schemas.openxmlformats.org/officeDocument/2006/relationships/hyperlink" Target="https://ohiohome.org/ppd/documents/4-LIHTC-QAP.pdf" TargetMode="External"/><Relationship Id="rId23" Type="http://schemas.openxmlformats.org/officeDocument/2006/relationships/hyperlink" Target="https://www.ecfr.gov/current/title-24/part-93" TargetMode="External"/><Relationship Id="rId28" Type="http://schemas.openxmlformats.org/officeDocument/2006/relationships/drawing" Target="../drawings/drawing1.xml"/><Relationship Id="rId10" Type="http://schemas.openxmlformats.org/officeDocument/2006/relationships/hyperlink" Target="http://ohiohome.org/ppd/hdl.aspx" TargetMode="External"/><Relationship Id="rId19" Type="http://schemas.openxmlformats.org/officeDocument/2006/relationships/hyperlink" Target="https://ohiohome.org/ppd/9percent-htc.aspx" TargetMode="External"/><Relationship Id="rId4" Type="http://schemas.openxmlformats.org/officeDocument/2006/relationships/hyperlink" Target="https://ohiohome.org/ppd/9percent-htc.aspx" TargetMode="External"/><Relationship Id="rId9" Type="http://schemas.openxmlformats.org/officeDocument/2006/relationships/hyperlink" Target="http://ohiohome.org/ppd/hdl.aspx" TargetMode="External"/><Relationship Id="rId14" Type="http://schemas.openxmlformats.org/officeDocument/2006/relationships/hyperlink" Target="https://ohiohome.org/ppd/9percent-htc.aspx" TargetMode="External"/><Relationship Id="rId22" Type="http://schemas.openxmlformats.org/officeDocument/2006/relationships/hyperlink" Target="https://www.ecfr.gov/current/title-24/part-92/subpart-F" TargetMode="External"/><Relationship Id="rId27"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5.bin"/><Relationship Id="rId3" Type="http://schemas.openxmlformats.org/officeDocument/2006/relationships/hyperlink" Target="https://www.huduser.gov/portal/maps/rad/home.html" TargetMode="External"/><Relationship Id="rId7" Type="http://schemas.openxmlformats.org/officeDocument/2006/relationships/hyperlink" Target="https://www.ecfr.gov/current/title-24/part-983/section-983.55" TargetMode="External"/><Relationship Id="rId2" Type="http://schemas.openxmlformats.org/officeDocument/2006/relationships/hyperlink" Target="https://www.ecfr.gov/current/title-24/subtitle-B/chapter-IX/part-983"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hud.gov/program_offices/housing/mfh/exp/mfhdiscl" TargetMode="External"/><Relationship Id="rId5" Type="http://schemas.openxmlformats.org/officeDocument/2006/relationships/hyperlink" Target="https://www.hud.gov/sites/documents/16-17hsgn_16-17pihn.pdf" TargetMode="External"/><Relationship Id="rId4" Type="http://schemas.openxmlformats.org/officeDocument/2006/relationships/hyperlink" Target="https://www.huduser.gov/portal/maps/rad/home.html" TargetMode="External"/><Relationship Id="rId9"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ohiohome.org/ppd/documents/2019-HDL-Guidelines.pdf" TargetMode="External"/><Relationship Id="rId7" Type="http://schemas.openxmlformats.org/officeDocument/2006/relationships/hyperlink" Target="https://www.ecfr.gov/current/title-24/part-92/section-92.219" TargetMode="External"/><Relationship Id="rId2" Type="http://schemas.openxmlformats.org/officeDocument/2006/relationships/hyperlink" Target="https://www.ecfr.gov/current/title-24/subtitle-A/part-92/subpart-E/subject-group-ECFRf448ea7bbdfb69a/section-92.205"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3/section-93.200" TargetMode="External"/><Relationship Id="rId5" Type="http://schemas.openxmlformats.org/officeDocument/2006/relationships/hyperlink" Target="https://www.ecfr.gov/current/title-24/part-92/section-92.252" TargetMode="External"/><Relationship Id="rId4" Type="http://schemas.openxmlformats.org/officeDocument/2006/relationships/hyperlink" Target="https://www.hud.gov/sites/documents/16-15cpdn.pdf" TargetMode="External"/><Relationship Id="rId9"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ecfr.gov/current/title-24/part-92/section-92.219" TargetMode="External"/><Relationship Id="rId13" Type="http://schemas.openxmlformats.org/officeDocument/2006/relationships/comments" Target="../comments7.x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ecfr.gov/current/title-24/part-92/section-92.205" TargetMode="External"/><Relationship Id="rId12" Type="http://schemas.openxmlformats.org/officeDocument/2006/relationships/vmlDrawing" Target="../drawings/vmlDrawing7.vml"/><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drawing" Target="../drawings/drawing17.xml"/><Relationship Id="rId5" Type="http://schemas.openxmlformats.org/officeDocument/2006/relationships/hyperlink" Target="https://www.ecfr.gov/current/title-24/part-92/section-92.252" TargetMode="External"/><Relationship Id="rId10" Type="http://schemas.openxmlformats.org/officeDocument/2006/relationships/printerSettings" Target="../printerSettings/printerSettings17.bin"/><Relationship Id="rId4" Type="http://schemas.openxmlformats.org/officeDocument/2006/relationships/hyperlink" Target="https://www.ecfr.gov/current/title-24/part-93" TargetMode="External"/><Relationship Id="rId9" Type="http://schemas.openxmlformats.org/officeDocument/2006/relationships/hyperlink" Target="https://www.ecfr.gov/current/title-24/part-93/section-93.200" TargetMode="External"/></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18.x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printerSettings" Target="../printerSettings/printerSettings18.bin"/><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5" Type="http://schemas.openxmlformats.org/officeDocument/2006/relationships/hyperlink" Target="https://www.ecfr.gov/current/title-24/part-92/section-92.252" TargetMode="External"/><Relationship Id="rId10" Type="http://schemas.openxmlformats.org/officeDocument/2006/relationships/comments" Target="../comments8.xml"/><Relationship Id="rId4" Type="http://schemas.openxmlformats.org/officeDocument/2006/relationships/hyperlink" Target="https://www.ecfr.gov/current/title-24/part-93" TargetMode="External"/><Relationship Id="rId9" Type="http://schemas.openxmlformats.org/officeDocument/2006/relationships/vmlDrawing" Target="../drawings/vmlDrawing8.v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arcgis.com/apps/mapviewer/index.html?layers=c455b5fdb90f4734b9dda689f5cdf802" TargetMode="External"/><Relationship Id="rId13" Type="http://schemas.openxmlformats.org/officeDocument/2006/relationships/comments" Target="../comments1.xml"/><Relationship Id="rId3" Type="http://schemas.openxmlformats.org/officeDocument/2006/relationships/hyperlink" Target="https://geocoding.geo.census.gov/geocoder/geographies/address?form" TargetMode="External"/><Relationship Id="rId7" Type="http://schemas.openxmlformats.org/officeDocument/2006/relationships/hyperlink" Target="https://geocoding.geo.census.gov/geocoder/geographies/address?form" TargetMode="External"/><Relationship Id="rId12" Type="http://schemas.openxmlformats.org/officeDocument/2006/relationships/vmlDrawing" Target="../drawings/vmlDrawing1.vml"/><Relationship Id="rId2" Type="http://schemas.openxmlformats.org/officeDocument/2006/relationships/hyperlink" Target="https://geocoding.geo.census.gov/geocoder/geographies/address?form" TargetMode="External"/><Relationship Id="rId1" Type="http://schemas.openxmlformats.org/officeDocument/2006/relationships/hyperlink" Target="https://geocoding.geo.census.gov/geocoder/geographies/address?form" TargetMode="External"/><Relationship Id="rId6" Type="http://schemas.openxmlformats.org/officeDocument/2006/relationships/hyperlink" Target="https://www.legislature.ohio.gov/members/district-maps" TargetMode="External"/><Relationship Id="rId11" Type="http://schemas.openxmlformats.org/officeDocument/2006/relationships/drawing" Target="../drawings/drawing2.xml"/><Relationship Id="rId5" Type="http://schemas.openxmlformats.org/officeDocument/2006/relationships/hyperlink" Target="https://www.legislature.ohio.gov/members/district-maps" TargetMode="External"/><Relationship Id="rId10" Type="http://schemas.openxmlformats.org/officeDocument/2006/relationships/printerSettings" Target="../printerSettings/printerSettings2.bin"/><Relationship Id="rId4" Type="http://schemas.openxmlformats.org/officeDocument/2006/relationships/hyperlink" Target="https://geocoding.geo.census.gov/geocoder/geographies/address?form" TargetMode="External"/><Relationship Id="rId9" Type="http://schemas.openxmlformats.org/officeDocument/2006/relationships/hyperlink" Target="https://childcaresearch.ohio.gov/"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hyperlink" Target="https://dam.assets.ohio.gov/image/upload/development.ohio.gov/business/stateincentives/11062023-RIPL.pdf" TargetMode="External"/><Relationship Id="rId13" Type="http://schemas.openxmlformats.org/officeDocument/2006/relationships/printerSettings" Target="../printerSettings/printerSettings21.bin"/><Relationship Id="rId3" Type="http://schemas.openxmlformats.org/officeDocument/2006/relationships/hyperlink" Target="https://egis.hud.gov/cpdmaps/" TargetMode="External"/><Relationship Id="rId7" Type="http://schemas.openxmlformats.org/officeDocument/2006/relationships/hyperlink" Target="https://www.hudexchange.info/resource/2315/home-per-unit-subsidy/" TargetMode="External"/><Relationship Id="rId12" Type="http://schemas.openxmlformats.org/officeDocument/2006/relationships/hyperlink" Target="https://www.huduser.gov/portal/datasets/fmr.html" TargetMode="External"/><Relationship Id="rId2" Type="http://schemas.openxmlformats.org/officeDocument/2006/relationships/hyperlink" Target="https://www.govinfo.gov/content/pkg/USCODE-2011-title26/pdf/USCODE-2011-title26-subtitleA-chap1-subchapA-partIV-subpartD-sec42.pdf" TargetMode="External"/><Relationship Id="rId1" Type="http://schemas.openxmlformats.org/officeDocument/2006/relationships/hyperlink" Target="https://www.huduser.gov/portal/datasets/mtsp.html" TargetMode="External"/><Relationship Id="rId6" Type="http://schemas.openxmlformats.org/officeDocument/2006/relationships/hyperlink" Target="https://www.govinfo.gov/content/pkg/USCODE-2022-title40/pdf/USCODE-2022-title40-subtitleIV.pdf" TargetMode="External"/><Relationship Id="rId11" Type="http://schemas.openxmlformats.org/officeDocument/2006/relationships/hyperlink" Target="https://www.huduser.gov/portal/datasets/fmr/smallarea/index.html" TargetMode="External"/><Relationship Id="rId5" Type="http://schemas.openxmlformats.org/officeDocument/2006/relationships/hyperlink" Target="https://www.hudexchange.info/grantees/allocations-awards/?params=%7B%22limit%22%3A20%2C%22COC%22%3Afalse%2C%22sort%22%3A%22%22%2C%22newSearch%22%3Atrue%2C%22min%22%3A%22%22%2C%22years%22%3A%5B%5D%2C%22dir%22%3A%22%22%2C%22multiStateAwards%22%3A0%2C%22grantees%22%3A%5B%5D%2C%22state%22%3A%22%22%2C%22orgid%22%3A%22%22%2C%22orgname%22%3A%22%22%2C%22programs%22%3A%5B7%5D%2C%22max%22%3A%22%22%7D" TargetMode="External"/><Relationship Id="rId10" Type="http://schemas.openxmlformats.org/officeDocument/2006/relationships/hyperlink" Target="https://www.whitehouse.gov/wp-content/uploads/2023/07/OMB-Bulletin-23-01.pdf" TargetMode="External"/><Relationship Id="rId4" Type="http://schemas.openxmlformats.org/officeDocument/2006/relationships/hyperlink" Target="https://www.huduser.gov/portal/datasets/qct.html" TargetMode="External"/><Relationship Id="rId9" Type="http://schemas.openxmlformats.org/officeDocument/2006/relationships/hyperlink" Target="https://www.huduser.gov/portal/datasets/qct.html" TargetMode="External"/><Relationship Id="rId1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arcgis.com/apps/mapviewer/index.html?layers=c455b5fdb90f4734b9dda689f5cdf802" TargetMode="External"/><Relationship Id="rId1" Type="http://schemas.openxmlformats.org/officeDocument/2006/relationships/hyperlink" Target="https://geocoding.geo.census.gov/geocoder/geographies/address?for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P57"/>
  <sheetViews>
    <sheetView showGridLines="0" tabSelected="1" zoomScale="85" zoomScaleNormal="85" workbookViewId="0">
      <selection activeCell="E52" sqref="E52:H52"/>
    </sheetView>
  </sheetViews>
  <sheetFormatPr defaultColWidth="0" defaultRowHeight="14.25" zeroHeight="1" x14ac:dyDescent="0.2"/>
  <cols>
    <col min="1" max="1" width="2.625" style="1" customWidth="1"/>
    <col min="2" max="2" width="0.625" style="1" customWidth="1"/>
    <col min="3" max="9" width="12.625" style="1" customWidth="1"/>
    <col min="10" max="13" width="12.625" style="4" customWidth="1"/>
    <col min="14" max="14" width="2.625" style="4" customWidth="1"/>
    <col min="15" max="15" width="29.125" style="1" customWidth="1"/>
    <col min="16" max="16" width="2.625" style="1" customWidth="1"/>
    <col min="17" max="16384" width="8.875" style="1" hidden="1"/>
  </cols>
  <sheetData>
    <row r="1" spans="2:14" ht="55.5" customHeight="1" x14ac:dyDescent="0.2"/>
    <row r="2" spans="2:14" s="3" customFormat="1" ht="25.5" customHeight="1" x14ac:dyDescent="0.2">
      <c r="B2" s="1159" t="s">
        <v>0</v>
      </c>
      <c r="C2" s="1160"/>
      <c r="D2" s="1160"/>
      <c r="E2" s="1160"/>
      <c r="F2" s="1160"/>
      <c r="G2" s="348"/>
      <c r="H2" s="348"/>
      <c r="I2" s="349"/>
      <c r="J2" s="349"/>
      <c r="K2" s="1161" t="s">
        <v>3021</v>
      </c>
      <c r="L2" s="1161"/>
      <c r="M2" s="1162"/>
      <c r="N2" s="152"/>
    </row>
    <row r="3" spans="2:14" ht="20.25" customHeight="1" x14ac:dyDescent="0.2">
      <c r="B3" s="1166" t="s">
        <v>437</v>
      </c>
      <c r="C3" s="1167"/>
      <c r="D3" s="1167"/>
      <c r="E3" s="1167"/>
      <c r="F3" s="1167"/>
      <c r="G3" s="1167"/>
      <c r="H3" s="93"/>
      <c r="I3" s="153"/>
      <c r="J3" s="1165"/>
      <c r="K3" s="1165"/>
      <c r="L3" s="1163" t="str">
        <f>IF(Details!$E$11="","",Details!$E$11)</f>
        <v>Proposal Application</v>
      </c>
      <c r="M3" s="1164"/>
    </row>
    <row r="4" spans="2:14" ht="5.25" customHeight="1" x14ac:dyDescent="0.2"/>
    <row r="5" spans="2:14" ht="15" customHeight="1" x14ac:dyDescent="0.2"/>
    <row r="6" spans="2:14" ht="15" customHeight="1" x14ac:dyDescent="0.2">
      <c r="B6" s="1137" t="s">
        <v>469</v>
      </c>
      <c r="C6" s="1137"/>
      <c r="D6" s="1137"/>
      <c r="E6" s="1137"/>
      <c r="F6" s="1137"/>
      <c r="G6" s="1137"/>
      <c r="H6" s="1137"/>
      <c r="I6" s="1137"/>
      <c r="J6" s="1137"/>
      <c r="K6" s="1137"/>
      <c r="L6" s="1137"/>
    </row>
    <row r="7" spans="2:14" ht="3" customHeight="1" x14ac:dyDescent="0.2">
      <c r="B7" s="1133"/>
      <c r="C7" s="1133"/>
      <c r="D7" s="1133"/>
      <c r="E7" s="1133"/>
      <c r="F7" s="1133"/>
      <c r="G7" s="1133"/>
      <c r="H7" s="1133"/>
      <c r="I7" s="1133"/>
      <c r="J7" s="1133"/>
      <c r="K7" s="1133"/>
      <c r="L7" s="1133"/>
      <c r="M7" s="1133"/>
    </row>
    <row r="8" spans="2:14" ht="5.25" customHeight="1" x14ac:dyDescent="0.2"/>
    <row r="9" spans="2:14" ht="15" customHeight="1" x14ac:dyDescent="0.2">
      <c r="C9" s="1148" t="s">
        <v>3022</v>
      </c>
      <c r="D9" s="1148"/>
      <c r="E9" s="1148"/>
      <c r="F9" s="1148"/>
      <c r="G9" s="1148"/>
      <c r="H9" s="1148"/>
      <c r="I9" s="1148"/>
      <c r="J9" s="1148"/>
      <c r="K9" s="1148"/>
      <c r="L9" s="1148"/>
      <c r="M9" s="1148"/>
    </row>
    <row r="10" spans="2:14" ht="15" customHeight="1" x14ac:dyDescent="0.2">
      <c r="C10" s="1148"/>
      <c r="D10" s="1148"/>
      <c r="E10" s="1148"/>
      <c r="F10" s="1148"/>
      <c r="G10" s="1148"/>
      <c r="H10" s="1148"/>
      <c r="I10" s="1148"/>
      <c r="J10" s="1148"/>
      <c r="K10" s="1148"/>
      <c r="L10" s="1148"/>
      <c r="M10" s="1148"/>
    </row>
    <row r="11" spans="2:14" ht="15" customHeight="1" x14ac:dyDescent="0.2">
      <c r="C11" s="1148"/>
      <c r="D11" s="1148"/>
      <c r="E11" s="1148"/>
      <c r="F11" s="1148"/>
      <c r="G11" s="1148"/>
      <c r="H11" s="1148"/>
      <c r="I11" s="1148"/>
      <c r="J11" s="1148"/>
      <c r="K11" s="1148"/>
      <c r="L11" s="1148"/>
      <c r="M11" s="1148"/>
    </row>
    <row r="12" spans="2:14" ht="5.0999999999999996" customHeight="1" x14ac:dyDescent="0.2">
      <c r="C12" s="86"/>
      <c r="D12" s="86"/>
      <c r="E12" s="86"/>
      <c r="F12" s="86"/>
      <c r="G12" s="86"/>
      <c r="H12" s="86"/>
      <c r="I12" s="86"/>
      <c r="J12" s="86"/>
      <c r="K12" s="86"/>
      <c r="L12" s="86"/>
      <c r="M12" s="86"/>
    </row>
    <row r="13" spans="2:14" ht="45" customHeight="1" x14ac:dyDescent="0.2">
      <c r="C13" s="1134" t="s">
        <v>2690</v>
      </c>
      <c r="D13" s="1135"/>
      <c r="E13" s="1136"/>
      <c r="F13" s="1004" t="s">
        <v>2062</v>
      </c>
      <c r="G13" s="1138" t="s">
        <v>2691</v>
      </c>
      <c r="H13" s="1139"/>
      <c r="I13" s="1138" t="s">
        <v>2692</v>
      </c>
      <c r="J13" s="1139"/>
      <c r="K13" s="86"/>
      <c r="L13" s="86"/>
      <c r="M13" s="86"/>
    </row>
    <row r="14" spans="2:14" ht="15" customHeight="1" x14ac:dyDescent="0.2">
      <c r="C14" s="1130" t="s">
        <v>3023</v>
      </c>
      <c r="D14" s="1131"/>
      <c r="E14" s="1132"/>
      <c r="F14" s="884" t="s">
        <v>3024</v>
      </c>
      <c r="G14" s="1141" t="s">
        <v>3025</v>
      </c>
      <c r="H14" s="1141"/>
      <c r="I14" s="1141" t="s">
        <v>3026</v>
      </c>
      <c r="J14" s="1141"/>
      <c r="K14" s="86"/>
      <c r="L14" s="86"/>
      <c r="M14" s="86"/>
    </row>
    <row r="15" spans="2:14" ht="15" customHeight="1" x14ac:dyDescent="0.2">
      <c r="C15" s="1150" t="s">
        <v>2058</v>
      </c>
      <c r="D15" s="1150"/>
      <c r="E15" s="1150"/>
      <c r="F15" s="765" t="s">
        <v>2064</v>
      </c>
      <c r="G15" s="1142" t="s">
        <v>265</v>
      </c>
      <c r="H15" s="1143"/>
      <c r="I15" s="1140" t="s">
        <v>2694</v>
      </c>
      <c r="J15" s="1140"/>
      <c r="K15" s="86"/>
      <c r="L15" s="86"/>
      <c r="M15" s="86"/>
    </row>
    <row r="16" spans="2:14" ht="15" customHeight="1" x14ac:dyDescent="0.2">
      <c r="C16" s="1150" t="s">
        <v>2451</v>
      </c>
      <c r="D16" s="1150"/>
      <c r="E16" s="1150"/>
      <c r="F16" s="765" t="s">
        <v>2397</v>
      </c>
      <c r="G16" s="1144" t="s">
        <v>265</v>
      </c>
      <c r="H16" s="1145"/>
      <c r="I16" s="1141" t="s">
        <v>2695</v>
      </c>
      <c r="J16" s="1141"/>
      <c r="K16" s="86"/>
      <c r="L16" s="86"/>
      <c r="M16" s="86"/>
    </row>
    <row r="17" spans="2:15" ht="15" customHeight="1" x14ac:dyDescent="0.2">
      <c r="C17" s="1150" t="s">
        <v>2689</v>
      </c>
      <c r="D17" s="1150"/>
      <c r="E17" s="1150"/>
      <c r="F17" s="765" t="s">
        <v>2343</v>
      </c>
      <c r="G17" s="1151" t="s">
        <v>2693</v>
      </c>
      <c r="H17" s="1152"/>
      <c r="I17" s="1141" t="s">
        <v>2696</v>
      </c>
      <c r="J17" s="1141"/>
      <c r="K17" s="86"/>
      <c r="L17" s="86"/>
      <c r="M17" s="86"/>
    </row>
    <row r="18" spans="2:15" ht="15" customHeight="1" x14ac:dyDescent="0.2">
      <c r="C18" s="86"/>
      <c r="D18" s="86"/>
      <c r="E18" s="86"/>
      <c r="F18" s="86"/>
      <c r="G18" s="86"/>
      <c r="H18" s="86"/>
      <c r="I18" s="86"/>
      <c r="J18" s="86"/>
      <c r="K18" s="86"/>
      <c r="L18" s="86"/>
      <c r="M18" s="86"/>
    </row>
    <row r="19" spans="2:15" ht="15" customHeight="1" x14ac:dyDescent="0.2"/>
    <row r="20" spans="2:15" ht="15" customHeight="1" x14ac:dyDescent="0.2">
      <c r="B20" s="1137" t="s">
        <v>438</v>
      </c>
      <c r="C20" s="1137"/>
      <c r="D20" s="1137"/>
      <c r="E20" s="1137"/>
      <c r="F20" s="1137"/>
      <c r="G20" s="1137"/>
      <c r="H20" s="1137"/>
      <c r="I20" s="1137"/>
      <c r="J20" s="1137"/>
      <c r="K20" s="1137"/>
      <c r="L20" s="1137"/>
    </row>
    <row r="21" spans="2:15" ht="3" customHeight="1" x14ac:dyDescent="0.2">
      <c r="B21" s="1133"/>
      <c r="C21" s="1133"/>
      <c r="D21" s="1133"/>
      <c r="E21" s="1133"/>
      <c r="F21" s="1133"/>
      <c r="G21" s="1133"/>
      <c r="H21" s="1133"/>
      <c r="I21" s="1133"/>
      <c r="J21" s="1133"/>
      <c r="K21" s="1133"/>
      <c r="L21" s="1133"/>
      <c r="M21" s="1133"/>
    </row>
    <row r="22" spans="2:15" ht="15" customHeight="1" x14ac:dyDescent="0.2"/>
    <row r="23" spans="2:15" ht="15" customHeight="1" x14ac:dyDescent="0.2">
      <c r="B23" s="25"/>
      <c r="C23" s="1149" t="s">
        <v>436</v>
      </c>
      <c r="D23" s="1149"/>
      <c r="E23" s="1149"/>
      <c r="F23" s="1149"/>
      <c r="G23" s="1149"/>
      <c r="H23" s="1149"/>
      <c r="I23" s="1149"/>
      <c r="J23" s="1149"/>
      <c r="K23" s="1149"/>
      <c r="L23" s="99"/>
      <c r="O23" s="1146" t="s">
        <v>2165</v>
      </c>
    </row>
    <row r="24" spans="2:15" ht="15" customHeight="1" x14ac:dyDescent="0.2">
      <c r="B24" s="94"/>
      <c r="C24" s="1148" t="s">
        <v>440</v>
      </c>
      <c r="D24" s="1148"/>
      <c r="E24" s="1148"/>
      <c r="F24" s="1148"/>
      <c r="G24" s="1148"/>
      <c r="H24" s="1148"/>
      <c r="I24" s="1148"/>
      <c r="J24" s="1148"/>
      <c r="K24" s="1148"/>
      <c r="L24" s="99"/>
      <c r="O24" s="1147"/>
    </row>
    <row r="25" spans="2:15" ht="15" customHeight="1" x14ac:dyDescent="0.2">
      <c r="B25" s="94"/>
      <c r="C25" s="1148" t="s">
        <v>443</v>
      </c>
      <c r="D25" s="1148"/>
      <c r="E25" s="1148"/>
      <c r="F25" s="1148"/>
      <c r="G25" s="1148"/>
      <c r="H25" s="1148"/>
      <c r="I25" s="1148"/>
      <c r="J25" s="1148"/>
      <c r="K25" s="1148"/>
      <c r="L25" s="99"/>
      <c r="O25" s="1147"/>
    </row>
    <row r="26" spans="2:15" ht="15" customHeight="1" x14ac:dyDescent="0.2">
      <c r="B26" s="94"/>
      <c r="C26" s="1148" t="s">
        <v>441</v>
      </c>
      <c r="D26" s="1148"/>
      <c r="E26" s="1148"/>
      <c r="F26" s="1148"/>
      <c r="G26" s="1148"/>
      <c r="H26" s="1148"/>
      <c r="I26" s="1148"/>
      <c r="J26" s="1148"/>
      <c r="K26" s="1148"/>
      <c r="L26" s="99"/>
      <c r="O26" s="1147"/>
    </row>
    <row r="27" spans="2:15" ht="15" customHeight="1" x14ac:dyDescent="0.2">
      <c r="B27" s="25"/>
      <c r="C27" s="1148" t="s">
        <v>442</v>
      </c>
      <c r="D27" s="1148"/>
      <c r="E27" s="1148"/>
      <c r="F27" s="1148"/>
      <c r="G27" s="1148"/>
      <c r="H27" s="1148"/>
      <c r="I27" s="1148"/>
      <c r="J27" s="1148"/>
      <c r="K27" s="1148"/>
      <c r="L27" s="99"/>
      <c r="O27" s="1147"/>
    </row>
    <row r="28" spans="2:15" ht="15" customHeight="1" x14ac:dyDescent="0.2">
      <c r="B28" s="25"/>
      <c r="C28" s="1149" t="s">
        <v>257</v>
      </c>
      <c r="D28" s="1149"/>
      <c r="E28" s="1149"/>
      <c r="F28" s="1149"/>
      <c r="G28" s="1149"/>
      <c r="H28" s="1149"/>
      <c r="I28" s="1149"/>
      <c r="J28" s="1149"/>
      <c r="K28" s="1149"/>
      <c r="L28" s="99"/>
      <c r="O28" s="1147"/>
    </row>
    <row r="29" spans="2:15" ht="15" customHeight="1" x14ac:dyDescent="0.2">
      <c r="B29" s="154"/>
      <c r="C29" s="1154" t="s">
        <v>444</v>
      </c>
      <c r="D29" s="1154"/>
      <c r="E29" s="1154"/>
      <c r="F29" s="1154"/>
      <c r="G29" s="1154"/>
      <c r="H29" s="1154"/>
      <c r="I29" s="1154"/>
      <c r="J29" s="1154"/>
      <c r="K29" s="1154"/>
      <c r="L29" s="14"/>
      <c r="O29" s="1147"/>
    </row>
    <row r="30" spans="2:15" ht="15" customHeight="1" x14ac:dyDescent="0.2">
      <c r="B30" s="154"/>
      <c r="C30" s="1154" t="s">
        <v>445</v>
      </c>
      <c r="D30" s="1154"/>
      <c r="E30" s="1154"/>
      <c r="F30" s="1154"/>
      <c r="G30" s="1154"/>
      <c r="H30" s="1154"/>
      <c r="I30" s="1154"/>
      <c r="J30" s="1154"/>
      <c r="K30" s="1154"/>
      <c r="L30" s="14"/>
      <c r="O30" s="1147"/>
    </row>
    <row r="31" spans="2:15" ht="5.25" customHeight="1" x14ac:dyDescent="0.2">
      <c r="B31" s="155"/>
      <c r="C31" s="155"/>
      <c r="D31" s="155"/>
      <c r="E31" s="155"/>
      <c r="F31" s="155"/>
      <c r="G31" s="155"/>
      <c r="H31" s="155"/>
      <c r="I31" s="155"/>
      <c r="J31" s="155"/>
      <c r="K31" s="155"/>
      <c r="L31" s="155"/>
      <c r="O31" s="1147"/>
    </row>
    <row r="32" spans="2:15" ht="15" customHeight="1" x14ac:dyDescent="0.25">
      <c r="C32" s="354"/>
      <c r="D32" s="1155" t="s">
        <v>2004</v>
      </c>
      <c r="E32" s="1155"/>
      <c r="F32" s="1155"/>
      <c r="G32" s="1155"/>
      <c r="H32" s="1155"/>
      <c r="I32" s="1155"/>
      <c r="J32" s="1155"/>
      <c r="K32" s="1155"/>
      <c r="L32" s="99"/>
      <c r="O32" s="1147"/>
    </row>
    <row r="33" spans="2:15" ht="15" customHeight="1" x14ac:dyDescent="0.25">
      <c r="C33" s="140"/>
      <c r="D33" s="1155" t="s">
        <v>2014</v>
      </c>
      <c r="E33" s="1155"/>
      <c r="F33" s="1155"/>
      <c r="G33" s="1155"/>
      <c r="H33" s="1155"/>
      <c r="I33" s="1155"/>
      <c r="J33" s="1155"/>
      <c r="K33" s="1155"/>
      <c r="L33" s="99"/>
      <c r="O33" s="1147"/>
    </row>
    <row r="34" spans="2:15" ht="15" customHeight="1" x14ac:dyDescent="0.25">
      <c r="C34" s="350"/>
      <c r="D34" s="1155" t="s">
        <v>2003</v>
      </c>
      <c r="E34" s="1155"/>
      <c r="F34" s="1155"/>
      <c r="G34" s="1155"/>
      <c r="H34" s="1155"/>
      <c r="I34" s="1155"/>
      <c r="J34" s="1155"/>
      <c r="K34" s="1155"/>
      <c r="L34" s="99"/>
      <c r="O34" s="351"/>
    </row>
    <row r="35" spans="2:15" ht="15" customHeight="1" x14ac:dyDescent="0.25">
      <c r="B35" s="8"/>
      <c r="C35" s="25"/>
      <c r="D35" s="25"/>
      <c r="E35" s="25"/>
      <c r="F35" s="25"/>
      <c r="G35" s="25"/>
      <c r="H35" s="25"/>
      <c r="I35" s="25"/>
      <c r="J35" s="99"/>
      <c r="K35" s="99"/>
      <c r="L35" s="99"/>
      <c r="O35" s="352"/>
    </row>
    <row r="36" spans="2:15" ht="15" customHeight="1" x14ac:dyDescent="0.2">
      <c r="B36" s="1137" t="s">
        <v>2242</v>
      </c>
      <c r="C36" s="1137"/>
      <c r="D36" s="1137"/>
      <c r="E36" s="1137"/>
      <c r="F36" s="1137"/>
      <c r="G36" s="1137"/>
      <c r="H36" s="1137"/>
      <c r="I36" s="1137"/>
      <c r="J36" s="1137"/>
      <c r="K36" s="1137"/>
      <c r="L36" s="1137"/>
      <c r="O36" s="352"/>
    </row>
    <row r="37" spans="2:15" ht="3" customHeight="1" x14ac:dyDescent="0.2">
      <c r="B37" s="1052"/>
      <c r="C37" s="1052"/>
      <c r="D37" s="1052"/>
      <c r="E37" s="1052"/>
      <c r="F37" s="1052"/>
      <c r="G37" s="1052"/>
      <c r="H37" s="1052"/>
      <c r="I37" s="1052"/>
      <c r="J37" s="1053"/>
      <c r="K37" s="1053"/>
      <c r="L37" s="1053"/>
      <c r="M37" s="1053"/>
      <c r="O37" s="353"/>
    </row>
    <row r="38" spans="2:15" ht="15" customHeight="1" x14ac:dyDescent="0.25">
      <c r="B38" s="8"/>
      <c r="C38" s="25"/>
      <c r="D38" s="25"/>
      <c r="E38" s="25"/>
      <c r="F38" s="25"/>
      <c r="G38" s="25"/>
      <c r="H38" s="25"/>
      <c r="I38" s="25"/>
      <c r="J38" s="99"/>
      <c r="K38" s="99"/>
      <c r="L38" s="99"/>
    </row>
    <row r="39" spans="2:15" ht="15" customHeight="1" x14ac:dyDescent="0.25">
      <c r="B39" s="8"/>
      <c r="C39" s="1157" t="s">
        <v>2321</v>
      </c>
      <c r="D39" s="1157"/>
      <c r="E39" s="1157"/>
      <c r="F39" s="25"/>
      <c r="G39" s="118" t="s">
        <v>2318</v>
      </c>
      <c r="H39" s="118"/>
      <c r="I39" s="73"/>
      <c r="J39" s="118" t="s">
        <v>2319</v>
      </c>
      <c r="K39" s="118"/>
      <c r="L39" s="118"/>
      <c r="M39" s="99"/>
      <c r="N39" s="1"/>
    </row>
    <row r="40" spans="2:15" ht="15" customHeight="1" x14ac:dyDescent="0.2">
      <c r="C40" s="1156" t="s">
        <v>4611</v>
      </c>
      <c r="D40" s="1156"/>
      <c r="E40" s="1156"/>
      <c r="F40" s="1156"/>
      <c r="G40" s="1153" t="s">
        <v>2142</v>
      </c>
      <c r="H40" s="1153"/>
      <c r="I40" s="1153"/>
      <c r="J40" s="1158" t="s">
        <v>2514</v>
      </c>
      <c r="K40" s="1158"/>
      <c r="L40" s="1158"/>
      <c r="M40" s="528"/>
      <c r="N40" s="156"/>
    </row>
    <row r="41" spans="2:15" ht="15" customHeight="1" x14ac:dyDescent="0.2">
      <c r="C41" s="1156" t="s">
        <v>439</v>
      </c>
      <c r="D41" s="1156"/>
      <c r="E41" s="1156"/>
      <c r="F41" s="1156"/>
      <c r="G41" s="1153" t="s">
        <v>2141</v>
      </c>
      <c r="H41" s="1153"/>
      <c r="I41" s="1153"/>
      <c r="J41" s="1153" t="s">
        <v>2515</v>
      </c>
      <c r="K41" s="1153"/>
      <c r="L41" s="1153"/>
      <c r="M41" s="528"/>
      <c r="N41" s="156"/>
    </row>
    <row r="42" spans="2:15" ht="15" customHeight="1" x14ac:dyDescent="0.2">
      <c r="C42" s="528"/>
      <c r="D42" s="528"/>
      <c r="E42" s="528"/>
      <c r="F42" s="528"/>
      <c r="G42" s="1153" t="s">
        <v>2516</v>
      </c>
      <c r="H42" s="1153"/>
      <c r="I42" s="1153"/>
      <c r="J42" s="528"/>
    </row>
    <row r="43" spans="2:15" ht="15" customHeight="1" x14ac:dyDescent="0.2">
      <c r="C43" s="1157" t="s">
        <v>2320</v>
      </c>
      <c r="D43" s="1157"/>
      <c r="E43" s="1157"/>
      <c r="F43" s="528"/>
      <c r="G43" s="1153" t="s">
        <v>2517</v>
      </c>
      <c r="H43" s="1153"/>
      <c r="I43" s="1153"/>
      <c r="J43" s="528"/>
      <c r="O43" s="156"/>
    </row>
    <row r="44" spans="2:15" ht="15" customHeight="1" x14ac:dyDescent="0.2">
      <c r="C44" s="1153" t="s">
        <v>2322</v>
      </c>
      <c r="D44" s="1153"/>
      <c r="E44" s="1153"/>
      <c r="F44" s="1153"/>
      <c r="O44" s="156"/>
    </row>
    <row r="45" spans="2:15" ht="15" customHeight="1" x14ac:dyDescent="0.2">
      <c r="C45" s="1153" t="s">
        <v>2323</v>
      </c>
      <c r="D45" s="1153"/>
      <c r="E45" s="1153"/>
      <c r="F45" s="1153"/>
    </row>
    <row r="46" spans="2:15" ht="15" customHeight="1" x14ac:dyDescent="0.2">
      <c r="C46" s="1153" t="s">
        <v>2324</v>
      </c>
      <c r="D46" s="1153"/>
      <c r="E46" s="1153"/>
      <c r="F46" s="1153"/>
    </row>
    <row r="47" spans="2:15" ht="15" customHeight="1" x14ac:dyDescent="0.2">
      <c r="C47" s="528"/>
      <c r="D47" s="528"/>
      <c r="E47" s="528"/>
      <c r="F47" s="528"/>
    </row>
    <row r="48" spans="2:15" ht="15" customHeight="1" x14ac:dyDescent="0.2">
      <c r="B48" s="1137" t="s">
        <v>2777</v>
      </c>
      <c r="C48" s="1137"/>
      <c r="D48" s="1137"/>
      <c r="E48" s="1137"/>
      <c r="F48" s="1137"/>
      <c r="G48" s="1137"/>
      <c r="H48" s="1137"/>
      <c r="I48" s="1137"/>
      <c r="J48" s="1137"/>
      <c r="K48" s="1137"/>
      <c r="L48" s="1137"/>
    </row>
    <row r="49" spans="2:13" ht="3" customHeight="1" x14ac:dyDescent="0.2">
      <c r="B49" s="1032"/>
      <c r="C49" s="1032"/>
      <c r="D49" s="1032"/>
      <c r="E49" s="1032"/>
      <c r="F49" s="1032"/>
      <c r="G49" s="1032"/>
      <c r="H49" s="1032"/>
      <c r="I49" s="1032"/>
      <c r="J49" s="1051"/>
      <c r="K49" s="1051"/>
      <c r="L49" s="1051"/>
      <c r="M49" s="1051"/>
    </row>
    <row r="50" spans="2:13" ht="15" customHeight="1" x14ac:dyDescent="0.2">
      <c r="B50" s="157"/>
      <c r="C50" s="157"/>
      <c r="D50" s="157"/>
    </row>
    <row r="51" spans="2:13" ht="45" customHeight="1" x14ac:dyDescent="0.2">
      <c r="C51" s="1031" t="s">
        <v>3499</v>
      </c>
      <c r="D51" s="1031" t="s">
        <v>3500</v>
      </c>
      <c r="E51" s="1134" t="s">
        <v>3501</v>
      </c>
      <c r="F51" s="1135"/>
      <c r="G51" s="1135"/>
      <c r="H51" s="1136"/>
    </row>
    <row r="52" spans="2:13" ht="30" customHeight="1" x14ac:dyDescent="0.2">
      <c r="C52" s="765">
        <v>1</v>
      </c>
      <c r="D52" s="1054">
        <v>46027</v>
      </c>
      <c r="E52" s="1130" t="s">
        <v>3502</v>
      </c>
      <c r="F52" s="1131"/>
      <c r="G52" s="1131"/>
      <c r="H52" s="1132"/>
    </row>
    <row r="53" spans="2:13" ht="30" customHeight="1" x14ac:dyDescent="0.2">
      <c r="C53" s="765"/>
      <c r="D53" s="1054"/>
      <c r="E53" s="1130"/>
      <c r="F53" s="1131"/>
      <c r="G53" s="1131"/>
      <c r="H53" s="1132"/>
    </row>
    <row r="54" spans="2:13" ht="30" customHeight="1" x14ac:dyDescent="0.2">
      <c r="C54" s="765"/>
      <c r="D54" s="1054"/>
      <c r="E54" s="1130"/>
      <c r="F54" s="1131"/>
      <c r="G54" s="1131"/>
      <c r="H54" s="1132"/>
    </row>
    <row r="55" spans="2:13" ht="30" customHeight="1" x14ac:dyDescent="0.2">
      <c r="C55" s="765"/>
      <c r="D55" s="1054"/>
      <c r="E55" s="1130"/>
      <c r="F55" s="1131"/>
      <c r="G55" s="1131"/>
      <c r="H55" s="1132"/>
    </row>
    <row r="56" spans="2:13" x14ac:dyDescent="0.2"/>
    <row r="57" spans="2:13" x14ac:dyDescent="0.2"/>
  </sheetData>
  <sheetProtection algorithmName="SHA-512" hashValue="YxKbtvi3plkvrCuVQIVloFYMu1X4P0BsqJ/x5Ql802Qe6sL8Mefgrwc2//onoBmOGMwWMVQCCp0tPlXvL7KgfQ==" saltValue="5oODCKQ39o5UuaH03PVT3w==" spinCount="100000" sheet="1" objects="1" scenarios="1"/>
  <mergeCells count="57">
    <mergeCell ref="C46:F46"/>
    <mergeCell ref="B2:F2"/>
    <mergeCell ref="B20:L20"/>
    <mergeCell ref="B36:L36"/>
    <mergeCell ref="K2:M2"/>
    <mergeCell ref="L3:M3"/>
    <mergeCell ref="J3:K3"/>
    <mergeCell ref="C29:K29"/>
    <mergeCell ref="B6:L6"/>
    <mergeCell ref="C23:K23"/>
    <mergeCell ref="D34:K34"/>
    <mergeCell ref="D33:K33"/>
    <mergeCell ref="B3:G3"/>
    <mergeCell ref="C9:M11"/>
    <mergeCell ref="C24:K24"/>
    <mergeCell ref="C40:F40"/>
    <mergeCell ref="C45:F45"/>
    <mergeCell ref="C44:F44"/>
    <mergeCell ref="C30:K30"/>
    <mergeCell ref="D32:K32"/>
    <mergeCell ref="C41:F41"/>
    <mergeCell ref="C39:E39"/>
    <mergeCell ref="C43:E43"/>
    <mergeCell ref="J40:L40"/>
    <mergeCell ref="J41:L41"/>
    <mergeCell ref="G40:I40"/>
    <mergeCell ref="G41:I41"/>
    <mergeCell ref="G42:I42"/>
    <mergeCell ref="G43:I43"/>
    <mergeCell ref="I14:J14"/>
    <mergeCell ref="O23:O33"/>
    <mergeCell ref="C26:K26"/>
    <mergeCell ref="C27:K27"/>
    <mergeCell ref="C28:K28"/>
    <mergeCell ref="C25:K25"/>
    <mergeCell ref="C15:E15"/>
    <mergeCell ref="C16:E16"/>
    <mergeCell ref="C17:E17"/>
    <mergeCell ref="G17:H17"/>
    <mergeCell ref="C14:E14"/>
    <mergeCell ref="G14:H14"/>
    <mergeCell ref="E54:H54"/>
    <mergeCell ref="E55:H55"/>
    <mergeCell ref="B7:M7"/>
    <mergeCell ref="B21:M21"/>
    <mergeCell ref="E51:H51"/>
    <mergeCell ref="E52:H52"/>
    <mergeCell ref="E53:H53"/>
    <mergeCell ref="B48:L48"/>
    <mergeCell ref="I13:J13"/>
    <mergeCell ref="I15:J15"/>
    <mergeCell ref="I16:J16"/>
    <mergeCell ref="I17:J17"/>
    <mergeCell ref="C13:E13"/>
    <mergeCell ref="G13:H13"/>
    <mergeCell ref="G15:H15"/>
    <mergeCell ref="G16:H16"/>
  </mergeCells>
  <hyperlinks>
    <hyperlink ref="C44" r:id="rId1" display="HDL Guidelines" xr:uid="{00000000-0004-0000-0000-000001000000}"/>
    <hyperlink ref="G40" r:id="rId2" display="4% LIHTC Qualified Allocation Plan" xr:uid="{8D0D9D96-ACC0-4025-87FE-26868C15CE61}"/>
    <hyperlink ref="G41" r:id="rId3" display="4% LIHTC Qualified Allocation Plan" xr:uid="{324E5732-C9CB-49AC-80CD-24A3BAACA497}"/>
    <hyperlink ref="J40" r:id="rId4" xr:uid="{496F400B-B530-4433-8F1C-BE0517CD44D1}"/>
    <hyperlink ref="C40" r:id="rId5" display="2023 Multifamily Underwriting Guidelines" xr:uid="{E7F6EF63-45E7-4BA4-8556-0FC566B770C5}"/>
    <hyperlink ref="C41" r:id="rId6" display="2023 Design &amp; Architectural Standards" xr:uid="{1DF36ACA-7E9F-48E2-90E5-D71E9F74E6EF}"/>
    <hyperlink ref="C40:D40" r:id="rId7" display="LIHTC Rental Underwriting Guidelines" xr:uid="{6ECBD40F-1DEB-4E52-9F67-2A04A7B60EFE}"/>
    <hyperlink ref="C41:D41" r:id="rId8" display="Design &amp; Architectural Standards" xr:uid="{FE320D8A-4DBB-42DB-B770-929507298C0D}"/>
    <hyperlink ref="C45" r:id="rId9" display="HDL Guidelines" xr:uid="{C885B4E0-1E1A-477A-A8F5-AB3B5A290F2C}"/>
    <hyperlink ref="C46" r:id="rId10" display="HDL Guidelines" xr:uid="{19DC8FCE-7011-4EEF-ACBF-CA2DDD605F1C}"/>
    <hyperlink ref="C44:F44" r:id="rId11" display="• Housing Development Loan (HDL) Guidelines" xr:uid="{3FD94FA6-8B7E-43C5-8BC9-BC4651D9F578}"/>
    <hyperlink ref="C45:F45" r:id="rId12" display="• Multifamily Lending Program Guidelines" xr:uid="{3141A201-25A6-42B7-81FE-D56D2FEFADF4}"/>
    <hyperlink ref="C46:F46" r:id="rId13" display="• 811 Project Rental Assistance" xr:uid="{02AB77BB-B1FE-4AD1-A07D-85FFD9C566E9}"/>
    <hyperlink ref="J41" r:id="rId14" xr:uid="{43ED72AF-3487-4E1D-8033-B0195278A8DE}"/>
    <hyperlink ref="G42" r:id="rId15" display="4% LIHTC Qualified Allocation Plan" xr:uid="{619E4362-78BB-4D79-A3F1-FB19AC6F5393}"/>
    <hyperlink ref="G43" r:id="rId16" display="4% LIHTC Qualified Allocation Plan" xr:uid="{7EB546B3-8C02-420A-B534-AF5D072654CB}"/>
    <hyperlink ref="G42:I42" r:id="rId17" display="• 4% LIHTC with Ohio LIHTC" xr:uid="{D468020D-7E0A-4441-A0DF-2C0354F5971D}"/>
    <hyperlink ref="G43:I43" r:id="rId18" display="• 4% LIHTC with BGF" xr:uid="{729C3008-263B-4D79-B7D7-AB79C2D2F867}"/>
    <hyperlink ref="C40:F40" r:id="rId19" display="• 2026 Multifamily Rental Underwriting Guidelines" xr:uid="{DD59F681-2906-486A-8CEB-90783FF88E6E}"/>
    <hyperlink ref="C41:F41" r:id="rId20" display="• Design &amp; Architectural Standards" xr:uid="{48518AFC-FD22-4409-B67A-5D80FEC8E06A}"/>
    <hyperlink ref="G17:H17" r:id="rId21" display="R.C. 174.03(D)(1)" xr:uid="{61089BCF-B024-4A76-A06F-544C4A8AC0A7}"/>
    <hyperlink ref="I15:J15" r:id="rId22" location="p-92.250(b)" display="24 C.F.R. §92.250(b)" xr:uid="{C3E425E8-69A6-48F1-B111-2E4F49304053}"/>
    <hyperlink ref="I16:J16" r:id="rId23" location="p-93.300(b)" display="24 C.F.R. §93.300(b)" xr:uid="{11008086-6C08-4532-967C-1B9A10E85D18}"/>
    <hyperlink ref="I17:J17" r:id="rId24" display="OAC Chapter 122:6-1(A)" xr:uid="{9BB4E104-381A-4500-A628-3B6EAA3F19C8}"/>
    <hyperlink ref="G14:H14" r:id="rId25" display="26 U.S.C. §42(m)(2)" xr:uid="{83A50B8F-DABD-489C-B33B-02BB09434376}"/>
    <hyperlink ref="I14:J14" r:id="rId26" location="p-1.42-17(a)(3)" display="26 C.F.R. §1.42-17(3)" xr:uid="{92F22E49-6BD0-45F5-8744-EA0C747465AF}"/>
  </hyperlinks>
  <pageMargins left="0.7" right="0.7" top="0.75" bottom="0.75" header="0.3" footer="0.3"/>
  <pageSetup scale="59" fitToHeight="0" orientation="portrait" r:id="rId27"/>
  <headerFooter>
    <oddFooter>&amp;L&amp;"-,Bold"&amp;A Tab&amp;"-,Regular"
Affordable Housing Funding Application (AHFA)&amp;COhio Housing Finance Agency&amp;RPage &amp;P of &amp;N</oddFooter>
  </headerFooter>
  <drawing r:id="rId2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18D28-E30A-4A22-B52D-753C9B155126}">
  <sheetPr>
    <pageSetUpPr autoPageBreaks="0" fitToPage="1"/>
  </sheetPr>
  <dimension ref="A1:M56"/>
  <sheetViews>
    <sheetView zoomScale="85" zoomScaleNormal="85" workbookViewId="0"/>
  </sheetViews>
  <sheetFormatPr defaultColWidth="0" defaultRowHeight="14.25" zeroHeight="1" x14ac:dyDescent="0.2"/>
  <cols>
    <col min="1" max="1" width="2.625" style="1" customWidth="1"/>
    <col min="2" max="2" width="0.625" style="1" customWidth="1"/>
    <col min="3" max="5" width="13.625" style="1" customWidth="1"/>
    <col min="6" max="10" width="15.625" style="1" customWidth="1"/>
    <col min="11" max="11" width="2.625" style="1" customWidth="1"/>
    <col min="12" max="12" width="0.625" style="1" hidden="1" customWidth="1"/>
    <col min="13" max="13" width="2.625" style="1" hidden="1" customWidth="1"/>
    <col min="14" max="16384" width="8.875" style="1" hidden="1"/>
  </cols>
  <sheetData>
    <row r="1" spans="2:12" ht="55.5" customHeight="1" x14ac:dyDescent="0.2"/>
    <row r="2" spans="2:12" ht="25.5" customHeight="1" x14ac:dyDescent="0.2">
      <c r="B2" s="1211" t="s">
        <v>2304</v>
      </c>
      <c r="C2" s="1212"/>
      <c r="D2" s="1212"/>
      <c r="E2" s="1212"/>
      <c r="F2" s="1212"/>
      <c r="G2" s="1217" t="str">
        <f>CONCATENATE(IF(Instructions!$K$2="","",Instructions!$K$2)," ",IF(Details!$E$11="","",Details!$E$11))</f>
        <v>2026 9% LIHTC AHFA Proposal Application</v>
      </c>
      <c r="H2" s="1217"/>
      <c r="I2" s="1217"/>
      <c r="J2" s="1218"/>
    </row>
    <row r="3" spans="2:12" ht="20.25" customHeight="1" x14ac:dyDescent="0.2">
      <c r="B3" s="1166" t="s">
        <v>437</v>
      </c>
      <c r="C3" s="1167"/>
      <c r="D3" s="1167"/>
      <c r="E3" s="1167"/>
      <c r="F3" s="1167"/>
      <c r="G3" s="1219" t="str">
        <f>IF(Details!$E$12="","",CONCATENATE("Project Name: ",Details!$E$12))</f>
        <v/>
      </c>
      <c r="H3" s="1219"/>
      <c r="I3" s="1219"/>
      <c r="J3" s="1220"/>
    </row>
    <row r="4" spans="2:12" x14ac:dyDescent="0.2"/>
    <row r="5" spans="2:12" x14ac:dyDescent="0.2"/>
    <row r="6" spans="2:12" ht="15" x14ac:dyDescent="0.2">
      <c r="B6" s="1281" t="s">
        <v>2304</v>
      </c>
      <c r="C6" s="1281"/>
      <c r="D6" s="1281"/>
      <c r="E6" s="147"/>
      <c r="F6" s="147"/>
      <c r="G6" s="147"/>
      <c r="H6" s="147"/>
      <c r="I6" s="147"/>
      <c r="J6" s="147"/>
      <c r="K6" s="147"/>
      <c r="L6" s="147"/>
    </row>
    <row r="7" spans="2:12" ht="3" customHeight="1" x14ac:dyDescent="0.2">
      <c r="B7" s="1312"/>
      <c r="C7" s="1312"/>
      <c r="D7" s="1312"/>
      <c r="E7" s="1312"/>
      <c r="F7" s="1312"/>
      <c r="G7" s="1312"/>
      <c r="H7" s="1312"/>
      <c r="I7" s="1312"/>
      <c r="J7" s="1312"/>
    </row>
    <row r="8" spans="2:12" x14ac:dyDescent="0.2"/>
    <row r="9" spans="2:12" x14ac:dyDescent="0.2">
      <c r="C9" s="1196" t="s">
        <v>2308</v>
      </c>
      <c r="D9" s="1196"/>
      <c r="E9" s="1196"/>
      <c r="F9" s="1196"/>
      <c r="G9" s="1196"/>
      <c r="H9" s="1196"/>
      <c r="I9" s="1196"/>
      <c r="J9" s="1196"/>
    </row>
    <row r="10" spans="2:12" x14ac:dyDescent="0.2">
      <c r="C10" s="1196"/>
      <c r="D10" s="1196"/>
      <c r="E10" s="1196"/>
      <c r="F10" s="1196"/>
      <c r="G10" s="1196"/>
      <c r="H10" s="1196"/>
      <c r="I10" s="1196"/>
      <c r="J10" s="1196"/>
    </row>
    <row r="11" spans="2:12" x14ac:dyDescent="0.2">
      <c r="C11" s="1196"/>
      <c r="D11" s="1196"/>
      <c r="E11" s="1196"/>
      <c r="F11" s="1196"/>
      <c r="G11" s="1196"/>
      <c r="H11" s="1196"/>
      <c r="I11" s="1196"/>
      <c r="J11" s="1196"/>
    </row>
    <row r="12" spans="2:12" x14ac:dyDescent="0.2"/>
    <row r="13" spans="2:12" x14ac:dyDescent="0.2">
      <c r="C13" s="1155" t="s">
        <v>2307</v>
      </c>
      <c r="D13" s="1155"/>
      <c r="E13" s="1324"/>
      <c r="F13" s="79">
        <f>LIHTCs!F33</f>
        <v>0</v>
      </c>
    </row>
    <row r="14" spans="2:12" x14ac:dyDescent="0.2">
      <c r="C14" s="1155" t="s">
        <v>2311</v>
      </c>
      <c r="D14" s="1155"/>
      <c r="E14" s="1324"/>
      <c r="F14" s="78">
        <f>Details!E21</f>
        <v>0</v>
      </c>
    </row>
    <row r="15" spans="2:12" ht="15" thickBot="1" x14ac:dyDescent="0.25">
      <c r="C15" s="1308" t="s">
        <v>2309</v>
      </c>
      <c r="D15" s="1308"/>
      <c r="E15" s="1395"/>
      <c r="F15" s="327">
        <f>IF(F14="Rural",1250000,1000000)</f>
        <v>1000000</v>
      </c>
    </row>
    <row r="16" spans="2:12" ht="15" thickTop="1" x14ac:dyDescent="0.2">
      <c r="C16" s="1155" t="s">
        <v>2310</v>
      </c>
      <c r="D16" s="1155"/>
      <c r="E16" s="1324"/>
      <c r="F16" s="328">
        <f>MIN(F15,F13)</f>
        <v>0</v>
      </c>
    </row>
    <row r="17" spans="2:12" x14ac:dyDescent="0.2"/>
    <row r="18" spans="2:12" x14ac:dyDescent="0.2">
      <c r="C18" s="1155" t="s">
        <v>2313</v>
      </c>
      <c r="D18" s="1155"/>
      <c r="E18" s="1155"/>
      <c r="F18" s="357"/>
    </row>
    <row r="19" spans="2:12" x14ac:dyDescent="0.2">
      <c r="C19" s="1155" t="s">
        <v>2312</v>
      </c>
      <c r="D19" s="1155"/>
      <c r="E19" s="1155"/>
      <c r="F19" s="79">
        <f>F18*10</f>
        <v>0</v>
      </c>
    </row>
    <row r="20" spans="2:12" x14ac:dyDescent="0.2"/>
    <row r="21" spans="2:12" x14ac:dyDescent="0.2"/>
    <row r="22" spans="2:12" ht="15" x14ac:dyDescent="0.2">
      <c r="B22" s="1281" t="s">
        <v>2306</v>
      </c>
      <c r="C22" s="1281"/>
      <c r="D22" s="1281"/>
      <c r="E22" s="1281"/>
      <c r="F22" s="147"/>
      <c r="G22" s="147"/>
      <c r="H22" s="147"/>
      <c r="I22" s="147"/>
      <c r="J22" s="147"/>
      <c r="K22" s="147"/>
      <c r="L22" s="147"/>
    </row>
    <row r="23" spans="2:12" ht="3" customHeight="1" x14ac:dyDescent="0.2">
      <c r="B23" s="1312"/>
      <c r="C23" s="1312"/>
      <c r="D23" s="1312"/>
      <c r="E23" s="1312"/>
      <c r="F23" s="1312"/>
      <c r="G23" s="1312"/>
      <c r="H23" s="1312"/>
      <c r="I23" s="1312"/>
      <c r="J23" s="1312"/>
    </row>
    <row r="24" spans="2:12" x14ac:dyDescent="0.2"/>
    <row r="25" spans="2:12" x14ac:dyDescent="0.2">
      <c r="C25" s="1155" t="s">
        <v>2314</v>
      </c>
      <c r="D25" s="1155"/>
      <c r="E25" s="1324"/>
      <c r="F25" s="376"/>
    </row>
    <row r="26" spans="2:12" x14ac:dyDescent="0.2">
      <c r="C26" s="1155" t="s">
        <v>2032</v>
      </c>
      <c r="D26" s="1155"/>
      <c r="E26" s="1324"/>
      <c r="F26" s="376"/>
    </row>
    <row r="27" spans="2:12" x14ac:dyDescent="0.2">
      <c r="C27" s="1155" t="s">
        <v>2033</v>
      </c>
      <c r="D27" s="1155"/>
      <c r="E27" s="1324"/>
      <c r="F27" s="376"/>
    </row>
    <row r="28" spans="2:12" x14ac:dyDescent="0.2">
      <c r="C28" s="1155" t="s">
        <v>2034</v>
      </c>
      <c r="D28" s="1155"/>
      <c r="E28" s="1324"/>
      <c r="F28" s="376"/>
    </row>
    <row r="29" spans="2:12" x14ac:dyDescent="0.2">
      <c r="C29" s="1155" t="s">
        <v>2035</v>
      </c>
      <c r="D29" s="1155"/>
      <c r="E29" s="1324"/>
      <c r="F29" s="376"/>
    </row>
    <row r="30" spans="2:12" x14ac:dyDescent="0.2">
      <c r="C30" s="1315"/>
      <c r="D30" s="1315"/>
      <c r="E30" s="1315"/>
      <c r="F30" s="85"/>
    </row>
    <row r="31" spans="2:12" ht="15" customHeight="1" x14ac:dyDescent="0.2">
      <c r="C31" s="1303" t="s">
        <v>2315</v>
      </c>
      <c r="D31" s="1303"/>
      <c r="E31" s="1391"/>
      <c r="F31" s="79">
        <f>Sources!G37</f>
        <v>0</v>
      </c>
    </row>
    <row r="32" spans="2:12" ht="15" customHeight="1" x14ac:dyDescent="0.2">
      <c r="C32" s="1315" t="s">
        <v>263</v>
      </c>
      <c r="D32" s="1315"/>
      <c r="E32" s="1392"/>
      <c r="F32" s="112">
        <f>IF(OLIHTCs!F19=0,0,F31/OLIHTCs!F19)</f>
        <v>0</v>
      </c>
    </row>
    <row r="33" spans="3:13" x14ac:dyDescent="0.2"/>
    <row r="34" spans="3:13" x14ac:dyDescent="0.2"/>
    <row r="35" spans="3:13" ht="15" x14ac:dyDescent="0.2">
      <c r="C35" s="147" t="s">
        <v>2305</v>
      </c>
      <c r="D35" s="147"/>
      <c r="E35" s="147"/>
      <c r="F35" s="147"/>
      <c r="G35" s="147"/>
      <c r="H35" s="147"/>
      <c r="I35" s="147"/>
      <c r="J35" s="147"/>
      <c r="K35" s="147"/>
      <c r="L35" s="147"/>
      <c r="M35" s="147"/>
    </row>
    <row r="36" spans="3:13" ht="3" customHeight="1" x14ac:dyDescent="0.2">
      <c r="C36" s="1312"/>
      <c r="D36" s="1312"/>
      <c r="E36" s="1312"/>
      <c r="F36" s="1312"/>
      <c r="G36" s="1312"/>
      <c r="H36" s="1312"/>
      <c r="I36" s="1312"/>
      <c r="J36" s="1312"/>
    </row>
    <row r="37" spans="3:13" x14ac:dyDescent="0.2"/>
    <row r="38" spans="3:13" ht="45" customHeight="1" x14ac:dyDescent="0.2">
      <c r="C38" s="375" t="s">
        <v>2207</v>
      </c>
      <c r="D38" s="1393" t="s">
        <v>2211</v>
      </c>
      <c r="E38" s="1394"/>
      <c r="F38" s="399" t="s">
        <v>2239</v>
      </c>
      <c r="G38" s="375" t="s">
        <v>2209</v>
      </c>
      <c r="H38" s="375" t="s">
        <v>2208</v>
      </c>
      <c r="I38" s="375" t="s">
        <v>2210</v>
      </c>
      <c r="J38" s="375" t="s">
        <v>2248</v>
      </c>
    </row>
    <row r="39" spans="3:13" x14ac:dyDescent="0.2">
      <c r="C39" s="344">
        <v>1</v>
      </c>
      <c r="D39" s="1259" t="s">
        <v>2212</v>
      </c>
      <c r="E39" s="1261"/>
      <c r="F39" s="347">
        <f>Details!F160</f>
        <v>0</v>
      </c>
      <c r="G39" s="696"/>
      <c r="H39" s="209">
        <f>G39</f>
        <v>0</v>
      </c>
      <c r="I39" s="79">
        <f>$F$31*G39</f>
        <v>0</v>
      </c>
      <c r="J39" s="79">
        <f>I39</f>
        <v>0</v>
      </c>
    </row>
    <row r="40" spans="3:13" x14ac:dyDescent="0.2">
      <c r="C40" s="344">
        <v>2</v>
      </c>
      <c r="D40" s="1188"/>
      <c r="E40" s="1189"/>
      <c r="F40" s="700"/>
      <c r="G40" s="696"/>
      <c r="H40" s="209">
        <f>G40+H39</f>
        <v>0</v>
      </c>
      <c r="I40" s="79">
        <f t="shared" ref="I40:I53" si="0">$F$31*G40</f>
        <v>0</v>
      </c>
      <c r="J40" s="79">
        <f>J39+I40</f>
        <v>0</v>
      </c>
    </row>
    <row r="41" spans="3:13" x14ac:dyDescent="0.2">
      <c r="C41" s="344">
        <v>3</v>
      </c>
      <c r="D41" s="1188"/>
      <c r="E41" s="1189"/>
      <c r="F41" s="700"/>
      <c r="G41" s="696"/>
      <c r="H41" s="209">
        <f t="shared" ref="H41:H53" si="1">G41+H40</f>
        <v>0</v>
      </c>
      <c r="I41" s="79">
        <f t="shared" si="0"/>
        <v>0</v>
      </c>
      <c r="J41" s="79">
        <f t="shared" ref="J41:J53" si="2">J40+I41</f>
        <v>0</v>
      </c>
    </row>
    <row r="42" spans="3:13" x14ac:dyDescent="0.2">
      <c r="C42" s="344">
        <v>4</v>
      </c>
      <c r="D42" s="1188"/>
      <c r="E42" s="1189"/>
      <c r="F42" s="700"/>
      <c r="G42" s="696"/>
      <c r="H42" s="209">
        <f t="shared" si="1"/>
        <v>0</v>
      </c>
      <c r="I42" s="79">
        <f t="shared" si="0"/>
        <v>0</v>
      </c>
      <c r="J42" s="79">
        <f t="shared" si="2"/>
        <v>0</v>
      </c>
    </row>
    <row r="43" spans="3:13" ht="15" x14ac:dyDescent="0.25">
      <c r="C43" s="344">
        <v>5</v>
      </c>
      <c r="D43" s="1188"/>
      <c r="E43" s="1189"/>
      <c r="F43" s="700"/>
      <c r="G43" s="696"/>
      <c r="H43" s="209">
        <f t="shared" si="1"/>
        <v>0</v>
      </c>
      <c r="I43" s="79">
        <f t="shared" si="0"/>
        <v>0</v>
      </c>
      <c r="J43" s="79">
        <f t="shared" si="2"/>
        <v>0</v>
      </c>
      <c r="K43" s="8"/>
    </row>
    <row r="44" spans="3:13" x14ac:dyDescent="0.2">
      <c r="C44" s="344">
        <v>6</v>
      </c>
      <c r="D44" s="1188"/>
      <c r="E44" s="1189"/>
      <c r="F44" s="700"/>
      <c r="G44" s="696"/>
      <c r="H44" s="209">
        <f t="shared" si="1"/>
        <v>0</v>
      </c>
      <c r="I44" s="79">
        <f t="shared" si="0"/>
        <v>0</v>
      </c>
      <c r="J44" s="79">
        <f t="shared" si="2"/>
        <v>0</v>
      </c>
    </row>
    <row r="45" spans="3:13" x14ac:dyDescent="0.2">
      <c r="C45" s="344">
        <v>7</v>
      </c>
      <c r="D45" s="1188"/>
      <c r="E45" s="1189"/>
      <c r="F45" s="700"/>
      <c r="G45" s="696"/>
      <c r="H45" s="209">
        <f t="shared" si="1"/>
        <v>0</v>
      </c>
      <c r="I45" s="79">
        <f t="shared" si="0"/>
        <v>0</v>
      </c>
      <c r="J45" s="79">
        <f t="shared" si="2"/>
        <v>0</v>
      </c>
    </row>
    <row r="46" spans="3:13" x14ac:dyDescent="0.2">
      <c r="C46" s="344">
        <v>8</v>
      </c>
      <c r="D46" s="1188"/>
      <c r="E46" s="1189"/>
      <c r="F46" s="700"/>
      <c r="G46" s="696"/>
      <c r="H46" s="209">
        <f t="shared" si="1"/>
        <v>0</v>
      </c>
      <c r="I46" s="79">
        <f t="shared" si="0"/>
        <v>0</v>
      </c>
      <c r="J46" s="79">
        <f t="shared" si="2"/>
        <v>0</v>
      </c>
    </row>
    <row r="47" spans="3:13" x14ac:dyDescent="0.2">
      <c r="C47" s="344">
        <v>9</v>
      </c>
      <c r="D47" s="1188"/>
      <c r="E47" s="1189"/>
      <c r="F47" s="700"/>
      <c r="G47" s="696"/>
      <c r="H47" s="209">
        <f t="shared" si="1"/>
        <v>0</v>
      </c>
      <c r="I47" s="79">
        <f t="shared" si="0"/>
        <v>0</v>
      </c>
      <c r="J47" s="79">
        <f t="shared" si="2"/>
        <v>0</v>
      </c>
    </row>
    <row r="48" spans="3:13" x14ac:dyDescent="0.2">
      <c r="C48" s="344">
        <v>10</v>
      </c>
      <c r="D48" s="1188"/>
      <c r="E48" s="1189"/>
      <c r="F48" s="700"/>
      <c r="G48" s="696"/>
      <c r="H48" s="209">
        <f t="shared" si="1"/>
        <v>0</v>
      </c>
      <c r="I48" s="79">
        <f t="shared" si="0"/>
        <v>0</v>
      </c>
      <c r="J48" s="79">
        <f t="shared" si="2"/>
        <v>0</v>
      </c>
    </row>
    <row r="49" spans="3:10" x14ac:dyDescent="0.2">
      <c r="C49" s="344">
        <v>11</v>
      </c>
      <c r="D49" s="1188"/>
      <c r="E49" s="1189"/>
      <c r="F49" s="700"/>
      <c r="G49" s="696"/>
      <c r="H49" s="209">
        <f t="shared" si="1"/>
        <v>0</v>
      </c>
      <c r="I49" s="79">
        <f t="shared" si="0"/>
        <v>0</v>
      </c>
      <c r="J49" s="79">
        <f t="shared" si="2"/>
        <v>0</v>
      </c>
    </row>
    <row r="50" spans="3:10" x14ac:dyDescent="0.2">
      <c r="C50" s="344">
        <v>12</v>
      </c>
      <c r="D50" s="1188"/>
      <c r="E50" s="1189"/>
      <c r="F50" s="700"/>
      <c r="G50" s="696"/>
      <c r="H50" s="209">
        <f t="shared" si="1"/>
        <v>0</v>
      </c>
      <c r="I50" s="79">
        <f t="shared" si="0"/>
        <v>0</v>
      </c>
      <c r="J50" s="79">
        <f t="shared" si="2"/>
        <v>0</v>
      </c>
    </row>
    <row r="51" spans="3:10" x14ac:dyDescent="0.2">
      <c r="C51" s="344">
        <v>13</v>
      </c>
      <c r="D51" s="1188"/>
      <c r="E51" s="1189"/>
      <c r="F51" s="700"/>
      <c r="G51" s="696"/>
      <c r="H51" s="209">
        <f t="shared" si="1"/>
        <v>0</v>
      </c>
      <c r="I51" s="79">
        <f t="shared" si="0"/>
        <v>0</v>
      </c>
      <c r="J51" s="79">
        <f t="shared" si="2"/>
        <v>0</v>
      </c>
    </row>
    <row r="52" spans="3:10" x14ac:dyDescent="0.2">
      <c r="C52" s="344">
        <v>14</v>
      </c>
      <c r="D52" s="1188"/>
      <c r="E52" s="1189"/>
      <c r="F52" s="700"/>
      <c r="G52" s="696"/>
      <c r="H52" s="209">
        <f t="shared" si="1"/>
        <v>0</v>
      </c>
      <c r="I52" s="79">
        <f t="shared" si="0"/>
        <v>0</v>
      </c>
      <c r="J52" s="79">
        <f t="shared" si="2"/>
        <v>0</v>
      </c>
    </row>
    <row r="53" spans="3:10" x14ac:dyDescent="0.2">
      <c r="C53" s="344">
        <v>15</v>
      </c>
      <c r="D53" s="1188"/>
      <c r="E53" s="1189"/>
      <c r="F53" s="700"/>
      <c r="G53" s="696"/>
      <c r="H53" s="209">
        <f t="shared" si="1"/>
        <v>0</v>
      </c>
      <c r="I53" s="79">
        <f t="shared" si="0"/>
        <v>0</v>
      </c>
      <c r="J53" s="79">
        <f t="shared" si="2"/>
        <v>0</v>
      </c>
    </row>
    <row r="54" spans="3:10" x14ac:dyDescent="0.2">
      <c r="D54" s="1390"/>
      <c r="E54" s="1390"/>
    </row>
    <row r="55" spans="3:10" x14ac:dyDescent="0.2">
      <c r="C55" s="1175" t="s">
        <v>2316</v>
      </c>
      <c r="D55" s="1175"/>
      <c r="E55" s="1176"/>
      <c r="F55" s="79" cm="1">
        <f t="array" ref="F55">IFERROR(INDEX(D39:J53,MATCH("100% Construction Completion",D39:D53,0)-1,7),0)</f>
        <v>0</v>
      </c>
    </row>
    <row r="56" spans="3:10" x14ac:dyDescent="0.2"/>
  </sheetData>
  <sheetProtection algorithmName="SHA-512" hashValue="kVaND4qQ0GlQ5s7z8JagsQylOPXF46TR2/hDrlzSQWvsHlkbU3JFbsGPYDcmG4zrT2B1gYBRtfSP1yodRwgnoQ==" saltValue="UZSek+w6H+CHohk4mt5gWg==" spinCount="100000" sheet="1" objects="1" scenarios="1"/>
  <mergeCells count="42">
    <mergeCell ref="B2:F2"/>
    <mergeCell ref="G2:J2"/>
    <mergeCell ref="B3:F3"/>
    <mergeCell ref="G3:J3"/>
    <mergeCell ref="C25:E25"/>
    <mergeCell ref="B7:J7"/>
    <mergeCell ref="C26:E26"/>
    <mergeCell ref="C18:E18"/>
    <mergeCell ref="C19:E19"/>
    <mergeCell ref="C13:E13"/>
    <mergeCell ref="C14:E14"/>
    <mergeCell ref="C15:E15"/>
    <mergeCell ref="C16:E16"/>
    <mergeCell ref="B23:J23"/>
    <mergeCell ref="D42:E42"/>
    <mergeCell ref="C27:E27"/>
    <mergeCell ref="C28:E28"/>
    <mergeCell ref="C29:E29"/>
    <mergeCell ref="C30:E30"/>
    <mergeCell ref="C31:E31"/>
    <mergeCell ref="C32:E32"/>
    <mergeCell ref="D38:E38"/>
    <mergeCell ref="D39:E39"/>
    <mergeCell ref="D40:E40"/>
    <mergeCell ref="D41:E41"/>
    <mergeCell ref="C36:J36"/>
    <mergeCell ref="C55:E55"/>
    <mergeCell ref="B6:D6"/>
    <mergeCell ref="C9:J11"/>
    <mergeCell ref="B22:E22"/>
    <mergeCell ref="D49:E49"/>
    <mergeCell ref="D50:E50"/>
    <mergeCell ref="D51:E51"/>
    <mergeCell ref="D52:E52"/>
    <mergeCell ref="D53:E53"/>
    <mergeCell ref="D54:E54"/>
    <mergeCell ref="D43:E43"/>
    <mergeCell ref="D44:E44"/>
    <mergeCell ref="D45:E45"/>
    <mergeCell ref="D46:E46"/>
    <mergeCell ref="D47:E47"/>
    <mergeCell ref="D48:E48"/>
  </mergeCells>
  <pageMargins left="0.7" right="0.7" top="0.75" bottom="0.75" header="0.3" footer="0.3"/>
  <pageSetup scale="69" fitToHeight="0" orientation="portrait" r:id="rId1"/>
  <headerFooter>
    <oddFooter>&amp;L&amp;"-,Bold"&amp;9Ohio LIHTC Calculation Tab&amp;"-,Regular"
Affordable Housing Funding Application&amp;C&amp;9Ohio Housing Finance Agency&amp;R&amp;9Page &amp;P of &amp;N</oddFooter>
  </headerFooter>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43A4BD8-B054-4698-A57B-C67F7B122D76}">
          <x14:formula1>
            <xm:f>Data!$EI$11:$EI$34</xm:f>
          </x14:formula1>
          <xm:sqref>D40:E53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B6541-CB6A-4303-9074-FE3480B9BC0B}">
  <sheetPr>
    <pageSetUpPr fitToPage="1"/>
  </sheetPr>
  <dimension ref="A1:M36"/>
  <sheetViews>
    <sheetView zoomScale="85" zoomScaleNormal="85" workbookViewId="0"/>
  </sheetViews>
  <sheetFormatPr defaultColWidth="0" defaultRowHeight="15" customHeight="1" zeroHeight="1" x14ac:dyDescent="0.2"/>
  <cols>
    <col min="1" max="1" width="2.625" style="83" customWidth="1"/>
    <col min="2" max="2" width="0.625" style="83" customWidth="1"/>
    <col min="3" max="10" width="15.625" style="83" customWidth="1"/>
    <col min="11" max="11" width="0.625" style="83" customWidth="1"/>
    <col min="12" max="12" width="2.625" style="83" customWidth="1"/>
    <col min="13" max="13" width="13.625" style="83" hidden="1" customWidth="1"/>
    <col min="14" max="16384" width="8.875" style="83" hidden="1"/>
  </cols>
  <sheetData>
    <row r="1" spans="2:12" ht="55.5" customHeight="1" x14ac:dyDescent="0.2">
      <c r="B1" s="1"/>
      <c r="C1" s="1"/>
      <c r="D1" s="1"/>
      <c r="E1" s="1"/>
      <c r="F1" s="1"/>
      <c r="G1" s="1"/>
      <c r="H1" s="1"/>
      <c r="I1" s="1"/>
      <c r="J1" s="1"/>
      <c r="K1" s="1"/>
    </row>
    <row r="2" spans="2:12" ht="25.5" customHeight="1" x14ac:dyDescent="0.2">
      <c r="B2" s="1211" t="s">
        <v>2146</v>
      </c>
      <c r="C2" s="1212"/>
      <c r="D2" s="1212"/>
      <c r="E2" s="1212"/>
      <c r="F2" s="1212"/>
      <c r="G2" s="1217" t="str">
        <f>CONCATENATE(IF(Instructions!$K$2="","",Instructions!$K$2)," ",IF(Details!$E$11="","",Details!$E$11))</f>
        <v>2026 9% LIHTC AHFA Proposal Application</v>
      </c>
      <c r="H2" s="1217"/>
      <c r="I2" s="1217"/>
      <c r="J2" s="1217"/>
      <c r="K2" s="1218"/>
      <c r="L2" s="234"/>
    </row>
    <row r="3" spans="2:12" ht="20.25" customHeight="1" x14ac:dyDescent="0.2">
      <c r="B3" s="1166" t="s">
        <v>437</v>
      </c>
      <c r="C3" s="1167"/>
      <c r="D3" s="1167"/>
      <c r="E3" s="1167"/>
      <c r="F3" s="1167"/>
      <c r="G3" s="1304" t="str">
        <f>IF(Details!$E$12="","",CONCATENATE("Project Name: ",Details!$E$12))</f>
        <v/>
      </c>
      <c r="H3" s="1304"/>
      <c r="I3" s="1304"/>
      <c r="J3" s="1304"/>
      <c r="K3" s="1305"/>
      <c r="L3" s="235"/>
    </row>
    <row r="4" spans="2:12" ht="5.25" customHeight="1" x14ac:dyDescent="0.2">
      <c r="B4" s="238"/>
      <c r="C4" s="238"/>
      <c r="D4" s="238"/>
      <c r="E4" s="238"/>
      <c r="F4" s="238"/>
      <c r="G4" s="1"/>
      <c r="H4" s="239"/>
      <c r="I4" s="235"/>
      <c r="J4" s="235"/>
      <c r="K4" s="235"/>
    </row>
    <row r="5" spans="2:12" ht="15" customHeight="1" x14ac:dyDescent="0.2"/>
    <row r="6" spans="2:12" ht="14.25" customHeight="1" x14ac:dyDescent="0.2">
      <c r="B6" s="147"/>
      <c r="C6" s="147" t="s">
        <v>2147</v>
      </c>
      <c r="D6" s="147"/>
      <c r="E6" s="147"/>
      <c r="F6" s="147"/>
      <c r="G6" s="147"/>
      <c r="H6" s="147"/>
      <c r="I6" s="147"/>
      <c r="J6" s="147"/>
      <c r="K6" s="147"/>
    </row>
    <row r="7" spans="2:12" ht="3" customHeight="1" x14ac:dyDescent="0.2">
      <c r="C7" s="1312"/>
      <c r="D7" s="1312"/>
      <c r="E7" s="1312"/>
      <c r="F7" s="1312"/>
      <c r="G7" s="1312"/>
      <c r="H7" s="1312"/>
      <c r="I7" s="1312"/>
      <c r="J7" s="1312"/>
      <c r="K7" s="1312"/>
    </row>
    <row r="8" spans="2:12" ht="5.25" customHeight="1" x14ac:dyDescent="0.2">
      <c r="C8" s="240"/>
      <c r="J8" s="240"/>
    </row>
    <row r="9" spans="2:12" ht="15" customHeight="1" x14ac:dyDescent="0.2">
      <c r="C9" s="1148" t="s">
        <v>3437</v>
      </c>
      <c r="D9" s="1148"/>
      <c r="E9" s="1148"/>
      <c r="F9" s="1148"/>
      <c r="G9" s="1148"/>
      <c r="H9" s="1148"/>
      <c r="I9" s="1148"/>
      <c r="J9" s="1148"/>
    </row>
    <row r="10" spans="2:12" ht="15" customHeight="1" x14ac:dyDescent="0.2">
      <c r="C10" s="1148"/>
      <c r="D10" s="1148"/>
      <c r="E10" s="1148"/>
      <c r="F10" s="1148"/>
      <c r="G10" s="1148"/>
      <c r="H10" s="1148"/>
      <c r="I10" s="1148"/>
      <c r="J10" s="1148"/>
    </row>
    <row r="11" spans="2:12" ht="15" customHeight="1" x14ac:dyDescent="0.2">
      <c r="C11" s="1148"/>
      <c r="D11" s="1148"/>
      <c r="E11" s="1148"/>
      <c r="F11" s="1148"/>
      <c r="G11" s="1148"/>
      <c r="H11" s="1148"/>
      <c r="I11" s="1148"/>
      <c r="J11" s="1148"/>
    </row>
    <row r="12" spans="2:12" ht="15" customHeight="1" x14ac:dyDescent="0.2">
      <c r="C12" s="1148"/>
      <c r="D12" s="1148"/>
      <c r="E12" s="1148"/>
      <c r="F12" s="1148"/>
      <c r="G12" s="1148"/>
      <c r="H12" s="1148"/>
      <c r="I12" s="1148"/>
      <c r="J12" s="1148"/>
    </row>
    <row r="13" spans="2:12" ht="15" customHeight="1" x14ac:dyDescent="0.2"/>
    <row r="14" spans="2:12" ht="15" customHeight="1" x14ac:dyDescent="0.2">
      <c r="C14" s="83" t="s">
        <v>2157</v>
      </c>
    </row>
    <row r="15" spans="2:12" ht="15" customHeight="1" x14ac:dyDescent="0.2"/>
    <row r="16" spans="2:12" ht="15" customHeight="1" x14ac:dyDescent="0.2"/>
    <row r="17" spans="2:12" ht="15" customHeight="1" x14ac:dyDescent="0.2">
      <c r="B17" s="147"/>
      <c r="C17" s="147" t="s">
        <v>2154</v>
      </c>
      <c r="D17" s="147"/>
      <c r="E17" s="147"/>
      <c r="F17" s="147"/>
      <c r="G17" s="147"/>
      <c r="H17" s="147"/>
      <c r="I17" s="147"/>
      <c r="J17" s="147"/>
      <c r="K17" s="147"/>
    </row>
    <row r="18" spans="2:12" ht="3" customHeight="1" x14ac:dyDescent="0.2">
      <c r="C18" s="1312"/>
      <c r="D18" s="1312"/>
      <c r="E18" s="1312"/>
      <c r="F18" s="1312"/>
      <c r="G18" s="1312"/>
      <c r="H18" s="1312"/>
      <c r="I18" s="1312"/>
      <c r="J18" s="1312"/>
      <c r="K18" s="1312"/>
    </row>
    <row r="19" spans="2:12" ht="15" customHeight="1" x14ac:dyDescent="0.2">
      <c r="D19" s="240"/>
      <c r="K19" s="240"/>
    </row>
    <row r="20" spans="2:12" ht="15" customHeight="1" x14ac:dyDescent="0.2">
      <c r="C20" s="1175" t="s">
        <v>2161</v>
      </c>
      <c r="D20" s="1175"/>
      <c r="E20" s="400"/>
      <c r="F20" s="329"/>
      <c r="K20" s="240"/>
    </row>
    <row r="21" spans="2:12" ht="15" customHeight="1" x14ac:dyDescent="0.2">
      <c r="C21" s="1149" t="s">
        <v>2162</v>
      </c>
      <c r="D21" s="1149"/>
      <c r="E21" s="1396" t="str">
        <f>IF(E20="Yes","N/A","")</f>
        <v/>
      </c>
      <c r="F21" s="1396"/>
    </row>
    <row r="22" spans="2:12" ht="15" customHeight="1" x14ac:dyDescent="0.2">
      <c r="C22" s="83" t="s">
        <v>2149</v>
      </c>
      <c r="E22" s="1397"/>
      <c r="F22" s="1398"/>
    </row>
    <row r="23" spans="2:12" ht="15" customHeight="1" x14ac:dyDescent="0.2">
      <c r="C23" s="83" t="s">
        <v>2150</v>
      </c>
      <c r="E23" s="1397"/>
      <c r="F23" s="1398"/>
    </row>
    <row r="24" spans="2:12" ht="15" customHeight="1" x14ac:dyDescent="0.2">
      <c r="C24" s="1175" t="s">
        <v>2156</v>
      </c>
      <c r="D24" s="1175"/>
      <c r="E24" s="1397"/>
      <c r="F24" s="1398"/>
    </row>
    <row r="25" spans="2:12" ht="15" customHeight="1" x14ac:dyDescent="0.2"/>
    <row r="26" spans="2:12" ht="15" customHeight="1" x14ac:dyDescent="0.2"/>
    <row r="27" spans="2:12" ht="15" customHeight="1" x14ac:dyDescent="0.2">
      <c r="C27" s="147" t="s">
        <v>3419</v>
      </c>
      <c r="D27" s="147"/>
      <c r="E27" s="147"/>
      <c r="F27" s="147"/>
      <c r="G27" s="147"/>
      <c r="H27" s="147"/>
      <c r="I27" s="147"/>
      <c r="J27" s="147"/>
      <c r="K27" s="147"/>
      <c r="L27" s="147"/>
    </row>
    <row r="28" spans="2:12" ht="3" customHeight="1" x14ac:dyDescent="0.2">
      <c r="C28" s="1312"/>
      <c r="D28" s="1312"/>
      <c r="E28" s="1312"/>
      <c r="F28" s="1312"/>
      <c r="G28" s="1312"/>
      <c r="H28" s="1312"/>
      <c r="I28" s="1312"/>
      <c r="J28" s="1312"/>
      <c r="K28" s="1312"/>
    </row>
    <row r="29" spans="2:12" ht="15" customHeight="1" x14ac:dyDescent="0.2"/>
    <row r="30" spans="2:12" ht="15" customHeight="1" x14ac:dyDescent="0.2">
      <c r="C30" s="83" t="s">
        <v>2148</v>
      </c>
      <c r="E30" s="326">
        <f>Uses!I84+SUM(Uses!K35,Uses!K38:K39)</f>
        <v>0</v>
      </c>
    </row>
    <row r="31" spans="2:12" ht="15" customHeight="1" thickBot="1" x14ac:dyDescent="0.25">
      <c r="C31" s="325" t="s">
        <v>2152</v>
      </c>
      <c r="D31" s="325"/>
      <c r="E31" s="327">
        <f>Uses!K9</f>
        <v>0</v>
      </c>
    </row>
    <row r="32" spans="2:12" ht="15" customHeight="1" thickTop="1" x14ac:dyDescent="0.2">
      <c r="C32" s="1175" t="s">
        <v>2153</v>
      </c>
      <c r="D32" s="1175"/>
      <c r="E32" s="328">
        <f>SUM(E30:E31)</f>
        <v>0</v>
      </c>
    </row>
    <row r="33" spans="3:7" ht="15" customHeight="1" x14ac:dyDescent="0.2"/>
    <row r="34" spans="3:7" ht="15" customHeight="1" x14ac:dyDescent="0.2">
      <c r="C34" s="1175" t="s">
        <v>2158</v>
      </c>
      <c r="D34" s="1175"/>
      <c r="E34" s="1175"/>
      <c r="F34" s="1176"/>
      <c r="G34" s="357"/>
    </row>
    <row r="35" spans="3:7" ht="15" customHeight="1" x14ac:dyDescent="0.2">
      <c r="C35" s="1175" t="s">
        <v>2155</v>
      </c>
      <c r="D35" s="1175"/>
      <c r="E35" s="1175"/>
      <c r="F35" s="1175"/>
      <c r="G35" s="136">
        <f>IF(E32=0,0,G34/E32)</f>
        <v>0</v>
      </c>
    </row>
    <row r="36" spans="3:7" ht="15" customHeight="1" x14ac:dyDescent="0.2"/>
  </sheetData>
  <sheetProtection algorithmName="SHA-512" hashValue="kKMV8X0uT32x/6p6BAv1X1mrFnpGCTpGd3TKJCZZYaEzCw/fHBfJ1y5drZIJ1YiNQs4t+D6HYY86p7P+hbRgSw==" saltValue="MZjC8Puf320fekCb33aSKQ==" spinCount="100000" sheet="1" objects="1" scenarios="1"/>
  <mergeCells count="18">
    <mergeCell ref="C35:F35"/>
    <mergeCell ref="C34:F34"/>
    <mergeCell ref="C21:D21"/>
    <mergeCell ref="C9:J12"/>
    <mergeCell ref="E21:F21"/>
    <mergeCell ref="E22:F22"/>
    <mergeCell ref="E23:F23"/>
    <mergeCell ref="C24:D24"/>
    <mergeCell ref="E24:F24"/>
    <mergeCell ref="C20:D20"/>
    <mergeCell ref="B2:F2"/>
    <mergeCell ref="B3:F3"/>
    <mergeCell ref="G2:K2"/>
    <mergeCell ref="G3:K3"/>
    <mergeCell ref="C32:D32"/>
    <mergeCell ref="C7:K7"/>
    <mergeCell ref="C18:K18"/>
    <mergeCell ref="C28:K28"/>
  </mergeCells>
  <dataValidations count="4">
    <dataValidation type="list" allowBlank="1" showInputMessage="1" showErrorMessage="1" sqref="E22" xr:uid="{6A81D6A1-6806-4E0F-BC3A-3F626AE8AD25}">
      <formula1>"20% of the Units ≤ 50% AMI, 40% of the Units ≤ 60% AMI"</formula1>
    </dataValidation>
    <dataValidation type="list" allowBlank="1" showInputMessage="1" showErrorMessage="1" sqref="E23" xr:uid="{81D3F94D-EDE3-4C85-864B-9AB975DAD2EE}">
      <formula1>"Public Offering, Private Placement"</formula1>
    </dataValidation>
    <dataValidation type="list" allowBlank="1" showInputMessage="1" showErrorMessage="1" sqref="E24:F24" xr:uid="{992F229A-ADC5-4374-B5B8-C88285DBA9CE}">
      <formula1>"Direct Pay Letter of Credit, Standby Letter of Credit, Bond Insurance, Fannie Mae, Freddie Mac, FHA Insurance, GNMA Mortgage-Backed Security, Third-Party Guarantee, Other, N/A"</formula1>
    </dataValidation>
    <dataValidation type="list" allowBlank="1" showInputMessage="1" showErrorMessage="1" sqref="E20:F20" xr:uid="{60B75BAF-A278-40AB-B81C-03C01265EBDC}">
      <formula1>"Yes, No"</formula1>
    </dataValidation>
  </dataValidations>
  <pageMargins left="0.7" right="0.7" top="0.75" bottom="0.75" header="0.3" footer="0.3"/>
  <pageSetup scale="65" fitToHeight="0" orientation="portrait" r:id="rId1"/>
  <headerFooter>
    <oddFooter>&amp;L&amp;"-,Bold"&amp;9Residential Rental Private Activity Bonds Tab&amp;"-,Regular"
Affordable Housing Funding Application&amp;C&amp;9Ohio Housing Finance Agency&amp;R&amp;9Page &amp;P of &amp;N</oddFooter>
  </headerFooter>
  <ignoredErrors>
    <ignoredError sqref="E21"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fitToPage="1"/>
  </sheetPr>
  <dimension ref="A1:AJ72"/>
  <sheetViews>
    <sheetView showGridLines="0" zoomScale="85" zoomScaleNormal="85" workbookViewId="0"/>
  </sheetViews>
  <sheetFormatPr defaultColWidth="0" defaultRowHeight="12.75" zeroHeight="1" x14ac:dyDescent="0.2"/>
  <cols>
    <col min="1" max="1" width="2.625" style="167" customWidth="1"/>
    <col min="2" max="2" width="0.625" style="167" customWidth="1"/>
    <col min="3" max="4" width="18.625" style="167" customWidth="1"/>
    <col min="5" max="5" width="6.625" style="167" customWidth="1"/>
    <col min="6" max="34" width="13.625" style="167" customWidth="1"/>
    <col min="35" max="35" width="13" style="167" customWidth="1"/>
    <col min="36" max="36" width="12.125" style="167" bestFit="1" customWidth="1"/>
    <col min="37" max="16384" width="8.875" style="167" hidden="1"/>
  </cols>
  <sheetData>
    <row r="1" spans="2:35" ht="55.5" customHeight="1" x14ac:dyDescent="0.2"/>
    <row r="2" spans="2:35" ht="25.5" customHeight="1" x14ac:dyDescent="0.2">
      <c r="B2" s="1211" t="s">
        <v>2007</v>
      </c>
      <c r="C2" s="1212"/>
      <c r="D2" s="1212"/>
      <c r="E2" s="1212"/>
      <c r="F2" s="1212"/>
      <c r="G2" s="456"/>
      <c r="H2" s="456"/>
      <c r="I2" s="455"/>
      <c r="J2" s="455"/>
      <c r="K2" s="455"/>
      <c r="L2" s="455"/>
      <c r="M2" s="457"/>
      <c r="N2" s="457"/>
      <c r="O2" s="457"/>
      <c r="P2" s="457"/>
      <c r="Q2" s="1404" t="str">
        <f>CONCATENATE(IF(Instructions!$K$2="","",Instructions!$K$2)," ",IF(Details!$E$11="","",Details!$E$11))</f>
        <v>2026 9% LIHTC AHFA Proposal Application</v>
      </c>
      <c r="R2" s="1404"/>
      <c r="S2" s="1404"/>
      <c r="T2" s="1405"/>
      <c r="U2" s="458"/>
    </row>
    <row r="3" spans="2:35" ht="20.25" customHeight="1" x14ac:dyDescent="0.2">
      <c r="B3" s="1444" t="s">
        <v>437</v>
      </c>
      <c r="C3" s="1445"/>
      <c r="D3" s="1445"/>
      <c r="E3" s="1445"/>
      <c r="F3" s="1445"/>
      <c r="G3" s="459"/>
      <c r="H3" s="460"/>
      <c r="I3" s="460"/>
      <c r="J3" s="460"/>
      <c r="K3" s="460"/>
      <c r="L3" s="460"/>
      <c r="M3" s="460"/>
      <c r="N3" s="460"/>
      <c r="O3" s="460"/>
      <c r="P3" s="460"/>
      <c r="Q3" s="1418" t="str">
        <f>IF(Details!$E$12="","",CONCATENATE("Project Name: ",Details!$E$12))</f>
        <v/>
      </c>
      <c r="R3" s="1418"/>
      <c r="S3" s="1418"/>
      <c r="T3" s="1419"/>
      <c r="U3" s="461"/>
    </row>
    <row r="4" spans="2:35" x14ac:dyDescent="0.2">
      <c r="C4" s="462"/>
      <c r="D4" s="462"/>
      <c r="E4" s="462"/>
    </row>
    <row r="5" spans="2:35" s="463" customFormat="1" ht="15" customHeight="1" x14ac:dyDescent="0.2">
      <c r="C5" s="1411" t="s">
        <v>320</v>
      </c>
      <c r="D5" s="1411"/>
      <c r="E5" s="1411"/>
      <c r="F5" s="1411"/>
      <c r="G5" s="1411"/>
      <c r="H5" s="1411"/>
      <c r="I5" s="1411"/>
      <c r="J5" s="1411"/>
    </row>
    <row r="6" spans="2:35" s="463" customFormat="1" ht="3" customHeight="1" x14ac:dyDescent="0.2">
      <c r="C6" s="1412"/>
      <c r="D6" s="1412"/>
      <c r="E6" s="1412"/>
      <c r="F6" s="1412"/>
      <c r="G6" s="1412"/>
      <c r="H6" s="1412"/>
      <c r="I6" s="1412"/>
      <c r="J6" s="1412"/>
      <c r="K6" s="1412"/>
    </row>
    <row r="7" spans="2:35" s="463" customFormat="1" ht="15" customHeight="1" x14ac:dyDescent="0.2">
      <c r="C7" s="464"/>
      <c r="D7" s="464"/>
      <c r="E7" s="464"/>
      <c r="F7" s="464"/>
    </row>
    <row r="8" spans="2:35" s="463" customFormat="1" ht="15" customHeight="1" x14ac:dyDescent="0.2">
      <c r="C8" s="1416" t="s">
        <v>2119</v>
      </c>
      <c r="D8" s="1416"/>
      <c r="E8" s="1417"/>
      <c r="F8" s="465">
        <v>0.02</v>
      </c>
      <c r="H8" s="1413" t="s">
        <v>2114</v>
      </c>
      <c r="I8" s="1413"/>
      <c r="J8" s="1414"/>
      <c r="K8" s="465">
        <f>OpBudget!$J$10</f>
        <v>7.0000000000000007E-2</v>
      </c>
    </row>
    <row r="9" spans="2:35" s="463" customFormat="1" ht="15" customHeight="1" x14ac:dyDescent="0.2">
      <c r="C9" s="1416" t="s">
        <v>2120</v>
      </c>
      <c r="D9" s="1416"/>
      <c r="E9" s="1417"/>
      <c r="F9" s="465">
        <v>0.02</v>
      </c>
      <c r="H9" s="1413" t="s">
        <v>2115</v>
      </c>
      <c r="I9" s="1413"/>
      <c r="J9" s="1414"/>
      <c r="K9" s="465">
        <f>OpBudget!$J$17</f>
        <v>0.1</v>
      </c>
    </row>
    <row r="10" spans="2:35" s="463" customFormat="1" ht="15" customHeight="1" x14ac:dyDescent="0.2">
      <c r="C10" s="1416" t="s">
        <v>2121</v>
      </c>
      <c r="D10" s="1416"/>
      <c r="E10" s="1417"/>
      <c r="F10" s="465">
        <v>0.02</v>
      </c>
      <c r="H10" s="1413" t="s">
        <v>2116</v>
      </c>
      <c r="I10" s="1413"/>
      <c r="J10" s="1414"/>
      <c r="K10" s="465">
        <f>OpBudget!$J$22</f>
        <v>0</v>
      </c>
    </row>
    <row r="11" spans="2:35" s="463" customFormat="1" ht="15" customHeight="1" x14ac:dyDescent="0.2">
      <c r="C11" s="1416" t="s">
        <v>2122</v>
      </c>
      <c r="D11" s="1416"/>
      <c r="E11" s="1417"/>
      <c r="F11" s="465">
        <v>0.03</v>
      </c>
      <c r="H11" s="1415"/>
      <c r="I11" s="1415"/>
      <c r="J11" s="1415"/>
      <c r="K11" s="466"/>
    </row>
    <row r="12" spans="2:35" s="463" customFormat="1" ht="5.25" customHeight="1" x14ac:dyDescent="0.2"/>
    <row r="13" spans="2:35" s="463" customFormat="1" ht="15" customHeight="1" x14ac:dyDescent="0.2"/>
    <row r="14" spans="2:35" s="463" customFormat="1" ht="15" customHeight="1" x14ac:dyDescent="0.2"/>
    <row r="15" spans="2:35" x14ac:dyDescent="0.2">
      <c r="C15" s="1409"/>
      <c r="D15" s="1409"/>
      <c r="E15" s="340"/>
      <c r="F15" s="1015">
        <v>1</v>
      </c>
      <c r="G15" s="1016">
        <f>F15+1</f>
        <v>2</v>
      </c>
      <c r="H15" s="1016">
        <f t="shared" ref="H15:AI15" si="0">G15+1</f>
        <v>3</v>
      </c>
      <c r="I15" s="1016">
        <f t="shared" si="0"/>
        <v>4</v>
      </c>
      <c r="J15" s="1016">
        <f t="shared" si="0"/>
        <v>5</v>
      </c>
      <c r="K15" s="1016">
        <f t="shared" si="0"/>
        <v>6</v>
      </c>
      <c r="L15" s="1016">
        <f t="shared" si="0"/>
        <v>7</v>
      </c>
      <c r="M15" s="1016">
        <f t="shared" si="0"/>
        <v>8</v>
      </c>
      <c r="N15" s="1016">
        <f t="shared" si="0"/>
        <v>9</v>
      </c>
      <c r="O15" s="1016">
        <f t="shared" si="0"/>
        <v>10</v>
      </c>
      <c r="P15" s="1016">
        <f t="shared" si="0"/>
        <v>11</v>
      </c>
      <c r="Q15" s="1016">
        <f t="shared" si="0"/>
        <v>12</v>
      </c>
      <c r="R15" s="1016">
        <f t="shared" si="0"/>
        <v>13</v>
      </c>
      <c r="S15" s="1016">
        <f t="shared" si="0"/>
        <v>14</v>
      </c>
      <c r="T15" s="1017">
        <f t="shared" si="0"/>
        <v>15</v>
      </c>
      <c r="U15" s="1016">
        <f t="shared" si="0"/>
        <v>16</v>
      </c>
      <c r="V15" s="1016">
        <f t="shared" si="0"/>
        <v>17</v>
      </c>
      <c r="W15" s="1016">
        <f t="shared" si="0"/>
        <v>18</v>
      </c>
      <c r="X15" s="1016">
        <f t="shared" si="0"/>
        <v>19</v>
      </c>
      <c r="Y15" s="1016">
        <f t="shared" si="0"/>
        <v>20</v>
      </c>
      <c r="Z15" s="1016">
        <f t="shared" si="0"/>
        <v>21</v>
      </c>
      <c r="AA15" s="1016">
        <f t="shared" si="0"/>
        <v>22</v>
      </c>
      <c r="AB15" s="1016">
        <f t="shared" si="0"/>
        <v>23</v>
      </c>
      <c r="AC15" s="1016">
        <f t="shared" si="0"/>
        <v>24</v>
      </c>
      <c r="AD15" s="1016">
        <f t="shared" si="0"/>
        <v>25</v>
      </c>
      <c r="AE15" s="1016">
        <f t="shared" si="0"/>
        <v>26</v>
      </c>
      <c r="AF15" s="1016">
        <f t="shared" si="0"/>
        <v>27</v>
      </c>
      <c r="AG15" s="1016">
        <f t="shared" si="0"/>
        <v>28</v>
      </c>
      <c r="AH15" s="1016">
        <f t="shared" si="0"/>
        <v>29</v>
      </c>
      <c r="AI15" s="1018">
        <f t="shared" si="0"/>
        <v>30</v>
      </c>
    </row>
    <row r="16" spans="2:35" x14ac:dyDescent="0.2">
      <c r="C16" s="1410" t="s">
        <v>2105</v>
      </c>
      <c r="D16" s="1410"/>
      <c r="E16" s="1014" t="s">
        <v>2108</v>
      </c>
      <c r="F16" s="1019" t="str">
        <f>IF(Details!$E$171="","",Details!$E$171)</f>
        <v/>
      </c>
      <c r="G16" s="1020" t="str">
        <f>IF($F$16="","",F$16+1)</f>
        <v/>
      </c>
      <c r="H16" s="1020" t="str">
        <f t="shared" ref="H16:AI16" si="1">IF($F$16="","",G$16+1)</f>
        <v/>
      </c>
      <c r="I16" s="1020" t="str">
        <f t="shared" si="1"/>
        <v/>
      </c>
      <c r="J16" s="1020" t="str">
        <f t="shared" si="1"/>
        <v/>
      </c>
      <c r="K16" s="1020" t="str">
        <f t="shared" si="1"/>
        <v/>
      </c>
      <c r="L16" s="1020" t="str">
        <f t="shared" si="1"/>
        <v/>
      </c>
      <c r="M16" s="1020" t="str">
        <f t="shared" si="1"/>
        <v/>
      </c>
      <c r="N16" s="1020" t="str">
        <f t="shared" si="1"/>
        <v/>
      </c>
      <c r="O16" s="1020" t="str">
        <f t="shared" si="1"/>
        <v/>
      </c>
      <c r="P16" s="1020" t="str">
        <f t="shared" si="1"/>
        <v/>
      </c>
      <c r="Q16" s="1020" t="str">
        <f t="shared" si="1"/>
        <v/>
      </c>
      <c r="R16" s="1020" t="str">
        <f t="shared" si="1"/>
        <v/>
      </c>
      <c r="S16" s="1020" t="str">
        <f t="shared" si="1"/>
        <v/>
      </c>
      <c r="T16" s="1021" t="str">
        <f t="shared" si="1"/>
        <v/>
      </c>
      <c r="U16" s="1020" t="str">
        <f t="shared" si="1"/>
        <v/>
      </c>
      <c r="V16" s="1020" t="str">
        <f t="shared" si="1"/>
        <v/>
      </c>
      <c r="W16" s="1020" t="str">
        <f t="shared" si="1"/>
        <v/>
      </c>
      <c r="X16" s="1020" t="str">
        <f t="shared" si="1"/>
        <v/>
      </c>
      <c r="Y16" s="1020" t="str">
        <f t="shared" si="1"/>
        <v/>
      </c>
      <c r="Z16" s="1020" t="str">
        <f t="shared" si="1"/>
        <v/>
      </c>
      <c r="AA16" s="1020" t="str">
        <f t="shared" si="1"/>
        <v/>
      </c>
      <c r="AB16" s="1020" t="str">
        <f t="shared" si="1"/>
        <v/>
      </c>
      <c r="AC16" s="1020" t="str">
        <f t="shared" si="1"/>
        <v/>
      </c>
      <c r="AD16" s="1020" t="str">
        <f t="shared" si="1"/>
        <v/>
      </c>
      <c r="AE16" s="1020" t="str">
        <f t="shared" si="1"/>
        <v/>
      </c>
      <c r="AF16" s="1020" t="str">
        <f t="shared" si="1"/>
        <v/>
      </c>
      <c r="AG16" s="1020" t="str">
        <f t="shared" si="1"/>
        <v/>
      </c>
      <c r="AH16" s="1020" t="str">
        <f t="shared" si="1"/>
        <v/>
      </c>
      <c r="AI16" s="1020" t="str">
        <f t="shared" si="1"/>
        <v/>
      </c>
    </row>
    <row r="17" spans="3:36" ht="15" customHeight="1" x14ac:dyDescent="0.2">
      <c r="C17" s="1406" t="s">
        <v>2107</v>
      </c>
      <c r="D17" s="1408"/>
      <c r="E17" s="468">
        <f>$F$8</f>
        <v>0.02</v>
      </c>
      <c r="F17" s="469">
        <f>Revenue!P94</f>
        <v>0</v>
      </c>
      <c r="G17" s="469">
        <f>F17*(1+$E$17)</f>
        <v>0</v>
      </c>
      <c r="H17" s="469">
        <f t="shared" ref="H17:AI17" si="2">G17*(1+$E$17)</f>
        <v>0</v>
      </c>
      <c r="I17" s="469">
        <f t="shared" si="2"/>
        <v>0</v>
      </c>
      <c r="J17" s="469">
        <f t="shared" si="2"/>
        <v>0</v>
      </c>
      <c r="K17" s="469">
        <f t="shared" si="2"/>
        <v>0</v>
      </c>
      <c r="L17" s="469">
        <f t="shared" si="2"/>
        <v>0</v>
      </c>
      <c r="M17" s="469">
        <f t="shared" si="2"/>
        <v>0</v>
      </c>
      <c r="N17" s="469">
        <f t="shared" si="2"/>
        <v>0</v>
      </c>
      <c r="O17" s="469">
        <f t="shared" si="2"/>
        <v>0</v>
      </c>
      <c r="P17" s="469">
        <f t="shared" si="2"/>
        <v>0</v>
      </c>
      <c r="Q17" s="469">
        <f t="shared" si="2"/>
        <v>0</v>
      </c>
      <c r="R17" s="469">
        <f t="shared" si="2"/>
        <v>0</v>
      </c>
      <c r="S17" s="469">
        <f t="shared" si="2"/>
        <v>0</v>
      </c>
      <c r="T17" s="470">
        <f t="shared" si="2"/>
        <v>0</v>
      </c>
      <c r="U17" s="471">
        <f t="shared" si="2"/>
        <v>0</v>
      </c>
      <c r="V17" s="472">
        <f t="shared" si="2"/>
        <v>0</v>
      </c>
      <c r="W17" s="472">
        <f t="shared" si="2"/>
        <v>0</v>
      </c>
      <c r="X17" s="472">
        <f t="shared" si="2"/>
        <v>0</v>
      </c>
      <c r="Y17" s="472">
        <f t="shared" si="2"/>
        <v>0</v>
      </c>
      <c r="Z17" s="472">
        <f t="shared" si="2"/>
        <v>0</v>
      </c>
      <c r="AA17" s="472">
        <f t="shared" si="2"/>
        <v>0</v>
      </c>
      <c r="AB17" s="472">
        <f t="shared" si="2"/>
        <v>0</v>
      </c>
      <c r="AC17" s="472">
        <f t="shared" si="2"/>
        <v>0</v>
      </c>
      <c r="AD17" s="472">
        <f t="shared" si="2"/>
        <v>0</v>
      </c>
      <c r="AE17" s="472">
        <f t="shared" si="2"/>
        <v>0</v>
      </c>
      <c r="AF17" s="472">
        <f t="shared" si="2"/>
        <v>0</v>
      </c>
      <c r="AG17" s="472">
        <f t="shared" si="2"/>
        <v>0</v>
      </c>
      <c r="AH17" s="472">
        <f t="shared" si="2"/>
        <v>0</v>
      </c>
      <c r="AI17" s="472">
        <f t="shared" si="2"/>
        <v>0</v>
      </c>
      <c r="AJ17" s="473"/>
    </row>
    <row r="18" spans="3:36" ht="15" customHeight="1" x14ac:dyDescent="0.2">
      <c r="C18" s="1406" t="s">
        <v>2109</v>
      </c>
      <c r="D18" s="1408"/>
      <c r="E18" s="468">
        <f>$F$8</f>
        <v>0.02</v>
      </c>
      <c r="F18" s="469">
        <f>SUM(OpBudget!F11:F13)</f>
        <v>0</v>
      </c>
      <c r="G18" s="469">
        <f>F18*(1+$E$18)</f>
        <v>0</v>
      </c>
      <c r="H18" s="469">
        <f t="shared" ref="H18:AI18" si="3">G18*(1+$E$18)</f>
        <v>0</v>
      </c>
      <c r="I18" s="469">
        <f t="shared" si="3"/>
        <v>0</v>
      </c>
      <c r="J18" s="469">
        <f t="shared" si="3"/>
        <v>0</v>
      </c>
      <c r="K18" s="469">
        <f t="shared" si="3"/>
        <v>0</v>
      </c>
      <c r="L18" s="469">
        <f t="shared" si="3"/>
        <v>0</v>
      </c>
      <c r="M18" s="469">
        <f t="shared" si="3"/>
        <v>0</v>
      </c>
      <c r="N18" s="469">
        <f t="shared" si="3"/>
        <v>0</v>
      </c>
      <c r="O18" s="469">
        <f t="shared" si="3"/>
        <v>0</v>
      </c>
      <c r="P18" s="469">
        <f t="shared" si="3"/>
        <v>0</v>
      </c>
      <c r="Q18" s="469">
        <f t="shared" si="3"/>
        <v>0</v>
      </c>
      <c r="R18" s="469">
        <f t="shared" si="3"/>
        <v>0</v>
      </c>
      <c r="S18" s="469">
        <f t="shared" si="3"/>
        <v>0</v>
      </c>
      <c r="T18" s="470">
        <f t="shared" si="3"/>
        <v>0</v>
      </c>
      <c r="U18" s="471">
        <f t="shared" si="3"/>
        <v>0</v>
      </c>
      <c r="V18" s="472">
        <f t="shared" si="3"/>
        <v>0</v>
      </c>
      <c r="W18" s="472">
        <f t="shared" si="3"/>
        <v>0</v>
      </c>
      <c r="X18" s="472">
        <f t="shared" si="3"/>
        <v>0</v>
      </c>
      <c r="Y18" s="472">
        <f t="shared" si="3"/>
        <v>0</v>
      </c>
      <c r="Z18" s="472">
        <f t="shared" si="3"/>
        <v>0</v>
      </c>
      <c r="AA18" s="472">
        <f t="shared" si="3"/>
        <v>0</v>
      </c>
      <c r="AB18" s="472">
        <f t="shared" si="3"/>
        <v>0</v>
      </c>
      <c r="AC18" s="472">
        <f t="shared" si="3"/>
        <v>0</v>
      </c>
      <c r="AD18" s="472">
        <f t="shared" si="3"/>
        <v>0</v>
      </c>
      <c r="AE18" s="472">
        <f t="shared" si="3"/>
        <v>0</v>
      </c>
      <c r="AF18" s="472">
        <f t="shared" si="3"/>
        <v>0</v>
      </c>
      <c r="AG18" s="472">
        <f t="shared" si="3"/>
        <v>0</v>
      </c>
      <c r="AH18" s="472">
        <f t="shared" si="3"/>
        <v>0</v>
      </c>
      <c r="AI18" s="472">
        <f t="shared" si="3"/>
        <v>0</v>
      </c>
      <c r="AJ18" s="473"/>
    </row>
    <row r="19" spans="3:36" ht="15" customHeight="1" x14ac:dyDescent="0.2">
      <c r="C19" s="1406" t="s">
        <v>2112</v>
      </c>
      <c r="D19" s="1407"/>
      <c r="E19" s="474"/>
      <c r="F19" s="469">
        <f>-SUM(F17:F18)*$K$8</f>
        <v>0</v>
      </c>
      <c r="G19" s="469">
        <f t="shared" ref="G19:AI19" si="4">-SUM(G17:G18)*$K$8</f>
        <v>0</v>
      </c>
      <c r="H19" s="469">
        <f t="shared" si="4"/>
        <v>0</v>
      </c>
      <c r="I19" s="469">
        <f t="shared" si="4"/>
        <v>0</v>
      </c>
      <c r="J19" s="469">
        <f t="shared" si="4"/>
        <v>0</v>
      </c>
      <c r="K19" s="469">
        <f t="shared" si="4"/>
        <v>0</v>
      </c>
      <c r="L19" s="469">
        <f t="shared" si="4"/>
        <v>0</v>
      </c>
      <c r="M19" s="469">
        <f t="shared" si="4"/>
        <v>0</v>
      </c>
      <c r="N19" s="469">
        <f t="shared" si="4"/>
        <v>0</v>
      </c>
      <c r="O19" s="469">
        <f t="shared" si="4"/>
        <v>0</v>
      </c>
      <c r="P19" s="469">
        <f t="shared" si="4"/>
        <v>0</v>
      </c>
      <c r="Q19" s="469">
        <f t="shared" si="4"/>
        <v>0</v>
      </c>
      <c r="R19" s="469">
        <f t="shared" si="4"/>
        <v>0</v>
      </c>
      <c r="S19" s="469">
        <f t="shared" si="4"/>
        <v>0</v>
      </c>
      <c r="T19" s="470">
        <f t="shared" si="4"/>
        <v>0</v>
      </c>
      <c r="U19" s="471">
        <f t="shared" si="4"/>
        <v>0</v>
      </c>
      <c r="V19" s="472">
        <f t="shared" si="4"/>
        <v>0</v>
      </c>
      <c r="W19" s="472">
        <f t="shared" si="4"/>
        <v>0</v>
      </c>
      <c r="X19" s="472">
        <f t="shared" si="4"/>
        <v>0</v>
      </c>
      <c r="Y19" s="472">
        <f t="shared" si="4"/>
        <v>0</v>
      </c>
      <c r="Z19" s="472">
        <f t="shared" si="4"/>
        <v>0</v>
      </c>
      <c r="AA19" s="472">
        <f t="shared" si="4"/>
        <v>0</v>
      </c>
      <c r="AB19" s="472">
        <f t="shared" si="4"/>
        <v>0</v>
      </c>
      <c r="AC19" s="472">
        <f t="shared" si="4"/>
        <v>0</v>
      </c>
      <c r="AD19" s="472">
        <f t="shared" si="4"/>
        <v>0</v>
      </c>
      <c r="AE19" s="472">
        <f t="shared" si="4"/>
        <v>0</v>
      </c>
      <c r="AF19" s="472">
        <f t="shared" si="4"/>
        <v>0</v>
      </c>
      <c r="AG19" s="472">
        <f t="shared" si="4"/>
        <v>0</v>
      </c>
      <c r="AH19" s="472">
        <f t="shared" si="4"/>
        <v>0</v>
      </c>
      <c r="AI19" s="472">
        <f t="shared" si="4"/>
        <v>0</v>
      </c>
      <c r="AJ19" s="473"/>
    </row>
    <row r="20" spans="3:36" ht="15" customHeight="1" x14ac:dyDescent="0.2">
      <c r="C20" s="1406" t="s">
        <v>471</v>
      </c>
      <c r="D20" s="1407"/>
      <c r="E20" s="468">
        <f>$F$9</f>
        <v>0.02</v>
      </c>
      <c r="F20" s="469">
        <f>OpBudget!F19</f>
        <v>0</v>
      </c>
      <c r="G20" s="469">
        <f>F20*(1+$E$20)</f>
        <v>0</v>
      </c>
      <c r="H20" s="469">
        <f t="shared" ref="H20:AI20" si="5">G20*(1+$E$20)</f>
        <v>0</v>
      </c>
      <c r="I20" s="469">
        <f t="shared" si="5"/>
        <v>0</v>
      </c>
      <c r="J20" s="469">
        <f t="shared" si="5"/>
        <v>0</v>
      </c>
      <c r="K20" s="469">
        <f t="shared" si="5"/>
        <v>0</v>
      </c>
      <c r="L20" s="469">
        <f t="shared" si="5"/>
        <v>0</v>
      </c>
      <c r="M20" s="469">
        <f t="shared" si="5"/>
        <v>0</v>
      </c>
      <c r="N20" s="469">
        <f t="shared" si="5"/>
        <v>0</v>
      </c>
      <c r="O20" s="469">
        <f t="shared" si="5"/>
        <v>0</v>
      </c>
      <c r="P20" s="469">
        <f t="shared" si="5"/>
        <v>0</v>
      </c>
      <c r="Q20" s="469">
        <f t="shared" si="5"/>
        <v>0</v>
      </c>
      <c r="R20" s="469">
        <f t="shared" si="5"/>
        <v>0</v>
      </c>
      <c r="S20" s="469">
        <f t="shared" si="5"/>
        <v>0</v>
      </c>
      <c r="T20" s="470">
        <f t="shared" si="5"/>
        <v>0</v>
      </c>
      <c r="U20" s="471">
        <f t="shared" si="5"/>
        <v>0</v>
      </c>
      <c r="V20" s="472">
        <f t="shared" si="5"/>
        <v>0</v>
      </c>
      <c r="W20" s="472">
        <f t="shared" si="5"/>
        <v>0</v>
      </c>
      <c r="X20" s="472">
        <f t="shared" si="5"/>
        <v>0</v>
      </c>
      <c r="Y20" s="472">
        <f t="shared" si="5"/>
        <v>0</v>
      </c>
      <c r="Z20" s="472">
        <f t="shared" si="5"/>
        <v>0</v>
      </c>
      <c r="AA20" s="472">
        <f t="shared" si="5"/>
        <v>0</v>
      </c>
      <c r="AB20" s="472">
        <f t="shared" si="5"/>
        <v>0</v>
      </c>
      <c r="AC20" s="472">
        <f t="shared" si="5"/>
        <v>0</v>
      </c>
      <c r="AD20" s="472">
        <f t="shared" si="5"/>
        <v>0</v>
      </c>
      <c r="AE20" s="472">
        <f t="shared" si="5"/>
        <v>0</v>
      </c>
      <c r="AF20" s="472">
        <f t="shared" si="5"/>
        <v>0</v>
      </c>
      <c r="AG20" s="472">
        <f t="shared" si="5"/>
        <v>0</v>
      </c>
      <c r="AH20" s="472">
        <f t="shared" si="5"/>
        <v>0</v>
      </c>
      <c r="AI20" s="472">
        <f t="shared" si="5"/>
        <v>0</v>
      </c>
      <c r="AJ20" s="473"/>
    </row>
    <row r="21" spans="3:36" ht="15" customHeight="1" x14ac:dyDescent="0.2">
      <c r="C21" s="1406" t="s">
        <v>2110</v>
      </c>
      <c r="D21" s="1407"/>
      <c r="E21" s="474"/>
      <c r="F21" s="469">
        <f>-(F20*$K$9)</f>
        <v>0</v>
      </c>
      <c r="G21" s="469">
        <f t="shared" ref="G21:AI21" si="6">-(G20*$K$9)</f>
        <v>0</v>
      </c>
      <c r="H21" s="469">
        <f t="shared" si="6"/>
        <v>0</v>
      </c>
      <c r="I21" s="469">
        <f t="shared" si="6"/>
        <v>0</v>
      </c>
      <c r="J21" s="469">
        <f t="shared" si="6"/>
        <v>0</v>
      </c>
      <c r="K21" s="469">
        <f t="shared" si="6"/>
        <v>0</v>
      </c>
      <c r="L21" s="469">
        <f t="shared" si="6"/>
        <v>0</v>
      </c>
      <c r="M21" s="469">
        <f t="shared" si="6"/>
        <v>0</v>
      </c>
      <c r="N21" s="469">
        <f t="shared" si="6"/>
        <v>0</v>
      </c>
      <c r="O21" s="469">
        <f t="shared" si="6"/>
        <v>0</v>
      </c>
      <c r="P21" s="469">
        <f t="shared" si="6"/>
        <v>0</v>
      </c>
      <c r="Q21" s="469">
        <f t="shared" si="6"/>
        <v>0</v>
      </c>
      <c r="R21" s="469">
        <f t="shared" si="6"/>
        <v>0</v>
      </c>
      <c r="S21" s="469">
        <f t="shared" si="6"/>
        <v>0</v>
      </c>
      <c r="T21" s="470">
        <f t="shared" si="6"/>
        <v>0</v>
      </c>
      <c r="U21" s="471">
        <f t="shared" si="6"/>
        <v>0</v>
      </c>
      <c r="V21" s="472">
        <f t="shared" si="6"/>
        <v>0</v>
      </c>
      <c r="W21" s="472">
        <f t="shared" si="6"/>
        <v>0</v>
      </c>
      <c r="X21" s="472">
        <f t="shared" si="6"/>
        <v>0</v>
      </c>
      <c r="Y21" s="472">
        <f t="shared" si="6"/>
        <v>0</v>
      </c>
      <c r="Z21" s="472">
        <f t="shared" si="6"/>
        <v>0</v>
      </c>
      <c r="AA21" s="472">
        <f t="shared" si="6"/>
        <v>0</v>
      </c>
      <c r="AB21" s="472">
        <f t="shared" si="6"/>
        <v>0</v>
      </c>
      <c r="AC21" s="472">
        <f t="shared" si="6"/>
        <v>0</v>
      </c>
      <c r="AD21" s="472">
        <f t="shared" si="6"/>
        <v>0</v>
      </c>
      <c r="AE21" s="472">
        <f t="shared" si="6"/>
        <v>0</v>
      </c>
      <c r="AF21" s="472">
        <f t="shared" si="6"/>
        <v>0</v>
      </c>
      <c r="AG21" s="472">
        <f t="shared" si="6"/>
        <v>0</v>
      </c>
      <c r="AH21" s="472">
        <f t="shared" si="6"/>
        <v>0</v>
      </c>
      <c r="AI21" s="472">
        <f t="shared" si="6"/>
        <v>0</v>
      </c>
      <c r="AJ21" s="473"/>
    </row>
    <row r="22" spans="3:36" ht="15" customHeight="1" x14ac:dyDescent="0.2">
      <c r="C22" s="1406" t="s">
        <v>588</v>
      </c>
      <c r="D22" s="1408"/>
      <c r="E22" s="468">
        <f>$F$10</f>
        <v>0.02</v>
      </c>
      <c r="F22" s="469">
        <f>OpBudget!F26</f>
        <v>0</v>
      </c>
      <c r="G22" s="469">
        <f>F22*(1+$E$22)</f>
        <v>0</v>
      </c>
      <c r="H22" s="469">
        <f t="shared" ref="H22:AI22" si="7">G22*(1+$E$22)</f>
        <v>0</v>
      </c>
      <c r="I22" s="469">
        <f t="shared" si="7"/>
        <v>0</v>
      </c>
      <c r="J22" s="469">
        <f t="shared" si="7"/>
        <v>0</v>
      </c>
      <c r="K22" s="469">
        <f t="shared" si="7"/>
        <v>0</v>
      </c>
      <c r="L22" s="469">
        <f t="shared" si="7"/>
        <v>0</v>
      </c>
      <c r="M22" s="469">
        <f t="shared" si="7"/>
        <v>0</v>
      </c>
      <c r="N22" s="469">
        <f t="shared" si="7"/>
        <v>0</v>
      </c>
      <c r="O22" s="469">
        <f t="shared" si="7"/>
        <v>0</v>
      </c>
      <c r="P22" s="469">
        <f t="shared" si="7"/>
        <v>0</v>
      </c>
      <c r="Q22" s="469">
        <f t="shared" si="7"/>
        <v>0</v>
      </c>
      <c r="R22" s="469">
        <f t="shared" si="7"/>
        <v>0</v>
      </c>
      <c r="S22" s="469">
        <f t="shared" si="7"/>
        <v>0</v>
      </c>
      <c r="T22" s="470">
        <f t="shared" si="7"/>
        <v>0</v>
      </c>
      <c r="U22" s="471">
        <f t="shared" si="7"/>
        <v>0</v>
      </c>
      <c r="V22" s="472">
        <f t="shared" si="7"/>
        <v>0</v>
      </c>
      <c r="W22" s="472">
        <f t="shared" si="7"/>
        <v>0</v>
      </c>
      <c r="X22" s="472">
        <f t="shared" si="7"/>
        <v>0</v>
      </c>
      <c r="Y22" s="472">
        <f t="shared" si="7"/>
        <v>0</v>
      </c>
      <c r="Z22" s="472">
        <f t="shared" si="7"/>
        <v>0</v>
      </c>
      <c r="AA22" s="472">
        <f t="shared" si="7"/>
        <v>0</v>
      </c>
      <c r="AB22" s="472">
        <f t="shared" si="7"/>
        <v>0</v>
      </c>
      <c r="AC22" s="472">
        <f t="shared" si="7"/>
        <v>0</v>
      </c>
      <c r="AD22" s="472">
        <f t="shared" si="7"/>
        <v>0</v>
      </c>
      <c r="AE22" s="472">
        <f t="shared" si="7"/>
        <v>0</v>
      </c>
      <c r="AF22" s="472">
        <f t="shared" si="7"/>
        <v>0</v>
      </c>
      <c r="AG22" s="472">
        <f t="shared" si="7"/>
        <v>0</v>
      </c>
      <c r="AH22" s="472">
        <f t="shared" si="7"/>
        <v>0</v>
      </c>
      <c r="AI22" s="472">
        <f t="shared" si="7"/>
        <v>0</v>
      </c>
      <c r="AJ22" s="473"/>
    </row>
    <row r="23" spans="3:36" ht="15" customHeight="1" thickBot="1" x14ac:dyDescent="0.25">
      <c r="C23" s="1422" t="s">
        <v>2111</v>
      </c>
      <c r="D23" s="1423"/>
      <c r="E23" s="476"/>
      <c r="F23" s="477">
        <f>-(F22*$K$10)</f>
        <v>0</v>
      </c>
      <c r="G23" s="477">
        <f t="shared" ref="G23:AI23" si="8">-(G22*$K$10)</f>
        <v>0</v>
      </c>
      <c r="H23" s="477">
        <f t="shared" si="8"/>
        <v>0</v>
      </c>
      <c r="I23" s="477">
        <f t="shared" si="8"/>
        <v>0</v>
      </c>
      <c r="J23" s="477">
        <f t="shared" si="8"/>
        <v>0</v>
      </c>
      <c r="K23" s="477">
        <f t="shared" si="8"/>
        <v>0</v>
      </c>
      <c r="L23" s="477">
        <f t="shared" si="8"/>
        <v>0</v>
      </c>
      <c r="M23" s="477">
        <f t="shared" si="8"/>
        <v>0</v>
      </c>
      <c r="N23" s="477">
        <f t="shared" si="8"/>
        <v>0</v>
      </c>
      <c r="O23" s="477">
        <f t="shared" si="8"/>
        <v>0</v>
      </c>
      <c r="P23" s="477">
        <f t="shared" si="8"/>
        <v>0</v>
      </c>
      <c r="Q23" s="477">
        <f t="shared" si="8"/>
        <v>0</v>
      </c>
      <c r="R23" s="477">
        <f t="shared" si="8"/>
        <v>0</v>
      </c>
      <c r="S23" s="477">
        <f t="shared" si="8"/>
        <v>0</v>
      </c>
      <c r="T23" s="478">
        <f t="shared" si="8"/>
        <v>0</v>
      </c>
      <c r="U23" s="499">
        <f t="shared" si="8"/>
        <v>0</v>
      </c>
      <c r="V23" s="539">
        <f t="shared" si="8"/>
        <v>0</v>
      </c>
      <c r="W23" s="539">
        <f t="shared" si="8"/>
        <v>0</v>
      </c>
      <c r="X23" s="539">
        <f t="shared" si="8"/>
        <v>0</v>
      </c>
      <c r="Y23" s="539">
        <f t="shared" si="8"/>
        <v>0</v>
      </c>
      <c r="Z23" s="539">
        <f t="shared" si="8"/>
        <v>0</v>
      </c>
      <c r="AA23" s="539">
        <f t="shared" si="8"/>
        <v>0</v>
      </c>
      <c r="AB23" s="539">
        <f t="shared" si="8"/>
        <v>0</v>
      </c>
      <c r="AC23" s="539">
        <f t="shared" si="8"/>
        <v>0</v>
      </c>
      <c r="AD23" s="539">
        <f t="shared" si="8"/>
        <v>0</v>
      </c>
      <c r="AE23" s="539">
        <f t="shared" si="8"/>
        <v>0</v>
      </c>
      <c r="AF23" s="539">
        <f t="shared" si="8"/>
        <v>0</v>
      </c>
      <c r="AG23" s="539">
        <f t="shared" si="8"/>
        <v>0</v>
      </c>
      <c r="AH23" s="539">
        <f t="shared" si="8"/>
        <v>0</v>
      </c>
      <c r="AI23" s="539">
        <f t="shared" si="8"/>
        <v>0</v>
      </c>
      <c r="AJ23" s="473"/>
    </row>
    <row r="24" spans="3:36" ht="15" customHeight="1" thickTop="1" x14ac:dyDescent="0.2">
      <c r="C24" s="1424" t="s">
        <v>118</v>
      </c>
      <c r="D24" s="1425"/>
      <c r="E24" s="480"/>
      <c r="F24" s="481">
        <f t="shared" ref="F24:AI24" si="9">SUM(F17:F23)</f>
        <v>0</v>
      </c>
      <c r="G24" s="481">
        <f t="shared" si="9"/>
        <v>0</v>
      </c>
      <c r="H24" s="481">
        <f t="shared" si="9"/>
        <v>0</v>
      </c>
      <c r="I24" s="481">
        <f t="shared" si="9"/>
        <v>0</v>
      </c>
      <c r="J24" s="481">
        <f t="shared" si="9"/>
        <v>0</v>
      </c>
      <c r="K24" s="481">
        <f t="shared" si="9"/>
        <v>0</v>
      </c>
      <c r="L24" s="481">
        <f t="shared" si="9"/>
        <v>0</v>
      </c>
      <c r="M24" s="481">
        <f t="shared" si="9"/>
        <v>0</v>
      </c>
      <c r="N24" s="481">
        <f t="shared" si="9"/>
        <v>0</v>
      </c>
      <c r="O24" s="481">
        <f t="shared" si="9"/>
        <v>0</v>
      </c>
      <c r="P24" s="481">
        <f t="shared" si="9"/>
        <v>0</v>
      </c>
      <c r="Q24" s="481">
        <f t="shared" si="9"/>
        <v>0</v>
      </c>
      <c r="R24" s="481">
        <f t="shared" si="9"/>
        <v>0</v>
      </c>
      <c r="S24" s="481">
        <f t="shared" si="9"/>
        <v>0</v>
      </c>
      <c r="T24" s="482">
        <f t="shared" si="9"/>
        <v>0</v>
      </c>
      <c r="U24" s="483">
        <f t="shared" si="9"/>
        <v>0</v>
      </c>
      <c r="V24" s="484">
        <f t="shared" si="9"/>
        <v>0</v>
      </c>
      <c r="W24" s="484">
        <f t="shared" si="9"/>
        <v>0</v>
      </c>
      <c r="X24" s="484">
        <f t="shared" si="9"/>
        <v>0</v>
      </c>
      <c r="Y24" s="484">
        <f t="shared" si="9"/>
        <v>0</v>
      </c>
      <c r="Z24" s="484">
        <f t="shared" si="9"/>
        <v>0</v>
      </c>
      <c r="AA24" s="484">
        <f t="shared" si="9"/>
        <v>0</v>
      </c>
      <c r="AB24" s="484">
        <f t="shared" si="9"/>
        <v>0</v>
      </c>
      <c r="AC24" s="484">
        <f t="shared" si="9"/>
        <v>0</v>
      </c>
      <c r="AD24" s="484">
        <f t="shared" si="9"/>
        <v>0</v>
      </c>
      <c r="AE24" s="484">
        <f t="shared" si="9"/>
        <v>0</v>
      </c>
      <c r="AF24" s="484">
        <f t="shared" si="9"/>
        <v>0</v>
      </c>
      <c r="AG24" s="484">
        <f t="shared" si="9"/>
        <v>0</v>
      </c>
      <c r="AH24" s="484">
        <f t="shared" si="9"/>
        <v>0</v>
      </c>
      <c r="AI24" s="484">
        <f t="shared" si="9"/>
        <v>0</v>
      </c>
      <c r="AJ24" s="473"/>
    </row>
    <row r="25" spans="3:36" ht="15" customHeight="1" x14ac:dyDescent="0.2">
      <c r="C25" s="1437"/>
      <c r="D25" s="1437"/>
      <c r="E25" s="473"/>
      <c r="F25" s="485"/>
      <c r="G25" s="485"/>
      <c r="H25" s="485"/>
      <c r="I25" s="485"/>
      <c r="J25" s="485"/>
      <c r="K25" s="485"/>
      <c r="L25" s="485"/>
      <c r="M25" s="485"/>
      <c r="N25" s="485"/>
      <c r="O25" s="485"/>
      <c r="P25" s="485"/>
      <c r="Q25" s="485"/>
      <c r="R25" s="485"/>
      <c r="S25" s="485"/>
      <c r="T25" s="486"/>
      <c r="U25" s="487"/>
      <c r="V25" s="485"/>
      <c r="W25" s="485"/>
      <c r="X25" s="485"/>
      <c r="Y25" s="485"/>
      <c r="Z25" s="485"/>
      <c r="AA25" s="485"/>
      <c r="AB25" s="485"/>
      <c r="AC25" s="485"/>
      <c r="AD25" s="485"/>
      <c r="AE25" s="485"/>
      <c r="AF25" s="485"/>
      <c r="AG25" s="485"/>
      <c r="AH25" s="485"/>
      <c r="AI25" s="485"/>
      <c r="AJ25" s="473"/>
    </row>
    <row r="26" spans="3:36" ht="15" customHeight="1" x14ac:dyDescent="0.2">
      <c r="C26" s="1427" t="s">
        <v>2106</v>
      </c>
      <c r="D26" s="1427"/>
      <c r="E26" s="1022" t="s">
        <v>2108</v>
      </c>
      <c r="F26" s="485"/>
      <c r="G26" s="485"/>
      <c r="H26" s="485"/>
      <c r="I26" s="485"/>
      <c r="J26" s="485"/>
      <c r="K26" s="485"/>
      <c r="L26" s="485"/>
      <c r="M26" s="485"/>
      <c r="N26" s="485"/>
      <c r="O26" s="485"/>
      <c r="P26" s="485"/>
      <c r="Q26" s="485"/>
      <c r="R26" s="485"/>
      <c r="S26" s="485"/>
      <c r="T26" s="486"/>
      <c r="U26" s="487"/>
      <c r="V26" s="485"/>
      <c r="W26" s="485"/>
      <c r="X26" s="485"/>
      <c r="Y26" s="485"/>
      <c r="Z26" s="485"/>
      <c r="AA26" s="485"/>
      <c r="AB26" s="485"/>
      <c r="AC26" s="485"/>
      <c r="AD26" s="485"/>
      <c r="AE26" s="485"/>
      <c r="AF26" s="485"/>
      <c r="AG26" s="485"/>
      <c r="AH26" s="485"/>
      <c r="AI26" s="485"/>
      <c r="AJ26" s="473"/>
    </row>
    <row r="27" spans="3:36" ht="15" customHeight="1" x14ac:dyDescent="0.2">
      <c r="C27" s="1446" t="s">
        <v>2739</v>
      </c>
      <c r="D27" s="1447"/>
      <c r="E27" s="468">
        <f>$F$11</f>
        <v>0.03</v>
      </c>
      <c r="F27" s="802">
        <f>-OpBudget!F57+OpBudget!F46</f>
        <v>0</v>
      </c>
      <c r="G27" s="469">
        <f>F27*(1+$E27)</f>
        <v>0</v>
      </c>
      <c r="H27" s="469">
        <f t="shared" ref="H27:AI27" si="10">G27*(1+$E$27)</f>
        <v>0</v>
      </c>
      <c r="I27" s="469">
        <f t="shared" si="10"/>
        <v>0</v>
      </c>
      <c r="J27" s="469">
        <f t="shared" si="10"/>
        <v>0</v>
      </c>
      <c r="K27" s="469">
        <f t="shared" si="10"/>
        <v>0</v>
      </c>
      <c r="L27" s="469">
        <f t="shared" si="10"/>
        <v>0</v>
      </c>
      <c r="M27" s="469">
        <f t="shared" si="10"/>
        <v>0</v>
      </c>
      <c r="N27" s="469">
        <f t="shared" si="10"/>
        <v>0</v>
      </c>
      <c r="O27" s="469">
        <f t="shared" si="10"/>
        <v>0</v>
      </c>
      <c r="P27" s="469">
        <f t="shared" si="10"/>
        <v>0</v>
      </c>
      <c r="Q27" s="469">
        <f t="shared" si="10"/>
        <v>0</v>
      </c>
      <c r="R27" s="469">
        <f t="shared" si="10"/>
        <v>0</v>
      </c>
      <c r="S27" s="469">
        <f t="shared" si="10"/>
        <v>0</v>
      </c>
      <c r="T27" s="470">
        <f t="shared" si="10"/>
        <v>0</v>
      </c>
      <c r="U27" s="471">
        <f t="shared" si="10"/>
        <v>0</v>
      </c>
      <c r="V27" s="472">
        <f t="shared" si="10"/>
        <v>0</v>
      </c>
      <c r="W27" s="472">
        <f t="shared" si="10"/>
        <v>0</v>
      </c>
      <c r="X27" s="472">
        <f t="shared" si="10"/>
        <v>0</v>
      </c>
      <c r="Y27" s="472">
        <f t="shared" si="10"/>
        <v>0</v>
      </c>
      <c r="Z27" s="472">
        <f t="shared" si="10"/>
        <v>0</v>
      </c>
      <c r="AA27" s="472">
        <f t="shared" si="10"/>
        <v>0</v>
      </c>
      <c r="AB27" s="472">
        <f t="shared" si="10"/>
        <v>0</v>
      </c>
      <c r="AC27" s="472">
        <f t="shared" si="10"/>
        <v>0</v>
      </c>
      <c r="AD27" s="472">
        <f t="shared" si="10"/>
        <v>0</v>
      </c>
      <c r="AE27" s="472">
        <f t="shared" si="10"/>
        <v>0</v>
      </c>
      <c r="AF27" s="472">
        <f t="shared" si="10"/>
        <v>0</v>
      </c>
      <c r="AG27" s="472">
        <f t="shared" si="10"/>
        <v>0</v>
      </c>
      <c r="AH27" s="472">
        <f t="shared" si="10"/>
        <v>0</v>
      </c>
      <c r="AI27" s="472">
        <f t="shared" si="10"/>
        <v>0</v>
      </c>
      <c r="AJ27" s="473"/>
    </row>
    <row r="28" spans="3:36" ht="15" customHeight="1" x14ac:dyDescent="0.2">
      <c r="C28" s="1446" t="s">
        <v>2740</v>
      </c>
      <c r="D28" s="1447"/>
      <c r="E28" s="468">
        <f t="shared" ref="E28:E35" si="11">$F$11</f>
        <v>0.03</v>
      </c>
      <c r="F28" s="802">
        <f>OpBudget!F113</f>
        <v>0</v>
      </c>
      <c r="G28" s="469">
        <f>F28*(1+$E28)</f>
        <v>0</v>
      </c>
      <c r="H28" s="469">
        <f t="shared" ref="H28:V28" si="12">G28*(1+$E28)</f>
        <v>0</v>
      </c>
      <c r="I28" s="469">
        <f t="shared" si="12"/>
        <v>0</v>
      </c>
      <c r="J28" s="469">
        <f t="shared" si="12"/>
        <v>0</v>
      </c>
      <c r="K28" s="469">
        <f t="shared" si="12"/>
        <v>0</v>
      </c>
      <c r="L28" s="469">
        <f t="shared" si="12"/>
        <v>0</v>
      </c>
      <c r="M28" s="469">
        <f t="shared" si="12"/>
        <v>0</v>
      </c>
      <c r="N28" s="469">
        <f t="shared" si="12"/>
        <v>0</v>
      </c>
      <c r="O28" s="469">
        <f t="shared" si="12"/>
        <v>0</v>
      </c>
      <c r="P28" s="469">
        <f t="shared" si="12"/>
        <v>0</v>
      </c>
      <c r="Q28" s="469">
        <f t="shared" si="12"/>
        <v>0</v>
      </c>
      <c r="R28" s="469">
        <f t="shared" si="12"/>
        <v>0</v>
      </c>
      <c r="S28" s="469">
        <f t="shared" si="12"/>
        <v>0</v>
      </c>
      <c r="T28" s="470">
        <f t="shared" si="12"/>
        <v>0</v>
      </c>
      <c r="U28" s="471">
        <f t="shared" si="12"/>
        <v>0</v>
      </c>
      <c r="V28" s="472">
        <f t="shared" si="12"/>
        <v>0</v>
      </c>
      <c r="W28" s="472">
        <f t="shared" ref="H28:AI35" si="13">V28*(1+$E28)</f>
        <v>0</v>
      </c>
      <c r="X28" s="472">
        <f t="shared" si="13"/>
        <v>0</v>
      </c>
      <c r="Y28" s="472">
        <f t="shared" si="13"/>
        <v>0</v>
      </c>
      <c r="Z28" s="472">
        <f t="shared" si="13"/>
        <v>0</v>
      </c>
      <c r="AA28" s="472">
        <f t="shared" si="13"/>
        <v>0</v>
      </c>
      <c r="AB28" s="472">
        <f t="shared" si="13"/>
        <v>0</v>
      </c>
      <c r="AC28" s="472">
        <f t="shared" si="13"/>
        <v>0</v>
      </c>
      <c r="AD28" s="472">
        <f t="shared" si="13"/>
        <v>0</v>
      </c>
      <c r="AE28" s="472">
        <f t="shared" si="13"/>
        <v>0</v>
      </c>
      <c r="AF28" s="472">
        <f t="shared" si="13"/>
        <v>0</v>
      </c>
      <c r="AG28" s="472">
        <f t="shared" si="13"/>
        <v>0</v>
      </c>
      <c r="AH28" s="472">
        <f t="shared" si="13"/>
        <v>0</v>
      </c>
      <c r="AI28" s="472">
        <f t="shared" si="13"/>
        <v>0</v>
      </c>
      <c r="AJ28" s="473"/>
    </row>
    <row r="29" spans="3:36" ht="15" customHeight="1" x14ac:dyDescent="0.2">
      <c r="C29" s="1446" t="s">
        <v>2741</v>
      </c>
      <c r="D29" s="1447"/>
      <c r="E29" s="468">
        <f t="shared" si="11"/>
        <v>0.03</v>
      </c>
      <c r="F29" s="802">
        <f>-OpBudget!F68</f>
        <v>0</v>
      </c>
      <c r="G29" s="469">
        <f>F29*(1+$E29)</f>
        <v>0</v>
      </c>
      <c r="H29" s="469">
        <f t="shared" si="13"/>
        <v>0</v>
      </c>
      <c r="I29" s="469">
        <f t="shared" si="13"/>
        <v>0</v>
      </c>
      <c r="J29" s="469">
        <f t="shared" si="13"/>
        <v>0</v>
      </c>
      <c r="K29" s="469">
        <f t="shared" si="13"/>
        <v>0</v>
      </c>
      <c r="L29" s="469">
        <f t="shared" si="13"/>
        <v>0</v>
      </c>
      <c r="M29" s="469">
        <f t="shared" si="13"/>
        <v>0</v>
      </c>
      <c r="N29" s="469">
        <f t="shared" si="13"/>
        <v>0</v>
      </c>
      <c r="O29" s="469">
        <f t="shared" si="13"/>
        <v>0</v>
      </c>
      <c r="P29" s="469">
        <f t="shared" si="13"/>
        <v>0</v>
      </c>
      <c r="Q29" s="469">
        <f t="shared" si="13"/>
        <v>0</v>
      </c>
      <c r="R29" s="469">
        <f t="shared" si="13"/>
        <v>0</v>
      </c>
      <c r="S29" s="469">
        <f t="shared" si="13"/>
        <v>0</v>
      </c>
      <c r="T29" s="470">
        <f t="shared" si="13"/>
        <v>0</v>
      </c>
      <c r="U29" s="471">
        <f t="shared" si="13"/>
        <v>0</v>
      </c>
      <c r="V29" s="472">
        <f t="shared" si="13"/>
        <v>0</v>
      </c>
      <c r="W29" s="472">
        <f t="shared" si="13"/>
        <v>0</v>
      </c>
      <c r="X29" s="472">
        <f t="shared" si="13"/>
        <v>0</v>
      </c>
      <c r="Y29" s="472">
        <f t="shared" si="13"/>
        <v>0</v>
      </c>
      <c r="Z29" s="472">
        <f t="shared" si="13"/>
        <v>0</v>
      </c>
      <c r="AA29" s="472">
        <f t="shared" si="13"/>
        <v>0</v>
      </c>
      <c r="AB29" s="472">
        <f t="shared" si="13"/>
        <v>0</v>
      </c>
      <c r="AC29" s="472">
        <f t="shared" si="13"/>
        <v>0</v>
      </c>
      <c r="AD29" s="472">
        <f t="shared" si="13"/>
        <v>0</v>
      </c>
      <c r="AE29" s="472">
        <f t="shared" si="13"/>
        <v>0</v>
      </c>
      <c r="AF29" s="472">
        <f t="shared" si="13"/>
        <v>0</v>
      </c>
      <c r="AG29" s="472">
        <f t="shared" si="13"/>
        <v>0</v>
      </c>
      <c r="AH29" s="472">
        <f t="shared" si="13"/>
        <v>0</v>
      </c>
      <c r="AI29" s="472">
        <f t="shared" si="13"/>
        <v>0</v>
      </c>
      <c r="AJ29" s="473"/>
    </row>
    <row r="30" spans="3:36" ht="15" customHeight="1" x14ac:dyDescent="0.2">
      <c r="C30" s="1446" t="s">
        <v>2742</v>
      </c>
      <c r="D30" s="1447"/>
      <c r="E30" s="468">
        <f t="shared" si="11"/>
        <v>0.03</v>
      </c>
      <c r="F30" s="802">
        <f>-OpBudget!F88</f>
        <v>0</v>
      </c>
      <c r="G30" s="469">
        <f>F30*(1+$E30)</f>
        <v>0</v>
      </c>
      <c r="H30" s="469">
        <f t="shared" si="13"/>
        <v>0</v>
      </c>
      <c r="I30" s="469">
        <f t="shared" si="13"/>
        <v>0</v>
      </c>
      <c r="J30" s="469">
        <f t="shared" si="13"/>
        <v>0</v>
      </c>
      <c r="K30" s="469">
        <f t="shared" si="13"/>
        <v>0</v>
      </c>
      <c r="L30" s="469">
        <f t="shared" si="13"/>
        <v>0</v>
      </c>
      <c r="M30" s="469">
        <f t="shared" si="13"/>
        <v>0</v>
      </c>
      <c r="N30" s="469">
        <f t="shared" si="13"/>
        <v>0</v>
      </c>
      <c r="O30" s="469">
        <f t="shared" si="13"/>
        <v>0</v>
      </c>
      <c r="P30" s="469">
        <f t="shared" si="13"/>
        <v>0</v>
      </c>
      <c r="Q30" s="469">
        <f t="shared" si="13"/>
        <v>0</v>
      </c>
      <c r="R30" s="469">
        <f t="shared" si="13"/>
        <v>0</v>
      </c>
      <c r="S30" s="469">
        <f t="shared" si="13"/>
        <v>0</v>
      </c>
      <c r="T30" s="470">
        <f t="shared" si="13"/>
        <v>0</v>
      </c>
      <c r="U30" s="471">
        <f t="shared" si="13"/>
        <v>0</v>
      </c>
      <c r="V30" s="472">
        <f t="shared" si="13"/>
        <v>0</v>
      </c>
      <c r="W30" s="472">
        <f t="shared" si="13"/>
        <v>0</v>
      </c>
      <c r="X30" s="472">
        <f t="shared" si="13"/>
        <v>0</v>
      </c>
      <c r="Y30" s="472">
        <f t="shared" si="13"/>
        <v>0</v>
      </c>
      <c r="Z30" s="472">
        <f t="shared" si="13"/>
        <v>0</v>
      </c>
      <c r="AA30" s="472">
        <f t="shared" si="13"/>
        <v>0</v>
      </c>
      <c r="AB30" s="472">
        <f t="shared" si="13"/>
        <v>0</v>
      </c>
      <c r="AC30" s="472">
        <f t="shared" si="13"/>
        <v>0</v>
      </c>
      <c r="AD30" s="472">
        <f t="shared" si="13"/>
        <v>0</v>
      </c>
      <c r="AE30" s="472">
        <f t="shared" si="13"/>
        <v>0</v>
      </c>
      <c r="AF30" s="472">
        <f t="shared" si="13"/>
        <v>0</v>
      </c>
      <c r="AG30" s="472">
        <f t="shared" si="13"/>
        <v>0</v>
      </c>
      <c r="AH30" s="472">
        <f t="shared" si="13"/>
        <v>0</v>
      </c>
      <c r="AI30" s="472">
        <f t="shared" si="13"/>
        <v>0</v>
      </c>
      <c r="AJ30" s="473"/>
    </row>
    <row r="31" spans="3:36" ht="15" customHeight="1" x14ac:dyDescent="0.2">
      <c r="C31" s="1446" t="s">
        <v>2749</v>
      </c>
      <c r="D31" s="1447"/>
      <c r="E31" s="468">
        <f t="shared" si="11"/>
        <v>0.03</v>
      </c>
      <c r="F31" s="802">
        <f>-OpBudget!F91</f>
        <v>0</v>
      </c>
      <c r="G31" s="469">
        <f>F31*(1+$E31)</f>
        <v>0</v>
      </c>
      <c r="H31" s="469">
        <f t="shared" si="13"/>
        <v>0</v>
      </c>
      <c r="I31" s="469">
        <f t="shared" si="13"/>
        <v>0</v>
      </c>
      <c r="J31" s="469">
        <f t="shared" si="13"/>
        <v>0</v>
      </c>
      <c r="K31" s="469">
        <f t="shared" si="13"/>
        <v>0</v>
      </c>
      <c r="L31" s="469">
        <f t="shared" si="13"/>
        <v>0</v>
      </c>
      <c r="M31" s="469">
        <f t="shared" si="13"/>
        <v>0</v>
      </c>
      <c r="N31" s="469">
        <f t="shared" si="13"/>
        <v>0</v>
      </c>
      <c r="O31" s="469">
        <f t="shared" si="13"/>
        <v>0</v>
      </c>
      <c r="P31" s="469">
        <f t="shared" si="13"/>
        <v>0</v>
      </c>
      <c r="Q31" s="469">
        <f t="shared" si="13"/>
        <v>0</v>
      </c>
      <c r="R31" s="469">
        <f t="shared" si="13"/>
        <v>0</v>
      </c>
      <c r="S31" s="469">
        <f t="shared" si="13"/>
        <v>0</v>
      </c>
      <c r="T31" s="470">
        <f t="shared" si="13"/>
        <v>0</v>
      </c>
      <c r="U31" s="471">
        <f t="shared" si="13"/>
        <v>0</v>
      </c>
      <c r="V31" s="472">
        <f t="shared" si="13"/>
        <v>0</v>
      </c>
      <c r="W31" s="472">
        <f t="shared" si="13"/>
        <v>0</v>
      </c>
      <c r="X31" s="472">
        <f t="shared" si="13"/>
        <v>0</v>
      </c>
      <c r="Y31" s="472">
        <f t="shared" si="13"/>
        <v>0</v>
      </c>
      <c r="Z31" s="472">
        <f t="shared" si="13"/>
        <v>0</v>
      </c>
      <c r="AA31" s="472">
        <f t="shared" si="13"/>
        <v>0</v>
      </c>
      <c r="AB31" s="472">
        <f t="shared" si="13"/>
        <v>0</v>
      </c>
      <c r="AC31" s="472">
        <f t="shared" si="13"/>
        <v>0</v>
      </c>
      <c r="AD31" s="472">
        <f t="shared" si="13"/>
        <v>0</v>
      </c>
      <c r="AE31" s="472">
        <f t="shared" si="13"/>
        <v>0</v>
      </c>
      <c r="AF31" s="472">
        <f t="shared" si="13"/>
        <v>0</v>
      </c>
      <c r="AG31" s="472">
        <f t="shared" si="13"/>
        <v>0</v>
      </c>
      <c r="AH31" s="472">
        <f t="shared" si="13"/>
        <v>0</v>
      </c>
      <c r="AI31" s="472">
        <f t="shared" si="13"/>
        <v>0</v>
      </c>
      <c r="AJ31" s="473"/>
    </row>
    <row r="32" spans="3:36" ht="15" customHeight="1" x14ac:dyDescent="0.2">
      <c r="C32" s="1446" t="s">
        <v>2744</v>
      </c>
      <c r="D32" s="1447"/>
      <c r="E32" s="474"/>
      <c r="F32" s="488"/>
      <c r="G32" s="489"/>
      <c r="H32" s="489"/>
      <c r="I32" s="489"/>
      <c r="J32" s="489"/>
      <c r="K32" s="489"/>
      <c r="L32" s="489"/>
      <c r="M32" s="489"/>
      <c r="N32" s="489"/>
      <c r="O32" s="489"/>
      <c r="P32" s="489"/>
      <c r="Q32" s="489"/>
      <c r="R32" s="489"/>
      <c r="S32" s="489"/>
      <c r="T32" s="490"/>
      <c r="U32" s="491"/>
      <c r="V32" s="489"/>
      <c r="W32" s="489"/>
      <c r="X32" s="489"/>
      <c r="Y32" s="489"/>
      <c r="Z32" s="489"/>
      <c r="AA32" s="489"/>
      <c r="AB32" s="489"/>
      <c r="AC32" s="489"/>
      <c r="AD32" s="489"/>
      <c r="AE32" s="489"/>
      <c r="AF32" s="489"/>
      <c r="AG32" s="489"/>
      <c r="AH32" s="489"/>
      <c r="AI32" s="489"/>
      <c r="AJ32" s="473"/>
    </row>
    <row r="33" spans="3:36" ht="15" customHeight="1" x14ac:dyDescent="0.2">
      <c r="C33" s="1446" t="s">
        <v>2745</v>
      </c>
      <c r="D33" s="1447"/>
      <c r="E33" s="468">
        <f t="shared" si="11"/>
        <v>0.03</v>
      </c>
      <c r="F33" s="802">
        <f>-OpBudget!F93</f>
        <v>0</v>
      </c>
      <c r="G33" s="469">
        <f>F33*(1+$E33)</f>
        <v>0</v>
      </c>
      <c r="H33" s="469">
        <f t="shared" si="13"/>
        <v>0</v>
      </c>
      <c r="I33" s="469">
        <f t="shared" si="13"/>
        <v>0</v>
      </c>
      <c r="J33" s="469">
        <f t="shared" si="13"/>
        <v>0</v>
      </c>
      <c r="K33" s="469">
        <f t="shared" si="13"/>
        <v>0</v>
      </c>
      <c r="L33" s="469">
        <f t="shared" si="13"/>
        <v>0</v>
      </c>
      <c r="M33" s="469">
        <f t="shared" si="13"/>
        <v>0</v>
      </c>
      <c r="N33" s="469">
        <f t="shared" si="13"/>
        <v>0</v>
      </c>
      <c r="O33" s="469">
        <f t="shared" si="13"/>
        <v>0</v>
      </c>
      <c r="P33" s="469">
        <f t="shared" si="13"/>
        <v>0</v>
      </c>
      <c r="Q33" s="469">
        <f t="shared" si="13"/>
        <v>0</v>
      </c>
      <c r="R33" s="469">
        <f t="shared" si="13"/>
        <v>0</v>
      </c>
      <c r="S33" s="469">
        <f t="shared" si="13"/>
        <v>0</v>
      </c>
      <c r="T33" s="470">
        <f t="shared" si="13"/>
        <v>0</v>
      </c>
      <c r="U33" s="471">
        <f t="shared" si="13"/>
        <v>0</v>
      </c>
      <c r="V33" s="472">
        <f t="shared" si="13"/>
        <v>0</v>
      </c>
      <c r="W33" s="472">
        <f t="shared" si="13"/>
        <v>0</v>
      </c>
      <c r="X33" s="472">
        <f t="shared" si="13"/>
        <v>0</v>
      </c>
      <c r="Y33" s="472">
        <f t="shared" si="13"/>
        <v>0</v>
      </c>
      <c r="Z33" s="472">
        <f t="shared" si="13"/>
        <v>0</v>
      </c>
      <c r="AA33" s="472">
        <f t="shared" si="13"/>
        <v>0</v>
      </c>
      <c r="AB33" s="472">
        <f t="shared" si="13"/>
        <v>0</v>
      </c>
      <c r="AC33" s="472">
        <f t="shared" si="13"/>
        <v>0</v>
      </c>
      <c r="AD33" s="472">
        <f t="shared" si="13"/>
        <v>0</v>
      </c>
      <c r="AE33" s="472">
        <f t="shared" si="13"/>
        <v>0</v>
      </c>
      <c r="AF33" s="472">
        <f t="shared" si="13"/>
        <v>0</v>
      </c>
      <c r="AG33" s="472">
        <f t="shared" si="13"/>
        <v>0</v>
      </c>
      <c r="AH33" s="472">
        <f t="shared" si="13"/>
        <v>0</v>
      </c>
      <c r="AI33" s="472">
        <f t="shared" si="13"/>
        <v>0</v>
      </c>
      <c r="AJ33" s="473"/>
    </row>
    <row r="34" spans="3:36" ht="15" customHeight="1" x14ac:dyDescent="0.2">
      <c r="C34" s="1446" t="s">
        <v>2746</v>
      </c>
      <c r="D34" s="1447"/>
      <c r="E34" s="468">
        <f t="shared" si="11"/>
        <v>0.03</v>
      </c>
      <c r="F34" s="802">
        <f>-OpBudget!F101+OpBudget!F93+OpBudget!F91</f>
        <v>0</v>
      </c>
      <c r="G34" s="469">
        <f>F34*(1+$E34)</f>
        <v>0</v>
      </c>
      <c r="H34" s="469">
        <f t="shared" si="13"/>
        <v>0</v>
      </c>
      <c r="I34" s="469">
        <f t="shared" si="13"/>
        <v>0</v>
      </c>
      <c r="J34" s="469">
        <f t="shared" si="13"/>
        <v>0</v>
      </c>
      <c r="K34" s="469">
        <f t="shared" si="13"/>
        <v>0</v>
      </c>
      <c r="L34" s="469">
        <f t="shared" si="13"/>
        <v>0</v>
      </c>
      <c r="M34" s="469">
        <f t="shared" si="13"/>
        <v>0</v>
      </c>
      <c r="N34" s="469">
        <f t="shared" si="13"/>
        <v>0</v>
      </c>
      <c r="O34" s="469">
        <f t="shared" si="13"/>
        <v>0</v>
      </c>
      <c r="P34" s="469">
        <f t="shared" si="13"/>
        <v>0</v>
      </c>
      <c r="Q34" s="469">
        <f t="shared" si="13"/>
        <v>0</v>
      </c>
      <c r="R34" s="469">
        <f t="shared" si="13"/>
        <v>0</v>
      </c>
      <c r="S34" s="469">
        <f t="shared" si="13"/>
        <v>0</v>
      </c>
      <c r="T34" s="470">
        <f t="shared" si="13"/>
        <v>0</v>
      </c>
      <c r="U34" s="471">
        <f t="shared" si="13"/>
        <v>0</v>
      </c>
      <c r="V34" s="472">
        <f t="shared" si="13"/>
        <v>0</v>
      </c>
      <c r="W34" s="472">
        <f t="shared" si="13"/>
        <v>0</v>
      </c>
      <c r="X34" s="472">
        <f t="shared" si="13"/>
        <v>0</v>
      </c>
      <c r="Y34" s="472">
        <f t="shared" si="13"/>
        <v>0</v>
      </c>
      <c r="Z34" s="472">
        <f t="shared" si="13"/>
        <v>0</v>
      </c>
      <c r="AA34" s="472">
        <f t="shared" si="13"/>
        <v>0</v>
      </c>
      <c r="AB34" s="472">
        <f t="shared" si="13"/>
        <v>0</v>
      </c>
      <c r="AC34" s="472">
        <f t="shared" si="13"/>
        <v>0</v>
      </c>
      <c r="AD34" s="472">
        <f t="shared" si="13"/>
        <v>0</v>
      </c>
      <c r="AE34" s="472">
        <f t="shared" si="13"/>
        <v>0</v>
      </c>
      <c r="AF34" s="472">
        <f t="shared" si="13"/>
        <v>0</v>
      </c>
      <c r="AG34" s="472">
        <f t="shared" si="13"/>
        <v>0</v>
      </c>
      <c r="AH34" s="472">
        <f t="shared" si="13"/>
        <v>0</v>
      </c>
      <c r="AI34" s="472">
        <f t="shared" si="13"/>
        <v>0</v>
      </c>
      <c r="AJ34" s="473"/>
    </row>
    <row r="35" spans="3:36" ht="15" customHeight="1" x14ac:dyDescent="0.2">
      <c r="C35" s="1439" t="s">
        <v>2747</v>
      </c>
      <c r="D35" s="1439"/>
      <c r="E35" s="468">
        <f t="shared" si="11"/>
        <v>0.03</v>
      </c>
      <c r="F35" s="802">
        <f>-OpBudget!F108</f>
        <v>0</v>
      </c>
      <c r="G35" s="469">
        <f>F35*(1+$E35)</f>
        <v>0</v>
      </c>
      <c r="H35" s="469">
        <f t="shared" si="13"/>
        <v>0</v>
      </c>
      <c r="I35" s="469">
        <f t="shared" si="13"/>
        <v>0</v>
      </c>
      <c r="J35" s="469">
        <f t="shared" si="13"/>
        <v>0</v>
      </c>
      <c r="K35" s="469">
        <f t="shared" si="13"/>
        <v>0</v>
      </c>
      <c r="L35" s="469">
        <f t="shared" si="13"/>
        <v>0</v>
      </c>
      <c r="M35" s="469">
        <f t="shared" si="13"/>
        <v>0</v>
      </c>
      <c r="N35" s="469">
        <f t="shared" si="13"/>
        <v>0</v>
      </c>
      <c r="O35" s="469">
        <f t="shared" si="13"/>
        <v>0</v>
      </c>
      <c r="P35" s="469">
        <f t="shared" si="13"/>
        <v>0</v>
      </c>
      <c r="Q35" s="469">
        <f t="shared" si="13"/>
        <v>0</v>
      </c>
      <c r="R35" s="469">
        <f t="shared" si="13"/>
        <v>0</v>
      </c>
      <c r="S35" s="469">
        <f t="shared" si="13"/>
        <v>0</v>
      </c>
      <c r="T35" s="470">
        <f t="shared" si="13"/>
        <v>0</v>
      </c>
      <c r="U35" s="471">
        <f t="shared" si="13"/>
        <v>0</v>
      </c>
      <c r="V35" s="472">
        <f t="shared" si="13"/>
        <v>0</v>
      </c>
      <c r="W35" s="472">
        <f t="shared" si="13"/>
        <v>0</v>
      </c>
      <c r="X35" s="472">
        <f t="shared" si="13"/>
        <v>0</v>
      </c>
      <c r="Y35" s="472">
        <f t="shared" si="13"/>
        <v>0</v>
      </c>
      <c r="Z35" s="472">
        <f t="shared" si="13"/>
        <v>0</v>
      </c>
      <c r="AA35" s="472">
        <f t="shared" si="13"/>
        <v>0</v>
      </c>
      <c r="AB35" s="472">
        <f t="shared" si="13"/>
        <v>0</v>
      </c>
      <c r="AC35" s="472">
        <f t="shared" si="13"/>
        <v>0</v>
      </c>
      <c r="AD35" s="472">
        <f t="shared" si="13"/>
        <v>0</v>
      </c>
      <c r="AE35" s="472">
        <f t="shared" si="13"/>
        <v>0</v>
      </c>
      <c r="AF35" s="472">
        <f t="shared" si="13"/>
        <v>0</v>
      </c>
      <c r="AG35" s="472">
        <f t="shared" si="13"/>
        <v>0</v>
      </c>
      <c r="AH35" s="472">
        <f t="shared" si="13"/>
        <v>0</v>
      </c>
      <c r="AI35" s="472">
        <f t="shared" si="13"/>
        <v>0</v>
      </c>
      <c r="AJ35" s="473"/>
    </row>
    <row r="36" spans="3:36" ht="15" customHeight="1" thickBot="1" x14ac:dyDescent="0.25">
      <c r="C36" s="1426" t="s">
        <v>435</v>
      </c>
      <c r="D36" s="1426"/>
      <c r="E36" s="476"/>
      <c r="F36" s="492"/>
      <c r="G36" s="492"/>
      <c r="H36" s="492"/>
      <c r="I36" s="492"/>
      <c r="J36" s="492"/>
      <c r="K36" s="492"/>
      <c r="L36" s="492"/>
      <c r="M36" s="492"/>
      <c r="N36" s="492"/>
      <c r="O36" s="492"/>
      <c r="P36" s="492"/>
      <c r="Q36" s="492"/>
      <c r="R36" s="492"/>
      <c r="S36" s="492"/>
      <c r="T36" s="493"/>
      <c r="U36" s="494"/>
      <c r="V36" s="492"/>
      <c r="W36" s="492"/>
      <c r="X36" s="492"/>
      <c r="Y36" s="492"/>
      <c r="Z36" s="492"/>
      <c r="AA36" s="492"/>
      <c r="AB36" s="492"/>
      <c r="AC36" s="492"/>
      <c r="AD36" s="492"/>
      <c r="AE36" s="492"/>
      <c r="AF36" s="492"/>
      <c r="AG36" s="492"/>
      <c r="AH36" s="492"/>
      <c r="AI36" s="492"/>
      <c r="AJ36" s="473"/>
    </row>
    <row r="37" spans="3:36" ht="15" customHeight="1" thickTop="1" x14ac:dyDescent="0.2">
      <c r="C37" s="1436" t="s">
        <v>334</v>
      </c>
      <c r="D37" s="1436"/>
      <c r="E37" s="480"/>
      <c r="F37" s="481">
        <f>SUM(F27:F36)</f>
        <v>0</v>
      </c>
      <c r="G37" s="481">
        <f t="shared" ref="G37:AI37" si="14">SUM(G27:G36)</f>
        <v>0</v>
      </c>
      <c r="H37" s="481">
        <f t="shared" si="14"/>
        <v>0</v>
      </c>
      <c r="I37" s="481">
        <f t="shared" si="14"/>
        <v>0</v>
      </c>
      <c r="J37" s="481">
        <f t="shared" si="14"/>
        <v>0</v>
      </c>
      <c r="K37" s="481">
        <f t="shared" si="14"/>
        <v>0</v>
      </c>
      <c r="L37" s="481">
        <f t="shared" si="14"/>
        <v>0</v>
      </c>
      <c r="M37" s="481">
        <f t="shared" si="14"/>
        <v>0</v>
      </c>
      <c r="N37" s="481">
        <f t="shared" si="14"/>
        <v>0</v>
      </c>
      <c r="O37" s="481">
        <f t="shared" si="14"/>
        <v>0</v>
      </c>
      <c r="P37" s="481">
        <f t="shared" si="14"/>
        <v>0</v>
      </c>
      <c r="Q37" s="481">
        <f t="shared" si="14"/>
        <v>0</v>
      </c>
      <c r="R37" s="481">
        <f t="shared" si="14"/>
        <v>0</v>
      </c>
      <c r="S37" s="481">
        <f t="shared" si="14"/>
        <v>0</v>
      </c>
      <c r="T37" s="482">
        <f t="shared" si="14"/>
        <v>0</v>
      </c>
      <c r="U37" s="483">
        <f t="shared" si="14"/>
        <v>0</v>
      </c>
      <c r="V37" s="484">
        <f t="shared" si="14"/>
        <v>0</v>
      </c>
      <c r="W37" s="484">
        <f t="shared" si="14"/>
        <v>0</v>
      </c>
      <c r="X37" s="484">
        <f t="shared" si="14"/>
        <v>0</v>
      </c>
      <c r="Y37" s="484">
        <f t="shared" si="14"/>
        <v>0</v>
      </c>
      <c r="Z37" s="484">
        <f t="shared" si="14"/>
        <v>0</v>
      </c>
      <c r="AA37" s="484">
        <f t="shared" si="14"/>
        <v>0</v>
      </c>
      <c r="AB37" s="484">
        <f t="shared" si="14"/>
        <v>0</v>
      </c>
      <c r="AC37" s="484">
        <f t="shared" si="14"/>
        <v>0</v>
      </c>
      <c r="AD37" s="484">
        <f t="shared" si="14"/>
        <v>0</v>
      </c>
      <c r="AE37" s="484">
        <f t="shared" si="14"/>
        <v>0</v>
      </c>
      <c r="AF37" s="484">
        <f t="shared" si="14"/>
        <v>0</v>
      </c>
      <c r="AG37" s="484">
        <f t="shared" si="14"/>
        <v>0</v>
      </c>
      <c r="AH37" s="484">
        <f t="shared" si="14"/>
        <v>0</v>
      </c>
      <c r="AI37" s="484">
        <f t="shared" si="14"/>
        <v>0</v>
      </c>
      <c r="AJ37" s="473"/>
    </row>
    <row r="38" spans="3:36" ht="15" customHeight="1" x14ac:dyDescent="0.2">
      <c r="C38" s="1437"/>
      <c r="D38" s="1437"/>
      <c r="E38" s="473"/>
      <c r="F38" s="485"/>
      <c r="G38" s="485"/>
      <c r="H38" s="485"/>
      <c r="I38" s="485"/>
      <c r="J38" s="485"/>
      <c r="K38" s="485"/>
      <c r="L38" s="485"/>
      <c r="M38" s="485"/>
      <c r="N38" s="485"/>
      <c r="O38" s="485"/>
      <c r="P38" s="485"/>
      <c r="Q38" s="485"/>
      <c r="R38" s="485"/>
      <c r="S38" s="485"/>
      <c r="T38" s="486"/>
      <c r="U38" s="487"/>
      <c r="V38" s="485"/>
      <c r="W38" s="485"/>
      <c r="X38" s="485"/>
      <c r="Y38" s="485"/>
      <c r="Z38" s="485"/>
      <c r="AA38" s="485"/>
      <c r="AB38" s="485"/>
      <c r="AC38" s="485"/>
      <c r="AD38" s="485"/>
      <c r="AE38" s="485"/>
      <c r="AF38" s="485"/>
      <c r="AG38" s="485"/>
      <c r="AH38" s="485"/>
      <c r="AI38" s="485"/>
      <c r="AJ38" s="473"/>
    </row>
    <row r="39" spans="3:36" ht="15" customHeight="1" x14ac:dyDescent="0.2">
      <c r="C39" s="1438" t="s">
        <v>155</v>
      </c>
      <c r="D39" s="1438"/>
      <c r="E39" s="1438"/>
      <c r="F39" s="469">
        <f>F$24+F$37</f>
        <v>0</v>
      </c>
      <c r="G39" s="469">
        <f t="shared" ref="G39:AI39" si="15">G$24+G$37</f>
        <v>0</v>
      </c>
      <c r="H39" s="469">
        <f t="shared" si="15"/>
        <v>0</v>
      </c>
      <c r="I39" s="469">
        <f t="shared" si="15"/>
        <v>0</v>
      </c>
      <c r="J39" s="469">
        <f t="shared" si="15"/>
        <v>0</v>
      </c>
      <c r="K39" s="469">
        <f t="shared" si="15"/>
        <v>0</v>
      </c>
      <c r="L39" s="469">
        <f t="shared" si="15"/>
        <v>0</v>
      </c>
      <c r="M39" s="469">
        <f t="shared" si="15"/>
        <v>0</v>
      </c>
      <c r="N39" s="469">
        <f t="shared" si="15"/>
        <v>0</v>
      </c>
      <c r="O39" s="469">
        <f t="shared" si="15"/>
        <v>0</v>
      </c>
      <c r="P39" s="469">
        <f t="shared" si="15"/>
        <v>0</v>
      </c>
      <c r="Q39" s="469">
        <f t="shared" si="15"/>
        <v>0</v>
      </c>
      <c r="R39" s="469">
        <f t="shared" si="15"/>
        <v>0</v>
      </c>
      <c r="S39" s="469">
        <f t="shared" si="15"/>
        <v>0</v>
      </c>
      <c r="T39" s="470">
        <f t="shared" si="15"/>
        <v>0</v>
      </c>
      <c r="U39" s="496">
        <f t="shared" si="15"/>
        <v>0</v>
      </c>
      <c r="V39" s="469">
        <f t="shared" si="15"/>
        <v>0</v>
      </c>
      <c r="W39" s="469">
        <f t="shared" si="15"/>
        <v>0</v>
      </c>
      <c r="X39" s="469">
        <f t="shared" si="15"/>
        <v>0</v>
      </c>
      <c r="Y39" s="469">
        <f t="shared" si="15"/>
        <v>0</v>
      </c>
      <c r="Z39" s="469">
        <f t="shared" si="15"/>
        <v>0</v>
      </c>
      <c r="AA39" s="469">
        <f t="shared" si="15"/>
        <v>0</v>
      </c>
      <c r="AB39" s="469">
        <f t="shared" si="15"/>
        <v>0</v>
      </c>
      <c r="AC39" s="469">
        <f t="shared" si="15"/>
        <v>0</v>
      </c>
      <c r="AD39" s="469">
        <f t="shared" si="15"/>
        <v>0</v>
      </c>
      <c r="AE39" s="469">
        <f t="shared" si="15"/>
        <v>0</v>
      </c>
      <c r="AF39" s="469">
        <f t="shared" si="15"/>
        <v>0</v>
      </c>
      <c r="AG39" s="469">
        <f t="shared" si="15"/>
        <v>0</v>
      </c>
      <c r="AH39" s="469">
        <f t="shared" si="15"/>
        <v>0</v>
      </c>
      <c r="AI39" s="469">
        <f t="shared" si="15"/>
        <v>0</v>
      </c>
      <c r="AJ39" s="473"/>
    </row>
    <row r="40" spans="3:36" ht="15" customHeight="1" x14ac:dyDescent="0.2">
      <c r="C40" s="473"/>
      <c r="D40" s="473"/>
      <c r="E40" s="473"/>
      <c r="F40" s="485"/>
      <c r="G40" s="485"/>
      <c r="H40" s="485"/>
      <c r="I40" s="485"/>
      <c r="J40" s="485"/>
      <c r="K40" s="485"/>
      <c r="L40" s="485"/>
      <c r="M40" s="485"/>
      <c r="N40" s="485"/>
      <c r="O40" s="485"/>
      <c r="P40" s="485"/>
      <c r="Q40" s="485"/>
      <c r="R40" s="485"/>
      <c r="S40" s="485"/>
      <c r="T40" s="486"/>
      <c r="U40" s="487"/>
      <c r="V40" s="485"/>
      <c r="W40" s="485"/>
      <c r="X40" s="485"/>
      <c r="Y40" s="485"/>
      <c r="Z40" s="485"/>
      <c r="AA40" s="485"/>
      <c r="AB40" s="485"/>
      <c r="AC40" s="485"/>
      <c r="AD40" s="485"/>
      <c r="AE40" s="485"/>
      <c r="AF40" s="485"/>
      <c r="AG40" s="485"/>
      <c r="AH40" s="485"/>
      <c r="AI40" s="485"/>
      <c r="AJ40" s="473"/>
    </row>
    <row r="41" spans="3:36" ht="15" customHeight="1" x14ac:dyDescent="0.2">
      <c r="C41" s="1427" t="s">
        <v>2205</v>
      </c>
      <c r="D41" s="1427"/>
      <c r="E41" s="1427"/>
      <c r="F41" s="473"/>
      <c r="G41" s="473"/>
      <c r="H41" s="473"/>
      <c r="I41" s="473"/>
      <c r="J41" s="473"/>
      <c r="K41" s="473"/>
      <c r="L41" s="473"/>
      <c r="M41" s="473"/>
      <c r="N41" s="473"/>
      <c r="O41" s="473"/>
      <c r="P41" s="473"/>
      <c r="Q41" s="473"/>
      <c r="R41" s="473"/>
      <c r="S41" s="473"/>
      <c r="T41" s="495"/>
      <c r="U41" s="473"/>
      <c r="V41" s="473"/>
      <c r="W41" s="473"/>
      <c r="X41" s="473"/>
      <c r="Y41" s="473"/>
      <c r="Z41" s="473"/>
      <c r="AA41" s="473"/>
      <c r="AB41" s="473"/>
      <c r="AC41" s="473"/>
      <c r="AD41" s="473"/>
      <c r="AE41" s="473"/>
      <c r="AF41" s="473"/>
      <c r="AG41" s="473"/>
      <c r="AH41" s="473"/>
      <c r="AI41" s="473"/>
      <c r="AJ41" s="473"/>
    </row>
    <row r="42" spans="3:36" ht="15" customHeight="1" x14ac:dyDescent="0.2">
      <c r="C42" s="467" t="s">
        <v>2118</v>
      </c>
      <c r="D42" s="1428" t="str">
        <f>IF(Sources!G38=0,"N/A",IFERROR(CONCATENATE("(",TEXT(Sources!G38,"$#,##0")," @ ",TEXT(Sources!H38,"0.0%"),", ",Sources!L38,"-yr. am.)"),""))</f>
        <v>N/A</v>
      </c>
      <c r="E42" s="1429"/>
      <c r="F42" s="496">
        <f>IF(OR(Sources!$G$38=0,Sources!$G$38=""),0,Loans!E26)</f>
        <v>0</v>
      </c>
      <c r="G42" s="496">
        <f>IF(OR(Sources!$G$38=0,Sources!$G$38=""),0,Loans!F26)</f>
        <v>0</v>
      </c>
      <c r="H42" s="496">
        <f>IF(OR(Sources!$G$38=0,Sources!$G$38=""),0,Loans!G26)</f>
        <v>0</v>
      </c>
      <c r="I42" s="496">
        <f>IF(OR(Sources!$G$38=0,Sources!$G$38=""),0,Loans!H26)</f>
        <v>0</v>
      </c>
      <c r="J42" s="496">
        <f>IF(OR(Sources!$G$38=0,Sources!$G$38=""),0,Loans!I26)</f>
        <v>0</v>
      </c>
      <c r="K42" s="496">
        <f>IF(OR(Sources!$G$38=0,Sources!$G$38=""),0,Loans!J26)</f>
        <v>0</v>
      </c>
      <c r="L42" s="496">
        <f>IF(OR(Sources!$G$38=0,Sources!$G$38=""),0,Loans!K26)</f>
        <v>0</v>
      </c>
      <c r="M42" s="496">
        <f>IF(OR(Sources!$G$38=0,Sources!$G$38=""),0,Loans!L26)</f>
        <v>0</v>
      </c>
      <c r="N42" s="496">
        <f>IF(OR(Sources!$G$38=0,Sources!$G$38=""),0,Loans!M26)</f>
        <v>0</v>
      </c>
      <c r="O42" s="496">
        <f>IF(OR(Sources!$G$38=0,Sources!$G$38=""),0,Loans!N26)</f>
        <v>0</v>
      </c>
      <c r="P42" s="496">
        <f>IF(OR(Sources!$G$38=0,Sources!$G$38=""),0,Loans!O26)</f>
        <v>0</v>
      </c>
      <c r="Q42" s="496">
        <f>IF(OR(Sources!$G$38=0,Sources!$G$38=""),0,Loans!P26)</f>
        <v>0</v>
      </c>
      <c r="R42" s="496">
        <f>IF(OR(Sources!$G$38=0,Sources!$G$38=""),0,Loans!Q26)</f>
        <v>0</v>
      </c>
      <c r="S42" s="496">
        <f>IF(OR(Sources!$G$38=0,Sources!$G$38=""),0,Loans!R26)</f>
        <v>0</v>
      </c>
      <c r="T42" s="497">
        <f>IF(OR(Sources!$G$38=0,Sources!$G$38=""),0,Loans!S26)</f>
        <v>0</v>
      </c>
      <c r="U42" s="471">
        <f>IF(OR(Sources!$G$38=0,Sources!$G$38=""),0,Loans!T26)</f>
        <v>0</v>
      </c>
      <c r="V42" s="471">
        <f>IF(OR(Sources!$G$38=0,Sources!$G$38=""),0,Loans!U26)</f>
        <v>0</v>
      </c>
      <c r="W42" s="471">
        <f>IF(OR(Sources!$G$38=0,Sources!$G$38=""),0,Loans!V26)</f>
        <v>0</v>
      </c>
      <c r="X42" s="471">
        <f>IF(OR(Sources!$G$38=0,Sources!$G$38=""),0,Loans!W26)</f>
        <v>0</v>
      </c>
      <c r="Y42" s="471">
        <f>IF(OR(Sources!$G$38=0,Sources!$G$38=""),0,Loans!X26)</f>
        <v>0</v>
      </c>
      <c r="Z42" s="471">
        <f>IF(OR(Sources!$G$38=0,Sources!$G$38=""),0,Loans!Y26)</f>
        <v>0</v>
      </c>
      <c r="AA42" s="471">
        <f>IF(OR(Sources!$G$38=0,Sources!$G$38=""),0,Loans!Z26)</f>
        <v>0</v>
      </c>
      <c r="AB42" s="471">
        <f>IF(OR(Sources!$G$38=0,Sources!$G$38=""),0,Loans!AA26)</f>
        <v>0</v>
      </c>
      <c r="AC42" s="471">
        <f>IF(OR(Sources!$G$38=0,Sources!$G$38=""),0,Loans!AB26)</f>
        <v>0</v>
      </c>
      <c r="AD42" s="471">
        <f>IF(OR(Sources!$G$38=0,Sources!$G$38=""),0,Loans!AC26)</f>
        <v>0</v>
      </c>
      <c r="AE42" s="471">
        <f>IF(OR(Sources!$G$38=0,Sources!$G$38=""),0,Loans!AD26)</f>
        <v>0</v>
      </c>
      <c r="AF42" s="471">
        <f>IF(OR(Sources!$G$38=0,Sources!$G$38=""),0,Loans!AE26)</f>
        <v>0</v>
      </c>
      <c r="AG42" s="471">
        <f>IF(OR(Sources!$G$38=0,Sources!$G$38=""),0,Loans!AF26)</f>
        <v>0</v>
      </c>
      <c r="AH42" s="471">
        <f>IF(OR(Sources!$G$38=0,Sources!$G$38=""),0,Loans!AG26)</f>
        <v>0</v>
      </c>
      <c r="AI42" s="471">
        <f>IF(OR(Sources!$G$38=0,Sources!$G$38=""),0,Loans!AH26)</f>
        <v>0</v>
      </c>
      <c r="AJ42" s="473"/>
    </row>
    <row r="43" spans="3:36" ht="15" customHeight="1" thickBot="1" x14ac:dyDescent="0.25">
      <c r="C43" s="475" t="s">
        <v>2117</v>
      </c>
      <c r="D43" s="1430" t="str">
        <f>IF(Sources!G39=0,"N/A",IFERROR(CONCATENATE("(",TEXT(Sources!G39,"$#,##0")," @ ",TEXT(Sources!H39,"0.0%"),", ",Sources!L39,"-yr. am.)"),""))</f>
        <v>N/A</v>
      </c>
      <c r="E43" s="1431"/>
      <c r="F43" s="479">
        <f>IF(OR(Sources!$G$39=0,Sources!$G$39=""),0,Loans!E45)</f>
        <v>0</v>
      </c>
      <c r="G43" s="479">
        <f>IF(OR(Sources!$G$39=0,Sources!$G$39=""),0,Loans!F45)</f>
        <v>0</v>
      </c>
      <c r="H43" s="479">
        <f>IF(OR(Sources!$G$39=0,Sources!$G$39=""),0,Loans!G45)</f>
        <v>0</v>
      </c>
      <c r="I43" s="479">
        <f>IF(OR(Sources!$G$39=0,Sources!$G$39=""),0,Loans!H45)</f>
        <v>0</v>
      </c>
      <c r="J43" s="479">
        <f>IF(OR(Sources!$G$39=0,Sources!$G$39=""),0,Loans!I45)</f>
        <v>0</v>
      </c>
      <c r="K43" s="479">
        <f>IF(OR(Sources!$G$39=0,Sources!$G$39=""),0,Loans!J45)</f>
        <v>0</v>
      </c>
      <c r="L43" s="479">
        <f>IF(OR(Sources!$G$39=0,Sources!$G$39=""),0,Loans!K45)</f>
        <v>0</v>
      </c>
      <c r="M43" s="479">
        <f>IF(OR(Sources!$G$39=0,Sources!$G$39=""),0,Loans!L45)</f>
        <v>0</v>
      </c>
      <c r="N43" s="479">
        <f>IF(OR(Sources!$G$39=0,Sources!$G$39=""),0,Loans!M45)</f>
        <v>0</v>
      </c>
      <c r="O43" s="479">
        <f>IF(OR(Sources!$G$39=0,Sources!$G$39=""),0,Loans!N45)</f>
        <v>0</v>
      </c>
      <c r="P43" s="479">
        <f>IF(OR(Sources!$G$39=0,Sources!$G$39=""),0,Loans!O45)</f>
        <v>0</v>
      </c>
      <c r="Q43" s="479">
        <f>IF(OR(Sources!$G$39=0,Sources!$G$39=""),0,Loans!P45)</f>
        <v>0</v>
      </c>
      <c r="R43" s="479">
        <f>IF(OR(Sources!$G$39=0,Sources!$G$39=""),0,Loans!Q45)</f>
        <v>0</v>
      </c>
      <c r="S43" s="479">
        <f>IF(OR(Sources!$G$39=0,Sources!$G$39=""),0,Loans!R45)</f>
        <v>0</v>
      </c>
      <c r="T43" s="498">
        <f>IF(OR(Sources!$G$39=0,Sources!$G$39=""),0,Loans!S45)</f>
        <v>0</v>
      </c>
      <c r="U43" s="499">
        <f>IF(OR(Sources!$G$39=0,Sources!$G$39=""),0,Loans!T45)</f>
        <v>0</v>
      </c>
      <c r="V43" s="499">
        <f>IF(OR(Sources!$G$39=0,Sources!$G$39=""),0,Loans!U45)</f>
        <v>0</v>
      </c>
      <c r="W43" s="499">
        <f>IF(OR(Sources!$G$39=0,Sources!$G$39=""),0,Loans!V45)</f>
        <v>0</v>
      </c>
      <c r="X43" s="499">
        <f>IF(OR(Sources!$G$39=0,Sources!$G$39=""),0,Loans!W45)</f>
        <v>0</v>
      </c>
      <c r="Y43" s="499">
        <f>IF(OR(Sources!$G$39=0,Sources!$G$39=""),0,Loans!X45)</f>
        <v>0</v>
      </c>
      <c r="Z43" s="499">
        <f>IF(OR(Sources!$G$39=0,Sources!$G$39=""),0,Loans!Y45)</f>
        <v>0</v>
      </c>
      <c r="AA43" s="499">
        <f>IF(OR(Sources!$G$39=0,Sources!$G$39=""),0,Loans!Z45)</f>
        <v>0</v>
      </c>
      <c r="AB43" s="499">
        <f>IF(OR(Sources!$G$39=0,Sources!$G$39=""),0,Loans!AA45)</f>
        <v>0</v>
      </c>
      <c r="AC43" s="499">
        <f>IF(OR(Sources!$G$39=0,Sources!$G$39=""),0,Loans!AB45)</f>
        <v>0</v>
      </c>
      <c r="AD43" s="499">
        <f>IF(OR(Sources!$G$39=0,Sources!$G$39=""),0,Loans!AC45)</f>
        <v>0</v>
      </c>
      <c r="AE43" s="499">
        <f>IF(OR(Sources!$G$39=0,Sources!$G$39=""),0,Loans!AD45)</f>
        <v>0</v>
      </c>
      <c r="AF43" s="499">
        <f>IF(OR(Sources!$G$39=0,Sources!$G$39=""),0,Loans!AE45)</f>
        <v>0</v>
      </c>
      <c r="AG43" s="499">
        <f>IF(OR(Sources!$G$39=0,Sources!$G$39=""),0,Loans!AF45)</f>
        <v>0</v>
      </c>
      <c r="AH43" s="499">
        <f>IF(OR(Sources!$G$39=0,Sources!$G$39=""),0,Loans!AG45)</f>
        <v>0</v>
      </c>
      <c r="AI43" s="499">
        <f>IF(OR(Sources!$G$39=0,Sources!$G$39=""),0,Loans!AH45)</f>
        <v>0</v>
      </c>
      <c r="AJ43" s="473"/>
    </row>
    <row r="44" spans="3:36" ht="15" customHeight="1" thickTop="1" x14ac:dyDescent="0.2">
      <c r="C44" s="1432" t="s">
        <v>589</v>
      </c>
      <c r="D44" s="1432"/>
      <c r="E44" s="1432"/>
      <c r="F44" s="500">
        <f>F39-SUM(F42:F43)</f>
        <v>0</v>
      </c>
      <c r="G44" s="500">
        <f t="shared" ref="G44:AI44" si="16">G39-SUM(G42:G43)</f>
        <v>0</v>
      </c>
      <c r="H44" s="500">
        <f t="shared" si="16"/>
        <v>0</v>
      </c>
      <c r="I44" s="500">
        <f t="shared" si="16"/>
        <v>0</v>
      </c>
      <c r="J44" s="500">
        <f t="shared" si="16"/>
        <v>0</v>
      </c>
      <c r="K44" s="500">
        <f t="shared" si="16"/>
        <v>0</v>
      </c>
      <c r="L44" s="500">
        <f t="shared" si="16"/>
        <v>0</v>
      </c>
      <c r="M44" s="500">
        <f t="shared" si="16"/>
        <v>0</v>
      </c>
      <c r="N44" s="500">
        <f t="shared" si="16"/>
        <v>0</v>
      </c>
      <c r="O44" s="500">
        <f t="shared" si="16"/>
        <v>0</v>
      </c>
      <c r="P44" s="500">
        <f t="shared" si="16"/>
        <v>0</v>
      </c>
      <c r="Q44" s="500">
        <f t="shared" si="16"/>
        <v>0</v>
      </c>
      <c r="R44" s="500">
        <f t="shared" si="16"/>
        <v>0</v>
      </c>
      <c r="S44" s="500">
        <f t="shared" si="16"/>
        <v>0</v>
      </c>
      <c r="T44" s="501">
        <f t="shared" si="16"/>
        <v>0</v>
      </c>
      <c r="U44" s="502">
        <f t="shared" si="16"/>
        <v>0</v>
      </c>
      <c r="V44" s="503">
        <f t="shared" si="16"/>
        <v>0</v>
      </c>
      <c r="W44" s="503">
        <f t="shared" si="16"/>
        <v>0</v>
      </c>
      <c r="X44" s="503">
        <f t="shared" si="16"/>
        <v>0</v>
      </c>
      <c r="Y44" s="503">
        <f t="shared" si="16"/>
        <v>0</v>
      </c>
      <c r="Z44" s="503">
        <f t="shared" si="16"/>
        <v>0</v>
      </c>
      <c r="AA44" s="503">
        <f t="shared" si="16"/>
        <v>0</v>
      </c>
      <c r="AB44" s="503">
        <f t="shared" si="16"/>
        <v>0</v>
      </c>
      <c r="AC44" s="503">
        <f t="shared" si="16"/>
        <v>0</v>
      </c>
      <c r="AD44" s="503">
        <f t="shared" si="16"/>
        <v>0</v>
      </c>
      <c r="AE44" s="503">
        <f t="shared" si="16"/>
        <v>0</v>
      </c>
      <c r="AF44" s="503">
        <f t="shared" si="16"/>
        <v>0</v>
      </c>
      <c r="AG44" s="503">
        <f t="shared" si="16"/>
        <v>0</v>
      </c>
      <c r="AH44" s="503">
        <f t="shared" si="16"/>
        <v>0</v>
      </c>
      <c r="AI44" s="503">
        <f t="shared" si="16"/>
        <v>0</v>
      </c>
      <c r="AJ44" s="473"/>
    </row>
    <row r="45" spans="3:36" ht="15" customHeight="1" x14ac:dyDescent="0.2">
      <c r="C45" s="504"/>
      <c r="D45" s="504"/>
      <c r="E45" s="504"/>
      <c r="F45" s="473"/>
      <c r="G45" s="473"/>
      <c r="H45" s="473"/>
      <c r="I45" s="473"/>
      <c r="J45" s="473"/>
      <c r="K45" s="473"/>
      <c r="L45" s="473"/>
      <c r="M45" s="473"/>
      <c r="N45" s="473"/>
      <c r="O45" s="473"/>
      <c r="P45" s="473"/>
      <c r="Q45" s="473"/>
      <c r="R45" s="473"/>
      <c r="S45" s="473"/>
      <c r="T45" s="495"/>
      <c r="U45" s="473"/>
      <c r="V45" s="473"/>
      <c r="W45" s="473"/>
      <c r="X45" s="473"/>
      <c r="Y45" s="473"/>
      <c r="Z45" s="473"/>
      <c r="AA45" s="473"/>
      <c r="AB45" s="473"/>
      <c r="AC45" s="473"/>
      <c r="AD45" s="473"/>
      <c r="AE45" s="473"/>
      <c r="AF45" s="473"/>
      <c r="AG45" s="473"/>
      <c r="AH45" s="473"/>
      <c r="AI45" s="473"/>
      <c r="AJ45" s="473"/>
    </row>
    <row r="46" spans="3:36" ht="15" customHeight="1" x14ac:dyDescent="0.2">
      <c r="C46" s="1427" t="s">
        <v>2127</v>
      </c>
      <c r="D46" s="1427"/>
      <c r="E46" s="1427"/>
      <c r="T46" s="505"/>
      <c r="AJ46" s="473"/>
    </row>
    <row r="47" spans="3:36" ht="15" customHeight="1" x14ac:dyDescent="0.2">
      <c r="C47" s="1433" t="s">
        <v>240</v>
      </c>
      <c r="D47" s="1433"/>
      <c r="E47" s="1433"/>
      <c r="F47" s="506" t="str">
        <f>IFERROR(IF(F15=0,0,F$24/-F$37),"")</f>
        <v/>
      </c>
      <c r="G47" s="506" t="str">
        <f t="shared" ref="G47:AI47" si="17">IFERROR(IF(G15=0,0,G$24/-G$37),"")</f>
        <v/>
      </c>
      <c r="H47" s="506" t="str">
        <f t="shared" si="17"/>
        <v/>
      </c>
      <c r="I47" s="506" t="str">
        <f t="shared" si="17"/>
        <v/>
      </c>
      <c r="J47" s="506" t="str">
        <f t="shared" si="17"/>
        <v/>
      </c>
      <c r="K47" s="506" t="str">
        <f t="shared" si="17"/>
        <v/>
      </c>
      <c r="L47" s="506" t="str">
        <f t="shared" si="17"/>
        <v/>
      </c>
      <c r="M47" s="506" t="str">
        <f t="shared" si="17"/>
        <v/>
      </c>
      <c r="N47" s="506" t="str">
        <f t="shared" si="17"/>
        <v/>
      </c>
      <c r="O47" s="506" t="str">
        <f t="shared" si="17"/>
        <v/>
      </c>
      <c r="P47" s="506" t="str">
        <f t="shared" si="17"/>
        <v/>
      </c>
      <c r="Q47" s="506" t="str">
        <f t="shared" si="17"/>
        <v/>
      </c>
      <c r="R47" s="506" t="str">
        <f t="shared" si="17"/>
        <v/>
      </c>
      <c r="S47" s="506" t="str">
        <f t="shared" si="17"/>
        <v/>
      </c>
      <c r="T47" s="805" t="str">
        <f t="shared" si="17"/>
        <v/>
      </c>
      <c r="U47" s="803" t="str">
        <f t="shared" si="17"/>
        <v/>
      </c>
      <c r="V47" s="506" t="str">
        <f t="shared" si="17"/>
        <v/>
      </c>
      <c r="W47" s="506" t="str">
        <f t="shared" si="17"/>
        <v/>
      </c>
      <c r="X47" s="506" t="str">
        <f t="shared" si="17"/>
        <v/>
      </c>
      <c r="Y47" s="506" t="str">
        <f t="shared" si="17"/>
        <v/>
      </c>
      <c r="Z47" s="506" t="str">
        <f t="shared" si="17"/>
        <v/>
      </c>
      <c r="AA47" s="506" t="str">
        <f t="shared" si="17"/>
        <v/>
      </c>
      <c r="AB47" s="506" t="str">
        <f t="shared" si="17"/>
        <v/>
      </c>
      <c r="AC47" s="506" t="str">
        <f t="shared" si="17"/>
        <v/>
      </c>
      <c r="AD47" s="506" t="str">
        <f t="shared" si="17"/>
        <v/>
      </c>
      <c r="AE47" s="506" t="str">
        <f t="shared" si="17"/>
        <v/>
      </c>
      <c r="AF47" s="506" t="str">
        <f t="shared" si="17"/>
        <v/>
      </c>
      <c r="AG47" s="506" t="str">
        <f t="shared" si="17"/>
        <v/>
      </c>
      <c r="AH47" s="506" t="str">
        <f t="shared" si="17"/>
        <v/>
      </c>
      <c r="AI47" s="506" t="str">
        <f t="shared" si="17"/>
        <v/>
      </c>
      <c r="AJ47" s="473"/>
    </row>
    <row r="48" spans="3:36" ht="15" customHeight="1" x14ac:dyDescent="0.2">
      <c r="C48" s="1440" t="s">
        <v>2251</v>
      </c>
      <c r="D48" s="1441"/>
      <c r="E48" s="525">
        <f>MIN(F47:T47)</f>
        <v>0</v>
      </c>
      <c r="F48" s="507"/>
      <c r="G48" s="507"/>
      <c r="H48" s="507"/>
      <c r="I48" s="507"/>
      <c r="J48" s="507"/>
      <c r="K48" s="507"/>
      <c r="L48" s="507"/>
      <c r="M48" s="507"/>
      <c r="N48" s="507"/>
      <c r="O48" s="507"/>
      <c r="P48" s="507"/>
      <c r="Q48" s="507"/>
      <c r="R48" s="507"/>
      <c r="S48" s="507"/>
      <c r="T48" s="508"/>
      <c r="U48" s="507"/>
      <c r="V48" s="507"/>
      <c r="W48" s="507"/>
      <c r="X48" s="507"/>
      <c r="Y48" s="507"/>
      <c r="Z48" s="507"/>
      <c r="AA48" s="507"/>
      <c r="AB48" s="507"/>
      <c r="AC48" s="507"/>
      <c r="AD48" s="507"/>
      <c r="AE48" s="507"/>
      <c r="AF48" s="507"/>
      <c r="AG48" s="507"/>
      <c r="AH48" s="507"/>
      <c r="AI48" s="507"/>
      <c r="AJ48" s="473"/>
    </row>
    <row r="49" spans="3:36" ht="15" customHeight="1" x14ac:dyDescent="0.2">
      <c r="C49" s="1442" t="s">
        <v>2252</v>
      </c>
      <c r="D49" s="1443"/>
      <c r="E49" s="525" t="str">
        <f>IFERROR(AVERAGE(F47:T47),"")</f>
        <v/>
      </c>
      <c r="F49" s="507"/>
      <c r="G49" s="507"/>
      <c r="H49" s="507"/>
      <c r="I49" s="507"/>
      <c r="J49" s="507"/>
      <c r="K49" s="507"/>
      <c r="L49" s="507"/>
      <c r="M49" s="507"/>
      <c r="N49" s="507"/>
      <c r="O49" s="507"/>
      <c r="P49" s="507"/>
      <c r="Q49" s="507"/>
      <c r="R49" s="507"/>
      <c r="S49" s="507"/>
      <c r="T49" s="508"/>
      <c r="U49" s="507"/>
      <c r="V49" s="507"/>
      <c r="W49" s="507"/>
      <c r="X49" s="507"/>
      <c r="Y49" s="507"/>
      <c r="Z49" s="507"/>
      <c r="AA49" s="507"/>
      <c r="AB49" s="507"/>
      <c r="AC49" s="507"/>
      <c r="AD49" s="507"/>
      <c r="AE49" s="507"/>
      <c r="AF49" s="507"/>
      <c r="AG49" s="507"/>
      <c r="AH49" s="507"/>
      <c r="AI49" s="507"/>
      <c r="AJ49" s="473"/>
    </row>
    <row r="50" spans="3:36" ht="15" customHeight="1" x14ac:dyDescent="0.2">
      <c r="C50" s="1435" t="s">
        <v>321</v>
      </c>
      <c r="D50" s="1435"/>
      <c r="E50" s="1435"/>
      <c r="F50" s="509" t="str">
        <f>IF(SUM(F42:F43)=0,"N/A",(SUM(F17:F19,F22:F23)+F37)/SUM(F42:F43))</f>
        <v>N/A</v>
      </c>
      <c r="G50" s="509" t="str">
        <f t="shared" ref="G50:AI50" si="18">IF(SUM(G42:G43)=0,"N/A",(SUM(G17:G19,G22:G23)+G37)/SUM(G42:G43))</f>
        <v>N/A</v>
      </c>
      <c r="H50" s="509" t="str">
        <f t="shared" si="18"/>
        <v>N/A</v>
      </c>
      <c r="I50" s="509" t="str">
        <f t="shared" si="18"/>
        <v>N/A</v>
      </c>
      <c r="J50" s="509" t="str">
        <f t="shared" si="18"/>
        <v>N/A</v>
      </c>
      <c r="K50" s="509" t="str">
        <f t="shared" si="18"/>
        <v>N/A</v>
      </c>
      <c r="L50" s="509" t="str">
        <f t="shared" si="18"/>
        <v>N/A</v>
      </c>
      <c r="M50" s="509" t="str">
        <f t="shared" si="18"/>
        <v>N/A</v>
      </c>
      <c r="N50" s="509" t="str">
        <f t="shared" si="18"/>
        <v>N/A</v>
      </c>
      <c r="O50" s="509" t="str">
        <f t="shared" si="18"/>
        <v>N/A</v>
      </c>
      <c r="P50" s="509" t="str">
        <f t="shared" si="18"/>
        <v>N/A</v>
      </c>
      <c r="Q50" s="509" t="str">
        <f t="shared" si="18"/>
        <v>N/A</v>
      </c>
      <c r="R50" s="509" t="str">
        <f t="shared" si="18"/>
        <v>N/A</v>
      </c>
      <c r="S50" s="509" t="str">
        <f t="shared" si="18"/>
        <v>N/A</v>
      </c>
      <c r="T50" s="510" t="str">
        <f t="shared" si="18"/>
        <v>N/A</v>
      </c>
      <c r="U50" s="804" t="str">
        <f t="shared" si="18"/>
        <v>N/A</v>
      </c>
      <c r="V50" s="509" t="str">
        <f t="shared" si="18"/>
        <v>N/A</v>
      </c>
      <c r="W50" s="509" t="str">
        <f t="shared" si="18"/>
        <v>N/A</v>
      </c>
      <c r="X50" s="509" t="str">
        <f t="shared" si="18"/>
        <v>N/A</v>
      </c>
      <c r="Y50" s="509" t="str">
        <f t="shared" si="18"/>
        <v>N/A</v>
      </c>
      <c r="Z50" s="509" t="str">
        <f t="shared" si="18"/>
        <v>N/A</v>
      </c>
      <c r="AA50" s="509" t="str">
        <f t="shared" si="18"/>
        <v>N/A</v>
      </c>
      <c r="AB50" s="509" t="str">
        <f t="shared" si="18"/>
        <v>N/A</v>
      </c>
      <c r="AC50" s="509" t="str">
        <f t="shared" si="18"/>
        <v>N/A</v>
      </c>
      <c r="AD50" s="509" t="str">
        <f t="shared" si="18"/>
        <v>N/A</v>
      </c>
      <c r="AE50" s="509" t="str">
        <f t="shared" si="18"/>
        <v>N/A</v>
      </c>
      <c r="AF50" s="509" t="str">
        <f t="shared" si="18"/>
        <v>N/A</v>
      </c>
      <c r="AG50" s="509" t="str">
        <f t="shared" si="18"/>
        <v>N/A</v>
      </c>
      <c r="AH50" s="509" t="str">
        <f t="shared" si="18"/>
        <v>N/A</v>
      </c>
      <c r="AI50" s="509" t="str">
        <f t="shared" si="18"/>
        <v>N/A</v>
      </c>
      <c r="AJ50" s="473"/>
    </row>
    <row r="51" spans="3:36" ht="15" customHeight="1" x14ac:dyDescent="0.2">
      <c r="C51" s="1440" t="s">
        <v>2574</v>
      </c>
      <c r="D51" s="1441"/>
      <c r="E51" s="525">
        <f>MIN(F50:T50)</f>
        <v>0</v>
      </c>
      <c r="F51" s="524"/>
      <c r="G51" s="473"/>
      <c r="H51" s="473"/>
      <c r="I51" s="473"/>
      <c r="J51" s="473"/>
      <c r="K51" s="473"/>
      <c r="L51" s="473"/>
      <c r="M51" s="473"/>
      <c r="N51" s="473"/>
      <c r="O51" s="473"/>
      <c r="P51" s="473"/>
      <c r="Q51" s="473"/>
      <c r="R51" s="473"/>
      <c r="S51" s="473"/>
      <c r="T51" s="495"/>
      <c r="U51" s="473"/>
      <c r="V51" s="473"/>
      <c r="W51" s="473"/>
      <c r="X51" s="473"/>
      <c r="Y51" s="473"/>
      <c r="Z51" s="473"/>
      <c r="AA51" s="473"/>
      <c r="AB51" s="473"/>
      <c r="AC51" s="473"/>
      <c r="AD51" s="473"/>
      <c r="AE51" s="473"/>
      <c r="AF51" s="473"/>
      <c r="AG51" s="473"/>
      <c r="AH51" s="473"/>
      <c r="AI51" s="473"/>
      <c r="AJ51" s="473"/>
    </row>
    <row r="52" spans="3:36" ht="15" customHeight="1" x14ac:dyDescent="0.2">
      <c r="C52" s="1442" t="s">
        <v>2575</v>
      </c>
      <c r="D52" s="1443"/>
      <c r="E52" s="525" t="str">
        <f>IFERROR(AVERAGE(F50:T50),"")</f>
        <v/>
      </c>
      <c r="F52" s="524"/>
      <c r="G52" s="473"/>
      <c r="H52" s="473"/>
      <c r="I52" s="473"/>
      <c r="J52" s="473"/>
      <c r="K52" s="473"/>
      <c r="L52" s="473"/>
      <c r="M52" s="473"/>
      <c r="N52" s="473"/>
      <c r="O52" s="473"/>
      <c r="P52" s="473"/>
      <c r="Q52" s="473"/>
      <c r="R52" s="473"/>
      <c r="S52" s="473"/>
      <c r="T52" s="495"/>
      <c r="U52" s="473"/>
      <c r="V52" s="473"/>
      <c r="W52" s="473"/>
      <c r="X52" s="473"/>
      <c r="Y52" s="473"/>
      <c r="Z52" s="473"/>
      <c r="AA52" s="473"/>
      <c r="AB52" s="473"/>
      <c r="AC52" s="473"/>
      <c r="AD52" s="473"/>
      <c r="AE52" s="473"/>
      <c r="AF52" s="473"/>
      <c r="AG52" s="473"/>
      <c r="AH52" s="473"/>
      <c r="AI52" s="473"/>
      <c r="AJ52" s="473"/>
    </row>
    <row r="53" spans="3:36" ht="15" customHeight="1" x14ac:dyDescent="0.2">
      <c r="C53" s="504"/>
      <c r="D53" s="504"/>
      <c r="E53" s="504"/>
      <c r="F53" s="473"/>
      <c r="G53" s="473"/>
      <c r="H53" s="473"/>
      <c r="I53" s="473"/>
      <c r="J53" s="473"/>
      <c r="K53" s="473"/>
      <c r="L53" s="473"/>
      <c r="M53" s="473"/>
      <c r="N53" s="473"/>
      <c r="O53" s="473"/>
      <c r="P53" s="473"/>
      <c r="Q53" s="473"/>
      <c r="R53" s="473"/>
      <c r="S53" s="473"/>
      <c r="T53" s="495"/>
      <c r="U53" s="473"/>
      <c r="V53" s="473"/>
      <c r="W53" s="473"/>
      <c r="X53" s="473"/>
      <c r="Y53" s="473"/>
      <c r="Z53" s="473"/>
      <c r="AA53" s="473"/>
      <c r="AB53" s="473"/>
      <c r="AC53" s="473"/>
      <c r="AD53" s="473"/>
      <c r="AE53" s="473"/>
      <c r="AF53" s="473"/>
      <c r="AG53" s="473"/>
      <c r="AH53" s="473"/>
      <c r="AI53" s="473"/>
      <c r="AJ53" s="473"/>
    </row>
    <row r="54" spans="3:36" ht="15" customHeight="1" x14ac:dyDescent="0.2">
      <c r="C54" s="1427" t="s">
        <v>2206</v>
      </c>
      <c r="D54" s="1427"/>
      <c r="E54" s="1427"/>
      <c r="F54" s="473"/>
      <c r="G54" s="473"/>
      <c r="H54" s="473"/>
      <c r="I54" s="473"/>
      <c r="J54" s="473"/>
      <c r="K54" s="473"/>
      <c r="L54" s="473"/>
      <c r="M54" s="473"/>
      <c r="N54" s="473"/>
      <c r="O54" s="473"/>
      <c r="P54" s="473"/>
      <c r="Q54" s="473"/>
      <c r="R54" s="473"/>
      <c r="S54" s="473"/>
      <c r="T54" s="495"/>
      <c r="U54" s="473"/>
      <c r="V54" s="473"/>
      <c r="W54" s="473"/>
      <c r="X54" s="473"/>
      <c r="Y54" s="473"/>
      <c r="Z54" s="473"/>
      <c r="AA54" s="473"/>
      <c r="AB54" s="473"/>
      <c r="AC54" s="473"/>
      <c r="AD54" s="473"/>
      <c r="AE54" s="473"/>
      <c r="AF54" s="473"/>
      <c r="AG54" s="473"/>
      <c r="AH54" s="473"/>
      <c r="AI54" s="473"/>
      <c r="AJ54" s="473"/>
    </row>
    <row r="55" spans="3:36" ht="15" customHeight="1" thickBot="1" x14ac:dyDescent="0.25">
      <c r="C55" s="1422" t="s">
        <v>589</v>
      </c>
      <c r="D55" s="1423"/>
      <c r="E55" s="1434"/>
      <c r="F55" s="511">
        <f>F39-SUM(F42:F43)</f>
        <v>0</v>
      </c>
      <c r="G55" s="511">
        <f t="shared" ref="G55:AI55" si="19">G39-SUM(G42:G43)</f>
        <v>0</v>
      </c>
      <c r="H55" s="511">
        <f t="shared" si="19"/>
        <v>0</v>
      </c>
      <c r="I55" s="511">
        <f t="shared" si="19"/>
        <v>0</v>
      </c>
      <c r="J55" s="511">
        <f t="shared" si="19"/>
        <v>0</v>
      </c>
      <c r="K55" s="511">
        <f t="shared" si="19"/>
        <v>0</v>
      </c>
      <c r="L55" s="511">
        <f t="shared" si="19"/>
        <v>0</v>
      </c>
      <c r="M55" s="511">
        <f t="shared" si="19"/>
        <v>0</v>
      </c>
      <c r="N55" s="511">
        <f t="shared" si="19"/>
        <v>0</v>
      </c>
      <c r="O55" s="511">
        <f t="shared" si="19"/>
        <v>0</v>
      </c>
      <c r="P55" s="511">
        <f t="shared" si="19"/>
        <v>0</v>
      </c>
      <c r="Q55" s="511">
        <f t="shared" si="19"/>
        <v>0</v>
      </c>
      <c r="R55" s="511">
        <f t="shared" si="19"/>
        <v>0</v>
      </c>
      <c r="S55" s="511">
        <f t="shared" si="19"/>
        <v>0</v>
      </c>
      <c r="T55" s="512">
        <f t="shared" si="19"/>
        <v>0</v>
      </c>
      <c r="U55" s="513">
        <f t="shared" si="19"/>
        <v>0</v>
      </c>
      <c r="V55" s="514">
        <f t="shared" si="19"/>
        <v>0</v>
      </c>
      <c r="W55" s="514">
        <f t="shared" si="19"/>
        <v>0</v>
      </c>
      <c r="X55" s="514">
        <f t="shared" si="19"/>
        <v>0</v>
      </c>
      <c r="Y55" s="514">
        <f t="shared" si="19"/>
        <v>0</v>
      </c>
      <c r="Z55" s="514">
        <f t="shared" si="19"/>
        <v>0</v>
      </c>
      <c r="AA55" s="514">
        <f t="shared" si="19"/>
        <v>0</v>
      </c>
      <c r="AB55" s="514">
        <f t="shared" si="19"/>
        <v>0</v>
      </c>
      <c r="AC55" s="514">
        <f t="shared" si="19"/>
        <v>0</v>
      </c>
      <c r="AD55" s="514">
        <f t="shared" si="19"/>
        <v>0</v>
      </c>
      <c r="AE55" s="514">
        <f t="shared" si="19"/>
        <v>0</v>
      </c>
      <c r="AF55" s="514">
        <f t="shared" si="19"/>
        <v>0</v>
      </c>
      <c r="AG55" s="514">
        <f t="shared" si="19"/>
        <v>0</v>
      </c>
      <c r="AH55" s="514">
        <f t="shared" si="19"/>
        <v>0</v>
      </c>
      <c r="AI55" s="514">
        <f t="shared" si="19"/>
        <v>0</v>
      </c>
      <c r="AJ55" s="473"/>
    </row>
    <row r="56" spans="3:36" ht="15" customHeight="1" thickTop="1" x14ac:dyDescent="0.2">
      <c r="C56" s="527" t="str">
        <f>IF(Sources!D68="","N/A",Sources!$D68)</f>
        <v>N/A</v>
      </c>
      <c r="D56" s="1420" t="str">
        <f>IF(C56="N/A","",CONCATENATE("(",TEXT(Sources!G68,"0%")," of CF, ",IFERROR(CONCATENATE(TEXT(INDEX(Sources!$C$35:$K$55,MATCH(C56,Sources!$C$35:$C$55,0),MATCH("Amount",Sources!$C$35:$N$35,0)),"$#,##0")," total)"),CONCATENATE(TEXT(INDEX(OpBudget!$C$159:$K$165,MATCH(C56,OpBudget!$C$159:$C$165,0),MATCH("Total Amount",OpBudget!$C$159:$K$159,0)),"$#,##0"),"/yr.)"))))</f>
        <v/>
      </c>
      <c r="E56" s="1421"/>
      <c r="F56" s="481">
        <f>SUM(Loans!E74,Loans!E79)</f>
        <v>0</v>
      </c>
      <c r="G56" s="481">
        <f>SUM(Loans!F74,Loans!F79)</f>
        <v>0</v>
      </c>
      <c r="H56" s="481">
        <f>SUM(Loans!G74,Loans!G79)</f>
        <v>0</v>
      </c>
      <c r="I56" s="481">
        <f>SUM(Loans!H74,Loans!H79)</f>
        <v>0</v>
      </c>
      <c r="J56" s="481">
        <f>SUM(Loans!I74,Loans!I79)</f>
        <v>0</v>
      </c>
      <c r="K56" s="481">
        <f>SUM(Loans!J74,Loans!J79)</f>
        <v>0</v>
      </c>
      <c r="L56" s="481">
        <f>SUM(Loans!K74,Loans!K79)</f>
        <v>0</v>
      </c>
      <c r="M56" s="481">
        <f>SUM(Loans!L74,Loans!L79)</f>
        <v>0</v>
      </c>
      <c r="N56" s="481">
        <f>SUM(Loans!M74,Loans!M79)</f>
        <v>0</v>
      </c>
      <c r="O56" s="481">
        <f>SUM(Loans!N74,Loans!N79)</f>
        <v>0</v>
      </c>
      <c r="P56" s="481">
        <f>SUM(Loans!O74,Loans!O79)</f>
        <v>0</v>
      </c>
      <c r="Q56" s="481">
        <f>SUM(Loans!P74,Loans!P79)</f>
        <v>0</v>
      </c>
      <c r="R56" s="481">
        <f>SUM(Loans!Q74,Loans!Q79)</f>
        <v>0</v>
      </c>
      <c r="S56" s="481">
        <f>SUM(Loans!R74,Loans!R79)</f>
        <v>0</v>
      </c>
      <c r="T56" s="538">
        <f>SUM(Loans!S74,Loans!S79)</f>
        <v>0</v>
      </c>
      <c r="U56" s="483">
        <f>SUM(Loans!T74,Loans!T79)</f>
        <v>0</v>
      </c>
      <c r="V56" s="484">
        <f>SUM(Loans!U74,Loans!U79)</f>
        <v>0</v>
      </c>
      <c r="W56" s="484">
        <f>SUM(Loans!V74,Loans!V79)</f>
        <v>0</v>
      </c>
      <c r="X56" s="484">
        <f>SUM(Loans!W74,Loans!W79)</f>
        <v>0</v>
      </c>
      <c r="Y56" s="484">
        <f>SUM(Loans!X74,Loans!X79)</f>
        <v>0</v>
      </c>
      <c r="Z56" s="484">
        <f>SUM(Loans!Y74,Loans!Y79)</f>
        <v>0</v>
      </c>
      <c r="AA56" s="484">
        <f>SUM(Loans!Z74,Loans!Z79)</f>
        <v>0</v>
      </c>
      <c r="AB56" s="484">
        <f>SUM(Loans!AA74,Loans!AA79)</f>
        <v>0</v>
      </c>
      <c r="AC56" s="484">
        <f>SUM(Loans!AB74,Loans!AB79)</f>
        <v>0</v>
      </c>
      <c r="AD56" s="484">
        <f>SUM(Loans!AC74,Loans!AC79)</f>
        <v>0</v>
      </c>
      <c r="AE56" s="484">
        <f>SUM(Loans!AD74,Loans!AD79)</f>
        <v>0</v>
      </c>
      <c r="AF56" s="484">
        <f>SUM(Loans!AE74,Loans!AE79)</f>
        <v>0</v>
      </c>
      <c r="AG56" s="484">
        <f>SUM(Loans!AF74,Loans!AF79)</f>
        <v>0</v>
      </c>
      <c r="AH56" s="484">
        <f>SUM(Loans!AG74,Loans!AG79)</f>
        <v>0</v>
      </c>
      <c r="AI56" s="484">
        <f>SUM(Loans!AH74,Loans!AH79)</f>
        <v>0</v>
      </c>
      <c r="AJ56" s="473"/>
    </row>
    <row r="57" spans="3:36" ht="15" customHeight="1" x14ac:dyDescent="0.2">
      <c r="C57" s="467" t="str">
        <f>IF(Sources!D69="","N/A",Sources!$D69)</f>
        <v>N/A</v>
      </c>
      <c r="D57" s="1399" t="str">
        <f>IF(C57="N/A","",CONCATENATE("(",TEXT(Sources!G69,"0%")," of CF, ",IFERROR(CONCATENATE(TEXT(INDEX(Sources!$C$35:$K$55,MATCH(C57,Sources!$C$35:$C$55,0),MATCH("Amount",Sources!$C$35:$N$35,0)),"$#,##0")," total)"),CONCATENATE(TEXT(INDEX(OpBudget!$C$159:$K$165,MATCH(C57,OpBudget!$C$159:$C$165,0),MATCH("Total Amount",OpBudget!$C$159:$K$159,0)),"$#,##0"),"/yr.)"))))</f>
        <v/>
      </c>
      <c r="E57" s="1400"/>
      <c r="F57" s="469">
        <f>SUM(Loans!E109,Loans!E114)</f>
        <v>0</v>
      </c>
      <c r="G57" s="469">
        <f>SUM(Loans!F109,Loans!F114)</f>
        <v>0</v>
      </c>
      <c r="H57" s="469">
        <f>SUM(Loans!G109,Loans!G114)</f>
        <v>0</v>
      </c>
      <c r="I57" s="469">
        <f>SUM(Loans!H109,Loans!H114)</f>
        <v>0</v>
      </c>
      <c r="J57" s="469">
        <f>SUM(Loans!I109,Loans!I114)</f>
        <v>0</v>
      </c>
      <c r="K57" s="469">
        <f>SUM(Loans!J109,Loans!J114)</f>
        <v>0</v>
      </c>
      <c r="L57" s="469">
        <f>SUM(Loans!K109,Loans!K114)</f>
        <v>0</v>
      </c>
      <c r="M57" s="469">
        <f>SUM(Loans!L109,Loans!L114)</f>
        <v>0</v>
      </c>
      <c r="N57" s="469">
        <f>SUM(Loans!M109,Loans!M114)</f>
        <v>0</v>
      </c>
      <c r="O57" s="469">
        <f>SUM(Loans!N109,Loans!N114)</f>
        <v>0</v>
      </c>
      <c r="P57" s="469">
        <f>SUM(Loans!O109,Loans!O114)</f>
        <v>0</v>
      </c>
      <c r="Q57" s="469">
        <f>SUM(Loans!P109,Loans!P114)</f>
        <v>0</v>
      </c>
      <c r="R57" s="469">
        <f>SUM(Loans!Q109,Loans!Q114)</f>
        <v>0</v>
      </c>
      <c r="S57" s="469">
        <f>SUM(Loans!R109,Loans!R114)</f>
        <v>0</v>
      </c>
      <c r="T57" s="470">
        <f>SUM(Loans!S109,Loans!S114)</f>
        <v>0</v>
      </c>
      <c r="U57" s="471">
        <f>SUM(Loans!T109,Loans!T114)</f>
        <v>0</v>
      </c>
      <c r="V57" s="472">
        <f>SUM(Loans!U109,Loans!U114)</f>
        <v>0</v>
      </c>
      <c r="W57" s="472">
        <f>SUM(Loans!V109,Loans!V114)</f>
        <v>0</v>
      </c>
      <c r="X57" s="472">
        <f>SUM(Loans!W109,Loans!W114)</f>
        <v>0</v>
      </c>
      <c r="Y57" s="472">
        <f>SUM(Loans!X109,Loans!X114)</f>
        <v>0</v>
      </c>
      <c r="Z57" s="472">
        <f>SUM(Loans!Y109,Loans!Y114)</f>
        <v>0</v>
      </c>
      <c r="AA57" s="472">
        <f>SUM(Loans!Z109,Loans!Z114)</f>
        <v>0</v>
      </c>
      <c r="AB57" s="472">
        <f>SUM(Loans!AA109,Loans!AA114)</f>
        <v>0</v>
      </c>
      <c r="AC57" s="472">
        <f>SUM(Loans!AB109,Loans!AB114)</f>
        <v>0</v>
      </c>
      <c r="AD57" s="472">
        <f>SUM(Loans!AC109,Loans!AC114)</f>
        <v>0</v>
      </c>
      <c r="AE57" s="472">
        <f>SUM(Loans!AD109,Loans!AD114)</f>
        <v>0</v>
      </c>
      <c r="AF57" s="472">
        <f>SUM(Loans!AE109,Loans!AE114)</f>
        <v>0</v>
      </c>
      <c r="AG57" s="472">
        <f>SUM(Loans!AF109,Loans!AF114)</f>
        <v>0</v>
      </c>
      <c r="AH57" s="472">
        <f>SUM(Loans!AG109,Loans!AG114)</f>
        <v>0</v>
      </c>
      <c r="AI57" s="472">
        <f>SUM(Loans!AH109,Loans!AH114)</f>
        <v>0</v>
      </c>
      <c r="AJ57" s="473"/>
    </row>
    <row r="58" spans="3:36" ht="15" customHeight="1" x14ac:dyDescent="0.2">
      <c r="C58" s="467" t="str">
        <f>IF(Sources!D70="","N/A",Sources!$D70)</f>
        <v>N/A</v>
      </c>
      <c r="D58" s="1399" t="str">
        <f>IF(C58="N/A","",CONCATENATE("(",TEXT(Sources!G70,"0%")," of CF, ",IFERROR(CONCATENATE(TEXT(INDEX(Sources!$C$35:$K$55,MATCH(C58,Sources!$C$35:$C$55,0),MATCH("Amount",Sources!$C$35:$N$35,0)),"$#,##0")," total)"),CONCATENATE(TEXT(INDEX(OpBudget!$C$159:$K$165,MATCH(C58,OpBudget!$C$159:$C$165,0),MATCH("Total Amount",OpBudget!$C$159:$K$159,0)),"$#,##0"),"/yr.)"))))</f>
        <v/>
      </c>
      <c r="E58" s="1400"/>
      <c r="F58" s="496">
        <f>SUM(Loans!E144,Loans!E149)</f>
        <v>0</v>
      </c>
      <c r="G58" s="496">
        <f>SUM(Loans!F144,Loans!F149)</f>
        <v>0</v>
      </c>
      <c r="H58" s="496">
        <f>SUM(Loans!G144,Loans!G149)</f>
        <v>0</v>
      </c>
      <c r="I58" s="496">
        <f>SUM(Loans!H144,Loans!H149)</f>
        <v>0</v>
      </c>
      <c r="J58" s="496">
        <f>SUM(Loans!I144,Loans!I149)</f>
        <v>0</v>
      </c>
      <c r="K58" s="496">
        <f>SUM(Loans!J144,Loans!J149)</f>
        <v>0</v>
      </c>
      <c r="L58" s="496">
        <f>SUM(Loans!K144,Loans!K149)</f>
        <v>0</v>
      </c>
      <c r="M58" s="496">
        <f>SUM(Loans!L144,Loans!L149)</f>
        <v>0</v>
      </c>
      <c r="N58" s="496">
        <f>SUM(Loans!M144,Loans!M149)</f>
        <v>0</v>
      </c>
      <c r="O58" s="496">
        <f>SUM(Loans!N144,Loans!N149)</f>
        <v>0</v>
      </c>
      <c r="P58" s="496">
        <f>SUM(Loans!O144,Loans!O149)</f>
        <v>0</v>
      </c>
      <c r="Q58" s="496">
        <f>SUM(Loans!P144,Loans!P149)</f>
        <v>0</v>
      </c>
      <c r="R58" s="496">
        <f>SUM(Loans!Q144,Loans!Q149)</f>
        <v>0</v>
      </c>
      <c r="S58" s="496">
        <f>SUM(Loans!R144,Loans!R149)</f>
        <v>0</v>
      </c>
      <c r="T58" s="470">
        <f>SUM(Loans!S144,Loans!S149)</f>
        <v>0</v>
      </c>
      <c r="U58" s="471">
        <f>SUM(Loans!T144,Loans!T149)</f>
        <v>0</v>
      </c>
      <c r="V58" s="471">
        <f>SUM(Loans!U144,Loans!U149)</f>
        <v>0</v>
      </c>
      <c r="W58" s="471">
        <f>SUM(Loans!V144,Loans!V149)</f>
        <v>0</v>
      </c>
      <c r="X58" s="471">
        <f>SUM(Loans!W144,Loans!W149)</f>
        <v>0</v>
      </c>
      <c r="Y58" s="471">
        <f>SUM(Loans!X144,Loans!X149)</f>
        <v>0</v>
      </c>
      <c r="Z58" s="471">
        <f>SUM(Loans!Y144,Loans!Y149)</f>
        <v>0</v>
      </c>
      <c r="AA58" s="471">
        <f>SUM(Loans!Z144,Loans!Z149)</f>
        <v>0</v>
      </c>
      <c r="AB58" s="471">
        <f>SUM(Loans!AA144,Loans!AA149)</f>
        <v>0</v>
      </c>
      <c r="AC58" s="471">
        <f>SUM(Loans!AB144,Loans!AB149)</f>
        <v>0</v>
      </c>
      <c r="AD58" s="471">
        <f>SUM(Loans!AC144,Loans!AC149)</f>
        <v>0</v>
      </c>
      <c r="AE58" s="471">
        <f>SUM(Loans!AD144,Loans!AD149)</f>
        <v>0</v>
      </c>
      <c r="AF58" s="471">
        <f>SUM(Loans!AE144,Loans!AE149)</f>
        <v>0</v>
      </c>
      <c r="AG58" s="471">
        <f>SUM(Loans!AF144,Loans!AF149)</f>
        <v>0</v>
      </c>
      <c r="AH58" s="471">
        <f>SUM(Loans!AG144,Loans!AG149)</f>
        <v>0</v>
      </c>
      <c r="AI58" s="471">
        <f>SUM(Loans!AH144,Loans!AH149)</f>
        <v>0</v>
      </c>
      <c r="AJ58" s="473"/>
    </row>
    <row r="59" spans="3:36" ht="15" customHeight="1" x14ac:dyDescent="0.2">
      <c r="C59" s="467" t="str">
        <f>IF(Sources!D71="","N/A",Sources!$D71)</f>
        <v>N/A</v>
      </c>
      <c r="D59" s="1399" t="str">
        <f>IF(C59="N/A","",CONCATENATE("(",TEXT(Sources!G71,"0%")," of CF, ",IFERROR(CONCATENATE(TEXT(INDEX(Sources!$C$35:$K$55,MATCH(C59,Sources!$C$35:$C$55,0),MATCH("Amount",Sources!$C$35:$N$35,0)),"$#,##0")," total)"),CONCATENATE(TEXT(INDEX(OpBudget!$C$159:$K$165,MATCH(C59,OpBudget!$C$159:$C$165,0),MATCH("Total Amount",OpBudget!$C$159:$K$159,0)),"$#,##0"),"/yr.)"))))</f>
        <v/>
      </c>
      <c r="E59" s="1400"/>
      <c r="F59" s="496">
        <f>SUM(Loans!E179,Loans!E184)</f>
        <v>0</v>
      </c>
      <c r="G59" s="496">
        <f>SUM(Loans!F179,Loans!F184)</f>
        <v>0</v>
      </c>
      <c r="H59" s="496">
        <f>SUM(Loans!G179,Loans!G184)</f>
        <v>0</v>
      </c>
      <c r="I59" s="496">
        <f>SUM(Loans!H179,Loans!H184)</f>
        <v>0</v>
      </c>
      <c r="J59" s="496">
        <f>SUM(Loans!I179,Loans!I184)</f>
        <v>0</v>
      </c>
      <c r="K59" s="496">
        <f>SUM(Loans!J179,Loans!J184)</f>
        <v>0</v>
      </c>
      <c r="L59" s="496">
        <f>SUM(Loans!K179,Loans!K184)</f>
        <v>0</v>
      </c>
      <c r="M59" s="496">
        <f>SUM(Loans!L179,Loans!L184)</f>
        <v>0</v>
      </c>
      <c r="N59" s="496">
        <f>SUM(Loans!M179,Loans!M184)</f>
        <v>0</v>
      </c>
      <c r="O59" s="496">
        <f>SUM(Loans!N179,Loans!N184)</f>
        <v>0</v>
      </c>
      <c r="P59" s="496">
        <f>SUM(Loans!O179,Loans!O184)</f>
        <v>0</v>
      </c>
      <c r="Q59" s="496">
        <f>SUM(Loans!P179,Loans!P184)</f>
        <v>0</v>
      </c>
      <c r="R59" s="496">
        <f>SUM(Loans!Q179,Loans!Q184)</f>
        <v>0</v>
      </c>
      <c r="S59" s="496">
        <f>SUM(Loans!R179,Loans!R184)</f>
        <v>0</v>
      </c>
      <c r="T59" s="470">
        <f>SUM(Loans!S179,Loans!S184)</f>
        <v>0</v>
      </c>
      <c r="U59" s="471">
        <f>SUM(Loans!T179,Loans!T184)</f>
        <v>0</v>
      </c>
      <c r="V59" s="471">
        <f>SUM(Loans!U179,Loans!U184)</f>
        <v>0</v>
      </c>
      <c r="W59" s="471">
        <f>SUM(Loans!V179,Loans!V184)</f>
        <v>0</v>
      </c>
      <c r="X59" s="471">
        <f>SUM(Loans!W179,Loans!W184)</f>
        <v>0</v>
      </c>
      <c r="Y59" s="471">
        <f>SUM(Loans!X179,Loans!X184)</f>
        <v>0</v>
      </c>
      <c r="Z59" s="471">
        <f>SUM(Loans!Y179,Loans!Y184)</f>
        <v>0</v>
      </c>
      <c r="AA59" s="471">
        <f>SUM(Loans!Z179,Loans!Z184)</f>
        <v>0</v>
      </c>
      <c r="AB59" s="471">
        <f>SUM(Loans!AA179,Loans!AA184)</f>
        <v>0</v>
      </c>
      <c r="AC59" s="471">
        <f>SUM(Loans!AB179,Loans!AB184)</f>
        <v>0</v>
      </c>
      <c r="AD59" s="471">
        <f>SUM(Loans!AC179,Loans!AC184)</f>
        <v>0</v>
      </c>
      <c r="AE59" s="471">
        <f>SUM(Loans!AD179,Loans!AD184)</f>
        <v>0</v>
      </c>
      <c r="AF59" s="471">
        <f>SUM(Loans!AE179,Loans!AE184)</f>
        <v>0</v>
      </c>
      <c r="AG59" s="471">
        <f>SUM(Loans!AF179,Loans!AF184)</f>
        <v>0</v>
      </c>
      <c r="AH59" s="471">
        <f>SUM(Loans!AG179,Loans!AG184)</f>
        <v>0</v>
      </c>
      <c r="AI59" s="471">
        <f>SUM(Loans!AH179,Loans!AH184)</f>
        <v>0</v>
      </c>
      <c r="AJ59" s="473"/>
    </row>
    <row r="60" spans="3:36" ht="15" customHeight="1" x14ac:dyDescent="0.2">
      <c r="C60" s="467" t="str">
        <f>IF(Sources!D72="","N/A",Sources!$D72)</f>
        <v>N/A</v>
      </c>
      <c r="D60" s="1399" t="str">
        <f>IF(C60="N/A","",CONCATENATE("(",TEXT(Sources!G72,"0%")," of CF, ",IFERROR(CONCATENATE(TEXT(INDEX(Sources!$C$35:$K$55,MATCH(C60,Sources!$C$35:$C$55,0),MATCH("Amount",Sources!$C$35:$N$35,0)),"$#,##0")," total)"),CONCATENATE(TEXT(INDEX(OpBudget!$C$159:$K$165,MATCH(C60,OpBudget!$C$159:$C$165,0),MATCH("Total Amount",OpBudget!$C$159:$K$159,0)),"$#,##0"),"/yr.)"))))</f>
        <v/>
      </c>
      <c r="E60" s="1400"/>
      <c r="F60" s="496">
        <f>SUM(Loans!E214,Loans!E219)</f>
        <v>0</v>
      </c>
      <c r="G60" s="496">
        <f>SUM(Loans!F214,Loans!F219)</f>
        <v>0</v>
      </c>
      <c r="H60" s="496">
        <f>SUM(Loans!G214,Loans!G219)</f>
        <v>0</v>
      </c>
      <c r="I60" s="496">
        <f>SUM(Loans!H214,Loans!H219)</f>
        <v>0</v>
      </c>
      <c r="J60" s="496">
        <f>SUM(Loans!I214,Loans!I219)</f>
        <v>0</v>
      </c>
      <c r="K60" s="496">
        <f>SUM(Loans!J214,Loans!J219)</f>
        <v>0</v>
      </c>
      <c r="L60" s="496">
        <f>SUM(Loans!K214,Loans!K219)</f>
        <v>0</v>
      </c>
      <c r="M60" s="496">
        <f>SUM(Loans!L214,Loans!L219)</f>
        <v>0</v>
      </c>
      <c r="N60" s="496">
        <f>SUM(Loans!M214,Loans!M219)</f>
        <v>0</v>
      </c>
      <c r="O60" s="496">
        <f>SUM(Loans!N214,Loans!N219)</f>
        <v>0</v>
      </c>
      <c r="P60" s="496">
        <f>SUM(Loans!O214,Loans!O219)</f>
        <v>0</v>
      </c>
      <c r="Q60" s="496">
        <f>SUM(Loans!P214,Loans!P219)</f>
        <v>0</v>
      </c>
      <c r="R60" s="496">
        <f>SUM(Loans!Q214,Loans!Q219)</f>
        <v>0</v>
      </c>
      <c r="S60" s="496">
        <f>SUM(Loans!R214,Loans!R219)</f>
        <v>0</v>
      </c>
      <c r="T60" s="470">
        <f>SUM(Loans!S214,Loans!S219)</f>
        <v>0</v>
      </c>
      <c r="U60" s="471">
        <f>SUM(Loans!T214,Loans!T219)</f>
        <v>0</v>
      </c>
      <c r="V60" s="471">
        <f>SUM(Loans!U214,Loans!U219)</f>
        <v>0</v>
      </c>
      <c r="W60" s="471">
        <f>SUM(Loans!V214,Loans!V219)</f>
        <v>0</v>
      </c>
      <c r="X60" s="471">
        <f>SUM(Loans!W214,Loans!W219)</f>
        <v>0</v>
      </c>
      <c r="Y60" s="471">
        <f>SUM(Loans!X214,Loans!X219)</f>
        <v>0</v>
      </c>
      <c r="Z60" s="471">
        <f>SUM(Loans!Y214,Loans!Y219)</f>
        <v>0</v>
      </c>
      <c r="AA60" s="471">
        <f>SUM(Loans!Z214,Loans!Z219)</f>
        <v>0</v>
      </c>
      <c r="AB60" s="471">
        <f>SUM(Loans!AA214,Loans!AA219)</f>
        <v>0</v>
      </c>
      <c r="AC60" s="471">
        <f>SUM(Loans!AB214,Loans!AB219)</f>
        <v>0</v>
      </c>
      <c r="AD60" s="471">
        <f>SUM(Loans!AC214,Loans!AC219)</f>
        <v>0</v>
      </c>
      <c r="AE60" s="471">
        <f>SUM(Loans!AD214,Loans!AD219)</f>
        <v>0</v>
      </c>
      <c r="AF60" s="471">
        <f>SUM(Loans!AE214,Loans!AE219)</f>
        <v>0</v>
      </c>
      <c r="AG60" s="471">
        <f>SUM(Loans!AF214,Loans!AF219)</f>
        <v>0</v>
      </c>
      <c r="AH60" s="471">
        <f>SUM(Loans!AG214,Loans!AG219)</f>
        <v>0</v>
      </c>
      <c r="AI60" s="471">
        <f>SUM(Loans!AH214,Loans!AH219)</f>
        <v>0</v>
      </c>
      <c r="AJ60" s="473"/>
    </row>
    <row r="61" spans="3:36" ht="15" customHeight="1" x14ac:dyDescent="0.2">
      <c r="C61" s="467" t="str">
        <f>IF(Sources!D73="","N/A",Sources!$D73)</f>
        <v>N/A</v>
      </c>
      <c r="D61" s="1399" t="str">
        <f>IF(C61="N/A","",CONCATENATE("(",TEXT(Sources!G73,"0%")," of CF, ",IFERROR(CONCATENATE(TEXT(INDEX(Sources!$C$35:$K$55,MATCH(C61,Sources!$C$35:$C$55,0),MATCH("Amount",Sources!$C$35:$N$35,0)),"$#,##0")," total)"),CONCATENATE(TEXT(INDEX(OpBudget!$C$159:$K$165,MATCH(C61,OpBudget!$C$159:$C$165,0),MATCH("Total Amount",OpBudget!$C$159:$K$159,0)),"$#,##0"),"/yr.)"))))</f>
        <v/>
      </c>
      <c r="E61" s="1400"/>
      <c r="F61" s="496">
        <f>SUM(Loans!E249,Loans!E254)</f>
        <v>0</v>
      </c>
      <c r="G61" s="496">
        <f>SUM(Loans!F249,Loans!F254)</f>
        <v>0</v>
      </c>
      <c r="H61" s="496">
        <f>SUM(Loans!G249,Loans!G254)</f>
        <v>0</v>
      </c>
      <c r="I61" s="496">
        <f>SUM(Loans!H249,Loans!H254)</f>
        <v>0</v>
      </c>
      <c r="J61" s="496">
        <f>SUM(Loans!I249,Loans!I254)</f>
        <v>0</v>
      </c>
      <c r="K61" s="496">
        <f>SUM(Loans!J249,Loans!J254)</f>
        <v>0</v>
      </c>
      <c r="L61" s="496">
        <f>SUM(Loans!K249,Loans!K254)</f>
        <v>0</v>
      </c>
      <c r="M61" s="496">
        <f>SUM(Loans!L249,Loans!L254)</f>
        <v>0</v>
      </c>
      <c r="N61" s="496">
        <f>SUM(Loans!M249,Loans!M254)</f>
        <v>0</v>
      </c>
      <c r="O61" s="496">
        <f>SUM(Loans!N249,Loans!N254)</f>
        <v>0</v>
      </c>
      <c r="P61" s="496">
        <f>SUM(Loans!O249,Loans!O254)</f>
        <v>0</v>
      </c>
      <c r="Q61" s="496">
        <f>SUM(Loans!P249,Loans!P254)</f>
        <v>0</v>
      </c>
      <c r="R61" s="496">
        <f>SUM(Loans!Q249,Loans!Q254)</f>
        <v>0</v>
      </c>
      <c r="S61" s="496">
        <f>SUM(Loans!R249,Loans!R254)</f>
        <v>0</v>
      </c>
      <c r="T61" s="470">
        <f>SUM(Loans!S249,Loans!S254)</f>
        <v>0</v>
      </c>
      <c r="U61" s="471">
        <f>SUM(Loans!T249,Loans!T254)</f>
        <v>0</v>
      </c>
      <c r="V61" s="471">
        <f>SUM(Loans!U249,Loans!U254)</f>
        <v>0</v>
      </c>
      <c r="W61" s="471">
        <f>SUM(Loans!V249,Loans!V254)</f>
        <v>0</v>
      </c>
      <c r="X61" s="471">
        <f>SUM(Loans!W249,Loans!W254)</f>
        <v>0</v>
      </c>
      <c r="Y61" s="471">
        <f>SUM(Loans!X249,Loans!X254)</f>
        <v>0</v>
      </c>
      <c r="Z61" s="471">
        <f>SUM(Loans!Y249,Loans!Y254)</f>
        <v>0</v>
      </c>
      <c r="AA61" s="471">
        <f>SUM(Loans!Z249,Loans!Z254)</f>
        <v>0</v>
      </c>
      <c r="AB61" s="471">
        <f>SUM(Loans!AA249,Loans!AA254)</f>
        <v>0</v>
      </c>
      <c r="AC61" s="471">
        <f>SUM(Loans!AB249,Loans!AB254)</f>
        <v>0</v>
      </c>
      <c r="AD61" s="471">
        <f>SUM(Loans!AC249,Loans!AC254)</f>
        <v>0</v>
      </c>
      <c r="AE61" s="471">
        <f>SUM(Loans!AD249,Loans!AD254)</f>
        <v>0</v>
      </c>
      <c r="AF61" s="471">
        <f>SUM(Loans!AE249,Loans!AE254)</f>
        <v>0</v>
      </c>
      <c r="AG61" s="471">
        <f>SUM(Loans!AF249,Loans!AF254)</f>
        <v>0</v>
      </c>
      <c r="AH61" s="471">
        <f>SUM(Loans!AG249,Loans!AG254)</f>
        <v>0</v>
      </c>
      <c r="AI61" s="471">
        <f>SUM(Loans!AH249,Loans!AH254)</f>
        <v>0</v>
      </c>
      <c r="AJ61" s="473"/>
    </row>
    <row r="62" spans="3:36" ht="15" customHeight="1" x14ac:dyDescent="0.2">
      <c r="C62" s="467" t="str">
        <f>IF(Sources!D74="","N/A",Sources!$D74)</f>
        <v>N/A</v>
      </c>
      <c r="D62" s="1399" t="str">
        <f>IF(C62="N/A","",CONCATENATE("(",TEXT(Sources!G74,"0%")," of CF, ",IFERROR(CONCATENATE(TEXT(INDEX(Sources!$C$35:$K$55,MATCH(C62,Sources!$C$35:$C$55,0),MATCH("Amount",Sources!$C$35:$N$35,0)),"$#,##0")," total)"),CONCATENATE(TEXT(INDEX(OpBudget!$C$159:$K$165,MATCH(C62,OpBudget!$C$159:$C$165,0),MATCH("Total Amount",OpBudget!$C$159:$K$159,0)),"$#,##0"),"/yr.)"))))</f>
        <v/>
      </c>
      <c r="E62" s="1400"/>
      <c r="F62" s="496">
        <f>SUM(Loans!E284,Loans!E289)</f>
        <v>0</v>
      </c>
      <c r="G62" s="496">
        <f>SUM(Loans!F284,Loans!F289)</f>
        <v>0</v>
      </c>
      <c r="H62" s="496">
        <f>SUM(Loans!G284,Loans!G289)</f>
        <v>0</v>
      </c>
      <c r="I62" s="496">
        <f>SUM(Loans!H284,Loans!H289)</f>
        <v>0</v>
      </c>
      <c r="J62" s="496">
        <f>SUM(Loans!I284,Loans!I289)</f>
        <v>0</v>
      </c>
      <c r="K62" s="496">
        <f>SUM(Loans!J284,Loans!J289)</f>
        <v>0</v>
      </c>
      <c r="L62" s="496">
        <f>SUM(Loans!K284,Loans!K289)</f>
        <v>0</v>
      </c>
      <c r="M62" s="496">
        <f>SUM(Loans!L284,Loans!L289)</f>
        <v>0</v>
      </c>
      <c r="N62" s="496">
        <f>SUM(Loans!M284,Loans!M289)</f>
        <v>0</v>
      </c>
      <c r="O62" s="496">
        <f>SUM(Loans!N284,Loans!N289)</f>
        <v>0</v>
      </c>
      <c r="P62" s="496">
        <f>SUM(Loans!O284,Loans!O289)</f>
        <v>0</v>
      </c>
      <c r="Q62" s="496">
        <f>SUM(Loans!P284,Loans!P289)</f>
        <v>0</v>
      </c>
      <c r="R62" s="496">
        <f>SUM(Loans!Q284,Loans!Q289)</f>
        <v>0</v>
      </c>
      <c r="S62" s="496">
        <f>SUM(Loans!R284,Loans!R289)</f>
        <v>0</v>
      </c>
      <c r="T62" s="470">
        <f>SUM(Loans!S284,Loans!S289)</f>
        <v>0</v>
      </c>
      <c r="U62" s="471">
        <f>SUM(Loans!T284,Loans!T289)</f>
        <v>0</v>
      </c>
      <c r="V62" s="471">
        <f>SUM(Loans!U284,Loans!U289)</f>
        <v>0</v>
      </c>
      <c r="W62" s="471">
        <f>SUM(Loans!V284,Loans!V289)</f>
        <v>0</v>
      </c>
      <c r="X62" s="471">
        <f>SUM(Loans!W284,Loans!W289)</f>
        <v>0</v>
      </c>
      <c r="Y62" s="471">
        <f>SUM(Loans!X284,Loans!X289)</f>
        <v>0</v>
      </c>
      <c r="Z62" s="471">
        <f>SUM(Loans!Y284,Loans!Y289)</f>
        <v>0</v>
      </c>
      <c r="AA62" s="471">
        <f>SUM(Loans!Z284,Loans!Z289)</f>
        <v>0</v>
      </c>
      <c r="AB62" s="471">
        <f>SUM(Loans!AA284,Loans!AA289)</f>
        <v>0</v>
      </c>
      <c r="AC62" s="471">
        <f>SUM(Loans!AB284,Loans!AB289)</f>
        <v>0</v>
      </c>
      <c r="AD62" s="471">
        <f>SUM(Loans!AC284,Loans!AC289)</f>
        <v>0</v>
      </c>
      <c r="AE62" s="471">
        <f>SUM(Loans!AD284,Loans!AD289)</f>
        <v>0</v>
      </c>
      <c r="AF62" s="471">
        <f>SUM(Loans!AE284,Loans!AE289)</f>
        <v>0</v>
      </c>
      <c r="AG62" s="471">
        <f>SUM(Loans!AF284,Loans!AF289)</f>
        <v>0</v>
      </c>
      <c r="AH62" s="471">
        <f>SUM(Loans!AG284,Loans!AG289)</f>
        <v>0</v>
      </c>
      <c r="AI62" s="471">
        <f>SUM(Loans!AH284,Loans!AH289)</f>
        <v>0</v>
      </c>
      <c r="AJ62" s="473"/>
    </row>
    <row r="63" spans="3:36" ht="15" customHeight="1" x14ac:dyDescent="0.2">
      <c r="C63" s="467" t="str">
        <f>IF(Sources!D75="","N/A",Sources!$D75)</f>
        <v>N/A</v>
      </c>
      <c r="D63" s="1399" t="str">
        <f>IF(C63="N/A","",CONCATENATE("(",TEXT(Sources!G75,"0%")," of CF, ",IFERROR(CONCATENATE(TEXT(INDEX(Sources!$C$35:$K$55,MATCH(C63,Sources!$C$35:$C$55,0),MATCH("Amount",Sources!$C$35:$N$35,0)),"$#,##0")," total)"),CONCATENATE(TEXT(INDEX(OpBudget!$C$159:$K$165,MATCH(C63,OpBudget!$C$159:$C$165,0),MATCH("Total Amount",OpBudget!$C$159:$K$159,0)),"$#,##0"),"/yr.)"))))</f>
        <v/>
      </c>
      <c r="E63" s="1400"/>
      <c r="F63" s="496">
        <f>SUM(Loans!E319,Loans!E324)</f>
        <v>0</v>
      </c>
      <c r="G63" s="496">
        <f>SUM(Loans!F319,Loans!F324)</f>
        <v>0</v>
      </c>
      <c r="H63" s="496">
        <f>SUM(Loans!G319,Loans!G324)</f>
        <v>0</v>
      </c>
      <c r="I63" s="496">
        <f>SUM(Loans!H319,Loans!H324)</f>
        <v>0</v>
      </c>
      <c r="J63" s="496">
        <f>SUM(Loans!I319,Loans!I324)</f>
        <v>0</v>
      </c>
      <c r="K63" s="496">
        <f>SUM(Loans!J319,Loans!J324)</f>
        <v>0</v>
      </c>
      <c r="L63" s="496">
        <f>SUM(Loans!K319,Loans!K324)</f>
        <v>0</v>
      </c>
      <c r="M63" s="496">
        <f>SUM(Loans!L319,Loans!L324)</f>
        <v>0</v>
      </c>
      <c r="N63" s="496">
        <f>SUM(Loans!M319,Loans!M324)</f>
        <v>0</v>
      </c>
      <c r="O63" s="496">
        <f>SUM(Loans!N319,Loans!N324)</f>
        <v>0</v>
      </c>
      <c r="P63" s="496">
        <f>SUM(Loans!O319,Loans!O324)</f>
        <v>0</v>
      </c>
      <c r="Q63" s="496">
        <f>SUM(Loans!P319,Loans!P324)</f>
        <v>0</v>
      </c>
      <c r="R63" s="496">
        <f>SUM(Loans!Q319,Loans!Q324)</f>
        <v>0</v>
      </c>
      <c r="S63" s="496">
        <f>SUM(Loans!R319,Loans!R324)</f>
        <v>0</v>
      </c>
      <c r="T63" s="470">
        <f>SUM(Loans!S319,Loans!S324)</f>
        <v>0</v>
      </c>
      <c r="U63" s="471">
        <f>SUM(Loans!T319,Loans!T324)</f>
        <v>0</v>
      </c>
      <c r="V63" s="471">
        <f>SUM(Loans!U319,Loans!U324)</f>
        <v>0</v>
      </c>
      <c r="W63" s="471">
        <f>SUM(Loans!V319,Loans!V324)</f>
        <v>0</v>
      </c>
      <c r="X63" s="471">
        <f>SUM(Loans!W319,Loans!W324)</f>
        <v>0</v>
      </c>
      <c r="Y63" s="471">
        <f>SUM(Loans!X319,Loans!X324)</f>
        <v>0</v>
      </c>
      <c r="Z63" s="471">
        <f>SUM(Loans!Y319,Loans!Y324)</f>
        <v>0</v>
      </c>
      <c r="AA63" s="471">
        <f>SUM(Loans!Z319,Loans!Z324)</f>
        <v>0</v>
      </c>
      <c r="AB63" s="471">
        <f>SUM(Loans!AA319,Loans!AA324)</f>
        <v>0</v>
      </c>
      <c r="AC63" s="471">
        <f>SUM(Loans!AB319,Loans!AB324)</f>
        <v>0</v>
      </c>
      <c r="AD63" s="471">
        <f>SUM(Loans!AC319,Loans!AC324)</f>
        <v>0</v>
      </c>
      <c r="AE63" s="471">
        <f>SUM(Loans!AD319,Loans!AD324)</f>
        <v>0</v>
      </c>
      <c r="AF63" s="471">
        <f>SUM(Loans!AE319,Loans!AE324)</f>
        <v>0</v>
      </c>
      <c r="AG63" s="471">
        <f>SUM(Loans!AF319,Loans!AF324)</f>
        <v>0</v>
      </c>
      <c r="AH63" s="471">
        <f>SUM(Loans!AG319,Loans!AG324)</f>
        <v>0</v>
      </c>
      <c r="AI63" s="471">
        <f>SUM(Loans!AH319,Loans!AH324)</f>
        <v>0</v>
      </c>
      <c r="AJ63" s="473"/>
    </row>
    <row r="64" spans="3:36" ht="15" customHeight="1" x14ac:dyDescent="0.2">
      <c r="C64" s="467" t="str">
        <f>IF(Sources!D76="","N/A",Sources!$D76)</f>
        <v>N/A</v>
      </c>
      <c r="D64" s="1399" t="str">
        <f>IF(C64="N/A","",CONCATENATE("(",TEXT(Sources!G76,"0%")," of CF, ",IFERROR(CONCATENATE(TEXT(INDEX(Sources!$C$35:$K$55,MATCH(C64,Sources!$C$35:$C$55,0),MATCH("Amount",Sources!$C$35:$N$35,0)),"$#,##0")," total)"),CONCATENATE(TEXT(INDEX(OpBudget!$C$159:$K$165,MATCH(C64,OpBudget!$C$159:$C$165,0),MATCH("Total Amount",OpBudget!$C$159:$K$159,0)),"$#,##0"),"/yr.)"))))</f>
        <v/>
      </c>
      <c r="E64" s="1400"/>
      <c r="F64" s="496">
        <f>SUM(Loans!E354,Loans!E359)</f>
        <v>0</v>
      </c>
      <c r="G64" s="496">
        <f>SUM(Loans!F354,Loans!F359)</f>
        <v>0</v>
      </c>
      <c r="H64" s="496">
        <f>SUM(Loans!G354,Loans!G359)</f>
        <v>0</v>
      </c>
      <c r="I64" s="496">
        <f>SUM(Loans!H354,Loans!H359)</f>
        <v>0</v>
      </c>
      <c r="J64" s="496">
        <f>SUM(Loans!I354,Loans!I359)</f>
        <v>0</v>
      </c>
      <c r="K64" s="496">
        <f>SUM(Loans!J354,Loans!J359)</f>
        <v>0</v>
      </c>
      <c r="L64" s="496">
        <f>SUM(Loans!K354,Loans!K359)</f>
        <v>0</v>
      </c>
      <c r="M64" s="496">
        <f>SUM(Loans!L354,Loans!L359)</f>
        <v>0</v>
      </c>
      <c r="N64" s="496">
        <f>SUM(Loans!M354,Loans!M359)</f>
        <v>0</v>
      </c>
      <c r="O64" s="496">
        <f>SUM(Loans!N354,Loans!N359)</f>
        <v>0</v>
      </c>
      <c r="P64" s="496">
        <f>SUM(Loans!O354,Loans!O359)</f>
        <v>0</v>
      </c>
      <c r="Q64" s="496">
        <f>SUM(Loans!P354,Loans!P359)</f>
        <v>0</v>
      </c>
      <c r="R64" s="496">
        <f>SUM(Loans!Q354,Loans!Q359)</f>
        <v>0</v>
      </c>
      <c r="S64" s="496">
        <f>SUM(Loans!R354,Loans!R359)</f>
        <v>0</v>
      </c>
      <c r="T64" s="470">
        <f>SUM(Loans!S354,Loans!S359)</f>
        <v>0</v>
      </c>
      <c r="U64" s="471">
        <f>SUM(Loans!T354,Loans!T359)</f>
        <v>0</v>
      </c>
      <c r="V64" s="471">
        <f>SUM(Loans!U354,Loans!U359)</f>
        <v>0</v>
      </c>
      <c r="W64" s="471">
        <f>SUM(Loans!V354,Loans!V359)</f>
        <v>0</v>
      </c>
      <c r="X64" s="471">
        <f>SUM(Loans!W354,Loans!W359)</f>
        <v>0</v>
      </c>
      <c r="Y64" s="471">
        <f>SUM(Loans!X354,Loans!X359)</f>
        <v>0</v>
      </c>
      <c r="Z64" s="471">
        <f>SUM(Loans!Y354,Loans!Y359)</f>
        <v>0</v>
      </c>
      <c r="AA64" s="471">
        <f>SUM(Loans!Z354,Loans!Z359)</f>
        <v>0</v>
      </c>
      <c r="AB64" s="471">
        <f>SUM(Loans!AA354,Loans!AA359)</f>
        <v>0</v>
      </c>
      <c r="AC64" s="471">
        <f>SUM(Loans!AB354,Loans!AB359)</f>
        <v>0</v>
      </c>
      <c r="AD64" s="471">
        <f>SUM(Loans!AC354,Loans!AC359)</f>
        <v>0</v>
      </c>
      <c r="AE64" s="471">
        <f>SUM(Loans!AD354,Loans!AD359)</f>
        <v>0</v>
      </c>
      <c r="AF64" s="471">
        <f>SUM(Loans!AE354,Loans!AE359)</f>
        <v>0</v>
      </c>
      <c r="AG64" s="471">
        <f>SUM(Loans!AF354,Loans!AF359)</f>
        <v>0</v>
      </c>
      <c r="AH64" s="471">
        <f>SUM(Loans!AG354,Loans!AG359)</f>
        <v>0</v>
      </c>
      <c r="AI64" s="471">
        <f>SUM(Loans!AH354,Loans!AH359)</f>
        <v>0</v>
      </c>
      <c r="AJ64" s="473"/>
    </row>
    <row r="65" spans="3:36" ht="15" customHeight="1" x14ac:dyDescent="0.2">
      <c r="C65" s="467" t="str">
        <f>IF(Sources!D77="","N/A",Sources!$D77)</f>
        <v>N/A</v>
      </c>
      <c r="D65" s="1399" t="str">
        <f>IF(C65="N/A","",CONCATENATE("(",TEXT(Sources!G77,"0%")," of CF, ",IFERROR(CONCATENATE(TEXT(INDEX(Sources!$C$35:$K$55,MATCH(C65,Sources!$C$35:$C$55,0),MATCH("Amount",Sources!$C$35:$N$35,0)),"$#,##0")," total)"),CONCATENATE(TEXT(INDEX(OpBudget!$C$159:$K$165,MATCH(C65,OpBudget!$C$159:$C$165,0),MATCH("Total Amount",OpBudget!$C$159:$K$159,0)),"$#,##0"),"/yr.)"))))</f>
        <v/>
      </c>
      <c r="E65" s="1400"/>
      <c r="F65" s="496">
        <f>SUM(Loans!E389,Loans!E394)</f>
        <v>0</v>
      </c>
      <c r="G65" s="496">
        <f>SUM(Loans!F389,Loans!F394)</f>
        <v>0</v>
      </c>
      <c r="H65" s="496">
        <f>SUM(Loans!G389,Loans!G394)</f>
        <v>0</v>
      </c>
      <c r="I65" s="496">
        <f>SUM(Loans!H389,Loans!H394)</f>
        <v>0</v>
      </c>
      <c r="J65" s="496">
        <f>SUM(Loans!I389,Loans!I394)</f>
        <v>0</v>
      </c>
      <c r="K65" s="496">
        <f>SUM(Loans!J389,Loans!J394)</f>
        <v>0</v>
      </c>
      <c r="L65" s="496">
        <f>SUM(Loans!K389,Loans!K394)</f>
        <v>0</v>
      </c>
      <c r="M65" s="496">
        <f>SUM(Loans!L389,Loans!L394)</f>
        <v>0</v>
      </c>
      <c r="N65" s="496">
        <f>SUM(Loans!M389,Loans!M394)</f>
        <v>0</v>
      </c>
      <c r="O65" s="496">
        <f>SUM(Loans!N389,Loans!N394)</f>
        <v>0</v>
      </c>
      <c r="P65" s="496">
        <f>SUM(Loans!O389,Loans!O394)</f>
        <v>0</v>
      </c>
      <c r="Q65" s="496">
        <f>SUM(Loans!P389,Loans!P394)</f>
        <v>0</v>
      </c>
      <c r="R65" s="496">
        <f>SUM(Loans!Q389,Loans!Q394)</f>
        <v>0</v>
      </c>
      <c r="S65" s="496">
        <f>SUM(Loans!R389,Loans!R394)</f>
        <v>0</v>
      </c>
      <c r="T65" s="470">
        <f>SUM(Loans!S389,Loans!S394)</f>
        <v>0</v>
      </c>
      <c r="U65" s="471">
        <f>SUM(Loans!T389,Loans!T394)</f>
        <v>0</v>
      </c>
      <c r="V65" s="471">
        <f>SUM(Loans!U389,Loans!U394)</f>
        <v>0</v>
      </c>
      <c r="W65" s="471">
        <f>SUM(Loans!V389,Loans!V394)</f>
        <v>0</v>
      </c>
      <c r="X65" s="471">
        <f>SUM(Loans!W389,Loans!W394)</f>
        <v>0</v>
      </c>
      <c r="Y65" s="471">
        <f>SUM(Loans!X389,Loans!X394)</f>
        <v>0</v>
      </c>
      <c r="Z65" s="471">
        <f>SUM(Loans!Y389,Loans!Y394)</f>
        <v>0</v>
      </c>
      <c r="AA65" s="471">
        <f>SUM(Loans!Z389,Loans!Z394)</f>
        <v>0</v>
      </c>
      <c r="AB65" s="471">
        <f>SUM(Loans!AA389,Loans!AA394)</f>
        <v>0</v>
      </c>
      <c r="AC65" s="471">
        <f>SUM(Loans!AB389,Loans!AB394)</f>
        <v>0</v>
      </c>
      <c r="AD65" s="471">
        <f>SUM(Loans!AC389,Loans!AC394)</f>
        <v>0</v>
      </c>
      <c r="AE65" s="471">
        <f>SUM(Loans!AD389,Loans!AD394)</f>
        <v>0</v>
      </c>
      <c r="AF65" s="471">
        <f>SUM(Loans!AE389,Loans!AE394)</f>
        <v>0</v>
      </c>
      <c r="AG65" s="471">
        <f>SUM(Loans!AF389,Loans!AF394)</f>
        <v>0</v>
      </c>
      <c r="AH65" s="471">
        <f>SUM(Loans!AG389,Loans!AG394)</f>
        <v>0</v>
      </c>
      <c r="AI65" s="471">
        <f>SUM(Loans!AH389,Loans!AH394)</f>
        <v>0</v>
      </c>
      <c r="AJ65" s="473"/>
    </row>
    <row r="66" spans="3:36" ht="15" customHeight="1" x14ac:dyDescent="0.2">
      <c r="C66" s="467" t="str">
        <f>IF(Sources!D78="","N/A",Sources!$D78)</f>
        <v>N/A</v>
      </c>
      <c r="D66" s="1399" t="str">
        <f>IF(C66="N/A","",CONCATENATE("(",TEXT(Sources!G78,"0%")," of CF, ",IFERROR(CONCATENATE(TEXT(INDEX(Sources!$C$35:$K$55,MATCH(C66,Sources!$C$35:$C$55,0),MATCH("Amount",Sources!$C$35:$N$35,0)),"$#,##0")," total)"),CONCATENATE(TEXT(INDEX(OpBudget!$C$159:$K$165,MATCH(C66,OpBudget!$C$159:$C$165,0),MATCH("Total Amount",OpBudget!$C$159:$K$159,0)),"$#,##0"),"/yr.)"))))</f>
        <v/>
      </c>
      <c r="E66" s="1400"/>
      <c r="F66" s="496">
        <f>SUM(Loans!E424,Loans!E429)</f>
        <v>0</v>
      </c>
      <c r="G66" s="496">
        <f>SUM(Loans!F424,Loans!F429)</f>
        <v>0</v>
      </c>
      <c r="H66" s="496">
        <f>SUM(Loans!G424,Loans!G429)</f>
        <v>0</v>
      </c>
      <c r="I66" s="496">
        <f>SUM(Loans!H424,Loans!H429)</f>
        <v>0</v>
      </c>
      <c r="J66" s="496">
        <f>SUM(Loans!I424,Loans!I429)</f>
        <v>0</v>
      </c>
      <c r="K66" s="496">
        <f>SUM(Loans!J424,Loans!J429)</f>
        <v>0</v>
      </c>
      <c r="L66" s="496">
        <f>SUM(Loans!K424,Loans!K429)</f>
        <v>0</v>
      </c>
      <c r="M66" s="496">
        <f>SUM(Loans!L424,Loans!L429)</f>
        <v>0</v>
      </c>
      <c r="N66" s="496">
        <f>SUM(Loans!M424,Loans!M429)</f>
        <v>0</v>
      </c>
      <c r="O66" s="496">
        <f>SUM(Loans!N424,Loans!N429)</f>
        <v>0</v>
      </c>
      <c r="P66" s="496">
        <f>SUM(Loans!O424,Loans!O429)</f>
        <v>0</v>
      </c>
      <c r="Q66" s="496">
        <f>SUM(Loans!P424,Loans!P429)</f>
        <v>0</v>
      </c>
      <c r="R66" s="496">
        <f>SUM(Loans!Q424,Loans!Q429)</f>
        <v>0</v>
      </c>
      <c r="S66" s="496">
        <f>SUM(Loans!R424,Loans!R429)</f>
        <v>0</v>
      </c>
      <c r="T66" s="470">
        <f>SUM(Loans!S424,Loans!S429)</f>
        <v>0</v>
      </c>
      <c r="U66" s="471">
        <f>SUM(Loans!T424,Loans!T429)</f>
        <v>0</v>
      </c>
      <c r="V66" s="471">
        <f>SUM(Loans!U424,Loans!U429)</f>
        <v>0</v>
      </c>
      <c r="W66" s="471">
        <f>SUM(Loans!V424,Loans!V429)</f>
        <v>0</v>
      </c>
      <c r="X66" s="471">
        <f>SUM(Loans!W424,Loans!W429)</f>
        <v>0</v>
      </c>
      <c r="Y66" s="471">
        <f>SUM(Loans!X424,Loans!X429)</f>
        <v>0</v>
      </c>
      <c r="Z66" s="471">
        <f>SUM(Loans!Y424,Loans!Y429)</f>
        <v>0</v>
      </c>
      <c r="AA66" s="471">
        <f>SUM(Loans!Z424,Loans!Z429)</f>
        <v>0</v>
      </c>
      <c r="AB66" s="471">
        <f>SUM(Loans!AA424,Loans!AA429)</f>
        <v>0</v>
      </c>
      <c r="AC66" s="471">
        <f>SUM(Loans!AB424,Loans!AB429)</f>
        <v>0</v>
      </c>
      <c r="AD66" s="471">
        <f>SUM(Loans!AC424,Loans!AC429)</f>
        <v>0</v>
      </c>
      <c r="AE66" s="471">
        <f>SUM(Loans!AD424,Loans!AD429)</f>
        <v>0</v>
      </c>
      <c r="AF66" s="471">
        <f>SUM(Loans!AE424,Loans!AE429)</f>
        <v>0</v>
      </c>
      <c r="AG66" s="471">
        <f>SUM(Loans!AF424,Loans!AF429)</f>
        <v>0</v>
      </c>
      <c r="AH66" s="471">
        <f>SUM(Loans!AG424,Loans!AG429)</f>
        <v>0</v>
      </c>
      <c r="AI66" s="471">
        <f>SUM(Loans!AH424,Loans!AH429)</f>
        <v>0</v>
      </c>
      <c r="AJ66" s="473"/>
    </row>
    <row r="67" spans="3:36" ht="15" customHeight="1" x14ac:dyDescent="0.2">
      <c r="C67" s="467" t="str">
        <f>IF(Sources!D79="","N/A",Sources!$D79)</f>
        <v>N/A</v>
      </c>
      <c r="D67" s="1399" t="str">
        <f>IF(C67="N/A","",CONCATENATE("(",TEXT(Sources!G79,"0%")," of CF, ",IFERROR(CONCATENATE(TEXT(INDEX(Sources!$C$35:$K$55,MATCH(C67,Sources!$C$35:$C$55,0),MATCH("Amount",Sources!$C$35:$N$35,0)),"$#,##0")," total)"),CONCATENATE(TEXT(INDEX(OpBudget!$C$159:$K$165,MATCH(C67,OpBudget!$C$159:$C$165,0),MATCH("Total Amount",OpBudget!$C$159:$K$159,0)),"$#,##0"),"/yr.)"))))</f>
        <v/>
      </c>
      <c r="E67" s="1400"/>
      <c r="F67" s="496">
        <f>SUM(Loans!E459,Loans!E464)</f>
        <v>0</v>
      </c>
      <c r="G67" s="496">
        <f>SUM(Loans!F459,Loans!F464)</f>
        <v>0</v>
      </c>
      <c r="H67" s="496">
        <f>SUM(Loans!G459,Loans!G464)</f>
        <v>0</v>
      </c>
      <c r="I67" s="496">
        <f>SUM(Loans!H459,Loans!H464)</f>
        <v>0</v>
      </c>
      <c r="J67" s="496">
        <f>SUM(Loans!I459,Loans!I464)</f>
        <v>0</v>
      </c>
      <c r="K67" s="496">
        <f>SUM(Loans!J459,Loans!J464)</f>
        <v>0</v>
      </c>
      <c r="L67" s="496">
        <f>SUM(Loans!K459,Loans!K464)</f>
        <v>0</v>
      </c>
      <c r="M67" s="496">
        <f>SUM(Loans!L459,Loans!L464)</f>
        <v>0</v>
      </c>
      <c r="N67" s="496">
        <f>SUM(Loans!M459,Loans!M464)</f>
        <v>0</v>
      </c>
      <c r="O67" s="496">
        <f>SUM(Loans!N459,Loans!N464)</f>
        <v>0</v>
      </c>
      <c r="P67" s="496">
        <f>SUM(Loans!O459,Loans!O464)</f>
        <v>0</v>
      </c>
      <c r="Q67" s="496">
        <f>SUM(Loans!P459,Loans!P464)</f>
        <v>0</v>
      </c>
      <c r="R67" s="496">
        <f>SUM(Loans!Q459,Loans!Q464)</f>
        <v>0</v>
      </c>
      <c r="S67" s="496">
        <f>SUM(Loans!R459,Loans!R464)</f>
        <v>0</v>
      </c>
      <c r="T67" s="470">
        <f>SUM(Loans!S459,Loans!S464)</f>
        <v>0</v>
      </c>
      <c r="U67" s="471">
        <f>SUM(Loans!T459,Loans!T464)</f>
        <v>0</v>
      </c>
      <c r="V67" s="471">
        <f>SUM(Loans!U459,Loans!U464)</f>
        <v>0</v>
      </c>
      <c r="W67" s="471">
        <f>SUM(Loans!V459,Loans!V464)</f>
        <v>0</v>
      </c>
      <c r="X67" s="471">
        <f>SUM(Loans!W459,Loans!W464)</f>
        <v>0</v>
      </c>
      <c r="Y67" s="471">
        <f>SUM(Loans!X459,Loans!X464)</f>
        <v>0</v>
      </c>
      <c r="Z67" s="471">
        <f>SUM(Loans!Y459,Loans!Y464)</f>
        <v>0</v>
      </c>
      <c r="AA67" s="471">
        <f>SUM(Loans!Z459,Loans!Z464)</f>
        <v>0</v>
      </c>
      <c r="AB67" s="471">
        <f>SUM(Loans!AA459,Loans!AA464)</f>
        <v>0</v>
      </c>
      <c r="AC67" s="471">
        <f>SUM(Loans!AB459,Loans!AB464)</f>
        <v>0</v>
      </c>
      <c r="AD67" s="471">
        <f>SUM(Loans!AC459,Loans!AC464)</f>
        <v>0</v>
      </c>
      <c r="AE67" s="471">
        <f>SUM(Loans!AD459,Loans!AD464)</f>
        <v>0</v>
      </c>
      <c r="AF67" s="471">
        <f>SUM(Loans!AE459,Loans!AE464)</f>
        <v>0</v>
      </c>
      <c r="AG67" s="471">
        <f>SUM(Loans!AF459,Loans!AF464)</f>
        <v>0</v>
      </c>
      <c r="AH67" s="471">
        <f>SUM(Loans!AG459,Loans!AG464)</f>
        <v>0</v>
      </c>
      <c r="AI67" s="471">
        <f>SUM(Loans!AH459,Loans!AH464)</f>
        <v>0</v>
      </c>
      <c r="AJ67" s="473"/>
    </row>
    <row r="68" spans="3:36" ht="15" customHeight="1" x14ac:dyDescent="0.2">
      <c r="C68" s="467" t="str">
        <f>IF(Sources!D80="","N/A",Sources!$D80)</f>
        <v>N/A</v>
      </c>
      <c r="D68" s="1399" t="str">
        <f>IF(C68="N/A","",CONCATENATE("(",TEXT(Sources!G80,"0%")," of CF, ",IFERROR(CONCATENATE(TEXT(INDEX(Sources!$C$35:$K$55,MATCH(C68,Sources!$C$35:$C$55,0),MATCH("Amount",Sources!$C$35:$N$35,0)),"$#,##0")," total)"),CONCATENATE(TEXT(INDEX(OpBudget!$C$159:$K$165,MATCH(C68,OpBudget!$C$159:$C$165,0),MATCH("Total Amount",OpBudget!$C$159:$K$159,0)),"$#,##0"),"/yr.)"))))</f>
        <v/>
      </c>
      <c r="E68" s="1400"/>
      <c r="F68" s="496">
        <f>SUM(Loans!E494,Loans!E499)</f>
        <v>0</v>
      </c>
      <c r="G68" s="496">
        <f>SUM(Loans!F494,Loans!F499)</f>
        <v>0</v>
      </c>
      <c r="H68" s="496">
        <f>SUM(Loans!G494,Loans!G499)</f>
        <v>0</v>
      </c>
      <c r="I68" s="496">
        <f>SUM(Loans!H494,Loans!H499)</f>
        <v>0</v>
      </c>
      <c r="J68" s="496">
        <f>SUM(Loans!I494,Loans!I499)</f>
        <v>0</v>
      </c>
      <c r="K68" s="496">
        <f>SUM(Loans!J494,Loans!J499)</f>
        <v>0</v>
      </c>
      <c r="L68" s="496">
        <f>SUM(Loans!K494,Loans!K499)</f>
        <v>0</v>
      </c>
      <c r="M68" s="496">
        <f>SUM(Loans!L494,Loans!L499)</f>
        <v>0</v>
      </c>
      <c r="N68" s="496">
        <f>SUM(Loans!M494,Loans!M499)</f>
        <v>0</v>
      </c>
      <c r="O68" s="496">
        <f>SUM(Loans!N494,Loans!N499)</f>
        <v>0</v>
      </c>
      <c r="P68" s="496">
        <f>SUM(Loans!O494,Loans!O499)</f>
        <v>0</v>
      </c>
      <c r="Q68" s="496">
        <f>SUM(Loans!P494,Loans!P499)</f>
        <v>0</v>
      </c>
      <c r="R68" s="496">
        <f>SUM(Loans!Q494,Loans!Q499)</f>
        <v>0</v>
      </c>
      <c r="S68" s="496">
        <f>SUM(Loans!R494,Loans!R499)</f>
        <v>0</v>
      </c>
      <c r="T68" s="470">
        <f>SUM(Loans!S494,Loans!S499)</f>
        <v>0</v>
      </c>
      <c r="U68" s="471">
        <f>SUM(Loans!T494,Loans!T499)</f>
        <v>0</v>
      </c>
      <c r="V68" s="471">
        <f>SUM(Loans!U494,Loans!U499)</f>
        <v>0</v>
      </c>
      <c r="W68" s="471">
        <f>SUM(Loans!V494,Loans!V499)</f>
        <v>0</v>
      </c>
      <c r="X68" s="471">
        <f>SUM(Loans!W494,Loans!W499)</f>
        <v>0</v>
      </c>
      <c r="Y68" s="471">
        <f>SUM(Loans!X494,Loans!X499)</f>
        <v>0</v>
      </c>
      <c r="Z68" s="471">
        <f>SUM(Loans!Y494,Loans!Y499)</f>
        <v>0</v>
      </c>
      <c r="AA68" s="471">
        <f>SUM(Loans!Z494,Loans!Z499)</f>
        <v>0</v>
      </c>
      <c r="AB68" s="471">
        <f>SUM(Loans!AA494,Loans!AA499)</f>
        <v>0</v>
      </c>
      <c r="AC68" s="471">
        <f>SUM(Loans!AB494,Loans!AB499)</f>
        <v>0</v>
      </c>
      <c r="AD68" s="471">
        <f>SUM(Loans!AC494,Loans!AC499)</f>
        <v>0</v>
      </c>
      <c r="AE68" s="471">
        <f>SUM(Loans!AD494,Loans!AD499)</f>
        <v>0</v>
      </c>
      <c r="AF68" s="471">
        <f>SUM(Loans!AE494,Loans!AE499)</f>
        <v>0</v>
      </c>
      <c r="AG68" s="471">
        <f>SUM(Loans!AF494,Loans!AF499)</f>
        <v>0</v>
      </c>
      <c r="AH68" s="471">
        <f>SUM(Loans!AG494,Loans!AG499)</f>
        <v>0</v>
      </c>
      <c r="AI68" s="471">
        <f>SUM(Loans!AH494,Loans!AH499)</f>
        <v>0</v>
      </c>
      <c r="AJ68" s="473"/>
    </row>
    <row r="69" spans="3:36" ht="15" customHeight="1" x14ac:dyDescent="0.2">
      <c r="C69" s="467" t="str">
        <f>IF(Sources!D81="","N/A",Sources!$D81)</f>
        <v>N/A</v>
      </c>
      <c r="D69" s="1399" t="str">
        <f>IF(C69="N/A","",CONCATENATE("(",TEXT(Sources!G81,"0%")," of CF, ",IFERROR(CONCATENATE(TEXT(INDEX(Sources!$C$35:$K$55,MATCH(C69,Sources!$C$35:$C$55,0),MATCH("Amount",Sources!$C$35:$N$35,0)),"$#,##0")," total)"),CONCATENATE(TEXT(INDEX(OpBudget!$C$159:$K$165,MATCH(C69,OpBudget!$C$159:$C$165,0),MATCH("Total Amount",OpBudget!$C$159:$K$159,0)),"$#,##0"),"/yr.)"))))</f>
        <v/>
      </c>
      <c r="E69" s="1400"/>
      <c r="F69" s="496">
        <f>SUM(Loans!E529,Loans!E534)</f>
        <v>0</v>
      </c>
      <c r="G69" s="496">
        <f>SUM(Loans!F529,Loans!F534)</f>
        <v>0</v>
      </c>
      <c r="H69" s="496">
        <f>SUM(Loans!G529,Loans!G534)</f>
        <v>0</v>
      </c>
      <c r="I69" s="496">
        <f>SUM(Loans!H529,Loans!H534)</f>
        <v>0</v>
      </c>
      <c r="J69" s="496">
        <f>SUM(Loans!I529,Loans!I534)</f>
        <v>0</v>
      </c>
      <c r="K69" s="496">
        <f>SUM(Loans!J529,Loans!J534)</f>
        <v>0</v>
      </c>
      <c r="L69" s="496">
        <f>SUM(Loans!K529,Loans!K534)</f>
        <v>0</v>
      </c>
      <c r="M69" s="496">
        <f>SUM(Loans!L529,Loans!L534)</f>
        <v>0</v>
      </c>
      <c r="N69" s="496">
        <f>SUM(Loans!M529,Loans!M534)</f>
        <v>0</v>
      </c>
      <c r="O69" s="496">
        <f>SUM(Loans!N529,Loans!N534)</f>
        <v>0</v>
      </c>
      <c r="P69" s="496">
        <f>SUM(Loans!O529,Loans!O534)</f>
        <v>0</v>
      </c>
      <c r="Q69" s="496">
        <f>SUM(Loans!P529,Loans!P534)</f>
        <v>0</v>
      </c>
      <c r="R69" s="496">
        <f>SUM(Loans!Q529,Loans!Q534)</f>
        <v>0</v>
      </c>
      <c r="S69" s="496">
        <f>SUM(Loans!R529,Loans!R534)</f>
        <v>0</v>
      </c>
      <c r="T69" s="470">
        <f>SUM(Loans!S529,Loans!S534)</f>
        <v>0</v>
      </c>
      <c r="U69" s="471">
        <f>SUM(Loans!T529,Loans!T534)</f>
        <v>0</v>
      </c>
      <c r="V69" s="471">
        <f>SUM(Loans!U529,Loans!U534)</f>
        <v>0</v>
      </c>
      <c r="W69" s="471">
        <f>SUM(Loans!V529,Loans!V534)</f>
        <v>0</v>
      </c>
      <c r="X69" s="471">
        <f>SUM(Loans!W529,Loans!W534)</f>
        <v>0</v>
      </c>
      <c r="Y69" s="471">
        <f>SUM(Loans!X529,Loans!X534)</f>
        <v>0</v>
      </c>
      <c r="Z69" s="471">
        <f>SUM(Loans!Y529,Loans!Y534)</f>
        <v>0</v>
      </c>
      <c r="AA69" s="471">
        <f>SUM(Loans!Z529,Loans!Z534)</f>
        <v>0</v>
      </c>
      <c r="AB69" s="471">
        <f>SUM(Loans!AA529,Loans!AA534)</f>
        <v>0</v>
      </c>
      <c r="AC69" s="471">
        <f>SUM(Loans!AB529,Loans!AB534)</f>
        <v>0</v>
      </c>
      <c r="AD69" s="471">
        <f>SUM(Loans!AC529,Loans!AC534)</f>
        <v>0</v>
      </c>
      <c r="AE69" s="471">
        <f>SUM(Loans!AD529,Loans!AD534)</f>
        <v>0</v>
      </c>
      <c r="AF69" s="471">
        <f>SUM(Loans!AE529,Loans!AE534)</f>
        <v>0</v>
      </c>
      <c r="AG69" s="471">
        <f>SUM(Loans!AF529,Loans!AF534)</f>
        <v>0</v>
      </c>
      <c r="AH69" s="471">
        <f>SUM(Loans!AG529,Loans!AG534)</f>
        <v>0</v>
      </c>
      <c r="AI69" s="471">
        <f>SUM(Loans!AH529,Loans!AH534)</f>
        <v>0</v>
      </c>
      <c r="AJ69" s="473"/>
    </row>
    <row r="70" spans="3:36" ht="15" customHeight="1" thickBot="1" x14ac:dyDescent="0.25">
      <c r="C70" s="475" t="str">
        <f>IF(Sources!D82="","N/A",Sources!$D82)</f>
        <v>N/A</v>
      </c>
      <c r="D70" s="1399" t="str">
        <f>IF(C70="N/A","",CONCATENATE("(",TEXT(Sources!G82,"0%")," of CF, ",IFERROR(CONCATENATE(TEXT(INDEX(Sources!$C$35:$K$55,MATCH(C70,Sources!$C$35:$C$55,0),MATCH("Amount",Sources!$C$35:$N$35,0)),"$#,##0")," total)"),CONCATENATE(TEXT(INDEX(OpBudget!$C$159:$K$165,MATCH(C70,OpBudget!$C$159:$C$165,0),MATCH("Total Amount",OpBudget!$C$159:$K$159,0)),"$#,##0"),"/yr.)"))))</f>
        <v/>
      </c>
      <c r="E70" s="1400"/>
      <c r="F70" s="479">
        <f>SUM(Loans!E564,Loans!E569)</f>
        <v>0</v>
      </c>
      <c r="G70" s="479">
        <f>SUM(Loans!F564,Loans!F569)</f>
        <v>0</v>
      </c>
      <c r="H70" s="479">
        <f>SUM(Loans!G564,Loans!G569)</f>
        <v>0</v>
      </c>
      <c r="I70" s="479">
        <f>SUM(Loans!H564,Loans!H569)</f>
        <v>0</v>
      </c>
      <c r="J70" s="479">
        <f>SUM(Loans!I564,Loans!I569)</f>
        <v>0</v>
      </c>
      <c r="K70" s="479">
        <f>SUM(Loans!J564,Loans!J569)</f>
        <v>0</v>
      </c>
      <c r="L70" s="479">
        <f>SUM(Loans!K564,Loans!K569)</f>
        <v>0</v>
      </c>
      <c r="M70" s="479">
        <f>SUM(Loans!L564,Loans!L569)</f>
        <v>0</v>
      </c>
      <c r="N70" s="479">
        <f>SUM(Loans!M564,Loans!M569)</f>
        <v>0</v>
      </c>
      <c r="O70" s="479">
        <f>SUM(Loans!N564,Loans!N569)</f>
        <v>0</v>
      </c>
      <c r="P70" s="479">
        <f>SUM(Loans!O564,Loans!O569)</f>
        <v>0</v>
      </c>
      <c r="Q70" s="479">
        <f>SUM(Loans!P564,Loans!P569)</f>
        <v>0</v>
      </c>
      <c r="R70" s="479">
        <f>SUM(Loans!Q564,Loans!Q569)</f>
        <v>0</v>
      </c>
      <c r="S70" s="479">
        <f>SUM(Loans!R564,Loans!R569)</f>
        <v>0</v>
      </c>
      <c r="T70" s="478">
        <f>SUM(Loans!S564,Loans!S569)</f>
        <v>0</v>
      </c>
      <c r="U70" s="499">
        <f>SUM(Loans!T564,Loans!T569)</f>
        <v>0</v>
      </c>
      <c r="V70" s="499">
        <f>SUM(Loans!U564,Loans!U569)</f>
        <v>0</v>
      </c>
      <c r="W70" s="499">
        <f>SUM(Loans!V564,Loans!V569)</f>
        <v>0</v>
      </c>
      <c r="X70" s="499">
        <f>SUM(Loans!W564,Loans!W569)</f>
        <v>0</v>
      </c>
      <c r="Y70" s="499">
        <f>SUM(Loans!X564,Loans!X569)</f>
        <v>0</v>
      </c>
      <c r="Z70" s="499">
        <f>SUM(Loans!Y564,Loans!Y569)</f>
        <v>0</v>
      </c>
      <c r="AA70" s="499">
        <f>SUM(Loans!Z564,Loans!Z569)</f>
        <v>0</v>
      </c>
      <c r="AB70" s="499">
        <f>SUM(Loans!AA564,Loans!AA569)</f>
        <v>0</v>
      </c>
      <c r="AC70" s="499">
        <f>SUM(Loans!AB564,Loans!AB569)</f>
        <v>0</v>
      </c>
      <c r="AD70" s="499">
        <f>SUM(Loans!AC564,Loans!AC569)</f>
        <v>0</v>
      </c>
      <c r="AE70" s="499">
        <f>SUM(Loans!AD564,Loans!AD569)</f>
        <v>0</v>
      </c>
      <c r="AF70" s="499">
        <f>SUM(Loans!AE564,Loans!AE569)</f>
        <v>0</v>
      </c>
      <c r="AG70" s="499">
        <f>SUM(Loans!AF564,Loans!AF569)</f>
        <v>0</v>
      </c>
      <c r="AH70" s="499">
        <f>SUM(Loans!AG564,Loans!AG569)</f>
        <v>0</v>
      </c>
      <c r="AI70" s="499">
        <f>SUM(Loans!AH564,Loans!AH569)</f>
        <v>0</v>
      </c>
      <c r="AJ70" s="473"/>
    </row>
    <row r="71" spans="3:36" ht="15" customHeight="1" thickTop="1" x14ac:dyDescent="0.2">
      <c r="C71" s="1401" t="s">
        <v>2126</v>
      </c>
      <c r="D71" s="1402"/>
      <c r="E71" s="1403"/>
      <c r="F71" s="481">
        <f t="shared" ref="F71:AI71" si="20">F44-SUM(F56:F70)</f>
        <v>0</v>
      </c>
      <c r="G71" s="481">
        <f t="shared" si="20"/>
        <v>0</v>
      </c>
      <c r="H71" s="481">
        <f t="shared" si="20"/>
        <v>0</v>
      </c>
      <c r="I71" s="481">
        <f t="shared" si="20"/>
        <v>0</v>
      </c>
      <c r="J71" s="481">
        <f t="shared" si="20"/>
        <v>0</v>
      </c>
      <c r="K71" s="481">
        <f t="shared" si="20"/>
        <v>0</v>
      </c>
      <c r="L71" s="481">
        <f t="shared" si="20"/>
        <v>0</v>
      </c>
      <c r="M71" s="481">
        <f t="shared" si="20"/>
        <v>0</v>
      </c>
      <c r="N71" s="481">
        <f t="shared" si="20"/>
        <v>0</v>
      </c>
      <c r="O71" s="481">
        <f t="shared" si="20"/>
        <v>0</v>
      </c>
      <c r="P71" s="481">
        <f t="shared" si="20"/>
        <v>0</v>
      </c>
      <c r="Q71" s="481">
        <f t="shared" si="20"/>
        <v>0</v>
      </c>
      <c r="R71" s="481">
        <f t="shared" si="20"/>
        <v>0</v>
      </c>
      <c r="S71" s="481">
        <f t="shared" si="20"/>
        <v>0</v>
      </c>
      <c r="T71" s="482">
        <f t="shared" si="20"/>
        <v>0</v>
      </c>
      <c r="U71" s="483">
        <f t="shared" si="20"/>
        <v>0</v>
      </c>
      <c r="V71" s="484">
        <f t="shared" si="20"/>
        <v>0</v>
      </c>
      <c r="W71" s="484">
        <f t="shared" si="20"/>
        <v>0</v>
      </c>
      <c r="X71" s="484">
        <f t="shared" si="20"/>
        <v>0</v>
      </c>
      <c r="Y71" s="484">
        <f t="shared" si="20"/>
        <v>0</v>
      </c>
      <c r="Z71" s="484">
        <f t="shared" si="20"/>
        <v>0</v>
      </c>
      <c r="AA71" s="484">
        <f t="shared" si="20"/>
        <v>0</v>
      </c>
      <c r="AB71" s="484">
        <f t="shared" si="20"/>
        <v>0</v>
      </c>
      <c r="AC71" s="484">
        <f t="shared" si="20"/>
        <v>0</v>
      </c>
      <c r="AD71" s="484">
        <f t="shared" si="20"/>
        <v>0</v>
      </c>
      <c r="AE71" s="484">
        <f t="shared" si="20"/>
        <v>0</v>
      </c>
      <c r="AF71" s="484">
        <f t="shared" si="20"/>
        <v>0</v>
      </c>
      <c r="AG71" s="484">
        <f t="shared" si="20"/>
        <v>0</v>
      </c>
      <c r="AH71" s="484">
        <f t="shared" si="20"/>
        <v>0</v>
      </c>
      <c r="AI71" s="484">
        <f t="shared" si="20"/>
        <v>0</v>
      </c>
      <c r="AJ71" s="473"/>
    </row>
    <row r="72" spans="3:36" x14ac:dyDescent="0.2"/>
  </sheetData>
  <sheetProtection algorithmName="SHA-512" hashValue="KVRtobRaeCdPIgA1m4LuxdKeeW9wd3Q2/gtwrZqOQEEUgh8szi0fep1SgWHS3t6ggV/bI9egx1nxo9SoaEyi0A==" saltValue="acGyJJlBGZyRkLbT6sqxcg==" spinCount="100000" sheet="1" objects="1" scenarios="1"/>
  <mergeCells count="68">
    <mergeCell ref="C51:D51"/>
    <mergeCell ref="C52:D52"/>
    <mergeCell ref="C48:D48"/>
    <mergeCell ref="C49:D49"/>
    <mergeCell ref="B2:F2"/>
    <mergeCell ref="B3:F3"/>
    <mergeCell ref="C28:D28"/>
    <mergeCell ref="C33:D33"/>
    <mergeCell ref="C34:D34"/>
    <mergeCell ref="C29:D29"/>
    <mergeCell ref="C30:D30"/>
    <mergeCell ref="C31:D31"/>
    <mergeCell ref="C32:D32"/>
    <mergeCell ref="C26:D26"/>
    <mergeCell ref="C27:D27"/>
    <mergeCell ref="C8:E8"/>
    <mergeCell ref="C9:E9"/>
    <mergeCell ref="C38:D38"/>
    <mergeCell ref="C25:D25"/>
    <mergeCell ref="C20:D20"/>
    <mergeCell ref="C39:E39"/>
    <mergeCell ref="C35:D35"/>
    <mergeCell ref="D56:E56"/>
    <mergeCell ref="D57:E57"/>
    <mergeCell ref="C22:D22"/>
    <mergeCell ref="C23:D23"/>
    <mergeCell ref="C24:D24"/>
    <mergeCell ref="C36:D36"/>
    <mergeCell ref="C41:E41"/>
    <mergeCell ref="D42:E42"/>
    <mergeCell ref="D43:E43"/>
    <mergeCell ref="C44:E44"/>
    <mergeCell ref="C46:E46"/>
    <mergeCell ref="C47:E47"/>
    <mergeCell ref="C55:E55"/>
    <mergeCell ref="C50:E50"/>
    <mergeCell ref="C54:E54"/>
    <mergeCell ref="C37:D37"/>
    <mergeCell ref="Q2:T2"/>
    <mergeCell ref="C21:D21"/>
    <mergeCell ref="C17:D17"/>
    <mergeCell ref="C18:D18"/>
    <mergeCell ref="C15:D15"/>
    <mergeCell ref="C16:D16"/>
    <mergeCell ref="C5:J5"/>
    <mergeCell ref="C6:K6"/>
    <mergeCell ref="H8:J8"/>
    <mergeCell ref="H9:J9"/>
    <mergeCell ref="H10:J10"/>
    <mergeCell ref="H11:J11"/>
    <mergeCell ref="C19:D19"/>
    <mergeCell ref="C10:E10"/>
    <mergeCell ref="C11:E11"/>
    <mergeCell ref="Q3:T3"/>
    <mergeCell ref="D58:E58"/>
    <mergeCell ref="C71:E71"/>
    <mergeCell ref="D59:E59"/>
    <mergeCell ref="D60:E60"/>
    <mergeCell ref="D61:E61"/>
    <mergeCell ref="D67:E67"/>
    <mergeCell ref="D68:E68"/>
    <mergeCell ref="D69:E69"/>
    <mergeCell ref="D70:E70"/>
    <mergeCell ref="D62:E62"/>
    <mergeCell ref="D63:E63"/>
    <mergeCell ref="D64:E64"/>
    <mergeCell ref="D65:E65"/>
    <mergeCell ref="D66:E66"/>
  </mergeCells>
  <conditionalFormatting sqref="F44:T44">
    <cfRule type="expression" dxfId="214" priority="3">
      <formula>F$44&lt;0</formula>
    </cfRule>
  </conditionalFormatting>
  <conditionalFormatting sqref="F32:AI32">
    <cfRule type="expression" dxfId="213" priority="6">
      <formula>F$32&lt;&gt;0</formula>
    </cfRule>
  </conditionalFormatting>
  <conditionalFormatting sqref="F36:AI36">
    <cfRule type="expression" dxfId="212" priority="5">
      <formula>F$36&lt;&gt;0</formula>
    </cfRule>
  </conditionalFormatting>
  <conditionalFormatting sqref="F39:AI39">
    <cfRule type="expression" dxfId="211" priority="2">
      <formula>F$39&lt;0</formula>
    </cfRule>
  </conditionalFormatting>
  <conditionalFormatting sqref="F42:AI43">
    <cfRule type="expression" dxfId="210" priority="1">
      <formula>F42=0</formula>
    </cfRule>
  </conditionalFormatting>
  <conditionalFormatting sqref="F47:AI47 G48:AI49">
    <cfRule type="expression" dxfId="209" priority="164">
      <formula>#REF!&lt;1</formula>
    </cfRule>
  </conditionalFormatting>
  <conditionalFormatting sqref="F47:AI47">
    <cfRule type="expression" dxfId="208" priority="4">
      <formula>F$47&lt;1</formula>
    </cfRule>
  </conditionalFormatting>
  <conditionalFormatting sqref="F50:AI50">
    <cfRule type="expression" dxfId="207" priority="9">
      <formula>F$50&lt;1</formula>
    </cfRule>
  </conditionalFormatting>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0E548-5365-4EA0-A5E4-209D0E273FD1}">
  <sheetPr>
    <pageSetUpPr autoPageBreaks="0" fitToPage="1"/>
  </sheetPr>
  <dimension ref="B1:AH746"/>
  <sheetViews>
    <sheetView showGridLines="0" zoomScale="85" zoomScaleNormal="85" workbookViewId="0"/>
  </sheetViews>
  <sheetFormatPr defaultColWidth="8.875" defaultRowHeight="14.25" x14ac:dyDescent="0.2"/>
  <cols>
    <col min="1" max="1" width="2.625" style="1" customWidth="1"/>
    <col min="2" max="2" width="0.625" style="1" customWidth="1"/>
    <col min="3" max="4" width="18.625" style="1" customWidth="1"/>
    <col min="5" max="33" width="13.625" style="1" customWidth="1"/>
    <col min="34" max="34" width="13" style="1" customWidth="1"/>
    <col min="35" max="16384" width="8.875" style="1"/>
  </cols>
  <sheetData>
    <row r="1" spans="2:34" ht="55.5" customHeight="1" x14ac:dyDescent="0.2"/>
    <row r="2" spans="2:34" ht="25.5" customHeight="1" x14ac:dyDescent="0.2">
      <c r="B2" s="1211" t="s">
        <v>2259</v>
      </c>
      <c r="C2" s="1212"/>
      <c r="D2" s="1212"/>
      <c r="E2" s="1212"/>
      <c r="F2" s="27"/>
      <c r="G2" s="27"/>
      <c r="H2" s="95"/>
      <c r="I2" s="95"/>
      <c r="J2" s="95"/>
      <c r="K2" s="95"/>
      <c r="L2" s="416"/>
      <c r="M2" s="416"/>
      <c r="N2" s="416"/>
      <c r="O2" s="416"/>
      <c r="P2" s="1217" t="str">
        <f>CONCATENATE(IF(Instructions!$K$2="","",Instructions!$K$2)," ",IF(Details!$E$11="","",Details!$E$11))</f>
        <v>2026 9% LIHTC AHFA Proposal Application</v>
      </c>
      <c r="Q2" s="1217"/>
      <c r="R2" s="1217"/>
      <c r="S2" s="1218"/>
      <c r="T2" s="234"/>
    </row>
    <row r="3" spans="2:34" ht="20.25" customHeight="1" x14ac:dyDescent="0.2">
      <c r="B3" s="1444" t="s">
        <v>437</v>
      </c>
      <c r="C3" s="1445"/>
      <c r="D3" s="1445"/>
      <c r="E3" s="1445"/>
      <c r="F3" s="93"/>
      <c r="G3" s="96"/>
      <c r="H3" s="96"/>
      <c r="I3" s="96"/>
      <c r="J3" s="96"/>
      <c r="K3" s="96"/>
      <c r="L3" s="96"/>
      <c r="M3" s="96"/>
      <c r="N3" s="96"/>
      <c r="O3" s="96"/>
      <c r="P3" s="1219" t="str">
        <f>IF(Details!$E$12="","",CONCATENATE("Project Name: ",Details!$E$12))</f>
        <v/>
      </c>
      <c r="Q3" s="1219"/>
      <c r="R3" s="1219"/>
      <c r="S3" s="1220"/>
      <c r="T3" s="235"/>
    </row>
    <row r="4" spans="2:34" ht="15" x14ac:dyDescent="0.2">
      <c r="C4" s="309"/>
      <c r="D4" s="309"/>
    </row>
    <row r="5" spans="2:34" ht="15" x14ac:dyDescent="0.2">
      <c r="C5" s="309"/>
      <c r="D5" s="309"/>
    </row>
    <row r="6" spans="2:34" ht="15" x14ac:dyDescent="0.2">
      <c r="C6" s="309"/>
      <c r="D6" s="309"/>
      <c r="E6" s="310">
        <v>1</v>
      </c>
      <c r="F6" s="311">
        <f>E6+1</f>
        <v>2</v>
      </c>
      <c r="G6" s="311">
        <f t="shared" ref="G6:AH6" si="0">F6+1</f>
        <v>3</v>
      </c>
      <c r="H6" s="311">
        <f t="shared" si="0"/>
        <v>4</v>
      </c>
      <c r="I6" s="311">
        <f t="shared" si="0"/>
        <v>5</v>
      </c>
      <c r="J6" s="311">
        <f t="shared" si="0"/>
        <v>6</v>
      </c>
      <c r="K6" s="311">
        <f t="shared" si="0"/>
        <v>7</v>
      </c>
      <c r="L6" s="311">
        <f t="shared" si="0"/>
        <v>8</v>
      </c>
      <c r="M6" s="311">
        <f t="shared" si="0"/>
        <v>9</v>
      </c>
      <c r="N6" s="311">
        <f t="shared" si="0"/>
        <v>10</v>
      </c>
      <c r="O6" s="311">
        <f t="shared" si="0"/>
        <v>11</v>
      </c>
      <c r="P6" s="311">
        <f t="shared" si="0"/>
        <v>12</v>
      </c>
      <c r="Q6" s="311">
        <f t="shared" si="0"/>
        <v>13</v>
      </c>
      <c r="R6" s="311">
        <f t="shared" si="0"/>
        <v>14</v>
      </c>
      <c r="S6" s="334">
        <f t="shared" si="0"/>
        <v>15</v>
      </c>
      <c r="T6" s="312">
        <f t="shared" si="0"/>
        <v>16</v>
      </c>
      <c r="U6" s="312">
        <f t="shared" si="0"/>
        <v>17</v>
      </c>
      <c r="V6" s="312">
        <f t="shared" si="0"/>
        <v>18</v>
      </c>
      <c r="W6" s="312">
        <f t="shared" si="0"/>
        <v>19</v>
      </c>
      <c r="X6" s="312">
        <f t="shared" si="0"/>
        <v>20</v>
      </c>
      <c r="Y6" s="312">
        <f t="shared" si="0"/>
        <v>21</v>
      </c>
      <c r="Z6" s="312">
        <f t="shared" si="0"/>
        <v>22</v>
      </c>
      <c r="AA6" s="312">
        <f t="shared" si="0"/>
        <v>23</v>
      </c>
      <c r="AB6" s="312">
        <f t="shared" si="0"/>
        <v>24</v>
      </c>
      <c r="AC6" s="312">
        <f t="shared" si="0"/>
        <v>25</v>
      </c>
      <c r="AD6" s="312">
        <f t="shared" si="0"/>
        <v>26</v>
      </c>
      <c r="AE6" s="312">
        <f t="shared" si="0"/>
        <v>27</v>
      </c>
      <c r="AF6" s="312">
        <f t="shared" si="0"/>
        <v>28</v>
      </c>
      <c r="AG6" s="312">
        <f t="shared" si="0"/>
        <v>29</v>
      </c>
      <c r="AH6" s="313">
        <f t="shared" si="0"/>
        <v>30</v>
      </c>
    </row>
    <row r="7" spans="2:34" ht="15" x14ac:dyDescent="0.2">
      <c r="C7" s="309"/>
      <c r="D7" s="309"/>
      <c r="E7" s="314" t="str">
        <f>IF(Details!$E$171="","",Details!$E$171)</f>
        <v/>
      </c>
      <c r="F7" s="315" t="str">
        <f>IF($E$7="","",E$7+1)</f>
        <v/>
      </c>
      <c r="G7" s="315" t="str">
        <f t="shared" ref="G7:AH7" si="1">IF($E$7="","",F$7+1)</f>
        <v/>
      </c>
      <c r="H7" s="315" t="str">
        <f t="shared" si="1"/>
        <v/>
      </c>
      <c r="I7" s="315" t="str">
        <f t="shared" si="1"/>
        <v/>
      </c>
      <c r="J7" s="315" t="str">
        <f t="shared" si="1"/>
        <v/>
      </c>
      <c r="K7" s="315" t="str">
        <f t="shared" si="1"/>
        <v/>
      </c>
      <c r="L7" s="315" t="str">
        <f t="shared" si="1"/>
        <v/>
      </c>
      <c r="M7" s="315" t="str">
        <f t="shared" si="1"/>
        <v/>
      </c>
      <c r="N7" s="315" t="str">
        <f t="shared" si="1"/>
        <v/>
      </c>
      <c r="O7" s="315" t="str">
        <f t="shared" si="1"/>
        <v/>
      </c>
      <c r="P7" s="315" t="str">
        <f t="shared" si="1"/>
        <v/>
      </c>
      <c r="Q7" s="315" t="str">
        <f t="shared" si="1"/>
        <v/>
      </c>
      <c r="R7" s="315" t="str">
        <f t="shared" si="1"/>
        <v/>
      </c>
      <c r="S7" s="315" t="str">
        <f t="shared" si="1"/>
        <v/>
      </c>
      <c r="T7" s="315" t="str">
        <f t="shared" si="1"/>
        <v/>
      </c>
      <c r="U7" s="315" t="str">
        <f t="shared" si="1"/>
        <v/>
      </c>
      <c r="V7" s="315" t="str">
        <f t="shared" si="1"/>
        <v/>
      </c>
      <c r="W7" s="315" t="str">
        <f t="shared" si="1"/>
        <v/>
      </c>
      <c r="X7" s="315" t="str">
        <f t="shared" si="1"/>
        <v/>
      </c>
      <c r="Y7" s="315" t="str">
        <f t="shared" si="1"/>
        <v/>
      </c>
      <c r="Z7" s="315" t="str">
        <f t="shared" si="1"/>
        <v/>
      </c>
      <c r="AA7" s="315" t="str">
        <f t="shared" si="1"/>
        <v/>
      </c>
      <c r="AB7" s="315" t="str">
        <f t="shared" si="1"/>
        <v/>
      </c>
      <c r="AC7" s="315" t="str">
        <f t="shared" si="1"/>
        <v/>
      </c>
      <c r="AD7" s="315" t="str">
        <f t="shared" si="1"/>
        <v/>
      </c>
      <c r="AE7" s="315" t="str">
        <f t="shared" si="1"/>
        <v/>
      </c>
      <c r="AF7" s="315" t="str">
        <f t="shared" si="1"/>
        <v/>
      </c>
      <c r="AG7" s="315" t="str">
        <f t="shared" si="1"/>
        <v/>
      </c>
      <c r="AH7" s="315" t="str">
        <f t="shared" si="1"/>
        <v/>
      </c>
    </row>
    <row r="8" spans="2:34" ht="15" customHeight="1" x14ac:dyDescent="0.2">
      <c r="C8" s="1168" t="s">
        <v>155</v>
      </c>
      <c r="D8" s="1169"/>
      <c r="E8" s="109">
        <f>Cashflow!F39</f>
        <v>0</v>
      </c>
      <c r="F8" s="109">
        <f>Cashflow!G39</f>
        <v>0</v>
      </c>
      <c r="G8" s="109">
        <f>Cashflow!H39</f>
        <v>0</v>
      </c>
      <c r="H8" s="109">
        <f>Cashflow!I39</f>
        <v>0</v>
      </c>
      <c r="I8" s="109">
        <f>Cashflow!J39</f>
        <v>0</v>
      </c>
      <c r="J8" s="109">
        <f>Cashflow!K39</f>
        <v>0</v>
      </c>
      <c r="K8" s="109">
        <f>Cashflow!L39</f>
        <v>0</v>
      </c>
      <c r="L8" s="109">
        <f>Cashflow!M39</f>
        <v>0</v>
      </c>
      <c r="M8" s="109">
        <f>Cashflow!N39</f>
        <v>0</v>
      </c>
      <c r="N8" s="109">
        <f>Cashflow!O39</f>
        <v>0</v>
      </c>
      <c r="O8" s="109">
        <f>Cashflow!P39</f>
        <v>0</v>
      </c>
      <c r="P8" s="109">
        <f>Cashflow!Q39</f>
        <v>0</v>
      </c>
      <c r="Q8" s="109">
        <f>Cashflow!R39</f>
        <v>0</v>
      </c>
      <c r="R8" s="109">
        <f>Cashflow!S39</f>
        <v>0</v>
      </c>
      <c r="S8" s="109">
        <f>Cashflow!T39</f>
        <v>0</v>
      </c>
      <c r="T8" s="109">
        <f>Cashflow!U39</f>
        <v>0</v>
      </c>
      <c r="U8" s="109">
        <f>Cashflow!V39</f>
        <v>0</v>
      </c>
      <c r="V8" s="109">
        <f>Cashflow!W39</f>
        <v>0</v>
      </c>
      <c r="W8" s="109">
        <f>Cashflow!X39</f>
        <v>0</v>
      </c>
      <c r="X8" s="109">
        <f>Cashflow!Y39</f>
        <v>0</v>
      </c>
      <c r="Y8" s="109">
        <f>Cashflow!Z39</f>
        <v>0</v>
      </c>
      <c r="Z8" s="109">
        <f>Cashflow!AA39</f>
        <v>0</v>
      </c>
      <c r="AA8" s="109">
        <f>Cashflow!AB39</f>
        <v>0</v>
      </c>
      <c r="AB8" s="109">
        <f>Cashflow!AC39</f>
        <v>0</v>
      </c>
      <c r="AC8" s="109">
        <f>Cashflow!AD39</f>
        <v>0</v>
      </c>
      <c r="AD8" s="109">
        <f>Cashflow!AE39</f>
        <v>0</v>
      </c>
      <c r="AE8" s="109">
        <f>Cashflow!AF39</f>
        <v>0</v>
      </c>
      <c r="AF8" s="109">
        <f>Cashflow!AG39</f>
        <v>0</v>
      </c>
      <c r="AG8" s="109">
        <f>Cashflow!AH39</f>
        <v>0</v>
      </c>
      <c r="AH8" s="109">
        <f>Cashflow!AI39</f>
        <v>0</v>
      </c>
    </row>
    <row r="9" spans="2:34" ht="15" customHeight="1" x14ac:dyDescent="0.2">
      <c r="C9" s="74"/>
      <c r="D9" s="74"/>
      <c r="E9" s="47"/>
      <c r="F9" s="47"/>
      <c r="G9" s="47"/>
      <c r="H9" s="47"/>
      <c r="I9" s="47"/>
      <c r="J9" s="47"/>
      <c r="K9" s="47"/>
      <c r="L9" s="47"/>
      <c r="M9" s="47"/>
      <c r="N9" s="47"/>
      <c r="O9" s="47"/>
      <c r="P9" s="47"/>
      <c r="Q9" s="47"/>
      <c r="R9" s="47"/>
      <c r="S9" s="336"/>
      <c r="T9" s="151"/>
      <c r="U9" s="47"/>
      <c r="V9" s="47"/>
      <c r="W9" s="47"/>
      <c r="X9" s="47"/>
      <c r="Y9" s="47"/>
      <c r="Z9" s="47"/>
      <c r="AA9" s="47"/>
      <c r="AB9" s="47"/>
      <c r="AC9" s="47"/>
      <c r="AD9" s="47"/>
      <c r="AE9" s="47"/>
      <c r="AF9" s="47"/>
      <c r="AG9" s="47"/>
      <c r="AH9" s="47"/>
    </row>
    <row r="10" spans="2:34" ht="15" customHeight="1" x14ac:dyDescent="0.2">
      <c r="C10" s="74"/>
      <c r="D10" s="74"/>
      <c r="E10" s="47"/>
      <c r="F10" s="47"/>
      <c r="G10" s="47"/>
      <c r="H10" s="47"/>
      <c r="I10" s="47"/>
      <c r="J10" s="47"/>
      <c r="K10" s="47"/>
      <c r="L10" s="47"/>
      <c r="M10" s="47"/>
      <c r="N10" s="47"/>
      <c r="O10" s="47"/>
      <c r="P10" s="47"/>
      <c r="Q10" s="47"/>
      <c r="R10" s="47"/>
      <c r="S10" s="336"/>
      <c r="T10" s="151"/>
      <c r="U10" s="47"/>
      <c r="V10" s="47"/>
      <c r="W10" s="47"/>
      <c r="X10" s="47"/>
      <c r="Y10" s="47"/>
      <c r="Z10" s="47"/>
      <c r="AA10" s="47"/>
      <c r="AB10" s="47"/>
      <c r="AC10" s="47"/>
      <c r="AD10" s="47"/>
      <c r="AE10" s="47"/>
      <c r="AF10" s="47"/>
      <c r="AG10" s="47"/>
      <c r="AH10" s="47"/>
    </row>
    <row r="11" spans="2:34" ht="15" customHeight="1" x14ac:dyDescent="0.2">
      <c r="C11" s="1456" t="s">
        <v>357</v>
      </c>
      <c r="D11" s="1456"/>
      <c r="E11" s="412"/>
      <c r="F11" s="74"/>
      <c r="G11" s="74"/>
      <c r="H11" s="74"/>
      <c r="I11" s="74"/>
      <c r="J11" s="74"/>
      <c r="K11" s="74"/>
      <c r="L11" s="74"/>
      <c r="M11" s="74"/>
      <c r="N11" s="74"/>
      <c r="O11" s="74"/>
      <c r="P11" s="74"/>
      <c r="Q11" s="74"/>
      <c r="R11" s="74"/>
      <c r="S11" s="333"/>
      <c r="T11" s="74"/>
      <c r="U11" s="74"/>
      <c r="V11" s="74"/>
      <c r="W11" s="74"/>
      <c r="X11" s="74"/>
      <c r="Y11" s="74"/>
      <c r="Z11" s="74"/>
      <c r="AA11" s="74"/>
      <c r="AB11" s="74"/>
      <c r="AC11" s="74"/>
      <c r="AD11" s="74"/>
      <c r="AE11" s="74"/>
      <c r="AF11" s="74"/>
      <c r="AG11" s="74"/>
      <c r="AH11" s="74"/>
    </row>
    <row r="12" spans="2:34" ht="5.25" customHeight="1" x14ac:dyDescent="0.2">
      <c r="C12" s="345"/>
      <c r="D12" s="345"/>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row>
    <row r="13" spans="2:34" ht="15" customHeight="1" x14ac:dyDescent="0.2">
      <c r="C13" s="1452" t="s">
        <v>2255</v>
      </c>
      <c r="D13" s="1452"/>
      <c r="E13" s="413">
        <f>Sources!G38</f>
        <v>0</v>
      </c>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row>
    <row r="14" spans="2:34" ht="15" customHeight="1" x14ac:dyDescent="0.2">
      <c r="C14" s="1452" t="s">
        <v>2256</v>
      </c>
      <c r="D14" s="1452"/>
      <c r="E14" s="414">
        <f>Sources!H38</f>
        <v>0</v>
      </c>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row>
    <row r="15" spans="2:34" ht="15" customHeight="1" x14ac:dyDescent="0.2">
      <c r="C15" s="1452" t="s">
        <v>2187</v>
      </c>
      <c r="D15" s="1452"/>
      <c r="E15" s="414">
        <f>Sources!J38</f>
        <v>0</v>
      </c>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row>
    <row r="16" spans="2:34" ht="15" customHeight="1" x14ac:dyDescent="0.2">
      <c r="C16" s="1452" t="s">
        <v>2257</v>
      </c>
      <c r="D16" s="1452"/>
      <c r="E16" s="415">
        <f>Sources!K38</f>
        <v>0</v>
      </c>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row>
    <row r="17" spans="3:34" ht="15" customHeight="1" x14ac:dyDescent="0.2">
      <c r="C17" s="1452" t="s">
        <v>2258</v>
      </c>
      <c r="D17" s="1452"/>
      <c r="E17" s="415">
        <f>Sources!L38</f>
        <v>0</v>
      </c>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row>
    <row r="18" spans="3:34" ht="15" customHeight="1" x14ac:dyDescent="0.2">
      <c r="C18" s="1452" t="s">
        <v>2264</v>
      </c>
      <c r="D18" s="1452"/>
      <c r="E18" s="346" t="str">
        <f>IF(OR(E13=0,E16=E17),"N/A",INDEX(C20:AH27,MATCH("Ending Principal Balance",C20:C27,0),MATCH(E16,C20:AH20,0)))</f>
        <v>N/A</v>
      </c>
      <c r="F18" s="419"/>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row>
    <row r="19" spans="3:34" ht="5.25" customHeight="1" x14ac:dyDescent="0.2">
      <c r="C19" s="345"/>
      <c r="D19" s="345"/>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row>
    <row r="20" spans="3:34" ht="15" customHeight="1" x14ac:dyDescent="0.2">
      <c r="C20" s="345"/>
      <c r="D20" s="345"/>
      <c r="E20" s="310">
        <v>1</v>
      </c>
      <c r="F20" s="311">
        <f>E20+1</f>
        <v>2</v>
      </c>
      <c r="G20" s="311">
        <f t="shared" ref="G20" si="2">F20+1</f>
        <v>3</v>
      </c>
      <c r="H20" s="311">
        <f t="shared" ref="H20" si="3">G20+1</f>
        <v>4</v>
      </c>
      <c r="I20" s="311">
        <f t="shared" ref="I20" si="4">H20+1</f>
        <v>5</v>
      </c>
      <c r="J20" s="311">
        <f t="shared" ref="J20" si="5">I20+1</f>
        <v>6</v>
      </c>
      <c r="K20" s="311">
        <f t="shared" ref="K20" si="6">J20+1</f>
        <v>7</v>
      </c>
      <c r="L20" s="311">
        <f t="shared" ref="L20" si="7">K20+1</f>
        <v>8</v>
      </c>
      <c r="M20" s="311">
        <f t="shared" ref="M20" si="8">L20+1</f>
        <v>9</v>
      </c>
      <c r="N20" s="311">
        <f t="shared" ref="N20" si="9">M20+1</f>
        <v>10</v>
      </c>
      <c r="O20" s="311">
        <f t="shared" ref="O20" si="10">N20+1</f>
        <v>11</v>
      </c>
      <c r="P20" s="311">
        <f t="shared" ref="P20" si="11">O20+1</f>
        <v>12</v>
      </c>
      <c r="Q20" s="311">
        <f t="shared" ref="Q20" si="12">P20+1</f>
        <v>13</v>
      </c>
      <c r="R20" s="311">
        <f t="shared" ref="R20" si="13">Q20+1</f>
        <v>14</v>
      </c>
      <c r="S20" s="334">
        <f t="shared" ref="S20" si="14">R20+1</f>
        <v>15</v>
      </c>
      <c r="T20" s="311">
        <f t="shared" ref="T20" si="15">S20+1</f>
        <v>16</v>
      </c>
      <c r="U20" s="311">
        <f t="shared" ref="U20" si="16">T20+1</f>
        <v>17</v>
      </c>
      <c r="V20" s="311">
        <f t="shared" ref="V20" si="17">U20+1</f>
        <v>18</v>
      </c>
      <c r="W20" s="311">
        <f t="shared" ref="W20" si="18">V20+1</f>
        <v>19</v>
      </c>
      <c r="X20" s="311">
        <f t="shared" ref="X20" si="19">W20+1</f>
        <v>20</v>
      </c>
      <c r="Y20" s="311">
        <f t="shared" ref="Y20" si="20">X20+1</f>
        <v>21</v>
      </c>
      <c r="Z20" s="311">
        <f t="shared" ref="Z20" si="21">Y20+1</f>
        <v>22</v>
      </c>
      <c r="AA20" s="311">
        <f t="shared" ref="AA20" si="22">Z20+1</f>
        <v>23</v>
      </c>
      <c r="AB20" s="311">
        <f t="shared" ref="AB20" si="23">AA20+1</f>
        <v>24</v>
      </c>
      <c r="AC20" s="311">
        <f t="shared" ref="AC20" si="24">AB20+1</f>
        <v>25</v>
      </c>
      <c r="AD20" s="311">
        <f t="shared" ref="AD20" si="25">AC20+1</f>
        <v>26</v>
      </c>
      <c r="AE20" s="311">
        <f t="shared" ref="AE20" si="26">AD20+1</f>
        <v>27</v>
      </c>
      <c r="AF20" s="311">
        <f t="shared" ref="AF20" si="27">AE20+1</f>
        <v>28</v>
      </c>
      <c r="AG20" s="311">
        <f t="shared" ref="AG20" si="28">AF20+1</f>
        <v>29</v>
      </c>
      <c r="AH20" s="428">
        <f t="shared" ref="AH20" si="29">AG20+1</f>
        <v>30</v>
      </c>
    </row>
    <row r="21" spans="3:34" ht="15" customHeight="1" x14ac:dyDescent="0.2">
      <c r="C21" s="345"/>
      <c r="D21" s="345"/>
      <c r="E21" s="314" t="str">
        <f>IF(Details!$E$171="","",Details!$E$171)</f>
        <v/>
      </c>
      <c r="F21" s="315" t="str">
        <f>IF($E$7="","",E$7+1)</f>
        <v/>
      </c>
      <c r="G21" s="315" t="str">
        <f t="shared" ref="G21" si="30">IF($E$7="","",F$7+1)</f>
        <v/>
      </c>
      <c r="H21" s="315" t="str">
        <f t="shared" ref="H21" si="31">IF($E$7="","",G$7+1)</f>
        <v/>
      </c>
      <c r="I21" s="315" t="str">
        <f t="shared" ref="I21" si="32">IF($E$7="","",H$7+1)</f>
        <v/>
      </c>
      <c r="J21" s="315" t="str">
        <f t="shared" ref="J21" si="33">IF($E$7="","",I$7+1)</f>
        <v/>
      </c>
      <c r="K21" s="315" t="str">
        <f t="shared" ref="K21" si="34">IF($E$7="","",J$7+1)</f>
        <v/>
      </c>
      <c r="L21" s="315" t="str">
        <f t="shared" ref="L21" si="35">IF($E$7="","",K$7+1)</f>
        <v/>
      </c>
      <c r="M21" s="315" t="str">
        <f t="shared" ref="M21" si="36">IF($E$7="","",L$7+1)</f>
        <v/>
      </c>
      <c r="N21" s="315" t="str">
        <f t="shared" ref="N21" si="37">IF($E$7="","",M$7+1)</f>
        <v/>
      </c>
      <c r="O21" s="315" t="str">
        <f t="shared" ref="O21" si="38">IF($E$7="","",N$7+1)</f>
        <v/>
      </c>
      <c r="P21" s="315" t="str">
        <f t="shared" ref="P21" si="39">IF($E$7="","",O$7+1)</f>
        <v/>
      </c>
      <c r="Q21" s="315" t="str">
        <f t="shared" ref="Q21" si="40">IF($E$7="","",P$7+1)</f>
        <v/>
      </c>
      <c r="R21" s="315" t="str">
        <f t="shared" ref="R21" si="41">IF($E$7="","",Q$7+1)</f>
        <v/>
      </c>
      <c r="S21" s="335" t="str">
        <f t="shared" ref="S21" si="42">IF($E$7="","",R$7+1)</f>
        <v/>
      </c>
      <c r="T21" s="315" t="str">
        <f t="shared" ref="T21" si="43">IF($E$7="","",S$7+1)</f>
        <v/>
      </c>
      <c r="U21" s="315" t="str">
        <f t="shared" ref="U21" si="44">IF($E$7="","",T$7+1)</f>
        <v/>
      </c>
      <c r="V21" s="315" t="str">
        <f t="shared" ref="V21" si="45">IF($E$7="","",U$7+1)</f>
        <v/>
      </c>
      <c r="W21" s="315" t="str">
        <f t="shared" ref="W21" si="46">IF($E$7="","",V$7+1)</f>
        <v/>
      </c>
      <c r="X21" s="315" t="str">
        <f t="shared" ref="X21" si="47">IF($E$7="","",W$7+1)</f>
        <v/>
      </c>
      <c r="Y21" s="315" t="str">
        <f t="shared" ref="Y21" si="48">IF($E$7="","",X$7+1)</f>
        <v/>
      </c>
      <c r="Z21" s="315" t="str">
        <f t="shared" ref="Z21" si="49">IF($E$7="","",Y$7+1)</f>
        <v/>
      </c>
      <c r="AA21" s="315" t="str">
        <f t="shared" ref="AA21" si="50">IF($E$7="","",Z$7+1)</f>
        <v/>
      </c>
      <c r="AB21" s="315" t="str">
        <f t="shared" ref="AB21" si="51">IF($E$7="","",AA$7+1)</f>
        <v/>
      </c>
      <c r="AC21" s="315" t="str">
        <f t="shared" ref="AC21" si="52">IF($E$7="","",AB$7+1)</f>
        <v/>
      </c>
      <c r="AD21" s="315" t="str">
        <f t="shared" ref="AD21" si="53">IF($E$7="","",AC$7+1)</f>
        <v/>
      </c>
      <c r="AE21" s="315" t="str">
        <f t="shared" ref="AE21" si="54">IF($E$7="","",AD$7+1)</f>
        <v/>
      </c>
      <c r="AF21" s="315" t="str">
        <f t="shared" ref="AF21" si="55">IF($E$7="","",AE$7+1)</f>
        <v/>
      </c>
      <c r="AG21" s="315" t="str">
        <f t="shared" ref="AG21" si="56">IF($E$7="","",AF$7+1)</f>
        <v/>
      </c>
      <c r="AH21" s="315" t="str">
        <f t="shared" ref="AH21" si="57">IF($E$7="","",AG$7+1)</f>
        <v/>
      </c>
    </row>
    <row r="22" spans="3:34" ht="15" customHeight="1" x14ac:dyDescent="0.2">
      <c r="C22" s="1458" t="s">
        <v>2189</v>
      </c>
      <c r="D22" s="1459"/>
      <c r="E22" s="342">
        <f>IF(OR($E13=0,$E13=""),0,IF(E$6&gt;$E16,0,$E13))</f>
        <v>0</v>
      </c>
      <c r="F22" s="342">
        <f t="shared" ref="F22:AH22" si="58">IF(OR($E13=0,$E13=""),0,IF(F$6&gt;$E16,0,E27))</f>
        <v>0</v>
      </c>
      <c r="G22" s="342">
        <f t="shared" si="58"/>
        <v>0</v>
      </c>
      <c r="H22" s="342">
        <f t="shared" si="58"/>
        <v>0</v>
      </c>
      <c r="I22" s="342">
        <f t="shared" si="58"/>
        <v>0</v>
      </c>
      <c r="J22" s="342">
        <f t="shared" si="58"/>
        <v>0</v>
      </c>
      <c r="K22" s="342">
        <f t="shared" si="58"/>
        <v>0</v>
      </c>
      <c r="L22" s="342">
        <f t="shared" si="58"/>
        <v>0</v>
      </c>
      <c r="M22" s="342">
        <f t="shared" si="58"/>
        <v>0</v>
      </c>
      <c r="N22" s="342">
        <f t="shared" si="58"/>
        <v>0</v>
      </c>
      <c r="O22" s="342">
        <f t="shared" si="58"/>
        <v>0</v>
      </c>
      <c r="P22" s="342">
        <f t="shared" si="58"/>
        <v>0</v>
      </c>
      <c r="Q22" s="342">
        <f t="shared" si="58"/>
        <v>0</v>
      </c>
      <c r="R22" s="342">
        <f t="shared" si="58"/>
        <v>0</v>
      </c>
      <c r="S22" s="445">
        <f t="shared" si="58"/>
        <v>0</v>
      </c>
      <c r="T22" s="437">
        <f t="shared" si="58"/>
        <v>0</v>
      </c>
      <c r="U22" s="342">
        <f t="shared" si="58"/>
        <v>0</v>
      </c>
      <c r="V22" s="342">
        <f t="shared" si="58"/>
        <v>0</v>
      </c>
      <c r="W22" s="342">
        <f t="shared" si="58"/>
        <v>0</v>
      </c>
      <c r="X22" s="342">
        <f t="shared" si="58"/>
        <v>0</v>
      </c>
      <c r="Y22" s="342">
        <f t="shared" si="58"/>
        <v>0</v>
      </c>
      <c r="Z22" s="342">
        <f t="shared" si="58"/>
        <v>0</v>
      </c>
      <c r="AA22" s="342">
        <f t="shared" si="58"/>
        <v>0</v>
      </c>
      <c r="AB22" s="342">
        <f t="shared" si="58"/>
        <v>0</v>
      </c>
      <c r="AC22" s="342">
        <f t="shared" si="58"/>
        <v>0</v>
      </c>
      <c r="AD22" s="342">
        <f t="shared" si="58"/>
        <v>0</v>
      </c>
      <c r="AE22" s="342">
        <f t="shared" si="58"/>
        <v>0</v>
      </c>
      <c r="AF22" s="342">
        <f t="shared" si="58"/>
        <v>0</v>
      </c>
      <c r="AG22" s="342">
        <f t="shared" si="58"/>
        <v>0</v>
      </c>
      <c r="AH22" s="342">
        <f t="shared" si="58"/>
        <v>0</v>
      </c>
    </row>
    <row r="23" spans="3:34" ht="15" customHeight="1" x14ac:dyDescent="0.2">
      <c r="C23" s="1458" t="s">
        <v>2186</v>
      </c>
      <c r="D23" s="1459"/>
      <c r="E23" s="341">
        <f>IF(OR($E13=0,$E13=""),0,IF($E$6&gt;$E16,0,-CUMIPMT($E14/12,$E17*12,$E13,1,E$6*12,0)))</f>
        <v>0</v>
      </c>
      <c r="F23" s="341">
        <f>IF(OR($E13=0,$E13=""),0,IF(F$6&gt;$E16,0,-CUMIPMT($E14/12,$E17*12,Loans!$E$22,(E$6*12+1),F$6*12,0)))</f>
        <v>0</v>
      </c>
      <c r="G23" s="341">
        <f>IF(OR($E13=0,$E13=""),0,IF(G$6&gt;$E16,0,-CUMIPMT($E14/12,$E17*12,Loans!$E$22,(F$6*12+1),G$6*12,0)))</f>
        <v>0</v>
      </c>
      <c r="H23" s="341">
        <f>IF(OR($E13=0,$E13=""),0,IF(H$6&gt;$E16,0,-CUMIPMT($E14/12,$E17*12,Loans!$E$22,(G$6*12+1),H$6*12,0)))</f>
        <v>0</v>
      </c>
      <c r="I23" s="341">
        <f>IF(OR($E13=0,$E13=""),0,IF(I$6&gt;$E16,0,-CUMIPMT($E14/12,$E17*12,Loans!$E$22,(H$6*12+1),I$6*12,0)))</f>
        <v>0</v>
      </c>
      <c r="J23" s="341">
        <f>IF(OR($E13=0,$E13=""),0,IF(J$6&gt;$E16,0,-CUMIPMT($E14/12,$E17*12,Loans!$E$22,(I$6*12+1),J$6*12,0)))</f>
        <v>0</v>
      </c>
      <c r="K23" s="341">
        <f>IF(OR($E13=0,$E13=""),0,IF(K$6&gt;$E16,0,-CUMIPMT($E14/12,$E17*12,Loans!$E$22,(J$6*12+1),K$6*12,0)))</f>
        <v>0</v>
      </c>
      <c r="L23" s="341">
        <f>IF(OR($E13=0,$E13=""),0,IF(L$6&gt;$E16,0,-CUMIPMT($E14/12,$E17*12,Loans!$E$22,(K$6*12+1),L$6*12,0)))</f>
        <v>0</v>
      </c>
      <c r="M23" s="341">
        <f>IF(OR($E13=0,$E13=""),0,IF(M$6&gt;$E16,0,-CUMIPMT($E14/12,$E17*12,Loans!$E$22,(L$6*12+1),M$6*12,0)))</f>
        <v>0</v>
      </c>
      <c r="N23" s="341">
        <f>IF(OR($E13=0,$E13=""),0,IF(N$6&gt;$E16,0,-CUMIPMT($E14/12,$E17*12,Loans!$E$22,(M$6*12+1),N$6*12,0)))</f>
        <v>0</v>
      </c>
      <c r="O23" s="341">
        <f>IF(OR($E13=0,$E13=""),0,IF(O$6&gt;$E16,0,-CUMIPMT($E14/12,$E17*12,Loans!$E$22,(N$6*12+1),O$6*12,0)))</f>
        <v>0</v>
      </c>
      <c r="P23" s="341">
        <f>IF(OR($E13=0,$E13=""),0,IF(P$6&gt;$E16,0,-CUMIPMT($E14/12,$E17*12,Loans!$E$22,(O$6*12+1),P$6*12,0)))</f>
        <v>0</v>
      </c>
      <c r="Q23" s="341">
        <f>IF(OR($E13=0,$E13=""),0,IF(Q$6&gt;$E16,0,-CUMIPMT($E14/12,$E17*12,Loans!$E$22,(P$6*12+1),Q$6*12,0)))</f>
        <v>0</v>
      </c>
      <c r="R23" s="341">
        <f>IF(OR($E13=0,$E13=""),0,IF(R$6&gt;$E16,0,-CUMIPMT($E14/12,$E17*12,Loans!$E$22,(Q$6*12+1),R$6*12,0)))</f>
        <v>0</v>
      </c>
      <c r="S23" s="452">
        <f>IF(OR($E13=0,$E13=""),0,IF(S$6&gt;$E16,0,-CUMIPMT($E14/12,$E17*12,Loans!$E$22,(R$6*12+1),S$6*12,0)))</f>
        <v>0</v>
      </c>
      <c r="T23" s="449">
        <f>IF(OR($E13=0,$E13=""),0,IF(T$6&gt;$E16,0,-CUMIPMT($E14/12,$E17*12,Loans!$E$22,(S$6*12+1),T$6*12,0)))</f>
        <v>0</v>
      </c>
      <c r="U23" s="341">
        <f>IF(OR($E13=0,$E13=""),0,IF(U$6&gt;$E16,0,-CUMIPMT($E14/12,$E17*12,Loans!$E$22,(T$6*12+1),U$6*12,0)))</f>
        <v>0</v>
      </c>
      <c r="V23" s="341">
        <f>IF(OR($E13=0,$E13=""),0,IF(V$6&gt;$E16,0,-CUMIPMT($E14/12,$E17*12,Loans!$E$22,(U$6*12+1),V$6*12,0)))</f>
        <v>0</v>
      </c>
      <c r="W23" s="341">
        <f>IF(OR($E13=0,$E13=""),0,IF(W$6&gt;$E16,0,-CUMIPMT($E14/12,$E17*12,Loans!$E$22,(V$6*12+1),W$6*12,0)))</f>
        <v>0</v>
      </c>
      <c r="X23" s="341">
        <f>IF(OR($E13=0,$E13=""),0,IF(X$6&gt;$E16,0,-CUMIPMT($E14/12,$E17*12,Loans!$E$22,(W$6*12+1),X$6*12,0)))</f>
        <v>0</v>
      </c>
      <c r="Y23" s="341">
        <f>IF(OR($E13=0,$E13=""),0,IF(Y$6&gt;$E16,0,-CUMIPMT($E14/12,$E17*12,Loans!$E$22,(X$6*12+1),Y$6*12,0)))</f>
        <v>0</v>
      </c>
      <c r="Z23" s="341">
        <f>IF(OR($E13=0,$E13=""),0,IF(Z$6&gt;$E16,0,-CUMIPMT($E14/12,$E17*12,Loans!$E$22,(Y$6*12+1),Z$6*12,0)))</f>
        <v>0</v>
      </c>
      <c r="AA23" s="341">
        <f>IF(OR($E13=0,$E13=""),0,IF(AA$6&gt;$E16,0,-CUMIPMT($E14/12,$E17*12,Loans!$E$22,(Z$6*12+1),AA$6*12,0)))</f>
        <v>0</v>
      </c>
      <c r="AB23" s="341">
        <f>IF(OR($E13=0,$E13=""),0,IF(AB$6&gt;$E16,0,-CUMIPMT($E14/12,$E17*12,Loans!$E$22,(AA$6*12+1),AB$6*12,0)))</f>
        <v>0</v>
      </c>
      <c r="AC23" s="341">
        <f>IF(OR($E13=0,$E13=""),0,IF(AC$6&gt;$E16,0,-CUMIPMT($E14/12,$E17*12,Loans!$E$22,(AB$6*12+1),AC$6*12,0)))</f>
        <v>0</v>
      </c>
      <c r="AD23" s="341">
        <f>IF(OR($E13=0,$E13=""),0,IF(AD$6&gt;$E16,0,-CUMIPMT($E14/12,$E17*12,Loans!$E$22,(AC$6*12+1),AD$6*12,0)))</f>
        <v>0</v>
      </c>
      <c r="AE23" s="341">
        <f>IF(OR($E13=0,$E13=""),0,IF(AE$6&gt;$E16,0,-CUMIPMT($E14/12,$E17*12,Loans!$E$22,(AD$6*12+1),AE$6*12,0)))</f>
        <v>0</v>
      </c>
      <c r="AF23" s="341">
        <f>IF(OR($E13=0,$E13=""),0,IF(AF$6&gt;$E16,0,-CUMIPMT($E14/12,$E17*12,Loans!$E$22,(AE$6*12+1),AF$6*12,0)))</f>
        <v>0</v>
      </c>
      <c r="AG23" s="341">
        <f>IF(OR($E13=0,$E13=""),0,IF(AG$6&gt;$E16,0,-CUMIPMT($E14/12,$E17*12,Loans!$E$22,(AF$6*12+1),AG$6*12,0)))</f>
        <v>0</v>
      </c>
      <c r="AH23" s="341">
        <f>IF(OR($E13=0,$E13=""),0,IF(AH$6&gt;$E16,0,-CUMIPMT($E14/12,$E17*12,Loans!$E$22,(AG$6*12+1),AH$6*12,0)))</f>
        <v>0</v>
      </c>
    </row>
    <row r="24" spans="3:34" ht="15" customHeight="1" x14ac:dyDescent="0.2">
      <c r="C24" s="1457" t="s">
        <v>2187</v>
      </c>
      <c r="D24" s="1457"/>
      <c r="E24" s="341">
        <f>IF(OR($E13=0,$E13=""),0,IF(E$6&gt;$E$16,0,$E$15*Loans!E22))</f>
        <v>0</v>
      </c>
      <c r="F24" s="341">
        <f>IF(OR($E13=0,$E13=""),0,IF(F$6&gt;$E$16,0,$E$15*Loans!F22))</f>
        <v>0</v>
      </c>
      <c r="G24" s="341">
        <f>IF(OR($E13=0,$E13=""),0,IF(G$6&gt;$E$16,0,$E$15*Loans!G22))</f>
        <v>0</v>
      </c>
      <c r="H24" s="341">
        <f>IF(OR($E13=0,$E13=""),0,IF(H$6&gt;$E$16,0,$E$15*Loans!H22))</f>
        <v>0</v>
      </c>
      <c r="I24" s="341">
        <f>IF(OR($E13=0,$E13=""),0,IF(I$6&gt;$E$16,0,$E$15*Loans!I22))</f>
        <v>0</v>
      </c>
      <c r="J24" s="341">
        <f>IF(OR($E13=0,$E13=""),0,IF(J$6&gt;$E$16,0,$E$15*Loans!J22))</f>
        <v>0</v>
      </c>
      <c r="K24" s="341">
        <f>IF(OR($E13=0,$E13=""),0,IF(K$6&gt;$E$16,0,$E$15*Loans!K22))</f>
        <v>0</v>
      </c>
      <c r="L24" s="341">
        <f>IF(OR($E13=0,$E13=""),0,IF(L$6&gt;$E$16,0,$E$15*Loans!L22))</f>
        <v>0</v>
      </c>
      <c r="M24" s="341">
        <f>IF(OR($E13=0,$E13=""),0,IF(M$6&gt;$E$16,0,$E$15*Loans!M22))</f>
        <v>0</v>
      </c>
      <c r="N24" s="341">
        <f>IF(OR($E13=0,$E13=""),0,IF(N$6&gt;$E$16,0,$E$15*Loans!N22))</f>
        <v>0</v>
      </c>
      <c r="O24" s="341">
        <f>IF(OR($E13=0,$E13=""),0,IF(O$6&gt;$E$16,0,$E$15*Loans!O22))</f>
        <v>0</v>
      </c>
      <c r="P24" s="341">
        <f>IF(OR($E13=0,$E13=""),0,IF(P$6&gt;$E$16,0,$E$15*Loans!P22))</f>
        <v>0</v>
      </c>
      <c r="Q24" s="341">
        <f>IF(OR($E13=0,$E13=""),0,IF(Q$6&gt;$E$16,0,$E$15*Loans!Q22))</f>
        <v>0</v>
      </c>
      <c r="R24" s="341">
        <f>IF(OR($E13=0,$E13=""),0,IF(R$6&gt;$E$16,0,$E$15*Loans!R22))</f>
        <v>0</v>
      </c>
      <c r="S24" s="452">
        <f>IF(OR($E13=0,$E13=""),0,IF(S$6&gt;$E$16,0,$E$15*Loans!S22))</f>
        <v>0</v>
      </c>
      <c r="T24" s="449">
        <f>IF(OR($E13=0,$E13=""),0,IF(T$6&gt;$E$16,0,$E$15*Loans!T22))</f>
        <v>0</v>
      </c>
      <c r="U24" s="341">
        <f>IF(OR($E13=0,$E13=""),0,IF(U$6&gt;$E$16,0,$E$15*Loans!U22))</f>
        <v>0</v>
      </c>
      <c r="V24" s="341">
        <f>IF(OR($E13=0,$E13=""),0,IF(V$6&gt;$E$16,0,$E$15*Loans!V22))</f>
        <v>0</v>
      </c>
      <c r="W24" s="341">
        <f>IF(OR($E13=0,$E13=""),0,IF(W$6&gt;$E$16,0,$E$15*Loans!W22))</f>
        <v>0</v>
      </c>
      <c r="X24" s="341">
        <f>IF(OR($E13=0,$E13=""),0,IF(X$6&gt;$E$16,0,$E$15*Loans!X22))</f>
        <v>0</v>
      </c>
      <c r="Y24" s="341">
        <f>IF(OR($E13=0,$E13=""),0,IF(Y$6&gt;$E$16,0,$E$15*Loans!Y22))</f>
        <v>0</v>
      </c>
      <c r="Z24" s="341">
        <f>IF(OR($E13=0,$E13=""),0,IF(Z$6&gt;$E$16,0,$E$15*Loans!Z22))</f>
        <v>0</v>
      </c>
      <c r="AA24" s="341">
        <f>IF(OR($E13=0,$E13=""),0,IF(AA$6&gt;$E$16,0,$E$15*Loans!AA22))</f>
        <v>0</v>
      </c>
      <c r="AB24" s="341">
        <f>IF(OR($E13=0,$E13=""),0,IF(AB$6&gt;$E$16,0,$E$15*Loans!AB22))</f>
        <v>0</v>
      </c>
      <c r="AC24" s="341">
        <f>IF(OR($E13=0,$E13=""),0,IF(AC$6&gt;$E$16,0,$E$15*Loans!AC22))</f>
        <v>0</v>
      </c>
      <c r="AD24" s="341">
        <f>IF(OR($E13=0,$E13=""),0,IF(AD$6&gt;$E$16,0,$E$15*Loans!AD22))</f>
        <v>0</v>
      </c>
      <c r="AE24" s="341">
        <f>IF(OR($E13=0,$E13=""),0,IF(AE$6&gt;$E$16,0,$E$15*Loans!AE22))</f>
        <v>0</v>
      </c>
      <c r="AF24" s="341">
        <f>IF(OR($E13=0,$E13=""),0,IF(AF$6&gt;$E$16,0,$E$15*Loans!AF22))</f>
        <v>0</v>
      </c>
      <c r="AG24" s="341">
        <f>IF(OR($E13=0,$E13=""),0,IF(AG$6&gt;$E$16,0,$E$15*Loans!AG22))</f>
        <v>0</v>
      </c>
      <c r="AH24" s="341">
        <f>IF(OR($E13=0,$E13=""),0,IF(AH$6&gt;$E$16,0,$E$15*Loans!AH22))</f>
        <v>0</v>
      </c>
    </row>
    <row r="25" spans="3:34" ht="15" customHeight="1" thickBot="1" x14ac:dyDescent="0.25">
      <c r="C25" s="1460" t="s">
        <v>2188</v>
      </c>
      <c r="D25" s="1460"/>
      <c r="E25" s="418">
        <f>IF(OR($E13=0,$E13=""),0,IF(E$6&gt;$E16,0,-CUMPRINC($E14/12,$E17*12,Loans!$E$22,1,Loans!E$6*12,0)))</f>
        <v>0</v>
      </c>
      <c r="F25" s="418">
        <f>IF(OR($E13=0,$E13=""),0,IF(F$6&gt;$E16,0,-CUMPRINC($E14/12,$E17*12,Loans!$E$22,(E$6*12+1),F$6*12,0)))</f>
        <v>0</v>
      </c>
      <c r="G25" s="418">
        <f>IF(OR($E13=0,$E13=""),0,IF(G$6&gt;$E16,0,-CUMPRINC($E14/12,$E17*12,Loans!$E$22,(F$6*12+1),G$6*12,0)))</f>
        <v>0</v>
      </c>
      <c r="H25" s="418">
        <f>IF(OR($E13=0,$E13=""),0,IF(H$6&gt;$E16,0,-CUMPRINC($E14/12,$E17*12,Loans!$E$22,(G$6*12+1),H$6*12,0)))</f>
        <v>0</v>
      </c>
      <c r="I25" s="418">
        <f>IF(OR($E13=0,$E13=""),0,IF(I$6&gt;$E16,0,-CUMPRINC($E14/12,$E17*12,Loans!$E$22,(H$6*12+1),I$6*12,0)))</f>
        <v>0</v>
      </c>
      <c r="J25" s="418">
        <f>IF(OR($E13=0,$E13=""),0,IF(J$6&gt;$E16,0,-CUMPRINC($E14/12,$E17*12,Loans!$E$22,(I$6*12+1),J$6*12,0)))</f>
        <v>0</v>
      </c>
      <c r="K25" s="418">
        <f>IF(OR($E13=0,$E13=""),0,IF(K$6&gt;$E16,0,-CUMPRINC($E14/12,$E17*12,Loans!$E$22,(J$6*12+1),K$6*12,0)))</f>
        <v>0</v>
      </c>
      <c r="L25" s="418">
        <f>IF(OR($E13=0,$E13=""),0,IF(L$6&gt;$E16,0,-CUMPRINC($E14/12,$E17*12,Loans!$E$22,(K$6*12+1),L$6*12,0)))</f>
        <v>0</v>
      </c>
      <c r="M25" s="418">
        <f>IF(OR($E13=0,$E13=""),0,IF(M$6&gt;$E16,0,-CUMPRINC($E14/12,$E17*12,Loans!$E$22,(L$6*12+1),M$6*12,0)))</f>
        <v>0</v>
      </c>
      <c r="N25" s="418">
        <f>IF(OR($E13=0,$E13=""),0,IF(N$6&gt;$E16,0,-CUMPRINC($E14/12,$E17*12,Loans!$E$22,(M$6*12+1),N$6*12,0)))</f>
        <v>0</v>
      </c>
      <c r="O25" s="418">
        <f>IF(OR($E13=0,$E13=""),0,IF(O$6&gt;$E16,0,-CUMPRINC($E14/12,$E17*12,Loans!$E$22,(N$6*12+1),O$6*12,0)))</f>
        <v>0</v>
      </c>
      <c r="P25" s="418">
        <f>IF(OR($E13=0,$E13=""),0,IF(P$6&gt;$E16,0,-CUMPRINC($E14/12,$E17*12,Loans!$E$22,(O$6*12+1),P$6*12,0)))</f>
        <v>0</v>
      </c>
      <c r="Q25" s="418">
        <f>IF(OR($E13=0,$E13=""),0,IF(Q$6&gt;$E16,0,-CUMPRINC($E14/12,$E17*12,Loans!$E$22,(P$6*12+1),Q$6*12,0)))</f>
        <v>0</v>
      </c>
      <c r="R25" s="418">
        <f>IF(OR($E13=0,$E13=""),0,IF(R$6&gt;$E16,0,-CUMPRINC($E14/12,$E17*12,Loans!$E$22,(Q$6*12+1),R$6*12,0)))</f>
        <v>0</v>
      </c>
      <c r="S25" s="453">
        <f>IF(OR($E13=0,$E13=""),0,IF(S$6&gt;$E16,0,-CUMPRINC($E14/12,$E17*12,Loans!$E$22,(R$6*12+1),S$6*12,0)))</f>
        <v>0</v>
      </c>
      <c r="T25" s="450">
        <f>IF(OR($E13=0,$E13=""),0,IF(T$6&gt;$E16,0,-CUMPRINC($E14/12,$E17*12,Loans!$E$22,(S$6*12+1),T$6*12,0)))</f>
        <v>0</v>
      </c>
      <c r="U25" s="418">
        <f>IF(OR($E13=0,$E13=""),0,IF(U$6&gt;$E16,0,-CUMPRINC($E14/12,$E17*12,Loans!$E$22,(T$6*12+1),U$6*12,0)))</f>
        <v>0</v>
      </c>
      <c r="V25" s="418">
        <f>IF(OR($E13=0,$E13=""),0,IF(V$6&gt;$E16,0,-CUMPRINC($E14/12,$E17*12,Loans!$E$22,(U$6*12+1),V$6*12,0)))</f>
        <v>0</v>
      </c>
      <c r="W25" s="418">
        <f>IF(OR($E13=0,$E13=""),0,IF(W$6&gt;$E16,0,-CUMPRINC($E14/12,$E17*12,Loans!$E$22,(V$6*12+1),W$6*12,0)))</f>
        <v>0</v>
      </c>
      <c r="X25" s="418">
        <f>IF(OR($E13=0,$E13=""),0,IF(X$6&gt;$E16,0,-CUMPRINC($E14/12,$E17*12,Loans!$E$22,(W$6*12+1),X$6*12,0)))</f>
        <v>0</v>
      </c>
      <c r="Y25" s="418">
        <f>IF(OR($E13=0,$E13=""),0,IF(Y$6&gt;$E16,0,-CUMPRINC($E14/12,$E17*12,Loans!$E$22,(X$6*12+1),Y$6*12,0)))</f>
        <v>0</v>
      </c>
      <c r="Z25" s="418">
        <f>IF(OR($E13=0,$E13=""),0,IF(Z$6&gt;$E16,0,-CUMPRINC($E14/12,$E17*12,Loans!$E$22,(Y$6*12+1),Z$6*12,0)))</f>
        <v>0</v>
      </c>
      <c r="AA25" s="418">
        <f>IF(OR($E13=0,$E13=""),0,IF(AA$6&gt;$E16,0,-CUMPRINC($E14/12,$E17*12,Loans!$E$22,(Z$6*12+1),AA$6*12,0)))</f>
        <v>0</v>
      </c>
      <c r="AB25" s="418">
        <f>IF(OR($E13=0,$E13=""),0,IF(AB$6&gt;$E16,0,-CUMPRINC($E14/12,$E17*12,Loans!$E$22,(AA$6*12+1),AB$6*12,0)))</f>
        <v>0</v>
      </c>
      <c r="AC25" s="418">
        <f>IF(OR($E13=0,$E13=""),0,IF(AC$6&gt;$E16,0,-CUMPRINC($E14/12,$E17*12,Loans!$E$22,(AB$6*12+1),AC$6*12,0)))</f>
        <v>0</v>
      </c>
      <c r="AD25" s="418">
        <f>IF(OR($E13=0,$E13=""),0,IF(AD$6&gt;$E16,0,-CUMPRINC($E14/12,$E17*12,Loans!$E$22,(AC$6*12+1),AD$6*12,0)))</f>
        <v>0</v>
      </c>
      <c r="AE25" s="418">
        <f>IF(OR($E13=0,$E13=""),0,IF(AE$6&gt;$E16,0,-CUMPRINC($E14/12,$E17*12,Loans!$E$22,(AD$6*12+1),AE$6*12,0)))</f>
        <v>0</v>
      </c>
      <c r="AF25" s="418">
        <f>IF(OR($E13=0,$E13=""),0,IF(AF$6&gt;$E16,0,-CUMPRINC($E14/12,$E17*12,Loans!$E$22,(AE$6*12+1),AF$6*12,0)))</f>
        <v>0</v>
      </c>
      <c r="AG25" s="418">
        <f>IF(OR($E13=0,$E13=""),0,IF(AG$6&gt;$E16,0,-CUMPRINC($E14/12,$E17*12,Loans!$E$22,(AF$6*12+1),AG$6*12,0)))</f>
        <v>0</v>
      </c>
      <c r="AH25" s="418">
        <f>IF(OR($E13=0,$E13=""),0,IF(AH$6&gt;$E16,0,-CUMPRINC($E14/12,$E17*12,Loans!$E$22,(AG$6*12+1),AH$6*12,0)))</f>
        <v>0</v>
      </c>
    </row>
    <row r="26" spans="3:34" ht="15" customHeight="1" thickTop="1" x14ac:dyDescent="0.2">
      <c r="C26" s="1461" t="s">
        <v>2191</v>
      </c>
      <c r="D26" s="1462"/>
      <c r="E26" s="343">
        <f t="shared" ref="E26:AH26" si="59">IF(OR($E13=0,$E13=""),0,IF(E$6&gt;$E16,0,SUM(E23:E25)))</f>
        <v>0</v>
      </c>
      <c r="F26" s="343">
        <f t="shared" si="59"/>
        <v>0</v>
      </c>
      <c r="G26" s="343">
        <f t="shared" si="59"/>
        <v>0</v>
      </c>
      <c r="H26" s="343">
        <f t="shared" si="59"/>
        <v>0</v>
      </c>
      <c r="I26" s="343">
        <f t="shared" si="59"/>
        <v>0</v>
      </c>
      <c r="J26" s="343">
        <f t="shared" si="59"/>
        <v>0</v>
      </c>
      <c r="K26" s="343">
        <f t="shared" si="59"/>
        <v>0</v>
      </c>
      <c r="L26" s="343">
        <f t="shared" si="59"/>
        <v>0</v>
      </c>
      <c r="M26" s="343">
        <f t="shared" si="59"/>
        <v>0</v>
      </c>
      <c r="N26" s="343">
        <f t="shared" si="59"/>
        <v>0</v>
      </c>
      <c r="O26" s="343">
        <f t="shared" si="59"/>
        <v>0</v>
      </c>
      <c r="P26" s="343">
        <f t="shared" si="59"/>
        <v>0</v>
      </c>
      <c r="Q26" s="343">
        <f t="shared" si="59"/>
        <v>0</v>
      </c>
      <c r="R26" s="343">
        <f t="shared" si="59"/>
        <v>0</v>
      </c>
      <c r="S26" s="454">
        <f t="shared" si="59"/>
        <v>0</v>
      </c>
      <c r="T26" s="451">
        <f t="shared" si="59"/>
        <v>0</v>
      </c>
      <c r="U26" s="343">
        <f t="shared" si="59"/>
        <v>0</v>
      </c>
      <c r="V26" s="343">
        <f t="shared" si="59"/>
        <v>0</v>
      </c>
      <c r="W26" s="343">
        <f t="shared" si="59"/>
        <v>0</v>
      </c>
      <c r="X26" s="343">
        <f t="shared" si="59"/>
        <v>0</v>
      </c>
      <c r="Y26" s="343">
        <f t="shared" si="59"/>
        <v>0</v>
      </c>
      <c r="Z26" s="343">
        <f t="shared" si="59"/>
        <v>0</v>
      </c>
      <c r="AA26" s="343">
        <f t="shared" si="59"/>
        <v>0</v>
      </c>
      <c r="AB26" s="343">
        <f t="shared" si="59"/>
        <v>0</v>
      </c>
      <c r="AC26" s="343">
        <f t="shared" si="59"/>
        <v>0</v>
      </c>
      <c r="AD26" s="343">
        <f t="shared" si="59"/>
        <v>0</v>
      </c>
      <c r="AE26" s="343">
        <f t="shared" si="59"/>
        <v>0</v>
      </c>
      <c r="AF26" s="343">
        <f t="shared" si="59"/>
        <v>0</v>
      </c>
      <c r="AG26" s="343">
        <f t="shared" si="59"/>
        <v>0</v>
      </c>
      <c r="AH26" s="343">
        <f t="shared" si="59"/>
        <v>0</v>
      </c>
    </row>
    <row r="27" spans="3:34" ht="15" customHeight="1" x14ac:dyDescent="0.2">
      <c r="C27" s="1457" t="s">
        <v>2190</v>
      </c>
      <c r="D27" s="1457"/>
      <c r="E27" s="341">
        <f>IF(OR($E13=0,Sources!$G38=""),0,IF(E$6&gt;$E16,0,E22-E25))</f>
        <v>0</v>
      </c>
      <c r="F27" s="341">
        <f>IF(OR($E13=0,Sources!$G38=""),0,IF(F$6&gt;$E16,0,F22-F25))</f>
        <v>0</v>
      </c>
      <c r="G27" s="341">
        <f>IF(OR($E13=0,Sources!$G38=""),0,IF(G$6&gt;$E16,0,G22-G25))</f>
        <v>0</v>
      </c>
      <c r="H27" s="341">
        <f>IF(OR($E13=0,Sources!$G38=""),0,IF(H$6&gt;$E16,0,H22-H25))</f>
        <v>0</v>
      </c>
      <c r="I27" s="341">
        <f>IF(OR($E13=0,Sources!$G38=""),0,IF(I$6&gt;$E16,0,I22-I25))</f>
        <v>0</v>
      </c>
      <c r="J27" s="341">
        <f>IF(OR($E13=0,Sources!$G38=""),0,IF(J$6&gt;$E16,0,J22-J25))</f>
        <v>0</v>
      </c>
      <c r="K27" s="341">
        <f>IF(OR($E13=0,Sources!$G38=""),0,IF(K$6&gt;$E16,0,K22-K25))</f>
        <v>0</v>
      </c>
      <c r="L27" s="341">
        <f>IF(OR($E13=0,Sources!$G38=""),0,IF(L$6&gt;$E16,0,L22-L25))</f>
        <v>0</v>
      </c>
      <c r="M27" s="341">
        <f>IF(OR($E13=0,Sources!$G38=""),0,IF(M$6&gt;$E16,0,M22-M25))</f>
        <v>0</v>
      </c>
      <c r="N27" s="341">
        <f>IF(OR($E13=0,Sources!$G38=""),0,IF(N$6&gt;$E16,0,N22-N25))</f>
        <v>0</v>
      </c>
      <c r="O27" s="341">
        <f>IF(OR($E13=0,Sources!$G38=""),0,IF(O$6&gt;$E16,0,O22-O25))</f>
        <v>0</v>
      </c>
      <c r="P27" s="341">
        <f>IF(OR($E13=0,Sources!$G38=""),0,IF(P$6&gt;$E16,0,P22-P25))</f>
        <v>0</v>
      </c>
      <c r="Q27" s="341">
        <f>IF(OR($E13=0,Sources!$G38=""),0,IF(Q$6&gt;$E16,0,Q22-Q25))</f>
        <v>0</v>
      </c>
      <c r="R27" s="341">
        <f>IF(OR($E13=0,Sources!$G38=""),0,IF(R$6&gt;$E16,0,R22-R25))</f>
        <v>0</v>
      </c>
      <c r="S27" s="452">
        <f>IF(OR($E13=0,Sources!$G38=""),0,IF(S$6&gt;$E16,0,S22-S25))</f>
        <v>0</v>
      </c>
      <c r="T27" s="228">
        <f>IF(OR($E13=0,Sources!$G38=""),0,IF(T$6&gt;$E16,0,T22-T25))</f>
        <v>0</v>
      </c>
      <c r="U27" s="449">
        <f>IF(OR($E13=0,Sources!$G38=""),0,IF(U$6&gt;$E16,0,U22-U25))</f>
        <v>0</v>
      </c>
      <c r="V27" s="341">
        <f>IF(OR($E13=0,Sources!$G38=""),0,IF(V$6&gt;$E16,0,V22-V25))</f>
        <v>0</v>
      </c>
      <c r="W27" s="341">
        <f>IF(OR($E13=0,Sources!$G38=""),0,IF(W$6&gt;$E16,0,W22-W25))</f>
        <v>0</v>
      </c>
      <c r="X27" s="341">
        <f>IF(OR($E13=0,Sources!$G38=""),0,IF(X$6&gt;$E16,0,X22-X25))</f>
        <v>0</v>
      </c>
      <c r="Y27" s="341">
        <f>IF(OR($E13=0,Sources!$G38=""),0,IF(Y$6&gt;$E16,0,Y22-Y25))</f>
        <v>0</v>
      </c>
      <c r="Z27" s="341">
        <f>IF(OR($E13=0,Sources!$G38=""),0,IF(Z$6&gt;$E16,0,Z22-Z25))</f>
        <v>0</v>
      </c>
      <c r="AA27" s="341">
        <f>IF(OR($E13=0,Sources!$G38=""),0,IF(AA$6&gt;$E16,0,AA22-AA25))</f>
        <v>0</v>
      </c>
      <c r="AB27" s="341">
        <f>IF(OR($E13=0,Sources!$G38=""),0,IF(AB$6&gt;$E16,0,AB22-AB25))</f>
        <v>0</v>
      </c>
      <c r="AC27" s="341">
        <f>IF(OR($E13=0,Sources!$G38=""),0,IF(AC$6&gt;$E16,0,AC22-AC25))</f>
        <v>0</v>
      </c>
      <c r="AD27" s="341">
        <f>IF(OR($E13=0,Sources!$G38=""),0,IF(AD$6&gt;$E16,0,AD22-AD25))</f>
        <v>0</v>
      </c>
      <c r="AE27" s="341">
        <f>IF(OR($E13=0,Sources!$G38=""),0,IF(AE$6&gt;$E16,0,AE22-AE25))</f>
        <v>0</v>
      </c>
      <c r="AF27" s="341">
        <f>IF(OR($E13=0,Sources!$G38=""),0,IF(AF$6&gt;$E16,0,AF22-AF25))</f>
        <v>0</v>
      </c>
      <c r="AG27" s="341">
        <f>IF(OR($E13=0,Sources!$G38=""),0,IF(AG$6&gt;$E16,0,AG22-AG25))</f>
        <v>0</v>
      </c>
      <c r="AH27" s="341">
        <f>IF(OR($E13=0,Sources!$G38=""),0,IF(AH$6&gt;$E16,0,AH22-AH25))</f>
        <v>0</v>
      </c>
    </row>
    <row r="28" spans="3:34" ht="15" customHeight="1" x14ac:dyDescent="0.2">
      <c r="C28" s="317"/>
      <c r="D28" s="317"/>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row>
    <row r="29" spans="3:34" ht="15" customHeight="1" x14ac:dyDescent="0.2">
      <c r="C29" s="317"/>
      <c r="D29" s="317"/>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row>
    <row r="30" spans="3:34" ht="15" customHeight="1" x14ac:dyDescent="0.2">
      <c r="C30" s="1456" t="s">
        <v>381</v>
      </c>
      <c r="D30" s="1456"/>
      <c r="E30" s="412"/>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row>
    <row r="31" spans="3:34" ht="5.25" customHeight="1" x14ac:dyDescent="0.2">
      <c r="C31" s="345"/>
      <c r="D31" s="345"/>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row>
    <row r="32" spans="3:34" ht="15" customHeight="1" x14ac:dyDescent="0.2">
      <c r="C32" s="1452" t="s">
        <v>2255</v>
      </c>
      <c r="D32" s="1452"/>
      <c r="E32" s="413">
        <f>Sources!G39</f>
        <v>0</v>
      </c>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row>
    <row r="33" spans="3:34" ht="15" customHeight="1" x14ac:dyDescent="0.2">
      <c r="C33" s="1452" t="s">
        <v>2256</v>
      </c>
      <c r="D33" s="1452"/>
      <c r="E33" s="414">
        <f>Sources!H39</f>
        <v>0</v>
      </c>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row>
    <row r="34" spans="3:34" ht="15" customHeight="1" x14ac:dyDescent="0.2">
      <c r="C34" s="1452" t="s">
        <v>2187</v>
      </c>
      <c r="D34" s="1452"/>
      <c r="E34" s="414">
        <f>Sources!J39</f>
        <v>0</v>
      </c>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row>
    <row r="35" spans="3:34" ht="15" customHeight="1" x14ac:dyDescent="0.2">
      <c r="C35" s="1452" t="s">
        <v>2257</v>
      </c>
      <c r="D35" s="1452"/>
      <c r="E35" s="415">
        <f>Sources!K39</f>
        <v>0</v>
      </c>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row>
    <row r="36" spans="3:34" ht="15" customHeight="1" x14ac:dyDescent="0.2">
      <c r="C36" s="1452" t="s">
        <v>2258</v>
      </c>
      <c r="D36" s="1452"/>
      <c r="E36" s="415">
        <f>Sources!L39</f>
        <v>0</v>
      </c>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row>
    <row r="37" spans="3:34" ht="15" customHeight="1" x14ac:dyDescent="0.2">
      <c r="C37" s="1452" t="s">
        <v>2264</v>
      </c>
      <c r="D37" s="1452"/>
      <c r="E37" s="346" t="str">
        <f>IF(OR(E32=0,E35=E36),"N/A",INDEX(C39:AH46,MATCH("Ending Principal Balance",C39:C46,0),MATCH(E35,C39:AH39,0)))</f>
        <v>N/A</v>
      </c>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row>
    <row r="38" spans="3:34" ht="5.25" customHeight="1" x14ac:dyDescent="0.2">
      <c r="C38" s="345"/>
      <c r="D38" s="345"/>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row>
    <row r="39" spans="3:34" ht="15" customHeight="1" x14ac:dyDescent="0.2">
      <c r="C39" s="345"/>
      <c r="D39" s="345"/>
      <c r="E39" s="310">
        <v>1</v>
      </c>
      <c r="F39" s="311">
        <f>E39+1</f>
        <v>2</v>
      </c>
      <c r="G39" s="311">
        <f t="shared" ref="G39" si="60">F39+1</f>
        <v>3</v>
      </c>
      <c r="H39" s="311">
        <f t="shared" ref="H39" si="61">G39+1</f>
        <v>4</v>
      </c>
      <c r="I39" s="311">
        <f t="shared" ref="I39" si="62">H39+1</f>
        <v>5</v>
      </c>
      <c r="J39" s="311">
        <f t="shared" ref="J39" si="63">I39+1</f>
        <v>6</v>
      </c>
      <c r="K39" s="311">
        <f t="shared" ref="K39" si="64">J39+1</f>
        <v>7</v>
      </c>
      <c r="L39" s="311">
        <f t="shared" ref="L39" si="65">K39+1</f>
        <v>8</v>
      </c>
      <c r="M39" s="311">
        <f t="shared" ref="M39" si="66">L39+1</f>
        <v>9</v>
      </c>
      <c r="N39" s="311">
        <f t="shared" ref="N39" si="67">M39+1</f>
        <v>10</v>
      </c>
      <c r="O39" s="311">
        <f t="shared" ref="O39" si="68">N39+1</f>
        <v>11</v>
      </c>
      <c r="P39" s="311">
        <f t="shared" ref="P39" si="69">O39+1</f>
        <v>12</v>
      </c>
      <c r="Q39" s="311">
        <f t="shared" ref="Q39" si="70">P39+1</f>
        <v>13</v>
      </c>
      <c r="R39" s="311">
        <f t="shared" ref="R39" si="71">Q39+1</f>
        <v>14</v>
      </c>
      <c r="S39" s="334">
        <f t="shared" ref="S39" si="72">R39+1</f>
        <v>15</v>
      </c>
      <c r="T39" s="311">
        <f t="shared" ref="T39" si="73">S39+1</f>
        <v>16</v>
      </c>
      <c r="U39" s="311">
        <f t="shared" ref="U39" si="74">T39+1</f>
        <v>17</v>
      </c>
      <c r="V39" s="311">
        <f t="shared" ref="V39" si="75">U39+1</f>
        <v>18</v>
      </c>
      <c r="W39" s="311">
        <f t="shared" ref="W39" si="76">V39+1</f>
        <v>19</v>
      </c>
      <c r="X39" s="311">
        <f t="shared" ref="X39" si="77">W39+1</f>
        <v>20</v>
      </c>
      <c r="Y39" s="311">
        <f t="shared" ref="Y39" si="78">X39+1</f>
        <v>21</v>
      </c>
      <c r="Z39" s="311">
        <f t="shared" ref="Z39" si="79">Y39+1</f>
        <v>22</v>
      </c>
      <c r="AA39" s="311">
        <f t="shared" ref="AA39" si="80">Z39+1</f>
        <v>23</v>
      </c>
      <c r="AB39" s="311">
        <f t="shared" ref="AB39" si="81">AA39+1</f>
        <v>24</v>
      </c>
      <c r="AC39" s="311">
        <f t="shared" ref="AC39" si="82">AB39+1</f>
        <v>25</v>
      </c>
      <c r="AD39" s="311">
        <f t="shared" ref="AD39" si="83">AC39+1</f>
        <v>26</v>
      </c>
      <c r="AE39" s="311">
        <f t="shared" ref="AE39" si="84">AD39+1</f>
        <v>27</v>
      </c>
      <c r="AF39" s="311">
        <f t="shared" ref="AF39" si="85">AE39+1</f>
        <v>28</v>
      </c>
      <c r="AG39" s="311">
        <f t="shared" ref="AG39" si="86">AF39+1</f>
        <v>29</v>
      </c>
      <c r="AH39" s="428">
        <f t="shared" ref="AH39" si="87">AG39+1</f>
        <v>30</v>
      </c>
    </row>
    <row r="40" spans="3:34" ht="15" customHeight="1" x14ac:dyDescent="0.2">
      <c r="C40" s="345"/>
      <c r="D40" s="345"/>
      <c r="E40" s="314" t="str">
        <f>IF(Details!$E$171="","",Details!$E$171)</f>
        <v/>
      </c>
      <c r="F40" s="315" t="str">
        <f>IF($E$7="","",E$7+1)</f>
        <v/>
      </c>
      <c r="G40" s="315" t="str">
        <f t="shared" ref="G40" si="88">IF($E$7="","",F$7+1)</f>
        <v/>
      </c>
      <c r="H40" s="315" t="str">
        <f t="shared" ref="H40" si="89">IF($E$7="","",G$7+1)</f>
        <v/>
      </c>
      <c r="I40" s="315" t="str">
        <f t="shared" ref="I40" si="90">IF($E$7="","",H$7+1)</f>
        <v/>
      </c>
      <c r="J40" s="315" t="str">
        <f t="shared" ref="J40" si="91">IF($E$7="","",I$7+1)</f>
        <v/>
      </c>
      <c r="K40" s="315" t="str">
        <f t="shared" ref="K40" si="92">IF($E$7="","",J$7+1)</f>
        <v/>
      </c>
      <c r="L40" s="315" t="str">
        <f t="shared" ref="L40" si="93">IF($E$7="","",K$7+1)</f>
        <v/>
      </c>
      <c r="M40" s="315" t="str">
        <f t="shared" ref="M40" si="94">IF($E$7="","",L$7+1)</f>
        <v/>
      </c>
      <c r="N40" s="315" t="str">
        <f t="shared" ref="N40" si="95">IF($E$7="","",M$7+1)</f>
        <v/>
      </c>
      <c r="O40" s="315" t="str">
        <f t="shared" ref="O40" si="96">IF($E$7="","",N$7+1)</f>
        <v/>
      </c>
      <c r="P40" s="315" t="str">
        <f t="shared" ref="P40" si="97">IF($E$7="","",O$7+1)</f>
        <v/>
      </c>
      <c r="Q40" s="315" t="str">
        <f t="shared" ref="Q40" si="98">IF($E$7="","",P$7+1)</f>
        <v/>
      </c>
      <c r="R40" s="315" t="str">
        <f t="shared" ref="R40" si="99">IF($E$7="","",Q$7+1)</f>
        <v/>
      </c>
      <c r="S40" s="335" t="str">
        <f t="shared" ref="S40" si="100">IF($E$7="","",R$7+1)</f>
        <v/>
      </c>
      <c r="T40" s="315" t="str">
        <f t="shared" ref="T40" si="101">IF($E$7="","",S$7+1)</f>
        <v/>
      </c>
      <c r="U40" s="315" t="str">
        <f t="shared" ref="U40" si="102">IF($E$7="","",T$7+1)</f>
        <v/>
      </c>
      <c r="V40" s="315" t="str">
        <f t="shared" ref="V40" si="103">IF($E$7="","",U$7+1)</f>
        <v/>
      </c>
      <c r="W40" s="315" t="str">
        <f t="shared" ref="W40" si="104">IF($E$7="","",V$7+1)</f>
        <v/>
      </c>
      <c r="X40" s="315" t="str">
        <f t="shared" ref="X40" si="105">IF($E$7="","",W$7+1)</f>
        <v/>
      </c>
      <c r="Y40" s="315" t="str">
        <f t="shared" ref="Y40" si="106">IF($E$7="","",X$7+1)</f>
        <v/>
      </c>
      <c r="Z40" s="315" t="str">
        <f t="shared" ref="Z40" si="107">IF($E$7="","",Y$7+1)</f>
        <v/>
      </c>
      <c r="AA40" s="315" t="str">
        <f t="shared" ref="AA40" si="108">IF($E$7="","",Z$7+1)</f>
        <v/>
      </c>
      <c r="AB40" s="315" t="str">
        <f t="shared" ref="AB40" si="109">IF($E$7="","",AA$7+1)</f>
        <v/>
      </c>
      <c r="AC40" s="315" t="str">
        <f t="shared" ref="AC40" si="110">IF($E$7="","",AB$7+1)</f>
        <v/>
      </c>
      <c r="AD40" s="315" t="str">
        <f t="shared" ref="AD40" si="111">IF($E$7="","",AC$7+1)</f>
        <v/>
      </c>
      <c r="AE40" s="315" t="str">
        <f t="shared" ref="AE40" si="112">IF($E$7="","",AD$7+1)</f>
        <v/>
      </c>
      <c r="AF40" s="315" t="str">
        <f t="shared" ref="AF40" si="113">IF($E$7="","",AE$7+1)</f>
        <v/>
      </c>
      <c r="AG40" s="315" t="str">
        <f t="shared" ref="AG40" si="114">IF($E$7="","",AF$7+1)</f>
        <v/>
      </c>
      <c r="AH40" s="315" t="str">
        <f t="shared" ref="AH40" si="115">IF($E$7="","",AG$7+1)</f>
        <v/>
      </c>
    </row>
    <row r="41" spans="3:34" ht="15" customHeight="1" x14ac:dyDescent="0.2">
      <c r="C41" s="1458" t="s">
        <v>2189</v>
      </c>
      <c r="D41" s="1459"/>
      <c r="E41" s="342">
        <f>IF(OR($E32=0,$E32=""),0,IF(E$6&gt;$E35,0,$E32))</f>
        <v>0</v>
      </c>
      <c r="F41" s="342">
        <f>IF(OR($E32=0,$E32=""),0,IF(F$6&gt;$E35,0,E46))</f>
        <v>0</v>
      </c>
      <c r="G41" s="342">
        <f t="shared" ref="G41:AH41" si="116">IF(OR($E32=0,$E32=""),0,IF(G$6&gt;$E35,0,F46))</f>
        <v>0</v>
      </c>
      <c r="H41" s="342">
        <f t="shared" si="116"/>
        <v>0</v>
      </c>
      <c r="I41" s="342">
        <f t="shared" si="116"/>
        <v>0</v>
      </c>
      <c r="J41" s="342">
        <f t="shared" si="116"/>
        <v>0</v>
      </c>
      <c r="K41" s="342">
        <f t="shared" si="116"/>
        <v>0</v>
      </c>
      <c r="L41" s="342">
        <f t="shared" si="116"/>
        <v>0</v>
      </c>
      <c r="M41" s="342">
        <f t="shared" si="116"/>
        <v>0</v>
      </c>
      <c r="N41" s="342">
        <f t="shared" si="116"/>
        <v>0</v>
      </c>
      <c r="O41" s="342">
        <f t="shared" si="116"/>
        <v>0</v>
      </c>
      <c r="P41" s="342">
        <f t="shared" si="116"/>
        <v>0</v>
      </c>
      <c r="Q41" s="342">
        <f t="shared" si="116"/>
        <v>0</v>
      </c>
      <c r="R41" s="342">
        <f t="shared" si="116"/>
        <v>0</v>
      </c>
      <c r="S41" s="342">
        <f t="shared" si="116"/>
        <v>0</v>
      </c>
      <c r="T41" s="342">
        <f t="shared" si="116"/>
        <v>0</v>
      </c>
      <c r="U41" s="342">
        <f t="shared" si="116"/>
        <v>0</v>
      </c>
      <c r="V41" s="342">
        <f t="shared" si="116"/>
        <v>0</v>
      </c>
      <c r="W41" s="342">
        <f t="shared" si="116"/>
        <v>0</v>
      </c>
      <c r="X41" s="342">
        <f t="shared" si="116"/>
        <v>0</v>
      </c>
      <c r="Y41" s="342">
        <f t="shared" si="116"/>
        <v>0</v>
      </c>
      <c r="Z41" s="342">
        <f t="shared" si="116"/>
        <v>0</v>
      </c>
      <c r="AA41" s="342">
        <f t="shared" si="116"/>
        <v>0</v>
      </c>
      <c r="AB41" s="342">
        <f t="shared" si="116"/>
        <v>0</v>
      </c>
      <c r="AC41" s="342">
        <f t="shared" si="116"/>
        <v>0</v>
      </c>
      <c r="AD41" s="342">
        <f t="shared" si="116"/>
        <v>0</v>
      </c>
      <c r="AE41" s="342">
        <f t="shared" si="116"/>
        <v>0</v>
      </c>
      <c r="AF41" s="342">
        <f t="shared" si="116"/>
        <v>0</v>
      </c>
      <c r="AG41" s="342">
        <f t="shared" si="116"/>
        <v>0</v>
      </c>
      <c r="AH41" s="342">
        <f t="shared" si="116"/>
        <v>0</v>
      </c>
    </row>
    <row r="42" spans="3:34" ht="15" customHeight="1" x14ac:dyDescent="0.2">
      <c r="C42" s="1458" t="s">
        <v>2186</v>
      </c>
      <c r="D42" s="1459"/>
      <c r="E42" s="341">
        <f>IF(OR($E32=0,$E32=""),0,IF($E$6&gt;$E35,0,-CUMIPMT($E33/12,$E36*12,$E32,1,E$6*12,0)))</f>
        <v>0</v>
      </c>
      <c r="F42" s="341">
        <f>IF(OR($E32=0,$E32=""),0,IF(F$6&gt;$E35,0,-CUMIPMT($E33/12,$E36*12,$E$32,(E$6*12+1),F$6*12,0)))</f>
        <v>0</v>
      </c>
      <c r="G42" s="341">
        <f t="shared" ref="G42:AH42" si="117">IF(OR($E32=0,$E32=""),0,IF(G$6&gt;$E35,0,-CUMIPMT($E33/12,$E36*12,$E$32,(F$6*12+1),G$6*12,0)))</f>
        <v>0</v>
      </c>
      <c r="H42" s="341">
        <f t="shared" si="117"/>
        <v>0</v>
      </c>
      <c r="I42" s="341">
        <f t="shared" si="117"/>
        <v>0</v>
      </c>
      <c r="J42" s="341">
        <f t="shared" si="117"/>
        <v>0</v>
      </c>
      <c r="K42" s="341">
        <f t="shared" si="117"/>
        <v>0</v>
      </c>
      <c r="L42" s="341">
        <f t="shared" si="117"/>
        <v>0</v>
      </c>
      <c r="M42" s="341">
        <f t="shared" si="117"/>
        <v>0</v>
      </c>
      <c r="N42" s="341">
        <f t="shared" si="117"/>
        <v>0</v>
      </c>
      <c r="O42" s="341">
        <f t="shared" si="117"/>
        <v>0</v>
      </c>
      <c r="P42" s="341">
        <f t="shared" si="117"/>
        <v>0</v>
      </c>
      <c r="Q42" s="341">
        <f t="shared" si="117"/>
        <v>0</v>
      </c>
      <c r="R42" s="341">
        <f t="shared" si="117"/>
        <v>0</v>
      </c>
      <c r="S42" s="341">
        <f t="shared" si="117"/>
        <v>0</v>
      </c>
      <c r="T42" s="341">
        <f t="shared" si="117"/>
        <v>0</v>
      </c>
      <c r="U42" s="341">
        <f t="shared" si="117"/>
        <v>0</v>
      </c>
      <c r="V42" s="341">
        <f t="shared" si="117"/>
        <v>0</v>
      </c>
      <c r="W42" s="341">
        <f t="shared" si="117"/>
        <v>0</v>
      </c>
      <c r="X42" s="341">
        <f t="shared" si="117"/>
        <v>0</v>
      </c>
      <c r="Y42" s="341">
        <f t="shared" si="117"/>
        <v>0</v>
      </c>
      <c r="Z42" s="341">
        <f t="shared" si="117"/>
        <v>0</v>
      </c>
      <c r="AA42" s="341">
        <f t="shared" si="117"/>
        <v>0</v>
      </c>
      <c r="AB42" s="341">
        <f t="shared" si="117"/>
        <v>0</v>
      </c>
      <c r="AC42" s="341">
        <f t="shared" si="117"/>
        <v>0</v>
      </c>
      <c r="AD42" s="341">
        <f t="shared" si="117"/>
        <v>0</v>
      </c>
      <c r="AE42" s="341">
        <f t="shared" si="117"/>
        <v>0</v>
      </c>
      <c r="AF42" s="341">
        <f t="shared" si="117"/>
        <v>0</v>
      </c>
      <c r="AG42" s="341">
        <f t="shared" si="117"/>
        <v>0</v>
      </c>
      <c r="AH42" s="341">
        <f t="shared" si="117"/>
        <v>0</v>
      </c>
    </row>
    <row r="43" spans="3:34" ht="15" customHeight="1" x14ac:dyDescent="0.2">
      <c r="C43" s="1457" t="s">
        <v>2187</v>
      </c>
      <c r="D43" s="1457"/>
      <c r="E43" s="341">
        <f>IF(OR($E32=0,$E32=""),0,IF(E$6&gt;$E$16,0,$E$15*Loans!E41))</f>
        <v>0</v>
      </c>
      <c r="F43" s="341">
        <f>IF(OR($E32=0,$E32=""),0,IF(F$6&gt;$E$16,0,$E$15*Loans!F41))</f>
        <v>0</v>
      </c>
      <c r="G43" s="341">
        <f>IF(OR($E32=0,$E32=""),0,IF(G$6&gt;$E$16,0,$E$15*Loans!G41))</f>
        <v>0</v>
      </c>
      <c r="H43" s="341">
        <f>IF(OR($E32=0,$E32=""),0,IF(H$6&gt;$E$16,0,$E$15*Loans!H41))</f>
        <v>0</v>
      </c>
      <c r="I43" s="341">
        <f>IF(OR($E32=0,$E32=""),0,IF(I$6&gt;$E$16,0,$E$15*Loans!I41))</f>
        <v>0</v>
      </c>
      <c r="J43" s="341">
        <f>IF(OR($E32=0,$E32=""),0,IF(J$6&gt;$E$16,0,$E$15*Loans!J41))</f>
        <v>0</v>
      </c>
      <c r="K43" s="341">
        <f>IF(OR($E32=0,$E32=""),0,IF(K$6&gt;$E$16,0,$E$15*Loans!K41))</f>
        <v>0</v>
      </c>
      <c r="L43" s="341">
        <f>IF(OR($E32=0,$E32=""),0,IF(L$6&gt;$E$16,0,$E$15*Loans!L41))</f>
        <v>0</v>
      </c>
      <c r="M43" s="341">
        <f>IF(OR($E32=0,$E32=""),0,IF(M$6&gt;$E$16,0,$E$15*Loans!M41))</f>
        <v>0</v>
      </c>
      <c r="N43" s="341">
        <f>IF(OR($E32=0,$E32=""),0,IF(N$6&gt;$E$16,0,$E$15*Loans!N41))</f>
        <v>0</v>
      </c>
      <c r="O43" s="341">
        <f>IF(OR($E32=0,$E32=""),0,IF(O$6&gt;$E$16,0,$E$15*Loans!O41))</f>
        <v>0</v>
      </c>
      <c r="P43" s="341">
        <f>IF(OR($E32=0,$E32=""),0,IF(P$6&gt;$E$16,0,$E$15*Loans!P41))</f>
        <v>0</v>
      </c>
      <c r="Q43" s="341">
        <f>IF(OR($E32=0,$E32=""),0,IF(Q$6&gt;$E$16,0,$E$15*Loans!Q41))</f>
        <v>0</v>
      </c>
      <c r="R43" s="341">
        <f>IF(OR($E32=0,$E32=""),0,IF(R$6&gt;$E$16,0,$E$15*Loans!R41))</f>
        <v>0</v>
      </c>
      <c r="S43" s="341">
        <f>IF(OR($E32=0,$E32=""),0,IF(S$6&gt;$E$16,0,$E$15*Loans!S41))</f>
        <v>0</v>
      </c>
      <c r="T43" s="341">
        <f>IF(OR($E32=0,$E32=""),0,IF(T$6&gt;$E$16,0,$E$15*Loans!T41))</f>
        <v>0</v>
      </c>
      <c r="U43" s="341">
        <f>IF(OR($E32=0,$E32=""),0,IF(U$6&gt;$E$16,0,$E$15*Loans!U41))</f>
        <v>0</v>
      </c>
      <c r="V43" s="341">
        <f>IF(OR($E32=0,$E32=""),0,IF(V$6&gt;$E$16,0,$E$15*Loans!V41))</f>
        <v>0</v>
      </c>
      <c r="W43" s="341">
        <f>IF(OR($E32=0,$E32=""),0,IF(W$6&gt;$E$16,0,$E$15*Loans!W41))</f>
        <v>0</v>
      </c>
      <c r="X43" s="341">
        <f>IF(OR($E32=0,$E32=""),0,IF(X$6&gt;$E$16,0,$E$15*Loans!X41))</f>
        <v>0</v>
      </c>
      <c r="Y43" s="341">
        <f>IF(OR($E32=0,$E32=""),0,IF(Y$6&gt;$E$16,0,$E$15*Loans!Y41))</f>
        <v>0</v>
      </c>
      <c r="Z43" s="341">
        <f>IF(OR($E32=0,$E32=""),0,IF(Z$6&gt;$E$16,0,$E$15*Loans!Z41))</f>
        <v>0</v>
      </c>
      <c r="AA43" s="341">
        <f>IF(OR($E32=0,$E32=""),0,IF(AA$6&gt;$E$16,0,$E$15*Loans!AA41))</f>
        <v>0</v>
      </c>
      <c r="AB43" s="341">
        <f>IF(OR($E32=0,$E32=""),0,IF(AB$6&gt;$E$16,0,$E$15*Loans!AB41))</f>
        <v>0</v>
      </c>
      <c r="AC43" s="341">
        <f>IF(OR($E32=0,$E32=""),0,IF(AC$6&gt;$E$16,0,$E$15*Loans!AC41))</f>
        <v>0</v>
      </c>
      <c r="AD43" s="341">
        <f>IF(OR($E32=0,$E32=""),0,IF(AD$6&gt;$E$16,0,$E$15*Loans!AD41))</f>
        <v>0</v>
      </c>
      <c r="AE43" s="341">
        <f>IF(OR($E32=0,$E32=""),0,IF(AE$6&gt;$E$16,0,$E$15*Loans!AE41))</f>
        <v>0</v>
      </c>
      <c r="AF43" s="341">
        <f>IF(OR($E32=0,$E32=""),0,IF(AF$6&gt;$E$16,0,$E$15*Loans!AF41))</f>
        <v>0</v>
      </c>
      <c r="AG43" s="341">
        <f>IF(OR($E32=0,$E32=""),0,IF(AG$6&gt;$E$16,0,$E$15*Loans!AG41))</f>
        <v>0</v>
      </c>
      <c r="AH43" s="341">
        <f>IF(OR($E32=0,$E32=""),0,IF(AH$6&gt;$E$16,0,$E$15*Loans!AH41))</f>
        <v>0</v>
      </c>
    </row>
    <row r="44" spans="3:34" ht="15" customHeight="1" thickBot="1" x14ac:dyDescent="0.25">
      <c r="C44" s="1460" t="s">
        <v>2188</v>
      </c>
      <c r="D44" s="1460"/>
      <c r="E44" s="418">
        <f>IF(OR($E32=0,$E32=""),0,IF(E$6&gt;$E35,0,-CUMPRINC($E33/12,$E36*12,Loans!$E$41,1,Loans!E$6*12,0)))</f>
        <v>0</v>
      </c>
      <c r="F44" s="418">
        <f>IF(OR($E32=0,$E32=""),0,IF(F$6&gt;$E35,0,-CUMPRINC($E33/12,$E36*12,Loans!$E$41,(E$6*12+1),F$6*12,0)))</f>
        <v>0</v>
      </c>
      <c r="G44" s="418">
        <f>IF(OR($E32=0,$E32=""),0,IF(G$6&gt;$E35,0,-CUMPRINC($E33/12,$E36*12,Loans!$E$41,(F$6*12+1),G$6*12,0)))</f>
        <v>0</v>
      </c>
      <c r="H44" s="418">
        <f>IF(OR($E32=0,$E32=""),0,IF(H$6&gt;$E35,0,-CUMPRINC($E33/12,$E36*12,Loans!$E$41,(G$6*12+1),H$6*12,0)))</f>
        <v>0</v>
      </c>
      <c r="I44" s="418">
        <f>IF(OR($E32=0,$E32=""),0,IF(I$6&gt;$E35,0,-CUMPRINC($E33/12,$E36*12,Loans!$E$41,(H$6*12+1),I$6*12,0)))</f>
        <v>0</v>
      </c>
      <c r="J44" s="418">
        <f>IF(OR($E32=0,$E32=""),0,IF(J$6&gt;$E35,0,-CUMPRINC($E33/12,$E36*12,Loans!$E$41,(I$6*12+1),J$6*12,0)))</f>
        <v>0</v>
      </c>
      <c r="K44" s="418">
        <f>IF(OR($E32=0,$E32=""),0,IF(K$6&gt;$E35,0,-CUMPRINC($E33/12,$E36*12,Loans!$E$41,(J$6*12+1),K$6*12,0)))</f>
        <v>0</v>
      </c>
      <c r="L44" s="418">
        <f>IF(OR($E32=0,$E32=""),0,IF(L$6&gt;$E35,0,-CUMPRINC($E33/12,$E36*12,Loans!$E$41,(K$6*12+1),L$6*12,0)))</f>
        <v>0</v>
      </c>
      <c r="M44" s="418">
        <f>IF(OR($E32=0,$E32=""),0,IF(M$6&gt;$E35,0,-CUMPRINC($E33/12,$E36*12,Loans!$E$41,(L$6*12+1),M$6*12,0)))</f>
        <v>0</v>
      </c>
      <c r="N44" s="418">
        <f>IF(OR($E32=0,$E32=""),0,IF(N$6&gt;$E35,0,-CUMPRINC($E33/12,$E36*12,Loans!$E$41,(M$6*12+1),N$6*12,0)))</f>
        <v>0</v>
      </c>
      <c r="O44" s="418">
        <f>IF(OR($E32=0,$E32=""),0,IF(O$6&gt;$E35,0,-CUMPRINC($E33/12,$E36*12,Loans!$E$41,(N$6*12+1),O$6*12,0)))</f>
        <v>0</v>
      </c>
      <c r="P44" s="418">
        <f>IF(OR($E32=0,$E32=""),0,IF(P$6&gt;$E35,0,-CUMPRINC($E33/12,$E36*12,Loans!$E$41,(O$6*12+1),P$6*12,0)))</f>
        <v>0</v>
      </c>
      <c r="Q44" s="418">
        <f>IF(OR($E32=0,$E32=""),0,IF(Q$6&gt;$E35,0,-CUMPRINC($E33/12,$E36*12,Loans!$E$41,(P$6*12+1),Q$6*12,0)))</f>
        <v>0</v>
      </c>
      <c r="R44" s="418">
        <f>IF(OR($E32=0,$E32=""),0,IF(R$6&gt;$E35,0,-CUMPRINC($E33/12,$E36*12,Loans!$E$41,(Q$6*12+1),R$6*12,0)))</f>
        <v>0</v>
      </c>
      <c r="S44" s="418">
        <f>IF(OR($E32=0,$E32=""),0,IF(S$6&gt;$E35,0,-CUMPRINC($E33/12,$E36*12,Loans!$E$41,(R$6*12+1),S$6*12,0)))</f>
        <v>0</v>
      </c>
      <c r="T44" s="418">
        <f>IF(OR($E32=0,$E32=""),0,IF(T$6&gt;$E35,0,-CUMPRINC($E33/12,$E36*12,Loans!$E$41,(S$6*12+1),T$6*12,0)))</f>
        <v>0</v>
      </c>
      <c r="U44" s="418">
        <f>IF(OR($E32=0,$E32=""),0,IF(U$6&gt;$E35,0,-CUMPRINC($E33/12,$E36*12,Loans!$E$41,(T$6*12+1),U$6*12,0)))</f>
        <v>0</v>
      </c>
      <c r="V44" s="418">
        <f>IF(OR($E32=0,$E32=""),0,IF(V$6&gt;$E35,0,-CUMPRINC($E33/12,$E36*12,Loans!$E$41,(U$6*12+1),V$6*12,0)))</f>
        <v>0</v>
      </c>
      <c r="W44" s="418">
        <f>IF(OR($E32=0,$E32=""),0,IF(W$6&gt;$E35,0,-CUMPRINC($E33/12,$E36*12,Loans!$E$41,(V$6*12+1),W$6*12,0)))</f>
        <v>0</v>
      </c>
      <c r="X44" s="418">
        <f>IF(OR($E32=0,$E32=""),0,IF(X$6&gt;$E35,0,-CUMPRINC($E33/12,$E36*12,Loans!$E$41,(W$6*12+1),X$6*12,0)))</f>
        <v>0</v>
      </c>
      <c r="Y44" s="418">
        <f>IF(OR($E32=0,$E32=""),0,IF(Y$6&gt;$E35,0,-CUMPRINC($E33/12,$E36*12,Loans!$E$41,(X$6*12+1),Y$6*12,0)))</f>
        <v>0</v>
      </c>
      <c r="Z44" s="418">
        <f>IF(OR($E32=0,$E32=""),0,IF(Z$6&gt;$E35,0,-CUMPRINC($E33/12,$E36*12,Loans!$E$41,(Y$6*12+1),Z$6*12,0)))</f>
        <v>0</v>
      </c>
      <c r="AA44" s="418">
        <f>IF(OR($E32=0,$E32=""),0,IF(AA$6&gt;$E35,0,-CUMPRINC($E33/12,$E36*12,Loans!$E$41,(Z$6*12+1),AA$6*12,0)))</f>
        <v>0</v>
      </c>
      <c r="AB44" s="418">
        <f>IF(OR($E32=0,$E32=""),0,IF(AB$6&gt;$E35,0,-CUMPRINC($E33/12,$E36*12,Loans!$E$41,(AA$6*12+1),AB$6*12,0)))</f>
        <v>0</v>
      </c>
      <c r="AC44" s="418">
        <f>IF(OR($E32=0,$E32=""),0,IF(AC$6&gt;$E35,0,-CUMPRINC($E33/12,$E36*12,Loans!$E$41,(AB$6*12+1),AC$6*12,0)))</f>
        <v>0</v>
      </c>
      <c r="AD44" s="418">
        <f>IF(OR($E32=0,$E32=""),0,IF(AD$6&gt;$E35,0,-CUMPRINC($E33/12,$E36*12,Loans!$E$41,(AC$6*12+1),AD$6*12,0)))</f>
        <v>0</v>
      </c>
      <c r="AE44" s="418">
        <f>IF(OR($E32=0,$E32=""),0,IF(AE$6&gt;$E35,0,-CUMPRINC($E33/12,$E36*12,Loans!$E$41,(AD$6*12+1),AE$6*12,0)))</f>
        <v>0</v>
      </c>
      <c r="AF44" s="418">
        <f>IF(OR($E32=0,$E32=""),0,IF(AF$6&gt;$E35,0,-CUMPRINC($E33/12,$E36*12,Loans!$E$41,(AE$6*12+1),AF$6*12,0)))</f>
        <v>0</v>
      </c>
      <c r="AG44" s="418">
        <f>IF(OR($E32=0,$E32=""),0,IF(AG$6&gt;$E35,0,-CUMPRINC($E33/12,$E36*12,Loans!$E$41,(AF$6*12+1),AG$6*12,0)))</f>
        <v>0</v>
      </c>
      <c r="AH44" s="418">
        <f>IF(OR($E32=0,$E32=""),0,IF(AH$6&gt;$E35,0,-CUMPRINC($E33/12,$E36*12,Loans!$E$41,(AG$6*12+1),AH$6*12,0)))</f>
        <v>0</v>
      </c>
    </row>
    <row r="45" spans="3:34" ht="15" customHeight="1" thickTop="1" x14ac:dyDescent="0.2">
      <c r="C45" s="1461" t="s">
        <v>2191</v>
      </c>
      <c r="D45" s="1462"/>
      <c r="E45" s="343">
        <f>IF(OR($E32=0,$E32=""),0,IF(E$6&gt;$E35,0,SUM(E42:E44)))</f>
        <v>0</v>
      </c>
      <c r="F45" s="343">
        <f>IF(OR($E32=0,$E32=""),0,IF(F$6&gt;$E35,0,SUM(F42:F44)))</f>
        <v>0</v>
      </c>
      <c r="G45" s="343">
        <f t="shared" ref="G45:AH45" si="118">IF(OR($E32=0,$E32=""),0,IF(G$6&gt;$E35,0,SUM(G42:G44)))</f>
        <v>0</v>
      </c>
      <c r="H45" s="343">
        <f t="shared" si="118"/>
        <v>0</v>
      </c>
      <c r="I45" s="343">
        <f t="shared" si="118"/>
        <v>0</v>
      </c>
      <c r="J45" s="343">
        <f t="shared" si="118"/>
        <v>0</v>
      </c>
      <c r="K45" s="343">
        <f t="shared" si="118"/>
        <v>0</v>
      </c>
      <c r="L45" s="343">
        <f t="shared" si="118"/>
        <v>0</v>
      </c>
      <c r="M45" s="343">
        <f t="shared" si="118"/>
        <v>0</v>
      </c>
      <c r="N45" s="343">
        <f t="shared" si="118"/>
        <v>0</v>
      </c>
      <c r="O45" s="343">
        <f t="shared" si="118"/>
        <v>0</v>
      </c>
      <c r="P45" s="343">
        <f t="shared" si="118"/>
        <v>0</v>
      </c>
      <c r="Q45" s="343">
        <f t="shared" si="118"/>
        <v>0</v>
      </c>
      <c r="R45" s="343">
        <f t="shared" si="118"/>
        <v>0</v>
      </c>
      <c r="S45" s="343">
        <f t="shared" si="118"/>
        <v>0</v>
      </c>
      <c r="T45" s="343">
        <f t="shared" si="118"/>
        <v>0</v>
      </c>
      <c r="U45" s="343">
        <f t="shared" si="118"/>
        <v>0</v>
      </c>
      <c r="V45" s="343">
        <f t="shared" si="118"/>
        <v>0</v>
      </c>
      <c r="W45" s="343">
        <f t="shared" si="118"/>
        <v>0</v>
      </c>
      <c r="X45" s="343">
        <f t="shared" si="118"/>
        <v>0</v>
      </c>
      <c r="Y45" s="343">
        <f t="shared" si="118"/>
        <v>0</v>
      </c>
      <c r="Z45" s="343">
        <f t="shared" si="118"/>
        <v>0</v>
      </c>
      <c r="AA45" s="343">
        <f t="shared" si="118"/>
        <v>0</v>
      </c>
      <c r="AB45" s="343">
        <f t="shared" si="118"/>
        <v>0</v>
      </c>
      <c r="AC45" s="343">
        <f t="shared" si="118"/>
        <v>0</v>
      </c>
      <c r="AD45" s="343">
        <f t="shared" si="118"/>
        <v>0</v>
      </c>
      <c r="AE45" s="343">
        <f t="shared" si="118"/>
        <v>0</v>
      </c>
      <c r="AF45" s="343">
        <f t="shared" si="118"/>
        <v>0</v>
      </c>
      <c r="AG45" s="343">
        <f t="shared" si="118"/>
        <v>0</v>
      </c>
      <c r="AH45" s="343">
        <f t="shared" si="118"/>
        <v>0</v>
      </c>
    </row>
    <row r="46" spans="3:34" ht="15" customHeight="1" x14ac:dyDescent="0.2">
      <c r="C46" s="1457" t="s">
        <v>2190</v>
      </c>
      <c r="D46" s="1457"/>
      <c r="E46" s="341">
        <f>IF(OR($E32=0,Sources!$G39=""),0,IF(E$6&gt;$E35,0,E41-E44))</f>
        <v>0</v>
      </c>
      <c r="F46" s="341">
        <f>IF(OR($E32=0,Sources!$G58=""),0,IF(F$6&gt;$E35,0,F41-F44))</f>
        <v>0</v>
      </c>
      <c r="G46" s="341">
        <f>IF(OR($E32=0,Sources!$G58=""),0,IF(G$6&gt;$E35,0,G41-G44))</f>
        <v>0</v>
      </c>
      <c r="H46" s="341">
        <f>IF(OR($E32=0,Sources!$G58=""),0,IF(H$6&gt;$E35,0,H41-H44))</f>
        <v>0</v>
      </c>
      <c r="I46" s="341">
        <f>IF(OR($E32=0,Sources!$G58=""),0,IF(I$6&gt;$E35,0,I41-I44))</f>
        <v>0</v>
      </c>
      <c r="J46" s="341">
        <f>IF(OR($E32=0,Sources!$G58=""),0,IF(J$6&gt;$E35,0,J41-J44))</f>
        <v>0</v>
      </c>
      <c r="K46" s="341">
        <f>IF(OR($E32=0,Sources!$G58=""),0,IF(K$6&gt;$E35,0,K41-K44))</f>
        <v>0</v>
      </c>
      <c r="L46" s="341">
        <f>IF(OR($E32=0,Sources!$G58=""),0,IF(L$6&gt;$E35,0,L41-L44))</f>
        <v>0</v>
      </c>
      <c r="M46" s="341">
        <f>IF(OR($E32=0,Sources!$G58=""),0,IF(M$6&gt;$E35,0,M41-M44))</f>
        <v>0</v>
      </c>
      <c r="N46" s="341">
        <f>IF(OR($E32=0,Sources!$G58=""),0,IF(N$6&gt;$E35,0,N41-N44))</f>
        <v>0</v>
      </c>
      <c r="O46" s="341">
        <f>IF(OR($E32=0,Sources!$G58=""),0,IF(O$6&gt;$E35,0,O41-O44))</f>
        <v>0</v>
      </c>
      <c r="P46" s="341">
        <f>IF(OR($E32=0,Sources!$G58=""),0,IF(P$6&gt;$E35,0,P41-P44))</f>
        <v>0</v>
      </c>
      <c r="Q46" s="341">
        <f>IF(OR($E32=0,Sources!$G58=""),0,IF(Q$6&gt;$E35,0,Q41-Q44))</f>
        <v>0</v>
      </c>
      <c r="R46" s="341">
        <f>IF(OR($E32=0,Sources!$G58=""),0,IF(R$6&gt;$E35,0,R41-R44))</f>
        <v>0</v>
      </c>
      <c r="S46" s="341">
        <f>IF(OR($E32=0,Sources!$G58=""),0,IF(S$6&gt;$E35,0,S41-S44))</f>
        <v>0</v>
      </c>
      <c r="T46" s="341">
        <f>IF(OR($E32=0,Sources!$G58=""),0,IF(T$6&gt;$E35,0,T41-T44))</f>
        <v>0</v>
      </c>
      <c r="U46" s="341">
        <f>IF(OR($E32=0,Sources!$G58=""),0,IF(U$6&gt;$E35,0,U41-U44))</f>
        <v>0</v>
      </c>
      <c r="V46" s="341">
        <f>IF(OR($E32=0,Sources!$G58=""),0,IF(V$6&gt;$E35,0,V41-V44))</f>
        <v>0</v>
      </c>
      <c r="W46" s="341">
        <f>IF(OR($E32=0,Sources!$G58=""),0,IF(W$6&gt;$E35,0,W41-W44))</f>
        <v>0</v>
      </c>
      <c r="X46" s="341">
        <f>IF(OR($E32=0,Sources!$G58=""),0,IF(X$6&gt;$E35,0,X41-X44))</f>
        <v>0</v>
      </c>
      <c r="Y46" s="341">
        <f>IF(OR($E32=0,Sources!$G58=""),0,IF(Y$6&gt;$E35,0,Y41-Y44))</f>
        <v>0</v>
      </c>
      <c r="Z46" s="341">
        <f>IF(OR($E32=0,Sources!$G58=""),0,IF(Z$6&gt;$E35,0,Z41-Z44))</f>
        <v>0</v>
      </c>
      <c r="AA46" s="341">
        <f>IF(OR($E32=0,Sources!$G58=""),0,IF(AA$6&gt;$E35,0,AA41-AA44))</f>
        <v>0</v>
      </c>
      <c r="AB46" s="341">
        <f>IF(OR($E32=0,Sources!$G58=""),0,IF(AB$6&gt;$E35,0,AB41-AB44))</f>
        <v>0</v>
      </c>
      <c r="AC46" s="341">
        <f>IF(OR($E32=0,Sources!$G58=""),0,IF(AC$6&gt;$E35,0,AC41-AC44))</f>
        <v>0</v>
      </c>
      <c r="AD46" s="341">
        <f>IF(OR($E32=0,Sources!$G58=""),0,IF(AD$6&gt;$E35,0,AD41-AD44))</f>
        <v>0</v>
      </c>
      <c r="AE46" s="341">
        <f>IF(OR($E32=0,Sources!$G58=""),0,IF(AE$6&gt;$E35,0,AE41-AE44))</f>
        <v>0</v>
      </c>
      <c r="AF46" s="341">
        <f>IF(OR($E32=0,Sources!$G58=""),0,IF(AF$6&gt;$E35,0,AF41-AF44))</f>
        <v>0</v>
      </c>
      <c r="AG46" s="341">
        <f>IF(OR($E32=0,Sources!$G58=""),0,IF(AG$6&gt;$E35,0,AG41-AG44))</f>
        <v>0</v>
      </c>
      <c r="AH46" s="341">
        <f>IF(OR($E32=0,Sources!$G58=""),0,IF(AH$6&gt;$E35,0,AH41-AH44))</f>
        <v>0</v>
      </c>
    </row>
    <row r="47" spans="3:34" ht="15" customHeight="1" x14ac:dyDescent="0.2">
      <c r="C47" s="317"/>
      <c r="D47" s="317"/>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row>
    <row r="48" spans="3:34" ht="15" customHeight="1" x14ac:dyDescent="0.2">
      <c r="C48" s="317"/>
      <c r="D48" s="317"/>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row>
    <row r="49" spans="3:34" ht="15" customHeight="1" x14ac:dyDescent="0.2">
      <c r="C49" s="1456" t="str">
        <f>IF(Sources!$D$68="","N/A",Sources!$D$68)</f>
        <v>N/A</v>
      </c>
      <c r="D49" s="1456"/>
      <c r="E49" s="1456"/>
      <c r="F49" s="412" t="s">
        <v>2266</v>
      </c>
      <c r="G49" s="92" t="str">
        <f>IF(AND(ISERROR(VLOOKUP($C49,OpBudget!$C$159:$C$165,1,FALSE)),ISERROR(VLOOKUP($C49,Sources!$C$36:$C$55,1,FALSE))),"N/A",IF(ISERROR(VLOOKUP($C49,Sources!$C$36:$C$55,1,FALSE)),"Fee","Loan"))</f>
        <v>N/A</v>
      </c>
      <c r="H49" s="412"/>
      <c r="I49" s="412"/>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row>
    <row r="50" spans="3:34" ht="15" customHeight="1" x14ac:dyDescent="0.2">
      <c r="C50" s="345"/>
      <c r="D50" s="345"/>
      <c r="E50" s="345"/>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row>
    <row r="51" spans="3:34" ht="15" customHeight="1" x14ac:dyDescent="0.2">
      <c r="C51" s="417" t="s">
        <v>2260</v>
      </c>
      <c r="D51" s="345"/>
      <c r="E51" s="345"/>
      <c r="F51" s="74"/>
      <c r="G51" s="74" t="s">
        <v>2261</v>
      </c>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row>
    <row r="52" spans="3:34" ht="15" customHeight="1" x14ac:dyDescent="0.2">
      <c r="C52" s="1452" t="s">
        <v>2255</v>
      </c>
      <c r="D52" s="1452"/>
      <c r="E52" s="413" t="str">
        <f>IF(OR($G49="Fee",$G49="N/A"),"N/A",INDEX(Sources!$C$35:$K$55,MATCH(Loans!$C49,Sources!$C$35:$C$55,0),MATCH("Amount",Sources!$C$35:$N$35,0)))</f>
        <v>N/A</v>
      </c>
      <c r="F52" s="74"/>
      <c r="G52" s="1454" t="s">
        <v>2262</v>
      </c>
      <c r="H52" s="1454"/>
      <c r="I52" s="705" t="str">
        <f>IF(OR($G49="Loan",$G49="N/A"),"N/A",INDEX(OpBudget!$C$159:$K$165,MATCH(Loans!$C49,OpBudget!$C$159:$C$165,0),MATCH("Total Amount",OpBudget!$C$159:$K$159,0)))</f>
        <v>N/A</v>
      </c>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row>
    <row r="53" spans="3:34" ht="15" customHeight="1" x14ac:dyDescent="0.2">
      <c r="C53" s="1452" t="s">
        <v>2256</v>
      </c>
      <c r="D53" s="1452"/>
      <c r="E53" s="702" t="str">
        <f>IF(OR($G49="Fee",$G49="N/A"),"N/A",INDEX(Sources!$C$35:$K$55,MATCH(Loans!$C49,Sources!$C$35:$C$55,0),MATCH("Interest Rate",Sources!$C$35:$N$35,0)))</f>
        <v>N/A</v>
      </c>
      <c r="F53" s="74"/>
      <c r="G53" s="1454" t="s">
        <v>2268</v>
      </c>
      <c r="H53" s="1454"/>
      <c r="I53" s="703" t="str">
        <f>IF(OR($G49="Loan",$G49="N/A"),"N/A",INDEX(OpBudget!$C$159:$K$165,MATCH(Loans!$C49,OpBudget!$C$159:$C$165,0),MATCH("Annual Percent Inflator",OpBudget!$C$159:$K$159,0)))</f>
        <v>N/A</v>
      </c>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row>
    <row r="54" spans="3:34" ht="15" customHeight="1" x14ac:dyDescent="0.2">
      <c r="C54" s="1452" t="s">
        <v>2279</v>
      </c>
      <c r="D54" s="1452"/>
      <c r="E54" s="702" t="str">
        <f>IF(OR($G49="Fee",$G49="N/A"),"N/A",INDEX(Sources!$C$35:$N$55,MATCH(Loans!$C49,Sources!$C$35:$C$55,0),MATCH("Simple or Compound Interest?",Sources!$C$35:$N$35,0)))</f>
        <v>N/A</v>
      </c>
      <c r="F54" s="74"/>
      <c r="G54" s="424" t="s">
        <v>2263</v>
      </c>
      <c r="H54" s="424"/>
      <c r="I54" s="703" t="str">
        <f>IF(OR($G49="Loan",$G49="N/A"),"N/A",INDEX(Sources!$D$67:$H$82,MATCH(Loans!$C49,Sources!$D$67:$D$82,0),MATCH("Split of Cash Flow",Sources!$D$67:$H$67,0)))</f>
        <v>N/A</v>
      </c>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row>
    <row r="55" spans="3:34" ht="15" customHeight="1" x14ac:dyDescent="0.2">
      <c r="C55" s="1452" t="s">
        <v>2257</v>
      </c>
      <c r="D55" s="1452"/>
      <c r="E55" s="420" t="str">
        <f>IF(OR($G49="Fee",$G49="N/A"),"N/A",INDEX(Sources!$C$35:$K$55,MATCH(Loans!$C49,Sources!$C$35:$C$55,0),MATCH("Term (Years)",Sources!$C$35:$N$35,0)))</f>
        <v>N/A</v>
      </c>
      <c r="F55" s="74"/>
      <c r="G55" s="1454" t="s">
        <v>2281</v>
      </c>
      <c r="H55" s="1454"/>
      <c r="I55" s="703" t="str">
        <f>IF(OR($G49="Loan",$G49="N/A"),"N/A",INDEX(OpBudget!$C$159:$K$165,MATCH(Loans!$C49,OpBudget!$C$159:$C$165,0),MATCH("Accrue Unpaid Fee?",OpBudget!$C$159:$K$159,0)))</f>
        <v>N/A</v>
      </c>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row>
    <row r="56" spans="3:34" ht="15" customHeight="1" x14ac:dyDescent="0.2">
      <c r="C56" s="1452" t="s">
        <v>2284</v>
      </c>
      <c r="D56" s="1452"/>
      <c r="E56" s="420" t="str">
        <f>IF(OR($G49="Fee",$G49="N/A"),"N/A",INDEX(Sources!$D$67:$O$82,MATCH(Loans!$C49,Sources!$D$67:$D$82,0),MATCH("Beginning Payment Year",Sources!$D$67:$O$67,0)))</f>
        <v>N/A</v>
      </c>
      <c r="F56" s="74"/>
      <c r="G56" s="1454" t="s">
        <v>2293</v>
      </c>
      <c r="H56" s="1454"/>
      <c r="I56" s="705" t="str">
        <f>IF(OR($G49="Loan",$G49="N/A"),"N/A",IF(INDEX(OpBudget!$C$159:$K$165,MATCH(Loans!$C49,OpBudget!$C$159:$C$165,0),MATCH("Fee Cap (if applicable)",OpBudget!$C$159:$K$159,0))=0,"N/A",INDEX(OpBudget!$C$159:$K$165,MATCH(Loans!$C49,OpBudget!$C$159:$C$165,0),MATCH("Fee Cap (if applicable)",OpBudget!$C$159:$K$159,0))))</f>
        <v>N/A</v>
      </c>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row>
    <row r="57" spans="3:34" ht="15" customHeight="1" x14ac:dyDescent="0.2">
      <c r="C57" s="1452" t="s">
        <v>2267</v>
      </c>
      <c r="D57" s="1452"/>
      <c r="E57" s="703" t="str">
        <f>IF(OR($G49="Fee",$G49="N/A"),"N/A",INDEX(Sources!$D$67:$O$82,MATCH(Loans!$C49,Sources!$D$67:$D$82,0),MATCH("Split of Cash Flow",Sources!$D$67:$O$67,0)))</f>
        <v>N/A</v>
      </c>
      <c r="F57" s="1455"/>
      <c r="G57" s="1454" t="s">
        <v>2292</v>
      </c>
      <c r="H57" s="1454"/>
      <c r="I57" s="420" t="str">
        <f>IF(OR($G49="Loan",$G49="N/A"),"N/A",INDEX(OpBudget!$C$159:$K$165,MATCH(Loans!$C49,OpBudget!$C$159:$C$165,0),MATCH("Number of Years Fee Exists",OpBudget!$C$159:$K$159,0)))</f>
        <v>N/A</v>
      </c>
      <c r="J57" s="74"/>
      <c r="K57" s="74"/>
      <c r="L57" s="74" t="s">
        <v>2278</v>
      </c>
      <c r="M57" s="74"/>
      <c r="N57" s="74"/>
      <c r="O57" s="74"/>
      <c r="P57" s="74"/>
      <c r="Q57" s="74"/>
      <c r="R57" s="74"/>
      <c r="S57" s="74"/>
      <c r="T57" s="74"/>
      <c r="U57" s="74"/>
      <c r="V57" s="74"/>
      <c r="W57" s="74"/>
      <c r="X57" s="74"/>
      <c r="Y57" s="74"/>
      <c r="Z57" s="74"/>
      <c r="AA57" s="74"/>
      <c r="AB57" s="74"/>
      <c r="AC57" s="74"/>
      <c r="AD57" s="74"/>
      <c r="AE57" s="74"/>
      <c r="AF57" s="74"/>
      <c r="AG57" s="74"/>
      <c r="AH57" s="74"/>
    </row>
    <row r="58" spans="3:34" ht="15" customHeight="1" x14ac:dyDescent="0.2">
      <c r="C58" s="1452" t="s">
        <v>2289</v>
      </c>
      <c r="D58" s="1452"/>
      <c r="E58" s="704" t="str">
        <f>IF(OR($G49="Fee",$G49="N/A"),"N/A",INDEX(Sources!$D$67:$O$82,MATCH(Loans!$C49,Sources!$D$67:$D$82,0),MATCH("Pari Passu?",Sources!$D$67:$O$67,0)))</f>
        <v>N/A</v>
      </c>
      <c r="F58" s="1455"/>
      <c r="G58" s="424"/>
      <c r="H58" s="424"/>
      <c r="I58" s="526"/>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row>
    <row r="59" spans="3:34" ht="15" customHeight="1" x14ac:dyDescent="0.2">
      <c r="C59" s="1452" t="s">
        <v>2295</v>
      </c>
      <c r="D59" s="1452"/>
      <c r="E59" s="703" t="str">
        <f>IF(OR($G49="Fee",$G49="N/A"),"N/A",INDEX(Sources!$D$67:$O$82,MATCH(Loans!$C49,Sources!$D$67:$D$82,0),MATCH("Shared Position Split of Cash Flow",Sources!$D$67:$O$67,0)))</f>
        <v>N/A</v>
      </c>
      <c r="F59" s="532"/>
      <c r="G59" s="424"/>
      <c r="H59" s="424"/>
      <c r="I59" s="526"/>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row>
    <row r="60" spans="3:34" ht="15" customHeight="1" x14ac:dyDescent="0.2">
      <c r="C60" s="1452" t="s">
        <v>2291</v>
      </c>
      <c r="D60" s="1452"/>
      <c r="E60" s="704" t="str">
        <f>IF(OR($G49="Fee",$G49="N/A"),"N/A",INDEX(Sources!$D$67:$O$82,MATCH(Loans!$C49,Sources!$D$67:$D$82,0),MATCH("Deferred Loan?",Sources!$D$67:$O$67,0)))</f>
        <v>N/A</v>
      </c>
      <c r="F60" s="74"/>
      <c r="G60" s="424"/>
      <c r="H60" s="424"/>
      <c r="I60" s="526"/>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row>
    <row r="61" spans="3:34" ht="15" customHeight="1" x14ac:dyDescent="0.2">
      <c r="C61" s="1452" t="s">
        <v>2277</v>
      </c>
      <c r="D61" s="1452"/>
      <c r="E61" s="705" t="str">
        <f>IF(OR(E52=0,E52="N/A"),"N/A",INDEX($C63:$AH75,MATCH("Ending Principal Balance",$C63:$C75,0),MATCH($E55,$C63:$AH63,0)))</f>
        <v>N/A</v>
      </c>
      <c r="F61" s="74"/>
      <c r="G61" s="74"/>
      <c r="H61" s="74" t="s">
        <v>2278</v>
      </c>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row>
    <row r="62" spans="3:34" ht="15" customHeight="1" x14ac:dyDescent="0.2">
      <c r="C62" s="345"/>
      <c r="D62" s="345"/>
      <c r="E62" s="345"/>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row>
    <row r="63" spans="3:34" ht="15" customHeight="1" x14ac:dyDescent="0.2">
      <c r="C63" s="309"/>
      <c r="D63" s="309"/>
      <c r="E63" s="310">
        <v>1</v>
      </c>
      <c r="F63" s="310">
        <f>E63+1</f>
        <v>2</v>
      </c>
      <c r="G63" s="310">
        <f t="shared" ref="G63" si="119">F63+1</f>
        <v>3</v>
      </c>
      <c r="H63" s="310">
        <f t="shared" ref="H63" si="120">G63+1</f>
        <v>4</v>
      </c>
      <c r="I63" s="310">
        <f t="shared" ref="I63" si="121">H63+1</f>
        <v>5</v>
      </c>
      <c r="J63" s="310">
        <f t="shared" ref="J63" si="122">I63+1</f>
        <v>6</v>
      </c>
      <c r="K63" s="310">
        <f t="shared" ref="K63" si="123">J63+1</f>
        <v>7</v>
      </c>
      <c r="L63" s="310">
        <f t="shared" ref="L63" si="124">K63+1</f>
        <v>8</v>
      </c>
      <c r="M63" s="310">
        <f t="shared" ref="M63" si="125">L63+1</f>
        <v>9</v>
      </c>
      <c r="N63" s="310">
        <f t="shared" ref="N63" si="126">M63+1</f>
        <v>10</v>
      </c>
      <c r="O63" s="310">
        <f t="shared" ref="O63" si="127">N63+1</f>
        <v>11</v>
      </c>
      <c r="P63" s="310">
        <f t="shared" ref="P63" si="128">O63+1</f>
        <v>12</v>
      </c>
      <c r="Q63" s="310">
        <f t="shared" ref="Q63" si="129">P63+1</f>
        <v>13</v>
      </c>
      <c r="R63" s="310">
        <f t="shared" ref="R63" si="130">Q63+1</f>
        <v>14</v>
      </c>
      <c r="S63" s="448">
        <f t="shared" ref="S63" si="131">R63+1</f>
        <v>15</v>
      </c>
      <c r="T63" s="428">
        <f t="shared" ref="T63" si="132">S63+1</f>
        <v>16</v>
      </c>
      <c r="U63" s="310">
        <f t="shared" ref="U63" si="133">T63+1</f>
        <v>17</v>
      </c>
      <c r="V63" s="310">
        <f t="shared" ref="V63" si="134">U63+1</f>
        <v>18</v>
      </c>
      <c r="W63" s="310">
        <f t="shared" ref="W63" si="135">V63+1</f>
        <v>19</v>
      </c>
      <c r="X63" s="310">
        <f t="shared" ref="X63" si="136">W63+1</f>
        <v>20</v>
      </c>
      <c r="Y63" s="310">
        <f t="shared" ref="Y63" si="137">X63+1</f>
        <v>21</v>
      </c>
      <c r="Z63" s="310">
        <f t="shared" ref="Z63" si="138">Y63+1</f>
        <v>22</v>
      </c>
      <c r="AA63" s="310">
        <f t="shared" ref="AA63" si="139">Z63+1</f>
        <v>23</v>
      </c>
      <c r="AB63" s="310">
        <f t="shared" ref="AB63" si="140">AA63+1</f>
        <v>24</v>
      </c>
      <c r="AC63" s="310">
        <f t="shared" ref="AC63" si="141">AB63+1</f>
        <v>25</v>
      </c>
      <c r="AD63" s="310">
        <f t="shared" ref="AD63" si="142">AC63+1</f>
        <v>26</v>
      </c>
      <c r="AE63" s="310">
        <f t="shared" ref="AE63" si="143">AD63+1</f>
        <v>27</v>
      </c>
      <c r="AF63" s="310">
        <f t="shared" ref="AF63" si="144">AE63+1</f>
        <v>28</v>
      </c>
      <c r="AG63" s="310">
        <f t="shared" ref="AG63" si="145">AF63+1</f>
        <v>29</v>
      </c>
      <c r="AH63" s="310">
        <f t="shared" ref="AH63" si="146">AG63+1</f>
        <v>30</v>
      </c>
    </row>
    <row r="64" spans="3:34" ht="15" customHeight="1" x14ac:dyDescent="0.2">
      <c r="C64" s="309"/>
      <c r="D64" s="309"/>
      <c r="E64" s="314" t="str">
        <f>IF(Details!$E$171="","",Details!$E$171)</f>
        <v/>
      </c>
      <c r="F64" s="314" t="str">
        <f>IF($E$7="","",E$7+1)</f>
        <v/>
      </c>
      <c r="G64" s="314" t="str">
        <f t="shared" ref="G64" si="147">IF($E$7="","",F$7+1)</f>
        <v/>
      </c>
      <c r="H64" s="314" t="str">
        <f t="shared" ref="H64" si="148">IF($E$7="","",G$7+1)</f>
        <v/>
      </c>
      <c r="I64" s="314" t="str">
        <f t="shared" ref="I64" si="149">IF($E$7="","",H$7+1)</f>
        <v/>
      </c>
      <c r="J64" s="314" t="str">
        <f t="shared" ref="J64" si="150">IF($E$7="","",I$7+1)</f>
        <v/>
      </c>
      <c r="K64" s="314" t="str">
        <f t="shared" ref="K64" si="151">IF($E$7="","",J$7+1)</f>
        <v/>
      </c>
      <c r="L64" s="314" t="str">
        <f t="shared" ref="L64" si="152">IF($E$7="","",K$7+1)</f>
        <v/>
      </c>
      <c r="M64" s="314" t="str">
        <f t="shared" ref="M64" si="153">IF($E$7="","",L$7+1)</f>
        <v/>
      </c>
      <c r="N64" s="314" t="str">
        <f t="shared" ref="N64" si="154">IF($E$7="","",M$7+1)</f>
        <v/>
      </c>
      <c r="O64" s="314" t="str">
        <f t="shared" ref="O64" si="155">IF($E$7="","",N$7+1)</f>
        <v/>
      </c>
      <c r="P64" s="314" t="str">
        <f t="shared" ref="P64" si="156">IF($E$7="","",O$7+1)</f>
        <v/>
      </c>
      <c r="Q64" s="314" t="str">
        <f t="shared" ref="Q64" si="157">IF($E$7="","",P$7+1)</f>
        <v/>
      </c>
      <c r="R64" s="314" t="str">
        <f t="shared" ref="R64" si="158">IF($E$7="","",Q$7+1)</f>
        <v/>
      </c>
      <c r="S64" s="440" t="str">
        <f t="shared" ref="S64" si="159">IF($E$7="","",R$7+1)</f>
        <v/>
      </c>
      <c r="T64" s="433" t="str">
        <f t="shared" ref="T64" si="160">IF($E$7="","",S$7+1)</f>
        <v/>
      </c>
      <c r="U64" s="314" t="str">
        <f t="shared" ref="U64" si="161">IF($E$7="","",T$7+1)</f>
        <v/>
      </c>
      <c r="V64" s="314" t="str">
        <f t="shared" ref="V64" si="162">IF($E$7="","",U$7+1)</f>
        <v/>
      </c>
      <c r="W64" s="314" t="str">
        <f t="shared" ref="W64" si="163">IF($E$7="","",V$7+1)</f>
        <v/>
      </c>
      <c r="X64" s="314" t="str">
        <f t="shared" ref="X64" si="164">IF($E$7="","",W$7+1)</f>
        <v/>
      </c>
      <c r="Y64" s="314" t="str">
        <f t="shared" ref="Y64" si="165">IF($E$7="","",X$7+1)</f>
        <v/>
      </c>
      <c r="Z64" s="314" t="str">
        <f t="shared" ref="Z64" si="166">IF($E$7="","",Y$7+1)</f>
        <v/>
      </c>
      <c r="AA64" s="314" t="str">
        <f t="shared" ref="AA64" si="167">IF($E$7="","",Z$7+1)</f>
        <v/>
      </c>
      <c r="AB64" s="314" t="str">
        <f t="shared" ref="AB64" si="168">IF($E$7="","",AA$7+1)</f>
        <v/>
      </c>
      <c r="AC64" s="314" t="str">
        <f t="shared" ref="AC64" si="169">IF($E$7="","",AB$7+1)</f>
        <v/>
      </c>
      <c r="AD64" s="314" t="str">
        <f t="shared" ref="AD64" si="170">IF($E$7="","",AC$7+1)</f>
        <v/>
      </c>
      <c r="AE64" s="314" t="str">
        <f t="shared" ref="AE64" si="171">IF($E$7="","",AD$7+1)</f>
        <v/>
      </c>
      <c r="AF64" s="314" t="str">
        <f t="shared" ref="AF64" si="172">IF($E$7="","",AE$7+1)</f>
        <v/>
      </c>
      <c r="AG64" s="314" t="str">
        <f t="shared" ref="AG64" si="173">IF($E$7="","",AF$7+1)</f>
        <v/>
      </c>
      <c r="AH64" s="314" t="str">
        <f t="shared" ref="AH64" si="174">IF($E$7="","",AG$7+1)</f>
        <v/>
      </c>
    </row>
    <row r="65" spans="3:34" ht="15" customHeight="1" x14ac:dyDescent="0.2">
      <c r="C65" s="1168" t="s">
        <v>2254</v>
      </c>
      <c r="D65" s="1169"/>
      <c r="E65" s="109">
        <f>E$8-E$26-E$45</f>
        <v>0</v>
      </c>
      <c r="F65" s="109">
        <f t="shared" ref="F65:AH65" si="175">F$8-F$26-F$45</f>
        <v>0</v>
      </c>
      <c r="G65" s="109">
        <f t="shared" si="175"/>
        <v>0</v>
      </c>
      <c r="H65" s="109">
        <f t="shared" si="175"/>
        <v>0</v>
      </c>
      <c r="I65" s="109">
        <f t="shared" si="175"/>
        <v>0</v>
      </c>
      <c r="J65" s="109">
        <f t="shared" si="175"/>
        <v>0</v>
      </c>
      <c r="K65" s="109">
        <f t="shared" si="175"/>
        <v>0</v>
      </c>
      <c r="L65" s="109">
        <f t="shared" si="175"/>
        <v>0</v>
      </c>
      <c r="M65" s="109">
        <f t="shared" si="175"/>
        <v>0</v>
      </c>
      <c r="N65" s="109">
        <f t="shared" si="175"/>
        <v>0</v>
      </c>
      <c r="O65" s="109">
        <f t="shared" si="175"/>
        <v>0</v>
      </c>
      <c r="P65" s="109">
        <f t="shared" si="175"/>
        <v>0</v>
      </c>
      <c r="Q65" s="109">
        <f t="shared" si="175"/>
        <v>0</v>
      </c>
      <c r="R65" s="109">
        <f t="shared" si="175"/>
        <v>0</v>
      </c>
      <c r="S65" s="331">
        <f t="shared" si="175"/>
        <v>0</v>
      </c>
      <c r="T65" s="228">
        <f t="shared" si="175"/>
        <v>0</v>
      </c>
      <c r="U65" s="109">
        <f t="shared" si="175"/>
        <v>0</v>
      </c>
      <c r="V65" s="109">
        <f t="shared" si="175"/>
        <v>0</v>
      </c>
      <c r="W65" s="109">
        <f t="shared" si="175"/>
        <v>0</v>
      </c>
      <c r="X65" s="109">
        <f t="shared" si="175"/>
        <v>0</v>
      </c>
      <c r="Y65" s="109">
        <f t="shared" si="175"/>
        <v>0</v>
      </c>
      <c r="Z65" s="109">
        <f t="shared" si="175"/>
        <v>0</v>
      </c>
      <c r="AA65" s="109">
        <f t="shared" si="175"/>
        <v>0</v>
      </c>
      <c r="AB65" s="109">
        <f t="shared" si="175"/>
        <v>0</v>
      </c>
      <c r="AC65" s="109">
        <f t="shared" si="175"/>
        <v>0</v>
      </c>
      <c r="AD65" s="109">
        <f t="shared" si="175"/>
        <v>0</v>
      </c>
      <c r="AE65" s="109">
        <f t="shared" si="175"/>
        <v>0</v>
      </c>
      <c r="AF65" s="109">
        <f t="shared" si="175"/>
        <v>0</v>
      </c>
      <c r="AG65" s="109">
        <f t="shared" si="175"/>
        <v>0</v>
      </c>
      <c r="AH65" s="109">
        <f t="shared" si="175"/>
        <v>0</v>
      </c>
    </row>
    <row r="66" spans="3:34" ht="15" customHeight="1" x14ac:dyDescent="0.2">
      <c r="C66" s="345"/>
      <c r="D66" s="345"/>
      <c r="E66" s="345"/>
      <c r="F66" s="74"/>
      <c r="G66" s="74"/>
      <c r="H66" s="74"/>
      <c r="I66" s="74"/>
      <c r="J66" s="74"/>
      <c r="K66" s="74"/>
      <c r="L66" s="74"/>
      <c r="M66" s="74"/>
      <c r="N66" s="74"/>
      <c r="O66" s="74"/>
      <c r="P66" s="74"/>
      <c r="Q66" s="74"/>
      <c r="R66" s="74"/>
      <c r="S66" s="333"/>
      <c r="T66" s="74"/>
      <c r="U66" s="74"/>
      <c r="V66" s="74"/>
      <c r="W66" s="74"/>
      <c r="X66" s="74"/>
      <c r="Y66" s="74"/>
      <c r="Z66" s="74"/>
      <c r="AA66" s="74"/>
      <c r="AB66" s="74"/>
      <c r="AC66" s="74"/>
      <c r="AD66" s="74"/>
      <c r="AE66" s="74"/>
      <c r="AF66" s="74"/>
      <c r="AG66" s="74"/>
      <c r="AH66" s="74"/>
    </row>
    <row r="67" spans="3:34" ht="15" customHeight="1" x14ac:dyDescent="0.2">
      <c r="C67" s="432" t="s">
        <v>2286</v>
      </c>
      <c r="D67" s="345"/>
      <c r="E67" s="345"/>
      <c r="F67" s="74"/>
      <c r="G67" s="74"/>
      <c r="H67" s="74"/>
      <c r="I67" s="74"/>
      <c r="J67" s="74"/>
      <c r="K67" s="74"/>
      <c r="L67" s="74"/>
      <c r="M67" s="74"/>
      <c r="N67" s="74"/>
      <c r="O67" s="74"/>
      <c r="P67" s="74"/>
      <c r="Q67" s="74"/>
      <c r="R67" s="74"/>
      <c r="S67" s="333"/>
      <c r="T67" s="74"/>
      <c r="U67" s="74"/>
      <c r="V67" s="74"/>
      <c r="W67" s="74"/>
      <c r="X67" s="74"/>
      <c r="Y67" s="74"/>
      <c r="Z67" s="74"/>
      <c r="AA67" s="74"/>
      <c r="AB67" s="74"/>
      <c r="AC67" s="74"/>
      <c r="AD67" s="74"/>
      <c r="AE67" s="74"/>
      <c r="AF67" s="74"/>
      <c r="AG67" s="74"/>
      <c r="AH67" s="74"/>
    </row>
    <row r="68" spans="3:34" ht="15" customHeight="1" thickBot="1" x14ac:dyDescent="0.25">
      <c r="C68" s="1453" t="s">
        <v>2285</v>
      </c>
      <c r="D68" s="1453"/>
      <c r="E68" s="423">
        <f>IF(OR($E52="N/A",$E52=0),0,IF($E58="Yes",(E65*$E57*$E59),E65*$E57))</f>
        <v>0</v>
      </c>
      <c r="F68" s="423">
        <f t="shared" ref="F68" si="176">IF(OR($E52="N/A",$E52=0),0,IF($E58="Yes",(F65*$E57*$E59),F65*$E57))</f>
        <v>0</v>
      </c>
      <c r="G68" s="423">
        <f t="shared" ref="G68:AH68" si="177">IF(OR($E52="N/A",$E52=0),0,IF($E58="Yes",(G65*$E57*$E59),G65*$E57))</f>
        <v>0</v>
      </c>
      <c r="H68" s="423">
        <f t="shared" si="177"/>
        <v>0</v>
      </c>
      <c r="I68" s="423">
        <f t="shared" si="177"/>
        <v>0</v>
      </c>
      <c r="J68" s="423">
        <f t="shared" si="177"/>
        <v>0</v>
      </c>
      <c r="K68" s="423">
        <f t="shared" si="177"/>
        <v>0</v>
      </c>
      <c r="L68" s="423">
        <f t="shared" si="177"/>
        <v>0</v>
      </c>
      <c r="M68" s="423">
        <f t="shared" si="177"/>
        <v>0</v>
      </c>
      <c r="N68" s="423">
        <f t="shared" si="177"/>
        <v>0</v>
      </c>
      <c r="O68" s="423">
        <f t="shared" si="177"/>
        <v>0</v>
      </c>
      <c r="P68" s="423">
        <f t="shared" si="177"/>
        <v>0</v>
      </c>
      <c r="Q68" s="423">
        <f t="shared" si="177"/>
        <v>0</v>
      </c>
      <c r="R68" s="423">
        <f t="shared" si="177"/>
        <v>0</v>
      </c>
      <c r="S68" s="441">
        <f t="shared" si="177"/>
        <v>0</v>
      </c>
      <c r="T68" s="434">
        <f t="shared" si="177"/>
        <v>0</v>
      </c>
      <c r="U68" s="423">
        <f t="shared" si="177"/>
        <v>0</v>
      </c>
      <c r="V68" s="423">
        <f t="shared" si="177"/>
        <v>0</v>
      </c>
      <c r="W68" s="423">
        <f t="shared" si="177"/>
        <v>0</v>
      </c>
      <c r="X68" s="423">
        <f t="shared" si="177"/>
        <v>0</v>
      </c>
      <c r="Y68" s="423">
        <f t="shared" si="177"/>
        <v>0</v>
      </c>
      <c r="Z68" s="423">
        <f t="shared" si="177"/>
        <v>0</v>
      </c>
      <c r="AA68" s="423">
        <f t="shared" si="177"/>
        <v>0</v>
      </c>
      <c r="AB68" s="423">
        <f t="shared" si="177"/>
        <v>0</v>
      </c>
      <c r="AC68" s="423">
        <f t="shared" si="177"/>
        <v>0</v>
      </c>
      <c r="AD68" s="423">
        <f t="shared" si="177"/>
        <v>0</v>
      </c>
      <c r="AE68" s="423">
        <f t="shared" si="177"/>
        <v>0</v>
      </c>
      <c r="AF68" s="423">
        <f t="shared" si="177"/>
        <v>0</v>
      </c>
      <c r="AG68" s="423">
        <f t="shared" si="177"/>
        <v>0</v>
      </c>
      <c r="AH68" s="423">
        <f t="shared" si="177"/>
        <v>0</v>
      </c>
    </row>
    <row r="69" spans="3:34" ht="15" customHeight="1" thickTop="1" x14ac:dyDescent="0.2">
      <c r="C69" s="1449" t="s">
        <v>2189</v>
      </c>
      <c r="D69" s="1449"/>
      <c r="E69" s="316">
        <f>IF(OR($E52="N/A",E63&gt;$E55,E63&lt;$E56),0,MAX(0,E52))</f>
        <v>0</v>
      </c>
      <c r="F69" s="316">
        <f t="shared" ref="F69" si="178">IF(OR($E52="N/A",F63&gt;$E55),0,IF(F63=$E56,$E52,MAX(E75,0)))</f>
        <v>0</v>
      </c>
      <c r="G69" s="316">
        <f t="shared" ref="G69" si="179">IF(OR($E52="N/A",G63&gt;$E55),0,IF(G63=$E56,$E52,MAX(F75,0)))</f>
        <v>0</v>
      </c>
      <c r="H69" s="316">
        <f t="shared" ref="H69" si="180">IF(OR($E52="N/A",H63&gt;$E55),0,IF(H63=$E56,$E52,MAX(G75,0)))</f>
        <v>0</v>
      </c>
      <c r="I69" s="316">
        <f t="shared" ref="I69" si="181">IF(OR($E52="N/A",I63&gt;$E55),0,IF(I63=$E56,$E52,MAX(H75,0)))</f>
        <v>0</v>
      </c>
      <c r="J69" s="316">
        <f t="shared" ref="J69" si="182">IF(OR($E52="N/A",J63&gt;$E55),0,IF(J63=$E56,$E52,MAX(I75,0)))</f>
        <v>0</v>
      </c>
      <c r="K69" s="316">
        <f t="shared" ref="K69" si="183">IF(OR($E52="N/A",K63&gt;$E55),0,IF(K63=$E56,$E52,MAX(J75,0)))</f>
        <v>0</v>
      </c>
      <c r="L69" s="316">
        <f t="shared" ref="L69" si="184">IF(OR($E52="N/A",L63&gt;$E55),0,IF(L63=$E56,$E52,MAX(K75,0)))</f>
        <v>0</v>
      </c>
      <c r="M69" s="316">
        <f t="shared" ref="M69" si="185">IF(OR($E52="N/A",M63&gt;$E55),0,IF(M63=$E56,$E52,MAX(L75,0)))</f>
        <v>0</v>
      </c>
      <c r="N69" s="316">
        <f t="shared" ref="N69" si="186">IF(OR($E52="N/A",N63&gt;$E55),0,IF(N63=$E56,$E52,MAX(M75,0)))</f>
        <v>0</v>
      </c>
      <c r="O69" s="316">
        <f t="shared" ref="O69" si="187">IF(OR($E52="N/A",O63&gt;$E55),0,IF(O63=$E56,$E52,MAX(N75,0)))</f>
        <v>0</v>
      </c>
      <c r="P69" s="316">
        <f t="shared" ref="P69" si="188">IF(OR($E52="N/A",P63&gt;$E55),0,IF(P63=$E56,$E52,MAX(O75,0)))</f>
        <v>0</v>
      </c>
      <c r="Q69" s="316">
        <f t="shared" ref="Q69" si="189">IF(OR($E52="N/A",Q63&gt;$E55),0,IF(Q63=$E56,$E52,MAX(P75,0)))</f>
        <v>0</v>
      </c>
      <c r="R69" s="316">
        <f t="shared" ref="R69" si="190">IF(OR($E52="N/A",R63&gt;$E55),0,IF(R63=$E56,$E52,MAX(Q75,0)))</f>
        <v>0</v>
      </c>
      <c r="S69" s="332">
        <f t="shared" ref="S69" si="191">IF(OR($E52="N/A",S63&gt;$E55),0,IF(S63=$E56,$E52,MAX(R75,0)))</f>
        <v>0</v>
      </c>
      <c r="T69" s="429">
        <f t="shared" ref="T69" si="192">IF(OR($E52="N/A",T63&gt;$E55),0,IF(T63=$E56,$E52,MAX(S75,0)))</f>
        <v>0</v>
      </c>
      <c r="U69" s="316">
        <f t="shared" ref="U69" si="193">IF(OR($E52="N/A",U63&gt;$E55),0,IF(U63=$E56,$E52,MAX(T75,0)))</f>
        <v>0</v>
      </c>
      <c r="V69" s="316">
        <f t="shared" ref="V69" si="194">IF(OR($E52="N/A",V63&gt;$E55),0,IF(V63=$E56,$E52,MAX(U75,0)))</f>
        <v>0</v>
      </c>
      <c r="W69" s="316">
        <f t="shared" ref="W69" si="195">IF(OR($E52="N/A",W63&gt;$E55),0,IF(W63=$E56,$E52,MAX(V75,0)))</f>
        <v>0</v>
      </c>
      <c r="X69" s="316">
        <f t="shared" ref="X69" si="196">IF(OR($E52="N/A",X63&gt;$E55),0,IF(X63=$E56,$E52,MAX(W75,0)))</f>
        <v>0</v>
      </c>
      <c r="Y69" s="316">
        <f t="shared" ref="Y69" si="197">IF(OR($E52="N/A",Y63&gt;$E55),0,IF(Y63=$E56,$E52,MAX(X75,0)))</f>
        <v>0</v>
      </c>
      <c r="Z69" s="316">
        <f t="shared" ref="Z69" si="198">IF(OR($E52="N/A",Z63&gt;$E55),0,IF(Z63=$E56,$E52,MAX(Y75,0)))</f>
        <v>0</v>
      </c>
      <c r="AA69" s="316">
        <f t="shared" ref="AA69" si="199">IF(OR($E52="N/A",AA63&gt;$E55),0,IF(AA63=$E56,$E52,MAX(Z75,0)))</f>
        <v>0</v>
      </c>
      <c r="AB69" s="316">
        <f t="shared" ref="AB69" si="200">IF(OR($E52="N/A",AB63&gt;$E55),0,IF(AB63=$E56,$E52,MAX(AA75,0)))</f>
        <v>0</v>
      </c>
      <c r="AC69" s="316">
        <f t="shared" ref="AC69" si="201">IF(OR($E52="N/A",AC63&gt;$E55),0,IF(AC63=$E56,$E52,MAX(AB75,0)))</f>
        <v>0</v>
      </c>
      <c r="AD69" s="316">
        <f t="shared" ref="AD69" si="202">IF(OR($E52="N/A",AD63&gt;$E55),0,IF(AD63=$E56,$E52,MAX(AC75,0)))</f>
        <v>0</v>
      </c>
      <c r="AE69" s="316">
        <f t="shared" ref="AE69" si="203">IF(OR($E52="N/A",AE63&gt;$E55),0,IF(AE63=$E56,$E52,MAX(AD75,0)))</f>
        <v>0</v>
      </c>
      <c r="AF69" s="316">
        <f t="shared" ref="AF69" si="204">IF(OR($E52="N/A",AF63&gt;$E55),0,IF(AF63=$E56,$E52,MAX(AE75,0)))</f>
        <v>0</v>
      </c>
      <c r="AG69" s="316">
        <f t="shared" ref="AG69" si="205">IF(OR($E52="N/A",AG63&gt;$E55),0,IF(AG63=$E56,$E52,MAX(AF75,0)))</f>
        <v>0</v>
      </c>
      <c r="AH69" s="316">
        <f t="shared" ref="AH69" si="206">IF(OR($E52="N/A",AH63&gt;$E55),0,IF(AH63=$E56,$E52,MAX(AG75,0)))</f>
        <v>0</v>
      </c>
    </row>
    <row r="70" spans="3:34" ht="15" customHeight="1" x14ac:dyDescent="0.2">
      <c r="C70" s="1181" t="s">
        <v>2186</v>
      </c>
      <c r="D70" s="1181"/>
      <c r="E70" s="109">
        <f t="shared" ref="E70:F70" si="207">IF(OR($E52="N/A",E63&gt;$E55,E63&lt;$E56),0,E69*$E53)</f>
        <v>0</v>
      </c>
      <c r="F70" s="109">
        <f t="shared" si="207"/>
        <v>0</v>
      </c>
      <c r="G70" s="109">
        <f t="shared" ref="G70:AH70" si="208">IF(OR($E52="N/A",G63&gt;$E55,G63&lt;$E56),0,G69*$E53)</f>
        <v>0</v>
      </c>
      <c r="H70" s="109">
        <f t="shared" si="208"/>
        <v>0</v>
      </c>
      <c r="I70" s="109">
        <f t="shared" si="208"/>
        <v>0</v>
      </c>
      <c r="J70" s="109">
        <f t="shared" si="208"/>
        <v>0</v>
      </c>
      <c r="K70" s="109">
        <f t="shared" si="208"/>
        <v>0</v>
      </c>
      <c r="L70" s="109">
        <f t="shared" si="208"/>
        <v>0</v>
      </c>
      <c r="M70" s="109">
        <f t="shared" si="208"/>
        <v>0</v>
      </c>
      <c r="N70" s="109">
        <f t="shared" si="208"/>
        <v>0</v>
      </c>
      <c r="O70" s="109">
        <f t="shared" si="208"/>
        <v>0</v>
      </c>
      <c r="P70" s="109">
        <f t="shared" si="208"/>
        <v>0</v>
      </c>
      <c r="Q70" s="109">
        <f t="shared" si="208"/>
        <v>0</v>
      </c>
      <c r="R70" s="109">
        <f t="shared" si="208"/>
        <v>0</v>
      </c>
      <c r="S70" s="331">
        <f t="shared" si="208"/>
        <v>0</v>
      </c>
      <c r="T70" s="228">
        <f t="shared" si="208"/>
        <v>0</v>
      </c>
      <c r="U70" s="109">
        <f t="shared" si="208"/>
        <v>0</v>
      </c>
      <c r="V70" s="109">
        <f t="shared" si="208"/>
        <v>0</v>
      </c>
      <c r="W70" s="109">
        <f t="shared" si="208"/>
        <v>0</v>
      </c>
      <c r="X70" s="109">
        <f t="shared" si="208"/>
        <v>0</v>
      </c>
      <c r="Y70" s="109">
        <f t="shared" si="208"/>
        <v>0</v>
      </c>
      <c r="Z70" s="109">
        <f t="shared" si="208"/>
        <v>0</v>
      </c>
      <c r="AA70" s="109">
        <f t="shared" si="208"/>
        <v>0</v>
      </c>
      <c r="AB70" s="109">
        <f t="shared" si="208"/>
        <v>0</v>
      </c>
      <c r="AC70" s="109">
        <f t="shared" si="208"/>
        <v>0</v>
      </c>
      <c r="AD70" s="109">
        <f t="shared" si="208"/>
        <v>0</v>
      </c>
      <c r="AE70" s="109">
        <f t="shared" si="208"/>
        <v>0</v>
      </c>
      <c r="AF70" s="109">
        <f t="shared" si="208"/>
        <v>0</v>
      </c>
      <c r="AG70" s="109">
        <f t="shared" si="208"/>
        <v>0</v>
      </c>
      <c r="AH70" s="109">
        <f t="shared" si="208"/>
        <v>0</v>
      </c>
    </row>
    <row r="71" spans="3:34" ht="15" customHeight="1" x14ac:dyDescent="0.2">
      <c r="C71" s="1181" t="s">
        <v>2270</v>
      </c>
      <c r="D71" s="1181"/>
      <c r="E71" s="346">
        <f t="shared" ref="E71:F71" si="209">IF(OR($E52="N/A",E63&gt;$E55,E63&lt;$E56),0,MAX(0,MIN(E70,E68)))</f>
        <v>0</v>
      </c>
      <c r="F71" s="346">
        <f t="shared" si="209"/>
        <v>0</v>
      </c>
      <c r="G71" s="346">
        <f t="shared" ref="G71:AH71" si="210">IF(OR($E52="N/A",G63&gt;$E55,G63&lt;$E56),0,MAX(0,MIN(G70,G68)))</f>
        <v>0</v>
      </c>
      <c r="H71" s="346">
        <f t="shared" si="210"/>
        <v>0</v>
      </c>
      <c r="I71" s="346">
        <f t="shared" si="210"/>
        <v>0</v>
      </c>
      <c r="J71" s="346">
        <f t="shared" si="210"/>
        <v>0</v>
      </c>
      <c r="K71" s="346">
        <f t="shared" si="210"/>
        <v>0</v>
      </c>
      <c r="L71" s="346">
        <f t="shared" si="210"/>
        <v>0</v>
      </c>
      <c r="M71" s="346">
        <f t="shared" si="210"/>
        <v>0</v>
      </c>
      <c r="N71" s="346">
        <f t="shared" si="210"/>
        <v>0</v>
      </c>
      <c r="O71" s="346">
        <f t="shared" si="210"/>
        <v>0</v>
      </c>
      <c r="P71" s="346">
        <f t="shared" si="210"/>
        <v>0</v>
      </c>
      <c r="Q71" s="346">
        <f t="shared" si="210"/>
        <v>0</v>
      </c>
      <c r="R71" s="346">
        <f t="shared" si="210"/>
        <v>0</v>
      </c>
      <c r="S71" s="442">
        <f t="shared" si="210"/>
        <v>0</v>
      </c>
      <c r="T71" s="435">
        <f t="shared" si="210"/>
        <v>0</v>
      </c>
      <c r="U71" s="346">
        <f t="shared" si="210"/>
        <v>0</v>
      </c>
      <c r="V71" s="346">
        <f t="shared" si="210"/>
        <v>0</v>
      </c>
      <c r="W71" s="346">
        <f t="shared" si="210"/>
        <v>0</v>
      </c>
      <c r="X71" s="346">
        <f t="shared" si="210"/>
        <v>0</v>
      </c>
      <c r="Y71" s="346">
        <f t="shared" si="210"/>
        <v>0</v>
      </c>
      <c r="Z71" s="346">
        <f t="shared" si="210"/>
        <v>0</v>
      </c>
      <c r="AA71" s="346">
        <f t="shared" si="210"/>
        <v>0</v>
      </c>
      <c r="AB71" s="346">
        <f t="shared" si="210"/>
        <v>0</v>
      </c>
      <c r="AC71" s="346">
        <f t="shared" si="210"/>
        <v>0</v>
      </c>
      <c r="AD71" s="346">
        <f t="shared" si="210"/>
        <v>0</v>
      </c>
      <c r="AE71" s="346">
        <f t="shared" si="210"/>
        <v>0</v>
      </c>
      <c r="AF71" s="346">
        <f t="shared" si="210"/>
        <v>0</v>
      </c>
      <c r="AG71" s="346">
        <f t="shared" si="210"/>
        <v>0</v>
      </c>
      <c r="AH71" s="346">
        <f t="shared" si="210"/>
        <v>0</v>
      </c>
    </row>
    <row r="72" spans="3:34" ht="15" customHeight="1" x14ac:dyDescent="0.2">
      <c r="C72" s="1181" t="s">
        <v>2271</v>
      </c>
      <c r="D72" s="1181"/>
      <c r="E72" s="346">
        <f t="shared" ref="E72:F72" si="211">IF(OR($E52="N/A",E63&gt;$E55,E63&lt;$E56),0,E71-E70)</f>
        <v>0</v>
      </c>
      <c r="F72" s="346">
        <f t="shared" si="211"/>
        <v>0</v>
      </c>
      <c r="G72" s="346">
        <f t="shared" ref="G72:AH72" si="212">IF(OR($E52="N/A",G63&gt;$E55,G63&lt;$E56),0,G71-G70)</f>
        <v>0</v>
      </c>
      <c r="H72" s="346">
        <f t="shared" si="212"/>
        <v>0</v>
      </c>
      <c r="I72" s="346">
        <f t="shared" si="212"/>
        <v>0</v>
      </c>
      <c r="J72" s="346">
        <f t="shared" si="212"/>
        <v>0</v>
      </c>
      <c r="K72" s="346">
        <f t="shared" si="212"/>
        <v>0</v>
      </c>
      <c r="L72" s="346">
        <f t="shared" si="212"/>
        <v>0</v>
      </c>
      <c r="M72" s="346">
        <f t="shared" si="212"/>
        <v>0</v>
      </c>
      <c r="N72" s="346">
        <f t="shared" si="212"/>
        <v>0</v>
      </c>
      <c r="O72" s="346">
        <f t="shared" si="212"/>
        <v>0</v>
      </c>
      <c r="P72" s="346">
        <f t="shared" si="212"/>
        <v>0</v>
      </c>
      <c r="Q72" s="346">
        <f t="shared" si="212"/>
        <v>0</v>
      </c>
      <c r="R72" s="346">
        <f t="shared" si="212"/>
        <v>0</v>
      </c>
      <c r="S72" s="442">
        <f t="shared" si="212"/>
        <v>0</v>
      </c>
      <c r="T72" s="435">
        <f t="shared" si="212"/>
        <v>0</v>
      </c>
      <c r="U72" s="346">
        <f t="shared" si="212"/>
        <v>0</v>
      </c>
      <c r="V72" s="346">
        <f t="shared" si="212"/>
        <v>0</v>
      </c>
      <c r="W72" s="346">
        <f t="shared" si="212"/>
        <v>0</v>
      </c>
      <c r="X72" s="346">
        <f t="shared" si="212"/>
        <v>0</v>
      </c>
      <c r="Y72" s="346">
        <f t="shared" si="212"/>
        <v>0</v>
      </c>
      <c r="Z72" s="346">
        <f t="shared" si="212"/>
        <v>0</v>
      </c>
      <c r="AA72" s="346">
        <f t="shared" si="212"/>
        <v>0</v>
      </c>
      <c r="AB72" s="346">
        <f t="shared" si="212"/>
        <v>0</v>
      </c>
      <c r="AC72" s="346">
        <f t="shared" si="212"/>
        <v>0</v>
      </c>
      <c r="AD72" s="346">
        <f t="shared" si="212"/>
        <v>0</v>
      </c>
      <c r="AE72" s="346">
        <f t="shared" si="212"/>
        <v>0</v>
      </c>
      <c r="AF72" s="346">
        <f t="shared" si="212"/>
        <v>0</v>
      </c>
      <c r="AG72" s="346">
        <f t="shared" si="212"/>
        <v>0</v>
      </c>
      <c r="AH72" s="346">
        <f t="shared" si="212"/>
        <v>0</v>
      </c>
    </row>
    <row r="73" spans="3:34" ht="15" customHeight="1" thickBot="1" x14ac:dyDescent="0.25">
      <c r="C73" s="1448" t="s">
        <v>2272</v>
      </c>
      <c r="D73" s="1448"/>
      <c r="E73" s="411">
        <f>IF(OR($E52="N/A",E63&gt;$E55,E63&lt;$E56),0,MAX(0,MIN(E68-E71,E69)))</f>
        <v>0</v>
      </c>
      <c r="F73" s="411">
        <f>IF(OR($E52="N/A",F63&gt;$E55,F63&lt;$E56),0,MAX(0,MIN(F68-F71,F69)))</f>
        <v>0</v>
      </c>
      <c r="G73" s="411">
        <f t="shared" ref="G73:AH73" si="213">IF(OR($E52="N/A",G63&gt;$E55,G63&lt;$E56),0,MAX(0,MIN(G68-G71,G69)))</f>
        <v>0</v>
      </c>
      <c r="H73" s="411">
        <f t="shared" si="213"/>
        <v>0</v>
      </c>
      <c r="I73" s="411">
        <f t="shared" si="213"/>
        <v>0</v>
      </c>
      <c r="J73" s="411">
        <f t="shared" si="213"/>
        <v>0</v>
      </c>
      <c r="K73" s="411">
        <f t="shared" si="213"/>
        <v>0</v>
      </c>
      <c r="L73" s="411">
        <f t="shared" si="213"/>
        <v>0</v>
      </c>
      <c r="M73" s="411">
        <f t="shared" si="213"/>
        <v>0</v>
      </c>
      <c r="N73" s="411">
        <f t="shared" si="213"/>
        <v>0</v>
      </c>
      <c r="O73" s="411">
        <f t="shared" si="213"/>
        <v>0</v>
      </c>
      <c r="P73" s="411">
        <f t="shared" si="213"/>
        <v>0</v>
      </c>
      <c r="Q73" s="411">
        <f t="shared" si="213"/>
        <v>0</v>
      </c>
      <c r="R73" s="411">
        <f t="shared" si="213"/>
        <v>0</v>
      </c>
      <c r="S73" s="443">
        <f t="shared" si="213"/>
        <v>0</v>
      </c>
      <c r="T73" s="431">
        <f t="shared" si="213"/>
        <v>0</v>
      </c>
      <c r="U73" s="411">
        <f t="shared" si="213"/>
        <v>0</v>
      </c>
      <c r="V73" s="411">
        <f t="shared" si="213"/>
        <v>0</v>
      </c>
      <c r="W73" s="411">
        <f t="shared" si="213"/>
        <v>0</v>
      </c>
      <c r="X73" s="411">
        <f t="shared" si="213"/>
        <v>0</v>
      </c>
      <c r="Y73" s="411">
        <f t="shared" si="213"/>
        <v>0</v>
      </c>
      <c r="Z73" s="411">
        <f t="shared" si="213"/>
        <v>0</v>
      </c>
      <c r="AA73" s="411">
        <f t="shared" si="213"/>
        <v>0</v>
      </c>
      <c r="AB73" s="411">
        <f t="shared" si="213"/>
        <v>0</v>
      </c>
      <c r="AC73" s="411">
        <f t="shared" si="213"/>
        <v>0</v>
      </c>
      <c r="AD73" s="411">
        <f t="shared" si="213"/>
        <v>0</v>
      </c>
      <c r="AE73" s="411">
        <f t="shared" si="213"/>
        <v>0</v>
      </c>
      <c r="AF73" s="411">
        <f t="shared" si="213"/>
        <v>0</v>
      </c>
      <c r="AG73" s="411">
        <f t="shared" si="213"/>
        <v>0</v>
      </c>
      <c r="AH73" s="411">
        <f t="shared" si="213"/>
        <v>0</v>
      </c>
    </row>
    <row r="74" spans="3:34" ht="15" customHeight="1" thickTop="1" x14ac:dyDescent="0.2">
      <c r="C74" s="1463" t="s">
        <v>2282</v>
      </c>
      <c r="D74" s="1463"/>
      <c r="E74" s="430">
        <f>SUM(E71,E73)</f>
        <v>0</v>
      </c>
      <c r="F74" s="430">
        <f>SUM(F71,F73)</f>
        <v>0</v>
      </c>
      <c r="G74" s="430">
        <f t="shared" ref="G74:AH74" si="214">SUM(G71,G73)</f>
        <v>0</v>
      </c>
      <c r="H74" s="430">
        <f t="shared" si="214"/>
        <v>0</v>
      </c>
      <c r="I74" s="430">
        <f t="shared" si="214"/>
        <v>0</v>
      </c>
      <c r="J74" s="430">
        <f t="shared" si="214"/>
        <v>0</v>
      </c>
      <c r="K74" s="430">
        <f t="shared" si="214"/>
        <v>0</v>
      </c>
      <c r="L74" s="430">
        <f t="shared" si="214"/>
        <v>0</v>
      </c>
      <c r="M74" s="430">
        <f t="shared" si="214"/>
        <v>0</v>
      </c>
      <c r="N74" s="430">
        <f t="shared" si="214"/>
        <v>0</v>
      </c>
      <c r="O74" s="430">
        <f t="shared" si="214"/>
        <v>0</v>
      </c>
      <c r="P74" s="430">
        <f t="shared" si="214"/>
        <v>0</v>
      </c>
      <c r="Q74" s="430">
        <f t="shared" si="214"/>
        <v>0</v>
      </c>
      <c r="R74" s="430">
        <f t="shared" si="214"/>
        <v>0</v>
      </c>
      <c r="S74" s="444">
        <f t="shared" si="214"/>
        <v>0</v>
      </c>
      <c r="T74" s="436">
        <f t="shared" si="214"/>
        <v>0</v>
      </c>
      <c r="U74" s="430">
        <f t="shared" si="214"/>
        <v>0</v>
      </c>
      <c r="V74" s="430">
        <f t="shared" si="214"/>
        <v>0</v>
      </c>
      <c r="W74" s="430">
        <f t="shared" si="214"/>
        <v>0</v>
      </c>
      <c r="X74" s="430">
        <f t="shared" si="214"/>
        <v>0</v>
      </c>
      <c r="Y74" s="430">
        <f t="shared" si="214"/>
        <v>0</v>
      </c>
      <c r="Z74" s="430">
        <f t="shared" si="214"/>
        <v>0</v>
      </c>
      <c r="AA74" s="430">
        <f t="shared" si="214"/>
        <v>0</v>
      </c>
      <c r="AB74" s="430">
        <f t="shared" si="214"/>
        <v>0</v>
      </c>
      <c r="AC74" s="430">
        <f t="shared" si="214"/>
        <v>0</v>
      </c>
      <c r="AD74" s="430">
        <f t="shared" si="214"/>
        <v>0</v>
      </c>
      <c r="AE74" s="430">
        <f t="shared" si="214"/>
        <v>0</v>
      </c>
      <c r="AF74" s="430">
        <f t="shared" si="214"/>
        <v>0</v>
      </c>
      <c r="AG74" s="430">
        <f t="shared" si="214"/>
        <v>0</v>
      </c>
      <c r="AH74" s="430">
        <f t="shared" si="214"/>
        <v>0</v>
      </c>
    </row>
    <row r="75" spans="3:34" ht="15" customHeight="1" x14ac:dyDescent="0.2">
      <c r="C75" s="1457" t="s">
        <v>2190</v>
      </c>
      <c r="D75" s="1457"/>
      <c r="E75" s="342">
        <f>IF(OR($E52="N/A",E63&gt;$E55,E63&lt;$E56),0,IF($E54="Compound",E69-E73-E72,MAX(0,E69-E73)))</f>
        <v>0</v>
      </c>
      <c r="F75" s="342">
        <f>IF(OR($E52="N/A",F63&gt;$E55,F63&lt;$E56),0,IF($E54="Compound",F69-F73-F72,MAX(0,F69-F73)))</f>
        <v>0</v>
      </c>
      <c r="G75" s="342">
        <f t="shared" ref="G75:AH75" si="215">IF(OR($E52="N/A",G63&gt;$E55,G63&lt;$E56),0,IF($E54="Compound",G69-G73-G72,MAX(0,G69-G73)))</f>
        <v>0</v>
      </c>
      <c r="H75" s="342">
        <f t="shared" si="215"/>
        <v>0</v>
      </c>
      <c r="I75" s="342">
        <f t="shared" si="215"/>
        <v>0</v>
      </c>
      <c r="J75" s="342">
        <f t="shared" si="215"/>
        <v>0</v>
      </c>
      <c r="K75" s="342">
        <f t="shared" si="215"/>
        <v>0</v>
      </c>
      <c r="L75" s="342">
        <f t="shared" si="215"/>
        <v>0</v>
      </c>
      <c r="M75" s="342">
        <f t="shared" si="215"/>
        <v>0</v>
      </c>
      <c r="N75" s="342">
        <f t="shared" si="215"/>
        <v>0</v>
      </c>
      <c r="O75" s="342">
        <f t="shared" si="215"/>
        <v>0</v>
      </c>
      <c r="P75" s="342">
        <f t="shared" si="215"/>
        <v>0</v>
      </c>
      <c r="Q75" s="342">
        <f t="shared" si="215"/>
        <v>0</v>
      </c>
      <c r="R75" s="342">
        <f t="shared" si="215"/>
        <v>0</v>
      </c>
      <c r="S75" s="445">
        <f t="shared" si="215"/>
        <v>0</v>
      </c>
      <c r="T75" s="437">
        <f t="shared" si="215"/>
        <v>0</v>
      </c>
      <c r="U75" s="342">
        <f t="shared" si="215"/>
        <v>0</v>
      </c>
      <c r="V75" s="342">
        <f t="shared" si="215"/>
        <v>0</v>
      </c>
      <c r="W75" s="342">
        <f t="shared" si="215"/>
        <v>0</v>
      </c>
      <c r="X75" s="342">
        <f t="shared" si="215"/>
        <v>0</v>
      </c>
      <c r="Y75" s="342">
        <f t="shared" si="215"/>
        <v>0</v>
      </c>
      <c r="Z75" s="342">
        <f t="shared" si="215"/>
        <v>0</v>
      </c>
      <c r="AA75" s="342">
        <f t="shared" si="215"/>
        <v>0</v>
      </c>
      <c r="AB75" s="342">
        <f t="shared" si="215"/>
        <v>0</v>
      </c>
      <c r="AC75" s="342">
        <f t="shared" si="215"/>
        <v>0</v>
      </c>
      <c r="AD75" s="342">
        <f t="shared" si="215"/>
        <v>0</v>
      </c>
      <c r="AE75" s="342">
        <f t="shared" si="215"/>
        <v>0</v>
      </c>
      <c r="AF75" s="342">
        <f t="shared" si="215"/>
        <v>0</v>
      </c>
      <c r="AG75" s="342">
        <f t="shared" si="215"/>
        <v>0</v>
      </c>
      <c r="AH75" s="342">
        <f t="shared" si="215"/>
        <v>0</v>
      </c>
    </row>
    <row r="76" spans="3:34" ht="15" customHeight="1" x14ac:dyDescent="0.2">
      <c r="C76" s="317"/>
      <c r="D76" s="317"/>
      <c r="E76" s="74"/>
      <c r="F76" s="74"/>
      <c r="G76" s="74"/>
      <c r="H76" s="74"/>
      <c r="I76" s="74"/>
      <c r="J76" s="74"/>
      <c r="K76" s="74"/>
      <c r="L76" s="74"/>
      <c r="M76" s="74"/>
      <c r="N76" s="74"/>
      <c r="O76" s="74"/>
      <c r="P76" s="74"/>
      <c r="Q76" s="74"/>
      <c r="R76" s="74"/>
      <c r="S76" s="333"/>
      <c r="T76" s="74"/>
      <c r="U76" s="74"/>
      <c r="V76" s="74"/>
      <c r="W76" s="74"/>
      <c r="X76" s="74"/>
      <c r="Y76" s="74"/>
      <c r="Z76" s="74"/>
      <c r="AA76" s="74"/>
      <c r="AB76" s="74"/>
      <c r="AC76" s="74"/>
      <c r="AD76" s="74"/>
      <c r="AE76" s="74"/>
      <c r="AF76" s="74"/>
      <c r="AG76" s="74"/>
      <c r="AH76" s="74"/>
    </row>
    <row r="77" spans="3:34" ht="15" customHeight="1" x14ac:dyDescent="0.2">
      <c r="C77" s="432" t="s">
        <v>2287</v>
      </c>
      <c r="D77" s="317"/>
      <c r="E77" s="74"/>
      <c r="F77" s="74"/>
      <c r="G77" s="74"/>
      <c r="H77" s="74"/>
      <c r="I77" s="74"/>
      <c r="J77" s="74"/>
      <c r="K77" s="74"/>
      <c r="L77" s="74"/>
      <c r="M77" s="74"/>
      <c r="N77" s="74"/>
      <c r="O77" s="74"/>
      <c r="P77" s="74"/>
      <c r="Q77" s="74"/>
      <c r="R77" s="74"/>
      <c r="S77" s="333"/>
      <c r="T77" s="74"/>
      <c r="U77" s="74"/>
      <c r="V77" s="74"/>
      <c r="W77" s="74"/>
      <c r="X77" s="74"/>
      <c r="Y77" s="74"/>
      <c r="Z77" s="74"/>
      <c r="AA77" s="74"/>
      <c r="AB77" s="74"/>
      <c r="AC77" s="74"/>
      <c r="AD77" s="74"/>
      <c r="AE77" s="74"/>
      <c r="AF77" s="74"/>
      <c r="AG77" s="74"/>
      <c r="AH77" s="74"/>
    </row>
    <row r="78" spans="3:34" ht="15" customHeight="1" x14ac:dyDescent="0.2">
      <c r="C78" s="1234" t="s">
        <v>2273</v>
      </c>
      <c r="D78" s="1234"/>
      <c r="E78" s="421">
        <f>IF($I52="N/A",0,IF(E63&gt;$I57,0,MIN($I56,$I52*$I54)))</f>
        <v>0</v>
      </c>
      <c r="F78" s="236">
        <f t="shared" ref="F78" si="216">IF($I52="N/A",0,IF(F63&gt;$I57,0,MIN($I56,$I52*$I54*(1+$I53)^E$63)))</f>
        <v>0</v>
      </c>
      <c r="G78" s="236">
        <f t="shared" ref="G78" si="217">IF($I52="N/A",0,IF(G63&gt;$I57,0,MIN($I56,$I52*$I54*(1+$I53)^F$63)))</f>
        <v>0</v>
      </c>
      <c r="H78" s="236">
        <f t="shared" ref="H78" si="218">IF($I52="N/A",0,IF(H63&gt;$I57,0,MIN($I56,$I52*$I54*(1+$I53)^G$63)))</f>
        <v>0</v>
      </c>
      <c r="I78" s="236">
        <f t="shared" ref="I78" si="219">IF($I52="N/A",0,IF(I63&gt;$I57,0,MIN($I56,$I52*$I54*(1+$I53)^H$63)))</f>
        <v>0</v>
      </c>
      <c r="J78" s="236">
        <f t="shared" ref="J78" si="220">IF($I52="N/A",0,IF(J63&gt;$I57,0,MIN($I56,$I52*$I54*(1+$I53)^I$63)))</f>
        <v>0</v>
      </c>
      <c r="K78" s="236">
        <f t="shared" ref="K78" si="221">IF($I52="N/A",0,IF(K63&gt;$I57,0,MIN($I56,$I52*$I54*(1+$I53)^J$63)))</f>
        <v>0</v>
      </c>
      <c r="L78" s="236">
        <f t="shared" ref="L78" si="222">IF($I52="N/A",0,IF(L63&gt;$I57,0,MIN($I56,$I52*$I54*(1+$I53)^K$63)))</f>
        <v>0</v>
      </c>
      <c r="M78" s="236">
        <f t="shared" ref="M78" si="223">IF($I52="N/A",0,IF(M63&gt;$I57,0,MIN($I56,$I52*$I54*(1+$I53)^L$63)))</f>
        <v>0</v>
      </c>
      <c r="N78" s="236">
        <f t="shared" ref="N78" si="224">IF($I52="N/A",0,IF(N63&gt;$I57,0,MIN($I56,$I52*$I54*(1+$I53)^M$63)))</f>
        <v>0</v>
      </c>
      <c r="O78" s="236">
        <f t="shared" ref="O78" si="225">IF($I52="N/A",0,IF(O63&gt;$I57,0,MIN($I56,$I52*$I54*(1+$I53)^N$63)))</f>
        <v>0</v>
      </c>
      <c r="P78" s="236">
        <f t="shared" ref="P78" si="226">IF($I52="N/A",0,IF(P63&gt;$I57,0,MIN($I56,$I52*$I54*(1+$I53)^O$63)))</f>
        <v>0</v>
      </c>
      <c r="Q78" s="236">
        <f t="shared" ref="Q78" si="227">IF($I52="N/A",0,IF(Q63&gt;$I57,0,MIN($I56,$I52*$I54*(1+$I53)^P$63)))</f>
        <v>0</v>
      </c>
      <c r="R78" s="236">
        <f t="shared" ref="R78" si="228">IF($I52="N/A",0,IF(R63&gt;$I57,0,MIN($I56,$I52*$I54*(1+$I53)^Q$63)))</f>
        <v>0</v>
      </c>
      <c r="S78" s="446">
        <f t="shared" ref="S78" si="229">IF($I52="N/A",0,IF(S63&gt;$I57,0,MIN($I56,$I52*$I54*(1+$I53)^R$63)))</f>
        <v>0</v>
      </c>
      <c r="T78" s="438">
        <f t="shared" ref="T78" si="230">IF($I52="N/A",0,IF(T63&gt;$I57,0,MIN($I56,$I52*$I54*(1+$I53)^S$63)))</f>
        <v>0</v>
      </c>
      <c r="U78" s="236">
        <f t="shared" ref="U78" si="231">IF($I52="N/A",0,IF(U63&gt;$I57,0,MIN($I56,$I52*$I54*(1+$I53)^T$63)))</f>
        <v>0</v>
      </c>
      <c r="V78" s="236">
        <f t="shared" ref="V78" si="232">IF($I52="N/A",0,IF(V63&gt;$I57,0,MIN($I56,$I52*$I54*(1+$I53)^U$63)))</f>
        <v>0</v>
      </c>
      <c r="W78" s="236">
        <f t="shared" ref="W78" si="233">IF($I52="N/A",0,IF(W63&gt;$I57,0,MIN($I56,$I52*$I54*(1+$I53)^V$63)))</f>
        <v>0</v>
      </c>
      <c r="X78" s="236">
        <f t="shared" ref="X78" si="234">IF($I52="N/A",0,IF(X63&gt;$I57,0,MIN($I56,$I52*$I54*(1+$I53)^W$63)))</f>
        <v>0</v>
      </c>
      <c r="Y78" s="236">
        <f t="shared" ref="Y78" si="235">IF($I52="N/A",0,IF(Y63&gt;$I57,0,MIN($I56,$I52*$I54*(1+$I53)^X$63)))</f>
        <v>0</v>
      </c>
      <c r="Z78" s="236">
        <f t="shared" ref="Z78" si="236">IF($I52="N/A",0,IF(Z63&gt;$I57,0,MIN($I56,$I52*$I54*(1+$I53)^Y$63)))</f>
        <v>0</v>
      </c>
      <c r="AA78" s="236">
        <f t="shared" ref="AA78" si="237">IF($I52="N/A",0,IF(AA63&gt;$I57,0,MIN($I56,$I52*$I54*(1+$I53)^Z$63)))</f>
        <v>0</v>
      </c>
      <c r="AB78" s="236">
        <f t="shared" ref="AB78" si="238">IF($I52="N/A",0,IF(AB63&gt;$I57,0,MIN($I56,$I52*$I54*(1+$I53)^AA$63)))</f>
        <v>0</v>
      </c>
      <c r="AC78" s="236">
        <f t="shared" ref="AC78" si="239">IF($I52="N/A",0,IF(AC63&gt;$I57,0,MIN($I56,$I52*$I54*(1+$I53)^AB$63)))</f>
        <v>0</v>
      </c>
      <c r="AD78" s="236">
        <f t="shared" ref="AD78" si="240">IF($I52="N/A",0,IF(AD63&gt;$I57,0,MIN($I56,$I52*$I54*(1+$I53)^AC$63)))</f>
        <v>0</v>
      </c>
      <c r="AE78" s="236">
        <f t="shared" ref="AE78" si="241">IF($I52="N/A",0,IF(AE63&gt;$I57,0,MIN($I56,$I52*$I54*(1+$I53)^AD$63)))</f>
        <v>0</v>
      </c>
      <c r="AF78" s="236">
        <f t="shared" ref="AF78" si="242">IF($I52="N/A",0,IF(AF63&gt;$I57,0,MIN($I56,$I52*$I54*(1+$I53)^AE$63)))</f>
        <v>0</v>
      </c>
      <c r="AG78" s="236">
        <f t="shared" ref="AG78" si="243">IF($I52="N/A",0,IF(AG63&gt;$I57,0,MIN($I56,$I52*$I54*(1+$I53)^AF$63)))</f>
        <v>0</v>
      </c>
      <c r="AH78" s="236">
        <f t="shared" ref="AH78" si="244">IF($I52="N/A",0,IF(AH63&gt;$I57,0,MIN($I56,$I52*$I54*(1+$I53)^AG$63)))</f>
        <v>0</v>
      </c>
    </row>
    <row r="79" spans="3:34" ht="15" customHeight="1" x14ac:dyDescent="0.2">
      <c r="C79" s="1450" t="s">
        <v>2274</v>
      </c>
      <c r="D79" s="1451"/>
      <c r="E79" s="422">
        <f>IF($I52="N/A",0,IF(E63&gt;$I57,0,MAX(0,MIN(E78,$I52*$I54,E65))))</f>
        <v>0</v>
      </c>
      <c r="F79" s="521">
        <f t="shared" ref="F79" si="245">IF($I52="N/A",0,IF(F63&gt;$I57,0,IF($I55="Yes",MAX(0,MIN(F65*$I54,E81+F78,$I56)),MAX(0,MIN(F78,F65*$I54,$I56)))))</f>
        <v>0</v>
      </c>
      <c r="G79" s="521">
        <f t="shared" ref="G79" si="246">IF($I52="N/A",0,IF(G63&gt;$I57,0,IF($I55="Yes",MAX(0,MIN(G65*$I54,F81+G78,$I56)),MAX(0,MIN(G78,G65*$I54,$I56)))))</f>
        <v>0</v>
      </c>
      <c r="H79" s="521">
        <f t="shared" ref="H79" si="247">IF($I52="N/A",0,IF(H63&gt;$I57,0,IF($I55="Yes",MAX(0,MIN(H65*$I54,G81+H78,$I56)),MAX(0,MIN(H78,H65*$I54,$I56)))))</f>
        <v>0</v>
      </c>
      <c r="I79" s="521">
        <f t="shared" ref="I79" si="248">IF($I52="N/A",0,IF(I63&gt;$I57,0,IF($I55="Yes",MAX(0,MIN(I65*$I54,H81+I78,$I56)),MAX(0,MIN(I78,I65*$I54,$I56)))))</f>
        <v>0</v>
      </c>
      <c r="J79" s="521">
        <f t="shared" ref="J79" si="249">IF($I52="N/A",0,IF(J63&gt;$I57,0,IF($I55="Yes",MAX(0,MIN(J65*$I54,I81+J78,$I56)),MAX(0,MIN(J78,J65*$I54,$I56)))))</f>
        <v>0</v>
      </c>
      <c r="K79" s="521">
        <f t="shared" ref="K79" si="250">IF($I52="N/A",0,IF(K63&gt;$I57,0,IF($I55="Yes",MAX(0,MIN(K65*$I54,J81+K78,$I56)),MAX(0,MIN(K78,K65*$I54,$I56)))))</f>
        <v>0</v>
      </c>
      <c r="L79" s="521">
        <f t="shared" ref="L79" si="251">IF($I52="N/A",0,IF(L63&gt;$I57,0,IF($I55="Yes",MAX(0,MIN(L65*$I54,K81+L78,$I56)),MAX(0,MIN(L78,L65*$I54,$I56)))))</f>
        <v>0</v>
      </c>
      <c r="M79" s="521">
        <f t="shared" ref="M79" si="252">IF($I52="N/A",0,IF(M63&gt;$I57,0,IF($I55="Yes",MAX(0,MIN(M65*$I54,L81+M78,$I56)),MAX(0,MIN(M78,M65*$I54,$I56)))))</f>
        <v>0</v>
      </c>
      <c r="N79" s="521">
        <f t="shared" ref="N79" si="253">IF($I52="N/A",0,IF(N63&gt;$I57,0,IF($I55="Yes",MAX(0,MIN(N65*$I54,M81+N78,$I56)),MAX(0,MIN(N78,N65*$I54,$I56)))))</f>
        <v>0</v>
      </c>
      <c r="O79" s="521">
        <f t="shared" ref="O79" si="254">IF($I52="N/A",0,IF(O63&gt;$I57,0,IF($I55="Yes",MAX(0,MIN(O65*$I54,N81+O78,$I56)),MAX(0,MIN(O78,O65*$I54,$I56)))))</f>
        <v>0</v>
      </c>
      <c r="P79" s="521">
        <f t="shared" ref="P79" si="255">IF($I52="N/A",0,IF(P63&gt;$I57,0,IF($I55="Yes",MAX(0,MIN(P65*$I54,O81+P78,$I56)),MAX(0,MIN(P78,P65*$I54,$I56)))))</f>
        <v>0</v>
      </c>
      <c r="Q79" s="521">
        <f t="shared" ref="Q79" si="256">IF($I52="N/A",0,IF(Q63&gt;$I57,0,IF($I55="Yes",MAX(0,MIN(Q65*$I54,P81+Q78,$I56)),MAX(0,MIN(Q78,Q65*$I54,$I56)))))</f>
        <v>0</v>
      </c>
      <c r="R79" s="521">
        <f t="shared" ref="R79" si="257">IF($I52="N/A",0,IF(R63&gt;$I57,0,IF($I55="Yes",MAX(0,MIN(R65*$I54,Q81+R78,$I56)),MAX(0,MIN(R78,R65*$I54,$I56)))))</f>
        <v>0</v>
      </c>
      <c r="S79" s="523">
        <f t="shared" ref="S79" si="258">IF($I52="N/A",0,IF(S63&gt;$I57,0,IF($I55="Yes",MAX(0,MIN(S65*$I54,R81+S78,$I56)),MAX(0,MIN(S78,S65*$I54,$I56)))))</f>
        <v>0</v>
      </c>
      <c r="T79" s="522">
        <f t="shared" ref="T79" si="259">IF($I52="N/A",0,IF(T63&gt;$I57,0,IF($I55="Yes",MAX(0,MIN(T65*$I54,S81+T78,$I56)),MAX(0,MIN(T78,T65*$I54,$I56)))))</f>
        <v>0</v>
      </c>
      <c r="U79" s="521">
        <f t="shared" ref="U79" si="260">IF($I52="N/A",0,IF(U63&gt;$I57,0,IF($I55="Yes",MAX(0,MIN(U65*$I54,T81+U78,$I56)),MAX(0,MIN(U78,U65*$I54,$I56)))))</f>
        <v>0</v>
      </c>
      <c r="V79" s="521">
        <f t="shared" ref="V79" si="261">IF($I52="N/A",0,IF(V63&gt;$I57,0,IF($I55="Yes",MAX(0,MIN(V65*$I54,U81+V78,$I56)),MAX(0,MIN(V78,V65*$I54,$I56)))))</f>
        <v>0</v>
      </c>
      <c r="W79" s="521">
        <f t="shared" ref="W79" si="262">IF($I52="N/A",0,IF(W63&gt;$I57,0,IF($I55="Yes",MAX(0,MIN(W65*$I54,V81+W78,$I56)),MAX(0,MIN(W78,W65*$I54,$I56)))))</f>
        <v>0</v>
      </c>
      <c r="X79" s="521">
        <f t="shared" ref="X79" si="263">IF($I52="N/A",0,IF(X63&gt;$I57,0,IF($I55="Yes",MAX(0,MIN(X65*$I54,W81+X78,$I56)),MAX(0,MIN(X78,X65*$I54,$I56)))))</f>
        <v>0</v>
      </c>
      <c r="Y79" s="521">
        <f t="shared" ref="Y79" si="264">IF($I52="N/A",0,IF(Y63&gt;$I57,0,IF($I55="Yes",MAX(0,MIN(Y65*$I54,X81+Y78,$I56)),MAX(0,MIN(Y78,Y65*$I54,$I56)))))</f>
        <v>0</v>
      </c>
      <c r="Z79" s="521">
        <f t="shared" ref="Z79" si="265">IF($I52="N/A",0,IF(Z63&gt;$I57,0,IF($I55="Yes",MAX(0,MIN(Z65*$I54,Y81+Z78,$I56)),MAX(0,MIN(Z78,Z65*$I54,$I56)))))</f>
        <v>0</v>
      </c>
      <c r="AA79" s="521">
        <f t="shared" ref="AA79" si="266">IF($I52="N/A",0,IF(AA63&gt;$I57,0,IF($I55="Yes",MAX(0,MIN(AA65*$I54,Z81+AA78,$I56)),MAX(0,MIN(AA78,AA65*$I54,$I56)))))</f>
        <v>0</v>
      </c>
      <c r="AB79" s="521">
        <f t="shared" ref="AB79" si="267">IF($I52="N/A",0,IF(AB63&gt;$I57,0,IF($I55="Yes",MAX(0,MIN(AB65*$I54,AA81+AB78,$I56)),MAX(0,MIN(AB78,AB65*$I54,$I56)))))</f>
        <v>0</v>
      </c>
      <c r="AC79" s="521">
        <f t="shared" ref="AC79" si="268">IF($I52="N/A",0,IF(AC63&gt;$I57,0,IF($I55="Yes",MAX(0,MIN(AC65*$I54,AB81+AC78,$I56)),MAX(0,MIN(AC78,AC65*$I54,$I56)))))</f>
        <v>0</v>
      </c>
      <c r="AD79" s="521">
        <f t="shared" ref="AD79" si="269">IF($I52="N/A",0,IF(AD63&gt;$I57,0,IF($I55="Yes",MAX(0,MIN(AD65*$I54,AC81+AD78,$I56)),MAX(0,MIN(AD78,AD65*$I54,$I56)))))</f>
        <v>0</v>
      </c>
      <c r="AE79" s="521">
        <f t="shared" ref="AE79" si="270">IF($I52="N/A",0,IF(AE63&gt;$I57,0,IF($I55="Yes",MAX(0,MIN(AE65*$I54,AD81+AE78,$I56)),MAX(0,MIN(AE78,AE65*$I54,$I56)))))</f>
        <v>0</v>
      </c>
      <c r="AF79" s="521">
        <f t="shared" ref="AF79" si="271">IF($I52="N/A",0,IF(AF63&gt;$I57,0,IF($I55="Yes",MAX(0,MIN(AF65*$I54,AE81+AF78,$I56)),MAX(0,MIN(AF78,AF65*$I54,$I56)))))</f>
        <v>0</v>
      </c>
      <c r="AG79" s="521">
        <f t="shared" ref="AG79" si="272">IF($I52="N/A",0,IF(AG63&gt;$I57,0,IF($I55="Yes",MAX(0,MIN(AG65*$I54,AF81+AG78,$I56)),MAX(0,MIN(AG78,AG65*$I54,$I56)))))</f>
        <v>0</v>
      </c>
      <c r="AH79" s="521">
        <f t="shared" ref="AH79" si="273">IF($I52="N/A",0,IF(AH63&gt;$I57,0,IF($I55="Yes",MAX(0,MIN(AH65*$I54,AG81+AH78,$I56)),MAX(0,MIN(AH78,AH65*$I54,$I56)))))</f>
        <v>0</v>
      </c>
    </row>
    <row r="80" spans="3:34" ht="15" customHeight="1" x14ac:dyDescent="0.2">
      <c r="C80" s="1168" t="s">
        <v>2275</v>
      </c>
      <c r="D80" s="1170"/>
      <c r="E80" s="421">
        <f>IF($I55="Yes",IF(E63&gt;$I57,0,E78-E79),0)</f>
        <v>0</v>
      </c>
      <c r="F80" s="421">
        <f t="shared" ref="F80:AH80" si="274">IF($I52="N/A",0,IF(F64&gt;$I57,0,IF($I55="Yes",F78-F79,0)))</f>
        <v>0</v>
      </c>
      <c r="G80" s="421">
        <f t="shared" si="274"/>
        <v>0</v>
      </c>
      <c r="H80" s="421">
        <f t="shared" si="274"/>
        <v>0</v>
      </c>
      <c r="I80" s="421">
        <f t="shared" si="274"/>
        <v>0</v>
      </c>
      <c r="J80" s="421">
        <f t="shared" si="274"/>
        <v>0</v>
      </c>
      <c r="K80" s="421">
        <f t="shared" si="274"/>
        <v>0</v>
      </c>
      <c r="L80" s="421">
        <f t="shared" si="274"/>
        <v>0</v>
      </c>
      <c r="M80" s="421">
        <f t="shared" si="274"/>
        <v>0</v>
      </c>
      <c r="N80" s="421">
        <f t="shared" si="274"/>
        <v>0</v>
      </c>
      <c r="O80" s="421">
        <f t="shared" si="274"/>
        <v>0</v>
      </c>
      <c r="P80" s="421">
        <f t="shared" si="274"/>
        <v>0</v>
      </c>
      <c r="Q80" s="421">
        <f t="shared" si="274"/>
        <v>0</v>
      </c>
      <c r="R80" s="421">
        <f t="shared" si="274"/>
        <v>0</v>
      </c>
      <c r="S80" s="447">
        <f t="shared" si="274"/>
        <v>0</v>
      </c>
      <c r="T80" s="439">
        <f t="shared" si="274"/>
        <v>0</v>
      </c>
      <c r="U80" s="421">
        <f t="shared" si="274"/>
        <v>0</v>
      </c>
      <c r="V80" s="421">
        <f t="shared" si="274"/>
        <v>0</v>
      </c>
      <c r="W80" s="421">
        <f t="shared" si="274"/>
        <v>0</v>
      </c>
      <c r="X80" s="421">
        <f t="shared" si="274"/>
        <v>0</v>
      </c>
      <c r="Y80" s="421">
        <f t="shared" si="274"/>
        <v>0</v>
      </c>
      <c r="Z80" s="421">
        <f t="shared" si="274"/>
        <v>0</v>
      </c>
      <c r="AA80" s="421">
        <f t="shared" si="274"/>
        <v>0</v>
      </c>
      <c r="AB80" s="421">
        <f t="shared" si="274"/>
        <v>0</v>
      </c>
      <c r="AC80" s="421">
        <f t="shared" si="274"/>
        <v>0</v>
      </c>
      <c r="AD80" s="421">
        <f t="shared" si="274"/>
        <v>0</v>
      </c>
      <c r="AE80" s="421">
        <f t="shared" si="274"/>
        <v>0</v>
      </c>
      <c r="AF80" s="421">
        <f t="shared" si="274"/>
        <v>0</v>
      </c>
      <c r="AG80" s="421">
        <f t="shared" si="274"/>
        <v>0</v>
      </c>
      <c r="AH80" s="421">
        <f t="shared" si="274"/>
        <v>0</v>
      </c>
    </row>
    <row r="81" spans="3:34" ht="15" customHeight="1" x14ac:dyDescent="0.2">
      <c r="C81" s="1168" t="s">
        <v>2276</v>
      </c>
      <c r="D81" s="1170"/>
      <c r="E81" s="421">
        <f>E80</f>
        <v>0</v>
      </c>
      <c r="F81" s="236">
        <f t="shared" ref="F81" si="275">IF($I52="N/A",0,IF(F63&gt;$I57,0,E81+F80))</f>
        <v>0</v>
      </c>
      <c r="G81" s="236">
        <f t="shared" ref="G81" si="276">IF($I52="N/A",0,IF(G63&gt;$I57,0,F81+G80))</f>
        <v>0</v>
      </c>
      <c r="H81" s="236">
        <f t="shared" ref="H81" si="277">IF($I52="N/A",0,IF(H63&gt;$I57,0,G81+H80))</f>
        <v>0</v>
      </c>
      <c r="I81" s="236">
        <f t="shared" ref="I81" si="278">IF($I52="N/A",0,IF(I63&gt;$I57,0,H81+I80))</f>
        <v>0</v>
      </c>
      <c r="J81" s="236">
        <f t="shared" ref="J81" si="279">IF($I52="N/A",0,IF(J63&gt;$I57,0,I81+J80))</f>
        <v>0</v>
      </c>
      <c r="K81" s="236">
        <f t="shared" ref="K81" si="280">IF($I52="N/A",0,IF(K63&gt;$I57,0,J81+K80))</f>
        <v>0</v>
      </c>
      <c r="L81" s="236">
        <f t="shared" ref="L81" si="281">IF($I52="N/A",0,IF(L63&gt;$I57,0,K81+L80))</f>
        <v>0</v>
      </c>
      <c r="M81" s="236">
        <f t="shared" ref="M81" si="282">IF($I52="N/A",0,IF(M63&gt;$I57,0,L81+M80))</f>
        <v>0</v>
      </c>
      <c r="N81" s="236">
        <f t="shared" ref="N81" si="283">IF($I52="N/A",0,IF(N63&gt;$I57,0,M81+N80))</f>
        <v>0</v>
      </c>
      <c r="O81" s="236">
        <f t="shared" ref="O81" si="284">IF($I52="N/A",0,IF(O63&gt;$I57,0,N81+O80))</f>
        <v>0</v>
      </c>
      <c r="P81" s="236">
        <f t="shared" ref="P81" si="285">IF($I52="N/A",0,IF(P63&gt;$I57,0,O81+P80))</f>
        <v>0</v>
      </c>
      <c r="Q81" s="236">
        <f t="shared" ref="Q81" si="286">IF($I52="N/A",0,IF(Q63&gt;$I57,0,P81+Q80))</f>
        <v>0</v>
      </c>
      <c r="R81" s="236">
        <f t="shared" ref="R81" si="287">IF($I52="N/A",0,IF(R63&gt;$I57,0,Q81+R80))</f>
        <v>0</v>
      </c>
      <c r="S81" s="446">
        <f t="shared" ref="S81" si="288">IF($I52="N/A",0,IF(S63&gt;$I57,0,R81+S80))</f>
        <v>0</v>
      </c>
      <c r="T81" s="438">
        <f t="shared" ref="T81" si="289">IF($I52="N/A",0,IF(T63&gt;$I57,0,S81+T80))</f>
        <v>0</v>
      </c>
      <c r="U81" s="236">
        <f t="shared" ref="U81" si="290">IF($I52="N/A",0,IF(U63&gt;$I57,0,T81+U80))</f>
        <v>0</v>
      </c>
      <c r="V81" s="236">
        <f t="shared" ref="V81" si="291">IF($I52="N/A",0,IF(V63&gt;$I57,0,U81+V80))</f>
        <v>0</v>
      </c>
      <c r="W81" s="236">
        <f t="shared" ref="W81" si="292">IF($I52="N/A",0,IF(W63&gt;$I57,0,V81+W80))</f>
        <v>0</v>
      </c>
      <c r="X81" s="236">
        <f t="shared" ref="X81" si="293">IF($I52="N/A",0,IF(X63&gt;$I57,0,W81+X80))</f>
        <v>0</v>
      </c>
      <c r="Y81" s="236">
        <f t="shared" ref="Y81" si="294">IF($I52="N/A",0,IF(Y63&gt;$I57,0,X81+Y80))</f>
        <v>0</v>
      </c>
      <c r="Z81" s="236">
        <f t="shared" ref="Z81" si="295">IF($I52="N/A",0,IF(Z63&gt;$I57,0,Y81+Z80))</f>
        <v>0</v>
      </c>
      <c r="AA81" s="236">
        <f t="shared" ref="AA81" si="296">IF($I52="N/A",0,IF(AA63&gt;$I57,0,Z81+AA80))</f>
        <v>0</v>
      </c>
      <c r="AB81" s="236">
        <f t="shared" ref="AB81" si="297">IF($I52="N/A",0,IF(AB63&gt;$I57,0,AA81+AB80))</f>
        <v>0</v>
      </c>
      <c r="AC81" s="236">
        <f t="shared" ref="AC81" si="298">IF($I52="N/A",0,IF(AC63&gt;$I57,0,AB81+AC80))</f>
        <v>0</v>
      </c>
      <c r="AD81" s="236">
        <f t="shared" ref="AD81" si="299">IF($I52="N/A",0,IF(AD63&gt;$I57,0,AC81+AD80))</f>
        <v>0</v>
      </c>
      <c r="AE81" s="236">
        <f t="shared" ref="AE81" si="300">IF($I52="N/A",0,IF(AE63&gt;$I57,0,AD81+AE80))</f>
        <v>0</v>
      </c>
      <c r="AF81" s="236">
        <f t="shared" ref="AF81" si="301">IF($I52="N/A",0,IF(AF63&gt;$I57,0,AE81+AF80))</f>
        <v>0</v>
      </c>
      <c r="AG81" s="236">
        <f t="shared" ref="AG81" si="302">IF($I52="N/A",0,IF(AG63&gt;$I57,0,AF81+AG80))</f>
        <v>0</v>
      </c>
      <c r="AH81" s="236">
        <f t="shared" ref="AH81" si="303">IF($I52="N/A",0,IF(AH63&gt;$I57,0,AG81+AH80))</f>
        <v>0</v>
      </c>
    </row>
    <row r="82" spans="3:34" ht="15" customHeight="1" x14ac:dyDescent="0.2">
      <c r="C82" s="317"/>
      <c r="D82" s="317"/>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row>
    <row r="83" spans="3:34" ht="15" customHeight="1" x14ac:dyDescent="0.2">
      <c r="C83" s="317"/>
      <c r="D83" s="317"/>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row>
    <row r="84" spans="3:34" ht="15" x14ac:dyDescent="0.2">
      <c r="C84" s="1456" t="str">
        <f>IF(Sources!$D$69="","N/A",Sources!$D$69)</f>
        <v>N/A</v>
      </c>
      <c r="D84" s="1456"/>
      <c r="E84" s="1456"/>
      <c r="F84" s="412" t="s">
        <v>2266</v>
      </c>
      <c r="G84" s="92" t="str">
        <f>IF(AND(ISERROR(VLOOKUP($C84,OpBudget!$C$159:$C$165,1,FALSE)),ISERROR(VLOOKUP($C84,Sources!$C$36:$C$55,1,FALSE))),"N/A",IF(ISERROR(VLOOKUP($C84,Sources!$C$36:$C$55,1,FALSE)),"Fee","Loan"))</f>
        <v>N/A</v>
      </c>
      <c r="H84" s="412"/>
      <c r="I84" s="412"/>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row>
    <row r="85" spans="3:34" ht="15" x14ac:dyDescent="0.2">
      <c r="C85" s="345"/>
      <c r="D85" s="345"/>
      <c r="E85" s="345"/>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row>
    <row r="86" spans="3:34" ht="15" x14ac:dyDescent="0.2">
      <c r="C86" s="417" t="s">
        <v>2260</v>
      </c>
      <c r="D86" s="345"/>
      <c r="E86" s="345"/>
      <c r="F86" s="74"/>
      <c r="G86" s="74" t="s">
        <v>2261</v>
      </c>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3:34" x14ac:dyDescent="0.2">
      <c r="C87" s="1452" t="s">
        <v>2255</v>
      </c>
      <c r="D87" s="1452"/>
      <c r="E87" s="413" t="str">
        <f>IF(OR($G84="Fee",$G84="N/A"),"N/A",INDEX(Sources!$C$35:$K$55,MATCH(Loans!$C84,Sources!$C$35:$C$55,0),MATCH("Amount",Sources!$C$35:$N$35,0)))</f>
        <v>N/A</v>
      </c>
      <c r="F87" s="74"/>
      <c r="G87" s="1454" t="s">
        <v>2262</v>
      </c>
      <c r="H87" s="1454"/>
      <c r="I87" s="705" t="str">
        <f>IF(OR($G84="Loan",$G84="N/A"),"N/A",INDEX(OpBudget!$C$159:$K$165,MATCH(Loans!$C84,OpBudget!$C$159:$C$165,0),MATCH("Total Amount",OpBudget!$C$159:$K$159,0)))</f>
        <v>N/A</v>
      </c>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row>
    <row r="88" spans="3:34" x14ac:dyDescent="0.2">
      <c r="C88" s="1452" t="s">
        <v>2256</v>
      </c>
      <c r="D88" s="1452"/>
      <c r="E88" s="702" t="str">
        <f>IF(OR($G84="Fee",$G84="N/A"),"N/A",INDEX(Sources!$C$35:$K$55,MATCH(Loans!$C84,Sources!$C$35:$C$55,0),MATCH("Interest Rate",Sources!$C$35:$N$35,0)))</f>
        <v>N/A</v>
      </c>
      <c r="F88" s="74"/>
      <c r="G88" s="1454" t="s">
        <v>2268</v>
      </c>
      <c r="H88" s="1454"/>
      <c r="I88" s="703" t="str">
        <f>IF(OR($G84="Loan",$G84="N/A"),"N/A",INDEX(OpBudget!$C$159:$K$165,MATCH(Loans!$C84,OpBudget!$C$159:$C$165,0),MATCH("Annual Percent Inflator",OpBudget!$C$159:$K$159,0)))</f>
        <v>N/A</v>
      </c>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row>
    <row r="89" spans="3:34" x14ac:dyDescent="0.2">
      <c r="C89" s="1452" t="s">
        <v>2279</v>
      </c>
      <c r="D89" s="1452"/>
      <c r="E89" s="702" t="str">
        <f>IF(OR($G84="Fee",$G84="N/A"),"N/A",INDEX(Sources!$C$35:$N$55,MATCH(Loans!$C84,Sources!$C$35:$C$55,0),MATCH("Simple or Compound Interest?",Sources!$C$35:$N$35,0)))</f>
        <v>N/A</v>
      </c>
      <c r="F89" s="74"/>
      <c r="G89" s="424" t="s">
        <v>2263</v>
      </c>
      <c r="H89" s="424"/>
      <c r="I89" s="703" t="str">
        <f>IF(OR($G84="Loan",$G84="N/A"),"N/A",INDEX(Sources!$D$67:$H$82,MATCH(Loans!$C84,Sources!$D$67:$D$82,0),MATCH("Split of Cash Flow",Sources!$D$67:$H$67,0)))</f>
        <v>N/A</v>
      </c>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row>
    <row r="90" spans="3:34" x14ac:dyDescent="0.2">
      <c r="C90" s="1452" t="s">
        <v>2257</v>
      </c>
      <c r="D90" s="1452"/>
      <c r="E90" s="420" t="str">
        <f>IF(OR($G84="Fee",$G84="N/A"),"N/A",INDEX(Sources!$C$35:$K$55,MATCH(Loans!$C84,Sources!$C$35:$C$55,0),MATCH("Term (Years)",Sources!$C$35:$N$35,0)))</f>
        <v>N/A</v>
      </c>
      <c r="F90" s="74"/>
      <c r="G90" s="1454" t="s">
        <v>2281</v>
      </c>
      <c r="H90" s="1454"/>
      <c r="I90" s="703" t="str">
        <f>IF(OR($G84="Loan",$G84="N/A"),"N/A",INDEX(OpBudget!$C$159:$K$165,MATCH(Loans!$C84,OpBudget!$C$159:$C$165,0),MATCH("Accrue Unpaid Fee?",OpBudget!$C$159:$K$159,0)))</f>
        <v>N/A</v>
      </c>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row>
    <row r="91" spans="3:34" x14ac:dyDescent="0.2">
      <c r="C91" s="1452" t="s">
        <v>2284</v>
      </c>
      <c r="D91" s="1452"/>
      <c r="E91" s="420" t="str">
        <f>IF(OR($G84="Fee",$G84="N/A"),"N/A",INDEX(Sources!$D$67:$O$82,MATCH(Loans!$C84,Sources!$D$67:$D$82,0),MATCH("Beginning Payment Year",Sources!$D$67:$O$67,0)))</f>
        <v>N/A</v>
      </c>
      <c r="F91" s="74"/>
      <c r="G91" s="1454" t="s">
        <v>2293</v>
      </c>
      <c r="H91" s="1454"/>
      <c r="I91" s="705" t="str">
        <f>IF(OR($G84="Loan",$G84="N/A"),"N/A",IF(INDEX(OpBudget!$C$159:$K$165,MATCH(Loans!$C84,OpBudget!$C$159:$C$165,0),MATCH("Fee Cap (if applicable)",OpBudget!$C$159:$K$159,0))=0,"N/A",INDEX(OpBudget!$C$159:$K$165,MATCH(Loans!$C84,OpBudget!$C$159:$C$165,0),MATCH("Fee Cap (if applicable)",OpBudget!$C$159:$K$159,0))))</f>
        <v>N/A</v>
      </c>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row>
    <row r="92" spans="3:34" ht="14.25" customHeight="1" x14ac:dyDescent="0.2">
      <c r="C92" s="1452" t="s">
        <v>2267</v>
      </c>
      <c r="D92" s="1452"/>
      <c r="E92" s="703" t="str">
        <f>IF(OR($G84="Fee",$G84="N/A"),"N/A",INDEX(Sources!$D$67:$O$82,MATCH(Loans!$C84,Sources!$D$67:$D$82,0),MATCH("Split of Cash Flow",Sources!$D$67:$O$67,0)))</f>
        <v>N/A</v>
      </c>
      <c r="F92" s="1455"/>
      <c r="G92" s="1454" t="s">
        <v>2292</v>
      </c>
      <c r="H92" s="1454"/>
      <c r="I92" s="420" t="str">
        <f>IF(OR($G84="Loan",$G84="N/A"),"N/A",INDEX(OpBudget!$C$159:$K$165,MATCH(Loans!$C84,OpBudget!$C$159:$C$165,0),MATCH("Number of Years Fee Exists",OpBudget!$C$159:$K$159,0)))</f>
        <v>N/A</v>
      </c>
      <c r="J92" s="74"/>
      <c r="K92" s="74"/>
      <c r="L92" s="74" t="s">
        <v>2278</v>
      </c>
      <c r="M92" s="74"/>
      <c r="N92" s="74"/>
      <c r="O92" s="74"/>
      <c r="P92" s="74"/>
      <c r="Q92" s="74"/>
      <c r="R92" s="74"/>
      <c r="S92" s="74"/>
      <c r="T92" s="74"/>
      <c r="U92" s="74"/>
      <c r="V92" s="74"/>
      <c r="W92" s="74"/>
      <c r="X92" s="74"/>
      <c r="Y92" s="74"/>
      <c r="Z92" s="74"/>
      <c r="AA92" s="74"/>
      <c r="AB92" s="74"/>
      <c r="AC92" s="74"/>
      <c r="AD92" s="74"/>
      <c r="AE92" s="74"/>
      <c r="AF92" s="74"/>
      <c r="AG92" s="74"/>
      <c r="AH92" s="74"/>
    </row>
    <row r="93" spans="3:34" x14ac:dyDescent="0.2">
      <c r="C93" s="1452" t="s">
        <v>2289</v>
      </c>
      <c r="D93" s="1452"/>
      <c r="E93" s="704" t="str">
        <f>IF(OR($G84="Fee",$G84="N/A"),"N/A",INDEX(Sources!$D$67:$O$82,MATCH(Loans!$C84,Sources!$D$67:$D$82,0),MATCH("Pari Passu?",Sources!$D$67:$O$67,0)))</f>
        <v>N/A</v>
      </c>
      <c r="F93" s="1455"/>
      <c r="G93" s="424"/>
      <c r="H93" s="424"/>
      <c r="I93" s="526"/>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row>
    <row r="94" spans="3:34" x14ac:dyDescent="0.2">
      <c r="C94" s="1452" t="s">
        <v>2295</v>
      </c>
      <c r="D94" s="1452"/>
      <c r="E94" s="703" t="str">
        <f>IF(OR($G84="Fee",$G84="N/A"),"N/A",INDEX(Sources!$D$67:$O$82,MATCH(Loans!$C84,Sources!$D$67:$D$82,0),MATCH("Shared Position Split of Cash Flow",Sources!$D$67:$O$67,0)))</f>
        <v>N/A</v>
      </c>
      <c r="F94" s="532"/>
      <c r="G94" s="424"/>
      <c r="H94" s="424"/>
      <c r="I94" s="526"/>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row>
    <row r="95" spans="3:34" x14ac:dyDescent="0.2">
      <c r="C95" s="1452" t="s">
        <v>2291</v>
      </c>
      <c r="D95" s="1452"/>
      <c r="E95" s="704" t="str">
        <f>IF(OR($G84="Fee",$G84="N/A"),"N/A",INDEX(Sources!$D$67:$O$82,MATCH(Loans!$C84,Sources!$D$67:$D$82,0),MATCH("Deferred Loan?",Sources!$D$67:$O$67,0)))</f>
        <v>N/A</v>
      </c>
      <c r="F95" s="74"/>
      <c r="G95" s="424"/>
      <c r="H95" s="424"/>
      <c r="I95" s="526"/>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row>
    <row r="96" spans="3:34" x14ac:dyDescent="0.2">
      <c r="C96" s="1452" t="s">
        <v>2277</v>
      </c>
      <c r="D96" s="1452"/>
      <c r="E96" s="705" t="str">
        <f>IF(OR(E87=0,E87="N/A"),"N/A",INDEX($C98:$AH110,MATCH("Ending Principal Balance",$C98:$C110,0),MATCH($E90,$C98:$AH98,0)))</f>
        <v>N/A</v>
      </c>
      <c r="F96" s="74"/>
      <c r="G96" s="74"/>
      <c r="H96" s="74" t="s">
        <v>2278</v>
      </c>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row>
    <row r="97" spans="3:34" ht="15" x14ac:dyDescent="0.2">
      <c r="C97" s="345"/>
      <c r="D97" s="345"/>
      <c r="E97" s="345"/>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row>
    <row r="98" spans="3:34" ht="15" x14ac:dyDescent="0.2">
      <c r="C98" s="309"/>
      <c r="D98" s="309"/>
      <c r="E98" s="310">
        <v>1</v>
      </c>
      <c r="F98" s="310">
        <f>E98+1</f>
        <v>2</v>
      </c>
      <c r="G98" s="310">
        <f t="shared" ref="G98" si="304">F98+1</f>
        <v>3</v>
      </c>
      <c r="H98" s="310">
        <f t="shared" ref="H98" si="305">G98+1</f>
        <v>4</v>
      </c>
      <c r="I98" s="310">
        <f t="shared" ref="I98" si="306">H98+1</f>
        <v>5</v>
      </c>
      <c r="J98" s="310">
        <f t="shared" ref="J98" si="307">I98+1</f>
        <v>6</v>
      </c>
      <c r="K98" s="310">
        <f t="shared" ref="K98" si="308">J98+1</f>
        <v>7</v>
      </c>
      <c r="L98" s="310">
        <f t="shared" ref="L98" si="309">K98+1</f>
        <v>8</v>
      </c>
      <c r="M98" s="310">
        <f t="shared" ref="M98" si="310">L98+1</f>
        <v>9</v>
      </c>
      <c r="N98" s="310">
        <f t="shared" ref="N98" si="311">M98+1</f>
        <v>10</v>
      </c>
      <c r="O98" s="310">
        <f t="shared" ref="O98" si="312">N98+1</f>
        <v>11</v>
      </c>
      <c r="P98" s="310">
        <f t="shared" ref="P98" si="313">O98+1</f>
        <v>12</v>
      </c>
      <c r="Q98" s="310">
        <f t="shared" ref="Q98" si="314">P98+1</f>
        <v>13</v>
      </c>
      <c r="R98" s="310">
        <f t="shared" ref="R98" si="315">Q98+1</f>
        <v>14</v>
      </c>
      <c r="S98" s="448">
        <f t="shared" ref="S98" si="316">R98+1</f>
        <v>15</v>
      </c>
      <c r="T98" s="428">
        <f t="shared" ref="T98" si="317">S98+1</f>
        <v>16</v>
      </c>
      <c r="U98" s="310">
        <f t="shared" ref="U98" si="318">T98+1</f>
        <v>17</v>
      </c>
      <c r="V98" s="310">
        <f t="shared" ref="V98" si="319">U98+1</f>
        <v>18</v>
      </c>
      <c r="W98" s="310">
        <f t="shared" ref="W98" si="320">V98+1</f>
        <v>19</v>
      </c>
      <c r="X98" s="310">
        <f t="shared" ref="X98" si="321">W98+1</f>
        <v>20</v>
      </c>
      <c r="Y98" s="310">
        <f t="shared" ref="Y98" si="322">X98+1</f>
        <v>21</v>
      </c>
      <c r="Z98" s="310">
        <f t="shared" ref="Z98" si="323">Y98+1</f>
        <v>22</v>
      </c>
      <c r="AA98" s="310">
        <f t="shared" ref="AA98" si="324">Z98+1</f>
        <v>23</v>
      </c>
      <c r="AB98" s="310">
        <f t="shared" ref="AB98" si="325">AA98+1</f>
        <v>24</v>
      </c>
      <c r="AC98" s="310">
        <f t="shared" ref="AC98" si="326">AB98+1</f>
        <v>25</v>
      </c>
      <c r="AD98" s="310">
        <f t="shared" ref="AD98" si="327">AC98+1</f>
        <v>26</v>
      </c>
      <c r="AE98" s="310">
        <f t="shared" ref="AE98" si="328">AD98+1</f>
        <v>27</v>
      </c>
      <c r="AF98" s="310">
        <f t="shared" ref="AF98" si="329">AE98+1</f>
        <v>28</v>
      </c>
      <c r="AG98" s="310">
        <f t="shared" ref="AG98" si="330">AF98+1</f>
        <v>29</v>
      </c>
      <c r="AH98" s="310">
        <f t="shared" ref="AH98" si="331">AG98+1</f>
        <v>30</v>
      </c>
    </row>
    <row r="99" spans="3:34" ht="15" x14ac:dyDescent="0.2">
      <c r="C99" s="309"/>
      <c r="D99" s="309"/>
      <c r="E99" s="314" t="str">
        <f>IF(Details!$E$171="","",Details!$E$171)</f>
        <v/>
      </c>
      <c r="F99" s="314" t="str">
        <f>IF($E$7="","",E$7+1)</f>
        <v/>
      </c>
      <c r="G99" s="314" t="str">
        <f t="shared" ref="G99" si="332">IF($E$7="","",F$7+1)</f>
        <v/>
      </c>
      <c r="H99" s="314" t="str">
        <f t="shared" ref="H99" si="333">IF($E$7="","",G$7+1)</f>
        <v/>
      </c>
      <c r="I99" s="314" t="str">
        <f t="shared" ref="I99" si="334">IF($E$7="","",H$7+1)</f>
        <v/>
      </c>
      <c r="J99" s="314" t="str">
        <f t="shared" ref="J99" si="335">IF($E$7="","",I$7+1)</f>
        <v/>
      </c>
      <c r="K99" s="314" t="str">
        <f t="shared" ref="K99" si="336">IF($E$7="","",J$7+1)</f>
        <v/>
      </c>
      <c r="L99" s="314" t="str">
        <f t="shared" ref="L99" si="337">IF($E$7="","",K$7+1)</f>
        <v/>
      </c>
      <c r="M99" s="314" t="str">
        <f t="shared" ref="M99" si="338">IF($E$7="","",L$7+1)</f>
        <v/>
      </c>
      <c r="N99" s="314" t="str">
        <f t="shared" ref="N99" si="339">IF($E$7="","",M$7+1)</f>
        <v/>
      </c>
      <c r="O99" s="314" t="str">
        <f t="shared" ref="O99" si="340">IF($E$7="","",N$7+1)</f>
        <v/>
      </c>
      <c r="P99" s="314" t="str">
        <f t="shared" ref="P99" si="341">IF($E$7="","",O$7+1)</f>
        <v/>
      </c>
      <c r="Q99" s="314" t="str">
        <f t="shared" ref="Q99" si="342">IF($E$7="","",P$7+1)</f>
        <v/>
      </c>
      <c r="R99" s="314" t="str">
        <f t="shared" ref="R99" si="343">IF($E$7="","",Q$7+1)</f>
        <v/>
      </c>
      <c r="S99" s="440" t="str">
        <f t="shared" ref="S99" si="344">IF($E$7="","",R$7+1)</f>
        <v/>
      </c>
      <c r="T99" s="433" t="str">
        <f t="shared" ref="T99" si="345">IF($E$7="","",S$7+1)</f>
        <v/>
      </c>
      <c r="U99" s="314" t="str">
        <f t="shared" ref="U99" si="346">IF($E$7="","",T$7+1)</f>
        <v/>
      </c>
      <c r="V99" s="314" t="str">
        <f t="shared" ref="V99" si="347">IF($E$7="","",U$7+1)</f>
        <v/>
      </c>
      <c r="W99" s="314" t="str">
        <f t="shared" ref="W99" si="348">IF($E$7="","",V$7+1)</f>
        <v/>
      </c>
      <c r="X99" s="314" t="str">
        <f t="shared" ref="X99" si="349">IF($E$7="","",W$7+1)</f>
        <v/>
      </c>
      <c r="Y99" s="314" t="str">
        <f t="shared" ref="Y99" si="350">IF($E$7="","",X$7+1)</f>
        <v/>
      </c>
      <c r="Z99" s="314" t="str">
        <f t="shared" ref="Z99" si="351">IF($E$7="","",Y$7+1)</f>
        <v/>
      </c>
      <c r="AA99" s="314" t="str">
        <f t="shared" ref="AA99" si="352">IF($E$7="","",Z$7+1)</f>
        <v/>
      </c>
      <c r="AB99" s="314" t="str">
        <f t="shared" ref="AB99" si="353">IF($E$7="","",AA$7+1)</f>
        <v/>
      </c>
      <c r="AC99" s="314" t="str">
        <f t="shared" ref="AC99" si="354">IF($E$7="","",AB$7+1)</f>
        <v/>
      </c>
      <c r="AD99" s="314" t="str">
        <f t="shared" ref="AD99" si="355">IF($E$7="","",AC$7+1)</f>
        <v/>
      </c>
      <c r="AE99" s="314" t="str">
        <f t="shared" ref="AE99" si="356">IF($E$7="","",AD$7+1)</f>
        <v/>
      </c>
      <c r="AF99" s="314" t="str">
        <f t="shared" ref="AF99" si="357">IF($E$7="","",AE$7+1)</f>
        <v/>
      </c>
      <c r="AG99" s="314" t="str">
        <f t="shared" ref="AG99" si="358">IF($E$7="","",AF$7+1)</f>
        <v/>
      </c>
      <c r="AH99" s="314" t="str">
        <f t="shared" ref="AH99" si="359">IF($E$7="","",AG$7+1)</f>
        <v/>
      </c>
    </row>
    <row r="100" spans="3:34" x14ac:dyDescent="0.2">
      <c r="C100" s="1168" t="s">
        <v>2254</v>
      </c>
      <c r="D100" s="1169"/>
      <c r="E100" s="109">
        <f>E65-E74-E78</f>
        <v>0</v>
      </c>
      <c r="F100" s="109">
        <f t="shared" ref="F100:AH100" si="360">F65-F74-F78</f>
        <v>0</v>
      </c>
      <c r="G100" s="109">
        <f t="shared" si="360"/>
        <v>0</v>
      </c>
      <c r="H100" s="109">
        <f t="shared" si="360"/>
        <v>0</v>
      </c>
      <c r="I100" s="109">
        <f t="shared" si="360"/>
        <v>0</v>
      </c>
      <c r="J100" s="109">
        <f t="shared" si="360"/>
        <v>0</v>
      </c>
      <c r="K100" s="109">
        <f t="shared" si="360"/>
        <v>0</v>
      </c>
      <c r="L100" s="109">
        <f t="shared" si="360"/>
        <v>0</v>
      </c>
      <c r="M100" s="109">
        <f t="shared" si="360"/>
        <v>0</v>
      </c>
      <c r="N100" s="109">
        <f t="shared" si="360"/>
        <v>0</v>
      </c>
      <c r="O100" s="109">
        <f t="shared" si="360"/>
        <v>0</v>
      </c>
      <c r="P100" s="109">
        <f t="shared" si="360"/>
        <v>0</v>
      </c>
      <c r="Q100" s="109">
        <f t="shared" si="360"/>
        <v>0</v>
      </c>
      <c r="R100" s="109">
        <f t="shared" si="360"/>
        <v>0</v>
      </c>
      <c r="S100" s="331">
        <f t="shared" si="360"/>
        <v>0</v>
      </c>
      <c r="T100" s="228">
        <f t="shared" si="360"/>
        <v>0</v>
      </c>
      <c r="U100" s="109">
        <f t="shared" si="360"/>
        <v>0</v>
      </c>
      <c r="V100" s="109">
        <f t="shared" si="360"/>
        <v>0</v>
      </c>
      <c r="W100" s="109">
        <f t="shared" si="360"/>
        <v>0</v>
      </c>
      <c r="X100" s="109">
        <f t="shared" si="360"/>
        <v>0</v>
      </c>
      <c r="Y100" s="109">
        <f t="shared" si="360"/>
        <v>0</v>
      </c>
      <c r="Z100" s="109">
        <f t="shared" si="360"/>
        <v>0</v>
      </c>
      <c r="AA100" s="109">
        <f t="shared" si="360"/>
        <v>0</v>
      </c>
      <c r="AB100" s="109">
        <f t="shared" si="360"/>
        <v>0</v>
      </c>
      <c r="AC100" s="109">
        <f t="shared" si="360"/>
        <v>0</v>
      </c>
      <c r="AD100" s="109">
        <f t="shared" si="360"/>
        <v>0</v>
      </c>
      <c r="AE100" s="109">
        <f t="shared" si="360"/>
        <v>0</v>
      </c>
      <c r="AF100" s="109">
        <f t="shared" si="360"/>
        <v>0</v>
      </c>
      <c r="AG100" s="109">
        <f t="shared" si="360"/>
        <v>0</v>
      </c>
      <c r="AH100" s="109">
        <f t="shared" si="360"/>
        <v>0</v>
      </c>
    </row>
    <row r="101" spans="3:34" ht="15" x14ac:dyDescent="0.2">
      <c r="C101" s="345"/>
      <c r="D101" s="345"/>
      <c r="E101" s="345"/>
      <c r="F101" s="74"/>
      <c r="G101" s="74"/>
      <c r="H101" s="74"/>
      <c r="I101" s="74"/>
      <c r="J101" s="74"/>
      <c r="K101" s="74"/>
      <c r="L101" s="74"/>
      <c r="M101" s="74"/>
      <c r="N101" s="74"/>
      <c r="O101" s="74"/>
      <c r="P101" s="74"/>
      <c r="Q101" s="74"/>
      <c r="R101" s="74"/>
      <c r="S101" s="333"/>
      <c r="T101" s="74"/>
      <c r="U101" s="74"/>
      <c r="V101" s="74"/>
      <c r="W101" s="74"/>
      <c r="X101" s="74"/>
      <c r="Y101" s="74"/>
      <c r="Z101" s="74"/>
      <c r="AA101" s="74"/>
      <c r="AB101" s="74"/>
      <c r="AC101" s="74"/>
      <c r="AD101" s="74"/>
      <c r="AE101" s="74"/>
      <c r="AF101" s="74"/>
      <c r="AG101" s="74"/>
      <c r="AH101" s="74"/>
    </row>
    <row r="102" spans="3:34" ht="15" x14ac:dyDescent="0.2">
      <c r="C102" s="432" t="s">
        <v>2286</v>
      </c>
      <c r="D102" s="345"/>
      <c r="E102" s="345"/>
      <c r="F102" s="74"/>
      <c r="G102" s="74"/>
      <c r="H102" s="74"/>
      <c r="I102" s="74"/>
      <c r="J102" s="74"/>
      <c r="K102" s="74"/>
      <c r="L102" s="74"/>
      <c r="M102" s="74"/>
      <c r="N102" s="74"/>
      <c r="O102" s="74"/>
      <c r="P102" s="74"/>
      <c r="Q102" s="74"/>
      <c r="R102" s="74"/>
      <c r="S102" s="333"/>
      <c r="T102" s="74"/>
      <c r="U102" s="74"/>
      <c r="V102" s="74"/>
      <c r="W102" s="74"/>
      <c r="X102" s="74"/>
      <c r="Y102" s="74"/>
      <c r="Z102" s="74"/>
      <c r="AA102" s="74"/>
      <c r="AB102" s="74"/>
      <c r="AC102" s="74"/>
      <c r="AD102" s="74"/>
      <c r="AE102" s="74"/>
      <c r="AF102" s="74"/>
      <c r="AG102" s="74"/>
      <c r="AH102" s="74"/>
    </row>
    <row r="103" spans="3:34" ht="15" thickBot="1" x14ac:dyDescent="0.25">
      <c r="C103" s="1453" t="s">
        <v>2285</v>
      </c>
      <c r="D103" s="1453"/>
      <c r="E103" s="423">
        <f>IF(OR($E87="N/A",$E87=0),0,IF($E93="Yes",(E100*$E92*$E94),E100*$E92))</f>
        <v>0</v>
      </c>
      <c r="F103" s="423">
        <f t="shared" ref="F103:AH103" si="361">IF(OR($E87="N/A",$E87=0),0,IF($E93="Yes",(F100*$E92*$E94),F100*$E92))</f>
        <v>0</v>
      </c>
      <c r="G103" s="423">
        <f t="shared" si="361"/>
        <v>0</v>
      </c>
      <c r="H103" s="423">
        <f t="shared" si="361"/>
        <v>0</v>
      </c>
      <c r="I103" s="423">
        <f t="shared" si="361"/>
        <v>0</v>
      </c>
      <c r="J103" s="423">
        <f t="shared" si="361"/>
        <v>0</v>
      </c>
      <c r="K103" s="423">
        <f t="shared" si="361"/>
        <v>0</v>
      </c>
      <c r="L103" s="423">
        <f t="shared" si="361"/>
        <v>0</v>
      </c>
      <c r="M103" s="423">
        <f t="shared" si="361"/>
        <v>0</v>
      </c>
      <c r="N103" s="423">
        <f t="shared" si="361"/>
        <v>0</v>
      </c>
      <c r="O103" s="423">
        <f t="shared" si="361"/>
        <v>0</v>
      </c>
      <c r="P103" s="423">
        <f t="shared" si="361"/>
        <v>0</v>
      </c>
      <c r="Q103" s="423">
        <f t="shared" si="361"/>
        <v>0</v>
      </c>
      <c r="R103" s="423">
        <f t="shared" si="361"/>
        <v>0</v>
      </c>
      <c r="S103" s="441">
        <f t="shared" si="361"/>
        <v>0</v>
      </c>
      <c r="T103" s="434">
        <f t="shared" si="361"/>
        <v>0</v>
      </c>
      <c r="U103" s="423">
        <f t="shared" si="361"/>
        <v>0</v>
      </c>
      <c r="V103" s="423">
        <f t="shared" si="361"/>
        <v>0</v>
      </c>
      <c r="W103" s="423">
        <f t="shared" si="361"/>
        <v>0</v>
      </c>
      <c r="X103" s="423">
        <f t="shared" si="361"/>
        <v>0</v>
      </c>
      <c r="Y103" s="423">
        <f t="shared" si="361"/>
        <v>0</v>
      </c>
      <c r="Z103" s="423">
        <f t="shared" si="361"/>
        <v>0</v>
      </c>
      <c r="AA103" s="423">
        <f t="shared" si="361"/>
        <v>0</v>
      </c>
      <c r="AB103" s="423">
        <f t="shared" si="361"/>
        <v>0</v>
      </c>
      <c r="AC103" s="423">
        <f t="shared" si="361"/>
        <v>0</v>
      </c>
      <c r="AD103" s="423">
        <f t="shared" si="361"/>
        <v>0</v>
      </c>
      <c r="AE103" s="423">
        <f t="shared" si="361"/>
        <v>0</v>
      </c>
      <c r="AF103" s="423">
        <f t="shared" si="361"/>
        <v>0</v>
      </c>
      <c r="AG103" s="423">
        <f t="shared" si="361"/>
        <v>0</v>
      </c>
      <c r="AH103" s="423">
        <f t="shared" si="361"/>
        <v>0</v>
      </c>
    </row>
    <row r="104" spans="3:34" ht="15" thickTop="1" x14ac:dyDescent="0.2">
      <c r="C104" s="1449" t="s">
        <v>2189</v>
      </c>
      <c r="D104" s="1449"/>
      <c r="E104" s="316">
        <f>IF(OR($E87="N/A",E98&gt;$E90,E98&lt;$E91),0,MAX(0,E87))</f>
        <v>0</v>
      </c>
      <c r="F104" s="316">
        <f t="shared" ref="F104" si="362">IF(OR($E87="N/A",F98&gt;$E90),0,IF(F98=$E91,$E87,MAX(E110,0)))</f>
        <v>0</v>
      </c>
      <c r="G104" s="316">
        <f t="shared" ref="G104" si="363">IF(OR($E87="N/A",G98&gt;$E90),0,IF(G98=$E91,$E87,MAX(F110,0)))</f>
        <v>0</v>
      </c>
      <c r="H104" s="316">
        <f t="shared" ref="H104" si="364">IF(OR($E87="N/A",H98&gt;$E90),0,IF(H98=$E91,$E87,MAX(G110,0)))</f>
        <v>0</v>
      </c>
      <c r="I104" s="316">
        <f t="shared" ref="I104" si="365">IF(OR($E87="N/A",I98&gt;$E90),0,IF(I98=$E91,$E87,MAX(H110,0)))</f>
        <v>0</v>
      </c>
      <c r="J104" s="316">
        <f t="shared" ref="J104" si="366">IF(OR($E87="N/A",J98&gt;$E90),0,IF(J98=$E91,$E87,MAX(I110,0)))</f>
        <v>0</v>
      </c>
      <c r="K104" s="316">
        <f t="shared" ref="K104" si="367">IF(OR($E87="N/A",K98&gt;$E90),0,IF(K98=$E91,$E87,MAX(J110,0)))</f>
        <v>0</v>
      </c>
      <c r="L104" s="316">
        <f t="shared" ref="L104" si="368">IF(OR($E87="N/A",L98&gt;$E90),0,IF(L98=$E91,$E87,MAX(K110,0)))</f>
        <v>0</v>
      </c>
      <c r="M104" s="316">
        <f t="shared" ref="M104" si="369">IF(OR($E87="N/A",M98&gt;$E90),0,IF(M98=$E91,$E87,MAX(L110,0)))</f>
        <v>0</v>
      </c>
      <c r="N104" s="316">
        <f t="shared" ref="N104" si="370">IF(OR($E87="N/A",N98&gt;$E90),0,IF(N98=$E91,$E87,MAX(M110,0)))</f>
        <v>0</v>
      </c>
      <c r="O104" s="316">
        <f t="shared" ref="O104" si="371">IF(OR($E87="N/A",O98&gt;$E90),0,IF(O98=$E91,$E87,MAX(N110,0)))</f>
        <v>0</v>
      </c>
      <c r="P104" s="316">
        <f t="shared" ref="P104" si="372">IF(OR($E87="N/A",P98&gt;$E90),0,IF(P98=$E91,$E87,MAX(O110,0)))</f>
        <v>0</v>
      </c>
      <c r="Q104" s="316">
        <f t="shared" ref="Q104" si="373">IF(OR($E87="N/A",Q98&gt;$E90),0,IF(Q98=$E91,$E87,MAX(P110,0)))</f>
        <v>0</v>
      </c>
      <c r="R104" s="316">
        <f t="shared" ref="R104" si="374">IF(OR($E87="N/A",R98&gt;$E90),0,IF(R98=$E91,$E87,MAX(Q110,0)))</f>
        <v>0</v>
      </c>
      <c r="S104" s="332">
        <f t="shared" ref="S104" si="375">IF(OR($E87="N/A",S98&gt;$E90),0,IF(S98=$E91,$E87,MAX(R110,0)))</f>
        <v>0</v>
      </c>
      <c r="T104" s="429">
        <f t="shared" ref="T104" si="376">IF(OR($E87="N/A",T98&gt;$E90),0,IF(T98=$E91,$E87,MAX(S110,0)))</f>
        <v>0</v>
      </c>
      <c r="U104" s="316">
        <f t="shared" ref="U104" si="377">IF(OR($E87="N/A",U98&gt;$E90),0,IF(U98=$E91,$E87,MAX(T110,0)))</f>
        <v>0</v>
      </c>
      <c r="V104" s="316">
        <f t="shared" ref="V104" si="378">IF(OR($E87="N/A",V98&gt;$E90),0,IF(V98=$E91,$E87,MAX(U110,0)))</f>
        <v>0</v>
      </c>
      <c r="W104" s="316">
        <f t="shared" ref="W104" si="379">IF(OR($E87="N/A",W98&gt;$E90),0,IF(W98=$E91,$E87,MAX(V110,0)))</f>
        <v>0</v>
      </c>
      <c r="X104" s="316">
        <f t="shared" ref="X104" si="380">IF(OR($E87="N/A",X98&gt;$E90),0,IF(X98=$E91,$E87,MAX(W110,0)))</f>
        <v>0</v>
      </c>
      <c r="Y104" s="316">
        <f t="shared" ref="Y104" si="381">IF(OR($E87="N/A",Y98&gt;$E90),0,IF(Y98=$E91,$E87,MAX(X110,0)))</f>
        <v>0</v>
      </c>
      <c r="Z104" s="316">
        <f t="shared" ref="Z104" si="382">IF(OR($E87="N/A",Z98&gt;$E90),0,IF(Z98=$E91,$E87,MAX(Y110,0)))</f>
        <v>0</v>
      </c>
      <c r="AA104" s="316">
        <f t="shared" ref="AA104" si="383">IF(OR($E87="N/A",AA98&gt;$E90),0,IF(AA98=$E91,$E87,MAX(Z110,0)))</f>
        <v>0</v>
      </c>
      <c r="AB104" s="316">
        <f t="shared" ref="AB104" si="384">IF(OR($E87="N/A",AB98&gt;$E90),0,IF(AB98=$E91,$E87,MAX(AA110,0)))</f>
        <v>0</v>
      </c>
      <c r="AC104" s="316">
        <f t="shared" ref="AC104" si="385">IF(OR($E87="N/A",AC98&gt;$E90),0,IF(AC98=$E91,$E87,MAX(AB110,0)))</f>
        <v>0</v>
      </c>
      <c r="AD104" s="316">
        <f t="shared" ref="AD104" si="386">IF(OR($E87="N/A",AD98&gt;$E90),0,IF(AD98=$E91,$E87,MAX(AC110,0)))</f>
        <v>0</v>
      </c>
      <c r="AE104" s="316">
        <f t="shared" ref="AE104" si="387">IF(OR($E87="N/A",AE98&gt;$E90),0,IF(AE98=$E91,$E87,MAX(AD110,0)))</f>
        <v>0</v>
      </c>
      <c r="AF104" s="316">
        <f t="shared" ref="AF104" si="388">IF(OR($E87="N/A",AF98&gt;$E90),0,IF(AF98=$E91,$E87,MAX(AE110,0)))</f>
        <v>0</v>
      </c>
      <c r="AG104" s="316">
        <f t="shared" ref="AG104" si="389">IF(OR($E87="N/A",AG98&gt;$E90),0,IF(AG98=$E91,$E87,MAX(AF110,0)))</f>
        <v>0</v>
      </c>
      <c r="AH104" s="316">
        <f t="shared" ref="AH104" si="390">IF(OR($E87="N/A",AH98&gt;$E90),0,IF(AH98=$E91,$E87,MAX(AG110,0)))</f>
        <v>0</v>
      </c>
    </row>
    <row r="105" spans="3:34" x14ac:dyDescent="0.2">
      <c r="C105" s="1181" t="s">
        <v>2186</v>
      </c>
      <c r="D105" s="1181"/>
      <c r="E105" s="109">
        <f t="shared" ref="E105:AH105" si="391">IF(OR($E87="N/A",E98&gt;$E90,E98&lt;$E91),0,E104*$E88)</f>
        <v>0</v>
      </c>
      <c r="F105" s="109">
        <f t="shared" si="391"/>
        <v>0</v>
      </c>
      <c r="G105" s="109">
        <f t="shared" si="391"/>
        <v>0</v>
      </c>
      <c r="H105" s="109">
        <f t="shared" si="391"/>
        <v>0</v>
      </c>
      <c r="I105" s="109">
        <f t="shared" si="391"/>
        <v>0</v>
      </c>
      <c r="J105" s="109">
        <f t="shared" si="391"/>
        <v>0</v>
      </c>
      <c r="K105" s="109">
        <f t="shared" si="391"/>
        <v>0</v>
      </c>
      <c r="L105" s="109">
        <f t="shared" si="391"/>
        <v>0</v>
      </c>
      <c r="M105" s="109">
        <f t="shared" si="391"/>
        <v>0</v>
      </c>
      <c r="N105" s="109">
        <f t="shared" si="391"/>
        <v>0</v>
      </c>
      <c r="O105" s="109">
        <f t="shared" si="391"/>
        <v>0</v>
      </c>
      <c r="P105" s="109">
        <f t="shared" si="391"/>
        <v>0</v>
      </c>
      <c r="Q105" s="109">
        <f t="shared" si="391"/>
        <v>0</v>
      </c>
      <c r="R105" s="109">
        <f t="shared" si="391"/>
        <v>0</v>
      </c>
      <c r="S105" s="331">
        <f t="shared" si="391"/>
        <v>0</v>
      </c>
      <c r="T105" s="228">
        <f t="shared" si="391"/>
        <v>0</v>
      </c>
      <c r="U105" s="109">
        <f t="shared" si="391"/>
        <v>0</v>
      </c>
      <c r="V105" s="109">
        <f t="shared" si="391"/>
        <v>0</v>
      </c>
      <c r="W105" s="109">
        <f t="shared" si="391"/>
        <v>0</v>
      </c>
      <c r="X105" s="109">
        <f t="shared" si="391"/>
        <v>0</v>
      </c>
      <c r="Y105" s="109">
        <f t="shared" si="391"/>
        <v>0</v>
      </c>
      <c r="Z105" s="109">
        <f t="shared" si="391"/>
        <v>0</v>
      </c>
      <c r="AA105" s="109">
        <f t="shared" si="391"/>
        <v>0</v>
      </c>
      <c r="AB105" s="109">
        <f t="shared" si="391"/>
        <v>0</v>
      </c>
      <c r="AC105" s="109">
        <f t="shared" si="391"/>
        <v>0</v>
      </c>
      <c r="AD105" s="109">
        <f t="shared" si="391"/>
        <v>0</v>
      </c>
      <c r="AE105" s="109">
        <f t="shared" si="391"/>
        <v>0</v>
      </c>
      <c r="AF105" s="109">
        <f t="shared" si="391"/>
        <v>0</v>
      </c>
      <c r="AG105" s="109">
        <f t="shared" si="391"/>
        <v>0</v>
      </c>
      <c r="AH105" s="109">
        <f t="shared" si="391"/>
        <v>0</v>
      </c>
    </row>
    <row r="106" spans="3:34" x14ac:dyDescent="0.2">
      <c r="C106" s="1181" t="s">
        <v>2270</v>
      </c>
      <c r="D106" s="1181"/>
      <c r="E106" s="346">
        <f t="shared" ref="E106:AH106" si="392">IF(OR($E87="N/A",E98&gt;$E90,E98&lt;$E91),0,MAX(0,MIN(E105,E103)))</f>
        <v>0</v>
      </c>
      <c r="F106" s="346">
        <f t="shared" si="392"/>
        <v>0</v>
      </c>
      <c r="G106" s="346">
        <f t="shared" si="392"/>
        <v>0</v>
      </c>
      <c r="H106" s="346">
        <f t="shared" si="392"/>
        <v>0</v>
      </c>
      <c r="I106" s="346">
        <f t="shared" si="392"/>
        <v>0</v>
      </c>
      <c r="J106" s="346">
        <f t="shared" si="392"/>
        <v>0</v>
      </c>
      <c r="K106" s="346">
        <f t="shared" si="392"/>
        <v>0</v>
      </c>
      <c r="L106" s="346">
        <f t="shared" si="392"/>
        <v>0</v>
      </c>
      <c r="M106" s="346">
        <f t="shared" si="392"/>
        <v>0</v>
      </c>
      <c r="N106" s="346">
        <f t="shared" si="392"/>
        <v>0</v>
      </c>
      <c r="O106" s="346">
        <f t="shared" si="392"/>
        <v>0</v>
      </c>
      <c r="P106" s="346">
        <f t="shared" si="392"/>
        <v>0</v>
      </c>
      <c r="Q106" s="346">
        <f t="shared" si="392"/>
        <v>0</v>
      </c>
      <c r="R106" s="346">
        <f t="shared" si="392"/>
        <v>0</v>
      </c>
      <c r="S106" s="442">
        <f t="shared" si="392"/>
        <v>0</v>
      </c>
      <c r="T106" s="435">
        <f t="shared" si="392"/>
        <v>0</v>
      </c>
      <c r="U106" s="346">
        <f t="shared" si="392"/>
        <v>0</v>
      </c>
      <c r="V106" s="346">
        <f t="shared" si="392"/>
        <v>0</v>
      </c>
      <c r="W106" s="346">
        <f t="shared" si="392"/>
        <v>0</v>
      </c>
      <c r="X106" s="346">
        <f t="shared" si="392"/>
        <v>0</v>
      </c>
      <c r="Y106" s="346">
        <f t="shared" si="392"/>
        <v>0</v>
      </c>
      <c r="Z106" s="346">
        <f t="shared" si="392"/>
        <v>0</v>
      </c>
      <c r="AA106" s="346">
        <f t="shared" si="392"/>
        <v>0</v>
      </c>
      <c r="AB106" s="346">
        <f t="shared" si="392"/>
        <v>0</v>
      </c>
      <c r="AC106" s="346">
        <f t="shared" si="392"/>
        <v>0</v>
      </c>
      <c r="AD106" s="346">
        <f t="shared" si="392"/>
        <v>0</v>
      </c>
      <c r="AE106" s="346">
        <f t="shared" si="392"/>
        <v>0</v>
      </c>
      <c r="AF106" s="346">
        <f t="shared" si="392"/>
        <v>0</v>
      </c>
      <c r="AG106" s="346">
        <f t="shared" si="392"/>
        <v>0</v>
      </c>
      <c r="AH106" s="346">
        <f t="shared" si="392"/>
        <v>0</v>
      </c>
    </row>
    <row r="107" spans="3:34" x14ac:dyDescent="0.2">
      <c r="C107" s="1181" t="s">
        <v>2271</v>
      </c>
      <c r="D107" s="1181"/>
      <c r="E107" s="346">
        <f t="shared" ref="E107:AH107" si="393">IF(OR($E87="N/A",E98&gt;$E90,E98&lt;$E91),0,E106-E105)</f>
        <v>0</v>
      </c>
      <c r="F107" s="346">
        <f t="shared" si="393"/>
        <v>0</v>
      </c>
      <c r="G107" s="346">
        <f t="shared" si="393"/>
        <v>0</v>
      </c>
      <c r="H107" s="346">
        <f t="shared" si="393"/>
        <v>0</v>
      </c>
      <c r="I107" s="346">
        <f t="shared" si="393"/>
        <v>0</v>
      </c>
      <c r="J107" s="346">
        <f t="shared" si="393"/>
        <v>0</v>
      </c>
      <c r="K107" s="346">
        <f t="shared" si="393"/>
        <v>0</v>
      </c>
      <c r="L107" s="346">
        <f t="shared" si="393"/>
        <v>0</v>
      </c>
      <c r="M107" s="346">
        <f t="shared" si="393"/>
        <v>0</v>
      </c>
      <c r="N107" s="346">
        <f t="shared" si="393"/>
        <v>0</v>
      </c>
      <c r="O107" s="346">
        <f t="shared" si="393"/>
        <v>0</v>
      </c>
      <c r="P107" s="346">
        <f t="shared" si="393"/>
        <v>0</v>
      </c>
      <c r="Q107" s="346">
        <f t="shared" si="393"/>
        <v>0</v>
      </c>
      <c r="R107" s="346">
        <f t="shared" si="393"/>
        <v>0</v>
      </c>
      <c r="S107" s="442">
        <f t="shared" si="393"/>
        <v>0</v>
      </c>
      <c r="T107" s="435">
        <f t="shared" si="393"/>
        <v>0</v>
      </c>
      <c r="U107" s="346">
        <f t="shared" si="393"/>
        <v>0</v>
      </c>
      <c r="V107" s="346">
        <f t="shared" si="393"/>
        <v>0</v>
      </c>
      <c r="W107" s="346">
        <f t="shared" si="393"/>
        <v>0</v>
      </c>
      <c r="X107" s="346">
        <f t="shared" si="393"/>
        <v>0</v>
      </c>
      <c r="Y107" s="346">
        <f t="shared" si="393"/>
        <v>0</v>
      </c>
      <c r="Z107" s="346">
        <f t="shared" si="393"/>
        <v>0</v>
      </c>
      <c r="AA107" s="346">
        <f t="shared" si="393"/>
        <v>0</v>
      </c>
      <c r="AB107" s="346">
        <f t="shared" si="393"/>
        <v>0</v>
      </c>
      <c r="AC107" s="346">
        <f t="shared" si="393"/>
        <v>0</v>
      </c>
      <c r="AD107" s="346">
        <f t="shared" si="393"/>
        <v>0</v>
      </c>
      <c r="AE107" s="346">
        <f t="shared" si="393"/>
        <v>0</v>
      </c>
      <c r="AF107" s="346">
        <f t="shared" si="393"/>
        <v>0</v>
      </c>
      <c r="AG107" s="346">
        <f t="shared" si="393"/>
        <v>0</v>
      </c>
      <c r="AH107" s="346">
        <f t="shared" si="393"/>
        <v>0</v>
      </c>
    </row>
    <row r="108" spans="3:34" ht="15" thickBot="1" x14ac:dyDescent="0.25">
      <c r="C108" s="1448" t="s">
        <v>2272</v>
      </c>
      <c r="D108" s="1448"/>
      <c r="E108" s="411">
        <f>IF(OR($E87="N/A",E98&gt;$E90,E98&lt;$E91),0,MAX(0,MIN(E103-E106,E104)))</f>
        <v>0</v>
      </c>
      <c r="F108" s="411">
        <f>IF(OR($E87="N/A",F98&gt;$E90,F98&lt;$E91),0,MAX(0,MIN(F103-F106,F104)))</f>
        <v>0</v>
      </c>
      <c r="G108" s="411">
        <f t="shared" ref="G108:AH108" si="394">IF(OR($E87="N/A",G98&gt;$E90,G98&lt;$E91),0,MAX(0,MIN(G103-G106,G104)))</f>
        <v>0</v>
      </c>
      <c r="H108" s="411">
        <f t="shared" si="394"/>
        <v>0</v>
      </c>
      <c r="I108" s="411">
        <f t="shared" si="394"/>
        <v>0</v>
      </c>
      <c r="J108" s="411">
        <f t="shared" si="394"/>
        <v>0</v>
      </c>
      <c r="K108" s="411">
        <f t="shared" si="394"/>
        <v>0</v>
      </c>
      <c r="L108" s="411">
        <f t="shared" si="394"/>
        <v>0</v>
      </c>
      <c r="M108" s="411">
        <f t="shared" si="394"/>
        <v>0</v>
      </c>
      <c r="N108" s="411">
        <f t="shared" si="394"/>
        <v>0</v>
      </c>
      <c r="O108" s="411">
        <f t="shared" si="394"/>
        <v>0</v>
      </c>
      <c r="P108" s="411">
        <f t="shared" si="394"/>
        <v>0</v>
      </c>
      <c r="Q108" s="411">
        <f t="shared" si="394"/>
        <v>0</v>
      </c>
      <c r="R108" s="411">
        <f t="shared" si="394"/>
        <v>0</v>
      </c>
      <c r="S108" s="443">
        <f t="shared" si="394"/>
        <v>0</v>
      </c>
      <c r="T108" s="431">
        <f t="shared" si="394"/>
        <v>0</v>
      </c>
      <c r="U108" s="411">
        <f t="shared" si="394"/>
        <v>0</v>
      </c>
      <c r="V108" s="411">
        <f t="shared" si="394"/>
        <v>0</v>
      </c>
      <c r="W108" s="411">
        <f t="shared" si="394"/>
        <v>0</v>
      </c>
      <c r="X108" s="411">
        <f t="shared" si="394"/>
        <v>0</v>
      </c>
      <c r="Y108" s="411">
        <f t="shared" si="394"/>
        <v>0</v>
      </c>
      <c r="Z108" s="411">
        <f t="shared" si="394"/>
        <v>0</v>
      </c>
      <c r="AA108" s="411">
        <f t="shared" si="394"/>
        <v>0</v>
      </c>
      <c r="AB108" s="411">
        <f t="shared" si="394"/>
        <v>0</v>
      </c>
      <c r="AC108" s="411">
        <f t="shared" si="394"/>
        <v>0</v>
      </c>
      <c r="AD108" s="411">
        <f t="shared" si="394"/>
        <v>0</v>
      </c>
      <c r="AE108" s="411">
        <f t="shared" si="394"/>
        <v>0</v>
      </c>
      <c r="AF108" s="411">
        <f t="shared" si="394"/>
        <v>0</v>
      </c>
      <c r="AG108" s="411">
        <f t="shared" si="394"/>
        <v>0</v>
      </c>
      <c r="AH108" s="411">
        <f t="shared" si="394"/>
        <v>0</v>
      </c>
    </row>
    <row r="109" spans="3:34" ht="15" thickTop="1" x14ac:dyDescent="0.2">
      <c r="C109" s="1449" t="s">
        <v>2282</v>
      </c>
      <c r="D109" s="1449"/>
      <c r="E109" s="430">
        <f>SUM(E106,E108)</f>
        <v>0</v>
      </c>
      <c r="F109" s="430">
        <f>SUM(F106,F108)</f>
        <v>0</v>
      </c>
      <c r="G109" s="430">
        <f t="shared" ref="G109" si="395">SUM(G106,G108)</f>
        <v>0</v>
      </c>
      <c r="H109" s="430">
        <f t="shared" ref="H109" si="396">SUM(H106,H108)</f>
        <v>0</v>
      </c>
      <c r="I109" s="430">
        <f t="shared" ref="I109" si="397">SUM(I106,I108)</f>
        <v>0</v>
      </c>
      <c r="J109" s="430">
        <f t="shared" ref="J109" si="398">SUM(J106,J108)</f>
        <v>0</v>
      </c>
      <c r="K109" s="430">
        <f t="shared" ref="K109" si="399">SUM(K106,K108)</f>
        <v>0</v>
      </c>
      <c r="L109" s="430">
        <f t="shared" ref="L109" si="400">SUM(L106,L108)</f>
        <v>0</v>
      </c>
      <c r="M109" s="430">
        <f t="shared" ref="M109" si="401">SUM(M106,M108)</f>
        <v>0</v>
      </c>
      <c r="N109" s="430">
        <f t="shared" ref="N109" si="402">SUM(N106,N108)</f>
        <v>0</v>
      </c>
      <c r="O109" s="430">
        <f t="shared" ref="O109" si="403">SUM(O106,O108)</f>
        <v>0</v>
      </c>
      <c r="P109" s="430">
        <f t="shared" ref="P109" si="404">SUM(P106,P108)</f>
        <v>0</v>
      </c>
      <c r="Q109" s="430">
        <f t="shared" ref="Q109" si="405">SUM(Q106,Q108)</f>
        <v>0</v>
      </c>
      <c r="R109" s="430">
        <f t="shared" ref="R109" si="406">SUM(R106,R108)</f>
        <v>0</v>
      </c>
      <c r="S109" s="444">
        <f t="shared" ref="S109" si="407">SUM(S106,S108)</f>
        <v>0</v>
      </c>
      <c r="T109" s="436">
        <f t="shared" ref="T109" si="408">SUM(T106,T108)</f>
        <v>0</v>
      </c>
      <c r="U109" s="430">
        <f t="shared" ref="U109" si="409">SUM(U106,U108)</f>
        <v>0</v>
      </c>
      <c r="V109" s="430">
        <f t="shared" ref="V109" si="410">SUM(V106,V108)</f>
        <v>0</v>
      </c>
      <c r="W109" s="430">
        <f t="shared" ref="W109" si="411">SUM(W106,W108)</f>
        <v>0</v>
      </c>
      <c r="X109" s="430">
        <f t="shared" ref="X109" si="412">SUM(X106,X108)</f>
        <v>0</v>
      </c>
      <c r="Y109" s="430">
        <f t="shared" ref="Y109" si="413">SUM(Y106,Y108)</f>
        <v>0</v>
      </c>
      <c r="Z109" s="430">
        <f t="shared" ref="Z109" si="414">SUM(Z106,Z108)</f>
        <v>0</v>
      </c>
      <c r="AA109" s="430">
        <f t="shared" ref="AA109" si="415">SUM(AA106,AA108)</f>
        <v>0</v>
      </c>
      <c r="AB109" s="430">
        <f t="shared" ref="AB109" si="416">SUM(AB106,AB108)</f>
        <v>0</v>
      </c>
      <c r="AC109" s="430">
        <f t="shared" ref="AC109" si="417">SUM(AC106,AC108)</f>
        <v>0</v>
      </c>
      <c r="AD109" s="430">
        <f t="shared" ref="AD109" si="418">SUM(AD106,AD108)</f>
        <v>0</v>
      </c>
      <c r="AE109" s="430">
        <f t="shared" ref="AE109" si="419">SUM(AE106,AE108)</f>
        <v>0</v>
      </c>
      <c r="AF109" s="430">
        <f t="shared" ref="AF109" si="420">SUM(AF106,AF108)</f>
        <v>0</v>
      </c>
      <c r="AG109" s="430">
        <f t="shared" ref="AG109" si="421">SUM(AG106,AG108)</f>
        <v>0</v>
      </c>
      <c r="AH109" s="430">
        <f t="shared" ref="AH109" si="422">SUM(AH106,AH108)</f>
        <v>0</v>
      </c>
    </row>
    <row r="110" spans="3:34" x14ac:dyDescent="0.2">
      <c r="C110" s="1181" t="s">
        <v>2190</v>
      </c>
      <c r="D110" s="1181"/>
      <c r="E110" s="342">
        <f>IF(OR($E87="N/A",E98&gt;$E90,E98&lt;$E91),0,IF($E89="Compound",E104-E108-E107,MAX(0,E104-E108)))</f>
        <v>0</v>
      </c>
      <c r="F110" s="342">
        <f>IF(OR($E87="N/A",F98&gt;$E90,F98&lt;$E91),0,IF($E89="Compound",F104-F108-F107,MAX(0,F104-F108)))</f>
        <v>0</v>
      </c>
      <c r="G110" s="342">
        <f t="shared" ref="G110:AH110" si="423">IF(OR($E87="N/A",G98&gt;$E90,G98&lt;$E91),0,IF($E89="Compound",G104-G108-G107,MAX(0,G104-G108)))</f>
        <v>0</v>
      </c>
      <c r="H110" s="342">
        <f t="shared" si="423"/>
        <v>0</v>
      </c>
      <c r="I110" s="342">
        <f t="shared" si="423"/>
        <v>0</v>
      </c>
      <c r="J110" s="342">
        <f t="shared" si="423"/>
        <v>0</v>
      </c>
      <c r="K110" s="342">
        <f t="shared" si="423"/>
        <v>0</v>
      </c>
      <c r="L110" s="342">
        <f t="shared" si="423"/>
        <v>0</v>
      </c>
      <c r="M110" s="342">
        <f t="shared" si="423"/>
        <v>0</v>
      </c>
      <c r="N110" s="342">
        <f t="shared" si="423"/>
        <v>0</v>
      </c>
      <c r="O110" s="342">
        <f t="shared" si="423"/>
        <v>0</v>
      </c>
      <c r="P110" s="342">
        <f t="shared" si="423"/>
        <v>0</v>
      </c>
      <c r="Q110" s="342">
        <f t="shared" si="423"/>
        <v>0</v>
      </c>
      <c r="R110" s="342">
        <f t="shared" si="423"/>
        <v>0</v>
      </c>
      <c r="S110" s="445">
        <f t="shared" si="423"/>
        <v>0</v>
      </c>
      <c r="T110" s="437">
        <f t="shared" si="423"/>
        <v>0</v>
      </c>
      <c r="U110" s="342">
        <f t="shared" si="423"/>
        <v>0</v>
      </c>
      <c r="V110" s="342">
        <f t="shared" si="423"/>
        <v>0</v>
      </c>
      <c r="W110" s="342">
        <f t="shared" si="423"/>
        <v>0</v>
      </c>
      <c r="X110" s="342">
        <f t="shared" si="423"/>
        <v>0</v>
      </c>
      <c r="Y110" s="342">
        <f t="shared" si="423"/>
        <v>0</v>
      </c>
      <c r="Z110" s="342">
        <f t="shared" si="423"/>
        <v>0</v>
      </c>
      <c r="AA110" s="342">
        <f t="shared" si="423"/>
        <v>0</v>
      </c>
      <c r="AB110" s="342">
        <f t="shared" si="423"/>
        <v>0</v>
      </c>
      <c r="AC110" s="342">
        <f t="shared" si="423"/>
        <v>0</v>
      </c>
      <c r="AD110" s="342">
        <f t="shared" si="423"/>
        <v>0</v>
      </c>
      <c r="AE110" s="342">
        <f t="shared" si="423"/>
        <v>0</v>
      </c>
      <c r="AF110" s="342">
        <f t="shared" si="423"/>
        <v>0</v>
      </c>
      <c r="AG110" s="342">
        <f t="shared" si="423"/>
        <v>0</v>
      </c>
      <c r="AH110" s="342">
        <f t="shared" si="423"/>
        <v>0</v>
      </c>
    </row>
    <row r="111" spans="3:34" x14ac:dyDescent="0.2">
      <c r="C111" s="317"/>
      <c r="D111" s="317"/>
      <c r="E111" s="74"/>
      <c r="F111" s="74"/>
      <c r="G111" s="74"/>
      <c r="H111" s="74"/>
      <c r="I111" s="74"/>
      <c r="J111" s="74"/>
      <c r="K111" s="74"/>
      <c r="L111" s="74"/>
      <c r="M111" s="74"/>
      <c r="N111" s="74"/>
      <c r="O111" s="74"/>
      <c r="P111" s="74"/>
      <c r="Q111" s="74"/>
      <c r="R111" s="74"/>
      <c r="S111" s="333"/>
      <c r="T111" s="74"/>
      <c r="U111" s="74"/>
      <c r="V111" s="74"/>
      <c r="W111" s="74"/>
      <c r="X111" s="74"/>
      <c r="Y111" s="74"/>
      <c r="Z111" s="74"/>
      <c r="AA111" s="74"/>
      <c r="AB111" s="74"/>
      <c r="AC111" s="74"/>
      <c r="AD111" s="74"/>
      <c r="AE111" s="74"/>
      <c r="AF111" s="74"/>
      <c r="AG111" s="74"/>
      <c r="AH111" s="74"/>
    </row>
    <row r="112" spans="3:34" ht="15" x14ac:dyDescent="0.2">
      <c r="C112" s="432" t="s">
        <v>2287</v>
      </c>
      <c r="D112" s="317"/>
      <c r="E112" s="74"/>
      <c r="F112" s="74"/>
      <c r="G112" s="74"/>
      <c r="H112" s="74"/>
      <c r="I112" s="74"/>
      <c r="J112" s="74"/>
      <c r="K112" s="74"/>
      <c r="L112" s="74"/>
      <c r="M112" s="74"/>
      <c r="N112" s="74"/>
      <c r="O112" s="74"/>
      <c r="P112" s="74"/>
      <c r="Q112" s="74"/>
      <c r="R112" s="74"/>
      <c r="S112" s="333"/>
      <c r="T112" s="74"/>
      <c r="U112" s="74"/>
      <c r="V112" s="74"/>
      <c r="W112" s="74"/>
      <c r="X112" s="74"/>
      <c r="Y112" s="74"/>
      <c r="Z112" s="74"/>
      <c r="AA112" s="74"/>
      <c r="AB112" s="74"/>
      <c r="AC112" s="74"/>
      <c r="AD112" s="74"/>
      <c r="AE112" s="74"/>
      <c r="AF112" s="74"/>
      <c r="AG112" s="74"/>
      <c r="AH112" s="74"/>
    </row>
    <row r="113" spans="3:34" x14ac:dyDescent="0.2">
      <c r="C113" s="1234" t="s">
        <v>2273</v>
      </c>
      <c r="D113" s="1234"/>
      <c r="E113" s="421">
        <f>IF($I87="N/A",0,IF(E98&gt;$I92,0,MIN($I91,$I87*$I89)))</f>
        <v>0</v>
      </c>
      <c r="F113" s="236">
        <f t="shared" ref="F113" si="424">IF($I87="N/A",0,IF(F98&gt;$I92,0,MIN($I91,$I87*$I89*(1+$I88)^E$63)))</f>
        <v>0</v>
      </c>
      <c r="G113" s="236">
        <f t="shared" ref="G113" si="425">IF($I87="N/A",0,IF(G98&gt;$I92,0,MIN($I91,$I87*$I89*(1+$I88)^F$63)))</f>
        <v>0</v>
      </c>
      <c r="H113" s="236">
        <f t="shared" ref="H113" si="426">IF($I87="N/A",0,IF(H98&gt;$I92,0,MIN($I91,$I87*$I89*(1+$I88)^G$63)))</f>
        <v>0</v>
      </c>
      <c r="I113" s="236">
        <f t="shared" ref="I113" si="427">IF($I87="N/A",0,IF(I98&gt;$I92,0,MIN($I91,$I87*$I89*(1+$I88)^H$63)))</f>
        <v>0</v>
      </c>
      <c r="J113" s="236">
        <f t="shared" ref="J113" si="428">IF($I87="N/A",0,IF(J98&gt;$I92,0,MIN($I91,$I87*$I89*(1+$I88)^I$63)))</f>
        <v>0</v>
      </c>
      <c r="K113" s="236">
        <f t="shared" ref="K113" si="429">IF($I87="N/A",0,IF(K98&gt;$I92,0,MIN($I91,$I87*$I89*(1+$I88)^J$63)))</f>
        <v>0</v>
      </c>
      <c r="L113" s="236">
        <f t="shared" ref="L113" si="430">IF($I87="N/A",0,IF(L98&gt;$I92,0,MIN($I91,$I87*$I89*(1+$I88)^K$63)))</f>
        <v>0</v>
      </c>
      <c r="M113" s="236">
        <f t="shared" ref="M113" si="431">IF($I87="N/A",0,IF(M98&gt;$I92,0,MIN($I91,$I87*$I89*(1+$I88)^L$63)))</f>
        <v>0</v>
      </c>
      <c r="N113" s="236">
        <f t="shared" ref="N113" si="432">IF($I87="N/A",0,IF(N98&gt;$I92,0,MIN($I91,$I87*$I89*(1+$I88)^M$63)))</f>
        <v>0</v>
      </c>
      <c r="O113" s="236">
        <f t="shared" ref="O113" si="433">IF($I87="N/A",0,IF(O98&gt;$I92,0,MIN($I91,$I87*$I89*(1+$I88)^N$63)))</f>
        <v>0</v>
      </c>
      <c r="P113" s="236">
        <f t="shared" ref="P113" si="434">IF($I87="N/A",0,IF(P98&gt;$I92,0,MIN($I91,$I87*$I89*(1+$I88)^O$63)))</f>
        <v>0</v>
      </c>
      <c r="Q113" s="236">
        <f t="shared" ref="Q113" si="435">IF($I87="N/A",0,IF(Q98&gt;$I92,0,MIN($I91,$I87*$I89*(1+$I88)^P$63)))</f>
        <v>0</v>
      </c>
      <c r="R113" s="236">
        <f t="shared" ref="R113" si="436">IF($I87="N/A",0,IF(R98&gt;$I92,0,MIN($I91,$I87*$I89*(1+$I88)^Q$63)))</f>
        <v>0</v>
      </c>
      <c r="S113" s="446">
        <f t="shared" ref="S113" si="437">IF($I87="N/A",0,IF(S98&gt;$I92,0,MIN($I91,$I87*$I89*(1+$I88)^R$63)))</f>
        <v>0</v>
      </c>
      <c r="T113" s="438">
        <f t="shared" ref="T113" si="438">IF($I87="N/A",0,IF(T98&gt;$I92,0,MIN($I91,$I87*$I89*(1+$I88)^S$63)))</f>
        <v>0</v>
      </c>
      <c r="U113" s="236">
        <f t="shared" ref="U113" si="439">IF($I87="N/A",0,IF(U98&gt;$I92,0,MIN($I91,$I87*$I89*(1+$I88)^T$63)))</f>
        <v>0</v>
      </c>
      <c r="V113" s="236">
        <f t="shared" ref="V113" si="440">IF($I87="N/A",0,IF(V98&gt;$I92,0,MIN($I91,$I87*$I89*(1+$I88)^U$63)))</f>
        <v>0</v>
      </c>
      <c r="W113" s="236">
        <f t="shared" ref="W113" si="441">IF($I87="N/A",0,IF(W98&gt;$I92,0,MIN($I91,$I87*$I89*(1+$I88)^V$63)))</f>
        <v>0</v>
      </c>
      <c r="X113" s="236">
        <f t="shared" ref="X113" si="442">IF($I87="N/A",0,IF(X98&gt;$I92,0,MIN($I91,$I87*$I89*(1+$I88)^W$63)))</f>
        <v>0</v>
      </c>
      <c r="Y113" s="236">
        <f t="shared" ref="Y113" si="443">IF($I87="N/A",0,IF(Y98&gt;$I92,0,MIN($I91,$I87*$I89*(1+$I88)^X$63)))</f>
        <v>0</v>
      </c>
      <c r="Z113" s="236">
        <f t="shared" ref="Z113" si="444">IF($I87="N/A",0,IF(Z98&gt;$I92,0,MIN($I91,$I87*$I89*(1+$I88)^Y$63)))</f>
        <v>0</v>
      </c>
      <c r="AA113" s="236">
        <f t="shared" ref="AA113" si="445">IF($I87="N/A",0,IF(AA98&gt;$I92,0,MIN($I91,$I87*$I89*(1+$I88)^Z$63)))</f>
        <v>0</v>
      </c>
      <c r="AB113" s="236">
        <f t="shared" ref="AB113" si="446">IF($I87="N/A",0,IF(AB98&gt;$I92,0,MIN($I91,$I87*$I89*(1+$I88)^AA$63)))</f>
        <v>0</v>
      </c>
      <c r="AC113" s="236">
        <f t="shared" ref="AC113" si="447">IF($I87="N/A",0,IF(AC98&gt;$I92,0,MIN($I91,$I87*$I89*(1+$I88)^AB$63)))</f>
        <v>0</v>
      </c>
      <c r="AD113" s="236">
        <f t="shared" ref="AD113" si="448">IF($I87="N/A",0,IF(AD98&gt;$I92,0,MIN($I91,$I87*$I89*(1+$I88)^AC$63)))</f>
        <v>0</v>
      </c>
      <c r="AE113" s="236">
        <f t="shared" ref="AE113" si="449">IF($I87="N/A",0,IF(AE98&gt;$I92,0,MIN($I91,$I87*$I89*(1+$I88)^AD$63)))</f>
        <v>0</v>
      </c>
      <c r="AF113" s="236">
        <f t="shared" ref="AF113" si="450">IF($I87="N/A",0,IF(AF98&gt;$I92,0,MIN($I91,$I87*$I89*(1+$I88)^AE$63)))</f>
        <v>0</v>
      </c>
      <c r="AG113" s="236">
        <f t="shared" ref="AG113" si="451">IF($I87="N/A",0,IF(AG98&gt;$I92,0,MIN($I91,$I87*$I89*(1+$I88)^AF$63)))</f>
        <v>0</v>
      </c>
      <c r="AH113" s="236">
        <f t="shared" ref="AH113" si="452">IF($I87="N/A",0,IF(AH98&gt;$I92,0,MIN($I91,$I87*$I89*(1+$I88)^AG$63)))</f>
        <v>0</v>
      </c>
    </row>
    <row r="114" spans="3:34" x14ac:dyDescent="0.2">
      <c r="C114" s="1450" t="s">
        <v>2274</v>
      </c>
      <c r="D114" s="1451"/>
      <c r="E114" s="422">
        <f>IF($I87="N/A",0,IF(E98&gt;$I92,0,MAX(0,MIN(E113,$I87*$I89,E100))))</f>
        <v>0</v>
      </c>
      <c r="F114" s="521">
        <f t="shared" ref="F114" si="453">IF($I87="N/A",0,IF(F98&gt;$I92,0,IF($I90="Yes",MAX(0,MIN(F100*$I89,E116+F113,$I91)),MAX(0,MIN(F113,F100*$I89,$I91)))))</f>
        <v>0</v>
      </c>
      <c r="G114" s="521">
        <f t="shared" ref="G114" si="454">IF($I87="N/A",0,IF(G98&gt;$I92,0,IF($I90="Yes",MAX(0,MIN(G100*$I89,F116+G113,$I91)),MAX(0,MIN(G113,G100*$I89,$I91)))))</f>
        <v>0</v>
      </c>
      <c r="H114" s="521">
        <f t="shared" ref="H114" si="455">IF($I87="N/A",0,IF(H98&gt;$I92,0,IF($I90="Yes",MAX(0,MIN(H100*$I89,G116+H113,$I91)),MAX(0,MIN(H113,H100*$I89,$I91)))))</f>
        <v>0</v>
      </c>
      <c r="I114" s="521">
        <f t="shared" ref="I114" si="456">IF($I87="N/A",0,IF(I98&gt;$I92,0,IF($I90="Yes",MAX(0,MIN(I100*$I89,H116+I113,$I91)),MAX(0,MIN(I113,I100*$I89,$I91)))))</f>
        <v>0</v>
      </c>
      <c r="J114" s="521">
        <f t="shared" ref="J114" si="457">IF($I87="N/A",0,IF(J98&gt;$I92,0,IF($I90="Yes",MAX(0,MIN(J100*$I89,I116+J113,$I91)),MAX(0,MIN(J113,J100*$I89,$I91)))))</f>
        <v>0</v>
      </c>
      <c r="K114" s="521">
        <f t="shared" ref="K114" si="458">IF($I87="N/A",0,IF(K98&gt;$I92,0,IF($I90="Yes",MAX(0,MIN(K100*$I89,J116+K113,$I91)),MAX(0,MIN(K113,K100*$I89,$I91)))))</f>
        <v>0</v>
      </c>
      <c r="L114" s="521">
        <f t="shared" ref="L114" si="459">IF($I87="N/A",0,IF(L98&gt;$I92,0,IF($I90="Yes",MAX(0,MIN(L100*$I89,K116+L113,$I91)),MAX(0,MIN(L113,L100*$I89,$I91)))))</f>
        <v>0</v>
      </c>
      <c r="M114" s="521">
        <f t="shared" ref="M114" si="460">IF($I87="N/A",0,IF(M98&gt;$I92,0,IF($I90="Yes",MAX(0,MIN(M100*$I89,L116+M113,$I91)),MAX(0,MIN(M113,M100*$I89,$I91)))))</f>
        <v>0</v>
      </c>
      <c r="N114" s="521">
        <f t="shared" ref="N114" si="461">IF($I87="N/A",0,IF(N98&gt;$I92,0,IF($I90="Yes",MAX(0,MIN(N100*$I89,M116+N113,$I91)),MAX(0,MIN(N113,N100*$I89,$I91)))))</f>
        <v>0</v>
      </c>
      <c r="O114" s="521">
        <f t="shared" ref="O114" si="462">IF($I87="N/A",0,IF(O98&gt;$I92,0,IF($I90="Yes",MAX(0,MIN(O100*$I89,N116+O113,$I91)),MAX(0,MIN(O113,O100*$I89,$I91)))))</f>
        <v>0</v>
      </c>
      <c r="P114" s="521">
        <f t="shared" ref="P114" si="463">IF($I87="N/A",0,IF(P98&gt;$I92,0,IF($I90="Yes",MAX(0,MIN(P100*$I89,O116+P113,$I91)),MAX(0,MIN(P113,P100*$I89,$I91)))))</f>
        <v>0</v>
      </c>
      <c r="Q114" s="521">
        <f t="shared" ref="Q114" si="464">IF($I87="N/A",0,IF(Q98&gt;$I92,0,IF($I90="Yes",MAX(0,MIN(Q100*$I89,P116+Q113,$I91)),MAX(0,MIN(Q113,Q100*$I89,$I91)))))</f>
        <v>0</v>
      </c>
      <c r="R114" s="521">
        <f t="shared" ref="R114" si="465">IF($I87="N/A",0,IF(R98&gt;$I92,0,IF($I90="Yes",MAX(0,MIN(R100*$I89,Q116+R113,$I91)),MAX(0,MIN(R113,R100*$I89,$I91)))))</f>
        <v>0</v>
      </c>
      <c r="S114" s="523">
        <f t="shared" ref="S114" si="466">IF($I87="N/A",0,IF(S98&gt;$I92,0,IF($I90="Yes",MAX(0,MIN(S100*$I89,R116+S113,$I91)),MAX(0,MIN(S113,S100*$I89,$I91)))))</f>
        <v>0</v>
      </c>
      <c r="T114" s="522">
        <f t="shared" ref="T114" si="467">IF($I87="N/A",0,IF(T98&gt;$I92,0,IF($I90="Yes",MAX(0,MIN(T100*$I89,S116+T113,$I91)),MAX(0,MIN(T113,T100*$I89,$I91)))))</f>
        <v>0</v>
      </c>
      <c r="U114" s="521">
        <f t="shared" ref="U114" si="468">IF($I87="N/A",0,IF(U98&gt;$I92,0,IF($I90="Yes",MAX(0,MIN(U100*$I89,T116+U113,$I91)),MAX(0,MIN(U113,U100*$I89,$I91)))))</f>
        <v>0</v>
      </c>
      <c r="V114" s="521">
        <f t="shared" ref="V114" si="469">IF($I87="N/A",0,IF(V98&gt;$I92,0,IF($I90="Yes",MAX(0,MIN(V100*$I89,U116+V113,$I91)),MAX(0,MIN(V113,V100*$I89,$I91)))))</f>
        <v>0</v>
      </c>
      <c r="W114" s="521">
        <f t="shared" ref="W114" si="470">IF($I87="N/A",0,IF(W98&gt;$I92,0,IF($I90="Yes",MAX(0,MIN(W100*$I89,V116+W113,$I91)),MAX(0,MIN(W113,W100*$I89,$I91)))))</f>
        <v>0</v>
      </c>
      <c r="X114" s="521">
        <f t="shared" ref="X114" si="471">IF($I87="N/A",0,IF(X98&gt;$I92,0,IF($I90="Yes",MAX(0,MIN(X100*$I89,W116+X113,$I91)),MAX(0,MIN(X113,X100*$I89,$I91)))))</f>
        <v>0</v>
      </c>
      <c r="Y114" s="521">
        <f t="shared" ref="Y114" si="472">IF($I87="N/A",0,IF(Y98&gt;$I92,0,IF($I90="Yes",MAX(0,MIN(Y100*$I89,X116+Y113,$I91)),MAX(0,MIN(Y113,Y100*$I89,$I91)))))</f>
        <v>0</v>
      </c>
      <c r="Z114" s="521">
        <f t="shared" ref="Z114" si="473">IF($I87="N/A",0,IF(Z98&gt;$I92,0,IF($I90="Yes",MAX(0,MIN(Z100*$I89,Y116+Z113,$I91)),MAX(0,MIN(Z113,Z100*$I89,$I91)))))</f>
        <v>0</v>
      </c>
      <c r="AA114" s="521">
        <f t="shared" ref="AA114" si="474">IF($I87="N/A",0,IF(AA98&gt;$I92,0,IF($I90="Yes",MAX(0,MIN(AA100*$I89,Z116+AA113,$I91)),MAX(0,MIN(AA113,AA100*$I89,$I91)))))</f>
        <v>0</v>
      </c>
      <c r="AB114" s="521">
        <f t="shared" ref="AB114" si="475">IF($I87="N/A",0,IF(AB98&gt;$I92,0,IF($I90="Yes",MAX(0,MIN(AB100*$I89,AA116+AB113,$I91)),MAX(0,MIN(AB113,AB100*$I89,$I91)))))</f>
        <v>0</v>
      </c>
      <c r="AC114" s="521">
        <f t="shared" ref="AC114" si="476">IF($I87="N/A",0,IF(AC98&gt;$I92,0,IF($I90="Yes",MAX(0,MIN(AC100*$I89,AB116+AC113,$I91)),MAX(0,MIN(AC113,AC100*$I89,$I91)))))</f>
        <v>0</v>
      </c>
      <c r="AD114" s="521">
        <f t="shared" ref="AD114" si="477">IF($I87="N/A",0,IF(AD98&gt;$I92,0,IF($I90="Yes",MAX(0,MIN(AD100*$I89,AC116+AD113,$I91)),MAX(0,MIN(AD113,AD100*$I89,$I91)))))</f>
        <v>0</v>
      </c>
      <c r="AE114" s="521">
        <f t="shared" ref="AE114" si="478">IF($I87="N/A",0,IF(AE98&gt;$I92,0,IF($I90="Yes",MAX(0,MIN(AE100*$I89,AD116+AE113,$I91)),MAX(0,MIN(AE113,AE100*$I89,$I91)))))</f>
        <v>0</v>
      </c>
      <c r="AF114" s="521">
        <f t="shared" ref="AF114" si="479">IF($I87="N/A",0,IF(AF98&gt;$I92,0,IF($I90="Yes",MAX(0,MIN(AF100*$I89,AE116+AF113,$I91)),MAX(0,MIN(AF113,AF100*$I89,$I91)))))</f>
        <v>0</v>
      </c>
      <c r="AG114" s="521">
        <f t="shared" ref="AG114" si="480">IF($I87="N/A",0,IF(AG98&gt;$I92,0,IF($I90="Yes",MAX(0,MIN(AG100*$I89,AF116+AG113,$I91)),MAX(0,MIN(AG113,AG100*$I89,$I91)))))</f>
        <v>0</v>
      </c>
      <c r="AH114" s="521">
        <f t="shared" ref="AH114" si="481">IF($I87="N/A",0,IF(AH98&gt;$I92,0,IF($I90="Yes",MAX(0,MIN(AH100*$I89,AG116+AH113,$I91)),MAX(0,MIN(AH113,AH100*$I89,$I91)))))</f>
        <v>0</v>
      </c>
    </row>
    <row r="115" spans="3:34" x14ac:dyDescent="0.2">
      <c r="C115" s="1168" t="s">
        <v>2275</v>
      </c>
      <c r="D115" s="1170"/>
      <c r="E115" s="421">
        <f>IF($I90="Yes",IF(E98&gt;$I92,0,E113-E114),0)</f>
        <v>0</v>
      </c>
      <c r="F115" s="421">
        <f t="shared" ref="F115:AH115" si="482">IF($I87="N/A",0,IF(F99&gt;$I92,0,IF($I90="Yes",F113-F114,0)))</f>
        <v>0</v>
      </c>
      <c r="G115" s="421">
        <f t="shared" si="482"/>
        <v>0</v>
      </c>
      <c r="H115" s="421">
        <f t="shared" si="482"/>
        <v>0</v>
      </c>
      <c r="I115" s="421">
        <f t="shared" si="482"/>
        <v>0</v>
      </c>
      <c r="J115" s="421">
        <f t="shared" si="482"/>
        <v>0</v>
      </c>
      <c r="K115" s="421">
        <f t="shared" si="482"/>
        <v>0</v>
      </c>
      <c r="L115" s="421">
        <f t="shared" si="482"/>
        <v>0</v>
      </c>
      <c r="M115" s="421">
        <f t="shared" si="482"/>
        <v>0</v>
      </c>
      <c r="N115" s="421">
        <f t="shared" si="482"/>
        <v>0</v>
      </c>
      <c r="O115" s="421">
        <f t="shared" si="482"/>
        <v>0</v>
      </c>
      <c r="P115" s="421">
        <f t="shared" si="482"/>
        <v>0</v>
      </c>
      <c r="Q115" s="421">
        <f t="shared" si="482"/>
        <v>0</v>
      </c>
      <c r="R115" s="421">
        <f t="shared" si="482"/>
        <v>0</v>
      </c>
      <c r="S115" s="447">
        <f t="shared" si="482"/>
        <v>0</v>
      </c>
      <c r="T115" s="439">
        <f t="shared" si="482"/>
        <v>0</v>
      </c>
      <c r="U115" s="421">
        <f t="shared" si="482"/>
        <v>0</v>
      </c>
      <c r="V115" s="421">
        <f t="shared" si="482"/>
        <v>0</v>
      </c>
      <c r="W115" s="421">
        <f t="shared" si="482"/>
        <v>0</v>
      </c>
      <c r="X115" s="421">
        <f t="shared" si="482"/>
        <v>0</v>
      </c>
      <c r="Y115" s="421">
        <f t="shared" si="482"/>
        <v>0</v>
      </c>
      <c r="Z115" s="421">
        <f t="shared" si="482"/>
        <v>0</v>
      </c>
      <c r="AA115" s="421">
        <f t="shared" si="482"/>
        <v>0</v>
      </c>
      <c r="AB115" s="421">
        <f t="shared" si="482"/>
        <v>0</v>
      </c>
      <c r="AC115" s="421">
        <f t="shared" si="482"/>
        <v>0</v>
      </c>
      <c r="AD115" s="421">
        <f t="shared" si="482"/>
        <v>0</v>
      </c>
      <c r="AE115" s="421">
        <f t="shared" si="482"/>
        <v>0</v>
      </c>
      <c r="AF115" s="421">
        <f t="shared" si="482"/>
        <v>0</v>
      </c>
      <c r="AG115" s="421">
        <f t="shared" si="482"/>
        <v>0</v>
      </c>
      <c r="AH115" s="421">
        <f t="shared" si="482"/>
        <v>0</v>
      </c>
    </row>
    <row r="116" spans="3:34" x14ac:dyDescent="0.2">
      <c r="C116" s="1168" t="s">
        <v>2276</v>
      </c>
      <c r="D116" s="1170"/>
      <c r="E116" s="421">
        <f>E115</f>
        <v>0</v>
      </c>
      <c r="F116" s="236">
        <f t="shared" ref="F116" si="483">IF($I87="N/A",0,IF(F98&gt;$I92,0,E116+F115))</f>
        <v>0</v>
      </c>
      <c r="G116" s="236">
        <f t="shared" ref="G116" si="484">IF($I87="N/A",0,IF(G98&gt;$I92,0,F116+G115))</f>
        <v>0</v>
      </c>
      <c r="H116" s="236">
        <f t="shared" ref="H116" si="485">IF($I87="N/A",0,IF(H98&gt;$I92,0,G116+H115))</f>
        <v>0</v>
      </c>
      <c r="I116" s="236">
        <f t="shared" ref="I116" si="486">IF($I87="N/A",0,IF(I98&gt;$I92,0,H116+I115))</f>
        <v>0</v>
      </c>
      <c r="J116" s="236">
        <f t="shared" ref="J116" si="487">IF($I87="N/A",0,IF(J98&gt;$I92,0,I116+J115))</f>
        <v>0</v>
      </c>
      <c r="K116" s="236">
        <f t="shared" ref="K116" si="488">IF($I87="N/A",0,IF(K98&gt;$I92,0,J116+K115))</f>
        <v>0</v>
      </c>
      <c r="L116" s="236">
        <f t="shared" ref="L116" si="489">IF($I87="N/A",0,IF(L98&gt;$I92,0,K116+L115))</f>
        <v>0</v>
      </c>
      <c r="M116" s="236">
        <f t="shared" ref="M116" si="490">IF($I87="N/A",0,IF(M98&gt;$I92,0,L116+M115))</f>
        <v>0</v>
      </c>
      <c r="N116" s="236">
        <f t="shared" ref="N116" si="491">IF($I87="N/A",0,IF(N98&gt;$I92,0,M116+N115))</f>
        <v>0</v>
      </c>
      <c r="O116" s="236">
        <f t="shared" ref="O116" si="492">IF($I87="N/A",0,IF(O98&gt;$I92,0,N116+O115))</f>
        <v>0</v>
      </c>
      <c r="P116" s="236">
        <f t="shared" ref="P116" si="493">IF($I87="N/A",0,IF(P98&gt;$I92,0,O116+P115))</f>
        <v>0</v>
      </c>
      <c r="Q116" s="236">
        <f t="shared" ref="Q116" si="494">IF($I87="N/A",0,IF(Q98&gt;$I92,0,P116+Q115))</f>
        <v>0</v>
      </c>
      <c r="R116" s="236">
        <f t="shared" ref="R116" si="495">IF($I87="N/A",0,IF(R98&gt;$I92,0,Q116+R115))</f>
        <v>0</v>
      </c>
      <c r="S116" s="446">
        <f t="shared" ref="S116" si="496">IF($I87="N/A",0,IF(S98&gt;$I92,0,R116+S115))</f>
        <v>0</v>
      </c>
      <c r="T116" s="438">
        <f t="shared" ref="T116" si="497">IF($I87="N/A",0,IF(T98&gt;$I92,0,S116+T115))</f>
        <v>0</v>
      </c>
      <c r="U116" s="236">
        <f t="shared" ref="U116" si="498">IF($I87="N/A",0,IF(U98&gt;$I92,0,T116+U115))</f>
        <v>0</v>
      </c>
      <c r="V116" s="236">
        <f t="shared" ref="V116" si="499">IF($I87="N/A",0,IF(V98&gt;$I92,0,U116+V115))</f>
        <v>0</v>
      </c>
      <c r="W116" s="236">
        <f t="shared" ref="W116" si="500">IF($I87="N/A",0,IF(W98&gt;$I92,0,V116+W115))</f>
        <v>0</v>
      </c>
      <c r="X116" s="236">
        <f t="shared" ref="X116" si="501">IF($I87="N/A",0,IF(X98&gt;$I92,0,W116+X115))</f>
        <v>0</v>
      </c>
      <c r="Y116" s="236">
        <f t="shared" ref="Y116" si="502">IF($I87="N/A",0,IF(Y98&gt;$I92,0,X116+Y115))</f>
        <v>0</v>
      </c>
      <c r="Z116" s="236">
        <f t="shared" ref="Z116" si="503">IF($I87="N/A",0,IF(Z98&gt;$I92,0,Y116+Z115))</f>
        <v>0</v>
      </c>
      <c r="AA116" s="236">
        <f t="shared" ref="AA116" si="504">IF($I87="N/A",0,IF(AA98&gt;$I92,0,Z116+AA115))</f>
        <v>0</v>
      </c>
      <c r="AB116" s="236">
        <f t="shared" ref="AB116" si="505">IF($I87="N/A",0,IF(AB98&gt;$I92,0,AA116+AB115))</f>
        <v>0</v>
      </c>
      <c r="AC116" s="236">
        <f t="shared" ref="AC116" si="506">IF($I87="N/A",0,IF(AC98&gt;$I92,0,AB116+AC115))</f>
        <v>0</v>
      </c>
      <c r="AD116" s="236">
        <f t="shared" ref="AD116" si="507">IF($I87="N/A",0,IF(AD98&gt;$I92,0,AC116+AD115))</f>
        <v>0</v>
      </c>
      <c r="AE116" s="236">
        <f t="shared" ref="AE116" si="508">IF($I87="N/A",0,IF(AE98&gt;$I92,0,AD116+AE115))</f>
        <v>0</v>
      </c>
      <c r="AF116" s="236">
        <f t="shared" ref="AF116" si="509">IF($I87="N/A",0,IF(AF98&gt;$I92,0,AE116+AF115))</f>
        <v>0</v>
      </c>
      <c r="AG116" s="236">
        <f t="shared" ref="AG116" si="510">IF($I87="N/A",0,IF(AG98&gt;$I92,0,AF116+AG115))</f>
        <v>0</v>
      </c>
      <c r="AH116" s="236">
        <f t="shared" ref="AH116" si="511">IF($I87="N/A",0,IF(AH98&gt;$I92,0,AG116+AH115))</f>
        <v>0</v>
      </c>
    </row>
    <row r="119" spans="3:34" ht="15" x14ac:dyDescent="0.2">
      <c r="C119" s="1456" t="str">
        <f>IF(Sources!$D$70="","N/A",Sources!$D$70)</f>
        <v>N/A</v>
      </c>
      <c r="D119" s="1456"/>
      <c r="E119" s="1456"/>
      <c r="F119" s="412" t="s">
        <v>2266</v>
      </c>
      <c r="G119" s="92" t="str">
        <f>IF(AND(ISERROR(VLOOKUP($C119,OpBudget!$C$159:$C$165,1,FALSE)),ISERROR(VLOOKUP($C119,Sources!$C$36:$C$55,1,FALSE))),"N/A",IF(ISERROR(VLOOKUP($C119,Sources!$C$36:$C$55,1,FALSE)),"Fee","Loan"))</f>
        <v>N/A</v>
      </c>
      <c r="H119" s="412"/>
      <c r="I119" s="412"/>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row>
    <row r="120" spans="3:34" ht="15" x14ac:dyDescent="0.2">
      <c r="C120" s="345"/>
      <c r="D120" s="345"/>
      <c r="E120" s="345"/>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row>
    <row r="121" spans="3:34" ht="15" x14ac:dyDescent="0.2">
      <c r="C121" s="417" t="s">
        <v>2260</v>
      </c>
      <c r="D121" s="345"/>
      <c r="E121" s="345"/>
      <c r="F121" s="74"/>
      <c r="G121" s="74" t="s">
        <v>2261</v>
      </c>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row>
    <row r="122" spans="3:34" x14ac:dyDescent="0.2">
      <c r="C122" s="1452" t="s">
        <v>2255</v>
      </c>
      <c r="D122" s="1452"/>
      <c r="E122" s="413" t="str">
        <f>IF(OR($G119="Fee",$G119="N/A"),"N/A",INDEX(Sources!$C$35:$K$55,MATCH(Loans!$C119,Sources!$C$35:$C$55,0),MATCH("Amount",Sources!$C$35:$N$35,0)))</f>
        <v>N/A</v>
      </c>
      <c r="F122" s="74"/>
      <c r="G122" s="1454" t="s">
        <v>2262</v>
      </c>
      <c r="H122" s="1454"/>
      <c r="I122" s="705" t="str">
        <f>IF(OR($G119="Loan",$G119="N/A"),"N/A",INDEX(OpBudget!$C$159:$K$165,MATCH(Loans!$C119,OpBudget!$C$159:$C$165,0),MATCH("Total Amount",OpBudget!$C$159:$K$159,0)))</f>
        <v>N/A</v>
      </c>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row>
    <row r="123" spans="3:34" x14ac:dyDescent="0.2">
      <c r="C123" s="1452" t="s">
        <v>2256</v>
      </c>
      <c r="D123" s="1452"/>
      <c r="E123" s="702" t="str">
        <f>IF(OR($G119="Fee",$G119="N/A"),"N/A",INDEX(Sources!$C$35:$K$55,MATCH(Loans!$C119,Sources!$C$35:$C$55,0),MATCH("Interest Rate",Sources!$C$35:$N$35,0)))</f>
        <v>N/A</v>
      </c>
      <c r="F123" s="74"/>
      <c r="G123" s="1454" t="s">
        <v>2268</v>
      </c>
      <c r="H123" s="1454"/>
      <c r="I123" s="703" t="str">
        <f>IF(OR($G119="Loan",$G119="N/A"),"N/A",INDEX(OpBudget!$C$159:$K$165,MATCH(Loans!$C119,OpBudget!$C$159:$C$165,0),MATCH("Annual Percent Inflator",OpBudget!$C$159:$K$159,0)))</f>
        <v>N/A</v>
      </c>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row>
    <row r="124" spans="3:34" x14ac:dyDescent="0.2">
      <c r="C124" s="1452" t="s">
        <v>2279</v>
      </c>
      <c r="D124" s="1452"/>
      <c r="E124" s="702" t="str">
        <f>IF(OR($G119="Fee",$G119="N/A"),"N/A",INDEX(Sources!$C$35:$N$55,MATCH(Loans!$C119,Sources!$C$35:$C$55,0),MATCH("Simple or Compound Interest?",Sources!$C$35:$N$35,0)))</f>
        <v>N/A</v>
      </c>
      <c r="F124" s="74"/>
      <c r="G124" s="424" t="s">
        <v>2263</v>
      </c>
      <c r="H124" s="424"/>
      <c r="I124" s="703" t="str">
        <f>IF(OR($G119="Loan",$G119="N/A"),"N/A",INDEX(Sources!$D$67:$H$82,MATCH(Loans!$C119,Sources!$D$67:$D$82,0),MATCH("Split of Cash Flow",Sources!$D$67:$H$67,0)))</f>
        <v>N/A</v>
      </c>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row>
    <row r="125" spans="3:34" x14ac:dyDescent="0.2">
      <c r="C125" s="1452" t="s">
        <v>2257</v>
      </c>
      <c r="D125" s="1452"/>
      <c r="E125" s="420" t="str">
        <f>IF(OR($G119="Fee",$G119="N/A"),"N/A",INDEX(Sources!$C$35:$K$55,MATCH(Loans!$C119,Sources!$C$35:$C$55,0),MATCH("Term (Years)",Sources!$C$35:$N$35,0)))</f>
        <v>N/A</v>
      </c>
      <c r="F125" s="74"/>
      <c r="G125" s="1454" t="s">
        <v>2281</v>
      </c>
      <c r="H125" s="1454"/>
      <c r="I125" s="703" t="str">
        <f>IF(OR($G119="Loan",$G119="N/A"),"N/A",INDEX(OpBudget!$C$159:$K$165,MATCH(Loans!$C119,OpBudget!$C$159:$C$165,0),MATCH("Accrue Unpaid Fee?",OpBudget!$C$159:$K$159,0)))</f>
        <v>N/A</v>
      </c>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row>
    <row r="126" spans="3:34" x14ac:dyDescent="0.2">
      <c r="C126" s="1452" t="s">
        <v>2284</v>
      </c>
      <c r="D126" s="1452"/>
      <c r="E126" s="420" t="str">
        <f>IF(OR($G119="Fee",$G119="N/A"),"N/A",INDEX(Sources!$D$67:$O$82,MATCH(Loans!$C119,Sources!$D$67:$D$82,0),MATCH("Beginning Payment Year",Sources!$D$67:$O$67,0)))</f>
        <v>N/A</v>
      </c>
      <c r="F126" s="74"/>
      <c r="G126" s="1454" t="s">
        <v>2293</v>
      </c>
      <c r="H126" s="1454"/>
      <c r="I126" s="705" t="str">
        <f>IF(OR($G119="Loan",$G119="N/A"),"N/A",IF(INDEX(OpBudget!$C$159:$K$165,MATCH(Loans!$C119,OpBudget!$C$159:$C$165,0),MATCH("Fee Cap (if applicable)",OpBudget!$C$159:$K$159,0))=0,"N/A",INDEX(OpBudget!$C$159:$K$165,MATCH(Loans!$C119,OpBudget!$C$159:$C$165,0),MATCH("Fee Cap (if applicable)",OpBudget!$C$159:$K$159,0))))</f>
        <v>N/A</v>
      </c>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row>
    <row r="127" spans="3:34" ht="14.25" customHeight="1" x14ac:dyDescent="0.2">
      <c r="C127" s="1452" t="s">
        <v>2267</v>
      </c>
      <c r="D127" s="1452"/>
      <c r="E127" s="703" t="str">
        <f>IF(OR($G119="Fee",$G119="N/A"),"N/A",INDEX(Sources!$D$67:$O$82,MATCH(Loans!$C119,Sources!$D$67:$D$82,0),MATCH("Split of Cash Flow",Sources!$D$67:$O$67,0)))</f>
        <v>N/A</v>
      </c>
      <c r="F127" s="1455"/>
      <c r="G127" s="1454" t="s">
        <v>2292</v>
      </c>
      <c r="H127" s="1454"/>
      <c r="I127" s="420" t="str">
        <f>IF(OR($G119="Loan",$G119="N/A"),"N/A",INDEX(OpBudget!$C$159:$K$165,MATCH(Loans!$C119,OpBudget!$C$159:$C$165,0),MATCH("Number of Years Fee Exists",OpBudget!$C$159:$K$159,0)))</f>
        <v>N/A</v>
      </c>
      <c r="J127" s="74"/>
      <c r="K127" s="74"/>
      <c r="L127" s="74" t="s">
        <v>2278</v>
      </c>
      <c r="M127" s="74"/>
      <c r="N127" s="74"/>
      <c r="O127" s="74"/>
      <c r="P127" s="74"/>
      <c r="Q127" s="74"/>
      <c r="R127" s="74"/>
      <c r="S127" s="74"/>
      <c r="T127" s="74"/>
      <c r="U127" s="74"/>
      <c r="V127" s="74"/>
      <c r="W127" s="74"/>
      <c r="X127" s="74"/>
      <c r="Y127" s="74"/>
      <c r="Z127" s="74"/>
      <c r="AA127" s="74"/>
      <c r="AB127" s="74"/>
      <c r="AC127" s="74"/>
      <c r="AD127" s="74"/>
      <c r="AE127" s="74"/>
      <c r="AF127" s="74"/>
      <c r="AG127" s="74"/>
      <c r="AH127" s="74"/>
    </row>
    <row r="128" spans="3:34" x14ac:dyDescent="0.2">
      <c r="C128" s="1452" t="s">
        <v>2289</v>
      </c>
      <c r="D128" s="1452"/>
      <c r="E128" s="704" t="str">
        <f>IF(OR($G119="Fee",$G119="N/A"),"N/A",INDEX(Sources!$D$67:$O$82,MATCH(Loans!$C119,Sources!$D$67:$D$82,0),MATCH("Pari Passu?",Sources!$D$67:$O$67,0)))</f>
        <v>N/A</v>
      </c>
      <c r="F128" s="1455"/>
      <c r="G128" s="424"/>
      <c r="H128" s="424"/>
      <c r="I128" s="526"/>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row>
    <row r="129" spans="3:34" x14ac:dyDescent="0.2">
      <c r="C129" s="1452" t="s">
        <v>2295</v>
      </c>
      <c r="D129" s="1452"/>
      <c r="E129" s="703" t="str">
        <f>IF(OR($G119="Fee",$G119="N/A"),"N/A",INDEX(Sources!$D$67:$O$82,MATCH(Loans!$C119,Sources!$D$67:$D$82,0),MATCH("Shared Position Split of Cash Flow",Sources!$D$67:$O$67,0)))</f>
        <v>N/A</v>
      </c>
      <c r="F129" s="532"/>
      <c r="G129" s="424"/>
      <c r="H129" s="424"/>
      <c r="I129" s="526"/>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row>
    <row r="130" spans="3:34" x14ac:dyDescent="0.2">
      <c r="C130" s="1452" t="s">
        <v>2291</v>
      </c>
      <c r="D130" s="1452"/>
      <c r="E130" s="704" t="str">
        <f>IF(OR($G119="Fee",$G119="N/A"),"N/A",INDEX(Sources!$D$67:$O$82,MATCH(Loans!$C119,Sources!$D$67:$D$82,0),MATCH("Deferred Loan?",Sources!$D$67:$O$67,0)))</f>
        <v>N/A</v>
      </c>
      <c r="F130" s="74"/>
      <c r="G130" s="424"/>
      <c r="H130" s="424"/>
      <c r="I130" s="526"/>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row>
    <row r="131" spans="3:34" x14ac:dyDescent="0.2">
      <c r="C131" s="1452" t="s">
        <v>2277</v>
      </c>
      <c r="D131" s="1452"/>
      <c r="E131" s="705" t="str">
        <f>IF(OR(E122=0,E122="N/A"),"N/A",INDEX($C133:$AH145,MATCH("Ending Principal Balance",$C133:$C145,0),MATCH($E125,$C133:$AH133,0)))</f>
        <v>N/A</v>
      </c>
      <c r="F131" s="74"/>
      <c r="G131" s="74"/>
      <c r="H131" s="74" t="s">
        <v>2278</v>
      </c>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row>
    <row r="132" spans="3:34" ht="15" x14ac:dyDescent="0.2">
      <c r="C132" s="345"/>
      <c r="D132" s="345"/>
      <c r="E132" s="345"/>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row>
    <row r="133" spans="3:34" ht="15" x14ac:dyDescent="0.2">
      <c r="C133" s="309"/>
      <c r="D133" s="309"/>
      <c r="E133" s="310">
        <v>1</v>
      </c>
      <c r="F133" s="310">
        <f>E133+1</f>
        <v>2</v>
      </c>
      <c r="G133" s="310">
        <f t="shared" ref="G133" si="512">F133+1</f>
        <v>3</v>
      </c>
      <c r="H133" s="310">
        <f t="shared" ref="H133" si="513">G133+1</f>
        <v>4</v>
      </c>
      <c r="I133" s="310">
        <f t="shared" ref="I133" si="514">H133+1</f>
        <v>5</v>
      </c>
      <c r="J133" s="310">
        <f t="shared" ref="J133" si="515">I133+1</f>
        <v>6</v>
      </c>
      <c r="K133" s="310">
        <f t="shared" ref="K133" si="516">J133+1</f>
        <v>7</v>
      </c>
      <c r="L133" s="310">
        <f t="shared" ref="L133" si="517">K133+1</f>
        <v>8</v>
      </c>
      <c r="M133" s="310">
        <f t="shared" ref="M133" si="518">L133+1</f>
        <v>9</v>
      </c>
      <c r="N133" s="310">
        <f t="shared" ref="N133" si="519">M133+1</f>
        <v>10</v>
      </c>
      <c r="O133" s="310">
        <f t="shared" ref="O133" si="520">N133+1</f>
        <v>11</v>
      </c>
      <c r="P133" s="310">
        <f t="shared" ref="P133" si="521">O133+1</f>
        <v>12</v>
      </c>
      <c r="Q133" s="310">
        <f t="shared" ref="Q133" si="522">P133+1</f>
        <v>13</v>
      </c>
      <c r="R133" s="310">
        <f t="shared" ref="R133" si="523">Q133+1</f>
        <v>14</v>
      </c>
      <c r="S133" s="448">
        <f t="shared" ref="S133" si="524">R133+1</f>
        <v>15</v>
      </c>
      <c r="T133" s="428">
        <f t="shared" ref="T133" si="525">S133+1</f>
        <v>16</v>
      </c>
      <c r="U133" s="310">
        <f t="shared" ref="U133" si="526">T133+1</f>
        <v>17</v>
      </c>
      <c r="V133" s="310">
        <f t="shared" ref="V133" si="527">U133+1</f>
        <v>18</v>
      </c>
      <c r="W133" s="310">
        <f t="shared" ref="W133" si="528">V133+1</f>
        <v>19</v>
      </c>
      <c r="X133" s="310">
        <f t="shared" ref="X133" si="529">W133+1</f>
        <v>20</v>
      </c>
      <c r="Y133" s="310">
        <f t="shared" ref="Y133" si="530">X133+1</f>
        <v>21</v>
      </c>
      <c r="Z133" s="310">
        <f t="shared" ref="Z133" si="531">Y133+1</f>
        <v>22</v>
      </c>
      <c r="AA133" s="310">
        <f t="shared" ref="AA133" si="532">Z133+1</f>
        <v>23</v>
      </c>
      <c r="AB133" s="310">
        <f t="shared" ref="AB133" si="533">AA133+1</f>
        <v>24</v>
      </c>
      <c r="AC133" s="310">
        <f t="shared" ref="AC133" si="534">AB133+1</f>
        <v>25</v>
      </c>
      <c r="AD133" s="310">
        <f t="shared" ref="AD133" si="535">AC133+1</f>
        <v>26</v>
      </c>
      <c r="AE133" s="310">
        <f t="shared" ref="AE133" si="536">AD133+1</f>
        <v>27</v>
      </c>
      <c r="AF133" s="310">
        <f t="shared" ref="AF133" si="537">AE133+1</f>
        <v>28</v>
      </c>
      <c r="AG133" s="310">
        <f t="shared" ref="AG133" si="538">AF133+1</f>
        <v>29</v>
      </c>
      <c r="AH133" s="310">
        <f t="shared" ref="AH133" si="539">AG133+1</f>
        <v>30</v>
      </c>
    </row>
    <row r="134" spans="3:34" ht="15" x14ac:dyDescent="0.2">
      <c r="C134" s="309"/>
      <c r="D134" s="309"/>
      <c r="E134" s="314" t="str">
        <f>IF(Details!$E$171="","",Details!$E$171)</f>
        <v/>
      </c>
      <c r="F134" s="314" t="str">
        <f>IF($E$7="","",E$7+1)</f>
        <v/>
      </c>
      <c r="G134" s="314" t="str">
        <f t="shared" ref="G134" si="540">IF($E$7="","",F$7+1)</f>
        <v/>
      </c>
      <c r="H134" s="314" t="str">
        <f t="shared" ref="H134" si="541">IF($E$7="","",G$7+1)</f>
        <v/>
      </c>
      <c r="I134" s="314" t="str">
        <f t="shared" ref="I134" si="542">IF($E$7="","",H$7+1)</f>
        <v/>
      </c>
      <c r="J134" s="314" t="str">
        <f t="shared" ref="J134" si="543">IF($E$7="","",I$7+1)</f>
        <v/>
      </c>
      <c r="K134" s="314" t="str">
        <f t="shared" ref="K134" si="544">IF($E$7="","",J$7+1)</f>
        <v/>
      </c>
      <c r="L134" s="314" t="str">
        <f t="shared" ref="L134" si="545">IF($E$7="","",K$7+1)</f>
        <v/>
      </c>
      <c r="M134" s="314" t="str">
        <f t="shared" ref="M134" si="546">IF($E$7="","",L$7+1)</f>
        <v/>
      </c>
      <c r="N134" s="314" t="str">
        <f t="shared" ref="N134" si="547">IF($E$7="","",M$7+1)</f>
        <v/>
      </c>
      <c r="O134" s="314" t="str">
        <f t="shared" ref="O134" si="548">IF($E$7="","",N$7+1)</f>
        <v/>
      </c>
      <c r="P134" s="314" t="str">
        <f t="shared" ref="P134" si="549">IF($E$7="","",O$7+1)</f>
        <v/>
      </c>
      <c r="Q134" s="314" t="str">
        <f t="shared" ref="Q134" si="550">IF($E$7="","",P$7+1)</f>
        <v/>
      </c>
      <c r="R134" s="314" t="str">
        <f t="shared" ref="R134" si="551">IF($E$7="","",Q$7+1)</f>
        <v/>
      </c>
      <c r="S134" s="440" t="str">
        <f t="shared" ref="S134" si="552">IF($E$7="","",R$7+1)</f>
        <v/>
      </c>
      <c r="T134" s="433" t="str">
        <f t="shared" ref="T134" si="553">IF($E$7="","",S$7+1)</f>
        <v/>
      </c>
      <c r="U134" s="314" t="str">
        <f t="shared" ref="U134" si="554">IF($E$7="","",T$7+1)</f>
        <v/>
      </c>
      <c r="V134" s="314" t="str">
        <f t="shared" ref="V134" si="555">IF($E$7="","",U$7+1)</f>
        <v/>
      </c>
      <c r="W134" s="314" t="str">
        <f t="shared" ref="W134" si="556">IF($E$7="","",V$7+1)</f>
        <v/>
      </c>
      <c r="X134" s="314" t="str">
        <f t="shared" ref="X134" si="557">IF($E$7="","",W$7+1)</f>
        <v/>
      </c>
      <c r="Y134" s="314" t="str">
        <f t="shared" ref="Y134" si="558">IF($E$7="","",X$7+1)</f>
        <v/>
      </c>
      <c r="Z134" s="314" t="str">
        <f t="shared" ref="Z134" si="559">IF($E$7="","",Y$7+1)</f>
        <v/>
      </c>
      <c r="AA134" s="314" t="str">
        <f t="shared" ref="AA134" si="560">IF($E$7="","",Z$7+1)</f>
        <v/>
      </c>
      <c r="AB134" s="314" t="str">
        <f t="shared" ref="AB134" si="561">IF($E$7="","",AA$7+1)</f>
        <v/>
      </c>
      <c r="AC134" s="314" t="str">
        <f t="shared" ref="AC134" si="562">IF($E$7="","",AB$7+1)</f>
        <v/>
      </c>
      <c r="AD134" s="314" t="str">
        <f t="shared" ref="AD134" si="563">IF($E$7="","",AC$7+1)</f>
        <v/>
      </c>
      <c r="AE134" s="314" t="str">
        <f t="shared" ref="AE134" si="564">IF($E$7="","",AD$7+1)</f>
        <v/>
      </c>
      <c r="AF134" s="314" t="str">
        <f t="shared" ref="AF134" si="565">IF($E$7="","",AE$7+1)</f>
        <v/>
      </c>
      <c r="AG134" s="314" t="str">
        <f t="shared" ref="AG134" si="566">IF($E$7="","",AF$7+1)</f>
        <v/>
      </c>
      <c r="AH134" s="314" t="str">
        <f t="shared" ref="AH134" si="567">IF($E$7="","",AG$7+1)</f>
        <v/>
      </c>
    </row>
    <row r="135" spans="3:34" x14ac:dyDescent="0.2">
      <c r="C135" s="1168" t="s">
        <v>2254</v>
      </c>
      <c r="D135" s="1169"/>
      <c r="E135" s="109">
        <f>E100-E109-E113</f>
        <v>0</v>
      </c>
      <c r="F135" s="109">
        <f t="shared" ref="F135:AH135" si="568">F100-F109-F113</f>
        <v>0</v>
      </c>
      <c r="G135" s="109">
        <f t="shared" si="568"/>
        <v>0</v>
      </c>
      <c r="H135" s="109">
        <f t="shared" si="568"/>
        <v>0</v>
      </c>
      <c r="I135" s="109">
        <f t="shared" si="568"/>
        <v>0</v>
      </c>
      <c r="J135" s="109">
        <f t="shared" si="568"/>
        <v>0</v>
      </c>
      <c r="K135" s="109">
        <f t="shared" si="568"/>
        <v>0</v>
      </c>
      <c r="L135" s="109">
        <f t="shared" si="568"/>
        <v>0</v>
      </c>
      <c r="M135" s="109">
        <f t="shared" si="568"/>
        <v>0</v>
      </c>
      <c r="N135" s="109">
        <f t="shared" si="568"/>
        <v>0</v>
      </c>
      <c r="O135" s="109">
        <f t="shared" si="568"/>
        <v>0</v>
      </c>
      <c r="P135" s="109">
        <f t="shared" si="568"/>
        <v>0</v>
      </c>
      <c r="Q135" s="109">
        <f t="shared" si="568"/>
        <v>0</v>
      </c>
      <c r="R135" s="109">
        <f t="shared" si="568"/>
        <v>0</v>
      </c>
      <c r="S135" s="331">
        <f t="shared" si="568"/>
        <v>0</v>
      </c>
      <c r="T135" s="228">
        <f t="shared" si="568"/>
        <v>0</v>
      </c>
      <c r="U135" s="109">
        <f t="shared" si="568"/>
        <v>0</v>
      </c>
      <c r="V135" s="109">
        <f t="shared" si="568"/>
        <v>0</v>
      </c>
      <c r="W135" s="109">
        <f t="shared" si="568"/>
        <v>0</v>
      </c>
      <c r="X135" s="109">
        <f t="shared" si="568"/>
        <v>0</v>
      </c>
      <c r="Y135" s="109">
        <f t="shared" si="568"/>
        <v>0</v>
      </c>
      <c r="Z135" s="109">
        <f t="shared" si="568"/>
        <v>0</v>
      </c>
      <c r="AA135" s="109">
        <f t="shared" si="568"/>
        <v>0</v>
      </c>
      <c r="AB135" s="109">
        <f t="shared" si="568"/>
        <v>0</v>
      </c>
      <c r="AC135" s="109">
        <f t="shared" si="568"/>
        <v>0</v>
      </c>
      <c r="AD135" s="109">
        <f t="shared" si="568"/>
        <v>0</v>
      </c>
      <c r="AE135" s="109">
        <f t="shared" si="568"/>
        <v>0</v>
      </c>
      <c r="AF135" s="109">
        <f t="shared" si="568"/>
        <v>0</v>
      </c>
      <c r="AG135" s="109">
        <f t="shared" si="568"/>
        <v>0</v>
      </c>
      <c r="AH135" s="109">
        <f t="shared" si="568"/>
        <v>0</v>
      </c>
    </row>
    <row r="136" spans="3:34" ht="15" x14ac:dyDescent="0.2">
      <c r="C136" s="345"/>
      <c r="D136" s="345"/>
      <c r="E136" s="345"/>
      <c r="F136" s="74"/>
      <c r="G136" s="74"/>
      <c r="H136" s="74"/>
      <c r="I136" s="74"/>
      <c r="J136" s="74"/>
      <c r="K136" s="74"/>
      <c r="L136" s="74"/>
      <c r="M136" s="74"/>
      <c r="N136" s="74"/>
      <c r="O136" s="74"/>
      <c r="P136" s="74"/>
      <c r="Q136" s="74"/>
      <c r="R136" s="74"/>
      <c r="S136" s="333"/>
      <c r="T136" s="74"/>
      <c r="U136" s="74"/>
      <c r="V136" s="74"/>
      <c r="W136" s="74"/>
      <c r="X136" s="74"/>
      <c r="Y136" s="74"/>
      <c r="Z136" s="74"/>
      <c r="AA136" s="74"/>
      <c r="AB136" s="74"/>
      <c r="AC136" s="74"/>
      <c r="AD136" s="74"/>
      <c r="AE136" s="74"/>
      <c r="AF136" s="74"/>
      <c r="AG136" s="74"/>
      <c r="AH136" s="74"/>
    </row>
    <row r="137" spans="3:34" ht="15" x14ac:dyDescent="0.2">
      <c r="C137" s="432" t="s">
        <v>2286</v>
      </c>
      <c r="D137" s="345"/>
      <c r="E137" s="345"/>
      <c r="F137" s="74"/>
      <c r="G137" s="74"/>
      <c r="H137" s="74"/>
      <c r="I137" s="74"/>
      <c r="J137" s="74"/>
      <c r="K137" s="74"/>
      <c r="L137" s="74"/>
      <c r="M137" s="74"/>
      <c r="N137" s="74"/>
      <c r="O137" s="74"/>
      <c r="P137" s="74"/>
      <c r="Q137" s="74"/>
      <c r="R137" s="74"/>
      <c r="S137" s="333"/>
      <c r="T137" s="74"/>
      <c r="U137" s="74"/>
      <c r="V137" s="74"/>
      <c r="W137" s="74"/>
      <c r="X137" s="74"/>
      <c r="Y137" s="74"/>
      <c r="Z137" s="74"/>
      <c r="AA137" s="74"/>
      <c r="AB137" s="74"/>
      <c r="AC137" s="74"/>
      <c r="AD137" s="74"/>
      <c r="AE137" s="74"/>
      <c r="AF137" s="74"/>
      <c r="AG137" s="74"/>
      <c r="AH137" s="74"/>
    </row>
    <row r="138" spans="3:34" ht="15" thickBot="1" x14ac:dyDescent="0.25">
      <c r="C138" s="1453" t="s">
        <v>2285</v>
      </c>
      <c r="D138" s="1453"/>
      <c r="E138" s="423">
        <f>IF(OR($E122="N/A",$E122=0),0,IF($E128="Yes",(E135*$E127*$E129),E135*$E127))</f>
        <v>0</v>
      </c>
      <c r="F138" s="423">
        <f t="shared" ref="F138:AH138" si="569">IF(OR($E122="N/A",$E122=0),0,IF($E128="Yes",(F135*$E127*$E129),F135*$E127))</f>
        <v>0</v>
      </c>
      <c r="G138" s="423">
        <f t="shared" si="569"/>
        <v>0</v>
      </c>
      <c r="H138" s="423">
        <f t="shared" si="569"/>
        <v>0</v>
      </c>
      <c r="I138" s="423">
        <f t="shared" si="569"/>
        <v>0</v>
      </c>
      <c r="J138" s="423">
        <f t="shared" si="569"/>
        <v>0</v>
      </c>
      <c r="K138" s="423">
        <f t="shared" si="569"/>
        <v>0</v>
      </c>
      <c r="L138" s="423">
        <f t="shared" si="569"/>
        <v>0</v>
      </c>
      <c r="M138" s="423">
        <f t="shared" si="569"/>
        <v>0</v>
      </c>
      <c r="N138" s="423">
        <f t="shared" si="569"/>
        <v>0</v>
      </c>
      <c r="O138" s="423">
        <f t="shared" si="569"/>
        <v>0</v>
      </c>
      <c r="P138" s="423">
        <f t="shared" si="569"/>
        <v>0</v>
      </c>
      <c r="Q138" s="423">
        <f t="shared" si="569"/>
        <v>0</v>
      </c>
      <c r="R138" s="423">
        <f t="shared" si="569"/>
        <v>0</v>
      </c>
      <c r="S138" s="441">
        <f t="shared" si="569"/>
        <v>0</v>
      </c>
      <c r="T138" s="434">
        <f t="shared" si="569"/>
        <v>0</v>
      </c>
      <c r="U138" s="423">
        <f t="shared" si="569"/>
        <v>0</v>
      </c>
      <c r="V138" s="423">
        <f t="shared" si="569"/>
        <v>0</v>
      </c>
      <c r="W138" s="423">
        <f t="shared" si="569"/>
        <v>0</v>
      </c>
      <c r="X138" s="423">
        <f t="shared" si="569"/>
        <v>0</v>
      </c>
      <c r="Y138" s="423">
        <f t="shared" si="569"/>
        <v>0</v>
      </c>
      <c r="Z138" s="423">
        <f t="shared" si="569"/>
        <v>0</v>
      </c>
      <c r="AA138" s="423">
        <f t="shared" si="569"/>
        <v>0</v>
      </c>
      <c r="AB138" s="423">
        <f t="shared" si="569"/>
        <v>0</v>
      </c>
      <c r="AC138" s="423">
        <f t="shared" si="569"/>
        <v>0</v>
      </c>
      <c r="AD138" s="423">
        <f t="shared" si="569"/>
        <v>0</v>
      </c>
      <c r="AE138" s="423">
        <f t="shared" si="569"/>
        <v>0</v>
      </c>
      <c r="AF138" s="423">
        <f t="shared" si="569"/>
        <v>0</v>
      </c>
      <c r="AG138" s="423">
        <f t="shared" si="569"/>
        <v>0</v>
      </c>
      <c r="AH138" s="423">
        <f t="shared" si="569"/>
        <v>0</v>
      </c>
    </row>
    <row r="139" spans="3:34" ht="15" thickTop="1" x14ac:dyDescent="0.2">
      <c r="C139" s="1449" t="s">
        <v>2189</v>
      </c>
      <c r="D139" s="1449"/>
      <c r="E139" s="316">
        <f>IF(OR($E122="N/A",E133&gt;$E125,E133&lt;$E126),0,MAX(0,E122))</f>
        <v>0</v>
      </c>
      <c r="F139" s="316">
        <f t="shared" ref="F139" si="570">IF(OR($E122="N/A",F133&gt;$E125),0,IF(F133=$E126,$E122,MAX(E145,0)))</f>
        <v>0</v>
      </c>
      <c r="G139" s="316">
        <f t="shared" ref="G139" si="571">IF(OR($E122="N/A",G133&gt;$E125),0,IF(G133=$E126,$E122,MAX(F145,0)))</f>
        <v>0</v>
      </c>
      <c r="H139" s="316">
        <f t="shared" ref="H139" si="572">IF(OR($E122="N/A",H133&gt;$E125),0,IF(H133=$E126,$E122,MAX(G145,0)))</f>
        <v>0</v>
      </c>
      <c r="I139" s="316">
        <f t="shared" ref="I139" si="573">IF(OR($E122="N/A",I133&gt;$E125),0,IF(I133=$E126,$E122,MAX(H145,0)))</f>
        <v>0</v>
      </c>
      <c r="J139" s="316">
        <f t="shared" ref="J139" si="574">IF(OR($E122="N/A",J133&gt;$E125),0,IF(J133=$E126,$E122,MAX(I145,0)))</f>
        <v>0</v>
      </c>
      <c r="K139" s="316">
        <f t="shared" ref="K139" si="575">IF(OR($E122="N/A",K133&gt;$E125),0,IF(K133=$E126,$E122,MAX(J145,0)))</f>
        <v>0</v>
      </c>
      <c r="L139" s="316">
        <f t="shared" ref="L139" si="576">IF(OR($E122="N/A",L133&gt;$E125),0,IF(L133=$E126,$E122,MAX(K145,0)))</f>
        <v>0</v>
      </c>
      <c r="M139" s="316">
        <f t="shared" ref="M139" si="577">IF(OR($E122="N/A",M133&gt;$E125),0,IF(M133=$E126,$E122,MAX(L145,0)))</f>
        <v>0</v>
      </c>
      <c r="N139" s="316">
        <f t="shared" ref="N139" si="578">IF(OR($E122="N/A",N133&gt;$E125),0,IF(N133=$E126,$E122,MAX(M145,0)))</f>
        <v>0</v>
      </c>
      <c r="O139" s="316">
        <f t="shared" ref="O139" si="579">IF(OR($E122="N/A",O133&gt;$E125),0,IF(O133=$E126,$E122,MAX(N145,0)))</f>
        <v>0</v>
      </c>
      <c r="P139" s="316">
        <f t="shared" ref="P139" si="580">IF(OR($E122="N/A",P133&gt;$E125),0,IF(P133=$E126,$E122,MAX(O145,0)))</f>
        <v>0</v>
      </c>
      <c r="Q139" s="316">
        <f t="shared" ref="Q139" si="581">IF(OR($E122="N/A",Q133&gt;$E125),0,IF(Q133=$E126,$E122,MAX(P145,0)))</f>
        <v>0</v>
      </c>
      <c r="R139" s="316">
        <f t="shared" ref="R139" si="582">IF(OR($E122="N/A",R133&gt;$E125),0,IF(R133=$E126,$E122,MAX(Q145,0)))</f>
        <v>0</v>
      </c>
      <c r="S139" s="332">
        <f t="shared" ref="S139" si="583">IF(OR($E122="N/A",S133&gt;$E125),0,IF(S133=$E126,$E122,MAX(R145,0)))</f>
        <v>0</v>
      </c>
      <c r="T139" s="429">
        <f t="shared" ref="T139" si="584">IF(OR($E122="N/A",T133&gt;$E125),0,IF(T133=$E126,$E122,MAX(S145,0)))</f>
        <v>0</v>
      </c>
      <c r="U139" s="316">
        <f t="shared" ref="U139" si="585">IF(OR($E122="N/A",U133&gt;$E125),0,IF(U133=$E126,$E122,MAX(T145,0)))</f>
        <v>0</v>
      </c>
      <c r="V139" s="316">
        <f t="shared" ref="V139" si="586">IF(OR($E122="N/A",V133&gt;$E125),0,IF(V133=$E126,$E122,MAX(U145,0)))</f>
        <v>0</v>
      </c>
      <c r="W139" s="316">
        <f t="shared" ref="W139" si="587">IF(OR($E122="N/A",W133&gt;$E125),0,IF(W133=$E126,$E122,MAX(V145,0)))</f>
        <v>0</v>
      </c>
      <c r="X139" s="316">
        <f t="shared" ref="X139" si="588">IF(OR($E122="N/A",X133&gt;$E125),0,IF(X133=$E126,$E122,MAX(W145,0)))</f>
        <v>0</v>
      </c>
      <c r="Y139" s="316">
        <f t="shared" ref="Y139" si="589">IF(OR($E122="N/A",Y133&gt;$E125),0,IF(Y133=$E126,$E122,MAX(X145,0)))</f>
        <v>0</v>
      </c>
      <c r="Z139" s="316">
        <f t="shared" ref="Z139" si="590">IF(OR($E122="N/A",Z133&gt;$E125),0,IF(Z133=$E126,$E122,MAX(Y145,0)))</f>
        <v>0</v>
      </c>
      <c r="AA139" s="316">
        <f t="shared" ref="AA139" si="591">IF(OR($E122="N/A",AA133&gt;$E125),0,IF(AA133=$E126,$E122,MAX(Z145,0)))</f>
        <v>0</v>
      </c>
      <c r="AB139" s="316">
        <f t="shared" ref="AB139" si="592">IF(OR($E122="N/A",AB133&gt;$E125),0,IF(AB133=$E126,$E122,MAX(AA145,0)))</f>
        <v>0</v>
      </c>
      <c r="AC139" s="316">
        <f t="shared" ref="AC139" si="593">IF(OR($E122="N/A",AC133&gt;$E125),0,IF(AC133=$E126,$E122,MAX(AB145,0)))</f>
        <v>0</v>
      </c>
      <c r="AD139" s="316">
        <f t="shared" ref="AD139" si="594">IF(OR($E122="N/A",AD133&gt;$E125),0,IF(AD133=$E126,$E122,MAX(AC145,0)))</f>
        <v>0</v>
      </c>
      <c r="AE139" s="316">
        <f t="shared" ref="AE139" si="595">IF(OR($E122="N/A",AE133&gt;$E125),0,IF(AE133=$E126,$E122,MAX(AD145,0)))</f>
        <v>0</v>
      </c>
      <c r="AF139" s="316">
        <f t="shared" ref="AF139" si="596">IF(OR($E122="N/A",AF133&gt;$E125),0,IF(AF133=$E126,$E122,MAX(AE145,0)))</f>
        <v>0</v>
      </c>
      <c r="AG139" s="316">
        <f t="shared" ref="AG139" si="597">IF(OR($E122="N/A",AG133&gt;$E125),0,IF(AG133=$E126,$E122,MAX(AF145,0)))</f>
        <v>0</v>
      </c>
      <c r="AH139" s="316">
        <f t="shared" ref="AH139" si="598">IF(OR($E122="N/A",AH133&gt;$E125),0,IF(AH133=$E126,$E122,MAX(AG145,0)))</f>
        <v>0</v>
      </c>
    </row>
    <row r="140" spans="3:34" x14ac:dyDescent="0.2">
      <c r="C140" s="1181" t="s">
        <v>2186</v>
      </c>
      <c r="D140" s="1181"/>
      <c r="E140" s="109">
        <f t="shared" ref="E140:AH140" si="599">IF(OR($E122="N/A",E133&gt;$E125,E133&lt;$E126),0,E139*$E123)</f>
        <v>0</v>
      </c>
      <c r="F140" s="109">
        <f t="shared" si="599"/>
        <v>0</v>
      </c>
      <c r="G140" s="109">
        <f t="shared" si="599"/>
        <v>0</v>
      </c>
      <c r="H140" s="109">
        <f t="shared" si="599"/>
        <v>0</v>
      </c>
      <c r="I140" s="109">
        <f t="shared" si="599"/>
        <v>0</v>
      </c>
      <c r="J140" s="109">
        <f t="shared" si="599"/>
        <v>0</v>
      </c>
      <c r="K140" s="109">
        <f t="shared" si="599"/>
        <v>0</v>
      </c>
      <c r="L140" s="109">
        <f t="shared" si="599"/>
        <v>0</v>
      </c>
      <c r="M140" s="109">
        <f t="shared" si="599"/>
        <v>0</v>
      </c>
      <c r="N140" s="109">
        <f t="shared" si="599"/>
        <v>0</v>
      </c>
      <c r="O140" s="109">
        <f t="shared" si="599"/>
        <v>0</v>
      </c>
      <c r="P140" s="109">
        <f t="shared" si="599"/>
        <v>0</v>
      </c>
      <c r="Q140" s="109">
        <f t="shared" si="599"/>
        <v>0</v>
      </c>
      <c r="R140" s="109">
        <f t="shared" si="599"/>
        <v>0</v>
      </c>
      <c r="S140" s="331">
        <f t="shared" si="599"/>
        <v>0</v>
      </c>
      <c r="T140" s="228">
        <f t="shared" si="599"/>
        <v>0</v>
      </c>
      <c r="U140" s="109">
        <f t="shared" si="599"/>
        <v>0</v>
      </c>
      <c r="V140" s="109">
        <f t="shared" si="599"/>
        <v>0</v>
      </c>
      <c r="W140" s="109">
        <f t="shared" si="599"/>
        <v>0</v>
      </c>
      <c r="X140" s="109">
        <f t="shared" si="599"/>
        <v>0</v>
      </c>
      <c r="Y140" s="109">
        <f t="shared" si="599"/>
        <v>0</v>
      </c>
      <c r="Z140" s="109">
        <f t="shared" si="599"/>
        <v>0</v>
      </c>
      <c r="AA140" s="109">
        <f t="shared" si="599"/>
        <v>0</v>
      </c>
      <c r="AB140" s="109">
        <f t="shared" si="599"/>
        <v>0</v>
      </c>
      <c r="AC140" s="109">
        <f t="shared" si="599"/>
        <v>0</v>
      </c>
      <c r="AD140" s="109">
        <f t="shared" si="599"/>
        <v>0</v>
      </c>
      <c r="AE140" s="109">
        <f t="shared" si="599"/>
        <v>0</v>
      </c>
      <c r="AF140" s="109">
        <f t="shared" si="599"/>
        <v>0</v>
      </c>
      <c r="AG140" s="109">
        <f t="shared" si="599"/>
        <v>0</v>
      </c>
      <c r="AH140" s="109">
        <f t="shared" si="599"/>
        <v>0</v>
      </c>
    </row>
    <row r="141" spans="3:34" x14ac:dyDescent="0.2">
      <c r="C141" s="1181" t="s">
        <v>2270</v>
      </c>
      <c r="D141" s="1181"/>
      <c r="E141" s="346">
        <f t="shared" ref="E141:AH141" si="600">IF(OR($E122="N/A",E133&gt;$E125,E133&lt;$E126),0,MAX(0,MIN(E140,E138)))</f>
        <v>0</v>
      </c>
      <c r="F141" s="346">
        <f t="shared" si="600"/>
        <v>0</v>
      </c>
      <c r="G141" s="346">
        <f t="shared" si="600"/>
        <v>0</v>
      </c>
      <c r="H141" s="346">
        <f t="shared" si="600"/>
        <v>0</v>
      </c>
      <c r="I141" s="346">
        <f t="shared" si="600"/>
        <v>0</v>
      </c>
      <c r="J141" s="346">
        <f t="shared" si="600"/>
        <v>0</v>
      </c>
      <c r="K141" s="346">
        <f t="shared" si="600"/>
        <v>0</v>
      </c>
      <c r="L141" s="346">
        <f t="shared" si="600"/>
        <v>0</v>
      </c>
      <c r="M141" s="346">
        <f t="shared" si="600"/>
        <v>0</v>
      </c>
      <c r="N141" s="346">
        <f t="shared" si="600"/>
        <v>0</v>
      </c>
      <c r="O141" s="346">
        <f t="shared" si="600"/>
        <v>0</v>
      </c>
      <c r="P141" s="346">
        <f t="shared" si="600"/>
        <v>0</v>
      </c>
      <c r="Q141" s="346">
        <f t="shared" si="600"/>
        <v>0</v>
      </c>
      <c r="R141" s="346">
        <f t="shared" si="600"/>
        <v>0</v>
      </c>
      <c r="S141" s="442">
        <f t="shared" si="600"/>
        <v>0</v>
      </c>
      <c r="T141" s="435">
        <f t="shared" si="600"/>
        <v>0</v>
      </c>
      <c r="U141" s="346">
        <f t="shared" si="600"/>
        <v>0</v>
      </c>
      <c r="V141" s="346">
        <f t="shared" si="600"/>
        <v>0</v>
      </c>
      <c r="W141" s="346">
        <f t="shared" si="600"/>
        <v>0</v>
      </c>
      <c r="X141" s="346">
        <f t="shared" si="600"/>
        <v>0</v>
      </c>
      <c r="Y141" s="346">
        <f t="shared" si="600"/>
        <v>0</v>
      </c>
      <c r="Z141" s="346">
        <f t="shared" si="600"/>
        <v>0</v>
      </c>
      <c r="AA141" s="346">
        <f t="shared" si="600"/>
        <v>0</v>
      </c>
      <c r="AB141" s="346">
        <f t="shared" si="600"/>
        <v>0</v>
      </c>
      <c r="AC141" s="346">
        <f t="shared" si="600"/>
        <v>0</v>
      </c>
      <c r="AD141" s="346">
        <f t="shared" si="600"/>
        <v>0</v>
      </c>
      <c r="AE141" s="346">
        <f t="shared" si="600"/>
        <v>0</v>
      </c>
      <c r="AF141" s="346">
        <f t="shared" si="600"/>
        <v>0</v>
      </c>
      <c r="AG141" s="346">
        <f t="shared" si="600"/>
        <v>0</v>
      </c>
      <c r="AH141" s="346">
        <f t="shared" si="600"/>
        <v>0</v>
      </c>
    </row>
    <row r="142" spans="3:34" x14ac:dyDescent="0.2">
      <c r="C142" s="1181" t="s">
        <v>2271</v>
      </c>
      <c r="D142" s="1181"/>
      <c r="E142" s="346">
        <f t="shared" ref="E142:AH142" si="601">IF(OR($E122="N/A",E133&gt;$E125,E133&lt;$E126),0,E141-E140)</f>
        <v>0</v>
      </c>
      <c r="F142" s="346">
        <f t="shared" si="601"/>
        <v>0</v>
      </c>
      <c r="G142" s="346">
        <f t="shared" si="601"/>
        <v>0</v>
      </c>
      <c r="H142" s="346">
        <f t="shared" si="601"/>
        <v>0</v>
      </c>
      <c r="I142" s="346">
        <f t="shared" si="601"/>
        <v>0</v>
      </c>
      <c r="J142" s="346">
        <f t="shared" si="601"/>
        <v>0</v>
      </c>
      <c r="K142" s="346">
        <f t="shared" si="601"/>
        <v>0</v>
      </c>
      <c r="L142" s="346">
        <f t="shared" si="601"/>
        <v>0</v>
      </c>
      <c r="M142" s="346">
        <f t="shared" si="601"/>
        <v>0</v>
      </c>
      <c r="N142" s="346">
        <f t="shared" si="601"/>
        <v>0</v>
      </c>
      <c r="O142" s="346">
        <f t="shared" si="601"/>
        <v>0</v>
      </c>
      <c r="P142" s="346">
        <f t="shared" si="601"/>
        <v>0</v>
      </c>
      <c r="Q142" s="346">
        <f t="shared" si="601"/>
        <v>0</v>
      </c>
      <c r="R142" s="346">
        <f t="shared" si="601"/>
        <v>0</v>
      </c>
      <c r="S142" s="442">
        <f t="shared" si="601"/>
        <v>0</v>
      </c>
      <c r="T142" s="435">
        <f t="shared" si="601"/>
        <v>0</v>
      </c>
      <c r="U142" s="346">
        <f t="shared" si="601"/>
        <v>0</v>
      </c>
      <c r="V142" s="346">
        <f t="shared" si="601"/>
        <v>0</v>
      </c>
      <c r="W142" s="346">
        <f t="shared" si="601"/>
        <v>0</v>
      </c>
      <c r="X142" s="346">
        <f t="shared" si="601"/>
        <v>0</v>
      </c>
      <c r="Y142" s="346">
        <f t="shared" si="601"/>
        <v>0</v>
      </c>
      <c r="Z142" s="346">
        <f t="shared" si="601"/>
        <v>0</v>
      </c>
      <c r="AA142" s="346">
        <f t="shared" si="601"/>
        <v>0</v>
      </c>
      <c r="AB142" s="346">
        <f t="shared" si="601"/>
        <v>0</v>
      </c>
      <c r="AC142" s="346">
        <f t="shared" si="601"/>
        <v>0</v>
      </c>
      <c r="AD142" s="346">
        <f t="shared" si="601"/>
        <v>0</v>
      </c>
      <c r="AE142" s="346">
        <f t="shared" si="601"/>
        <v>0</v>
      </c>
      <c r="AF142" s="346">
        <f t="shared" si="601"/>
        <v>0</v>
      </c>
      <c r="AG142" s="346">
        <f t="shared" si="601"/>
        <v>0</v>
      </c>
      <c r="AH142" s="346">
        <f t="shared" si="601"/>
        <v>0</v>
      </c>
    </row>
    <row r="143" spans="3:34" ht="15" thickBot="1" x14ac:dyDescent="0.25">
      <c r="C143" s="1448" t="s">
        <v>2272</v>
      </c>
      <c r="D143" s="1448"/>
      <c r="E143" s="411">
        <f>IF(OR($E122="N/A",E133&gt;$E125,E133&lt;$E126),0,MAX(0,MIN(E138-E141,E139)))</f>
        <v>0</v>
      </c>
      <c r="F143" s="411">
        <f>IF(OR($E122="N/A",F133&gt;$E125,F133&lt;$E126),0,MAX(0,MIN(F138-F141,F139)))</f>
        <v>0</v>
      </c>
      <c r="G143" s="411">
        <f t="shared" ref="G143:AH143" si="602">IF(OR($E122="N/A",G133&gt;$E125,G133&lt;$E126),0,MAX(0,MIN(G138-G141,G139)))</f>
        <v>0</v>
      </c>
      <c r="H143" s="411">
        <f t="shared" si="602"/>
        <v>0</v>
      </c>
      <c r="I143" s="411">
        <f t="shared" si="602"/>
        <v>0</v>
      </c>
      <c r="J143" s="411">
        <f t="shared" si="602"/>
        <v>0</v>
      </c>
      <c r="K143" s="411">
        <f t="shared" si="602"/>
        <v>0</v>
      </c>
      <c r="L143" s="411">
        <f t="shared" si="602"/>
        <v>0</v>
      </c>
      <c r="M143" s="411">
        <f t="shared" si="602"/>
        <v>0</v>
      </c>
      <c r="N143" s="411">
        <f t="shared" si="602"/>
        <v>0</v>
      </c>
      <c r="O143" s="411">
        <f t="shared" si="602"/>
        <v>0</v>
      </c>
      <c r="P143" s="411">
        <f t="shared" si="602"/>
        <v>0</v>
      </c>
      <c r="Q143" s="411">
        <f t="shared" si="602"/>
        <v>0</v>
      </c>
      <c r="R143" s="411">
        <f t="shared" si="602"/>
        <v>0</v>
      </c>
      <c r="S143" s="443">
        <f t="shared" si="602"/>
        <v>0</v>
      </c>
      <c r="T143" s="431">
        <f t="shared" si="602"/>
        <v>0</v>
      </c>
      <c r="U143" s="411">
        <f t="shared" si="602"/>
        <v>0</v>
      </c>
      <c r="V143" s="411">
        <f t="shared" si="602"/>
        <v>0</v>
      </c>
      <c r="W143" s="411">
        <f t="shared" si="602"/>
        <v>0</v>
      </c>
      <c r="X143" s="411">
        <f t="shared" si="602"/>
        <v>0</v>
      </c>
      <c r="Y143" s="411">
        <f t="shared" si="602"/>
        <v>0</v>
      </c>
      <c r="Z143" s="411">
        <f t="shared" si="602"/>
        <v>0</v>
      </c>
      <c r="AA143" s="411">
        <f t="shared" si="602"/>
        <v>0</v>
      </c>
      <c r="AB143" s="411">
        <f t="shared" si="602"/>
        <v>0</v>
      </c>
      <c r="AC143" s="411">
        <f t="shared" si="602"/>
        <v>0</v>
      </c>
      <c r="AD143" s="411">
        <f t="shared" si="602"/>
        <v>0</v>
      </c>
      <c r="AE143" s="411">
        <f t="shared" si="602"/>
        <v>0</v>
      </c>
      <c r="AF143" s="411">
        <f t="shared" si="602"/>
        <v>0</v>
      </c>
      <c r="AG143" s="411">
        <f t="shared" si="602"/>
        <v>0</v>
      </c>
      <c r="AH143" s="411">
        <f t="shared" si="602"/>
        <v>0</v>
      </c>
    </row>
    <row r="144" spans="3:34" ht="15" thickTop="1" x14ac:dyDescent="0.2">
      <c r="C144" s="1449" t="s">
        <v>2282</v>
      </c>
      <c r="D144" s="1449"/>
      <c r="E144" s="430">
        <f>SUM(E141,E143)</f>
        <v>0</v>
      </c>
      <c r="F144" s="430">
        <f>SUM(F141,F143)</f>
        <v>0</v>
      </c>
      <c r="G144" s="430">
        <f t="shared" ref="G144" si="603">SUM(G141,G143)</f>
        <v>0</v>
      </c>
      <c r="H144" s="430">
        <f t="shared" ref="H144" si="604">SUM(H141,H143)</f>
        <v>0</v>
      </c>
      <c r="I144" s="430">
        <f t="shared" ref="I144" si="605">SUM(I141,I143)</f>
        <v>0</v>
      </c>
      <c r="J144" s="430">
        <f t="shared" ref="J144" si="606">SUM(J141,J143)</f>
        <v>0</v>
      </c>
      <c r="K144" s="430">
        <f t="shared" ref="K144" si="607">SUM(K141,K143)</f>
        <v>0</v>
      </c>
      <c r="L144" s="430">
        <f t="shared" ref="L144" si="608">SUM(L141,L143)</f>
        <v>0</v>
      </c>
      <c r="M144" s="430">
        <f t="shared" ref="M144" si="609">SUM(M141,M143)</f>
        <v>0</v>
      </c>
      <c r="N144" s="430">
        <f t="shared" ref="N144" si="610">SUM(N141,N143)</f>
        <v>0</v>
      </c>
      <c r="O144" s="430">
        <f t="shared" ref="O144" si="611">SUM(O141,O143)</f>
        <v>0</v>
      </c>
      <c r="P144" s="430">
        <f t="shared" ref="P144" si="612">SUM(P141,P143)</f>
        <v>0</v>
      </c>
      <c r="Q144" s="430">
        <f t="shared" ref="Q144" si="613">SUM(Q141,Q143)</f>
        <v>0</v>
      </c>
      <c r="R144" s="430">
        <f t="shared" ref="R144" si="614">SUM(R141,R143)</f>
        <v>0</v>
      </c>
      <c r="S144" s="444">
        <f t="shared" ref="S144" si="615">SUM(S141,S143)</f>
        <v>0</v>
      </c>
      <c r="T144" s="436">
        <f t="shared" ref="T144" si="616">SUM(T141,T143)</f>
        <v>0</v>
      </c>
      <c r="U144" s="430">
        <f t="shared" ref="U144" si="617">SUM(U141,U143)</f>
        <v>0</v>
      </c>
      <c r="V144" s="430">
        <f t="shared" ref="V144" si="618">SUM(V141,V143)</f>
        <v>0</v>
      </c>
      <c r="W144" s="430">
        <f t="shared" ref="W144" si="619">SUM(W141,W143)</f>
        <v>0</v>
      </c>
      <c r="X144" s="430">
        <f t="shared" ref="X144" si="620">SUM(X141,X143)</f>
        <v>0</v>
      </c>
      <c r="Y144" s="430">
        <f t="shared" ref="Y144" si="621">SUM(Y141,Y143)</f>
        <v>0</v>
      </c>
      <c r="Z144" s="430">
        <f t="shared" ref="Z144" si="622">SUM(Z141,Z143)</f>
        <v>0</v>
      </c>
      <c r="AA144" s="430">
        <f t="shared" ref="AA144" si="623">SUM(AA141,AA143)</f>
        <v>0</v>
      </c>
      <c r="AB144" s="430">
        <f t="shared" ref="AB144" si="624">SUM(AB141,AB143)</f>
        <v>0</v>
      </c>
      <c r="AC144" s="430">
        <f t="shared" ref="AC144" si="625">SUM(AC141,AC143)</f>
        <v>0</v>
      </c>
      <c r="AD144" s="430">
        <f t="shared" ref="AD144" si="626">SUM(AD141,AD143)</f>
        <v>0</v>
      </c>
      <c r="AE144" s="430">
        <f t="shared" ref="AE144" si="627">SUM(AE141,AE143)</f>
        <v>0</v>
      </c>
      <c r="AF144" s="430">
        <f t="shared" ref="AF144" si="628">SUM(AF141,AF143)</f>
        <v>0</v>
      </c>
      <c r="AG144" s="430">
        <f t="shared" ref="AG144" si="629">SUM(AG141,AG143)</f>
        <v>0</v>
      </c>
      <c r="AH144" s="430">
        <f t="shared" ref="AH144" si="630">SUM(AH141,AH143)</f>
        <v>0</v>
      </c>
    </row>
    <row r="145" spans="3:34" x14ac:dyDescent="0.2">
      <c r="C145" s="1181" t="s">
        <v>2190</v>
      </c>
      <c r="D145" s="1181"/>
      <c r="E145" s="342">
        <f>IF(OR($E122="N/A",E133&gt;$E125,E133&lt;$E126),0,IF($E124="Compound",E139-E143-E142,MAX(0,E139-E143)))</f>
        <v>0</v>
      </c>
      <c r="F145" s="342">
        <f>IF(OR($E122="N/A",F133&gt;$E125,F133&lt;$E126),0,IF($E124="Compound",F139-F143-F142,MAX(0,F139-F143)))</f>
        <v>0</v>
      </c>
      <c r="G145" s="342">
        <f t="shared" ref="G145:AH145" si="631">IF(OR($E122="N/A",G133&gt;$E125,G133&lt;$E126),0,IF($E124="Compound",G139-G143-G142,MAX(0,G139-G143)))</f>
        <v>0</v>
      </c>
      <c r="H145" s="342">
        <f t="shared" si="631"/>
        <v>0</v>
      </c>
      <c r="I145" s="342">
        <f t="shared" si="631"/>
        <v>0</v>
      </c>
      <c r="J145" s="342">
        <f t="shared" si="631"/>
        <v>0</v>
      </c>
      <c r="K145" s="342">
        <f t="shared" si="631"/>
        <v>0</v>
      </c>
      <c r="L145" s="342">
        <f t="shared" si="631"/>
        <v>0</v>
      </c>
      <c r="M145" s="342">
        <f t="shared" si="631"/>
        <v>0</v>
      </c>
      <c r="N145" s="342">
        <f t="shared" si="631"/>
        <v>0</v>
      </c>
      <c r="O145" s="342">
        <f t="shared" si="631"/>
        <v>0</v>
      </c>
      <c r="P145" s="342">
        <f t="shared" si="631"/>
        <v>0</v>
      </c>
      <c r="Q145" s="342">
        <f t="shared" si="631"/>
        <v>0</v>
      </c>
      <c r="R145" s="342">
        <f t="shared" si="631"/>
        <v>0</v>
      </c>
      <c r="S145" s="445">
        <f t="shared" si="631"/>
        <v>0</v>
      </c>
      <c r="T145" s="437">
        <f t="shared" si="631"/>
        <v>0</v>
      </c>
      <c r="U145" s="342">
        <f t="shared" si="631"/>
        <v>0</v>
      </c>
      <c r="V145" s="342">
        <f t="shared" si="631"/>
        <v>0</v>
      </c>
      <c r="W145" s="342">
        <f t="shared" si="631"/>
        <v>0</v>
      </c>
      <c r="X145" s="342">
        <f t="shared" si="631"/>
        <v>0</v>
      </c>
      <c r="Y145" s="342">
        <f t="shared" si="631"/>
        <v>0</v>
      </c>
      <c r="Z145" s="342">
        <f t="shared" si="631"/>
        <v>0</v>
      </c>
      <c r="AA145" s="342">
        <f t="shared" si="631"/>
        <v>0</v>
      </c>
      <c r="AB145" s="342">
        <f t="shared" si="631"/>
        <v>0</v>
      </c>
      <c r="AC145" s="342">
        <f t="shared" si="631"/>
        <v>0</v>
      </c>
      <c r="AD145" s="342">
        <f t="shared" si="631"/>
        <v>0</v>
      </c>
      <c r="AE145" s="342">
        <f t="shared" si="631"/>
        <v>0</v>
      </c>
      <c r="AF145" s="342">
        <f t="shared" si="631"/>
        <v>0</v>
      </c>
      <c r="AG145" s="342">
        <f t="shared" si="631"/>
        <v>0</v>
      </c>
      <c r="AH145" s="342">
        <f t="shared" si="631"/>
        <v>0</v>
      </c>
    </row>
    <row r="146" spans="3:34" x14ac:dyDescent="0.2">
      <c r="C146" s="317"/>
      <c r="D146" s="317"/>
      <c r="E146" s="74"/>
      <c r="F146" s="74"/>
      <c r="G146" s="74"/>
      <c r="H146" s="74"/>
      <c r="I146" s="74"/>
      <c r="J146" s="74"/>
      <c r="K146" s="74"/>
      <c r="L146" s="74"/>
      <c r="M146" s="74"/>
      <c r="N146" s="74"/>
      <c r="O146" s="74"/>
      <c r="P146" s="74"/>
      <c r="Q146" s="74"/>
      <c r="R146" s="74"/>
      <c r="S146" s="333"/>
      <c r="T146" s="74"/>
      <c r="U146" s="74"/>
      <c r="V146" s="74"/>
      <c r="W146" s="74"/>
      <c r="X146" s="74"/>
      <c r="Y146" s="74"/>
      <c r="Z146" s="74"/>
      <c r="AA146" s="74"/>
      <c r="AB146" s="74"/>
      <c r="AC146" s="74"/>
      <c r="AD146" s="74"/>
      <c r="AE146" s="74"/>
      <c r="AF146" s="74"/>
      <c r="AG146" s="74"/>
      <c r="AH146" s="74"/>
    </row>
    <row r="147" spans="3:34" ht="15" x14ac:dyDescent="0.2">
      <c r="C147" s="432" t="s">
        <v>2287</v>
      </c>
      <c r="D147" s="317"/>
      <c r="E147" s="74"/>
      <c r="F147" s="74"/>
      <c r="G147" s="74"/>
      <c r="H147" s="74"/>
      <c r="I147" s="74"/>
      <c r="J147" s="74"/>
      <c r="K147" s="74"/>
      <c r="L147" s="74"/>
      <c r="M147" s="74"/>
      <c r="N147" s="74"/>
      <c r="O147" s="74"/>
      <c r="P147" s="74"/>
      <c r="Q147" s="74"/>
      <c r="R147" s="74"/>
      <c r="S147" s="333"/>
      <c r="T147" s="74"/>
      <c r="U147" s="74"/>
      <c r="V147" s="74"/>
      <c r="W147" s="74"/>
      <c r="X147" s="74"/>
      <c r="Y147" s="74"/>
      <c r="Z147" s="74"/>
      <c r="AA147" s="74"/>
      <c r="AB147" s="74"/>
      <c r="AC147" s="74"/>
      <c r="AD147" s="74"/>
      <c r="AE147" s="74"/>
      <c r="AF147" s="74"/>
      <c r="AG147" s="74"/>
      <c r="AH147" s="74"/>
    </row>
    <row r="148" spans="3:34" x14ac:dyDescent="0.2">
      <c r="C148" s="1234" t="s">
        <v>2273</v>
      </c>
      <c r="D148" s="1234"/>
      <c r="E148" s="421">
        <f>IF($I122="N/A",0,IF(E133&gt;$I127,0,MIN($I126,$I122*$I124)))</f>
        <v>0</v>
      </c>
      <c r="F148" s="236">
        <f t="shared" ref="F148" si="632">IF($I122="N/A",0,IF(F133&gt;$I127,0,MIN($I126,$I122*$I124*(1+$I123)^E$63)))</f>
        <v>0</v>
      </c>
      <c r="G148" s="236">
        <f t="shared" ref="G148" si="633">IF($I122="N/A",0,IF(G133&gt;$I127,0,MIN($I126,$I122*$I124*(1+$I123)^F$63)))</f>
        <v>0</v>
      </c>
      <c r="H148" s="236">
        <f t="shared" ref="H148" si="634">IF($I122="N/A",0,IF(H133&gt;$I127,0,MIN($I126,$I122*$I124*(1+$I123)^G$63)))</f>
        <v>0</v>
      </c>
      <c r="I148" s="236">
        <f t="shared" ref="I148" si="635">IF($I122="N/A",0,IF(I133&gt;$I127,0,MIN($I126,$I122*$I124*(1+$I123)^H$63)))</f>
        <v>0</v>
      </c>
      <c r="J148" s="236">
        <f t="shared" ref="J148" si="636">IF($I122="N/A",0,IF(J133&gt;$I127,0,MIN($I126,$I122*$I124*(1+$I123)^I$63)))</f>
        <v>0</v>
      </c>
      <c r="K148" s="236">
        <f t="shared" ref="K148" si="637">IF($I122="N/A",0,IF(K133&gt;$I127,0,MIN($I126,$I122*$I124*(1+$I123)^J$63)))</f>
        <v>0</v>
      </c>
      <c r="L148" s="236">
        <f t="shared" ref="L148" si="638">IF($I122="N/A",0,IF(L133&gt;$I127,0,MIN($I126,$I122*$I124*(1+$I123)^K$63)))</f>
        <v>0</v>
      </c>
      <c r="M148" s="236">
        <f t="shared" ref="M148" si="639">IF($I122="N/A",0,IF(M133&gt;$I127,0,MIN($I126,$I122*$I124*(1+$I123)^L$63)))</f>
        <v>0</v>
      </c>
      <c r="N148" s="236">
        <f t="shared" ref="N148" si="640">IF($I122="N/A",0,IF(N133&gt;$I127,0,MIN($I126,$I122*$I124*(1+$I123)^M$63)))</f>
        <v>0</v>
      </c>
      <c r="O148" s="236">
        <f t="shared" ref="O148" si="641">IF($I122="N/A",0,IF(O133&gt;$I127,0,MIN($I126,$I122*$I124*(1+$I123)^N$63)))</f>
        <v>0</v>
      </c>
      <c r="P148" s="236">
        <f t="shared" ref="P148" si="642">IF($I122="N/A",0,IF(P133&gt;$I127,0,MIN($I126,$I122*$I124*(1+$I123)^O$63)))</f>
        <v>0</v>
      </c>
      <c r="Q148" s="236">
        <f t="shared" ref="Q148" si="643">IF($I122="N/A",0,IF(Q133&gt;$I127,0,MIN($I126,$I122*$I124*(1+$I123)^P$63)))</f>
        <v>0</v>
      </c>
      <c r="R148" s="236">
        <f t="shared" ref="R148" si="644">IF($I122="N/A",0,IF(R133&gt;$I127,0,MIN($I126,$I122*$I124*(1+$I123)^Q$63)))</f>
        <v>0</v>
      </c>
      <c r="S148" s="446">
        <f t="shared" ref="S148" si="645">IF($I122="N/A",0,IF(S133&gt;$I127,0,MIN($I126,$I122*$I124*(1+$I123)^R$63)))</f>
        <v>0</v>
      </c>
      <c r="T148" s="438">
        <f t="shared" ref="T148" si="646">IF($I122="N/A",0,IF(T133&gt;$I127,0,MIN($I126,$I122*$I124*(1+$I123)^S$63)))</f>
        <v>0</v>
      </c>
      <c r="U148" s="236">
        <f t="shared" ref="U148" si="647">IF($I122="N/A",0,IF(U133&gt;$I127,0,MIN($I126,$I122*$I124*(1+$I123)^T$63)))</f>
        <v>0</v>
      </c>
      <c r="V148" s="236">
        <f t="shared" ref="V148" si="648">IF($I122="N/A",0,IF(V133&gt;$I127,0,MIN($I126,$I122*$I124*(1+$I123)^U$63)))</f>
        <v>0</v>
      </c>
      <c r="W148" s="236">
        <f t="shared" ref="W148" si="649">IF($I122="N/A",0,IF(W133&gt;$I127,0,MIN($I126,$I122*$I124*(1+$I123)^V$63)))</f>
        <v>0</v>
      </c>
      <c r="X148" s="236">
        <f t="shared" ref="X148" si="650">IF($I122="N/A",0,IF(X133&gt;$I127,0,MIN($I126,$I122*$I124*(1+$I123)^W$63)))</f>
        <v>0</v>
      </c>
      <c r="Y148" s="236">
        <f t="shared" ref="Y148" si="651">IF($I122="N/A",0,IF(Y133&gt;$I127,0,MIN($I126,$I122*$I124*(1+$I123)^X$63)))</f>
        <v>0</v>
      </c>
      <c r="Z148" s="236">
        <f t="shared" ref="Z148" si="652">IF($I122="N/A",0,IF(Z133&gt;$I127,0,MIN($I126,$I122*$I124*(1+$I123)^Y$63)))</f>
        <v>0</v>
      </c>
      <c r="AA148" s="236">
        <f t="shared" ref="AA148" si="653">IF($I122="N/A",0,IF(AA133&gt;$I127,0,MIN($I126,$I122*$I124*(1+$I123)^Z$63)))</f>
        <v>0</v>
      </c>
      <c r="AB148" s="236">
        <f t="shared" ref="AB148" si="654">IF($I122="N/A",0,IF(AB133&gt;$I127,0,MIN($I126,$I122*$I124*(1+$I123)^AA$63)))</f>
        <v>0</v>
      </c>
      <c r="AC148" s="236">
        <f t="shared" ref="AC148" si="655">IF($I122="N/A",0,IF(AC133&gt;$I127,0,MIN($I126,$I122*$I124*(1+$I123)^AB$63)))</f>
        <v>0</v>
      </c>
      <c r="AD148" s="236">
        <f t="shared" ref="AD148" si="656">IF($I122="N/A",0,IF(AD133&gt;$I127,0,MIN($I126,$I122*$I124*(1+$I123)^AC$63)))</f>
        <v>0</v>
      </c>
      <c r="AE148" s="236">
        <f t="shared" ref="AE148" si="657">IF($I122="N/A",0,IF(AE133&gt;$I127,0,MIN($I126,$I122*$I124*(1+$I123)^AD$63)))</f>
        <v>0</v>
      </c>
      <c r="AF148" s="236">
        <f t="shared" ref="AF148" si="658">IF($I122="N/A",0,IF(AF133&gt;$I127,0,MIN($I126,$I122*$I124*(1+$I123)^AE$63)))</f>
        <v>0</v>
      </c>
      <c r="AG148" s="236">
        <f t="shared" ref="AG148" si="659">IF($I122="N/A",0,IF(AG133&gt;$I127,0,MIN($I126,$I122*$I124*(1+$I123)^AF$63)))</f>
        <v>0</v>
      </c>
      <c r="AH148" s="236">
        <f t="shared" ref="AH148" si="660">IF($I122="N/A",0,IF(AH133&gt;$I127,0,MIN($I126,$I122*$I124*(1+$I123)^AG$63)))</f>
        <v>0</v>
      </c>
    </row>
    <row r="149" spans="3:34" x14ac:dyDescent="0.2">
      <c r="C149" s="1450" t="s">
        <v>2274</v>
      </c>
      <c r="D149" s="1451"/>
      <c r="E149" s="422">
        <f>IF($I122="N/A",0,IF(E133&gt;$I127,0,MAX(0,MIN(E148,$I122*$I124,E135))))</f>
        <v>0</v>
      </c>
      <c r="F149" s="521">
        <f t="shared" ref="F149" si="661">IF($I122="N/A",0,IF(F133&gt;$I127,0,IF($I125="Yes",MAX(0,MIN(F135*$I124,E151+F148,$I126)),MAX(0,MIN(F148,F135*$I124,$I126)))))</f>
        <v>0</v>
      </c>
      <c r="G149" s="521">
        <f t="shared" ref="G149" si="662">IF($I122="N/A",0,IF(G133&gt;$I127,0,IF($I125="Yes",MAX(0,MIN(G135*$I124,F151+G148,$I126)),MAX(0,MIN(G148,G135*$I124,$I126)))))</f>
        <v>0</v>
      </c>
      <c r="H149" s="521">
        <f t="shared" ref="H149" si="663">IF($I122="N/A",0,IF(H133&gt;$I127,0,IF($I125="Yes",MAX(0,MIN(H135*$I124,G151+H148,$I126)),MAX(0,MIN(H148,H135*$I124,$I126)))))</f>
        <v>0</v>
      </c>
      <c r="I149" s="521">
        <f t="shared" ref="I149" si="664">IF($I122="N/A",0,IF(I133&gt;$I127,0,IF($I125="Yes",MAX(0,MIN(I135*$I124,H151+I148,$I126)),MAX(0,MIN(I148,I135*$I124,$I126)))))</f>
        <v>0</v>
      </c>
      <c r="J149" s="521">
        <f t="shared" ref="J149" si="665">IF($I122="N/A",0,IF(J133&gt;$I127,0,IF($I125="Yes",MAX(0,MIN(J135*$I124,I151+J148,$I126)),MAX(0,MIN(J148,J135*$I124,$I126)))))</f>
        <v>0</v>
      </c>
      <c r="K149" s="521">
        <f t="shared" ref="K149" si="666">IF($I122="N/A",0,IF(K133&gt;$I127,0,IF($I125="Yes",MAX(0,MIN(K135*$I124,J151+K148,$I126)),MAX(0,MIN(K148,K135*$I124,$I126)))))</f>
        <v>0</v>
      </c>
      <c r="L149" s="521">
        <f t="shared" ref="L149" si="667">IF($I122="N/A",0,IF(L133&gt;$I127,0,IF($I125="Yes",MAX(0,MIN(L135*$I124,K151+L148,$I126)),MAX(0,MIN(L148,L135*$I124,$I126)))))</f>
        <v>0</v>
      </c>
      <c r="M149" s="521">
        <f t="shared" ref="M149" si="668">IF($I122="N/A",0,IF(M133&gt;$I127,0,IF($I125="Yes",MAX(0,MIN(M135*$I124,L151+M148,$I126)),MAX(0,MIN(M148,M135*$I124,$I126)))))</f>
        <v>0</v>
      </c>
      <c r="N149" s="521">
        <f t="shared" ref="N149" si="669">IF($I122="N/A",0,IF(N133&gt;$I127,0,IF($I125="Yes",MAX(0,MIN(N135*$I124,M151+N148,$I126)),MAX(0,MIN(N148,N135*$I124,$I126)))))</f>
        <v>0</v>
      </c>
      <c r="O149" s="521">
        <f t="shared" ref="O149" si="670">IF($I122="N/A",0,IF(O133&gt;$I127,0,IF($I125="Yes",MAX(0,MIN(O135*$I124,N151+O148,$I126)),MAX(0,MIN(O148,O135*$I124,$I126)))))</f>
        <v>0</v>
      </c>
      <c r="P149" s="521">
        <f t="shared" ref="P149" si="671">IF($I122="N/A",0,IF(P133&gt;$I127,0,IF($I125="Yes",MAX(0,MIN(P135*$I124,O151+P148,$I126)),MAX(0,MIN(P148,P135*$I124,$I126)))))</f>
        <v>0</v>
      </c>
      <c r="Q149" s="521">
        <f t="shared" ref="Q149" si="672">IF($I122="N/A",0,IF(Q133&gt;$I127,0,IF($I125="Yes",MAX(0,MIN(Q135*$I124,P151+Q148,$I126)),MAX(0,MIN(Q148,Q135*$I124,$I126)))))</f>
        <v>0</v>
      </c>
      <c r="R149" s="521">
        <f t="shared" ref="R149" si="673">IF($I122="N/A",0,IF(R133&gt;$I127,0,IF($I125="Yes",MAX(0,MIN(R135*$I124,Q151+R148,$I126)),MAX(0,MIN(R148,R135*$I124,$I126)))))</f>
        <v>0</v>
      </c>
      <c r="S149" s="523">
        <f t="shared" ref="S149" si="674">IF($I122="N/A",0,IF(S133&gt;$I127,0,IF($I125="Yes",MAX(0,MIN(S135*$I124,R151+S148,$I126)),MAX(0,MIN(S148,S135*$I124,$I126)))))</f>
        <v>0</v>
      </c>
      <c r="T149" s="522">
        <f t="shared" ref="T149" si="675">IF($I122="N/A",0,IF(T133&gt;$I127,0,IF($I125="Yes",MAX(0,MIN(T135*$I124,S151+T148,$I126)),MAX(0,MIN(T148,T135*$I124,$I126)))))</f>
        <v>0</v>
      </c>
      <c r="U149" s="521">
        <f t="shared" ref="U149" si="676">IF($I122="N/A",0,IF(U133&gt;$I127,0,IF($I125="Yes",MAX(0,MIN(U135*$I124,T151+U148,$I126)),MAX(0,MIN(U148,U135*$I124,$I126)))))</f>
        <v>0</v>
      </c>
      <c r="V149" s="521">
        <f t="shared" ref="V149" si="677">IF($I122="N/A",0,IF(V133&gt;$I127,0,IF($I125="Yes",MAX(0,MIN(V135*$I124,U151+V148,$I126)),MAX(0,MIN(V148,V135*$I124,$I126)))))</f>
        <v>0</v>
      </c>
      <c r="W149" s="521">
        <f t="shared" ref="W149" si="678">IF($I122="N/A",0,IF(W133&gt;$I127,0,IF($I125="Yes",MAX(0,MIN(W135*$I124,V151+W148,$I126)),MAX(0,MIN(W148,W135*$I124,$I126)))))</f>
        <v>0</v>
      </c>
      <c r="X149" s="521">
        <f t="shared" ref="X149" si="679">IF($I122="N/A",0,IF(X133&gt;$I127,0,IF($I125="Yes",MAX(0,MIN(X135*$I124,W151+X148,$I126)),MAX(0,MIN(X148,X135*$I124,$I126)))))</f>
        <v>0</v>
      </c>
      <c r="Y149" s="521">
        <f t="shared" ref="Y149" si="680">IF($I122="N/A",0,IF(Y133&gt;$I127,0,IF($I125="Yes",MAX(0,MIN(Y135*$I124,X151+Y148,$I126)),MAX(0,MIN(Y148,Y135*$I124,$I126)))))</f>
        <v>0</v>
      </c>
      <c r="Z149" s="521">
        <f t="shared" ref="Z149" si="681">IF($I122="N/A",0,IF(Z133&gt;$I127,0,IF($I125="Yes",MAX(0,MIN(Z135*$I124,Y151+Z148,$I126)),MAX(0,MIN(Z148,Z135*$I124,$I126)))))</f>
        <v>0</v>
      </c>
      <c r="AA149" s="521">
        <f t="shared" ref="AA149" si="682">IF($I122="N/A",0,IF(AA133&gt;$I127,0,IF($I125="Yes",MAX(0,MIN(AA135*$I124,Z151+AA148,$I126)),MAX(0,MIN(AA148,AA135*$I124,$I126)))))</f>
        <v>0</v>
      </c>
      <c r="AB149" s="521">
        <f t="shared" ref="AB149" si="683">IF($I122="N/A",0,IF(AB133&gt;$I127,0,IF($I125="Yes",MAX(0,MIN(AB135*$I124,AA151+AB148,$I126)),MAX(0,MIN(AB148,AB135*$I124,$I126)))))</f>
        <v>0</v>
      </c>
      <c r="AC149" s="521">
        <f t="shared" ref="AC149" si="684">IF($I122="N/A",0,IF(AC133&gt;$I127,0,IF($I125="Yes",MAX(0,MIN(AC135*$I124,AB151+AC148,$I126)),MAX(0,MIN(AC148,AC135*$I124,$I126)))))</f>
        <v>0</v>
      </c>
      <c r="AD149" s="521">
        <f t="shared" ref="AD149" si="685">IF($I122="N/A",0,IF(AD133&gt;$I127,0,IF($I125="Yes",MAX(0,MIN(AD135*$I124,AC151+AD148,$I126)),MAX(0,MIN(AD148,AD135*$I124,$I126)))))</f>
        <v>0</v>
      </c>
      <c r="AE149" s="521">
        <f t="shared" ref="AE149" si="686">IF($I122="N/A",0,IF(AE133&gt;$I127,0,IF($I125="Yes",MAX(0,MIN(AE135*$I124,AD151+AE148,$I126)),MAX(0,MIN(AE148,AE135*$I124,$I126)))))</f>
        <v>0</v>
      </c>
      <c r="AF149" s="521">
        <f t="shared" ref="AF149" si="687">IF($I122="N/A",0,IF(AF133&gt;$I127,0,IF($I125="Yes",MAX(0,MIN(AF135*$I124,AE151+AF148,$I126)),MAX(0,MIN(AF148,AF135*$I124,$I126)))))</f>
        <v>0</v>
      </c>
      <c r="AG149" s="521">
        <f t="shared" ref="AG149" si="688">IF($I122="N/A",0,IF(AG133&gt;$I127,0,IF($I125="Yes",MAX(0,MIN(AG135*$I124,AF151+AG148,$I126)),MAX(0,MIN(AG148,AG135*$I124,$I126)))))</f>
        <v>0</v>
      </c>
      <c r="AH149" s="521">
        <f t="shared" ref="AH149" si="689">IF($I122="N/A",0,IF(AH133&gt;$I127,0,IF($I125="Yes",MAX(0,MIN(AH135*$I124,AG151+AH148,$I126)),MAX(0,MIN(AH148,AH135*$I124,$I126)))))</f>
        <v>0</v>
      </c>
    </row>
    <row r="150" spans="3:34" x14ac:dyDescent="0.2">
      <c r="C150" s="1168" t="s">
        <v>2275</v>
      </c>
      <c r="D150" s="1170"/>
      <c r="E150" s="421">
        <f>IF($I125="Yes",IF(E133&gt;$I127,0,E148-E149),0)</f>
        <v>0</v>
      </c>
      <c r="F150" s="421">
        <f t="shared" ref="F150:AH150" si="690">IF($I122="N/A",0,IF(F134&gt;$I127,0,IF($I125="Yes",F148-F149,0)))</f>
        <v>0</v>
      </c>
      <c r="G150" s="421">
        <f t="shared" si="690"/>
        <v>0</v>
      </c>
      <c r="H150" s="421">
        <f t="shared" si="690"/>
        <v>0</v>
      </c>
      <c r="I150" s="421">
        <f t="shared" si="690"/>
        <v>0</v>
      </c>
      <c r="J150" s="421">
        <f t="shared" si="690"/>
        <v>0</v>
      </c>
      <c r="K150" s="421">
        <f t="shared" si="690"/>
        <v>0</v>
      </c>
      <c r="L150" s="421">
        <f t="shared" si="690"/>
        <v>0</v>
      </c>
      <c r="M150" s="421">
        <f t="shared" si="690"/>
        <v>0</v>
      </c>
      <c r="N150" s="421">
        <f t="shared" si="690"/>
        <v>0</v>
      </c>
      <c r="O150" s="421">
        <f t="shared" si="690"/>
        <v>0</v>
      </c>
      <c r="P150" s="421">
        <f t="shared" si="690"/>
        <v>0</v>
      </c>
      <c r="Q150" s="421">
        <f t="shared" si="690"/>
        <v>0</v>
      </c>
      <c r="R150" s="421">
        <f t="shared" si="690"/>
        <v>0</v>
      </c>
      <c r="S150" s="447">
        <f t="shared" si="690"/>
        <v>0</v>
      </c>
      <c r="T150" s="439">
        <f t="shared" si="690"/>
        <v>0</v>
      </c>
      <c r="U150" s="421">
        <f t="shared" si="690"/>
        <v>0</v>
      </c>
      <c r="V150" s="421">
        <f t="shared" si="690"/>
        <v>0</v>
      </c>
      <c r="W150" s="421">
        <f t="shared" si="690"/>
        <v>0</v>
      </c>
      <c r="X150" s="421">
        <f t="shared" si="690"/>
        <v>0</v>
      </c>
      <c r="Y150" s="421">
        <f t="shared" si="690"/>
        <v>0</v>
      </c>
      <c r="Z150" s="421">
        <f t="shared" si="690"/>
        <v>0</v>
      </c>
      <c r="AA150" s="421">
        <f t="shared" si="690"/>
        <v>0</v>
      </c>
      <c r="AB150" s="421">
        <f t="shared" si="690"/>
        <v>0</v>
      </c>
      <c r="AC150" s="421">
        <f t="shared" si="690"/>
        <v>0</v>
      </c>
      <c r="AD150" s="421">
        <f t="shared" si="690"/>
        <v>0</v>
      </c>
      <c r="AE150" s="421">
        <f t="shared" si="690"/>
        <v>0</v>
      </c>
      <c r="AF150" s="421">
        <f t="shared" si="690"/>
        <v>0</v>
      </c>
      <c r="AG150" s="421">
        <f t="shared" si="690"/>
        <v>0</v>
      </c>
      <c r="AH150" s="421">
        <f t="shared" si="690"/>
        <v>0</v>
      </c>
    </row>
    <row r="151" spans="3:34" x14ac:dyDescent="0.2">
      <c r="C151" s="1168" t="s">
        <v>2276</v>
      </c>
      <c r="D151" s="1170"/>
      <c r="E151" s="421">
        <f>E150</f>
        <v>0</v>
      </c>
      <c r="F151" s="236">
        <f t="shared" ref="F151" si="691">IF($I122="N/A",0,IF(F133&gt;$I127,0,E151+F150))</f>
        <v>0</v>
      </c>
      <c r="G151" s="236">
        <f t="shared" ref="G151" si="692">IF($I122="N/A",0,IF(G133&gt;$I127,0,F151+G150))</f>
        <v>0</v>
      </c>
      <c r="H151" s="236">
        <f t="shared" ref="H151" si="693">IF($I122="N/A",0,IF(H133&gt;$I127,0,G151+H150))</f>
        <v>0</v>
      </c>
      <c r="I151" s="236">
        <f t="shared" ref="I151" si="694">IF($I122="N/A",0,IF(I133&gt;$I127,0,H151+I150))</f>
        <v>0</v>
      </c>
      <c r="J151" s="236">
        <f t="shared" ref="J151" si="695">IF($I122="N/A",0,IF(J133&gt;$I127,0,I151+J150))</f>
        <v>0</v>
      </c>
      <c r="K151" s="236">
        <f t="shared" ref="K151" si="696">IF($I122="N/A",0,IF(K133&gt;$I127,0,J151+K150))</f>
        <v>0</v>
      </c>
      <c r="L151" s="236">
        <f t="shared" ref="L151" si="697">IF($I122="N/A",0,IF(L133&gt;$I127,0,K151+L150))</f>
        <v>0</v>
      </c>
      <c r="M151" s="236">
        <f t="shared" ref="M151" si="698">IF($I122="N/A",0,IF(M133&gt;$I127,0,L151+M150))</f>
        <v>0</v>
      </c>
      <c r="N151" s="236">
        <f t="shared" ref="N151" si="699">IF($I122="N/A",0,IF(N133&gt;$I127,0,M151+N150))</f>
        <v>0</v>
      </c>
      <c r="O151" s="236">
        <f t="shared" ref="O151" si="700">IF($I122="N/A",0,IF(O133&gt;$I127,0,N151+O150))</f>
        <v>0</v>
      </c>
      <c r="P151" s="236">
        <f t="shared" ref="P151" si="701">IF($I122="N/A",0,IF(P133&gt;$I127,0,O151+P150))</f>
        <v>0</v>
      </c>
      <c r="Q151" s="236">
        <f t="shared" ref="Q151" si="702">IF($I122="N/A",0,IF(Q133&gt;$I127,0,P151+Q150))</f>
        <v>0</v>
      </c>
      <c r="R151" s="236">
        <f t="shared" ref="R151" si="703">IF($I122="N/A",0,IF(R133&gt;$I127,0,Q151+R150))</f>
        <v>0</v>
      </c>
      <c r="S151" s="446">
        <f t="shared" ref="S151" si="704">IF($I122="N/A",0,IF(S133&gt;$I127,0,R151+S150))</f>
        <v>0</v>
      </c>
      <c r="T151" s="438">
        <f t="shared" ref="T151" si="705">IF($I122="N/A",0,IF(T133&gt;$I127,0,S151+T150))</f>
        <v>0</v>
      </c>
      <c r="U151" s="236">
        <f t="shared" ref="U151" si="706">IF($I122="N/A",0,IF(U133&gt;$I127,0,T151+U150))</f>
        <v>0</v>
      </c>
      <c r="V151" s="236">
        <f t="shared" ref="V151" si="707">IF($I122="N/A",0,IF(V133&gt;$I127,0,U151+V150))</f>
        <v>0</v>
      </c>
      <c r="W151" s="236">
        <f t="shared" ref="W151" si="708">IF($I122="N/A",0,IF(W133&gt;$I127,0,V151+W150))</f>
        <v>0</v>
      </c>
      <c r="X151" s="236">
        <f t="shared" ref="X151" si="709">IF($I122="N/A",0,IF(X133&gt;$I127,0,W151+X150))</f>
        <v>0</v>
      </c>
      <c r="Y151" s="236">
        <f t="shared" ref="Y151" si="710">IF($I122="N/A",0,IF(Y133&gt;$I127,0,X151+Y150))</f>
        <v>0</v>
      </c>
      <c r="Z151" s="236">
        <f t="shared" ref="Z151" si="711">IF($I122="N/A",0,IF(Z133&gt;$I127,0,Y151+Z150))</f>
        <v>0</v>
      </c>
      <c r="AA151" s="236">
        <f t="shared" ref="AA151" si="712">IF($I122="N/A",0,IF(AA133&gt;$I127,0,Z151+AA150))</f>
        <v>0</v>
      </c>
      <c r="AB151" s="236">
        <f t="shared" ref="AB151" si="713">IF($I122="N/A",0,IF(AB133&gt;$I127,0,AA151+AB150))</f>
        <v>0</v>
      </c>
      <c r="AC151" s="236">
        <f t="shared" ref="AC151" si="714">IF($I122="N/A",0,IF(AC133&gt;$I127,0,AB151+AC150))</f>
        <v>0</v>
      </c>
      <c r="AD151" s="236">
        <f t="shared" ref="AD151" si="715">IF($I122="N/A",0,IF(AD133&gt;$I127,0,AC151+AD150))</f>
        <v>0</v>
      </c>
      <c r="AE151" s="236">
        <f t="shared" ref="AE151" si="716">IF($I122="N/A",0,IF(AE133&gt;$I127,0,AD151+AE150))</f>
        <v>0</v>
      </c>
      <c r="AF151" s="236">
        <f t="shared" ref="AF151" si="717">IF($I122="N/A",0,IF(AF133&gt;$I127,0,AE151+AF150))</f>
        <v>0</v>
      </c>
      <c r="AG151" s="236">
        <f t="shared" ref="AG151" si="718">IF($I122="N/A",0,IF(AG133&gt;$I127,0,AF151+AG150))</f>
        <v>0</v>
      </c>
      <c r="AH151" s="236">
        <f t="shared" ref="AH151" si="719">IF($I122="N/A",0,IF(AH133&gt;$I127,0,AG151+AH150))</f>
        <v>0</v>
      </c>
    </row>
    <row r="154" spans="3:34" ht="15" x14ac:dyDescent="0.2">
      <c r="C154" s="1456" t="str">
        <f>IF(Sources!$D$71="","N/A",Sources!$D$71)</f>
        <v>N/A</v>
      </c>
      <c r="D154" s="1456"/>
      <c r="E154" s="1456"/>
      <c r="F154" s="412" t="s">
        <v>2266</v>
      </c>
      <c r="G154" s="92" t="str">
        <f>IF(AND(ISERROR(VLOOKUP($C154,OpBudget!$C$159:$C$165,1,FALSE)),ISERROR(VLOOKUP($C154,Sources!$C$36:$C$55,1,FALSE))),"N/A",IF(ISERROR(VLOOKUP($C154,Sources!$C$36:$C$55,1,FALSE)),"Fee","Loan"))</f>
        <v>N/A</v>
      </c>
      <c r="H154" s="412"/>
      <c r="I154" s="412"/>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row>
    <row r="155" spans="3:34" ht="15" x14ac:dyDescent="0.2">
      <c r="C155" s="345"/>
      <c r="D155" s="345"/>
      <c r="E155" s="345"/>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row>
    <row r="156" spans="3:34" ht="15" x14ac:dyDescent="0.2">
      <c r="C156" s="417" t="s">
        <v>2260</v>
      </c>
      <c r="D156" s="345"/>
      <c r="E156" s="345"/>
      <c r="F156" s="74"/>
      <c r="G156" s="74" t="s">
        <v>2261</v>
      </c>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row>
    <row r="157" spans="3:34" x14ac:dyDescent="0.2">
      <c r="C157" s="1452" t="s">
        <v>2255</v>
      </c>
      <c r="D157" s="1452"/>
      <c r="E157" s="413" t="str">
        <f>IF(OR($G154="Fee",$G154="N/A"),"N/A",INDEX(Sources!$C$35:$K$55,MATCH(Loans!$C154,Sources!$C$35:$C$55,0),MATCH("Amount",Sources!$C$35:$N$35,0)))</f>
        <v>N/A</v>
      </c>
      <c r="F157" s="74"/>
      <c r="G157" s="1454" t="s">
        <v>2262</v>
      </c>
      <c r="H157" s="1454"/>
      <c r="I157" s="705" t="str">
        <f>IF(OR($G154="Loan",$G154="N/A"),"N/A",INDEX(OpBudget!$C$159:$K$165,MATCH(Loans!$C154,OpBudget!$C$159:$C$165,0),MATCH("Total Amount",OpBudget!$C$159:$K$159,0)))</f>
        <v>N/A</v>
      </c>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row>
    <row r="158" spans="3:34" x14ac:dyDescent="0.2">
      <c r="C158" s="1452" t="s">
        <v>2256</v>
      </c>
      <c r="D158" s="1452"/>
      <c r="E158" s="702" t="str">
        <f>IF(OR($G154="Fee",$G154="N/A"),"N/A",INDEX(Sources!$C$35:$K$55,MATCH(Loans!$C154,Sources!$C$35:$C$55,0),MATCH("Interest Rate",Sources!$C$35:$N$35,0)))</f>
        <v>N/A</v>
      </c>
      <c r="F158" s="74"/>
      <c r="G158" s="1454" t="s">
        <v>2268</v>
      </c>
      <c r="H158" s="1454"/>
      <c r="I158" s="703" t="str">
        <f>IF(OR($G154="Loan",$G154="N/A"),"N/A",INDEX(OpBudget!$C$159:$K$165,MATCH(Loans!$C154,OpBudget!$C$159:$C$165,0),MATCH("Annual Percent Inflator",OpBudget!$C$159:$K$159,0)))</f>
        <v>N/A</v>
      </c>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row>
    <row r="159" spans="3:34" x14ac:dyDescent="0.2">
      <c r="C159" s="1452" t="s">
        <v>2279</v>
      </c>
      <c r="D159" s="1452"/>
      <c r="E159" s="702" t="str">
        <f>IF(OR($G154="Fee",$G154="N/A"),"N/A",INDEX(Sources!$C$35:$N$55,MATCH(Loans!$C154,Sources!$C$35:$C$55,0),MATCH("Simple or Compound Interest?",Sources!$C$35:$N$35,0)))</f>
        <v>N/A</v>
      </c>
      <c r="F159" s="74"/>
      <c r="G159" s="424" t="s">
        <v>2263</v>
      </c>
      <c r="H159" s="424"/>
      <c r="I159" s="703" t="str">
        <f>IF(OR($G154="Loan",$G154="N/A"),"N/A",INDEX(Sources!$D$67:$H$82,MATCH(Loans!$C154,Sources!$D$67:$D$82,0),MATCH("Split of Cash Flow",Sources!$D$67:$H$67,0)))</f>
        <v>N/A</v>
      </c>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row>
    <row r="160" spans="3:34" x14ac:dyDescent="0.2">
      <c r="C160" s="1452" t="s">
        <v>2257</v>
      </c>
      <c r="D160" s="1452"/>
      <c r="E160" s="420" t="str">
        <f>IF(OR($G154="Fee",$G154="N/A"),"N/A",INDEX(Sources!$C$35:$K$55,MATCH(Loans!$C154,Sources!$C$35:$C$55,0),MATCH("Term (Years)",Sources!$C$35:$N$35,0)))</f>
        <v>N/A</v>
      </c>
      <c r="F160" s="74"/>
      <c r="G160" s="1454" t="s">
        <v>2281</v>
      </c>
      <c r="H160" s="1454"/>
      <c r="I160" s="703" t="str">
        <f>IF(OR($G154="Loan",$G154="N/A"),"N/A",INDEX(OpBudget!$C$159:$K$165,MATCH(Loans!$C154,OpBudget!$C$159:$C$165,0),MATCH("Accrue Unpaid Fee?",OpBudget!$C$159:$K$159,0)))</f>
        <v>N/A</v>
      </c>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row>
    <row r="161" spans="3:34" x14ac:dyDescent="0.2">
      <c r="C161" s="1452" t="s">
        <v>2284</v>
      </c>
      <c r="D161" s="1452"/>
      <c r="E161" s="420" t="str">
        <f>IF(OR($G154="Fee",$G154="N/A"),"N/A",INDEX(Sources!$D$67:$O$82,MATCH(Loans!$C154,Sources!$D$67:$D$82,0),MATCH("Beginning Payment Year",Sources!$D$67:$O$67,0)))</f>
        <v>N/A</v>
      </c>
      <c r="F161" s="74"/>
      <c r="G161" s="1454" t="s">
        <v>2293</v>
      </c>
      <c r="H161" s="1454"/>
      <c r="I161" s="705" t="str">
        <f>IF(OR($G154="Loan",$G154="N/A"),"N/A",IF(INDEX(OpBudget!$C$159:$K$165,MATCH(Loans!$C154,OpBudget!$C$159:$C$165,0),MATCH("Fee Cap (if applicable)",OpBudget!$C$159:$K$159,0))=0,"N/A",INDEX(OpBudget!$C$159:$K$165,MATCH(Loans!$C154,OpBudget!$C$159:$C$165,0),MATCH("Fee Cap (if applicable)",OpBudget!$C$159:$K$159,0))))</f>
        <v>N/A</v>
      </c>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row>
    <row r="162" spans="3:34" x14ac:dyDescent="0.2">
      <c r="C162" s="1452" t="s">
        <v>2267</v>
      </c>
      <c r="D162" s="1452"/>
      <c r="E162" s="703" t="str">
        <f>IF(OR($G154="Fee",$G154="N/A"),"N/A",INDEX(Sources!$D$67:$O$82,MATCH(Loans!$C154,Sources!$D$67:$D$82,0),MATCH("Split of Cash Flow",Sources!$D$67:$O$67,0)))</f>
        <v>N/A</v>
      </c>
      <c r="F162" s="1455"/>
      <c r="G162" s="1454" t="s">
        <v>2292</v>
      </c>
      <c r="H162" s="1454"/>
      <c r="I162" s="420" t="str">
        <f>IF(OR($G154="Loan",$G154="N/A"),"N/A",INDEX(OpBudget!$C$159:$K$165,MATCH(Loans!$C154,OpBudget!$C$159:$C$165,0),MATCH("Number of Years Fee Exists",OpBudget!$C$159:$K$159,0)))</f>
        <v>N/A</v>
      </c>
      <c r="J162" s="74"/>
      <c r="K162" s="74"/>
      <c r="L162" s="74" t="s">
        <v>2278</v>
      </c>
      <c r="M162" s="74"/>
      <c r="N162" s="74"/>
      <c r="O162" s="74"/>
      <c r="P162" s="74"/>
      <c r="Q162" s="74"/>
      <c r="R162" s="74"/>
      <c r="S162" s="74"/>
      <c r="T162" s="74"/>
      <c r="U162" s="74"/>
      <c r="V162" s="74"/>
      <c r="W162" s="74"/>
      <c r="X162" s="74"/>
      <c r="Y162" s="74"/>
      <c r="Z162" s="74"/>
      <c r="AA162" s="74"/>
      <c r="AB162" s="74"/>
      <c r="AC162" s="74"/>
      <c r="AD162" s="74"/>
      <c r="AE162" s="74"/>
      <c r="AF162" s="74"/>
      <c r="AG162" s="74"/>
      <c r="AH162" s="74"/>
    </row>
    <row r="163" spans="3:34" x14ac:dyDescent="0.2">
      <c r="C163" s="1452" t="s">
        <v>2289</v>
      </c>
      <c r="D163" s="1452"/>
      <c r="E163" s="704" t="str">
        <f>IF(OR($G154="Fee",$G154="N/A"),"N/A",INDEX(Sources!$D$67:$O$82,MATCH(Loans!$C154,Sources!$D$67:$D$82,0),MATCH("Pari Passu?",Sources!$D$67:$O$67,0)))</f>
        <v>N/A</v>
      </c>
      <c r="F163" s="1455"/>
      <c r="G163" s="424"/>
      <c r="H163" s="424"/>
      <c r="I163" s="526"/>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row>
    <row r="164" spans="3:34" x14ac:dyDescent="0.2">
      <c r="C164" s="1452" t="s">
        <v>2295</v>
      </c>
      <c r="D164" s="1452"/>
      <c r="E164" s="703" t="str">
        <f>IF(OR($G154="Fee",$G154="N/A"),"N/A",INDEX(Sources!$D$67:$O$82,MATCH(Loans!$C154,Sources!$D$67:$D$82,0),MATCH("Shared Position Split of Cash Flow",Sources!$D$67:$O$67,0)))</f>
        <v>N/A</v>
      </c>
      <c r="F164" s="532"/>
      <c r="G164" s="424"/>
      <c r="H164" s="424"/>
      <c r="I164" s="526"/>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row>
    <row r="165" spans="3:34" x14ac:dyDescent="0.2">
      <c r="C165" s="1452" t="s">
        <v>2291</v>
      </c>
      <c r="D165" s="1452"/>
      <c r="E165" s="704" t="str">
        <f>IF(OR($G154="Fee",$G154="N/A"),"N/A",INDEX(Sources!$D$67:$O$82,MATCH(Loans!$C154,Sources!$D$67:$D$82,0),MATCH("Deferred Loan?",Sources!$D$67:$O$67,0)))</f>
        <v>N/A</v>
      </c>
      <c r="F165" s="74"/>
      <c r="G165" s="424"/>
      <c r="H165" s="424"/>
      <c r="I165" s="526"/>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row>
    <row r="166" spans="3:34" x14ac:dyDescent="0.2">
      <c r="C166" s="1452" t="s">
        <v>2277</v>
      </c>
      <c r="D166" s="1452"/>
      <c r="E166" s="705" t="str">
        <f>IF(OR(E157=0,E157="N/A"),"N/A",INDEX($C168:$AH180,MATCH("Ending Principal Balance",$C168:$C180,0),MATCH($E160,$C168:$AH168,0)))</f>
        <v>N/A</v>
      </c>
      <c r="F166" s="74"/>
      <c r="G166" s="74"/>
      <c r="H166" s="74" t="s">
        <v>2278</v>
      </c>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row>
    <row r="167" spans="3:34" ht="15" x14ac:dyDescent="0.2">
      <c r="C167" s="345"/>
      <c r="D167" s="345"/>
      <c r="E167" s="345"/>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row>
    <row r="168" spans="3:34" ht="15" x14ac:dyDescent="0.2">
      <c r="C168" s="309"/>
      <c r="D168" s="309"/>
      <c r="E168" s="310">
        <v>1</v>
      </c>
      <c r="F168" s="310">
        <f>E168+1</f>
        <v>2</v>
      </c>
      <c r="G168" s="310">
        <f t="shared" ref="G168" si="720">F168+1</f>
        <v>3</v>
      </c>
      <c r="H168" s="310">
        <f t="shared" ref="H168" si="721">G168+1</f>
        <v>4</v>
      </c>
      <c r="I168" s="310">
        <f t="shared" ref="I168" si="722">H168+1</f>
        <v>5</v>
      </c>
      <c r="J168" s="310">
        <f t="shared" ref="J168" si="723">I168+1</f>
        <v>6</v>
      </c>
      <c r="K168" s="310">
        <f t="shared" ref="K168" si="724">J168+1</f>
        <v>7</v>
      </c>
      <c r="L168" s="310">
        <f t="shared" ref="L168" si="725">K168+1</f>
        <v>8</v>
      </c>
      <c r="M168" s="310">
        <f t="shared" ref="M168" si="726">L168+1</f>
        <v>9</v>
      </c>
      <c r="N168" s="310">
        <f t="shared" ref="N168" si="727">M168+1</f>
        <v>10</v>
      </c>
      <c r="O168" s="310">
        <f t="shared" ref="O168" si="728">N168+1</f>
        <v>11</v>
      </c>
      <c r="P168" s="310">
        <f t="shared" ref="P168" si="729">O168+1</f>
        <v>12</v>
      </c>
      <c r="Q168" s="310">
        <f t="shared" ref="Q168" si="730">P168+1</f>
        <v>13</v>
      </c>
      <c r="R168" s="310">
        <f t="shared" ref="R168" si="731">Q168+1</f>
        <v>14</v>
      </c>
      <c r="S168" s="448">
        <f t="shared" ref="S168" si="732">R168+1</f>
        <v>15</v>
      </c>
      <c r="T168" s="428">
        <f t="shared" ref="T168" si="733">S168+1</f>
        <v>16</v>
      </c>
      <c r="U168" s="310">
        <f t="shared" ref="U168" si="734">T168+1</f>
        <v>17</v>
      </c>
      <c r="V168" s="310">
        <f t="shared" ref="V168" si="735">U168+1</f>
        <v>18</v>
      </c>
      <c r="W168" s="310">
        <f t="shared" ref="W168" si="736">V168+1</f>
        <v>19</v>
      </c>
      <c r="X168" s="310">
        <f t="shared" ref="X168" si="737">W168+1</f>
        <v>20</v>
      </c>
      <c r="Y168" s="310">
        <f t="shared" ref="Y168" si="738">X168+1</f>
        <v>21</v>
      </c>
      <c r="Z168" s="310">
        <f t="shared" ref="Z168" si="739">Y168+1</f>
        <v>22</v>
      </c>
      <c r="AA168" s="310">
        <f t="shared" ref="AA168" si="740">Z168+1</f>
        <v>23</v>
      </c>
      <c r="AB168" s="310">
        <f t="shared" ref="AB168" si="741">AA168+1</f>
        <v>24</v>
      </c>
      <c r="AC168" s="310">
        <f t="shared" ref="AC168" si="742">AB168+1</f>
        <v>25</v>
      </c>
      <c r="AD168" s="310">
        <f t="shared" ref="AD168" si="743">AC168+1</f>
        <v>26</v>
      </c>
      <c r="AE168" s="310">
        <f t="shared" ref="AE168" si="744">AD168+1</f>
        <v>27</v>
      </c>
      <c r="AF168" s="310">
        <f t="shared" ref="AF168" si="745">AE168+1</f>
        <v>28</v>
      </c>
      <c r="AG168" s="310">
        <f t="shared" ref="AG168" si="746">AF168+1</f>
        <v>29</v>
      </c>
      <c r="AH168" s="310">
        <f t="shared" ref="AH168" si="747">AG168+1</f>
        <v>30</v>
      </c>
    </row>
    <row r="169" spans="3:34" ht="15" x14ac:dyDescent="0.2">
      <c r="C169" s="309"/>
      <c r="D169" s="309"/>
      <c r="E169" s="314" t="str">
        <f>IF(Details!$E$171="","",Details!$E$171)</f>
        <v/>
      </c>
      <c r="F169" s="314" t="str">
        <f>IF($E$7="","",E$7+1)</f>
        <v/>
      </c>
      <c r="G169" s="314" t="str">
        <f t="shared" ref="G169" si="748">IF($E$7="","",F$7+1)</f>
        <v/>
      </c>
      <c r="H169" s="314" t="str">
        <f t="shared" ref="H169" si="749">IF($E$7="","",G$7+1)</f>
        <v/>
      </c>
      <c r="I169" s="314" t="str">
        <f t="shared" ref="I169" si="750">IF($E$7="","",H$7+1)</f>
        <v/>
      </c>
      <c r="J169" s="314" t="str">
        <f t="shared" ref="J169" si="751">IF($E$7="","",I$7+1)</f>
        <v/>
      </c>
      <c r="K169" s="314" t="str">
        <f t="shared" ref="K169" si="752">IF($E$7="","",J$7+1)</f>
        <v/>
      </c>
      <c r="L169" s="314" t="str">
        <f t="shared" ref="L169" si="753">IF($E$7="","",K$7+1)</f>
        <v/>
      </c>
      <c r="M169" s="314" t="str">
        <f t="shared" ref="M169" si="754">IF($E$7="","",L$7+1)</f>
        <v/>
      </c>
      <c r="N169" s="314" t="str">
        <f t="shared" ref="N169" si="755">IF($E$7="","",M$7+1)</f>
        <v/>
      </c>
      <c r="O169" s="314" t="str">
        <f t="shared" ref="O169" si="756">IF($E$7="","",N$7+1)</f>
        <v/>
      </c>
      <c r="P169" s="314" t="str">
        <f t="shared" ref="P169" si="757">IF($E$7="","",O$7+1)</f>
        <v/>
      </c>
      <c r="Q169" s="314" t="str">
        <f t="shared" ref="Q169" si="758">IF($E$7="","",P$7+1)</f>
        <v/>
      </c>
      <c r="R169" s="314" t="str">
        <f t="shared" ref="R169" si="759">IF($E$7="","",Q$7+1)</f>
        <v/>
      </c>
      <c r="S169" s="440" t="str">
        <f t="shared" ref="S169" si="760">IF($E$7="","",R$7+1)</f>
        <v/>
      </c>
      <c r="T169" s="433" t="str">
        <f t="shared" ref="T169" si="761">IF($E$7="","",S$7+1)</f>
        <v/>
      </c>
      <c r="U169" s="314" t="str">
        <f t="shared" ref="U169" si="762">IF($E$7="","",T$7+1)</f>
        <v/>
      </c>
      <c r="V169" s="314" t="str">
        <f t="shared" ref="V169" si="763">IF($E$7="","",U$7+1)</f>
        <v/>
      </c>
      <c r="W169" s="314" t="str">
        <f t="shared" ref="W169" si="764">IF($E$7="","",V$7+1)</f>
        <v/>
      </c>
      <c r="X169" s="314" t="str">
        <f t="shared" ref="X169" si="765">IF($E$7="","",W$7+1)</f>
        <v/>
      </c>
      <c r="Y169" s="314" t="str">
        <f t="shared" ref="Y169" si="766">IF($E$7="","",X$7+1)</f>
        <v/>
      </c>
      <c r="Z169" s="314" t="str">
        <f t="shared" ref="Z169" si="767">IF($E$7="","",Y$7+1)</f>
        <v/>
      </c>
      <c r="AA169" s="314" t="str">
        <f t="shared" ref="AA169" si="768">IF($E$7="","",Z$7+1)</f>
        <v/>
      </c>
      <c r="AB169" s="314" t="str">
        <f t="shared" ref="AB169" si="769">IF($E$7="","",AA$7+1)</f>
        <v/>
      </c>
      <c r="AC169" s="314" t="str">
        <f t="shared" ref="AC169" si="770">IF($E$7="","",AB$7+1)</f>
        <v/>
      </c>
      <c r="AD169" s="314" t="str">
        <f t="shared" ref="AD169" si="771">IF($E$7="","",AC$7+1)</f>
        <v/>
      </c>
      <c r="AE169" s="314" t="str">
        <f t="shared" ref="AE169" si="772">IF($E$7="","",AD$7+1)</f>
        <v/>
      </c>
      <c r="AF169" s="314" t="str">
        <f t="shared" ref="AF169" si="773">IF($E$7="","",AE$7+1)</f>
        <v/>
      </c>
      <c r="AG169" s="314" t="str">
        <f t="shared" ref="AG169" si="774">IF($E$7="","",AF$7+1)</f>
        <v/>
      </c>
      <c r="AH169" s="314" t="str">
        <f t="shared" ref="AH169" si="775">IF($E$7="","",AG$7+1)</f>
        <v/>
      </c>
    </row>
    <row r="170" spans="3:34" x14ac:dyDescent="0.2">
      <c r="C170" s="1168" t="s">
        <v>2254</v>
      </c>
      <c r="D170" s="1169"/>
      <c r="E170" s="109">
        <f>E135-E144-E148</f>
        <v>0</v>
      </c>
      <c r="F170" s="109">
        <f t="shared" ref="F170:AH170" si="776">F135-F144-F148</f>
        <v>0</v>
      </c>
      <c r="G170" s="109">
        <f t="shared" si="776"/>
        <v>0</v>
      </c>
      <c r="H170" s="109">
        <f t="shared" si="776"/>
        <v>0</v>
      </c>
      <c r="I170" s="109">
        <f t="shared" si="776"/>
        <v>0</v>
      </c>
      <c r="J170" s="109">
        <f t="shared" si="776"/>
        <v>0</v>
      </c>
      <c r="K170" s="109">
        <f t="shared" si="776"/>
        <v>0</v>
      </c>
      <c r="L170" s="109">
        <f t="shared" si="776"/>
        <v>0</v>
      </c>
      <c r="M170" s="109">
        <f t="shared" si="776"/>
        <v>0</v>
      </c>
      <c r="N170" s="109">
        <f t="shared" si="776"/>
        <v>0</v>
      </c>
      <c r="O170" s="109">
        <f t="shared" si="776"/>
        <v>0</v>
      </c>
      <c r="P170" s="109">
        <f t="shared" si="776"/>
        <v>0</v>
      </c>
      <c r="Q170" s="109">
        <f t="shared" si="776"/>
        <v>0</v>
      </c>
      <c r="R170" s="109">
        <f t="shared" si="776"/>
        <v>0</v>
      </c>
      <c r="S170" s="331">
        <f t="shared" si="776"/>
        <v>0</v>
      </c>
      <c r="T170" s="228">
        <f t="shared" si="776"/>
        <v>0</v>
      </c>
      <c r="U170" s="109">
        <f t="shared" si="776"/>
        <v>0</v>
      </c>
      <c r="V170" s="109">
        <f t="shared" si="776"/>
        <v>0</v>
      </c>
      <c r="W170" s="109">
        <f t="shared" si="776"/>
        <v>0</v>
      </c>
      <c r="X170" s="109">
        <f t="shared" si="776"/>
        <v>0</v>
      </c>
      <c r="Y170" s="109">
        <f t="shared" si="776"/>
        <v>0</v>
      </c>
      <c r="Z170" s="109">
        <f t="shared" si="776"/>
        <v>0</v>
      </c>
      <c r="AA170" s="109">
        <f t="shared" si="776"/>
        <v>0</v>
      </c>
      <c r="AB170" s="109">
        <f t="shared" si="776"/>
        <v>0</v>
      </c>
      <c r="AC170" s="109">
        <f t="shared" si="776"/>
        <v>0</v>
      </c>
      <c r="AD170" s="109">
        <f t="shared" si="776"/>
        <v>0</v>
      </c>
      <c r="AE170" s="109">
        <f t="shared" si="776"/>
        <v>0</v>
      </c>
      <c r="AF170" s="109">
        <f t="shared" si="776"/>
        <v>0</v>
      </c>
      <c r="AG170" s="109">
        <f t="shared" si="776"/>
        <v>0</v>
      </c>
      <c r="AH170" s="109">
        <f t="shared" si="776"/>
        <v>0</v>
      </c>
    </row>
    <row r="171" spans="3:34" ht="15" x14ac:dyDescent="0.2">
      <c r="C171" s="345"/>
      <c r="D171" s="345"/>
      <c r="E171" s="345"/>
      <c r="F171" s="74"/>
      <c r="G171" s="74"/>
      <c r="H171" s="74"/>
      <c r="I171" s="74"/>
      <c r="J171" s="74"/>
      <c r="K171" s="74"/>
      <c r="L171" s="74"/>
      <c r="M171" s="74"/>
      <c r="N171" s="74"/>
      <c r="O171" s="74"/>
      <c r="P171" s="74"/>
      <c r="Q171" s="74"/>
      <c r="R171" s="74"/>
      <c r="S171" s="333"/>
      <c r="T171" s="74"/>
      <c r="U171" s="74"/>
      <c r="V171" s="74"/>
      <c r="W171" s="74"/>
      <c r="X171" s="74"/>
      <c r="Y171" s="74"/>
      <c r="Z171" s="74"/>
      <c r="AA171" s="74"/>
      <c r="AB171" s="74"/>
      <c r="AC171" s="74"/>
      <c r="AD171" s="74"/>
      <c r="AE171" s="74"/>
      <c r="AF171" s="74"/>
      <c r="AG171" s="74"/>
      <c r="AH171" s="74"/>
    </row>
    <row r="172" spans="3:34" ht="15" x14ac:dyDescent="0.2">
      <c r="C172" s="432" t="s">
        <v>2286</v>
      </c>
      <c r="D172" s="345"/>
      <c r="E172" s="345"/>
      <c r="F172" s="74"/>
      <c r="G172" s="74"/>
      <c r="H172" s="74"/>
      <c r="I172" s="74"/>
      <c r="J172" s="74"/>
      <c r="K172" s="74"/>
      <c r="L172" s="74"/>
      <c r="M172" s="74"/>
      <c r="N172" s="74"/>
      <c r="O172" s="74"/>
      <c r="P172" s="74"/>
      <c r="Q172" s="74"/>
      <c r="R172" s="74"/>
      <c r="S172" s="333"/>
      <c r="T172" s="74"/>
      <c r="U172" s="74"/>
      <c r="V172" s="74"/>
      <c r="W172" s="74"/>
      <c r="X172" s="74"/>
      <c r="Y172" s="74"/>
      <c r="Z172" s="74"/>
      <c r="AA172" s="74"/>
      <c r="AB172" s="74"/>
      <c r="AC172" s="74"/>
      <c r="AD172" s="74"/>
      <c r="AE172" s="74"/>
      <c r="AF172" s="74"/>
      <c r="AG172" s="74"/>
      <c r="AH172" s="74"/>
    </row>
    <row r="173" spans="3:34" ht="15" thickBot="1" x14ac:dyDescent="0.25">
      <c r="C173" s="1453" t="s">
        <v>2285</v>
      </c>
      <c r="D173" s="1453"/>
      <c r="E173" s="423">
        <f>IF(OR($E157="N/A",$E157=0),0,IF($E163="Yes",(E170*$E162*$E164),E170*$E162))</f>
        <v>0</v>
      </c>
      <c r="F173" s="423">
        <f t="shared" ref="F173:AH173" si="777">IF(OR($E157="N/A",$E157=0),0,IF($E163="Yes",(F170*$E162*$E164),F170*$E162))</f>
        <v>0</v>
      </c>
      <c r="G173" s="423">
        <f t="shared" si="777"/>
        <v>0</v>
      </c>
      <c r="H173" s="423">
        <f t="shared" si="777"/>
        <v>0</v>
      </c>
      <c r="I173" s="423">
        <f t="shared" si="777"/>
        <v>0</v>
      </c>
      <c r="J173" s="423">
        <f t="shared" si="777"/>
        <v>0</v>
      </c>
      <c r="K173" s="423">
        <f t="shared" si="777"/>
        <v>0</v>
      </c>
      <c r="L173" s="423">
        <f t="shared" si="777"/>
        <v>0</v>
      </c>
      <c r="M173" s="423">
        <f t="shared" si="777"/>
        <v>0</v>
      </c>
      <c r="N173" s="423">
        <f t="shared" si="777"/>
        <v>0</v>
      </c>
      <c r="O173" s="423">
        <f t="shared" si="777"/>
        <v>0</v>
      </c>
      <c r="P173" s="423">
        <f t="shared" si="777"/>
        <v>0</v>
      </c>
      <c r="Q173" s="423">
        <f t="shared" si="777"/>
        <v>0</v>
      </c>
      <c r="R173" s="423">
        <f t="shared" si="777"/>
        <v>0</v>
      </c>
      <c r="S173" s="441">
        <f t="shared" si="777"/>
        <v>0</v>
      </c>
      <c r="T173" s="434">
        <f t="shared" si="777"/>
        <v>0</v>
      </c>
      <c r="U173" s="423">
        <f t="shared" si="777"/>
        <v>0</v>
      </c>
      <c r="V173" s="423">
        <f t="shared" si="777"/>
        <v>0</v>
      </c>
      <c r="W173" s="423">
        <f t="shared" si="777"/>
        <v>0</v>
      </c>
      <c r="X173" s="423">
        <f t="shared" si="777"/>
        <v>0</v>
      </c>
      <c r="Y173" s="423">
        <f t="shared" si="777"/>
        <v>0</v>
      </c>
      <c r="Z173" s="423">
        <f t="shared" si="777"/>
        <v>0</v>
      </c>
      <c r="AA173" s="423">
        <f t="shared" si="777"/>
        <v>0</v>
      </c>
      <c r="AB173" s="423">
        <f t="shared" si="777"/>
        <v>0</v>
      </c>
      <c r="AC173" s="423">
        <f t="shared" si="777"/>
        <v>0</v>
      </c>
      <c r="AD173" s="423">
        <f t="shared" si="777"/>
        <v>0</v>
      </c>
      <c r="AE173" s="423">
        <f t="shared" si="777"/>
        <v>0</v>
      </c>
      <c r="AF173" s="423">
        <f t="shared" si="777"/>
        <v>0</v>
      </c>
      <c r="AG173" s="423">
        <f t="shared" si="777"/>
        <v>0</v>
      </c>
      <c r="AH173" s="423">
        <f t="shared" si="777"/>
        <v>0</v>
      </c>
    </row>
    <row r="174" spans="3:34" ht="15" thickTop="1" x14ac:dyDescent="0.2">
      <c r="C174" s="1449" t="s">
        <v>2189</v>
      </c>
      <c r="D174" s="1449"/>
      <c r="E174" s="316">
        <f>IF(OR($E157="N/A",E168&gt;$E160,E168&lt;$E161),0,MAX(0,E157))</f>
        <v>0</v>
      </c>
      <c r="F174" s="316">
        <f t="shared" ref="F174" si="778">IF(OR($E157="N/A",F168&gt;$E160),0,IF(F168=$E161,$E157,MAX(E180,0)))</f>
        <v>0</v>
      </c>
      <c r="G174" s="316">
        <f t="shared" ref="G174" si="779">IF(OR($E157="N/A",G168&gt;$E160),0,IF(G168=$E161,$E157,MAX(F180,0)))</f>
        <v>0</v>
      </c>
      <c r="H174" s="316">
        <f t="shared" ref="H174" si="780">IF(OR($E157="N/A",H168&gt;$E160),0,IF(H168=$E161,$E157,MAX(G180,0)))</f>
        <v>0</v>
      </c>
      <c r="I174" s="316">
        <f t="shared" ref="I174" si="781">IF(OR($E157="N/A",I168&gt;$E160),0,IF(I168=$E161,$E157,MAX(H180,0)))</f>
        <v>0</v>
      </c>
      <c r="J174" s="316">
        <f t="shared" ref="J174" si="782">IF(OR($E157="N/A",J168&gt;$E160),0,IF(J168=$E161,$E157,MAX(I180,0)))</f>
        <v>0</v>
      </c>
      <c r="K174" s="316">
        <f t="shared" ref="K174" si="783">IF(OR($E157="N/A",K168&gt;$E160),0,IF(K168=$E161,$E157,MAX(J180,0)))</f>
        <v>0</v>
      </c>
      <c r="L174" s="316">
        <f t="shared" ref="L174" si="784">IF(OR($E157="N/A",L168&gt;$E160),0,IF(L168=$E161,$E157,MAX(K180,0)))</f>
        <v>0</v>
      </c>
      <c r="M174" s="316">
        <f t="shared" ref="M174" si="785">IF(OR($E157="N/A",M168&gt;$E160),0,IF(M168=$E161,$E157,MAX(L180,0)))</f>
        <v>0</v>
      </c>
      <c r="N174" s="316">
        <f t="shared" ref="N174" si="786">IF(OR($E157="N/A",N168&gt;$E160),0,IF(N168=$E161,$E157,MAX(M180,0)))</f>
        <v>0</v>
      </c>
      <c r="O174" s="316">
        <f t="shared" ref="O174" si="787">IF(OR($E157="N/A",O168&gt;$E160),0,IF(O168=$E161,$E157,MAX(N180,0)))</f>
        <v>0</v>
      </c>
      <c r="P174" s="316">
        <f t="shared" ref="P174" si="788">IF(OR($E157="N/A",P168&gt;$E160),0,IF(P168=$E161,$E157,MAX(O180,0)))</f>
        <v>0</v>
      </c>
      <c r="Q174" s="316">
        <f t="shared" ref="Q174" si="789">IF(OR($E157="N/A",Q168&gt;$E160),0,IF(Q168=$E161,$E157,MAX(P180,0)))</f>
        <v>0</v>
      </c>
      <c r="R174" s="316">
        <f t="shared" ref="R174" si="790">IF(OR($E157="N/A",R168&gt;$E160),0,IF(R168=$E161,$E157,MAX(Q180,0)))</f>
        <v>0</v>
      </c>
      <c r="S174" s="332">
        <f t="shared" ref="S174" si="791">IF(OR($E157="N/A",S168&gt;$E160),0,IF(S168=$E161,$E157,MAX(R180,0)))</f>
        <v>0</v>
      </c>
      <c r="T174" s="429">
        <f t="shared" ref="T174" si="792">IF(OR($E157="N/A",T168&gt;$E160),0,IF(T168=$E161,$E157,MAX(S180,0)))</f>
        <v>0</v>
      </c>
      <c r="U174" s="316">
        <f t="shared" ref="U174" si="793">IF(OR($E157="N/A",U168&gt;$E160),0,IF(U168=$E161,$E157,MAX(T180,0)))</f>
        <v>0</v>
      </c>
      <c r="V174" s="316">
        <f t="shared" ref="V174" si="794">IF(OR($E157="N/A",V168&gt;$E160),0,IF(V168=$E161,$E157,MAX(U180,0)))</f>
        <v>0</v>
      </c>
      <c r="W174" s="316">
        <f t="shared" ref="W174" si="795">IF(OR($E157="N/A",W168&gt;$E160),0,IF(W168=$E161,$E157,MAX(V180,0)))</f>
        <v>0</v>
      </c>
      <c r="X174" s="316">
        <f t="shared" ref="X174" si="796">IF(OR($E157="N/A",X168&gt;$E160),0,IF(X168=$E161,$E157,MAX(W180,0)))</f>
        <v>0</v>
      </c>
      <c r="Y174" s="316">
        <f t="shared" ref="Y174" si="797">IF(OR($E157="N/A",Y168&gt;$E160),0,IF(Y168=$E161,$E157,MAX(X180,0)))</f>
        <v>0</v>
      </c>
      <c r="Z174" s="316">
        <f t="shared" ref="Z174" si="798">IF(OR($E157="N/A",Z168&gt;$E160),0,IF(Z168=$E161,$E157,MAX(Y180,0)))</f>
        <v>0</v>
      </c>
      <c r="AA174" s="316">
        <f t="shared" ref="AA174" si="799">IF(OR($E157="N/A",AA168&gt;$E160),0,IF(AA168=$E161,$E157,MAX(Z180,0)))</f>
        <v>0</v>
      </c>
      <c r="AB174" s="316">
        <f t="shared" ref="AB174" si="800">IF(OR($E157="N/A",AB168&gt;$E160),0,IF(AB168=$E161,$E157,MAX(AA180,0)))</f>
        <v>0</v>
      </c>
      <c r="AC174" s="316">
        <f t="shared" ref="AC174" si="801">IF(OR($E157="N/A",AC168&gt;$E160),0,IF(AC168=$E161,$E157,MAX(AB180,0)))</f>
        <v>0</v>
      </c>
      <c r="AD174" s="316">
        <f t="shared" ref="AD174" si="802">IF(OR($E157="N/A",AD168&gt;$E160),0,IF(AD168=$E161,$E157,MAX(AC180,0)))</f>
        <v>0</v>
      </c>
      <c r="AE174" s="316">
        <f t="shared" ref="AE174" si="803">IF(OR($E157="N/A",AE168&gt;$E160),0,IF(AE168=$E161,$E157,MAX(AD180,0)))</f>
        <v>0</v>
      </c>
      <c r="AF174" s="316">
        <f t="shared" ref="AF174" si="804">IF(OR($E157="N/A",AF168&gt;$E160),0,IF(AF168=$E161,$E157,MAX(AE180,0)))</f>
        <v>0</v>
      </c>
      <c r="AG174" s="316">
        <f t="shared" ref="AG174" si="805">IF(OR($E157="N/A",AG168&gt;$E160),0,IF(AG168=$E161,$E157,MAX(AF180,0)))</f>
        <v>0</v>
      </c>
      <c r="AH174" s="316">
        <f t="shared" ref="AH174" si="806">IF(OR($E157="N/A",AH168&gt;$E160),0,IF(AH168=$E161,$E157,MAX(AG180,0)))</f>
        <v>0</v>
      </c>
    </row>
    <row r="175" spans="3:34" x14ac:dyDescent="0.2">
      <c r="C175" s="1181" t="s">
        <v>2186</v>
      </c>
      <c r="D175" s="1181"/>
      <c r="E175" s="109">
        <f t="shared" ref="E175:AH175" si="807">IF(OR($E157="N/A",E168&gt;$E160,E168&lt;$E161),0,E174*$E158)</f>
        <v>0</v>
      </c>
      <c r="F175" s="109">
        <f t="shared" si="807"/>
        <v>0</v>
      </c>
      <c r="G175" s="109">
        <f t="shared" si="807"/>
        <v>0</v>
      </c>
      <c r="H175" s="109">
        <f t="shared" si="807"/>
        <v>0</v>
      </c>
      <c r="I175" s="109">
        <f t="shared" si="807"/>
        <v>0</v>
      </c>
      <c r="J175" s="109">
        <f t="shared" si="807"/>
        <v>0</v>
      </c>
      <c r="K175" s="109">
        <f t="shared" si="807"/>
        <v>0</v>
      </c>
      <c r="L175" s="109">
        <f t="shared" si="807"/>
        <v>0</v>
      </c>
      <c r="M175" s="109">
        <f t="shared" si="807"/>
        <v>0</v>
      </c>
      <c r="N175" s="109">
        <f t="shared" si="807"/>
        <v>0</v>
      </c>
      <c r="O175" s="109">
        <f t="shared" si="807"/>
        <v>0</v>
      </c>
      <c r="P175" s="109">
        <f t="shared" si="807"/>
        <v>0</v>
      </c>
      <c r="Q175" s="109">
        <f t="shared" si="807"/>
        <v>0</v>
      </c>
      <c r="R175" s="109">
        <f t="shared" si="807"/>
        <v>0</v>
      </c>
      <c r="S175" s="331">
        <f t="shared" si="807"/>
        <v>0</v>
      </c>
      <c r="T175" s="228">
        <f t="shared" si="807"/>
        <v>0</v>
      </c>
      <c r="U175" s="109">
        <f t="shared" si="807"/>
        <v>0</v>
      </c>
      <c r="V175" s="109">
        <f t="shared" si="807"/>
        <v>0</v>
      </c>
      <c r="W175" s="109">
        <f t="shared" si="807"/>
        <v>0</v>
      </c>
      <c r="X175" s="109">
        <f t="shared" si="807"/>
        <v>0</v>
      </c>
      <c r="Y175" s="109">
        <f t="shared" si="807"/>
        <v>0</v>
      </c>
      <c r="Z175" s="109">
        <f t="shared" si="807"/>
        <v>0</v>
      </c>
      <c r="AA175" s="109">
        <f t="shared" si="807"/>
        <v>0</v>
      </c>
      <c r="AB175" s="109">
        <f t="shared" si="807"/>
        <v>0</v>
      </c>
      <c r="AC175" s="109">
        <f t="shared" si="807"/>
        <v>0</v>
      </c>
      <c r="AD175" s="109">
        <f t="shared" si="807"/>
        <v>0</v>
      </c>
      <c r="AE175" s="109">
        <f t="shared" si="807"/>
        <v>0</v>
      </c>
      <c r="AF175" s="109">
        <f t="shared" si="807"/>
        <v>0</v>
      </c>
      <c r="AG175" s="109">
        <f t="shared" si="807"/>
        <v>0</v>
      </c>
      <c r="AH175" s="109">
        <f t="shared" si="807"/>
        <v>0</v>
      </c>
    </row>
    <row r="176" spans="3:34" x14ac:dyDescent="0.2">
      <c r="C176" s="1181" t="s">
        <v>2270</v>
      </c>
      <c r="D176" s="1181"/>
      <c r="E176" s="346">
        <f t="shared" ref="E176:AH176" si="808">IF(OR($E157="N/A",E168&gt;$E160,E168&lt;$E161),0,MAX(0,MIN(E175,E173)))</f>
        <v>0</v>
      </c>
      <c r="F176" s="346">
        <f t="shared" si="808"/>
        <v>0</v>
      </c>
      <c r="G176" s="346">
        <f t="shared" si="808"/>
        <v>0</v>
      </c>
      <c r="H176" s="346">
        <f t="shared" si="808"/>
        <v>0</v>
      </c>
      <c r="I176" s="346">
        <f t="shared" si="808"/>
        <v>0</v>
      </c>
      <c r="J176" s="346">
        <f t="shared" si="808"/>
        <v>0</v>
      </c>
      <c r="K176" s="346">
        <f t="shared" si="808"/>
        <v>0</v>
      </c>
      <c r="L176" s="346">
        <f t="shared" si="808"/>
        <v>0</v>
      </c>
      <c r="M176" s="346">
        <f t="shared" si="808"/>
        <v>0</v>
      </c>
      <c r="N176" s="346">
        <f t="shared" si="808"/>
        <v>0</v>
      </c>
      <c r="O176" s="346">
        <f t="shared" si="808"/>
        <v>0</v>
      </c>
      <c r="P176" s="346">
        <f t="shared" si="808"/>
        <v>0</v>
      </c>
      <c r="Q176" s="346">
        <f t="shared" si="808"/>
        <v>0</v>
      </c>
      <c r="R176" s="346">
        <f t="shared" si="808"/>
        <v>0</v>
      </c>
      <c r="S176" s="442">
        <f t="shared" si="808"/>
        <v>0</v>
      </c>
      <c r="T176" s="435">
        <f t="shared" si="808"/>
        <v>0</v>
      </c>
      <c r="U176" s="346">
        <f t="shared" si="808"/>
        <v>0</v>
      </c>
      <c r="V176" s="346">
        <f t="shared" si="808"/>
        <v>0</v>
      </c>
      <c r="W176" s="346">
        <f t="shared" si="808"/>
        <v>0</v>
      </c>
      <c r="X176" s="346">
        <f t="shared" si="808"/>
        <v>0</v>
      </c>
      <c r="Y176" s="346">
        <f t="shared" si="808"/>
        <v>0</v>
      </c>
      <c r="Z176" s="346">
        <f t="shared" si="808"/>
        <v>0</v>
      </c>
      <c r="AA176" s="346">
        <f t="shared" si="808"/>
        <v>0</v>
      </c>
      <c r="AB176" s="346">
        <f t="shared" si="808"/>
        <v>0</v>
      </c>
      <c r="AC176" s="346">
        <f t="shared" si="808"/>
        <v>0</v>
      </c>
      <c r="AD176" s="346">
        <f t="shared" si="808"/>
        <v>0</v>
      </c>
      <c r="AE176" s="346">
        <f t="shared" si="808"/>
        <v>0</v>
      </c>
      <c r="AF176" s="346">
        <f t="shared" si="808"/>
        <v>0</v>
      </c>
      <c r="AG176" s="346">
        <f t="shared" si="808"/>
        <v>0</v>
      </c>
      <c r="AH176" s="346">
        <f t="shared" si="808"/>
        <v>0</v>
      </c>
    </row>
    <row r="177" spans="3:34" x14ac:dyDescent="0.2">
      <c r="C177" s="1181" t="s">
        <v>2271</v>
      </c>
      <c r="D177" s="1181"/>
      <c r="E177" s="346">
        <f t="shared" ref="E177:AH177" si="809">IF(OR($E157="N/A",E168&gt;$E160,E168&lt;$E161),0,E176-E175)</f>
        <v>0</v>
      </c>
      <c r="F177" s="346">
        <f t="shared" si="809"/>
        <v>0</v>
      </c>
      <c r="G177" s="346">
        <f t="shared" si="809"/>
        <v>0</v>
      </c>
      <c r="H177" s="346">
        <f t="shared" si="809"/>
        <v>0</v>
      </c>
      <c r="I177" s="346">
        <f t="shared" si="809"/>
        <v>0</v>
      </c>
      <c r="J177" s="346">
        <f t="shared" si="809"/>
        <v>0</v>
      </c>
      <c r="K177" s="346">
        <f t="shared" si="809"/>
        <v>0</v>
      </c>
      <c r="L177" s="346">
        <f t="shared" si="809"/>
        <v>0</v>
      </c>
      <c r="M177" s="346">
        <f t="shared" si="809"/>
        <v>0</v>
      </c>
      <c r="N177" s="346">
        <f t="shared" si="809"/>
        <v>0</v>
      </c>
      <c r="O177" s="346">
        <f t="shared" si="809"/>
        <v>0</v>
      </c>
      <c r="P177" s="346">
        <f t="shared" si="809"/>
        <v>0</v>
      </c>
      <c r="Q177" s="346">
        <f t="shared" si="809"/>
        <v>0</v>
      </c>
      <c r="R177" s="346">
        <f t="shared" si="809"/>
        <v>0</v>
      </c>
      <c r="S177" s="442">
        <f t="shared" si="809"/>
        <v>0</v>
      </c>
      <c r="T177" s="435">
        <f t="shared" si="809"/>
        <v>0</v>
      </c>
      <c r="U177" s="346">
        <f t="shared" si="809"/>
        <v>0</v>
      </c>
      <c r="V177" s="346">
        <f t="shared" si="809"/>
        <v>0</v>
      </c>
      <c r="W177" s="346">
        <f t="shared" si="809"/>
        <v>0</v>
      </c>
      <c r="X177" s="346">
        <f t="shared" si="809"/>
        <v>0</v>
      </c>
      <c r="Y177" s="346">
        <f t="shared" si="809"/>
        <v>0</v>
      </c>
      <c r="Z177" s="346">
        <f t="shared" si="809"/>
        <v>0</v>
      </c>
      <c r="AA177" s="346">
        <f t="shared" si="809"/>
        <v>0</v>
      </c>
      <c r="AB177" s="346">
        <f t="shared" si="809"/>
        <v>0</v>
      </c>
      <c r="AC177" s="346">
        <f t="shared" si="809"/>
        <v>0</v>
      </c>
      <c r="AD177" s="346">
        <f t="shared" si="809"/>
        <v>0</v>
      </c>
      <c r="AE177" s="346">
        <f t="shared" si="809"/>
        <v>0</v>
      </c>
      <c r="AF177" s="346">
        <f t="shared" si="809"/>
        <v>0</v>
      </c>
      <c r="AG177" s="346">
        <f t="shared" si="809"/>
        <v>0</v>
      </c>
      <c r="AH177" s="346">
        <f t="shared" si="809"/>
        <v>0</v>
      </c>
    </row>
    <row r="178" spans="3:34" ht="15" thickBot="1" x14ac:dyDescent="0.25">
      <c r="C178" s="1448" t="s">
        <v>2272</v>
      </c>
      <c r="D178" s="1448"/>
      <c r="E178" s="411">
        <f>IF(OR($E157="N/A",E168&gt;$E160,E168&lt;$E161),0,MAX(0,MIN(E173-E176,E174)))</f>
        <v>0</v>
      </c>
      <c r="F178" s="411">
        <f>IF(OR($E157="N/A",F168&gt;$E160,F168&lt;$E161),0,MAX(0,MIN(F173-F176,F174)))</f>
        <v>0</v>
      </c>
      <c r="G178" s="411">
        <f t="shared" ref="G178:AH178" si="810">IF(OR($E157="N/A",G168&gt;$E160,G168&lt;$E161),0,MAX(0,MIN(G173-G176,G174)))</f>
        <v>0</v>
      </c>
      <c r="H178" s="411">
        <f t="shared" si="810"/>
        <v>0</v>
      </c>
      <c r="I178" s="411">
        <f t="shared" si="810"/>
        <v>0</v>
      </c>
      <c r="J178" s="411">
        <f t="shared" si="810"/>
        <v>0</v>
      </c>
      <c r="K178" s="411">
        <f t="shared" si="810"/>
        <v>0</v>
      </c>
      <c r="L178" s="411">
        <f t="shared" si="810"/>
        <v>0</v>
      </c>
      <c r="M178" s="411">
        <f t="shared" si="810"/>
        <v>0</v>
      </c>
      <c r="N178" s="411">
        <f t="shared" si="810"/>
        <v>0</v>
      </c>
      <c r="O178" s="411">
        <f t="shared" si="810"/>
        <v>0</v>
      </c>
      <c r="P178" s="411">
        <f t="shared" si="810"/>
        <v>0</v>
      </c>
      <c r="Q178" s="411">
        <f t="shared" si="810"/>
        <v>0</v>
      </c>
      <c r="R178" s="411">
        <f t="shared" si="810"/>
        <v>0</v>
      </c>
      <c r="S178" s="443">
        <f t="shared" si="810"/>
        <v>0</v>
      </c>
      <c r="T178" s="431">
        <f t="shared" si="810"/>
        <v>0</v>
      </c>
      <c r="U178" s="411">
        <f t="shared" si="810"/>
        <v>0</v>
      </c>
      <c r="V178" s="411">
        <f t="shared" si="810"/>
        <v>0</v>
      </c>
      <c r="W178" s="411">
        <f t="shared" si="810"/>
        <v>0</v>
      </c>
      <c r="X178" s="411">
        <f t="shared" si="810"/>
        <v>0</v>
      </c>
      <c r="Y178" s="411">
        <f t="shared" si="810"/>
        <v>0</v>
      </c>
      <c r="Z178" s="411">
        <f t="shared" si="810"/>
        <v>0</v>
      </c>
      <c r="AA178" s="411">
        <f t="shared" si="810"/>
        <v>0</v>
      </c>
      <c r="AB178" s="411">
        <f t="shared" si="810"/>
        <v>0</v>
      </c>
      <c r="AC178" s="411">
        <f t="shared" si="810"/>
        <v>0</v>
      </c>
      <c r="AD178" s="411">
        <f t="shared" si="810"/>
        <v>0</v>
      </c>
      <c r="AE178" s="411">
        <f t="shared" si="810"/>
        <v>0</v>
      </c>
      <c r="AF178" s="411">
        <f t="shared" si="810"/>
        <v>0</v>
      </c>
      <c r="AG178" s="411">
        <f t="shared" si="810"/>
        <v>0</v>
      </c>
      <c r="AH178" s="411">
        <f t="shared" si="810"/>
        <v>0</v>
      </c>
    </row>
    <row r="179" spans="3:34" ht="15" thickTop="1" x14ac:dyDescent="0.2">
      <c r="C179" s="1449" t="s">
        <v>2282</v>
      </c>
      <c r="D179" s="1449"/>
      <c r="E179" s="430">
        <f>SUM(E176,E178)</f>
        <v>0</v>
      </c>
      <c r="F179" s="430">
        <f>SUM(F176,F178)</f>
        <v>0</v>
      </c>
      <c r="G179" s="430">
        <f t="shared" ref="G179" si="811">SUM(G176,G178)</f>
        <v>0</v>
      </c>
      <c r="H179" s="430">
        <f t="shared" ref="H179" si="812">SUM(H176,H178)</f>
        <v>0</v>
      </c>
      <c r="I179" s="430">
        <f t="shared" ref="I179" si="813">SUM(I176,I178)</f>
        <v>0</v>
      </c>
      <c r="J179" s="430">
        <f t="shared" ref="J179" si="814">SUM(J176,J178)</f>
        <v>0</v>
      </c>
      <c r="K179" s="430">
        <f t="shared" ref="K179" si="815">SUM(K176,K178)</f>
        <v>0</v>
      </c>
      <c r="L179" s="430">
        <f t="shared" ref="L179" si="816">SUM(L176,L178)</f>
        <v>0</v>
      </c>
      <c r="M179" s="430">
        <f t="shared" ref="M179" si="817">SUM(M176,M178)</f>
        <v>0</v>
      </c>
      <c r="N179" s="430">
        <f t="shared" ref="N179" si="818">SUM(N176,N178)</f>
        <v>0</v>
      </c>
      <c r="O179" s="430">
        <f t="shared" ref="O179" si="819">SUM(O176,O178)</f>
        <v>0</v>
      </c>
      <c r="P179" s="430">
        <f t="shared" ref="P179" si="820">SUM(P176,P178)</f>
        <v>0</v>
      </c>
      <c r="Q179" s="430">
        <f t="shared" ref="Q179" si="821">SUM(Q176,Q178)</f>
        <v>0</v>
      </c>
      <c r="R179" s="430">
        <f t="shared" ref="R179" si="822">SUM(R176,R178)</f>
        <v>0</v>
      </c>
      <c r="S179" s="444">
        <f t="shared" ref="S179" si="823">SUM(S176,S178)</f>
        <v>0</v>
      </c>
      <c r="T179" s="436">
        <f t="shared" ref="T179" si="824">SUM(T176,T178)</f>
        <v>0</v>
      </c>
      <c r="U179" s="430">
        <f t="shared" ref="U179" si="825">SUM(U176,U178)</f>
        <v>0</v>
      </c>
      <c r="V179" s="430">
        <f t="shared" ref="V179" si="826">SUM(V176,V178)</f>
        <v>0</v>
      </c>
      <c r="W179" s="430">
        <f t="shared" ref="W179" si="827">SUM(W176,W178)</f>
        <v>0</v>
      </c>
      <c r="X179" s="430">
        <f t="shared" ref="X179" si="828">SUM(X176,X178)</f>
        <v>0</v>
      </c>
      <c r="Y179" s="430">
        <f t="shared" ref="Y179" si="829">SUM(Y176,Y178)</f>
        <v>0</v>
      </c>
      <c r="Z179" s="430">
        <f t="shared" ref="Z179" si="830">SUM(Z176,Z178)</f>
        <v>0</v>
      </c>
      <c r="AA179" s="430">
        <f t="shared" ref="AA179" si="831">SUM(AA176,AA178)</f>
        <v>0</v>
      </c>
      <c r="AB179" s="430">
        <f t="shared" ref="AB179" si="832">SUM(AB176,AB178)</f>
        <v>0</v>
      </c>
      <c r="AC179" s="430">
        <f t="shared" ref="AC179" si="833">SUM(AC176,AC178)</f>
        <v>0</v>
      </c>
      <c r="AD179" s="430">
        <f t="shared" ref="AD179" si="834">SUM(AD176,AD178)</f>
        <v>0</v>
      </c>
      <c r="AE179" s="430">
        <f t="shared" ref="AE179" si="835">SUM(AE176,AE178)</f>
        <v>0</v>
      </c>
      <c r="AF179" s="430">
        <f t="shared" ref="AF179" si="836">SUM(AF176,AF178)</f>
        <v>0</v>
      </c>
      <c r="AG179" s="430">
        <f t="shared" ref="AG179" si="837">SUM(AG176,AG178)</f>
        <v>0</v>
      </c>
      <c r="AH179" s="430">
        <f t="shared" ref="AH179" si="838">SUM(AH176,AH178)</f>
        <v>0</v>
      </c>
    </row>
    <row r="180" spans="3:34" x14ac:dyDescent="0.2">
      <c r="C180" s="1181" t="s">
        <v>2190</v>
      </c>
      <c r="D180" s="1181"/>
      <c r="E180" s="342">
        <f>IF(OR($E157="N/A",E168&gt;$E160,E168&lt;$E161),0,IF($E159="Compound",E174-E178-E177,MAX(0,E174-E178)))</f>
        <v>0</v>
      </c>
      <c r="F180" s="342">
        <f>IF(OR($E157="N/A",F168&gt;$E160,F168&lt;$E161),0,IF($E159="Compound",F174-F178-F177,MAX(0,F174-F178)))</f>
        <v>0</v>
      </c>
      <c r="G180" s="342">
        <f t="shared" ref="G180:AH180" si="839">IF(OR($E157="N/A",G168&gt;$E160,G168&lt;$E161),0,IF($E159="Compound",G174-G178-G177,MAX(0,G174-G178)))</f>
        <v>0</v>
      </c>
      <c r="H180" s="342">
        <f t="shared" si="839"/>
        <v>0</v>
      </c>
      <c r="I180" s="342">
        <f t="shared" si="839"/>
        <v>0</v>
      </c>
      <c r="J180" s="342">
        <f t="shared" si="839"/>
        <v>0</v>
      </c>
      <c r="K180" s="342">
        <f t="shared" si="839"/>
        <v>0</v>
      </c>
      <c r="L180" s="342">
        <f t="shared" si="839"/>
        <v>0</v>
      </c>
      <c r="M180" s="342">
        <f t="shared" si="839"/>
        <v>0</v>
      </c>
      <c r="N180" s="342">
        <f t="shared" si="839"/>
        <v>0</v>
      </c>
      <c r="O180" s="342">
        <f t="shared" si="839"/>
        <v>0</v>
      </c>
      <c r="P180" s="342">
        <f t="shared" si="839"/>
        <v>0</v>
      </c>
      <c r="Q180" s="342">
        <f t="shared" si="839"/>
        <v>0</v>
      </c>
      <c r="R180" s="342">
        <f t="shared" si="839"/>
        <v>0</v>
      </c>
      <c r="S180" s="445">
        <f t="shared" si="839"/>
        <v>0</v>
      </c>
      <c r="T180" s="437">
        <f t="shared" si="839"/>
        <v>0</v>
      </c>
      <c r="U180" s="342">
        <f t="shared" si="839"/>
        <v>0</v>
      </c>
      <c r="V180" s="342">
        <f t="shared" si="839"/>
        <v>0</v>
      </c>
      <c r="W180" s="342">
        <f t="shared" si="839"/>
        <v>0</v>
      </c>
      <c r="X180" s="342">
        <f t="shared" si="839"/>
        <v>0</v>
      </c>
      <c r="Y180" s="342">
        <f t="shared" si="839"/>
        <v>0</v>
      </c>
      <c r="Z180" s="342">
        <f t="shared" si="839"/>
        <v>0</v>
      </c>
      <c r="AA180" s="342">
        <f t="shared" si="839"/>
        <v>0</v>
      </c>
      <c r="AB180" s="342">
        <f t="shared" si="839"/>
        <v>0</v>
      </c>
      <c r="AC180" s="342">
        <f t="shared" si="839"/>
        <v>0</v>
      </c>
      <c r="AD180" s="342">
        <f t="shared" si="839"/>
        <v>0</v>
      </c>
      <c r="AE180" s="342">
        <f t="shared" si="839"/>
        <v>0</v>
      </c>
      <c r="AF180" s="342">
        <f t="shared" si="839"/>
        <v>0</v>
      </c>
      <c r="AG180" s="342">
        <f t="shared" si="839"/>
        <v>0</v>
      </c>
      <c r="AH180" s="342">
        <f t="shared" si="839"/>
        <v>0</v>
      </c>
    </row>
    <row r="181" spans="3:34" x14ac:dyDescent="0.2">
      <c r="C181" s="317"/>
      <c r="D181" s="317"/>
      <c r="E181" s="74"/>
      <c r="F181" s="74"/>
      <c r="G181" s="74"/>
      <c r="H181" s="74"/>
      <c r="I181" s="74"/>
      <c r="J181" s="74"/>
      <c r="K181" s="74"/>
      <c r="L181" s="74"/>
      <c r="M181" s="74"/>
      <c r="N181" s="74"/>
      <c r="O181" s="74"/>
      <c r="P181" s="74"/>
      <c r="Q181" s="74"/>
      <c r="R181" s="74"/>
      <c r="S181" s="333"/>
      <c r="T181" s="74"/>
      <c r="U181" s="74"/>
      <c r="V181" s="74"/>
      <c r="W181" s="74"/>
      <c r="X181" s="74"/>
      <c r="Y181" s="74"/>
      <c r="Z181" s="74"/>
      <c r="AA181" s="74"/>
      <c r="AB181" s="74"/>
      <c r="AC181" s="74"/>
      <c r="AD181" s="74"/>
      <c r="AE181" s="74"/>
      <c r="AF181" s="74"/>
      <c r="AG181" s="74"/>
      <c r="AH181" s="74"/>
    </row>
    <row r="182" spans="3:34" ht="15" x14ac:dyDescent="0.2">
      <c r="C182" s="432" t="s">
        <v>2287</v>
      </c>
      <c r="D182" s="317"/>
      <c r="E182" s="74"/>
      <c r="F182" s="74"/>
      <c r="G182" s="74"/>
      <c r="H182" s="74"/>
      <c r="I182" s="74"/>
      <c r="J182" s="74"/>
      <c r="K182" s="74"/>
      <c r="L182" s="74"/>
      <c r="M182" s="74"/>
      <c r="N182" s="74"/>
      <c r="O182" s="74"/>
      <c r="P182" s="74"/>
      <c r="Q182" s="74"/>
      <c r="R182" s="74"/>
      <c r="S182" s="333"/>
      <c r="T182" s="74"/>
      <c r="U182" s="74"/>
      <c r="V182" s="74"/>
      <c r="W182" s="74"/>
      <c r="X182" s="74"/>
      <c r="Y182" s="74"/>
      <c r="Z182" s="74"/>
      <c r="AA182" s="74"/>
      <c r="AB182" s="74"/>
      <c r="AC182" s="74"/>
      <c r="AD182" s="74"/>
      <c r="AE182" s="74"/>
      <c r="AF182" s="74"/>
      <c r="AG182" s="74"/>
      <c r="AH182" s="74"/>
    </row>
    <row r="183" spans="3:34" x14ac:dyDescent="0.2">
      <c r="C183" s="1234" t="s">
        <v>2273</v>
      </c>
      <c r="D183" s="1234"/>
      <c r="E183" s="421">
        <f>IF($I157="N/A",0,IF(E168&gt;$I162,0,MIN($I161,$I157*$I159)))</f>
        <v>0</v>
      </c>
      <c r="F183" s="236">
        <f t="shared" ref="F183" si="840">IF($I157="N/A",0,IF(F168&gt;$I162,0,MIN($I161,$I157*$I159*(1+$I158)^E$63)))</f>
        <v>0</v>
      </c>
      <c r="G183" s="236">
        <f t="shared" ref="G183" si="841">IF($I157="N/A",0,IF(G168&gt;$I162,0,MIN($I161,$I157*$I159*(1+$I158)^F$63)))</f>
        <v>0</v>
      </c>
      <c r="H183" s="236">
        <f t="shared" ref="H183" si="842">IF($I157="N/A",0,IF(H168&gt;$I162,0,MIN($I161,$I157*$I159*(1+$I158)^G$63)))</f>
        <v>0</v>
      </c>
      <c r="I183" s="236">
        <f t="shared" ref="I183" si="843">IF($I157="N/A",0,IF(I168&gt;$I162,0,MIN($I161,$I157*$I159*(1+$I158)^H$63)))</f>
        <v>0</v>
      </c>
      <c r="J183" s="236">
        <f t="shared" ref="J183" si="844">IF($I157="N/A",0,IF(J168&gt;$I162,0,MIN($I161,$I157*$I159*(1+$I158)^I$63)))</f>
        <v>0</v>
      </c>
      <c r="K183" s="236">
        <f t="shared" ref="K183" si="845">IF($I157="N/A",0,IF(K168&gt;$I162,0,MIN($I161,$I157*$I159*(1+$I158)^J$63)))</f>
        <v>0</v>
      </c>
      <c r="L183" s="236">
        <f t="shared" ref="L183" si="846">IF($I157="N/A",0,IF(L168&gt;$I162,0,MIN($I161,$I157*$I159*(1+$I158)^K$63)))</f>
        <v>0</v>
      </c>
      <c r="M183" s="236">
        <f t="shared" ref="M183" si="847">IF($I157="N/A",0,IF(M168&gt;$I162,0,MIN($I161,$I157*$I159*(1+$I158)^L$63)))</f>
        <v>0</v>
      </c>
      <c r="N183" s="236">
        <f t="shared" ref="N183" si="848">IF($I157="N/A",0,IF(N168&gt;$I162,0,MIN($I161,$I157*$I159*(1+$I158)^M$63)))</f>
        <v>0</v>
      </c>
      <c r="O183" s="236">
        <f t="shared" ref="O183" si="849">IF($I157="N/A",0,IF(O168&gt;$I162,0,MIN($I161,$I157*$I159*(1+$I158)^N$63)))</f>
        <v>0</v>
      </c>
      <c r="P183" s="236">
        <f t="shared" ref="P183" si="850">IF($I157="N/A",0,IF(P168&gt;$I162,0,MIN($I161,$I157*$I159*(1+$I158)^O$63)))</f>
        <v>0</v>
      </c>
      <c r="Q183" s="236">
        <f t="shared" ref="Q183" si="851">IF($I157="N/A",0,IF(Q168&gt;$I162,0,MIN($I161,$I157*$I159*(1+$I158)^P$63)))</f>
        <v>0</v>
      </c>
      <c r="R183" s="236">
        <f t="shared" ref="R183" si="852">IF($I157="N/A",0,IF(R168&gt;$I162,0,MIN($I161,$I157*$I159*(1+$I158)^Q$63)))</f>
        <v>0</v>
      </c>
      <c r="S183" s="446">
        <f t="shared" ref="S183" si="853">IF($I157="N/A",0,IF(S168&gt;$I162,0,MIN($I161,$I157*$I159*(1+$I158)^R$63)))</f>
        <v>0</v>
      </c>
      <c r="T183" s="438">
        <f t="shared" ref="T183" si="854">IF($I157="N/A",0,IF(T168&gt;$I162,0,MIN($I161,$I157*$I159*(1+$I158)^S$63)))</f>
        <v>0</v>
      </c>
      <c r="U183" s="236">
        <f t="shared" ref="U183" si="855">IF($I157="N/A",0,IF(U168&gt;$I162,0,MIN($I161,$I157*$I159*(1+$I158)^T$63)))</f>
        <v>0</v>
      </c>
      <c r="V183" s="236">
        <f t="shared" ref="V183" si="856">IF($I157="N/A",0,IF(V168&gt;$I162,0,MIN($I161,$I157*$I159*(1+$I158)^U$63)))</f>
        <v>0</v>
      </c>
      <c r="W183" s="236">
        <f t="shared" ref="W183" si="857">IF($I157="N/A",0,IF(W168&gt;$I162,0,MIN($I161,$I157*$I159*(1+$I158)^V$63)))</f>
        <v>0</v>
      </c>
      <c r="X183" s="236">
        <f t="shared" ref="X183" si="858">IF($I157="N/A",0,IF(X168&gt;$I162,0,MIN($I161,$I157*$I159*(1+$I158)^W$63)))</f>
        <v>0</v>
      </c>
      <c r="Y183" s="236">
        <f t="shared" ref="Y183" si="859">IF($I157="N/A",0,IF(Y168&gt;$I162,0,MIN($I161,$I157*$I159*(1+$I158)^X$63)))</f>
        <v>0</v>
      </c>
      <c r="Z183" s="236">
        <f t="shared" ref="Z183" si="860">IF($I157="N/A",0,IF(Z168&gt;$I162,0,MIN($I161,$I157*$I159*(1+$I158)^Y$63)))</f>
        <v>0</v>
      </c>
      <c r="AA183" s="236">
        <f t="shared" ref="AA183" si="861">IF($I157="N/A",0,IF(AA168&gt;$I162,0,MIN($I161,$I157*$I159*(1+$I158)^Z$63)))</f>
        <v>0</v>
      </c>
      <c r="AB183" s="236">
        <f t="shared" ref="AB183" si="862">IF($I157="N/A",0,IF(AB168&gt;$I162,0,MIN($I161,$I157*$I159*(1+$I158)^AA$63)))</f>
        <v>0</v>
      </c>
      <c r="AC183" s="236">
        <f t="shared" ref="AC183" si="863">IF($I157="N/A",0,IF(AC168&gt;$I162,0,MIN($I161,$I157*$I159*(1+$I158)^AB$63)))</f>
        <v>0</v>
      </c>
      <c r="AD183" s="236">
        <f t="shared" ref="AD183" si="864">IF($I157="N/A",0,IF(AD168&gt;$I162,0,MIN($I161,$I157*$I159*(1+$I158)^AC$63)))</f>
        <v>0</v>
      </c>
      <c r="AE183" s="236">
        <f t="shared" ref="AE183" si="865">IF($I157="N/A",0,IF(AE168&gt;$I162,0,MIN($I161,$I157*$I159*(1+$I158)^AD$63)))</f>
        <v>0</v>
      </c>
      <c r="AF183" s="236">
        <f t="shared" ref="AF183" si="866">IF($I157="N/A",0,IF(AF168&gt;$I162,0,MIN($I161,$I157*$I159*(1+$I158)^AE$63)))</f>
        <v>0</v>
      </c>
      <c r="AG183" s="236">
        <f t="shared" ref="AG183" si="867">IF($I157="N/A",0,IF(AG168&gt;$I162,0,MIN($I161,$I157*$I159*(1+$I158)^AF$63)))</f>
        <v>0</v>
      </c>
      <c r="AH183" s="236">
        <f t="shared" ref="AH183" si="868">IF($I157="N/A",0,IF(AH168&gt;$I162,0,MIN($I161,$I157*$I159*(1+$I158)^AG$63)))</f>
        <v>0</v>
      </c>
    </row>
    <row r="184" spans="3:34" x14ac:dyDescent="0.2">
      <c r="C184" s="1450" t="s">
        <v>2274</v>
      </c>
      <c r="D184" s="1451"/>
      <c r="E184" s="422">
        <f>IF($I157="N/A",0,IF(E168&gt;$I162,0,MAX(0,MIN(E183,$I157*$I159,E170))))</f>
        <v>0</v>
      </c>
      <c r="F184" s="521">
        <f t="shared" ref="F184" si="869">IF($I157="N/A",0,IF(F168&gt;$I162,0,IF($I160="Yes",MAX(0,MIN(F170*$I159,E186+F183,$I161)),MAX(0,MIN(F183,F170*$I159,$I161)))))</f>
        <v>0</v>
      </c>
      <c r="G184" s="521">
        <f t="shared" ref="G184" si="870">IF($I157="N/A",0,IF(G168&gt;$I162,0,IF($I160="Yes",MAX(0,MIN(G170*$I159,F186+G183,$I161)),MAX(0,MIN(G183,G170*$I159,$I161)))))</f>
        <v>0</v>
      </c>
      <c r="H184" s="521">
        <f t="shared" ref="H184" si="871">IF($I157="N/A",0,IF(H168&gt;$I162,0,IF($I160="Yes",MAX(0,MIN(H170*$I159,G186+H183,$I161)),MAX(0,MIN(H183,H170*$I159,$I161)))))</f>
        <v>0</v>
      </c>
      <c r="I184" s="521">
        <f t="shared" ref="I184" si="872">IF($I157="N/A",0,IF(I168&gt;$I162,0,IF($I160="Yes",MAX(0,MIN(I170*$I159,H186+I183,$I161)),MAX(0,MIN(I183,I170*$I159,$I161)))))</f>
        <v>0</v>
      </c>
      <c r="J184" s="521">
        <f t="shared" ref="J184" si="873">IF($I157="N/A",0,IF(J168&gt;$I162,0,IF($I160="Yes",MAX(0,MIN(J170*$I159,I186+J183,$I161)),MAX(0,MIN(J183,J170*$I159,$I161)))))</f>
        <v>0</v>
      </c>
      <c r="K184" s="521">
        <f t="shared" ref="K184" si="874">IF($I157="N/A",0,IF(K168&gt;$I162,0,IF($I160="Yes",MAX(0,MIN(K170*$I159,J186+K183,$I161)),MAX(0,MIN(K183,K170*$I159,$I161)))))</f>
        <v>0</v>
      </c>
      <c r="L184" s="521">
        <f t="shared" ref="L184" si="875">IF($I157="N/A",0,IF(L168&gt;$I162,0,IF($I160="Yes",MAX(0,MIN(L170*$I159,K186+L183,$I161)),MAX(0,MIN(L183,L170*$I159,$I161)))))</f>
        <v>0</v>
      </c>
      <c r="M184" s="521">
        <f t="shared" ref="M184" si="876">IF($I157="N/A",0,IF(M168&gt;$I162,0,IF($I160="Yes",MAX(0,MIN(M170*$I159,L186+M183,$I161)),MAX(0,MIN(M183,M170*$I159,$I161)))))</f>
        <v>0</v>
      </c>
      <c r="N184" s="521">
        <f t="shared" ref="N184" si="877">IF($I157="N/A",0,IF(N168&gt;$I162,0,IF($I160="Yes",MAX(0,MIN(N170*$I159,M186+N183,$I161)),MAX(0,MIN(N183,N170*$I159,$I161)))))</f>
        <v>0</v>
      </c>
      <c r="O184" s="521">
        <f t="shared" ref="O184" si="878">IF($I157="N/A",0,IF(O168&gt;$I162,0,IF($I160="Yes",MAX(0,MIN(O170*$I159,N186+O183,$I161)),MAX(0,MIN(O183,O170*$I159,$I161)))))</f>
        <v>0</v>
      </c>
      <c r="P184" s="521">
        <f t="shared" ref="P184" si="879">IF($I157="N/A",0,IF(P168&gt;$I162,0,IF($I160="Yes",MAX(0,MIN(P170*$I159,O186+P183,$I161)),MAX(0,MIN(P183,P170*$I159,$I161)))))</f>
        <v>0</v>
      </c>
      <c r="Q184" s="521">
        <f t="shared" ref="Q184" si="880">IF($I157="N/A",0,IF(Q168&gt;$I162,0,IF($I160="Yes",MAX(0,MIN(Q170*$I159,P186+Q183,$I161)),MAX(0,MIN(Q183,Q170*$I159,$I161)))))</f>
        <v>0</v>
      </c>
      <c r="R184" s="521">
        <f t="shared" ref="R184" si="881">IF($I157="N/A",0,IF(R168&gt;$I162,0,IF($I160="Yes",MAX(0,MIN(R170*$I159,Q186+R183,$I161)),MAX(0,MIN(R183,R170*$I159,$I161)))))</f>
        <v>0</v>
      </c>
      <c r="S184" s="523">
        <f t="shared" ref="S184" si="882">IF($I157="N/A",0,IF(S168&gt;$I162,0,IF($I160="Yes",MAX(0,MIN(S170*$I159,R186+S183,$I161)),MAX(0,MIN(S183,S170*$I159,$I161)))))</f>
        <v>0</v>
      </c>
      <c r="T184" s="522">
        <f t="shared" ref="T184" si="883">IF($I157="N/A",0,IF(T168&gt;$I162,0,IF($I160="Yes",MAX(0,MIN(T170*$I159,S186+T183,$I161)),MAX(0,MIN(T183,T170*$I159,$I161)))))</f>
        <v>0</v>
      </c>
      <c r="U184" s="521">
        <f t="shared" ref="U184" si="884">IF($I157="N/A",0,IF(U168&gt;$I162,0,IF($I160="Yes",MAX(0,MIN(U170*$I159,T186+U183,$I161)),MAX(0,MIN(U183,U170*$I159,$I161)))))</f>
        <v>0</v>
      </c>
      <c r="V184" s="521">
        <f t="shared" ref="V184" si="885">IF($I157="N/A",0,IF(V168&gt;$I162,0,IF($I160="Yes",MAX(0,MIN(V170*$I159,U186+V183,$I161)),MAX(0,MIN(V183,V170*$I159,$I161)))))</f>
        <v>0</v>
      </c>
      <c r="W184" s="521">
        <f t="shared" ref="W184" si="886">IF($I157="N/A",0,IF(W168&gt;$I162,0,IF($I160="Yes",MAX(0,MIN(W170*$I159,V186+W183,$I161)),MAX(0,MIN(W183,W170*$I159,$I161)))))</f>
        <v>0</v>
      </c>
      <c r="X184" s="521">
        <f t="shared" ref="X184" si="887">IF($I157="N/A",0,IF(X168&gt;$I162,0,IF($I160="Yes",MAX(0,MIN(X170*$I159,W186+X183,$I161)),MAX(0,MIN(X183,X170*$I159,$I161)))))</f>
        <v>0</v>
      </c>
      <c r="Y184" s="521">
        <f t="shared" ref="Y184" si="888">IF($I157="N/A",0,IF(Y168&gt;$I162,0,IF($I160="Yes",MAX(0,MIN(Y170*$I159,X186+Y183,$I161)),MAX(0,MIN(Y183,Y170*$I159,$I161)))))</f>
        <v>0</v>
      </c>
      <c r="Z184" s="521">
        <f t="shared" ref="Z184" si="889">IF($I157="N/A",0,IF(Z168&gt;$I162,0,IF($I160="Yes",MAX(0,MIN(Z170*$I159,Y186+Z183,$I161)),MAX(0,MIN(Z183,Z170*$I159,$I161)))))</f>
        <v>0</v>
      </c>
      <c r="AA184" s="521">
        <f t="shared" ref="AA184" si="890">IF($I157="N/A",0,IF(AA168&gt;$I162,0,IF($I160="Yes",MAX(0,MIN(AA170*$I159,Z186+AA183,$I161)),MAX(0,MIN(AA183,AA170*$I159,$I161)))))</f>
        <v>0</v>
      </c>
      <c r="AB184" s="521">
        <f t="shared" ref="AB184" si="891">IF($I157="N/A",0,IF(AB168&gt;$I162,0,IF($I160="Yes",MAX(0,MIN(AB170*$I159,AA186+AB183,$I161)),MAX(0,MIN(AB183,AB170*$I159,$I161)))))</f>
        <v>0</v>
      </c>
      <c r="AC184" s="521">
        <f t="shared" ref="AC184" si="892">IF($I157="N/A",0,IF(AC168&gt;$I162,0,IF($I160="Yes",MAX(0,MIN(AC170*$I159,AB186+AC183,$I161)),MAX(0,MIN(AC183,AC170*$I159,$I161)))))</f>
        <v>0</v>
      </c>
      <c r="AD184" s="521">
        <f t="shared" ref="AD184" si="893">IF($I157="N/A",0,IF(AD168&gt;$I162,0,IF($I160="Yes",MAX(0,MIN(AD170*$I159,AC186+AD183,$I161)),MAX(0,MIN(AD183,AD170*$I159,$I161)))))</f>
        <v>0</v>
      </c>
      <c r="AE184" s="521">
        <f t="shared" ref="AE184" si="894">IF($I157="N/A",0,IF(AE168&gt;$I162,0,IF($I160="Yes",MAX(0,MIN(AE170*$I159,AD186+AE183,$I161)),MAX(0,MIN(AE183,AE170*$I159,$I161)))))</f>
        <v>0</v>
      </c>
      <c r="AF184" s="521">
        <f t="shared" ref="AF184" si="895">IF($I157="N/A",0,IF(AF168&gt;$I162,0,IF($I160="Yes",MAX(0,MIN(AF170*$I159,AE186+AF183,$I161)),MAX(0,MIN(AF183,AF170*$I159,$I161)))))</f>
        <v>0</v>
      </c>
      <c r="AG184" s="521">
        <f t="shared" ref="AG184" si="896">IF($I157="N/A",0,IF(AG168&gt;$I162,0,IF($I160="Yes",MAX(0,MIN(AG170*$I159,AF186+AG183,$I161)),MAX(0,MIN(AG183,AG170*$I159,$I161)))))</f>
        <v>0</v>
      </c>
      <c r="AH184" s="521">
        <f t="shared" ref="AH184" si="897">IF($I157="N/A",0,IF(AH168&gt;$I162,0,IF($I160="Yes",MAX(0,MIN(AH170*$I159,AG186+AH183,$I161)),MAX(0,MIN(AH183,AH170*$I159,$I161)))))</f>
        <v>0</v>
      </c>
    </row>
    <row r="185" spans="3:34" x14ac:dyDescent="0.2">
      <c r="C185" s="1168" t="s">
        <v>2275</v>
      </c>
      <c r="D185" s="1170"/>
      <c r="E185" s="421">
        <f>IF($I160="Yes",IF(E168&gt;$I162,0,E183-E184),0)</f>
        <v>0</v>
      </c>
      <c r="F185" s="421">
        <f t="shared" ref="F185:AH185" si="898">IF($I157="N/A",0,IF(F169&gt;$I162,0,IF($I160="Yes",F183-F184,0)))</f>
        <v>0</v>
      </c>
      <c r="G185" s="421">
        <f t="shared" si="898"/>
        <v>0</v>
      </c>
      <c r="H185" s="421">
        <f t="shared" si="898"/>
        <v>0</v>
      </c>
      <c r="I185" s="421">
        <f t="shared" si="898"/>
        <v>0</v>
      </c>
      <c r="J185" s="421">
        <f t="shared" si="898"/>
        <v>0</v>
      </c>
      <c r="K185" s="421">
        <f t="shared" si="898"/>
        <v>0</v>
      </c>
      <c r="L185" s="421">
        <f t="shared" si="898"/>
        <v>0</v>
      </c>
      <c r="M185" s="421">
        <f t="shared" si="898"/>
        <v>0</v>
      </c>
      <c r="N185" s="421">
        <f t="shared" si="898"/>
        <v>0</v>
      </c>
      <c r="O185" s="421">
        <f t="shared" si="898"/>
        <v>0</v>
      </c>
      <c r="P185" s="421">
        <f t="shared" si="898"/>
        <v>0</v>
      </c>
      <c r="Q185" s="421">
        <f t="shared" si="898"/>
        <v>0</v>
      </c>
      <c r="R185" s="421">
        <f t="shared" si="898"/>
        <v>0</v>
      </c>
      <c r="S185" s="447">
        <f t="shared" si="898"/>
        <v>0</v>
      </c>
      <c r="T185" s="439">
        <f t="shared" si="898"/>
        <v>0</v>
      </c>
      <c r="U185" s="421">
        <f t="shared" si="898"/>
        <v>0</v>
      </c>
      <c r="V185" s="421">
        <f t="shared" si="898"/>
        <v>0</v>
      </c>
      <c r="W185" s="421">
        <f t="shared" si="898"/>
        <v>0</v>
      </c>
      <c r="X185" s="421">
        <f t="shared" si="898"/>
        <v>0</v>
      </c>
      <c r="Y185" s="421">
        <f t="shared" si="898"/>
        <v>0</v>
      </c>
      <c r="Z185" s="421">
        <f t="shared" si="898"/>
        <v>0</v>
      </c>
      <c r="AA185" s="421">
        <f t="shared" si="898"/>
        <v>0</v>
      </c>
      <c r="AB185" s="421">
        <f t="shared" si="898"/>
        <v>0</v>
      </c>
      <c r="AC185" s="421">
        <f t="shared" si="898"/>
        <v>0</v>
      </c>
      <c r="AD185" s="421">
        <f t="shared" si="898"/>
        <v>0</v>
      </c>
      <c r="AE185" s="421">
        <f t="shared" si="898"/>
        <v>0</v>
      </c>
      <c r="AF185" s="421">
        <f t="shared" si="898"/>
        <v>0</v>
      </c>
      <c r="AG185" s="421">
        <f t="shared" si="898"/>
        <v>0</v>
      </c>
      <c r="AH185" s="421">
        <f t="shared" si="898"/>
        <v>0</v>
      </c>
    </row>
    <row r="186" spans="3:34" x14ac:dyDescent="0.2">
      <c r="C186" s="1168" t="s">
        <v>2276</v>
      </c>
      <c r="D186" s="1170"/>
      <c r="E186" s="421">
        <f>E185</f>
        <v>0</v>
      </c>
      <c r="F186" s="236">
        <f t="shared" ref="F186" si="899">IF($I157="N/A",0,IF(F168&gt;$I162,0,E186+F185))</f>
        <v>0</v>
      </c>
      <c r="G186" s="236">
        <f t="shared" ref="G186" si="900">IF($I157="N/A",0,IF(G168&gt;$I162,0,F186+G185))</f>
        <v>0</v>
      </c>
      <c r="H186" s="236">
        <f t="shared" ref="H186" si="901">IF($I157="N/A",0,IF(H168&gt;$I162,0,G186+H185))</f>
        <v>0</v>
      </c>
      <c r="I186" s="236">
        <f t="shared" ref="I186" si="902">IF($I157="N/A",0,IF(I168&gt;$I162,0,H186+I185))</f>
        <v>0</v>
      </c>
      <c r="J186" s="236">
        <f t="shared" ref="J186" si="903">IF($I157="N/A",0,IF(J168&gt;$I162,0,I186+J185))</f>
        <v>0</v>
      </c>
      <c r="K186" s="236">
        <f t="shared" ref="K186" si="904">IF($I157="N/A",0,IF(K168&gt;$I162,0,J186+K185))</f>
        <v>0</v>
      </c>
      <c r="L186" s="236">
        <f t="shared" ref="L186" si="905">IF($I157="N/A",0,IF(L168&gt;$I162,0,K186+L185))</f>
        <v>0</v>
      </c>
      <c r="M186" s="236">
        <f t="shared" ref="M186" si="906">IF($I157="N/A",0,IF(M168&gt;$I162,0,L186+M185))</f>
        <v>0</v>
      </c>
      <c r="N186" s="236">
        <f t="shared" ref="N186" si="907">IF($I157="N/A",0,IF(N168&gt;$I162,0,M186+N185))</f>
        <v>0</v>
      </c>
      <c r="O186" s="236">
        <f t="shared" ref="O186" si="908">IF($I157="N/A",0,IF(O168&gt;$I162,0,N186+O185))</f>
        <v>0</v>
      </c>
      <c r="P186" s="236">
        <f t="shared" ref="P186" si="909">IF($I157="N/A",0,IF(P168&gt;$I162,0,O186+P185))</f>
        <v>0</v>
      </c>
      <c r="Q186" s="236">
        <f t="shared" ref="Q186" si="910">IF($I157="N/A",0,IF(Q168&gt;$I162,0,P186+Q185))</f>
        <v>0</v>
      </c>
      <c r="R186" s="236">
        <f t="shared" ref="R186" si="911">IF($I157="N/A",0,IF(R168&gt;$I162,0,Q186+R185))</f>
        <v>0</v>
      </c>
      <c r="S186" s="446">
        <f t="shared" ref="S186" si="912">IF($I157="N/A",0,IF(S168&gt;$I162,0,R186+S185))</f>
        <v>0</v>
      </c>
      <c r="T186" s="438">
        <f t="shared" ref="T186" si="913">IF($I157="N/A",0,IF(T168&gt;$I162,0,S186+T185))</f>
        <v>0</v>
      </c>
      <c r="U186" s="236">
        <f t="shared" ref="U186" si="914">IF($I157="N/A",0,IF(U168&gt;$I162,0,T186+U185))</f>
        <v>0</v>
      </c>
      <c r="V186" s="236">
        <f t="shared" ref="V186" si="915">IF($I157="N/A",0,IF(V168&gt;$I162,0,U186+V185))</f>
        <v>0</v>
      </c>
      <c r="W186" s="236">
        <f t="shared" ref="W186" si="916">IF($I157="N/A",0,IF(W168&gt;$I162,0,V186+W185))</f>
        <v>0</v>
      </c>
      <c r="X186" s="236">
        <f t="shared" ref="X186" si="917">IF($I157="N/A",0,IF(X168&gt;$I162,0,W186+X185))</f>
        <v>0</v>
      </c>
      <c r="Y186" s="236">
        <f t="shared" ref="Y186" si="918">IF($I157="N/A",0,IF(Y168&gt;$I162,0,X186+Y185))</f>
        <v>0</v>
      </c>
      <c r="Z186" s="236">
        <f t="shared" ref="Z186" si="919">IF($I157="N/A",0,IF(Z168&gt;$I162,0,Y186+Z185))</f>
        <v>0</v>
      </c>
      <c r="AA186" s="236">
        <f t="shared" ref="AA186" si="920">IF($I157="N/A",0,IF(AA168&gt;$I162,0,Z186+AA185))</f>
        <v>0</v>
      </c>
      <c r="AB186" s="236">
        <f t="shared" ref="AB186" si="921">IF($I157="N/A",0,IF(AB168&gt;$I162,0,AA186+AB185))</f>
        <v>0</v>
      </c>
      <c r="AC186" s="236">
        <f t="shared" ref="AC186" si="922">IF($I157="N/A",0,IF(AC168&gt;$I162,0,AB186+AC185))</f>
        <v>0</v>
      </c>
      <c r="AD186" s="236">
        <f t="shared" ref="AD186" si="923">IF($I157="N/A",0,IF(AD168&gt;$I162,0,AC186+AD185))</f>
        <v>0</v>
      </c>
      <c r="AE186" s="236">
        <f t="shared" ref="AE186" si="924">IF($I157="N/A",0,IF(AE168&gt;$I162,0,AD186+AE185))</f>
        <v>0</v>
      </c>
      <c r="AF186" s="236">
        <f t="shared" ref="AF186" si="925">IF($I157="N/A",0,IF(AF168&gt;$I162,0,AE186+AF185))</f>
        <v>0</v>
      </c>
      <c r="AG186" s="236">
        <f t="shared" ref="AG186" si="926">IF($I157="N/A",0,IF(AG168&gt;$I162,0,AF186+AG185))</f>
        <v>0</v>
      </c>
      <c r="AH186" s="236">
        <f t="shared" ref="AH186" si="927">IF($I157="N/A",0,IF(AH168&gt;$I162,0,AG186+AH185))</f>
        <v>0</v>
      </c>
    </row>
    <row r="187" spans="3:34" x14ac:dyDescent="0.2">
      <c r="C187" s="25"/>
      <c r="D187" s="25"/>
      <c r="E187" s="533"/>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row>
    <row r="188" spans="3:34" x14ac:dyDescent="0.2">
      <c r="C188" s="25"/>
      <c r="D188" s="25"/>
      <c r="E188" s="533"/>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row>
    <row r="189" spans="3:34" ht="15" x14ac:dyDescent="0.2">
      <c r="C189" s="1456" t="str">
        <f>IF(Sources!$D$72="","N/A",Sources!$D$72)</f>
        <v>N/A</v>
      </c>
      <c r="D189" s="1456"/>
      <c r="E189" s="1456"/>
      <c r="F189" s="412" t="s">
        <v>2266</v>
      </c>
      <c r="G189" s="92" t="str">
        <f>IF(AND(ISERROR(VLOOKUP($C189,OpBudget!$C$159:$C$165,1,FALSE)),ISERROR(VLOOKUP($C189,Sources!$C$36:$C$55,1,FALSE))),"N/A",IF(ISERROR(VLOOKUP($C189,Sources!$C$36:$C$55,1,FALSE)),"Fee","Loan"))</f>
        <v>N/A</v>
      </c>
      <c r="H189" s="412"/>
      <c r="I189" s="412"/>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row>
    <row r="190" spans="3:34" ht="15" x14ac:dyDescent="0.2">
      <c r="C190" s="345"/>
      <c r="D190" s="345"/>
      <c r="E190" s="345"/>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row>
    <row r="191" spans="3:34" ht="15" x14ac:dyDescent="0.2">
      <c r="C191" s="417" t="s">
        <v>2260</v>
      </c>
      <c r="D191" s="345"/>
      <c r="E191" s="345"/>
      <c r="F191" s="74"/>
      <c r="G191" s="74" t="s">
        <v>2261</v>
      </c>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row>
    <row r="192" spans="3:34" x14ac:dyDescent="0.2">
      <c r="C192" s="1452" t="s">
        <v>2255</v>
      </c>
      <c r="D192" s="1452"/>
      <c r="E192" s="413" t="str">
        <f>IF(OR($G189="Fee",$G189="N/A"),"N/A",INDEX(Sources!$C$35:$K$55,MATCH(Loans!$C189,Sources!$C$35:$C$55,0),MATCH("Amount",Sources!$C$35:$N$35,0)))</f>
        <v>N/A</v>
      </c>
      <c r="F192" s="74"/>
      <c r="G192" s="1454" t="s">
        <v>2262</v>
      </c>
      <c r="H192" s="1454"/>
      <c r="I192" s="705" t="str">
        <f>IF(OR($G189="Loan",$G189="N/A"),"N/A",INDEX(OpBudget!$C$159:$K$165,MATCH(Loans!$C189,OpBudget!$C$159:$C$165,0),MATCH("Total Amount",OpBudget!$C$159:$K$159,0)))</f>
        <v>N/A</v>
      </c>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row>
    <row r="193" spans="3:34" x14ac:dyDescent="0.2">
      <c r="C193" s="1452" t="s">
        <v>2256</v>
      </c>
      <c r="D193" s="1452"/>
      <c r="E193" s="702" t="str">
        <f>IF(OR($G189="Fee",$G189="N/A"),"N/A",INDEX(Sources!$C$35:$K$55,MATCH(Loans!$C189,Sources!$C$35:$C$55,0),MATCH("Interest Rate",Sources!$C$35:$N$35,0)))</f>
        <v>N/A</v>
      </c>
      <c r="F193" s="74"/>
      <c r="G193" s="1454" t="s">
        <v>2268</v>
      </c>
      <c r="H193" s="1454"/>
      <c r="I193" s="703" t="str">
        <f>IF(OR($G189="Loan",$G189="N/A"),"N/A",INDEX(OpBudget!$C$159:$K$165,MATCH(Loans!$C189,OpBudget!$C$159:$C$165,0),MATCH("Annual Percent Inflator",OpBudget!$C$159:$K$159,0)))</f>
        <v>N/A</v>
      </c>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row>
    <row r="194" spans="3:34" x14ac:dyDescent="0.2">
      <c r="C194" s="1452" t="s">
        <v>2279</v>
      </c>
      <c r="D194" s="1452"/>
      <c r="E194" s="702" t="str">
        <f>IF(OR($G189="Fee",$G189="N/A"),"N/A",INDEX(Sources!$C$35:$N$55,MATCH(Loans!$C189,Sources!$C$35:$C$55,0),MATCH("Simple or Compound Interest?",Sources!$C$35:$N$35,0)))</f>
        <v>N/A</v>
      </c>
      <c r="F194" s="74"/>
      <c r="G194" s="424" t="s">
        <v>2263</v>
      </c>
      <c r="H194" s="424"/>
      <c r="I194" s="703" t="str">
        <f>IF(OR($G189="Loan",$G189="N/A"),"N/A",INDEX(Sources!$D$67:$H$82,MATCH(Loans!$C189,Sources!$D$67:$D$82,0),MATCH("Split of Cash Flow",Sources!$D$67:$H$67,0)))</f>
        <v>N/A</v>
      </c>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row>
    <row r="195" spans="3:34" x14ac:dyDescent="0.2">
      <c r="C195" s="1452" t="s">
        <v>2257</v>
      </c>
      <c r="D195" s="1452"/>
      <c r="E195" s="420" t="str">
        <f>IF(OR($G189="Fee",$G189="N/A"),"N/A",INDEX(Sources!$C$35:$K$55,MATCH(Loans!$C189,Sources!$C$35:$C$55,0),MATCH("Term (Years)",Sources!$C$35:$N$35,0)))</f>
        <v>N/A</v>
      </c>
      <c r="F195" s="74"/>
      <c r="G195" s="1454" t="s">
        <v>2281</v>
      </c>
      <c r="H195" s="1454"/>
      <c r="I195" s="703" t="str">
        <f>IF(OR($G189="Loan",$G189="N/A"),"N/A",INDEX(OpBudget!$C$159:$K$165,MATCH(Loans!$C189,OpBudget!$C$159:$C$165,0),MATCH("Accrue Unpaid Fee?",OpBudget!$C$159:$K$159,0)))</f>
        <v>N/A</v>
      </c>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row>
    <row r="196" spans="3:34" x14ac:dyDescent="0.2">
      <c r="C196" s="1452" t="s">
        <v>2284</v>
      </c>
      <c r="D196" s="1452"/>
      <c r="E196" s="420" t="str">
        <f>IF(OR($G189="Fee",$G189="N/A"),"N/A",INDEX(Sources!$D$67:$O$82,MATCH(Loans!$C189,Sources!$D$67:$D$82,0),MATCH("Beginning Payment Year",Sources!$D$67:$O$67,0)))</f>
        <v>N/A</v>
      </c>
      <c r="F196" s="74"/>
      <c r="G196" s="1454" t="s">
        <v>2293</v>
      </c>
      <c r="H196" s="1454"/>
      <c r="I196" s="705" t="str">
        <f>IF(OR($G189="Loan",$G189="N/A"),"N/A",IF(INDEX(OpBudget!$C$159:$K$165,MATCH(Loans!$C189,OpBudget!$C$159:$C$165,0),MATCH("Fee Cap (if applicable)",OpBudget!$C$159:$K$159,0))=0,"N/A",INDEX(OpBudget!$C$159:$K$165,MATCH(Loans!$C189,OpBudget!$C$159:$C$165,0),MATCH("Fee Cap (if applicable)",OpBudget!$C$159:$K$159,0))))</f>
        <v>N/A</v>
      </c>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row>
    <row r="197" spans="3:34" x14ac:dyDescent="0.2">
      <c r="C197" s="1452" t="s">
        <v>2267</v>
      </c>
      <c r="D197" s="1452"/>
      <c r="E197" s="703" t="str">
        <f>IF(OR($G189="Fee",$G189="N/A"),"N/A",INDEX(Sources!$D$67:$O$82,MATCH(Loans!$C189,Sources!$D$67:$D$82,0),MATCH("Split of Cash Flow",Sources!$D$67:$O$67,0)))</f>
        <v>N/A</v>
      </c>
      <c r="F197" s="1455"/>
      <c r="G197" s="1454" t="s">
        <v>2292</v>
      </c>
      <c r="H197" s="1454"/>
      <c r="I197" s="420" t="str">
        <f>IF(OR($G189="Loan",$G189="N/A"),"N/A",INDEX(OpBudget!$C$159:$K$165,MATCH(Loans!$C189,OpBudget!$C$159:$C$165,0),MATCH("Number of Years Fee Exists",OpBudget!$C$159:$K$159,0)))</f>
        <v>N/A</v>
      </c>
      <c r="J197" s="74"/>
      <c r="K197" s="74"/>
      <c r="L197" s="74" t="s">
        <v>2278</v>
      </c>
      <c r="M197" s="74"/>
      <c r="N197" s="74"/>
      <c r="O197" s="74"/>
      <c r="P197" s="74"/>
      <c r="Q197" s="74"/>
      <c r="R197" s="74"/>
      <c r="S197" s="74"/>
      <c r="T197" s="74"/>
      <c r="U197" s="74"/>
      <c r="V197" s="74"/>
      <c r="W197" s="74"/>
      <c r="X197" s="74"/>
      <c r="Y197" s="74"/>
      <c r="Z197" s="74"/>
      <c r="AA197" s="74"/>
      <c r="AB197" s="74"/>
      <c r="AC197" s="74"/>
      <c r="AD197" s="74"/>
      <c r="AE197" s="74"/>
      <c r="AF197" s="74"/>
      <c r="AG197" s="74"/>
      <c r="AH197" s="74"/>
    </row>
    <row r="198" spans="3:34" x14ac:dyDescent="0.2">
      <c r="C198" s="1452" t="s">
        <v>2289</v>
      </c>
      <c r="D198" s="1452"/>
      <c r="E198" s="704" t="str">
        <f>IF(OR($G189="Fee",$G189="N/A"),"N/A",INDEX(Sources!$D$67:$O$82,MATCH(Loans!$C189,Sources!$D$67:$D$82,0),MATCH("Pari Passu?",Sources!$D$67:$O$67,0)))</f>
        <v>N/A</v>
      </c>
      <c r="F198" s="1455"/>
      <c r="G198" s="424"/>
      <c r="H198" s="424"/>
      <c r="I198" s="526"/>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row>
    <row r="199" spans="3:34" x14ac:dyDescent="0.2">
      <c r="C199" s="1452" t="s">
        <v>2295</v>
      </c>
      <c r="D199" s="1452"/>
      <c r="E199" s="703" t="str">
        <f>IF(OR($G189="Fee",$G189="N/A"),"N/A",INDEX(Sources!$D$67:$O$82,MATCH(Loans!$C189,Sources!$D$67:$D$82,0),MATCH("Shared Position Split of Cash Flow",Sources!$D$67:$O$67,0)))</f>
        <v>N/A</v>
      </c>
      <c r="F199" s="532"/>
      <c r="G199" s="424"/>
      <c r="H199" s="424"/>
      <c r="I199" s="526"/>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row>
    <row r="200" spans="3:34" x14ac:dyDescent="0.2">
      <c r="C200" s="1452" t="s">
        <v>2291</v>
      </c>
      <c r="D200" s="1452"/>
      <c r="E200" s="704" t="str">
        <f>IF(OR($G189="Fee",$G189="N/A"),"N/A",INDEX(Sources!$D$67:$O$82,MATCH(Loans!$C189,Sources!$D$67:$D$82,0),MATCH("Deferred Loan?",Sources!$D$67:$O$67,0)))</f>
        <v>N/A</v>
      </c>
      <c r="F200" s="74"/>
      <c r="G200" s="424"/>
      <c r="H200" s="424"/>
      <c r="I200" s="526"/>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row>
    <row r="201" spans="3:34" x14ac:dyDescent="0.2">
      <c r="C201" s="1452" t="s">
        <v>2277</v>
      </c>
      <c r="D201" s="1452"/>
      <c r="E201" s="705" t="str">
        <f>IF(OR(E192=0,E192="N/A"),"N/A",INDEX($C203:$AH215,MATCH("Ending Principal Balance",$C203:$C215,0),MATCH($E195,$C203:$AH203,0)))</f>
        <v>N/A</v>
      </c>
      <c r="F201" s="74"/>
      <c r="G201" s="74"/>
      <c r="H201" s="74" t="s">
        <v>2278</v>
      </c>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row>
    <row r="202" spans="3:34" ht="15" x14ac:dyDescent="0.2">
      <c r="C202" s="345"/>
      <c r="D202" s="345"/>
      <c r="E202" s="345"/>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row>
    <row r="203" spans="3:34" ht="15" x14ac:dyDescent="0.2">
      <c r="C203" s="309"/>
      <c r="D203" s="309"/>
      <c r="E203" s="310">
        <v>1</v>
      </c>
      <c r="F203" s="310">
        <f>E203+1</f>
        <v>2</v>
      </c>
      <c r="G203" s="310">
        <f t="shared" ref="G203" si="928">F203+1</f>
        <v>3</v>
      </c>
      <c r="H203" s="310">
        <f t="shared" ref="H203" si="929">G203+1</f>
        <v>4</v>
      </c>
      <c r="I203" s="310">
        <f t="shared" ref="I203" si="930">H203+1</f>
        <v>5</v>
      </c>
      <c r="J203" s="310">
        <f t="shared" ref="J203" si="931">I203+1</f>
        <v>6</v>
      </c>
      <c r="K203" s="310">
        <f t="shared" ref="K203" si="932">J203+1</f>
        <v>7</v>
      </c>
      <c r="L203" s="310">
        <f t="shared" ref="L203" si="933">K203+1</f>
        <v>8</v>
      </c>
      <c r="M203" s="310">
        <f t="shared" ref="M203" si="934">L203+1</f>
        <v>9</v>
      </c>
      <c r="N203" s="310">
        <f t="shared" ref="N203" si="935">M203+1</f>
        <v>10</v>
      </c>
      <c r="O203" s="310">
        <f t="shared" ref="O203" si="936">N203+1</f>
        <v>11</v>
      </c>
      <c r="P203" s="310">
        <f t="shared" ref="P203" si="937">O203+1</f>
        <v>12</v>
      </c>
      <c r="Q203" s="310">
        <f t="shared" ref="Q203" si="938">P203+1</f>
        <v>13</v>
      </c>
      <c r="R203" s="310">
        <f t="shared" ref="R203" si="939">Q203+1</f>
        <v>14</v>
      </c>
      <c r="S203" s="448">
        <f t="shared" ref="S203" si="940">R203+1</f>
        <v>15</v>
      </c>
      <c r="T203" s="428">
        <f t="shared" ref="T203" si="941">S203+1</f>
        <v>16</v>
      </c>
      <c r="U203" s="310">
        <f t="shared" ref="U203" si="942">T203+1</f>
        <v>17</v>
      </c>
      <c r="V203" s="310">
        <f t="shared" ref="V203" si="943">U203+1</f>
        <v>18</v>
      </c>
      <c r="W203" s="310">
        <f t="shared" ref="W203" si="944">V203+1</f>
        <v>19</v>
      </c>
      <c r="X203" s="310">
        <f t="shared" ref="X203" si="945">W203+1</f>
        <v>20</v>
      </c>
      <c r="Y203" s="310">
        <f t="shared" ref="Y203" si="946">X203+1</f>
        <v>21</v>
      </c>
      <c r="Z203" s="310">
        <f t="shared" ref="Z203" si="947">Y203+1</f>
        <v>22</v>
      </c>
      <c r="AA203" s="310">
        <f t="shared" ref="AA203" si="948">Z203+1</f>
        <v>23</v>
      </c>
      <c r="AB203" s="310">
        <f t="shared" ref="AB203" si="949">AA203+1</f>
        <v>24</v>
      </c>
      <c r="AC203" s="310">
        <f t="shared" ref="AC203" si="950">AB203+1</f>
        <v>25</v>
      </c>
      <c r="AD203" s="310">
        <f t="shared" ref="AD203" si="951">AC203+1</f>
        <v>26</v>
      </c>
      <c r="AE203" s="310">
        <f t="shared" ref="AE203" si="952">AD203+1</f>
        <v>27</v>
      </c>
      <c r="AF203" s="310">
        <f t="shared" ref="AF203" si="953">AE203+1</f>
        <v>28</v>
      </c>
      <c r="AG203" s="310">
        <f t="shared" ref="AG203" si="954">AF203+1</f>
        <v>29</v>
      </c>
      <c r="AH203" s="310">
        <f t="shared" ref="AH203" si="955">AG203+1</f>
        <v>30</v>
      </c>
    </row>
    <row r="204" spans="3:34" ht="15" x14ac:dyDescent="0.2">
      <c r="C204" s="309"/>
      <c r="D204" s="309"/>
      <c r="E204" s="314" t="str">
        <f>IF(Details!$E$171="","",Details!$E$171)</f>
        <v/>
      </c>
      <c r="F204" s="314" t="str">
        <f>IF($E$7="","",E$7+1)</f>
        <v/>
      </c>
      <c r="G204" s="314" t="str">
        <f t="shared" ref="G204" si="956">IF($E$7="","",F$7+1)</f>
        <v/>
      </c>
      <c r="H204" s="314" t="str">
        <f t="shared" ref="H204" si="957">IF($E$7="","",G$7+1)</f>
        <v/>
      </c>
      <c r="I204" s="314" t="str">
        <f t="shared" ref="I204" si="958">IF($E$7="","",H$7+1)</f>
        <v/>
      </c>
      <c r="J204" s="314" t="str">
        <f t="shared" ref="J204" si="959">IF($E$7="","",I$7+1)</f>
        <v/>
      </c>
      <c r="K204" s="314" t="str">
        <f t="shared" ref="K204" si="960">IF($E$7="","",J$7+1)</f>
        <v/>
      </c>
      <c r="L204" s="314" t="str">
        <f t="shared" ref="L204" si="961">IF($E$7="","",K$7+1)</f>
        <v/>
      </c>
      <c r="M204" s="314" t="str">
        <f t="shared" ref="M204" si="962">IF($E$7="","",L$7+1)</f>
        <v/>
      </c>
      <c r="N204" s="314" t="str">
        <f t="shared" ref="N204" si="963">IF($E$7="","",M$7+1)</f>
        <v/>
      </c>
      <c r="O204" s="314" t="str">
        <f t="shared" ref="O204" si="964">IF($E$7="","",N$7+1)</f>
        <v/>
      </c>
      <c r="P204" s="314" t="str">
        <f t="shared" ref="P204" si="965">IF($E$7="","",O$7+1)</f>
        <v/>
      </c>
      <c r="Q204" s="314" t="str">
        <f t="shared" ref="Q204" si="966">IF($E$7="","",P$7+1)</f>
        <v/>
      </c>
      <c r="R204" s="314" t="str">
        <f t="shared" ref="R204" si="967">IF($E$7="","",Q$7+1)</f>
        <v/>
      </c>
      <c r="S204" s="440" t="str">
        <f t="shared" ref="S204" si="968">IF($E$7="","",R$7+1)</f>
        <v/>
      </c>
      <c r="T204" s="433" t="str">
        <f t="shared" ref="T204" si="969">IF($E$7="","",S$7+1)</f>
        <v/>
      </c>
      <c r="U204" s="314" t="str">
        <f t="shared" ref="U204" si="970">IF($E$7="","",T$7+1)</f>
        <v/>
      </c>
      <c r="V204" s="314" t="str">
        <f t="shared" ref="V204" si="971">IF($E$7="","",U$7+1)</f>
        <v/>
      </c>
      <c r="W204" s="314" t="str">
        <f t="shared" ref="W204" si="972">IF($E$7="","",V$7+1)</f>
        <v/>
      </c>
      <c r="X204" s="314" t="str">
        <f t="shared" ref="X204" si="973">IF($E$7="","",W$7+1)</f>
        <v/>
      </c>
      <c r="Y204" s="314" t="str">
        <f t="shared" ref="Y204" si="974">IF($E$7="","",X$7+1)</f>
        <v/>
      </c>
      <c r="Z204" s="314" t="str">
        <f t="shared" ref="Z204" si="975">IF($E$7="","",Y$7+1)</f>
        <v/>
      </c>
      <c r="AA204" s="314" t="str">
        <f t="shared" ref="AA204" si="976">IF($E$7="","",Z$7+1)</f>
        <v/>
      </c>
      <c r="AB204" s="314" t="str">
        <f t="shared" ref="AB204" si="977">IF($E$7="","",AA$7+1)</f>
        <v/>
      </c>
      <c r="AC204" s="314" t="str">
        <f t="shared" ref="AC204" si="978">IF($E$7="","",AB$7+1)</f>
        <v/>
      </c>
      <c r="AD204" s="314" t="str">
        <f t="shared" ref="AD204" si="979">IF($E$7="","",AC$7+1)</f>
        <v/>
      </c>
      <c r="AE204" s="314" t="str">
        <f t="shared" ref="AE204" si="980">IF($E$7="","",AD$7+1)</f>
        <v/>
      </c>
      <c r="AF204" s="314" t="str">
        <f t="shared" ref="AF204" si="981">IF($E$7="","",AE$7+1)</f>
        <v/>
      </c>
      <c r="AG204" s="314" t="str">
        <f t="shared" ref="AG204" si="982">IF($E$7="","",AF$7+1)</f>
        <v/>
      </c>
      <c r="AH204" s="314" t="str">
        <f t="shared" ref="AH204" si="983">IF($E$7="","",AG$7+1)</f>
        <v/>
      </c>
    </row>
    <row r="205" spans="3:34" x14ac:dyDescent="0.2">
      <c r="C205" s="1168" t="s">
        <v>2254</v>
      </c>
      <c r="D205" s="1169"/>
      <c r="E205" s="109">
        <f>E170-E179-E183</f>
        <v>0</v>
      </c>
      <c r="F205" s="109">
        <f t="shared" ref="F205:AH205" si="984">F170-F179-F183</f>
        <v>0</v>
      </c>
      <c r="G205" s="109">
        <f t="shared" si="984"/>
        <v>0</v>
      </c>
      <c r="H205" s="109">
        <f t="shared" si="984"/>
        <v>0</v>
      </c>
      <c r="I205" s="109">
        <f t="shared" si="984"/>
        <v>0</v>
      </c>
      <c r="J205" s="109">
        <f t="shared" si="984"/>
        <v>0</v>
      </c>
      <c r="K205" s="109">
        <f t="shared" si="984"/>
        <v>0</v>
      </c>
      <c r="L205" s="109">
        <f t="shared" si="984"/>
        <v>0</v>
      </c>
      <c r="M205" s="109">
        <f t="shared" si="984"/>
        <v>0</v>
      </c>
      <c r="N205" s="109">
        <f t="shared" si="984"/>
        <v>0</v>
      </c>
      <c r="O205" s="109">
        <f t="shared" si="984"/>
        <v>0</v>
      </c>
      <c r="P205" s="109">
        <f t="shared" si="984"/>
        <v>0</v>
      </c>
      <c r="Q205" s="109">
        <f t="shared" si="984"/>
        <v>0</v>
      </c>
      <c r="R205" s="109">
        <f t="shared" si="984"/>
        <v>0</v>
      </c>
      <c r="S205" s="331">
        <f t="shared" si="984"/>
        <v>0</v>
      </c>
      <c r="T205" s="228">
        <f t="shared" si="984"/>
        <v>0</v>
      </c>
      <c r="U205" s="109">
        <f t="shared" si="984"/>
        <v>0</v>
      </c>
      <c r="V205" s="109">
        <f t="shared" si="984"/>
        <v>0</v>
      </c>
      <c r="W205" s="109">
        <f t="shared" si="984"/>
        <v>0</v>
      </c>
      <c r="X205" s="109">
        <f t="shared" si="984"/>
        <v>0</v>
      </c>
      <c r="Y205" s="109">
        <f t="shared" si="984"/>
        <v>0</v>
      </c>
      <c r="Z205" s="109">
        <f t="shared" si="984"/>
        <v>0</v>
      </c>
      <c r="AA205" s="109">
        <f t="shared" si="984"/>
        <v>0</v>
      </c>
      <c r="AB205" s="109">
        <f t="shared" si="984"/>
        <v>0</v>
      </c>
      <c r="AC205" s="109">
        <f t="shared" si="984"/>
        <v>0</v>
      </c>
      <c r="AD205" s="109">
        <f t="shared" si="984"/>
        <v>0</v>
      </c>
      <c r="AE205" s="109">
        <f t="shared" si="984"/>
        <v>0</v>
      </c>
      <c r="AF205" s="109">
        <f t="shared" si="984"/>
        <v>0</v>
      </c>
      <c r="AG205" s="109">
        <f t="shared" si="984"/>
        <v>0</v>
      </c>
      <c r="AH205" s="109">
        <f t="shared" si="984"/>
        <v>0</v>
      </c>
    </row>
    <row r="206" spans="3:34" ht="15" x14ac:dyDescent="0.2">
      <c r="C206" s="345"/>
      <c r="D206" s="345"/>
      <c r="E206" s="345"/>
      <c r="F206" s="74"/>
      <c r="G206" s="74"/>
      <c r="H206" s="74"/>
      <c r="I206" s="74"/>
      <c r="J206" s="74"/>
      <c r="K206" s="74"/>
      <c r="L206" s="74"/>
      <c r="M206" s="74"/>
      <c r="N206" s="74"/>
      <c r="O206" s="74"/>
      <c r="P206" s="74"/>
      <c r="Q206" s="74"/>
      <c r="R206" s="74"/>
      <c r="S206" s="333"/>
      <c r="T206" s="74"/>
      <c r="U206" s="74"/>
      <c r="V206" s="74"/>
      <c r="W206" s="74"/>
      <c r="X206" s="74"/>
      <c r="Y206" s="74"/>
      <c r="Z206" s="74"/>
      <c r="AA206" s="74"/>
      <c r="AB206" s="74"/>
      <c r="AC206" s="74"/>
      <c r="AD206" s="74"/>
      <c r="AE206" s="74"/>
      <c r="AF206" s="74"/>
      <c r="AG206" s="74"/>
      <c r="AH206" s="74"/>
    </row>
    <row r="207" spans="3:34" ht="15" x14ac:dyDescent="0.2">
      <c r="C207" s="432" t="s">
        <v>2286</v>
      </c>
      <c r="D207" s="345"/>
      <c r="E207" s="345"/>
      <c r="F207" s="74"/>
      <c r="G207" s="74"/>
      <c r="H207" s="74"/>
      <c r="I207" s="74"/>
      <c r="J207" s="74"/>
      <c r="K207" s="74"/>
      <c r="L207" s="74"/>
      <c r="M207" s="74"/>
      <c r="N207" s="74"/>
      <c r="O207" s="74"/>
      <c r="P207" s="74"/>
      <c r="Q207" s="74"/>
      <c r="R207" s="74"/>
      <c r="S207" s="333"/>
      <c r="T207" s="74"/>
      <c r="U207" s="74"/>
      <c r="V207" s="74"/>
      <c r="W207" s="74"/>
      <c r="X207" s="74"/>
      <c r="Y207" s="74"/>
      <c r="Z207" s="74"/>
      <c r="AA207" s="74"/>
      <c r="AB207" s="74"/>
      <c r="AC207" s="74"/>
      <c r="AD207" s="74"/>
      <c r="AE207" s="74"/>
      <c r="AF207" s="74"/>
      <c r="AG207" s="74"/>
      <c r="AH207" s="74"/>
    </row>
    <row r="208" spans="3:34" ht="15" thickBot="1" x14ac:dyDescent="0.25">
      <c r="C208" s="1453" t="s">
        <v>2285</v>
      </c>
      <c r="D208" s="1453"/>
      <c r="E208" s="423">
        <f>IF(OR($E192="N/A",$E192=0),0,IF($E198="Yes",(E205*$E197*$E199),E205*$E197))</f>
        <v>0</v>
      </c>
      <c r="F208" s="423">
        <f t="shared" ref="F208:AH208" si="985">IF(OR($E192="N/A",$E192=0),0,IF($E198="Yes",(F205*$E197*$E199),F205*$E197))</f>
        <v>0</v>
      </c>
      <c r="G208" s="423">
        <f t="shared" si="985"/>
        <v>0</v>
      </c>
      <c r="H208" s="423">
        <f t="shared" si="985"/>
        <v>0</v>
      </c>
      <c r="I208" s="423">
        <f t="shared" si="985"/>
        <v>0</v>
      </c>
      <c r="J208" s="423">
        <f t="shared" si="985"/>
        <v>0</v>
      </c>
      <c r="K208" s="423">
        <f t="shared" si="985"/>
        <v>0</v>
      </c>
      <c r="L208" s="423">
        <f t="shared" si="985"/>
        <v>0</v>
      </c>
      <c r="M208" s="423">
        <f t="shared" si="985"/>
        <v>0</v>
      </c>
      <c r="N208" s="423">
        <f t="shared" si="985"/>
        <v>0</v>
      </c>
      <c r="O208" s="423">
        <f t="shared" si="985"/>
        <v>0</v>
      </c>
      <c r="P208" s="423">
        <f t="shared" si="985"/>
        <v>0</v>
      </c>
      <c r="Q208" s="423">
        <f t="shared" si="985"/>
        <v>0</v>
      </c>
      <c r="R208" s="423">
        <f t="shared" si="985"/>
        <v>0</v>
      </c>
      <c r="S208" s="441">
        <f t="shared" si="985"/>
        <v>0</v>
      </c>
      <c r="T208" s="434">
        <f t="shared" si="985"/>
        <v>0</v>
      </c>
      <c r="U208" s="423">
        <f t="shared" si="985"/>
        <v>0</v>
      </c>
      <c r="V208" s="423">
        <f t="shared" si="985"/>
        <v>0</v>
      </c>
      <c r="W208" s="423">
        <f t="shared" si="985"/>
        <v>0</v>
      </c>
      <c r="X208" s="423">
        <f t="shared" si="985"/>
        <v>0</v>
      </c>
      <c r="Y208" s="423">
        <f t="shared" si="985"/>
        <v>0</v>
      </c>
      <c r="Z208" s="423">
        <f t="shared" si="985"/>
        <v>0</v>
      </c>
      <c r="AA208" s="423">
        <f t="shared" si="985"/>
        <v>0</v>
      </c>
      <c r="AB208" s="423">
        <f t="shared" si="985"/>
        <v>0</v>
      </c>
      <c r="AC208" s="423">
        <f t="shared" si="985"/>
        <v>0</v>
      </c>
      <c r="AD208" s="423">
        <f t="shared" si="985"/>
        <v>0</v>
      </c>
      <c r="AE208" s="423">
        <f t="shared" si="985"/>
        <v>0</v>
      </c>
      <c r="AF208" s="423">
        <f t="shared" si="985"/>
        <v>0</v>
      </c>
      <c r="AG208" s="423">
        <f t="shared" si="985"/>
        <v>0</v>
      </c>
      <c r="AH208" s="423">
        <f t="shared" si="985"/>
        <v>0</v>
      </c>
    </row>
    <row r="209" spans="3:34" ht="15" thickTop="1" x14ac:dyDescent="0.2">
      <c r="C209" s="1449" t="s">
        <v>2189</v>
      </c>
      <c r="D209" s="1449"/>
      <c r="E209" s="316">
        <f>IF(OR($E192="N/A",E203&gt;$E195,E203&lt;$E196),0,MAX(0,E192))</f>
        <v>0</v>
      </c>
      <c r="F209" s="316">
        <f t="shared" ref="F209" si="986">IF(OR($E192="N/A",F203&gt;$E195),0,IF(F203=$E196,$E192,MAX(E215,0)))</f>
        <v>0</v>
      </c>
      <c r="G209" s="316">
        <f t="shared" ref="G209" si="987">IF(OR($E192="N/A",G203&gt;$E195),0,IF(G203=$E196,$E192,MAX(F215,0)))</f>
        <v>0</v>
      </c>
      <c r="H209" s="316">
        <f t="shared" ref="H209" si="988">IF(OR($E192="N/A",H203&gt;$E195),0,IF(H203=$E196,$E192,MAX(G215,0)))</f>
        <v>0</v>
      </c>
      <c r="I209" s="316">
        <f t="shared" ref="I209" si="989">IF(OR($E192="N/A",I203&gt;$E195),0,IF(I203=$E196,$E192,MAX(H215,0)))</f>
        <v>0</v>
      </c>
      <c r="J209" s="316">
        <f t="shared" ref="J209" si="990">IF(OR($E192="N/A",J203&gt;$E195),0,IF(J203=$E196,$E192,MAX(I215,0)))</f>
        <v>0</v>
      </c>
      <c r="K209" s="316">
        <f t="shared" ref="K209" si="991">IF(OR($E192="N/A",K203&gt;$E195),0,IF(K203=$E196,$E192,MAX(J215,0)))</f>
        <v>0</v>
      </c>
      <c r="L209" s="316">
        <f t="shared" ref="L209" si="992">IF(OR($E192="N/A",L203&gt;$E195),0,IF(L203=$E196,$E192,MAX(K215,0)))</f>
        <v>0</v>
      </c>
      <c r="M209" s="316">
        <f t="shared" ref="M209" si="993">IF(OR($E192="N/A",M203&gt;$E195),0,IF(M203=$E196,$E192,MAX(L215,0)))</f>
        <v>0</v>
      </c>
      <c r="N209" s="316">
        <f t="shared" ref="N209" si="994">IF(OR($E192="N/A",N203&gt;$E195),0,IF(N203=$E196,$E192,MAX(M215,0)))</f>
        <v>0</v>
      </c>
      <c r="O209" s="316">
        <f t="shared" ref="O209" si="995">IF(OR($E192="N/A",O203&gt;$E195),0,IF(O203=$E196,$E192,MAX(N215,0)))</f>
        <v>0</v>
      </c>
      <c r="P209" s="316">
        <f t="shared" ref="P209" si="996">IF(OR($E192="N/A",P203&gt;$E195),0,IF(P203=$E196,$E192,MAX(O215,0)))</f>
        <v>0</v>
      </c>
      <c r="Q209" s="316">
        <f t="shared" ref="Q209" si="997">IF(OR($E192="N/A",Q203&gt;$E195),0,IF(Q203=$E196,$E192,MAX(P215,0)))</f>
        <v>0</v>
      </c>
      <c r="R209" s="316">
        <f t="shared" ref="R209" si="998">IF(OR($E192="N/A",R203&gt;$E195),0,IF(R203=$E196,$E192,MAX(Q215,0)))</f>
        <v>0</v>
      </c>
      <c r="S209" s="332">
        <f t="shared" ref="S209" si="999">IF(OR($E192="N/A",S203&gt;$E195),0,IF(S203=$E196,$E192,MAX(R215,0)))</f>
        <v>0</v>
      </c>
      <c r="T209" s="429">
        <f t="shared" ref="T209" si="1000">IF(OR($E192="N/A",T203&gt;$E195),0,IF(T203=$E196,$E192,MAX(S215,0)))</f>
        <v>0</v>
      </c>
      <c r="U209" s="316">
        <f t="shared" ref="U209" si="1001">IF(OR($E192="N/A",U203&gt;$E195),0,IF(U203=$E196,$E192,MAX(T215,0)))</f>
        <v>0</v>
      </c>
      <c r="V209" s="316">
        <f t="shared" ref="V209" si="1002">IF(OR($E192="N/A",V203&gt;$E195),0,IF(V203=$E196,$E192,MAX(U215,0)))</f>
        <v>0</v>
      </c>
      <c r="W209" s="316">
        <f t="shared" ref="W209" si="1003">IF(OR($E192="N/A",W203&gt;$E195),0,IF(W203=$E196,$E192,MAX(V215,0)))</f>
        <v>0</v>
      </c>
      <c r="X209" s="316">
        <f t="shared" ref="X209" si="1004">IF(OR($E192="N/A",X203&gt;$E195),0,IF(X203=$E196,$E192,MAX(W215,0)))</f>
        <v>0</v>
      </c>
      <c r="Y209" s="316">
        <f t="shared" ref="Y209" si="1005">IF(OR($E192="N/A",Y203&gt;$E195),0,IF(Y203=$E196,$E192,MAX(X215,0)))</f>
        <v>0</v>
      </c>
      <c r="Z209" s="316">
        <f t="shared" ref="Z209" si="1006">IF(OR($E192="N/A",Z203&gt;$E195),0,IF(Z203=$E196,$E192,MAX(Y215,0)))</f>
        <v>0</v>
      </c>
      <c r="AA209" s="316">
        <f t="shared" ref="AA209" si="1007">IF(OR($E192="N/A",AA203&gt;$E195),0,IF(AA203=$E196,$E192,MAX(Z215,0)))</f>
        <v>0</v>
      </c>
      <c r="AB209" s="316">
        <f t="shared" ref="AB209" si="1008">IF(OR($E192="N/A",AB203&gt;$E195),0,IF(AB203=$E196,$E192,MAX(AA215,0)))</f>
        <v>0</v>
      </c>
      <c r="AC209" s="316">
        <f t="shared" ref="AC209" si="1009">IF(OR($E192="N/A",AC203&gt;$E195),0,IF(AC203=$E196,$E192,MAX(AB215,0)))</f>
        <v>0</v>
      </c>
      <c r="AD209" s="316">
        <f t="shared" ref="AD209" si="1010">IF(OR($E192="N/A",AD203&gt;$E195),0,IF(AD203=$E196,$E192,MAX(AC215,0)))</f>
        <v>0</v>
      </c>
      <c r="AE209" s="316">
        <f t="shared" ref="AE209" si="1011">IF(OR($E192="N/A",AE203&gt;$E195),0,IF(AE203=$E196,$E192,MAX(AD215,0)))</f>
        <v>0</v>
      </c>
      <c r="AF209" s="316">
        <f t="shared" ref="AF209" si="1012">IF(OR($E192="N/A",AF203&gt;$E195),0,IF(AF203=$E196,$E192,MAX(AE215,0)))</f>
        <v>0</v>
      </c>
      <c r="AG209" s="316">
        <f t="shared" ref="AG209" si="1013">IF(OR($E192="N/A",AG203&gt;$E195),0,IF(AG203=$E196,$E192,MAX(AF215,0)))</f>
        <v>0</v>
      </c>
      <c r="AH209" s="316">
        <f t="shared" ref="AH209" si="1014">IF(OR($E192="N/A",AH203&gt;$E195),0,IF(AH203=$E196,$E192,MAX(AG215,0)))</f>
        <v>0</v>
      </c>
    </row>
    <row r="210" spans="3:34" x14ac:dyDescent="0.2">
      <c r="C210" s="1181" t="s">
        <v>2186</v>
      </c>
      <c r="D210" s="1181"/>
      <c r="E210" s="109">
        <f t="shared" ref="E210:AH210" si="1015">IF(OR($E192="N/A",E203&gt;$E195,E203&lt;$E196),0,E209*$E193)</f>
        <v>0</v>
      </c>
      <c r="F210" s="109">
        <f t="shared" si="1015"/>
        <v>0</v>
      </c>
      <c r="G210" s="109">
        <f t="shared" si="1015"/>
        <v>0</v>
      </c>
      <c r="H210" s="109">
        <f t="shared" si="1015"/>
        <v>0</v>
      </c>
      <c r="I210" s="109">
        <f t="shared" si="1015"/>
        <v>0</v>
      </c>
      <c r="J210" s="109">
        <f t="shared" si="1015"/>
        <v>0</v>
      </c>
      <c r="K210" s="109">
        <f t="shared" si="1015"/>
        <v>0</v>
      </c>
      <c r="L210" s="109">
        <f t="shared" si="1015"/>
        <v>0</v>
      </c>
      <c r="M210" s="109">
        <f t="shared" si="1015"/>
        <v>0</v>
      </c>
      <c r="N210" s="109">
        <f t="shared" si="1015"/>
        <v>0</v>
      </c>
      <c r="O210" s="109">
        <f t="shared" si="1015"/>
        <v>0</v>
      </c>
      <c r="P210" s="109">
        <f t="shared" si="1015"/>
        <v>0</v>
      </c>
      <c r="Q210" s="109">
        <f t="shared" si="1015"/>
        <v>0</v>
      </c>
      <c r="R210" s="109">
        <f t="shared" si="1015"/>
        <v>0</v>
      </c>
      <c r="S210" s="331">
        <f t="shared" si="1015"/>
        <v>0</v>
      </c>
      <c r="T210" s="228">
        <f t="shared" si="1015"/>
        <v>0</v>
      </c>
      <c r="U210" s="109">
        <f t="shared" si="1015"/>
        <v>0</v>
      </c>
      <c r="V210" s="109">
        <f t="shared" si="1015"/>
        <v>0</v>
      </c>
      <c r="W210" s="109">
        <f t="shared" si="1015"/>
        <v>0</v>
      </c>
      <c r="X210" s="109">
        <f t="shared" si="1015"/>
        <v>0</v>
      </c>
      <c r="Y210" s="109">
        <f t="shared" si="1015"/>
        <v>0</v>
      </c>
      <c r="Z210" s="109">
        <f t="shared" si="1015"/>
        <v>0</v>
      </c>
      <c r="AA210" s="109">
        <f t="shared" si="1015"/>
        <v>0</v>
      </c>
      <c r="AB210" s="109">
        <f t="shared" si="1015"/>
        <v>0</v>
      </c>
      <c r="AC210" s="109">
        <f t="shared" si="1015"/>
        <v>0</v>
      </c>
      <c r="AD210" s="109">
        <f t="shared" si="1015"/>
        <v>0</v>
      </c>
      <c r="AE210" s="109">
        <f t="shared" si="1015"/>
        <v>0</v>
      </c>
      <c r="AF210" s="109">
        <f t="shared" si="1015"/>
        <v>0</v>
      </c>
      <c r="AG210" s="109">
        <f t="shared" si="1015"/>
        <v>0</v>
      </c>
      <c r="AH210" s="109">
        <f t="shared" si="1015"/>
        <v>0</v>
      </c>
    </row>
    <row r="211" spans="3:34" x14ac:dyDescent="0.2">
      <c r="C211" s="1181" t="s">
        <v>2270</v>
      </c>
      <c r="D211" s="1181"/>
      <c r="E211" s="346">
        <f t="shared" ref="E211:AH211" si="1016">IF(OR($E192="N/A",E203&gt;$E195,E203&lt;$E196),0,MAX(0,MIN(E210,E208)))</f>
        <v>0</v>
      </c>
      <c r="F211" s="346">
        <f t="shared" si="1016"/>
        <v>0</v>
      </c>
      <c r="G211" s="346">
        <f t="shared" si="1016"/>
        <v>0</v>
      </c>
      <c r="H211" s="346">
        <f t="shared" si="1016"/>
        <v>0</v>
      </c>
      <c r="I211" s="346">
        <f t="shared" si="1016"/>
        <v>0</v>
      </c>
      <c r="J211" s="346">
        <f t="shared" si="1016"/>
        <v>0</v>
      </c>
      <c r="K211" s="346">
        <f t="shared" si="1016"/>
        <v>0</v>
      </c>
      <c r="L211" s="346">
        <f t="shared" si="1016"/>
        <v>0</v>
      </c>
      <c r="M211" s="346">
        <f t="shared" si="1016"/>
        <v>0</v>
      </c>
      <c r="N211" s="346">
        <f t="shared" si="1016"/>
        <v>0</v>
      </c>
      <c r="O211" s="346">
        <f t="shared" si="1016"/>
        <v>0</v>
      </c>
      <c r="P211" s="346">
        <f t="shared" si="1016"/>
        <v>0</v>
      </c>
      <c r="Q211" s="346">
        <f t="shared" si="1016"/>
        <v>0</v>
      </c>
      <c r="R211" s="346">
        <f t="shared" si="1016"/>
        <v>0</v>
      </c>
      <c r="S211" s="442">
        <f t="shared" si="1016"/>
        <v>0</v>
      </c>
      <c r="T211" s="435">
        <f t="shared" si="1016"/>
        <v>0</v>
      </c>
      <c r="U211" s="346">
        <f t="shared" si="1016"/>
        <v>0</v>
      </c>
      <c r="V211" s="346">
        <f t="shared" si="1016"/>
        <v>0</v>
      </c>
      <c r="W211" s="346">
        <f t="shared" si="1016"/>
        <v>0</v>
      </c>
      <c r="X211" s="346">
        <f t="shared" si="1016"/>
        <v>0</v>
      </c>
      <c r="Y211" s="346">
        <f t="shared" si="1016"/>
        <v>0</v>
      </c>
      <c r="Z211" s="346">
        <f t="shared" si="1016"/>
        <v>0</v>
      </c>
      <c r="AA211" s="346">
        <f t="shared" si="1016"/>
        <v>0</v>
      </c>
      <c r="AB211" s="346">
        <f t="shared" si="1016"/>
        <v>0</v>
      </c>
      <c r="AC211" s="346">
        <f t="shared" si="1016"/>
        <v>0</v>
      </c>
      <c r="AD211" s="346">
        <f t="shared" si="1016"/>
        <v>0</v>
      </c>
      <c r="AE211" s="346">
        <f t="shared" si="1016"/>
        <v>0</v>
      </c>
      <c r="AF211" s="346">
        <f t="shared" si="1016"/>
        <v>0</v>
      </c>
      <c r="AG211" s="346">
        <f t="shared" si="1016"/>
        <v>0</v>
      </c>
      <c r="AH211" s="346">
        <f t="shared" si="1016"/>
        <v>0</v>
      </c>
    </row>
    <row r="212" spans="3:34" x14ac:dyDescent="0.2">
      <c r="C212" s="1181" t="s">
        <v>2271</v>
      </c>
      <c r="D212" s="1181"/>
      <c r="E212" s="346">
        <f t="shared" ref="E212:AH212" si="1017">IF(OR($E192="N/A",E203&gt;$E195,E203&lt;$E196),0,E211-E210)</f>
        <v>0</v>
      </c>
      <c r="F212" s="346">
        <f t="shared" si="1017"/>
        <v>0</v>
      </c>
      <c r="G212" s="346">
        <f t="shared" si="1017"/>
        <v>0</v>
      </c>
      <c r="H212" s="346">
        <f t="shared" si="1017"/>
        <v>0</v>
      </c>
      <c r="I212" s="346">
        <f t="shared" si="1017"/>
        <v>0</v>
      </c>
      <c r="J212" s="346">
        <f t="shared" si="1017"/>
        <v>0</v>
      </c>
      <c r="K212" s="346">
        <f t="shared" si="1017"/>
        <v>0</v>
      </c>
      <c r="L212" s="346">
        <f t="shared" si="1017"/>
        <v>0</v>
      </c>
      <c r="M212" s="346">
        <f t="shared" si="1017"/>
        <v>0</v>
      </c>
      <c r="N212" s="346">
        <f t="shared" si="1017"/>
        <v>0</v>
      </c>
      <c r="O212" s="346">
        <f t="shared" si="1017"/>
        <v>0</v>
      </c>
      <c r="P212" s="346">
        <f t="shared" si="1017"/>
        <v>0</v>
      </c>
      <c r="Q212" s="346">
        <f t="shared" si="1017"/>
        <v>0</v>
      </c>
      <c r="R212" s="346">
        <f t="shared" si="1017"/>
        <v>0</v>
      </c>
      <c r="S212" s="442">
        <f t="shared" si="1017"/>
        <v>0</v>
      </c>
      <c r="T212" s="435">
        <f t="shared" si="1017"/>
        <v>0</v>
      </c>
      <c r="U212" s="346">
        <f t="shared" si="1017"/>
        <v>0</v>
      </c>
      <c r="V212" s="346">
        <f t="shared" si="1017"/>
        <v>0</v>
      </c>
      <c r="W212" s="346">
        <f t="shared" si="1017"/>
        <v>0</v>
      </c>
      <c r="X212" s="346">
        <f t="shared" si="1017"/>
        <v>0</v>
      </c>
      <c r="Y212" s="346">
        <f t="shared" si="1017"/>
        <v>0</v>
      </c>
      <c r="Z212" s="346">
        <f t="shared" si="1017"/>
        <v>0</v>
      </c>
      <c r="AA212" s="346">
        <f t="shared" si="1017"/>
        <v>0</v>
      </c>
      <c r="AB212" s="346">
        <f t="shared" si="1017"/>
        <v>0</v>
      </c>
      <c r="AC212" s="346">
        <f t="shared" si="1017"/>
        <v>0</v>
      </c>
      <c r="AD212" s="346">
        <f t="shared" si="1017"/>
        <v>0</v>
      </c>
      <c r="AE212" s="346">
        <f t="shared" si="1017"/>
        <v>0</v>
      </c>
      <c r="AF212" s="346">
        <f t="shared" si="1017"/>
        <v>0</v>
      </c>
      <c r="AG212" s="346">
        <f t="shared" si="1017"/>
        <v>0</v>
      </c>
      <c r="AH212" s="346">
        <f t="shared" si="1017"/>
        <v>0</v>
      </c>
    </row>
    <row r="213" spans="3:34" ht="15" thickBot="1" x14ac:dyDescent="0.25">
      <c r="C213" s="1448" t="s">
        <v>2272</v>
      </c>
      <c r="D213" s="1448"/>
      <c r="E213" s="411">
        <f>IF(OR($E192="N/A",E203&gt;$E195,E203&lt;$E196),0,MAX(0,MIN(E208-E211,E209)))</f>
        <v>0</v>
      </c>
      <c r="F213" s="411">
        <f>IF(OR($E192="N/A",F203&gt;$E195,F203&lt;$E196),0,MAX(0,MIN(F208-F211,F209)))</f>
        <v>0</v>
      </c>
      <c r="G213" s="411">
        <f t="shared" ref="G213:AH213" si="1018">IF(OR($E192="N/A",G203&gt;$E195,G203&lt;$E196),0,MAX(0,MIN(G208-G211,G209)))</f>
        <v>0</v>
      </c>
      <c r="H213" s="411">
        <f t="shared" si="1018"/>
        <v>0</v>
      </c>
      <c r="I213" s="411">
        <f t="shared" si="1018"/>
        <v>0</v>
      </c>
      <c r="J213" s="411">
        <f t="shared" si="1018"/>
        <v>0</v>
      </c>
      <c r="K213" s="411">
        <f t="shared" si="1018"/>
        <v>0</v>
      </c>
      <c r="L213" s="411">
        <f t="shared" si="1018"/>
        <v>0</v>
      </c>
      <c r="M213" s="411">
        <f t="shared" si="1018"/>
        <v>0</v>
      </c>
      <c r="N213" s="411">
        <f t="shared" si="1018"/>
        <v>0</v>
      </c>
      <c r="O213" s="411">
        <f t="shared" si="1018"/>
        <v>0</v>
      </c>
      <c r="P213" s="411">
        <f t="shared" si="1018"/>
        <v>0</v>
      </c>
      <c r="Q213" s="411">
        <f t="shared" si="1018"/>
        <v>0</v>
      </c>
      <c r="R213" s="411">
        <f t="shared" si="1018"/>
        <v>0</v>
      </c>
      <c r="S213" s="443">
        <f t="shared" si="1018"/>
        <v>0</v>
      </c>
      <c r="T213" s="431">
        <f t="shared" si="1018"/>
        <v>0</v>
      </c>
      <c r="U213" s="411">
        <f t="shared" si="1018"/>
        <v>0</v>
      </c>
      <c r="V213" s="411">
        <f t="shared" si="1018"/>
        <v>0</v>
      </c>
      <c r="W213" s="411">
        <f t="shared" si="1018"/>
        <v>0</v>
      </c>
      <c r="X213" s="411">
        <f t="shared" si="1018"/>
        <v>0</v>
      </c>
      <c r="Y213" s="411">
        <f t="shared" si="1018"/>
        <v>0</v>
      </c>
      <c r="Z213" s="411">
        <f t="shared" si="1018"/>
        <v>0</v>
      </c>
      <c r="AA213" s="411">
        <f t="shared" si="1018"/>
        <v>0</v>
      </c>
      <c r="AB213" s="411">
        <f t="shared" si="1018"/>
        <v>0</v>
      </c>
      <c r="AC213" s="411">
        <f t="shared" si="1018"/>
        <v>0</v>
      </c>
      <c r="AD213" s="411">
        <f t="shared" si="1018"/>
        <v>0</v>
      </c>
      <c r="AE213" s="411">
        <f t="shared" si="1018"/>
        <v>0</v>
      </c>
      <c r="AF213" s="411">
        <f t="shared" si="1018"/>
        <v>0</v>
      </c>
      <c r="AG213" s="411">
        <f t="shared" si="1018"/>
        <v>0</v>
      </c>
      <c r="AH213" s="411">
        <f t="shared" si="1018"/>
        <v>0</v>
      </c>
    </row>
    <row r="214" spans="3:34" ht="15" thickTop="1" x14ac:dyDescent="0.2">
      <c r="C214" s="1449" t="s">
        <v>2282</v>
      </c>
      <c r="D214" s="1449"/>
      <c r="E214" s="430">
        <f>SUM(E211,E213)</f>
        <v>0</v>
      </c>
      <c r="F214" s="430">
        <f>SUM(F211,F213)</f>
        <v>0</v>
      </c>
      <c r="G214" s="430">
        <f t="shared" ref="G214" si="1019">SUM(G211,G213)</f>
        <v>0</v>
      </c>
      <c r="H214" s="430">
        <f t="shared" ref="H214" si="1020">SUM(H211,H213)</f>
        <v>0</v>
      </c>
      <c r="I214" s="430">
        <f t="shared" ref="I214" si="1021">SUM(I211,I213)</f>
        <v>0</v>
      </c>
      <c r="J214" s="430">
        <f t="shared" ref="J214" si="1022">SUM(J211,J213)</f>
        <v>0</v>
      </c>
      <c r="K214" s="430">
        <f t="shared" ref="K214" si="1023">SUM(K211,K213)</f>
        <v>0</v>
      </c>
      <c r="L214" s="430">
        <f t="shared" ref="L214" si="1024">SUM(L211,L213)</f>
        <v>0</v>
      </c>
      <c r="M214" s="430">
        <f t="shared" ref="M214" si="1025">SUM(M211,M213)</f>
        <v>0</v>
      </c>
      <c r="N214" s="430">
        <f t="shared" ref="N214" si="1026">SUM(N211,N213)</f>
        <v>0</v>
      </c>
      <c r="O214" s="430">
        <f t="shared" ref="O214" si="1027">SUM(O211,O213)</f>
        <v>0</v>
      </c>
      <c r="P214" s="430">
        <f t="shared" ref="P214" si="1028">SUM(P211,P213)</f>
        <v>0</v>
      </c>
      <c r="Q214" s="430">
        <f t="shared" ref="Q214" si="1029">SUM(Q211,Q213)</f>
        <v>0</v>
      </c>
      <c r="R214" s="430">
        <f t="shared" ref="R214" si="1030">SUM(R211,R213)</f>
        <v>0</v>
      </c>
      <c r="S214" s="444">
        <f t="shared" ref="S214" si="1031">SUM(S211,S213)</f>
        <v>0</v>
      </c>
      <c r="T214" s="436">
        <f t="shared" ref="T214" si="1032">SUM(T211,T213)</f>
        <v>0</v>
      </c>
      <c r="U214" s="430">
        <f t="shared" ref="U214" si="1033">SUM(U211,U213)</f>
        <v>0</v>
      </c>
      <c r="V214" s="430">
        <f t="shared" ref="V214" si="1034">SUM(V211,V213)</f>
        <v>0</v>
      </c>
      <c r="W214" s="430">
        <f t="shared" ref="W214" si="1035">SUM(W211,W213)</f>
        <v>0</v>
      </c>
      <c r="X214" s="430">
        <f t="shared" ref="X214" si="1036">SUM(X211,X213)</f>
        <v>0</v>
      </c>
      <c r="Y214" s="430">
        <f t="shared" ref="Y214" si="1037">SUM(Y211,Y213)</f>
        <v>0</v>
      </c>
      <c r="Z214" s="430">
        <f t="shared" ref="Z214" si="1038">SUM(Z211,Z213)</f>
        <v>0</v>
      </c>
      <c r="AA214" s="430">
        <f t="shared" ref="AA214" si="1039">SUM(AA211,AA213)</f>
        <v>0</v>
      </c>
      <c r="AB214" s="430">
        <f t="shared" ref="AB214" si="1040">SUM(AB211,AB213)</f>
        <v>0</v>
      </c>
      <c r="AC214" s="430">
        <f t="shared" ref="AC214" si="1041">SUM(AC211,AC213)</f>
        <v>0</v>
      </c>
      <c r="AD214" s="430">
        <f t="shared" ref="AD214" si="1042">SUM(AD211,AD213)</f>
        <v>0</v>
      </c>
      <c r="AE214" s="430">
        <f t="shared" ref="AE214" si="1043">SUM(AE211,AE213)</f>
        <v>0</v>
      </c>
      <c r="AF214" s="430">
        <f t="shared" ref="AF214" si="1044">SUM(AF211,AF213)</f>
        <v>0</v>
      </c>
      <c r="AG214" s="430">
        <f t="shared" ref="AG214" si="1045">SUM(AG211,AG213)</f>
        <v>0</v>
      </c>
      <c r="AH214" s="430">
        <f t="shared" ref="AH214" si="1046">SUM(AH211,AH213)</f>
        <v>0</v>
      </c>
    </row>
    <row r="215" spans="3:34" x14ac:dyDescent="0.2">
      <c r="C215" s="1181" t="s">
        <v>2190</v>
      </c>
      <c r="D215" s="1181"/>
      <c r="E215" s="342">
        <f>IF(OR($E192="N/A",E203&gt;$E195,E203&lt;$E196),0,IF($E194="Compound",E209-E213-E212,MAX(0,E209-E213)))</f>
        <v>0</v>
      </c>
      <c r="F215" s="342">
        <f>IF(OR($E192="N/A",F203&gt;$E195,F203&lt;$E196),0,IF($E194="Compound",F209-F213-F212,MAX(0,F209-F213)))</f>
        <v>0</v>
      </c>
      <c r="G215" s="342">
        <f t="shared" ref="G215:AH215" si="1047">IF(OR($E192="N/A",G203&gt;$E195,G203&lt;$E196),0,IF($E194="Compound",G209-G213-G212,MAX(0,G209-G213)))</f>
        <v>0</v>
      </c>
      <c r="H215" s="342">
        <f t="shared" si="1047"/>
        <v>0</v>
      </c>
      <c r="I215" s="342">
        <f t="shared" si="1047"/>
        <v>0</v>
      </c>
      <c r="J215" s="342">
        <f t="shared" si="1047"/>
        <v>0</v>
      </c>
      <c r="K215" s="342">
        <f t="shared" si="1047"/>
        <v>0</v>
      </c>
      <c r="L215" s="342">
        <f t="shared" si="1047"/>
        <v>0</v>
      </c>
      <c r="M215" s="342">
        <f t="shared" si="1047"/>
        <v>0</v>
      </c>
      <c r="N215" s="342">
        <f t="shared" si="1047"/>
        <v>0</v>
      </c>
      <c r="O215" s="342">
        <f t="shared" si="1047"/>
        <v>0</v>
      </c>
      <c r="P215" s="342">
        <f t="shared" si="1047"/>
        <v>0</v>
      </c>
      <c r="Q215" s="342">
        <f t="shared" si="1047"/>
        <v>0</v>
      </c>
      <c r="R215" s="342">
        <f t="shared" si="1047"/>
        <v>0</v>
      </c>
      <c r="S215" s="445">
        <f t="shared" si="1047"/>
        <v>0</v>
      </c>
      <c r="T215" s="437">
        <f t="shared" si="1047"/>
        <v>0</v>
      </c>
      <c r="U215" s="342">
        <f t="shared" si="1047"/>
        <v>0</v>
      </c>
      <c r="V215" s="342">
        <f t="shared" si="1047"/>
        <v>0</v>
      </c>
      <c r="W215" s="342">
        <f t="shared" si="1047"/>
        <v>0</v>
      </c>
      <c r="X215" s="342">
        <f t="shared" si="1047"/>
        <v>0</v>
      </c>
      <c r="Y215" s="342">
        <f t="shared" si="1047"/>
        <v>0</v>
      </c>
      <c r="Z215" s="342">
        <f t="shared" si="1047"/>
        <v>0</v>
      </c>
      <c r="AA215" s="342">
        <f t="shared" si="1047"/>
        <v>0</v>
      </c>
      <c r="AB215" s="342">
        <f t="shared" si="1047"/>
        <v>0</v>
      </c>
      <c r="AC215" s="342">
        <f t="shared" si="1047"/>
        <v>0</v>
      </c>
      <c r="AD215" s="342">
        <f t="shared" si="1047"/>
        <v>0</v>
      </c>
      <c r="AE215" s="342">
        <f t="shared" si="1047"/>
        <v>0</v>
      </c>
      <c r="AF215" s="342">
        <f t="shared" si="1047"/>
        <v>0</v>
      </c>
      <c r="AG215" s="342">
        <f t="shared" si="1047"/>
        <v>0</v>
      </c>
      <c r="AH215" s="342">
        <f t="shared" si="1047"/>
        <v>0</v>
      </c>
    </row>
    <row r="216" spans="3:34" x14ac:dyDescent="0.2">
      <c r="C216" s="317"/>
      <c r="D216" s="317"/>
      <c r="E216" s="74"/>
      <c r="F216" s="74"/>
      <c r="G216" s="74"/>
      <c r="H216" s="74"/>
      <c r="I216" s="74"/>
      <c r="J216" s="74"/>
      <c r="K216" s="74"/>
      <c r="L216" s="74"/>
      <c r="M216" s="74"/>
      <c r="N216" s="74"/>
      <c r="O216" s="74"/>
      <c r="P216" s="74"/>
      <c r="Q216" s="74"/>
      <c r="R216" s="74"/>
      <c r="S216" s="333"/>
      <c r="T216" s="74"/>
      <c r="U216" s="74"/>
      <c r="V216" s="74"/>
      <c r="W216" s="74"/>
      <c r="X216" s="74"/>
      <c r="Y216" s="74"/>
      <c r="Z216" s="74"/>
      <c r="AA216" s="74"/>
      <c r="AB216" s="74"/>
      <c r="AC216" s="74"/>
      <c r="AD216" s="74"/>
      <c r="AE216" s="74"/>
      <c r="AF216" s="74"/>
      <c r="AG216" s="74"/>
      <c r="AH216" s="74"/>
    </row>
    <row r="217" spans="3:34" ht="15" x14ac:dyDescent="0.2">
      <c r="C217" s="432" t="s">
        <v>2287</v>
      </c>
      <c r="D217" s="317"/>
      <c r="E217" s="74"/>
      <c r="F217" s="74"/>
      <c r="G217" s="74"/>
      <c r="H217" s="74"/>
      <c r="I217" s="74"/>
      <c r="J217" s="74"/>
      <c r="K217" s="74"/>
      <c r="L217" s="74"/>
      <c r="M217" s="74"/>
      <c r="N217" s="74"/>
      <c r="O217" s="74"/>
      <c r="P217" s="74"/>
      <c r="Q217" s="74"/>
      <c r="R217" s="74"/>
      <c r="S217" s="333"/>
      <c r="T217" s="74"/>
      <c r="U217" s="74"/>
      <c r="V217" s="74"/>
      <c r="W217" s="74"/>
      <c r="X217" s="74"/>
      <c r="Y217" s="74"/>
      <c r="Z217" s="74"/>
      <c r="AA217" s="74"/>
      <c r="AB217" s="74"/>
      <c r="AC217" s="74"/>
      <c r="AD217" s="74"/>
      <c r="AE217" s="74"/>
      <c r="AF217" s="74"/>
      <c r="AG217" s="74"/>
      <c r="AH217" s="74"/>
    </row>
    <row r="218" spans="3:34" x14ac:dyDescent="0.2">
      <c r="C218" s="1234" t="s">
        <v>2273</v>
      </c>
      <c r="D218" s="1234"/>
      <c r="E218" s="421">
        <f>IF($I192="N/A",0,IF(E203&gt;$I197,0,MIN($I196,$I192*$I194)))</f>
        <v>0</v>
      </c>
      <c r="F218" s="236">
        <f t="shared" ref="F218" si="1048">IF($I192="N/A",0,IF(F203&gt;$I197,0,MIN($I196,$I192*$I194*(1+$I193)^E$63)))</f>
        <v>0</v>
      </c>
      <c r="G218" s="236">
        <f t="shared" ref="G218" si="1049">IF($I192="N/A",0,IF(G203&gt;$I197,0,MIN($I196,$I192*$I194*(1+$I193)^F$63)))</f>
        <v>0</v>
      </c>
      <c r="H218" s="236">
        <f t="shared" ref="H218" si="1050">IF($I192="N/A",0,IF(H203&gt;$I197,0,MIN($I196,$I192*$I194*(1+$I193)^G$63)))</f>
        <v>0</v>
      </c>
      <c r="I218" s="236">
        <f t="shared" ref="I218" si="1051">IF($I192="N/A",0,IF(I203&gt;$I197,0,MIN($I196,$I192*$I194*(1+$I193)^H$63)))</f>
        <v>0</v>
      </c>
      <c r="J218" s="236">
        <f t="shared" ref="J218" si="1052">IF($I192="N/A",0,IF(J203&gt;$I197,0,MIN($I196,$I192*$I194*(1+$I193)^I$63)))</f>
        <v>0</v>
      </c>
      <c r="K218" s="236">
        <f t="shared" ref="K218" si="1053">IF($I192="N/A",0,IF(K203&gt;$I197,0,MIN($I196,$I192*$I194*(1+$I193)^J$63)))</f>
        <v>0</v>
      </c>
      <c r="L218" s="236">
        <f t="shared" ref="L218" si="1054">IF($I192="N/A",0,IF(L203&gt;$I197,0,MIN($I196,$I192*$I194*(1+$I193)^K$63)))</f>
        <v>0</v>
      </c>
      <c r="M218" s="236">
        <f t="shared" ref="M218" si="1055">IF($I192="N/A",0,IF(M203&gt;$I197,0,MIN($I196,$I192*$I194*(1+$I193)^L$63)))</f>
        <v>0</v>
      </c>
      <c r="N218" s="236">
        <f t="shared" ref="N218" si="1056">IF($I192="N/A",0,IF(N203&gt;$I197,0,MIN($I196,$I192*$I194*(1+$I193)^M$63)))</f>
        <v>0</v>
      </c>
      <c r="O218" s="236">
        <f t="shared" ref="O218" si="1057">IF($I192="N/A",0,IF(O203&gt;$I197,0,MIN($I196,$I192*$I194*(1+$I193)^N$63)))</f>
        <v>0</v>
      </c>
      <c r="P218" s="236">
        <f t="shared" ref="P218" si="1058">IF($I192="N/A",0,IF(P203&gt;$I197,0,MIN($I196,$I192*$I194*(1+$I193)^O$63)))</f>
        <v>0</v>
      </c>
      <c r="Q218" s="236">
        <f t="shared" ref="Q218" si="1059">IF($I192="N/A",0,IF(Q203&gt;$I197,0,MIN($I196,$I192*$I194*(1+$I193)^P$63)))</f>
        <v>0</v>
      </c>
      <c r="R218" s="236">
        <f t="shared" ref="R218" si="1060">IF($I192="N/A",0,IF(R203&gt;$I197,0,MIN($I196,$I192*$I194*(1+$I193)^Q$63)))</f>
        <v>0</v>
      </c>
      <c r="S218" s="446">
        <f t="shared" ref="S218" si="1061">IF($I192="N/A",0,IF(S203&gt;$I197,0,MIN($I196,$I192*$I194*(1+$I193)^R$63)))</f>
        <v>0</v>
      </c>
      <c r="T218" s="438">
        <f t="shared" ref="T218" si="1062">IF($I192="N/A",0,IF(T203&gt;$I197,0,MIN($I196,$I192*$I194*(1+$I193)^S$63)))</f>
        <v>0</v>
      </c>
      <c r="U218" s="236">
        <f t="shared" ref="U218" si="1063">IF($I192="N/A",0,IF(U203&gt;$I197,0,MIN($I196,$I192*$I194*(1+$I193)^T$63)))</f>
        <v>0</v>
      </c>
      <c r="V218" s="236">
        <f t="shared" ref="V218" si="1064">IF($I192="N/A",0,IF(V203&gt;$I197,0,MIN($I196,$I192*$I194*(1+$I193)^U$63)))</f>
        <v>0</v>
      </c>
      <c r="W218" s="236">
        <f t="shared" ref="W218" si="1065">IF($I192="N/A",0,IF(W203&gt;$I197,0,MIN($I196,$I192*$I194*(1+$I193)^V$63)))</f>
        <v>0</v>
      </c>
      <c r="X218" s="236">
        <f t="shared" ref="X218" si="1066">IF($I192="N/A",0,IF(X203&gt;$I197,0,MIN($I196,$I192*$I194*(1+$I193)^W$63)))</f>
        <v>0</v>
      </c>
      <c r="Y218" s="236">
        <f t="shared" ref="Y218" si="1067">IF($I192="N/A",0,IF(Y203&gt;$I197,0,MIN($I196,$I192*$I194*(1+$I193)^X$63)))</f>
        <v>0</v>
      </c>
      <c r="Z218" s="236">
        <f t="shared" ref="Z218" si="1068">IF($I192="N/A",0,IF(Z203&gt;$I197,0,MIN($I196,$I192*$I194*(1+$I193)^Y$63)))</f>
        <v>0</v>
      </c>
      <c r="AA218" s="236">
        <f t="shared" ref="AA218" si="1069">IF($I192="N/A",0,IF(AA203&gt;$I197,0,MIN($I196,$I192*$I194*(1+$I193)^Z$63)))</f>
        <v>0</v>
      </c>
      <c r="AB218" s="236">
        <f t="shared" ref="AB218" si="1070">IF($I192="N/A",0,IF(AB203&gt;$I197,0,MIN($I196,$I192*$I194*(1+$I193)^AA$63)))</f>
        <v>0</v>
      </c>
      <c r="AC218" s="236">
        <f t="shared" ref="AC218" si="1071">IF($I192="N/A",0,IF(AC203&gt;$I197,0,MIN($I196,$I192*$I194*(1+$I193)^AB$63)))</f>
        <v>0</v>
      </c>
      <c r="AD218" s="236">
        <f t="shared" ref="AD218" si="1072">IF($I192="N/A",0,IF(AD203&gt;$I197,0,MIN($I196,$I192*$I194*(1+$I193)^AC$63)))</f>
        <v>0</v>
      </c>
      <c r="AE218" s="236">
        <f t="shared" ref="AE218" si="1073">IF($I192="N/A",0,IF(AE203&gt;$I197,0,MIN($I196,$I192*$I194*(1+$I193)^AD$63)))</f>
        <v>0</v>
      </c>
      <c r="AF218" s="236">
        <f t="shared" ref="AF218" si="1074">IF($I192="N/A",0,IF(AF203&gt;$I197,0,MIN($I196,$I192*$I194*(1+$I193)^AE$63)))</f>
        <v>0</v>
      </c>
      <c r="AG218" s="236">
        <f t="shared" ref="AG218" si="1075">IF($I192="N/A",0,IF(AG203&gt;$I197,0,MIN($I196,$I192*$I194*(1+$I193)^AF$63)))</f>
        <v>0</v>
      </c>
      <c r="AH218" s="236">
        <f t="shared" ref="AH218" si="1076">IF($I192="N/A",0,IF(AH203&gt;$I197,0,MIN($I196,$I192*$I194*(1+$I193)^AG$63)))</f>
        <v>0</v>
      </c>
    </row>
    <row r="219" spans="3:34" x14ac:dyDescent="0.2">
      <c r="C219" s="1450" t="s">
        <v>2274</v>
      </c>
      <c r="D219" s="1451"/>
      <c r="E219" s="422">
        <f>IF($I192="N/A",0,IF(E203&gt;$I197,0,MAX(0,MIN(E218,$I192*$I194,E205))))</f>
        <v>0</v>
      </c>
      <c r="F219" s="521">
        <f t="shared" ref="F219" si="1077">IF($I192="N/A",0,IF(F203&gt;$I197,0,IF($I195="Yes",MAX(0,MIN(F205*$I194,E221+F218,$I196)),MAX(0,MIN(F218,F205*$I194,$I196)))))</f>
        <v>0</v>
      </c>
      <c r="G219" s="521">
        <f t="shared" ref="G219" si="1078">IF($I192="N/A",0,IF(G203&gt;$I197,0,IF($I195="Yes",MAX(0,MIN(G205*$I194,F221+G218,$I196)),MAX(0,MIN(G218,G205*$I194,$I196)))))</f>
        <v>0</v>
      </c>
      <c r="H219" s="521">
        <f t="shared" ref="H219" si="1079">IF($I192="N/A",0,IF(H203&gt;$I197,0,IF($I195="Yes",MAX(0,MIN(H205*$I194,G221+H218,$I196)),MAX(0,MIN(H218,H205*$I194,$I196)))))</f>
        <v>0</v>
      </c>
      <c r="I219" s="521">
        <f t="shared" ref="I219" si="1080">IF($I192="N/A",0,IF(I203&gt;$I197,0,IF($I195="Yes",MAX(0,MIN(I205*$I194,H221+I218,$I196)),MAX(0,MIN(I218,I205*$I194,$I196)))))</f>
        <v>0</v>
      </c>
      <c r="J219" s="521">
        <f t="shared" ref="J219" si="1081">IF($I192="N/A",0,IF(J203&gt;$I197,0,IF($I195="Yes",MAX(0,MIN(J205*$I194,I221+J218,$I196)),MAX(0,MIN(J218,J205*$I194,$I196)))))</f>
        <v>0</v>
      </c>
      <c r="K219" s="521">
        <f t="shared" ref="K219" si="1082">IF($I192="N/A",0,IF(K203&gt;$I197,0,IF($I195="Yes",MAX(0,MIN(K205*$I194,J221+K218,$I196)),MAX(0,MIN(K218,K205*$I194,$I196)))))</f>
        <v>0</v>
      </c>
      <c r="L219" s="521">
        <f t="shared" ref="L219" si="1083">IF($I192="N/A",0,IF(L203&gt;$I197,0,IF($I195="Yes",MAX(0,MIN(L205*$I194,K221+L218,$I196)),MAX(0,MIN(L218,L205*$I194,$I196)))))</f>
        <v>0</v>
      </c>
      <c r="M219" s="521">
        <f t="shared" ref="M219" si="1084">IF($I192="N/A",0,IF(M203&gt;$I197,0,IF($I195="Yes",MAX(0,MIN(M205*$I194,L221+M218,$I196)),MAX(0,MIN(M218,M205*$I194,$I196)))))</f>
        <v>0</v>
      </c>
      <c r="N219" s="521">
        <f t="shared" ref="N219" si="1085">IF($I192="N/A",0,IF(N203&gt;$I197,0,IF($I195="Yes",MAX(0,MIN(N205*$I194,M221+N218,$I196)),MAX(0,MIN(N218,N205*$I194,$I196)))))</f>
        <v>0</v>
      </c>
      <c r="O219" s="521">
        <f t="shared" ref="O219" si="1086">IF($I192="N/A",0,IF(O203&gt;$I197,0,IF($I195="Yes",MAX(0,MIN(O205*$I194,N221+O218,$I196)),MAX(0,MIN(O218,O205*$I194,$I196)))))</f>
        <v>0</v>
      </c>
      <c r="P219" s="521">
        <f t="shared" ref="P219" si="1087">IF($I192="N/A",0,IF(P203&gt;$I197,0,IF($I195="Yes",MAX(0,MIN(P205*$I194,O221+P218,$I196)),MAX(0,MIN(P218,P205*$I194,$I196)))))</f>
        <v>0</v>
      </c>
      <c r="Q219" s="521">
        <f t="shared" ref="Q219" si="1088">IF($I192="N/A",0,IF(Q203&gt;$I197,0,IF($I195="Yes",MAX(0,MIN(Q205*$I194,P221+Q218,$I196)),MAX(0,MIN(Q218,Q205*$I194,$I196)))))</f>
        <v>0</v>
      </c>
      <c r="R219" s="521">
        <f t="shared" ref="R219" si="1089">IF($I192="N/A",0,IF(R203&gt;$I197,0,IF($I195="Yes",MAX(0,MIN(R205*$I194,Q221+R218,$I196)),MAX(0,MIN(R218,R205*$I194,$I196)))))</f>
        <v>0</v>
      </c>
      <c r="S219" s="523">
        <f t="shared" ref="S219" si="1090">IF($I192="N/A",0,IF(S203&gt;$I197,0,IF($I195="Yes",MAX(0,MIN(S205*$I194,R221+S218,$I196)),MAX(0,MIN(S218,S205*$I194,$I196)))))</f>
        <v>0</v>
      </c>
      <c r="T219" s="522">
        <f t="shared" ref="T219" si="1091">IF($I192="N/A",0,IF(T203&gt;$I197,0,IF($I195="Yes",MAX(0,MIN(T205*$I194,S221+T218,$I196)),MAX(0,MIN(T218,T205*$I194,$I196)))))</f>
        <v>0</v>
      </c>
      <c r="U219" s="521">
        <f t="shared" ref="U219" si="1092">IF($I192="N/A",0,IF(U203&gt;$I197,0,IF($I195="Yes",MAX(0,MIN(U205*$I194,T221+U218,$I196)),MAX(0,MIN(U218,U205*$I194,$I196)))))</f>
        <v>0</v>
      </c>
      <c r="V219" s="521">
        <f t="shared" ref="V219" si="1093">IF($I192="N/A",0,IF(V203&gt;$I197,0,IF($I195="Yes",MAX(0,MIN(V205*$I194,U221+V218,$I196)),MAX(0,MIN(V218,V205*$I194,$I196)))))</f>
        <v>0</v>
      </c>
      <c r="W219" s="521">
        <f t="shared" ref="W219" si="1094">IF($I192="N/A",0,IF(W203&gt;$I197,0,IF($I195="Yes",MAX(0,MIN(W205*$I194,V221+W218,$I196)),MAX(0,MIN(W218,W205*$I194,$I196)))))</f>
        <v>0</v>
      </c>
      <c r="X219" s="521">
        <f t="shared" ref="X219" si="1095">IF($I192="N/A",0,IF(X203&gt;$I197,0,IF($I195="Yes",MAX(0,MIN(X205*$I194,W221+X218,$I196)),MAX(0,MIN(X218,X205*$I194,$I196)))))</f>
        <v>0</v>
      </c>
      <c r="Y219" s="521">
        <f t="shared" ref="Y219" si="1096">IF($I192="N/A",0,IF(Y203&gt;$I197,0,IF($I195="Yes",MAX(0,MIN(Y205*$I194,X221+Y218,$I196)),MAX(0,MIN(Y218,Y205*$I194,$I196)))))</f>
        <v>0</v>
      </c>
      <c r="Z219" s="521">
        <f t="shared" ref="Z219" si="1097">IF($I192="N/A",0,IF(Z203&gt;$I197,0,IF($I195="Yes",MAX(0,MIN(Z205*$I194,Y221+Z218,$I196)),MAX(0,MIN(Z218,Z205*$I194,$I196)))))</f>
        <v>0</v>
      </c>
      <c r="AA219" s="521">
        <f t="shared" ref="AA219" si="1098">IF($I192="N/A",0,IF(AA203&gt;$I197,0,IF($I195="Yes",MAX(0,MIN(AA205*$I194,Z221+AA218,$I196)),MAX(0,MIN(AA218,AA205*$I194,$I196)))))</f>
        <v>0</v>
      </c>
      <c r="AB219" s="521">
        <f t="shared" ref="AB219" si="1099">IF($I192="N/A",0,IF(AB203&gt;$I197,0,IF($I195="Yes",MAX(0,MIN(AB205*$I194,AA221+AB218,$I196)),MAX(0,MIN(AB218,AB205*$I194,$I196)))))</f>
        <v>0</v>
      </c>
      <c r="AC219" s="521">
        <f t="shared" ref="AC219" si="1100">IF($I192="N/A",0,IF(AC203&gt;$I197,0,IF($I195="Yes",MAX(0,MIN(AC205*$I194,AB221+AC218,$I196)),MAX(0,MIN(AC218,AC205*$I194,$I196)))))</f>
        <v>0</v>
      </c>
      <c r="AD219" s="521">
        <f t="shared" ref="AD219" si="1101">IF($I192="N/A",0,IF(AD203&gt;$I197,0,IF($I195="Yes",MAX(0,MIN(AD205*$I194,AC221+AD218,$I196)),MAX(0,MIN(AD218,AD205*$I194,$I196)))))</f>
        <v>0</v>
      </c>
      <c r="AE219" s="521">
        <f t="shared" ref="AE219" si="1102">IF($I192="N/A",0,IF(AE203&gt;$I197,0,IF($I195="Yes",MAX(0,MIN(AE205*$I194,AD221+AE218,$I196)),MAX(0,MIN(AE218,AE205*$I194,$I196)))))</f>
        <v>0</v>
      </c>
      <c r="AF219" s="521">
        <f t="shared" ref="AF219" si="1103">IF($I192="N/A",0,IF(AF203&gt;$I197,0,IF($I195="Yes",MAX(0,MIN(AF205*$I194,AE221+AF218,$I196)),MAX(0,MIN(AF218,AF205*$I194,$I196)))))</f>
        <v>0</v>
      </c>
      <c r="AG219" s="521">
        <f t="shared" ref="AG219" si="1104">IF($I192="N/A",0,IF(AG203&gt;$I197,0,IF($I195="Yes",MAX(0,MIN(AG205*$I194,AF221+AG218,$I196)),MAX(0,MIN(AG218,AG205*$I194,$I196)))))</f>
        <v>0</v>
      </c>
      <c r="AH219" s="521">
        <f t="shared" ref="AH219" si="1105">IF($I192="N/A",0,IF(AH203&gt;$I197,0,IF($I195="Yes",MAX(0,MIN(AH205*$I194,AG221+AH218,$I196)),MAX(0,MIN(AH218,AH205*$I194,$I196)))))</f>
        <v>0</v>
      </c>
    </row>
    <row r="220" spans="3:34" x14ac:dyDescent="0.2">
      <c r="C220" s="1168" t="s">
        <v>2275</v>
      </c>
      <c r="D220" s="1170"/>
      <c r="E220" s="421">
        <f>IF($I195="Yes",IF(E203&gt;$I197,0,E218-E219),0)</f>
        <v>0</v>
      </c>
      <c r="F220" s="421">
        <f t="shared" ref="F220:AH220" si="1106">IF($I192="N/A",0,IF(F204&gt;$I197,0,IF($I195="Yes",F218-F219,0)))</f>
        <v>0</v>
      </c>
      <c r="G220" s="421">
        <f t="shared" si="1106"/>
        <v>0</v>
      </c>
      <c r="H220" s="421">
        <f t="shared" si="1106"/>
        <v>0</v>
      </c>
      <c r="I220" s="421">
        <f t="shared" si="1106"/>
        <v>0</v>
      </c>
      <c r="J220" s="421">
        <f t="shared" si="1106"/>
        <v>0</v>
      </c>
      <c r="K220" s="421">
        <f t="shared" si="1106"/>
        <v>0</v>
      </c>
      <c r="L220" s="421">
        <f t="shared" si="1106"/>
        <v>0</v>
      </c>
      <c r="M220" s="421">
        <f t="shared" si="1106"/>
        <v>0</v>
      </c>
      <c r="N220" s="421">
        <f t="shared" si="1106"/>
        <v>0</v>
      </c>
      <c r="O220" s="421">
        <f t="shared" si="1106"/>
        <v>0</v>
      </c>
      <c r="P220" s="421">
        <f t="shared" si="1106"/>
        <v>0</v>
      </c>
      <c r="Q220" s="421">
        <f t="shared" si="1106"/>
        <v>0</v>
      </c>
      <c r="R220" s="421">
        <f t="shared" si="1106"/>
        <v>0</v>
      </c>
      <c r="S220" s="447">
        <f t="shared" si="1106"/>
        <v>0</v>
      </c>
      <c r="T220" s="439">
        <f t="shared" si="1106"/>
        <v>0</v>
      </c>
      <c r="U220" s="421">
        <f t="shared" si="1106"/>
        <v>0</v>
      </c>
      <c r="V220" s="421">
        <f t="shared" si="1106"/>
        <v>0</v>
      </c>
      <c r="W220" s="421">
        <f t="shared" si="1106"/>
        <v>0</v>
      </c>
      <c r="X220" s="421">
        <f t="shared" si="1106"/>
        <v>0</v>
      </c>
      <c r="Y220" s="421">
        <f t="shared" si="1106"/>
        <v>0</v>
      </c>
      <c r="Z220" s="421">
        <f t="shared" si="1106"/>
        <v>0</v>
      </c>
      <c r="AA220" s="421">
        <f t="shared" si="1106"/>
        <v>0</v>
      </c>
      <c r="AB220" s="421">
        <f t="shared" si="1106"/>
        <v>0</v>
      </c>
      <c r="AC220" s="421">
        <f t="shared" si="1106"/>
        <v>0</v>
      </c>
      <c r="AD220" s="421">
        <f t="shared" si="1106"/>
        <v>0</v>
      </c>
      <c r="AE220" s="421">
        <f t="shared" si="1106"/>
        <v>0</v>
      </c>
      <c r="AF220" s="421">
        <f t="shared" si="1106"/>
        <v>0</v>
      </c>
      <c r="AG220" s="421">
        <f t="shared" si="1106"/>
        <v>0</v>
      </c>
      <c r="AH220" s="421">
        <f t="shared" si="1106"/>
        <v>0</v>
      </c>
    </row>
    <row r="221" spans="3:34" x14ac:dyDescent="0.2">
      <c r="C221" s="1168" t="s">
        <v>2276</v>
      </c>
      <c r="D221" s="1170"/>
      <c r="E221" s="421">
        <f>E220</f>
        <v>0</v>
      </c>
      <c r="F221" s="236">
        <f t="shared" ref="F221" si="1107">IF($I192="N/A",0,IF(F203&gt;$I197,0,E221+F220))</f>
        <v>0</v>
      </c>
      <c r="G221" s="236">
        <f t="shared" ref="G221" si="1108">IF($I192="N/A",0,IF(G203&gt;$I197,0,F221+G220))</f>
        <v>0</v>
      </c>
      <c r="H221" s="236">
        <f t="shared" ref="H221" si="1109">IF($I192="N/A",0,IF(H203&gt;$I197,0,G221+H220))</f>
        <v>0</v>
      </c>
      <c r="I221" s="236">
        <f t="shared" ref="I221" si="1110">IF($I192="N/A",0,IF(I203&gt;$I197,0,H221+I220))</f>
        <v>0</v>
      </c>
      <c r="J221" s="236">
        <f t="shared" ref="J221" si="1111">IF($I192="N/A",0,IF(J203&gt;$I197,0,I221+J220))</f>
        <v>0</v>
      </c>
      <c r="K221" s="236">
        <f t="shared" ref="K221" si="1112">IF($I192="N/A",0,IF(K203&gt;$I197,0,J221+K220))</f>
        <v>0</v>
      </c>
      <c r="L221" s="236">
        <f t="shared" ref="L221" si="1113">IF($I192="N/A",0,IF(L203&gt;$I197,0,K221+L220))</f>
        <v>0</v>
      </c>
      <c r="M221" s="236">
        <f t="shared" ref="M221" si="1114">IF($I192="N/A",0,IF(M203&gt;$I197,0,L221+M220))</f>
        <v>0</v>
      </c>
      <c r="N221" s="236">
        <f t="shared" ref="N221" si="1115">IF($I192="N/A",0,IF(N203&gt;$I197,0,M221+N220))</f>
        <v>0</v>
      </c>
      <c r="O221" s="236">
        <f t="shared" ref="O221" si="1116">IF($I192="N/A",0,IF(O203&gt;$I197,0,N221+O220))</f>
        <v>0</v>
      </c>
      <c r="P221" s="236">
        <f t="shared" ref="P221" si="1117">IF($I192="N/A",0,IF(P203&gt;$I197,0,O221+P220))</f>
        <v>0</v>
      </c>
      <c r="Q221" s="236">
        <f t="shared" ref="Q221" si="1118">IF($I192="N/A",0,IF(Q203&gt;$I197,0,P221+Q220))</f>
        <v>0</v>
      </c>
      <c r="R221" s="236">
        <f t="shared" ref="R221" si="1119">IF($I192="N/A",0,IF(R203&gt;$I197,0,Q221+R220))</f>
        <v>0</v>
      </c>
      <c r="S221" s="446">
        <f t="shared" ref="S221" si="1120">IF($I192="N/A",0,IF(S203&gt;$I197,0,R221+S220))</f>
        <v>0</v>
      </c>
      <c r="T221" s="438">
        <f t="shared" ref="T221" si="1121">IF($I192="N/A",0,IF(T203&gt;$I197,0,S221+T220))</f>
        <v>0</v>
      </c>
      <c r="U221" s="236">
        <f t="shared" ref="U221" si="1122">IF($I192="N/A",0,IF(U203&gt;$I197,0,T221+U220))</f>
        <v>0</v>
      </c>
      <c r="V221" s="236">
        <f t="shared" ref="V221" si="1123">IF($I192="N/A",0,IF(V203&gt;$I197,0,U221+V220))</f>
        <v>0</v>
      </c>
      <c r="W221" s="236">
        <f t="shared" ref="W221" si="1124">IF($I192="N/A",0,IF(W203&gt;$I197,0,V221+W220))</f>
        <v>0</v>
      </c>
      <c r="X221" s="236">
        <f t="shared" ref="X221" si="1125">IF($I192="N/A",0,IF(X203&gt;$I197,0,W221+X220))</f>
        <v>0</v>
      </c>
      <c r="Y221" s="236">
        <f t="shared" ref="Y221" si="1126">IF($I192="N/A",0,IF(Y203&gt;$I197,0,X221+Y220))</f>
        <v>0</v>
      </c>
      <c r="Z221" s="236">
        <f t="shared" ref="Z221" si="1127">IF($I192="N/A",0,IF(Z203&gt;$I197,0,Y221+Z220))</f>
        <v>0</v>
      </c>
      <c r="AA221" s="236">
        <f t="shared" ref="AA221" si="1128">IF($I192="N/A",0,IF(AA203&gt;$I197,0,Z221+AA220))</f>
        <v>0</v>
      </c>
      <c r="AB221" s="236">
        <f t="shared" ref="AB221" si="1129">IF($I192="N/A",0,IF(AB203&gt;$I197,0,AA221+AB220))</f>
        <v>0</v>
      </c>
      <c r="AC221" s="236">
        <f t="shared" ref="AC221" si="1130">IF($I192="N/A",0,IF(AC203&gt;$I197,0,AB221+AC220))</f>
        <v>0</v>
      </c>
      <c r="AD221" s="236">
        <f t="shared" ref="AD221" si="1131">IF($I192="N/A",0,IF(AD203&gt;$I197,0,AC221+AD220))</f>
        <v>0</v>
      </c>
      <c r="AE221" s="236">
        <f t="shared" ref="AE221" si="1132">IF($I192="N/A",0,IF(AE203&gt;$I197,0,AD221+AE220))</f>
        <v>0</v>
      </c>
      <c r="AF221" s="236">
        <f t="shared" ref="AF221" si="1133">IF($I192="N/A",0,IF(AF203&gt;$I197,0,AE221+AF220))</f>
        <v>0</v>
      </c>
      <c r="AG221" s="236">
        <f t="shared" ref="AG221" si="1134">IF($I192="N/A",0,IF(AG203&gt;$I197,0,AF221+AG220))</f>
        <v>0</v>
      </c>
      <c r="AH221" s="236">
        <f t="shared" ref="AH221" si="1135">IF($I192="N/A",0,IF(AH203&gt;$I197,0,AG221+AH220))</f>
        <v>0</v>
      </c>
    </row>
    <row r="222" spans="3:34" x14ac:dyDescent="0.2">
      <c r="C222" s="25"/>
      <c r="D222" s="25"/>
      <c r="E222" s="533"/>
      <c r="F222" s="200"/>
      <c r="G222" s="200"/>
      <c r="H222" s="200"/>
      <c r="I222" s="200"/>
      <c r="J222" s="200"/>
      <c r="K222" s="200"/>
      <c r="L222" s="200"/>
      <c r="M222" s="200"/>
      <c r="N222" s="200"/>
      <c r="O222" s="200"/>
      <c r="P222" s="200"/>
      <c r="Q222" s="200"/>
      <c r="R222" s="200"/>
      <c r="S222" s="200"/>
      <c r="T222" s="200"/>
      <c r="U222" s="200"/>
      <c r="V222" s="200"/>
      <c r="W222" s="200"/>
      <c r="X222" s="200"/>
      <c r="Y222" s="200"/>
      <c r="Z222" s="200"/>
      <c r="AA222" s="200"/>
      <c r="AB222" s="200"/>
      <c r="AC222" s="200"/>
      <c r="AD222" s="200"/>
      <c r="AE222" s="200"/>
      <c r="AF222" s="200"/>
      <c r="AG222" s="200"/>
      <c r="AH222" s="200"/>
    </row>
    <row r="223" spans="3:34" x14ac:dyDescent="0.2">
      <c r="C223" s="25"/>
      <c r="D223" s="25"/>
      <c r="E223" s="533"/>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row>
    <row r="224" spans="3:34" ht="15" x14ac:dyDescent="0.2">
      <c r="C224" s="1456" t="str">
        <f>IF(Sources!$D$73="","N/A",Sources!$D$73)</f>
        <v>N/A</v>
      </c>
      <c r="D224" s="1456"/>
      <c r="E224" s="1456"/>
      <c r="F224" s="412" t="s">
        <v>2266</v>
      </c>
      <c r="G224" s="92" t="str">
        <f>IF(AND(ISERROR(VLOOKUP($C224,OpBudget!$C$159:$C$165,1,FALSE)),ISERROR(VLOOKUP($C224,Sources!$C$36:$C$55,1,FALSE))),"N/A",IF(ISERROR(VLOOKUP($C224,Sources!$C$36:$C$55,1,FALSE)),"Fee","Loan"))</f>
        <v>N/A</v>
      </c>
      <c r="H224" s="412"/>
      <c r="I224" s="412"/>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row>
    <row r="225" spans="3:34" ht="15" x14ac:dyDescent="0.2">
      <c r="C225" s="345"/>
      <c r="D225" s="345"/>
      <c r="E225" s="345"/>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row>
    <row r="226" spans="3:34" ht="15" x14ac:dyDescent="0.2">
      <c r="C226" s="417" t="s">
        <v>2260</v>
      </c>
      <c r="D226" s="345"/>
      <c r="E226" s="345"/>
      <c r="F226" s="74"/>
      <c r="G226" s="74" t="s">
        <v>2261</v>
      </c>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row>
    <row r="227" spans="3:34" x14ac:dyDescent="0.2">
      <c r="C227" s="1452" t="s">
        <v>2255</v>
      </c>
      <c r="D227" s="1452"/>
      <c r="E227" s="413" t="str">
        <f>IF(OR($G224="Fee",$G224="N/A"),"N/A",INDEX(Sources!$C$35:$K$55,MATCH(Loans!$C224,Sources!$C$35:$C$55,0),MATCH("Amount",Sources!$C$35:$N$35,0)))</f>
        <v>N/A</v>
      </c>
      <c r="F227" s="74"/>
      <c r="G227" s="1454" t="s">
        <v>2262</v>
      </c>
      <c r="H227" s="1454"/>
      <c r="I227" s="705" t="str">
        <f>IF(OR($G224="Loan",$G224="N/A"),"N/A",INDEX(OpBudget!$C$159:$K$165,MATCH(Loans!$C224,OpBudget!$C$159:$C$165,0),MATCH("Total Amount",OpBudget!$C$159:$K$159,0)))</f>
        <v>N/A</v>
      </c>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row>
    <row r="228" spans="3:34" x14ac:dyDescent="0.2">
      <c r="C228" s="1452" t="s">
        <v>2256</v>
      </c>
      <c r="D228" s="1452"/>
      <c r="E228" s="702" t="str">
        <f>IF(OR($G224="Fee",$G224="N/A"),"N/A",INDEX(Sources!$C$35:$K$55,MATCH(Loans!$C224,Sources!$C$35:$C$55,0),MATCH("Interest Rate",Sources!$C$35:$N$35,0)))</f>
        <v>N/A</v>
      </c>
      <c r="F228" s="74"/>
      <c r="G228" s="1454" t="s">
        <v>2268</v>
      </c>
      <c r="H228" s="1454"/>
      <c r="I228" s="703" t="str">
        <f>IF(OR($G224="Loan",$G224="N/A"),"N/A",INDEX(OpBudget!$C$159:$K$165,MATCH(Loans!$C224,OpBudget!$C$159:$C$165,0),MATCH("Annual Percent Inflator",OpBudget!$C$159:$K$159,0)))</f>
        <v>N/A</v>
      </c>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row>
    <row r="229" spans="3:34" x14ac:dyDescent="0.2">
      <c r="C229" s="1452" t="s">
        <v>2279</v>
      </c>
      <c r="D229" s="1452"/>
      <c r="E229" s="702" t="str">
        <f>IF(OR($G224="Fee",$G224="N/A"),"N/A",INDEX(Sources!$C$35:$N$55,MATCH(Loans!$C224,Sources!$C$35:$C$55,0),MATCH("Simple or Compound Interest?",Sources!$C$35:$N$35,0)))</f>
        <v>N/A</v>
      </c>
      <c r="F229" s="74"/>
      <c r="G229" s="424" t="s">
        <v>2263</v>
      </c>
      <c r="H229" s="424"/>
      <c r="I229" s="703" t="str">
        <f>IF(OR($G224="Loan",$G224="N/A"),"N/A",INDEX(Sources!$D$67:$H$82,MATCH(Loans!$C224,Sources!$D$67:$D$82,0),MATCH("Split of Cash Flow",Sources!$D$67:$H$67,0)))</f>
        <v>N/A</v>
      </c>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row>
    <row r="230" spans="3:34" x14ac:dyDescent="0.2">
      <c r="C230" s="1452" t="s">
        <v>2257</v>
      </c>
      <c r="D230" s="1452"/>
      <c r="E230" s="420" t="str">
        <f>IF(OR($G224="Fee",$G224="N/A"),"N/A",INDEX(Sources!$C$35:$K$55,MATCH(Loans!$C224,Sources!$C$35:$C$55,0),MATCH("Term (Years)",Sources!$C$35:$N$35,0)))</f>
        <v>N/A</v>
      </c>
      <c r="F230" s="74"/>
      <c r="G230" s="1454" t="s">
        <v>2281</v>
      </c>
      <c r="H230" s="1454"/>
      <c r="I230" s="703" t="str">
        <f>IF(OR($G224="Loan",$G224="N/A"),"N/A",INDEX(OpBudget!$C$159:$K$165,MATCH(Loans!$C224,OpBudget!$C$159:$C$165,0),MATCH("Accrue Unpaid Fee?",OpBudget!$C$159:$K$159,0)))</f>
        <v>N/A</v>
      </c>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row>
    <row r="231" spans="3:34" x14ac:dyDescent="0.2">
      <c r="C231" s="1452" t="s">
        <v>2284</v>
      </c>
      <c r="D231" s="1452"/>
      <c r="E231" s="420" t="str">
        <f>IF(OR($G224="Fee",$G224="N/A"),"N/A",INDEX(Sources!$D$67:$O$82,MATCH(Loans!$C224,Sources!$D$67:$D$82,0),MATCH("Beginning Payment Year",Sources!$D$67:$O$67,0)))</f>
        <v>N/A</v>
      </c>
      <c r="F231" s="74"/>
      <c r="G231" s="1454" t="s">
        <v>2293</v>
      </c>
      <c r="H231" s="1454"/>
      <c r="I231" s="705" t="str">
        <f>IF(OR($G224="Loan",$G224="N/A"),"N/A",IF(INDEX(OpBudget!$C$159:$K$165,MATCH(Loans!$C224,OpBudget!$C$159:$C$165,0),MATCH("Fee Cap (if applicable)",OpBudget!$C$159:$K$159,0))=0,"N/A",INDEX(OpBudget!$C$159:$K$165,MATCH(Loans!$C224,OpBudget!$C$159:$C$165,0),MATCH("Fee Cap (if applicable)",OpBudget!$C$159:$K$159,0))))</f>
        <v>N/A</v>
      </c>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row>
    <row r="232" spans="3:34" x14ac:dyDescent="0.2">
      <c r="C232" s="1452" t="s">
        <v>2267</v>
      </c>
      <c r="D232" s="1452"/>
      <c r="E232" s="703" t="str">
        <f>IF(OR($G224="Fee",$G224="N/A"),"N/A",INDEX(Sources!$D$67:$O$82,MATCH(Loans!$C224,Sources!$D$67:$D$82,0),MATCH("Split of Cash Flow",Sources!$D$67:$O$67,0)))</f>
        <v>N/A</v>
      </c>
      <c r="F232" s="1455"/>
      <c r="G232" s="1454" t="s">
        <v>2292</v>
      </c>
      <c r="H232" s="1454"/>
      <c r="I232" s="420" t="str">
        <f>IF(OR($G224="Loan",$G224="N/A"),"N/A",INDEX(OpBudget!$C$159:$K$165,MATCH(Loans!$C224,OpBudget!$C$159:$C$165,0),MATCH("Number of Years Fee Exists",OpBudget!$C$159:$K$159,0)))</f>
        <v>N/A</v>
      </c>
      <c r="J232" s="74"/>
      <c r="K232" s="74"/>
      <c r="L232" s="74" t="s">
        <v>2278</v>
      </c>
      <c r="M232" s="74"/>
      <c r="N232" s="74"/>
      <c r="O232" s="74"/>
      <c r="P232" s="74"/>
      <c r="Q232" s="74"/>
      <c r="R232" s="74"/>
      <c r="S232" s="74"/>
      <c r="T232" s="74"/>
      <c r="U232" s="74"/>
      <c r="V232" s="74"/>
      <c r="W232" s="74"/>
      <c r="X232" s="74"/>
      <c r="Y232" s="74"/>
      <c r="Z232" s="74"/>
      <c r="AA232" s="74"/>
      <c r="AB232" s="74"/>
      <c r="AC232" s="74"/>
      <c r="AD232" s="74"/>
      <c r="AE232" s="74"/>
      <c r="AF232" s="74"/>
      <c r="AG232" s="74"/>
      <c r="AH232" s="74"/>
    </row>
    <row r="233" spans="3:34" x14ac:dyDescent="0.2">
      <c r="C233" s="1452" t="s">
        <v>2289</v>
      </c>
      <c r="D233" s="1452"/>
      <c r="E233" s="704" t="str">
        <f>IF(OR($G224="Fee",$G224="N/A"),"N/A",INDEX(Sources!$D$67:$O$82,MATCH(Loans!$C224,Sources!$D$67:$D$82,0),MATCH("Pari Passu?",Sources!$D$67:$O$67,0)))</f>
        <v>N/A</v>
      </c>
      <c r="F233" s="1455"/>
      <c r="G233" s="424"/>
      <c r="H233" s="424"/>
      <c r="I233" s="526"/>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row>
    <row r="234" spans="3:34" x14ac:dyDescent="0.2">
      <c r="C234" s="1452" t="s">
        <v>2295</v>
      </c>
      <c r="D234" s="1452"/>
      <c r="E234" s="703" t="str">
        <f>IF(OR($G224="Fee",$G224="N/A"),"N/A",INDEX(Sources!$D$67:$O$82,MATCH(Loans!$C224,Sources!$D$67:$D$82,0),MATCH("Shared Position Split of Cash Flow",Sources!$D$67:$O$67,0)))</f>
        <v>N/A</v>
      </c>
      <c r="F234" s="532"/>
      <c r="G234" s="424"/>
      <c r="H234" s="424"/>
      <c r="I234" s="526"/>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row>
    <row r="235" spans="3:34" x14ac:dyDescent="0.2">
      <c r="C235" s="1452" t="s">
        <v>2291</v>
      </c>
      <c r="D235" s="1452"/>
      <c r="E235" s="704" t="str">
        <f>IF(OR($G224="Fee",$G224="N/A"),"N/A",INDEX(Sources!$D$67:$O$82,MATCH(Loans!$C224,Sources!$D$67:$D$82,0),MATCH("Deferred Loan?",Sources!$D$67:$O$67,0)))</f>
        <v>N/A</v>
      </c>
      <c r="F235" s="74"/>
      <c r="G235" s="424"/>
      <c r="H235" s="424"/>
      <c r="I235" s="526"/>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row>
    <row r="236" spans="3:34" x14ac:dyDescent="0.2">
      <c r="C236" s="1452" t="s">
        <v>2277</v>
      </c>
      <c r="D236" s="1452"/>
      <c r="E236" s="705" t="str">
        <f>IF(OR(E227=0,E227="N/A"),"N/A",INDEX($C238:$AH250,MATCH("Ending Principal Balance",$C238:$C250,0),MATCH($E230,$C238:$AH238,0)))</f>
        <v>N/A</v>
      </c>
      <c r="F236" s="74"/>
      <c r="G236" s="74"/>
      <c r="H236" s="74" t="s">
        <v>2278</v>
      </c>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row>
    <row r="237" spans="3:34" ht="15" x14ac:dyDescent="0.2">
      <c r="C237" s="345"/>
      <c r="D237" s="345"/>
      <c r="E237" s="345"/>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row>
    <row r="238" spans="3:34" ht="15" x14ac:dyDescent="0.2">
      <c r="C238" s="309"/>
      <c r="D238" s="309"/>
      <c r="E238" s="310">
        <v>1</v>
      </c>
      <c r="F238" s="310">
        <f>E238+1</f>
        <v>2</v>
      </c>
      <c r="G238" s="310">
        <f t="shared" ref="G238" si="1136">F238+1</f>
        <v>3</v>
      </c>
      <c r="H238" s="310">
        <f t="shared" ref="H238" si="1137">G238+1</f>
        <v>4</v>
      </c>
      <c r="I238" s="310">
        <f t="shared" ref="I238" si="1138">H238+1</f>
        <v>5</v>
      </c>
      <c r="J238" s="310">
        <f t="shared" ref="J238" si="1139">I238+1</f>
        <v>6</v>
      </c>
      <c r="K238" s="310">
        <f t="shared" ref="K238" si="1140">J238+1</f>
        <v>7</v>
      </c>
      <c r="L238" s="310">
        <f t="shared" ref="L238" si="1141">K238+1</f>
        <v>8</v>
      </c>
      <c r="M238" s="310">
        <f t="shared" ref="M238" si="1142">L238+1</f>
        <v>9</v>
      </c>
      <c r="N238" s="310">
        <f t="shared" ref="N238" si="1143">M238+1</f>
        <v>10</v>
      </c>
      <c r="O238" s="310">
        <f t="shared" ref="O238" si="1144">N238+1</f>
        <v>11</v>
      </c>
      <c r="P238" s="310">
        <f t="shared" ref="P238" si="1145">O238+1</f>
        <v>12</v>
      </c>
      <c r="Q238" s="310">
        <f t="shared" ref="Q238" si="1146">P238+1</f>
        <v>13</v>
      </c>
      <c r="R238" s="310">
        <f t="shared" ref="R238" si="1147">Q238+1</f>
        <v>14</v>
      </c>
      <c r="S238" s="448">
        <f t="shared" ref="S238" si="1148">R238+1</f>
        <v>15</v>
      </c>
      <c r="T238" s="428">
        <f t="shared" ref="T238" si="1149">S238+1</f>
        <v>16</v>
      </c>
      <c r="U238" s="310">
        <f t="shared" ref="U238" si="1150">T238+1</f>
        <v>17</v>
      </c>
      <c r="V238" s="310">
        <f t="shared" ref="V238" si="1151">U238+1</f>
        <v>18</v>
      </c>
      <c r="W238" s="310">
        <f t="shared" ref="W238" si="1152">V238+1</f>
        <v>19</v>
      </c>
      <c r="X238" s="310">
        <f t="shared" ref="X238" si="1153">W238+1</f>
        <v>20</v>
      </c>
      <c r="Y238" s="310">
        <f t="shared" ref="Y238" si="1154">X238+1</f>
        <v>21</v>
      </c>
      <c r="Z238" s="310">
        <f t="shared" ref="Z238" si="1155">Y238+1</f>
        <v>22</v>
      </c>
      <c r="AA238" s="310">
        <f t="shared" ref="AA238" si="1156">Z238+1</f>
        <v>23</v>
      </c>
      <c r="AB238" s="310">
        <f t="shared" ref="AB238" si="1157">AA238+1</f>
        <v>24</v>
      </c>
      <c r="AC238" s="310">
        <f t="shared" ref="AC238" si="1158">AB238+1</f>
        <v>25</v>
      </c>
      <c r="AD238" s="310">
        <f t="shared" ref="AD238" si="1159">AC238+1</f>
        <v>26</v>
      </c>
      <c r="AE238" s="310">
        <f t="shared" ref="AE238" si="1160">AD238+1</f>
        <v>27</v>
      </c>
      <c r="AF238" s="310">
        <f t="shared" ref="AF238" si="1161">AE238+1</f>
        <v>28</v>
      </c>
      <c r="AG238" s="310">
        <f t="shared" ref="AG238" si="1162">AF238+1</f>
        <v>29</v>
      </c>
      <c r="AH238" s="310">
        <f t="shared" ref="AH238" si="1163">AG238+1</f>
        <v>30</v>
      </c>
    </row>
    <row r="239" spans="3:34" ht="15" x14ac:dyDescent="0.2">
      <c r="C239" s="309"/>
      <c r="D239" s="309"/>
      <c r="E239" s="314" t="str">
        <f>IF(Details!$E$171="","",Details!$E$171)</f>
        <v/>
      </c>
      <c r="F239" s="314" t="str">
        <f>IF($E$7="","",E$7+1)</f>
        <v/>
      </c>
      <c r="G239" s="314" t="str">
        <f t="shared" ref="G239" si="1164">IF($E$7="","",F$7+1)</f>
        <v/>
      </c>
      <c r="H239" s="314" t="str">
        <f t="shared" ref="H239" si="1165">IF($E$7="","",G$7+1)</f>
        <v/>
      </c>
      <c r="I239" s="314" t="str">
        <f t="shared" ref="I239" si="1166">IF($E$7="","",H$7+1)</f>
        <v/>
      </c>
      <c r="J239" s="314" t="str">
        <f t="shared" ref="J239" si="1167">IF($E$7="","",I$7+1)</f>
        <v/>
      </c>
      <c r="K239" s="314" t="str">
        <f t="shared" ref="K239" si="1168">IF($E$7="","",J$7+1)</f>
        <v/>
      </c>
      <c r="L239" s="314" t="str">
        <f t="shared" ref="L239" si="1169">IF($E$7="","",K$7+1)</f>
        <v/>
      </c>
      <c r="M239" s="314" t="str">
        <f t="shared" ref="M239" si="1170">IF($E$7="","",L$7+1)</f>
        <v/>
      </c>
      <c r="N239" s="314" t="str">
        <f t="shared" ref="N239" si="1171">IF($E$7="","",M$7+1)</f>
        <v/>
      </c>
      <c r="O239" s="314" t="str">
        <f t="shared" ref="O239" si="1172">IF($E$7="","",N$7+1)</f>
        <v/>
      </c>
      <c r="P239" s="314" t="str">
        <f t="shared" ref="P239" si="1173">IF($E$7="","",O$7+1)</f>
        <v/>
      </c>
      <c r="Q239" s="314" t="str">
        <f t="shared" ref="Q239" si="1174">IF($E$7="","",P$7+1)</f>
        <v/>
      </c>
      <c r="R239" s="314" t="str">
        <f t="shared" ref="R239" si="1175">IF($E$7="","",Q$7+1)</f>
        <v/>
      </c>
      <c r="S239" s="440" t="str">
        <f t="shared" ref="S239" si="1176">IF($E$7="","",R$7+1)</f>
        <v/>
      </c>
      <c r="T239" s="433" t="str">
        <f t="shared" ref="T239" si="1177">IF($E$7="","",S$7+1)</f>
        <v/>
      </c>
      <c r="U239" s="314" t="str">
        <f t="shared" ref="U239" si="1178">IF($E$7="","",T$7+1)</f>
        <v/>
      </c>
      <c r="V239" s="314" t="str">
        <f t="shared" ref="V239" si="1179">IF($E$7="","",U$7+1)</f>
        <v/>
      </c>
      <c r="W239" s="314" t="str">
        <f t="shared" ref="W239" si="1180">IF($E$7="","",V$7+1)</f>
        <v/>
      </c>
      <c r="X239" s="314" t="str">
        <f t="shared" ref="X239" si="1181">IF($E$7="","",W$7+1)</f>
        <v/>
      </c>
      <c r="Y239" s="314" t="str">
        <f t="shared" ref="Y239" si="1182">IF($E$7="","",X$7+1)</f>
        <v/>
      </c>
      <c r="Z239" s="314" t="str">
        <f t="shared" ref="Z239" si="1183">IF($E$7="","",Y$7+1)</f>
        <v/>
      </c>
      <c r="AA239" s="314" t="str">
        <f t="shared" ref="AA239" si="1184">IF($E$7="","",Z$7+1)</f>
        <v/>
      </c>
      <c r="AB239" s="314" t="str">
        <f t="shared" ref="AB239" si="1185">IF($E$7="","",AA$7+1)</f>
        <v/>
      </c>
      <c r="AC239" s="314" t="str">
        <f t="shared" ref="AC239" si="1186">IF($E$7="","",AB$7+1)</f>
        <v/>
      </c>
      <c r="AD239" s="314" t="str">
        <f t="shared" ref="AD239" si="1187">IF($E$7="","",AC$7+1)</f>
        <v/>
      </c>
      <c r="AE239" s="314" t="str">
        <f t="shared" ref="AE239" si="1188">IF($E$7="","",AD$7+1)</f>
        <v/>
      </c>
      <c r="AF239" s="314" t="str">
        <f t="shared" ref="AF239" si="1189">IF($E$7="","",AE$7+1)</f>
        <v/>
      </c>
      <c r="AG239" s="314" t="str">
        <f t="shared" ref="AG239" si="1190">IF($E$7="","",AF$7+1)</f>
        <v/>
      </c>
      <c r="AH239" s="314" t="str">
        <f t="shared" ref="AH239" si="1191">IF($E$7="","",AG$7+1)</f>
        <v/>
      </c>
    </row>
    <row r="240" spans="3:34" x14ac:dyDescent="0.2">
      <c r="C240" s="1168" t="s">
        <v>2254</v>
      </c>
      <c r="D240" s="1169"/>
      <c r="E240" s="109">
        <f>E205-E214-E218</f>
        <v>0</v>
      </c>
      <c r="F240" s="109">
        <f t="shared" ref="F240:AH240" si="1192">F205-F214-F218</f>
        <v>0</v>
      </c>
      <c r="G240" s="109">
        <f t="shared" si="1192"/>
        <v>0</v>
      </c>
      <c r="H240" s="109">
        <f t="shared" si="1192"/>
        <v>0</v>
      </c>
      <c r="I240" s="109">
        <f t="shared" si="1192"/>
        <v>0</v>
      </c>
      <c r="J240" s="109">
        <f t="shared" si="1192"/>
        <v>0</v>
      </c>
      <c r="K240" s="109">
        <f t="shared" si="1192"/>
        <v>0</v>
      </c>
      <c r="L240" s="109">
        <f t="shared" si="1192"/>
        <v>0</v>
      </c>
      <c r="M240" s="109">
        <f t="shared" si="1192"/>
        <v>0</v>
      </c>
      <c r="N240" s="109">
        <f t="shared" si="1192"/>
        <v>0</v>
      </c>
      <c r="O240" s="109">
        <f t="shared" si="1192"/>
        <v>0</v>
      </c>
      <c r="P240" s="109">
        <f t="shared" si="1192"/>
        <v>0</v>
      </c>
      <c r="Q240" s="109">
        <f t="shared" si="1192"/>
        <v>0</v>
      </c>
      <c r="R240" s="109">
        <f t="shared" si="1192"/>
        <v>0</v>
      </c>
      <c r="S240" s="331">
        <f t="shared" si="1192"/>
        <v>0</v>
      </c>
      <c r="T240" s="228">
        <f t="shared" si="1192"/>
        <v>0</v>
      </c>
      <c r="U240" s="109">
        <f t="shared" si="1192"/>
        <v>0</v>
      </c>
      <c r="V240" s="109">
        <f t="shared" si="1192"/>
        <v>0</v>
      </c>
      <c r="W240" s="109">
        <f t="shared" si="1192"/>
        <v>0</v>
      </c>
      <c r="X240" s="109">
        <f t="shared" si="1192"/>
        <v>0</v>
      </c>
      <c r="Y240" s="109">
        <f t="shared" si="1192"/>
        <v>0</v>
      </c>
      <c r="Z240" s="109">
        <f t="shared" si="1192"/>
        <v>0</v>
      </c>
      <c r="AA240" s="109">
        <f t="shared" si="1192"/>
        <v>0</v>
      </c>
      <c r="AB240" s="109">
        <f t="shared" si="1192"/>
        <v>0</v>
      </c>
      <c r="AC240" s="109">
        <f t="shared" si="1192"/>
        <v>0</v>
      </c>
      <c r="AD240" s="109">
        <f t="shared" si="1192"/>
        <v>0</v>
      </c>
      <c r="AE240" s="109">
        <f t="shared" si="1192"/>
        <v>0</v>
      </c>
      <c r="AF240" s="109">
        <f t="shared" si="1192"/>
        <v>0</v>
      </c>
      <c r="AG240" s="109">
        <f t="shared" si="1192"/>
        <v>0</v>
      </c>
      <c r="AH240" s="109">
        <f t="shared" si="1192"/>
        <v>0</v>
      </c>
    </row>
    <row r="241" spans="3:34" ht="15" x14ac:dyDescent="0.2">
      <c r="C241" s="345"/>
      <c r="D241" s="345"/>
      <c r="E241" s="345"/>
      <c r="F241" s="74"/>
      <c r="G241" s="74"/>
      <c r="H241" s="74"/>
      <c r="I241" s="74"/>
      <c r="J241" s="74"/>
      <c r="K241" s="74"/>
      <c r="L241" s="74"/>
      <c r="M241" s="74"/>
      <c r="N241" s="74"/>
      <c r="O241" s="74"/>
      <c r="P241" s="74"/>
      <c r="Q241" s="74"/>
      <c r="R241" s="74"/>
      <c r="S241" s="333"/>
      <c r="T241" s="74"/>
      <c r="U241" s="74"/>
      <c r="V241" s="74"/>
      <c r="W241" s="74"/>
      <c r="X241" s="74"/>
      <c r="Y241" s="74"/>
      <c r="Z241" s="74"/>
      <c r="AA241" s="74"/>
      <c r="AB241" s="74"/>
      <c r="AC241" s="74"/>
      <c r="AD241" s="74"/>
      <c r="AE241" s="74"/>
      <c r="AF241" s="74"/>
      <c r="AG241" s="74"/>
      <c r="AH241" s="74"/>
    </row>
    <row r="242" spans="3:34" ht="15" x14ac:dyDescent="0.2">
      <c r="C242" s="432" t="s">
        <v>2286</v>
      </c>
      <c r="D242" s="345"/>
      <c r="E242" s="345"/>
      <c r="F242" s="74"/>
      <c r="G242" s="74"/>
      <c r="H242" s="74"/>
      <c r="I242" s="74"/>
      <c r="J242" s="74"/>
      <c r="K242" s="74"/>
      <c r="L242" s="74"/>
      <c r="M242" s="74"/>
      <c r="N242" s="74"/>
      <c r="O242" s="74"/>
      <c r="P242" s="74"/>
      <c r="Q242" s="74"/>
      <c r="R242" s="74"/>
      <c r="S242" s="333"/>
      <c r="T242" s="74"/>
      <c r="U242" s="74"/>
      <c r="V242" s="74"/>
      <c r="W242" s="74"/>
      <c r="X242" s="74"/>
      <c r="Y242" s="74"/>
      <c r="Z242" s="74"/>
      <c r="AA242" s="74"/>
      <c r="AB242" s="74"/>
      <c r="AC242" s="74"/>
      <c r="AD242" s="74"/>
      <c r="AE242" s="74"/>
      <c r="AF242" s="74"/>
      <c r="AG242" s="74"/>
      <c r="AH242" s="74"/>
    </row>
    <row r="243" spans="3:34" ht="15" thickBot="1" x14ac:dyDescent="0.25">
      <c r="C243" s="1453" t="s">
        <v>2285</v>
      </c>
      <c r="D243" s="1453"/>
      <c r="E243" s="423">
        <f>IF(OR($E227="N/A",$E227=0),0,IF($E233="Yes",(E240*$E232*$E234),E240*$E232))</f>
        <v>0</v>
      </c>
      <c r="F243" s="423">
        <f t="shared" ref="F243:AH243" si="1193">IF(OR($E227="N/A",$E227=0),0,IF($E233="Yes",(F240*$E232*$E234),F240*$E232))</f>
        <v>0</v>
      </c>
      <c r="G243" s="423">
        <f t="shared" si="1193"/>
        <v>0</v>
      </c>
      <c r="H243" s="423">
        <f t="shared" si="1193"/>
        <v>0</v>
      </c>
      <c r="I243" s="423">
        <f t="shared" si="1193"/>
        <v>0</v>
      </c>
      <c r="J243" s="423">
        <f t="shared" si="1193"/>
        <v>0</v>
      </c>
      <c r="K243" s="423">
        <f t="shared" si="1193"/>
        <v>0</v>
      </c>
      <c r="L243" s="423">
        <f t="shared" si="1193"/>
        <v>0</v>
      </c>
      <c r="M243" s="423">
        <f t="shared" si="1193"/>
        <v>0</v>
      </c>
      <c r="N243" s="423">
        <f t="shared" si="1193"/>
        <v>0</v>
      </c>
      <c r="O243" s="423">
        <f t="shared" si="1193"/>
        <v>0</v>
      </c>
      <c r="P243" s="423">
        <f t="shared" si="1193"/>
        <v>0</v>
      </c>
      <c r="Q243" s="423">
        <f t="shared" si="1193"/>
        <v>0</v>
      </c>
      <c r="R243" s="423">
        <f t="shared" si="1193"/>
        <v>0</v>
      </c>
      <c r="S243" s="441">
        <f t="shared" si="1193"/>
        <v>0</v>
      </c>
      <c r="T243" s="434">
        <f t="shared" si="1193"/>
        <v>0</v>
      </c>
      <c r="U243" s="423">
        <f t="shared" si="1193"/>
        <v>0</v>
      </c>
      <c r="V243" s="423">
        <f t="shared" si="1193"/>
        <v>0</v>
      </c>
      <c r="W243" s="423">
        <f t="shared" si="1193"/>
        <v>0</v>
      </c>
      <c r="X243" s="423">
        <f t="shared" si="1193"/>
        <v>0</v>
      </c>
      <c r="Y243" s="423">
        <f t="shared" si="1193"/>
        <v>0</v>
      </c>
      <c r="Z243" s="423">
        <f t="shared" si="1193"/>
        <v>0</v>
      </c>
      <c r="AA243" s="423">
        <f t="shared" si="1193"/>
        <v>0</v>
      </c>
      <c r="AB243" s="423">
        <f t="shared" si="1193"/>
        <v>0</v>
      </c>
      <c r="AC243" s="423">
        <f t="shared" si="1193"/>
        <v>0</v>
      </c>
      <c r="AD243" s="423">
        <f t="shared" si="1193"/>
        <v>0</v>
      </c>
      <c r="AE243" s="423">
        <f t="shared" si="1193"/>
        <v>0</v>
      </c>
      <c r="AF243" s="423">
        <f t="shared" si="1193"/>
        <v>0</v>
      </c>
      <c r="AG243" s="423">
        <f t="shared" si="1193"/>
        <v>0</v>
      </c>
      <c r="AH243" s="423">
        <f t="shared" si="1193"/>
        <v>0</v>
      </c>
    </row>
    <row r="244" spans="3:34" ht="15" thickTop="1" x14ac:dyDescent="0.2">
      <c r="C244" s="1449" t="s">
        <v>2189</v>
      </c>
      <c r="D244" s="1449"/>
      <c r="E244" s="316">
        <f>IF(OR($E227="N/A",E238&gt;$E230,E238&lt;$E231),0,MAX(0,E227))</f>
        <v>0</v>
      </c>
      <c r="F244" s="316">
        <f t="shared" ref="F244" si="1194">IF(OR($E227="N/A",F238&gt;$E230),0,IF(F238=$E231,$E227,MAX(E250,0)))</f>
        <v>0</v>
      </c>
      <c r="G244" s="316">
        <f t="shared" ref="G244" si="1195">IF(OR($E227="N/A",G238&gt;$E230),0,IF(G238=$E231,$E227,MAX(F250,0)))</f>
        <v>0</v>
      </c>
      <c r="H244" s="316">
        <f t="shared" ref="H244" si="1196">IF(OR($E227="N/A",H238&gt;$E230),0,IF(H238=$E231,$E227,MAX(G250,0)))</f>
        <v>0</v>
      </c>
      <c r="I244" s="316">
        <f t="shared" ref="I244" si="1197">IF(OR($E227="N/A",I238&gt;$E230),0,IF(I238=$E231,$E227,MAX(H250,0)))</f>
        <v>0</v>
      </c>
      <c r="J244" s="316">
        <f t="shared" ref="J244" si="1198">IF(OR($E227="N/A",J238&gt;$E230),0,IF(J238=$E231,$E227,MAX(I250,0)))</f>
        <v>0</v>
      </c>
      <c r="K244" s="316">
        <f t="shared" ref="K244" si="1199">IF(OR($E227="N/A",K238&gt;$E230),0,IF(K238=$E231,$E227,MAX(J250,0)))</f>
        <v>0</v>
      </c>
      <c r="L244" s="316">
        <f t="shared" ref="L244" si="1200">IF(OR($E227="N/A",L238&gt;$E230),0,IF(L238=$E231,$E227,MAX(K250,0)))</f>
        <v>0</v>
      </c>
      <c r="M244" s="316">
        <f t="shared" ref="M244" si="1201">IF(OR($E227="N/A",M238&gt;$E230),0,IF(M238=$E231,$E227,MAX(L250,0)))</f>
        <v>0</v>
      </c>
      <c r="N244" s="316">
        <f t="shared" ref="N244" si="1202">IF(OR($E227="N/A",N238&gt;$E230),0,IF(N238=$E231,$E227,MAX(M250,0)))</f>
        <v>0</v>
      </c>
      <c r="O244" s="316">
        <f t="shared" ref="O244" si="1203">IF(OR($E227="N/A",O238&gt;$E230),0,IF(O238=$E231,$E227,MAX(N250,0)))</f>
        <v>0</v>
      </c>
      <c r="P244" s="316">
        <f t="shared" ref="P244" si="1204">IF(OR($E227="N/A",P238&gt;$E230),0,IF(P238=$E231,$E227,MAX(O250,0)))</f>
        <v>0</v>
      </c>
      <c r="Q244" s="316">
        <f t="shared" ref="Q244" si="1205">IF(OR($E227="N/A",Q238&gt;$E230),0,IF(Q238=$E231,$E227,MAX(P250,0)))</f>
        <v>0</v>
      </c>
      <c r="R244" s="316">
        <f t="shared" ref="R244" si="1206">IF(OR($E227="N/A",R238&gt;$E230),0,IF(R238=$E231,$E227,MAX(Q250,0)))</f>
        <v>0</v>
      </c>
      <c r="S244" s="332">
        <f t="shared" ref="S244" si="1207">IF(OR($E227="N/A",S238&gt;$E230),0,IF(S238=$E231,$E227,MAX(R250,0)))</f>
        <v>0</v>
      </c>
      <c r="T244" s="429">
        <f t="shared" ref="T244" si="1208">IF(OR($E227="N/A",T238&gt;$E230),0,IF(T238=$E231,$E227,MAX(S250,0)))</f>
        <v>0</v>
      </c>
      <c r="U244" s="316">
        <f t="shared" ref="U244" si="1209">IF(OR($E227="N/A",U238&gt;$E230),0,IF(U238=$E231,$E227,MAX(T250,0)))</f>
        <v>0</v>
      </c>
      <c r="V244" s="316">
        <f t="shared" ref="V244" si="1210">IF(OR($E227="N/A",V238&gt;$E230),0,IF(V238=$E231,$E227,MAX(U250,0)))</f>
        <v>0</v>
      </c>
      <c r="W244" s="316">
        <f t="shared" ref="W244" si="1211">IF(OR($E227="N/A",W238&gt;$E230),0,IF(W238=$E231,$E227,MAX(V250,0)))</f>
        <v>0</v>
      </c>
      <c r="X244" s="316">
        <f t="shared" ref="X244" si="1212">IF(OR($E227="N/A",X238&gt;$E230),0,IF(X238=$E231,$E227,MAX(W250,0)))</f>
        <v>0</v>
      </c>
      <c r="Y244" s="316">
        <f t="shared" ref="Y244" si="1213">IF(OR($E227="N/A",Y238&gt;$E230),0,IF(Y238=$E231,$E227,MAX(X250,0)))</f>
        <v>0</v>
      </c>
      <c r="Z244" s="316">
        <f t="shared" ref="Z244" si="1214">IF(OR($E227="N/A",Z238&gt;$E230),0,IF(Z238=$E231,$E227,MAX(Y250,0)))</f>
        <v>0</v>
      </c>
      <c r="AA244" s="316">
        <f t="shared" ref="AA244" si="1215">IF(OR($E227="N/A",AA238&gt;$E230),0,IF(AA238=$E231,$E227,MAX(Z250,0)))</f>
        <v>0</v>
      </c>
      <c r="AB244" s="316">
        <f t="shared" ref="AB244" si="1216">IF(OR($E227="N/A",AB238&gt;$E230),0,IF(AB238=$E231,$E227,MAX(AA250,0)))</f>
        <v>0</v>
      </c>
      <c r="AC244" s="316">
        <f t="shared" ref="AC244" si="1217">IF(OR($E227="N/A",AC238&gt;$E230),0,IF(AC238=$E231,$E227,MAX(AB250,0)))</f>
        <v>0</v>
      </c>
      <c r="AD244" s="316">
        <f t="shared" ref="AD244" si="1218">IF(OR($E227="N/A",AD238&gt;$E230),0,IF(AD238=$E231,$E227,MAX(AC250,0)))</f>
        <v>0</v>
      </c>
      <c r="AE244" s="316">
        <f t="shared" ref="AE244" si="1219">IF(OR($E227="N/A",AE238&gt;$E230),0,IF(AE238=$E231,$E227,MAX(AD250,0)))</f>
        <v>0</v>
      </c>
      <c r="AF244" s="316">
        <f t="shared" ref="AF244" si="1220">IF(OR($E227="N/A",AF238&gt;$E230),0,IF(AF238=$E231,$E227,MAX(AE250,0)))</f>
        <v>0</v>
      </c>
      <c r="AG244" s="316">
        <f t="shared" ref="AG244" si="1221">IF(OR($E227="N/A",AG238&gt;$E230),0,IF(AG238=$E231,$E227,MAX(AF250,0)))</f>
        <v>0</v>
      </c>
      <c r="AH244" s="316">
        <f t="shared" ref="AH244" si="1222">IF(OR($E227="N/A",AH238&gt;$E230),0,IF(AH238=$E231,$E227,MAX(AG250,0)))</f>
        <v>0</v>
      </c>
    </row>
    <row r="245" spans="3:34" x14ac:dyDescent="0.2">
      <c r="C245" s="1181" t="s">
        <v>2186</v>
      </c>
      <c r="D245" s="1181"/>
      <c r="E245" s="109">
        <f t="shared" ref="E245:AH245" si="1223">IF(OR($E227="N/A",E238&gt;$E230,E238&lt;$E231),0,E244*$E228)</f>
        <v>0</v>
      </c>
      <c r="F245" s="109">
        <f t="shared" si="1223"/>
        <v>0</v>
      </c>
      <c r="G245" s="109">
        <f t="shared" si="1223"/>
        <v>0</v>
      </c>
      <c r="H245" s="109">
        <f t="shared" si="1223"/>
        <v>0</v>
      </c>
      <c r="I245" s="109">
        <f t="shared" si="1223"/>
        <v>0</v>
      </c>
      <c r="J245" s="109">
        <f t="shared" si="1223"/>
        <v>0</v>
      </c>
      <c r="K245" s="109">
        <f t="shared" si="1223"/>
        <v>0</v>
      </c>
      <c r="L245" s="109">
        <f t="shared" si="1223"/>
        <v>0</v>
      </c>
      <c r="M245" s="109">
        <f t="shared" si="1223"/>
        <v>0</v>
      </c>
      <c r="N245" s="109">
        <f t="shared" si="1223"/>
        <v>0</v>
      </c>
      <c r="O245" s="109">
        <f t="shared" si="1223"/>
        <v>0</v>
      </c>
      <c r="P245" s="109">
        <f t="shared" si="1223"/>
        <v>0</v>
      </c>
      <c r="Q245" s="109">
        <f t="shared" si="1223"/>
        <v>0</v>
      </c>
      <c r="R245" s="109">
        <f t="shared" si="1223"/>
        <v>0</v>
      </c>
      <c r="S245" s="331">
        <f t="shared" si="1223"/>
        <v>0</v>
      </c>
      <c r="T245" s="228">
        <f t="shared" si="1223"/>
        <v>0</v>
      </c>
      <c r="U245" s="109">
        <f t="shared" si="1223"/>
        <v>0</v>
      </c>
      <c r="V245" s="109">
        <f t="shared" si="1223"/>
        <v>0</v>
      </c>
      <c r="W245" s="109">
        <f t="shared" si="1223"/>
        <v>0</v>
      </c>
      <c r="X245" s="109">
        <f t="shared" si="1223"/>
        <v>0</v>
      </c>
      <c r="Y245" s="109">
        <f t="shared" si="1223"/>
        <v>0</v>
      </c>
      <c r="Z245" s="109">
        <f t="shared" si="1223"/>
        <v>0</v>
      </c>
      <c r="AA245" s="109">
        <f t="shared" si="1223"/>
        <v>0</v>
      </c>
      <c r="AB245" s="109">
        <f t="shared" si="1223"/>
        <v>0</v>
      </c>
      <c r="AC245" s="109">
        <f t="shared" si="1223"/>
        <v>0</v>
      </c>
      <c r="AD245" s="109">
        <f t="shared" si="1223"/>
        <v>0</v>
      </c>
      <c r="AE245" s="109">
        <f t="shared" si="1223"/>
        <v>0</v>
      </c>
      <c r="AF245" s="109">
        <f t="shared" si="1223"/>
        <v>0</v>
      </c>
      <c r="AG245" s="109">
        <f t="shared" si="1223"/>
        <v>0</v>
      </c>
      <c r="AH245" s="109">
        <f t="shared" si="1223"/>
        <v>0</v>
      </c>
    </row>
    <row r="246" spans="3:34" x14ac:dyDescent="0.2">
      <c r="C246" s="1181" t="s">
        <v>2270</v>
      </c>
      <c r="D246" s="1181"/>
      <c r="E246" s="346">
        <f t="shared" ref="E246:AH246" si="1224">IF(OR($E227="N/A",E238&gt;$E230,E238&lt;$E231),0,MAX(0,MIN(E245,E243)))</f>
        <v>0</v>
      </c>
      <c r="F246" s="346">
        <f t="shared" si="1224"/>
        <v>0</v>
      </c>
      <c r="G246" s="346">
        <f t="shared" si="1224"/>
        <v>0</v>
      </c>
      <c r="H246" s="346">
        <f t="shared" si="1224"/>
        <v>0</v>
      </c>
      <c r="I246" s="346">
        <f t="shared" si="1224"/>
        <v>0</v>
      </c>
      <c r="J246" s="346">
        <f t="shared" si="1224"/>
        <v>0</v>
      </c>
      <c r="K246" s="346">
        <f t="shared" si="1224"/>
        <v>0</v>
      </c>
      <c r="L246" s="346">
        <f t="shared" si="1224"/>
        <v>0</v>
      </c>
      <c r="M246" s="346">
        <f t="shared" si="1224"/>
        <v>0</v>
      </c>
      <c r="N246" s="346">
        <f t="shared" si="1224"/>
        <v>0</v>
      </c>
      <c r="O246" s="346">
        <f t="shared" si="1224"/>
        <v>0</v>
      </c>
      <c r="P246" s="346">
        <f t="shared" si="1224"/>
        <v>0</v>
      </c>
      <c r="Q246" s="346">
        <f t="shared" si="1224"/>
        <v>0</v>
      </c>
      <c r="R246" s="346">
        <f t="shared" si="1224"/>
        <v>0</v>
      </c>
      <c r="S246" s="442">
        <f t="shared" si="1224"/>
        <v>0</v>
      </c>
      <c r="T246" s="435">
        <f t="shared" si="1224"/>
        <v>0</v>
      </c>
      <c r="U246" s="346">
        <f t="shared" si="1224"/>
        <v>0</v>
      </c>
      <c r="V246" s="346">
        <f t="shared" si="1224"/>
        <v>0</v>
      </c>
      <c r="W246" s="346">
        <f t="shared" si="1224"/>
        <v>0</v>
      </c>
      <c r="X246" s="346">
        <f t="shared" si="1224"/>
        <v>0</v>
      </c>
      <c r="Y246" s="346">
        <f t="shared" si="1224"/>
        <v>0</v>
      </c>
      <c r="Z246" s="346">
        <f t="shared" si="1224"/>
        <v>0</v>
      </c>
      <c r="AA246" s="346">
        <f t="shared" si="1224"/>
        <v>0</v>
      </c>
      <c r="AB246" s="346">
        <f t="shared" si="1224"/>
        <v>0</v>
      </c>
      <c r="AC246" s="346">
        <f t="shared" si="1224"/>
        <v>0</v>
      </c>
      <c r="AD246" s="346">
        <f t="shared" si="1224"/>
        <v>0</v>
      </c>
      <c r="AE246" s="346">
        <f t="shared" si="1224"/>
        <v>0</v>
      </c>
      <c r="AF246" s="346">
        <f t="shared" si="1224"/>
        <v>0</v>
      </c>
      <c r="AG246" s="346">
        <f t="shared" si="1224"/>
        <v>0</v>
      </c>
      <c r="AH246" s="346">
        <f t="shared" si="1224"/>
        <v>0</v>
      </c>
    </row>
    <row r="247" spans="3:34" x14ac:dyDescent="0.2">
      <c r="C247" s="1181" t="s">
        <v>2271</v>
      </c>
      <c r="D247" s="1181"/>
      <c r="E247" s="346">
        <f t="shared" ref="E247:AH247" si="1225">IF(OR($E227="N/A",E238&gt;$E230,E238&lt;$E231),0,E246-E245)</f>
        <v>0</v>
      </c>
      <c r="F247" s="346">
        <f t="shared" si="1225"/>
        <v>0</v>
      </c>
      <c r="G247" s="346">
        <f t="shared" si="1225"/>
        <v>0</v>
      </c>
      <c r="H247" s="346">
        <f t="shared" si="1225"/>
        <v>0</v>
      </c>
      <c r="I247" s="346">
        <f t="shared" si="1225"/>
        <v>0</v>
      </c>
      <c r="J247" s="346">
        <f t="shared" si="1225"/>
        <v>0</v>
      </c>
      <c r="K247" s="346">
        <f t="shared" si="1225"/>
        <v>0</v>
      </c>
      <c r="L247" s="346">
        <f t="shared" si="1225"/>
        <v>0</v>
      </c>
      <c r="M247" s="346">
        <f t="shared" si="1225"/>
        <v>0</v>
      </c>
      <c r="N247" s="346">
        <f t="shared" si="1225"/>
        <v>0</v>
      </c>
      <c r="O247" s="346">
        <f t="shared" si="1225"/>
        <v>0</v>
      </c>
      <c r="P247" s="346">
        <f t="shared" si="1225"/>
        <v>0</v>
      </c>
      <c r="Q247" s="346">
        <f t="shared" si="1225"/>
        <v>0</v>
      </c>
      <c r="R247" s="346">
        <f t="shared" si="1225"/>
        <v>0</v>
      </c>
      <c r="S247" s="442">
        <f t="shared" si="1225"/>
        <v>0</v>
      </c>
      <c r="T247" s="435">
        <f t="shared" si="1225"/>
        <v>0</v>
      </c>
      <c r="U247" s="346">
        <f t="shared" si="1225"/>
        <v>0</v>
      </c>
      <c r="V247" s="346">
        <f t="shared" si="1225"/>
        <v>0</v>
      </c>
      <c r="W247" s="346">
        <f t="shared" si="1225"/>
        <v>0</v>
      </c>
      <c r="X247" s="346">
        <f t="shared" si="1225"/>
        <v>0</v>
      </c>
      <c r="Y247" s="346">
        <f t="shared" si="1225"/>
        <v>0</v>
      </c>
      <c r="Z247" s="346">
        <f t="shared" si="1225"/>
        <v>0</v>
      </c>
      <c r="AA247" s="346">
        <f t="shared" si="1225"/>
        <v>0</v>
      </c>
      <c r="AB247" s="346">
        <f t="shared" si="1225"/>
        <v>0</v>
      </c>
      <c r="AC247" s="346">
        <f t="shared" si="1225"/>
        <v>0</v>
      </c>
      <c r="AD247" s="346">
        <f t="shared" si="1225"/>
        <v>0</v>
      </c>
      <c r="AE247" s="346">
        <f t="shared" si="1225"/>
        <v>0</v>
      </c>
      <c r="AF247" s="346">
        <f t="shared" si="1225"/>
        <v>0</v>
      </c>
      <c r="AG247" s="346">
        <f t="shared" si="1225"/>
        <v>0</v>
      </c>
      <c r="AH247" s="346">
        <f t="shared" si="1225"/>
        <v>0</v>
      </c>
    </row>
    <row r="248" spans="3:34" ht="15" thickBot="1" x14ac:dyDescent="0.25">
      <c r="C248" s="1448" t="s">
        <v>2272</v>
      </c>
      <c r="D248" s="1448"/>
      <c r="E248" s="411">
        <f>IF(OR($E227="N/A",E238&gt;$E230,E238&lt;$E231),0,MAX(0,MIN(E243-E246,E244)))</f>
        <v>0</v>
      </c>
      <c r="F248" s="411">
        <f>IF(OR($E227="N/A",F238&gt;$E230,F238&lt;$E231),0,MAX(0,MIN(F243-F246,F244)))</f>
        <v>0</v>
      </c>
      <c r="G248" s="411">
        <f t="shared" ref="G248:AH248" si="1226">IF(OR($E227="N/A",G238&gt;$E230,G238&lt;$E231),0,MAX(0,MIN(G243-G246,G244)))</f>
        <v>0</v>
      </c>
      <c r="H248" s="411">
        <f t="shared" si="1226"/>
        <v>0</v>
      </c>
      <c r="I248" s="411">
        <f t="shared" si="1226"/>
        <v>0</v>
      </c>
      <c r="J248" s="411">
        <f t="shared" si="1226"/>
        <v>0</v>
      </c>
      <c r="K248" s="411">
        <f t="shared" si="1226"/>
        <v>0</v>
      </c>
      <c r="L248" s="411">
        <f t="shared" si="1226"/>
        <v>0</v>
      </c>
      <c r="M248" s="411">
        <f t="shared" si="1226"/>
        <v>0</v>
      </c>
      <c r="N248" s="411">
        <f t="shared" si="1226"/>
        <v>0</v>
      </c>
      <c r="O248" s="411">
        <f t="shared" si="1226"/>
        <v>0</v>
      </c>
      <c r="P248" s="411">
        <f t="shared" si="1226"/>
        <v>0</v>
      </c>
      <c r="Q248" s="411">
        <f t="shared" si="1226"/>
        <v>0</v>
      </c>
      <c r="R248" s="411">
        <f t="shared" si="1226"/>
        <v>0</v>
      </c>
      <c r="S248" s="443">
        <f t="shared" si="1226"/>
        <v>0</v>
      </c>
      <c r="T248" s="431">
        <f t="shared" si="1226"/>
        <v>0</v>
      </c>
      <c r="U248" s="411">
        <f t="shared" si="1226"/>
        <v>0</v>
      </c>
      <c r="V248" s="411">
        <f t="shared" si="1226"/>
        <v>0</v>
      </c>
      <c r="W248" s="411">
        <f t="shared" si="1226"/>
        <v>0</v>
      </c>
      <c r="X248" s="411">
        <f t="shared" si="1226"/>
        <v>0</v>
      </c>
      <c r="Y248" s="411">
        <f t="shared" si="1226"/>
        <v>0</v>
      </c>
      <c r="Z248" s="411">
        <f t="shared" si="1226"/>
        <v>0</v>
      </c>
      <c r="AA248" s="411">
        <f t="shared" si="1226"/>
        <v>0</v>
      </c>
      <c r="AB248" s="411">
        <f t="shared" si="1226"/>
        <v>0</v>
      </c>
      <c r="AC248" s="411">
        <f t="shared" si="1226"/>
        <v>0</v>
      </c>
      <c r="AD248" s="411">
        <f t="shared" si="1226"/>
        <v>0</v>
      </c>
      <c r="AE248" s="411">
        <f t="shared" si="1226"/>
        <v>0</v>
      </c>
      <c r="AF248" s="411">
        <f t="shared" si="1226"/>
        <v>0</v>
      </c>
      <c r="AG248" s="411">
        <f t="shared" si="1226"/>
        <v>0</v>
      </c>
      <c r="AH248" s="411">
        <f t="shared" si="1226"/>
        <v>0</v>
      </c>
    </row>
    <row r="249" spans="3:34" ht="15" thickTop="1" x14ac:dyDescent="0.2">
      <c r="C249" s="1449" t="s">
        <v>2282</v>
      </c>
      <c r="D249" s="1449"/>
      <c r="E249" s="430">
        <f>SUM(E246,E248)</f>
        <v>0</v>
      </c>
      <c r="F249" s="430">
        <f>SUM(F246,F248)</f>
        <v>0</v>
      </c>
      <c r="G249" s="430">
        <f t="shared" ref="G249" si="1227">SUM(G246,G248)</f>
        <v>0</v>
      </c>
      <c r="H249" s="430">
        <f t="shared" ref="H249" si="1228">SUM(H246,H248)</f>
        <v>0</v>
      </c>
      <c r="I249" s="430">
        <f t="shared" ref="I249" si="1229">SUM(I246,I248)</f>
        <v>0</v>
      </c>
      <c r="J249" s="430">
        <f t="shared" ref="J249" si="1230">SUM(J246,J248)</f>
        <v>0</v>
      </c>
      <c r="K249" s="430">
        <f t="shared" ref="K249" si="1231">SUM(K246,K248)</f>
        <v>0</v>
      </c>
      <c r="L249" s="430">
        <f t="shared" ref="L249" si="1232">SUM(L246,L248)</f>
        <v>0</v>
      </c>
      <c r="M249" s="430">
        <f t="shared" ref="M249" si="1233">SUM(M246,M248)</f>
        <v>0</v>
      </c>
      <c r="N249" s="430">
        <f t="shared" ref="N249" si="1234">SUM(N246,N248)</f>
        <v>0</v>
      </c>
      <c r="O249" s="430">
        <f t="shared" ref="O249" si="1235">SUM(O246,O248)</f>
        <v>0</v>
      </c>
      <c r="P249" s="430">
        <f t="shared" ref="P249" si="1236">SUM(P246,P248)</f>
        <v>0</v>
      </c>
      <c r="Q249" s="430">
        <f t="shared" ref="Q249" si="1237">SUM(Q246,Q248)</f>
        <v>0</v>
      </c>
      <c r="R249" s="430">
        <f t="shared" ref="R249" si="1238">SUM(R246,R248)</f>
        <v>0</v>
      </c>
      <c r="S249" s="444">
        <f t="shared" ref="S249" si="1239">SUM(S246,S248)</f>
        <v>0</v>
      </c>
      <c r="T249" s="436">
        <f t="shared" ref="T249" si="1240">SUM(T246,T248)</f>
        <v>0</v>
      </c>
      <c r="U249" s="430">
        <f t="shared" ref="U249" si="1241">SUM(U246,U248)</f>
        <v>0</v>
      </c>
      <c r="V249" s="430">
        <f t="shared" ref="V249" si="1242">SUM(V246,V248)</f>
        <v>0</v>
      </c>
      <c r="W249" s="430">
        <f t="shared" ref="W249" si="1243">SUM(W246,W248)</f>
        <v>0</v>
      </c>
      <c r="X249" s="430">
        <f t="shared" ref="X249" si="1244">SUM(X246,X248)</f>
        <v>0</v>
      </c>
      <c r="Y249" s="430">
        <f t="shared" ref="Y249" si="1245">SUM(Y246,Y248)</f>
        <v>0</v>
      </c>
      <c r="Z249" s="430">
        <f t="shared" ref="Z249" si="1246">SUM(Z246,Z248)</f>
        <v>0</v>
      </c>
      <c r="AA249" s="430">
        <f t="shared" ref="AA249" si="1247">SUM(AA246,AA248)</f>
        <v>0</v>
      </c>
      <c r="AB249" s="430">
        <f t="shared" ref="AB249" si="1248">SUM(AB246,AB248)</f>
        <v>0</v>
      </c>
      <c r="AC249" s="430">
        <f t="shared" ref="AC249" si="1249">SUM(AC246,AC248)</f>
        <v>0</v>
      </c>
      <c r="AD249" s="430">
        <f t="shared" ref="AD249" si="1250">SUM(AD246,AD248)</f>
        <v>0</v>
      </c>
      <c r="AE249" s="430">
        <f t="shared" ref="AE249" si="1251">SUM(AE246,AE248)</f>
        <v>0</v>
      </c>
      <c r="AF249" s="430">
        <f t="shared" ref="AF249" si="1252">SUM(AF246,AF248)</f>
        <v>0</v>
      </c>
      <c r="AG249" s="430">
        <f t="shared" ref="AG249" si="1253">SUM(AG246,AG248)</f>
        <v>0</v>
      </c>
      <c r="AH249" s="430">
        <f t="shared" ref="AH249" si="1254">SUM(AH246,AH248)</f>
        <v>0</v>
      </c>
    </row>
    <row r="250" spans="3:34" x14ac:dyDescent="0.2">
      <c r="C250" s="1181" t="s">
        <v>2190</v>
      </c>
      <c r="D250" s="1181"/>
      <c r="E250" s="342">
        <f>IF(OR($E227="N/A",E238&gt;$E230,E238&lt;$E231),0,IF($E229="Compound",E244-E248-E247,MAX(0,E244-E248)))</f>
        <v>0</v>
      </c>
      <c r="F250" s="342">
        <f>IF(OR($E227="N/A",F238&gt;$E230,F238&lt;$E231),0,IF($E229="Compound",F244-F248-F247,MAX(0,F244-F248)))</f>
        <v>0</v>
      </c>
      <c r="G250" s="342">
        <f t="shared" ref="G250:AH250" si="1255">IF(OR($E227="N/A",G238&gt;$E230,G238&lt;$E231),0,IF($E229="Compound",G244-G248-G247,MAX(0,G244-G248)))</f>
        <v>0</v>
      </c>
      <c r="H250" s="342">
        <f t="shared" si="1255"/>
        <v>0</v>
      </c>
      <c r="I250" s="342">
        <f t="shared" si="1255"/>
        <v>0</v>
      </c>
      <c r="J250" s="342">
        <f t="shared" si="1255"/>
        <v>0</v>
      </c>
      <c r="K250" s="342">
        <f t="shared" si="1255"/>
        <v>0</v>
      </c>
      <c r="L250" s="342">
        <f t="shared" si="1255"/>
        <v>0</v>
      </c>
      <c r="M250" s="342">
        <f t="shared" si="1255"/>
        <v>0</v>
      </c>
      <c r="N250" s="342">
        <f t="shared" si="1255"/>
        <v>0</v>
      </c>
      <c r="O250" s="342">
        <f t="shared" si="1255"/>
        <v>0</v>
      </c>
      <c r="P250" s="342">
        <f t="shared" si="1255"/>
        <v>0</v>
      </c>
      <c r="Q250" s="342">
        <f t="shared" si="1255"/>
        <v>0</v>
      </c>
      <c r="R250" s="342">
        <f t="shared" si="1255"/>
        <v>0</v>
      </c>
      <c r="S250" s="445">
        <f t="shared" si="1255"/>
        <v>0</v>
      </c>
      <c r="T250" s="437">
        <f t="shared" si="1255"/>
        <v>0</v>
      </c>
      <c r="U250" s="342">
        <f t="shared" si="1255"/>
        <v>0</v>
      </c>
      <c r="V250" s="342">
        <f t="shared" si="1255"/>
        <v>0</v>
      </c>
      <c r="W250" s="342">
        <f t="shared" si="1255"/>
        <v>0</v>
      </c>
      <c r="X250" s="342">
        <f t="shared" si="1255"/>
        <v>0</v>
      </c>
      <c r="Y250" s="342">
        <f t="shared" si="1255"/>
        <v>0</v>
      </c>
      <c r="Z250" s="342">
        <f t="shared" si="1255"/>
        <v>0</v>
      </c>
      <c r="AA250" s="342">
        <f t="shared" si="1255"/>
        <v>0</v>
      </c>
      <c r="AB250" s="342">
        <f t="shared" si="1255"/>
        <v>0</v>
      </c>
      <c r="AC250" s="342">
        <f t="shared" si="1255"/>
        <v>0</v>
      </c>
      <c r="AD250" s="342">
        <f t="shared" si="1255"/>
        <v>0</v>
      </c>
      <c r="AE250" s="342">
        <f t="shared" si="1255"/>
        <v>0</v>
      </c>
      <c r="AF250" s="342">
        <f t="shared" si="1255"/>
        <v>0</v>
      </c>
      <c r="AG250" s="342">
        <f t="shared" si="1255"/>
        <v>0</v>
      </c>
      <c r="AH250" s="342">
        <f t="shared" si="1255"/>
        <v>0</v>
      </c>
    </row>
    <row r="251" spans="3:34" x14ac:dyDescent="0.2">
      <c r="C251" s="317"/>
      <c r="D251" s="317"/>
      <c r="E251" s="74"/>
      <c r="F251" s="74"/>
      <c r="G251" s="74"/>
      <c r="H251" s="74"/>
      <c r="I251" s="74"/>
      <c r="J251" s="74"/>
      <c r="K251" s="74"/>
      <c r="L251" s="74"/>
      <c r="M251" s="74"/>
      <c r="N251" s="74"/>
      <c r="O251" s="74"/>
      <c r="P251" s="74"/>
      <c r="Q251" s="74"/>
      <c r="R251" s="74"/>
      <c r="S251" s="333"/>
      <c r="T251" s="74"/>
      <c r="U251" s="74"/>
      <c r="V251" s="74"/>
      <c r="W251" s="74"/>
      <c r="X251" s="74"/>
      <c r="Y251" s="74"/>
      <c r="Z251" s="74"/>
      <c r="AA251" s="74"/>
      <c r="AB251" s="74"/>
      <c r="AC251" s="74"/>
      <c r="AD251" s="74"/>
      <c r="AE251" s="74"/>
      <c r="AF251" s="74"/>
      <c r="AG251" s="74"/>
      <c r="AH251" s="74"/>
    </row>
    <row r="252" spans="3:34" ht="15" x14ac:dyDescent="0.2">
      <c r="C252" s="432" t="s">
        <v>2287</v>
      </c>
      <c r="D252" s="317"/>
      <c r="E252" s="74"/>
      <c r="F252" s="74"/>
      <c r="G252" s="74"/>
      <c r="H252" s="74"/>
      <c r="I252" s="74"/>
      <c r="J252" s="74"/>
      <c r="K252" s="74"/>
      <c r="L252" s="74"/>
      <c r="M252" s="74"/>
      <c r="N252" s="74"/>
      <c r="O252" s="74"/>
      <c r="P252" s="74"/>
      <c r="Q252" s="74"/>
      <c r="R252" s="74"/>
      <c r="S252" s="333"/>
      <c r="T252" s="74"/>
      <c r="U252" s="74"/>
      <c r="V252" s="74"/>
      <c r="W252" s="74"/>
      <c r="X252" s="74"/>
      <c r="Y252" s="74"/>
      <c r="Z252" s="74"/>
      <c r="AA252" s="74"/>
      <c r="AB252" s="74"/>
      <c r="AC252" s="74"/>
      <c r="AD252" s="74"/>
      <c r="AE252" s="74"/>
      <c r="AF252" s="74"/>
      <c r="AG252" s="74"/>
      <c r="AH252" s="74"/>
    </row>
    <row r="253" spans="3:34" x14ac:dyDescent="0.2">
      <c r="C253" s="1234" t="s">
        <v>2273</v>
      </c>
      <c r="D253" s="1234"/>
      <c r="E253" s="421">
        <f>IF($I227="N/A",0,IF(E238&gt;$I232,0,MIN($I231,$I227*$I229)))</f>
        <v>0</v>
      </c>
      <c r="F253" s="236">
        <f t="shared" ref="F253" si="1256">IF($I227="N/A",0,IF(F238&gt;$I232,0,MIN($I231,$I227*$I229*(1+$I228)^E$63)))</f>
        <v>0</v>
      </c>
      <c r="G253" s="236">
        <f t="shared" ref="G253" si="1257">IF($I227="N/A",0,IF(G238&gt;$I232,0,MIN($I231,$I227*$I229*(1+$I228)^F$63)))</f>
        <v>0</v>
      </c>
      <c r="H253" s="236">
        <f t="shared" ref="H253" si="1258">IF($I227="N/A",0,IF(H238&gt;$I232,0,MIN($I231,$I227*$I229*(1+$I228)^G$63)))</f>
        <v>0</v>
      </c>
      <c r="I253" s="236">
        <f t="shared" ref="I253" si="1259">IF($I227="N/A",0,IF(I238&gt;$I232,0,MIN($I231,$I227*$I229*(1+$I228)^H$63)))</f>
        <v>0</v>
      </c>
      <c r="J253" s="236">
        <f t="shared" ref="J253" si="1260">IF($I227="N/A",0,IF(J238&gt;$I232,0,MIN($I231,$I227*$I229*(1+$I228)^I$63)))</f>
        <v>0</v>
      </c>
      <c r="K253" s="236">
        <f t="shared" ref="K253" si="1261">IF($I227="N/A",0,IF(K238&gt;$I232,0,MIN($I231,$I227*$I229*(1+$I228)^J$63)))</f>
        <v>0</v>
      </c>
      <c r="L253" s="236">
        <f t="shared" ref="L253" si="1262">IF($I227="N/A",0,IF(L238&gt;$I232,0,MIN($I231,$I227*$I229*(1+$I228)^K$63)))</f>
        <v>0</v>
      </c>
      <c r="M253" s="236">
        <f t="shared" ref="M253" si="1263">IF($I227="N/A",0,IF(M238&gt;$I232,0,MIN($I231,$I227*$I229*(1+$I228)^L$63)))</f>
        <v>0</v>
      </c>
      <c r="N253" s="236">
        <f t="shared" ref="N253" si="1264">IF($I227="N/A",0,IF(N238&gt;$I232,0,MIN($I231,$I227*$I229*(1+$I228)^M$63)))</f>
        <v>0</v>
      </c>
      <c r="O253" s="236">
        <f t="shared" ref="O253" si="1265">IF($I227="N/A",0,IF(O238&gt;$I232,0,MIN($I231,$I227*$I229*(1+$I228)^N$63)))</f>
        <v>0</v>
      </c>
      <c r="P253" s="236">
        <f t="shared" ref="P253" si="1266">IF($I227="N/A",0,IF(P238&gt;$I232,0,MIN($I231,$I227*$I229*(1+$I228)^O$63)))</f>
        <v>0</v>
      </c>
      <c r="Q253" s="236">
        <f t="shared" ref="Q253" si="1267">IF($I227="N/A",0,IF(Q238&gt;$I232,0,MIN($I231,$I227*$I229*(1+$I228)^P$63)))</f>
        <v>0</v>
      </c>
      <c r="R253" s="236">
        <f t="shared" ref="R253" si="1268">IF($I227="N/A",0,IF(R238&gt;$I232,0,MIN($I231,$I227*$I229*(1+$I228)^Q$63)))</f>
        <v>0</v>
      </c>
      <c r="S253" s="446">
        <f t="shared" ref="S253" si="1269">IF($I227="N/A",0,IF(S238&gt;$I232,0,MIN($I231,$I227*$I229*(1+$I228)^R$63)))</f>
        <v>0</v>
      </c>
      <c r="T253" s="438">
        <f t="shared" ref="T253" si="1270">IF($I227="N/A",0,IF(T238&gt;$I232,0,MIN($I231,$I227*$I229*(1+$I228)^S$63)))</f>
        <v>0</v>
      </c>
      <c r="U253" s="236">
        <f t="shared" ref="U253" si="1271">IF($I227="N/A",0,IF(U238&gt;$I232,0,MIN($I231,$I227*$I229*(1+$I228)^T$63)))</f>
        <v>0</v>
      </c>
      <c r="V253" s="236">
        <f t="shared" ref="V253" si="1272">IF($I227="N/A",0,IF(V238&gt;$I232,0,MIN($I231,$I227*$I229*(1+$I228)^U$63)))</f>
        <v>0</v>
      </c>
      <c r="W253" s="236">
        <f t="shared" ref="W253" si="1273">IF($I227="N/A",0,IF(W238&gt;$I232,0,MIN($I231,$I227*$I229*(1+$I228)^V$63)))</f>
        <v>0</v>
      </c>
      <c r="X253" s="236">
        <f t="shared" ref="X253" si="1274">IF($I227="N/A",0,IF(X238&gt;$I232,0,MIN($I231,$I227*$I229*(1+$I228)^W$63)))</f>
        <v>0</v>
      </c>
      <c r="Y253" s="236">
        <f t="shared" ref="Y253" si="1275">IF($I227="N/A",0,IF(Y238&gt;$I232,0,MIN($I231,$I227*$I229*(1+$I228)^X$63)))</f>
        <v>0</v>
      </c>
      <c r="Z253" s="236">
        <f t="shared" ref="Z253" si="1276">IF($I227="N/A",0,IF(Z238&gt;$I232,0,MIN($I231,$I227*$I229*(1+$I228)^Y$63)))</f>
        <v>0</v>
      </c>
      <c r="AA253" s="236">
        <f t="shared" ref="AA253" si="1277">IF($I227="N/A",0,IF(AA238&gt;$I232,0,MIN($I231,$I227*$I229*(1+$I228)^Z$63)))</f>
        <v>0</v>
      </c>
      <c r="AB253" s="236">
        <f t="shared" ref="AB253" si="1278">IF($I227="N/A",0,IF(AB238&gt;$I232,0,MIN($I231,$I227*$I229*(1+$I228)^AA$63)))</f>
        <v>0</v>
      </c>
      <c r="AC253" s="236">
        <f t="shared" ref="AC253" si="1279">IF($I227="N/A",0,IF(AC238&gt;$I232,0,MIN($I231,$I227*$I229*(1+$I228)^AB$63)))</f>
        <v>0</v>
      </c>
      <c r="AD253" s="236">
        <f t="shared" ref="AD253" si="1280">IF($I227="N/A",0,IF(AD238&gt;$I232,0,MIN($I231,$I227*$I229*(1+$I228)^AC$63)))</f>
        <v>0</v>
      </c>
      <c r="AE253" s="236">
        <f t="shared" ref="AE253" si="1281">IF($I227="N/A",0,IF(AE238&gt;$I232,0,MIN($I231,$I227*$I229*(1+$I228)^AD$63)))</f>
        <v>0</v>
      </c>
      <c r="AF253" s="236">
        <f t="shared" ref="AF253" si="1282">IF($I227="N/A",0,IF(AF238&gt;$I232,0,MIN($I231,$I227*$I229*(1+$I228)^AE$63)))</f>
        <v>0</v>
      </c>
      <c r="AG253" s="236">
        <f t="shared" ref="AG253" si="1283">IF($I227="N/A",0,IF(AG238&gt;$I232,0,MIN($I231,$I227*$I229*(1+$I228)^AF$63)))</f>
        <v>0</v>
      </c>
      <c r="AH253" s="236">
        <f t="shared" ref="AH253" si="1284">IF($I227="N/A",0,IF(AH238&gt;$I232,0,MIN($I231,$I227*$I229*(1+$I228)^AG$63)))</f>
        <v>0</v>
      </c>
    </row>
    <row r="254" spans="3:34" x14ac:dyDescent="0.2">
      <c r="C254" s="1450" t="s">
        <v>2274</v>
      </c>
      <c r="D254" s="1451"/>
      <c r="E254" s="422">
        <f>IF($I227="N/A",0,IF(E238&gt;$I232,0,MAX(0,MIN(E253,$I227*$I229,E240))))</f>
        <v>0</v>
      </c>
      <c r="F254" s="521">
        <f t="shared" ref="F254" si="1285">IF($I227="N/A",0,IF(F238&gt;$I232,0,IF($I230="Yes",MAX(0,MIN(F240*$I229,E256+F253,$I231)),MAX(0,MIN(F253,F240*$I229,$I231)))))</f>
        <v>0</v>
      </c>
      <c r="G254" s="521">
        <f t="shared" ref="G254" si="1286">IF($I227="N/A",0,IF(G238&gt;$I232,0,IF($I230="Yes",MAX(0,MIN(G240*$I229,F256+G253,$I231)),MAX(0,MIN(G253,G240*$I229,$I231)))))</f>
        <v>0</v>
      </c>
      <c r="H254" s="521">
        <f t="shared" ref="H254" si="1287">IF($I227="N/A",0,IF(H238&gt;$I232,0,IF($I230="Yes",MAX(0,MIN(H240*$I229,G256+H253,$I231)),MAX(0,MIN(H253,H240*$I229,$I231)))))</f>
        <v>0</v>
      </c>
      <c r="I254" s="521">
        <f t="shared" ref="I254" si="1288">IF($I227="N/A",0,IF(I238&gt;$I232,0,IF($I230="Yes",MAX(0,MIN(I240*$I229,H256+I253,$I231)),MAX(0,MIN(I253,I240*$I229,$I231)))))</f>
        <v>0</v>
      </c>
      <c r="J254" s="521">
        <f t="shared" ref="J254" si="1289">IF($I227="N/A",0,IF(J238&gt;$I232,0,IF($I230="Yes",MAX(0,MIN(J240*$I229,I256+J253,$I231)),MAX(0,MIN(J253,J240*$I229,$I231)))))</f>
        <v>0</v>
      </c>
      <c r="K254" s="521">
        <f t="shared" ref="K254" si="1290">IF($I227="N/A",0,IF(K238&gt;$I232,0,IF($I230="Yes",MAX(0,MIN(K240*$I229,J256+K253,$I231)),MAX(0,MIN(K253,K240*$I229,$I231)))))</f>
        <v>0</v>
      </c>
      <c r="L254" s="521">
        <f t="shared" ref="L254" si="1291">IF($I227="N/A",0,IF(L238&gt;$I232,0,IF($I230="Yes",MAX(0,MIN(L240*$I229,K256+L253,$I231)),MAX(0,MIN(L253,L240*$I229,$I231)))))</f>
        <v>0</v>
      </c>
      <c r="M254" s="521">
        <f t="shared" ref="M254" si="1292">IF($I227="N/A",0,IF(M238&gt;$I232,0,IF($I230="Yes",MAX(0,MIN(M240*$I229,L256+M253,$I231)),MAX(0,MIN(M253,M240*$I229,$I231)))))</f>
        <v>0</v>
      </c>
      <c r="N254" s="521">
        <f t="shared" ref="N254" si="1293">IF($I227="N/A",0,IF(N238&gt;$I232,0,IF($I230="Yes",MAX(0,MIN(N240*$I229,M256+N253,$I231)),MAX(0,MIN(N253,N240*$I229,$I231)))))</f>
        <v>0</v>
      </c>
      <c r="O254" s="521">
        <f t="shared" ref="O254" si="1294">IF($I227="N/A",0,IF(O238&gt;$I232,0,IF($I230="Yes",MAX(0,MIN(O240*$I229,N256+O253,$I231)),MAX(0,MIN(O253,O240*$I229,$I231)))))</f>
        <v>0</v>
      </c>
      <c r="P254" s="521">
        <f t="shared" ref="P254" si="1295">IF($I227="N/A",0,IF(P238&gt;$I232,0,IF($I230="Yes",MAX(0,MIN(P240*$I229,O256+P253,$I231)),MAX(0,MIN(P253,P240*$I229,$I231)))))</f>
        <v>0</v>
      </c>
      <c r="Q254" s="521">
        <f t="shared" ref="Q254" si="1296">IF($I227="N/A",0,IF(Q238&gt;$I232,0,IF($I230="Yes",MAX(0,MIN(Q240*$I229,P256+Q253,$I231)),MAX(0,MIN(Q253,Q240*$I229,$I231)))))</f>
        <v>0</v>
      </c>
      <c r="R254" s="521">
        <f t="shared" ref="R254" si="1297">IF($I227="N/A",0,IF(R238&gt;$I232,0,IF($I230="Yes",MAX(0,MIN(R240*$I229,Q256+R253,$I231)),MAX(0,MIN(R253,R240*$I229,$I231)))))</f>
        <v>0</v>
      </c>
      <c r="S254" s="523">
        <f t="shared" ref="S254" si="1298">IF($I227="N/A",0,IF(S238&gt;$I232,0,IF($I230="Yes",MAX(0,MIN(S240*$I229,R256+S253,$I231)),MAX(0,MIN(S253,S240*$I229,$I231)))))</f>
        <v>0</v>
      </c>
      <c r="T254" s="522">
        <f t="shared" ref="T254" si="1299">IF($I227="N/A",0,IF(T238&gt;$I232,0,IF($I230="Yes",MAX(0,MIN(T240*$I229,S256+T253,$I231)),MAX(0,MIN(T253,T240*$I229,$I231)))))</f>
        <v>0</v>
      </c>
      <c r="U254" s="521">
        <f t="shared" ref="U254" si="1300">IF($I227="N/A",0,IF(U238&gt;$I232,0,IF($I230="Yes",MAX(0,MIN(U240*$I229,T256+U253,$I231)),MAX(0,MIN(U253,U240*$I229,$I231)))))</f>
        <v>0</v>
      </c>
      <c r="V254" s="521">
        <f t="shared" ref="V254" si="1301">IF($I227="N/A",0,IF(V238&gt;$I232,0,IF($I230="Yes",MAX(0,MIN(V240*$I229,U256+V253,$I231)),MAX(0,MIN(V253,V240*$I229,$I231)))))</f>
        <v>0</v>
      </c>
      <c r="W254" s="521">
        <f t="shared" ref="W254" si="1302">IF($I227="N/A",0,IF(W238&gt;$I232,0,IF($I230="Yes",MAX(0,MIN(W240*$I229,V256+W253,$I231)),MAX(0,MIN(W253,W240*$I229,$I231)))))</f>
        <v>0</v>
      </c>
      <c r="X254" s="521">
        <f t="shared" ref="X254" si="1303">IF($I227="N/A",0,IF(X238&gt;$I232,0,IF($I230="Yes",MAX(0,MIN(X240*$I229,W256+X253,$I231)),MAX(0,MIN(X253,X240*$I229,$I231)))))</f>
        <v>0</v>
      </c>
      <c r="Y254" s="521">
        <f t="shared" ref="Y254" si="1304">IF($I227="N/A",0,IF(Y238&gt;$I232,0,IF($I230="Yes",MAX(0,MIN(Y240*$I229,X256+Y253,$I231)),MAX(0,MIN(Y253,Y240*$I229,$I231)))))</f>
        <v>0</v>
      </c>
      <c r="Z254" s="521">
        <f t="shared" ref="Z254" si="1305">IF($I227="N/A",0,IF(Z238&gt;$I232,0,IF($I230="Yes",MAX(0,MIN(Z240*$I229,Y256+Z253,$I231)),MAX(0,MIN(Z253,Z240*$I229,$I231)))))</f>
        <v>0</v>
      </c>
      <c r="AA254" s="521">
        <f t="shared" ref="AA254" si="1306">IF($I227="N/A",0,IF(AA238&gt;$I232,0,IF($I230="Yes",MAX(0,MIN(AA240*$I229,Z256+AA253,$I231)),MAX(0,MIN(AA253,AA240*$I229,$I231)))))</f>
        <v>0</v>
      </c>
      <c r="AB254" s="521">
        <f t="shared" ref="AB254" si="1307">IF($I227="N/A",0,IF(AB238&gt;$I232,0,IF($I230="Yes",MAX(0,MIN(AB240*$I229,AA256+AB253,$I231)),MAX(0,MIN(AB253,AB240*$I229,$I231)))))</f>
        <v>0</v>
      </c>
      <c r="AC254" s="521">
        <f t="shared" ref="AC254" si="1308">IF($I227="N/A",0,IF(AC238&gt;$I232,0,IF($I230="Yes",MAX(0,MIN(AC240*$I229,AB256+AC253,$I231)),MAX(0,MIN(AC253,AC240*$I229,$I231)))))</f>
        <v>0</v>
      </c>
      <c r="AD254" s="521">
        <f t="shared" ref="AD254" si="1309">IF($I227="N/A",0,IF(AD238&gt;$I232,0,IF($I230="Yes",MAX(0,MIN(AD240*$I229,AC256+AD253,$I231)),MAX(0,MIN(AD253,AD240*$I229,$I231)))))</f>
        <v>0</v>
      </c>
      <c r="AE254" s="521">
        <f t="shared" ref="AE254" si="1310">IF($I227="N/A",0,IF(AE238&gt;$I232,0,IF($I230="Yes",MAX(0,MIN(AE240*$I229,AD256+AE253,$I231)),MAX(0,MIN(AE253,AE240*$I229,$I231)))))</f>
        <v>0</v>
      </c>
      <c r="AF254" s="521">
        <f t="shared" ref="AF254" si="1311">IF($I227="N/A",0,IF(AF238&gt;$I232,0,IF($I230="Yes",MAX(0,MIN(AF240*$I229,AE256+AF253,$I231)),MAX(0,MIN(AF253,AF240*$I229,$I231)))))</f>
        <v>0</v>
      </c>
      <c r="AG254" s="521">
        <f t="shared" ref="AG254" si="1312">IF($I227="N/A",0,IF(AG238&gt;$I232,0,IF($I230="Yes",MAX(0,MIN(AG240*$I229,AF256+AG253,$I231)),MAX(0,MIN(AG253,AG240*$I229,$I231)))))</f>
        <v>0</v>
      </c>
      <c r="AH254" s="521">
        <f t="shared" ref="AH254" si="1313">IF($I227="N/A",0,IF(AH238&gt;$I232,0,IF($I230="Yes",MAX(0,MIN(AH240*$I229,AG256+AH253,$I231)),MAX(0,MIN(AH253,AH240*$I229,$I231)))))</f>
        <v>0</v>
      </c>
    </row>
    <row r="255" spans="3:34" x14ac:dyDescent="0.2">
      <c r="C255" s="1168" t="s">
        <v>2275</v>
      </c>
      <c r="D255" s="1170"/>
      <c r="E255" s="421">
        <f>IF($I230="Yes",IF(E238&gt;$I232,0,E253-E254),0)</f>
        <v>0</v>
      </c>
      <c r="F255" s="421">
        <f t="shared" ref="F255:AH255" si="1314">IF($I227="N/A",0,IF(F239&gt;$I232,0,IF($I230="Yes",F253-F254,0)))</f>
        <v>0</v>
      </c>
      <c r="G255" s="421">
        <f t="shared" si="1314"/>
        <v>0</v>
      </c>
      <c r="H255" s="421">
        <f t="shared" si="1314"/>
        <v>0</v>
      </c>
      <c r="I255" s="421">
        <f t="shared" si="1314"/>
        <v>0</v>
      </c>
      <c r="J255" s="421">
        <f t="shared" si="1314"/>
        <v>0</v>
      </c>
      <c r="K255" s="421">
        <f t="shared" si="1314"/>
        <v>0</v>
      </c>
      <c r="L255" s="421">
        <f t="shared" si="1314"/>
        <v>0</v>
      </c>
      <c r="M255" s="421">
        <f t="shared" si="1314"/>
        <v>0</v>
      </c>
      <c r="N255" s="421">
        <f t="shared" si="1314"/>
        <v>0</v>
      </c>
      <c r="O255" s="421">
        <f t="shared" si="1314"/>
        <v>0</v>
      </c>
      <c r="P255" s="421">
        <f t="shared" si="1314"/>
        <v>0</v>
      </c>
      <c r="Q255" s="421">
        <f t="shared" si="1314"/>
        <v>0</v>
      </c>
      <c r="R255" s="421">
        <f t="shared" si="1314"/>
        <v>0</v>
      </c>
      <c r="S255" s="447">
        <f t="shared" si="1314"/>
        <v>0</v>
      </c>
      <c r="T255" s="439">
        <f t="shared" si="1314"/>
        <v>0</v>
      </c>
      <c r="U255" s="421">
        <f t="shared" si="1314"/>
        <v>0</v>
      </c>
      <c r="V255" s="421">
        <f t="shared" si="1314"/>
        <v>0</v>
      </c>
      <c r="W255" s="421">
        <f t="shared" si="1314"/>
        <v>0</v>
      </c>
      <c r="X255" s="421">
        <f t="shared" si="1314"/>
        <v>0</v>
      </c>
      <c r="Y255" s="421">
        <f t="shared" si="1314"/>
        <v>0</v>
      </c>
      <c r="Z255" s="421">
        <f t="shared" si="1314"/>
        <v>0</v>
      </c>
      <c r="AA255" s="421">
        <f t="shared" si="1314"/>
        <v>0</v>
      </c>
      <c r="AB255" s="421">
        <f t="shared" si="1314"/>
        <v>0</v>
      </c>
      <c r="AC255" s="421">
        <f t="shared" si="1314"/>
        <v>0</v>
      </c>
      <c r="AD255" s="421">
        <f t="shared" si="1314"/>
        <v>0</v>
      </c>
      <c r="AE255" s="421">
        <f t="shared" si="1314"/>
        <v>0</v>
      </c>
      <c r="AF255" s="421">
        <f t="shared" si="1314"/>
        <v>0</v>
      </c>
      <c r="AG255" s="421">
        <f t="shared" si="1314"/>
        <v>0</v>
      </c>
      <c r="AH255" s="421">
        <f t="shared" si="1314"/>
        <v>0</v>
      </c>
    </row>
    <row r="256" spans="3:34" x14ac:dyDescent="0.2">
      <c r="C256" s="1168" t="s">
        <v>2276</v>
      </c>
      <c r="D256" s="1170"/>
      <c r="E256" s="421">
        <f>E255</f>
        <v>0</v>
      </c>
      <c r="F256" s="236">
        <f t="shared" ref="F256" si="1315">IF($I227="N/A",0,IF(F238&gt;$I232,0,E256+F255))</f>
        <v>0</v>
      </c>
      <c r="G256" s="236">
        <f t="shared" ref="G256" si="1316">IF($I227="N/A",0,IF(G238&gt;$I232,0,F256+G255))</f>
        <v>0</v>
      </c>
      <c r="H256" s="236">
        <f t="shared" ref="H256" si="1317">IF($I227="N/A",0,IF(H238&gt;$I232,0,G256+H255))</f>
        <v>0</v>
      </c>
      <c r="I256" s="236">
        <f t="shared" ref="I256" si="1318">IF($I227="N/A",0,IF(I238&gt;$I232,0,H256+I255))</f>
        <v>0</v>
      </c>
      <c r="J256" s="236">
        <f t="shared" ref="J256" si="1319">IF($I227="N/A",0,IF(J238&gt;$I232,0,I256+J255))</f>
        <v>0</v>
      </c>
      <c r="K256" s="236">
        <f t="shared" ref="K256" si="1320">IF($I227="N/A",0,IF(K238&gt;$I232,0,J256+K255))</f>
        <v>0</v>
      </c>
      <c r="L256" s="236">
        <f t="shared" ref="L256" si="1321">IF($I227="N/A",0,IF(L238&gt;$I232,0,K256+L255))</f>
        <v>0</v>
      </c>
      <c r="M256" s="236">
        <f t="shared" ref="M256" si="1322">IF($I227="N/A",0,IF(M238&gt;$I232,0,L256+M255))</f>
        <v>0</v>
      </c>
      <c r="N256" s="236">
        <f t="shared" ref="N256" si="1323">IF($I227="N/A",0,IF(N238&gt;$I232,0,M256+N255))</f>
        <v>0</v>
      </c>
      <c r="O256" s="236">
        <f t="shared" ref="O256" si="1324">IF($I227="N/A",0,IF(O238&gt;$I232,0,N256+O255))</f>
        <v>0</v>
      </c>
      <c r="P256" s="236">
        <f t="shared" ref="P256" si="1325">IF($I227="N/A",0,IF(P238&gt;$I232,0,O256+P255))</f>
        <v>0</v>
      </c>
      <c r="Q256" s="236">
        <f t="shared" ref="Q256" si="1326">IF($I227="N/A",0,IF(Q238&gt;$I232,0,P256+Q255))</f>
        <v>0</v>
      </c>
      <c r="R256" s="236">
        <f t="shared" ref="R256" si="1327">IF($I227="N/A",0,IF(R238&gt;$I232,0,Q256+R255))</f>
        <v>0</v>
      </c>
      <c r="S256" s="446">
        <f t="shared" ref="S256" si="1328">IF($I227="N/A",0,IF(S238&gt;$I232,0,R256+S255))</f>
        <v>0</v>
      </c>
      <c r="T256" s="438">
        <f t="shared" ref="T256" si="1329">IF($I227="N/A",0,IF(T238&gt;$I232,0,S256+T255))</f>
        <v>0</v>
      </c>
      <c r="U256" s="236">
        <f t="shared" ref="U256" si="1330">IF($I227="N/A",0,IF(U238&gt;$I232,0,T256+U255))</f>
        <v>0</v>
      </c>
      <c r="V256" s="236">
        <f t="shared" ref="V256" si="1331">IF($I227="N/A",0,IF(V238&gt;$I232,0,U256+V255))</f>
        <v>0</v>
      </c>
      <c r="W256" s="236">
        <f t="shared" ref="W256" si="1332">IF($I227="N/A",0,IF(W238&gt;$I232,0,V256+W255))</f>
        <v>0</v>
      </c>
      <c r="X256" s="236">
        <f t="shared" ref="X256" si="1333">IF($I227="N/A",0,IF(X238&gt;$I232,0,W256+X255))</f>
        <v>0</v>
      </c>
      <c r="Y256" s="236">
        <f t="shared" ref="Y256" si="1334">IF($I227="N/A",0,IF(Y238&gt;$I232,0,X256+Y255))</f>
        <v>0</v>
      </c>
      <c r="Z256" s="236">
        <f t="shared" ref="Z256" si="1335">IF($I227="N/A",0,IF(Z238&gt;$I232,0,Y256+Z255))</f>
        <v>0</v>
      </c>
      <c r="AA256" s="236">
        <f t="shared" ref="AA256" si="1336">IF($I227="N/A",0,IF(AA238&gt;$I232,0,Z256+AA255))</f>
        <v>0</v>
      </c>
      <c r="AB256" s="236">
        <f t="shared" ref="AB256" si="1337">IF($I227="N/A",0,IF(AB238&gt;$I232,0,AA256+AB255))</f>
        <v>0</v>
      </c>
      <c r="AC256" s="236">
        <f t="shared" ref="AC256" si="1338">IF($I227="N/A",0,IF(AC238&gt;$I232,0,AB256+AC255))</f>
        <v>0</v>
      </c>
      <c r="AD256" s="236">
        <f t="shared" ref="AD256" si="1339">IF($I227="N/A",0,IF(AD238&gt;$I232,0,AC256+AD255))</f>
        <v>0</v>
      </c>
      <c r="AE256" s="236">
        <f t="shared" ref="AE256" si="1340">IF($I227="N/A",0,IF(AE238&gt;$I232,0,AD256+AE255))</f>
        <v>0</v>
      </c>
      <c r="AF256" s="236">
        <f t="shared" ref="AF256" si="1341">IF($I227="N/A",0,IF(AF238&gt;$I232,0,AE256+AF255))</f>
        <v>0</v>
      </c>
      <c r="AG256" s="236">
        <f t="shared" ref="AG256" si="1342">IF($I227="N/A",0,IF(AG238&gt;$I232,0,AF256+AG255))</f>
        <v>0</v>
      </c>
      <c r="AH256" s="236">
        <f t="shared" ref="AH256" si="1343">IF($I227="N/A",0,IF(AH238&gt;$I232,0,AG256+AH255))</f>
        <v>0</v>
      </c>
    </row>
    <row r="259" spans="3:34" ht="15" x14ac:dyDescent="0.2">
      <c r="C259" s="1456" t="str">
        <f>IF(Sources!$D$74="","N/A",Sources!$D$74)</f>
        <v>N/A</v>
      </c>
      <c r="D259" s="1456"/>
      <c r="E259" s="1456"/>
      <c r="F259" s="412" t="s">
        <v>2266</v>
      </c>
      <c r="G259" s="92" t="str">
        <f>IF(AND(ISERROR(VLOOKUP($C259,OpBudget!$C$159:$C$165,1,FALSE)),ISERROR(VLOOKUP($C259,Sources!$C$36:$C$55,1,FALSE))),"N/A",IF(ISERROR(VLOOKUP($C259,Sources!$C$36:$C$55,1,FALSE)),"Fee","Loan"))</f>
        <v>N/A</v>
      </c>
      <c r="H259" s="412"/>
      <c r="I259" s="412"/>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row>
    <row r="260" spans="3:34" ht="15" x14ac:dyDescent="0.2">
      <c r="C260" s="345"/>
      <c r="D260" s="345"/>
      <c r="E260" s="345"/>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row>
    <row r="261" spans="3:34" ht="15" x14ac:dyDescent="0.2">
      <c r="C261" s="417" t="s">
        <v>2260</v>
      </c>
      <c r="D261" s="345"/>
      <c r="E261" s="345"/>
      <c r="F261" s="74"/>
      <c r="G261" s="74" t="s">
        <v>2261</v>
      </c>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row>
    <row r="262" spans="3:34" x14ac:dyDescent="0.2">
      <c r="C262" s="1452" t="s">
        <v>2255</v>
      </c>
      <c r="D262" s="1452"/>
      <c r="E262" s="413" t="str">
        <f>IF(OR($G259="Fee",$G259="N/A"),"N/A",INDEX(Sources!$C$35:$K$55,MATCH(Loans!$C259,Sources!$C$35:$C$55,0),MATCH("Amount",Sources!$C$35:$N$35,0)))</f>
        <v>N/A</v>
      </c>
      <c r="F262" s="74"/>
      <c r="G262" s="1454" t="s">
        <v>2262</v>
      </c>
      <c r="H262" s="1454"/>
      <c r="I262" s="705" t="str">
        <f>IF(OR($G259="Loan",$G259="N/A"),"N/A",INDEX(OpBudget!$C$159:$K$165,MATCH(Loans!$C259,OpBudget!$C$159:$C$165,0),MATCH("Total Amount",OpBudget!$C$159:$K$159,0)))</f>
        <v>N/A</v>
      </c>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row>
    <row r="263" spans="3:34" x14ac:dyDescent="0.2">
      <c r="C263" s="1452" t="s">
        <v>2256</v>
      </c>
      <c r="D263" s="1452"/>
      <c r="E263" s="702" t="str">
        <f>IF(OR($G259="Fee",$G259="N/A"),"N/A",INDEX(Sources!$C$35:$K$55,MATCH(Loans!$C259,Sources!$C$35:$C$55,0),MATCH("Interest Rate",Sources!$C$35:$N$35,0)))</f>
        <v>N/A</v>
      </c>
      <c r="F263" s="74"/>
      <c r="G263" s="1454" t="s">
        <v>2268</v>
      </c>
      <c r="H263" s="1454"/>
      <c r="I263" s="703" t="str">
        <f>IF(OR($G259="Loan",$G259="N/A"),"N/A",INDEX(OpBudget!$C$159:$K$165,MATCH(Loans!$C259,OpBudget!$C$159:$C$165,0),MATCH("Annual Percent Inflator",OpBudget!$C$159:$K$159,0)))</f>
        <v>N/A</v>
      </c>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row>
    <row r="264" spans="3:34" x14ac:dyDescent="0.2">
      <c r="C264" s="1452" t="s">
        <v>2279</v>
      </c>
      <c r="D264" s="1452"/>
      <c r="E264" s="702" t="str">
        <f>IF(OR($G259="Fee",$G259="N/A"),"N/A",INDEX(Sources!$C$35:$N$55,MATCH(Loans!$C259,Sources!$C$35:$C$55,0),MATCH("Simple or Compound Interest?",Sources!$C$35:$N$35,0)))</f>
        <v>N/A</v>
      </c>
      <c r="F264" s="74"/>
      <c r="G264" s="424" t="s">
        <v>2263</v>
      </c>
      <c r="H264" s="424"/>
      <c r="I264" s="703" t="str">
        <f>IF(OR($G259="Loan",$G259="N/A"),"N/A",INDEX(Sources!$D$67:$H$82,MATCH(Loans!$C259,Sources!$D$67:$D$82,0),MATCH("Split of Cash Flow",Sources!$D$67:$H$67,0)))</f>
        <v>N/A</v>
      </c>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row>
    <row r="265" spans="3:34" x14ac:dyDescent="0.2">
      <c r="C265" s="1452" t="s">
        <v>2257</v>
      </c>
      <c r="D265" s="1452"/>
      <c r="E265" s="420" t="str">
        <f>IF(OR($G259="Fee",$G259="N/A"),"N/A",INDEX(Sources!$C$35:$K$55,MATCH(Loans!$C259,Sources!$C$35:$C$55,0),MATCH("Term (Years)",Sources!$C$35:$N$35,0)))</f>
        <v>N/A</v>
      </c>
      <c r="F265" s="74"/>
      <c r="G265" s="1454" t="s">
        <v>2281</v>
      </c>
      <c r="H265" s="1454"/>
      <c r="I265" s="703" t="str">
        <f>IF(OR($G259="Loan",$G259="N/A"),"N/A",INDEX(OpBudget!$C$159:$K$165,MATCH(Loans!$C259,OpBudget!$C$159:$C$165,0),MATCH("Accrue Unpaid Fee?",OpBudget!$C$159:$K$159,0)))</f>
        <v>N/A</v>
      </c>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row>
    <row r="266" spans="3:34" x14ac:dyDescent="0.2">
      <c r="C266" s="1452" t="s">
        <v>2284</v>
      </c>
      <c r="D266" s="1452"/>
      <c r="E266" s="420" t="str">
        <f>IF(OR($G259="Fee",$G259="N/A"),"N/A",INDEX(Sources!$D$67:$O$82,MATCH(Loans!$C259,Sources!$D$67:$D$82,0),MATCH("Beginning Payment Year",Sources!$D$67:$O$67,0)))</f>
        <v>N/A</v>
      </c>
      <c r="F266" s="74"/>
      <c r="G266" s="1454" t="s">
        <v>2293</v>
      </c>
      <c r="H266" s="1454"/>
      <c r="I266" s="705" t="str">
        <f>IF(OR($G259="Loan",$G259="N/A"),"N/A",IF(INDEX(OpBudget!$C$159:$K$165,MATCH(Loans!$C259,OpBudget!$C$159:$C$165,0),MATCH("Fee Cap (if applicable)",OpBudget!$C$159:$K$159,0))=0,"N/A",INDEX(OpBudget!$C$159:$K$165,MATCH(Loans!$C259,OpBudget!$C$159:$C$165,0),MATCH("Fee Cap (if applicable)",OpBudget!$C$159:$K$159,0))))</f>
        <v>N/A</v>
      </c>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row>
    <row r="267" spans="3:34" x14ac:dyDescent="0.2">
      <c r="C267" s="1452" t="s">
        <v>2267</v>
      </c>
      <c r="D267" s="1452"/>
      <c r="E267" s="703" t="str">
        <f>IF(OR($G259="Fee",$G259="N/A"),"N/A",INDEX(Sources!$D$67:$O$82,MATCH(Loans!$C259,Sources!$D$67:$D$82,0),MATCH("Split of Cash Flow",Sources!$D$67:$O$67,0)))</f>
        <v>N/A</v>
      </c>
      <c r="F267" s="1455"/>
      <c r="G267" s="1454" t="s">
        <v>2292</v>
      </c>
      <c r="H267" s="1454"/>
      <c r="I267" s="420" t="str">
        <f>IF(OR($G259="Loan",$G259="N/A"),"N/A",INDEX(OpBudget!$C$159:$K$165,MATCH(Loans!$C259,OpBudget!$C$159:$C$165,0),MATCH("Number of Years Fee Exists",OpBudget!$C$159:$K$159,0)))</f>
        <v>N/A</v>
      </c>
      <c r="J267" s="74"/>
      <c r="K267" s="74"/>
      <c r="L267" s="74" t="s">
        <v>2278</v>
      </c>
      <c r="M267" s="74"/>
      <c r="N267" s="74"/>
      <c r="O267" s="74"/>
      <c r="P267" s="74"/>
      <c r="Q267" s="74"/>
      <c r="R267" s="74"/>
      <c r="S267" s="74"/>
      <c r="T267" s="74"/>
      <c r="U267" s="74"/>
      <c r="V267" s="74"/>
      <c r="W267" s="74"/>
      <c r="X267" s="74"/>
      <c r="Y267" s="74"/>
      <c r="Z267" s="74"/>
      <c r="AA267" s="74"/>
      <c r="AB267" s="74"/>
      <c r="AC267" s="74"/>
      <c r="AD267" s="74"/>
      <c r="AE267" s="74"/>
      <c r="AF267" s="74"/>
      <c r="AG267" s="74"/>
      <c r="AH267" s="74"/>
    </row>
    <row r="268" spans="3:34" x14ac:dyDescent="0.2">
      <c r="C268" s="1452" t="s">
        <v>2289</v>
      </c>
      <c r="D268" s="1452"/>
      <c r="E268" s="704" t="str">
        <f>IF(OR($G259="Fee",$G259="N/A"),"N/A",INDEX(Sources!$D$67:$O$82,MATCH(Loans!$C259,Sources!$D$67:$D$82,0),MATCH("Pari Passu?",Sources!$D$67:$O$67,0)))</f>
        <v>N/A</v>
      </c>
      <c r="F268" s="1455"/>
      <c r="G268" s="424"/>
      <c r="H268" s="424"/>
      <c r="I268" s="526"/>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row>
    <row r="269" spans="3:34" x14ac:dyDescent="0.2">
      <c r="C269" s="1452" t="s">
        <v>2295</v>
      </c>
      <c r="D269" s="1452"/>
      <c r="E269" s="703" t="str">
        <f>IF(OR($G259="Fee",$G259="N/A"),"N/A",INDEX(Sources!$D$67:$O$82,MATCH(Loans!$C259,Sources!$D$67:$D$82,0),MATCH("Shared Position Split of Cash Flow",Sources!$D$67:$O$67,0)))</f>
        <v>N/A</v>
      </c>
      <c r="F269" s="532"/>
      <c r="G269" s="424"/>
      <c r="H269" s="424"/>
      <c r="I269" s="526"/>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row>
    <row r="270" spans="3:34" x14ac:dyDescent="0.2">
      <c r="C270" s="1452" t="s">
        <v>2291</v>
      </c>
      <c r="D270" s="1452"/>
      <c r="E270" s="704" t="str">
        <f>IF(OR($G259="Fee",$G259="N/A"),"N/A",INDEX(Sources!$D$67:$O$82,MATCH(Loans!$C259,Sources!$D$67:$D$82,0),MATCH("Deferred Loan?",Sources!$D$67:$O$67,0)))</f>
        <v>N/A</v>
      </c>
      <c r="F270" s="74"/>
      <c r="G270" s="424"/>
      <c r="H270" s="424"/>
      <c r="I270" s="526"/>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row>
    <row r="271" spans="3:34" x14ac:dyDescent="0.2">
      <c r="C271" s="1452" t="s">
        <v>2277</v>
      </c>
      <c r="D271" s="1452"/>
      <c r="E271" s="705" t="str">
        <f>IF(OR(E262=0,E262="N/A"),"N/A",INDEX($C273:$AH285,MATCH("Ending Principal Balance",$C273:$C285,0),MATCH($E265,$C273:$AH273,0)))</f>
        <v>N/A</v>
      </c>
      <c r="F271" s="74"/>
      <c r="G271" s="74"/>
      <c r="H271" s="74" t="s">
        <v>2278</v>
      </c>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row>
    <row r="272" spans="3:34" ht="15" x14ac:dyDescent="0.2">
      <c r="C272" s="345"/>
      <c r="D272" s="345"/>
      <c r="E272" s="345"/>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row>
    <row r="273" spans="3:34" ht="15" x14ac:dyDescent="0.2">
      <c r="C273" s="309"/>
      <c r="D273" s="309"/>
      <c r="E273" s="310">
        <v>1</v>
      </c>
      <c r="F273" s="310">
        <f>E273+1</f>
        <v>2</v>
      </c>
      <c r="G273" s="310">
        <f t="shared" ref="G273" si="1344">F273+1</f>
        <v>3</v>
      </c>
      <c r="H273" s="310">
        <f t="shared" ref="H273" si="1345">G273+1</f>
        <v>4</v>
      </c>
      <c r="I273" s="310">
        <f t="shared" ref="I273" si="1346">H273+1</f>
        <v>5</v>
      </c>
      <c r="J273" s="310">
        <f t="shared" ref="J273" si="1347">I273+1</f>
        <v>6</v>
      </c>
      <c r="K273" s="310">
        <f t="shared" ref="K273" si="1348">J273+1</f>
        <v>7</v>
      </c>
      <c r="L273" s="310">
        <f t="shared" ref="L273" si="1349">K273+1</f>
        <v>8</v>
      </c>
      <c r="M273" s="310">
        <f t="shared" ref="M273" si="1350">L273+1</f>
        <v>9</v>
      </c>
      <c r="N273" s="310">
        <f t="shared" ref="N273" si="1351">M273+1</f>
        <v>10</v>
      </c>
      <c r="O273" s="310">
        <f t="shared" ref="O273" si="1352">N273+1</f>
        <v>11</v>
      </c>
      <c r="P273" s="310">
        <f t="shared" ref="P273" si="1353">O273+1</f>
        <v>12</v>
      </c>
      <c r="Q273" s="310">
        <f t="shared" ref="Q273" si="1354">P273+1</f>
        <v>13</v>
      </c>
      <c r="R273" s="310">
        <f t="shared" ref="R273" si="1355">Q273+1</f>
        <v>14</v>
      </c>
      <c r="S273" s="448">
        <f t="shared" ref="S273" si="1356">R273+1</f>
        <v>15</v>
      </c>
      <c r="T273" s="428">
        <f t="shared" ref="T273" si="1357">S273+1</f>
        <v>16</v>
      </c>
      <c r="U273" s="310">
        <f t="shared" ref="U273" si="1358">T273+1</f>
        <v>17</v>
      </c>
      <c r="V273" s="310">
        <f t="shared" ref="V273" si="1359">U273+1</f>
        <v>18</v>
      </c>
      <c r="W273" s="310">
        <f t="shared" ref="W273" si="1360">V273+1</f>
        <v>19</v>
      </c>
      <c r="X273" s="310">
        <f t="shared" ref="X273" si="1361">W273+1</f>
        <v>20</v>
      </c>
      <c r="Y273" s="310">
        <f t="shared" ref="Y273" si="1362">X273+1</f>
        <v>21</v>
      </c>
      <c r="Z273" s="310">
        <f t="shared" ref="Z273" si="1363">Y273+1</f>
        <v>22</v>
      </c>
      <c r="AA273" s="310">
        <f t="shared" ref="AA273" si="1364">Z273+1</f>
        <v>23</v>
      </c>
      <c r="AB273" s="310">
        <f t="shared" ref="AB273" si="1365">AA273+1</f>
        <v>24</v>
      </c>
      <c r="AC273" s="310">
        <f t="shared" ref="AC273" si="1366">AB273+1</f>
        <v>25</v>
      </c>
      <c r="AD273" s="310">
        <f t="shared" ref="AD273" si="1367">AC273+1</f>
        <v>26</v>
      </c>
      <c r="AE273" s="310">
        <f t="shared" ref="AE273" si="1368">AD273+1</f>
        <v>27</v>
      </c>
      <c r="AF273" s="310">
        <f t="shared" ref="AF273" si="1369">AE273+1</f>
        <v>28</v>
      </c>
      <c r="AG273" s="310">
        <f t="shared" ref="AG273" si="1370">AF273+1</f>
        <v>29</v>
      </c>
      <c r="AH273" s="310">
        <f t="shared" ref="AH273" si="1371">AG273+1</f>
        <v>30</v>
      </c>
    </row>
    <row r="274" spans="3:34" ht="15" x14ac:dyDescent="0.2">
      <c r="C274" s="309"/>
      <c r="D274" s="309"/>
      <c r="E274" s="314" t="str">
        <f>IF(Details!$E$171="","",Details!$E$171)</f>
        <v/>
      </c>
      <c r="F274" s="314" t="str">
        <f>IF($E$7="","",E$7+1)</f>
        <v/>
      </c>
      <c r="G274" s="314" t="str">
        <f t="shared" ref="G274" si="1372">IF($E$7="","",F$7+1)</f>
        <v/>
      </c>
      <c r="H274" s="314" t="str">
        <f t="shared" ref="H274" si="1373">IF($E$7="","",G$7+1)</f>
        <v/>
      </c>
      <c r="I274" s="314" t="str">
        <f t="shared" ref="I274" si="1374">IF($E$7="","",H$7+1)</f>
        <v/>
      </c>
      <c r="J274" s="314" t="str">
        <f t="shared" ref="J274" si="1375">IF($E$7="","",I$7+1)</f>
        <v/>
      </c>
      <c r="K274" s="314" t="str">
        <f t="shared" ref="K274" si="1376">IF($E$7="","",J$7+1)</f>
        <v/>
      </c>
      <c r="L274" s="314" t="str">
        <f t="shared" ref="L274" si="1377">IF($E$7="","",K$7+1)</f>
        <v/>
      </c>
      <c r="M274" s="314" t="str">
        <f t="shared" ref="M274" si="1378">IF($E$7="","",L$7+1)</f>
        <v/>
      </c>
      <c r="N274" s="314" t="str">
        <f t="shared" ref="N274" si="1379">IF($E$7="","",M$7+1)</f>
        <v/>
      </c>
      <c r="O274" s="314" t="str">
        <f t="shared" ref="O274" si="1380">IF($E$7="","",N$7+1)</f>
        <v/>
      </c>
      <c r="P274" s="314" t="str">
        <f t="shared" ref="P274" si="1381">IF($E$7="","",O$7+1)</f>
        <v/>
      </c>
      <c r="Q274" s="314" t="str">
        <f t="shared" ref="Q274" si="1382">IF($E$7="","",P$7+1)</f>
        <v/>
      </c>
      <c r="R274" s="314" t="str">
        <f t="shared" ref="R274" si="1383">IF($E$7="","",Q$7+1)</f>
        <v/>
      </c>
      <c r="S274" s="440" t="str">
        <f t="shared" ref="S274" si="1384">IF($E$7="","",R$7+1)</f>
        <v/>
      </c>
      <c r="T274" s="433" t="str">
        <f t="shared" ref="T274" si="1385">IF($E$7="","",S$7+1)</f>
        <v/>
      </c>
      <c r="U274" s="314" t="str">
        <f t="shared" ref="U274" si="1386">IF($E$7="","",T$7+1)</f>
        <v/>
      </c>
      <c r="V274" s="314" t="str">
        <f t="shared" ref="V274" si="1387">IF($E$7="","",U$7+1)</f>
        <v/>
      </c>
      <c r="W274" s="314" t="str">
        <f t="shared" ref="W274" si="1388">IF($E$7="","",V$7+1)</f>
        <v/>
      </c>
      <c r="X274" s="314" t="str">
        <f t="shared" ref="X274" si="1389">IF($E$7="","",W$7+1)</f>
        <v/>
      </c>
      <c r="Y274" s="314" t="str">
        <f t="shared" ref="Y274" si="1390">IF($E$7="","",X$7+1)</f>
        <v/>
      </c>
      <c r="Z274" s="314" t="str">
        <f t="shared" ref="Z274" si="1391">IF($E$7="","",Y$7+1)</f>
        <v/>
      </c>
      <c r="AA274" s="314" t="str">
        <f t="shared" ref="AA274" si="1392">IF($E$7="","",Z$7+1)</f>
        <v/>
      </c>
      <c r="AB274" s="314" t="str">
        <f t="shared" ref="AB274" si="1393">IF($E$7="","",AA$7+1)</f>
        <v/>
      </c>
      <c r="AC274" s="314" t="str">
        <f t="shared" ref="AC274" si="1394">IF($E$7="","",AB$7+1)</f>
        <v/>
      </c>
      <c r="AD274" s="314" t="str">
        <f t="shared" ref="AD274" si="1395">IF($E$7="","",AC$7+1)</f>
        <v/>
      </c>
      <c r="AE274" s="314" t="str">
        <f t="shared" ref="AE274" si="1396">IF($E$7="","",AD$7+1)</f>
        <v/>
      </c>
      <c r="AF274" s="314" t="str">
        <f t="shared" ref="AF274" si="1397">IF($E$7="","",AE$7+1)</f>
        <v/>
      </c>
      <c r="AG274" s="314" t="str">
        <f t="shared" ref="AG274" si="1398">IF($E$7="","",AF$7+1)</f>
        <v/>
      </c>
      <c r="AH274" s="314" t="str">
        <f t="shared" ref="AH274" si="1399">IF($E$7="","",AG$7+1)</f>
        <v/>
      </c>
    </row>
    <row r="275" spans="3:34" x14ac:dyDescent="0.2">
      <c r="C275" s="1168" t="s">
        <v>2254</v>
      </c>
      <c r="D275" s="1169"/>
      <c r="E275" s="109">
        <f>E240-E249-E253</f>
        <v>0</v>
      </c>
      <c r="F275" s="109">
        <f t="shared" ref="F275:AH275" si="1400">F240-F249-F253</f>
        <v>0</v>
      </c>
      <c r="G275" s="109">
        <f t="shared" si="1400"/>
        <v>0</v>
      </c>
      <c r="H275" s="109">
        <f t="shared" si="1400"/>
        <v>0</v>
      </c>
      <c r="I275" s="109">
        <f t="shared" si="1400"/>
        <v>0</v>
      </c>
      <c r="J275" s="109">
        <f t="shared" si="1400"/>
        <v>0</v>
      </c>
      <c r="K275" s="109">
        <f t="shared" si="1400"/>
        <v>0</v>
      </c>
      <c r="L275" s="109">
        <f t="shared" si="1400"/>
        <v>0</v>
      </c>
      <c r="M275" s="109">
        <f t="shared" si="1400"/>
        <v>0</v>
      </c>
      <c r="N275" s="109">
        <f t="shared" si="1400"/>
        <v>0</v>
      </c>
      <c r="O275" s="109">
        <f t="shared" si="1400"/>
        <v>0</v>
      </c>
      <c r="P275" s="109">
        <f t="shared" si="1400"/>
        <v>0</v>
      </c>
      <c r="Q275" s="109">
        <f t="shared" si="1400"/>
        <v>0</v>
      </c>
      <c r="R275" s="109">
        <f t="shared" si="1400"/>
        <v>0</v>
      </c>
      <c r="S275" s="331">
        <f t="shared" si="1400"/>
        <v>0</v>
      </c>
      <c r="T275" s="228">
        <f t="shared" si="1400"/>
        <v>0</v>
      </c>
      <c r="U275" s="109">
        <f t="shared" si="1400"/>
        <v>0</v>
      </c>
      <c r="V275" s="109">
        <f t="shared" si="1400"/>
        <v>0</v>
      </c>
      <c r="W275" s="109">
        <f t="shared" si="1400"/>
        <v>0</v>
      </c>
      <c r="X275" s="109">
        <f t="shared" si="1400"/>
        <v>0</v>
      </c>
      <c r="Y275" s="109">
        <f t="shared" si="1400"/>
        <v>0</v>
      </c>
      <c r="Z275" s="109">
        <f t="shared" si="1400"/>
        <v>0</v>
      </c>
      <c r="AA275" s="109">
        <f t="shared" si="1400"/>
        <v>0</v>
      </c>
      <c r="AB275" s="109">
        <f t="shared" si="1400"/>
        <v>0</v>
      </c>
      <c r="AC275" s="109">
        <f t="shared" si="1400"/>
        <v>0</v>
      </c>
      <c r="AD275" s="109">
        <f t="shared" si="1400"/>
        <v>0</v>
      </c>
      <c r="AE275" s="109">
        <f t="shared" si="1400"/>
        <v>0</v>
      </c>
      <c r="AF275" s="109">
        <f t="shared" si="1400"/>
        <v>0</v>
      </c>
      <c r="AG275" s="109">
        <f t="shared" si="1400"/>
        <v>0</v>
      </c>
      <c r="AH275" s="109">
        <f t="shared" si="1400"/>
        <v>0</v>
      </c>
    </row>
    <row r="276" spans="3:34" ht="15" x14ac:dyDescent="0.2">
      <c r="C276" s="345"/>
      <c r="D276" s="345"/>
      <c r="E276" s="345"/>
      <c r="F276" s="74"/>
      <c r="G276" s="74"/>
      <c r="H276" s="74"/>
      <c r="I276" s="74"/>
      <c r="J276" s="74"/>
      <c r="K276" s="74"/>
      <c r="L276" s="74"/>
      <c r="M276" s="74"/>
      <c r="N276" s="74"/>
      <c r="O276" s="74"/>
      <c r="P276" s="74"/>
      <c r="Q276" s="74"/>
      <c r="R276" s="74"/>
      <c r="S276" s="333"/>
      <c r="T276" s="74"/>
      <c r="U276" s="74"/>
      <c r="V276" s="74"/>
      <c r="W276" s="74"/>
      <c r="X276" s="74"/>
      <c r="Y276" s="74"/>
      <c r="Z276" s="74"/>
      <c r="AA276" s="74"/>
      <c r="AB276" s="74"/>
      <c r="AC276" s="74"/>
      <c r="AD276" s="74"/>
      <c r="AE276" s="74"/>
      <c r="AF276" s="74"/>
      <c r="AG276" s="74"/>
      <c r="AH276" s="74"/>
    </row>
    <row r="277" spans="3:34" ht="15" x14ac:dyDescent="0.2">
      <c r="C277" s="432" t="s">
        <v>2286</v>
      </c>
      <c r="D277" s="345"/>
      <c r="E277" s="345"/>
      <c r="F277" s="74"/>
      <c r="G277" s="74"/>
      <c r="H277" s="74"/>
      <c r="I277" s="74"/>
      <c r="J277" s="74"/>
      <c r="K277" s="74"/>
      <c r="L277" s="74"/>
      <c r="M277" s="74"/>
      <c r="N277" s="74"/>
      <c r="O277" s="74"/>
      <c r="P277" s="74"/>
      <c r="Q277" s="74"/>
      <c r="R277" s="74"/>
      <c r="S277" s="333"/>
      <c r="T277" s="74"/>
      <c r="U277" s="74"/>
      <c r="V277" s="74"/>
      <c r="W277" s="74"/>
      <c r="X277" s="74"/>
      <c r="Y277" s="74"/>
      <c r="Z277" s="74"/>
      <c r="AA277" s="74"/>
      <c r="AB277" s="74"/>
      <c r="AC277" s="74"/>
      <c r="AD277" s="74"/>
      <c r="AE277" s="74"/>
      <c r="AF277" s="74"/>
      <c r="AG277" s="74"/>
      <c r="AH277" s="74"/>
    </row>
    <row r="278" spans="3:34" ht="15" thickBot="1" x14ac:dyDescent="0.25">
      <c r="C278" s="1453" t="s">
        <v>2285</v>
      </c>
      <c r="D278" s="1453"/>
      <c r="E278" s="423">
        <f>IF(OR($E262="N/A",$E262=0),0,IF($E268="Yes",(E275*$E267*$E269),E275*$E267))</f>
        <v>0</v>
      </c>
      <c r="F278" s="423">
        <f t="shared" ref="F278:AH278" si="1401">IF(OR($E262="N/A",$E262=0),0,IF($E268="Yes",(F275*$E267*$E269),F275*$E267))</f>
        <v>0</v>
      </c>
      <c r="G278" s="423">
        <f t="shared" si="1401"/>
        <v>0</v>
      </c>
      <c r="H278" s="423">
        <f t="shared" si="1401"/>
        <v>0</v>
      </c>
      <c r="I278" s="423">
        <f t="shared" si="1401"/>
        <v>0</v>
      </c>
      <c r="J278" s="423">
        <f t="shared" si="1401"/>
        <v>0</v>
      </c>
      <c r="K278" s="423">
        <f t="shared" si="1401"/>
        <v>0</v>
      </c>
      <c r="L278" s="423">
        <f t="shared" si="1401"/>
        <v>0</v>
      </c>
      <c r="M278" s="423">
        <f t="shared" si="1401"/>
        <v>0</v>
      </c>
      <c r="N278" s="423">
        <f t="shared" si="1401"/>
        <v>0</v>
      </c>
      <c r="O278" s="423">
        <f t="shared" si="1401"/>
        <v>0</v>
      </c>
      <c r="P278" s="423">
        <f t="shared" si="1401"/>
        <v>0</v>
      </c>
      <c r="Q278" s="423">
        <f t="shared" si="1401"/>
        <v>0</v>
      </c>
      <c r="R278" s="423">
        <f t="shared" si="1401"/>
        <v>0</v>
      </c>
      <c r="S278" s="441">
        <f t="shared" si="1401"/>
        <v>0</v>
      </c>
      <c r="T278" s="434">
        <f t="shared" si="1401"/>
        <v>0</v>
      </c>
      <c r="U278" s="423">
        <f t="shared" si="1401"/>
        <v>0</v>
      </c>
      <c r="V278" s="423">
        <f t="shared" si="1401"/>
        <v>0</v>
      </c>
      <c r="W278" s="423">
        <f t="shared" si="1401"/>
        <v>0</v>
      </c>
      <c r="X278" s="423">
        <f t="shared" si="1401"/>
        <v>0</v>
      </c>
      <c r="Y278" s="423">
        <f t="shared" si="1401"/>
        <v>0</v>
      </c>
      <c r="Z278" s="423">
        <f t="shared" si="1401"/>
        <v>0</v>
      </c>
      <c r="AA278" s="423">
        <f t="shared" si="1401"/>
        <v>0</v>
      </c>
      <c r="AB278" s="423">
        <f t="shared" si="1401"/>
        <v>0</v>
      </c>
      <c r="AC278" s="423">
        <f t="shared" si="1401"/>
        <v>0</v>
      </c>
      <c r="AD278" s="423">
        <f t="shared" si="1401"/>
        <v>0</v>
      </c>
      <c r="AE278" s="423">
        <f t="shared" si="1401"/>
        <v>0</v>
      </c>
      <c r="AF278" s="423">
        <f t="shared" si="1401"/>
        <v>0</v>
      </c>
      <c r="AG278" s="423">
        <f t="shared" si="1401"/>
        <v>0</v>
      </c>
      <c r="AH278" s="423">
        <f t="shared" si="1401"/>
        <v>0</v>
      </c>
    </row>
    <row r="279" spans="3:34" ht="15" thickTop="1" x14ac:dyDescent="0.2">
      <c r="C279" s="1449" t="s">
        <v>2189</v>
      </c>
      <c r="D279" s="1449"/>
      <c r="E279" s="316">
        <f>IF(OR($E262="N/A",E273&gt;$E265,E273&lt;$E266),0,MAX(0,E262))</f>
        <v>0</v>
      </c>
      <c r="F279" s="316">
        <f t="shared" ref="F279" si="1402">IF(OR($E262="N/A",F273&gt;$E265),0,IF(F273=$E266,$E262,MAX(E285,0)))</f>
        <v>0</v>
      </c>
      <c r="G279" s="316">
        <f t="shared" ref="G279" si="1403">IF(OR($E262="N/A",G273&gt;$E265),0,IF(G273=$E266,$E262,MAX(F285,0)))</f>
        <v>0</v>
      </c>
      <c r="H279" s="316">
        <f t="shared" ref="H279" si="1404">IF(OR($E262="N/A",H273&gt;$E265),0,IF(H273=$E266,$E262,MAX(G285,0)))</f>
        <v>0</v>
      </c>
      <c r="I279" s="316">
        <f t="shared" ref="I279" si="1405">IF(OR($E262="N/A",I273&gt;$E265),0,IF(I273=$E266,$E262,MAX(H285,0)))</f>
        <v>0</v>
      </c>
      <c r="J279" s="316">
        <f t="shared" ref="J279" si="1406">IF(OR($E262="N/A",J273&gt;$E265),0,IF(J273=$E266,$E262,MAX(I285,0)))</f>
        <v>0</v>
      </c>
      <c r="K279" s="316">
        <f t="shared" ref="K279" si="1407">IF(OR($E262="N/A",K273&gt;$E265),0,IF(K273=$E266,$E262,MAX(J285,0)))</f>
        <v>0</v>
      </c>
      <c r="L279" s="316">
        <f t="shared" ref="L279" si="1408">IF(OR($E262="N/A",L273&gt;$E265),0,IF(L273=$E266,$E262,MAX(K285,0)))</f>
        <v>0</v>
      </c>
      <c r="M279" s="316">
        <f t="shared" ref="M279" si="1409">IF(OR($E262="N/A",M273&gt;$E265),0,IF(M273=$E266,$E262,MAX(L285,0)))</f>
        <v>0</v>
      </c>
      <c r="N279" s="316">
        <f t="shared" ref="N279" si="1410">IF(OR($E262="N/A",N273&gt;$E265),0,IF(N273=$E266,$E262,MAX(M285,0)))</f>
        <v>0</v>
      </c>
      <c r="O279" s="316">
        <f t="shared" ref="O279" si="1411">IF(OR($E262="N/A",O273&gt;$E265),0,IF(O273=$E266,$E262,MAX(N285,0)))</f>
        <v>0</v>
      </c>
      <c r="P279" s="316">
        <f t="shared" ref="P279" si="1412">IF(OR($E262="N/A",P273&gt;$E265),0,IF(P273=$E266,$E262,MAX(O285,0)))</f>
        <v>0</v>
      </c>
      <c r="Q279" s="316">
        <f t="shared" ref="Q279" si="1413">IF(OR($E262="N/A",Q273&gt;$E265),0,IF(Q273=$E266,$E262,MAX(P285,0)))</f>
        <v>0</v>
      </c>
      <c r="R279" s="316">
        <f t="shared" ref="R279" si="1414">IF(OR($E262="N/A",R273&gt;$E265),0,IF(R273=$E266,$E262,MAX(Q285,0)))</f>
        <v>0</v>
      </c>
      <c r="S279" s="332">
        <f t="shared" ref="S279" si="1415">IF(OR($E262="N/A",S273&gt;$E265),0,IF(S273=$E266,$E262,MAX(R285,0)))</f>
        <v>0</v>
      </c>
      <c r="T279" s="429">
        <f t="shared" ref="T279" si="1416">IF(OR($E262="N/A",T273&gt;$E265),0,IF(T273=$E266,$E262,MAX(S285,0)))</f>
        <v>0</v>
      </c>
      <c r="U279" s="316">
        <f t="shared" ref="U279" si="1417">IF(OR($E262="N/A",U273&gt;$E265),0,IF(U273=$E266,$E262,MAX(T285,0)))</f>
        <v>0</v>
      </c>
      <c r="V279" s="316">
        <f t="shared" ref="V279" si="1418">IF(OR($E262="N/A",V273&gt;$E265),0,IF(V273=$E266,$E262,MAX(U285,0)))</f>
        <v>0</v>
      </c>
      <c r="W279" s="316">
        <f t="shared" ref="W279" si="1419">IF(OR($E262="N/A",W273&gt;$E265),0,IF(W273=$E266,$E262,MAX(V285,0)))</f>
        <v>0</v>
      </c>
      <c r="X279" s="316">
        <f t="shared" ref="X279" si="1420">IF(OR($E262="N/A",X273&gt;$E265),0,IF(X273=$E266,$E262,MAX(W285,0)))</f>
        <v>0</v>
      </c>
      <c r="Y279" s="316">
        <f t="shared" ref="Y279" si="1421">IF(OR($E262="N/A",Y273&gt;$E265),0,IF(Y273=$E266,$E262,MAX(X285,0)))</f>
        <v>0</v>
      </c>
      <c r="Z279" s="316">
        <f t="shared" ref="Z279" si="1422">IF(OR($E262="N/A",Z273&gt;$E265),0,IF(Z273=$E266,$E262,MAX(Y285,0)))</f>
        <v>0</v>
      </c>
      <c r="AA279" s="316">
        <f t="shared" ref="AA279" si="1423">IF(OR($E262="N/A",AA273&gt;$E265),0,IF(AA273=$E266,$E262,MAX(Z285,0)))</f>
        <v>0</v>
      </c>
      <c r="AB279" s="316">
        <f t="shared" ref="AB279" si="1424">IF(OR($E262="N/A",AB273&gt;$E265),0,IF(AB273=$E266,$E262,MAX(AA285,0)))</f>
        <v>0</v>
      </c>
      <c r="AC279" s="316">
        <f t="shared" ref="AC279" si="1425">IF(OR($E262="N/A",AC273&gt;$E265),0,IF(AC273=$E266,$E262,MAX(AB285,0)))</f>
        <v>0</v>
      </c>
      <c r="AD279" s="316">
        <f t="shared" ref="AD279" si="1426">IF(OR($E262="N/A",AD273&gt;$E265),0,IF(AD273=$E266,$E262,MAX(AC285,0)))</f>
        <v>0</v>
      </c>
      <c r="AE279" s="316">
        <f t="shared" ref="AE279" si="1427">IF(OR($E262="N/A",AE273&gt;$E265),0,IF(AE273=$E266,$E262,MAX(AD285,0)))</f>
        <v>0</v>
      </c>
      <c r="AF279" s="316">
        <f t="shared" ref="AF279" si="1428">IF(OR($E262="N/A",AF273&gt;$E265),0,IF(AF273=$E266,$E262,MAX(AE285,0)))</f>
        <v>0</v>
      </c>
      <c r="AG279" s="316">
        <f t="shared" ref="AG279" si="1429">IF(OR($E262="N/A",AG273&gt;$E265),0,IF(AG273=$E266,$E262,MAX(AF285,0)))</f>
        <v>0</v>
      </c>
      <c r="AH279" s="316">
        <f t="shared" ref="AH279" si="1430">IF(OR($E262="N/A",AH273&gt;$E265),0,IF(AH273=$E266,$E262,MAX(AG285,0)))</f>
        <v>0</v>
      </c>
    </row>
    <row r="280" spans="3:34" x14ac:dyDescent="0.2">
      <c r="C280" s="1181" t="s">
        <v>2186</v>
      </c>
      <c r="D280" s="1181"/>
      <c r="E280" s="109">
        <f t="shared" ref="E280:AH280" si="1431">IF(OR($E262="N/A",E273&gt;$E265,E273&lt;$E266),0,E279*$E263)</f>
        <v>0</v>
      </c>
      <c r="F280" s="109">
        <f t="shared" si="1431"/>
        <v>0</v>
      </c>
      <c r="G280" s="109">
        <f t="shared" si="1431"/>
        <v>0</v>
      </c>
      <c r="H280" s="109">
        <f t="shared" si="1431"/>
        <v>0</v>
      </c>
      <c r="I280" s="109">
        <f t="shared" si="1431"/>
        <v>0</v>
      </c>
      <c r="J280" s="109">
        <f t="shared" si="1431"/>
        <v>0</v>
      </c>
      <c r="K280" s="109">
        <f t="shared" si="1431"/>
        <v>0</v>
      </c>
      <c r="L280" s="109">
        <f t="shared" si="1431"/>
        <v>0</v>
      </c>
      <c r="M280" s="109">
        <f t="shared" si="1431"/>
        <v>0</v>
      </c>
      <c r="N280" s="109">
        <f t="shared" si="1431"/>
        <v>0</v>
      </c>
      <c r="O280" s="109">
        <f t="shared" si="1431"/>
        <v>0</v>
      </c>
      <c r="P280" s="109">
        <f t="shared" si="1431"/>
        <v>0</v>
      </c>
      <c r="Q280" s="109">
        <f t="shared" si="1431"/>
        <v>0</v>
      </c>
      <c r="R280" s="109">
        <f t="shared" si="1431"/>
        <v>0</v>
      </c>
      <c r="S280" s="331">
        <f t="shared" si="1431"/>
        <v>0</v>
      </c>
      <c r="T280" s="228">
        <f t="shared" si="1431"/>
        <v>0</v>
      </c>
      <c r="U280" s="109">
        <f t="shared" si="1431"/>
        <v>0</v>
      </c>
      <c r="V280" s="109">
        <f t="shared" si="1431"/>
        <v>0</v>
      </c>
      <c r="W280" s="109">
        <f t="shared" si="1431"/>
        <v>0</v>
      </c>
      <c r="X280" s="109">
        <f t="shared" si="1431"/>
        <v>0</v>
      </c>
      <c r="Y280" s="109">
        <f t="shared" si="1431"/>
        <v>0</v>
      </c>
      <c r="Z280" s="109">
        <f t="shared" si="1431"/>
        <v>0</v>
      </c>
      <c r="AA280" s="109">
        <f t="shared" si="1431"/>
        <v>0</v>
      </c>
      <c r="AB280" s="109">
        <f t="shared" si="1431"/>
        <v>0</v>
      </c>
      <c r="AC280" s="109">
        <f t="shared" si="1431"/>
        <v>0</v>
      </c>
      <c r="AD280" s="109">
        <f t="shared" si="1431"/>
        <v>0</v>
      </c>
      <c r="AE280" s="109">
        <f t="shared" si="1431"/>
        <v>0</v>
      </c>
      <c r="AF280" s="109">
        <f t="shared" si="1431"/>
        <v>0</v>
      </c>
      <c r="AG280" s="109">
        <f t="shared" si="1431"/>
        <v>0</v>
      </c>
      <c r="AH280" s="109">
        <f t="shared" si="1431"/>
        <v>0</v>
      </c>
    </row>
    <row r="281" spans="3:34" x14ac:dyDescent="0.2">
      <c r="C281" s="1181" t="s">
        <v>2270</v>
      </c>
      <c r="D281" s="1181"/>
      <c r="E281" s="346">
        <f t="shared" ref="E281:AH281" si="1432">IF(OR($E262="N/A",E273&gt;$E265,E273&lt;$E266),0,MAX(0,MIN(E280,E278)))</f>
        <v>0</v>
      </c>
      <c r="F281" s="346">
        <f t="shared" si="1432"/>
        <v>0</v>
      </c>
      <c r="G281" s="346">
        <f t="shared" si="1432"/>
        <v>0</v>
      </c>
      <c r="H281" s="346">
        <f t="shared" si="1432"/>
        <v>0</v>
      </c>
      <c r="I281" s="346">
        <f t="shared" si="1432"/>
        <v>0</v>
      </c>
      <c r="J281" s="346">
        <f t="shared" si="1432"/>
        <v>0</v>
      </c>
      <c r="K281" s="346">
        <f t="shared" si="1432"/>
        <v>0</v>
      </c>
      <c r="L281" s="346">
        <f t="shared" si="1432"/>
        <v>0</v>
      </c>
      <c r="M281" s="346">
        <f t="shared" si="1432"/>
        <v>0</v>
      </c>
      <c r="N281" s="346">
        <f t="shared" si="1432"/>
        <v>0</v>
      </c>
      <c r="O281" s="346">
        <f t="shared" si="1432"/>
        <v>0</v>
      </c>
      <c r="P281" s="346">
        <f t="shared" si="1432"/>
        <v>0</v>
      </c>
      <c r="Q281" s="346">
        <f t="shared" si="1432"/>
        <v>0</v>
      </c>
      <c r="R281" s="346">
        <f t="shared" si="1432"/>
        <v>0</v>
      </c>
      <c r="S281" s="442">
        <f t="shared" si="1432"/>
        <v>0</v>
      </c>
      <c r="T281" s="435">
        <f t="shared" si="1432"/>
        <v>0</v>
      </c>
      <c r="U281" s="346">
        <f t="shared" si="1432"/>
        <v>0</v>
      </c>
      <c r="V281" s="346">
        <f t="shared" si="1432"/>
        <v>0</v>
      </c>
      <c r="W281" s="346">
        <f t="shared" si="1432"/>
        <v>0</v>
      </c>
      <c r="X281" s="346">
        <f t="shared" si="1432"/>
        <v>0</v>
      </c>
      <c r="Y281" s="346">
        <f t="shared" si="1432"/>
        <v>0</v>
      </c>
      <c r="Z281" s="346">
        <f t="shared" si="1432"/>
        <v>0</v>
      </c>
      <c r="AA281" s="346">
        <f t="shared" si="1432"/>
        <v>0</v>
      </c>
      <c r="AB281" s="346">
        <f t="shared" si="1432"/>
        <v>0</v>
      </c>
      <c r="AC281" s="346">
        <f t="shared" si="1432"/>
        <v>0</v>
      </c>
      <c r="AD281" s="346">
        <f t="shared" si="1432"/>
        <v>0</v>
      </c>
      <c r="AE281" s="346">
        <f t="shared" si="1432"/>
        <v>0</v>
      </c>
      <c r="AF281" s="346">
        <f t="shared" si="1432"/>
        <v>0</v>
      </c>
      <c r="AG281" s="346">
        <f t="shared" si="1432"/>
        <v>0</v>
      </c>
      <c r="AH281" s="346">
        <f t="shared" si="1432"/>
        <v>0</v>
      </c>
    </row>
    <row r="282" spans="3:34" x14ac:dyDescent="0.2">
      <c r="C282" s="1181" t="s">
        <v>2271</v>
      </c>
      <c r="D282" s="1181"/>
      <c r="E282" s="346">
        <f t="shared" ref="E282:AH282" si="1433">IF(OR($E262="N/A",E273&gt;$E265,E273&lt;$E266),0,E281-E280)</f>
        <v>0</v>
      </c>
      <c r="F282" s="346">
        <f t="shared" si="1433"/>
        <v>0</v>
      </c>
      <c r="G282" s="346">
        <f t="shared" si="1433"/>
        <v>0</v>
      </c>
      <c r="H282" s="346">
        <f t="shared" si="1433"/>
        <v>0</v>
      </c>
      <c r="I282" s="346">
        <f t="shared" si="1433"/>
        <v>0</v>
      </c>
      <c r="J282" s="346">
        <f t="shared" si="1433"/>
        <v>0</v>
      </c>
      <c r="K282" s="346">
        <f t="shared" si="1433"/>
        <v>0</v>
      </c>
      <c r="L282" s="346">
        <f t="shared" si="1433"/>
        <v>0</v>
      </c>
      <c r="M282" s="346">
        <f t="shared" si="1433"/>
        <v>0</v>
      </c>
      <c r="N282" s="346">
        <f t="shared" si="1433"/>
        <v>0</v>
      </c>
      <c r="O282" s="346">
        <f t="shared" si="1433"/>
        <v>0</v>
      </c>
      <c r="P282" s="346">
        <f t="shared" si="1433"/>
        <v>0</v>
      </c>
      <c r="Q282" s="346">
        <f t="shared" si="1433"/>
        <v>0</v>
      </c>
      <c r="R282" s="346">
        <f t="shared" si="1433"/>
        <v>0</v>
      </c>
      <c r="S282" s="442">
        <f t="shared" si="1433"/>
        <v>0</v>
      </c>
      <c r="T282" s="435">
        <f t="shared" si="1433"/>
        <v>0</v>
      </c>
      <c r="U282" s="346">
        <f t="shared" si="1433"/>
        <v>0</v>
      </c>
      <c r="V282" s="346">
        <f t="shared" si="1433"/>
        <v>0</v>
      </c>
      <c r="W282" s="346">
        <f t="shared" si="1433"/>
        <v>0</v>
      </c>
      <c r="X282" s="346">
        <f t="shared" si="1433"/>
        <v>0</v>
      </c>
      <c r="Y282" s="346">
        <f t="shared" si="1433"/>
        <v>0</v>
      </c>
      <c r="Z282" s="346">
        <f t="shared" si="1433"/>
        <v>0</v>
      </c>
      <c r="AA282" s="346">
        <f t="shared" si="1433"/>
        <v>0</v>
      </c>
      <c r="AB282" s="346">
        <f t="shared" si="1433"/>
        <v>0</v>
      </c>
      <c r="AC282" s="346">
        <f t="shared" si="1433"/>
        <v>0</v>
      </c>
      <c r="AD282" s="346">
        <f t="shared" si="1433"/>
        <v>0</v>
      </c>
      <c r="AE282" s="346">
        <f t="shared" si="1433"/>
        <v>0</v>
      </c>
      <c r="AF282" s="346">
        <f t="shared" si="1433"/>
        <v>0</v>
      </c>
      <c r="AG282" s="346">
        <f t="shared" si="1433"/>
        <v>0</v>
      </c>
      <c r="AH282" s="346">
        <f t="shared" si="1433"/>
        <v>0</v>
      </c>
    </row>
    <row r="283" spans="3:34" ht="15" thickBot="1" x14ac:dyDescent="0.25">
      <c r="C283" s="1448" t="s">
        <v>2272</v>
      </c>
      <c r="D283" s="1448"/>
      <c r="E283" s="411">
        <f>IF(OR($E262="N/A",E273&gt;$E265,E273&lt;$E266),0,MAX(0,MIN(E278-E281,E279)))</f>
        <v>0</v>
      </c>
      <c r="F283" s="411">
        <f>IF(OR($E262="N/A",F273&gt;$E265,F273&lt;$E266),0,MAX(0,MIN(F278-F281,F279)))</f>
        <v>0</v>
      </c>
      <c r="G283" s="411">
        <f t="shared" ref="G283:AH283" si="1434">IF(OR($E262="N/A",G273&gt;$E265,G273&lt;$E266),0,MAX(0,MIN(G278-G281,G279)))</f>
        <v>0</v>
      </c>
      <c r="H283" s="411">
        <f t="shared" si="1434"/>
        <v>0</v>
      </c>
      <c r="I283" s="411">
        <f t="shared" si="1434"/>
        <v>0</v>
      </c>
      <c r="J283" s="411">
        <f t="shared" si="1434"/>
        <v>0</v>
      </c>
      <c r="K283" s="411">
        <f t="shared" si="1434"/>
        <v>0</v>
      </c>
      <c r="L283" s="411">
        <f t="shared" si="1434"/>
        <v>0</v>
      </c>
      <c r="M283" s="411">
        <f t="shared" si="1434"/>
        <v>0</v>
      </c>
      <c r="N283" s="411">
        <f t="shared" si="1434"/>
        <v>0</v>
      </c>
      <c r="O283" s="411">
        <f t="shared" si="1434"/>
        <v>0</v>
      </c>
      <c r="P283" s="411">
        <f t="shared" si="1434"/>
        <v>0</v>
      </c>
      <c r="Q283" s="411">
        <f t="shared" si="1434"/>
        <v>0</v>
      </c>
      <c r="R283" s="411">
        <f t="shared" si="1434"/>
        <v>0</v>
      </c>
      <c r="S283" s="443">
        <f t="shared" si="1434"/>
        <v>0</v>
      </c>
      <c r="T283" s="431">
        <f t="shared" si="1434"/>
        <v>0</v>
      </c>
      <c r="U283" s="411">
        <f t="shared" si="1434"/>
        <v>0</v>
      </c>
      <c r="V283" s="411">
        <f t="shared" si="1434"/>
        <v>0</v>
      </c>
      <c r="W283" s="411">
        <f t="shared" si="1434"/>
        <v>0</v>
      </c>
      <c r="X283" s="411">
        <f t="shared" si="1434"/>
        <v>0</v>
      </c>
      <c r="Y283" s="411">
        <f t="shared" si="1434"/>
        <v>0</v>
      </c>
      <c r="Z283" s="411">
        <f t="shared" si="1434"/>
        <v>0</v>
      </c>
      <c r="AA283" s="411">
        <f t="shared" si="1434"/>
        <v>0</v>
      </c>
      <c r="AB283" s="411">
        <f t="shared" si="1434"/>
        <v>0</v>
      </c>
      <c r="AC283" s="411">
        <f t="shared" si="1434"/>
        <v>0</v>
      </c>
      <c r="AD283" s="411">
        <f t="shared" si="1434"/>
        <v>0</v>
      </c>
      <c r="AE283" s="411">
        <f t="shared" si="1434"/>
        <v>0</v>
      </c>
      <c r="AF283" s="411">
        <f t="shared" si="1434"/>
        <v>0</v>
      </c>
      <c r="AG283" s="411">
        <f t="shared" si="1434"/>
        <v>0</v>
      </c>
      <c r="AH283" s="411">
        <f t="shared" si="1434"/>
        <v>0</v>
      </c>
    </row>
    <row r="284" spans="3:34" ht="15" thickTop="1" x14ac:dyDescent="0.2">
      <c r="C284" s="1449" t="s">
        <v>2282</v>
      </c>
      <c r="D284" s="1449"/>
      <c r="E284" s="430">
        <f>SUM(E281,E283)</f>
        <v>0</v>
      </c>
      <c r="F284" s="430">
        <f>SUM(F281,F283)</f>
        <v>0</v>
      </c>
      <c r="G284" s="430">
        <f t="shared" ref="G284" si="1435">SUM(G281,G283)</f>
        <v>0</v>
      </c>
      <c r="H284" s="430">
        <f t="shared" ref="H284" si="1436">SUM(H281,H283)</f>
        <v>0</v>
      </c>
      <c r="I284" s="430">
        <f t="shared" ref="I284" si="1437">SUM(I281,I283)</f>
        <v>0</v>
      </c>
      <c r="J284" s="430">
        <f t="shared" ref="J284" si="1438">SUM(J281,J283)</f>
        <v>0</v>
      </c>
      <c r="K284" s="430">
        <f t="shared" ref="K284" si="1439">SUM(K281,K283)</f>
        <v>0</v>
      </c>
      <c r="L284" s="430">
        <f t="shared" ref="L284" si="1440">SUM(L281,L283)</f>
        <v>0</v>
      </c>
      <c r="M284" s="430">
        <f t="shared" ref="M284" si="1441">SUM(M281,M283)</f>
        <v>0</v>
      </c>
      <c r="N284" s="430">
        <f t="shared" ref="N284" si="1442">SUM(N281,N283)</f>
        <v>0</v>
      </c>
      <c r="O284" s="430">
        <f t="shared" ref="O284" si="1443">SUM(O281,O283)</f>
        <v>0</v>
      </c>
      <c r="P284" s="430">
        <f t="shared" ref="P284" si="1444">SUM(P281,P283)</f>
        <v>0</v>
      </c>
      <c r="Q284" s="430">
        <f t="shared" ref="Q284" si="1445">SUM(Q281,Q283)</f>
        <v>0</v>
      </c>
      <c r="R284" s="430">
        <f t="shared" ref="R284" si="1446">SUM(R281,R283)</f>
        <v>0</v>
      </c>
      <c r="S284" s="444">
        <f t="shared" ref="S284" si="1447">SUM(S281,S283)</f>
        <v>0</v>
      </c>
      <c r="T284" s="436">
        <f t="shared" ref="T284" si="1448">SUM(T281,T283)</f>
        <v>0</v>
      </c>
      <c r="U284" s="430">
        <f t="shared" ref="U284" si="1449">SUM(U281,U283)</f>
        <v>0</v>
      </c>
      <c r="V284" s="430">
        <f t="shared" ref="V284" si="1450">SUM(V281,V283)</f>
        <v>0</v>
      </c>
      <c r="W284" s="430">
        <f t="shared" ref="W284" si="1451">SUM(W281,W283)</f>
        <v>0</v>
      </c>
      <c r="X284" s="430">
        <f t="shared" ref="X284" si="1452">SUM(X281,X283)</f>
        <v>0</v>
      </c>
      <c r="Y284" s="430">
        <f t="shared" ref="Y284" si="1453">SUM(Y281,Y283)</f>
        <v>0</v>
      </c>
      <c r="Z284" s="430">
        <f t="shared" ref="Z284" si="1454">SUM(Z281,Z283)</f>
        <v>0</v>
      </c>
      <c r="AA284" s="430">
        <f t="shared" ref="AA284" si="1455">SUM(AA281,AA283)</f>
        <v>0</v>
      </c>
      <c r="AB284" s="430">
        <f t="shared" ref="AB284" si="1456">SUM(AB281,AB283)</f>
        <v>0</v>
      </c>
      <c r="AC284" s="430">
        <f t="shared" ref="AC284" si="1457">SUM(AC281,AC283)</f>
        <v>0</v>
      </c>
      <c r="AD284" s="430">
        <f t="shared" ref="AD284" si="1458">SUM(AD281,AD283)</f>
        <v>0</v>
      </c>
      <c r="AE284" s="430">
        <f t="shared" ref="AE284" si="1459">SUM(AE281,AE283)</f>
        <v>0</v>
      </c>
      <c r="AF284" s="430">
        <f t="shared" ref="AF284" si="1460">SUM(AF281,AF283)</f>
        <v>0</v>
      </c>
      <c r="AG284" s="430">
        <f t="shared" ref="AG284" si="1461">SUM(AG281,AG283)</f>
        <v>0</v>
      </c>
      <c r="AH284" s="430">
        <f t="shared" ref="AH284" si="1462">SUM(AH281,AH283)</f>
        <v>0</v>
      </c>
    </row>
    <row r="285" spans="3:34" x14ac:dyDescent="0.2">
      <c r="C285" s="1181" t="s">
        <v>2190</v>
      </c>
      <c r="D285" s="1181"/>
      <c r="E285" s="342">
        <f>IF(OR($E262="N/A",E273&gt;$E265,E273&lt;$E266),0,IF($E264="Compound",E279-E283-E282,MAX(0,E279-E283)))</f>
        <v>0</v>
      </c>
      <c r="F285" s="342">
        <f>IF(OR($E262="N/A",F273&gt;$E265,F273&lt;$E266),0,IF($E264="Compound",F279-F283-F282,MAX(0,F279-F283)))</f>
        <v>0</v>
      </c>
      <c r="G285" s="342">
        <f t="shared" ref="G285:AH285" si="1463">IF(OR($E262="N/A",G273&gt;$E265,G273&lt;$E266),0,IF($E264="Compound",G279-G283-G282,MAX(0,G279-G283)))</f>
        <v>0</v>
      </c>
      <c r="H285" s="342">
        <f t="shared" si="1463"/>
        <v>0</v>
      </c>
      <c r="I285" s="342">
        <f t="shared" si="1463"/>
        <v>0</v>
      </c>
      <c r="J285" s="342">
        <f t="shared" si="1463"/>
        <v>0</v>
      </c>
      <c r="K285" s="342">
        <f t="shared" si="1463"/>
        <v>0</v>
      </c>
      <c r="L285" s="342">
        <f t="shared" si="1463"/>
        <v>0</v>
      </c>
      <c r="M285" s="342">
        <f t="shared" si="1463"/>
        <v>0</v>
      </c>
      <c r="N285" s="342">
        <f t="shared" si="1463"/>
        <v>0</v>
      </c>
      <c r="O285" s="342">
        <f t="shared" si="1463"/>
        <v>0</v>
      </c>
      <c r="P285" s="342">
        <f t="shared" si="1463"/>
        <v>0</v>
      </c>
      <c r="Q285" s="342">
        <f t="shared" si="1463"/>
        <v>0</v>
      </c>
      <c r="R285" s="342">
        <f t="shared" si="1463"/>
        <v>0</v>
      </c>
      <c r="S285" s="445">
        <f t="shared" si="1463"/>
        <v>0</v>
      </c>
      <c r="T285" s="437">
        <f t="shared" si="1463"/>
        <v>0</v>
      </c>
      <c r="U285" s="342">
        <f t="shared" si="1463"/>
        <v>0</v>
      </c>
      <c r="V285" s="342">
        <f t="shared" si="1463"/>
        <v>0</v>
      </c>
      <c r="W285" s="342">
        <f t="shared" si="1463"/>
        <v>0</v>
      </c>
      <c r="X285" s="342">
        <f t="shared" si="1463"/>
        <v>0</v>
      </c>
      <c r="Y285" s="342">
        <f t="shared" si="1463"/>
        <v>0</v>
      </c>
      <c r="Z285" s="342">
        <f t="shared" si="1463"/>
        <v>0</v>
      </c>
      <c r="AA285" s="342">
        <f t="shared" si="1463"/>
        <v>0</v>
      </c>
      <c r="AB285" s="342">
        <f t="shared" si="1463"/>
        <v>0</v>
      </c>
      <c r="AC285" s="342">
        <f t="shared" si="1463"/>
        <v>0</v>
      </c>
      <c r="AD285" s="342">
        <f t="shared" si="1463"/>
        <v>0</v>
      </c>
      <c r="AE285" s="342">
        <f t="shared" si="1463"/>
        <v>0</v>
      </c>
      <c r="AF285" s="342">
        <f t="shared" si="1463"/>
        <v>0</v>
      </c>
      <c r="AG285" s="342">
        <f t="shared" si="1463"/>
        <v>0</v>
      </c>
      <c r="AH285" s="342">
        <f t="shared" si="1463"/>
        <v>0</v>
      </c>
    </row>
    <row r="286" spans="3:34" x14ac:dyDescent="0.2">
      <c r="C286" s="317"/>
      <c r="D286" s="317"/>
      <c r="E286" s="74"/>
      <c r="F286" s="74"/>
      <c r="G286" s="74"/>
      <c r="H286" s="74"/>
      <c r="I286" s="74"/>
      <c r="J286" s="74"/>
      <c r="K286" s="74"/>
      <c r="L286" s="74"/>
      <c r="M286" s="74"/>
      <c r="N286" s="74"/>
      <c r="O286" s="74"/>
      <c r="P286" s="74"/>
      <c r="Q286" s="74"/>
      <c r="R286" s="74"/>
      <c r="S286" s="333"/>
      <c r="T286" s="74"/>
      <c r="U286" s="74"/>
      <c r="V286" s="74"/>
      <c r="W286" s="74"/>
      <c r="X286" s="74"/>
      <c r="Y286" s="74"/>
      <c r="Z286" s="74"/>
      <c r="AA286" s="74"/>
      <c r="AB286" s="74"/>
      <c r="AC286" s="74"/>
      <c r="AD286" s="74"/>
      <c r="AE286" s="74"/>
      <c r="AF286" s="74"/>
      <c r="AG286" s="74"/>
      <c r="AH286" s="74"/>
    </row>
    <row r="287" spans="3:34" ht="15" x14ac:dyDescent="0.2">
      <c r="C287" s="432" t="s">
        <v>2287</v>
      </c>
      <c r="D287" s="317"/>
      <c r="E287" s="74"/>
      <c r="F287" s="74"/>
      <c r="G287" s="74"/>
      <c r="H287" s="74"/>
      <c r="I287" s="74"/>
      <c r="J287" s="74"/>
      <c r="K287" s="74"/>
      <c r="L287" s="74"/>
      <c r="M287" s="74"/>
      <c r="N287" s="74"/>
      <c r="O287" s="74"/>
      <c r="P287" s="74"/>
      <c r="Q287" s="74"/>
      <c r="R287" s="74"/>
      <c r="S287" s="333"/>
      <c r="T287" s="74"/>
      <c r="U287" s="74"/>
      <c r="V287" s="74"/>
      <c r="W287" s="74"/>
      <c r="X287" s="74"/>
      <c r="Y287" s="74"/>
      <c r="Z287" s="74"/>
      <c r="AA287" s="74"/>
      <c r="AB287" s="74"/>
      <c r="AC287" s="74"/>
      <c r="AD287" s="74"/>
      <c r="AE287" s="74"/>
      <c r="AF287" s="74"/>
      <c r="AG287" s="74"/>
      <c r="AH287" s="74"/>
    </row>
    <row r="288" spans="3:34" x14ac:dyDescent="0.2">
      <c r="C288" s="1234" t="s">
        <v>2273</v>
      </c>
      <c r="D288" s="1234"/>
      <c r="E288" s="421">
        <f>IF($I262="N/A",0,IF(E273&gt;$I267,0,MIN($I266,$I262*$I264)))</f>
        <v>0</v>
      </c>
      <c r="F288" s="236">
        <f t="shared" ref="F288" si="1464">IF($I262="N/A",0,IF(F273&gt;$I267,0,MIN($I266,$I262*$I264*(1+$I263)^E$63)))</f>
        <v>0</v>
      </c>
      <c r="G288" s="236">
        <f t="shared" ref="G288" si="1465">IF($I262="N/A",0,IF(G273&gt;$I267,0,MIN($I266,$I262*$I264*(1+$I263)^F$63)))</f>
        <v>0</v>
      </c>
      <c r="H288" s="236">
        <f t="shared" ref="H288" si="1466">IF($I262="N/A",0,IF(H273&gt;$I267,0,MIN($I266,$I262*$I264*(1+$I263)^G$63)))</f>
        <v>0</v>
      </c>
      <c r="I288" s="236">
        <f t="shared" ref="I288" si="1467">IF($I262="N/A",0,IF(I273&gt;$I267,0,MIN($I266,$I262*$I264*(1+$I263)^H$63)))</f>
        <v>0</v>
      </c>
      <c r="J288" s="236">
        <f t="shared" ref="J288" si="1468">IF($I262="N/A",0,IF(J273&gt;$I267,0,MIN($I266,$I262*$I264*(1+$I263)^I$63)))</f>
        <v>0</v>
      </c>
      <c r="K288" s="236">
        <f t="shared" ref="K288" si="1469">IF($I262="N/A",0,IF(K273&gt;$I267,0,MIN($I266,$I262*$I264*(1+$I263)^J$63)))</f>
        <v>0</v>
      </c>
      <c r="L288" s="236">
        <f t="shared" ref="L288" si="1470">IF($I262="N/A",0,IF(L273&gt;$I267,0,MIN($I266,$I262*$I264*(1+$I263)^K$63)))</f>
        <v>0</v>
      </c>
      <c r="M288" s="236">
        <f t="shared" ref="M288" si="1471">IF($I262="N/A",0,IF(M273&gt;$I267,0,MIN($I266,$I262*$I264*(1+$I263)^L$63)))</f>
        <v>0</v>
      </c>
      <c r="N288" s="236">
        <f t="shared" ref="N288" si="1472">IF($I262="N/A",0,IF(N273&gt;$I267,0,MIN($I266,$I262*$I264*(1+$I263)^M$63)))</f>
        <v>0</v>
      </c>
      <c r="O288" s="236">
        <f t="shared" ref="O288" si="1473">IF($I262="N/A",0,IF(O273&gt;$I267,0,MIN($I266,$I262*$I264*(1+$I263)^N$63)))</f>
        <v>0</v>
      </c>
      <c r="P288" s="236">
        <f t="shared" ref="P288" si="1474">IF($I262="N/A",0,IF(P273&gt;$I267,0,MIN($I266,$I262*$I264*(1+$I263)^O$63)))</f>
        <v>0</v>
      </c>
      <c r="Q288" s="236">
        <f t="shared" ref="Q288" si="1475">IF($I262="N/A",0,IF(Q273&gt;$I267,0,MIN($I266,$I262*$I264*(1+$I263)^P$63)))</f>
        <v>0</v>
      </c>
      <c r="R288" s="236">
        <f t="shared" ref="R288" si="1476">IF($I262="N/A",0,IF(R273&gt;$I267,0,MIN($I266,$I262*$I264*(1+$I263)^Q$63)))</f>
        <v>0</v>
      </c>
      <c r="S288" s="446">
        <f t="shared" ref="S288" si="1477">IF($I262="N/A",0,IF(S273&gt;$I267,0,MIN($I266,$I262*$I264*(1+$I263)^R$63)))</f>
        <v>0</v>
      </c>
      <c r="T288" s="438">
        <f t="shared" ref="T288" si="1478">IF($I262="N/A",0,IF(T273&gt;$I267,0,MIN($I266,$I262*$I264*(1+$I263)^S$63)))</f>
        <v>0</v>
      </c>
      <c r="U288" s="236">
        <f t="shared" ref="U288" si="1479">IF($I262="N/A",0,IF(U273&gt;$I267,0,MIN($I266,$I262*$I264*(1+$I263)^T$63)))</f>
        <v>0</v>
      </c>
      <c r="V288" s="236">
        <f t="shared" ref="V288" si="1480">IF($I262="N/A",0,IF(V273&gt;$I267,0,MIN($I266,$I262*$I264*(1+$I263)^U$63)))</f>
        <v>0</v>
      </c>
      <c r="W288" s="236">
        <f t="shared" ref="W288" si="1481">IF($I262="N/A",0,IF(W273&gt;$I267,0,MIN($I266,$I262*$I264*(1+$I263)^V$63)))</f>
        <v>0</v>
      </c>
      <c r="X288" s="236">
        <f t="shared" ref="X288" si="1482">IF($I262="N/A",0,IF(X273&gt;$I267,0,MIN($I266,$I262*$I264*(1+$I263)^W$63)))</f>
        <v>0</v>
      </c>
      <c r="Y288" s="236">
        <f t="shared" ref="Y288" si="1483">IF($I262="N/A",0,IF(Y273&gt;$I267,0,MIN($I266,$I262*$I264*(1+$I263)^X$63)))</f>
        <v>0</v>
      </c>
      <c r="Z288" s="236">
        <f t="shared" ref="Z288" si="1484">IF($I262="N/A",0,IF(Z273&gt;$I267,0,MIN($I266,$I262*$I264*(1+$I263)^Y$63)))</f>
        <v>0</v>
      </c>
      <c r="AA288" s="236">
        <f t="shared" ref="AA288" si="1485">IF($I262="N/A",0,IF(AA273&gt;$I267,0,MIN($I266,$I262*$I264*(1+$I263)^Z$63)))</f>
        <v>0</v>
      </c>
      <c r="AB288" s="236">
        <f t="shared" ref="AB288" si="1486">IF($I262="N/A",0,IF(AB273&gt;$I267,0,MIN($I266,$I262*$I264*(1+$I263)^AA$63)))</f>
        <v>0</v>
      </c>
      <c r="AC288" s="236">
        <f t="shared" ref="AC288" si="1487">IF($I262="N/A",0,IF(AC273&gt;$I267,0,MIN($I266,$I262*$I264*(1+$I263)^AB$63)))</f>
        <v>0</v>
      </c>
      <c r="AD288" s="236">
        <f t="shared" ref="AD288" si="1488">IF($I262="N/A",0,IF(AD273&gt;$I267,0,MIN($I266,$I262*$I264*(1+$I263)^AC$63)))</f>
        <v>0</v>
      </c>
      <c r="AE288" s="236">
        <f t="shared" ref="AE288" si="1489">IF($I262="N/A",0,IF(AE273&gt;$I267,0,MIN($I266,$I262*$I264*(1+$I263)^AD$63)))</f>
        <v>0</v>
      </c>
      <c r="AF288" s="236">
        <f t="shared" ref="AF288" si="1490">IF($I262="N/A",0,IF(AF273&gt;$I267,0,MIN($I266,$I262*$I264*(1+$I263)^AE$63)))</f>
        <v>0</v>
      </c>
      <c r="AG288" s="236">
        <f t="shared" ref="AG288" si="1491">IF($I262="N/A",0,IF(AG273&gt;$I267,0,MIN($I266,$I262*$I264*(1+$I263)^AF$63)))</f>
        <v>0</v>
      </c>
      <c r="AH288" s="236">
        <f t="shared" ref="AH288" si="1492">IF($I262="N/A",0,IF(AH273&gt;$I267,0,MIN($I266,$I262*$I264*(1+$I263)^AG$63)))</f>
        <v>0</v>
      </c>
    </row>
    <row r="289" spans="3:34" x14ac:dyDescent="0.2">
      <c r="C289" s="1450" t="s">
        <v>2274</v>
      </c>
      <c r="D289" s="1451"/>
      <c r="E289" s="422">
        <f>IF($I262="N/A",0,IF(E273&gt;$I267,0,MAX(0,MIN(E288,$I262*$I264,E275))))</f>
        <v>0</v>
      </c>
      <c r="F289" s="521">
        <f t="shared" ref="F289" si="1493">IF($I262="N/A",0,IF(F273&gt;$I267,0,IF($I265="Yes",MAX(0,MIN(F275*$I264,E291+F288,$I266)),MAX(0,MIN(F288,F275*$I264,$I266)))))</f>
        <v>0</v>
      </c>
      <c r="G289" s="521">
        <f t="shared" ref="G289" si="1494">IF($I262="N/A",0,IF(G273&gt;$I267,0,IF($I265="Yes",MAX(0,MIN(G275*$I264,F291+G288,$I266)),MAX(0,MIN(G288,G275*$I264,$I266)))))</f>
        <v>0</v>
      </c>
      <c r="H289" s="521">
        <f t="shared" ref="H289" si="1495">IF($I262="N/A",0,IF(H273&gt;$I267,0,IF($I265="Yes",MAX(0,MIN(H275*$I264,G291+H288,$I266)),MAX(0,MIN(H288,H275*$I264,$I266)))))</f>
        <v>0</v>
      </c>
      <c r="I289" s="521">
        <f t="shared" ref="I289" si="1496">IF($I262="N/A",0,IF(I273&gt;$I267,0,IF($I265="Yes",MAX(0,MIN(I275*$I264,H291+I288,$I266)),MAX(0,MIN(I288,I275*$I264,$I266)))))</f>
        <v>0</v>
      </c>
      <c r="J289" s="521">
        <f t="shared" ref="J289" si="1497">IF($I262="N/A",0,IF(J273&gt;$I267,0,IF($I265="Yes",MAX(0,MIN(J275*$I264,I291+J288,$I266)),MAX(0,MIN(J288,J275*$I264,$I266)))))</f>
        <v>0</v>
      </c>
      <c r="K289" s="521">
        <f t="shared" ref="K289" si="1498">IF($I262="N/A",0,IF(K273&gt;$I267,0,IF($I265="Yes",MAX(0,MIN(K275*$I264,J291+K288,$I266)),MAX(0,MIN(K288,K275*$I264,$I266)))))</f>
        <v>0</v>
      </c>
      <c r="L289" s="521">
        <f t="shared" ref="L289" si="1499">IF($I262="N/A",0,IF(L273&gt;$I267,0,IF($I265="Yes",MAX(0,MIN(L275*$I264,K291+L288,$I266)),MAX(0,MIN(L288,L275*$I264,$I266)))))</f>
        <v>0</v>
      </c>
      <c r="M289" s="521">
        <f t="shared" ref="M289" si="1500">IF($I262="N/A",0,IF(M273&gt;$I267,0,IF($I265="Yes",MAX(0,MIN(M275*$I264,L291+M288,$I266)),MAX(0,MIN(M288,M275*$I264,$I266)))))</f>
        <v>0</v>
      </c>
      <c r="N289" s="521">
        <f t="shared" ref="N289" si="1501">IF($I262="N/A",0,IF(N273&gt;$I267,0,IF($I265="Yes",MAX(0,MIN(N275*$I264,M291+N288,$I266)),MAX(0,MIN(N288,N275*$I264,$I266)))))</f>
        <v>0</v>
      </c>
      <c r="O289" s="521">
        <f t="shared" ref="O289" si="1502">IF($I262="N/A",0,IF(O273&gt;$I267,0,IF($I265="Yes",MAX(0,MIN(O275*$I264,N291+O288,$I266)),MAX(0,MIN(O288,O275*$I264,$I266)))))</f>
        <v>0</v>
      </c>
      <c r="P289" s="521">
        <f t="shared" ref="P289" si="1503">IF($I262="N/A",0,IF(P273&gt;$I267,0,IF($I265="Yes",MAX(0,MIN(P275*$I264,O291+P288,$I266)),MAX(0,MIN(P288,P275*$I264,$I266)))))</f>
        <v>0</v>
      </c>
      <c r="Q289" s="521">
        <f t="shared" ref="Q289" si="1504">IF($I262="N/A",0,IF(Q273&gt;$I267,0,IF($I265="Yes",MAX(0,MIN(Q275*$I264,P291+Q288,$I266)),MAX(0,MIN(Q288,Q275*$I264,$I266)))))</f>
        <v>0</v>
      </c>
      <c r="R289" s="521">
        <f t="shared" ref="R289" si="1505">IF($I262="N/A",0,IF(R273&gt;$I267,0,IF($I265="Yes",MAX(0,MIN(R275*$I264,Q291+R288,$I266)),MAX(0,MIN(R288,R275*$I264,$I266)))))</f>
        <v>0</v>
      </c>
      <c r="S289" s="523">
        <f t="shared" ref="S289" si="1506">IF($I262="N/A",0,IF(S273&gt;$I267,0,IF($I265="Yes",MAX(0,MIN(S275*$I264,R291+S288,$I266)),MAX(0,MIN(S288,S275*$I264,$I266)))))</f>
        <v>0</v>
      </c>
      <c r="T289" s="522">
        <f t="shared" ref="T289" si="1507">IF($I262="N/A",0,IF(T273&gt;$I267,0,IF($I265="Yes",MAX(0,MIN(T275*$I264,S291+T288,$I266)),MAX(0,MIN(T288,T275*$I264,$I266)))))</f>
        <v>0</v>
      </c>
      <c r="U289" s="521">
        <f t="shared" ref="U289" si="1508">IF($I262="N/A",0,IF(U273&gt;$I267,0,IF($I265="Yes",MAX(0,MIN(U275*$I264,T291+U288,$I266)),MAX(0,MIN(U288,U275*$I264,$I266)))))</f>
        <v>0</v>
      </c>
      <c r="V289" s="521">
        <f t="shared" ref="V289" si="1509">IF($I262="N/A",0,IF(V273&gt;$I267,0,IF($I265="Yes",MAX(0,MIN(V275*$I264,U291+V288,$I266)),MAX(0,MIN(V288,V275*$I264,$I266)))))</f>
        <v>0</v>
      </c>
      <c r="W289" s="521">
        <f t="shared" ref="W289" si="1510">IF($I262="N/A",0,IF(W273&gt;$I267,0,IF($I265="Yes",MAX(0,MIN(W275*$I264,V291+W288,$I266)),MAX(0,MIN(W288,W275*$I264,$I266)))))</f>
        <v>0</v>
      </c>
      <c r="X289" s="521">
        <f t="shared" ref="X289" si="1511">IF($I262="N/A",0,IF(X273&gt;$I267,0,IF($I265="Yes",MAX(0,MIN(X275*$I264,W291+X288,$I266)),MAX(0,MIN(X288,X275*$I264,$I266)))))</f>
        <v>0</v>
      </c>
      <c r="Y289" s="521">
        <f t="shared" ref="Y289" si="1512">IF($I262="N/A",0,IF(Y273&gt;$I267,0,IF($I265="Yes",MAX(0,MIN(Y275*$I264,X291+Y288,$I266)),MAX(0,MIN(Y288,Y275*$I264,$I266)))))</f>
        <v>0</v>
      </c>
      <c r="Z289" s="521">
        <f t="shared" ref="Z289" si="1513">IF($I262="N/A",0,IF(Z273&gt;$I267,0,IF($I265="Yes",MAX(0,MIN(Z275*$I264,Y291+Z288,$I266)),MAX(0,MIN(Z288,Z275*$I264,$I266)))))</f>
        <v>0</v>
      </c>
      <c r="AA289" s="521">
        <f t="shared" ref="AA289" si="1514">IF($I262="N/A",0,IF(AA273&gt;$I267,0,IF($I265="Yes",MAX(0,MIN(AA275*$I264,Z291+AA288,$I266)),MAX(0,MIN(AA288,AA275*$I264,$I266)))))</f>
        <v>0</v>
      </c>
      <c r="AB289" s="521">
        <f t="shared" ref="AB289" si="1515">IF($I262="N/A",0,IF(AB273&gt;$I267,0,IF($I265="Yes",MAX(0,MIN(AB275*$I264,AA291+AB288,$I266)),MAX(0,MIN(AB288,AB275*$I264,$I266)))))</f>
        <v>0</v>
      </c>
      <c r="AC289" s="521">
        <f t="shared" ref="AC289" si="1516">IF($I262="N/A",0,IF(AC273&gt;$I267,0,IF($I265="Yes",MAX(0,MIN(AC275*$I264,AB291+AC288,$I266)),MAX(0,MIN(AC288,AC275*$I264,$I266)))))</f>
        <v>0</v>
      </c>
      <c r="AD289" s="521">
        <f t="shared" ref="AD289" si="1517">IF($I262="N/A",0,IF(AD273&gt;$I267,0,IF($I265="Yes",MAX(0,MIN(AD275*$I264,AC291+AD288,$I266)),MAX(0,MIN(AD288,AD275*$I264,$I266)))))</f>
        <v>0</v>
      </c>
      <c r="AE289" s="521">
        <f t="shared" ref="AE289" si="1518">IF($I262="N/A",0,IF(AE273&gt;$I267,0,IF($I265="Yes",MAX(0,MIN(AE275*$I264,AD291+AE288,$I266)),MAX(0,MIN(AE288,AE275*$I264,$I266)))))</f>
        <v>0</v>
      </c>
      <c r="AF289" s="521">
        <f t="shared" ref="AF289" si="1519">IF($I262="N/A",0,IF(AF273&gt;$I267,0,IF($I265="Yes",MAX(0,MIN(AF275*$I264,AE291+AF288,$I266)),MAX(0,MIN(AF288,AF275*$I264,$I266)))))</f>
        <v>0</v>
      </c>
      <c r="AG289" s="521">
        <f t="shared" ref="AG289" si="1520">IF($I262="N/A",0,IF(AG273&gt;$I267,0,IF($I265="Yes",MAX(0,MIN(AG275*$I264,AF291+AG288,$I266)),MAX(0,MIN(AG288,AG275*$I264,$I266)))))</f>
        <v>0</v>
      </c>
      <c r="AH289" s="521">
        <f t="shared" ref="AH289" si="1521">IF($I262="N/A",0,IF(AH273&gt;$I267,0,IF($I265="Yes",MAX(0,MIN(AH275*$I264,AG291+AH288,$I266)),MAX(0,MIN(AH288,AH275*$I264,$I266)))))</f>
        <v>0</v>
      </c>
    </row>
    <row r="290" spans="3:34" x14ac:dyDescent="0.2">
      <c r="C290" s="1168" t="s">
        <v>2275</v>
      </c>
      <c r="D290" s="1170"/>
      <c r="E290" s="421">
        <f>IF($I265="Yes",IF(E273&gt;$I267,0,E288-E289),0)</f>
        <v>0</v>
      </c>
      <c r="F290" s="421">
        <f t="shared" ref="F290:AH290" si="1522">IF($I262="N/A",0,IF(F274&gt;$I267,0,IF($I265="Yes",F288-F289,0)))</f>
        <v>0</v>
      </c>
      <c r="G290" s="421">
        <f t="shared" si="1522"/>
        <v>0</v>
      </c>
      <c r="H290" s="421">
        <f t="shared" si="1522"/>
        <v>0</v>
      </c>
      <c r="I290" s="421">
        <f t="shared" si="1522"/>
        <v>0</v>
      </c>
      <c r="J290" s="421">
        <f t="shared" si="1522"/>
        <v>0</v>
      </c>
      <c r="K290" s="421">
        <f t="shared" si="1522"/>
        <v>0</v>
      </c>
      <c r="L290" s="421">
        <f t="shared" si="1522"/>
        <v>0</v>
      </c>
      <c r="M290" s="421">
        <f t="shared" si="1522"/>
        <v>0</v>
      </c>
      <c r="N290" s="421">
        <f t="shared" si="1522"/>
        <v>0</v>
      </c>
      <c r="O290" s="421">
        <f t="shared" si="1522"/>
        <v>0</v>
      </c>
      <c r="P290" s="421">
        <f t="shared" si="1522"/>
        <v>0</v>
      </c>
      <c r="Q290" s="421">
        <f t="shared" si="1522"/>
        <v>0</v>
      </c>
      <c r="R290" s="421">
        <f t="shared" si="1522"/>
        <v>0</v>
      </c>
      <c r="S290" s="447">
        <f t="shared" si="1522"/>
        <v>0</v>
      </c>
      <c r="T290" s="439">
        <f t="shared" si="1522"/>
        <v>0</v>
      </c>
      <c r="U290" s="421">
        <f t="shared" si="1522"/>
        <v>0</v>
      </c>
      <c r="V290" s="421">
        <f t="shared" si="1522"/>
        <v>0</v>
      </c>
      <c r="W290" s="421">
        <f t="shared" si="1522"/>
        <v>0</v>
      </c>
      <c r="X290" s="421">
        <f t="shared" si="1522"/>
        <v>0</v>
      </c>
      <c r="Y290" s="421">
        <f t="shared" si="1522"/>
        <v>0</v>
      </c>
      <c r="Z290" s="421">
        <f t="shared" si="1522"/>
        <v>0</v>
      </c>
      <c r="AA290" s="421">
        <f t="shared" si="1522"/>
        <v>0</v>
      </c>
      <c r="AB290" s="421">
        <f t="shared" si="1522"/>
        <v>0</v>
      </c>
      <c r="AC290" s="421">
        <f t="shared" si="1522"/>
        <v>0</v>
      </c>
      <c r="AD290" s="421">
        <f t="shared" si="1522"/>
        <v>0</v>
      </c>
      <c r="AE290" s="421">
        <f t="shared" si="1522"/>
        <v>0</v>
      </c>
      <c r="AF290" s="421">
        <f t="shared" si="1522"/>
        <v>0</v>
      </c>
      <c r="AG290" s="421">
        <f t="shared" si="1522"/>
        <v>0</v>
      </c>
      <c r="AH290" s="421">
        <f t="shared" si="1522"/>
        <v>0</v>
      </c>
    </row>
    <row r="291" spans="3:34" x14ac:dyDescent="0.2">
      <c r="C291" s="1168" t="s">
        <v>2276</v>
      </c>
      <c r="D291" s="1170"/>
      <c r="E291" s="421">
        <f>E290</f>
        <v>0</v>
      </c>
      <c r="F291" s="236">
        <f t="shared" ref="F291" si="1523">IF($I262="N/A",0,IF(F273&gt;$I267,0,E291+F290))</f>
        <v>0</v>
      </c>
      <c r="G291" s="236">
        <f t="shared" ref="G291" si="1524">IF($I262="N/A",0,IF(G273&gt;$I267,0,F291+G290))</f>
        <v>0</v>
      </c>
      <c r="H291" s="236">
        <f t="shared" ref="H291" si="1525">IF($I262="N/A",0,IF(H273&gt;$I267,0,G291+H290))</f>
        <v>0</v>
      </c>
      <c r="I291" s="236">
        <f t="shared" ref="I291" si="1526">IF($I262="N/A",0,IF(I273&gt;$I267,0,H291+I290))</f>
        <v>0</v>
      </c>
      <c r="J291" s="236">
        <f t="shared" ref="J291" si="1527">IF($I262="N/A",0,IF(J273&gt;$I267,0,I291+J290))</f>
        <v>0</v>
      </c>
      <c r="K291" s="236">
        <f t="shared" ref="K291" si="1528">IF($I262="N/A",0,IF(K273&gt;$I267,0,J291+K290))</f>
        <v>0</v>
      </c>
      <c r="L291" s="236">
        <f t="shared" ref="L291" si="1529">IF($I262="N/A",0,IF(L273&gt;$I267,0,K291+L290))</f>
        <v>0</v>
      </c>
      <c r="M291" s="236">
        <f t="shared" ref="M291" si="1530">IF($I262="N/A",0,IF(M273&gt;$I267,0,L291+M290))</f>
        <v>0</v>
      </c>
      <c r="N291" s="236">
        <f t="shared" ref="N291" si="1531">IF($I262="N/A",0,IF(N273&gt;$I267,0,M291+N290))</f>
        <v>0</v>
      </c>
      <c r="O291" s="236">
        <f t="shared" ref="O291" si="1532">IF($I262="N/A",0,IF(O273&gt;$I267,0,N291+O290))</f>
        <v>0</v>
      </c>
      <c r="P291" s="236">
        <f t="shared" ref="P291" si="1533">IF($I262="N/A",0,IF(P273&gt;$I267,0,O291+P290))</f>
        <v>0</v>
      </c>
      <c r="Q291" s="236">
        <f t="shared" ref="Q291" si="1534">IF($I262="N/A",0,IF(Q273&gt;$I267,0,P291+Q290))</f>
        <v>0</v>
      </c>
      <c r="R291" s="236">
        <f t="shared" ref="R291" si="1535">IF($I262="N/A",0,IF(R273&gt;$I267,0,Q291+R290))</f>
        <v>0</v>
      </c>
      <c r="S291" s="446">
        <f t="shared" ref="S291" si="1536">IF($I262="N/A",0,IF(S273&gt;$I267,0,R291+S290))</f>
        <v>0</v>
      </c>
      <c r="T291" s="438">
        <f t="shared" ref="T291" si="1537">IF($I262="N/A",0,IF(T273&gt;$I267,0,S291+T290))</f>
        <v>0</v>
      </c>
      <c r="U291" s="236">
        <f t="shared" ref="U291" si="1538">IF($I262="N/A",0,IF(U273&gt;$I267,0,T291+U290))</f>
        <v>0</v>
      </c>
      <c r="V291" s="236">
        <f t="shared" ref="V291" si="1539">IF($I262="N/A",0,IF(V273&gt;$I267,0,U291+V290))</f>
        <v>0</v>
      </c>
      <c r="W291" s="236">
        <f t="shared" ref="W291" si="1540">IF($I262="N/A",0,IF(W273&gt;$I267,0,V291+W290))</f>
        <v>0</v>
      </c>
      <c r="X291" s="236">
        <f t="shared" ref="X291" si="1541">IF($I262="N/A",0,IF(X273&gt;$I267,0,W291+X290))</f>
        <v>0</v>
      </c>
      <c r="Y291" s="236">
        <f t="shared" ref="Y291" si="1542">IF($I262="N/A",0,IF(Y273&gt;$I267,0,X291+Y290))</f>
        <v>0</v>
      </c>
      <c r="Z291" s="236">
        <f t="shared" ref="Z291" si="1543">IF($I262="N/A",0,IF(Z273&gt;$I267,0,Y291+Z290))</f>
        <v>0</v>
      </c>
      <c r="AA291" s="236">
        <f t="shared" ref="AA291" si="1544">IF($I262="N/A",0,IF(AA273&gt;$I267,0,Z291+AA290))</f>
        <v>0</v>
      </c>
      <c r="AB291" s="236">
        <f t="shared" ref="AB291" si="1545">IF($I262="N/A",0,IF(AB273&gt;$I267,0,AA291+AB290))</f>
        <v>0</v>
      </c>
      <c r="AC291" s="236">
        <f t="shared" ref="AC291" si="1546">IF($I262="N/A",0,IF(AC273&gt;$I267,0,AB291+AC290))</f>
        <v>0</v>
      </c>
      <c r="AD291" s="236">
        <f t="shared" ref="AD291" si="1547">IF($I262="N/A",0,IF(AD273&gt;$I267,0,AC291+AD290))</f>
        <v>0</v>
      </c>
      <c r="AE291" s="236">
        <f t="shared" ref="AE291" si="1548">IF($I262="N/A",0,IF(AE273&gt;$I267,0,AD291+AE290))</f>
        <v>0</v>
      </c>
      <c r="AF291" s="236">
        <f t="shared" ref="AF291" si="1549">IF($I262="N/A",0,IF(AF273&gt;$I267,0,AE291+AF290))</f>
        <v>0</v>
      </c>
      <c r="AG291" s="236">
        <f t="shared" ref="AG291" si="1550">IF($I262="N/A",0,IF(AG273&gt;$I267,0,AF291+AG290))</f>
        <v>0</v>
      </c>
      <c r="AH291" s="236">
        <f t="shared" ref="AH291" si="1551">IF($I262="N/A",0,IF(AH273&gt;$I267,0,AG291+AH290))</f>
        <v>0</v>
      </c>
    </row>
    <row r="294" spans="3:34" ht="15" x14ac:dyDescent="0.2">
      <c r="C294" s="1456" t="str">
        <f>IF(Sources!$D$75="","N/A",Sources!$D$75)</f>
        <v>N/A</v>
      </c>
      <c r="D294" s="1456"/>
      <c r="E294" s="1456"/>
      <c r="F294" s="412" t="s">
        <v>2266</v>
      </c>
      <c r="G294" s="92" t="str">
        <f>IF(AND(ISERROR(VLOOKUP($C294,OpBudget!$C$159:$C$165,1,FALSE)),ISERROR(VLOOKUP($C294,Sources!$C$36:$C$55,1,FALSE))),"N/A",IF(ISERROR(VLOOKUP($C294,Sources!$C$36:$C$55,1,FALSE)),"Fee","Loan"))</f>
        <v>N/A</v>
      </c>
      <c r="H294" s="412"/>
      <c r="I294" s="412"/>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row>
    <row r="295" spans="3:34" ht="15" x14ac:dyDescent="0.2">
      <c r="C295" s="345"/>
      <c r="D295" s="345"/>
      <c r="E295" s="345"/>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row>
    <row r="296" spans="3:34" ht="15" x14ac:dyDescent="0.2">
      <c r="C296" s="417" t="s">
        <v>2260</v>
      </c>
      <c r="D296" s="345"/>
      <c r="E296" s="345"/>
      <c r="F296" s="74"/>
      <c r="G296" s="74" t="s">
        <v>2261</v>
      </c>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row>
    <row r="297" spans="3:34" x14ac:dyDescent="0.2">
      <c r="C297" s="1452" t="s">
        <v>2255</v>
      </c>
      <c r="D297" s="1452"/>
      <c r="E297" s="413" t="str">
        <f>IF(OR($G294="Fee",$G294="N/A"),"N/A",INDEX(Sources!$C$35:$K$55,MATCH(Loans!$C294,Sources!$C$35:$C$55,0),MATCH("Amount",Sources!$C$35:$N$35,0)))</f>
        <v>N/A</v>
      </c>
      <c r="F297" s="74"/>
      <c r="G297" s="1454" t="s">
        <v>2262</v>
      </c>
      <c r="H297" s="1454"/>
      <c r="I297" s="705" t="str">
        <f>IF(OR($G294="Loan",$G294="N/A"),"N/A",INDEX(OpBudget!$C$159:$K$165,MATCH(Loans!$C294,OpBudget!$C$159:$C$165,0),MATCH("Total Amount",OpBudget!$C$159:$K$159,0)))</f>
        <v>N/A</v>
      </c>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row>
    <row r="298" spans="3:34" x14ac:dyDescent="0.2">
      <c r="C298" s="1452" t="s">
        <v>2256</v>
      </c>
      <c r="D298" s="1452"/>
      <c r="E298" s="702" t="str">
        <f>IF(OR($G294="Fee",$G294="N/A"),"N/A",INDEX(Sources!$C$35:$K$55,MATCH(Loans!$C294,Sources!$C$35:$C$55,0),MATCH("Interest Rate",Sources!$C$35:$N$35,0)))</f>
        <v>N/A</v>
      </c>
      <c r="F298" s="74"/>
      <c r="G298" s="1454" t="s">
        <v>2268</v>
      </c>
      <c r="H298" s="1454"/>
      <c r="I298" s="703" t="str">
        <f>IF(OR($G294="Loan",$G294="N/A"),"N/A",INDEX(OpBudget!$C$159:$K$165,MATCH(Loans!$C294,OpBudget!$C$159:$C$165,0),MATCH("Annual Percent Inflator",OpBudget!$C$159:$K$159,0)))</f>
        <v>N/A</v>
      </c>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row>
    <row r="299" spans="3:34" x14ac:dyDescent="0.2">
      <c r="C299" s="1452" t="s">
        <v>2279</v>
      </c>
      <c r="D299" s="1452"/>
      <c r="E299" s="702" t="str">
        <f>IF(OR($G294="Fee",$G294="N/A"),"N/A",INDEX(Sources!$C$35:$N$55,MATCH(Loans!$C294,Sources!$C$35:$C$55,0),MATCH("Simple or Compound Interest?",Sources!$C$35:$N$35,0)))</f>
        <v>N/A</v>
      </c>
      <c r="F299" s="74"/>
      <c r="G299" s="424" t="s">
        <v>2263</v>
      </c>
      <c r="H299" s="424"/>
      <c r="I299" s="703" t="str">
        <f>IF(OR($G294="Loan",$G294="N/A"),"N/A",INDEX(Sources!$D$67:$H$82,MATCH(Loans!$C294,Sources!$D$67:$D$82,0),MATCH("Split of Cash Flow",Sources!$D$67:$H$67,0)))</f>
        <v>N/A</v>
      </c>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row>
    <row r="300" spans="3:34" x14ac:dyDescent="0.2">
      <c r="C300" s="1452" t="s">
        <v>2257</v>
      </c>
      <c r="D300" s="1452"/>
      <c r="E300" s="420" t="str">
        <f>IF(OR($G294="Fee",$G294="N/A"),"N/A",INDEX(Sources!$C$35:$K$55,MATCH(Loans!$C294,Sources!$C$35:$C$55,0),MATCH("Term (Years)",Sources!$C$35:$N$35,0)))</f>
        <v>N/A</v>
      </c>
      <c r="F300" s="74"/>
      <c r="G300" s="1454" t="s">
        <v>2281</v>
      </c>
      <c r="H300" s="1454"/>
      <c r="I300" s="703" t="str">
        <f>IF(OR($G294="Loan",$G294="N/A"),"N/A",INDEX(OpBudget!$C$159:$K$165,MATCH(Loans!$C294,OpBudget!$C$159:$C$165,0),MATCH("Accrue Unpaid Fee?",OpBudget!$C$159:$K$159,0)))</f>
        <v>N/A</v>
      </c>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row>
    <row r="301" spans="3:34" x14ac:dyDescent="0.2">
      <c r="C301" s="1452" t="s">
        <v>2284</v>
      </c>
      <c r="D301" s="1452"/>
      <c r="E301" s="420" t="str">
        <f>IF(OR($G294="Fee",$G294="N/A"),"N/A",INDEX(Sources!$D$67:$O$82,MATCH(Loans!$C294,Sources!$D$67:$D$82,0),MATCH("Beginning Payment Year",Sources!$D$67:$O$67,0)))</f>
        <v>N/A</v>
      </c>
      <c r="F301" s="74"/>
      <c r="G301" s="1454" t="s">
        <v>2293</v>
      </c>
      <c r="H301" s="1454"/>
      <c r="I301" s="705" t="str">
        <f>IF(OR($G294="Loan",$G294="N/A"),"N/A",IF(INDEX(OpBudget!$C$159:$K$165,MATCH(Loans!$C294,OpBudget!$C$159:$C$165,0),MATCH("Fee Cap (if applicable)",OpBudget!$C$159:$K$159,0))=0,"N/A",INDEX(OpBudget!$C$159:$K$165,MATCH(Loans!$C294,OpBudget!$C$159:$C$165,0),MATCH("Fee Cap (if applicable)",OpBudget!$C$159:$K$159,0))))</f>
        <v>N/A</v>
      </c>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row>
    <row r="302" spans="3:34" x14ac:dyDescent="0.2">
      <c r="C302" s="1452" t="s">
        <v>2267</v>
      </c>
      <c r="D302" s="1452"/>
      <c r="E302" s="703" t="str">
        <f>IF(OR($G294="Fee",$G294="N/A"),"N/A",INDEX(Sources!$D$67:$O$82,MATCH(Loans!$C294,Sources!$D$67:$D$82,0),MATCH("Split of Cash Flow",Sources!$D$67:$O$67,0)))</f>
        <v>N/A</v>
      </c>
      <c r="F302" s="1455"/>
      <c r="G302" s="1454" t="s">
        <v>2292</v>
      </c>
      <c r="H302" s="1454"/>
      <c r="I302" s="420" t="str">
        <f>IF(OR($G294="Loan",$G294="N/A"),"N/A",INDEX(OpBudget!$C$159:$K$165,MATCH(Loans!$C294,OpBudget!$C$159:$C$165,0),MATCH("Number of Years Fee Exists",OpBudget!$C$159:$K$159,0)))</f>
        <v>N/A</v>
      </c>
      <c r="J302" s="74"/>
      <c r="K302" s="74"/>
      <c r="L302" s="74" t="s">
        <v>2278</v>
      </c>
      <c r="M302" s="74"/>
      <c r="N302" s="74"/>
      <c r="O302" s="74"/>
      <c r="P302" s="74"/>
      <c r="Q302" s="74"/>
      <c r="R302" s="74"/>
      <c r="S302" s="74"/>
      <c r="T302" s="74"/>
      <c r="U302" s="74"/>
      <c r="V302" s="74"/>
      <c r="W302" s="74"/>
      <c r="X302" s="74"/>
      <c r="Y302" s="74"/>
      <c r="Z302" s="74"/>
      <c r="AA302" s="74"/>
      <c r="AB302" s="74"/>
      <c r="AC302" s="74"/>
      <c r="AD302" s="74"/>
      <c r="AE302" s="74"/>
      <c r="AF302" s="74"/>
      <c r="AG302" s="74"/>
      <c r="AH302" s="74"/>
    </row>
    <row r="303" spans="3:34" x14ac:dyDescent="0.2">
      <c r="C303" s="1452" t="s">
        <v>2289</v>
      </c>
      <c r="D303" s="1452"/>
      <c r="E303" s="704" t="str">
        <f>IF(OR($G294="Fee",$G294="N/A"),"N/A",INDEX(Sources!$D$67:$O$82,MATCH(Loans!$C294,Sources!$D$67:$D$82,0),MATCH("Pari Passu?",Sources!$D$67:$O$67,0)))</f>
        <v>N/A</v>
      </c>
      <c r="F303" s="1455"/>
      <c r="G303" s="424"/>
      <c r="H303" s="424"/>
      <c r="I303" s="526"/>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row>
    <row r="304" spans="3:34" x14ac:dyDescent="0.2">
      <c r="C304" s="1452" t="s">
        <v>2295</v>
      </c>
      <c r="D304" s="1452"/>
      <c r="E304" s="703" t="str">
        <f>IF(OR($G294="Fee",$G294="N/A"),"N/A",INDEX(Sources!$D$67:$O$82,MATCH(Loans!$C294,Sources!$D$67:$D$82,0),MATCH("Shared Position Split of Cash Flow",Sources!$D$67:$O$67,0)))</f>
        <v>N/A</v>
      </c>
      <c r="F304" s="532"/>
      <c r="G304" s="424"/>
      <c r="H304" s="424"/>
      <c r="I304" s="526"/>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row>
    <row r="305" spans="3:34" x14ac:dyDescent="0.2">
      <c r="C305" s="1452" t="s">
        <v>2291</v>
      </c>
      <c r="D305" s="1452"/>
      <c r="E305" s="704" t="str">
        <f>IF(OR($G294="Fee",$G294="N/A"),"N/A",INDEX(Sources!$D$67:$O$82,MATCH(Loans!$C294,Sources!$D$67:$D$82,0),MATCH("Deferred Loan?",Sources!$D$67:$O$67,0)))</f>
        <v>N/A</v>
      </c>
      <c r="F305" s="74"/>
      <c r="G305" s="424"/>
      <c r="H305" s="424"/>
      <c r="I305" s="526"/>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row>
    <row r="306" spans="3:34" x14ac:dyDescent="0.2">
      <c r="C306" s="1452" t="s">
        <v>2277</v>
      </c>
      <c r="D306" s="1452"/>
      <c r="E306" s="705" t="str">
        <f>IF(OR(E297=0,E297="N/A"),"N/A",INDEX($C308:$AH320,MATCH("Ending Principal Balance",$C308:$C320,0),MATCH($E300,$C308:$AH308,0)))</f>
        <v>N/A</v>
      </c>
      <c r="F306" s="74"/>
      <c r="G306" s="74"/>
      <c r="H306" s="74" t="s">
        <v>2278</v>
      </c>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row>
    <row r="307" spans="3:34" ht="15" x14ac:dyDescent="0.2">
      <c r="C307" s="345"/>
      <c r="D307" s="345"/>
      <c r="E307" s="345"/>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row>
    <row r="308" spans="3:34" ht="15" x14ac:dyDescent="0.2">
      <c r="C308" s="309"/>
      <c r="D308" s="309"/>
      <c r="E308" s="310">
        <v>1</v>
      </c>
      <c r="F308" s="310">
        <f>E308+1</f>
        <v>2</v>
      </c>
      <c r="G308" s="310">
        <f t="shared" ref="G308" si="1552">F308+1</f>
        <v>3</v>
      </c>
      <c r="H308" s="310">
        <f t="shared" ref="H308" si="1553">G308+1</f>
        <v>4</v>
      </c>
      <c r="I308" s="310">
        <f t="shared" ref="I308" si="1554">H308+1</f>
        <v>5</v>
      </c>
      <c r="J308" s="310">
        <f t="shared" ref="J308" si="1555">I308+1</f>
        <v>6</v>
      </c>
      <c r="K308" s="310">
        <f t="shared" ref="K308" si="1556">J308+1</f>
        <v>7</v>
      </c>
      <c r="L308" s="310">
        <f t="shared" ref="L308" si="1557">K308+1</f>
        <v>8</v>
      </c>
      <c r="M308" s="310">
        <f t="shared" ref="M308" si="1558">L308+1</f>
        <v>9</v>
      </c>
      <c r="N308" s="310">
        <f t="shared" ref="N308" si="1559">M308+1</f>
        <v>10</v>
      </c>
      <c r="O308" s="310">
        <f t="shared" ref="O308" si="1560">N308+1</f>
        <v>11</v>
      </c>
      <c r="P308" s="310">
        <f t="shared" ref="P308" si="1561">O308+1</f>
        <v>12</v>
      </c>
      <c r="Q308" s="310">
        <f t="shared" ref="Q308" si="1562">P308+1</f>
        <v>13</v>
      </c>
      <c r="R308" s="310">
        <f t="shared" ref="R308" si="1563">Q308+1</f>
        <v>14</v>
      </c>
      <c r="S308" s="448">
        <f t="shared" ref="S308" si="1564">R308+1</f>
        <v>15</v>
      </c>
      <c r="T308" s="428">
        <f t="shared" ref="T308" si="1565">S308+1</f>
        <v>16</v>
      </c>
      <c r="U308" s="310">
        <f t="shared" ref="U308" si="1566">T308+1</f>
        <v>17</v>
      </c>
      <c r="V308" s="310">
        <f t="shared" ref="V308" si="1567">U308+1</f>
        <v>18</v>
      </c>
      <c r="W308" s="310">
        <f t="shared" ref="W308" si="1568">V308+1</f>
        <v>19</v>
      </c>
      <c r="X308" s="310">
        <f t="shared" ref="X308" si="1569">W308+1</f>
        <v>20</v>
      </c>
      <c r="Y308" s="310">
        <f t="shared" ref="Y308" si="1570">X308+1</f>
        <v>21</v>
      </c>
      <c r="Z308" s="310">
        <f t="shared" ref="Z308" si="1571">Y308+1</f>
        <v>22</v>
      </c>
      <c r="AA308" s="310">
        <f t="shared" ref="AA308" si="1572">Z308+1</f>
        <v>23</v>
      </c>
      <c r="AB308" s="310">
        <f t="shared" ref="AB308" si="1573">AA308+1</f>
        <v>24</v>
      </c>
      <c r="AC308" s="310">
        <f t="shared" ref="AC308" si="1574">AB308+1</f>
        <v>25</v>
      </c>
      <c r="AD308" s="310">
        <f t="shared" ref="AD308" si="1575">AC308+1</f>
        <v>26</v>
      </c>
      <c r="AE308" s="310">
        <f t="shared" ref="AE308" si="1576">AD308+1</f>
        <v>27</v>
      </c>
      <c r="AF308" s="310">
        <f t="shared" ref="AF308" si="1577">AE308+1</f>
        <v>28</v>
      </c>
      <c r="AG308" s="310">
        <f t="shared" ref="AG308" si="1578">AF308+1</f>
        <v>29</v>
      </c>
      <c r="AH308" s="310">
        <f t="shared" ref="AH308" si="1579">AG308+1</f>
        <v>30</v>
      </c>
    </row>
    <row r="309" spans="3:34" ht="15" x14ac:dyDescent="0.2">
      <c r="C309" s="309"/>
      <c r="D309" s="309"/>
      <c r="E309" s="314" t="str">
        <f>IF(Details!$E$171="","",Details!$E$171)</f>
        <v/>
      </c>
      <c r="F309" s="314" t="str">
        <f>IF($E$7="","",E$7+1)</f>
        <v/>
      </c>
      <c r="G309" s="314" t="str">
        <f t="shared" ref="G309" si="1580">IF($E$7="","",F$7+1)</f>
        <v/>
      </c>
      <c r="H309" s="314" t="str">
        <f t="shared" ref="H309" si="1581">IF($E$7="","",G$7+1)</f>
        <v/>
      </c>
      <c r="I309" s="314" t="str">
        <f t="shared" ref="I309" si="1582">IF($E$7="","",H$7+1)</f>
        <v/>
      </c>
      <c r="J309" s="314" t="str">
        <f t="shared" ref="J309" si="1583">IF($E$7="","",I$7+1)</f>
        <v/>
      </c>
      <c r="K309" s="314" t="str">
        <f t="shared" ref="K309" si="1584">IF($E$7="","",J$7+1)</f>
        <v/>
      </c>
      <c r="L309" s="314" t="str">
        <f t="shared" ref="L309" si="1585">IF($E$7="","",K$7+1)</f>
        <v/>
      </c>
      <c r="M309" s="314" t="str">
        <f t="shared" ref="M309" si="1586">IF($E$7="","",L$7+1)</f>
        <v/>
      </c>
      <c r="N309" s="314" t="str">
        <f t="shared" ref="N309" si="1587">IF($E$7="","",M$7+1)</f>
        <v/>
      </c>
      <c r="O309" s="314" t="str">
        <f t="shared" ref="O309" si="1588">IF($E$7="","",N$7+1)</f>
        <v/>
      </c>
      <c r="P309" s="314" t="str">
        <f t="shared" ref="P309" si="1589">IF($E$7="","",O$7+1)</f>
        <v/>
      </c>
      <c r="Q309" s="314" t="str">
        <f t="shared" ref="Q309" si="1590">IF($E$7="","",P$7+1)</f>
        <v/>
      </c>
      <c r="R309" s="314" t="str">
        <f t="shared" ref="R309" si="1591">IF($E$7="","",Q$7+1)</f>
        <v/>
      </c>
      <c r="S309" s="440" t="str">
        <f t="shared" ref="S309" si="1592">IF($E$7="","",R$7+1)</f>
        <v/>
      </c>
      <c r="T309" s="433" t="str">
        <f t="shared" ref="T309" si="1593">IF($E$7="","",S$7+1)</f>
        <v/>
      </c>
      <c r="U309" s="314" t="str">
        <f t="shared" ref="U309" si="1594">IF($E$7="","",T$7+1)</f>
        <v/>
      </c>
      <c r="V309" s="314" t="str">
        <f t="shared" ref="V309" si="1595">IF($E$7="","",U$7+1)</f>
        <v/>
      </c>
      <c r="W309" s="314" t="str">
        <f t="shared" ref="W309" si="1596">IF($E$7="","",V$7+1)</f>
        <v/>
      </c>
      <c r="X309" s="314" t="str">
        <f t="shared" ref="X309" si="1597">IF($E$7="","",W$7+1)</f>
        <v/>
      </c>
      <c r="Y309" s="314" t="str">
        <f t="shared" ref="Y309" si="1598">IF($E$7="","",X$7+1)</f>
        <v/>
      </c>
      <c r="Z309" s="314" t="str">
        <f t="shared" ref="Z309" si="1599">IF($E$7="","",Y$7+1)</f>
        <v/>
      </c>
      <c r="AA309" s="314" t="str">
        <f t="shared" ref="AA309" si="1600">IF($E$7="","",Z$7+1)</f>
        <v/>
      </c>
      <c r="AB309" s="314" t="str">
        <f t="shared" ref="AB309" si="1601">IF($E$7="","",AA$7+1)</f>
        <v/>
      </c>
      <c r="AC309" s="314" t="str">
        <f t="shared" ref="AC309" si="1602">IF($E$7="","",AB$7+1)</f>
        <v/>
      </c>
      <c r="AD309" s="314" t="str">
        <f t="shared" ref="AD309" si="1603">IF($E$7="","",AC$7+1)</f>
        <v/>
      </c>
      <c r="AE309" s="314" t="str">
        <f t="shared" ref="AE309" si="1604">IF($E$7="","",AD$7+1)</f>
        <v/>
      </c>
      <c r="AF309" s="314" t="str">
        <f t="shared" ref="AF309" si="1605">IF($E$7="","",AE$7+1)</f>
        <v/>
      </c>
      <c r="AG309" s="314" t="str">
        <f t="shared" ref="AG309" si="1606">IF($E$7="","",AF$7+1)</f>
        <v/>
      </c>
      <c r="AH309" s="314" t="str">
        <f t="shared" ref="AH309" si="1607">IF($E$7="","",AG$7+1)</f>
        <v/>
      </c>
    </row>
    <row r="310" spans="3:34" x14ac:dyDescent="0.2">
      <c r="C310" s="1168" t="s">
        <v>2254</v>
      </c>
      <c r="D310" s="1169"/>
      <c r="E310" s="109">
        <f>E275-E284-E288</f>
        <v>0</v>
      </c>
      <c r="F310" s="109">
        <f t="shared" ref="F310:AH310" si="1608">F275-F284-F288</f>
        <v>0</v>
      </c>
      <c r="G310" s="109">
        <f t="shared" si="1608"/>
        <v>0</v>
      </c>
      <c r="H310" s="109">
        <f t="shared" si="1608"/>
        <v>0</v>
      </c>
      <c r="I310" s="109">
        <f t="shared" si="1608"/>
        <v>0</v>
      </c>
      <c r="J310" s="109">
        <f t="shared" si="1608"/>
        <v>0</v>
      </c>
      <c r="K310" s="109">
        <f t="shared" si="1608"/>
        <v>0</v>
      </c>
      <c r="L310" s="109">
        <f t="shared" si="1608"/>
        <v>0</v>
      </c>
      <c r="M310" s="109">
        <f t="shared" si="1608"/>
        <v>0</v>
      </c>
      <c r="N310" s="109">
        <f t="shared" si="1608"/>
        <v>0</v>
      </c>
      <c r="O310" s="109">
        <f t="shared" si="1608"/>
        <v>0</v>
      </c>
      <c r="P310" s="109">
        <f t="shared" si="1608"/>
        <v>0</v>
      </c>
      <c r="Q310" s="109">
        <f t="shared" si="1608"/>
        <v>0</v>
      </c>
      <c r="R310" s="109">
        <f t="shared" si="1608"/>
        <v>0</v>
      </c>
      <c r="S310" s="331">
        <f t="shared" si="1608"/>
        <v>0</v>
      </c>
      <c r="T310" s="228">
        <f t="shared" si="1608"/>
        <v>0</v>
      </c>
      <c r="U310" s="109">
        <f t="shared" si="1608"/>
        <v>0</v>
      </c>
      <c r="V310" s="109">
        <f t="shared" si="1608"/>
        <v>0</v>
      </c>
      <c r="W310" s="109">
        <f t="shared" si="1608"/>
        <v>0</v>
      </c>
      <c r="X310" s="109">
        <f t="shared" si="1608"/>
        <v>0</v>
      </c>
      <c r="Y310" s="109">
        <f t="shared" si="1608"/>
        <v>0</v>
      </c>
      <c r="Z310" s="109">
        <f t="shared" si="1608"/>
        <v>0</v>
      </c>
      <c r="AA310" s="109">
        <f t="shared" si="1608"/>
        <v>0</v>
      </c>
      <c r="AB310" s="109">
        <f t="shared" si="1608"/>
        <v>0</v>
      </c>
      <c r="AC310" s="109">
        <f t="shared" si="1608"/>
        <v>0</v>
      </c>
      <c r="AD310" s="109">
        <f t="shared" si="1608"/>
        <v>0</v>
      </c>
      <c r="AE310" s="109">
        <f t="shared" si="1608"/>
        <v>0</v>
      </c>
      <c r="AF310" s="109">
        <f t="shared" si="1608"/>
        <v>0</v>
      </c>
      <c r="AG310" s="109">
        <f t="shared" si="1608"/>
        <v>0</v>
      </c>
      <c r="AH310" s="109">
        <f t="shared" si="1608"/>
        <v>0</v>
      </c>
    </row>
    <row r="311" spans="3:34" ht="15" x14ac:dyDescent="0.2">
      <c r="C311" s="345"/>
      <c r="D311" s="345"/>
      <c r="E311" s="345"/>
      <c r="F311" s="74"/>
      <c r="G311" s="74"/>
      <c r="H311" s="74"/>
      <c r="I311" s="74"/>
      <c r="J311" s="74"/>
      <c r="K311" s="74"/>
      <c r="L311" s="74"/>
      <c r="M311" s="74"/>
      <c r="N311" s="74"/>
      <c r="O311" s="74"/>
      <c r="P311" s="74"/>
      <c r="Q311" s="74"/>
      <c r="R311" s="74"/>
      <c r="S311" s="333"/>
      <c r="T311" s="74"/>
      <c r="U311" s="74"/>
      <c r="V311" s="74"/>
      <c r="W311" s="74"/>
      <c r="X311" s="74"/>
      <c r="Y311" s="74"/>
      <c r="Z311" s="74"/>
      <c r="AA311" s="74"/>
      <c r="AB311" s="74"/>
      <c r="AC311" s="74"/>
      <c r="AD311" s="74"/>
      <c r="AE311" s="74"/>
      <c r="AF311" s="74"/>
      <c r="AG311" s="74"/>
      <c r="AH311" s="74"/>
    </row>
    <row r="312" spans="3:34" ht="15" x14ac:dyDescent="0.2">
      <c r="C312" s="432" t="s">
        <v>2286</v>
      </c>
      <c r="D312" s="345"/>
      <c r="E312" s="345"/>
      <c r="F312" s="74"/>
      <c r="G312" s="74"/>
      <c r="H312" s="74"/>
      <c r="I312" s="74"/>
      <c r="J312" s="74"/>
      <c r="K312" s="74"/>
      <c r="L312" s="74"/>
      <c r="M312" s="74"/>
      <c r="N312" s="74"/>
      <c r="O312" s="74"/>
      <c r="P312" s="74"/>
      <c r="Q312" s="74"/>
      <c r="R312" s="74"/>
      <c r="S312" s="333"/>
      <c r="T312" s="74"/>
      <c r="U312" s="74"/>
      <c r="V312" s="74"/>
      <c r="W312" s="74"/>
      <c r="X312" s="74"/>
      <c r="Y312" s="74"/>
      <c r="Z312" s="74"/>
      <c r="AA312" s="74"/>
      <c r="AB312" s="74"/>
      <c r="AC312" s="74"/>
      <c r="AD312" s="74"/>
      <c r="AE312" s="74"/>
      <c r="AF312" s="74"/>
      <c r="AG312" s="74"/>
      <c r="AH312" s="74"/>
    </row>
    <row r="313" spans="3:34" ht="15" thickBot="1" x14ac:dyDescent="0.25">
      <c r="C313" s="1453" t="s">
        <v>2285</v>
      </c>
      <c r="D313" s="1453"/>
      <c r="E313" s="423">
        <f>IF(OR($E297="N/A",$E297=0),0,IF($E303="Yes",(E310*$E302*$E304),E310*$E302))</f>
        <v>0</v>
      </c>
      <c r="F313" s="423">
        <f t="shared" ref="F313:AH313" si="1609">IF(OR($E297="N/A",$E297=0),0,IF($E303="Yes",(F310*$E302*$E304),F310*$E302))</f>
        <v>0</v>
      </c>
      <c r="G313" s="423">
        <f t="shared" si="1609"/>
        <v>0</v>
      </c>
      <c r="H313" s="423">
        <f t="shared" si="1609"/>
        <v>0</v>
      </c>
      <c r="I313" s="423">
        <f t="shared" si="1609"/>
        <v>0</v>
      </c>
      <c r="J313" s="423">
        <f t="shared" si="1609"/>
        <v>0</v>
      </c>
      <c r="K313" s="423">
        <f t="shared" si="1609"/>
        <v>0</v>
      </c>
      <c r="L313" s="423">
        <f t="shared" si="1609"/>
        <v>0</v>
      </c>
      <c r="M313" s="423">
        <f t="shared" si="1609"/>
        <v>0</v>
      </c>
      <c r="N313" s="423">
        <f t="shared" si="1609"/>
        <v>0</v>
      </c>
      <c r="O313" s="423">
        <f t="shared" si="1609"/>
        <v>0</v>
      </c>
      <c r="P313" s="423">
        <f t="shared" si="1609"/>
        <v>0</v>
      </c>
      <c r="Q313" s="423">
        <f t="shared" si="1609"/>
        <v>0</v>
      </c>
      <c r="R313" s="423">
        <f t="shared" si="1609"/>
        <v>0</v>
      </c>
      <c r="S313" s="441">
        <f t="shared" si="1609"/>
        <v>0</v>
      </c>
      <c r="T313" s="434">
        <f t="shared" si="1609"/>
        <v>0</v>
      </c>
      <c r="U313" s="423">
        <f t="shared" si="1609"/>
        <v>0</v>
      </c>
      <c r="V313" s="423">
        <f t="shared" si="1609"/>
        <v>0</v>
      </c>
      <c r="W313" s="423">
        <f t="shared" si="1609"/>
        <v>0</v>
      </c>
      <c r="X313" s="423">
        <f t="shared" si="1609"/>
        <v>0</v>
      </c>
      <c r="Y313" s="423">
        <f t="shared" si="1609"/>
        <v>0</v>
      </c>
      <c r="Z313" s="423">
        <f t="shared" si="1609"/>
        <v>0</v>
      </c>
      <c r="AA313" s="423">
        <f t="shared" si="1609"/>
        <v>0</v>
      </c>
      <c r="AB313" s="423">
        <f t="shared" si="1609"/>
        <v>0</v>
      </c>
      <c r="AC313" s="423">
        <f t="shared" si="1609"/>
        <v>0</v>
      </c>
      <c r="AD313" s="423">
        <f t="shared" si="1609"/>
        <v>0</v>
      </c>
      <c r="AE313" s="423">
        <f t="shared" si="1609"/>
        <v>0</v>
      </c>
      <c r="AF313" s="423">
        <f t="shared" si="1609"/>
        <v>0</v>
      </c>
      <c r="AG313" s="423">
        <f t="shared" si="1609"/>
        <v>0</v>
      </c>
      <c r="AH313" s="423">
        <f t="shared" si="1609"/>
        <v>0</v>
      </c>
    </row>
    <row r="314" spans="3:34" ht="15" thickTop="1" x14ac:dyDescent="0.2">
      <c r="C314" s="1449" t="s">
        <v>2189</v>
      </c>
      <c r="D314" s="1449"/>
      <c r="E314" s="316">
        <f>IF(OR($E297="N/A",E308&gt;$E300,E308&lt;$E301),0,MAX(0,E297))</f>
        <v>0</v>
      </c>
      <c r="F314" s="316">
        <f t="shared" ref="F314" si="1610">IF(OR($E297="N/A",F308&gt;$E300),0,IF(F308=$E301,$E297,MAX(E320,0)))</f>
        <v>0</v>
      </c>
      <c r="G314" s="316">
        <f t="shared" ref="G314" si="1611">IF(OR($E297="N/A",G308&gt;$E300),0,IF(G308=$E301,$E297,MAX(F320,0)))</f>
        <v>0</v>
      </c>
      <c r="H314" s="316">
        <f t="shared" ref="H314" si="1612">IF(OR($E297="N/A",H308&gt;$E300),0,IF(H308=$E301,$E297,MAX(G320,0)))</f>
        <v>0</v>
      </c>
      <c r="I314" s="316">
        <f t="shared" ref="I314" si="1613">IF(OR($E297="N/A",I308&gt;$E300),0,IF(I308=$E301,$E297,MAX(H320,0)))</f>
        <v>0</v>
      </c>
      <c r="J314" s="316">
        <f t="shared" ref="J314" si="1614">IF(OR($E297="N/A",J308&gt;$E300),0,IF(J308=$E301,$E297,MAX(I320,0)))</f>
        <v>0</v>
      </c>
      <c r="K314" s="316">
        <f t="shared" ref="K314" si="1615">IF(OR($E297="N/A",K308&gt;$E300),0,IF(K308=$E301,$E297,MAX(J320,0)))</f>
        <v>0</v>
      </c>
      <c r="L314" s="316">
        <f t="shared" ref="L314" si="1616">IF(OR($E297="N/A",L308&gt;$E300),0,IF(L308=$E301,$E297,MAX(K320,0)))</f>
        <v>0</v>
      </c>
      <c r="M314" s="316">
        <f t="shared" ref="M314" si="1617">IF(OR($E297="N/A",M308&gt;$E300),0,IF(M308=$E301,$E297,MAX(L320,0)))</f>
        <v>0</v>
      </c>
      <c r="N314" s="316">
        <f t="shared" ref="N314" si="1618">IF(OR($E297="N/A",N308&gt;$E300),0,IF(N308=$E301,$E297,MAX(M320,0)))</f>
        <v>0</v>
      </c>
      <c r="O314" s="316">
        <f t="shared" ref="O314" si="1619">IF(OR($E297="N/A",O308&gt;$E300),0,IF(O308=$E301,$E297,MAX(N320,0)))</f>
        <v>0</v>
      </c>
      <c r="P314" s="316">
        <f t="shared" ref="P314" si="1620">IF(OR($E297="N/A",P308&gt;$E300),0,IF(P308=$E301,$E297,MAX(O320,0)))</f>
        <v>0</v>
      </c>
      <c r="Q314" s="316">
        <f t="shared" ref="Q314" si="1621">IF(OR($E297="N/A",Q308&gt;$E300),0,IF(Q308=$E301,$E297,MAX(P320,0)))</f>
        <v>0</v>
      </c>
      <c r="R314" s="316">
        <f t="shared" ref="R314" si="1622">IF(OR($E297="N/A",R308&gt;$E300),0,IF(R308=$E301,$E297,MAX(Q320,0)))</f>
        <v>0</v>
      </c>
      <c r="S314" s="332">
        <f t="shared" ref="S314" si="1623">IF(OR($E297="N/A",S308&gt;$E300),0,IF(S308=$E301,$E297,MAX(R320,0)))</f>
        <v>0</v>
      </c>
      <c r="T314" s="429">
        <f t="shared" ref="T314" si="1624">IF(OR($E297="N/A",T308&gt;$E300),0,IF(T308=$E301,$E297,MAX(S320,0)))</f>
        <v>0</v>
      </c>
      <c r="U314" s="316">
        <f t="shared" ref="U314" si="1625">IF(OR($E297="N/A",U308&gt;$E300),0,IF(U308=$E301,$E297,MAX(T320,0)))</f>
        <v>0</v>
      </c>
      <c r="V314" s="316">
        <f t="shared" ref="V314" si="1626">IF(OR($E297="N/A",V308&gt;$E300),0,IF(V308=$E301,$E297,MAX(U320,0)))</f>
        <v>0</v>
      </c>
      <c r="W314" s="316">
        <f t="shared" ref="W314" si="1627">IF(OR($E297="N/A",W308&gt;$E300),0,IF(W308=$E301,$E297,MAX(V320,0)))</f>
        <v>0</v>
      </c>
      <c r="X314" s="316">
        <f t="shared" ref="X314" si="1628">IF(OR($E297="N/A",X308&gt;$E300),0,IF(X308=$E301,$E297,MAX(W320,0)))</f>
        <v>0</v>
      </c>
      <c r="Y314" s="316">
        <f t="shared" ref="Y314" si="1629">IF(OR($E297="N/A",Y308&gt;$E300),0,IF(Y308=$E301,$E297,MAX(X320,0)))</f>
        <v>0</v>
      </c>
      <c r="Z314" s="316">
        <f t="shared" ref="Z314" si="1630">IF(OR($E297="N/A",Z308&gt;$E300),0,IF(Z308=$E301,$E297,MAX(Y320,0)))</f>
        <v>0</v>
      </c>
      <c r="AA314" s="316">
        <f t="shared" ref="AA314" si="1631">IF(OR($E297="N/A",AA308&gt;$E300),0,IF(AA308=$E301,$E297,MAX(Z320,0)))</f>
        <v>0</v>
      </c>
      <c r="AB314" s="316">
        <f t="shared" ref="AB314" si="1632">IF(OR($E297="N/A",AB308&gt;$E300),0,IF(AB308=$E301,$E297,MAX(AA320,0)))</f>
        <v>0</v>
      </c>
      <c r="AC314" s="316">
        <f t="shared" ref="AC314" si="1633">IF(OR($E297="N/A",AC308&gt;$E300),0,IF(AC308=$E301,$E297,MAX(AB320,0)))</f>
        <v>0</v>
      </c>
      <c r="AD314" s="316">
        <f t="shared" ref="AD314" si="1634">IF(OR($E297="N/A",AD308&gt;$E300),0,IF(AD308=$E301,$E297,MAX(AC320,0)))</f>
        <v>0</v>
      </c>
      <c r="AE314" s="316">
        <f t="shared" ref="AE314" si="1635">IF(OR($E297="N/A",AE308&gt;$E300),0,IF(AE308=$E301,$E297,MAX(AD320,0)))</f>
        <v>0</v>
      </c>
      <c r="AF314" s="316">
        <f t="shared" ref="AF314" si="1636">IF(OR($E297="N/A",AF308&gt;$E300),0,IF(AF308=$E301,$E297,MAX(AE320,0)))</f>
        <v>0</v>
      </c>
      <c r="AG314" s="316">
        <f t="shared" ref="AG314" si="1637">IF(OR($E297="N/A",AG308&gt;$E300),0,IF(AG308=$E301,$E297,MAX(AF320,0)))</f>
        <v>0</v>
      </c>
      <c r="AH314" s="316">
        <f t="shared" ref="AH314" si="1638">IF(OR($E297="N/A",AH308&gt;$E300),0,IF(AH308=$E301,$E297,MAX(AG320,0)))</f>
        <v>0</v>
      </c>
    </row>
    <row r="315" spans="3:34" x14ac:dyDescent="0.2">
      <c r="C315" s="1181" t="s">
        <v>2186</v>
      </c>
      <c r="D315" s="1181"/>
      <c r="E315" s="109">
        <f t="shared" ref="E315:AH315" si="1639">IF(OR($E297="N/A",E308&gt;$E300,E308&lt;$E301),0,E314*$E298)</f>
        <v>0</v>
      </c>
      <c r="F315" s="109">
        <f t="shared" si="1639"/>
        <v>0</v>
      </c>
      <c r="G315" s="109">
        <f t="shared" si="1639"/>
        <v>0</v>
      </c>
      <c r="H315" s="109">
        <f t="shared" si="1639"/>
        <v>0</v>
      </c>
      <c r="I315" s="109">
        <f t="shared" si="1639"/>
        <v>0</v>
      </c>
      <c r="J315" s="109">
        <f t="shared" si="1639"/>
        <v>0</v>
      </c>
      <c r="K315" s="109">
        <f t="shared" si="1639"/>
        <v>0</v>
      </c>
      <c r="L315" s="109">
        <f t="shared" si="1639"/>
        <v>0</v>
      </c>
      <c r="M315" s="109">
        <f t="shared" si="1639"/>
        <v>0</v>
      </c>
      <c r="N315" s="109">
        <f t="shared" si="1639"/>
        <v>0</v>
      </c>
      <c r="O315" s="109">
        <f t="shared" si="1639"/>
        <v>0</v>
      </c>
      <c r="P315" s="109">
        <f t="shared" si="1639"/>
        <v>0</v>
      </c>
      <c r="Q315" s="109">
        <f t="shared" si="1639"/>
        <v>0</v>
      </c>
      <c r="R315" s="109">
        <f t="shared" si="1639"/>
        <v>0</v>
      </c>
      <c r="S315" s="331">
        <f t="shared" si="1639"/>
        <v>0</v>
      </c>
      <c r="T315" s="228">
        <f t="shared" si="1639"/>
        <v>0</v>
      </c>
      <c r="U315" s="109">
        <f t="shared" si="1639"/>
        <v>0</v>
      </c>
      <c r="V315" s="109">
        <f t="shared" si="1639"/>
        <v>0</v>
      </c>
      <c r="W315" s="109">
        <f t="shared" si="1639"/>
        <v>0</v>
      </c>
      <c r="X315" s="109">
        <f t="shared" si="1639"/>
        <v>0</v>
      </c>
      <c r="Y315" s="109">
        <f t="shared" si="1639"/>
        <v>0</v>
      </c>
      <c r="Z315" s="109">
        <f t="shared" si="1639"/>
        <v>0</v>
      </c>
      <c r="AA315" s="109">
        <f t="shared" si="1639"/>
        <v>0</v>
      </c>
      <c r="AB315" s="109">
        <f t="shared" si="1639"/>
        <v>0</v>
      </c>
      <c r="AC315" s="109">
        <f t="shared" si="1639"/>
        <v>0</v>
      </c>
      <c r="AD315" s="109">
        <f t="shared" si="1639"/>
        <v>0</v>
      </c>
      <c r="AE315" s="109">
        <f t="shared" si="1639"/>
        <v>0</v>
      </c>
      <c r="AF315" s="109">
        <f t="shared" si="1639"/>
        <v>0</v>
      </c>
      <c r="AG315" s="109">
        <f t="shared" si="1639"/>
        <v>0</v>
      </c>
      <c r="AH315" s="109">
        <f t="shared" si="1639"/>
        <v>0</v>
      </c>
    </row>
    <row r="316" spans="3:34" x14ac:dyDescent="0.2">
      <c r="C316" s="1181" t="s">
        <v>2270</v>
      </c>
      <c r="D316" s="1181"/>
      <c r="E316" s="346">
        <f t="shared" ref="E316:AH316" si="1640">IF(OR($E297="N/A",E308&gt;$E300,E308&lt;$E301),0,MAX(0,MIN(E315,E313)))</f>
        <v>0</v>
      </c>
      <c r="F316" s="346">
        <f t="shared" si="1640"/>
        <v>0</v>
      </c>
      <c r="G316" s="346">
        <f t="shared" si="1640"/>
        <v>0</v>
      </c>
      <c r="H316" s="346">
        <f t="shared" si="1640"/>
        <v>0</v>
      </c>
      <c r="I316" s="346">
        <f t="shared" si="1640"/>
        <v>0</v>
      </c>
      <c r="J316" s="346">
        <f t="shared" si="1640"/>
        <v>0</v>
      </c>
      <c r="K316" s="346">
        <f t="shared" si="1640"/>
        <v>0</v>
      </c>
      <c r="L316" s="346">
        <f t="shared" si="1640"/>
        <v>0</v>
      </c>
      <c r="M316" s="346">
        <f t="shared" si="1640"/>
        <v>0</v>
      </c>
      <c r="N316" s="346">
        <f t="shared" si="1640"/>
        <v>0</v>
      </c>
      <c r="O316" s="346">
        <f t="shared" si="1640"/>
        <v>0</v>
      </c>
      <c r="P316" s="346">
        <f t="shared" si="1640"/>
        <v>0</v>
      </c>
      <c r="Q316" s="346">
        <f t="shared" si="1640"/>
        <v>0</v>
      </c>
      <c r="R316" s="346">
        <f t="shared" si="1640"/>
        <v>0</v>
      </c>
      <c r="S316" s="442">
        <f t="shared" si="1640"/>
        <v>0</v>
      </c>
      <c r="T316" s="435">
        <f t="shared" si="1640"/>
        <v>0</v>
      </c>
      <c r="U316" s="346">
        <f t="shared" si="1640"/>
        <v>0</v>
      </c>
      <c r="V316" s="346">
        <f t="shared" si="1640"/>
        <v>0</v>
      </c>
      <c r="W316" s="346">
        <f t="shared" si="1640"/>
        <v>0</v>
      </c>
      <c r="X316" s="346">
        <f t="shared" si="1640"/>
        <v>0</v>
      </c>
      <c r="Y316" s="346">
        <f t="shared" si="1640"/>
        <v>0</v>
      </c>
      <c r="Z316" s="346">
        <f t="shared" si="1640"/>
        <v>0</v>
      </c>
      <c r="AA316" s="346">
        <f t="shared" si="1640"/>
        <v>0</v>
      </c>
      <c r="AB316" s="346">
        <f t="shared" si="1640"/>
        <v>0</v>
      </c>
      <c r="AC316" s="346">
        <f t="shared" si="1640"/>
        <v>0</v>
      </c>
      <c r="AD316" s="346">
        <f t="shared" si="1640"/>
        <v>0</v>
      </c>
      <c r="AE316" s="346">
        <f t="shared" si="1640"/>
        <v>0</v>
      </c>
      <c r="AF316" s="346">
        <f t="shared" si="1640"/>
        <v>0</v>
      </c>
      <c r="AG316" s="346">
        <f t="shared" si="1640"/>
        <v>0</v>
      </c>
      <c r="AH316" s="346">
        <f t="shared" si="1640"/>
        <v>0</v>
      </c>
    </row>
    <row r="317" spans="3:34" x14ac:dyDescent="0.2">
      <c r="C317" s="1181" t="s">
        <v>2271</v>
      </c>
      <c r="D317" s="1181"/>
      <c r="E317" s="346">
        <f t="shared" ref="E317:AH317" si="1641">IF(OR($E297="N/A",E308&gt;$E300,E308&lt;$E301),0,E316-E315)</f>
        <v>0</v>
      </c>
      <c r="F317" s="346">
        <f t="shared" si="1641"/>
        <v>0</v>
      </c>
      <c r="G317" s="346">
        <f t="shared" si="1641"/>
        <v>0</v>
      </c>
      <c r="H317" s="346">
        <f t="shared" si="1641"/>
        <v>0</v>
      </c>
      <c r="I317" s="346">
        <f t="shared" si="1641"/>
        <v>0</v>
      </c>
      <c r="J317" s="346">
        <f t="shared" si="1641"/>
        <v>0</v>
      </c>
      <c r="K317" s="346">
        <f t="shared" si="1641"/>
        <v>0</v>
      </c>
      <c r="L317" s="346">
        <f t="shared" si="1641"/>
        <v>0</v>
      </c>
      <c r="M317" s="346">
        <f t="shared" si="1641"/>
        <v>0</v>
      </c>
      <c r="N317" s="346">
        <f t="shared" si="1641"/>
        <v>0</v>
      </c>
      <c r="O317" s="346">
        <f t="shared" si="1641"/>
        <v>0</v>
      </c>
      <c r="P317" s="346">
        <f t="shared" si="1641"/>
        <v>0</v>
      </c>
      <c r="Q317" s="346">
        <f t="shared" si="1641"/>
        <v>0</v>
      </c>
      <c r="R317" s="346">
        <f t="shared" si="1641"/>
        <v>0</v>
      </c>
      <c r="S317" s="442">
        <f t="shared" si="1641"/>
        <v>0</v>
      </c>
      <c r="T317" s="435">
        <f t="shared" si="1641"/>
        <v>0</v>
      </c>
      <c r="U317" s="346">
        <f t="shared" si="1641"/>
        <v>0</v>
      </c>
      <c r="V317" s="346">
        <f t="shared" si="1641"/>
        <v>0</v>
      </c>
      <c r="W317" s="346">
        <f t="shared" si="1641"/>
        <v>0</v>
      </c>
      <c r="X317" s="346">
        <f t="shared" si="1641"/>
        <v>0</v>
      </c>
      <c r="Y317" s="346">
        <f t="shared" si="1641"/>
        <v>0</v>
      </c>
      <c r="Z317" s="346">
        <f t="shared" si="1641"/>
        <v>0</v>
      </c>
      <c r="AA317" s="346">
        <f t="shared" si="1641"/>
        <v>0</v>
      </c>
      <c r="AB317" s="346">
        <f t="shared" si="1641"/>
        <v>0</v>
      </c>
      <c r="AC317" s="346">
        <f t="shared" si="1641"/>
        <v>0</v>
      </c>
      <c r="AD317" s="346">
        <f t="shared" si="1641"/>
        <v>0</v>
      </c>
      <c r="AE317" s="346">
        <f t="shared" si="1641"/>
        <v>0</v>
      </c>
      <c r="AF317" s="346">
        <f t="shared" si="1641"/>
        <v>0</v>
      </c>
      <c r="AG317" s="346">
        <f t="shared" si="1641"/>
        <v>0</v>
      </c>
      <c r="AH317" s="346">
        <f t="shared" si="1641"/>
        <v>0</v>
      </c>
    </row>
    <row r="318" spans="3:34" ht="15" thickBot="1" x14ac:dyDescent="0.25">
      <c r="C318" s="1448" t="s">
        <v>2272</v>
      </c>
      <c r="D318" s="1448"/>
      <c r="E318" s="411">
        <f>IF(OR($E297="N/A",E308&gt;$E300,E308&lt;$E301),0,MAX(0,MIN(E313-E316,E314)))</f>
        <v>0</v>
      </c>
      <c r="F318" s="411">
        <f>IF(OR($E297="N/A",F308&gt;$E300,F308&lt;$E301),0,MAX(0,MIN(F313-F316,F314)))</f>
        <v>0</v>
      </c>
      <c r="G318" s="411">
        <f t="shared" ref="G318:AH318" si="1642">IF(OR($E297="N/A",G308&gt;$E300,G308&lt;$E301),0,MAX(0,MIN(G313-G316,G314)))</f>
        <v>0</v>
      </c>
      <c r="H318" s="411">
        <f t="shared" si="1642"/>
        <v>0</v>
      </c>
      <c r="I318" s="411">
        <f t="shared" si="1642"/>
        <v>0</v>
      </c>
      <c r="J318" s="411">
        <f t="shared" si="1642"/>
        <v>0</v>
      </c>
      <c r="K318" s="411">
        <f t="shared" si="1642"/>
        <v>0</v>
      </c>
      <c r="L318" s="411">
        <f t="shared" si="1642"/>
        <v>0</v>
      </c>
      <c r="M318" s="411">
        <f t="shared" si="1642"/>
        <v>0</v>
      </c>
      <c r="N318" s="411">
        <f t="shared" si="1642"/>
        <v>0</v>
      </c>
      <c r="O318" s="411">
        <f t="shared" si="1642"/>
        <v>0</v>
      </c>
      <c r="P318" s="411">
        <f t="shared" si="1642"/>
        <v>0</v>
      </c>
      <c r="Q318" s="411">
        <f t="shared" si="1642"/>
        <v>0</v>
      </c>
      <c r="R318" s="411">
        <f t="shared" si="1642"/>
        <v>0</v>
      </c>
      <c r="S318" s="443">
        <f t="shared" si="1642"/>
        <v>0</v>
      </c>
      <c r="T318" s="431">
        <f t="shared" si="1642"/>
        <v>0</v>
      </c>
      <c r="U318" s="411">
        <f t="shared" si="1642"/>
        <v>0</v>
      </c>
      <c r="V318" s="411">
        <f t="shared" si="1642"/>
        <v>0</v>
      </c>
      <c r="W318" s="411">
        <f t="shared" si="1642"/>
        <v>0</v>
      </c>
      <c r="X318" s="411">
        <f t="shared" si="1642"/>
        <v>0</v>
      </c>
      <c r="Y318" s="411">
        <f t="shared" si="1642"/>
        <v>0</v>
      </c>
      <c r="Z318" s="411">
        <f t="shared" si="1642"/>
        <v>0</v>
      </c>
      <c r="AA318" s="411">
        <f t="shared" si="1642"/>
        <v>0</v>
      </c>
      <c r="AB318" s="411">
        <f t="shared" si="1642"/>
        <v>0</v>
      </c>
      <c r="AC318" s="411">
        <f t="shared" si="1642"/>
        <v>0</v>
      </c>
      <c r="AD318" s="411">
        <f t="shared" si="1642"/>
        <v>0</v>
      </c>
      <c r="AE318" s="411">
        <f t="shared" si="1642"/>
        <v>0</v>
      </c>
      <c r="AF318" s="411">
        <f t="shared" si="1642"/>
        <v>0</v>
      </c>
      <c r="AG318" s="411">
        <f t="shared" si="1642"/>
        <v>0</v>
      </c>
      <c r="AH318" s="411">
        <f t="shared" si="1642"/>
        <v>0</v>
      </c>
    </row>
    <row r="319" spans="3:34" ht="15" thickTop="1" x14ac:dyDescent="0.2">
      <c r="C319" s="1449" t="s">
        <v>2282</v>
      </c>
      <c r="D319" s="1449"/>
      <c r="E319" s="430">
        <f>SUM(E316,E318)</f>
        <v>0</v>
      </c>
      <c r="F319" s="430">
        <f>SUM(F316,F318)</f>
        <v>0</v>
      </c>
      <c r="G319" s="430">
        <f t="shared" ref="G319" si="1643">SUM(G316,G318)</f>
        <v>0</v>
      </c>
      <c r="H319" s="430">
        <f t="shared" ref="H319" si="1644">SUM(H316,H318)</f>
        <v>0</v>
      </c>
      <c r="I319" s="430">
        <f t="shared" ref="I319" si="1645">SUM(I316,I318)</f>
        <v>0</v>
      </c>
      <c r="J319" s="430">
        <f t="shared" ref="J319" si="1646">SUM(J316,J318)</f>
        <v>0</v>
      </c>
      <c r="K319" s="430">
        <f t="shared" ref="K319" si="1647">SUM(K316,K318)</f>
        <v>0</v>
      </c>
      <c r="L319" s="430">
        <f t="shared" ref="L319" si="1648">SUM(L316,L318)</f>
        <v>0</v>
      </c>
      <c r="M319" s="430">
        <f t="shared" ref="M319" si="1649">SUM(M316,M318)</f>
        <v>0</v>
      </c>
      <c r="N319" s="430">
        <f t="shared" ref="N319" si="1650">SUM(N316,N318)</f>
        <v>0</v>
      </c>
      <c r="O319" s="430">
        <f t="shared" ref="O319" si="1651">SUM(O316,O318)</f>
        <v>0</v>
      </c>
      <c r="P319" s="430">
        <f t="shared" ref="P319" si="1652">SUM(P316,P318)</f>
        <v>0</v>
      </c>
      <c r="Q319" s="430">
        <f t="shared" ref="Q319" si="1653">SUM(Q316,Q318)</f>
        <v>0</v>
      </c>
      <c r="R319" s="430">
        <f t="shared" ref="R319" si="1654">SUM(R316,R318)</f>
        <v>0</v>
      </c>
      <c r="S319" s="444">
        <f t="shared" ref="S319" si="1655">SUM(S316,S318)</f>
        <v>0</v>
      </c>
      <c r="T319" s="436">
        <f t="shared" ref="T319" si="1656">SUM(T316,T318)</f>
        <v>0</v>
      </c>
      <c r="U319" s="430">
        <f t="shared" ref="U319" si="1657">SUM(U316,U318)</f>
        <v>0</v>
      </c>
      <c r="V319" s="430">
        <f t="shared" ref="V319" si="1658">SUM(V316,V318)</f>
        <v>0</v>
      </c>
      <c r="W319" s="430">
        <f t="shared" ref="W319" si="1659">SUM(W316,W318)</f>
        <v>0</v>
      </c>
      <c r="X319" s="430">
        <f t="shared" ref="X319" si="1660">SUM(X316,X318)</f>
        <v>0</v>
      </c>
      <c r="Y319" s="430">
        <f t="shared" ref="Y319" si="1661">SUM(Y316,Y318)</f>
        <v>0</v>
      </c>
      <c r="Z319" s="430">
        <f t="shared" ref="Z319" si="1662">SUM(Z316,Z318)</f>
        <v>0</v>
      </c>
      <c r="AA319" s="430">
        <f t="shared" ref="AA319" si="1663">SUM(AA316,AA318)</f>
        <v>0</v>
      </c>
      <c r="AB319" s="430">
        <f t="shared" ref="AB319" si="1664">SUM(AB316,AB318)</f>
        <v>0</v>
      </c>
      <c r="AC319" s="430">
        <f t="shared" ref="AC319" si="1665">SUM(AC316,AC318)</f>
        <v>0</v>
      </c>
      <c r="AD319" s="430">
        <f t="shared" ref="AD319" si="1666">SUM(AD316,AD318)</f>
        <v>0</v>
      </c>
      <c r="AE319" s="430">
        <f t="shared" ref="AE319" si="1667">SUM(AE316,AE318)</f>
        <v>0</v>
      </c>
      <c r="AF319" s="430">
        <f t="shared" ref="AF319" si="1668">SUM(AF316,AF318)</f>
        <v>0</v>
      </c>
      <c r="AG319" s="430">
        <f t="shared" ref="AG319" si="1669">SUM(AG316,AG318)</f>
        <v>0</v>
      </c>
      <c r="AH319" s="430">
        <f t="shared" ref="AH319" si="1670">SUM(AH316,AH318)</f>
        <v>0</v>
      </c>
    </row>
    <row r="320" spans="3:34" x14ac:dyDescent="0.2">
      <c r="C320" s="1181" t="s">
        <v>2190</v>
      </c>
      <c r="D320" s="1181"/>
      <c r="E320" s="342">
        <f>IF(OR($E297="N/A",E308&gt;$E300,E308&lt;$E301),0,IF($E299="Compound",E314-E318-E317,MAX(0,E314-E318)))</f>
        <v>0</v>
      </c>
      <c r="F320" s="342">
        <f>IF(OR($E297="N/A",F308&gt;$E300,F308&lt;$E301),0,IF($E299="Compound",F314-F318-F317,MAX(0,F314-F318)))</f>
        <v>0</v>
      </c>
      <c r="G320" s="342">
        <f t="shared" ref="G320:AH320" si="1671">IF(OR($E297="N/A",G308&gt;$E300,G308&lt;$E301),0,IF($E299="Compound",G314-G318-G317,MAX(0,G314-G318)))</f>
        <v>0</v>
      </c>
      <c r="H320" s="342">
        <f t="shared" si="1671"/>
        <v>0</v>
      </c>
      <c r="I320" s="342">
        <f t="shared" si="1671"/>
        <v>0</v>
      </c>
      <c r="J320" s="342">
        <f t="shared" si="1671"/>
        <v>0</v>
      </c>
      <c r="K320" s="342">
        <f t="shared" si="1671"/>
        <v>0</v>
      </c>
      <c r="L320" s="342">
        <f t="shared" si="1671"/>
        <v>0</v>
      </c>
      <c r="M320" s="342">
        <f t="shared" si="1671"/>
        <v>0</v>
      </c>
      <c r="N320" s="342">
        <f t="shared" si="1671"/>
        <v>0</v>
      </c>
      <c r="O320" s="342">
        <f t="shared" si="1671"/>
        <v>0</v>
      </c>
      <c r="P320" s="342">
        <f t="shared" si="1671"/>
        <v>0</v>
      </c>
      <c r="Q320" s="342">
        <f t="shared" si="1671"/>
        <v>0</v>
      </c>
      <c r="R320" s="342">
        <f t="shared" si="1671"/>
        <v>0</v>
      </c>
      <c r="S320" s="445">
        <f t="shared" si="1671"/>
        <v>0</v>
      </c>
      <c r="T320" s="437">
        <f t="shared" si="1671"/>
        <v>0</v>
      </c>
      <c r="U320" s="342">
        <f t="shared" si="1671"/>
        <v>0</v>
      </c>
      <c r="V320" s="342">
        <f t="shared" si="1671"/>
        <v>0</v>
      </c>
      <c r="W320" s="342">
        <f t="shared" si="1671"/>
        <v>0</v>
      </c>
      <c r="X320" s="342">
        <f t="shared" si="1671"/>
        <v>0</v>
      </c>
      <c r="Y320" s="342">
        <f t="shared" si="1671"/>
        <v>0</v>
      </c>
      <c r="Z320" s="342">
        <f t="shared" si="1671"/>
        <v>0</v>
      </c>
      <c r="AA320" s="342">
        <f t="shared" si="1671"/>
        <v>0</v>
      </c>
      <c r="AB320" s="342">
        <f t="shared" si="1671"/>
        <v>0</v>
      </c>
      <c r="AC320" s="342">
        <f t="shared" si="1671"/>
        <v>0</v>
      </c>
      <c r="AD320" s="342">
        <f t="shared" si="1671"/>
        <v>0</v>
      </c>
      <c r="AE320" s="342">
        <f t="shared" si="1671"/>
        <v>0</v>
      </c>
      <c r="AF320" s="342">
        <f t="shared" si="1671"/>
        <v>0</v>
      </c>
      <c r="AG320" s="342">
        <f t="shared" si="1671"/>
        <v>0</v>
      </c>
      <c r="AH320" s="342">
        <f t="shared" si="1671"/>
        <v>0</v>
      </c>
    </row>
    <row r="321" spans="3:34" x14ac:dyDescent="0.2">
      <c r="C321" s="317"/>
      <c r="D321" s="317"/>
      <c r="E321" s="74"/>
      <c r="F321" s="74"/>
      <c r="G321" s="74"/>
      <c r="H321" s="74"/>
      <c r="I321" s="74"/>
      <c r="J321" s="74"/>
      <c r="K321" s="74"/>
      <c r="L321" s="74"/>
      <c r="M321" s="74"/>
      <c r="N321" s="74"/>
      <c r="O321" s="74"/>
      <c r="P321" s="74"/>
      <c r="Q321" s="74"/>
      <c r="R321" s="74"/>
      <c r="S321" s="333"/>
      <c r="T321" s="74"/>
      <c r="U321" s="74"/>
      <c r="V321" s="74"/>
      <c r="W321" s="74"/>
      <c r="X321" s="74"/>
      <c r="Y321" s="74"/>
      <c r="Z321" s="74"/>
      <c r="AA321" s="74"/>
      <c r="AB321" s="74"/>
      <c r="AC321" s="74"/>
      <c r="AD321" s="74"/>
      <c r="AE321" s="74"/>
      <c r="AF321" s="74"/>
      <c r="AG321" s="74"/>
      <c r="AH321" s="74"/>
    </row>
    <row r="322" spans="3:34" ht="15" x14ac:dyDescent="0.2">
      <c r="C322" s="432" t="s">
        <v>2287</v>
      </c>
      <c r="D322" s="317"/>
      <c r="E322" s="74"/>
      <c r="F322" s="74"/>
      <c r="G322" s="74"/>
      <c r="H322" s="74"/>
      <c r="I322" s="74"/>
      <c r="J322" s="74"/>
      <c r="K322" s="74"/>
      <c r="L322" s="74"/>
      <c r="M322" s="74"/>
      <c r="N322" s="74"/>
      <c r="O322" s="74"/>
      <c r="P322" s="74"/>
      <c r="Q322" s="74"/>
      <c r="R322" s="74"/>
      <c r="S322" s="333"/>
      <c r="T322" s="74"/>
      <c r="U322" s="74"/>
      <c r="V322" s="74"/>
      <c r="W322" s="74"/>
      <c r="X322" s="74"/>
      <c r="Y322" s="74"/>
      <c r="Z322" s="74"/>
      <c r="AA322" s="74"/>
      <c r="AB322" s="74"/>
      <c r="AC322" s="74"/>
      <c r="AD322" s="74"/>
      <c r="AE322" s="74"/>
      <c r="AF322" s="74"/>
      <c r="AG322" s="74"/>
      <c r="AH322" s="74"/>
    </row>
    <row r="323" spans="3:34" x14ac:dyDescent="0.2">
      <c r="C323" s="1234" t="s">
        <v>2273</v>
      </c>
      <c r="D323" s="1234"/>
      <c r="E323" s="421">
        <f>IF($I297="N/A",0,IF(E308&gt;$I302,0,MIN($I301,$I297*$I299)))</f>
        <v>0</v>
      </c>
      <c r="F323" s="236">
        <f t="shared" ref="F323" si="1672">IF($I297="N/A",0,IF(F308&gt;$I302,0,MIN($I301,$I297*$I299*(1+$I298)^E$63)))</f>
        <v>0</v>
      </c>
      <c r="G323" s="236">
        <f t="shared" ref="G323" si="1673">IF($I297="N/A",0,IF(G308&gt;$I302,0,MIN($I301,$I297*$I299*(1+$I298)^F$63)))</f>
        <v>0</v>
      </c>
      <c r="H323" s="236">
        <f t="shared" ref="H323" si="1674">IF($I297="N/A",0,IF(H308&gt;$I302,0,MIN($I301,$I297*$I299*(1+$I298)^G$63)))</f>
        <v>0</v>
      </c>
      <c r="I323" s="236">
        <f t="shared" ref="I323" si="1675">IF($I297="N/A",0,IF(I308&gt;$I302,0,MIN($I301,$I297*$I299*(1+$I298)^H$63)))</f>
        <v>0</v>
      </c>
      <c r="J323" s="236">
        <f t="shared" ref="J323" si="1676">IF($I297="N/A",0,IF(J308&gt;$I302,0,MIN($I301,$I297*$I299*(1+$I298)^I$63)))</f>
        <v>0</v>
      </c>
      <c r="K323" s="236">
        <f t="shared" ref="K323" si="1677">IF($I297="N/A",0,IF(K308&gt;$I302,0,MIN($I301,$I297*$I299*(1+$I298)^J$63)))</f>
        <v>0</v>
      </c>
      <c r="L323" s="236">
        <f t="shared" ref="L323" si="1678">IF($I297="N/A",0,IF(L308&gt;$I302,0,MIN($I301,$I297*$I299*(1+$I298)^K$63)))</f>
        <v>0</v>
      </c>
      <c r="M323" s="236">
        <f t="shared" ref="M323" si="1679">IF($I297="N/A",0,IF(M308&gt;$I302,0,MIN($I301,$I297*$I299*(1+$I298)^L$63)))</f>
        <v>0</v>
      </c>
      <c r="N323" s="236">
        <f t="shared" ref="N323" si="1680">IF($I297="N/A",0,IF(N308&gt;$I302,0,MIN($I301,$I297*$I299*(1+$I298)^M$63)))</f>
        <v>0</v>
      </c>
      <c r="O323" s="236">
        <f t="shared" ref="O323" si="1681">IF($I297="N/A",0,IF(O308&gt;$I302,0,MIN($I301,$I297*$I299*(1+$I298)^N$63)))</f>
        <v>0</v>
      </c>
      <c r="P323" s="236">
        <f t="shared" ref="P323" si="1682">IF($I297="N/A",0,IF(P308&gt;$I302,0,MIN($I301,$I297*$I299*(1+$I298)^O$63)))</f>
        <v>0</v>
      </c>
      <c r="Q323" s="236">
        <f t="shared" ref="Q323" si="1683">IF($I297="N/A",0,IF(Q308&gt;$I302,0,MIN($I301,$I297*$I299*(1+$I298)^P$63)))</f>
        <v>0</v>
      </c>
      <c r="R323" s="236">
        <f t="shared" ref="R323" si="1684">IF($I297="N/A",0,IF(R308&gt;$I302,0,MIN($I301,$I297*$I299*(1+$I298)^Q$63)))</f>
        <v>0</v>
      </c>
      <c r="S323" s="446">
        <f t="shared" ref="S323" si="1685">IF($I297="N/A",0,IF(S308&gt;$I302,0,MIN($I301,$I297*$I299*(1+$I298)^R$63)))</f>
        <v>0</v>
      </c>
      <c r="T323" s="438">
        <f t="shared" ref="T323" si="1686">IF($I297="N/A",0,IF(T308&gt;$I302,0,MIN($I301,$I297*$I299*(1+$I298)^S$63)))</f>
        <v>0</v>
      </c>
      <c r="U323" s="236">
        <f t="shared" ref="U323" si="1687">IF($I297="N/A",0,IF(U308&gt;$I302,0,MIN($I301,$I297*$I299*(1+$I298)^T$63)))</f>
        <v>0</v>
      </c>
      <c r="V323" s="236">
        <f t="shared" ref="V323" si="1688">IF($I297="N/A",0,IF(V308&gt;$I302,0,MIN($I301,$I297*$I299*(1+$I298)^U$63)))</f>
        <v>0</v>
      </c>
      <c r="W323" s="236">
        <f t="shared" ref="W323" si="1689">IF($I297="N/A",0,IF(W308&gt;$I302,0,MIN($I301,$I297*$I299*(1+$I298)^V$63)))</f>
        <v>0</v>
      </c>
      <c r="X323" s="236">
        <f t="shared" ref="X323" si="1690">IF($I297="N/A",0,IF(X308&gt;$I302,0,MIN($I301,$I297*$I299*(1+$I298)^W$63)))</f>
        <v>0</v>
      </c>
      <c r="Y323" s="236">
        <f t="shared" ref="Y323" si="1691">IF($I297="N/A",0,IF(Y308&gt;$I302,0,MIN($I301,$I297*$I299*(1+$I298)^X$63)))</f>
        <v>0</v>
      </c>
      <c r="Z323" s="236">
        <f t="shared" ref="Z323" si="1692">IF($I297="N/A",0,IF(Z308&gt;$I302,0,MIN($I301,$I297*$I299*(1+$I298)^Y$63)))</f>
        <v>0</v>
      </c>
      <c r="AA323" s="236">
        <f t="shared" ref="AA323" si="1693">IF($I297="N/A",0,IF(AA308&gt;$I302,0,MIN($I301,$I297*$I299*(1+$I298)^Z$63)))</f>
        <v>0</v>
      </c>
      <c r="AB323" s="236">
        <f t="shared" ref="AB323" si="1694">IF($I297="N/A",0,IF(AB308&gt;$I302,0,MIN($I301,$I297*$I299*(1+$I298)^AA$63)))</f>
        <v>0</v>
      </c>
      <c r="AC323" s="236">
        <f t="shared" ref="AC323" si="1695">IF($I297="N/A",0,IF(AC308&gt;$I302,0,MIN($I301,$I297*$I299*(1+$I298)^AB$63)))</f>
        <v>0</v>
      </c>
      <c r="AD323" s="236">
        <f t="shared" ref="AD323" si="1696">IF($I297="N/A",0,IF(AD308&gt;$I302,0,MIN($I301,$I297*$I299*(1+$I298)^AC$63)))</f>
        <v>0</v>
      </c>
      <c r="AE323" s="236">
        <f t="shared" ref="AE323" si="1697">IF($I297="N/A",0,IF(AE308&gt;$I302,0,MIN($I301,$I297*$I299*(1+$I298)^AD$63)))</f>
        <v>0</v>
      </c>
      <c r="AF323" s="236">
        <f t="shared" ref="AF323" si="1698">IF($I297="N/A",0,IF(AF308&gt;$I302,0,MIN($I301,$I297*$I299*(1+$I298)^AE$63)))</f>
        <v>0</v>
      </c>
      <c r="AG323" s="236">
        <f t="shared" ref="AG323" si="1699">IF($I297="N/A",0,IF(AG308&gt;$I302,0,MIN($I301,$I297*$I299*(1+$I298)^AF$63)))</f>
        <v>0</v>
      </c>
      <c r="AH323" s="236">
        <f t="shared" ref="AH323" si="1700">IF($I297="N/A",0,IF(AH308&gt;$I302,0,MIN($I301,$I297*$I299*(1+$I298)^AG$63)))</f>
        <v>0</v>
      </c>
    </row>
    <row r="324" spans="3:34" x14ac:dyDescent="0.2">
      <c r="C324" s="1450" t="s">
        <v>2274</v>
      </c>
      <c r="D324" s="1451"/>
      <c r="E324" s="422">
        <f>IF($I297="N/A",0,IF(E308&gt;$I302,0,MAX(0,MIN(E323,$I297*$I299,E310))))</f>
        <v>0</v>
      </c>
      <c r="F324" s="521">
        <f t="shared" ref="F324" si="1701">IF($I297="N/A",0,IF(F308&gt;$I302,0,IF($I300="Yes",MAX(0,MIN(F310*$I299,E326+F323,$I301)),MAX(0,MIN(F323,F310*$I299,$I301)))))</f>
        <v>0</v>
      </c>
      <c r="G324" s="521">
        <f t="shared" ref="G324" si="1702">IF($I297="N/A",0,IF(G308&gt;$I302,0,IF($I300="Yes",MAX(0,MIN(G310*$I299,F326+G323,$I301)),MAX(0,MIN(G323,G310*$I299,$I301)))))</f>
        <v>0</v>
      </c>
      <c r="H324" s="521">
        <f t="shared" ref="H324" si="1703">IF($I297="N/A",0,IF(H308&gt;$I302,0,IF($I300="Yes",MAX(0,MIN(H310*$I299,G326+H323,$I301)),MAX(0,MIN(H323,H310*$I299,$I301)))))</f>
        <v>0</v>
      </c>
      <c r="I324" s="521">
        <f t="shared" ref="I324" si="1704">IF($I297="N/A",0,IF(I308&gt;$I302,0,IF($I300="Yes",MAX(0,MIN(I310*$I299,H326+I323,$I301)),MAX(0,MIN(I323,I310*$I299,$I301)))))</f>
        <v>0</v>
      </c>
      <c r="J324" s="521">
        <f t="shared" ref="J324" si="1705">IF($I297="N/A",0,IF(J308&gt;$I302,0,IF($I300="Yes",MAX(0,MIN(J310*$I299,I326+J323,$I301)),MAX(0,MIN(J323,J310*$I299,$I301)))))</f>
        <v>0</v>
      </c>
      <c r="K324" s="521">
        <f t="shared" ref="K324" si="1706">IF($I297="N/A",0,IF(K308&gt;$I302,0,IF($I300="Yes",MAX(0,MIN(K310*$I299,J326+K323,$I301)),MAX(0,MIN(K323,K310*$I299,$I301)))))</f>
        <v>0</v>
      </c>
      <c r="L324" s="521">
        <f t="shared" ref="L324" si="1707">IF($I297="N/A",0,IF(L308&gt;$I302,0,IF($I300="Yes",MAX(0,MIN(L310*$I299,K326+L323,$I301)),MAX(0,MIN(L323,L310*$I299,$I301)))))</f>
        <v>0</v>
      </c>
      <c r="M324" s="521">
        <f t="shared" ref="M324" si="1708">IF($I297="N/A",0,IF(M308&gt;$I302,0,IF($I300="Yes",MAX(0,MIN(M310*$I299,L326+M323,$I301)),MAX(0,MIN(M323,M310*$I299,$I301)))))</f>
        <v>0</v>
      </c>
      <c r="N324" s="521">
        <f t="shared" ref="N324" si="1709">IF($I297="N/A",0,IF(N308&gt;$I302,0,IF($I300="Yes",MAX(0,MIN(N310*$I299,M326+N323,$I301)),MAX(0,MIN(N323,N310*$I299,$I301)))))</f>
        <v>0</v>
      </c>
      <c r="O324" s="521">
        <f t="shared" ref="O324" si="1710">IF($I297="N/A",0,IF(O308&gt;$I302,0,IF($I300="Yes",MAX(0,MIN(O310*$I299,N326+O323,$I301)),MAX(0,MIN(O323,O310*$I299,$I301)))))</f>
        <v>0</v>
      </c>
      <c r="P324" s="521">
        <f t="shared" ref="P324" si="1711">IF($I297="N/A",0,IF(P308&gt;$I302,0,IF($I300="Yes",MAX(0,MIN(P310*$I299,O326+P323,$I301)),MAX(0,MIN(P323,P310*$I299,$I301)))))</f>
        <v>0</v>
      </c>
      <c r="Q324" s="521">
        <f t="shared" ref="Q324" si="1712">IF($I297="N/A",0,IF(Q308&gt;$I302,0,IF($I300="Yes",MAX(0,MIN(Q310*$I299,P326+Q323,$I301)),MAX(0,MIN(Q323,Q310*$I299,$I301)))))</f>
        <v>0</v>
      </c>
      <c r="R324" s="521">
        <f t="shared" ref="R324" si="1713">IF($I297="N/A",0,IF(R308&gt;$I302,0,IF($I300="Yes",MAX(0,MIN(R310*$I299,Q326+R323,$I301)),MAX(0,MIN(R323,R310*$I299,$I301)))))</f>
        <v>0</v>
      </c>
      <c r="S324" s="523">
        <f t="shared" ref="S324" si="1714">IF($I297="N/A",0,IF(S308&gt;$I302,0,IF($I300="Yes",MAX(0,MIN(S310*$I299,R326+S323,$I301)),MAX(0,MIN(S323,S310*$I299,$I301)))))</f>
        <v>0</v>
      </c>
      <c r="T324" s="522">
        <f t="shared" ref="T324" si="1715">IF($I297="N/A",0,IF(T308&gt;$I302,0,IF($I300="Yes",MAX(0,MIN(T310*$I299,S326+T323,$I301)),MAX(0,MIN(T323,T310*$I299,$I301)))))</f>
        <v>0</v>
      </c>
      <c r="U324" s="521">
        <f t="shared" ref="U324" si="1716">IF($I297="N/A",0,IF(U308&gt;$I302,0,IF($I300="Yes",MAX(0,MIN(U310*$I299,T326+U323,$I301)),MAX(0,MIN(U323,U310*$I299,$I301)))))</f>
        <v>0</v>
      </c>
      <c r="V324" s="521">
        <f t="shared" ref="V324" si="1717">IF($I297="N/A",0,IF(V308&gt;$I302,0,IF($I300="Yes",MAX(0,MIN(V310*$I299,U326+V323,$I301)),MAX(0,MIN(V323,V310*$I299,$I301)))))</f>
        <v>0</v>
      </c>
      <c r="W324" s="521">
        <f t="shared" ref="W324" si="1718">IF($I297="N/A",0,IF(W308&gt;$I302,0,IF($I300="Yes",MAX(0,MIN(W310*$I299,V326+W323,$I301)),MAX(0,MIN(W323,W310*$I299,$I301)))))</f>
        <v>0</v>
      </c>
      <c r="X324" s="521">
        <f t="shared" ref="X324" si="1719">IF($I297="N/A",0,IF(X308&gt;$I302,0,IF($I300="Yes",MAX(0,MIN(X310*$I299,W326+X323,$I301)),MAX(0,MIN(X323,X310*$I299,$I301)))))</f>
        <v>0</v>
      </c>
      <c r="Y324" s="521">
        <f t="shared" ref="Y324" si="1720">IF($I297="N/A",0,IF(Y308&gt;$I302,0,IF($I300="Yes",MAX(0,MIN(Y310*$I299,X326+Y323,$I301)),MAX(0,MIN(Y323,Y310*$I299,$I301)))))</f>
        <v>0</v>
      </c>
      <c r="Z324" s="521">
        <f t="shared" ref="Z324" si="1721">IF($I297="N/A",0,IF(Z308&gt;$I302,0,IF($I300="Yes",MAX(0,MIN(Z310*$I299,Y326+Z323,$I301)),MAX(0,MIN(Z323,Z310*$I299,$I301)))))</f>
        <v>0</v>
      </c>
      <c r="AA324" s="521">
        <f t="shared" ref="AA324" si="1722">IF($I297="N/A",0,IF(AA308&gt;$I302,0,IF($I300="Yes",MAX(0,MIN(AA310*$I299,Z326+AA323,$I301)),MAX(0,MIN(AA323,AA310*$I299,$I301)))))</f>
        <v>0</v>
      </c>
      <c r="AB324" s="521">
        <f t="shared" ref="AB324" si="1723">IF($I297="N/A",0,IF(AB308&gt;$I302,0,IF($I300="Yes",MAX(0,MIN(AB310*$I299,AA326+AB323,$I301)),MAX(0,MIN(AB323,AB310*$I299,$I301)))))</f>
        <v>0</v>
      </c>
      <c r="AC324" s="521">
        <f t="shared" ref="AC324" si="1724">IF($I297="N/A",0,IF(AC308&gt;$I302,0,IF($I300="Yes",MAX(0,MIN(AC310*$I299,AB326+AC323,$I301)),MAX(0,MIN(AC323,AC310*$I299,$I301)))))</f>
        <v>0</v>
      </c>
      <c r="AD324" s="521">
        <f t="shared" ref="AD324" si="1725">IF($I297="N/A",0,IF(AD308&gt;$I302,0,IF($I300="Yes",MAX(0,MIN(AD310*$I299,AC326+AD323,$I301)),MAX(0,MIN(AD323,AD310*$I299,$I301)))))</f>
        <v>0</v>
      </c>
      <c r="AE324" s="521">
        <f t="shared" ref="AE324" si="1726">IF($I297="N/A",0,IF(AE308&gt;$I302,0,IF($I300="Yes",MAX(0,MIN(AE310*$I299,AD326+AE323,$I301)),MAX(0,MIN(AE323,AE310*$I299,$I301)))))</f>
        <v>0</v>
      </c>
      <c r="AF324" s="521">
        <f t="shared" ref="AF324" si="1727">IF($I297="N/A",0,IF(AF308&gt;$I302,0,IF($I300="Yes",MAX(0,MIN(AF310*$I299,AE326+AF323,$I301)),MAX(0,MIN(AF323,AF310*$I299,$I301)))))</f>
        <v>0</v>
      </c>
      <c r="AG324" s="521">
        <f t="shared" ref="AG324" si="1728">IF($I297="N/A",0,IF(AG308&gt;$I302,0,IF($I300="Yes",MAX(0,MIN(AG310*$I299,AF326+AG323,$I301)),MAX(0,MIN(AG323,AG310*$I299,$I301)))))</f>
        <v>0</v>
      </c>
      <c r="AH324" s="521">
        <f t="shared" ref="AH324" si="1729">IF($I297="N/A",0,IF(AH308&gt;$I302,0,IF($I300="Yes",MAX(0,MIN(AH310*$I299,AG326+AH323,$I301)),MAX(0,MIN(AH323,AH310*$I299,$I301)))))</f>
        <v>0</v>
      </c>
    </row>
    <row r="325" spans="3:34" x14ac:dyDescent="0.2">
      <c r="C325" s="1168" t="s">
        <v>2275</v>
      </c>
      <c r="D325" s="1170"/>
      <c r="E325" s="421">
        <f>IF($I300="Yes",IF(E308&gt;$I302,0,E323-E324),0)</f>
        <v>0</v>
      </c>
      <c r="F325" s="421">
        <f t="shared" ref="F325:AH325" si="1730">IF($I297="N/A",0,IF(F309&gt;$I302,0,IF($I300="Yes",F323-F324,0)))</f>
        <v>0</v>
      </c>
      <c r="G325" s="421">
        <f t="shared" si="1730"/>
        <v>0</v>
      </c>
      <c r="H325" s="421">
        <f t="shared" si="1730"/>
        <v>0</v>
      </c>
      <c r="I325" s="421">
        <f t="shared" si="1730"/>
        <v>0</v>
      </c>
      <c r="J325" s="421">
        <f t="shared" si="1730"/>
        <v>0</v>
      </c>
      <c r="K325" s="421">
        <f t="shared" si="1730"/>
        <v>0</v>
      </c>
      <c r="L325" s="421">
        <f t="shared" si="1730"/>
        <v>0</v>
      </c>
      <c r="M325" s="421">
        <f t="shared" si="1730"/>
        <v>0</v>
      </c>
      <c r="N325" s="421">
        <f t="shared" si="1730"/>
        <v>0</v>
      </c>
      <c r="O325" s="421">
        <f t="shared" si="1730"/>
        <v>0</v>
      </c>
      <c r="P325" s="421">
        <f t="shared" si="1730"/>
        <v>0</v>
      </c>
      <c r="Q325" s="421">
        <f t="shared" si="1730"/>
        <v>0</v>
      </c>
      <c r="R325" s="421">
        <f t="shared" si="1730"/>
        <v>0</v>
      </c>
      <c r="S325" s="447">
        <f t="shared" si="1730"/>
        <v>0</v>
      </c>
      <c r="T325" s="439">
        <f t="shared" si="1730"/>
        <v>0</v>
      </c>
      <c r="U325" s="421">
        <f t="shared" si="1730"/>
        <v>0</v>
      </c>
      <c r="V325" s="421">
        <f t="shared" si="1730"/>
        <v>0</v>
      </c>
      <c r="W325" s="421">
        <f t="shared" si="1730"/>
        <v>0</v>
      </c>
      <c r="X325" s="421">
        <f t="shared" si="1730"/>
        <v>0</v>
      </c>
      <c r="Y325" s="421">
        <f t="shared" si="1730"/>
        <v>0</v>
      </c>
      <c r="Z325" s="421">
        <f t="shared" si="1730"/>
        <v>0</v>
      </c>
      <c r="AA325" s="421">
        <f t="shared" si="1730"/>
        <v>0</v>
      </c>
      <c r="AB325" s="421">
        <f t="shared" si="1730"/>
        <v>0</v>
      </c>
      <c r="AC325" s="421">
        <f t="shared" si="1730"/>
        <v>0</v>
      </c>
      <c r="AD325" s="421">
        <f t="shared" si="1730"/>
        <v>0</v>
      </c>
      <c r="AE325" s="421">
        <f t="shared" si="1730"/>
        <v>0</v>
      </c>
      <c r="AF325" s="421">
        <f t="shared" si="1730"/>
        <v>0</v>
      </c>
      <c r="AG325" s="421">
        <f t="shared" si="1730"/>
        <v>0</v>
      </c>
      <c r="AH325" s="421">
        <f t="shared" si="1730"/>
        <v>0</v>
      </c>
    </row>
    <row r="326" spans="3:34" x14ac:dyDescent="0.2">
      <c r="C326" s="1168" t="s">
        <v>2276</v>
      </c>
      <c r="D326" s="1170"/>
      <c r="E326" s="421">
        <f>E325</f>
        <v>0</v>
      </c>
      <c r="F326" s="236">
        <f t="shared" ref="F326" si="1731">IF($I297="N/A",0,IF(F308&gt;$I302,0,E326+F325))</f>
        <v>0</v>
      </c>
      <c r="G326" s="236">
        <f t="shared" ref="G326" si="1732">IF($I297="N/A",0,IF(G308&gt;$I302,0,F326+G325))</f>
        <v>0</v>
      </c>
      <c r="H326" s="236">
        <f t="shared" ref="H326" si="1733">IF($I297="N/A",0,IF(H308&gt;$I302,0,G326+H325))</f>
        <v>0</v>
      </c>
      <c r="I326" s="236">
        <f t="shared" ref="I326" si="1734">IF($I297="N/A",0,IF(I308&gt;$I302,0,H326+I325))</f>
        <v>0</v>
      </c>
      <c r="J326" s="236">
        <f t="shared" ref="J326" si="1735">IF($I297="N/A",0,IF(J308&gt;$I302,0,I326+J325))</f>
        <v>0</v>
      </c>
      <c r="K326" s="236">
        <f t="shared" ref="K326" si="1736">IF($I297="N/A",0,IF(K308&gt;$I302,0,J326+K325))</f>
        <v>0</v>
      </c>
      <c r="L326" s="236">
        <f t="shared" ref="L326" si="1737">IF($I297="N/A",0,IF(L308&gt;$I302,0,K326+L325))</f>
        <v>0</v>
      </c>
      <c r="M326" s="236">
        <f t="shared" ref="M326" si="1738">IF($I297="N/A",0,IF(M308&gt;$I302,0,L326+M325))</f>
        <v>0</v>
      </c>
      <c r="N326" s="236">
        <f t="shared" ref="N326" si="1739">IF($I297="N/A",0,IF(N308&gt;$I302,0,M326+N325))</f>
        <v>0</v>
      </c>
      <c r="O326" s="236">
        <f t="shared" ref="O326" si="1740">IF($I297="N/A",0,IF(O308&gt;$I302,0,N326+O325))</f>
        <v>0</v>
      </c>
      <c r="P326" s="236">
        <f t="shared" ref="P326" si="1741">IF($I297="N/A",0,IF(P308&gt;$I302,0,O326+P325))</f>
        <v>0</v>
      </c>
      <c r="Q326" s="236">
        <f t="shared" ref="Q326" si="1742">IF($I297="N/A",0,IF(Q308&gt;$I302,0,P326+Q325))</f>
        <v>0</v>
      </c>
      <c r="R326" s="236">
        <f t="shared" ref="R326" si="1743">IF($I297="N/A",0,IF(R308&gt;$I302,0,Q326+R325))</f>
        <v>0</v>
      </c>
      <c r="S326" s="446">
        <f t="shared" ref="S326" si="1744">IF($I297="N/A",0,IF(S308&gt;$I302,0,R326+S325))</f>
        <v>0</v>
      </c>
      <c r="T326" s="438">
        <f t="shared" ref="T326" si="1745">IF($I297="N/A",0,IF(T308&gt;$I302,0,S326+T325))</f>
        <v>0</v>
      </c>
      <c r="U326" s="236">
        <f t="shared" ref="U326" si="1746">IF($I297="N/A",0,IF(U308&gt;$I302,0,T326+U325))</f>
        <v>0</v>
      </c>
      <c r="V326" s="236">
        <f t="shared" ref="V326" si="1747">IF($I297="N/A",0,IF(V308&gt;$I302,0,U326+V325))</f>
        <v>0</v>
      </c>
      <c r="W326" s="236">
        <f t="shared" ref="W326" si="1748">IF($I297="N/A",0,IF(W308&gt;$I302,0,V326+W325))</f>
        <v>0</v>
      </c>
      <c r="X326" s="236">
        <f t="shared" ref="X326" si="1749">IF($I297="N/A",0,IF(X308&gt;$I302,0,W326+X325))</f>
        <v>0</v>
      </c>
      <c r="Y326" s="236">
        <f t="shared" ref="Y326" si="1750">IF($I297="N/A",0,IF(Y308&gt;$I302,0,X326+Y325))</f>
        <v>0</v>
      </c>
      <c r="Z326" s="236">
        <f t="shared" ref="Z326" si="1751">IF($I297="N/A",0,IF(Z308&gt;$I302,0,Y326+Z325))</f>
        <v>0</v>
      </c>
      <c r="AA326" s="236">
        <f t="shared" ref="AA326" si="1752">IF($I297="N/A",0,IF(AA308&gt;$I302,0,Z326+AA325))</f>
        <v>0</v>
      </c>
      <c r="AB326" s="236">
        <f t="shared" ref="AB326" si="1753">IF($I297="N/A",0,IF(AB308&gt;$I302,0,AA326+AB325))</f>
        <v>0</v>
      </c>
      <c r="AC326" s="236">
        <f t="shared" ref="AC326" si="1754">IF($I297="N/A",0,IF(AC308&gt;$I302,0,AB326+AC325))</f>
        <v>0</v>
      </c>
      <c r="AD326" s="236">
        <f t="shared" ref="AD326" si="1755">IF($I297="N/A",0,IF(AD308&gt;$I302,0,AC326+AD325))</f>
        <v>0</v>
      </c>
      <c r="AE326" s="236">
        <f t="shared" ref="AE326" si="1756">IF($I297="N/A",0,IF(AE308&gt;$I302,0,AD326+AE325))</f>
        <v>0</v>
      </c>
      <c r="AF326" s="236">
        <f t="shared" ref="AF326" si="1757">IF($I297="N/A",0,IF(AF308&gt;$I302,0,AE326+AF325))</f>
        <v>0</v>
      </c>
      <c r="AG326" s="236">
        <f t="shared" ref="AG326" si="1758">IF($I297="N/A",0,IF(AG308&gt;$I302,0,AF326+AG325))</f>
        <v>0</v>
      </c>
      <c r="AH326" s="236">
        <f t="shared" ref="AH326" si="1759">IF($I297="N/A",0,IF(AH308&gt;$I302,0,AG326+AH325))</f>
        <v>0</v>
      </c>
    </row>
    <row r="329" spans="3:34" ht="15" x14ac:dyDescent="0.2">
      <c r="C329" s="1456" t="str">
        <f>IF(Sources!$D$76="","N/A",Sources!$D$76)</f>
        <v>N/A</v>
      </c>
      <c r="D329" s="1456"/>
      <c r="E329" s="1456"/>
      <c r="F329" s="412" t="s">
        <v>2266</v>
      </c>
      <c r="G329" s="92" t="str">
        <f>IF(AND(ISERROR(VLOOKUP($C329,OpBudget!$C$159:$C$165,1,FALSE)),ISERROR(VLOOKUP($C329,Sources!$C$36:$C$55,1,FALSE))),"N/A",IF(ISERROR(VLOOKUP($C329,Sources!$C$36:$C$55,1,FALSE)),"Fee","Loan"))</f>
        <v>N/A</v>
      </c>
      <c r="H329" s="412"/>
      <c r="I329" s="412"/>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row>
    <row r="330" spans="3:34" ht="15" x14ac:dyDescent="0.2">
      <c r="C330" s="345"/>
      <c r="D330" s="345"/>
      <c r="E330" s="345"/>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row>
    <row r="331" spans="3:34" ht="15" x14ac:dyDescent="0.2">
      <c r="C331" s="417" t="s">
        <v>2260</v>
      </c>
      <c r="D331" s="345"/>
      <c r="E331" s="345"/>
      <c r="F331" s="74"/>
      <c r="G331" s="74" t="s">
        <v>2261</v>
      </c>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row>
    <row r="332" spans="3:34" x14ac:dyDescent="0.2">
      <c r="C332" s="1452" t="s">
        <v>2255</v>
      </c>
      <c r="D332" s="1452"/>
      <c r="E332" s="413" t="str">
        <f>IF(OR($G329="Fee",$G329="N/A"),"N/A",INDEX(Sources!$C$35:$K$55,MATCH(Loans!$C329,Sources!$C$35:$C$55,0),MATCH("Amount",Sources!$C$35:$N$35,0)))</f>
        <v>N/A</v>
      </c>
      <c r="F332" s="74"/>
      <c r="G332" s="1454" t="s">
        <v>2262</v>
      </c>
      <c r="H332" s="1454"/>
      <c r="I332" s="705" t="str">
        <f>IF(OR($G329="Loan",$G329="N/A"),"N/A",INDEX(OpBudget!$C$159:$K$165,MATCH(Loans!$C329,OpBudget!$C$159:$C$165,0),MATCH("Total Amount",OpBudget!$C$159:$K$159,0)))</f>
        <v>N/A</v>
      </c>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row>
    <row r="333" spans="3:34" x14ac:dyDescent="0.2">
      <c r="C333" s="1452" t="s">
        <v>2256</v>
      </c>
      <c r="D333" s="1452"/>
      <c r="E333" s="702" t="str">
        <f>IF(OR($G329="Fee",$G329="N/A"),"N/A",INDEX(Sources!$C$35:$K$55,MATCH(Loans!$C329,Sources!$C$35:$C$55,0),MATCH("Interest Rate",Sources!$C$35:$N$35,0)))</f>
        <v>N/A</v>
      </c>
      <c r="F333" s="74"/>
      <c r="G333" s="1454" t="s">
        <v>2268</v>
      </c>
      <c r="H333" s="1454"/>
      <c r="I333" s="703" t="str">
        <f>IF(OR($G329="Loan",$G329="N/A"),"N/A",INDEX(OpBudget!$C$159:$K$165,MATCH(Loans!$C329,OpBudget!$C$159:$C$165,0),MATCH("Annual Percent Inflator",OpBudget!$C$159:$K$159,0)))</f>
        <v>N/A</v>
      </c>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row>
    <row r="334" spans="3:34" x14ac:dyDescent="0.2">
      <c r="C334" s="1452" t="s">
        <v>2279</v>
      </c>
      <c r="D334" s="1452"/>
      <c r="E334" s="702" t="str">
        <f>IF(OR($G329="Fee",$G329="N/A"),"N/A",INDEX(Sources!$C$35:$N$55,MATCH(Loans!$C329,Sources!$C$35:$C$55,0),MATCH("Simple or Compound Interest?",Sources!$C$35:$N$35,0)))</f>
        <v>N/A</v>
      </c>
      <c r="F334" s="74"/>
      <c r="G334" s="424" t="s">
        <v>2263</v>
      </c>
      <c r="H334" s="424"/>
      <c r="I334" s="703" t="str">
        <f>IF(OR($G329="Loan",$G329="N/A"),"N/A",INDEX(Sources!$D$67:$H$82,MATCH(Loans!$C329,Sources!$D$67:$D$82,0),MATCH("Split of Cash Flow",Sources!$D$67:$H$67,0)))</f>
        <v>N/A</v>
      </c>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row>
    <row r="335" spans="3:34" x14ac:dyDescent="0.2">
      <c r="C335" s="1452" t="s">
        <v>2257</v>
      </c>
      <c r="D335" s="1452"/>
      <c r="E335" s="420" t="str">
        <f>IF(OR($G329="Fee",$G329="N/A"),"N/A",INDEX(Sources!$C$35:$K$55,MATCH(Loans!$C329,Sources!$C$35:$C$55,0),MATCH("Term (Years)",Sources!$C$35:$N$35,0)))</f>
        <v>N/A</v>
      </c>
      <c r="F335" s="74"/>
      <c r="G335" s="1454" t="s">
        <v>2281</v>
      </c>
      <c r="H335" s="1454"/>
      <c r="I335" s="703" t="str">
        <f>IF(OR($G329="Loan",$G329="N/A"),"N/A",INDEX(OpBudget!$C$159:$K$165,MATCH(Loans!$C329,OpBudget!$C$159:$C$165,0),MATCH("Accrue Unpaid Fee?",OpBudget!$C$159:$K$159,0)))</f>
        <v>N/A</v>
      </c>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row>
    <row r="336" spans="3:34" x14ac:dyDescent="0.2">
      <c r="C336" s="1452" t="s">
        <v>2284</v>
      </c>
      <c r="D336" s="1452"/>
      <c r="E336" s="420" t="str">
        <f>IF(OR($G329="Fee",$G329="N/A"),"N/A",INDEX(Sources!$D$67:$O$82,MATCH(Loans!$C329,Sources!$D$67:$D$82,0),MATCH("Beginning Payment Year",Sources!$D$67:$O$67,0)))</f>
        <v>N/A</v>
      </c>
      <c r="F336" s="74"/>
      <c r="G336" s="1454" t="s">
        <v>2293</v>
      </c>
      <c r="H336" s="1454"/>
      <c r="I336" s="705" t="str">
        <f>IF(OR($G329="Loan",$G329="N/A"),"N/A",IF(INDEX(OpBudget!$C$159:$K$165,MATCH(Loans!$C329,OpBudget!$C$159:$C$165,0),MATCH("Fee Cap (if applicable)",OpBudget!$C$159:$K$159,0))=0,"N/A",INDEX(OpBudget!$C$159:$K$165,MATCH(Loans!$C329,OpBudget!$C$159:$C$165,0),MATCH("Fee Cap (if applicable)",OpBudget!$C$159:$K$159,0))))</f>
        <v>N/A</v>
      </c>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row>
    <row r="337" spans="3:34" x14ac:dyDescent="0.2">
      <c r="C337" s="1452" t="s">
        <v>2267</v>
      </c>
      <c r="D337" s="1452"/>
      <c r="E337" s="703" t="str">
        <f>IF(OR($G329="Fee",$G329="N/A"),"N/A",INDEX(Sources!$D$67:$O$82,MATCH(Loans!$C329,Sources!$D$67:$D$82,0),MATCH("Split of Cash Flow",Sources!$D$67:$O$67,0)))</f>
        <v>N/A</v>
      </c>
      <c r="F337" s="1455"/>
      <c r="G337" s="1454" t="s">
        <v>2292</v>
      </c>
      <c r="H337" s="1454"/>
      <c r="I337" s="420" t="str">
        <f>IF(OR($G329="Loan",$G329="N/A"),"N/A",INDEX(OpBudget!$C$159:$K$165,MATCH(Loans!$C329,OpBudget!$C$159:$C$165,0),MATCH("Number of Years Fee Exists",OpBudget!$C$159:$K$159,0)))</f>
        <v>N/A</v>
      </c>
      <c r="J337" s="74"/>
      <c r="K337" s="74"/>
      <c r="L337" s="74" t="s">
        <v>2278</v>
      </c>
      <c r="M337" s="74"/>
      <c r="N337" s="74"/>
      <c r="O337" s="74"/>
      <c r="P337" s="74"/>
      <c r="Q337" s="74"/>
      <c r="R337" s="74"/>
      <c r="S337" s="74"/>
      <c r="T337" s="74"/>
      <c r="U337" s="74"/>
      <c r="V337" s="74"/>
      <c r="W337" s="74"/>
      <c r="X337" s="74"/>
      <c r="Y337" s="74"/>
      <c r="Z337" s="74"/>
      <c r="AA337" s="74"/>
      <c r="AB337" s="74"/>
      <c r="AC337" s="74"/>
      <c r="AD337" s="74"/>
      <c r="AE337" s="74"/>
      <c r="AF337" s="74"/>
      <c r="AG337" s="74"/>
      <c r="AH337" s="74"/>
    </row>
    <row r="338" spans="3:34" x14ac:dyDescent="0.2">
      <c r="C338" s="1452" t="s">
        <v>2289</v>
      </c>
      <c r="D338" s="1452"/>
      <c r="E338" s="704" t="str">
        <f>IF(OR($G329="Fee",$G329="N/A"),"N/A",INDEX(Sources!$D$67:$O$82,MATCH(Loans!$C329,Sources!$D$67:$D$82,0),MATCH("Pari Passu?",Sources!$D$67:$O$67,0)))</f>
        <v>N/A</v>
      </c>
      <c r="F338" s="1455"/>
      <c r="G338" s="424"/>
      <c r="H338" s="424"/>
      <c r="I338" s="526"/>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row>
    <row r="339" spans="3:34" x14ac:dyDescent="0.2">
      <c r="C339" s="1452" t="s">
        <v>2295</v>
      </c>
      <c r="D339" s="1452"/>
      <c r="E339" s="703" t="str">
        <f>IF(OR($G329="Fee",$G329="N/A"),"N/A",INDEX(Sources!$D$67:$O$82,MATCH(Loans!$C329,Sources!$D$67:$D$82,0),MATCH("Shared Position Split of Cash Flow",Sources!$D$67:$O$67,0)))</f>
        <v>N/A</v>
      </c>
      <c r="F339" s="532"/>
      <c r="G339" s="424"/>
      <c r="H339" s="424"/>
      <c r="I339" s="526"/>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row>
    <row r="340" spans="3:34" x14ac:dyDescent="0.2">
      <c r="C340" s="1452" t="s">
        <v>2291</v>
      </c>
      <c r="D340" s="1452"/>
      <c r="E340" s="704" t="str">
        <f>IF(OR($G329="Fee",$G329="N/A"),"N/A",INDEX(Sources!$D$67:$O$82,MATCH(Loans!$C329,Sources!$D$67:$D$82,0),MATCH("Deferred Loan?",Sources!$D$67:$O$67,0)))</f>
        <v>N/A</v>
      </c>
      <c r="F340" s="74"/>
      <c r="G340" s="424"/>
      <c r="H340" s="424"/>
      <c r="I340" s="526"/>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row>
    <row r="341" spans="3:34" x14ac:dyDescent="0.2">
      <c r="C341" s="1452" t="s">
        <v>2277</v>
      </c>
      <c r="D341" s="1452"/>
      <c r="E341" s="705" t="str">
        <f>IF(OR(E332=0,E332="N/A"),"N/A",INDEX($C343:$AH355,MATCH("Ending Principal Balance",$C343:$C355,0),MATCH($E335,$C343:$AH343,0)))</f>
        <v>N/A</v>
      </c>
      <c r="F341" s="74"/>
      <c r="G341" s="74"/>
      <c r="H341" s="74" t="s">
        <v>2278</v>
      </c>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row>
    <row r="342" spans="3:34" ht="15" x14ac:dyDescent="0.2">
      <c r="C342" s="345"/>
      <c r="D342" s="345"/>
      <c r="E342" s="345"/>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row>
    <row r="343" spans="3:34" ht="15" x14ac:dyDescent="0.2">
      <c r="C343" s="309"/>
      <c r="D343" s="309"/>
      <c r="E343" s="310">
        <v>1</v>
      </c>
      <c r="F343" s="310">
        <f>E343+1</f>
        <v>2</v>
      </c>
      <c r="G343" s="310">
        <f t="shared" ref="G343" si="1760">F343+1</f>
        <v>3</v>
      </c>
      <c r="H343" s="310">
        <f t="shared" ref="H343" si="1761">G343+1</f>
        <v>4</v>
      </c>
      <c r="I343" s="310">
        <f t="shared" ref="I343" si="1762">H343+1</f>
        <v>5</v>
      </c>
      <c r="J343" s="310">
        <f t="shared" ref="J343" si="1763">I343+1</f>
        <v>6</v>
      </c>
      <c r="K343" s="310">
        <f t="shared" ref="K343" si="1764">J343+1</f>
        <v>7</v>
      </c>
      <c r="L343" s="310">
        <f t="shared" ref="L343" si="1765">K343+1</f>
        <v>8</v>
      </c>
      <c r="M343" s="310">
        <f t="shared" ref="M343" si="1766">L343+1</f>
        <v>9</v>
      </c>
      <c r="N343" s="310">
        <f t="shared" ref="N343" si="1767">M343+1</f>
        <v>10</v>
      </c>
      <c r="O343" s="310">
        <f t="shared" ref="O343" si="1768">N343+1</f>
        <v>11</v>
      </c>
      <c r="P343" s="310">
        <f t="shared" ref="P343" si="1769">O343+1</f>
        <v>12</v>
      </c>
      <c r="Q343" s="310">
        <f t="shared" ref="Q343" si="1770">P343+1</f>
        <v>13</v>
      </c>
      <c r="R343" s="310">
        <f t="shared" ref="R343" si="1771">Q343+1</f>
        <v>14</v>
      </c>
      <c r="S343" s="448">
        <f t="shared" ref="S343" si="1772">R343+1</f>
        <v>15</v>
      </c>
      <c r="T343" s="428">
        <f t="shared" ref="T343" si="1773">S343+1</f>
        <v>16</v>
      </c>
      <c r="U343" s="310">
        <f t="shared" ref="U343" si="1774">T343+1</f>
        <v>17</v>
      </c>
      <c r="V343" s="310">
        <f t="shared" ref="V343" si="1775">U343+1</f>
        <v>18</v>
      </c>
      <c r="W343" s="310">
        <f t="shared" ref="W343" si="1776">V343+1</f>
        <v>19</v>
      </c>
      <c r="X343" s="310">
        <f t="shared" ref="X343" si="1777">W343+1</f>
        <v>20</v>
      </c>
      <c r="Y343" s="310">
        <f t="shared" ref="Y343" si="1778">X343+1</f>
        <v>21</v>
      </c>
      <c r="Z343" s="310">
        <f t="shared" ref="Z343" si="1779">Y343+1</f>
        <v>22</v>
      </c>
      <c r="AA343" s="310">
        <f t="shared" ref="AA343" si="1780">Z343+1</f>
        <v>23</v>
      </c>
      <c r="AB343" s="310">
        <f t="shared" ref="AB343" si="1781">AA343+1</f>
        <v>24</v>
      </c>
      <c r="AC343" s="310">
        <f t="shared" ref="AC343" si="1782">AB343+1</f>
        <v>25</v>
      </c>
      <c r="AD343" s="310">
        <f t="shared" ref="AD343" si="1783">AC343+1</f>
        <v>26</v>
      </c>
      <c r="AE343" s="310">
        <f t="shared" ref="AE343" si="1784">AD343+1</f>
        <v>27</v>
      </c>
      <c r="AF343" s="310">
        <f t="shared" ref="AF343" si="1785">AE343+1</f>
        <v>28</v>
      </c>
      <c r="AG343" s="310">
        <f t="shared" ref="AG343" si="1786">AF343+1</f>
        <v>29</v>
      </c>
      <c r="AH343" s="310">
        <f t="shared" ref="AH343" si="1787">AG343+1</f>
        <v>30</v>
      </c>
    </row>
    <row r="344" spans="3:34" ht="15" x14ac:dyDescent="0.2">
      <c r="C344" s="309"/>
      <c r="D344" s="309"/>
      <c r="E344" s="314" t="str">
        <f>IF(Details!$E$171="","",Details!$E$171)</f>
        <v/>
      </c>
      <c r="F344" s="314" t="str">
        <f>IF($E$7="","",E$7+1)</f>
        <v/>
      </c>
      <c r="G344" s="314" t="str">
        <f t="shared" ref="G344" si="1788">IF($E$7="","",F$7+1)</f>
        <v/>
      </c>
      <c r="H344" s="314" t="str">
        <f t="shared" ref="H344" si="1789">IF($E$7="","",G$7+1)</f>
        <v/>
      </c>
      <c r="I344" s="314" t="str">
        <f t="shared" ref="I344" si="1790">IF($E$7="","",H$7+1)</f>
        <v/>
      </c>
      <c r="J344" s="314" t="str">
        <f t="shared" ref="J344" si="1791">IF($E$7="","",I$7+1)</f>
        <v/>
      </c>
      <c r="K344" s="314" t="str">
        <f t="shared" ref="K344" si="1792">IF($E$7="","",J$7+1)</f>
        <v/>
      </c>
      <c r="L344" s="314" t="str">
        <f t="shared" ref="L344" si="1793">IF($E$7="","",K$7+1)</f>
        <v/>
      </c>
      <c r="M344" s="314" t="str">
        <f t="shared" ref="M344" si="1794">IF($E$7="","",L$7+1)</f>
        <v/>
      </c>
      <c r="N344" s="314" t="str">
        <f t="shared" ref="N344" si="1795">IF($E$7="","",M$7+1)</f>
        <v/>
      </c>
      <c r="O344" s="314" t="str">
        <f t="shared" ref="O344" si="1796">IF($E$7="","",N$7+1)</f>
        <v/>
      </c>
      <c r="P344" s="314" t="str">
        <f t="shared" ref="P344" si="1797">IF($E$7="","",O$7+1)</f>
        <v/>
      </c>
      <c r="Q344" s="314" t="str">
        <f t="shared" ref="Q344" si="1798">IF($E$7="","",P$7+1)</f>
        <v/>
      </c>
      <c r="R344" s="314" t="str">
        <f t="shared" ref="R344" si="1799">IF($E$7="","",Q$7+1)</f>
        <v/>
      </c>
      <c r="S344" s="440" t="str">
        <f t="shared" ref="S344" si="1800">IF($E$7="","",R$7+1)</f>
        <v/>
      </c>
      <c r="T344" s="433" t="str">
        <f t="shared" ref="T344" si="1801">IF($E$7="","",S$7+1)</f>
        <v/>
      </c>
      <c r="U344" s="314" t="str">
        <f t="shared" ref="U344" si="1802">IF($E$7="","",T$7+1)</f>
        <v/>
      </c>
      <c r="V344" s="314" t="str">
        <f t="shared" ref="V344" si="1803">IF($E$7="","",U$7+1)</f>
        <v/>
      </c>
      <c r="W344" s="314" t="str">
        <f t="shared" ref="W344" si="1804">IF($E$7="","",V$7+1)</f>
        <v/>
      </c>
      <c r="X344" s="314" t="str">
        <f t="shared" ref="X344" si="1805">IF($E$7="","",W$7+1)</f>
        <v/>
      </c>
      <c r="Y344" s="314" t="str">
        <f t="shared" ref="Y344" si="1806">IF($E$7="","",X$7+1)</f>
        <v/>
      </c>
      <c r="Z344" s="314" t="str">
        <f t="shared" ref="Z344" si="1807">IF($E$7="","",Y$7+1)</f>
        <v/>
      </c>
      <c r="AA344" s="314" t="str">
        <f t="shared" ref="AA344" si="1808">IF($E$7="","",Z$7+1)</f>
        <v/>
      </c>
      <c r="AB344" s="314" t="str">
        <f t="shared" ref="AB344" si="1809">IF($E$7="","",AA$7+1)</f>
        <v/>
      </c>
      <c r="AC344" s="314" t="str">
        <f t="shared" ref="AC344" si="1810">IF($E$7="","",AB$7+1)</f>
        <v/>
      </c>
      <c r="AD344" s="314" t="str">
        <f t="shared" ref="AD344" si="1811">IF($E$7="","",AC$7+1)</f>
        <v/>
      </c>
      <c r="AE344" s="314" t="str">
        <f t="shared" ref="AE344" si="1812">IF($E$7="","",AD$7+1)</f>
        <v/>
      </c>
      <c r="AF344" s="314" t="str">
        <f t="shared" ref="AF344" si="1813">IF($E$7="","",AE$7+1)</f>
        <v/>
      </c>
      <c r="AG344" s="314" t="str">
        <f t="shared" ref="AG344" si="1814">IF($E$7="","",AF$7+1)</f>
        <v/>
      </c>
      <c r="AH344" s="314" t="str">
        <f t="shared" ref="AH344" si="1815">IF($E$7="","",AG$7+1)</f>
        <v/>
      </c>
    </row>
    <row r="345" spans="3:34" x14ac:dyDescent="0.2">
      <c r="C345" s="1168" t="s">
        <v>2254</v>
      </c>
      <c r="D345" s="1169"/>
      <c r="E345" s="109">
        <f>E310-E319-E323</f>
        <v>0</v>
      </c>
      <c r="F345" s="109">
        <f t="shared" ref="F345:AH345" si="1816">F310-F319-F323</f>
        <v>0</v>
      </c>
      <c r="G345" s="109">
        <f t="shared" si="1816"/>
        <v>0</v>
      </c>
      <c r="H345" s="109">
        <f t="shared" si="1816"/>
        <v>0</v>
      </c>
      <c r="I345" s="109">
        <f t="shared" si="1816"/>
        <v>0</v>
      </c>
      <c r="J345" s="109">
        <f t="shared" si="1816"/>
        <v>0</v>
      </c>
      <c r="K345" s="109">
        <f t="shared" si="1816"/>
        <v>0</v>
      </c>
      <c r="L345" s="109">
        <f t="shared" si="1816"/>
        <v>0</v>
      </c>
      <c r="M345" s="109">
        <f t="shared" si="1816"/>
        <v>0</v>
      </c>
      <c r="N345" s="109">
        <f t="shared" si="1816"/>
        <v>0</v>
      </c>
      <c r="O345" s="109">
        <f t="shared" si="1816"/>
        <v>0</v>
      </c>
      <c r="P345" s="109">
        <f t="shared" si="1816"/>
        <v>0</v>
      </c>
      <c r="Q345" s="109">
        <f t="shared" si="1816"/>
        <v>0</v>
      </c>
      <c r="R345" s="109">
        <f t="shared" si="1816"/>
        <v>0</v>
      </c>
      <c r="S345" s="331">
        <f t="shared" si="1816"/>
        <v>0</v>
      </c>
      <c r="T345" s="228">
        <f t="shared" si="1816"/>
        <v>0</v>
      </c>
      <c r="U345" s="109">
        <f t="shared" si="1816"/>
        <v>0</v>
      </c>
      <c r="V345" s="109">
        <f t="shared" si="1816"/>
        <v>0</v>
      </c>
      <c r="W345" s="109">
        <f t="shared" si="1816"/>
        <v>0</v>
      </c>
      <c r="X345" s="109">
        <f t="shared" si="1816"/>
        <v>0</v>
      </c>
      <c r="Y345" s="109">
        <f t="shared" si="1816"/>
        <v>0</v>
      </c>
      <c r="Z345" s="109">
        <f t="shared" si="1816"/>
        <v>0</v>
      </c>
      <c r="AA345" s="109">
        <f t="shared" si="1816"/>
        <v>0</v>
      </c>
      <c r="AB345" s="109">
        <f t="shared" si="1816"/>
        <v>0</v>
      </c>
      <c r="AC345" s="109">
        <f t="shared" si="1816"/>
        <v>0</v>
      </c>
      <c r="AD345" s="109">
        <f t="shared" si="1816"/>
        <v>0</v>
      </c>
      <c r="AE345" s="109">
        <f t="shared" si="1816"/>
        <v>0</v>
      </c>
      <c r="AF345" s="109">
        <f t="shared" si="1816"/>
        <v>0</v>
      </c>
      <c r="AG345" s="109">
        <f t="shared" si="1816"/>
        <v>0</v>
      </c>
      <c r="AH345" s="109">
        <f t="shared" si="1816"/>
        <v>0</v>
      </c>
    </row>
    <row r="346" spans="3:34" ht="15" x14ac:dyDescent="0.2">
      <c r="C346" s="345"/>
      <c r="D346" s="345"/>
      <c r="E346" s="345"/>
      <c r="F346" s="74"/>
      <c r="G346" s="74"/>
      <c r="H346" s="74"/>
      <c r="I346" s="74"/>
      <c r="J346" s="74"/>
      <c r="K346" s="74"/>
      <c r="L346" s="74"/>
      <c r="M346" s="74"/>
      <c r="N346" s="74"/>
      <c r="O346" s="74"/>
      <c r="P346" s="74"/>
      <c r="Q346" s="74"/>
      <c r="R346" s="74"/>
      <c r="S346" s="333"/>
      <c r="T346" s="74"/>
      <c r="U346" s="74"/>
      <c r="V346" s="74"/>
      <c r="W346" s="74"/>
      <c r="X346" s="74"/>
      <c r="Y346" s="74"/>
      <c r="Z346" s="74"/>
      <c r="AA346" s="74"/>
      <c r="AB346" s="74"/>
      <c r="AC346" s="74"/>
      <c r="AD346" s="74"/>
      <c r="AE346" s="74"/>
      <c r="AF346" s="74"/>
      <c r="AG346" s="74"/>
      <c r="AH346" s="74"/>
    </row>
    <row r="347" spans="3:34" ht="15" x14ac:dyDescent="0.2">
      <c r="C347" s="432" t="s">
        <v>2286</v>
      </c>
      <c r="D347" s="345"/>
      <c r="E347" s="345"/>
      <c r="F347" s="74"/>
      <c r="G347" s="74"/>
      <c r="H347" s="74"/>
      <c r="I347" s="74"/>
      <c r="J347" s="74"/>
      <c r="K347" s="74"/>
      <c r="L347" s="74"/>
      <c r="M347" s="74"/>
      <c r="N347" s="74"/>
      <c r="O347" s="74"/>
      <c r="P347" s="74"/>
      <c r="Q347" s="74"/>
      <c r="R347" s="74"/>
      <c r="S347" s="333"/>
      <c r="T347" s="74"/>
      <c r="U347" s="74"/>
      <c r="V347" s="74"/>
      <c r="W347" s="74"/>
      <c r="X347" s="74"/>
      <c r="Y347" s="74"/>
      <c r="Z347" s="74"/>
      <c r="AA347" s="74"/>
      <c r="AB347" s="74"/>
      <c r="AC347" s="74"/>
      <c r="AD347" s="74"/>
      <c r="AE347" s="74"/>
      <c r="AF347" s="74"/>
      <c r="AG347" s="74"/>
      <c r="AH347" s="74"/>
    </row>
    <row r="348" spans="3:34" ht="15" thickBot="1" x14ac:dyDescent="0.25">
      <c r="C348" s="1453" t="s">
        <v>2285</v>
      </c>
      <c r="D348" s="1453"/>
      <c r="E348" s="423">
        <f>IF(OR($E332="N/A",$E332=0),0,IF($E338="Yes",(E345*$E337*$E339),E345*$E337))</f>
        <v>0</v>
      </c>
      <c r="F348" s="423">
        <f t="shared" ref="F348:AH348" si="1817">IF(OR($E332="N/A",$E332=0),0,IF($E338="Yes",(F345*$E337*$E339),F345*$E337))</f>
        <v>0</v>
      </c>
      <c r="G348" s="423">
        <f t="shared" si="1817"/>
        <v>0</v>
      </c>
      <c r="H348" s="423">
        <f t="shared" si="1817"/>
        <v>0</v>
      </c>
      <c r="I348" s="423">
        <f t="shared" si="1817"/>
        <v>0</v>
      </c>
      <c r="J348" s="423">
        <f t="shared" si="1817"/>
        <v>0</v>
      </c>
      <c r="K348" s="423">
        <f t="shared" si="1817"/>
        <v>0</v>
      </c>
      <c r="L348" s="423">
        <f t="shared" si="1817"/>
        <v>0</v>
      </c>
      <c r="M348" s="423">
        <f t="shared" si="1817"/>
        <v>0</v>
      </c>
      <c r="N348" s="423">
        <f t="shared" si="1817"/>
        <v>0</v>
      </c>
      <c r="O348" s="423">
        <f t="shared" si="1817"/>
        <v>0</v>
      </c>
      <c r="P348" s="423">
        <f t="shared" si="1817"/>
        <v>0</v>
      </c>
      <c r="Q348" s="423">
        <f t="shared" si="1817"/>
        <v>0</v>
      </c>
      <c r="R348" s="423">
        <f t="shared" si="1817"/>
        <v>0</v>
      </c>
      <c r="S348" s="441">
        <f t="shared" si="1817"/>
        <v>0</v>
      </c>
      <c r="T348" s="434">
        <f t="shared" si="1817"/>
        <v>0</v>
      </c>
      <c r="U348" s="423">
        <f t="shared" si="1817"/>
        <v>0</v>
      </c>
      <c r="V348" s="423">
        <f t="shared" si="1817"/>
        <v>0</v>
      </c>
      <c r="W348" s="423">
        <f t="shared" si="1817"/>
        <v>0</v>
      </c>
      <c r="X348" s="423">
        <f t="shared" si="1817"/>
        <v>0</v>
      </c>
      <c r="Y348" s="423">
        <f t="shared" si="1817"/>
        <v>0</v>
      </c>
      <c r="Z348" s="423">
        <f t="shared" si="1817"/>
        <v>0</v>
      </c>
      <c r="AA348" s="423">
        <f t="shared" si="1817"/>
        <v>0</v>
      </c>
      <c r="AB348" s="423">
        <f t="shared" si="1817"/>
        <v>0</v>
      </c>
      <c r="AC348" s="423">
        <f t="shared" si="1817"/>
        <v>0</v>
      </c>
      <c r="AD348" s="423">
        <f t="shared" si="1817"/>
        <v>0</v>
      </c>
      <c r="AE348" s="423">
        <f t="shared" si="1817"/>
        <v>0</v>
      </c>
      <c r="AF348" s="423">
        <f t="shared" si="1817"/>
        <v>0</v>
      </c>
      <c r="AG348" s="423">
        <f t="shared" si="1817"/>
        <v>0</v>
      </c>
      <c r="AH348" s="423">
        <f t="shared" si="1817"/>
        <v>0</v>
      </c>
    </row>
    <row r="349" spans="3:34" ht="15" thickTop="1" x14ac:dyDescent="0.2">
      <c r="C349" s="1449" t="s">
        <v>2189</v>
      </c>
      <c r="D349" s="1449"/>
      <c r="E349" s="316">
        <f>IF(OR($E332="N/A",E343&gt;$E335,E343&lt;$E336),0,MAX(0,E332))</f>
        <v>0</v>
      </c>
      <c r="F349" s="316">
        <f t="shared" ref="F349" si="1818">IF(OR($E332="N/A",F343&gt;$E335),0,IF(F343=$E336,$E332,MAX(E355,0)))</f>
        <v>0</v>
      </c>
      <c r="G349" s="316">
        <f t="shared" ref="G349" si="1819">IF(OR($E332="N/A",G343&gt;$E335),0,IF(G343=$E336,$E332,MAX(F355,0)))</f>
        <v>0</v>
      </c>
      <c r="H349" s="316">
        <f t="shared" ref="H349" si="1820">IF(OR($E332="N/A",H343&gt;$E335),0,IF(H343=$E336,$E332,MAX(G355,0)))</f>
        <v>0</v>
      </c>
      <c r="I349" s="316">
        <f t="shared" ref="I349" si="1821">IF(OR($E332="N/A",I343&gt;$E335),0,IF(I343=$E336,$E332,MAX(H355,0)))</f>
        <v>0</v>
      </c>
      <c r="J349" s="316">
        <f t="shared" ref="J349" si="1822">IF(OR($E332="N/A",J343&gt;$E335),0,IF(J343=$E336,$E332,MAX(I355,0)))</f>
        <v>0</v>
      </c>
      <c r="K349" s="316">
        <f t="shared" ref="K349" si="1823">IF(OR($E332="N/A",K343&gt;$E335),0,IF(K343=$E336,$E332,MAX(J355,0)))</f>
        <v>0</v>
      </c>
      <c r="L349" s="316">
        <f t="shared" ref="L349" si="1824">IF(OR($E332="N/A",L343&gt;$E335),0,IF(L343=$E336,$E332,MAX(K355,0)))</f>
        <v>0</v>
      </c>
      <c r="M349" s="316">
        <f t="shared" ref="M349" si="1825">IF(OR($E332="N/A",M343&gt;$E335),0,IF(M343=$E336,$E332,MAX(L355,0)))</f>
        <v>0</v>
      </c>
      <c r="N349" s="316">
        <f t="shared" ref="N349" si="1826">IF(OR($E332="N/A",N343&gt;$E335),0,IF(N343=$E336,$E332,MAX(M355,0)))</f>
        <v>0</v>
      </c>
      <c r="O349" s="316">
        <f t="shared" ref="O349" si="1827">IF(OR($E332="N/A",O343&gt;$E335),0,IF(O343=$E336,$E332,MAX(N355,0)))</f>
        <v>0</v>
      </c>
      <c r="P349" s="316">
        <f t="shared" ref="P349" si="1828">IF(OR($E332="N/A",P343&gt;$E335),0,IF(P343=$E336,$E332,MAX(O355,0)))</f>
        <v>0</v>
      </c>
      <c r="Q349" s="316">
        <f t="shared" ref="Q349" si="1829">IF(OR($E332="N/A",Q343&gt;$E335),0,IF(Q343=$E336,$E332,MAX(P355,0)))</f>
        <v>0</v>
      </c>
      <c r="R349" s="316">
        <f t="shared" ref="R349" si="1830">IF(OR($E332="N/A",R343&gt;$E335),0,IF(R343=$E336,$E332,MAX(Q355,0)))</f>
        <v>0</v>
      </c>
      <c r="S349" s="332">
        <f t="shared" ref="S349" si="1831">IF(OR($E332="N/A",S343&gt;$E335),0,IF(S343=$E336,$E332,MAX(R355,0)))</f>
        <v>0</v>
      </c>
      <c r="T349" s="429">
        <f t="shared" ref="T349" si="1832">IF(OR($E332="N/A",T343&gt;$E335),0,IF(T343=$E336,$E332,MAX(S355,0)))</f>
        <v>0</v>
      </c>
      <c r="U349" s="316">
        <f t="shared" ref="U349" si="1833">IF(OR($E332="N/A",U343&gt;$E335),0,IF(U343=$E336,$E332,MAX(T355,0)))</f>
        <v>0</v>
      </c>
      <c r="V349" s="316">
        <f t="shared" ref="V349" si="1834">IF(OR($E332="N/A",V343&gt;$E335),0,IF(V343=$E336,$E332,MAX(U355,0)))</f>
        <v>0</v>
      </c>
      <c r="W349" s="316">
        <f t="shared" ref="W349" si="1835">IF(OR($E332="N/A",W343&gt;$E335),0,IF(W343=$E336,$E332,MAX(V355,0)))</f>
        <v>0</v>
      </c>
      <c r="X349" s="316">
        <f t="shared" ref="X349" si="1836">IF(OR($E332="N/A",X343&gt;$E335),0,IF(X343=$E336,$E332,MAX(W355,0)))</f>
        <v>0</v>
      </c>
      <c r="Y349" s="316">
        <f t="shared" ref="Y349" si="1837">IF(OR($E332="N/A",Y343&gt;$E335),0,IF(Y343=$E336,$E332,MAX(X355,0)))</f>
        <v>0</v>
      </c>
      <c r="Z349" s="316">
        <f t="shared" ref="Z349" si="1838">IF(OR($E332="N/A",Z343&gt;$E335),0,IF(Z343=$E336,$E332,MAX(Y355,0)))</f>
        <v>0</v>
      </c>
      <c r="AA349" s="316">
        <f t="shared" ref="AA349" si="1839">IF(OR($E332="N/A",AA343&gt;$E335),0,IF(AA343=$E336,$E332,MAX(Z355,0)))</f>
        <v>0</v>
      </c>
      <c r="AB349" s="316">
        <f t="shared" ref="AB349" si="1840">IF(OR($E332="N/A",AB343&gt;$E335),0,IF(AB343=$E336,$E332,MAX(AA355,0)))</f>
        <v>0</v>
      </c>
      <c r="AC349" s="316">
        <f t="shared" ref="AC349" si="1841">IF(OR($E332="N/A",AC343&gt;$E335),0,IF(AC343=$E336,$E332,MAX(AB355,0)))</f>
        <v>0</v>
      </c>
      <c r="AD349" s="316">
        <f t="shared" ref="AD349" si="1842">IF(OR($E332="N/A",AD343&gt;$E335),0,IF(AD343=$E336,$E332,MAX(AC355,0)))</f>
        <v>0</v>
      </c>
      <c r="AE349" s="316">
        <f t="shared" ref="AE349" si="1843">IF(OR($E332="N/A",AE343&gt;$E335),0,IF(AE343=$E336,$E332,MAX(AD355,0)))</f>
        <v>0</v>
      </c>
      <c r="AF349" s="316">
        <f t="shared" ref="AF349" si="1844">IF(OR($E332="N/A",AF343&gt;$E335),0,IF(AF343=$E336,$E332,MAX(AE355,0)))</f>
        <v>0</v>
      </c>
      <c r="AG349" s="316">
        <f t="shared" ref="AG349" si="1845">IF(OR($E332="N/A",AG343&gt;$E335),0,IF(AG343=$E336,$E332,MAX(AF355,0)))</f>
        <v>0</v>
      </c>
      <c r="AH349" s="316">
        <f t="shared" ref="AH349" si="1846">IF(OR($E332="N/A",AH343&gt;$E335),0,IF(AH343=$E336,$E332,MAX(AG355,0)))</f>
        <v>0</v>
      </c>
    </row>
    <row r="350" spans="3:34" x14ac:dyDescent="0.2">
      <c r="C350" s="1181" t="s">
        <v>2186</v>
      </c>
      <c r="D350" s="1181"/>
      <c r="E350" s="109">
        <f t="shared" ref="E350:AH350" si="1847">IF(OR($E332="N/A",E343&gt;$E335,E343&lt;$E336),0,E349*$E333)</f>
        <v>0</v>
      </c>
      <c r="F350" s="109">
        <f t="shared" si="1847"/>
        <v>0</v>
      </c>
      <c r="G350" s="109">
        <f t="shared" si="1847"/>
        <v>0</v>
      </c>
      <c r="H350" s="109">
        <f t="shared" si="1847"/>
        <v>0</v>
      </c>
      <c r="I350" s="109">
        <f t="shared" si="1847"/>
        <v>0</v>
      </c>
      <c r="J350" s="109">
        <f t="shared" si="1847"/>
        <v>0</v>
      </c>
      <c r="K350" s="109">
        <f t="shared" si="1847"/>
        <v>0</v>
      </c>
      <c r="L350" s="109">
        <f t="shared" si="1847"/>
        <v>0</v>
      </c>
      <c r="M350" s="109">
        <f t="shared" si="1847"/>
        <v>0</v>
      </c>
      <c r="N350" s="109">
        <f t="shared" si="1847"/>
        <v>0</v>
      </c>
      <c r="O350" s="109">
        <f t="shared" si="1847"/>
        <v>0</v>
      </c>
      <c r="P350" s="109">
        <f t="shared" si="1847"/>
        <v>0</v>
      </c>
      <c r="Q350" s="109">
        <f t="shared" si="1847"/>
        <v>0</v>
      </c>
      <c r="R350" s="109">
        <f t="shared" si="1847"/>
        <v>0</v>
      </c>
      <c r="S350" s="331">
        <f t="shared" si="1847"/>
        <v>0</v>
      </c>
      <c r="T350" s="228">
        <f t="shared" si="1847"/>
        <v>0</v>
      </c>
      <c r="U350" s="109">
        <f t="shared" si="1847"/>
        <v>0</v>
      </c>
      <c r="V350" s="109">
        <f t="shared" si="1847"/>
        <v>0</v>
      </c>
      <c r="W350" s="109">
        <f t="shared" si="1847"/>
        <v>0</v>
      </c>
      <c r="X350" s="109">
        <f t="shared" si="1847"/>
        <v>0</v>
      </c>
      <c r="Y350" s="109">
        <f t="shared" si="1847"/>
        <v>0</v>
      </c>
      <c r="Z350" s="109">
        <f t="shared" si="1847"/>
        <v>0</v>
      </c>
      <c r="AA350" s="109">
        <f t="shared" si="1847"/>
        <v>0</v>
      </c>
      <c r="AB350" s="109">
        <f t="shared" si="1847"/>
        <v>0</v>
      </c>
      <c r="AC350" s="109">
        <f t="shared" si="1847"/>
        <v>0</v>
      </c>
      <c r="AD350" s="109">
        <f t="shared" si="1847"/>
        <v>0</v>
      </c>
      <c r="AE350" s="109">
        <f t="shared" si="1847"/>
        <v>0</v>
      </c>
      <c r="AF350" s="109">
        <f t="shared" si="1847"/>
        <v>0</v>
      </c>
      <c r="AG350" s="109">
        <f t="shared" si="1847"/>
        <v>0</v>
      </c>
      <c r="AH350" s="109">
        <f t="shared" si="1847"/>
        <v>0</v>
      </c>
    </row>
    <row r="351" spans="3:34" x14ac:dyDescent="0.2">
      <c r="C351" s="1181" t="s">
        <v>2270</v>
      </c>
      <c r="D351" s="1181"/>
      <c r="E351" s="346">
        <f t="shared" ref="E351:AH351" si="1848">IF(OR($E332="N/A",E343&gt;$E335,E343&lt;$E336),0,MAX(0,MIN(E350,E348)))</f>
        <v>0</v>
      </c>
      <c r="F351" s="346">
        <f t="shared" si="1848"/>
        <v>0</v>
      </c>
      <c r="G351" s="346">
        <f t="shared" si="1848"/>
        <v>0</v>
      </c>
      <c r="H351" s="346">
        <f t="shared" si="1848"/>
        <v>0</v>
      </c>
      <c r="I351" s="346">
        <f t="shared" si="1848"/>
        <v>0</v>
      </c>
      <c r="J351" s="346">
        <f t="shared" si="1848"/>
        <v>0</v>
      </c>
      <c r="K351" s="346">
        <f t="shared" si="1848"/>
        <v>0</v>
      </c>
      <c r="L351" s="346">
        <f t="shared" si="1848"/>
        <v>0</v>
      </c>
      <c r="M351" s="346">
        <f t="shared" si="1848"/>
        <v>0</v>
      </c>
      <c r="N351" s="346">
        <f t="shared" si="1848"/>
        <v>0</v>
      </c>
      <c r="O351" s="346">
        <f t="shared" si="1848"/>
        <v>0</v>
      </c>
      <c r="P351" s="346">
        <f t="shared" si="1848"/>
        <v>0</v>
      </c>
      <c r="Q351" s="346">
        <f t="shared" si="1848"/>
        <v>0</v>
      </c>
      <c r="R351" s="346">
        <f t="shared" si="1848"/>
        <v>0</v>
      </c>
      <c r="S351" s="442">
        <f t="shared" si="1848"/>
        <v>0</v>
      </c>
      <c r="T351" s="435">
        <f t="shared" si="1848"/>
        <v>0</v>
      </c>
      <c r="U351" s="346">
        <f t="shared" si="1848"/>
        <v>0</v>
      </c>
      <c r="V351" s="346">
        <f t="shared" si="1848"/>
        <v>0</v>
      </c>
      <c r="W351" s="346">
        <f t="shared" si="1848"/>
        <v>0</v>
      </c>
      <c r="X351" s="346">
        <f t="shared" si="1848"/>
        <v>0</v>
      </c>
      <c r="Y351" s="346">
        <f t="shared" si="1848"/>
        <v>0</v>
      </c>
      <c r="Z351" s="346">
        <f t="shared" si="1848"/>
        <v>0</v>
      </c>
      <c r="AA351" s="346">
        <f t="shared" si="1848"/>
        <v>0</v>
      </c>
      <c r="AB351" s="346">
        <f t="shared" si="1848"/>
        <v>0</v>
      </c>
      <c r="AC351" s="346">
        <f t="shared" si="1848"/>
        <v>0</v>
      </c>
      <c r="AD351" s="346">
        <f t="shared" si="1848"/>
        <v>0</v>
      </c>
      <c r="AE351" s="346">
        <f t="shared" si="1848"/>
        <v>0</v>
      </c>
      <c r="AF351" s="346">
        <f t="shared" si="1848"/>
        <v>0</v>
      </c>
      <c r="AG351" s="346">
        <f t="shared" si="1848"/>
        <v>0</v>
      </c>
      <c r="AH351" s="346">
        <f t="shared" si="1848"/>
        <v>0</v>
      </c>
    </row>
    <row r="352" spans="3:34" x14ac:dyDescent="0.2">
      <c r="C352" s="1181" t="s">
        <v>2271</v>
      </c>
      <c r="D352" s="1181"/>
      <c r="E352" s="346">
        <f t="shared" ref="E352:AH352" si="1849">IF(OR($E332="N/A",E343&gt;$E335,E343&lt;$E336),0,E351-E350)</f>
        <v>0</v>
      </c>
      <c r="F352" s="346">
        <f t="shared" si="1849"/>
        <v>0</v>
      </c>
      <c r="G352" s="346">
        <f t="shared" si="1849"/>
        <v>0</v>
      </c>
      <c r="H352" s="346">
        <f t="shared" si="1849"/>
        <v>0</v>
      </c>
      <c r="I352" s="346">
        <f t="shared" si="1849"/>
        <v>0</v>
      </c>
      <c r="J352" s="346">
        <f t="shared" si="1849"/>
        <v>0</v>
      </c>
      <c r="K352" s="346">
        <f t="shared" si="1849"/>
        <v>0</v>
      </c>
      <c r="L352" s="346">
        <f t="shared" si="1849"/>
        <v>0</v>
      </c>
      <c r="M352" s="346">
        <f t="shared" si="1849"/>
        <v>0</v>
      </c>
      <c r="N352" s="346">
        <f t="shared" si="1849"/>
        <v>0</v>
      </c>
      <c r="O352" s="346">
        <f t="shared" si="1849"/>
        <v>0</v>
      </c>
      <c r="P352" s="346">
        <f t="shared" si="1849"/>
        <v>0</v>
      </c>
      <c r="Q352" s="346">
        <f t="shared" si="1849"/>
        <v>0</v>
      </c>
      <c r="R352" s="346">
        <f t="shared" si="1849"/>
        <v>0</v>
      </c>
      <c r="S352" s="442">
        <f t="shared" si="1849"/>
        <v>0</v>
      </c>
      <c r="T352" s="435">
        <f t="shared" si="1849"/>
        <v>0</v>
      </c>
      <c r="U352" s="346">
        <f t="shared" si="1849"/>
        <v>0</v>
      </c>
      <c r="V352" s="346">
        <f t="shared" si="1849"/>
        <v>0</v>
      </c>
      <c r="W352" s="346">
        <f t="shared" si="1849"/>
        <v>0</v>
      </c>
      <c r="X352" s="346">
        <f t="shared" si="1849"/>
        <v>0</v>
      </c>
      <c r="Y352" s="346">
        <f t="shared" si="1849"/>
        <v>0</v>
      </c>
      <c r="Z352" s="346">
        <f t="shared" si="1849"/>
        <v>0</v>
      </c>
      <c r="AA352" s="346">
        <f t="shared" si="1849"/>
        <v>0</v>
      </c>
      <c r="AB352" s="346">
        <f t="shared" si="1849"/>
        <v>0</v>
      </c>
      <c r="AC352" s="346">
        <f t="shared" si="1849"/>
        <v>0</v>
      </c>
      <c r="AD352" s="346">
        <f t="shared" si="1849"/>
        <v>0</v>
      </c>
      <c r="AE352" s="346">
        <f t="shared" si="1849"/>
        <v>0</v>
      </c>
      <c r="AF352" s="346">
        <f t="shared" si="1849"/>
        <v>0</v>
      </c>
      <c r="AG352" s="346">
        <f t="shared" si="1849"/>
        <v>0</v>
      </c>
      <c r="AH352" s="346">
        <f t="shared" si="1849"/>
        <v>0</v>
      </c>
    </row>
    <row r="353" spans="3:34" ht="15" thickBot="1" x14ac:dyDescent="0.25">
      <c r="C353" s="1448" t="s">
        <v>2272</v>
      </c>
      <c r="D353" s="1448"/>
      <c r="E353" s="411">
        <f>IF(OR($E332="N/A",E343&gt;$E335,E343&lt;$E336),0,MAX(0,MIN(E348-E351,E349)))</f>
        <v>0</v>
      </c>
      <c r="F353" s="411">
        <f>IF(OR($E332="N/A",F343&gt;$E335,F343&lt;$E336),0,MAX(0,MIN(F348-F351,F349)))</f>
        <v>0</v>
      </c>
      <c r="G353" s="411">
        <f t="shared" ref="G353:AH353" si="1850">IF(OR($E332="N/A",G343&gt;$E335,G343&lt;$E336),0,MAX(0,MIN(G348-G351,G349)))</f>
        <v>0</v>
      </c>
      <c r="H353" s="411">
        <f t="shared" si="1850"/>
        <v>0</v>
      </c>
      <c r="I353" s="411">
        <f t="shared" si="1850"/>
        <v>0</v>
      </c>
      <c r="J353" s="411">
        <f t="shared" si="1850"/>
        <v>0</v>
      </c>
      <c r="K353" s="411">
        <f t="shared" si="1850"/>
        <v>0</v>
      </c>
      <c r="L353" s="411">
        <f t="shared" si="1850"/>
        <v>0</v>
      </c>
      <c r="M353" s="411">
        <f t="shared" si="1850"/>
        <v>0</v>
      </c>
      <c r="N353" s="411">
        <f t="shared" si="1850"/>
        <v>0</v>
      </c>
      <c r="O353" s="411">
        <f t="shared" si="1850"/>
        <v>0</v>
      </c>
      <c r="P353" s="411">
        <f t="shared" si="1850"/>
        <v>0</v>
      </c>
      <c r="Q353" s="411">
        <f t="shared" si="1850"/>
        <v>0</v>
      </c>
      <c r="R353" s="411">
        <f t="shared" si="1850"/>
        <v>0</v>
      </c>
      <c r="S353" s="443">
        <f t="shared" si="1850"/>
        <v>0</v>
      </c>
      <c r="T353" s="431">
        <f t="shared" si="1850"/>
        <v>0</v>
      </c>
      <c r="U353" s="411">
        <f t="shared" si="1850"/>
        <v>0</v>
      </c>
      <c r="V353" s="411">
        <f t="shared" si="1850"/>
        <v>0</v>
      </c>
      <c r="W353" s="411">
        <f t="shared" si="1850"/>
        <v>0</v>
      </c>
      <c r="X353" s="411">
        <f t="shared" si="1850"/>
        <v>0</v>
      </c>
      <c r="Y353" s="411">
        <f t="shared" si="1850"/>
        <v>0</v>
      </c>
      <c r="Z353" s="411">
        <f t="shared" si="1850"/>
        <v>0</v>
      </c>
      <c r="AA353" s="411">
        <f t="shared" si="1850"/>
        <v>0</v>
      </c>
      <c r="AB353" s="411">
        <f t="shared" si="1850"/>
        <v>0</v>
      </c>
      <c r="AC353" s="411">
        <f t="shared" si="1850"/>
        <v>0</v>
      </c>
      <c r="AD353" s="411">
        <f t="shared" si="1850"/>
        <v>0</v>
      </c>
      <c r="AE353" s="411">
        <f t="shared" si="1850"/>
        <v>0</v>
      </c>
      <c r="AF353" s="411">
        <f t="shared" si="1850"/>
        <v>0</v>
      </c>
      <c r="AG353" s="411">
        <f t="shared" si="1850"/>
        <v>0</v>
      </c>
      <c r="AH353" s="411">
        <f t="shared" si="1850"/>
        <v>0</v>
      </c>
    </row>
    <row r="354" spans="3:34" ht="15" thickTop="1" x14ac:dyDescent="0.2">
      <c r="C354" s="1449" t="s">
        <v>2282</v>
      </c>
      <c r="D354" s="1449"/>
      <c r="E354" s="430">
        <f>SUM(E351,E353)</f>
        <v>0</v>
      </c>
      <c r="F354" s="430">
        <f>SUM(F351,F353)</f>
        <v>0</v>
      </c>
      <c r="G354" s="430">
        <f t="shared" ref="G354" si="1851">SUM(G351,G353)</f>
        <v>0</v>
      </c>
      <c r="H354" s="430">
        <f t="shared" ref="H354" si="1852">SUM(H351,H353)</f>
        <v>0</v>
      </c>
      <c r="I354" s="430">
        <f t="shared" ref="I354" si="1853">SUM(I351,I353)</f>
        <v>0</v>
      </c>
      <c r="J354" s="430">
        <f t="shared" ref="J354" si="1854">SUM(J351,J353)</f>
        <v>0</v>
      </c>
      <c r="K354" s="430">
        <f t="shared" ref="K354" si="1855">SUM(K351,K353)</f>
        <v>0</v>
      </c>
      <c r="L354" s="430">
        <f t="shared" ref="L354" si="1856">SUM(L351,L353)</f>
        <v>0</v>
      </c>
      <c r="M354" s="430">
        <f t="shared" ref="M354" si="1857">SUM(M351,M353)</f>
        <v>0</v>
      </c>
      <c r="N354" s="430">
        <f t="shared" ref="N354" si="1858">SUM(N351,N353)</f>
        <v>0</v>
      </c>
      <c r="O354" s="430">
        <f t="shared" ref="O354" si="1859">SUM(O351,O353)</f>
        <v>0</v>
      </c>
      <c r="P354" s="430">
        <f t="shared" ref="P354" si="1860">SUM(P351,P353)</f>
        <v>0</v>
      </c>
      <c r="Q354" s="430">
        <f t="shared" ref="Q354" si="1861">SUM(Q351,Q353)</f>
        <v>0</v>
      </c>
      <c r="R354" s="430">
        <f t="shared" ref="R354" si="1862">SUM(R351,R353)</f>
        <v>0</v>
      </c>
      <c r="S354" s="444">
        <f t="shared" ref="S354" si="1863">SUM(S351,S353)</f>
        <v>0</v>
      </c>
      <c r="T354" s="436">
        <f t="shared" ref="T354" si="1864">SUM(T351,T353)</f>
        <v>0</v>
      </c>
      <c r="U354" s="430">
        <f t="shared" ref="U354" si="1865">SUM(U351,U353)</f>
        <v>0</v>
      </c>
      <c r="V354" s="430">
        <f t="shared" ref="V354" si="1866">SUM(V351,V353)</f>
        <v>0</v>
      </c>
      <c r="W354" s="430">
        <f t="shared" ref="W354" si="1867">SUM(W351,W353)</f>
        <v>0</v>
      </c>
      <c r="X354" s="430">
        <f t="shared" ref="X354" si="1868">SUM(X351,X353)</f>
        <v>0</v>
      </c>
      <c r="Y354" s="430">
        <f t="shared" ref="Y354" si="1869">SUM(Y351,Y353)</f>
        <v>0</v>
      </c>
      <c r="Z354" s="430">
        <f t="shared" ref="Z354" si="1870">SUM(Z351,Z353)</f>
        <v>0</v>
      </c>
      <c r="AA354" s="430">
        <f t="shared" ref="AA354" si="1871">SUM(AA351,AA353)</f>
        <v>0</v>
      </c>
      <c r="AB354" s="430">
        <f t="shared" ref="AB354" si="1872">SUM(AB351,AB353)</f>
        <v>0</v>
      </c>
      <c r="AC354" s="430">
        <f t="shared" ref="AC354" si="1873">SUM(AC351,AC353)</f>
        <v>0</v>
      </c>
      <c r="AD354" s="430">
        <f t="shared" ref="AD354" si="1874">SUM(AD351,AD353)</f>
        <v>0</v>
      </c>
      <c r="AE354" s="430">
        <f t="shared" ref="AE354" si="1875">SUM(AE351,AE353)</f>
        <v>0</v>
      </c>
      <c r="AF354" s="430">
        <f t="shared" ref="AF354" si="1876">SUM(AF351,AF353)</f>
        <v>0</v>
      </c>
      <c r="AG354" s="430">
        <f t="shared" ref="AG354" si="1877">SUM(AG351,AG353)</f>
        <v>0</v>
      </c>
      <c r="AH354" s="430">
        <f t="shared" ref="AH354" si="1878">SUM(AH351,AH353)</f>
        <v>0</v>
      </c>
    </row>
    <row r="355" spans="3:34" x14ac:dyDescent="0.2">
      <c r="C355" s="1181" t="s">
        <v>2190</v>
      </c>
      <c r="D355" s="1181"/>
      <c r="E355" s="342">
        <f>IF(OR($E332="N/A",E343&gt;$E335,E343&lt;$E336),0,IF($E334="Compound",E349-E353-E352,MAX(0,E349-E353)))</f>
        <v>0</v>
      </c>
      <c r="F355" s="342">
        <f>IF(OR($E332="N/A",F343&gt;$E335,F343&lt;$E336),0,IF($E334="Compound",F349-F353-F352,MAX(0,F349-F353)))</f>
        <v>0</v>
      </c>
      <c r="G355" s="342">
        <f t="shared" ref="G355:AH355" si="1879">IF(OR($E332="N/A",G343&gt;$E335,G343&lt;$E336),0,IF($E334="Compound",G349-G353-G352,MAX(0,G349-G353)))</f>
        <v>0</v>
      </c>
      <c r="H355" s="342">
        <f t="shared" si="1879"/>
        <v>0</v>
      </c>
      <c r="I355" s="342">
        <f t="shared" si="1879"/>
        <v>0</v>
      </c>
      <c r="J355" s="342">
        <f t="shared" si="1879"/>
        <v>0</v>
      </c>
      <c r="K355" s="342">
        <f t="shared" si="1879"/>
        <v>0</v>
      </c>
      <c r="L355" s="342">
        <f t="shared" si="1879"/>
        <v>0</v>
      </c>
      <c r="M355" s="342">
        <f t="shared" si="1879"/>
        <v>0</v>
      </c>
      <c r="N355" s="342">
        <f t="shared" si="1879"/>
        <v>0</v>
      </c>
      <c r="O355" s="342">
        <f t="shared" si="1879"/>
        <v>0</v>
      </c>
      <c r="P355" s="342">
        <f t="shared" si="1879"/>
        <v>0</v>
      </c>
      <c r="Q355" s="342">
        <f t="shared" si="1879"/>
        <v>0</v>
      </c>
      <c r="R355" s="342">
        <f t="shared" si="1879"/>
        <v>0</v>
      </c>
      <c r="S355" s="445">
        <f t="shared" si="1879"/>
        <v>0</v>
      </c>
      <c r="T355" s="437">
        <f t="shared" si="1879"/>
        <v>0</v>
      </c>
      <c r="U355" s="342">
        <f t="shared" si="1879"/>
        <v>0</v>
      </c>
      <c r="V355" s="342">
        <f t="shared" si="1879"/>
        <v>0</v>
      </c>
      <c r="W355" s="342">
        <f t="shared" si="1879"/>
        <v>0</v>
      </c>
      <c r="X355" s="342">
        <f t="shared" si="1879"/>
        <v>0</v>
      </c>
      <c r="Y355" s="342">
        <f t="shared" si="1879"/>
        <v>0</v>
      </c>
      <c r="Z355" s="342">
        <f t="shared" si="1879"/>
        <v>0</v>
      </c>
      <c r="AA355" s="342">
        <f t="shared" si="1879"/>
        <v>0</v>
      </c>
      <c r="AB355" s="342">
        <f t="shared" si="1879"/>
        <v>0</v>
      </c>
      <c r="AC355" s="342">
        <f t="shared" si="1879"/>
        <v>0</v>
      </c>
      <c r="AD355" s="342">
        <f t="shared" si="1879"/>
        <v>0</v>
      </c>
      <c r="AE355" s="342">
        <f t="shared" si="1879"/>
        <v>0</v>
      </c>
      <c r="AF355" s="342">
        <f t="shared" si="1879"/>
        <v>0</v>
      </c>
      <c r="AG355" s="342">
        <f t="shared" si="1879"/>
        <v>0</v>
      </c>
      <c r="AH355" s="342">
        <f t="shared" si="1879"/>
        <v>0</v>
      </c>
    </row>
    <row r="356" spans="3:34" x14ac:dyDescent="0.2">
      <c r="C356" s="317"/>
      <c r="D356" s="317"/>
      <c r="E356" s="74"/>
      <c r="F356" s="74"/>
      <c r="G356" s="74"/>
      <c r="H356" s="74"/>
      <c r="I356" s="74"/>
      <c r="J356" s="74"/>
      <c r="K356" s="74"/>
      <c r="L356" s="74"/>
      <c r="M356" s="74"/>
      <c r="N356" s="74"/>
      <c r="O356" s="74"/>
      <c r="P356" s="74"/>
      <c r="Q356" s="74"/>
      <c r="R356" s="74"/>
      <c r="S356" s="333"/>
      <c r="T356" s="74"/>
      <c r="U356" s="74"/>
      <c r="V356" s="74"/>
      <c r="W356" s="74"/>
      <c r="X356" s="74"/>
      <c r="Y356" s="74"/>
      <c r="Z356" s="74"/>
      <c r="AA356" s="74"/>
      <c r="AB356" s="74"/>
      <c r="AC356" s="74"/>
      <c r="AD356" s="74"/>
      <c r="AE356" s="74"/>
      <c r="AF356" s="74"/>
      <c r="AG356" s="74"/>
      <c r="AH356" s="74"/>
    </row>
    <row r="357" spans="3:34" ht="15" x14ac:dyDescent="0.2">
      <c r="C357" s="432" t="s">
        <v>2287</v>
      </c>
      <c r="D357" s="317"/>
      <c r="E357" s="74"/>
      <c r="F357" s="74"/>
      <c r="G357" s="74"/>
      <c r="H357" s="74"/>
      <c r="I357" s="74"/>
      <c r="J357" s="74"/>
      <c r="K357" s="74"/>
      <c r="L357" s="74"/>
      <c r="M357" s="74"/>
      <c r="N357" s="74"/>
      <c r="O357" s="74"/>
      <c r="P357" s="74"/>
      <c r="Q357" s="74"/>
      <c r="R357" s="74"/>
      <c r="S357" s="333"/>
      <c r="T357" s="74"/>
      <c r="U357" s="74"/>
      <c r="V357" s="74"/>
      <c r="W357" s="74"/>
      <c r="X357" s="74"/>
      <c r="Y357" s="74"/>
      <c r="Z357" s="74"/>
      <c r="AA357" s="74"/>
      <c r="AB357" s="74"/>
      <c r="AC357" s="74"/>
      <c r="AD357" s="74"/>
      <c r="AE357" s="74"/>
      <c r="AF357" s="74"/>
      <c r="AG357" s="74"/>
      <c r="AH357" s="74"/>
    </row>
    <row r="358" spans="3:34" x14ac:dyDescent="0.2">
      <c r="C358" s="1234" t="s">
        <v>2273</v>
      </c>
      <c r="D358" s="1234"/>
      <c r="E358" s="421">
        <f>IF($I332="N/A",0,IF(E343&gt;$I337,0,MIN($I336,$I332*$I334)))</f>
        <v>0</v>
      </c>
      <c r="F358" s="236">
        <f t="shared" ref="F358" si="1880">IF($I332="N/A",0,IF(F343&gt;$I337,0,MIN($I336,$I332*$I334*(1+$I333)^E$63)))</f>
        <v>0</v>
      </c>
      <c r="G358" s="236">
        <f t="shared" ref="G358" si="1881">IF($I332="N/A",0,IF(G343&gt;$I337,0,MIN($I336,$I332*$I334*(1+$I333)^F$63)))</f>
        <v>0</v>
      </c>
      <c r="H358" s="236">
        <f t="shared" ref="H358" si="1882">IF($I332="N/A",0,IF(H343&gt;$I337,0,MIN($I336,$I332*$I334*(1+$I333)^G$63)))</f>
        <v>0</v>
      </c>
      <c r="I358" s="236">
        <f t="shared" ref="I358" si="1883">IF($I332="N/A",0,IF(I343&gt;$I337,0,MIN($I336,$I332*$I334*(1+$I333)^H$63)))</f>
        <v>0</v>
      </c>
      <c r="J358" s="236">
        <f t="shared" ref="J358" si="1884">IF($I332="N/A",0,IF(J343&gt;$I337,0,MIN($I336,$I332*$I334*(1+$I333)^I$63)))</f>
        <v>0</v>
      </c>
      <c r="K358" s="236">
        <f t="shared" ref="K358" si="1885">IF($I332="N/A",0,IF(K343&gt;$I337,0,MIN($I336,$I332*$I334*(1+$I333)^J$63)))</f>
        <v>0</v>
      </c>
      <c r="L358" s="236">
        <f t="shared" ref="L358" si="1886">IF($I332="N/A",0,IF(L343&gt;$I337,0,MIN($I336,$I332*$I334*(1+$I333)^K$63)))</f>
        <v>0</v>
      </c>
      <c r="M358" s="236">
        <f t="shared" ref="M358" si="1887">IF($I332="N/A",0,IF(M343&gt;$I337,0,MIN($I336,$I332*$I334*(1+$I333)^L$63)))</f>
        <v>0</v>
      </c>
      <c r="N358" s="236">
        <f t="shared" ref="N358" si="1888">IF($I332="N/A",0,IF(N343&gt;$I337,0,MIN($I336,$I332*$I334*(1+$I333)^M$63)))</f>
        <v>0</v>
      </c>
      <c r="O358" s="236">
        <f t="shared" ref="O358" si="1889">IF($I332="N/A",0,IF(O343&gt;$I337,0,MIN($I336,$I332*$I334*(1+$I333)^N$63)))</f>
        <v>0</v>
      </c>
      <c r="P358" s="236">
        <f t="shared" ref="P358" si="1890">IF($I332="N/A",0,IF(P343&gt;$I337,0,MIN($I336,$I332*$I334*(1+$I333)^O$63)))</f>
        <v>0</v>
      </c>
      <c r="Q358" s="236">
        <f t="shared" ref="Q358" si="1891">IF($I332="N/A",0,IF(Q343&gt;$I337,0,MIN($I336,$I332*$I334*(1+$I333)^P$63)))</f>
        <v>0</v>
      </c>
      <c r="R358" s="236">
        <f t="shared" ref="R358" si="1892">IF($I332="N/A",0,IF(R343&gt;$I337,0,MIN($I336,$I332*$I334*(1+$I333)^Q$63)))</f>
        <v>0</v>
      </c>
      <c r="S358" s="446">
        <f t="shared" ref="S358" si="1893">IF($I332="N/A",0,IF(S343&gt;$I337,0,MIN($I336,$I332*$I334*(1+$I333)^R$63)))</f>
        <v>0</v>
      </c>
      <c r="T358" s="438">
        <f t="shared" ref="T358" si="1894">IF($I332="N/A",0,IF(T343&gt;$I337,0,MIN($I336,$I332*$I334*(1+$I333)^S$63)))</f>
        <v>0</v>
      </c>
      <c r="U358" s="236">
        <f t="shared" ref="U358" si="1895">IF($I332="N/A",0,IF(U343&gt;$I337,0,MIN($I336,$I332*$I334*(1+$I333)^T$63)))</f>
        <v>0</v>
      </c>
      <c r="V358" s="236">
        <f t="shared" ref="V358" si="1896">IF($I332="N/A",0,IF(V343&gt;$I337,0,MIN($I336,$I332*$I334*(1+$I333)^U$63)))</f>
        <v>0</v>
      </c>
      <c r="W358" s="236">
        <f t="shared" ref="W358" si="1897">IF($I332="N/A",0,IF(W343&gt;$I337,0,MIN($I336,$I332*$I334*(1+$I333)^V$63)))</f>
        <v>0</v>
      </c>
      <c r="X358" s="236">
        <f t="shared" ref="X358" si="1898">IF($I332="N/A",0,IF(X343&gt;$I337,0,MIN($I336,$I332*$I334*(1+$I333)^W$63)))</f>
        <v>0</v>
      </c>
      <c r="Y358" s="236">
        <f t="shared" ref="Y358" si="1899">IF($I332="N/A",0,IF(Y343&gt;$I337,0,MIN($I336,$I332*$I334*(1+$I333)^X$63)))</f>
        <v>0</v>
      </c>
      <c r="Z358" s="236">
        <f t="shared" ref="Z358" si="1900">IF($I332="N/A",0,IF(Z343&gt;$I337,0,MIN($I336,$I332*$I334*(1+$I333)^Y$63)))</f>
        <v>0</v>
      </c>
      <c r="AA358" s="236">
        <f t="shared" ref="AA358" si="1901">IF($I332="N/A",0,IF(AA343&gt;$I337,0,MIN($I336,$I332*$I334*(1+$I333)^Z$63)))</f>
        <v>0</v>
      </c>
      <c r="AB358" s="236">
        <f t="shared" ref="AB358" si="1902">IF($I332="N/A",0,IF(AB343&gt;$I337,0,MIN($I336,$I332*$I334*(1+$I333)^AA$63)))</f>
        <v>0</v>
      </c>
      <c r="AC358" s="236">
        <f t="shared" ref="AC358" si="1903">IF($I332="N/A",0,IF(AC343&gt;$I337,0,MIN($I336,$I332*$I334*(1+$I333)^AB$63)))</f>
        <v>0</v>
      </c>
      <c r="AD358" s="236">
        <f t="shared" ref="AD358" si="1904">IF($I332="N/A",0,IF(AD343&gt;$I337,0,MIN($I336,$I332*$I334*(1+$I333)^AC$63)))</f>
        <v>0</v>
      </c>
      <c r="AE358" s="236">
        <f t="shared" ref="AE358" si="1905">IF($I332="N/A",0,IF(AE343&gt;$I337,0,MIN($I336,$I332*$I334*(1+$I333)^AD$63)))</f>
        <v>0</v>
      </c>
      <c r="AF358" s="236">
        <f t="shared" ref="AF358" si="1906">IF($I332="N/A",0,IF(AF343&gt;$I337,0,MIN($I336,$I332*$I334*(1+$I333)^AE$63)))</f>
        <v>0</v>
      </c>
      <c r="AG358" s="236">
        <f t="shared" ref="AG358" si="1907">IF($I332="N/A",0,IF(AG343&gt;$I337,0,MIN($I336,$I332*$I334*(1+$I333)^AF$63)))</f>
        <v>0</v>
      </c>
      <c r="AH358" s="236">
        <f t="shared" ref="AH358" si="1908">IF($I332="N/A",0,IF(AH343&gt;$I337,0,MIN($I336,$I332*$I334*(1+$I333)^AG$63)))</f>
        <v>0</v>
      </c>
    </row>
    <row r="359" spans="3:34" x14ac:dyDescent="0.2">
      <c r="C359" s="1450" t="s">
        <v>2274</v>
      </c>
      <c r="D359" s="1451"/>
      <c r="E359" s="422">
        <f>IF($I332="N/A",0,IF(E343&gt;$I337,0,MAX(0,MIN(E358,$I332*$I334,E345))))</f>
        <v>0</v>
      </c>
      <c r="F359" s="521">
        <f t="shared" ref="F359" si="1909">IF($I332="N/A",0,IF(F343&gt;$I337,0,IF($I335="Yes",MAX(0,MIN(F345*$I334,E361+F358,$I336)),MAX(0,MIN(F358,F345*$I334,$I336)))))</f>
        <v>0</v>
      </c>
      <c r="G359" s="521">
        <f t="shared" ref="G359" si="1910">IF($I332="N/A",0,IF(G343&gt;$I337,0,IF($I335="Yes",MAX(0,MIN(G345*$I334,F361+G358,$I336)),MAX(0,MIN(G358,G345*$I334,$I336)))))</f>
        <v>0</v>
      </c>
      <c r="H359" s="521">
        <f t="shared" ref="H359" si="1911">IF($I332="N/A",0,IF(H343&gt;$I337,0,IF($I335="Yes",MAX(0,MIN(H345*$I334,G361+H358,$I336)),MAX(0,MIN(H358,H345*$I334,$I336)))))</f>
        <v>0</v>
      </c>
      <c r="I359" s="521">
        <f t="shared" ref="I359" si="1912">IF($I332="N/A",0,IF(I343&gt;$I337,0,IF($I335="Yes",MAX(0,MIN(I345*$I334,H361+I358,$I336)),MAX(0,MIN(I358,I345*$I334,$I336)))))</f>
        <v>0</v>
      </c>
      <c r="J359" s="521">
        <f t="shared" ref="J359" si="1913">IF($I332="N/A",0,IF(J343&gt;$I337,0,IF($I335="Yes",MAX(0,MIN(J345*$I334,I361+J358,$I336)),MAX(0,MIN(J358,J345*$I334,$I336)))))</f>
        <v>0</v>
      </c>
      <c r="K359" s="521">
        <f t="shared" ref="K359" si="1914">IF($I332="N/A",0,IF(K343&gt;$I337,0,IF($I335="Yes",MAX(0,MIN(K345*$I334,J361+K358,$I336)),MAX(0,MIN(K358,K345*$I334,$I336)))))</f>
        <v>0</v>
      </c>
      <c r="L359" s="521">
        <f t="shared" ref="L359" si="1915">IF($I332="N/A",0,IF(L343&gt;$I337,0,IF($I335="Yes",MAX(0,MIN(L345*$I334,K361+L358,$I336)),MAX(0,MIN(L358,L345*$I334,$I336)))))</f>
        <v>0</v>
      </c>
      <c r="M359" s="521">
        <f t="shared" ref="M359" si="1916">IF($I332="N/A",0,IF(M343&gt;$I337,0,IF($I335="Yes",MAX(0,MIN(M345*$I334,L361+M358,$I336)),MAX(0,MIN(M358,M345*$I334,$I336)))))</f>
        <v>0</v>
      </c>
      <c r="N359" s="521">
        <f t="shared" ref="N359" si="1917">IF($I332="N/A",0,IF(N343&gt;$I337,0,IF($I335="Yes",MAX(0,MIN(N345*$I334,M361+N358,$I336)),MAX(0,MIN(N358,N345*$I334,$I336)))))</f>
        <v>0</v>
      </c>
      <c r="O359" s="521">
        <f t="shared" ref="O359" si="1918">IF($I332="N/A",0,IF(O343&gt;$I337,0,IF($I335="Yes",MAX(0,MIN(O345*$I334,N361+O358,$I336)),MAX(0,MIN(O358,O345*$I334,$I336)))))</f>
        <v>0</v>
      </c>
      <c r="P359" s="521">
        <f t="shared" ref="P359" si="1919">IF($I332="N/A",0,IF(P343&gt;$I337,0,IF($I335="Yes",MAX(0,MIN(P345*$I334,O361+P358,$I336)),MAX(0,MIN(P358,P345*$I334,$I336)))))</f>
        <v>0</v>
      </c>
      <c r="Q359" s="521">
        <f t="shared" ref="Q359" si="1920">IF($I332="N/A",0,IF(Q343&gt;$I337,0,IF($I335="Yes",MAX(0,MIN(Q345*$I334,P361+Q358,$I336)),MAX(0,MIN(Q358,Q345*$I334,$I336)))))</f>
        <v>0</v>
      </c>
      <c r="R359" s="521">
        <f t="shared" ref="R359" si="1921">IF($I332="N/A",0,IF(R343&gt;$I337,0,IF($I335="Yes",MAX(0,MIN(R345*$I334,Q361+R358,$I336)),MAX(0,MIN(R358,R345*$I334,$I336)))))</f>
        <v>0</v>
      </c>
      <c r="S359" s="523">
        <f t="shared" ref="S359" si="1922">IF($I332="N/A",0,IF(S343&gt;$I337,0,IF($I335="Yes",MAX(0,MIN(S345*$I334,R361+S358,$I336)),MAX(0,MIN(S358,S345*$I334,$I336)))))</f>
        <v>0</v>
      </c>
      <c r="T359" s="522">
        <f t="shared" ref="T359" si="1923">IF($I332="N/A",0,IF(T343&gt;$I337,0,IF($I335="Yes",MAX(0,MIN(T345*$I334,S361+T358,$I336)),MAX(0,MIN(T358,T345*$I334,$I336)))))</f>
        <v>0</v>
      </c>
      <c r="U359" s="521">
        <f t="shared" ref="U359" si="1924">IF($I332="N/A",0,IF(U343&gt;$I337,0,IF($I335="Yes",MAX(0,MIN(U345*$I334,T361+U358,$I336)),MAX(0,MIN(U358,U345*$I334,$I336)))))</f>
        <v>0</v>
      </c>
      <c r="V359" s="521">
        <f t="shared" ref="V359" si="1925">IF($I332="N/A",0,IF(V343&gt;$I337,0,IF($I335="Yes",MAX(0,MIN(V345*$I334,U361+V358,$I336)),MAX(0,MIN(V358,V345*$I334,$I336)))))</f>
        <v>0</v>
      </c>
      <c r="W359" s="521">
        <f t="shared" ref="W359" si="1926">IF($I332="N/A",0,IF(W343&gt;$I337,0,IF($I335="Yes",MAX(0,MIN(W345*$I334,V361+W358,$I336)),MAX(0,MIN(W358,W345*$I334,$I336)))))</f>
        <v>0</v>
      </c>
      <c r="X359" s="521">
        <f t="shared" ref="X359" si="1927">IF($I332="N/A",0,IF(X343&gt;$I337,0,IF($I335="Yes",MAX(0,MIN(X345*$I334,W361+X358,$I336)),MAX(0,MIN(X358,X345*$I334,$I336)))))</f>
        <v>0</v>
      </c>
      <c r="Y359" s="521">
        <f t="shared" ref="Y359" si="1928">IF($I332="N/A",0,IF(Y343&gt;$I337,0,IF($I335="Yes",MAX(0,MIN(Y345*$I334,X361+Y358,$I336)),MAX(0,MIN(Y358,Y345*$I334,$I336)))))</f>
        <v>0</v>
      </c>
      <c r="Z359" s="521">
        <f t="shared" ref="Z359" si="1929">IF($I332="N/A",0,IF(Z343&gt;$I337,0,IF($I335="Yes",MAX(0,MIN(Z345*$I334,Y361+Z358,$I336)),MAX(0,MIN(Z358,Z345*$I334,$I336)))))</f>
        <v>0</v>
      </c>
      <c r="AA359" s="521">
        <f t="shared" ref="AA359" si="1930">IF($I332="N/A",0,IF(AA343&gt;$I337,0,IF($I335="Yes",MAX(0,MIN(AA345*$I334,Z361+AA358,$I336)),MAX(0,MIN(AA358,AA345*$I334,$I336)))))</f>
        <v>0</v>
      </c>
      <c r="AB359" s="521">
        <f t="shared" ref="AB359" si="1931">IF($I332="N/A",0,IF(AB343&gt;$I337,0,IF($I335="Yes",MAX(0,MIN(AB345*$I334,AA361+AB358,$I336)),MAX(0,MIN(AB358,AB345*$I334,$I336)))))</f>
        <v>0</v>
      </c>
      <c r="AC359" s="521">
        <f t="shared" ref="AC359" si="1932">IF($I332="N/A",0,IF(AC343&gt;$I337,0,IF($I335="Yes",MAX(0,MIN(AC345*$I334,AB361+AC358,$I336)),MAX(0,MIN(AC358,AC345*$I334,$I336)))))</f>
        <v>0</v>
      </c>
      <c r="AD359" s="521">
        <f t="shared" ref="AD359" si="1933">IF($I332="N/A",0,IF(AD343&gt;$I337,0,IF($I335="Yes",MAX(0,MIN(AD345*$I334,AC361+AD358,$I336)),MAX(0,MIN(AD358,AD345*$I334,$I336)))))</f>
        <v>0</v>
      </c>
      <c r="AE359" s="521">
        <f t="shared" ref="AE359" si="1934">IF($I332="N/A",0,IF(AE343&gt;$I337,0,IF($I335="Yes",MAX(0,MIN(AE345*$I334,AD361+AE358,$I336)),MAX(0,MIN(AE358,AE345*$I334,$I336)))))</f>
        <v>0</v>
      </c>
      <c r="AF359" s="521">
        <f t="shared" ref="AF359" si="1935">IF($I332="N/A",0,IF(AF343&gt;$I337,0,IF($I335="Yes",MAX(0,MIN(AF345*$I334,AE361+AF358,$I336)),MAX(0,MIN(AF358,AF345*$I334,$I336)))))</f>
        <v>0</v>
      </c>
      <c r="AG359" s="521">
        <f t="shared" ref="AG359" si="1936">IF($I332="N/A",0,IF(AG343&gt;$I337,0,IF($I335="Yes",MAX(0,MIN(AG345*$I334,AF361+AG358,$I336)),MAX(0,MIN(AG358,AG345*$I334,$I336)))))</f>
        <v>0</v>
      </c>
      <c r="AH359" s="521">
        <f t="shared" ref="AH359" si="1937">IF($I332="N/A",0,IF(AH343&gt;$I337,0,IF($I335="Yes",MAX(0,MIN(AH345*$I334,AG361+AH358,$I336)),MAX(0,MIN(AH358,AH345*$I334,$I336)))))</f>
        <v>0</v>
      </c>
    </row>
    <row r="360" spans="3:34" x14ac:dyDescent="0.2">
      <c r="C360" s="1168" t="s">
        <v>2275</v>
      </c>
      <c r="D360" s="1170"/>
      <c r="E360" s="421">
        <f>IF($I335="Yes",IF(E343&gt;$I337,0,E358-E359),0)</f>
        <v>0</v>
      </c>
      <c r="F360" s="421">
        <f t="shared" ref="F360:AH360" si="1938">IF($I332="N/A",0,IF(F344&gt;$I337,0,IF($I335="Yes",F358-F359,0)))</f>
        <v>0</v>
      </c>
      <c r="G360" s="421">
        <f t="shared" si="1938"/>
        <v>0</v>
      </c>
      <c r="H360" s="421">
        <f t="shared" si="1938"/>
        <v>0</v>
      </c>
      <c r="I360" s="421">
        <f t="shared" si="1938"/>
        <v>0</v>
      </c>
      <c r="J360" s="421">
        <f t="shared" si="1938"/>
        <v>0</v>
      </c>
      <c r="K360" s="421">
        <f t="shared" si="1938"/>
        <v>0</v>
      </c>
      <c r="L360" s="421">
        <f t="shared" si="1938"/>
        <v>0</v>
      </c>
      <c r="M360" s="421">
        <f t="shared" si="1938"/>
        <v>0</v>
      </c>
      <c r="N360" s="421">
        <f t="shared" si="1938"/>
        <v>0</v>
      </c>
      <c r="O360" s="421">
        <f t="shared" si="1938"/>
        <v>0</v>
      </c>
      <c r="P360" s="421">
        <f t="shared" si="1938"/>
        <v>0</v>
      </c>
      <c r="Q360" s="421">
        <f t="shared" si="1938"/>
        <v>0</v>
      </c>
      <c r="R360" s="421">
        <f t="shared" si="1938"/>
        <v>0</v>
      </c>
      <c r="S360" s="447">
        <f t="shared" si="1938"/>
        <v>0</v>
      </c>
      <c r="T360" s="439">
        <f t="shared" si="1938"/>
        <v>0</v>
      </c>
      <c r="U360" s="421">
        <f t="shared" si="1938"/>
        <v>0</v>
      </c>
      <c r="V360" s="421">
        <f t="shared" si="1938"/>
        <v>0</v>
      </c>
      <c r="W360" s="421">
        <f t="shared" si="1938"/>
        <v>0</v>
      </c>
      <c r="X360" s="421">
        <f t="shared" si="1938"/>
        <v>0</v>
      </c>
      <c r="Y360" s="421">
        <f t="shared" si="1938"/>
        <v>0</v>
      </c>
      <c r="Z360" s="421">
        <f t="shared" si="1938"/>
        <v>0</v>
      </c>
      <c r="AA360" s="421">
        <f t="shared" si="1938"/>
        <v>0</v>
      </c>
      <c r="AB360" s="421">
        <f t="shared" si="1938"/>
        <v>0</v>
      </c>
      <c r="AC360" s="421">
        <f t="shared" si="1938"/>
        <v>0</v>
      </c>
      <c r="AD360" s="421">
        <f t="shared" si="1938"/>
        <v>0</v>
      </c>
      <c r="AE360" s="421">
        <f t="shared" si="1938"/>
        <v>0</v>
      </c>
      <c r="AF360" s="421">
        <f t="shared" si="1938"/>
        <v>0</v>
      </c>
      <c r="AG360" s="421">
        <f t="shared" si="1938"/>
        <v>0</v>
      </c>
      <c r="AH360" s="421">
        <f t="shared" si="1938"/>
        <v>0</v>
      </c>
    </row>
    <row r="361" spans="3:34" x14ac:dyDescent="0.2">
      <c r="C361" s="1168" t="s">
        <v>2276</v>
      </c>
      <c r="D361" s="1170"/>
      <c r="E361" s="421">
        <f>E360</f>
        <v>0</v>
      </c>
      <c r="F361" s="236">
        <f t="shared" ref="F361" si="1939">IF($I332="N/A",0,IF(F343&gt;$I337,0,E361+F360))</f>
        <v>0</v>
      </c>
      <c r="G361" s="236">
        <f t="shared" ref="G361" si="1940">IF($I332="N/A",0,IF(G343&gt;$I337,0,F361+G360))</f>
        <v>0</v>
      </c>
      <c r="H361" s="236">
        <f t="shared" ref="H361" si="1941">IF($I332="N/A",0,IF(H343&gt;$I337,0,G361+H360))</f>
        <v>0</v>
      </c>
      <c r="I361" s="236">
        <f t="shared" ref="I361" si="1942">IF($I332="N/A",0,IF(I343&gt;$I337,0,H361+I360))</f>
        <v>0</v>
      </c>
      <c r="J361" s="236">
        <f t="shared" ref="J361" si="1943">IF($I332="N/A",0,IF(J343&gt;$I337,0,I361+J360))</f>
        <v>0</v>
      </c>
      <c r="K361" s="236">
        <f t="shared" ref="K361" si="1944">IF($I332="N/A",0,IF(K343&gt;$I337,0,J361+K360))</f>
        <v>0</v>
      </c>
      <c r="L361" s="236">
        <f t="shared" ref="L361" si="1945">IF($I332="N/A",0,IF(L343&gt;$I337,0,K361+L360))</f>
        <v>0</v>
      </c>
      <c r="M361" s="236">
        <f t="shared" ref="M361" si="1946">IF($I332="N/A",0,IF(M343&gt;$I337,0,L361+M360))</f>
        <v>0</v>
      </c>
      <c r="N361" s="236">
        <f t="shared" ref="N361" si="1947">IF($I332="N/A",0,IF(N343&gt;$I337,0,M361+N360))</f>
        <v>0</v>
      </c>
      <c r="O361" s="236">
        <f t="shared" ref="O361" si="1948">IF($I332="N/A",0,IF(O343&gt;$I337,0,N361+O360))</f>
        <v>0</v>
      </c>
      <c r="P361" s="236">
        <f t="shared" ref="P361" si="1949">IF($I332="N/A",0,IF(P343&gt;$I337,0,O361+P360))</f>
        <v>0</v>
      </c>
      <c r="Q361" s="236">
        <f t="shared" ref="Q361" si="1950">IF($I332="N/A",0,IF(Q343&gt;$I337,0,P361+Q360))</f>
        <v>0</v>
      </c>
      <c r="R361" s="236">
        <f t="shared" ref="R361" si="1951">IF($I332="N/A",0,IF(R343&gt;$I337,0,Q361+R360))</f>
        <v>0</v>
      </c>
      <c r="S361" s="446">
        <f t="shared" ref="S361" si="1952">IF($I332="N/A",0,IF(S343&gt;$I337,0,R361+S360))</f>
        <v>0</v>
      </c>
      <c r="T361" s="438">
        <f t="shared" ref="T361" si="1953">IF($I332="N/A",0,IF(T343&gt;$I337,0,S361+T360))</f>
        <v>0</v>
      </c>
      <c r="U361" s="236">
        <f t="shared" ref="U361" si="1954">IF($I332="N/A",0,IF(U343&gt;$I337,0,T361+U360))</f>
        <v>0</v>
      </c>
      <c r="V361" s="236">
        <f t="shared" ref="V361" si="1955">IF($I332="N/A",0,IF(V343&gt;$I337,0,U361+V360))</f>
        <v>0</v>
      </c>
      <c r="W361" s="236">
        <f t="shared" ref="W361" si="1956">IF($I332="N/A",0,IF(W343&gt;$I337,0,V361+W360))</f>
        <v>0</v>
      </c>
      <c r="X361" s="236">
        <f t="shared" ref="X361" si="1957">IF($I332="N/A",0,IF(X343&gt;$I337,0,W361+X360))</f>
        <v>0</v>
      </c>
      <c r="Y361" s="236">
        <f t="shared" ref="Y361" si="1958">IF($I332="N/A",0,IF(Y343&gt;$I337,0,X361+Y360))</f>
        <v>0</v>
      </c>
      <c r="Z361" s="236">
        <f t="shared" ref="Z361" si="1959">IF($I332="N/A",0,IF(Z343&gt;$I337,0,Y361+Z360))</f>
        <v>0</v>
      </c>
      <c r="AA361" s="236">
        <f t="shared" ref="AA361" si="1960">IF($I332="N/A",0,IF(AA343&gt;$I337,0,Z361+AA360))</f>
        <v>0</v>
      </c>
      <c r="AB361" s="236">
        <f t="shared" ref="AB361" si="1961">IF($I332="N/A",0,IF(AB343&gt;$I337,0,AA361+AB360))</f>
        <v>0</v>
      </c>
      <c r="AC361" s="236">
        <f t="shared" ref="AC361" si="1962">IF($I332="N/A",0,IF(AC343&gt;$I337,0,AB361+AC360))</f>
        <v>0</v>
      </c>
      <c r="AD361" s="236">
        <f t="shared" ref="AD361" si="1963">IF($I332="N/A",0,IF(AD343&gt;$I337,0,AC361+AD360))</f>
        <v>0</v>
      </c>
      <c r="AE361" s="236">
        <f t="shared" ref="AE361" si="1964">IF($I332="N/A",0,IF(AE343&gt;$I337,0,AD361+AE360))</f>
        <v>0</v>
      </c>
      <c r="AF361" s="236">
        <f t="shared" ref="AF361" si="1965">IF($I332="N/A",0,IF(AF343&gt;$I337,0,AE361+AF360))</f>
        <v>0</v>
      </c>
      <c r="AG361" s="236">
        <f t="shared" ref="AG361" si="1966">IF($I332="N/A",0,IF(AG343&gt;$I337,0,AF361+AG360))</f>
        <v>0</v>
      </c>
      <c r="AH361" s="236">
        <f t="shared" ref="AH361" si="1967">IF($I332="N/A",0,IF(AH343&gt;$I337,0,AG361+AH360))</f>
        <v>0</v>
      </c>
    </row>
    <row r="364" spans="3:34" ht="15" x14ac:dyDescent="0.2">
      <c r="C364" s="1456" t="str">
        <f>IF(Sources!$D$77="","N/A",Sources!$D$77)</f>
        <v>N/A</v>
      </c>
      <c r="D364" s="1456"/>
      <c r="E364" s="1456"/>
      <c r="F364" s="412" t="s">
        <v>2266</v>
      </c>
      <c r="G364" s="92" t="str">
        <f>IF(AND(ISERROR(VLOOKUP($C364,OpBudget!$C$159:$C$165,1,FALSE)),ISERROR(VLOOKUP($C364,Sources!$C$36:$C$55,1,FALSE))),"N/A",IF(ISERROR(VLOOKUP($C364,Sources!$C$36:$C$55,1,FALSE)),"Fee","Loan"))</f>
        <v>N/A</v>
      </c>
      <c r="H364" s="412"/>
      <c r="I364" s="412"/>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row>
    <row r="365" spans="3:34" ht="15" x14ac:dyDescent="0.2">
      <c r="C365" s="345"/>
      <c r="D365" s="345"/>
      <c r="E365" s="345"/>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row>
    <row r="366" spans="3:34" ht="15" x14ac:dyDescent="0.2">
      <c r="C366" s="417" t="s">
        <v>2260</v>
      </c>
      <c r="D366" s="345"/>
      <c r="E366" s="345"/>
      <c r="F366" s="74"/>
      <c r="G366" s="74" t="s">
        <v>2261</v>
      </c>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row>
    <row r="367" spans="3:34" x14ac:dyDescent="0.2">
      <c r="C367" s="1452" t="s">
        <v>2255</v>
      </c>
      <c r="D367" s="1452"/>
      <c r="E367" s="413" t="str">
        <f>IF(OR($G364="Fee",$G364="N/A"),"N/A",INDEX(Sources!$C$35:$K$55,MATCH(Loans!$C364,Sources!$C$35:$C$55,0),MATCH("Amount",Sources!$C$35:$N$35,0)))</f>
        <v>N/A</v>
      </c>
      <c r="F367" s="74"/>
      <c r="G367" s="1454" t="s">
        <v>2262</v>
      </c>
      <c r="H367" s="1454"/>
      <c r="I367" s="705" t="str">
        <f>IF(OR($G364="Loan",$G364="N/A"),"N/A",INDEX(OpBudget!$C$159:$K$165,MATCH(Loans!$C364,OpBudget!$C$159:$C$165,0),MATCH("Total Amount",OpBudget!$C$159:$K$159,0)))</f>
        <v>N/A</v>
      </c>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row>
    <row r="368" spans="3:34" x14ac:dyDescent="0.2">
      <c r="C368" s="1452" t="s">
        <v>2256</v>
      </c>
      <c r="D368" s="1452"/>
      <c r="E368" s="702" t="str">
        <f>IF(OR($G364="Fee",$G364="N/A"),"N/A",INDEX(Sources!$C$35:$K$55,MATCH(Loans!$C364,Sources!$C$35:$C$55,0),MATCH("Interest Rate",Sources!$C$35:$N$35,0)))</f>
        <v>N/A</v>
      </c>
      <c r="F368" s="74"/>
      <c r="G368" s="1454" t="s">
        <v>2268</v>
      </c>
      <c r="H368" s="1454"/>
      <c r="I368" s="703" t="str">
        <f>IF(OR($G364="Loan",$G364="N/A"),"N/A",INDEX(OpBudget!$C$159:$K$165,MATCH(Loans!$C364,OpBudget!$C$159:$C$165,0),MATCH("Annual Percent Inflator",OpBudget!$C$159:$K$159,0)))</f>
        <v>N/A</v>
      </c>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row>
    <row r="369" spans="3:34" x14ac:dyDescent="0.2">
      <c r="C369" s="1452" t="s">
        <v>2279</v>
      </c>
      <c r="D369" s="1452"/>
      <c r="E369" s="702" t="str">
        <f>IF(OR($G364="Fee",$G364="N/A"),"N/A",INDEX(Sources!$C$35:$N$55,MATCH(Loans!$C364,Sources!$C$35:$C$55,0),MATCH("Simple or Compound Interest?",Sources!$C$35:$N$35,0)))</f>
        <v>N/A</v>
      </c>
      <c r="F369" s="74"/>
      <c r="G369" s="424" t="s">
        <v>2263</v>
      </c>
      <c r="H369" s="424"/>
      <c r="I369" s="703" t="str">
        <f>IF(OR($G364="Loan",$G364="N/A"),"N/A",INDEX(Sources!$D$67:$H$82,MATCH(Loans!$C364,Sources!$D$67:$D$82,0),MATCH("Split of Cash Flow",Sources!$D$67:$H$67,0)))</f>
        <v>N/A</v>
      </c>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row>
    <row r="370" spans="3:34" x14ac:dyDescent="0.2">
      <c r="C370" s="1452" t="s">
        <v>2257</v>
      </c>
      <c r="D370" s="1452"/>
      <c r="E370" s="420" t="str">
        <f>IF(OR($G364="Fee",$G364="N/A"),"N/A",INDEX(Sources!$C$35:$K$55,MATCH(Loans!$C364,Sources!$C$35:$C$55,0),MATCH("Term (Years)",Sources!$C$35:$N$35,0)))</f>
        <v>N/A</v>
      </c>
      <c r="F370" s="74"/>
      <c r="G370" s="1454" t="s">
        <v>2281</v>
      </c>
      <c r="H370" s="1454"/>
      <c r="I370" s="703" t="str">
        <f>IF(OR($G364="Loan",$G364="N/A"),"N/A",INDEX(OpBudget!$C$159:$K$165,MATCH(Loans!$C364,OpBudget!$C$159:$C$165,0),MATCH("Accrue Unpaid Fee?",OpBudget!$C$159:$K$159,0)))</f>
        <v>N/A</v>
      </c>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row>
    <row r="371" spans="3:34" x14ac:dyDescent="0.2">
      <c r="C371" s="1452" t="s">
        <v>2284</v>
      </c>
      <c r="D371" s="1452"/>
      <c r="E371" s="420" t="str">
        <f>IF(OR($G364="Fee",$G364="N/A"),"N/A",INDEX(Sources!$D$67:$O$82,MATCH(Loans!$C364,Sources!$D$67:$D$82,0),MATCH("Beginning Payment Year",Sources!$D$67:$O$67,0)))</f>
        <v>N/A</v>
      </c>
      <c r="F371" s="74"/>
      <c r="G371" s="1454" t="s">
        <v>2293</v>
      </c>
      <c r="H371" s="1454"/>
      <c r="I371" s="705" t="str">
        <f>IF(OR($G364="Loan",$G364="N/A"),"N/A",IF(INDEX(OpBudget!$C$159:$K$165,MATCH(Loans!$C364,OpBudget!$C$159:$C$165,0),MATCH("Fee Cap (if applicable)",OpBudget!$C$159:$K$159,0))=0,"N/A",INDEX(OpBudget!$C$159:$K$165,MATCH(Loans!$C364,OpBudget!$C$159:$C$165,0),MATCH("Fee Cap (if applicable)",OpBudget!$C$159:$K$159,0))))</f>
        <v>N/A</v>
      </c>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row>
    <row r="372" spans="3:34" x14ac:dyDescent="0.2">
      <c r="C372" s="1452" t="s">
        <v>2267</v>
      </c>
      <c r="D372" s="1452"/>
      <c r="E372" s="703" t="str">
        <f>IF(OR($G364="Fee",$G364="N/A"),"N/A",INDEX(Sources!$D$67:$O$82,MATCH(Loans!$C364,Sources!$D$67:$D$82,0),MATCH("Split of Cash Flow",Sources!$D$67:$O$67,0)))</f>
        <v>N/A</v>
      </c>
      <c r="F372" s="1455"/>
      <c r="G372" s="1454" t="s">
        <v>2292</v>
      </c>
      <c r="H372" s="1454"/>
      <c r="I372" s="420" t="str">
        <f>IF(OR($G364="Loan",$G364="N/A"),"N/A",INDEX(OpBudget!$C$159:$K$165,MATCH(Loans!$C364,OpBudget!$C$159:$C$165,0),MATCH("Number of Years Fee Exists",OpBudget!$C$159:$K$159,0)))</f>
        <v>N/A</v>
      </c>
      <c r="J372" s="74"/>
      <c r="K372" s="74"/>
      <c r="L372" s="74" t="s">
        <v>2278</v>
      </c>
      <c r="M372" s="74"/>
      <c r="N372" s="74"/>
      <c r="O372" s="74"/>
      <c r="P372" s="74"/>
      <c r="Q372" s="74"/>
      <c r="R372" s="74"/>
      <c r="S372" s="74"/>
      <c r="T372" s="74"/>
      <c r="U372" s="74"/>
      <c r="V372" s="74"/>
      <c r="W372" s="74"/>
      <c r="X372" s="74"/>
      <c r="Y372" s="74"/>
      <c r="Z372" s="74"/>
      <c r="AA372" s="74"/>
      <c r="AB372" s="74"/>
      <c r="AC372" s="74"/>
      <c r="AD372" s="74"/>
      <c r="AE372" s="74"/>
      <c r="AF372" s="74"/>
      <c r="AG372" s="74"/>
      <c r="AH372" s="74"/>
    </row>
    <row r="373" spans="3:34" x14ac:dyDescent="0.2">
      <c r="C373" s="1452" t="s">
        <v>2289</v>
      </c>
      <c r="D373" s="1452"/>
      <c r="E373" s="704" t="str">
        <f>IF(OR($G364="Fee",$G364="N/A"),"N/A",INDEX(Sources!$D$67:$O$82,MATCH(Loans!$C364,Sources!$D$67:$D$82,0),MATCH("Pari Passu?",Sources!$D$67:$O$67,0)))</f>
        <v>N/A</v>
      </c>
      <c r="F373" s="1455"/>
      <c r="G373" s="424"/>
      <c r="H373" s="424"/>
      <c r="I373" s="526"/>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row>
    <row r="374" spans="3:34" x14ac:dyDescent="0.2">
      <c r="C374" s="1452" t="s">
        <v>2295</v>
      </c>
      <c r="D374" s="1452"/>
      <c r="E374" s="703" t="str">
        <f>IF(OR($G364="Fee",$G364="N/A"),"N/A",INDEX(Sources!$D$67:$O$82,MATCH(Loans!$C364,Sources!$D$67:$D$82,0),MATCH("Shared Position Split of Cash Flow",Sources!$D$67:$O$67,0)))</f>
        <v>N/A</v>
      </c>
      <c r="F374" s="532"/>
      <c r="G374" s="424"/>
      <c r="H374" s="424"/>
      <c r="I374" s="526"/>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row>
    <row r="375" spans="3:34" x14ac:dyDescent="0.2">
      <c r="C375" s="1452" t="s">
        <v>2291</v>
      </c>
      <c r="D375" s="1452"/>
      <c r="E375" s="704" t="str">
        <f>IF(OR($G364="Fee",$G364="N/A"),"N/A",INDEX(Sources!$D$67:$O$82,MATCH(Loans!$C364,Sources!$D$67:$D$82,0),MATCH("Deferred Loan?",Sources!$D$67:$O$67,0)))</f>
        <v>N/A</v>
      </c>
      <c r="F375" s="74"/>
      <c r="G375" s="424"/>
      <c r="H375" s="424"/>
      <c r="I375" s="526"/>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row>
    <row r="376" spans="3:34" x14ac:dyDescent="0.2">
      <c r="C376" s="1452" t="s">
        <v>2277</v>
      </c>
      <c r="D376" s="1452"/>
      <c r="E376" s="705" t="str">
        <f>IF(OR(E367=0,E367="N/A"),"N/A",INDEX($C378:$AH390,MATCH("Ending Principal Balance",$C378:$C390,0),MATCH($E370,$C378:$AH378,0)))</f>
        <v>N/A</v>
      </c>
      <c r="F376" s="74"/>
      <c r="G376" s="74"/>
      <c r="H376" s="74" t="s">
        <v>2278</v>
      </c>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row>
    <row r="377" spans="3:34" ht="15" x14ac:dyDescent="0.2">
      <c r="C377" s="345"/>
      <c r="D377" s="345"/>
      <c r="E377" s="345"/>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row>
    <row r="378" spans="3:34" ht="15" x14ac:dyDescent="0.2">
      <c r="C378" s="309"/>
      <c r="D378" s="309"/>
      <c r="E378" s="310">
        <v>1</v>
      </c>
      <c r="F378" s="310">
        <f>E378+1</f>
        <v>2</v>
      </c>
      <c r="G378" s="310">
        <f t="shared" ref="G378" si="1968">F378+1</f>
        <v>3</v>
      </c>
      <c r="H378" s="310">
        <f t="shared" ref="H378" si="1969">G378+1</f>
        <v>4</v>
      </c>
      <c r="I378" s="310">
        <f t="shared" ref="I378" si="1970">H378+1</f>
        <v>5</v>
      </c>
      <c r="J378" s="310">
        <f t="shared" ref="J378" si="1971">I378+1</f>
        <v>6</v>
      </c>
      <c r="K378" s="310">
        <f t="shared" ref="K378" si="1972">J378+1</f>
        <v>7</v>
      </c>
      <c r="L378" s="310">
        <f t="shared" ref="L378" si="1973">K378+1</f>
        <v>8</v>
      </c>
      <c r="M378" s="310">
        <f t="shared" ref="M378" si="1974">L378+1</f>
        <v>9</v>
      </c>
      <c r="N378" s="310">
        <f t="shared" ref="N378" si="1975">M378+1</f>
        <v>10</v>
      </c>
      <c r="O378" s="310">
        <f t="shared" ref="O378" si="1976">N378+1</f>
        <v>11</v>
      </c>
      <c r="P378" s="310">
        <f t="shared" ref="P378" si="1977">O378+1</f>
        <v>12</v>
      </c>
      <c r="Q378" s="310">
        <f t="shared" ref="Q378" si="1978">P378+1</f>
        <v>13</v>
      </c>
      <c r="R378" s="310">
        <f t="shared" ref="R378" si="1979">Q378+1</f>
        <v>14</v>
      </c>
      <c r="S378" s="448">
        <f t="shared" ref="S378" si="1980">R378+1</f>
        <v>15</v>
      </c>
      <c r="T378" s="428">
        <f t="shared" ref="T378" si="1981">S378+1</f>
        <v>16</v>
      </c>
      <c r="U378" s="310">
        <f t="shared" ref="U378" si="1982">T378+1</f>
        <v>17</v>
      </c>
      <c r="V378" s="310">
        <f t="shared" ref="V378" si="1983">U378+1</f>
        <v>18</v>
      </c>
      <c r="W378" s="310">
        <f t="shared" ref="W378" si="1984">V378+1</f>
        <v>19</v>
      </c>
      <c r="X378" s="310">
        <f t="shared" ref="X378" si="1985">W378+1</f>
        <v>20</v>
      </c>
      <c r="Y378" s="310">
        <f t="shared" ref="Y378" si="1986">X378+1</f>
        <v>21</v>
      </c>
      <c r="Z378" s="310">
        <f t="shared" ref="Z378" si="1987">Y378+1</f>
        <v>22</v>
      </c>
      <c r="AA378" s="310">
        <f t="shared" ref="AA378" si="1988">Z378+1</f>
        <v>23</v>
      </c>
      <c r="AB378" s="310">
        <f t="shared" ref="AB378" si="1989">AA378+1</f>
        <v>24</v>
      </c>
      <c r="AC378" s="310">
        <f t="shared" ref="AC378" si="1990">AB378+1</f>
        <v>25</v>
      </c>
      <c r="AD378" s="310">
        <f t="shared" ref="AD378" si="1991">AC378+1</f>
        <v>26</v>
      </c>
      <c r="AE378" s="310">
        <f t="shared" ref="AE378" si="1992">AD378+1</f>
        <v>27</v>
      </c>
      <c r="AF378" s="310">
        <f t="shared" ref="AF378" si="1993">AE378+1</f>
        <v>28</v>
      </c>
      <c r="AG378" s="310">
        <f t="shared" ref="AG378" si="1994">AF378+1</f>
        <v>29</v>
      </c>
      <c r="AH378" s="310">
        <f t="shared" ref="AH378" si="1995">AG378+1</f>
        <v>30</v>
      </c>
    </row>
    <row r="379" spans="3:34" ht="15" x14ac:dyDescent="0.2">
      <c r="C379" s="309"/>
      <c r="D379" s="309"/>
      <c r="E379" s="314" t="str">
        <f>IF(Details!$E$171="","",Details!$E$171)</f>
        <v/>
      </c>
      <c r="F379" s="314" t="str">
        <f>IF($E$7="","",E$7+1)</f>
        <v/>
      </c>
      <c r="G379" s="314" t="str">
        <f t="shared" ref="G379" si="1996">IF($E$7="","",F$7+1)</f>
        <v/>
      </c>
      <c r="H379" s="314" t="str">
        <f t="shared" ref="H379" si="1997">IF($E$7="","",G$7+1)</f>
        <v/>
      </c>
      <c r="I379" s="314" t="str">
        <f t="shared" ref="I379" si="1998">IF($E$7="","",H$7+1)</f>
        <v/>
      </c>
      <c r="J379" s="314" t="str">
        <f t="shared" ref="J379" si="1999">IF($E$7="","",I$7+1)</f>
        <v/>
      </c>
      <c r="K379" s="314" t="str">
        <f t="shared" ref="K379" si="2000">IF($E$7="","",J$7+1)</f>
        <v/>
      </c>
      <c r="L379" s="314" t="str">
        <f t="shared" ref="L379" si="2001">IF($E$7="","",K$7+1)</f>
        <v/>
      </c>
      <c r="M379" s="314" t="str">
        <f t="shared" ref="M379" si="2002">IF($E$7="","",L$7+1)</f>
        <v/>
      </c>
      <c r="N379" s="314" t="str">
        <f t="shared" ref="N379" si="2003">IF($E$7="","",M$7+1)</f>
        <v/>
      </c>
      <c r="O379" s="314" t="str">
        <f t="shared" ref="O379" si="2004">IF($E$7="","",N$7+1)</f>
        <v/>
      </c>
      <c r="P379" s="314" t="str">
        <f t="shared" ref="P379" si="2005">IF($E$7="","",O$7+1)</f>
        <v/>
      </c>
      <c r="Q379" s="314" t="str">
        <f t="shared" ref="Q379" si="2006">IF($E$7="","",P$7+1)</f>
        <v/>
      </c>
      <c r="R379" s="314" t="str">
        <f t="shared" ref="R379" si="2007">IF($E$7="","",Q$7+1)</f>
        <v/>
      </c>
      <c r="S379" s="440" t="str">
        <f t="shared" ref="S379" si="2008">IF($E$7="","",R$7+1)</f>
        <v/>
      </c>
      <c r="T379" s="433" t="str">
        <f t="shared" ref="T379" si="2009">IF($E$7="","",S$7+1)</f>
        <v/>
      </c>
      <c r="U379" s="314" t="str">
        <f t="shared" ref="U379" si="2010">IF($E$7="","",T$7+1)</f>
        <v/>
      </c>
      <c r="V379" s="314" t="str">
        <f t="shared" ref="V379" si="2011">IF($E$7="","",U$7+1)</f>
        <v/>
      </c>
      <c r="W379" s="314" t="str">
        <f t="shared" ref="W379" si="2012">IF($E$7="","",V$7+1)</f>
        <v/>
      </c>
      <c r="X379" s="314" t="str">
        <f t="shared" ref="X379" si="2013">IF($E$7="","",W$7+1)</f>
        <v/>
      </c>
      <c r="Y379" s="314" t="str">
        <f t="shared" ref="Y379" si="2014">IF($E$7="","",X$7+1)</f>
        <v/>
      </c>
      <c r="Z379" s="314" t="str">
        <f t="shared" ref="Z379" si="2015">IF($E$7="","",Y$7+1)</f>
        <v/>
      </c>
      <c r="AA379" s="314" t="str">
        <f t="shared" ref="AA379" si="2016">IF($E$7="","",Z$7+1)</f>
        <v/>
      </c>
      <c r="AB379" s="314" t="str">
        <f t="shared" ref="AB379" si="2017">IF($E$7="","",AA$7+1)</f>
        <v/>
      </c>
      <c r="AC379" s="314" t="str">
        <f t="shared" ref="AC379" si="2018">IF($E$7="","",AB$7+1)</f>
        <v/>
      </c>
      <c r="AD379" s="314" t="str">
        <f t="shared" ref="AD379" si="2019">IF($E$7="","",AC$7+1)</f>
        <v/>
      </c>
      <c r="AE379" s="314" t="str">
        <f t="shared" ref="AE379" si="2020">IF($E$7="","",AD$7+1)</f>
        <v/>
      </c>
      <c r="AF379" s="314" t="str">
        <f t="shared" ref="AF379" si="2021">IF($E$7="","",AE$7+1)</f>
        <v/>
      </c>
      <c r="AG379" s="314" t="str">
        <f t="shared" ref="AG379" si="2022">IF($E$7="","",AF$7+1)</f>
        <v/>
      </c>
      <c r="AH379" s="314" t="str">
        <f t="shared" ref="AH379" si="2023">IF($E$7="","",AG$7+1)</f>
        <v/>
      </c>
    </row>
    <row r="380" spans="3:34" x14ac:dyDescent="0.2">
      <c r="C380" s="1168" t="s">
        <v>2254</v>
      </c>
      <c r="D380" s="1169"/>
      <c r="E380" s="109">
        <f>E345-E354-E358</f>
        <v>0</v>
      </c>
      <c r="F380" s="109">
        <f t="shared" ref="F380:AH380" si="2024">F345-F354-F358</f>
        <v>0</v>
      </c>
      <c r="G380" s="109">
        <f t="shared" si="2024"/>
        <v>0</v>
      </c>
      <c r="H380" s="109">
        <f t="shared" si="2024"/>
        <v>0</v>
      </c>
      <c r="I380" s="109">
        <f t="shared" si="2024"/>
        <v>0</v>
      </c>
      <c r="J380" s="109">
        <f t="shared" si="2024"/>
        <v>0</v>
      </c>
      <c r="K380" s="109">
        <f t="shared" si="2024"/>
        <v>0</v>
      </c>
      <c r="L380" s="109">
        <f t="shared" si="2024"/>
        <v>0</v>
      </c>
      <c r="M380" s="109">
        <f t="shared" si="2024"/>
        <v>0</v>
      </c>
      <c r="N380" s="109">
        <f t="shared" si="2024"/>
        <v>0</v>
      </c>
      <c r="O380" s="109">
        <f t="shared" si="2024"/>
        <v>0</v>
      </c>
      <c r="P380" s="109">
        <f t="shared" si="2024"/>
        <v>0</v>
      </c>
      <c r="Q380" s="109">
        <f t="shared" si="2024"/>
        <v>0</v>
      </c>
      <c r="R380" s="109">
        <f t="shared" si="2024"/>
        <v>0</v>
      </c>
      <c r="S380" s="331">
        <f t="shared" si="2024"/>
        <v>0</v>
      </c>
      <c r="T380" s="228">
        <f t="shared" si="2024"/>
        <v>0</v>
      </c>
      <c r="U380" s="109">
        <f t="shared" si="2024"/>
        <v>0</v>
      </c>
      <c r="V380" s="109">
        <f t="shared" si="2024"/>
        <v>0</v>
      </c>
      <c r="W380" s="109">
        <f t="shared" si="2024"/>
        <v>0</v>
      </c>
      <c r="X380" s="109">
        <f t="shared" si="2024"/>
        <v>0</v>
      </c>
      <c r="Y380" s="109">
        <f t="shared" si="2024"/>
        <v>0</v>
      </c>
      <c r="Z380" s="109">
        <f t="shared" si="2024"/>
        <v>0</v>
      </c>
      <c r="AA380" s="109">
        <f t="shared" si="2024"/>
        <v>0</v>
      </c>
      <c r="AB380" s="109">
        <f t="shared" si="2024"/>
        <v>0</v>
      </c>
      <c r="AC380" s="109">
        <f t="shared" si="2024"/>
        <v>0</v>
      </c>
      <c r="AD380" s="109">
        <f t="shared" si="2024"/>
        <v>0</v>
      </c>
      <c r="AE380" s="109">
        <f t="shared" si="2024"/>
        <v>0</v>
      </c>
      <c r="AF380" s="109">
        <f t="shared" si="2024"/>
        <v>0</v>
      </c>
      <c r="AG380" s="109">
        <f t="shared" si="2024"/>
        <v>0</v>
      </c>
      <c r="AH380" s="109">
        <f t="shared" si="2024"/>
        <v>0</v>
      </c>
    </row>
    <row r="381" spans="3:34" ht="15" x14ac:dyDescent="0.2">
      <c r="C381" s="345"/>
      <c r="D381" s="345"/>
      <c r="E381" s="345"/>
      <c r="F381" s="74"/>
      <c r="G381" s="74"/>
      <c r="H381" s="74"/>
      <c r="I381" s="74"/>
      <c r="J381" s="74"/>
      <c r="K381" s="74"/>
      <c r="L381" s="74"/>
      <c r="M381" s="74"/>
      <c r="N381" s="74"/>
      <c r="O381" s="74"/>
      <c r="P381" s="74"/>
      <c r="Q381" s="74"/>
      <c r="R381" s="74"/>
      <c r="S381" s="333"/>
      <c r="T381" s="74"/>
      <c r="U381" s="74"/>
      <c r="V381" s="74"/>
      <c r="W381" s="74"/>
      <c r="X381" s="74"/>
      <c r="Y381" s="74"/>
      <c r="Z381" s="74"/>
      <c r="AA381" s="74"/>
      <c r="AB381" s="74"/>
      <c r="AC381" s="74"/>
      <c r="AD381" s="74"/>
      <c r="AE381" s="74"/>
      <c r="AF381" s="74"/>
      <c r="AG381" s="74"/>
      <c r="AH381" s="74"/>
    </row>
    <row r="382" spans="3:34" ht="15" x14ac:dyDescent="0.2">
      <c r="C382" s="432" t="s">
        <v>2286</v>
      </c>
      <c r="D382" s="345"/>
      <c r="E382" s="345"/>
      <c r="F382" s="74"/>
      <c r="G382" s="74"/>
      <c r="H382" s="74"/>
      <c r="I382" s="74"/>
      <c r="J382" s="74"/>
      <c r="K382" s="74"/>
      <c r="L382" s="74"/>
      <c r="M382" s="74"/>
      <c r="N382" s="74"/>
      <c r="O382" s="74"/>
      <c r="P382" s="74"/>
      <c r="Q382" s="74"/>
      <c r="R382" s="74"/>
      <c r="S382" s="333"/>
      <c r="T382" s="74"/>
      <c r="U382" s="74"/>
      <c r="V382" s="74"/>
      <c r="W382" s="74"/>
      <c r="X382" s="74"/>
      <c r="Y382" s="74"/>
      <c r="Z382" s="74"/>
      <c r="AA382" s="74"/>
      <c r="AB382" s="74"/>
      <c r="AC382" s="74"/>
      <c r="AD382" s="74"/>
      <c r="AE382" s="74"/>
      <c r="AF382" s="74"/>
      <c r="AG382" s="74"/>
      <c r="AH382" s="74"/>
    </row>
    <row r="383" spans="3:34" ht="15" thickBot="1" x14ac:dyDescent="0.25">
      <c r="C383" s="1453" t="s">
        <v>2285</v>
      </c>
      <c r="D383" s="1453"/>
      <c r="E383" s="423">
        <f>IF(OR($E367="N/A",$E367=0),0,IF($E373="Yes",(E380*$E372*$E374),E380*$E372))</f>
        <v>0</v>
      </c>
      <c r="F383" s="423">
        <f t="shared" ref="F383:AH383" si="2025">IF(OR($E367="N/A",$E367=0),0,IF($E373="Yes",(F380*$E372*$E374),F380*$E372))</f>
        <v>0</v>
      </c>
      <c r="G383" s="423">
        <f t="shared" si="2025"/>
        <v>0</v>
      </c>
      <c r="H383" s="423">
        <f t="shared" si="2025"/>
        <v>0</v>
      </c>
      <c r="I383" s="423">
        <f t="shared" si="2025"/>
        <v>0</v>
      </c>
      <c r="J383" s="423">
        <f t="shared" si="2025"/>
        <v>0</v>
      </c>
      <c r="K383" s="423">
        <f t="shared" si="2025"/>
        <v>0</v>
      </c>
      <c r="L383" s="423">
        <f t="shared" si="2025"/>
        <v>0</v>
      </c>
      <c r="M383" s="423">
        <f t="shared" si="2025"/>
        <v>0</v>
      </c>
      <c r="N383" s="423">
        <f t="shared" si="2025"/>
        <v>0</v>
      </c>
      <c r="O383" s="423">
        <f t="shared" si="2025"/>
        <v>0</v>
      </c>
      <c r="P383" s="423">
        <f t="shared" si="2025"/>
        <v>0</v>
      </c>
      <c r="Q383" s="423">
        <f t="shared" si="2025"/>
        <v>0</v>
      </c>
      <c r="R383" s="423">
        <f t="shared" si="2025"/>
        <v>0</v>
      </c>
      <c r="S383" s="441">
        <f t="shared" si="2025"/>
        <v>0</v>
      </c>
      <c r="T383" s="434">
        <f t="shared" si="2025"/>
        <v>0</v>
      </c>
      <c r="U383" s="423">
        <f t="shared" si="2025"/>
        <v>0</v>
      </c>
      <c r="V383" s="423">
        <f t="shared" si="2025"/>
        <v>0</v>
      </c>
      <c r="W383" s="423">
        <f t="shared" si="2025"/>
        <v>0</v>
      </c>
      <c r="X383" s="423">
        <f t="shared" si="2025"/>
        <v>0</v>
      </c>
      <c r="Y383" s="423">
        <f t="shared" si="2025"/>
        <v>0</v>
      </c>
      <c r="Z383" s="423">
        <f t="shared" si="2025"/>
        <v>0</v>
      </c>
      <c r="AA383" s="423">
        <f t="shared" si="2025"/>
        <v>0</v>
      </c>
      <c r="AB383" s="423">
        <f t="shared" si="2025"/>
        <v>0</v>
      </c>
      <c r="AC383" s="423">
        <f t="shared" si="2025"/>
        <v>0</v>
      </c>
      <c r="AD383" s="423">
        <f t="shared" si="2025"/>
        <v>0</v>
      </c>
      <c r="AE383" s="423">
        <f t="shared" si="2025"/>
        <v>0</v>
      </c>
      <c r="AF383" s="423">
        <f t="shared" si="2025"/>
        <v>0</v>
      </c>
      <c r="AG383" s="423">
        <f t="shared" si="2025"/>
        <v>0</v>
      </c>
      <c r="AH383" s="423">
        <f t="shared" si="2025"/>
        <v>0</v>
      </c>
    </row>
    <row r="384" spans="3:34" ht="15" thickTop="1" x14ac:dyDescent="0.2">
      <c r="C384" s="1449" t="s">
        <v>2189</v>
      </c>
      <c r="D384" s="1449"/>
      <c r="E384" s="316">
        <f>IF(OR($E367="N/A",E378&gt;$E370,E378&lt;$E371),0,MAX(0,E367))</f>
        <v>0</v>
      </c>
      <c r="F384" s="316">
        <f t="shared" ref="F384" si="2026">IF(OR($E367="N/A",F378&gt;$E370),0,IF(F378=$E371,$E367,MAX(E390,0)))</f>
        <v>0</v>
      </c>
      <c r="G384" s="316">
        <f t="shared" ref="G384" si="2027">IF(OR($E367="N/A",G378&gt;$E370),0,IF(G378=$E371,$E367,MAX(F390,0)))</f>
        <v>0</v>
      </c>
      <c r="H384" s="316">
        <f t="shared" ref="H384" si="2028">IF(OR($E367="N/A",H378&gt;$E370),0,IF(H378=$E371,$E367,MAX(G390,0)))</f>
        <v>0</v>
      </c>
      <c r="I384" s="316">
        <f t="shared" ref="I384" si="2029">IF(OR($E367="N/A",I378&gt;$E370),0,IF(I378=$E371,$E367,MAX(H390,0)))</f>
        <v>0</v>
      </c>
      <c r="J384" s="316">
        <f t="shared" ref="J384" si="2030">IF(OR($E367="N/A",J378&gt;$E370),0,IF(J378=$E371,$E367,MAX(I390,0)))</f>
        <v>0</v>
      </c>
      <c r="K384" s="316">
        <f t="shared" ref="K384" si="2031">IF(OR($E367="N/A",K378&gt;$E370),0,IF(K378=$E371,$E367,MAX(J390,0)))</f>
        <v>0</v>
      </c>
      <c r="L384" s="316">
        <f t="shared" ref="L384" si="2032">IF(OR($E367="N/A",L378&gt;$E370),0,IF(L378=$E371,$E367,MAX(K390,0)))</f>
        <v>0</v>
      </c>
      <c r="M384" s="316">
        <f t="shared" ref="M384" si="2033">IF(OR($E367="N/A",M378&gt;$E370),0,IF(M378=$E371,$E367,MAX(L390,0)))</f>
        <v>0</v>
      </c>
      <c r="N384" s="316">
        <f t="shared" ref="N384" si="2034">IF(OR($E367="N/A",N378&gt;$E370),0,IF(N378=$E371,$E367,MAX(M390,0)))</f>
        <v>0</v>
      </c>
      <c r="O384" s="316">
        <f t="shared" ref="O384" si="2035">IF(OR($E367="N/A",O378&gt;$E370),0,IF(O378=$E371,$E367,MAX(N390,0)))</f>
        <v>0</v>
      </c>
      <c r="P384" s="316">
        <f t="shared" ref="P384" si="2036">IF(OR($E367="N/A",P378&gt;$E370),0,IF(P378=$E371,$E367,MAX(O390,0)))</f>
        <v>0</v>
      </c>
      <c r="Q384" s="316">
        <f t="shared" ref="Q384" si="2037">IF(OR($E367="N/A",Q378&gt;$E370),0,IF(Q378=$E371,$E367,MAX(P390,0)))</f>
        <v>0</v>
      </c>
      <c r="R384" s="316">
        <f t="shared" ref="R384" si="2038">IF(OR($E367="N/A",R378&gt;$E370),0,IF(R378=$E371,$E367,MAX(Q390,0)))</f>
        <v>0</v>
      </c>
      <c r="S384" s="332">
        <f t="shared" ref="S384" si="2039">IF(OR($E367="N/A",S378&gt;$E370),0,IF(S378=$E371,$E367,MAX(R390,0)))</f>
        <v>0</v>
      </c>
      <c r="T384" s="429">
        <f t="shared" ref="T384" si="2040">IF(OR($E367="N/A",T378&gt;$E370),0,IF(T378=$E371,$E367,MAX(S390,0)))</f>
        <v>0</v>
      </c>
      <c r="U384" s="316">
        <f t="shared" ref="U384" si="2041">IF(OR($E367="N/A",U378&gt;$E370),0,IF(U378=$E371,$E367,MAX(T390,0)))</f>
        <v>0</v>
      </c>
      <c r="V384" s="316">
        <f t="shared" ref="V384" si="2042">IF(OR($E367="N/A",V378&gt;$E370),0,IF(V378=$E371,$E367,MAX(U390,0)))</f>
        <v>0</v>
      </c>
      <c r="W384" s="316">
        <f t="shared" ref="W384" si="2043">IF(OR($E367="N/A",W378&gt;$E370),0,IF(W378=$E371,$E367,MAX(V390,0)))</f>
        <v>0</v>
      </c>
      <c r="X384" s="316">
        <f t="shared" ref="X384" si="2044">IF(OR($E367="N/A",X378&gt;$E370),0,IF(X378=$E371,$E367,MAX(W390,0)))</f>
        <v>0</v>
      </c>
      <c r="Y384" s="316">
        <f t="shared" ref="Y384" si="2045">IF(OR($E367="N/A",Y378&gt;$E370),0,IF(Y378=$E371,$E367,MAX(X390,0)))</f>
        <v>0</v>
      </c>
      <c r="Z384" s="316">
        <f t="shared" ref="Z384" si="2046">IF(OR($E367="N/A",Z378&gt;$E370),0,IF(Z378=$E371,$E367,MAX(Y390,0)))</f>
        <v>0</v>
      </c>
      <c r="AA384" s="316">
        <f t="shared" ref="AA384" si="2047">IF(OR($E367="N/A",AA378&gt;$E370),0,IF(AA378=$E371,$E367,MAX(Z390,0)))</f>
        <v>0</v>
      </c>
      <c r="AB384" s="316">
        <f t="shared" ref="AB384" si="2048">IF(OR($E367="N/A",AB378&gt;$E370),0,IF(AB378=$E371,$E367,MAX(AA390,0)))</f>
        <v>0</v>
      </c>
      <c r="AC384" s="316">
        <f t="shared" ref="AC384" si="2049">IF(OR($E367="N/A",AC378&gt;$E370),0,IF(AC378=$E371,$E367,MAX(AB390,0)))</f>
        <v>0</v>
      </c>
      <c r="AD384" s="316">
        <f t="shared" ref="AD384" si="2050">IF(OR($E367="N/A",AD378&gt;$E370),0,IF(AD378=$E371,$E367,MAX(AC390,0)))</f>
        <v>0</v>
      </c>
      <c r="AE384" s="316">
        <f t="shared" ref="AE384" si="2051">IF(OR($E367="N/A",AE378&gt;$E370),0,IF(AE378=$E371,$E367,MAX(AD390,0)))</f>
        <v>0</v>
      </c>
      <c r="AF384" s="316">
        <f t="shared" ref="AF384" si="2052">IF(OR($E367="N/A",AF378&gt;$E370),0,IF(AF378=$E371,$E367,MAX(AE390,0)))</f>
        <v>0</v>
      </c>
      <c r="AG384" s="316">
        <f t="shared" ref="AG384" si="2053">IF(OR($E367="N/A",AG378&gt;$E370),0,IF(AG378=$E371,$E367,MAX(AF390,0)))</f>
        <v>0</v>
      </c>
      <c r="AH384" s="316">
        <f t="shared" ref="AH384" si="2054">IF(OR($E367="N/A",AH378&gt;$E370),0,IF(AH378=$E371,$E367,MAX(AG390,0)))</f>
        <v>0</v>
      </c>
    </row>
    <row r="385" spans="3:34" x14ac:dyDescent="0.2">
      <c r="C385" s="1181" t="s">
        <v>2186</v>
      </c>
      <c r="D385" s="1181"/>
      <c r="E385" s="109">
        <f t="shared" ref="E385:AH385" si="2055">IF(OR($E367="N/A",E378&gt;$E370,E378&lt;$E371),0,E384*$E368)</f>
        <v>0</v>
      </c>
      <c r="F385" s="109">
        <f t="shared" si="2055"/>
        <v>0</v>
      </c>
      <c r="G385" s="109">
        <f t="shared" si="2055"/>
        <v>0</v>
      </c>
      <c r="H385" s="109">
        <f t="shared" si="2055"/>
        <v>0</v>
      </c>
      <c r="I385" s="109">
        <f t="shared" si="2055"/>
        <v>0</v>
      </c>
      <c r="J385" s="109">
        <f t="shared" si="2055"/>
        <v>0</v>
      </c>
      <c r="K385" s="109">
        <f t="shared" si="2055"/>
        <v>0</v>
      </c>
      <c r="L385" s="109">
        <f t="shared" si="2055"/>
        <v>0</v>
      </c>
      <c r="M385" s="109">
        <f t="shared" si="2055"/>
        <v>0</v>
      </c>
      <c r="N385" s="109">
        <f t="shared" si="2055"/>
        <v>0</v>
      </c>
      <c r="O385" s="109">
        <f t="shared" si="2055"/>
        <v>0</v>
      </c>
      <c r="P385" s="109">
        <f t="shared" si="2055"/>
        <v>0</v>
      </c>
      <c r="Q385" s="109">
        <f t="shared" si="2055"/>
        <v>0</v>
      </c>
      <c r="R385" s="109">
        <f t="shared" si="2055"/>
        <v>0</v>
      </c>
      <c r="S385" s="331">
        <f t="shared" si="2055"/>
        <v>0</v>
      </c>
      <c r="T385" s="228">
        <f t="shared" si="2055"/>
        <v>0</v>
      </c>
      <c r="U385" s="109">
        <f t="shared" si="2055"/>
        <v>0</v>
      </c>
      <c r="V385" s="109">
        <f t="shared" si="2055"/>
        <v>0</v>
      </c>
      <c r="W385" s="109">
        <f t="shared" si="2055"/>
        <v>0</v>
      </c>
      <c r="X385" s="109">
        <f t="shared" si="2055"/>
        <v>0</v>
      </c>
      <c r="Y385" s="109">
        <f t="shared" si="2055"/>
        <v>0</v>
      </c>
      <c r="Z385" s="109">
        <f t="shared" si="2055"/>
        <v>0</v>
      </c>
      <c r="AA385" s="109">
        <f t="shared" si="2055"/>
        <v>0</v>
      </c>
      <c r="AB385" s="109">
        <f t="shared" si="2055"/>
        <v>0</v>
      </c>
      <c r="AC385" s="109">
        <f t="shared" si="2055"/>
        <v>0</v>
      </c>
      <c r="AD385" s="109">
        <f t="shared" si="2055"/>
        <v>0</v>
      </c>
      <c r="AE385" s="109">
        <f t="shared" si="2055"/>
        <v>0</v>
      </c>
      <c r="AF385" s="109">
        <f t="shared" si="2055"/>
        <v>0</v>
      </c>
      <c r="AG385" s="109">
        <f t="shared" si="2055"/>
        <v>0</v>
      </c>
      <c r="AH385" s="109">
        <f t="shared" si="2055"/>
        <v>0</v>
      </c>
    </row>
    <row r="386" spans="3:34" x14ac:dyDescent="0.2">
      <c r="C386" s="1181" t="s">
        <v>2270</v>
      </c>
      <c r="D386" s="1181"/>
      <c r="E386" s="346">
        <f t="shared" ref="E386:AH386" si="2056">IF(OR($E367="N/A",E378&gt;$E370,E378&lt;$E371),0,MAX(0,MIN(E385,E383)))</f>
        <v>0</v>
      </c>
      <c r="F386" s="346">
        <f t="shared" si="2056"/>
        <v>0</v>
      </c>
      <c r="G386" s="346">
        <f t="shared" si="2056"/>
        <v>0</v>
      </c>
      <c r="H386" s="346">
        <f t="shared" si="2056"/>
        <v>0</v>
      </c>
      <c r="I386" s="346">
        <f t="shared" si="2056"/>
        <v>0</v>
      </c>
      <c r="J386" s="346">
        <f t="shared" si="2056"/>
        <v>0</v>
      </c>
      <c r="K386" s="346">
        <f t="shared" si="2056"/>
        <v>0</v>
      </c>
      <c r="L386" s="346">
        <f t="shared" si="2056"/>
        <v>0</v>
      </c>
      <c r="M386" s="346">
        <f t="shared" si="2056"/>
        <v>0</v>
      </c>
      <c r="N386" s="346">
        <f t="shared" si="2056"/>
        <v>0</v>
      </c>
      <c r="O386" s="346">
        <f t="shared" si="2056"/>
        <v>0</v>
      </c>
      <c r="P386" s="346">
        <f t="shared" si="2056"/>
        <v>0</v>
      </c>
      <c r="Q386" s="346">
        <f t="shared" si="2056"/>
        <v>0</v>
      </c>
      <c r="R386" s="346">
        <f t="shared" si="2056"/>
        <v>0</v>
      </c>
      <c r="S386" s="442">
        <f t="shared" si="2056"/>
        <v>0</v>
      </c>
      <c r="T386" s="435">
        <f t="shared" si="2056"/>
        <v>0</v>
      </c>
      <c r="U386" s="346">
        <f t="shared" si="2056"/>
        <v>0</v>
      </c>
      <c r="V386" s="346">
        <f t="shared" si="2056"/>
        <v>0</v>
      </c>
      <c r="W386" s="346">
        <f t="shared" si="2056"/>
        <v>0</v>
      </c>
      <c r="X386" s="346">
        <f t="shared" si="2056"/>
        <v>0</v>
      </c>
      <c r="Y386" s="346">
        <f t="shared" si="2056"/>
        <v>0</v>
      </c>
      <c r="Z386" s="346">
        <f t="shared" si="2056"/>
        <v>0</v>
      </c>
      <c r="AA386" s="346">
        <f t="shared" si="2056"/>
        <v>0</v>
      </c>
      <c r="AB386" s="346">
        <f t="shared" si="2056"/>
        <v>0</v>
      </c>
      <c r="AC386" s="346">
        <f t="shared" si="2056"/>
        <v>0</v>
      </c>
      <c r="AD386" s="346">
        <f t="shared" si="2056"/>
        <v>0</v>
      </c>
      <c r="AE386" s="346">
        <f t="shared" si="2056"/>
        <v>0</v>
      </c>
      <c r="AF386" s="346">
        <f t="shared" si="2056"/>
        <v>0</v>
      </c>
      <c r="AG386" s="346">
        <f t="shared" si="2056"/>
        <v>0</v>
      </c>
      <c r="AH386" s="346">
        <f t="shared" si="2056"/>
        <v>0</v>
      </c>
    </row>
    <row r="387" spans="3:34" x14ac:dyDescent="0.2">
      <c r="C387" s="1181" t="s">
        <v>2271</v>
      </c>
      <c r="D387" s="1181"/>
      <c r="E387" s="346">
        <f t="shared" ref="E387:AH387" si="2057">IF(OR($E367="N/A",E378&gt;$E370,E378&lt;$E371),0,E386-E385)</f>
        <v>0</v>
      </c>
      <c r="F387" s="346">
        <f t="shared" si="2057"/>
        <v>0</v>
      </c>
      <c r="G387" s="346">
        <f t="shared" si="2057"/>
        <v>0</v>
      </c>
      <c r="H387" s="346">
        <f t="shared" si="2057"/>
        <v>0</v>
      </c>
      <c r="I387" s="346">
        <f t="shared" si="2057"/>
        <v>0</v>
      </c>
      <c r="J387" s="346">
        <f t="shared" si="2057"/>
        <v>0</v>
      </c>
      <c r="K387" s="346">
        <f t="shared" si="2057"/>
        <v>0</v>
      </c>
      <c r="L387" s="346">
        <f t="shared" si="2057"/>
        <v>0</v>
      </c>
      <c r="M387" s="346">
        <f t="shared" si="2057"/>
        <v>0</v>
      </c>
      <c r="N387" s="346">
        <f t="shared" si="2057"/>
        <v>0</v>
      </c>
      <c r="O387" s="346">
        <f t="shared" si="2057"/>
        <v>0</v>
      </c>
      <c r="P387" s="346">
        <f t="shared" si="2057"/>
        <v>0</v>
      </c>
      <c r="Q387" s="346">
        <f t="shared" si="2057"/>
        <v>0</v>
      </c>
      <c r="R387" s="346">
        <f t="shared" si="2057"/>
        <v>0</v>
      </c>
      <c r="S387" s="442">
        <f t="shared" si="2057"/>
        <v>0</v>
      </c>
      <c r="T387" s="435">
        <f t="shared" si="2057"/>
        <v>0</v>
      </c>
      <c r="U387" s="346">
        <f t="shared" si="2057"/>
        <v>0</v>
      </c>
      <c r="V387" s="346">
        <f t="shared" si="2057"/>
        <v>0</v>
      </c>
      <c r="W387" s="346">
        <f t="shared" si="2057"/>
        <v>0</v>
      </c>
      <c r="X387" s="346">
        <f t="shared" si="2057"/>
        <v>0</v>
      </c>
      <c r="Y387" s="346">
        <f t="shared" si="2057"/>
        <v>0</v>
      </c>
      <c r="Z387" s="346">
        <f t="shared" si="2057"/>
        <v>0</v>
      </c>
      <c r="AA387" s="346">
        <f t="shared" si="2057"/>
        <v>0</v>
      </c>
      <c r="AB387" s="346">
        <f t="shared" si="2057"/>
        <v>0</v>
      </c>
      <c r="AC387" s="346">
        <f t="shared" si="2057"/>
        <v>0</v>
      </c>
      <c r="AD387" s="346">
        <f t="shared" si="2057"/>
        <v>0</v>
      </c>
      <c r="AE387" s="346">
        <f t="shared" si="2057"/>
        <v>0</v>
      </c>
      <c r="AF387" s="346">
        <f t="shared" si="2057"/>
        <v>0</v>
      </c>
      <c r="AG387" s="346">
        <f t="shared" si="2057"/>
        <v>0</v>
      </c>
      <c r="AH387" s="346">
        <f t="shared" si="2057"/>
        <v>0</v>
      </c>
    </row>
    <row r="388" spans="3:34" ht="15" thickBot="1" x14ac:dyDescent="0.25">
      <c r="C388" s="1448" t="s">
        <v>2272</v>
      </c>
      <c r="D388" s="1448"/>
      <c r="E388" s="411">
        <f>IF(OR($E367="N/A",E378&gt;$E370,E378&lt;$E371),0,MAX(0,MIN(E383-E386,E384)))</f>
        <v>0</v>
      </c>
      <c r="F388" s="411">
        <f>IF(OR($E367="N/A",F378&gt;$E370,F378&lt;$E371),0,MAX(0,MIN(F383-F386,F384)))</f>
        <v>0</v>
      </c>
      <c r="G388" s="411">
        <f t="shared" ref="G388:AH388" si="2058">IF(OR($E367="N/A",G378&gt;$E370,G378&lt;$E371),0,MAX(0,MIN(G383-G386,G384)))</f>
        <v>0</v>
      </c>
      <c r="H388" s="411">
        <f t="shared" si="2058"/>
        <v>0</v>
      </c>
      <c r="I388" s="411">
        <f t="shared" si="2058"/>
        <v>0</v>
      </c>
      <c r="J388" s="411">
        <f t="shared" si="2058"/>
        <v>0</v>
      </c>
      <c r="K388" s="411">
        <f t="shared" si="2058"/>
        <v>0</v>
      </c>
      <c r="L388" s="411">
        <f t="shared" si="2058"/>
        <v>0</v>
      </c>
      <c r="M388" s="411">
        <f t="shared" si="2058"/>
        <v>0</v>
      </c>
      <c r="N388" s="411">
        <f t="shared" si="2058"/>
        <v>0</v>
      </c>
      <c r="O388" s="411">
        <f t="shared" si="2058"/>
        <v>0</v>
      </c>
      <c r="P388" s="411">
        <f t="shared" si="2058"/>
        <v>0</v>
      </c>
      <c r="Q388" s="411">
        <f t="shared" si="2058"/>
        <v>0</v>
      </c>
      <c r="R388" s="411">
        <f t="shared" si="2058"/>
        <v>0</v>
      </c>
      <c r="S388" s="443">
        <f t="shared" si="2058"/>
        <v>0</v>
      </c>
      <c r="T388" s="431">
        <f t="shared" si="2058"/>
        <v>0</v>
      </c>
      <c r="U388" s="411">
        <f t="shared" si="2058"/>
        <v>0</v>
      </c>
      <c r="V388" s="411">
        <f t="shared" si="2058"/>
        <v>0</v>
      </c>
      <c r="W388" s="411">
        <f t="shared" si="2058"/>
        <v>0</v>
      </c>
      <c r="X388" s="411">
        <f t="shared" si="2058"/>
        <v>0</v>
      </c>
      <c r="Y388" s="411">
        <f t="shared" si="2058"/>
        <v>0</v>
      </c>
      <c r="Z388" s="411">
        <f t="shared" si="2058"/>
        <v>0</v>
      </c>
      <c r="AA388" s="411">
        <f t="shared" si="2058"/>
        <v>0</v>
      </c>
      <c r="AB388" s="411">
        <f t="shared" si="2058"/>
        <v>0</v>
      </c>
      <c r="AC388" s="411">
        <f t="shared" si="2058"/>
        <v>0</v>
      </c>
      <c r="AD388" s="411">
        <f t="shared" si="2058"/>
        <v>0</v>
      </c>
      <c r="AE388" s="411">
        <f t="shared" si="2058"/>
        <v>0</v>
      </c>
      <c r="AF388" s="411">
        <f t="shared" si="2058"/>
        <v>0</v>
      </c>
      <c r="AG388" s="411">
        <f t="shared" si="2058"/>
        <v>0</v>
      </c>
      <c r="AH388" s="411">
        <f t="shared" si="2058"/>
        <v>0</v>
      </c>
    </row>
    <row r="389" spans="3:34" ht="15" thickTop="1" x14ac:dyDescent="0.2">
      <c r="C389" s="1449" t="s">
        <v>2282</v>
      </c>
      <c r="D389" s="1449"/>
      <c r="E389" s="430">
        <f>SUM(E386,E388)</f>
        <v>0</v>
      </c>
      <c r="F389" s="430">
        <f>SUM(F386,F388)</f>
        <v>0</v>
      </c>
      <c r="G389" s="430">
        <f t="shared" ref="G389" si="2059">SUM(G386,G388)</f>
        <v>0</v>
      </c>
      <c r="H389" s="430">
        <f t="shared" ref="H389" si="2060">SUM(H386,H388)</f>
        <v>0</v>
      </c>
      <c r="I389" s="430">
        <f t="shared" ref="I389" si="2061">SUM(I386,I388)</f>
        <v>0</v>
      </c>
      <c r="J389" s="430">
        <f t="shared" ref="J389" si="2062">SUM(J386,J388)</f>
        <v>0</v>
      </c>
      <c r="K389" s="430">
        <f t="shared" ref="K389" si="2063">SUM(K386,K388)</f>
        <v>0</v>
      </c>
      <c r="L389" s="430">
        <f t="shared" ref="L389" si="2064">SUM(L386,L388)</f>
        <v>0</v>
      </c>
      <c r="M389" s="430">
        <f t="shared" ref="M389" si="2065">SUM(M386,M388)</f>
        <v>0</v>
      </c>
      <c r="N389" s="430">
        <f t="shared" ref="N389" si="2066">SUM(N386,N388)</f>
        <v>0</v>
      </c>
      <c r="O389" s="430">
        <f t="shared" ref="O389" si="2067">SUM(O386,O388)</f>
        <v>0</v>
      </c>
      <c r="P389" s="430">
        <f t="shared" ref="P389" si="2068">SUM(P386,P388)</f>
        <v>0</v>
      </c>
      <c r="Q389" s="430">
        <f t="shared" ref="Q389" si="2069">SUM(Q386,Q388)</f>
        <v>0</v>
      </c>
      <c r="R389" s="430">
        <f t="shared" ref="R389" si="2070">SUM(R386,R388)</f>
        <v>0</v>
      </c>
      <c r="S389" s="444">
        <f t="shared" ref="S389" si="2071">SUM(S386,S388)</f>
        <v>0</v>
      </c>
      <c r="T389" s="436">
        <f t="shared" ref="T389" si="2072">SUM(T386,T388)</f>
        <v>0</v>
      </c>
      <c r="U389" s="430">
        <f t="shared" ref="U389" si="2073">SUM(U386,U388)</f>
        <v>0</v>
      </c>
      <c r="V389" s="430">
        <f t="shared" ref="V389" si="2074">SUM(V386,V388)</f>
        <v>0</v>
      </c>
      <c r="W389" s="430">
        <f t="shared" ref="W389" si="2075">SUM(W386,W388)</f>
        <v>0</v>
      </c>
      <c r="X389" s="430">
        <f t="shared" ref="X389" si="2076">SUM(X386,X388)</f>
        <v>0</v>
      </c>
      <c r="Y389" s="430">
        <f t="shared" ref="Y389" si="2077">SUM(Y386,Y388)</f>
        <v>0</v>
      </c>
      <c r="Z389" s="430">
        <f t="shared" ref="Z389" si="2078">SUM(Z386,Z388)</f>
        <v>0</v>
      </c>
      <c r="AA389" s="430">
        <f t="shared" ref="AA389" si="2079">SUM(AA386,AA388)</f>
        <v>0</v>
      </c>
      <c r="AB389" s="430">
        <f t="shared" ref="AB389" si="2080">SUM(AB386,AB388)</f>
        <v>0</v>
      </c>
      <c r="AC389" s="430">
        <f t="shared" ref="AC389" si="2081">SUM(AC386,AC388)</f>
        <v>0</v>
      </c>
      <c r="AD389" s="430">
        <f t="shared" ref="AD389" si="2082">SUM(AD386,AD388)</f>
        <v>0</v>
      </c>
      <c r="AE389" s="430">
        <f t="shared" ref="AE389" si="2083">SUM(AE386,AE388)</f>
        <v>0</v>
      </c>
      <c r="AF389" s="430">
        <f t="shared" ref="AF389" si="2084">SUM(AF386,AF388)</f>
        <v>0</v>
      </c>
      <c r="AG389" s="430">
        <f t="shared" ref="AG389" si="2085">SUM(AG386,AG388)</f>
        <v>0</v>
      </c>
      <c r="AH389" s="430">
        <f t="shared" ref="AH389" si="2086">SUM(AH386,AH388)</f>
        <v>0</v>
      </c>
    </row>
    <row r="390" spans="3:34" x14ac:dyDescent="0.2">
      <c r="C390" s="1181" t="s">
        <v>2190</v>
      </c>
      <c r="D390" s="1181"/>
      <c r="E390" s="342">
        <f>IF(OR($E367="N/A",E378&gt;$E370,E378&lt;$E371),0,IF($E369="Compound",E384-E388-E387,MAX(0,E384-E388)))</f>
        <v>0</v>
      </c>
      <c r="F390" s="342">
        <f>IF(OR($E367="N/A",F378&gt;$E370,F378&lt;$E371),0,IF($E369="Compound",F384-F388-F387,MAX(0,F384-F388)))</f>
        <v>0</v>
      </c>
      <c r="G390" s="342">
        <f t="shared" ref="G390:AH390" si="2087">IF(OR($E367="N/A",G378&gt;$E370,G378&lt;$E371),0,IF($E369="Compound",G384-G388-G387,MAX(0,G384-G388)))</f>
        <v>0</v>
      </c>
      <c r="H390" s="342">
        <f t="shared" si="2087"/>
        <v>0</v>
      </c>
      <c r="I390" s="342">
        <f t="shared" si="2087"/>
        <v>0</v>
      </c>
      <c r="J390" s="342">
        <f t="shared" si="2087"/>
        <v>0</v>
      </c>
      <c r="K390" s="342">
        <f t="shared" si="2087"/>
        <v>0</v>
      </c>
      <c r="L390" s="342">
        <f t="shared" si="2087"/>
        <v>0</v>
      </c>
      <c r="M390" s="342">
        <f t="shared" si="2087"/>
        <v>0</v>
      </c>
      <c r="N390" s="342">
        <f t="shared" si="2087"/>
        <v>0</v>
      </c>
      <c r="O390" s="342">
        <f t="shared" si="2087"/>
        <v>0</v>
      </c>
      <c r="P390" s="342">
        <f t="shared" si="2087"/>
        <v>0</v>
      </c>
      <c r="Q390" s="342">
        <f t="shared" si="2087"/>
        <v>0</v>
      </c>
      <c r="R390" s="342">
        <f t="shared" si="2087"/>
        <v>0</v>
      </c>
      <c r="S390" s="445">
        <f t="shared" si="2087"/>
        <v>0</v>
      </c>
      <c r="T390" s="437">
        <f t="shared" si="2087"/>
        <v>0</v>
      </c>
      <c r="U390" s="342">
        <f t="shared" si="2087"/>
        <v>0</v>
      </c>
      <c r="V390" s="342">
        <f t="shared" si="2087"/>
        <v>0</v>
      </c>
      <c r="W390" s="342">
        <f t="shared" si="2087"/>
        <v>0</v>
      </c>
      <c r="X390" s="342">
        <f t="shared" si="2087"/>
        <v>0</v>
      </c>
      <c r="Y390" s="342">
        <f t="shared" si="2087"/>
        <v>0</v>
      </c>
      <c r="Z390" s="342">
        <f t="shared" si="2087"/>
        <v>0</v>
      </c>
      <c r="AA390" s="342">
        <f t="shared" si="2087"/>
        <v>0</v>
      </c>
      <c r="AB390" s="342">
        <f t="shared" si="2087"/>
        <v>0</v>
      </c>
      <c r="AC390" s="342">
        <f t="shared" si="2087"/>
        <v>0</v>
      </c>
      <c r="AD390" s="342">
        <f t="shared" si="2087"/>
        <v>0</v>
      </c>
      <c r="AE390" s="342">
        <f t="shared" si="2087"/>
        <v>0</v>
      </c>
      <c r="AF390" s="342">
        <f t="shared" si="2087"/>
        <v>0</v>
      </c>
      <c r="AG390" s="342">
        <f t="shared" si="2087"/>
        <v>0</v>
      </c>
      <c r="AH390" s="342">
        <f t="shared" si="2087"/>
        <v>0</v>
      </c>
    </row>
    <row r="391" spans="3:34" x14ac:dyDescent="0.2">
      <c r="C391" s="317"/>
      <c r="D391" s="317"/>
      <c r="E391" s="74"/>
      <c r="F391" s="74"/>
      <c r="G391" s="74"/>
      <c r="H391" s="74"/>
      <c r="I391" s="74"/>
      <c r="J391" s="74"/>
      <c r="K391" s="74"/>
      <c r="L391" s="74"/>
      <c r="M391" s="74"/>
      <c r="N391" s="74"/>
      <c r="O391" s="74"/>
      <c r="P391" s="74"/>
      <c r="Q391" s="74"/>
      <c r="R391" s="74"/>
      <c r="S391" s="333"/>
      <c r="T391" s="74"/>
      <c r="U391" s="74"/>
      <c r="V391" s="74"/>
      <c r="W391" s="74"/>
      <c r="X391" s="74"/>
      <c r="Y391" s="74"/>
      <c r="Z391" s="74"/>
      <c r="AA391" s="74"/>
      <c r="AB391" s="74"/>
      <c r="AC391" s="74"/>
      <c r="AD391" s="74"/>
      <c r="AE391" s="74"/>
      <c r="AF391" s="74"/>
      <c r="AG391" s="74"/>
      <c r="AH391" s="74"/>
    </row>
    <row r="392" spans="3:34" ht="15" x14ac:dyDescent="0.2">
      <c r="C392" s="432" t="s">
        <v>2287</v>
      </c>
      <c r="D392" s="317"/>
      <c r="E392" s="74"/>
      <c r="F392" s="74"/>
      <c r="G392" s="74"/>
      <c r="H392" s="74"/>
      <c r="I392" s="74"/>
      <c r="J392" s="74"/>
      <c r="K392" s="74"/>
      <c r="L392" s="74"/>
      <c r="M392" s="74"/>
      <c r="N392" s="74"/>
      <c r="O392" s="74"/>
      <c r="P392" s="74"/>
      <c r="Q392" s="74"/>
      <c r="R392" s="74"/>
      <c r="S392" s="333"/>
      <c r="T392" s="74"/>
      <c r="U392" s="74"/>
      <c r="V392" s="74"/>
      <c r="W392" s="74"/>
      <c r="X392" s="74"/>
      <c r="Y392" s="74"/>
      <c r="Z392" s="74"/>
      <c r="AA392" s="74"/>
      <c r="AB392" s="74"/>
      <c r="AC392" s="74"/>
      <c r="AD392" s="74"/>
      <c r="AE392" s="74"/>
      <c r="AF392" s="74"/>
      <c r="AG392" s="74"/>
      <c r="AH392" s="74"/>
    </row>
    <row r="393" spans="3:34" x14ac:dyDescent="0.2">
      <c r="C393" s="1234" t="s">
        <v>2273</v>
      </c>
      <c r="D393" s="1234"/>
      <c r="E393" s="421">
        <f>IF($I367="N/A",0,IF(E378&gt;$I372,0,MIN($I371,$I367*$I369)))</f>
        <v>0</v>
      </c>
      <c r="F393" s="236">
        <f t="shared" ref="F393" si="2088">IF($I367="N/A",0,IF(F378&gt;$I372,0,MIN($I371,$I367*$I369*(1+$I368)^E$63)))</f>
        <v>0</v>
      </c>
      <c r="G393" s="236">
        <f t="shared" ref="G393" si="2089">IF($I367="N/A",0,IF(G378&gt;$I372,0,MIN($I371,$I367*$I369*(1+$I368)^F$63)))</f>
        <v>0</v>
      </c>
      <c r="H393" s="236">
        <f t="shared" ref="H393" si="2090">IF($I367="N/A",0,IF(H378&gt;$I372,0,MIN($I371,$I367*$I369*(1+$I368)^G$63)))</f>
        <v>0</v>
      </c>
      <c r="I393" s="236">
        <f t="shared" ref="I393" si="2091">IF($I367="N/A",0,IF(I378&gt;$I372,0,MIN($I371,$I367*$I369*(1+$I368)^H$63)))</f>
        <v>0</v>
      </c>
      <c r="J393" s="236">
        <f t="shared" ref="J393" si="2092">IF($I367="N/A",0,IF(J378&gt;$I372,0,MIN($I371,$I367*$I369*(1+$I368)^I$63)))</f>
        <v>0</v>
      </c>
      <c r="K393" s="236">
        <f t="shared" ref="K393" si="2093">IF($I367="N/A",0,IF(K378&gt;$I372,0,MIN($I371,$I367*$I369*(1+$I368)^J$63)))</f>
        <v>0</v>
      </c>
      <c r="L393" s="236">
        <f t="shared" ref="L393" si="2094">IF($I367="N/A",0,IF(L378&gt;$I372,0,MIN($I371,$I367*$I369*(1+$I368)^K$63)))</f>
        <v>0</v>
      </c>
      <c r="M393" s="236">
        <f t="shared" ref="M393" si="2095">IF($I367="N/A",0,IF(M378&gt;$I372,0,MIN($I371,$I367*$I369*(1+$I368)^L$63)))</f>
        <v>0</v>
      </c>
      <c r="N393" s="236">
        <f t="shared" ref="N393" si="2096">IF($I367="N/A",0,IF(N378&gt;$I372,0,MIN($I371,$I367*$I369*(1+$I368)^M$63)))</f>
        <v>0</v>
      </c>
      <c r="O393" s="236">
        <f t="shared" ref="O393" si="2097">IF($I367="N/A",0,IF(O378&gt;$I372,0,MIN($I371,$I367*$I369*(1+$I368)^N$63)))</f>
        <v>0</v>
      </c>
      <c r="P393" s="236">
        <f t="shared" ref="P393" si="2098">IF($I367="N/A",0,IF(P378&gt;$I372,0,MIN($I371,$I367*$I369*(1+$I368)^O$63)))</f>
        <v>0</v>
      </c>
      <c r="Q393" s="236">
        <f t="shared" ref="Q393" si="2099">IF($I367="N/A",0,IF(Q378&gt;$I372,0,MIN($I371,$I367*$I369*(1+$I368)^P$63)))</f>
        <v>0</v>
      </c>
      <c r="R393" s="236">
        <f t="shared" ref="R393" si="2100">IF($I367="N/A",0,IF(R378&gt;$I372,0,MIN($I371,$I367*$I369*(1+$I368)^Q$63)))</f>
        <v>0</v>
      </c>
      <c r="S393" s="446">
        <f t="shared" ref="S393" si="2101">IF($I367="N/A",0,IF(S378&gt;$I372,0,MIN($I371,$I367*$I369*(1+$I368)^R$63)))</f>
        <v>0</v>
      </c>
      <c r="T393" s="438">
        <f t="shared" ref="T393" si="2102">IF($I367="N/A",0,IF(T378&gt;$I372,0,MIN($I371,$I367*$I369*(1+$I368)^S$63)))</f>
        <v>0</v>
      </c>
      <c r="U393" s="236">
        <f t="shared" ref="U393" si="2103">IF($I367="N/A",0,IF(U378&gt;$I372,0,MIN($I371,$I367*$I369*(1+$I368)^T$63)))</f>
        <v>0</v>
      </c>
      <c r="V393" s="236">
        <f t="shared" ref="V393" si="2104">IF($I367="N/A",0,IF(V378&gt;$I372,0,MIN($I371,$I367*$I369*(1+$I368)^U$63)))</f>
        <v>0</v>
      </c>
      <c r="W393" s="236">
        <f t="shared" ref="W393" si="2105">IF($I367="N/A",0,IF(W378&gt;$I372,0,MIN($I371,$I367*$I369*(1+$I368)^V$63)))</f>
        <v>0</v>
      </c>
      <c r="X393" s="236">
        <f t="shared" ref="X393" si="2106">IF($I367="N/A",0,IF(X378&gt;$I372,0,MIN($I371,$I367*$I369*(1+$I368)^W$63)))</f>
        <v>0</v>
      </c>
      <c r="Y393" s="236">
        <f t="shared" ref="Y393" si="2107">IF($I367="N/A",0,IF(Y378&gt;$I372,0,MIN($I371,$I367*$I369*(1+$I368)^X$63)))</f>
        <v>0</v>
      </c>
      <c r="Z393" s="236">
        <f t="shared" ref="Z393" si="2108">IF($I367="N/A",0,IF(Z378&gt;$I372,0,MIN($I371,$I367*$I369*(1+$I368)^Y$63)))</f>
        <v>0</v>
      </c>
      <c r="AA393" s="236">
        <f t="shared" ref="AA393" si="2109">IF($I367="N/A",0,IF(AA378&gt;$I372,0,MIN($I371,$I367*$I369*(1+$I368)^Z$63)))</f>
        <v>0</v>
      </c>
      <c r="AB393" s="236">
        <f t="shared" ref="AB393" si="2110">IF($I367="N/A",0,IF(AB378&gt;$I372,0,MIN($I371,$I367*$I369*(1+$I368)^AA$63)))</f>
        <v>0</v>
      </c>
      <c r="AC393" s="236">
        <f t="shared" ref="AC393" si="2111">IF($I367="N/A",0,IF(AC378&gt;$I372,0,MIN($I371,$I367*$I369*(1+$I368)^AB$63)))</f>
        <v>0</v>
      </c>
      <c r="AD393" s="236">
        <f t="shared" ref="AD393" si="2112">IF($I367="N/A",0,IF(AD378&gt;$I372,0,MIN($I371,$I367*$I369*(1+$I368)^AC$63)))</f>
        <v>0</v>
      </c>
      <c r="AE393" s="236">
        <f t="shared" ref="AE393" si="2113">IF($I367="N/A",0,IF(AE378&gt;$I372,0,MIN($I371,$I367*$I369*(1+$I368)^AD$63)))</f>
        <v>0</v>
      </c>
      <c r="AF393" s="236">
        <f t="shared" ref="AF393" si="2114">IF($I367="N/A",0,IF(AF378&gt;$I372,0,MIN($I371,$I367*$I369*(1+$I368)^AE$63)))</f>
        <v>0</v>
      </c>
      <c r="AG393" s="236">
        <f t="shared" ref="AG393" si="2115">IF($I367="N/A",0,IF(AG378&gt;$I372,0,MIN($I371,$I367*$I369*(1+$I368)^AF$63)))</f>
        <v>0</v>
      </c>
      <c r="AH393" s="236">
        <f t="shared" ref="AH393" si="2116">IF($I367="N/A",0,IF(AH378&gt;$I372,0,MIN($I371,$I367*$I369*(1+$I368)^AG$63)))</f>
        <v>0</v>
      </c>
    </row>
    <row r="394" spans="3:34" x14ac:dyDescent="0.2">
      <c r="C394" s="1450" t="s">
        <v>2274</v>
      </c>
      <c r="D394" s="1451"/>
      <c r="E394" s="422">
        <f>IF($I367="N/A",0,IF(E378&gt;$I372,0,MAX(0,MIN(E393,$I367*$I369,E380))))</f>
        <v>0</v>
      </c>
      <c r="F394" s="521">
        <f t="shared" ref="F394" si="2117">IF($I367="N/A",0,IF(F378&gt;$I372,0,IF($I370="Yes",MAX(0,MIN(F380*$I369,E396+F393,$I371)),MAX(0,MIN(F393,F380*$I369,$I371)))))</f>
        <v>0</v>
      </c>
      <c r="G394" s="521">
        <f t="shared" ref="G394" si="2118">IF($I367="N/A",0,IF(G378&gt;$I372,0,IF($I370="Yes",MAX(0,MIN(G380*$I369,F396+G393,$I371)),MAX(0,MIN(G393,G380*$I369,$I371)))))</f>
        <v>0</v>
      </c>
      <c r="H394" s="521">
        <f t="shared" ref="H394" si="2119">IF($I367="N/A",0,IF(H378&gt;$I372,0,IF($I370="Yes",MAX(0,MIN(H380*$I369,G396+H393,$I371)),MAX(0,MIN(H393,H380*$I369,$I371)))))</f>
        <v>0</v>
      </c>
      <c r="I394" s="521">
        <f t="shared" ref="I394" si="2120">IF($I367="N/A",0,IF(I378&gt;$I372,0,IF($I370="Yes",MAX(0,MIN(I380*$I369,H396+I393,$I371)),MAX(0,MIN(I393,I380*$I369,$I371)))))</f>
        <v>0</v>
      </c>
      <c r="J394" s="521">
        <f t="shared" ref="J394" si="2121">IF($I367="N/A",0,IF(J378&gt;$I372,0,IF($I370="Yes",MAX(0,MIN(J380*$I369,I396+J393,$I371)),MAX(0,MIN(J393,J380*$I369,$I371)))))</f>
        <v>0</v>
      </c>
      <c r="K394" s="521">
        <f t="shared" ref="K394" si="2122">IF($I367="N/A",0,IF(K378&gt;$I372,0,IF($I370="Yes",MAX(0,MIN(K380*$I369,J396+K393,$I371)),MAX(0,MIN(K393,K380*$I369,$I371)))))</f>
        <v>0</v>
      </c>
      <c r="L394" s="521">
        <f t="shared" ref="L394" si="2123">IF($I367="N/A",0,IF(L378&gt;$I372,0,IF($I370="Yes",MAX(0,MIN(L380*$I369,K396+L393,$I371)),MAX(0,MIN(L393,L380*$I369,$I371)))))</f>
        <v>0</v>
      </c>
      <c r="M394" s="521">
        <f t="shared" ref="M394" si="2124">IF($I367="N/A",0,IF(M378&gt;$I372,0,IF($I370="Yes",MAX(0,MIN(M380*$I369,L396+M393,$I371)),MAX(0,MIN(M393,M380*$I369,$I371)))))</f>
        <v>0</v>
      </c>
      <c r="N394" s="521">
        <f t="shared" ref="N394" si="2125">IF($I367="N/A",0,IF(N378&gt;$I372,0,IF($I370="Yes",MAX(0,MIN(N380*$I369,M396+N393,$I371)),MAX(0,MIN(N393,N380*$I369,$I371)))))</f>
        <v>0</v>
      </c>
      <c r="O394" s="521">
        <f t="shared" ref="O394" si="2126">IF($I367="N/A",0,IF(O378&gt;$I372,0,IF($I370="Yes",MAX(0,MIN(O380*$I369,N396+O393,$I371)),MAX(0,MIN(O393,O380*$I369,$I371)))))</f>
        <v>0</v>
      </c>
      <c r="P394" s="521">
        <f t="shared" ref="P394" si="2127">IF($I367="N/A",0,IF(P378&gt;$I372,0,IF($I370="Yes",MAX(0,MIN(P380*$I369,O396+P393,$I371)),MAX(0,MIN(P393,P380*$I369,$I371)))))</f>
        <v>0</v>
      </c>
      <c r="Q394" s="521">
        <f t="shared" ref="Q394" si="2128">IF($I367="N/A",0,IF(Q378&gt;$I372,0,IF($I370="Yes",MAX(0,MIN(Q380*$I369,P396+Q393,$I371)),MAX(0,MIN(Q393,Q380*$I369,$I371)))))</f>
        <v>0</v>
      </c>
      <c r="R394" s="521">
        <f t="shared" ref="R394" si="2129">IF($I367="N/A",0,IF(R378&gt;$I372,0,IF($I370="Yes",MAX(0,MIN(R380*$I369,Q396+R393,$I371)),MAX(0,MIN(R393,R380*$I369,$I371)))))</f>
        <v>0</v>
      </c>
      <c r="S394" s="523">
        <f t="shared" ref="S394" si="2130">IF($I367="N/A",0,IF(S378&gt;$I372,0,IF($I370="Yes",MAX(0,MIN(S380*$I369,R396+S393,$I371)),MAX(0,MIN(S393,S380*$I369,$I371)))))</f>
        <v>0</v>
      </c>
      <c r="T394" s="522">
        <f t="shared" ref="T394" si="2131">IF($I367="N/A",0,IF(T378&gt;$I372,0,IF($I370="Yes",MAX(0,MIN(T380*$I369,S396+T393,$I371)),MAX(0,MIN(T393,T380*$I369,$I371)))))</f>
        <v>0</v>
      </c>
      <c r="U394" s="521">
        <f t="shared" ref="U394" si="2132">IF($I367="N/A",0,IF(U378&gt;$I372,0,IF($I370="Yes",MAX(0,MIN(U380*$I369,T396+U393,$I371)),MAX(0,MIN(U393,U380*$I369,$I371)))))</f>
        <v>0</v>
      </c>
      <c r="V394" s="521">
        <f t="shared" ref="V394" si="2133">IF($I367="N/A",0,IF(V378&gt;$I372,0,IF($I370="Yes",MAX(0,MIN(V380*$I369,U396+V393,$I371)),MAX(0,MIN(V393,V380*$I369,$I371)))))</f>
        <v>0</v>
      </c>
      <c r="W394" s="521">
        <f t="shared" ref="W394" si="2134">IF($I367="N/A",0,IF(W378&gt;$I372,0,IF($I370="Yes",MAX(0,MIN(W380*$I369,V396+W393,$I371)),MAX(0,MIN(W393,W380*$I369,$I371)))))</f>
        <v>0</v>
      </c>
      <c r="X394" s="521">
        <f t="shared" ref="X394" si="2135">IF($I367="N/A",0,IF(X378&gt;$I372,0,IF($I370="Yes",MAX(0,MIN(X380*$I369,W396+X393,$I371)),MAX(0,MIN(X393,X380*$I369,$I371)))))</f>
        <v>0</v>
      </c>
      <c r="Y394" s="521">
        <f t="shared" ref="Y394" si="2136">IF($I367="N/A",0,IF(Y378&gt;$I372,0,IF($I370="Yes",MAX(0,MIN(Y380*$I369,X396+Y393,$I371)),MAX(0,MIN(Y393,Y380*$I369,$I371)))))</f>
        <v>0</v>
      </c>
      <c r="Z394" s="521">
        <f t="shared" ref="Z394" si="2137">IF($I367="N/A",0,IF(Z378&gt;$I372,0,IF($I370="Yes",MAX(0,MIN(Z380*$I369,Y396+Z393,$I371)),MAX(0,MIN(Z393,Z380*$I369,$I371)))))</f>
        <v>0</v>
      </c>
      <c r="AA394" s="521">
        <f t="shared" ref="AA394" si="2138">IF($I367="N/A",0,IF(AA378&gt;$I372,0,IF($I370="Yes",MAX(0,MIN(AA380*$I369,Z396+AA393,$I371)),MAX(0,MIN(AA393,AA380*$I369,$I371)))))</f>
        <v>0</v>
      </c>
      <c r="AB394" s="521">
        <f t="shared" ref="AB394" si="2139">IF($I367="N/A",0,IF(AB378&gt;$I372,0,IF($I370="Yes",MAX(0,MIN(AB380*$I369,AA396+AB393,$I371)),MAX(0,MIN(AB393,AB380*$I369,$I371)))))</f>
        <v>0</v>
      </c>
      <c r="AC394" s="521">
        <f t="shared" ref="AC394" si="2140">IF($I367="N/A",0,IF(AC378&gt;$I372,0,IF($I370="Yes",MAX(0,MIN(AC380*$I369,AB396+AC393,$I371)),MAX(0,MIN(AC393,AC380*$I369,$I371)))))</f>
        <v>0</v>
      </c>
      <c r="AD394" s="521">
        <f t="shared" ref="AD394" si="2141">IF($I367="N/A",0,IF(AD378&gt;$I372,0,IF($I370="Yes",MAX(0,MIN(AD380*$I369,AC396+AD393,$I371)),MAX(0,MIN(AD393,AD380*$I369,$I371)))))</f>
        <v>0</v>
      </c>
      <c r="AE394" s="521">
        <f t="shared" ref="AE394" si="2142">IF($I367="N/A",0,IF(AE378&gt;$I372,0,IF($I370="Yes",MAX(0,MIN(AE380*$I369,AD396+AE393,$I371)),MAX(0,MIN(AE393,AE380*$I369,$I371)))))</f>
        <v>0</v>
      </c>
      <c r="AF394" s="521">
        <f t="shared" ref="AF394" si="2143">IF($I367="N/A",0,IF(AF378&gt;$I372,0,IF($I370="Yes",MAX(0,MIN(AF380*$I369,AE396+AF393,$I371)),MAX(0,MIN(AF393,AF380*$I369,$I371)))))</f>
        <v>0</v>
      </c>
      <c r="AG394" s="521">
        <f t="shared" ref="AG394" si="2144">IF($I367="N/A",0,IF(AG378&gt;$I372,0,IF($I370="Yes",MAX(0,MIN(AG380*$I369,AF396+AG393,$I371)),MAX(0,MIN(AG393,AG380*$I369,$I371)))))</f>
        <v>0</v>
      </c>
      <c r="AH394" s="521">
        <f t="shared" ref="AH394" si="2145">IF($I367="N/A",0,IF(AH378&gt;$I372,0,IF($I370="Yes",MAX(0,MIN(AH380*$I369,AG396+AH393,$I371)),MAX(0,MIN(AH393,AH380*$I369,$I371)))))</f>
        <v>0</v>
      </c>
    </row>
    <row r="395" spans="3:34" x14ac:dyDescent="0.2">
      <c r="C395" s="1168" t="s">
        <v>2275</v>
      </c>
      <c r="D395" s="1170"/>
      <c r="E395" s="421">
        <f>IF($I370="Yes",IF(E378&gt;$I372,0,E393-E394),0)</f>
        <v>0</v>
      </c>
      <c r="F395" s="421">
        <f t="shared" ref="F395:AH395" si="2146">IF($I367="N/A",0,IF(F379&gt;$I372,0,IF($I370="Yes",F393-F394,0)))</f>
        <v>0</v>
      </c>
      <c r="G395" s="421">
        <f t="shared" si="2146"/>
        <v>0</v>
      </c>
      <c r="H395" s="421">
        <f t="shared" si="2146"/>
        <v>0</v>
      </c>
      <c r="I395" s="421">
        <f t="shared" si="2146"/>
        <v>0</v>
      </c>
      <c r="J395" s="421">
        <f t="shared" si="2146"/>
        <v>0</v>
      </c>
      <c r="K395" s="421">
        <f t="shared" si="2146"/>
        <v>0</v>
      </c>
      <c r="L395" s="421">
        <f t="shared" si="2146"/>
        <v>0</v>
      </c>
      <c r="M395" s="421">
        <f t="shared" si="2146"/>
        <v>0</v>
      </c>
      <c r="N395" s="421">
        <f t="shared" si="2146"/>
        <v>0</v>
      </c>
      <c r="O395" s="421">
        <f t="shared" si="2146"/>
        <v>0</v>
      </c>
      <c r="P395" s="421">
        <f t="shared" si="2146"/>
        <v>0</v>
      </c>
      <c r="Q395" s="421">
        <f t="shared" si="2146"/>
        <v>0</v>
      </c>
      <c r="R395" s="421">
        <f t="shared" si="2146"/>
        <v>0</v>
      </c>
      <c r="S395" s="447">
        <f t="shared" si="2146"/>
        <v>0</v>
      </c>
      <c r="T395" s="439">
        <f t="shared" si="2146"/>
        <v>0</v>
      </c>
      <c r="U395" s="421">
        <f t="shared" si="2146"/>
        <v>0</v>
      </c>
      <c r="V395" s="421">
        <f t="shared" si="2146"/>
        <v>0</v>
      </c>
      <c r="W395" s="421">
        <f t="shared" si="2146"/>
        <v>0</v>
      </c>
      <c r="X395" s="421">
        <f t="shared" si="2146"/>
        <v>0</v>
      </c>
      <c r="Y395" s="421">
        <f t="shared" si="2146"/>
        <v>0</v>
      </c>
      <c r="Z395" s="421">
        <f t="shared" si="2146"/>
        <v>0</v>
      </c>
      <c r="AA395" s="421">
        <f t="shared" si="2146"/>
        <v>0</v>
      </c>
      <c r="AB395" s="421">
        <f t="shared" si="2146"/>
        <v>0</v>
      </c>
      <c r="AC395" s="421">
        <f t="shared" si="2146"/>
        <v>0</v>
      </c>
      <c r="AD395" s="421">
        <f t="shared" si="2146"/>
        <v>0</v>
      </c>
      <c r="AE395" s="421">
        <f t="shared" si="2146"/>
        <v>0</v>
      </c>
      <c r="AF395" s="421">
        <f t="shared" si="2146"/>
        <v>0</v>
      </c>
      <c r="AG395" s="421">
        <f t="shared" si="2146"/>
        <v>0</v>
      </c>
      <c r="AH395" s="421">
        <f t="shared" si="2146"/>
        <v>0</v>
      </c>
    </row>
    <row r="396" spans="3:34" x14ac:dyDescent="0.2">
      <c r="C396" s="1168" t="s">
        <v>2276</v>
      </c>
      <c r="D396" s="1170"/>
      <c r="E396" s="421">
        <f>E395</f>
        <v>0</v>
      </c>
      <c r="F396" s="236">
        <f t="shared" ref="F396" si="2147">IF($I367="N/A",0,IF(F378&gt;$I372,0,E396+F395))</f>
        <v>0</v>
      </c>
      <c r="G396" s="236">
        <f t="shared" ref="G396" si="2148">IF($I367="N/A",0,IF(G378&gt;$I372,0,F396+G395))</f>
        <v>0</v>
      </c>
      <c r="H396" s="236">
        <f t="shared" ref="H396" si="2149">IF($I367="N/A",0,IF(H378&gt;$I372,0,G396+H395))</f>
        <v>0</v>
      </c>
      <c r="I396" s="236">
        <f t="shared" ref="I396" si="2150">IF($I367="N/A",0,IF(I378&gt;$I372,0,H396+I395))</f>
        <v>0</v>
      </c>
      <c r="J396" s="236">
        <f t="shared" ref="J396" si="2151">IF($I367="N/A",0,IF(J378&gt;$I372,0,I396+J395))</f>
        <v>0</v>
      </c>
      <c r="K396" s="236">
        <f t="shared" ref="K396" si="2152">IF($I367="N/A",0,IF(K378&gt;$I372,0,J396+K395))</f>
        <v>0</v>
      </c>
      <c r="L396" s="236">
        <f t="shared" ref="L396" si="2153">IF($I367="N/A",0,IF(L378&gt;$I372,0,K396+L395))</f>
        <v>0</v>
      </c>
      <c r="M396" s="236">
        <f t="shared" ref="M396" si="2154">IF($I367="N/A",0,IF(M378&gt;$I372,0,L396+M395))</f>
        <v>0</v>
      </c>
      <c r="N396" s="236">
        <f t="shared" ref="N396" si="2155">IF($I367="N/A",0,IF(N378&gt;$I372,0,M396+N395))</f>
        <v>0</v>
      </c>
      <c r="O396" s="236">
        <f t="shared" ref="O396" si="2156">IF($I367="N/A",0,IF(O378&gt;$I372,0,N396+O395))</f>
        <v>0</v>
      </c>
      <c r="P396" s="236">
        <f t="shared" ref="P396" si="2157">IF($I367="N/A",0,IF(P378&gt;$I372,0,O396+P395))</f>
        <v>0</v>
      </c>
      <c r="Q396" s="236">
        <f t="shared" ref="Q396" si="2158">IF($I367="N/A",0,IF(Q378&gt;$I372,0,P396+Q395))</f>
        <v>0</v>
      </c>
      <c r="R396" s="236">
        <f t="shared" ref="R396" si="2159">IF($I367="N/A",0,IF(R378&gt;$I372,0,Q396+R395))</f>
        <v>0</v>
      </c>
      <c r="S396" s="446">
        <f t="shared" ref="S396" si="2160">IF($I367="N/A",0,IF(S378&gt;$I372,0,R396+S395))</f>
        <v>0</v>
      </c>
      <c r="T396" s="438">
        <f t="shared" ref="T396" si="2161">IF($I367="N/A",0,IF(T378&gt;$I372,0,S396+T395))</f>
        <v>0</v>
      </c>
      <c r="U396" s="236">
        <f t="shared" ref="U396" si="2162">IF($I367="N/A",0,IF(U378&gt;$I372,0,T396+U395))</f>
        <v>0</v>
      </c>
      <c r="V396" s="236">
        <f t="shared" ref="V396" si="2163">IF($I367="N/A",0,IF(V378&gt;$I372,0,U396+V395))</f>
        <v>0</v>
      </c>
      <c r="W396" s="236">
        <f t="shared" ref="W396" si="2164">IF($I367="N/A",0,IF(W378&gt;$I372,0,V396+W395))</f>
        <v>0</v>
      </c>
      <c r="X396" s="236">
        <f t="shared" ref="X396" si="2165">IF($I367="N/A",0,IF(X378&gt;$I372,0,W396+X395))</f>
        <v>0</v>
      </c>
      <c r="Y396" s="236">
        <f t="shared" ref="Y396" si="2166">IF($I367="N/A",0,IF(Y378&gt;$I372,0,X396+Y395))</f>
        <v>0</v>
      </c>
      <c r="Z396" s="236">
        <f t="shared" ref="Z396" si="2167">IF($I367="N/A",0,IF(Z378&gt;$I372,0,Y396+Z395))</f>
        <v>0</v>
      </c>
      <c r="AA396" s="236">
        <f t="shared" ref="AA396" si="2168">IF($I367="N/A",0,IF(AA378&gt;$I372,0,Z396+AA395))</f>
        <v>0</v>
      </c>
      <c r="AB396" s="236">
        <f t="shared" ref="AB396" si="2169">IF($I367="N/A",0,IF(AB378&gt;$I372,0,AA396+AB395))</f>
        <v>0</v>
      </c>
      <c r="AC396" s="236">
        <f t="shared" ref="AC396" si="2170">IF($I367="N/A",0,IF(AC378&gt;$I372,0,AB396+AC395))</f>
        <v>0</v>
      </c>
      <c r="AD396" s="236">
        <f t="shared" ref="AD396" si="2171">IF($I367="N/A",0,IF(AD378&gt;$I372,0,AC396+AD395))</f>
        <v>0</v>
      </c>
      <c r="AE396" s="236">
        <f t="shared" ref="AE396" si="2172">IF($I367="N/A",0,IF(AE378&gt;$I372,0,AD396+AE395))</f>
        <v>0</v>
      </c>
      <c r="AF396" s="236">
        <f t="shared" ref="AF396" si="2173">IF($I367="N/A",0,IF(AF378&gt;$I372,0,AE396+AF395))</f>
        <v>0</v>
      </c>
      <c r="AG396" s="236">
        <f t="shared" ref="AG396" si="2174">IF($I367="N/A",0,IF(AG378&gt;$I372,0,AF396+AG395))</f>
        <v>0</v>
      </c>
      <c r="AH396" s="236">
        <f t="shared" ref="AH396" si="2175">IF($I367="N/A",0,IF(AH378&gt;$I372,0,AG396+AH395))</f>
        <v>0</v>
      </c>
    </row>
    <row r="399" spans="3:34" ht="15" x14ac:dyDescent="0.2">
      <c r="C399" s="1456" t="str">
        <f>IF(Sources!$D$78="","N/A",Sources!$D$78)</f>
        <v>N/A</v>
      </c>
      <c r="D399" s="1456"/>
      <c r="E399" s="1456"/>
      <c r="F399" s="412" t="s">
        <v>2266</v>
      </c>
      <c r="G399" s="92" t="str">
        <f>IF(AND(ISERROR(VLOOKUP($C399,OpBudget!$C$159:$C$165,1,FALSE)),ISERROR(VLOOKUP($C399,Sources!$C$36:$C$55,1,FALSE))),"N/A",IF(ISERROR(VLOOKUP($C399,Sources!$C$36:$C$55,1,FALSE)),"Fee","Loan"))</f>
        <v>N/A</v>
      </c>
      <c r="H399" s="412"/>
      <c r="I399" s="412"/>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row>
    <row r="400" spans="3:34" ht="15" x14ac:dyDescent="0.2">
      <c r="C400" s="345"/>
      <c r="D400" s="345"/>
      <c r="E400" s="345"/>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row>
    <row r="401" spans="3:34" ht="15" x14ac:dyDescent="0.2">
      <c r="C401" s="417" t="s">
        <v>2260</v>
      </c>
      <c r="D401" s="345"/>
      <c r="E401" s="345"/>
      <c r="F401" s="74"/>
      <c r="G401" s="74" t="s">
        <v>2261</v>
      </c>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row>
    <row r="402" spans="3:34" x14ac:dyDescent="0.2">
      <c r="C402" s="1452" t="s">
        <v>2255</v>
      </c>
      <c r="D402" s="1452"/>
      <c r="E402" s="413" t="str">
        <f>IF(OR($G399="Fee",$G399="N/A"),"N/A",INDEX(Sources!$C$35:$K$55,MATCH(Loans!$C399,Sources!$C$35:$C$55,0),MATCH("Amount",Sources!$C$35:$N$35,0)))</f>
        <v>N/A</v>
      </c>
      <c r="F402" s="74"/>
      <c r="G402" s="1454" t="s">
        <v>2262</v>
      </c>
      <c r="H402" s="1454"/>
      <c r="I402" s="705" t="str">
        <f>IF(OR($G399="Loan",$G399="N/A"),"N/A",INDEX(OpBudget!$C$159:$K$165,MATCH(Loans!$C399,OpBudget!$C$159:$C$165,0),MATCH("Total Amount",OpBudget!$C$159:$K$159,0)))</f>
        <v>N/A</v>
      </c>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row>
    <row r="403" spans="3:34" x14ac:dyDescent="0.2">
      <c r="C403" s="1452" t="s">
        <v>2256</v>
      </c>
      <c r="D403" s="1452"/>
      <c r="E403" s="702" t="str">
        <f>IF(OR($G399="Fee",$G399="N/A"),"N/A",INDEX(Sources!$C$35:$K$55,MATCH(Loans!$C399,Sources!$C$35:$C$55,0),MATCH("Interest Rate",Sources!$C$35:$N$35,0)))</f>
        <v>N/A</v>
      </c>
      <c r="F403" s="74"/>
      <c r="G403" s="1454" t="s">
        <v>2268</v>
      </c>
      <c r="H403" s="1454"/>
      <c r="I403" s="703" t="str">
        <f>IF(OR($G399="Loan",$G399="N/A"),"N/A",INDEX(OpBudget!$C$159:$K$165,MATCH(Loans!$C399,OpBudget!$C$159:$C$165,0),MATCH("Annual Percent Inflator",OpBudget!$C$159:$K$159,0)))</f>
        <v>N/A</v>
      </c>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row>
    <row r="404" spans="3:34" x14ac:dyDescent="0.2">
      <c r="C404" s="1452" t="s">
        <v>2279</v>
      </c>
      <c r="D404" s="1452"/>
      <c r="E404" s="702" t="str">
        <f>IF(OR($G399="Fee",$G399="N/A"),"N/A",INDEX(Sources!$C$35:$N$55,MATCH(Loans!$C399,Sources!$C$35:$C$55,0),MATCH("Simple or Compound Interest?",Sources!$C$35:$N$35,0)))</f>
        <v>N/A</v>
      </c>
      <c r="F404" s="74"/>
      <c r="G404" s="424" t="s">
        <v>2263</v>
      </c>
      <c r="H404" s="424"/>
      <c r="I404" s="703" t="str">
        <f>IF(OR($G399="Loan",$G399="N/A"),"N/A",INDEX(Sources!$D$67:$H$82,MATCH(Loans!$C399,Sources!$D$67:$D$82,0),MATCH("Split of Cash Flow",Sources!$D$67:$H$67,0)))</f>
        <v>N/A</v>
      </c>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row>
    <row r="405" spans="3:34" x14ac:dyDescent="0.2">
      <c r="C405" s="1452" t="s">
        <v>2257</v>
      </c>
      <c r="D405" s="1452"/>
      <c r="E405" s="420" t="str">
        <f>IF(OR($G399="Fee",$G399="N/A"),"N/A",INDEX(Sources!$C$35:$K$55,MATCH(Loans!$C399,Sources!$C$35:$C$55,0),MATCH("Term (Years)",Sources!$C$35:$N$35,0)))</f>
        <v>N/A</v>
      </c>
      <c r="F405" s="74"/>
      <c r="G405" s="1454" t="s">
        <v>2281</v>
      </c>
      <c r="H405" s="1454"/>
      <c r="I405" s="703" t="str">
        <f>IF(OR($G399="Loan",$G399="N/A"),"N/A",INDEX(OpBudget!$C$159:$K$165,MATCH(Loans!$C399,OpBudget!$C$159:$C$165,0),MATCH("Accrue Unpaid Fee?",OpBudget!$C$159:$K$159,0)))</f>
        <v>N/A</v>
      </c>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row>
    <row r="406" spans="3:34" x14ac:dyDescent="0.2">
      <c r="C406" s="1452" t="s">
        <v>2284</v>
      </c>
      <c r="D406" s="1452"/>
      <c r="E406" s="420" t="str">
        <f>IF(OR($G399="Fee",$G399="N/A"),"N/A",INDEX(Sources!$D$67:$O$82,MATCH(Loans!$C399,Sources!$D$67:$D$82,0),MATCH("Beginning Payment Year",Sources!$D$67:$O$67,0)))</f>
        <v>N/A</v>
      </c>
      <c r="F406" s="74"/>
      <c r="G406" s="1454" t="s">
        <v>2293</v>
      </c>
      <c r="H406" s="1454"/>
      <c r="I406" s="705" t="str">
        <f>IF(OR($G399="Loan",$G399="N/A"),"N/A",IF(INDEX(OpBudget!$C$159:$K$165,MATCH(Loans!$C399,OpBudget!$C$159:$C$165,0),MATCH("Fee Cap (if applicable)",OpBudget!$C$159:$K$159,0))=0,"N/A",INDEX(OpBudget!$C$159:$K$165,MATCH(Loans!$C399,OpBudget!$C$159:$C$165,0),MATCH("Fee Cap (if applicable)",OpBudget!$C$159:$K$159,0))))</f>
        <v>N/A</v>
      </c>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row>
    <row r="407" spans="3:34" x14ac:dyDescent="0.2">
      <c r="C407" s="1452" t="s">
        <v>2267</v>
      </c>
      <c r="D407" s="1452"/>
      <c r="E407" s="703" t="str">
        <f>IF(OR($G399="Fee",$G399="N/A"),"N/A",INDEX(Sources!$D$67:$O$82,MATCH(Loans!$C399,Sources!$D$67:$D$82,0),MATCH("Split of Cash Flow",Sources!$D$67:$O$67,0)))</f>
        <v>N/A</v>
      </c>
      <c r="F407" s="1455"/>
      <c r="G407" s="1454" t="s">
        <v>2292</v>
      </c>
      <c r="H407" s="1454"/>
      <c r="I407" s="420" t="str">
        <f>IF(OR($G399="Loan",$G399="N/A"),"N/A",INDEX(OpBudget!$C$159:$K$165,MATCH(Loans!$C399,OpBudget!$C$159:$C$165,0),MATCH("Number of Years Fee Exists",OpBudget!$C$159:$K$159,0)))</f>
        <v>N/A</v>
      </c>
      <c r="J407" s="74"/>
      <c r="K407" s="74"/>
      <c r="L407" s="74" t="s">
        <v>2278</v>
      </c>
      <c r="M407" s="74"/>
      <c r="N407" s="74"/>
      <c r="O407" s="74"/>
      <c r="P407" s="74"/>
      <c r="Q407" s="74"/>
      <c r="R407" s="74"/>
      <c r="S407" s="74"/>
      <c r="T407" s="74"/>
      <c r="U407" s="74"/>
      <c r="V407" s="74"/>
      <c r="W407" s="74"/>
      <c r="X407" s="74"/>
      <c r="Y407" s="74"/>
      <c r="Z407" s="74"/>
      <c r="AA407" s="74"/>
      <c r="AB407" s="74"/>
      <c r="AC407" s="74"/>
      <c r="AD407" s="74"/>
      <c r="AE407" s="74"/>
      <c r="AF407" s="74"/>
      <c r="AG407" s="74"/>
      <c r="AH407" s="74"/>
    </row>
    <row r="408" spans="3:34" x14ac:dyDescent="0.2">
      <c r="C408" s="1452" t="s">
        <v>2289</v>
      </c>
      <c r="D408" s="1452"/>
      <c r="E408" s="704" t="str">
        <f>IF(OR($G399="Fee",$G399="N/A"),"N/A",INDEX(Sources!$D$67:$O$82,MATCH(Loans!$C399,Sources!$D$67:$D$82,0),MATCH("Pari Passu?",Sources!$D$67:$O$67,0)))</f>
        <v>N/A</v>
      </c>
      <c r="F408" s="1455"/>
      <c r="G408" s="424"/>
      <c r="H408" s="424"/>
      <c r="I408" s="526"/>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row>
    <row r="409" spans="3:34" x14ac:dyDescent="0.2">
      <c r="C409" s="1452" t="s">
        <v>2295</v>
      </c>
      <c r="D409" s="1452"/>
      <c r="E409" s="703" t="str">
        <f>IF(OR($G399="Fee",$G399="N/A"),"N/A",INDEX(Sources!$D$67:$O$82,MATCH(Loans!$C399,Sources!$D$67:$D$82,0),MATCH("Shared Position Split of Cash Flow",Sources!$D$67:$O$67,0)))</f>
        <v>N/A</v>
      </c>
      <c r="F409" s="532"/>
      <c r="G409" s="424"/>
      <c r="H409" s="424"/>
      <c r="I409" s="526"/>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row>
    <row r="410" spans="3:34" x14ac:dyDescent="0.2">
      <c r="C410" s="1452" t="s">
        <v>2291</v>
      </c>
      <c r="D410" s="1452"/>
      <c r="E410" s="704" t="str">
        <f>IF(OR($G399="Fee",$G399="N/A"),"N/A",INDEX(Sources!$D$67:$O$82,MATCH(Loans!$C399,Sources!$D$67:$D$82,0),MATCH("Deferred Loan?",Sources!$D$67:$O$67,0)))</f>
        <v>N/A</v>
      </c>
      <c r="F410" s="74"/>
      <c r="G410" s="424"/>
      <c r="H410" s="424"/>
      <c r="I410" s="526"/>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row>
    <row r="411" spans="3:34" x14ac:dyDescent="0.2">
      <c r="C411" s="1452" t="s">
        <v>2277</v>
      </c>
      <c r="D411" s="1452"/>
      <c r="E411" s="705" t="str">
        <f>IF(OR(E402=0,E402="N/A"),"N/A",INDEX($C413:$AH425,MATCH("Ending Principal Balance",$C413:$C425,0),MATCH($E405,$C413:$AH413,0)))</f>
        <v>N/A</v>
      </c>
      <c r="F411" s="74"/>
      <c r="G411" s="74"/>
      <c r="H411" s="74" t="s">
        <v>2278</v>
      </c>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row>
    <row r="412" spans="3:34" ht="15" x14ac:dyDescent="0.2">
      <c r="C412" s="345"/>
      <c r="D412" s="345"/>
      <c r="E412" s="345"/>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row>
    <row r="413" spans="3:34" ht="15" x14ac:dyDescent="0.2">
      <c r="C413" s="309"/>
      <c r="D413" s="309"/>
      <c r="E413" s="310">
        <v>1</v>
      </c>
      <c r="F413" s="310">
        <f>E413+1</f>
        <v>2</v>
      </c>
      <c r="G413" s="310">
        <f t="shared" ref="G413" si="2176">F413+1</f>
        <v>3</v>
      </c>
      <c r="H413" s="310">
        <f t="shared" ref="H413" si="2177">G413+1</f>
        <v>4</v>
      </c>
      <c r="I413" s="310">
        <f t="shared" ref="I413" si="2178">H413+1</f>
        <v>5</v>
      </c>
      <c r="J413" s="310">
        <f t="shared" ref="J413" si="2179">I413+1</f>
        <v>6</v>
      </c>
      <c r="K413" s="310">
        <f t="shared" ref="K413" si="2180">J413+1</f>
        <v>7</v>
      </c>
      <c r="L413" s="310">
        <f t="shared" ref="L413" si="2181">K413+1</f>
        <v>8</v>
      </c>
      <c r="M413" s="310">
        <f t="shared" ref="M413" si="2182">L413+1</f>
        <v>9</v>
      </c>
      <c r="N413" s="310">
        <f t="shared" ref="N413" si="2183">M413+1</f>
        <v>10</v>
      </c>
      <c r="O413" s="310">
        <f t="shared" ref="O413" si="2184">N413+1</f>
        <v>11</v>
      </c>
      <c r="P413" s="310">
        <f t="shared" ref="P413" si="2185">O413+1</f>
        <v>12</v>
      </c>
      <c r="Q413" s="310">
        <f t="shared" ref="Q413" si="2186">P413+1</f>
        <v>13</v>
      </c>
      <c r="R413" s="310">
        <f t="shared" ref="R413" si="2187">Q413+1</f>
        <v>14</v>
      </c>
      <c r="S413" s="448">
        <f t="shared" ref="S413" si="2188">R413+1</f>
        <v>15</v>
      </c>
      <c r="T413" s="428">
        <f t="shared" ref="T413" si="2189">S413+1</f>
        <v>16</v>
      </c>
      <c r="U413" s="310">
        <f t="shared" ref="U413" si="2190">T413+1</f>
        <v>17</v>
      </c>
      <c r="V413" s="310">
        <f t="shared" ref="V413" si="2191">U413+1</f>
        <v>18</v>
      </c>
      <c r="W413" s="310">
        <f t="shared" ref="W413" si="2192">V413+1</f>
        <v>19</v>
      </c>
      <c r="X413" s="310">
        <f t="shared" ref="X413" si="2193">W413+1</f>
        <v>20</v>
      </c>
      <c r="Y413" s="310">
        <f t="shared" ref="Y413" si="2194">X413+1</f>
        <v>21</v>
      </c>
      <c r="Z413" s="310">
        <f t="shared" ref="Z413" si="2195">Y413+1</f>
        <v>22</v>
      </c>
      <c r="AA413" s="310">
        <f t="shared" ref="AA413" si="2196">Z413+1</f>
        <v>23</v>
      </c>
      <c r="AB413" s="310">
        <f t="shared" ref="AB413" si="2197">AA413+1</f>
        <v>24</v>
      </c>
      <c r="AC413" s="310">
        <f t="shared" ref="AC413" si="2198">AB413+1</f>
        <v>25</v>
      </c>
      <c r="AD413" s="310">
        <f t="shared" ref="AD413" si="2199">AC413+1</f>
        <v>26</v>
      </c>
      <c r="AE413" s="310">
        <f t="shared" ref="AE413" si="2200">AD413+1</f>
        <v>27</v>
      </c>
      <c r="AF413" s="310">
        <f t="shared" ref="AF413" si="2201">AE413+1</f>
        <v>28</v>
      </c>
      <c r="AG413" s="310">
        <f t="shared" ref="AG413" si="2202">AF413+1</f>
        <v>29</v>
      </c>
      <c r="AH413" s="310">
        <f t="shared" ref="AH413" si="2203">AG413+1</f>
        <v>30</v>
      </c>
    </row>
    <row r="414" spans="3:34" ht="15" x14ac:dyDescent="0.2">
      <c r="C414" s="309"/>
      <c r="D414" s="309"/>
      <c r="E414" s="314" t="str">
        <f>IF(Details!$E$171="","",Details!$E$171)</f>
        <v/>
      </c>
      <c r="F414" s="314" t="str">
        <f>IF($E$7="","",E$7+1)</f>
        <v/>
      </c>
      <c r="G414" s="314" t="str">
        <f t="shared" ref="G414" si="2204">IF($E$7="","",F$7+1)</f>
        <v/>
      </c>
      <c r="H414" s="314" t="str">
        <f t="shared" ref="H414" si="2205">IF($E$7="","",G$7+1)</f>
        <v/>
      </c>
      <c r="I414" s="314" t="str">
        <f t="shared" ref="I414" si="2206">IF($E$7="","",H$7+1)</f>
        <v/>
      </c>
      <c r="J414" s="314" t="str">
        <f t="shared" ref="J414" si="2207">IF($E$7="","",I$7+1)</f>
        <v/>
      </c>
      <c r="K414" s="314" t="str">
        <f t="shared" ref="K414" si="2208">IF($E$7="","",J$7+1)</f>
        <v/>
      </c>
      <c r="L414" s="314" t="str">
        <f t="shared" ref="L414" si="2209">IF($E$7="","",K$7+1)</f>
        <v/>
      </c>
      <c r="M414" s="314" t="str">
        <f t="shared" ref="M414" si="2210">IF($E$7="","",L$7+1)</f>
        <v/>
      </c>
      <c r="N414" s="314" t="str">
        <f t="shared" ref="N414" si="2211">IF($E$7="","",M$7+1)</f>
        <v/>
      </c>
      <c r="O414" s="314" t="str">
        <f t="shared" ref="O414" si="2212">IF($E$7="","",N$7+1)</f>
        <v/>
      </c>
      <c r="P414" s="314" t="str">
        <f t="shared" ref="P414" si="2213">IF($E$7="","",O$7+1)</f>
        <v/>
      </c>
      <c r="Q414" s="314" t="str">
        <f t="shared" ref="Q414" si="2214">IF($E$7="","",P$7+1)</f>
        <v/>
      </c>
      <c r="R414" s="314" t="str">
        <f t="shared" ref="R414" si="2215">IF($E$7="","",Q$7+1)</f>
        <v/>
      </c>
      <c r="S414" s="440" t="str">
        <f t="shared" ref="S414" si="2216">IF($E$7="","",R$7+1)</f>
        <v/>
      </c>
      <c r="T414" s="433" t="str">
        <f t="shared" ref="T414" si="2217">IF($E$7="","",S$7+1)</f>
        <v/>
      </c>
      <c r="U414" s="314" t="str">
        <f t="shared" ref="U414" si="2218">IF($E$7="","",T$7+1)</f>
        <v/>
      </c>
      <c r="V414" s="314" t="str">
        <f t="shared" ref="V414" si="2219">IF($E$7="","",U$7+1)</f>
        <v/>
      </c>
      <c r="W414" s="314" t="str">
        <f t="shared" ref="W414" si="2220">IF($E$7="","",V$7+1)</f>
        <v/>
      </c>
      <c r="X414" s="314" t="str">
        <f t="shared" ref="X414" si="2221">IF($E$7="","",W$7+1)</f>
        <v/>
      </c>
      <c r="Y414" s="314" t="str">
        <f t="shared" ref="Y414" si="2222">IF($E$7="","",X$7+1)</f>
        <v/>
      </c>
      <c r="Z414" s="314" t="str">
        <f t="shared" ref="Z414" si="2223">IF($E$7="","",Y$7+1)</f>
        <v/>
      </c>
      <c r="AA414" s="314" t="str">
        <f t="shared" ref="AA414" si="2224">IF($E$7="","",Z$7+1)</f>
        <v/>
      </c>
      <c r="AB414" s="314" t="str">
        <f t="shared" ref="AB414" si="2225">IF($E$7="","",AA$7+1)</f>
        <v/>
      </c>
      <c r="AC414" s="314" t="str">
        <f t="shared" ref="AC414" si="2226">IF($E$7="","",AB$7+1)</f>
        <v/>
      </c>
      <c r="AD414" s="314" t="str">
        <f t="shared" ref="AD414" si="2227">IF($E$7="","",AC$7+1)</f>
        <v/>
      </c>
      <c r="AE414" s="314" t="str">
        <f t="shared" ref="AE414" si="2228">IF($E$7="","",AD$7+1)</f>
        <v/>
      </c>
      <c r="AF414" s="314" t="str">
        <f t="shared" ref="AF414" si="2229">IF($E$7="","",AE$7+1)</f>
        <v/>
      </c>
      <c r="AG414" s="314" t="str">
        <f t="shared" ref="AG414" si="2230">IF($E$7="","",AF$7+1)</f>
        <v/>
      </c>
      <c r="AH414" s="314" t="str">
        <f t="shared" ref="AH414" si="2231">IF($E$7="","",AG$7+1)</f>
        <v/>
      </c>
    </row>
    <row r="415" spans="3:34" x14ac:dyDescent="0.2">
      <c r="C415" s="1168" t="s">
        <v>2254</v>
      </c>
      <c r="D415" s="1169"/>
      <c r="E415" s="109">
        <f>E380-E389-E393</f>
        <v>0</v>
      </c>
      <c r="F415" s="109">
        <f t="shared" ref="F415:AH415" si="2232">F380-F389-F393</f>
        <v>0</v>
      </c>
      <c r="G415" s="109">
        <f t="shared" si="2232"/>
        <v>0</v>
      </c>
      <c r="H415" s="109">
        <f t="shared" si="2232"/>
        <v>0</v>
      </c>
      <c r="I415" s="109">
        <f t="shared" si="2232"/>
        <v>0</v>
      </c>
      <c r="J415" s="109">
        <f t="shared" si="2232"/>
        <v>0</v>
      </c>
      <c r="K415" s="109">
        <f t="shared" si="2232"/>
        <v>0</v>
      </c>
      <c r="L415" s="109">
        <f t="shared" si="2232"/>
        <v>0</v>
      </c>
      <c r="M415" s="109">
        <f t="shared" si="2232"/>
        <v>0</v>
      </c>
      <c r="N415" s="109">
        <f t="shared" si="2232"/>
        <v>0</v>
      </c>
      <c r="O415" s="109">
        <f t="shared" si="2232"/>
        <v>0</v>
      </c>
      <c r="P415" s="109">
        <f t="shared" si="2232"/>
        <v>0</v>
      </c>
      <c r="Q415" s="109">
        <f t="shared" si="2232"/>
        <v>0</v>
      </c>
      <c r="R415" s="109">
        <f t="shared" si="2232"/>
        <v>0</v>
      </c>
      <c r="S415" s="331">
        <f t="shared" si="2232"/>
        <v>0</v>
      </c>
      <c r="T415" s="228">
        <f t="shared" si="2232"/>
        <v>0</v>
      </c>
      <c r="U415" s="109">
        <f t="shared" si="2232"/>
        <v>0</v>
      </c>
      <c r="V415" s="109">
        <f t="shared" si="2232"/>
        <v>0</v>
      </c>
      <c r="W415" s="109">
        <f t="shared" si="2232"/>
        <v>0</v>
      </c>
      <c r="X415" s="109">
        <f t="shared" si="2232"/>
        <v>0</v>
      </c>
      <c r="Y415" s="109">
        <f t="shared" si="2232"/>
        <v>0</v>
      </c>
      <c r="Z415" s="109">
        <f t="shared" si="2232"/>
        <v>0</v>
      </c>
      <c r="AA415" s="109">
        <f t="shared" si="2232"/>
        <v>0</v>
      </c>
      <c r="AB415" s="109">
        <f t="shared" si="2232"/>
        <v>0</v>
      </c>
      <c r="AC415" s="109">
        <f t="shared" si="2232"/>
        <v>0</v>
      </c>
      <c r="AD415" s="109">
        <f t="shared" si="2232"/>
        <v>0</v>
      </c>
      <c r="AE415" s="109">
        <f t="shared" si="2232"/>
        <v>0</v>
      </c>
      <c r="AF415" s="109">
        <f t="shared" si="2232"/>
        <v>0</v>
      </c>
      <c r="AG415" s="109">
        <f t="shared" si="2232"/>
        <v>0</v>
      </c>
      <c r="AH415" s="109">
        <f t="shared" si="2232"/>
        <v>0</v>
      </c>
    </row>
    <row r="416" spans="3:34" ht="15" x14ac:dyDescent="0.2">
      <c r="C416" s="345"/>
      <c r="D416" s="345"/>
      <c r="E416" s="345"/>
      <c r="F416" s="74"/>
      <c r="G416" s="74"/>
      <c r="H416" s="74"/>
      <c r="I416" s="74"/>
      <c r="J416" s="74"/>
      <c r="K416" s="74"/>
      <c r="L416" s="74"/>
      <c r="M416" s="74"/>
      <c r="N416" s="74"/>
      <c r="O416" s="74"/>
      <c r="P416" s="74"/>
      <c r="Q416" s="74"/>
      <c r="R416" s="74"/>
      <c r="S416" s="333"/>
      <c r="T416" s="74"/>
      <c r="U416" s="74"/>
      <c r="V416" s="74"/>
      <c r="W416" s="74"/>
      <c r="X416" s="74"/>
      <c r="Y416" s="74"/>
      <c r="Z416" s="74"/>
      <c r="AA416" s="74"/>
      <c r="AB416" s="74"/>
      <c r="AC416" s="74"/>
      <c r="AD416" s="74"/>
      <c r="AE416" s="74"/>
      <c r="AF416" s="74"/>
      <c r="AG416" s="74"/>
      <c r="AH416" s="74"/>
    </row>
    <row r="417" spans="3:34" ht="15" x14ac:dyDescent="0.2">
      <c r="C417" s="432" t="s">
        <v>2286</v>
      </c>
      <c r="D417" s="345"/>
      <c r="E417" s="345"/>
      <c r="F417" s="74"/>
      <c r="G417" s="74"/>
      <c r="H417" s="74"/>
      <c r="I417" s="74"/>
      <c r="J417" s="74"/>
      <c r="K417" s="74"/>
      <c r="L417" s="74"/>
      <c r="M417" s="74"/>
      <c r="N417" s="74"/>
      <c r="O417" s="74"/>
      <c r="P417" s="74"/>
      <c r="Q417" s="74"/>
      <c r="R417" s="74"/>
      <c r="S417" s="333"/>
      <c r="T417" s="74"/>
      <c r="U417" s="74"/>
      <c r="V417" s="74"/>
      <c r="W417" s="74"/>
      <c r="X417" s="74"/>
      <c r="Y417" s="74"/>
      <c r="Z417" s="74"/>
      <c r="AA417" s="74"/>
      <c r="AB417" s="74"/>
      <c r="AC417" s="74"/>
      <c r="AD417" s="74"/>
      <c r="AE417" s="74"/>
      <c r="AF417" s="74"/>
      <c r="AG417" s="74"/>
      <c r="AH417" s="74"/>
    </row>
    <row r="418" spans="3:34" ht="15" thickBot="1" x14ac:dyDescent="0.25">
      <c r="C418" s="1453" t="s">
        <v>2285</v>
      </c>
      <c r="D418" s="1453"/>
      <c r="E418" s="423">
        <f>IF(OR($E402="N/A",$E402=0),0,IF($E408="Yes",(E415*$E407*$E409),E415*$E407))</f>
        <v>0</v>
      </c>
      <c r="F418" s="423">
        <f t="shared" ref="F418:AH418" si="2233">IF(OR($E402="N/A",$E402=0),0,IF($E408="Yes",(F415*$E407*$E409),F415*$E407))</f>
        <v>0</v>
      </c>
      <c r="G418" s="423">
        <f t="shared" si="2233"/>
        <v>0</v>
      </c>
      <c r="H418" s="423">
        <f t="shared" si="2233"/>
        <v>0</v>
      </c>
      <c r="I418" s="423">
        <f t="shared" si="2233"/>
        <v>0</v>
      </c>
      <c r="J418" s="423">
        <f t="shared" si="2233"/>
        <v>0</v>
      </c>
      <c r="K418" s="423">
        <f t="shared" si="2233"/>
        <v>0</v>
      </c>
      <c r="L418" s="423">
        <f t="shared" si="2233"/>
        <v>0</v>
      </c>
      <c r="M418" s="423">
        <f t="shared" si="2233"/>
        <v>0</v>
      </c>
      <c r="N418" s="423">
        <f t="shared" si="2233"/>
        <v>0</v>
      </c>
      <c r="O418" s="423">
        <f t="shared" si="2233"/>
        <v>0</v>
      </c>
      <c r="P418" s="423">
        <f t="shared" si="2233"/>
        <v>0</v>
      </c>
      <c r="Q418" s="423">
        <f t="shared" si="2233"/>
        <v>0</v>
      </c>
      <c r="R418" s="423">
        <f t="shared" si="2233"/>
        <v>0</v>
      </c>
      <c r="S418" s="441">
        <f t="shared" si="2233"/>
        <v>0</v>
      </c>
      <c r="T418" s="434">
        <f t="shared" si="2233"/>
        <v>0</v>
      </c>
      <c r="U418" s="423">
        <f t="shared" si="2233"/>
        <v>0</v>
      </c>
      <c r="V418" s="423">
        <f t="shared" si="2233"/>
        <v>0</v>
      </c>
      <c r="W418" s="423">
        <f t="shared" si="2233"/>
        <v>0</v>
      </c>
      <c r="X418" s="423">
        <f t="shared" si="2233"/>
        <v>0</v>
      </c>
      <c r="Y418" s="423">
        <f t="shared" si="2233"/>
        <v>0</v>
      </c>
      <c r="Z418" s="423">
        <f t="shared" si="2233"/>
        <v>0</v>
      </c>
      <c r="AA418" s="423">
        <f t="shared" si="2233"/>
        <v>0</v>
      </c>
      <c r="AB418" s="423">
        <f t="shared" si="2233"/>
        <v>0</v>
      </c>
      <c r="AC418" s="423">
        <f t="shared" si="2233"/>
        <v>0</v>
      </c>
      <c r="AD418" s="423">
        <f t="shared" si="2233"/>
        <v>0</v>
      </c>
      <c r="AE418" s="423">
        <f t="shared" si="2233"/>
        <v>0</v>
      </c>
      <c r="AF418" s="423">
        <f t="shared" si="2233"/>
        <v>0</v>
      </c>
      <c r="AG418" s="423">
        <f t="shared" si="2233"/>
        <v>0</v>
      </c>
      <c r="AH418" s="423">
        <f t="shared" si="2233"/>
        <v>0</v>
      </c>
    </row>
    <row r="419" spans="3:34" ht="15" thickTop="1" x14ac:dyDescent="0.2">
      <c r="C419" s="1449" t="s">
        <v>2189</v>
      </c>
      <c r="D419" s="1449"/>
      <c r="E419" s="316">
        <f>IF(OR($E402="N/A",E413&gt;$E405,E413&lt;$E406),0,MAX(0,E402))</f>
        <v>0</v>
      </c>
      <c r="F419" s="316">
        <f t="shared" ref="F419" si="2234">IF(OR($E402="N/A",F413&gt;$E405),0,IF(F413=$E406,$E402,MAX(E425,0)))</f>
        <v>0</v>
      </c>
      <c r="G419" s="316">
        <f t="shared" ref="G419" si="2235">IF(OR($E402="N/A",G413&gt;$E405),0,IF(G413=$E406,$E402,MAX(F425,0)))</f>
        <v>0</v>
      </c>
      <c r="H419" s="316">
        <f t="shared" ref="H419" si="2236">IF(OR($E402="N/A",H413&gt;$E405),0,IF(H413=$E406,$E402,MAX(G425,0)))</f>
        <v>0</v>
      </c>
      <c r="I419" s="316">
        <f t="shared" ref="I419" si="2237">IF(OR($E402="N/A",I413&gt;$E405),0,IF(I413=$E406,$E402,MAX(H425,0)))</f>
        <v>0</v>
      </c>
      <c r="J419" s="316">
        <f t="shared" ref="J419" si="2238">IF(OR($E402="N/A",J413&gt;$E405),0,IF(J413=$E406,$E402,MAX(I425,0)))</f>
        <v>0</v>
      </c>
      <c r="K419" s="316">
        <f t="shared" ref="K419" si="2239">IF(OR($E402="N/A",K413&gt;$E405),0,IF(K413=$E406,$E402,MAX(J425,0)))</f>
        <v>0</v>
      </c>
      <c r="L419" s="316">
        <f t="shared" ref="L419" si="2240">IF(OR($E402="N/A",L413&gt;$E405),0,IF(L413=$E406,$E402,MAX(K425,0)))</f>
        <v>0</v>
      </c>
      <c r="M419" s="316">
        <f t="shared" ref="M419" si="2241">IF(OR($E402="N/A",M413&gt;$E405),0,IF(M413=$E406,$E402,MAX(L425,0)))</f>
        <v>0</v>
      </c>
      <c r="N419" s="316">
        <f t="shared" ref="N419" si="2242">IF(OR($E402="N/A",N413&gt;$E405),0,IF(N413=$E406,$E402,MAX(M425,0)))</f>
        <v>0</v>
      </c>
      <c r="O419" s="316">
        <f t="shared" ref="O419" si="2243">IF(OR($E402="N/A",O413&gt;$E405),0,IF(O413=$E406,$E402,MAX(N425,0)))</f>
        <v>0</v>
      </c>
      <c r="P419" s="316">
        <f t="shared" ref="P419" si="2244">IF(OR($E402="N/A",P413&gt;$E405),0,IF(P413=$E406,$E402,MAX(O425,0)))</f>
        <v>0</v>
      </c>
      <c r="Q419" s="316">
        <f t="shared" ref="Q419" si="2245">IF(OR($E402="N/A",Q413&gt;$E405),0,IF(Q413=$E406,$E402,MAX(P425,0)))</f>
        <v>0</v>
      </c>
      <c r="R419" s="316">
        <f t="shared" ref="R419" si="2246">IF(OR($E402="N/A",R413&gt;$E405),0,IF(R413=$E406,$E402,MAX(Q425,0)))</f>
        <v>0</v>
      </c>
      <c r="S419" s="332">
        <f t="shared" ref="S419" si="2247">IF(OR($E402="N/A",S413&gt;$E405),0,IF(S413=$E406,$E402,MAX(R425,0)))</f>
        <v>0</v>
      </c>
      <c r="T419" s="429">
        <f t="shared" ref="T419" si="2248">IF(OR($E402="N/A",T413&gt;$E405),0,IF(T413=$E406,$E402,MAX(S425,0)))</f>
        <v>0</v>
      </c>
      <c r="U419" s="316">
        <f t="shared" ref="U419" si="2249">IF(OR($E402="N/A",U413&gt;$E405),0,IF(U413=$E406,$E402,MAX(T425,0)))</f>
        <v>0</v>
      </c>
      <c r="V419" s="316">
        <f t="shared" ref="V419" si="2250">IF(OR($E402="N/A",V413&gt;$E405),0,IF(V413=$E406,$E402,MAX(U425,0)))</f>
        <v>0</v>
      </c>
      <c r="W419" s="316">
        <f t="shared" ref="W419" si="2251">IF(OR($E402="N/A",W413&gt;$E405),0,IF(W413=$E406,$E402,MAX(V425,0)))</f>
        <v>0</v>
      </c>
      <c r="X419" s="316">
        <f t="shared" ref="X419" si="2252">IF(OR($E402="N/A",X413&gt;$E405),0,IF(X413=$E406,$E402,MAX(W425,0)))</f>
        <v>0</v>
      </c>
      <c r="Y419" s="316">
        <f t="shared" ref="Y419" si="2253">IF(OR($E402="N/A",Y413&gt;$E405),0,IF(Y413=$E406,$E402,MAX(X425,0)))</f>
        <v>0</v>
      </c>
      <c r="Z419" s="316">
        <f t="shared" ref="Z419" si="2254">IF(OR($E402="N/A",Z413&gt;$E405),0,IF(Z413=$E406,$E402,MAX(Y425,0)))</f>
        <v>0</v>
      </c>
      <c r="AA419" s="316">
        <f t="shared" ref="AA419" si="2255">IF(OR($E402="N/A",AA413&gt;$E405),0,IF(AA413=$E406,$E402,MAX(Z425,0)))</f>
        <v>0</v>
      </c>
      <c r="AB419" s="316">
        <f t="shared" ref="AB419" si="2256">IF(OR($E402="N/A",AB413&gt;$E405),0,IF(AB413=$E406,$E402,MAX(AA425,0)))</f>
        <v>0</v>
      </c>
      <c r="AC419" s="316">
        <f t="shared" ref="AC419" si="2257">IF(OR($E402="N/A",AC413&gt;$E405),0,IF(AC413=$E406,$E402,MAX(AB425,0)))</f>
        <v>0</v>
      </c>
      <c r="AD419" s="316">
        <f t="shared" ref="AD419" si="2258">IF(OR($E402="N/A",AD413&gt;$E405),0,IF(AD413=$E406,$E402,MAX(AC425,0)))</f>
        <v>0</v>
      </c>
      <c r="AE419" s="316">
        <f t="shared" ref="AE419" si="2259">IF(OR($E402="N/A",AE413&gt;$E405),0,IF(AE413=$E406,$E402,MAX(AD425,0)))</f>
        <v>0</v>
      </c>
      <c r="AF419" s="316">
        <f t="shared" ref="AF419" si="2260">IF(OR($E402="N/A",AF413&gt;$E405),0,IF(AF413=$E406,$E402,MAX(AE425,0)))</f>
        <v>0</v>
      </c>
      <c r="AG419" s="316">
        <f t="shared" ref="AG419" si="2261">IF(OR($E402="N/A",AG413&gt;$E405),0,IF(AG413=$E406,$E402,MAX(AF425,0)))</f>
        <v>0</v>
      </c>
      <c r="AH419" s="316">
        <f t="shared" ref="AH419" si="2262">IF(OR($E402="N/A",AH413&gt;$E405),0,IF(AH413=$E406,$E402,MAX(AG425,0)))</f>
        <v>0</v>
      </c>
    </row>
    <row r="420" spans="3:34" x14ac:dyDescent="0.2">
      <c r="C420" s="1181" t="s">
        <v>2186</v>
      </c>
      <c r="D420" s="1181"/>
      <c r="E420" s="109">
        <f t="shared" ref="E420:AH420" si="2263">IF(OR($E402="N/A",E413&gt;$E405,E413&lt;$E406),0,E419*$E403)</f>
        <v>0</v>
      </c>
      <c r="F420" s="109">
        <f t="shared" si="2263"/>
        <v>0</v>
      </c>
      <c r="G420" s="109">
        <f t="shared" si="2263"/>
        <v>0</v>
      </c>
      <c r="H420" s="109">
        <f t="shared" si="2263"/>
        <v>0</v>
      </c>
      <c r="I420" s="109">
        <f t="shared" si="2263"/>
        <v>0</v>
      </c>
      <c r="J420" s="109">
        <f t="shared" si="2263"/>
        <v>0</v>
      </c>
      <c r="K420" s="109">
        <f t="shared" si="2263"/>
        <v>0</v>
      </c>
      <c r="L420" s="109">
        <f t="shared" si="2263"/>
        <v>0</v>
      </c>
      <c r="M420" s="109">
        <f t="shared" si="2263"/>
        <v>0</v>
      </c>
      <c r="N420" s="109">
        <f t="shared" si="2263"/>
        <v>0</v>
      </c>
      <c r="O420" s="109">
        <f t="shared" si="2263"/>
        <v>0</v>
      </c>
      <c r="P420" s="109">
        <f t="shared" si="2263"/>
        <v>0</v>
      </c>
      <c r="Q420" s="109">
        <f t="shared" si="2263"/>
        <v>0</v>
      </c>
      <c r="R420" s="109">
        <f t="shared" si="2263"/>
        <v>0</v>
      </c>
      <c r="S420" s="331">
        <f t="shared" si="2263"/>
        <v>0</v>
      </c>
      <c r="T420" s="228">
        <f t="shared" si="2263"/>
        <v>0</v>
      </c>
      <c r="U420" s="109">
        <f t="shared" si="2263"/>
        <v>0</v>
      </c>
      <c r="V420" s="109">
        <f t="shared" si="2263"/>
        <v>0</v>
      </c>
      <c r="W420" s="109">
        <f t="shared" si="2263"/>
        <v>0</v>
      </c>
      <c r="X420" s="109">
        <f t="shared" si="2263"/>
        <v>0</v>
      </c>
      <c r="Y420" s="109">
        <f t="shared" si="2263"/>
        <v>0</v>
      </c>
      <c r="Z420" s="109">
        <f t="shared" si="2263"/>
        <v>0</v>
      </c>
      <c r="AA420" s="109">
        <f t="shared" si="2263"/>
        <v>0</v>
      </c>
      <c r="AB420" s="109">
        <f t="shared" si="2263"/>
        <v>0</v>
      </c>
      <c r="AC420" s="109">
        <f t="shared" si="2263"/>
        <v>0</v>
      </c>
      <c r="AD420" s="109">
        <f t="shared" si="2263"/>
        <v>0</v>
      </c>
      <c r="AE420" s="109">
        <f t="shared" si="2263"/>
        <v>0</v>
      </c>
      <c r="AF420" s="109">
        <f t="shared" si="2263"/>
        <v>0</v>
      </c>
      <c r="AG420" s="109">
        <f t="shared" si="2263"/>
        <v>0</v>
      </c>
      <c r="AH420" s="109">
        <f t="shared" si="2263"/>
        <v>0</v>
      </c>
    </row>
    <row r="421" spans="3:34" x14ac:dyDescent="0.2">
      <c r="C421" s="1181" t="s">
        <v>2270</v>
      </c>
      <c r="D421" s="1181"/>
      <c r="E421" s="346">
        <f t="shared" ref="E421:AH421" si="2264">IF(OR($E402="N/A",E413&gt;$E405,E413&lt;$E406),0,MAX(0,MIN(E420,E418)))</f>
        <v>0</v>
      </c>
      <c r="F421" s="346">
        <f t="shared" si="2264"/>
        <v>0</v>
      </c>
      <c r="G421" s="346">
        <f t="shared" si="2264"/>
        <v>0</v>
      </c>
      <c r="H421" s="346">
        <f t="shared" si="2264"/>
        <v>0</v>
      </c>
      <c r="I421" s="346">
        <f t="shared" si="2264"/>
        <v>0</v>
      </c>
      <c r="J421" s="346">
        <f t="shared" si="2264"/>
        <v>0</v>
      </c>
      <c r="K421" s="346">
        <f t="shared" si="2264"/>
        <v>0</v>
      </c>
      <c r="L421" s="346">
        <f t="shared" si="2264"/>
        <v>0</v>
      </c>
      <c r="M421" s="346">
        <f t="shared" si="2264"/>
        <v>0</v>
      </c>
      <c r="N421" s="346">
        <f t="shared" si="2264"/>
        <v>0</v>
      </c>
      <c r="O421" s="346">
        <f t="shared" si="2264"/>
        <v>0</v>
      </c>
      <c r="P421" s="346">
        <f t="shared" si="2264"/>
        <v>0</v>
      </c>
      <c r="Q421" s="346">
        <f t="shared" si="2264"/>
        <v>0</v>
      </c>
      <c r="R421" s="346">
        <f t="shared" si="2264"/>
        <v>0</v>
      </c>
      <c r="S421" s="442">
        <f t="shared" si="2264"/>
        <v>0</v>
      </c>
      <c r="T421" s="435">
        <f t="shared" si="2264"/>
        <v>0</v>
      </c>
      <c r="U421" s="346">
        <f t="shared" si="2264"/>
        <v>0</v>
      </c>
      <c r="V421" s="346">
        <f t="shared" si="2264"/>
        <v>0</v>
      </c>
      <c r="W421" s="346">
        <f t="shared" si="2264"/>
        <v>0</v>
      </c>
      <c r="X421" s="346">
        <f t="shared" si="2264"/>
        <v>0</v>
      </c>
      <c r="Y421" s="346">
        <f t="shared" si="2264"/>
        <v>0</v>
      </c>
      <c r="Z421" s="346">
        <f t="shared" si="2264"/>
        <v>0</v>
      </c>
      <c r="AA421" s="346">
        <f t="shared" si="2264"/>
        <v>0</v>
      </c>
      <c r="AB421" s="346">
        <f t="shared" si="2264"/>
        <v>0</v>
      </c>
      <c r="AC421" s="346">
        <f t="shared" si="2264"/>
        <v>0</v>
      </c>
      <c r="AD421" s="346">
        <f t="shared" si="2264"/>
        <v>0</v>
      </c>
      <c r="AE421" s="346">
        <f t="shared" si="2264"/>
        <v>0</v>
      </c>
      <c r="AF421" s="346">
        <f t="shared" si="2264"/>
        <v>0</v>
      </c>
      <c r="AG421" s="346">
        <f t="shared" si="2264"/>
        <v>0</v>
      </c>
      <c r="AH421" s="346">
        <f t="shared" si="2264"/>
        <v>0</v>
      </c>
    </row>
    <row r="422" spans="3:34" x14ac:dyDescent="0.2">
      <c r="C422" s="1181" t="s">
        <v>2271</v>
      </c>
      <c r="D422" s="1181"/>
      <c r="E422" s="346">
        <f t="shared" ref="E422:AH422" si="2265">IF(OR($E402="N/A",E413&gt;$E405,E413&lt;$E406),0,E421-E420)</f>
        <v>0</v>
      </c>
      <c r="F422" s="346">
        <f t="shared" si="2265"/>
        <v>0</v>
      </c>
      <c r="G422" s="346">
        <f t="shared" si="2265"/>
        <v>0</v>
      </c>
      <c r="H422" s="346">
        <f t="shared" si="2265"/>
        <v>0</v>
      </c>
      <c r="I422" s="346">
        <f t="shared" si="2265"/>
        <v>0</v>
      </c>
      <c r="J422" s="346">
        <f t="shared" si="2265"/>
        <v>0</v>
      </c>
      <c r="K422" s="346">
        <f t="shared" si="2265"/>
        <v>0</v>
      </c>
      <c r="L422" s="346">
        <f t="shared" si="2265"/>
        <v>0</v>
      </c>
      <c r="M422" s="346">
        <f t="shared" si="2265"/>
        <v>0</v>
      </c>
      <c r="N422" s="346">
        <f t="shared" si="2265"/>
        <v>0</v>
      </c>
      <c r="O422" s="346">
        <f t="shared" si="2265"/>
        <v>0</v>
      </c>
      <c r="P422" s="346">
        <f t="shared" si="2265"/>
        <v>0</v>
      </c>
      <c r="Q422" s="346">
        <f t="shared" si="2265"/>
        <v>0</v>
      </c>
      <c r="R422" s="346">
        <f t="shared" si="2265"/>
        <v>0</v>
      </c>
      <c r="S422" s="442">
        <f t="shared" si="2265"/>
        <v>0</v>
      </c>
      <c r="T422" s="435">
        <f t="shared" si="2265"/>
        <v>0</v>
      </c>
      <c r="U422" s="346">
        <f t="shared" si="2265"/>
        <v>0</v>
      </c>
      <c r="V422" s="346">
        <f t="shared" si="2265"/>
        <v>0</v>
      </c>
      <c r="W422" s="346">
        <f t="shared" si="2265"/>
        <v>0</v>
      </c>
      <c r="X422" s="346">
        <f t="shared" si="2265"/>
        <v>0</v>
      </c>
      <c r="Y422" s="346">
        <f t="shared" si="2265"/>
        <v>0</v>
      </c>
      <c r="Z422" s="346">
        <f t="shared" si="2265"/>
        <v>0</v>
      </c>
      <c r="AA422" s="346">
        <f t="shared" si="2265"/>
        <v>0</v>
      </c>
      <c r="AB422" s="346">
        <f t="shared" si="2265"/>
        <v>0</v>
      </c>
      <c r="AC422" s="346">
        <f t="shared" si="2265"/>
        <v>0</v>
      </c>
      <c r="AD422" s="346">
        <f t="shared" si="2265"/>
        <v>0</v>
      </c>
      <c r="AE422" s="346">
        <f t="shared" si="2265"/>
        <v>0</v>
      </c>
      <c r="AF422" s="346">
        <f t="shared" si="2265"/>
        <v>0</v>
      </c>
      <c r="AG422" s="346">
        <f t="shared" si="2265"/>
        <v>0</v>
      </c>
      <c r="AH422" s="346">
        <f t="shared" si="2265"/>
        <v>0</v>
      </c>
    </row>
    <row r="423" spans="3:34" ht="15" thickBot="1" x14ac:dyDescent="0.25">
      <c r="C423" s="1448" t="s">
        <v>2272</v>
      </c>
      <c r="D423" s="1448"/>
      <c r="E423" s="411">
        <f>IF(OR($E402="N/A",E413&gt;$E405,E413&lt;$E406),0,MAX(0,MIN(E418-E421,E419)))</f>
        <v>0</v>
      </c>
      <c r="F423" s="411">
        <f>IF(OR($E402="N/A",F413&gt;$E405,F413&lt;$E406),0,MAX(0,MIN(F418-F421,F419)))</f>
        <v>0</v>
      </c>
      <c r="G423" s="411">
        <f t="shared" ref="G423:AH423" si="2266">IF(OR($E402="N/A",G413&gt;$E405,G413&lt;$E406),0,MAX(0,MIN(G418-G421,G419)))</f>
        <v>0</v>
      </c>
      <c r="H423" s="411">
        <f t="shared" si="2266"/>
        <v>0</v>
      </c>
      <c r="I423" s="411">
        <f t="shared" si="2266"/>
        <v>0</v>
      </c>
      <c r="J423" s="411">
        <f t="shared" si="2266"/>
        <v>0</v>
      </c>
      <c r="K423" s="411">
        <f t="shared" si="2266"/>
        <v>0</v>
      </c>
      <c r="L423" s="411">
        <f t="shared" si="2266"/>
        <v>0</v>
      </c>
      <c r="M423" s="411">
        <f t="shared" si="2266"/>
        <v>0</v>
      </c>
      <c r="N423" s="411">
        <f t="shared" si="2266"/>
        <v>0</v>
      </c>
      <c r="O423" s="411">
        <f t="shared" si="2266"/>
        <v>0</v>
      </c>
      <c r="P423" s="411">
        <f t="shared" si="2266"/>
        <v>0</v>
      </c>
      <c r="Q423" s="411">
        <f t="shared" si="2266"/>
        <v>0</v>
      </c>
      <c r="R423" s="411">
        <f t="shared" si="2266"/>
        <v>0</v>
      </c>
      <c r="S423" s="443">
        <f t="shared" si="2266"/>
        <v>0</v>
      </c>
      <c r="T423" s="431">
        <f t="shared" si="2266"/>
        <v>0</v>
      </c>
      <c r="U423" s="411">
        <f t="shared" si="2266"/>
        <v>0</v>
      </c>
      <c r="V423" s="411">
        <f t="shared" si="2266"/>
        <v>0</v>
      </c>
      <c r="W423" s="411">
        <f t="shared" si="2266"/>
        <v>0</v>
      </c>
      <c r="X423" s="411">
        <f t="shared" si="2266"/>
        <v>0</v>
      </c>
      <c r="Y423" s="411">
        <f t="shared" si="2266"/>
        <v>0</v>
      </c>
      <c r="Z423" s="411">
        <f t="shared" si="2266"/>
        <v>0</v>
      </c>
      <c r="AA423" s="411">
        <f t="shared" si="2266"/>
        <v>0</v>
      </c>
      <c r="AB423" s="411">
        <f t="shared" si="2266"/>
        <v>0</v>
      </c>
      <c r="AC423" s="411">
        <f t="shared" si="2266"/>
        <v>0</v>
      </c>
      <c r="AD423" s="411">
        <f t="shared" si="2266"/>
        <v>0</v>
      </c>
      <c r="AE423" s="411">
        <f t="shared" si="2266"/>
        <v>0</v>
      </c>
      <c r="AF423" s="411">
        <f t="shared" si="2266"/>
        <v>0</v>
      </c>
      <c r="AG423" s="411">
        <f t="shared" si="2266"/>
        <v>0</v>
      </c>
      <c r="AH423" s="411">
        <f t="shared" si="2266"/>
        <v>0</v>
      </c>
    </row>
    <row r="424" spans="3:34" ht="15" thickTop="1" x14ac:dyDescent="0.2">
      <c r="C424" s="1449" t="s">
        <v>2282</v>
      </c>
      <c r="D424" s="1449"/>
      <c r="E424" s="430">
        <f>SUM(E421,E423)</f>
        <v>0</v>
      </c>
      <c r="F424" s="430">
        <f>SUM(F421,F423)</f>
        <v>0</v>
      </c>
      <c r="G424" s="430">
        <f t="shared" ref="G424" si="2267">SUM(G421,G423)</f>
        <v>0</v>
      </c>
      <c r="H424" s="430">
        <f t="shared" ref="H424" si="2268">SUM(H421,H423)</f>
        <v>0</v>
      </c>
      <c r="I424" s="430">
        <f t="shared" ref="I424" si="2269">SUM(I421,I423)</f>
        <v>0</v>
      </c>
      <c r="J424" s="430">
        <f t="shared" ref="J424" si="2270">SUM(J421,J423)</f>
        <v>0</v>
      </c>
      <c r="K424" s="430">
        <f t="shared" ref="K424" si="2271">SUM(K421,K423)</f>
        <v>0</v>
      </c>
      <c r="L424" s="430">
        <f t="shared" ref="L424" si="2272">SUM(L421,L423)</f>
        <v>0</v>
      </c>
      <c r="M424" s="430">
        <f t="shared" ref="M424" si="2273">SUM(M421,M423)</f>
        <v>0</v>
      </c>
      <c r="N424" s="430">
        <f t="shared" ref="N424" si="2274">SUM(N421,N423)</f>
        <v>0</v>
      </c>
      <c r="O424" s="430">
        <f t="shared" ref="O424" si="2275">SUM(O421,O423)</f>
        <v>0</v>
      </c>
      <c r="P424" s="430">
        <f t="shared" ref="P424" si="2276">SUM(P421,P423)</f>
        <v>0</v>
      </c>
      <c r="Q424" s="430">
        <f t="shared" ref="Q424" si="2277">SUM(Q421,Q423)</f>
        <v>0</v>
      </c>
      <c r="R424" s="430">
        <f t="shared" ref="R424" si="2278">SUM(R421,R423)</f>
        <v>0</v>
      </c>
      <c r="S424" s="444">
        <f t="shared" ref="S424" si="2279">SUM(S421,S423)</f>
        <v>0</v>
      </c>
      <c r="T424" s="436">
        <f t="shared" ref="T424" si="2280">SUM(T421,T423)</f>
        <v>0</v>
      </c>
      <c r="U424" s="430">
        <f t="shared" ref="U424" si="2281">SUM(U421,U423)</f>
        <v>0</v>
      </c>
      <c r="V424" s="430">
        <f t="shared" ref="V424" si="2282">SUM(V421,V423)</f>
        <v>0</v>
      </c>
      <c r="W424" s="430">
        <f t="shared" ref="W424" si="2283">SUM(W421,W423)</f>
        <v>0</v>
      </c>
      <c r="X424" s="430">
        <f t="shared" ref="X424" si="2284">SUM(X421,X423)</f>
        <v>0</v>
      </c>
      <c r="Y424" s="430">
        <f t="shared" ref="Y424" si="2285">SUM(Y421,Y423)</f>
        <v>0</v>
      </c>
      <c r="Z424" s="430">
        <f t="shared" ref="Z424" si="2286">SUM(Z421,Z423)</f>
        <v>0</v>
      </c>
      <c r="AA424" s="430">
        <f t="shared" ref="AA424" si="2287">SUM(AA421,AA423)</f>
        <v>0</v>
      </c>
      <c r="AB424" s="430">
        <f t="shared" ref="AB424" si="2288">SUM(AB421,AB423)</f>
        <v>0</v>
      </c>
      <c r="AC424" s="430">
        <f t="shared" ref="AC424" si="2289">SUM(AC421,AC423)</f>
        <v>0</v>
      </c>
      <c r="AD424" s="430">
        <f t="shared" ref="AD424" si="2290">SUM(AD421,AD423)</f>
        <v>0</v>
      </c>
      <c r="AE424" s="430">
        <f t="shared" ref="AE424" si="2291">SUM(AE421,AE423)</f>
        <v>0</v>
      </c>
      <c r="AF424" s="430">
        <f t="shared" ref="AF424" si="2292">SUM(AF421,AF423)</f>
        <v>0</v>
      </c>
      <c r="AG424" s="430">
        <f t="shared" ref="AG424" si="2293">SUM(AG421,AG423)</f>
        <v>0</v>
      </c>
      <c r="AH424" s="430">
        <f t="shared" ref="AH424" si="2294">SUM(AH421,AH423)</f>
        <v>0</v>
      </c>
    </row>
    <row r="425" spans="3:34" x14ac:dyDescent="0.2">
      <c r="C425" s="1181" t="s">
        <v>2190</v>
      </c>
      <c r="D425" s="1181"/>
      <c r="E425" s="342">
        <f>IF(OR($E402="N/A",E413&gt;$E405,E413&lt;$E406),0,IF($E404="Compound",E419-E423-E422,MAX(0,E419-E423)))</f>
        <v>0</v>
      </c>
      <c r="F425" s="342">
        <f>IF(OR($E402="N/A",F413&gt;$E405,F413&lt;$E406),0,IF($E404="Compound",F419-F423-F422,MAX(0,F419-F423)))</f>
        <v>0</v>
      </c>
      <c r="G425" s="342">
        <f t="shared" ref="G425:AH425" si="2295">IF(OR($E402="N/A",G413&gt;$E405,G413&lt;$E406),0,IF($E404="Compound",G419-G423-G422,MAX(0,G419-G423)))</f>
        <v>0</v>
      </c>
      <c r="H425" s="342">
        <f t="shared" si="2295"/>
        <v>0</v>
      </c>
      <c r="I425" s="342">
        <f t="shared" si="2295"/>
        <v>0</v>
      </c>
      <c r="J425" s="342">
        <f t="shared" si="2295"/>
        <v>0</v>
      </c>
      <c r="K425" s="342">
        <f t="shared" si="2295"/>
        <v>0</v>
      </c>
      <c r="L425" s="342">
        <f t="shared" si="2295"/>
        <v>0</v>
      </c>
      <c r="M425" s="342">
        <f t="shared" si="2295"/>
        <v>0</v>
      </c>
      <c r="N425" s="342">
        <f t="shared" si="2295"/>
        <v>0</v>
      </c>
      <c r="O425" s="342">
        <f t="shared" si="2295"/>
        <v>0</v>
      </c>
      <c r="P425" s="342">
        <f t="shared" si="2295"/>
        <v>0</v>
      </c>
      <c r="Q425" s="342">
        <f t="shared" si="2295"/>
        <v>0</v>
      </c>
      <c r="R425" s="342">
        <f t="shared" si="2295"/>
        <v>0</v>
      </c>
      <c r="S425" s="445">
        <f t="shared" si="2295"/>
        <v>0</v>
      </c>
      <c r="T425" s="437">
        <f t="shared" si="2295"/>
        <v>0</v>
      </c>
      <c r="U425" s="342">
        <f t="shared" si="2295"/>
        <v>0</v>
      </c>
      <c r="V425" s="342">
        <f t="shared" si="2295"/>
        <v>0</v>
      </c>
      <c r="W425" s="342">
        <f t="shared" si="2295"/>
        <v>0</v>
      </c>
      <c r="X425" s="342">
        <f t="shared" si="2295"/>
        <v>0</v>
      </c>
      <c r="Y425" s="342">
        <f t="shared" si="2295"/>
        <v>0</v>
      </c>
      <c r="Z425" s="342">
        <f t="shared" si="2295"/>
        <v>0</v>
      </c>
      <c r="AA425" s="342">
        <f t="shared" si="2295"/>
        <v>0</v>
      </c>
      <c r="AB425" s="342">
        <f t="shared" si="2295"/>
        <v>0</v>
      </c>
      <c r="AC425" s="342">
        <f t="shared" si="2295"/>
        <v>0</v>
      </c>
      <c r="AD425" s="342">
        <f t="shared" si="2295"/>
        <v>0</v>
      </c>
      <c r="AE425" s="342">
        <f t="shared" si="2295"/>
        <v>0</v>
      </c>
      <c r="AF425" s="342">
        <f t="shared" si="2295"/>
        <v>0</v>
      </c>
      <c r="AG425" s="342">
        <f t="shared" si="2295"/>
        <v>0</v>
      </c>
      <c r="AH425" s="342">
        <f t="shared" si="2295"/>
        <v>0</v>
      </c>
    </row>
    <row r="426" spans="3:34" x14ac:dyDescent="0.2">
      <c r="C426" s="317"/>
      <c r="D426" s="317"/>
      <c r="E426" s="74"/>
      <c r="F426" s="74"/>
      <c r="G426" s="74"/>
      <c r="H426" s="74"/>
      <c r="I426" s="74"/>
      <c r="J426" s="74"/>
      <c r="K426" s="74"/>
      <c r="L426" s="74"/>
      <c r="M426" s="74"/>
      <c r="N426" s="74"/>
      <c r="O426" s="74"/>
      <c r="P426" s="74"/>
      <c r="Q426" s="74"/>
      <c r="R426" s="74"/>
      <c r="S426" s="333"/>
      <c r="T426" s="74"/>
      <c r="U426" s="74"/>
      <c r="V426" s="74"/>
      <c r="W426" s="74"/>
      <c r="X426" s="74"/>
      <c r="Y426" s="74"/>
      <c r="Z426" s="74"/>
      <c r="AA426" s="74"/>
      <c r="AB426" s="74"/>
      <c r="AC426" s="74"/>
      <c r="AD426" s="74"/>
      <c r="AE426" s="74"/>
      <c r="AF426" s="74"/>
      <c r="AG426" s="74"/>
      <c r="AH426" s="74"/>
    </row>
    <row r="427" spans="3:34" ht="15" x14ac:dyDescent="0.2">
      <c r="C427" s="432" t="s">
        <v>2287</v>
      </c>
      <c r="D427" s="317"/>
      <c r="E427" s="74"/>
      <c r="F427" s="74"/>
      <c r="G427" s="74"/>
      <c r="H427" s="74"/>
      <c r="I427" s="74"/>
      <c r="J427" s="74"/>
      <c r="K427" s="74"/>
      <c r="L427" s="74"/>
      <c r="M427" s="74"/>
      <c r="N427" s="74"/>
      <c r="O427" s="74"/>
      <c r="P427" s="74"/>
      <c r="Q427" s="74"/>
      <c r="R427" s="74"/>
      <c r="S427" s="333"/>
      <c r="T427" s="74"/>
      <c r="U427" s="74"/>
      <c r="V427" s="74"/>
      <c r="W427" s="74"/>
      <c r="X427" s="74"/>
      <c r="Y427" s="74"/>
      <c r="Z427" s="74"/>
      <c r="AA427" s="74"/>
      <c r="AB427" s="74"/>
      <c r="AC427" s="74"/>
      <c r="AD427" s="74"/>
      <c r="AE427" s="74"/>
      <c r="AF427" s="74"/>
      <c r="AG427" s="74"/>
      <c r="AH427" s="74"/>
    </row>
    <row r="428" spans="3:34" x14ac:dyDescent="0.2">
      <c r="C428" s="1234" t="s">
        <v>2273</v>
      </c>
      <c r="D428" s="1234"/>
      <c r="E428" s="421">
        <f>IF($I402="N/A",0,IF(E413&gt;$I407,0,MIN($I406,$I402*$I404)))</f>
        <v>0</v>
      </c>
      <c r="F428" s="236">
        <f t="shared" ref="F428" si="2296">IF($I402="N/A",0,IF(F413&gt;$I407,0,MIN($I406,$I402*$I404*(1+$I403)^E$63)))</f>
        <v>0</v>
      </c>
      <c r="G428" s="236">
        <f t="shared" ref="G428" si="2297">IF($I402="N/A",0,IF(G413&gt;$I407,0,MIN($I406,$I402*$I404*(1+$I403)^F$63)))</f>
        <v>0</v>
      </c>
      <c r="H428" s="236">
        <f t="shared" ref="H428" si="2298">IF($I402="N/A",0,IF(H413&gt;$I407,0,MIN($I406,$I402*$I404*(1+$I403)^G$63)))</f>
        <v>0</v>
      </c>
      <c r="I428" s="236">
        <f t="shared" ref="I428" si="2299">IF($I402="N/A",0,IF(I413&gt;$I407,0,MIN($I406,$I402*$I404*(1+$I403)^H$63)))</f>
        <v>0</v>
      </c>
      <c r="J428" s="236">
        <f t="shared" ref="J428" si="2300">IF($I402="N/A",0,IF(J413&gt;$I407,0,MIN($I406,$I402*$I404*(1+$I403)^I$63)))</f>
        <v>0</v>
      </c>
      <c r="K428" s="236">
        <f t="shared" ref="K428" si="2301">IF($I402="N/A",0,IF(K413&gt;$I407,0,MIN($I406,$I402*$I404*(1+$I403)^J$63)))</f>
        <v>0</v>
      </c>
      <c r="L428" s="236">
        <f t="shared" ref="L428" si="2302">IF($I402="N/A",0,IF(L413&gt;$I407,0,MIN($I406,$I402*$I404*(1+$I403)^K$63)))</f>
        <v>0</v>
      </c>
      <c r="M428" s="236">
        <f t="shared" ref="M428" si="2303">IF($I402="N/A",0,IF(M413&gt;$I407,0,MIN($I406,$I402*$I404*(1+$I403)^L$63)))</f>
        <v>0</v>
      </c>
      <c r="N428" s="236">
        <f t="shared" ref="N428" si="2304">IF($I402="N/A",0,IF(N413&gt;$I407,0,MIN($I406,$I402*$I404*(1+$I403)^M$63)))</f>
        <v>0</v>
      </c>
      <c r="O428" s="236">
        <f t="shared" ref="O428" si="2305">IF($I402="N/A",0,IF(O413&gt;$I407,0,MIN($I406,$I402*$I404*(1+$I403)^N$63)))</f>
        <v>0</v>
      </c>
      <c r="P428" s="236">
        <f t="shared" ref="P428" si="2306">IF($I402="N/A",0,IF(P413&gt;$I407,0,MIN($I406,$I402*$I404*(1+$I403)^O$63)))</f>
        <v>0</v>
      </c>
      <c r="Q428" s="236">
        <f t="shared" ref="Q428" si="2307">IF($I402="N/A",0,IF(Q413&gt;$I407,0,MIN($I406,$I402*$I404*(1+$I403)^P$63)))</f>
        <v>0</v>
      </c>
      <c r="R428" s="236">
        <f t="shared" ref="R428" si="2308">IF($I402="N/A",0,IF(R413&gt;$I407,0,MIN($I406,$I402*$I404*(1+$I403)^Q$63)))</f>
        <v>0</v>
      </c>
      <c r="S428" s="446">
        <f t="shared" ref="S428" si="2309">IF($I402="N/A",0,IF(S413&gt;$I407,0,MIN($I406,$I402*$I404*(1+$I403)^R$63)))</f>
        <v>0</v>
      </c>
      <c r="T428" s="438">
        <f t="shared" ref="T428" si="2310">IF($I402="N/A",0,IF(T413&gt;$I407,0,MIN($I406,$I402*$I404*(1+$I403)^S$63)))</f>
        <v>0</v>
      </c>
      <c r="U428" s="236">
        <f t="shared" ref="U428" si="2311">IF($I402="N/A",0,IF(U413&gt;$I407,0,MIN($I406,$I402*$I404*(1+$I403)^T$63)))</f>
        <v>0</v>
      </c>
      <c r="V428" s="236">
        <f t="shared" ref="V428" si="2312">IF($I402="N/A",0,IF(V413&gt;$I407,0,MIN($I406,$I402*$I404*(1+$I403)^U$63)))</f>
        <v>0</v>
      </c>
      <c r="W428" s="236">
        <f t="shared" ref="W428" si="2313">IF($I402="N/A",0,IF(W413&gt;$I407,0,MIN($I406,$I402*$I404*(1+$I403)^V$63)))</f>
        <v>0</v>
      </c>
      <c r="X428" s="236">
        <f t="shared" ref="X428" si="2314">IF($I402="N/A",0,IF(X413&gt;$I407,0,MIN($I406,$I402*$I404*(1+$I403)^W$63)))</f>
        <v>0</v>
      </c>
      <c r="Y428" s="236">
        <f t="shared" ref="Y428" si="2315">IF($I402="N/A",0,IF(Y413&gt;$I407,0,MIN($I406,$I402*$I404*(1+$I403)^X$63)))</f>
        <v>0</v>
      </c>
      <c r="Z428" s="236">
        <f t="shared" ref="Z428" si="2316">IF($I402="N/A",0,IF(Z413&gt;$I407,0,MIN($I406,$I402*$I404*(1+$I403)^Y$63)))</f>
        <v>0</v>
      </c>
      <c r="AA428" s="236">
        <f t="shared" ref="AA428" si="2317">IF($I402="N/A",0,IF(AA413&gt;$I407,0,MIN($I406,$I402*$I404*(1+$I403)^Z$63)))</f>
        <v>0</v>
      </c>
      <c r="AB428" s="236">
        <f t="shared" ref="AB428" si="2318">IF($I402="N/A",0,IF(AB413&gt;$I407,0,MIN($I406,$I402*$I404*(1+$I403)^AA$63)))</f>
        <v>0</v>
      </c>
      <c r="AC428" s="236">
        <f t="shared" ref="AC428" si="2319">IF($I402="N/A",0,IF(AC413&gt;$I407,0,MIN($I406,$I402*$I404*(1+$I403)^AB$63)))</f>
        <v>0</v>
      </c>
      <c r="AD428" s="236">
        <f t="shared" ref="AD428" si="2320">IF($I402="N/A",0,IF(AD413&gt;$I407,0,MIN($I406,$I402*$I404*(1+$I403)^AC$63)))</f>
        <v>0</v>
      </c>
      <c r="AE428" s="236">
        <f t="shared" ref="AE428" si="2321">IF($I402="N/A",0,IF(AE413&gt;$I407,0,MIN($I406,$I402*$I404*(1+$I403)^AD$63)))</f>
        <v>0</v>
      </c>
      <c r="AF428" s="236">
        <f t="shared" ref="AF428" si="2322">IF($I402="N/A",0,IF(AF413&gt;$I407,0,MIN($I406,$I402*$I404*(1+$I403)^AE$63)))</f>
        <v>0</v>
      </c>
      <c r="AG428" s="236">
        <f t="shared" ref="AG428" si="2323">IF($I402="N/A",0,IF(AG413&gt;$I407,0,MIN($I406,$I402*$I404*(1+$I403)^AF$63)))</f>
        <v>0</v>
      </c>
      <c r="AH428" s="236">
        <f t="shared" ref="AH428" si="2324">IF($I402="N/A",0,IF(AH413&gt;$I407,0,MIN($I406,$I402*$I404*(1+$I403)^AG$63)))</f>
        <v>0</v>
      </c>
    </row>
    <row r="429" spans="3:34" x14ac:dyDescent="0.2">
      <c r="C429" s="1450" t="s">
        <v>2274</v>
      </c>
      <c r="D429" s="1451"/>
      <c r="E429" s="422">
        <f>IF($I402="N/A",0,IF(E413&gt;$I407,0,MAX(0,MIN(E428,$I402*$I404,E415))))</f>
        <v>0</v>
      </c>
      <c r="F429" s="521">
        <f t="shared" ref="F429" si="2325">IF($I402="N/A",0,IF(F413&gt;$I407,0,IF($I405="Yes",MAX(0,MIN(F415*$I404,E431+F428,$I406)),MAX(0,MIN(F428,F415*$I404,$I406)))))</f>
        <v>0</v>
      </c>
      <c r="G429" s="521">
        <f t="shared" ref="G429" si="2326">IF($I402="N/A",0,IF(G413&gt;$I407,0,IF($I405="Yes",MAX(0,MIN(G415*$I404,F431+G428,$I406)),MAX(0,MIN(G428,G415*$I404,$I406)))))</f>
        <v>0</v>
      </c>
      <c r="H429" s="521">
        <f t="shared" ref="H429" si="2327">IF($I402="N/A",0,IF(H413&gt;$I407,0,IF($I405="Yes",MAX(0,MIN(H415*$I404,G431+H428,$I406)),MAX(0,MIN(H428,H415*$I404,$I406)))))</f>
        <v>0</v>
      </c>
      <c r="I429" s="521">
        <f t="shared" ref="I429" si="2328">IF($I402="N/A",0,IF(I413&gt;$I407,0,IF($I405="Yes",MAX(0,MIN(I415*$I404,H431+I428,$I406)),MAX(0,MIN(I428,I415*$I404,$I406)))))</f>
        <v>0</v>
      </c>
      <c r="J429" s="521">
        <f t="shared" ref="J429" si="2329">IF($I402="N/A",0,IF(J413&gt;$I407,0,IF($I405="Yes",MAX(0,MIN(J415*$I404,I431+J428,$I406)),MAX(0,MIN(J428,J415*$I404,$I406)))))</f>
        <v>0</v>
      </c>
      <c r="K429" s="521">
        <f t="shared" ref="K429" si="2330">IF($I402="N/A",0,IF(K413&gt;$I407,0,IF($I405="Yes",MAX(0,MIN(K415*$I404,J431+K428,$I406)),MAX(0,MIN(K428,K415*$I404,$I406)))))</f>
        <v>0</v>
      </c>
      <c r="L429" s="521">
        <f t="shared" ref="L429" si="2331">IF($I402="N/A",0,IF(L413&gt;$I407,0,IF($I405="Yes",MAX(0,MIN(L415*$I404,K431+L428,$I406)),MAX(0,MIN(L428,L415*$I404,$I406)))))</f>
        <v>0</v>
      </c>
      <c r="M429" s="521">
        <f t="shared" ref="M429" si="2332">IF($I402="N/A",0,IF(M413&gt;$I407,0,IF($I405="Yes",MAX(0,MIN(M415*$I404,L431+M428,$I406)),MAX(0,MIN(M428,M415*$I404,$I406)))))</f>
        <v>0</v>
      </c>
      <c r="N429" s="521">
        <f t="shared" ref="N429" si="2333">IF($I402="N/A",0,IF(N413&gt;$I407,0,IF($I405="Yes",MAX(0,MIN(N415*$I404,M431+N428,$I406)),MAX(0,MIN(N428,N415*$I404,$I406)))))</f>
        <v>0</v>
      </c>
      <c r="O429" s="521">
        <f t="shared" ref="O429" si="2334">IF($I402="N/A",0,IF(O413&gt;$I407,0,IF($I405="Yes",MAX(0,MIN(O415*$I404,N431+O428,$I406)),MAX(0,MIN(O428,O415*$I404,$I406)))))</f>
        <v>0</v>
      </c>
      <c r="P429" s="521">
        <f t="shared" ref="P429" si="2335">IF($I402="N/A",0,IF(P413&gt;$I407,0,IF($I405="Yes",MAX(0,MIN(P415*$I404,O431+P428,$I406)),MAX(0,MIN(P428,P415*$I404,$I406)))))</f>
        <v>0</v>
      </c>
      <c r="Q429" s="521">
        <f t="shared" ref="Q429" si="2336">IF($I402="N/A",0,IF(Q413&gt;$I407,0,IF($I405="Yes",MAX(0,MIN(Q415*$I404,P431+Q428,$I406)),MAX(0,MIN(Q428,Q415*$I404,$I406)))))</f>
        <v>0</v>
      </c>
      <c r="R429" s="521">
        <f t="shared" ref="R429" si="2337">IF($I402="N/A",0,IF(R413&gt;$I407,0,IF($I405="Yes",MAX(0,MIN(R415*$I404,Q431+R428,$I406)),MAX(0,MIN(R428,R415*$I404,$I406)))))</f>
        <v>0</v>
      </c>
      <c r="S429" s="523">
        <f t="shared" ref="S429" si="2338">IF($I402="N/A",0,IF(S413&gt;$I407,0,IF($I405="Yes",MAX(0,MIN(S415*$I404,R431+S428,$I406)),MAX(0,MIN(S428,S415*$I404,$I406)))))</f>
        <v>0</v>
      </c>
      <c r="T429" s="522">
        <f t="shared" ref="T429" si="2339">IF($I402="N/A",0,IF(T413&gt;$I407,0,IF($I405="Yes",MAX(0,MIN(T415*$I404,S431+T428,$I406)),MAX(0,MIN(T428,T415*$I404,$I406)))))</f>
        <v>0</v>
      </c>
      <c r="U429" s="521">
        <f t="shared" ref="U429" si="2340">IF($I402="N/A",0,IF(U413&gt;$I407,0,IF($I405="Yes",MAX(0,MIN(U415*$I404,T431+U428,$I406)),MAX(0,MIN(U428,U415*$I404,$I406)))))</f>
        <v>0</v>
      </c>
      <c r="V429" s="521">
        <f t="shared" ref="V429" si="2341">IF($I402="N/A",0,IF(V413&gt;$I407,0,IF($I405="Yes",MAX(0,MIN(V415*$I404,U431+V428,$I406)),MAX(0,MIN(V428,V415*$I404,$I406)))))</f>
        <v>0</v>
      </c>
      <c r="W429" s="521">
        <f t="shared" ref="W429" si="2342">IF($I402="N/A",0,IF(W413&gt;$I407,0,IF($I405="Yes",MAX(0,MIN(W415*$I404,V431+W428,$I406)),MAX(0,MIN(W428,W415*$I404,$I406)))))</f>
        <v>0</v>
      </c>
      <c r="X429" s="521">
        <f t="shared" ref="X429" si="2343">IF($I402="N/A",0,IF(X413&gt;$I407,0,IF($I405="Yes",MAX(0,MIN(X415*$I404,W431+X428,$I406)),MAX(0,MIN(X428,X415*$I404,$I406)))))</f>
        <v>0</v>
      </c>
      <c r="Y429" s="521">
        <f t="shared" ref="Y429" si="2344">IF($I402="N/A",0,IF(Y413&gt;$I407,0,IF($I405="Yes",MAX(0,MIN(Y415*$I404,X431+Y428,$I406)),MAX(0,MIN(Y428,Y415*$I404,$I406)))))</f>
        <v>0</v>
      </c>
      <c r="Z429" s="521">
        <f t="shared" ref="Z429" si="2345">IF($I402="N/A",0,IF(Z413&gt;$I407,0,IF($I405="Yes",MAX(0,MIN(Z415*$I404,Y431+Z428,$I406)),MAX(0,MIN(Z428,Z415*$I404,$I406)))))</f>
        <v>0</v>
      </c>
      <c r="AA429" s="521">
        <f t="shared" ref="AA429" si="2346">IF($I402="N/A",0,IF(AA413&gt;$I407,0,IF($I405="Yes",MAX(0,MIN(AA415*$I404,Z431+AA428,$I406)),MAX(0,MIN(AA428,AA415*$I404,$I406)))))</f>
        <v>0</v>
      </c>
      <c r="AB429" s="521">
        <f t="shared" ref="AB429" si="2347">IF($I402="N/A",0,IF(AB413&gt;$I407,0,IF($I405="Yes",MAX(0,MIN(AB415*$I404,AA431+AB428,$I406)),MAX(0,MIN(AB428,AB415*$I404,$I406)))))</f>
        <v>0</v>
      </c>
      <c r="AC429" s="521">
        <f t="shared" ref="AC429" si="2348">IF($I402="N/A",0,IF(AC413&gt;$I407,0,IF($I405="Yes",MAX(0,MIN(AC415*$I404,AB431+AC428,$I406)),MAX(0,MIN(AC428,AC415*$I404,$I406)))))</f>
        <v>0</v>
      </c>
      <c r="AD429" s="521">
        <f t="shared" ref="AD429" si="2349">IF($I402="N/A",0,IF(AD413&gt;$I407,0,IF($I405="Yes",MAX(0,MIN(AD415*$I404,AC431+AD428,$I406)),MAX(0,MIN(AD428,AD415*$I404,$I406)))))</f>
        <v>0</v>
      </c>
      <c r="AE429" s="521">
        <f t="shared" ref="AE429" si="2350">IF($I402="N/A",0,IF(AE413&gt;$I407,0,IF($I405="Yes",MAX(0,MIN(AE415*$I404,AD431+AE428,$I406)),MAX(0,MIN(AE428,AE415*$I404,$I406)))))</f>
        <v>0</v>
      </c>
      <c r="AF429" s="521">
        <f t="shared" ref="AF429" si="2351">IF($I402="N/A",0,IF(AF413&gt;$I407,0,IF($I405="Yes",MAX(0,MIN(AF415*$I404,AE431+AF428,$I406)),MAX(0,MIN(AF428,AF415*$I404,$I406)))))</f>
        <v>0</v>
      </c>
      <c r="AG429" s="521">
        <f t="shared" ref="AG429" si="2352">IF($I402="N/A",0,IF(AG413&gt;$I407,0,IF($I405="Yes",MAX(0,MIN(AG415*$I404,AF431+AG428,$I406)),MAX(0,MIN(AG428,AG415*$I404,$I406)))))</f>
        <v>0</v>
      </c>
      <c r="AH429" s="521">
        <f t="shared" ref="AH429" si="2353">IF($I402="N/A",0,IF(AH413&gt;$I407,0,IF($I405="Yes",MAX(0,MIN(AH415*$I404,AG431+AH428,$I406)),MAX(0,MIN(AH428,AH415*$I404,$I406)))))</f>
        <v>0</v>
      </c>
    </row>
    <row r="430" spans="3:34" x14ac:dyDescent="0.2">
      <c r="C430" s="1168" t="s">
        <v>2275</v>
      </c>
      <c r="D430" s="1170"/>
      <c r="E430" s="421">
        <f>IF($I405="Yes",IF(E413&gt;$I407,0,E428-E429),0)</f>
        <v>0</v>
      </c>
      <c r="F430" s="421">
        <f t="shared" ref="F430:AH430" si="2354">IF($I402="N/A",0,IF(F414&gt;$I407,0,IF($I405="Yes",F428-F429,0)))</f>
        <v>0</v>
      </c>
      <c r="G430" s="421">
        <f t="shared" si="2354"/>
        <v>0</v>
      </c>
      <c r="H430" s="421">
        <f t="shared" si="2354"/>
        <v>0</v>
      </c>
      <c r="I430" s="421">
        <f t="shared" si="2354"/>
        <v>0</v>
      </c>
      <c r="J430" s="421">
        <f t="shared" si="2354"/>
        <v>0</v>
      </c>
      <c r="K430" s="421">
        <f t="shared" si="2354"/>
        <v>0</v>
      </c>
      <c r="L430" s="421">
        <f t="shared" si="2354"/>
        <v>0</v>
      </c>
      <c r="M430" s="421">
        <f t="shared" si="2354"/>
        <v>0</v>
      </c>
      <c r="N430" s="421">
        <f t="shared" si="2354"/>
        <v>0</v>
      </c>
      <c r="O430" s="421">
        <f t="shared" si="2354"/>
        <v>0</v>
      </c>
      <c r="P430" s="421">
        <f t="shared" si="2354"/>
        <v>0</v>
      </c>
      <c r="Q430" s="421">
        <f t="shared" si="2354"/>
        <v>0</v>
      </c>
      <c r="R430" s="421">
        <f t="shared" si="2354"/>
        <v>0</v>
      </c>
      <c r="S430" s="447">
        <f t="shared" si="2354"/>
        <v>0</v>
      </c>
      <c r="T430" s="439">
        <f t="shared" si="2354"/>
        <v>0</v>
      </c>
      <c r="U430" s="421">
        <f t="shared" si="2354"/>
        <v>0</v>
      </c>
      <c r="V430" s="421">
        <f t="shared" si="2354"/>
        <v>0</v>
      </c>
      <c r="W430" s="421">
        <f t="shared" si="2354"/>
        <v>0</v>
      </c>
      <c r="X430" s="421">
        <f t="shared" si="2354"/>
        <v>0</v>
      </c>
      <c r="Y430" s="421">
        <f t="shared" si="2354"/>
        <v>0</v>
      </c>
      <c r="Z430" s="421">
        <f t="shared" si="2354"/>
        <v>0</v>
      </c>
      <c r="AA430" s="421">
        <f t="shared" si="2354"/>
        <v>0</v>
      </c>
      <c r="AB430" s="421">
        <f t="shared" si="2354"/>
        <v>0</v>
      </c>
      <c r="AC430" s="421">
        <f t="shared" si="2354"/>
        <v>0</v>
      </c>
      <c r="AD430" s="421">
        <f t="shared" si="2354"/>
        <v>0</v>
      </c>
      <c r="AE430" s="421">
        <f t="shared" si="2354"/>
        <v>0</v>
      </c>
      <c r="AF430" s="421">
        <f t="shared" si="2354"/>
        <v>0</v>
      </c>
      <c r="AG430" s="421">
        <f t="shared" si="2354"/>
        <v>0</v>
      </c>
      <c r="AH430" s="421">
        <f t="shared" si="2354"/>
        <v>0</v>
      </c>
    </row>
    <row r="431" spans="3:34" x14ac:dyDescent="0.2">
      <c r="C431" s="1168" t="s">
        <v>2276</v>
      </c>
      <c r="D431" s="1170"/>
      <c r="E431" s="421">
        <f>E430</f>
        <v>0</v>
      </c>
      <c r="F431" s="236">
        <f t="shared" ref="F431" si="2355">IF($I402="N/A",0,IF(F413&gt;$I407,0,E431+F430))</f>
        <v>0</v>
      </c>
      <c r="G431" s="236">
        <f t="shared" ref="G431" si="2356">IF($I402="N/A",0,IF(G413&gt;$I407,0,F431+G430))</f>
        <v>0</v>
      </c>
      <c r="H431" s="236">
        <f t="shared" ref="H431" si="2357">IF($I402="N/A",0,IF(H413&gt;$I407,0,G431+H430))</f>
        <v>0</v>
      </c>
      <c r="I431" s="236">
        <f t="shared" ref="I431" si="2358">IF($I402="N/A",0,IF(I413&gt;$I407,0,H431+I430))</f>
        <v>0</v>
      </c>
      <c r="J431" s="236">
        <f t="shared" ref="J431" si="2359">IF($I402="N/A",0,IF(J413&gt;$I407,0,I431+J430))</f>
        <v>0</v>
      </c>
      <c r="K431" s="236">
        <f t="shared" ref="K431" si="2360">IF($I402="N/A",0,IF(K413&gt;$I407,0,J431+K430))</f>
        <v>0</v>
      </c>
      <c r="L431" s="236">
        <f t="shared" ref="L431" si="2361">IF($I402="N/A",0,IF(L413&gt;$I407,0,K431+L430))</f>
        <v>0</v>
      </c>
      <c r="M431" s="236">
        <f t="shared" ref="M431" si="2362">IF($I402="N/A",0,IF(M413&gt;$I407,0,L431+M430))</f>
        <v>0</v>
      </c>
      <c r="N431" s="236">
        <f t="shared" ref="N431" si="2363">IF($I402="N/A",0,IF(N413&gt;$I407,0,M431+N430))</f>
        <v>0</v>
      </c>
      <c r="O431" s="236">
        <f t="shared" ref="O431" si="2364">IF($I402="N/A",0,IF(O413&gt;$I407,0,N431+O430))</f>
        <v>0</v>
      </c>
      <c r="P431" s="236">
        <f t="shared" ref="P431" si="2365">IF($I402="N/A",0,IF(P413&gt;$I407,0,O431+P430))</f>
        <v>0</v>
      </c>
      <c r="Q431" s="236">
        <f t="shared" ref="Q431" si="2366">IF($I402="N/A",0,IF(Q413&gt;$I407,0,P431+Q430))</f>
        <v>0</v>
      </c>
      <c r="R431" s="236">
        <f t="shared" ref="R431" si="2367">IF($I402="N/A",0,IF(R413&gt;$I407,0,Q431+R430))</f>
        <v>0</v>
      </c>
      <c r="S431" s="446">
        <f t="shared" ref="S431" si="2368">IF($I402="N/A",0,IF(S413&gt;$I407,0,R431+S430))</f>
        <v>0</v>
      </c>
      <c r="T431" s="438">
        <f t="shared" ref="T431" si="2369">IF($I402="N/A",0,IF(T413&gt;$I407,0,S431+T430))</f>
        <v>0</v>
      </c>
      <c r="U431" s="236">
        <f t="shared" ref="U431" si="2370">IF($I402="N/A",0,IF(U413&gt;$I407,0,T431+U430))</f>
        <v>0</v>
      </c>
      <c r="V431" s="236">
        <f t="shared" ref="V431" si="2371">IF($I402="N/A",0,IF(V413&gt;$I407,0,U431+V430))</f>
        <v>0</v>
      </c>
      <c r="W431" s="236">
        <f t="shared" ref="W431" si="2372">IF($I402="N/A",0,IF(W413&gt;$I407,0,V431+W430))</f>
        <v>0</v>
      </c>
      <c r="X431" s="236">
        <f t="shared" ref="X431" si="2373">IF($I402="N/A",0,IF(X413&gt;$I407,0,W431+X430))</f>
        <v>0</v>
      </c>
      <c r="Y431" s="236">
        <f t="shared" ref="Y431" si="2374">IF($I402="N/A",0,IF(Y413&gt;$I407,0,X431+Y430))</f>
        <v>0</v>
      </c>
      <c r="Z431" s="236">
        <f t="shared" ref="Z431" si="2375">IF($I402="N/A",0,IF(Z413&gt;$I407,0,Y431+Z430))</f>
        <v>0</v>
      </c>
      <c r="AA431" s="236">
        <f t="shared" ref="AA431" si="2376">IF($I402="N/A",0,IF(AA413&gt;$I407,0,Z431+AA430))</f>
        <v>0</v>
      </c>
      <c r="AB431" s="236">
        <f t="shared" ref="AB431" si="2377">IF($I402="N/A",0,IF(AB413&gt;$I407,0,AA431+AB430))</f>
        <v>0</v>
      </c>
      <c r="AC431" s="236">
        <f t="shared" ref="AC431" si="2378">IF($I402="N/A",0,IF(AC413&gt;$I407,0,AB431+AC430))</f>
        <v>0</v>
      </c>
      <c r="AD431" s="236">
        <f t="shared" ref="AD431" si="2379">IF($I402="N/A",0,IF(AD413&gt;$I407,0,AC431+AD430))</f>
        <v>0</v>
      </c>
      <c r="AE431" s="236">
        <f t="shared" ref="AE431" si="2380">IF($I402="N/A",0,IF(AE413&gt;$I407,0,AD431+AE430))</f>
        <v>0</v>
      </c>
      <c r="AF431" s="236">
        <f t="shared" ref="AF431" si="2381">IF($I402="N/A",0,IF(AF413&gt;$I407,0,AE431+AF430))</f>
        <v>0</v>
      </c>
      <c r="AG431" s="236">
        <f t="shared" ref="AG431" si="2382">IF($I402="N/A",0,IF(AG413&gt;$I407,0,AF431+AG430))</f>
        <v>0</v>
      </c>
      <c r="AH431" s="236">
        <f t="shared" ref="AH431" si="2383">IF($I402="N/A",0,IF(AH413&gt;$I407,0,AG431+AH430))</f>
        <v>0</v>
      </c>
    </row>
    <row r="434" spans="3:34" ht="15" x14ac:dyDescent="0.2">
      <c r="C434" s="1456" t="str">
        <f>IF(Sources!$D$79="","N/A",Sources!$D$79)</f>
        <v>N/A</v>
      </c>
      <c r="D434" s="1456"/>
      <c r="E434" s="1456"/>
      <c r="F434" s="412" t="s">
        <v>2266</v>
      </c>
      <c r="G434" s="92" t="str">
        <f>IF(AND(ISERROR(VLOOKUP($C434,OpBudget!$C$159:$C$165,1,FALSE)),ISERROR(VLOOKUP($C434,Sources!$C$36:$C$55,1,FALSE))),"N/A",IF(ISERROR(VLOOKUP($C434,Sources!$C$36:$C$55,1,FALSE)),"Fee","Loan"))</f>
        <v>N/A</v>
      </c>
      <c r="H434" s="412"/>
      <c r="I434" s="412"/>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row>
    <row r="435" spans="3:34" ht="15" x14ac:dyDescent="0.2">
      <c r="C435" s="345"/>
      <c r="D435" s="345"/>
      <c r="E435" s="345"/>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row>
    <row r="436" spans="3:34" ht="15" x14ac:dyDescent="0.2">
      <c r="C436" s="417" t="s">
        <v>2260</v>
      </c>
      <c r="D436" s="345"/>
      <c r="E436" s="345"/>
      <c r="F436" s="74"/>
      <c r="G436" s="74" t="s">
        <v>2261</v>
      </c>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row>
    <row r="437" spans="3:34" x14ac:dyDescent="0.2">
      <c r="C437" s="1452" t="s">
        <v>2255</v>
      </c>
      <c r="D437" s="1452"/>
      <c r="E437" s="413" t="str">
        <f>IF(OR($G434="Fee",$G434="N/A"),"N/A",INDEX(Sources!$C$35:$K$55,MATCH(Loans!$C434,Sources!$C$35:$C$55,0),MATCH("Amount",Sources!$C$35:$N$35,0)))</f>
        <v>N/A</v>
      </c>
      <c r="F437" s="74"/>
      <c r="G437" s="1454" t="s">
        <v>2262</v>
      </c>
      <c r="H437" s="1454"/>
      <c r="I437" s="705" t="str">
        <f>IF(OR($G434="Loan",$G434="N/A"),"N/A",INDEX(OpBudget!$C$159:$K$165,MATCH(Loans!$C434,OpBudget!$C$159:$C$165,0),MATCH("Total Amount",OpBudget!$C$159:$K$159,0)))</f>
        <v>N/A</v>
      </c>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row>
    <row r="438" spans="3:34" x14ac:dyDescent="0.2">
      <c r="C438" s="1452" t="s">
        <v>2256</v>
      </c>
      <c r="D438" s="1452"/>
      <c r="E438" s="702" t="str">
        <f>IF(OR($G434="Fee",$G434="N/A"),"N/A",INDEX(Sources!$C$35:$K$55,MATCH(Loans!$C434,Sources!$C$35:$C$55,0),MATCH("Interest Rate",Sources!$C$35:$N$35,0)))</f>
        <v>N/A</v>
      </c>
      <c r="F438" s="74"/>
      <c r="G438" s="1454" t="s">
        <v>2268</v>
      </c>
      <c r="H438" s="1454"/>
      <c r="I438" s="703" t="str">
        <f>IF(OR($G434="Loan",$G434="N/A"),"N/A",INDEX(OpBudget!$C$159:$K$165,MATCH(Loans!$C434,OpBudget!$C$159:$C$165,0),MATCH("Annual Percent Inflator",OpBudget!$C$159:$K$159,0)))</f>
        <v>N/A</v>
      </c>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row>
    <row r="439" spans="3:34" x14ac:dyDescent="0.2">
      <c r="C439" s="1452" t="s">
        <v>2279</v>
      </c>
      <c r="D439" s="1452"/>
      <c r="E439" s="702" t="str">
        <f>IF(OR($G434="Fee",$G434="N/A"),"N/A",INDEX(Sources!$C$35:$N$55,MATCH(Loans!$C434,Sources!$C$35:$C$55,0),MATCH("Simple or Compound Interest?",Sources!$C$35:$N$35,0)))</f>
        <v>N/A</v>
      </c>
      <c r="F439" s="74"/>
      <c r="G439" s="424" t="s">
        <v>2263</v>
      </c>
      <c r="H439" s="424"/>
      <c r="I439" s="703" t="str">
        <f>IF(OR($G434="Loan",$G434="N/A"),"N/A",INDEX(Sources!$D$67:$H$82,MATCH(Loans!$C434,Sources!$D$67:$D$82,0),MATCH("Split of Cash Flow",Sources!$D$67:$H$67,0)))</f>
        <v>N/A</v>
      </c>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row>
    <row r="440" spans="3:34" x14ac:dyDescent="0.2">
      <c r="C440" s="1452" t="s">
        <v>2257</v>
      </c>
      <c r="D440" s="1452"/>
      <c r="E440" s="420" t="str">
        <f>IF(OR($G434="Fee",$G434="N/A"),"N/A",INDEX(Sources!$C$35:$K$55,MATCH(Loans!$C434,Sources!$C$35:$C$55,0),MATCH("Term (Years)",Sources!$C$35:$N$35,0)))</f>
        <v>N/A</v>
      </c>
      <c r="F440" s="74"/>
      <c r="G440" s="1454" t="s">
        <v>2281</v>
      </c>
      <c r="H440" s="1454"/>
      <c r="I440" s="703" t="str">
        <f>IF(OR($G434="Loan",$G434="N/A"),"N/A",INDEX(OpBudget!$C$159:$K$165,MATCH(Loans!$C434,OpBudget!$C$159:$C$165,0),MATCH("Accrue Unpaid Fee?",OpBudget!$C$159:$K$159,0)))</f>
        <v>N/A</v>
      </c>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row>
    <row r="441" spans="3:34" x14ac:dyDescent="0.2">
      <c r="C441" s="1452" t="s">
        <v>2284</v>
      </c>
      <c r="D441" s="1452"/>
      <c r="E441" s="420" t="str">
        <f>IF(OR($G434="Fee",$G434="N/A"),"N/A",INDEX(Sources!$D$67:$O$82,MATCH(Loans!$C434,Sources!$D$67:$D$82,0),MATCH("Beginning Payment Year",Sources!$D$67:$O$67,0)))</f>
        <v>N/A</v>
      </c>
      <c r="F441" s="74"/>
      <c r="G441" s="1454" t="s">
        <v>2293</v>
      </c>
      <c r="H441" s="1454"/>
      <c r="I441" s="705" t="str">
        <f>IF(OR($G434="Loan",$G434="N/A"),"N/A",IF(INDEX(OpBudget!$C$159:$K$165,MATCH(Loans!$C434,OpBudget!$C$159:$C$165,0),MATCH("Fee Cap (if applicable)",OpBudget!$C$159:$K$159,0))=0,"N/A",INDEX(OpBudget!$C$159:$K$165,MATCH(Loans!$C434,OpBudget!$C$159:$C$165,0),MATCH("Fee Cap (if applicable)",OpBudget!$C$159:$K$159,0))))</f>
        <v>N/A</v>
      </c>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row>
    <row r="442" spans="3:34" x14ac:dyDescent="0.2">
      <c r="C442" s="1452" t="s">
        <v>2267</v>
      </c>
      <c r="D442" s="1452"/>
      <c r="E442" s="703" t="str">
        <f>IF(OR($G434="Fee",$G434="N/A"),"N/A",INDEX(Sources!$D$67:$O$82,MATCH(Loans!$C434,Sources!$D$67:$D$82,0),MATCH("Split of Cash Flow",Sources!$D$67:$O$67,0)))</f>
        <v>N/A</v>
      </c>
      <c r="F442" s="1455"/>
      <c r="G442" s="1454" t="s">
        <v>2292</v>
      </c>
      <c r="H442" s="1454"/>
      <c r="I442" s="420" t="str">
        <f>IF(OR($G434="Loan",$G434="N/A"),"N/A",INDEX(OpBudget!$C$159:$K$165,MATCH(Loans!$C434,OpBudget!$C$159:$C$165,0),MATCH("Number of Years Fee Exists",OpBudget!$C$159:$K$159,0)))</f>
        <v>N/A</v>
      </c>
      <c r="J442" s="74"/>
      <c r="K442" s="74"/>
      <c r="L442" s="74" t="s">
        <v>2278</v>
      </c>
      <c r="M442" s="74"/>
      <c r="N442" s="74"/>
      <c r="O442" s="74"/>
      <c r="P442" s="74"/>
      <c r="Q442" s="74"/>
      <c r="R442" s="74"/>
      <c r="S442" s="74"/>
      <c r="T442" s="74"/>
      <c r="U442" s="74"/>
      <c r="V442" s="74"/>
      <c r="W442" s="74"/>
      <c r="X442" s="74"/>
      <c r="Y442" s="74"/>
      <c r="Z442" s="74"/>
      <c r="AA442" s="74"/>
      <c r="AB442" s="74"/>
      <c r="AC442" s="74"/>
      <c r="AD442" s="74"/>
      <c r="AE442" s="74"/>
      <c r="AF442" s="74"/>
      <c r="AG442" s="74"/>
      <c r="AH442" s="74"/>
    </row>
    <row r="443" spans="3:34" x14ac:dyDescent="0.2">
      <c r="C443" s="1452" t="s">
        <v>2289</v>
      </c>
      <c r="D443" s="1452"/>
      <c r="E443" s="704" t="str">
        <f>IF(OR($G434="Fee",$G434="N/A"),"N/A",INDEX(Sources!$D$67:$O$82,MATCH(Loans!$C434,Sources!$D$67:$D$82,0),MATCH("Pari Passu?",Sources!$D$67:$O$67,0)))</f>
        <v>N/A</v>
      </c>
      <c r="F443" s="1455"/>
      <c r="G443" s="424"/>
      <c r="H443" s="424"/>
      <c r="I443" s="526"/>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row>
    <row r="444" spans="3:34" x14ac:dyDescent="0.2">
      <c r="C444" s="1452" t="s">
        <v>2295</v>
      </c>
      <c r="D444" s="1452"/>
      <c r="E444" s="703" t="str">
        <f>IF(OR($G434="Fee",$G434="N/A"),"N/A",INDEX(Sources!$D$67:$O$82,MATCH(Loans!$C434,Sources!$D$67:$D$82,0),MATCH("Shared Position Split of Cash Flow",Sources!$D$67:$O$67,0)))</f>
        <v>N/A</v>
      </c>
      <c r="F444" s="532"/>
      <c r="G444" s="424"/>
      <c r="H444" s="424"/>
      <c r="I444" s="526"/>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row>
    <row r="445" spans="3:34" x14ac:dyDescent="0.2">
      <c r="C445" s="1452" t="s">
        <v>2291</v>
      </c>
      <c r="D445" s="1452"/>
      <c r="E445" s="704" t="str">
        <f>IF(OR($G434="Fee",$G434="N/A"),"N/A",INDEX(Sources!$D$67:$O$82,MATCH(Loans!$C434,Sources!$D$67:$D$82,0),MATCH("Deferred Loan?",Sources!$D$67:$O$67,0)))</f>
        <v>N/A</v>
      </c>
      <c r="F445" s="74"/>
      <c r="G445" s="424"/>
      <c r="H445" s="424"/>
      <c r="I445" s="526"/>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row>
    <row r="446" spans="3:34" x14ac:dyDescent="0.2">
      <c r="C446" s="1452" t="s">
        <v>2277</v>
      </c>
      <c r="D446" s="1452"/>
      <c r="E446" s="705" t="str">
        <f>IF(OR(E437=0,E437="N/A"),"N/A",INDEX($C448:$AH460,MATCH("Ending Principal Balance",$C448:$C460,0),MATCH($E440,$C448:$AH448,0)))</f>
        <v>N/A</v>
      </c>
      <c r="F446" s="74"/>
      <c r="G446" s="74"/>
      <c r="H446" s="74" t="s">
        <v>2278</v>
      </c>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row>
    <row r="447" spans="3:34" ht="15" x14ac:dyDescent="0.2">
      <c r="C447" s="345"/>
      <c r="D447" s="345"/>
      <c r="E447" s="345"/>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row>
    <row r="448" spans="3:34" ht="15" x14ac:dyDescent="0.2">
      <c r="C448" s="309"/>
      <c r="D448" s="309"/>
      <c r="E448" s="310">
        <v>1</v>
      </c>
      <c r="F448" s="310">
        <f>E448+1</f>
        <v>2</v>
      </c>
      <c r="G448" s="310">
        <f t="shared" ref="G448" si="2384">F448+1</f>
        <v>3</v>
      </c>
      <c r="H448" s="310">
        <f t="shared" ref="H448" si="2385">G448+1</f>
        <v>4</v>
      </c>
      <c r="I448" s="310">
        <f t="shared" ref="I448" si="2386">H448+1</f>
        <v>5</v>
      </c>
      <c r="J448" s="310">
        <f t="shared" ref="J448" si="2387">I448+1</f>
        <v>6</v>
      </c>
      <c r="K448" s="310">
        <f t="shared" ref="K448" si="2388">J448+1</f>
        <v>7</v>
      </c>
      <c r="L448" s="310">
        <f t="shared" ref="L448" si="2389">K448+1</f>
        <v>8</v>
      </c>
      <c r="M448" s="310">
        <f t="shared" ref="M448" si="2390">L448+1</f>
        <v>9</v>
      </c>
      <c r="N448" s="310">
        <f t="shared" ref="N448" si="2391">M448+1</f>
        <v>10</v>
      </c>
      <c r="O448" s="310">
        <f t="shared" ref="O448" si="2392">N448+1</f>
        <v>11</v>
      </c>
      <c r="P448" s="310">
        <f t="shared" ref="P448" si="2393">O448+1</f>
        <v>12</v>
      </c>
      <c r="Q448" s="310">
        <f t="shared" ref="Q448" si="2394">P448+1</f>
        <v>13</v>
      </c>
      <c r="R448" s="310">
        <f t="shared" ref="R448" si="2395">Q448+1</f>
        <v>14</v>
      </c>
      <c r="S448" s="448">
        <f t="shared" ref="S448" si="2396">R448+1</f>
        <v>15</v>
      </c>
      <c r="T448" s="428">
        <f t="shared" ref="T448" si="2397">S448+1</f>
        <v>16</v>
      </c>
      <c r="U448" s="310">
        <f t="shared" ref="U448" si="2398">T448+1</f>
        <v>17</v>
      </c>
      <c r="V448" s="310">
        <f t="shared" ref="V448" si="2399">U448+1</f>
        <v>18</v>
      </c>
      <c r="W448" s="310">
        <f t="shared" ref="W448" si="2400">V448+1</f>
        <v>19</v>
      </c>
      <c r="X448" s="310">
        <f t="shared" ref="X448" si="2401">W448+1</f>
        <v>20</v>
      </c>
      <c r="Y448" s="310">
        <f t="shared" ref="Y448" si="2402">X448+1</f>
        <v>21</v>
      </c>
      <c r="Z448" s="310">
        <f t="shared" ref="Z448" si="2403">Y448+1</f>
        <v>22</v>
      </c>
      <c r="AA448" s="310">
        <f t="shared" ref="AA448" si="2404">Z448+1</f>
        <v>23</v>
      </c>
      <c r="AB448" s="310">
        <f t="shared" ref="AB448" si="2405">AA448+1</f>
        <v>24</v>
      </c>
      <c r="AC448" s="310">
        <f t="shared" ref="AC448" si="2406">AB448+1</f>
        <v>25</v>
      </c>
      <c r="AD448" s="310">
        <f t="shared" ref="AD448" si="2407">AC448+1</f>
        <v>26</v>
      </c>
      <c r="AE448" s="310">
        <f t="shared" ref="AE448" si="2408">AD448+1</f>
        <v>27</v>
      </c>
      <c r="AF448" s="310">
        <f t="shared" ref="AF448" si="2409">AE448+1</f>
        <v>28</v>
      </c>
      <c r="AG448" s="310">
        <f t="shared" ref="AG448" si="2410">AF448+1</f>
        <v>29</v>
      </c>
      <c r="AH448" s="310">
        <f t="shared" ref="AH448" si="2411">AG448+1</f>
        <v>30</v>
      </c>
    </row>
    <row r="449" spans="3:34" ht="15" x14ac:dyDescent="0.2">
      <c r="C449" s="309"/>
      <c r="D449" s="309"/>
      <c r="E449" s="314" t="str">
        <f>IF(Details!$E$171="","",Details!$E$171)</f>
        <v/>
      </c>
      <c r="F449" s="314" t="str">
        <f>IF($E$7="","",E$7+1)</f>
        <v/>
      </c>
      <c r="G449" s="314" t="str">
        <f t="shared" ref="G449" si="2412">IF($E$7="","",F$7+1)</f>
        <v/>
      </c>
      <c r="H449" s="314" t="str">
        <f t="shared" ref="H449" si="2413">IF($E$7="","",G$7+1)</f>
        <v/>
      </c>
      <c r="I449" s="314" t="str">
        <f t="shared" ref="I449" si="2414">IF($E$7="","",H$7+1)</f>
        <v/>
      </c>
      <c r="J449" s="314" t="str">
        <f t="shared" ref="J449" si="2415">IF($E$7="","",I$7+1)</f>
        <v/>
      </c>
      <c r="K449" s="314" t="str">
        <f t="shared" ref="K449" si="2416">IF($E$7="","",J$7+1)</f>
        <v/>
      </c>
      <c r="L449" s="314" t="str">
        <f t="shared" ref="L449" si="2417">IF($E$7="","",K$7+1)</f>
        <v/>
      </c>
      <c r="M449" s="314" t="str">
        <f t="shared" ref="M449" si="2418">IF($E$7="","",L$7+1)</f>
        <v/>
      </c>
      <c r="N449" s="314" t="str">
        <f t="shared" ref="N449" si="2419">IF($E$7="","",M$7+1)</f>
        <v/>
      </c>
      <c r="O449" s="314" t="str">
        <f t="shared" ref="O449" si="2420">IF($E$7="","",N$7+1)</f>
        <v/>
      </c>
      <c r="P449" s="314" t="str">
        <f t="shared" ref="P449" si="2421">IF($E$7="","",O$7+1)</f>
        <v/>
      </c>
      <c r="Q449" s="314" t="str">
        <f t="shared" ref="Q449" si="2422">IF($E$7="","",P$7+1)</f>
        <v/>
      </c>
      <c r="R449" s="314" t="str">
        <f t="shared" ref="R449" si="2423">IF($E$7="","",Q$7+1)</f>
        <v/>
      </c>
      <c r="S449" s="440" t="str">
        <f t="shared" ref="S449" si="2424">IF($E$7="","",R$7+1)</f>
        <v/>
      </c>
      <c r="T449" s="433" t="str">
        <f t="shared" ref="T449" si="2425">IF($E$7="","",S$7+1)</f>
        <v/>
      </c>
      <c r="U449" s="314" t="str">
        <f t="shared" ref="U449" si="2426">IF($E$7="","",T$7+1)</f>
        <v/>
      </c>
      <c r="V449" s="314" t="str">
        <f t="shared" ref="V449" si="2427">IF($E$7="","",U$7+1)</f>
        <v/>
      </c>
      <c r="W449" s="314" t="str">
        <f t="shared" ref="W449" si="2428">IF($E$7="","",V$7+1)</f>
        <v/>
      </c>
      <c r="X449" s="314" t="str">
        <f t="shared" ref="X449" si="2429">IF($E$7="","",W$7+1)</f>
        <v/>
      </c>
      <c r="Y449" s="314" t="str">
        <f t="shared" ref="Y449" si="2430">IF($E$7="","",X$7+1)</f>
        <v/>
      </c>
      <c r="Z449" s="314" t="str">
        <f t="shared" ref="Z449" si="2431">IF($E$7="","",Y$7+1)</f>
        <v/>
      </c>
      <c r="AA449" s="314" t="str">
        <f t="shared" ref="AA449" si="2432">IF($E$7="","",Z$7+1)</f>
        <v/>
      </c>
      <c r="AB449" s="314" t="str">
        <f t="shared" ref="AB449" si="2433">IF($E$7="","",AA$7+1)</f>
        <v/>
      </c>
      <c r="AC449" s="314" t="str">
        <f t="shared" ref="AC449" si="2434">IF($E$7="","",AB$7+1)</f>
        <v/>
      </c>
      <c r="AD449" s="314" t="str">
        <f t="shared" ref="AD449" si="2435">IF($E$7="","",AC$7+1)</f>
        <v/>
      </c>
      <c r="AE449" s="314" t="str">
        <f t="shared" ref="AE449" si="2436">IF($E$7="","",AD$7+1)</f>
        <v/>
      </c>
      <c r="AF449" s="314" t="str">
        <f t="shared" ref="AF449" si="2437">IF($E$7="","",AE$7+1)</f>
        <v/>
      </c>
      <c r="AG449" s="314" t="str">
        <f t="shared" ref="AG449" si="2438">IF($E$7="","",AF$7+1)</f>
        <v/>
      </c>
      <c r="AH449" s="314" t="str">
        <f t="shared" ref="AH449" si="2439">IF($E$7="","",AG$7+1)</f>
        <v/>
      </c>
    </row>
    <row r="450" spans="3:34" x14ac:dyDescent="0.2">
      <c r="C450" s="1168" t="s">
        <v>2254</v>
      </c>
      <c r="D450" s="1169"/>
      <c r="E450" s="109">
        <f>E415-E424-E428</f>
        <v>0</v>
      </c>
      <c r="F450" s="109">
        <f t="shared" ref="F450:AH450" si="2440">F415-F424-F428</f>
        <v>0</v>
      </c>
      <c r="G450" s="109">
        <f t="shared" si="2440"/>
        <v>0</v>
      </c>
      <c r="H450" s="109">
        <f t="shared" si="2440"/>
        <v>0</v>
      </c>
      <c r="I450" s="109">
        <f t="shared" si="2440"/>
        <v>0</v>
      </c>
      <c r="J450" s="109">
        <f t="shared" si="2440"/>
        <v>0</v>
      </c>
      <c r="K450" s="109">
        <f t="shared" si="2440"/>
        <v>0</v>
      </c>
      <c r="L450" s="109">
        <f t="shared" si="2440"/>
        <v>0</v>
      </c>
      <c r="M450" s="109">
        <f t="shared" si="2440"/>
        <v>0</v>
      </c>
      <c r="N450" s="109">
        <f t="shared" si="2440"/>
        <v>0</v>
      </c>
      <c r="O450" s="109">
        <f t="shared" si="2440"/>
        <v>0</v>
      </c>
      <c r="P450" s="109">
        <f t="shared" si="2440"/>
        <v>0</v>
      </c>
      <c r="Q450" s="109">
        <f t="shared" si="2440"/>
        <v>0</v>
      </c>
      <c r="R450" s="109">
        <f t="shared" si="2440"/>
        <v>0</v>
      </c>
      <c r="S450" s="331">
        <f t="shared" si="2440"/>
        <v>0</v>
      </c>
      <c r="T450" s="228">
        <f t="shared" si="2440"/>
        <v>0</v>
      </c>
      <c r="U450" s="109">
        <f t="shared" si="2440"/>
        <v>0</v>
      </c>
      <c r="V450" s="109">
        <f t="shared" si="2440"/>
        <v>0</v>
      </c>
      <c r="W450" s="109">
        <f t="shared" si="2440"/>
        <v>0</v>
      </c>
      <c r="X450" s="109">
        <f t="shared" si="2440"/>
        <v>0</v>
      </c>
      <c r="Y450" s="109">
        <f t="shared" si="2440"/>
        <v>0</v>
      </c>
      <c r="Z450" s="109">
        <f t="shared" si="2440"/>
        <v>0</v>
      </c>
      <c r="AA450" s="109">
        <f t="shared" si="2440"/>
        <v>0</v>
      </c>
      <c r="AB450" s="109">
        <f t="shared" si="2440"/>
        <v>0</v>
      </c>
      <c r="AC450" s="109">
        <f t="shared" si="2440"/>
        <v>0</v>
      </c>
      <c r="AD450" s="109">
        <f t="shared" si="2440"/>
        <v>0</v>
      </c>
      <c r="AE450" s="109">
        <f t="shared" si="2440"/>
        <v>0</v>
      </c>
      <c r="AF450" s="109">
        <f t="shared" si="2440"/>
        <v>0</v>
      </c>
      <c r="AG450" s="109">
        <f t="shared" si="2440"/>
        <v>0</v>
      </c>
      <c r="AH450" s="109">
        <f t="shared" si="2440"/>
        <v>0</v>
      </c>
    </row>
    <row r="451" spans="3:34" ht="15" x14ac:dyDescent="0.2">
      <c r="C451" s="345"/>
      <c r="D451" s="345"/>
      <c r="E451" s="345"/>
      <c r="F451" s="74"/>
      <c r="G451" s="74"/>
      <c r="H451" s="74"/>
      <c r="I451" s="74"/>
      <c r="J451" s="74"/>
      <c r="K451" s="74"/>
      <c r="L451" s="74"/>
      <c r="M451" s="74"/>
      <c r="N451" s="74"/>
      <c r="O451" s="74"/>
      <c r="P451" s="74"/>
      <c r="Q451" s="74"/>
      <c r="R451" s="74"/>
      <c r="S451" s="333"/>
      <c r="T451" s="74"/>
      <c r="U451" s="74"/>
      <c r="V451" s="74"/>
      <c r="W451" s="74"/>
      <c r="X451" s="74"/>
      <c r="Y451" s="74"/>
      <c r="Z451" s="74"/>
      <c r="AA451" s="74"/>
      <c r="AB451" s="74"/>
      <c r="AC451" s="74"/>
      <c r="AD451" s="74"/>
      <c r="AE451" s="74"/>
      <c r="AF451" s="74"/>
      <c r="AG451" s="74"/>
      <c r="AH451" s="74"/>
    </row>
    <row r="452" spans="3:34" ht="15" x14ac:dyDescent="0.2">
      <c r="C452" s="432" t="s">
        <v>2286</v>
      </c>
      <c r="D452" s="345"/>
      <c r="E452" s="345"/>
      <c r="F452" s="74"/>
      <c r="G452" s="74"/>
      <c r="H452" s="74"/>
      <c r="I452" s="74"/>
      <c r="J452" s="74"/>
      <c r="K452" s="74"/>
      <c r="L452" s="74"/>
      <c r="M452" s="74"/>
      <c r="N452" s="74"/>
      <c r="O452" s="74"/>
      <c r="P452" s="74"/>
      <c r="Q452" s="74"/>
      <c r="R452" s="74"/>
      <c r="S452" s="333"/>
      <c r="T452" s="74"/>
      <c r="U452" s="74"/>
      <c r="V452" s="74"/>
      <c r="W452" s="74"/>
      <c r="X452" s="74"/>
      <c r="Y452" s="74"/>
      <c r="Z452" s="74"/>
      <c r="AA452" s="74"/>
      <c r="AB452" s="74"/>
      <c r="AC452" s="74"/>
      <c r="AD452" s="74"/>
      <c r="AE452" s="74"/>
      <c r="AF452" s="74"/>
      <c r="AG452" s="74"/>
      <c r="AH452" s="74"/>
    </row>
    <row r="453" spans="3:34" ht="15" thickBot="1" x14ac:dyDescent="0.25">
      <c r="C453" s="1453" t="s">
        <v>2285</v>
      </c>
      <c r="D453" s="1453"/>
      <c r="E453" s="423">
        <f>IF(OR($E437="N/A",$E437=0),0,IF($E443="Yes",(E450*$E442*$E444),E450*$E442))</f>
        <v>0</v>
      </c>
      <c r="F453" s="423">
        <f t="shared" ref="F453:AH453" si="2441">IF(OR($E437="N/A",$E437=0),0,IF($E443="Yes",(F450*$E442*$E444),F450*$E442))</f>
        <v>0</v>
      </c>
      <c r="G453" s="423">
        <f t="shared" si="2441"/>
        <v>0</v>
      </c>
      <c r="H453" s="423">
        <f t="shared" si="2441"/>
        <v>0</v>
      </c>
      <c r="I453" s="423">
        <f t="shared" si="2441"/>
        <v>0</v>
      </c>
      <c r="J453" s="423">
        <f t="shared" si="2441"/>
        <v>0</v>
      </c>
      <c r="K453" s="423">
        <f t="shared" si="2441"/>
        <v>0</v>
      </c>
      <c r="L453" s="423">
        <f t="shared" si="2441"/>
        <v>0</v>
      </c>
      <c r="M453" s="423">
        <f t="shared" si="2441"/>
        <v>0</v>
      </c>
      <c r="N453" s="423">
        <f t="shared" si="2441"/>
        <v>0</v>
      </c>
      <c r="O453" s="423">
        <f t="shared" si="2441"/>
        <v>0</v>
      </c>
      <c r="P453" s="423">
        <f t="shared" si="2441"/>
        <v>0</v>
      </c>
      <c r="Q453" s="423">
        <f t="shared" si="2441"/>
        <v>0</v>
      </c>
      <c r="R453" s="423">
        <f t="shared" si="2441"/>
        <v>0</v>
      </c>
      <c r="S453" s="441">
        <f t="shared" si="2441"/>
        <v>0</v>
      </c>
      <c r="T453" s="434">
        <f t="shared" si="2441"/>
        <v>0</v>
      </c>
      <c r="U453" s="423">
        <f t="shared" si="2441"/>
        <v>0</v>
      </c>
      <c r="V453" s="423">
        <f t="shared" si="2441"/>
        <v>0</v>
      </c>
      <c r="W453" s="423">
        <f t="shared" si="2441"/>
        <v>0</v>
      </c>
      <c r="X453" s="423">
        <f t="shared" si="2441"/>
        <v>0</v>
      </c>
      <c r="Y453" s="423">
        <f t="shared" si="2441"/>
        <v>0</v>
      </c>
      <c r="Z453" s="423">
        <f t="shared" si="2441"/>
        <v>0</v>
      </c>
      <c r="AA453" s="423">
        <f t="shared" si="2441"/>
        <v>0</v>
      </c>
      <c r="AB453" s="423">
        <f t="shared" si="2441"/>
        <v>0</v>
      </c>
      <c r="AC453" s="423">
        <f t="shared" si="2441"/>
        <v>0</v>
      </c>
      <c r="AD453" s="423">
        <f t="shared" si="2441"/>
        <v>0</v>
      </c>
      <c r="AE453" s="423">
        <f t="shared" si="2441"/>
        <v>0</v>
      </c>
      <c r="AF453" s="423">
        <f t="shared" si="2441"/>
        <v>0</v>
      </c>
      <c r="AG453" s="423">
        <f t="shared" si="2441"/>
        <v>0</v>
      </c>
      <c r="AH453" s="423">
        <f t="shared" si="2441"/>
        <v>0</v>
      </c>
    </row>
    <row r="454" spans="3:34" ht="15" thickTop="1" x14ac:dyDescent="0.2">
      <c r="C454" s="1449" t="s">
        <v>2189</v>
      </c>
      <c r="D454" s="1449"/>
      <c r="E454" s="316">
        <f>IF(OR($E437="N/A",E448&gt;$E440,E448&lt;$E441),0,MAX(0,E437))</f>
        <v>0</v>
      </c>
      <c r="F454" s="316">
        <f t="shared" ref="F454" si="2442">IF(OR($E437="N/A",F448&gt;$E440),0,IF(F448=$E441,$E437,MAX(E460,0)))</f>
        <v>0</v>
      </c>
      <c r="G454" s="316">
        <f t="shared" ref="G454" si="2443">IF(OR($E437="N/A",G448&gt;$E440),0,IF(G448=$E441,$E437,MAX(F460,0)))</f>
        <v>0</v>
      </c>
      <c r="H454" s="316">
        <f t="shared" ref="H454" si="2444">IF(OR($E437="N/A",H448&gt;$E440),0,IF(H448=$E441,$E437,MAX(G460,0)))</f>
        <v>0</v>
      </c>
      <c r="I454" s="316">
        <f t="shared" ref="I454" si="2445">IF(OR($E437="N/A",I448&gt;$E440),0,IF(I448=$E441,$E437,MAX(H460,0)))</f>
        <v>0</v>
      </c>
      <c r="J454" s="316">
        <f t="shared" ref="J454" si="2446">IF(OR($E437="N/A",J448&gt;$E440),0,IF(J448=$E441,$E437,MAX(I460,0)))</f>
        <v>0</v>
      </c>
      <c r="K454" s="316">
        <f t="shared" ref="K454" si="2447">IF(OR($E437="N/A",K448&gt;$E440),0,IF(K448=$E441,$E437,MAX(J460,0)))</f>
        <v>0</v>
      </c>
      <c r="L454" s="316">
        <f t="shared" ref="L454" si="2448">IF(OR($E437="N/A",L448&gt;$E440),0,IF(L448=$E441,$E437,MAX(K460,0)))</f>
        <v>0</v>
      </c>
      <c r="M454" s="316">
        <f t="shared" ref="M454" si="2449">IF(OR($E437="N/A",M448&gt;$E440),0,IF(M448=$E441,$E437,MAX(L460,0)))</f>
        <v>0</v>
      </c>
      <c r="N454" s="316">
        <f t="shared" ref="N454" si="2450">IF(OR($E437="N/A",N448&gt;$E440),0,IF(N448=$E441,$E437,MAX(M460,0)))</f>
        <v>0</v>
      </c>
      <c r="O454" s="316">
        <f t="shared" ref="O454" si="2451">IF(OR($E437="N/A",O448&gt;$E440),0,IF(O448=$E441,$E437,MAX(N460,0)))</f>
        <v>0</v>
      </c>
      <c r="P454" s="316">
        <f t="shared" ref="P454" si="2452">IF(OR($E437="N/A",P448&gt;$E440),0,IF(P448=$E441,$E437,MAX(O460,0)))</f>
        <v>0</v>
      </c>
      <c r="Q454" s="316">
        <f t="shared" ref="Q454" si="2453">IF(OR($E437="N/A",Q448&gt;$E440),0,IF(Q448=$E441,$E437,MAX(P460,0)))</f>
        <v>0</v>
      </c>
      <c r="R454" s="316">
        <f t="shared" ref="R454" si="2454">IF(OR($E437="N/A",R448&gt;$E440),0,IF(R448=$E441,$E437,MAX(Q460,0)))</f>
        <v>0</v>
      </c>
      <c r="S454" s="332">
        <f t="shared" ref="S454" si="2455">IF(OR($E437="N/A",S448&gt;$E440),0,IF(S448=$E441,$E437,MAX(R460,0)))</f>
        <v>0</v>
      </c>
      <c r="T454" s="429">
        <f t="shared" ref="T454" si="2456">IF(OR($E437="N/A",T448&gt;$E440),0,IF(T448=$E441,$E437,MAX(S460,0)))</f>
        <v>0</v>
      </c>
      <c r="U454" s="316">
        <f t="shared" ref="U454" si="2457">IF(OR($E437="N/A",U448&gt;$E440),0,IF(U448=$E441,$E437,MAX(T460,0)))</f>
        <v>0</v>
      </c>
      <c r="V454" s="316">
        <f t="shared" ref="V454" si="2458">IF(OR($E437="N/A",V448&gt;$E440),0,IF(V448=$E441,$E437,MAX(U460,0)))</f>
        <v>0</v>
      </c>
      <c r="W454" s="316">
        <f t="shared" ref="W454" si="2459">IF(OR($E437="N/A",W448&gt;$E440),0,IF(W448=$E441,$E437,MAX(V460,0)))</f>
        <v>0</v>
      </c>
      <c r="X454" s="316">
        <f t="shared" ref="X454" si="2460">IF(OR($E437="N/A",X448&gt;$E440),0,IF(X448=$E441,$E437,MAX(W460,0)))</f>
        <v>0</v>
      </c>
      <c r="Y454" s="316">
        <f t="shared" ref="Y454" si="2461">IF(OR($E437="N/A",Y448&gt;$E440),0,IF(Y448=$E441,$E437,MAX(X460,0)))</f>
        <v>0</v>
      </c>
      <c r="Z454" s="316">
        <f t="shared" ref="Z454" si="2462">IF(OR($E437="N/A",Z448&gt;$E440),0,IF(Z448=$E441,$E437,MAX(Y460,0)))</f>
        <v>0</v>
      </c>
      <c r="AA454" s="316">
        <f t="shared" ref="AA454" si="2463">IF(OR($E437="N/A",AA448&gt;$E440),0,IF(AA448=$E441,$E437,MAX(Z460,0)))</f>
        <v>0</v>
      </c>
      <c r="AB454" s="316">
        <f t="shared" ref="AB454" si="2464">IF(OR($E437="N/A",AB448&gt;$E440),0,IF(AB448=$E441,$E437,MAX(AA460,0)))</f>
        <v>0</v>
      </c>
      <c r="AC454" s="316">
        <f t="shared" ref="AC454" si="2465">IF(OR($E437="N/A",AC448&gt;$E440),0,IF(AC448=$E441,$E437,MAX(AB460,0)))</f>
        <v>0</v>
      </c>
      <c r="AD454" s="316">
        <f t="shared" ref="AD454" si="2466">IF(OR($E437="N/A",AD448&gt;$E440),0,IF(AD448=$E441,$E437,MAX(AC460,0)))</f>
        <v>0</v>
      </c>
      <c r="AE454" s="316">
        <f t="shared" ref="AE454" si="2467">IF(OR($E437="N/A",AE448&gt;$E440),0,IF(AE448=$E441,$E437,MAX(AD460,0)))</f>
        <v>0</v>
      </c>
      <c r="AF454" s="316">
        <f t="shared" ref="AF454" si="2468">IF(OR($E437="N/A",AF448&gt;$E440),0,IF(AF448=$E441,$E437,MAX(AE460,0)))</f>
        <v>0</v>
      </c>
      <c r="AG454" s="316">
        <f t="shared" ref="AG454" si="2469">IF(OR($E437="N/A",AG448&gt;$E440),0,IF(AG448=$E441,$E437,MAX(AF460,0)))</f>
        <v>0</v>
      </c>
      <c r="AH454" s="316">
        <f t="shared" ref="AH454" si="2470">IF(OR($E437="N/A",AH448&gt;$E440),0,IF(AH448=$E441,$E437,MAX(AG460,0)))</f>
        <v>0</v>
      </c>
    </row>
    <row r="455" spans="3:34" x14ac:dyDescent="0.2">
      <c r="C455" s="1181" t="s">
        <v>2186</v>
      </c>
      <c r="D455" s="1181"/>
      <c r="E455" s="109">
        <f t="shared" ref="E455:AH455" si="2471">IF(OR($E437="N/A",E448&gt;$E440,E448&lt;$E441),0,E454*$E438)</f>
        <v>0</v>
      </c>
      <c r="F455" s="109">
        <f t="shared" si="2471"/>
        <v>0</v>
      </c>
      <c r="G455" s="109">
        <f t="shared" si="2471"/>
        <v>0</v>
      </c>
      <c r="H455" s="109">
        <f t="shared" si="2471"/>
        <v>0</v>
      </c>
      <c r="I455" s="109">
        <f t="shared" si="2471"/>
        <v>0</v>
      </c>
      <c r="J455" s="109">
        <f t="shared" si="2471"/>
        <v>0</v>
      </c>
      <c r="K455" s="109">
        <f t="shared" si="2471"/>
        <v>0</v>
      </c>
      <c r="L455" s="109">
        <f t="shared" si="2471"/>
        <v>0</v>
      </c>
      <c r="M455" s="109">
        <f t="shared" si="2471"/>
        <v>0</v>
      </c>
      <c r="N455" s="109">
        <f t="shared" si="2471"/>
        <v>0</v>
      </c>
      <c r="O455" s="109">
        <f t="shared" si="2471"/>
        <v>0</v>
      </c>
      <c r="P455" s="109">
        <f t="shared" si="2471"/>
        <v>0</v>
      </c>
      <c r="Q455" s="109">
        <f t="shared" si="2471"/>
        <v>0</v>
      </c>
      <c r="R455" s="109">
        <f t="shared" si="2471"/>
        <v>0</v>
      </c>
      <c r="S455" s="331">
        <f t="shared" si="2471"/>
        <v>0</v>
      </c>
      <c r="T455" s="228">
        <f t="shared" si="2471"/>
        <v>0</v>
      </c>
      <c r="U455" s="109">
        <f t="shared" si="2471"/>
        <v>0</v>
      </c>
      <c r="V455" s="109">
        <f t="shared" si="2471"/>
        <v>0</v>
      </c>
      <c r="W455" s="109">
        <f t="shared" si="2471"/>
        <v>0</v>
      </c>
      <c r="X455" s="109">
        <f t="shared" si="2471"/>
        <v>0</v>
      </c>
      <c r="Y455" s="109">
        <f t="shared" si="2471"/>
        <v>0</v>
      </c>
      <c r="Z455" s="109">
        <f t="shared" si="2471"/>
        <v>0</v>
      </c>
      <c r="AA455" s="109">
        <f t="shared" si="2471"/>
        <v>0</v>
      </c>
      <c r="AB455" s="109">
        <f t="shared" si="2471"/>
        <v>0</v>
      </c>
      <c r="AC455" s="109">
        <f t="shared" si="2471"/>
        <v>0</v>
      </c>
      <c r="AD455" s="109">
        <f t="shared" si="2471"/>
        <v>0</v>
      </c>
      <c r="AE455" s="109">
        <f t="shared" si="2471"/>
        <v>0</v>
      </c>
      <c r="AF455" s="109">
        <f t="shared" si="2471"/>
        <v>0</v>
      </c>
      <c r="AG455" s="109">
        <f t="shared" si="2471"/>
        <v>0</v>
      </c>
      <c r="AH455" s="109">
        <f t="shared" si="2471"/>
        <v>0</v>
      </c>
    </row>
    <row r="456" spans="3:34" x14ac:dyDescent="0.2">
      <c r="C456" s="1181" t="s">
        <v>2270</v>
      </c>
      <c r="D456" s="1181"/>
      <c r="E456" s="346">
        <f t="shared" ref="E456:AH456" si="2472">IF(OR($E437="N/A",E448&gt;$E440,E448&lt;$E441),0,MAX(0,MIN(E455,E453)))</f>
        <v>0</v>
      </c>
      <c r="F456" s="346">
        <f t="shared" si="2472"/>
        <v>0</v>
      </c>
      <c r="G456" s="346">
        <f t="shared" si="2472"/>
        <v>0</v>
      </c>
      <c r="H456" s="346">
        <f t="shared" si="2472"/>
        <v>0</v>
      </c>
      <c r="I456" s="346">
        <f t="shared" si="2472"/>
        <v>0</v>
      </c>
      <c r="J456" s="346">
        <f t="shared" si="2472"/>
        <v>0</v>
      </c>
      <c r="K456" s="346">
        <f t="shared" si="2472"/>
        <v>0</v>
      </c>
      <c r="L456" s="346">
        <f t="shared" si="2472"/>
        <v>0</v>
      </c>
      <c r="M456" s="346">
        <f t="shared" si="2472"/>
        <v>0</v>
      </c>
      <c r="N456" s="346">
        <f t="shared" si="2472"/>
        <v>0</v>
      </c>
      <c r="O456" s="346">
        <f t="shared" si="2472"/>
        <v>0</v>
      </c>
      <c r="P456" s="346">
        <f t="shared" si="2472"/>
        <v>0</v>
      </c>
      <c r="Q456" s="346">
        <f t="shared" si="2472"/>
        <v>0</v>
      </c>
      <c r="R456" s="346">
        <f t="shared" si="2472"/>
        <v>0</v>
      </c>
      <c r="S456" s="442">
        <f t="shared" si="2472"/>
        <v>0</v>
      </c>
      <c r="T456" s="435">
        <f t="shared" si="2472"/>
        <v>0</v>
      </c>
      <c r="U456" s="346">
        <f t="shared" si="2472"/>
        <v>0</v>
      </c>
      <c r="V456" s="346">
        <f t="shared" si="2472"/>
        <v>0</v>
      </c>
      <c r="W456" s="346">
        <f t="shared" si="2472"/>
        <v>0</v>
      </c>
      <c r="X456" s="346">
        <f t="shared" si="2472"/>
        <v>0</v>
      </c>
      <c r="Y456" s="346">
        <f t="shared" si="2472"/>
        <v>0</v>
      </c>
      <c r="Z456" s="346">
        <f t="shared" si="2472"/>
        <v>0</v>
      </c>
      <c r="AA456" s="346">
        <f t="shared" si="2472"/>
        <v>0</v>
      </c>
      <c r="AB456" s="346">
        <f t="shared" si="2472"/>
        <v>0</v>
      </c>
      <c r="AC456" s="346">
        <f t="shared" si="2472"/>
        <v>0</v>
      </c>
      <c r="AD456" s="346">
        <f t="shared" si="2472"/>
        <v>0</v>
      </c>
      <c r="AE456" s="346">
        <f t="shared" si="2472"/>
        <v>0</v>
      </c>
      <c r="AF456" s="346">
        <f t="shared" si="2472"/>
        <v>0</v>
      </c>
      <c r="AG456" s="346">
        <f t="shared" si="2472"/>
        <v>0</v>
      </c>
      <c r="AH456" s="346">
        <f t="shared" si="2472"/>
        <v>0</v>
      </c>
    </row>
    <row r="457" spans="3:34" x14ac:dyDescent="0.2">
      <c r="C457" s="1181" t="s">
        <v>2271</v>
      </c>
      <c r="D457" s="1181"/>
      <c r="E457" s="346">
        <f t="shared" ref="E457:AH457" si="2473">IF(OR($E437="N/A",E448&gt;$E440,E448&lt;$E441),0,E456-E455)</f>
        <v>0</v>
      </c>
      <c r="F457" s="346">
        <f t="shared" si="2473"/>
        <v>0</v>
      </c>
      <c r="G457" s="346">
        <f t="shared" si="2473"/>
        <v>0</v>
      </c>
      <c r="H457" s="346">
        <f t="shared" si="2473"/>
        <v>0</v>
      </c>
      <c r="I457" s="346">
        <f t="shared" si="2473"/>
        <v>0</v>
      </c>
      <c r="J457" s="346">
        <f t="shared" si="2473"/>
        <v>0</v>
      </c>
      <c r="K457" s="346">
        <f t="shared" si="2473"/>
        <v>0</v>
      </c>
      <c r="L457" s="346">
        <f t="shared" si="2473"/>
        <v>0</v>
      </c>
      <c r="M457" s="346">
        <f t="shared" si="2473"/>
        <v>0</v>
      </c>
      <c r="N457" s="346">
        <f t="shared" si="2473"/>
        <v>0</v>
      </c>
      <c r="O457" s="346">
        <f t="shared" si="2473"/>
        <v>0</v>
      </c>
      <c r="P457" s="346">
        <f t="shared" si="2473"/>
        <v>0</v>
      </c>
      <c r="Q457" s="346">
        <f t="shared" si="2473"/>
        <v>0</v>
      </c>
      <c r="R457" s="346">
        <f t="shared" si="2473"/>
        <v>0</v>
      </c>
      <c r="S457" s="442">
        <f t="shared" si="2473"/>
        <v>0</v>
      </c>
      <c r="T457" s="435">
        <f t="shared" si="2473"/>
        <v>0</v>
      </c>
      <c r="U457" s="346">
        <f t="shared" si="2473"/>
        <v>0</v>
      </c>
      <c r="V457" s="346">
        <f t="shared" si="2473"/>
        <v>0</v>
      </c>
      <c r="W457" s="346">
        <f t="shared" si="2473"/>
        <v>0</v>
      </c>
      <c r="X457" s="346">
        <f t="shared" si="2473"/>
        <v>0</v>
      </c>
      <c r="Y457" s="346">
        <f t="shared" si="2473"/>
        <v>0</v>
      </c>
      <c r="Z457" s="346">
        <f t="shared" si="2473"/>
        <v>0</v>
      </c>
      <c r="AA457" s="346">
        <f t="shared" si="2473"/>
        <v>0</v>
      </c>
      <c r="AB457" s="346">
        <f t="shared" si="2473"/>
        <v>0</v>
      </c>
      <c r="AC457" s="346">
        <f t="shared" si="2473"/>
        <v>0</v>
      </c>
      <c r="AD457" s="346">
        <f t="shared" si="2473"/>
        <v>0</v>
      </c>
      <c r="AE457" s="346">
        <f t="shared" si="2473"/>
        <v>0</v>
      </c>
      <c r="AF457" s="346">
        <f t="shared" si="2473"/>
        <v>0</v>
      </c>
      <c r="AG457" s="346">
        <f t="shared" si="2473"/>
        <v>0</v>
      </c>
      <c r="AH457" s="346">
        <f t="shared" si="2473"/>
        <v>0</v>
      </c>
    </row>
    <row r="458" spans="3:34" ht="15" thickBot="1" x14ac:dyDescent="0.25">
      <c r="C458" s="1448" t="s">
        <v>2272</v>
      </c>
      <c r="D458" s="1448"/>
      <c r="E458" s="411">
        <f>IF(OR($E437="N/A",E448&gt;$E440,E448&lt;$E441),0,MAX(0,MIN(E453-E456,E454)))</f>
        <v>0</v>
      </c>
      <c r="F458" s="411">
        <f>IF(OR($E437="N/A",F448&gt;$E440,F448&lt;$E441),0,MAX(0,MIN(F453-F456,F454)))</f>
        <v>0</v>
      </c>
      <c r="G458" s="411">
        <f t="shared" ref="G458:AH458" si="2474">IF(OR($E437="N/A",G448&gt;$E440,G448&lt;$E441),0,MAX(0,MIN(G453-G456,G454)))</f>
        <v>0</v>
      </c>
      <c r="H458" s="411">
        <f t="shared" si="2474"/>
        <v>0</v>
      </c>
      <c r="I458" s="411">
        <f t="shared" si="2474"/>
        <v>0</v>
      </c>
      <c r="J458" s="411">
        <f t="shared" si="2474"/>
        <v>0</v>
      </c>
      <c r="K458" s="411">
        <f t="shared" si="2474"/>
        <v>0</v>
      </c>
      <c r="L458" s="411">
        <f t="shared" si="2474"/>
        <v>0</v>
      </c>
      <c r="M458" s="411">
        <f t="shared" si="2474"/>
        <v>0</v>
      </c>
      <c r="N458" s="411">
        <f t="shared" si="2474"/>
        <v>0</v>
      </c>
      <c r="O458" s="411">
        <f t="shared" si="2474"/>
        <v>0</v>
      </c>
      <c r="P458" s="411">
        <f t="shared" si="2474"/>
        <v>0</v>
      </c>
      <c r="Q458" s="411">
        <f t="shared" si="2474"/>
        <v>0</v>
      </c>
      <c r="R458" s="411">
        <f t="shared" si="2474"/>
        <v>0</v>
      </c>
      <c r="S458" s="443">
        <f t="shared" si="2474"/>
        <v>0</v>
      </c>
      <c r="T458" s="431">
        <f t="shared" si="2474"/>
        <v>0</v>
      </c>
      <c r="U458" s="411">
        <f t="shared" si="2474"/>
        <v>0</v>
      </c>
      <c r="V458" s="411">
        <f t="shared" si="2474"/>
        <v>0</v>
      </c>
      <c r="W458" s="411">
        <f t="shared" si="2474"/>
        <v>0</v>
      </c>
      <c r="X458" s="411">
        <f t="shared" si="2474"/>
        <v>0</v>
      </c>
      <c r="Y458" s="411">
        <f t="shared" si="2474"/>
        <v>0</v>
      </c>
      <c r="Z458" s="411">
        <f t="shared" si="2474"/>
        <v>0</v>
      </c>
      <c r="AA458" s="411">
        <f t="shared" si="2474"/>
        <v>0</v>
      </c>
      <c r="AB458" s="411">
        <f t="shared" si="2474"/>
        <v>0</v>
      </c>
      <c r="AC458" s="411">
        <f t="shared" si="2474"/>
        <v>0</v>
      </c>
      <c r="AD458" s="411">
        <f t="shared" si="2474"/>
        <v>0</v>
      </c>
      <c r="AE458" s="411">
        <f t="shared" si="2474"/>
        <v>0</v>
      </c>
      <c r="AF458" s="411">
        <f t="shared" si="2474"/>
        <v>0</v>
      </c>
      <c r="AG458" s="411">
        <f t="shared" si="2474"/>
        <v>0</v>
      </c>
      <c r="AH458" s="411">
        <f t="shared" si="2474"/>
        <v>0</v>
      </c>
    </row>
    <row r="459" spans="3:34" ht="15" thickTop="1" x14ac:dyDescent="0.2">
      <c r="C459" s="1449" t="s">
        <v>2282</v>
      </c>
      <c r="D459" s="1449"/>
      <c r="E459" s="430">
        <f>SUM(E456,E458)</f>
        <v>0</v>
      </c>
      <c r="F459" s="430">
        <f>SUM(F456,F458)</f>
        <v>0</v>
      </c>
      <c r="G459" s="430">
        <f t="shared" ref="G459" si="2475">SUM(G456,G458)</f>
        <v>0</v>
      </c>
      <c r="H459" s="430">
        <f t="shared" ref="H459" si="2476">SUM(H456,H458)</f>
        <v>0</v>
      </c>
      <c r="I459" s="430">
        <f t="shared" ref="I459" si="2477">SUM(I456,I458)</f>
        <v>0</v>
      </c>
      <c r="J459" s="430">
        <f t="shared" ref="J459" si="2478">SUM(J456,J458)</f>
        <v>0</v>
      </c>
      <c r="K459" s="430">
        <f t="shared" ref="K459" si="2479">SUM(K456,K458)</f>
        <v>0</v>
      </c>
      <c r="L459" s="430">
        <f t="shared" ref="L459" si="2480">SUM(L456,L458)</f>
        <v>0</v>
      </c>
      <c r="M459" s="430">
        <f t="shared" ref="M459" si="2481">SUM(M456,M458)</f>
        <v>0</v>
      </c>
      <c r="N459" s="430">
        <f t="shared" ref="N459" si="2482">SUM(N456,N458)</f>
        <v>0</v>
      </c>
      <c r="O459" s="430">
        <f t="shared" ref="O459" si="2483">SUM(O456,O458)</f>
        <v>0</v>
      </c>
      <c r="P459" s="430">
        <f t="shared" ref="P459" si="2484">SUM(P456,P458)</f>
        <v>0</v>
      </c>
      <c r="Q459" s="430">
        <f t="shared" ref="Q459" si="2485">SUM(Q456,Q458)</f>
        <v>0</v>
      </c>
      <c r="R459" s="430">
        <f t="shared" ref="R459" si="2486">SUM(R456,R458)</f>
        <v>0</v>
      </c>
      <c r="S459" s="444">
        <f t="shared" ref="S459" si="2487">SUM(S456,S458)</f>
        <v>0</v>
      </c>
      <c r="T459" s="436">
        <f t="shared" ref="T459" si="2488">SUM(T456,T458)</f>
        <v>0</v>
      </c>
      <c r="U459" s="430">
        <f t="shared" ref="U459" si="2489">SUM(U456,U458)</f>
        <v>0</v>
      </c>
      <c r="V459" s="430">
        <f t="shared" ref="V459" si="2490">SUM(V456,V458)</f>
        <v>0</v>
      </c>
      <c r="W459" s="430">
        <f t="shared" ref="W459" si="2491">SUM(W456,W458)</f>
        <v>0</v>
      </c>
      <c r="X459" s="430">
        <f t="shared" ref="X459" si="2492">SUM(X456,X458)</f>
        <v>0</v>
      </c>
      <c r="Y459" s="430">
        <f t="shared" ref="Y459" si="2493">SUM(Y456,Y458)</f>
        <v>0</v>
      </c>
      <c r="Z459" s="430">
        <f t="shared" ref="Z459" si="2494">SUM(Z456,Z458)</f>
        <v>0</v>
      </c>
      <c r="AA459" s="430">
        <f t="shared" ref="AA459" si="2495">SUM(AA456,AA458)</f>
        <v>0</v>
      </c>
      <c r="AB459" s="430">
        <f t="shared" ref="AB459" si="2496">SUM(AB456,AB458)</f>
        <v>0</v>
      </c>
      <c r="AC459" s="430">
        <f t="shared" ref="AC459" si="2497">SUM(AC456,AC458)</f>
        <v>0</v>
      </c>
      <c r="AD459" s="430">
        <f t="shared" ref="AD459" si="2498">SUM(AD456,AD458)</f>
        <v>0</v>
      </c>
      <c r="AE459" s="430">
        <f t="shared" ref="AE459" si="2499">SUM(AE456,AE458)</f>
        <v>0</v>
      </c>
      <c r="AF459" s="430">
        <f t="shared" ref="AF459" si="2500">SUM(AF456,AF458)</f>
        <v>0</v>
      </c>
      <c r="AG459" s="430">
        <f t="shared" ref="AG459" si="2501">SUM(AG456,AG458)</f>
        <v>0</v>
      </c>
      <c r="AH459" s="430">
        <f t="shared" ref="AH459" si="2502">SUM(AH456,AH458)</f>
        <v>0</v>
      </c>
    </row>
    <row r="460" spans="3:34" x14ac:dyDescent="0.2">
      <c r="C460" s="1181" t="s">
        <v>2190</v>
      </c>
      <c r="D460" s="1181"/>
      <c r="E460" s="342">
        <f>IF(OR($E437="N/A",E448&gt;$E440,E448&lt;$E441),0,IF($E439="Compound",E454-E458-E457,MAX(0,E454-E458)))</f>
        <v>0</v>
      </c>
      <c r="F460" s="342">
        <f>IF(OR($E437="N/A",F448&gt;$E440,F448&lt;$E441),0,IF($E439="Compound",F454-F458-F457,MAX(0,F454-F458)))</f>
        <v>0</v>
      </c>
      <c r="G460" s="342">
        <f t="shared" ref="G460:AH460" si="2503">IF(OR($E437="N/A",G448&gt;$E440,G448&lt;$E441),0,IF($E439="Compound",G454-G458-G457,MAX(0,G454-G458)))</f>
        <v>0</v>
      </c>
      <c r="H460" s="342">
        <f t="shared" si="2503"/>
        <v>0</v>
      </c>
      <c r="I460" s="342">
        <f t="shared" si="2503"/>
        <v>0</v>
      </c>
      <c r="J460" s="342">
        <f t="shared" si="2503"/>
        <v>0</v>
      </c>
      <c r="K460" s="342">
        <f t="shared" si="2503"/>
        <v>0</v>
      </c>
      <c r="L460" s="342">
        <f t="shared" si="2503"/>
        <v>0</v>
      </c>
      <c r="M460" s="342">
        <f t="shared" si="2503"/>
        <v>0</v>
      </c>
      <c r="N460" s="342">
        <f t="shared" si="2503"/>
        <v>0</v>
      </c>
      <c r="O460" s="342">
        <f t="shared" si="2503"/>
        <v>0</v>
      </c>
      <c r="P460" s="342">
        <f t="shared" si="2503"/>
        <v>0</v>
      </c>
      <c r="Q460" s="342">
        <f t="shared" si="2503"/>
        <v>0</v>
      </c>
      <c r="R460" s="342">
        <f t="shared" si="2503"/>
        <v>0</v>
      </c>
      <c r="S460" s="445">
        <f t="shared" si="2503"/>
        <v>0</v>
      </c>
      <c r="T460" s="437">
        <f t="shared" si="2503"/>
        <v>0</v>
      </c>
      <c r="U460" s="342">
        <f t="shared" si="2503"/>
        <v>0</v>
      </c>
      <c r="V460" s="342">
        <f t="shared" si="2503"/>
        <v>0</v>
      </c>
      <c r="W460" s="342">
        <f t="shared" si="2503"/>
        <v>0</v>
      </c>
      <c r="X460" s="342">
        <f t="shared" si="2503"/>
        <v>0</v>
      </c>
      <c r="Y460" s="342">
        <f t="shared" si="2503"/>
        <v>0</v>
      </c>
      <c r="Z460" s="342">
        <f t="shared" si="2503"/>
        <v>0</v>
      </c>
      <c r="AA460" s="342">
        <f t="shared" si="2503"/>
        <v>0</v>
      </c>
      <c r="AB460" s="342">
        <f t="shared" si="2503"/>
        <v>0</v>
      </c>
      <c r="AC460" s="342">
        <f t="shared" si="2503"/>
        <v>0</v>
      </c>
      <c r="AD460" s="342">
        <f t="shared" si="2503"/>
        <v>0</v>
      </c>
      <c r="AE460" s="342">
        <f t="shared" si="2503"/>
        <v>0</v>
      </c>
      <c r="AF460" s="342">
        <f t="shared" si="2503"/>
        <v>0</v>
      </c>
      <c r="AG460" s="342">
        <f t="shared" si="2503"/>
        <v>0</v>
      </c>
      <c r="AH460" s="342">
        <f t="shared" si="2503"/>
        <v>0</v>
      </c>
    </row>
    <row r="461" spans="3:34" x14ac:dyDescent="0.2">
      <c r="C461" s="317"/>
      <c r="D461" s="317"/>
      <c r="E461" s="74"/>
      <c r="F461" s="74"/>
      <c r="G461" s="74"/>
      <c r="H461" s="74"/>
      <c r="I461" s="74"/>
      <c r="J461" s="74"/>
      <c r="K461" s="74"/>
      <c r="L461" s="74"/>
      <c r="M461" s="74"/>
      <c r="N461" s="74"/>
      <c r="O461" s="74"/>
      <c r="P461" s="74"/>
      <c r="Q461" s="74"/>
      <c r="R461" s="74"/>
      <c r="S461" s="333"/>
      <c r="T461" s="74"/>
      <c r="U461" s="74"/>
      <c r="V461" s="74"/>
      <c r="W461" s="74"/>
      <c r="X461" s="74"/>
      <c r="Y461" s="74"/>
      <c r="Z461" s="74"/>
      <c r="AA461" s="74"/>
      <c r="AB461" s="74"/>
      <c r="AC461" s="74"/>
      <c r="AD461" s="74"/>
      <c r="AE461" s="74"/>
      <c r="AF461" s="74"/>
      <c r="AG461" s="74"/>
      <c r="AH461" s="74"/>
    </row>
    <row r="462" spans="3:34" ht="15" x14ac:dyDescent="0.2">
      <c r="C462" s="432" t="s">
        <v>2287</v>
      </c>
      <c r="D462" s="317"/>
      <c r="E462" s="74"/>
      <c r="F462" s="74"/>
      <c r="G462" s="74"/>
      <c r="H462" s="74"/>
      <c r="I462" s="74"/>
      <c r="J462" s="74"/>
      <c r="K462" s="74"/>
      <c r="L462" s="74"/>
      <c r="M462" s="74"/>
      <c r="N462" s="74"/>
      <c r="O462" s="74"/>
      <c r="P462" s="74"/>
      <c r="Q462" s="74"/>
      <c r="R462" s="74"/>
      <c r="S462" s="333"/>
      <c r="T462" s="74"/>
      <c r="U462" s="74"/>
      <c r="V462" s="74"/>
      <c r="W462" s="74"/>
      <c r="X462" s="74"/>
      <c r="Y462" s="74"/>
      <c r="Z462" s="74"/>
      <c r="AA462" s="74"/>
      <c r="AB462" s="74"/>
      <c r="AC462" s="74"/>
      <c r="AD462" s="74"/>
      <c r="AE462" s="74"/>
      <c r="AF462" s="74"/>
      <c r="AG462" s="74"/>
      <c r="AH462" s="74"/>
    </row>
    <row r="463" spans="3:34" x14ac:dyDescent="0.2">
      <c r="C463" s="1234" t="s">
        <v>2273</v>
      </c>
      <c r="D463" s="1234"/>
      <c r="E463" s="421">
        <f>IF($I437="N/A",0,IF(E448&gt;$I442,0,MIN($I441,$I437*$I439)))</f>
        <v>0</v>
      </c>
      <c r="F463" s="236">
        <f t="shared" ref="F463" si="2504">IF($I437="N/A",0,IF(F448&gt;$I442,0,MIN($I441,$I437*$I439*(1+$I438)^E$63)))</f>
        <v>0</v>
      </c>
      <c r="G463" s="236">
        <f t="shared" ref="G463" si="2505">IF($I437="N/A",0,IF(G448&gt;$I442,0,MIN($I441,$I437*$I439*(1+$I438)^F$63)))</f>
        <v>0</v>
      </c>
      <c r="H463" s="236">
        <f t="shared" ref="H463" si="2506">IF($I437="N/A",0,IF(H448&gt;$I442,0,MIN($I441,$I437*$I439*(1+$I438)^G$63)))</f>
        <v>0</v>
      </c>
      <c r="I463" s="236">
        <f t="shared" ref="I463" si="2507">IF($I437="N/A",0,IF(I448&gt;$I442,0,MIN($I441,$I437*$I439*(1+$I438)^H$63)))</f>
        <v>0</v>
      </c>
      <c r="J463" s="236">
        <f t="shared" ref="J463" si="2508">IF($I437="N/A",0,IF(J448&gt;$I442,0,MIN($I441,$I437*$I439*(1+$I438)^I$63)))</f>
        <v>0</v>
      </c>
      <c r="K463" s="236">
        <f t="shared" ref="K463" si="2509">IF($I437="N/A",0,IF(K448&gt;$I442,0,MIN($I441,$I437*$I439*(1+$I438)^J$63)))</f>
        <v>0</v>
      </c>
      <c r="L463" s="236">
        <f t="shared" ref="L463" si="2510">IF($I437="N/A",0,IF(L448&gt;$I442,0,MIN($I441,$I437*$I439*(1+$I438)^K$63)))</f>
        <v>0</v>
      </c>
      <c r="M463" s="236">
        <f t="shared" ref="M463" si="2511">IF($I437="N/A",0,IF(M448&gt;$I442,0,MIN($I441,$I437*$I439*(1+$I438)^L$63)))</f>
        <v>0</v>
      </c>
      <c r="N463" s="236">
        <f t="shared" ref="N463" si="2512">IF($I437="N/A",0,IF(N448&gt;$I442,0,MIN($I441,$I437*$I439*(1+$I438)^M$63)))</f>
        <v>0</v>
      </c>
      <c r="O463" s="236">
        <f t="shared" ref="O463" si="2513">IF($I437="N/A",0,IF(O448&gt;$I442,0,MIN($I441,$I437*$I439*(1+$I438)^N$63)))</f>
        <v>0</v>
      </c>
      <c r="P463" s="236">
        <f t="shared" ref="P463" si="2514">IF($I437="N/A",0,IF(P448&gt;$I442,0,MIN($I441,$I437*$I439*(1+$I438)^O$63)))</f>
        <v>0</v>
      </c>
      <c r="Q463" s="236">
        <f t="shared" ref="Q463" si="2515">IF($I437="N/A",0,IF(Q448&gt;$I442,0,MIN($I441,$I437*$I439*(1+$I438)^P$63)))</f>
        <v>0</v>
      </c>
      <c r="R463" s="236">
        <f t="shared" ref="R463" si="2516">IF($I437="N/A",0,IF(R448&gt;$I442,0,MIN($I441,$I437*$I439*(1+$I438)^Q$63)))</f>
        <v>0</v>
      </c>
      <c r="S463" s="446">
        <f t="shared" ref="S463" si="2517">IF($I437="N/A",0,IF(S448&gt;$I442,0,MIN($I441,$I437*$I439*(1+$I438)^R$63)))</f>
        <v>0</v>
      </c>
      <c r="T463" s="438">
        <f t="shared" ref="T463" si="2518">IF($I437="N/A",0,IF(T448&gt;$I442,0,MIN($I441,$I437*$I439*(1+$I438)^S$63)))</f>
        <v>0</v>
      </c>
      <c r="U463" s="236">
        <f t="shared" ref="U463" si="2519">IF($I437="N/A",0,IF(U448&gt;$I442,0,MIN($I441,$I437*$I439*(1+$I438)^T$63)))</f>
        <v>0</v>
      </c>
      <c r="V463" s="236">
        <f t="shared" ref="V463" si="2520">IF($I437="N/A",0,IF(V448&gt;$I442,0,MIN($I441,$I437*$I439*(1+$I438)^U$63)))</f>
        <v>0</v>
      </c>
      <c r="W463" s="236">
        <f t="shared" ref="W463" si="2521">IF($I437="N/A",0,IF(W448&gt;$I442,0,MIN($I441,$I437*$I439*(1+$I438)^V$63)))</f>
        <v>0</v>
      </c>
      <c r="X463" s="236">
        <f t="shared" ref="X463" si="2522">IF($I437="N/A",0,IF(X448&gt;$I442,0,MIN($I441,$I437*$I439*(1+$I438)^W$63)))</f>
        <v>0</v>
      </c>
      <c r="Y463" s="236">
        <f t="shared" ref="Y463" si="2523">IF($I437="N/A",0,IF(Y448&gt;$I442,0,MIN($I441,$I437*$I439*(1+$I438)^X$63)))</f>
        <v>0</v>
      </c>
      <c r="Z463" s="236">
        <f t="shared" ref="Z463" si="2524">IF($I437="N/A",0,IF(Z448&gt;$I442,0,MIN($I441,$I437*$I439*(1+$I438)^Y$63)))</f>
        <v>0</v>
      </c>
      <c r="AA463" s="236">
        <f t="shared" ref="AA463" si="2525">IF($I437="N/A",0,IF(AA448&gt;$I442,0,MIN($I441,$I437*$I439*(1+$I438)^Z$63)))</f>
        <v>0</v>
      </c>
      <c r="AB463" s="236">
        <f t="shared" ref="AB463" si="2526">IF($I437="N/A",0,IF(AB448&gt;$I442,0,MIN($I441,$I437*$I439*(1+$I438)^AA$63)))</f>
        <v>0</v>
      </c>
      <c r="AC463" s="236">
        <f t="shared" ref="AC463" si="2527">IF($I437="N/A",0,IF(AC448&gt;$I442,0,MIN($I441,$I437*$I439*(1+$I438)^AB$63)))</f>
        <v>0</v>
      </c>
      <c r="AD463" s="236">
        <f t="shared" ref="AD463" si="2528">IF($I437="N/A",0,IF(AD448&gt;$I442,0,MIN($I441,$I437*$I439*(1+$I438)^AC$63)))</f>
        <v>0</v>
      </c>
      <c r="AE463" s="236">
        <f t="shared" ref="AE463" si="2529">IF($I437="N/A",0,IF(AE448&gt;$I442,0,MIN($I441,$I437*$I439*(1+$I438)^AD$63)))</f>
        <v>0</v>
      </c>
      <c r="AF463" s="236">
        <f t="shared" ref="AF463" si="2530">IF($I437="N/A",0,IF(AF448&gt;$I442,0,MIN($I441,$I437*$I439*(1+$I438)^AE$63)))</f>
        <v>0</v>
      </c>
      <c r="AG463" s="236">
        <f t="shared" ref="AG463" si="2531">IF($I437="N/A",0,IF(AG448&gt;$I442,0,MIN($I441,$I437*$I439*(1+$I438)^AF$63)))</f>
        <v>0</v>
      </c>
      <c r="AH463" s="236">
        <f t="shared" ref="AH463" si="2532">IF($I437="N/A",0,IF(AH448&gt;$I442,0,MIN($I441,$I437*$I439*(1+$I438)^AG$63)))</f>
        <v>0</v>
      </c>
    </row>
    <row r="464" spans="3:34" x14ac:dyDescent="0.2">
      <c r="C464" s="1450" t="s">
        <v>2274</v>
      </c>
      <c r="D464" s="1451"/>
      <c r="E464" s="422">
        <f>IF($I437="N/A",0,IF(E448&gt;$I442,0,MAX(0,MIN(E463,$I437*$I439,E450))))</f>
        <v>0</v>
      </c>
      <c r="F464" s="521">
        <f t="shared" ref="F464" si="2533">IF($I437="N/A",0,IF(F448&gt;$I442,0,IF($I440="Yes",MAX(0,MIN(F450*$I439,E466+F463,$I441)),MAX(0,MIN(F463,F450*$I439,$I441)))))</f>
        <v>0</v>
      </c>
      <c r="G464" s="521">
        <f t="shared" ref="G464" si="2534">IF($I437="N/A",0,IF(G448&gt;$I442,0,IF($I440="Yes",MAX(0,MIN(G450*$I439,F466+G463,$I441)),MAX(0,MIN(G463,G450*$I439,$I441)))))</f>
        <v>0</v>
      </c>
      <c r="H464" s="521">
        <f t="shared" ref="H464" si="2535">IF($I437="N/A",0,IF(H448&gt;$I442,0,IF($I440="Yes",MAX(0,MIN(H450*$I439,G466+H463,$I441)),MAX(0,MIN(H463,H450*$I439,$I441)))))</f>
        <v>0</v>
      </c>
      <c r="I464" s="521">
        <f t="shared" ref="I464" si="2536">IF($I437="N/A",0,IF(I448&gt;$I442,0,IF($I440="Yes",MAX(0,MIN(I450*$I439,H466+I463,$I441)),MAX(0,MIN(I463,I450*$I439,$I441)))))</f>
        <v>0</v>
      </c>
      <c r="J464" s="521">
        <f t="shared" ref="J464" si="2537">IF($I437="N/A",0,IF(J448&gt;$I442,0,IF($I440="Yes",MAX(0,MIN(J450*$I439,I466+J463,$I441)),MAX(0,MIN(J463,J450*$I439,$I441)))))</f>
        <v>0</v>
      </c>
      <c r="K464" s="521">
        <f t="shared" ref="K464" si="2538">IF($I437="N/A",0,IF(K448&gt;$I442,0,IF($I440="Yes",MAX(0,MIN(K450*$I439,J466+K463,$I441)),MAX(0,MIN(K463,K450*$I439,$I441)))))</f>
        <v>0</v>
      </c>
      <c r="L464" s="521">
        <f t="shared" ref="L464" si="2539">IF($I437="N/A",0,IF(L448&gt;$I442,0,IF($I440="Yes",MAX(0,MIN(L450*$I439,K466+L463,$I441)),MAX(0,MIN(L463,L450*$I439,$I441)))))</f>
        <v>0</v>
      </c>
      <c r="M464" s="521">
        <f t="shared" ref="M464" si="2540">IF($I437="N/A",0,IF(M448&gt;$I442,0,IF($I440="Yes",MAX(0,MIN(M450*$I439,L466+M463,$I441)),MAX(0,MIN(M463,M450*$I439,$I441)))))</f>
        <v>0</v>
      </c>
      <c r="N464" s="521">
        <f t="shared" ref="N464" si="2541">IF($I437="N/A",0,IF(N448&gt;$I442,0,IF($I440="Yes",MAX(0,MIN(N450*$I439,M466+N463,$I441)),MAX(0,MIN(N463,N450*$I439,$I441)))))</f>
        <v>0</v>
      </c>
      <c r="O464" s="521">
        <f t="shared" ref="O464" si="2542">IF($I437="N/A",0,IF(O448&gt;$I442,0,IF($I440="Yes",MAX(0,MIN(O450*$I439,N466+O463,$I441)),MAX(0,MIN(O463,O450*$I439,$I441)))))</f>
        <v>0</v>
      </c>
      <c r="P464" s="521">
        <f t="shared" ref="P464" si="2543">IF($I437="N/A",0,IF(P448&gt;$I442,0,IF($I440="Yes",MAX(0,MIN(P450*$I439,O466+P463,$I441)),MAX(0,MIN(P463,P450*$I439,$I441)))))</f>
        <v>0</v>
      </c>
      <c r="Q464" s="521">
        <f t="shared" ref="Q464" si="2544">IF($I437="N/A",0,IF(Q448&gt;$I442,0,IF($I440="Yes",MAX(0,MIN(Q450*$I439,P466+Q463,$I441)),MAX(0,MIN(Q463,Q450*$I439,$I441)))))</f>
        <v>0</v>
      </c>
      <c r="R464" s="521">
        <f t="shared" ref="R464" si="2545">IF($I437="N/A",0,IF(R448&gt;$I442,0,IF($I440="Yes",MAX(0,MIN(R450*$I439,Q466+R463,$I441)),MAX(0,MIN(R463,R450*$I439,$I441)))))</f>
        <v>0</v>
      </c>
      <c r="S464" s="523">
        <f t="shared" ref="S464" si="2546">IF($I437="N/A",0,IF(S448&gt;$I442,0,IF($I440="Yes",MAX(0,MIN(S450*$I439,R466+S463,$I441)),MAX(0,MIN(S463,S450*$I439,$I441)))))</f>
        <v>0</v>
      </c>
      <c r="T464" s="522">
        <f t="shared" ref="T464" si="2547">IF($I437="N/A",0,IF(T448&gt;$I442,0,IF($I440="Yes",MAX(0,MIN(T450*$I439,S466+T463,$I441)),MAX(0,MIN(T463,T450*$I439,$I441)))))</f>
        <v>0</v>
      </c>
      <c r="U464" s="521">
        <f t="shared" ref="U464" si="2548">IF($I437="N/A",0,IF(U448&gt;$I442,0,IF($I440="Yes",MAX(0,MIN(U450*$I439,T466+U463,$I441)),MAX(0,MIN(U463,U450*$I439,$I441)))))</f>
        <v>0</v>
      </c>
      <c r="V464" s="521">
        <f t="shared" ref="V464" si="2549">IF($I437="N/A",0,IF(V448&gt;$I442,0,IF($I440="Yes",MAX(0,MIN(V450*$I439,U466+V463,$I441)),MAX(0,MIN(V463,V450*$I439,$I441)))))</f>
        <v>0</v>
      </c>
      <c r="W464" s="521">
        <f t="shared" ref="W464" si="2550">IF($I437="N/A",0,IF(W448&gt;$I442,0,IF($I440="Yes",MAX(0,MIN(W450*$I439,V466+W463,$I441)),MAX(0,MIN(W463,W450*$I439,$I441)))))</f>
        <v>0</v>
      </c>
      <c r="X464" s="521">
        <f t="shared" ref="X464" si="2551">IF($I437="N/A",0,IF(X448&gt;$I442,0,IF($I440="Yes",MAX(0,MIN(X450*$I439,W466+X463,$I441)),MAX(0,MIN(X463,X450*$I439,$I441)))))</f>
        <v>0</v>
      </c>
      <c r="Y464" s="521">
        <f t="shared" ref="Y464" si="2552">IF($I437="N/A",0,IF(Y448&gt;$I442,0,IF($I440="Yes",MAX(0,MIN(Y450*$I439,X466+Y463,$I441)),MAX(0,MIN(Y463,Y450*$I439,$I441)))))</f>
        <v>0</v>
      </c>
      <c r="Z464" s="521">
        <f t="shared" ref="Z464" si="2553">IF($I437="N/A",0,IF(Z448&gt;$I442,0,IF($I440="Yes",MAX(0,MIN(Z450*$I439,Y466+Z463,$I441)),MAX(0,MIN(Z463,Z450*$I439,$I441)))))</f>
        <v>0</v>
      </c>
      <c r="AA464" s="521">
        <f t="shared" ref="AA464" si="2554">IF($I437="N/A",0,IF(AA448&gt;$I442,0,IF($I440="Yes",MAX(0,MIN(AA450*$I439,Z466+AA463,$I441)),MAX(0,MIN(AA463,AA450*$I439,$I441)))))</f>
        <v>0</v>
      </c>
      <c r="AB464" s="521">
        <f t="shared" ref="AB464" si="2555">IF($I437="N/A",0,IF(AB448&gt;$I442,0,IF($I440="Yes",MAX(0,MIN(AB450*$I439,AA466+AB463,$I441)),MAX(0,MIN(AB463,AB450*$I439,$I441)))))</f>
        <v>0</v>
      </c>
      <c r="AC464" s="521">
        <f t="shared" ref="AC464" si="2556">IF($I437="N/A",0,IF(AC448&gt;$I442,0,IF($I440="Yes",MAX(0,MIN(AC450*$I439,AB466+AC463,$I441)),MAX(0,MIN(AC463,AC450*$I439,$I441)))))</f>
        <v>0</v>
      </c>
      <c r="AD464" s="521">
        <f t="shared" ref="AD464" si="2557">IF($I437="N/A",0,IF(AD448&gt;$I442,0,IF($I440="Yes",MAX(0,MIN(AD450*$I439,AC466+AD463,$I441)),MAX(0,MIN(AD463,AD450*$I439,$I441)))))</f>
        <v>0</v>
      </c>
      <c r="AE464" s="521">
        <f t="shared" ref="AE464" si="2558">IF($I437="N/A",0,IF(AE448&gt;$I442,0,IF($I440="Yes",MAX(0,MIN(AE450*$I439,AD466+AE463,$I441)),MAX(0,MIN(AE463,AE450*$I439,$I441)))))</f>
        <v>0</v>
      </c>
      <c r="AF464" s="521">
        <f t="shared" ref="AF464" si="2559">IF($I437="N/A",0,IF(AF448&gt;$I442,0,IF($I440="Yes",MAX(0,MIN(AF450*$I439,AE466+AF463,$I441)),MAX(0,MIN(AF463,AF450*$I439,$I441)))))</f>
        <v>0</v>
      </c>
      <c r="AG464" s="521">
        <f t="shared" ref="AG464" si="2560">IF($I437="N/A",0,IF(AG448&gt;$I442,0,IF($I440="Yes",MAX(0,MIN(AG450*$I439,AF466+AG463,$I441)),MAX(0,MIN(AG463,AG450*$I439,$I441)))))</f>
        <v>0</v>
      </c>
      <c r="AH464" s="521">
        <f t="shared" ref="AH464" si="2561">IF($I437="N/A",0,IF(AH448&gt;$I442,0,IF($I440="Yes",MAX(0,MIN(AH450*$I439,AG466+AH463,$I441)),MAX(0,MIN(AH463,AH450*$I439,$I441)))))</f>
        <v>0</v>
      </c>
    </row>
    <row r="465" spans="3:34" x14ac:dyDescent="0.2">
      <c r="C465" s="1168" t="s">
        <v>2275</v>
      </c>
      <c r="D465" s="1170"/>
      <c r="E465" s="421">
        <f>IF($I440="Yes",IF(E448&gt;$I442,0,E463-E464),0)</f>
        <v>0</v>
      </c>
      <c r="F465" s="421">
        <f t="shared" ref="F465:AH465" si="2562">IF($I437="N/A",0,IF(F449&gt;$I442,0,IF($I440="Yes",F463-F464,0)))</f>
        <v>0</v>
      </c>
      <c r="G465" s="421">
        <f t="shared" si="2562"/>
        <v>0</v>
      </c>
      <c r="H465" s="421">
        <f t="shared" si="2562"/>
        <v>0</v>
      </c>
      <c r="I465" s="421">
        <f t="shared" si="2562"/>
        <v>0</v>
      </c>
      <c r="J465" s="421">
        <f t="shared" si="2562"/>
        <v>0</v>
      </c>
      <c r="K465" s="421">
        <f t="shared" si="2562"/>
        <v>0</v>
      </c>
      <c r="L465" s="421">
        <f t="shared" si="2562"/>
        <v>0</v>
      </c>
      <c r="M465" s="421">
        <f t="shared" si="2562"/>
        <v>0</v>
      </c>
      <c r="N465" s="421">
        <f t="shared" si="2562"/>
        <v>0</v>
      </c>
      <c r="O465" s="421">
        <f t="shared" si="2562"/>
        <v>0</v>
      </c>
      <c r="P465" s="421">
        <f t="shared" si="2562"/>
        <v>0</v>
      </c>
      <c r="Q465" s="421">
        <f t="shared" si="2562"/>
        <v>0</v>
      </c>
      <c r="R465" s="421">
        <f t="shared" si="2562"/>
        <v>0</v>
      </c>
      <c r="S465" s="447">
        <f t="shared" si="2562"/>
        <v>0</v>
      </c>
      <c r="T465" s="439">
        <f t="shared" si="2562"/>
        <v>0</v>
      </c>
      <c r="U465" s="421">
        <f t="shared" si="2562"/>
        <v>0</v>
      </c>
      <c r="V465" s="421">
        <f t="shared" si="2562"/>
        <v>0</v>
      </c>
      <c r="W465" s="421">
        <f t="shared" si="2562"/>
        <v>0</v>
      </c>
      <c r="X465" s="421">
        <f t="shared" si="2562"/>
        <v>0</v>
      </c>
      <c r="Y465" s="421">
        <f t="shared" si="2562"/>
        <v>0</v>
      </c>
      <c r="Z465" s="421">
        <f t="shared" si="2562"/>
        <v>0</v>
      </c>
      <c r="AA465" s="421">
        <f t="shared" si="2562"/>
        <v>0</v>
      </c>
      <c r="AB465" s="421">
        <f t="shared" si="2562"/>
        <v>0</v>
      </c>
      <c r="AC465" s="421">
        <f t="shared" si="2562"/>
        <v>0</v>
      </c>
      <c r="AD465" s="421">
        <f t="shared" si="2562"/>
        <v>0</v>
      </c>
      <c r="AE465" s="421">
        <f t="shared" si="2562"/>
        <v>0</v>
      </c>
      <c r="AF465" s="421">
        <f t="shared" si="2562"/>
        <v>0</v>
      </c>
      <c r="AG465" s="421">
        <f t="shared" si="2562"/>
        <v>0</v>
      </c>
      <c r="AH465" s="421">
        <f t="shared" si="2562"/>
        <v>0</v>
      </c>
    </row>
    <row r="466" spans="3:34" x14ac:dyDescent="0.2">
      <c r="C466" s="1168" t="s">
        <v>2276</v>
      </c>
      <c r="D466" s="1170"/>
      <c r="E466" s="421">
        <f>E465</f>
        <v>0</v>
      </c>
      <c r="F466" s="236">
        <f t="shared" ref="F466" si="2563">IF($I437="N/A",0,IF(F448&gt;$I442,0,E466+F465))</f>
        <v>0</v>
      </c>
      <c r="G466" s="236">
        <f t="shared" ref="G466" si="2564">IF($I437="N/A",0,IF(G448&gt;$I442,0,F466+G465))</f>
        <v>0</v>
      </c>
      <c r="H466" s="236">
        <f t="shared" ref="H466" si="2565">IF($I437="N/A",0,IF(H448&gt;$I442,0,G466+H465))</f>
        <v>0</v>
      </c>
      <c r="I466" s="236">
        <f t="shared" ref="I466" si="2566">IF($I437="N/A",0,IF(I448&gt;$I442,0,H466+I465))</f>
        <v>0</v>
      </c>
      <c r="J466" s="236">
        <f t="shared" ref="J466" si="2567">IF($I437="N/A",0,IF(J448&gt;$I442,0,I466+J465))</f>
        <v>0</v>
      </c>
      <c r="K466" s="236">
        <f t="shared" ref="K466" si="2568">IF($I437="N/A",0,IF(K448&gt;$I442,0,J466+K465))</f>
        <v>0</v>
      </c>
      <c r="L466" s="236">
        <f t="shared" ref="L466" si="2569">IF($I437="N/A",0,IF(L448&gt;$I442,0,K466+L465))</f>
        <v>0</v>
      </c>
      <c r="M466" s="236">
        <f t="shared" ref="M466" si="2570">IF($I437="N/A",0,IF(M448&gt;$I442,0,L466+M465))</f>
        <v>0</v>
      </c>
      <c r="N466" s="236">
        <f t="shared" ref="N466" si="2571">IF($I437="N/A",0,IF(N448&gt;$I442,0,M466+N465))</f>
        <v>0</v>
      </c>
      <c r="O466" s="236">
        <f t="shared" ref="O466" si="2572">IF($I437="N/A",0,IF(O448&gt;$I442,0,N466+O465))</f>
        <v>0</v>
      </c>
      <c r="P466" s="236">
        <f t="shared" ref="P466" si="2573">IF($I437="N/A",0,IF(P448&gt;$I442,0,O466+P465))</f>
        <v>0</v>
      </c>
      <c r="Q466" s="236">
        <f t="shared" ref="Q466" si="2574">IF($I437="N/A",0,IF(Q448&gt;$I442,0,P466+Q465))</f>
        <v>0</v>
      </c>
      <c r="R466" s="236">
        <f t="shared" ref="R466" si="2575">IF($I437="N/A",0,IF(R448&gt;$I442,0,Q466+R465))</f>
        <v>0</v>
      </c>
      <c r="S466" s="446">
        <f t="shared" ref="S466" si="2576">IF($I437="N/A",0,IF(S448&gt;$I442,0,R466+S465))</f>
        <v>0</v>
      </c>
      <c r="T466" s="438">
        <f t="shared" ref="T466" si="2577">IF($I437="N/A",0,IF(T448&gt;$I442,0,S466+T465))</f>
        <v>0</v>
      </c>
      <c r="U466" s="236">
        <f t="shared" ref="U466" si="2578">IF($I437="N/A",0,IF(U448&gt;$I442,0,T466+U465))</f>
        <v>0</v>
      </c>
      <c r="V466" s="236">
        <f t="shared" ref="V466" si="2579">IF($I437="N/A",0,IF(V448&gt;$I442,0,U466+V465))</f>
        <v>0</v>
      </c>
      <c r="W466" s="236">
        <f t="shared" ref="W466" si="2580">IF($I437="N/A",0,IF(W448&gt;$I442,0,V466+W465))</f>
        <v>0</v>
      </c>
      <c r="X466" s="236">
        <f t="shared" ref="X466" si="2581">IF($I437="N/A",0,IF(X448&gt;$I442,0,W466+X465))</f>
        <v>0</v>
      </c>
      <c r="Y466" s="236">
        <f t="shared" ref="Y466" si="2582">IF($I437="N/A",0,IF(Y448&gt;$I442,0,X466+Y465))</f>
        <v>0</v>
      </c>
      <c r="Z466" s="236">
        <f t="shared" ref="Z466" si="2583">IF($I437="N/A",0,IF(Z448&gt;$I442,0,Y466+Z465))</f>
        <v>0</v>
      </c>
      <c r="AA466" s="236">
        <f t="shared" ref="AA466" si="2584">IF($I437="N/A",0,IF(AA448&gt;$I442,0,Z466+AA465))</f>
        <v>0</v>
      </c>
      <c r="AB466" s="236">
        <f t="shared" ref="AB466" si="2585">IF($I437="N/A",0,IF(AB448&gt;$I442,0,AA466+AB465))</f>
        <v>0</v>
      </c>
      <c r="AC466" s="236">
        <f t="shared" ref="AC466" si="2586">IF($I437="N/A",0,IF(AC448&gt;$I442,0,AB466+AC465))</f>
        <v>0</v>
      </c>
      <c r="AD466" s="236">
        <f t="shared" ref="AD466" si="2587">IF($I437="N/A",0,IF(AD448&gt;$I442,0,AC466+AD465))</f>
        <v>0</v>
      </c>
      <c r="AE466" s="236">
        <f t="shared" ref="AE466" si="2588">IF($I437="N/A",0,IF(AE448&gt;$I442,0,AD466+AE465))</f>
        <v>0</v>
      </c>
      <c r="AF466" s="236">
        <f t="shared" ref="AF466" si="2589">IF($I437="N/A",0,IF(AF448&gt;$I442,0,AE466+AF465))</f>
        <v>0</v>
      </c>
      <c r="AG466" s="236">
        <f t="shared" ref="AG466" si="2590">IF($I437="N/A",0,IF(AG448&gt;$I442,0,AF466+AG465))</f>
        <v>0</v>
      </c>
      <c r="AH466" s="236">
        <f t="shared" ref="AH466" si="2591">IF($I437="N/A",0,IF(AH448&gt;$I442,0,AG466+AH465))</f>
        <v>0</v>
      </c>
    </row>
    <row r="469" spans="3:34" ht="15" x14ac:dyDescent="0.2">
      <c r="C469" s="1456" t="str">
        <f>IF(Sources!$D$80="","N/A",Sources!$D$80)</f>
        <v>N/A</v>
      </c>
      <c r="D469" s="1456"/>
      <c r="E469" s="1456"/>
      <c r="F469" s="412" t="s">
        <v>2266</v>
      </c>
      <c r="G469" s="92" t="str">
        <f>IF(AND(ISERROR(VLOOKUP($C469,OpBudget!$C$159:$C$165,1,FALSE)),ISERROR(VLOOKUP($C469,Sources!$C$36:$C$55,1,FALSE))),"N/A",IF(ISERROR(VLOOKUP($C469,Sources!$C$36:$C$55,1,FALSE)),"Fee","Loan"))</f>
        <v>N/A</v>
      </c>
      <c r="H469" s="412"/>
      <c r="I469" s="412"/>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row>
    <row r="470" spans="3:34" ht="15" x14ac:dyDescent="0.2">
      <c r="C470" s="345"/>
      <c r="D470" s="345"/>
      <c r="E470" s="345"/>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row>
    <row r="471" spans="3:34" ht="15" x14ac:dyDescent="0.2">
      <c r="C471" s="417" t="s">
        <v>2260</v>
      </c>
      <c r="D471" s="345"/>
      <c r="E471" s="345"/>
      <c r="F471" s="74"/>
      <c r="G471" s="74" t="s">
        <v>2261</v>
      </c>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row>
    <row r="472" spans="3:34" x14ac:dyDescent="0.2">
      <c r="C472" s="1452" t="s">
        <v>2255</v>
      </c>
      <c r="D472" s="1452"/>
      <c r="E472" s="413" t="str">
        <f>IF(OR($G469="Fee",$G469="N/A"),"N/A",INDEX(Sources!$C$35:$K$55,MATCH(Loans!$C469,Sources!$C$35:$C$55,0),MATCH("Amount",Sources!$C$35:$N$35,0)))</f>
        <v>N/A</v>
      </c>
      <c r="F472" s="74"/>
      <c r="G472" s="1454" t="s">
        <v>2262</v>
      </c>
      <c r="H472" s="1454"/>
      <c r="I472" s="705" t="str">
        <f>IF(OR($G469="Loan",$G469="N/A"),"N/A",INDEX(OpBudget!$C$159:$K$165,MATCH(Loans!$C469,OpBudget!$C$159:$C$165,0),MATCH("Total Amount",OpBudget!$C$159:$K$159,0)))</f>
        <v>N/A</v>
      </c>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row>
    <row r="473" spans="3:34" x14ac:dyDescent="0.2">
      <c r="C473" s="1452" t="s">
        <v>2256</v>
      </c>
      <c r="D473" s="1452"/>
      <c r="E473" s="702" t="str">
        <f>IF(OR($G469="Fee",$G469="N/A"),"N/A",INDEX(Sources!$C$35:$K$55,MATCH(Loans!$C469,Sources!$C$35:$C$55,0),MATCH("Interest Rate",Sources!$C$35:$N$35,0)))</f>
        <v>N/A</v>
      </c>
      <c r="F473" s="74"/>
      <c r="G473" s="1454" t="s">
        <v>2268</v>
      </c>
      <c r="H473" s="1454"/>
      <c r="I473" s="703" t="str">
        <f>IF(OR($G469="Loan",$G469="N/A"),"N/A",INDEX(OpBudget!$C$159:$K$165,MATCH(Loans!$C469,OpBudget!$C$159:$C$165,0),MATCH("Annual Percent Inflator",OpBudget!$C$159:$K$159,0)))</f>
        <v>N/A</v>
      </c>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row>
    <row r="474" spans="3:34" x14ac:dyDescent="0.2">
      <c r="C474" s="1452" t="s">
        <v>2279</v>
      </c>
      <c r="D474" s="1452"/>
      <c r="E474" s="702" t="str">
        <f>IF(OR($G469="Fee",$G469="N/A"),"N/A",INDEX(Sources!$C$35:$N$55,MATCH(Loans!$C469,Sources!$C$35:$C$55,0),MATCH("Simple or Compound Interest?",Sources!$C$35:$N$35,0)))</f>
        <v>N/A</v>
      </c>
      <c r="F474" s="74"/>
      <c r="G474" s="424" t="s">
        <v>2263</v>
      </c>
      <c r="H474" s="424"/>
      <c r="I474" s="703" t="str">
        <f>IF(OR($G469="Loan",$G469="N/A"),"N/A",INDEX(Sources!$D$67:$H$82,MATCH(Loans!$C469,Sources!$D$67:$D$82,0),MATCH("Split of Cash Flow",Sources!$D$67:$H$67,0)))</f>
        <v>N/A</v>
      </c>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row>
    <row r="475" spans="3:34" x14ac:dyDescent="0.2">
      <c r="C475" s="1452" t="s">
        <v>2257</v>
      </c>
      <c r="D475" s="1452"/>
      <c r="E475" s="420" t="str">
        <f>IF(OR($G469="Fee",$G469="N/A"),"N/A",INDEX(Sources!$C$35:$K$55,MATCH(Loans!$C469,Sources!$C$35:$C$55,0),MATCH("Term (Years)",Sources!$C$35:$N$35,0)))</f>
        <v>N/A</v>
      </c>
      <c r="F475" s="74"/>
      <c r="G475" s="1454" t="s">
        <v>2281</v>
      </c>
      <c r="H475" s="1454"/>
      <c r="I475" s="703" t="str">
        <f>IF(OR($G469="Loan",$G469="N/A"),"N/A",INDEX(OpBudget!$C$159:$K$165,MATCH(Loans!$C469,OpBudget!$C$159:$C$165,0),MATCH("Accrue Unpaid Fee?",OpBudget!$C$159:$K$159,0)))</f>
        <v>N/A</v>
      </c>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row>
    <row r="476" spans="3:34" x14ac:dyDescent="0.2">
      <c r="C476" s="1452" t="s">
        <v>2284</v>
      </c>
      <c r="D476" s="1452"/>
      <c r="E476" s="420" t="str">
        <f>IF(OR($G469="Fee",$G469="N/A"),"N/A",INDEX(Sources!$D$67:$O$82,MATCH(Loans!$C469,Sources!$D$67:$D$82,0),MATCH("Beginning Payment Year",Sources!$D$67:$O$67,0)))</f>
        <v>N/A</v>
      </c>
      <c r="F476" s="74"/>
      <c r="G476" s="1454" t="s">
        <v>2293</v>
      </c>
      <c r="H476" s="1454"/>
      <c r="I476" s="705" t="str">
        <f>IF(OR($G469="Loan",$G469="N/A"),"N/A",IF(INDEX(OpBudget!$C$159:$K$165,MATCH(Loans!$C469,OpBudget!$C$159:$C$165,0),MATCH("Fee Cap (if applicable)",OpBudget!$C$159:$K$159,0))=0,"N/A",INDEX(OpBudget!$C$159:$K$165,MATCH(Loans!$C469,OpBudget!$C$159:$C$165,0),MATCH("Fee Cap (if applicable)",OpBudget!$C$159:$K$159,0))))</f>
        <v>N/A</v>
      </c>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row>
    <row r="477" spans="3:34" x14ac:dyDescent="0.2">
      <c r="C477" s="1452" t="s">
        <v>2267</v>
      </c>
      <c r="D477" s="1452"/>
      <c r="E477" s="703" t="str">
        <f>IF(OR($G469="Fee",$G469="N/A"),"N/A",INDEX(Sources!$D$67:$O$82,MATCH(Loans!$C469,Sources!$D$67:$D$82,0),MATCH("Split of Cash Flow",Sources!$D$67:$O$67,0)))</f>
        <v>N/A</v>
      </c>
      <c r="F477" s="1455"/>
      <c r="G477" s="1454" t="s">
        <v>2292</v>
      </c>
      <c r="H477" s="1454"/>
      <c r="I477" s="420" t="str">
        <f>IF(OR($G469="Loan",$G469="N/A"),"N/A",INDEX(OpBudget!$C$159:$K$165,MATCH(Loans!$C469,OpBudget!$C$159:$C$165,0),MATCH("Number of Years Fee Exists",OpBudget!$C$159:$K$159,0)))</f>
        <v>N/A</v>
      </c>
      <c r="J477" s="74"/>
      <c r="K477" s="74"/>
      <c r="L477" s="74" t="s">
        <v>2278</v>
      </c>
      <c r="M477" s="74"/>
      <c r="N477" s="74"/>
      <c r="O477" s="74"/>
      <c r="P477" s="74"/>
      <c r="Q477" s="74"/>
      <c r="R477" s="74"/>
      <c r="S477" s="74"/>
      <c r="T477" s="74"/>
      <c r="U477" s="74"/>
      <c r="V477" s="74"/>
      <c r="W477" s="74"/>
      <c r="X477" s="74"/>
      <c r="Y477" s="74"/>
      <c r="Z477" s="74"/>
      <c r="AA477" s="74"/>
      <c r="AB477" s="74"/>
      <c r="AC477" s="74"/>
      <c r="AD477" s="74"/>
      <c r="AE477" s="74"/>
      <c r="AF477" s="74"/>
      <c r="AG477" s="74"/>
      <c r="AH477" s="74"/>
    </row>
    <row r="478" spans="3:34" x14ac:dyDescent="0.2">
      <c r="C478" s="1452" t="s">
        <v>2289</v>
      </c>
      <c r="D478" s="1452"/>
      <c r="E478" s="704" t="str">
        <f>IF(OR($G469="Fee",$G469="N/A"),"N/A",INDEX(Sources!$D$67:$O$82,MATCH(Loans!$C469,Sources!$D$67:$D$82,0),MATCH("Pari Passu?",Sources!$D$67:$O$67,0)))</f>
        <v>N/A</v>
      </c>
      <c r="F478" s="1455"/>
      <c r="G478" s="424"/>
      <c r="H478" s="424"/>
      <c r="I478" s="526"/>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row>
    <row r="479" spans="3:34" x14ac:dyDescent="0.2">
      <c r="C479" s="1452" t="s">
        <v>2295</v>
      </c>
      <c r="D479" s="1452"/>
      <c r="E479" s="703" t="str">
        <f>IF(OR($G469="Fee",$G469="N/A"),"N/A",INDEX(Sources!$D$67:$O$82,MATCH(Loans!$C469,Sources!$D$67:$D$82,0),MATCH("Shared Position Split of Cash Flow",Sources!$D$67:$O$67,0)))</f>
        <v>N/A</v>
      </c>
      <c r="F479" s="532"/>
      <c r="G479" s="424"/>
      <c r="H479" s="424"/>
      <c r="I479" s="526"/>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row>
    <row r="480" spans="3:34" x14ac:dyDescent="0.2">
      <c r="C480" s="1452" t="s">
        <v>2291</v>
      </c>
      <c r="D480" s="1452"/>
      <c r="E480" s="704" t="str">
        <f>IF(OR($G469="Fee",$G469="N/A"),"N/A",INDEX(Sources!$D$67:$O$82,MATCH(Loans!$C469,Sources!$D$67:$D$82,0),MATCH("Deferred Loan?",Sources!$D$67:$O$67,0)))</f>
        <v>N/A</v>
      </c>
      <c r="F480" s="74"/>
      <c r="G480" s="424"/>
      <c r="H480" s="424"/>
      <c r="I480" s="526"/>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row>
    <row r="481" spans="3:34" x14ac:dyDescent="0.2">
      <c r="C481" s="1452" t="s">
        <v>2277</v>
      </c>
      <c r="D481" s="1452"/>
      <c r="E481" s="705" t="str">
        <f>IF(OR(E472=0,E472="N/A"),"N/A",INDEX($C483:$AH495,MATCH("Ending Principal Balance",$C483:$C495,0),MATCH($E475,$C483:$AH483,0)))</f>
        <v>N/A</v>
      </c>
      <c r="F481" s="74"/>
      <c r="G481" s="74"/>
      <c r="H481" s="74" t="s">
        <v>2278</v>
      </c>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row>
    <row r="482" spans="3:34" ht="15" x14ac:dyDescent="0.2">
      <c r="C482" s="345"/>
      <c r="D482" s="345"/>
      <c r="E482" s="345"/>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row>
    <row r="483" spans="3:34" ht="15" x14ac:dyDescent="0.2">
      <c r="C483" s="309"/>
      <c r="D483" s="309"/>
      <c r="E483" s="310">
        <v>1</v>
      </c>
      <c r="F483" s="310">
        <f>E483+1</f>
        <v>2</v>
      </c>
      <c r="G483" s="310">
        <f t="shared" ref="G483" si="2592">F483+1</f>
        <v>3</v>
      </c>
      <c r="H483" s="310">
        <f t="shared" ref="H483" si="2593">G483+1</f>
        <v>4</v>
      </c>
      <c r="I483" s="310">
        <f t="shared" ref="I483" si="2594">H483+1</f>
        <v>5</v>
      </c>
      <c r="J483" s="310">
        <f t="shared" ref="J483" si="2595">I483+1</f>
        <v>6</v>
      </c>
      <c r="K483" s="310">
        <f t="shared" ref="K483" si="2596">J483+1</f>
        <v>7</v>
      </c>
      <c r="L483" s="310">
        <f t="shared" ref="L483" si="2597">K483+1</f>
        <v>8</v>
      </c>
      <c r="M483" s="310">
        <f t="shared" ref="M483" si="2598">L483+1</f>
        <v>9</v>
      </c>
      <c r="N483" s="310">
        <f t="shared" ref="N483" si="2599">M483+1</f>
        <v>10</v>
      </c>
      <c r="O483" s="310">
        <f t="shared" ref="O483" si="2600">N483+1</f>
        <v>11</v>
      </c>
      <c r="P483" s="310">
        <f t="shared" ref="P483" si="2601">O483+1</f>
        <v>12</v>
      </c>
      <c r="Q483" s="310">
        <f t="shared" ref="Q483" si="2602">P483+1</f>
        <v>13</v>
      </c>
      <c r="R483" s="310">
        <f t="shared" ref="R483" si="2603">Q483+1</f>
        <v>14</v>
      </c>
      <c r="S483" s="448">
        <f t="shared" ref="S483" si="2604">R483+1</f>
        <v>15</v>
      </c>
      <c r="T483" s="428">
        <f t="shared" ref="T483" si="2605">S483+1</f>
        <v>16</v>
      </c>
      <c r="U483" s="310">
        <f t="shared" ref="U483" si="2606">T483+1</f>
        <v>17</v>
      </c>
      <c r="V483" s="310">
        <f t="shared" ref="V483" si="2607">U483+1</f>
        <v>18</v>
      </c>
      <c r="W483" s="310">
        <f t="shared" ref="W483" si="2608">V483+1</f>
        <v>19</v>
      </c>
      <c r="X483" s="310">
        <f t="shared" ref="X483" si="2609">W483+1</f>
        <v>20</v>
      </c>
      <c r="Y483" s="310">
        <f t="shared" ref="Y483" si="2610">X483+1</f>
        <v>21</v>
      </c>
      <c r="Z483" s="310">
        <f t="shared" ref="Z483" si="2611">Y483+1</f>
        <v>22</v>
      </c>
      <c r="AA483" s="310">
        <f t="shared" ref="AA483" si="2612">Z483+1</f>
        <v>23</v>
      </c>
      <c r="AB483" s="310">
        <f t="shared" ref="AB483" si="2613">AA483+1</f>
        <v>24</v>
      </c>
      <c r="AC483" s="310">
        <f t="shared" ref="AC483" si="2614">AB483+1</f>
        <v>25</v>
      </c>
      <c r="AD483" s="310">
        <f t="shared" ref="AD483" si="2615">AC483+1</f>
        <v>26</v>
      </c>
      <c r="AE483" s="310">
        <f t="shared" ref="AE483" si="2616">AD483+1</f>
        <v>27</v>
      </c>
      <c r="AF483" s="310">
        <f t="shared" ref="AF483" si="2617">AE483+1</f>
        <v>28</v>
      </c>
      <c r="AG483" s="310">
        <f t="shared" ref="AG483" si="2618">AF483+1</f>
        <v>29</v>
      </c>
      <c r="AH483" s="310">
        <f t="shared" ref="AH483" si="2619">AG483+1</f>
        <v>30</v>
      </c>
    </row>
    <row r="484" spans="3:34" ht="15" x14ac:dyDescent="0.2">
      <c r="C484" s="309"/>
      <c r="D484" s="309"/>
      <c r="E484" s="314" t="str">
        <f>IF(Details!$E$171="","",Details!$E$171)</f>
        <v/>
      </c>
      <c r="F484" s="314" t="str">
        <f>IF($E$7="","",E$7+1)</f>
        <v/>
      </c>
      <c r="G484" s="314" t="str">
        <f t="shared" ref="G484" si="2620">IF($E$7="","",F$7+1)</f>
        <v/>
      </c>
      <c r="H484" s="314" t="str">
        <f t="shared" ref="H484" si="2621">IF($E$7="","",G$7+1)</f>
        <v/>
      </c>
      <c r="I484" s="314" t="str">
        <f t="shared" ref="I484" si="2622">IF($E$7="","",H$7+1)</f>
        <v/>
      </c>
      <c r="J484" s="314" t="str">
        <f t="shared" ref="J484" si="2623">IF($E$7="","",I$7+1)</f>
        <v/>
      </c>
      <c r="K484" s="314" t="str">
        <f t="shared" ref="K484" si="2624">IF($E$7="","",J$7+1)</f>
        <v/>
      </c>
      <c r="L484" s="314" t="str">
        <f t="shared" ref="L484" si="2625">IF($E$7="","",K$7+1)</f>
        <v/>
      </c>
      <c r="M484" s="314" t="str">
        <f t="shared" ref="M484" si="2626">IF($E$7="","",L$7+1)</f>
        <v/>
      </c>
      <c r="N484" s="314" t="str">
        <f t="shared" ref="N484" si="2627">IF($E$7="","",M$7+1)</f>
        <v/>
      </c>
      <c r="O484" s="314" t="str">
        <f t="shared" ref="O484" si="2628">IF($E$7="","",N$7+1)</f>
        <v/>
      </c>
      <c r="P484" s="314" t="str">
        <f t="shared" ref="P484" si="2629">IF($E$7="","",O$7+1)</f>
        <v/>
      </c>
      <c r="Q484" s="314" t="str">
        <f t="shared" ref="Q484" si="2630">IF($E$7="","",P$7+1)</f>
        <v/>
      </c>
      <c r="R484" s="314" t="str">
        <f t="shared" ref="R484" si="2631">IF($E$7="","",Q$7+1)</f>
        <v/>
      </c>
      <c r="S484" s="440" t="str">
        <f t="shared" ref="S484" si="2632">IF($E$7="","",R$7+1)</f>
        <v/>
      </c>
      <c r="T484" s="433" t="str">
        <f t="shared" ref="T484" si="2633">IF($E$7="","",S$7+1)</f>
        <v/>
      </c>
      <c r="U484" s="314" t="str">
        <f t="shared" ref="U484" si="2634">IF($E$7="","",T$7+1)</f>
        <v/>
      </c>
      <c r="V484" s="314" t="str">
        <f t="shared" ref="V484" si="2635">IF($E$7="","",U$7+1)</f>
        <v/>
      </c>
      <c r="W484" s="314" t="str">
        <f t="shared" ref="W484" si="2636">IF($E$7="","",V$7+1)</f>
        <v/>
      </c>
      <c r="X484" s="314" t="str">
        <f t="shared" ref="X484" si="2637">IF($E$7="","",W$7+1)</f>
        <v/>
      </c>
      <c r="Y484" s="314" t="str">
        <f t="shared" ref="Y484" si="2638">IF($E$7="","",X$7+1)</f>
        <v/>
      </c>
      <c r="Z484" s="314" t="str">
        <f t="shared" ref="Z484" si="2639">IF($E$7="","",Y$7+1)</f>
        <v/>
      </c>
      <c r="AA484" s="314" t="str">
        <f t="shared" ref="AA484" si="2640">IF($E$7="","",Z$7+1)</f>
        <v/>
      </c>
      <c r="AB484" s="314" t="str">
        <f t="shared" ref="AB484" si="2641">IF($E$7="","",AA$7+1)</f>
        <v/>
      </c>
      <c r="AC484" s="314" t="str">
        <f t="shared" ref="AC484" si="2642">IF($E$7="","",AB$7+1)</f>
        <v/>
      </c>
      <c r="AD484" s="314" t="str">
        <f t="shared" ref="AD484" si="2643">IF($E$7="","",AC$7+1)</f>
        <v/>
      </c>
      <c r="AE484" s="314" t="str">
        <f t="shared" ref="AE484" si="2644">IF($E$7="","",AD$7+1)</f>
        <v/>
      </c>
      <c r="AF484" s="314" t="str">
        <f t="shared" ref="AF484" si="2645">IF($E$7="","",AE$7+1)</f>
        <v/>
      </c>
      <c r="AG484" s="314" t="str">
        <f t="shared" ref="AG484" si="2646">IF($E$7="","",AF$7+1)</f>
        <v/>
      </c>
      <c r="AH484" s="314" t="str">
        <f t="shared" ref="AH484" si="2647">IF($E$7="","",AG$7+1)</f>
        <v/>
      </c>
    </row>
    <row r="485" spans="3:34" x14ac:dyDescent="0.2">
      <c r="C485" s="1168" t="s">
        <v>2254</v>
      </c>
      <c r="D485" s="1169"/>
      <c r="E485" s="109">
        <f>E450-E459-E463</f>
        <v>0</v>
      </c>
      <c r="F485" s="109">
        <f t="shared" ref="F485:AH485" si="2648">F450-F459-F463</f>
        <v>0</v>
      </c>
      <c r="G485" s="109">
        <f t="shared" si="2648"/>
        <v>0</v>
      </c>
      <c r="H485" s="109">
        <f t="shared" si="2648"/>
        <v>0</v>
      </c>
      <c r="I485" s="109">
        <f t="shared" si="2648"/>
        <v>0</v>
      </c>
      <c r="J485" s="109">
        <f t="shared" si="2648"/>
        <v>0</v>
      </c>
      <c r="K485" s="109">
        <f t="shared" si="2648"/>
        <v>0</v>
      </c>
      <c r="L485" s="109">
        <f t="shared" si="2648"/>
        <v>0</v>
      </c>
      <c r="M485" s="109">
        <f t="shared" si="2648"/>
        <v>0</v>
      </c>
      <c r="N485" s="109">
        <f t="shared" si="2648"/>
        <v>0</v>
      </c>
      <c r="O485" s="109">
        <f t="shared" si="2648"/>
        <v>0</v>
      </c>
      <c r="P485" s="109">
        <f t="shared" si="2648"/>
        <v>0</v>
      </c>
      <c r="Q485" s="109">
        <f t="shared" si="2648"/>
        <v>0</v>
      </c>
      <c r="R485" s="109">
        <f t="shared" si="2648"/>
        <v>0</v>
      </c>
      <c r="S485" s="331">
        <f t="shared" si="2648"/>
        <v>0</v>
      </c>
      <c r="T485" s="228">
        <f t="shared" si="2648"/>
        <v>0</v>
      </c>
      <c r="U485" s="109">
        <f t="shared" si="2648"/>
        <v>0</v>
      </c>
      <c r="V485" s="109">
        <f t="shared" si="2648"/>
        <v>0</v>
      </c>
      <c r="W485" s="109">
        <f t="shared" si="2648"/>
        <v>0</v>
      </c>
      <c r="X485" s="109">
        <f t="shared" si="2648"/>
        <v>0</v>
      </c>
      <c r="Y485" s="109">
        <f t="shared" si="2648"/>
        <v>0</v>
      </c>
      <c r="Z485" s="109">
        <f t="shared" si="2648"/>
        <v>0</v>
      </c>
      <c r="AA485" s="109">
        <f t="shared" si="2648"/>
        <v>0</v>
      </c>
      <c r="AB485" s="109">
        <f t="shared" si="2648"/>
        <v>0</v>
      </c>
      <c r="AC485" s="109">
        <f t="shared" si="2648"/>
        <v>0</v>
      </c>
      <c r="AD485" s="109">
        <f t="shared" si="2648"/>
        <v>0</v>
      </c>
      <c r="AE485" s="109">
        <f t="shared" si="2648"/>
        <v>0</v>
      </c>
      <c r="AF485" s="109">
        <f t="shared" si="2648"/>
        <v>0</v>
      </c>
      <c r="AG485" s="109">
        <f t="shared" si="2648"/>
        <v>0</v>
      </c>
      <c r="AH485" s="109">
        <f t="shared" si="2648"/>
        <v>0</v>
      </c>
    </row>
    <row r="486" spans="3:34" ht="15" x14ac:dyDescent="0.2">
      <c r="C486" s="345"/>
      <c r="D486" s="345"/>
      <c r="E486" s="345"/>
      <c r="F486" s="74"/>
      <c r="G486" s="74"/>
      <c r="H486" s="74"/>
      <c r="I486" s="74"/>
      <c r="J486" s="74"/>
      <c r="K486" s="74"/>
      <c r="L486" s="74"/>
      <c r="M486" s="74"/>
      <c r="N486" s="74"/>
      <c r="O486" s="74"/>
      <c r="P486" s="74"/>
      <c r="Q486" s="74"/>
      <c r="R486" s="74"/>
      <c r="S486" s="333"/>
      <c r="T486" s="74"/>
      <c r="U486" s="74"/>
      <c r="V486" s="74"/>
      <c r="W486" s="74"/>
      <c r="X486" s="74"/>
      <c r="Y486" s="74"/>
      <c r="Z486" s="74"/>
      <c r="AA486" s="74"/>
      <c r="AB486" s="74"/>
      <c r="AC486" s="74"/>
      <c r="AD486" s="74"/>
      <c r="AE486" s="74"/>
      <c r="AF486" s="74"/>
      <c r="AG486" s="74"/>
      <c r="AH486" s="74"/>
    </row>
    <row r="487" spans="3:34" ht="15" x14ac:dyDescent="0.2">
      <c r="C487" s="432" t="s">
        <v>2286</v>
      </c>
      <c r="D487" s="345"/>
      <c r="E487" s="345"/>
      <c r="F487" s="74"/>
      <c r="G487" s="74"/>
      <c r="H487" s="74"/>
      <c r="I487" s="74"/>
      <c r="J487" s="74"/>
      <c r="K487" s="74"/>
      <c r="L487" s="74"/>
      <c r="M487" s="74"/>
      <c r="N487" s="74"/>
      <c r="O487" s="74"/>
      <c r="P487" s="74"/>
      <c r="Q487" s="74"/>
      <c r="R487" s="74"/>
      <c r="S487" s="333"/>
      <c r="T487" s="74"/>
      <c r="U487" s="74"/>
      <c r="V487" s="74"/>
      <c r="W487" s="74"/>
      <c r="X487" s="74"/>
      <c r="Y487" s="74"/>
      <c r="Z487" s="74"/>
      <c r="AA487" s="74"/>
      <c r="AB487" s="74"/>
      <c r="AC487" s="74"/>
      <c r="AD487" s="74"/>
      <c r="AE487" s="74"/>
      <c r="AF487" s="74"/>
      <c r="AG487" s="74"/>
      <c r="AH487" s="74"/>
    </row>
    <row r="488" spans="3:34" ht="15" thickBot="1" x14ac:dyDescent="0.25">
      <c r="C488" s="1453" t="s">
        <v>2285</v>
      </c>
      <c r="D488" s="1453"/>
      <c r="E488" s="423">
        <f>IF(OR($E472="N/A",$E472=0),0,IF($E478="Yes",(E485*$E477*$E479),E485*$E477))</f>
        <v>0</v>
      </c>
      <c r="F488" s="423">
        <f t="shared" ref="F488:AH488" si="2649">IF(OR($E472="N/A",$E472=0),0,IF($E478="Yes",(F485*$E477*$E479),F485*$E477))</f>
        <v>0</v>
      </c>
      <c r="G488" s="423">
        <f t="shared" si="2649"/>
        <v>0</v>
      </c>
      <c r="H488" s="423">
        <f t="shared" si="2649"/>
        <v>0</v>
      </c>
      <c r="I488" s="423">
        <f t="shared" si="2649"/>
        <v>0</v>
      </c>
      <c r="J488" s="423">
        <f t="shared" si="2649"/>
        <v>0</v>
      </c>
      <c r="K488" s="423">
        <f t="shared" si="2649"/>
        <v>0</v>
      </c>
      <c r="L488" s="423">
        <f t="shared" si="2649"/>
        <v>0</v>
      </c>
      <c r="M488" s="423">
        <f t="shared" si="2649"/>
        <v>0</v>
      </c>
      <c r="N488" s="423">
        <f t="shared" si="2649"/>
        <v>0</v>
      </c>
      <c r="O488" s="423">
        <f t="shared" si="2649"/>
        <v>0</v>
      </c>
      <c r="P488" s="423">
        <f t="shared" si="2649"/>
        <v>0</v>
      </c>
      <c r="Q488" s="423">
        <f t="shared" si="2649"/>
        <v>0</v>
      </c>
      <c r="R488" s="423">
        <f t="shared" si="2649"/>
        <v>0</v>
      </c>
      <c r="S488" s="441">
        <f t="shared" si="2649"/>
        <v>0</v>
      </c>
      <c r="T488" s="434">
        <f t="shared" si="2649"/>
        <v>0</v>
      </c>
      <c r="U488" s="423">
        <f t="shared" si="2649"/>
        <v>0</v>
      </c>
      <c r="V488" s="423">
        <f t="shared" si="2649"/>
        <v>0</v>
      </c>
      <c r="W488" s="423">
        <f t="shared" si="2649"/>
        <v>0</v>
      </c>
      <c r="X488" s="423">
        <f t="shared" si="2649"/>
        <v>0</v>
      </c>
      <c r="Y488" s="423">
        <f t="shared" si="2649"/>
        <v>0</v>
      </c>
      <c r="Z488" s="423">
        <f t="shared" si="2649"/>
        <v>0</v>
      </c>
      <c r="AA488" s="423">
        <f t="shared" si="2649"/>
        <v>0</v>
      </c>
      <c r="AB488" s="423">
        <f t="shared" si="2649"/>
        <v>0</v>
      </c>
      <c r="AC488" s="423">
        <f t="shared" si="2649"/>
        <v>0</v>
      </c>
      <c r="AD488" s="423">
        <f t="shared" si="2649"/>
        <v>0</v>
      </c>
      <c r="AE488" s="423">
        <f t="shared" si="2649"/>
        <v>0</v>
      </c>
      <c r="AF488" s="423">
        <f t="shared" si="2649"/>
        <v>0</v>
      </c>
      <c r="AG488" s="423">
        <f t="shared" si="2649"/>
        <v>0</v>
      </c>
      <c r="AH488" s="423">
        <f t="shared" si="2649"/>
        <v>0</v>
      </c>
    </row>
    <row r="489" spans="3:34" ht="15" thickTop="1" x14ac:dyDescent="0.2">
      <c r="C489" s="1449" t="s">
        <v>2189</v>
      </c>
      <c r="D489" s="1449"/>
      <c r="E489" s="316">
        <f>IF(OR($E472="N/A",E483&gt;$E475,E483&lt;$E476),0,MAX(0,E472))</f>
        <v>0</v>
      </c>
      <c r="F489" s="316">
        <f t="shared" ref="F489" si="2650">IF(OR($E472="N/A",F483&gt;$E475),0,IF(F483=$E476,$E472,MAX(E495,0)))</f>
        <v>0</v>
      </c>
      <c r="G489" s="316">
        <f t="shared" ref="G489" si="2651">IF(OR($E472="N/A",G483&gt;$E475),0,IF(G483=$E476,$E472,MAX(F495,0)))</f>
        <v>0</v>
      </c>
      <c r="H489" s="316">
        <f t="shared" ref="H489" si="2652">IF(OR($E472="N/A",H483&gt;$E475),0,IF(H483=$E476,$E472,MAX(G495,0)))</f>
        <v>0</v>
      </c>
      <c r="I489" s="316">
        <f t="shared" ref="I489" si="2653">IF(OR($E472="N/A",I483&gt;$E475),0,IF(I483=$E476,$E472,MAX(H495,0)))</f>
        <v>0</v>
      </c>
      <c r="J489" s="316">
        <f t="shared" ref="J489" si="2654">IF(OR($E472="N/A",J483&gt;$E475),0,IF(J483=$E476,$E472,MAX(I495,0)))</f>
        <v>0</v>
      </c>
      <c r="K489" s="316">
        <f t="shared" ref="K489" si="2655">IF(OR($E472="N/A",K483&gt;$E475),0,IF(K483=$E476,$E472,MAX(J495,0)))</f>
        <v>0</v>
      </c>
      <c r="L489" s="316">
        <f t="shared" ref="L489" si="2656">IF(OR($E472="N/A",L483&gt;$E475),0,IF(L483=$E476,$E472,MAX(K495,0)))</f>
        <v>0</v>
      </c>
      <c r="M489" s="316">
        <f t="shared" ref="M489" si="2657">IF(OR($E472="N/A",M483&gt;$E475),0,IF(M483=$E476,$E472,MAX(L495,0)))</f>
        <v>0</v>
      </c>
      <c r="N489" s="316">
        <f t="shared" ref="N489" si="2658">IF(OR($E472="N/A",N483&gt;$E475),0,IF(N483=$E476,$E472,MAX(M495,0)))</f>
        <v>0</v>
      </c>
      <c r="O489" s="316">
        <f t="shared" ref="O489" si="2659">IF(OR($E472="N/A",O483&gt;$E475),0,IF(O483=$E476,$E472,MAX(N495,0)))</f>
        <v>0</v>
      </c>
      <c r="P489" s="316">
        <f t="shared" ref="P489" si="2660">IF(OR($E472="N/A",P483&gt;$E475),0,IF(P483=$E476,$E472,MAX(O495,0)))</f>
        <v>0</v>
      </c>
      <c r="Q489" s="316">
        <f t="shared" ref="Q489" si="2661">IF(OR($E472="N/A",Q483&gt;$E475),0,IF(Q483=$E476,$E472,MAX(P495,0)))</f>
        <v>0</v>
      </c>
      <c r="R489" s="316">
        <f t="shared" ref="R489" si="2662">IF(OR($E472="N/A",R483&gt;$E475),0,IF(R483=$E476,$E472,MAX(Q495,0)))</f>
        <v>0</v>
      </c>
      <c r="S489" s="332">
        <f t="shared" ref="S489" si="2663">IF(OR($E472="N/A",S483&gt;$E475),0,IF(S483=$E476,$E472,MAX(R495,0)))</f>
        <v>0</v>
      </c>
      <c r="T489" s="429">
        <f t="shared" ref="T489" si="2664">IF(OR($E472="N/A",T483&gt;$E475),0,IF(T483=$E476,$E472,MAX(S495,0)))</f>
        <v>0</v>
      </c>
      <c r="U489" s="316">
        <f t="shared" ref="U489" si="2665">IF(OR($E472="N/A",U483&gt;$E475),0,IF(U483=$E476,$E472,MAX(T495,0)))</f>
        <v>0</v>
      </c>
      <c r="V489" s="316">
        <f t="shared" ref="V489" si="2666">IF(OR($E472="N/A",V483&gt;$E475),0,IF(V483=$E476,$E472,MAX(U495,0)))</f>
        <v>0</v>
      </c>
      <c r="W489" s="316">
        <f t="shared" ref="W489" si="2667">IF(OR($E472="N/A",W483&gt;$E475),0,IF(W483=$E476,$E472,MAX(V495,0)))</f>
        <v>0</v>
      </c>
      <c r="X489" s="316">
        <f t="shared" ref="X489" si="2668">IF(OR($E472="N/A",X483&gt;$E475),0,IF(X483=$E476,$E472,MAX(W495,0)))</f>
        <v>0</v>
      </c>
      <c r="Y489" s="316">
        <f t="shared" ref="Y489" si="2669">IF(OR($E472="N/A",Y483&gt;$E475),0,IF(Y483=$E476,$E472,MAX(X495,0)))</f>
        <v>0</v>
      </c>
      <c r="Z489" s="316">
        <f t="shared" ref="Z489" si="2670">IF(OR($E472="N/A",Z483&gt;$E475),0,IF(Z483=$E476,$E472,MAX(Y495,0)))</f>
        <v>0</v>
      </c>
      <c r="AA489" s="316">
        <f t="shared" ref="AA489" si="2671">IF(OR($E472="N/A",AA483&gt;$E475),0,IF(AA483=$E476,$E472,MAX(Z495,0)))</f>
        <v>0</v>
      </c>
      <c r="AB489" s="316">
        <f t="shared" ref="AB489" si="2672">IF(OR($E472="N/A",AB483&gt;$E475),0,IF(AB483=$E476,$E472,MAX(AA495,0)))</f>
        <v>0</v>
      </c>
      <c r="AC489" s="316">
        <f t="shared" ref="AC489" si="2673">IF(OR($E472="N/A",AC483&gt;$E475),0,IF(AC483=$E476,$E472,MAX(AB495,0)))</f>
        <v>0</v>
      </c>
      <c r="AD489" s="316">
        <f t="shared" ref="AD489" si="2674">IF(OR($E472="N/A",AD483&gt;$E475),0,IF(AD483=$E476,$E472,MAX(AC495,0)))</f>
        <v>0</v>
      </c>
      <c r="AE489" s="316">
        <f t="shared" ref="AE489" si="2675">IF(OR($E472="N/A",AE483&gt;$E475),0,IF(AE483=$E476,$E472,MAX(AD495,0)))</f>
        <v>0</v>
      </c>
      <c r="AF489" s="316">
        <f t="shared" ref="AF489" si="2676">IF(OR($E472="N/A",AF483&gt;$E475),0,IF(AF483=$E476,$E472,MAX(AE495,0)))</f>
        <v>0</v>
      </c>
      <c r="AG489" s="316">
        <f t="shared" ref="AG489" si="2677">IF(OR($E472="N/A",AG483&gt;$E475),0,IF(AG483=$E476,$E472,MAX(AF495,0)))</f>
        <v>0</v>
      </c>
      <c r="AH489" s="316">
        <f t="shared" ref="AH489" si="2678">IF(OR($E472="N/A",AH483&gt;$E475),0,IF(AH483=$E476,$E472,MAX(AG495,0)))</f>
        <v>0</v>
      </c>
    </row>
    <row r="490" spans="3:34" x14ac:dyDescent="0.2">
      <c r="C490" s="1181" t="s">
        <v>2186</v>
      </c>
      <c r="D490" s="1181"/>
      <c r="E490" s="109">
        <f t="shared" ref="E490:AH490" si="2679">IF(OR($E472="N/A",E483&gt;$E475,E483&lt;$E476),0,E489*$E473)</f>
        <v>0</v>
      </c>
      <c r="F490" s="109">
        <f t="shared" si="2679"/>
        <v>0</v>
      </c>
      <c r="G490" s="109">
        <f t="shared" si="2679"/>
        <v>0</v>
      </c>
      <c r="H490" s="109">
        <f t="shared" si="2679"/>
        <v>0</v>
      </c>
      <c r="I490" s="109">
        <f t="shared" si="2679"/>
        <v>0</v>
      </c>
      <c r="J490" s="109">
        <f t="shared" si="2679"/>
        <v>0</v>
      </c>
      <c r="K490" s="109">
        <f t="shared" si="2679"/>
        <v>0</v>
      </c>
      <c r="L490" s="109">
        <f t="shared" si="2679"/>
        <v>0</v>
      </c>
      <c r="M490" s="109">
        <f t="shared" si="2679"/>
        <v>0</v>
      </c>
      <c r="N490" s="109">
        <f t="shared" si="2679"/>
        <v>0</v>
      </c>
      <c r="O490" s="109">
        <f t="shared" si="2679"/>
        <v>0</v>
      </c>
      <c r="P490" s="109">
        <f t="shared" si="2679"/>
        <v>0</v>
      </c>
      <c r="Q490" s="109">
        <f t="shared" si="2679"/>
        <v>0</v>
      </c>
      <c r="R490" s="109">
        <f t="shared" si="2679"/>
        <v>0</v>
      </c>
      <c r="S490" s="331">
        <f t="shared" si="2679"/>
        <v>0</v>
      </c>
      <c r="T490" s="228">
        <f t="shared" si="2679"/>
        <v>0</v>
      </c>
      <c r="U490" s="109">
        <f t="shared" si="2679"/>
        <v>0</v>
      </c>
      <c r="V490" s="109">
        <f t="shared" si="2679"/>
        <v>0</v>
      </c>
      <c r="W490" s="109">
        <f t="shared" si="2679"/>
        <v>0</v>
      </c>
      <c r="X490" s="109">
        <f t="shared" si="2679"/>
        <v>0</v>
      </c>
      <c r="Y490" s="109">
        <f t="shared" si="2679"/>
        <v>0</v>
      </c>
      <c r="Z490" s="109">
        <f t="shared" si="2679"/>
        <v>0</v>
      </c>
      <c r="AA490" s="109">
        <f t="shared" si="2679"/>
        <v>0</v>
      </c>
      <c r="AB490" s="109">
        <f t="shared" si="2679"/>
        <v>0</v>
      </c>
      <c r="AC490" s="109">
        <f t="shared" si="2679"/>
        <v>0</v>
      </c>
      <c r="AD490" s="109">
        <f t="shared" si="2679"/>
        <v>0</v>
      </c>
      <c r="AE490" s="109">
        <f t="shared" si="2679"/>
        <v>0</v>
      </c>
      <c r="AF490" s="109">
        <f t="shared" si="2679"/>
        <v>0</v>
      </c>
      <c r="AG490" s="109">
        <f t="shared" si="2679"/>
        <v>0</v>
      </c>
      <c r="AH490" s="109">
        <f t="shared" si="2679"/>
        <v>0</v>
      </c>
    </row>
    <row r="491" spans="3:34" x14ac:dyDescent="0.2">
      <c r="C491" s="1181" t="s">
        <v>2270</v>
      </c>
      <c r="D491" s="1181"/>
      <c r="E491" s="346">
        <f t="shared" ref="E491:AH491" si="2680">IF(OR($E472="N/A",E483&gt;$E475,E483&lt;$E476),0,MAX(0,MIN(E490,E488)))</f>
        <v>0</v>
      </c>
      <c r="F491" s="346">
        <f t="shared" si="2680"/>
        <v>0</v>
      </c>
      <c r="G491" s="346">
        <f t="shared" si="2680"/>
        <v>0</v>
      </c>
      <c r="H491" s="346">
        <f t="shared" si="2680"/>
        <v>0</v>
      </c>
      <c r="I491" s="346">
        <f t="shared" si="2680"/>
        <v>0</v>
      </c>
      <c r="J491" s="346">
        <f t="shared" si="2680"/>
        <v>0</v>
      </c>
      <c r="K491" s="346">
        <f t="shared" si="2680"/>
        <v>0</v>
      </c>
      <c r="L491" s="346">
        <f t="shared" si="2680"/>
        <v>0</v>
      </c>
      <c r="M491" s="346">
        <f t="shared" si="2680"/>
        <v>0</v>
      </c>
      <c r="N491" s="346">
        <f t="shared" si="2680"/>
        <v>0</v>
      </c>
      <c r="O491" s="346">
        <f t="shared" si="2680"/>
        <v>0</v>
      </c>
      <c r="P491" s="346">
        <f t="shared" si="2680"/>
        <v>0</v>
      </c>
      <c r="Q491" s="346">
        <f t="shared" si="2680"/>
        <v>0</v>
      </c>
      <c r="R491" s="346">
        <f t="shared" si="2680"/>
        <v>0</v>
      </c>
      <c r="S491" s="442">
        <f t="shared" si="2680"/>
        <v>0</v>
      </c>
      <c r="T491" s="435">
        <f t="shared" si="2680"/>
        <v>0</v>
      </c>
      <c r="U491" s="346">
        <f t="shared" si="2680"/>
        <v>0</v>
      </c>
      <c r="V491" s="346">
        <f t="shared" si="2680"/>
        <v>0</v>
      </c>
      <c r="W491" s="346">
        <f t="shared" si="2680"/>
        <v>0</v>
      </c>
      <c r="X491" s="346">
        <f t="shared" si="2680"/>
        <v>0</v>
      </c>
      <c r="Y491" s="346">
        <f t="shared" si="2680"/>
        <v>0</v>
      </c>
      <c r="Z491" s="346">
        <f t="shared" si="2680"/>
        <v>0</v>
      </c>
      <c r="AA491" s="346">
        <f t="shared" si="2680"/>
        <v>0</v>
      </c>
      <c r="AB491" s="346">
        <f t="shared" si="2680"/>
        <v>0</v>
      </c>
      <c r="AC491" s="346">
        <f t="shared" si="2680"/>
        <v>0</v>
      </c>
      <c r="AD491" s="346">
        <f t="shared" si="2680"/>
        <v>0</v>
      </c>
      <c r="AE491" s="346">
        <f t="shared" si="2680"/>
        <v>0</v>
      </c>
      <c r="AF491" s="346">
        <f t="shared" si="2680"/>
        <v>0</v>
      </c>
      <c r="AG491" s="346">
        <f t="shared" si="2680"/>
        <v>0</v>
      </c>
      <c r="AH491" s="346">
        <f t="shared" si="2680"/>
        <v>0</v>
      </c>
    </row>
    <row r="492" spans="3:34" x14ac:dyDescent="0.2">
      <c r="C492" s="1181" t="s">
        <v>2271</v>
      </c>
      <c r="D492" s="1181"/>
      <c r="E492" s="346">
        <f t="shared" ref="E492:AH492" si="2681">IF(OR($E472="N/A",E483&gt;$E475,E483&lt;$E476),0,E491-E490)</f>
        <v>0</v>
      </c>
      <c r="F492" s="346">
        <f t="shared" si="2681"/>
        <v>0</v>
      </c>
      <c r="G492" s="346">
        <f t="shared" si="2681"/>
        <v>0</v>
      </c>
      <c r="H492" s="346">
        <f t="shared" si="2681"/>
        <v>0</v>
      </c>
      <c r="I492" s="346">
        <f t="shared" si="2681"/>
        <v>0</v>
      </c>
      <c r="J492" s="346">
        <f t="shared" si="2681"/>
        <v>0</v>
      </c>
      <c r="K492" s="346">
        <f t="shared" si="2681"/>
        <v>0</v>
      </c>
      <c r="L492" s="346">
        <f t="shared" si="2681"/>
        <v>0</v>
      </c>
      <c r="M492" s="346">
        <f t="shared" si="2681"/>
        <v>0</v>
      </c>
      <c r="N492" s="346">
        <f t="shared" si="2681"/>
        <v>0</v>
      </c>
      <c r="O492" s="346">
        <f t="shared" si="2681"/>
        <v>0</v>
      </c>
      <c r="P492" s="346">
        <f t="shared" si="2681"/>
        <v>0</v>
      </c>
      <c r="Q492" s="346">
        <f t="shared" si="2681"/>
        <v>0</v>
      </c>
      <c r="R492" s="346">
        <f t="shared" si="2681"/>
        <v>0</v>
      </c>
      <c r="S492" s="442">
        <f t="shared" si="2681"/>
        <v>0</v>
      </c>
      <c r="T492" s="435">
        <f t="shared" si="2681"/>
        <v>0</v>
      </c>
      <c r="U492" s="346">
        <f t="shared" si="2681"/>
        <v>0</v>
      </c>
      <c r="V492" s="346">
        <f t="shared" si="2681"/>
        <v>0</v>
      </c>
      <c r="W492" s="346">
        <f t="shared" si="2681"/>
        <v>0</v>
      </c>
      <c r="X492" s="346">
        <f t="shared" si="2681"/>
        <v>0</v>
      </c>
      <c r="Y492" s="346">
        <f t="shared" si="2681"/>
        <v>0</v>
      </c>
      <c r="Z492" s="346">
        <f t="shared" si="2681"/>
        <v>0</v>
      </c>
      <c r="AA492" s="346">
        <f t="shared" si="2681"/>
        <v>0</v>
      </c>
      <c r="AB492" s="346">
        <f t="shared" si="2681"/>
        <v>0</v>
      </c>
      <c r="AC492" s="346">
        <f t="shared" si="2681"/>
        <v>0</v>
      </c>
      <c r="AD492" s="346">
        <f t="shared" si="2681"/>
        <v>0</v>
      </c>
      <c r="AE492" s="346">
        <f t="shared" si="2681"/>
        <v>0</v>
      </c>
      <c r="AF492" s="346">
        <f t="shared" si="2681"/>
        <v>0</v>
      </c>
      <c r="AG492" s="346">
        <f t="shared" si="2681"/>
        <v>0</v>
      </c>
      <c r="AH492" s="346">
        <f t="shared" si="2681"/>
        <v>0</v>
      </c>
    </row>
    <row r="493" spans="3:34" ht="15" thickBot="1" x14ac:dyDescent="0.25">
      <c r="C493" s="1448" t="s">
        <v>2272</v>
      </c>
      <c r="D493" s="1448"/>
      <c r="E493" s="411">
        <f>IF(OR($E472="N/A",E483&gt;$E475,E483&lt;$E476),0,MAX(0,MIN(E488-E491,E489)))</f>
        <v>0</v>
      </c>
      <c r="F493" s="411">
        <f>IF(OR($E472="N/A",F483&gt;$E475,F483&lt;$E476),0,MAX(0,MIN(F488-F491,F489)))</f>
        <v>0</v>
      </c>
      <c r="G493" s="411">
        <f t="shared" ref="G493:AH493" si="2682">IF(OR($E472="N/A",G483&gt;$E475,G483&lt;$E476),0,MAX(0,MIN(G488-G491,G489)))</f>
        <v>0</v>
      </c>
      <c r="H493" s="411">
        <f t="shared" si="2682"/>
        <v>0</v>
      </c>
      <c r="I493" s="411">
        <f t="shared" si="2682"/>
        <v>0</v>
      </c>
      <c r="J493" s="411">
        <f t="shared" si="2682"/>
        <v>0</v>
      </c>
      <c r="K493" s="411">
        <f t="shared" si="2682"/>
        <v>0</v>
      </c>
      <c r="L493" s="411">
        <f t="shared" si="2682"/>
        <v>0</v>
      </c>
      <c r="M493" s="411">
        <f t="shared" si="2682"/>
        <v>0</v>
      </c>
      <c r="N493" s="411">
        <f t="shared" si="2682"/>
        <v>0</v>
      </c>
      <c r="O493" s="411">
        <f t="shared" si="2682"/>
        <v>0</v>
      </c>
      <c r="P493" s="411">
        <f t="shared" si="2682"/>
        <v>0</v>
      </c>
      <c r="Q493" s="411">
        <f t="shared" si="2682"/>
        <v>0</v>
      </c>
      <c r="R493" s="411">
        <f t="shared" si="2682"/>
        <v>0</v>
      </c>
      <c r="S493" s="443">
        <f t="shared" si="2682"/>
        <v>0</v>
      </c>
      <c r="T493" s="431">
        <f t="shared" si="2682"/>
        <v>0</v>
      </c>
      <c r="U493" s="411">
        <f t="shared" si="2682"/>
        <v>0</v>
      </c>
      <c r="V493" s="411">
        <f t="shared" si="2682"/>
        <v>0</v>
      </c>
      <c r="W493" s="411">
        <f t="shared" si="2682"/>
        <v>0</v>
      </c>
      <c r="X493" s="411">
        <f t="shared" si="2682"/>
        <v>0</v>
      </c>
      <c r="Y493" s="411">
        <f t="shared" si="2682"/>
        <v>0</v>
      </c>
      <c r="Z493" s="411">
        <f t="shared" si="2682"/>
        <v>0</v>
      </c>
      <c r="AA493" s="411">
        <f t="shared" si="2682"/>
        <v>0</v>
      </c>
      <c r="AB493" s="411">
        <f t="shared" si="2682"/>
        <v>0</v>
      </c>
      <c r="AC493" s="411">
        <f t="shared" si="2682"/>
        <v>0</v>
      </c>
      <c r="AD493" s="411">
        <f t="shared" si="2682"/>
        <v>0</v>
      </c>
      <c r="AE493" s="411">
        <f t="shared" si="2682"/>
        <v>0</v>
      </c>
      <c r="AF493" s="411">
        <f t="shared" si="2682"/>
        <v>0</v>
      </c>
      <c r="AG493" s="411">
        <f t="shared" si="2682"/>
        <v>0</v>
      </c>
      <c r="AH493" s="411">
        <f t="shared" si="2682"/>
        <v>0</v>
      </c>
    </row>
    <row r="494" spans="3:34" ht="15" thickTop="1" x14ac:dyDescent="0.2">
      <c r="C494" s="1449" t="s">
        <v>2282</v>
      </c>
      <c r="D494" s="1449"/>
      <c r="E494" s="430">
        <f>SUM(E491,E493)</f>
        <v>0</v>
      </c>
      <c r="F494" s="430">
        <f>SUM(F491,F493)</f>
        <v>0</v>
      </c>
      <c r="G494" s="430">
        <f t="shared" ref="G494" si="2683">SUM(G491,G493)</f>
        <v>0</v>
      </c>
      <c r="H494" s="430">
        <f t="shared" ref="H494" si="2684">SUM(H491,H493)</f>
        <v>0</v>
      </c>
      <c r="I494" s="430">
        <f t="shared" ref="I494" si="2685">SUM(I491,I493)</f>
        <v>0</v>
      </c>
      <c r="J494" s="430">
        <f t="shared" ref="J494" si="2686">SUM(J491,J493)</f>
        <v>0</v>
      </c>
      <c r="K494" s="430">
        <f t="shared" ref="K494" si="2687">SUM(K491,K493)</f>
        <v>0</v>
      </c>
      <c r="L494" s="430">
        <f t="shared" ref="L494" si="2688">SUM(L491,L493)</f>
        <v>0</v>
      </c>
      <c r="M494" s="430">
        <f t="shared" ref="M494" si="2689">SUM(M491,M493)</f>
        <v>0</v>
      </c>
      <c r="N494" s="430">
        <f t="shared" ref="N494" si="2690">SUM(N491,N493)</f>
        <v>0</v>
      </c>
      <c r="O494" s="430">
        <f t="shared" ref="O494" si="2691">SUM(O491,O493)</f>
        <v>0</v>
      </c>
      <c r="P494" s="430">
        <f t="shared" ref="P494" si="2692">SUM(P491,P493)</f>
        <v>0</v>
      </c>
      <c r="Q494" s="430">
        <f t="shared" ref="Q494" si="2693">SUM(Q491,Q493)</f>
        <v>0</v>
      </c>
      <c r="R494" s="430">
        <f t="shared" ref="R494" si="2694">SUM(R491,R493)</f>
        <v>0</v>
      </c>
      <c r="S494" s="444">
        <f t="shared" ref="S494" si="2695">SUM(S491,S493)</f>
        <v>0</v>
      </c>
      <c r="T494" s="436">
        <f t="shared" ref="T494" si="2696">SUM(T491,T493)</f>
        <v>0</v>
      </c>
      <c r="U494" s="430">
        <f t="shared" ref="U494" si="2697">SUM(U491,U493)</f>
        <v>0</v>
      </c>
      <c r="V494" s="430">
        <f t="shared" ref="V494" si="2698">SUM(V491,V493)</f>
        <v>0</v>
      </c>
      <c r="W494" s="430">
        <f t="shared" ref="W494" si="2699">SUM(W491,W493)</f>
        <v>0</v>
      </c>
      <c r="X494" s="430">
        <f t="shared" ref="X494" si="2700">SUM(X491,X493)</f>
        <v>0</v>
      </c>
      <c r="Y494" s="430">
        <f t="shared" ref="Y494" si="2701">SUM(Y491,Y493)</f>
        <v>0</v>
      </c>
      <c r="Z494" s="430">
        <f t="shared" ref="Z494" si="2702">SUM(Z491,Z493)</f>
        <v>0</v>
      </c>
      <c r="AA494" s="430">
        <f t="shared" ref="AA494" si="2703">SUM(AA491,AA493)</f>
        <v>0</v>
      </c>
      <c r="AB494" s="430">
        <f t="shared" ref="AB494" si="2704">SUM(AB491,AB493)</f>
        <v>0</v>
      </c>
      <c r="AC494" s="430">
        <f t="shared" ref="AC494" si="2705">SUM(AC491,AC493)</f>
        <v>0</v>
      </c>
      <c r="AD494" s="430">
        <f t="shared" ref="AD494" si="2706">SUM(AD491,AD493)</f>
        <v>0</v>
      </c>
      <c r="AE494" s="430">
        <f t="shared" ref="AE494" si="2707">SUM(AE491,AE493)</f>
        <v>0</v>
      </c>
      <c r="AF494" s="430">
        <f t="shared" ref="AF494" si="2708">SUM(AF491,AF493)</f>
        <v>0</v>
      </c>
      <c r="AG494" s="430">
        <f t="shared" ref="AG494" si="2709">SUM(AG491,AG493)</f>
        <v>0</v>
      </c>
      <c r="AH494" s="430">
        <f t="shared" ref="AH494" si="2710">SUM(AH491,AH493)</f>
        <v>0</v>
      </c>
    </row>
    <row r="495" spans="3:34" x14ac:dyDescent="0.2">
      <c r="C495" s="1181" t="s">
        <v>2190</v>
      </c>
      <c r="D495" s="1181"/>
      <c r="E495" s="342">
        <f>IF(OR($E472="N/A",E483&gt;$E475,E483&lt;$E476),0,IF($E474="Compound",E489-E493-E492,MAX(0,E489-E493)))</f>
        <v>0</v>
      </c>
      <c r="F495" s="342">
        <f>IF(OR($E472="N/A",F483&gt;$E475,F483&lt;$E476),0,IF($E474="Compound",F489-F493-F492,MAX(0,F489-F493)))</f>
        <v>0</v>
      </c>
      <c r="G495" s="342">
        <f t="shared" ref="G495:AH495" si="2711">IF(OR($E472="N/A",G483&gt;$E475,G483&lt;$E476),0,IF($E474="Compound",G489-G493-G492,MAX(0,G489-G493)))</f>
        <v>0</v>
      </c>
      <c r="H495" s="342">
        <f t="shared" si="2711"/>
        <v>0</v>
      </c>
      <c r="I495" s="342">
        <f t="shared" si="2711"/>
        <v>0</v>
      </c>
      <c r="J495" s="342">
        <f t="shared" si="2711"/>
        <v>0</v>
      </c>
      <c r="K495" s="342">
        <f t="shared" si="2711"/>
        <v>0</v>
      </c>
      <c r="L495" s="342">
        <f t="shared" si="2711"/>
        <v>0</v>
      </c>
      <c r="M495" s="342">
        <f t="shared" si="2711"/>
        <v>0</v>
      </c>
      <c r="N495" s="342">
        <f t="shared" si="2711"/>
        <v>0</v>
      </c>
      <c r="O495" s="342">
        <f t="shared" si="2711"/>
        <v>0</v>
      </c>
      <c r="P495" s="342">
        <f t="shared" si="2711"/>
        <v>0</v>
      </c>
      <c r="Q495" s="342">
        <f t="shared" si="2711"/>
        <v>0</v>
      </c>
      <c r="R495" s="342">
        <f t="shared" si="2711"/>
        <v>0</v>
      </c>
      <c r="S495" s="445">
        <f t="shared" si="2711"/>
        <v>0</v>
      </c>
      <c r="T495" s="437">
        <f t="shared" si="2711"/>
        <v>0</v>
      </c>
      <c r="U495" s="342">
        <f t="shared" si="2711"/>
        <v>0</v>
      </c>
      <c r="V495" s="342">
        <f t="shared" si="2711"/>
        <v>0</v>
      </c>
      <c r="W495" s="342">
        <f t="shared" si="2711"/>
        <v>0</v>
      </c>
      <c r="X495" s="342">
        <f t="shared" si="2711"/>
        <v>0</v>
      </c>
      <c r="Y495" s="342">
        <f t="shared" si="2711"/>
        <v>0</v>
      </c>
      <c r="Z495" s="342">
        <f t="shared" si="2711"/>
        <v>0</v>
      </c>
      <c r="AA495" s="342">
        <f t="shared" si="2711"/>
        <v>0</v>
      </c>
      <c r="AB495" s="342">
        <f t="shared" si="2711"/>
        <v>0</v>
      </c>
      <c r="AC495" s="342">
        <f t="shared" si="2711"/>
        <v>0</v>
      </c>
      <c r="AD495" s="342">
        <f t="shared" si="2711"/>
        <v>0</v>
      </c>
      <c r="AE495" s="342">
        <f t="shared" si="2711"/>
        <v>0</v>
      </c>
      <c r="AF495" s="342">
        <f t="shared" si="2711"/>
        <v>0</v>
      </c>
      <c r="AG495" s="342">
        <f t="shared" si="2711"/>
        <v>0</v>
      </c>
      <c r="AH495" s="342">
        <f t="shared" si="2711"/>
        <v>0</v>
      </c>
    </row>
    <row r="496" spans="3:34" x14ac:dyDescent="0.2">
      <c r="C496" s="317"/>
      <c r="D496" s="317"/>
      <c r="E496" s="74"/>
      <c r="F496" s="74"/>
      <c r="G496" s="74"/>
      <c r="H496" s="74"/>
      <c r="I496" s="74"/>
      <c r="J496" s="74"/>
      <c r="K496" s="74"/>
      <c r="L496" s="74"/>
      <c r="M496" s="74"/>
      <c r="N496" s="74"/>
      <c r="O496" s="74"/>
      <c r="P496" s="74"/>
      <c r="Q496" s="74"/>
      <c r="R496" s="74"/>
      <c r="S496" s="333"/>
      <c r="T496" s="74"/>
      <c r="U496" s="74"/>
      <c r="V496" s="74"/>
      <c r="W496" s="74"/>
      <c r="X496" s="74"/>
      <c r="Y496" s="74"/>
      <c r="Z496" s="74"/>
      <c r="AA496" s="74"/>
      <c r="AB496" s="74"/>
      <c r="AC496" s="74"/>
      <c r="AD496" s="74"/>
      <c r="AE496" s="74"/>
      <c r="AF496" s="74"/>
      <c r="AG496" s="74"/>
      <c r="AH496" s="74"/>
    </row>
    <row r="497" spans="3:34" ht="15" x14ac:dyDescent="0.2">
      <c r="C497" s="432" t="s">
        <v>2287</v>
      </c>
      <c r="D497" s="317"/>
      <c r="E497" s="74"/>
      <c r="F497" s="74"/>
      <c r="G497" s="74"/>
      <c r="H497" s="74"/>
      <c r="I497" s="74"/>
      <c r="J497" s="74"/>
      <c r="K497" s="74"/>
      <c r="L497" s="74"/>
      <c r="M497" s="74"/>
      <c r="N497" s="74"/>
      <c r="O497" s="74"/>
      <c r="P497" s="74"/>
      <c r="Q497" s="74"/>
      <c r="R497" s="74"/>
      <c r="S497" s="333"/>
      <c r="T497" s="74"/>
      <c r="U497" s="74"/>
      <c r="V497" s="74"/>
      <c r="W497" s="74"/>
      <c r="X497" s="74"/>
      <c r="Y497" s="74"/>
      <c r="Z497" s="74"/>
      <c r="AA497" s="74"/>
      <c r="AB497" s="74"/>
      <c r="AC497" s="74"/>
      <c r="AD497" s="74"/>
      <c r="AE497" s="74"/>
      <c r="AF497" s="74"/>
      <c r="AG497" s="74"/>
      <c r="AH497" s="74"/>
    </row>
    <row r="498" spans="3:34" x14ac:dyDescent="0.2">
      <c r="C498" s="1234" t="s">
        <v>2273</v>
      </c>
      <c r="D498" s="1234"/>
      <c r="E498" s="421">
        <f>IF($I472="N/A",0,IF(E483&gt;$I477,0,MIN($I476,$I472*$I474)))</f>
        <v>0</v>
      </c>
      <c r="F498" s="236">
        <f t="shared" ref="F498" si="2712">IF($I472="N/A",0,IF(F483&gt;$I477,0,MIN($I476,$I472*$I474*(1+$I473)^E$63)))</f>
        <v>0</v>
      </c>
      <c r="G498" s="236">
        <f t="shared" ref="G498" si="2713">IF($I472="N/A",0,IF(G483&gt;$I477,0,MIN($I476,$I472*$I474*(1+$I473)^F$63)))</f>
        <v>0</v>
      </c>
      <c r="H498" s="236">
        <f t="shared" ref="H498" si="2714">IF($I472="N/A",0,IF(H483&gt;$I477,0,MIN($I476,$I472*$I474*(1+$I473)^G$63)))</f>
        <v>0</v>
      </c>
      <c r="I498" s="236">
        <f t="shared" ref="I498" si="2715">IF($I472="N/A",0,IF(I483&gt;$I477,0,MIN($I476,$I472*$I474*(1+$I473)^H$63)))</f>
        <v>0</v>
      </c>
      <c r="J498" s="236">
        <f t="shared" ref="J498" si="2716">IF($I472="N/A",0,IF(J483&gt;$I477,0,MIN($I476,$I472*$I474*(1+$I473)^I$63)))</f>
        <v>0</v>
      </c>
      <c r="K498" s="236">
        <f t="shared" ref="K498" si="2717">IF($I472="N/A",0,IF(K483&gt;$I477,0,MIN($I476,$I472*$I474*(1+$I473)^J$63)))</f>
        <v>0</v>
      </c>
      <c r="L498" s="236">
        <f t="shared" ref="L498" si="2718">IF($I472="N/A",0,IF(L483&gt;$I477,0,MIN($I476,$I472*$I474*(1+$I473)^K$63)))</f>
        <v>0</v>
      </c>
      <c r="M498" s="236">
        <f t="shared" ref="M498" si="2719">IF($I472="N/A",0,IF(M483&gt;$I477,0,MIN($I476,$I472*$I474*(1+$I473)^L$63)))</f>
        <v>0</v>
      </c>
      <c r="N498" s="236">
        <f t="shared" ref="N498" si="2720">IF($I472="N/A",0,IF(N483&gt;$I477,0,MIN($I476,$I472*$I474*(1+$I473)^M$63)))</f>
        <v>0</v>
      </c>
      <c r="O498" s="236">
        <f t="shared" ref="O498" si="2721">IF($I472="N/A",0,IF(O483&gt;$I477,0,MIN($I476,$I472*$I474*(1+$I473)^N$63)))</f>
        <v>0</v>
      </c>
      <c r="P498" s="236">
        <f t="shared" ref="P498" si="2722">IF($I472="N/A",0,IF(P483&gt;$I477,0,MIN($I476,$I472*$I474*(1+$I473)^O$63)))</f>
        <v>0</v>
      </c>
      <c r="Q498" s="236">
        <f t="shared" ref="Q498" si="2723">IF($I472="N/A",0,IF(Q483&gt;$I477,0,MIN($I476,$I472*$I474*(1+$I473)^P$63)))</f>
        <v>0</v>
      </c>
      <c r="R498" s="236">
        <f t="shared" ref="R498" si="2724">IF($I472="N/A",0,IF(R483&gt;$I477,0,MIN($I476,$I472*$I474*(1+$I473)^Q$63)))</f>
        <v>0</v>
      </c>
      <c r="S498" s="446">
        <f t="shared" ref="S498" si="2725">IF($I472="N/A",0,IF(S483&gt;$I477,0,MIN($I476,$I472*$I474*(1+$I473)^R$63)))</f>
        <v>0</v>
      </c>
      <c r="T498" s="438">
        <f t="shared" ref="T498" si="2726">IF($I472="N/A",0,IF(T483&gt;$I477,0,MIN($I476,$I472*$I474*(1+$I473)^S$63)))</f>
        <v>0</v>
      </c>
      <c r="U498" s="236">
        <f t="shared" ref="U498" si="2727">IF($I472="N/A",0,IF(U483&gt;$I477,0,MIN($I476,$I472*$I474*(1+$I473)^T$63)))</f>
        <v>0</v>
      </c>
      <c r="V498" s="236">
        <f t="shared" ref="V498" si="2728">IF($I472="N/A",0,IF(V483&gt;$I477,0,MIN($I476,$I472*$I474*(1+$I473)^U$63)))</f>
        <v>0</v>
      </c>
      <c r="W498" s="236">
        <f t="shared" ref="W498" si="2729">IF($I472="N/A",0,IF(W483&gt;$I477,0,MIN($I476,$I472*$I474*(1+$I473)^V$63)))</f>
        <v>0</v>
      </c>
      <c r="X498" s="236">
        <f t="shared" ref="X498" si="2730">IF($I472="N/A",0,IF(X483&gt;$I477,0,MIN($I476,$I472*$I474*(1+$I473)^W$63)))</f>
        <v>0</v>
      </c>
      <c r="Y498" s="236">
        <f t="shared" ref="Y498" si="2731">IF($I472="N/A",0,IF(Y483&gt;$I477,0,MIN($I476,$I472*$I474*(1+$I473)^X$63)))</f>
        <v>0</v>
      </c>
      <c r="Z498" s="236">
        <f t="shared" ref="Z498" si="2732">IF($I472="N/A",0,IF(Z483&gt;$I477,0,MIN($I476,$I472*$I474*(1+$I473)^Y$63)))</f>
        <v>0</v>
      </c>
      <c r="AA498" s="236">
        <f t="shared" ref="AA498" si="2733">IF($I472="N/A",0,IF(AA483&gt;$I477,0,MIN($I476,$I472*$I474*(1+$I473)^Z$63)))</f>
        <v>0</v>
      </c>
      <c r="AB498" s="236">
        <f t="shared" ref="AB498" si="2734">IF($I472="N/A",0,IF(AB483&gt;$I477,0,MIN($I476,$I472*$I474*(1+$I473)^AA$63)))</f>
        <v>0</v>
      </c>
      <c r="AC498" s="236">
        <f t="shared" ref="AC498" si="2735">IF($I472="N/A",0,IF(AC483&gt;$I477,0,MIN($I476,$I472*$I474*(1+$I473)^AB$63)))</f>
        <v>0</v>
      </c>
      <c r="AD498" s="236">
        <f t="shared" ref="AD498" si="2736">IF($I472="N/A",0,IF(AD483&gt;$I477,0,MIN($I476,$I472*$I474*(1+$I473)^AC$63)))</f>
        <v>0</v>
      </c>
      <c r="AE498" s="236">
        <f t="shared" ref="AE498" si="2737">IF($I472="N/A",0,IF(AE483&gt;$I477,0,MIN($I476,$I472*$I474*(1+$I473)^AD$63)))</f>
        <v>0</v>
      </c>
      <c r="AF498" s="236">
        <f t="shared" ref="AF498" si="2738">IF($I472="N/A",0,IF(AF483&gt;$I477,0,MIN($I476,$I472*$I474*(1+$I473)^AE$63)))</f>
        <v>0</v>
      </c>
      <c r="AG498" s="236">
        <f t="shared" ref="AG498" si="2739">IF($I472="N/A",0,IF(AG483&gt;$I477,0,MIN($I476,$I472*$I474*(1+$I473)^AF$63)))</f>
        <v>0</v>
      </c>
      <c r="AH498" s="236">
        <f t="shared" ref="AH498" si="2740">IF($I472="N/A",0,IF(AH483&gt;$I477,0,MIN($I476,$I472*$I474*(1+$I473)^AG$63)))</f>
        <v>0</v>
      </c>
    </row>
    <row r="499" spans="3:34" x14ac:dyDescent="0.2">
      <c r="C499" s="1450" t="s">
        <v>2274</v>
      </c>
      <c r="D499" s="1451"/>
      <c r="E499" s="422">
        <f>IF($I472="N/A",0,IF(E483&gt;$I477,0,MAX(0,MIN(E498,$I472*$I474,E485))))</f>
        <v>0</v>
      </c>
      <c r="F499" s="521">
        <f t="shared" ref="F499" si="2741">IF($I472="N/A",0,IF(F483&gt;$I477,0,IF($I475="Yes",MAX(0,MIN(F485*$I474,E501+F498,$I476)),MAX(0,MIN(F498,F485*$I474,$I476)))))</f>
        <v>0</v>
      </c>
      <c r="G499" s="521">
        <f t="shared" ref="G499" si="2742">IF($I472="N/A",0,IF(G483&gt;$I477,0,IF($I475="Yes",MAX(0,MIN(G485*$I474,F501+G498,$I476)),MAX(0,MIN(G498,G485*$I474,$I476)))))</f>
        <v>0</v>
      </c>
      <c r="H499" s="521">
        <f t="shared" ref="H499" si="2743">IF($I472="N/A",0,IF(H483&gt;$I477,0,IF($I475="Yes",MAX(0,MIN(H485*$I474,G501+H498,$I476)),MAX(0,MIN(H498,H485*$I474,$I476)))))</f>
        <v>0</v>
      </c>
      <c r="I499" s="521">
        <f t="shared" ref="I499" si="2744">IF($I472="N/A",0,IF(I483&gt;$I477,0,IF($I475="Yes",MAX(0,MIN(I485*$I474,H501+I498,$I476)),MAX(0,MIN(I498,I485*$I474,$I476)))))</f>
        <v>0</v>
      </c>
      <c r="J499" s="521">
        <f t="shared" ref="J499" si="2745">IF($I472="N/A",0,IF(J483&gt;$I477,0,IF($I475="Yes",MAX(0,MIN(J485*$I474,I501+J498,$I476)),MAX(0,MIN(J498,J485*$I474,$I476)))))</f>
        <v>0</v>
      </c>
      <c r="K499" s="521">
        <f t="shared" ref="K499" si="2746">IF($I472="N/A",0,IF(K483&gt;$I477,0,IF($I475="Yes",MAX(0,MIN(K485*$I474,J501+K498,$I476)),MAX(0,MIN(K498,K485*$I474,$I476)))))</f>
        <v>0</v>
      </c>
      <c r="L499" s="521">
        <f t="shared" ref="L499" si="2747">IF($I472="N/A",0,IF(L483&gt;$I477,0,IF($I475="Yes",MAX(0,MIN(L485*$I474,K501+L498,$I476)),MAX(0,MIN(L498,L485*$I474,$I476)))))</f>
        <v>0</v>
      </c>
      <c r="M499" s="521">
        <f t="shared" ref="M499" si="2748">IF($I472="N/A",0,IF(M483&gt;$I477,0,IF($I475="Yes",MAX(0,MIN(M485*$I474,L501+M498,$I476)),MAX(0,MIN(M498,M485*$I474,$I476)))))</f>
        <v>0</v>
      </c>
      <c r="N499" s="521">
        <f t="shared" ref="N499" si="2749">IF($I472="N/A",0,IF(N483&gt;$I477,0,IF($I475="Yes",MAX(0,MIN(N485*$I474,M501+N498,$I476)),MAX(0,MIN(N498,N485*$I474,$I476)))))</f>
        <v>0</v>
      </c>
      <c r="O499" s="521">
        <f t="shared" ref="O499" si="2750">IF($I472="N/A",0,IF(O483&gt;$I477,0,IF($I475="Yes",MAX(0,MIN(O485*$I474,N501+O498,$I476)),MAX(0,MIN(O498,O485*$I474,$I476)))))</f>
        <v>0</v>
      </c>
      <c r="P499" s="521">
        <f t="shared" ref="P499" si="2751">IF($I472="N/A",0,IF(P483&gt;$I477,0,IF($I475="Yes",MAX(0,MIN(P485*$I474,O501+P498,$I476)),MAX(0,MIN(P498,P485*$I474,$I476)))))</f>
        <v>0</v>
      </c>
      <c r="Q499" s="521">
        <f t="shared" ref="Q499" si="2752">IF($I472="N/A",0,IF(Q483&gt;$I477,0,IF($I475="Yes",MAX(0,MIN(Q485*$I474,P501+Q498,$I476)),MAX(0,MIN(Q498,Q485*$I474,$I476)))))</f>
        <v>0</v>
      </c>
      <c r="R499" s="521">
        <f t="shared" ref="R499" si="2753">IF($I472="N/A",0,IF(R483&gt;$I477,0,IF($I475="Yes",MAX(0,MIN(R485*$I474,Q501+R498,$I476)),MAX(0,MIN(R498,R485*$I474,$I476)))))</f>
        <v>0</v>
      </c>
      <c r="S499" s="523">
        <f t="shared" ref="S499" si="2754">IF($I472="N/A",0,IF(S483&gt;$I477,0,IF($I475="Yes",MAX(0,MIN(S485*$I474,R501+S498,$I476)),MAX(0,MIN(S498,S485*$I474,$I476)))))</f>
        <v>0</v>
      </c>
      <c r="T499" s="522">
        <f t="shared" ref="T499" si="2755">IF($I472="N/A",0,IF(T483&gt;$I477,0,IF($I475="Yes",MAX(0,MIN(T485*$I474,S501+T498,$I476)),MAX(0,MIN(T498,T485*$I474,$I476)))))</f>
        <v>0</v>
      </c>
      <c r="U499" s="521">
        <f t="shared" ref="U499" si="2756">IF($I472="N/A",0,IF(U483&gt;$I477,0,IF($I475="Yes",MAX(0,MIN(U485*$I474,T501+U498,$I476)),MAX(0,MIN(U498,U485*$I474,$I476)))))</f>
        <v>0</v>
      </c>
      <c r="V499" s="521">
        <f t="shared" ref="V499" si="2757">IF($I472="N/A",0,IF(V483&gt;$I477,0,IF($I475="Yes",MAX(0,MIN(V485*$I474,U501+V498,$I476)),MAX(0,MIN(V498,V485*$I474,$I476)))))</f>
        <v>0</v>
      </c>
      <c r="W499" s="521">
        <f t="shared" ref="W499" si="2758">IF($I472="N/A",0,IF(W483&gt;$I477,0,IF($I475="Yes",MAX(0,MIN(W485*$I474,V501+W498,$I476)),MAX(0,MIN(W498,W485*$I474,$I476)))))</f>
        <v>0</v>
      </c>
      <c r="X499" s="521">
        <f t="shared" ref="X499" si="2759">IF($I472="N/A",0,IF(X483&gt;$I477,0,IF($I475="Yes",MAX(0,MIN(X485*$I474,W501+X498,$I476)),MAX(0,MIN(X498,X485*$I474,$I476)))))</f>
        <v>0</v>
      </c>
      <c r="Y499" s="521">
        <f t="shared" ref="Y499" si="2760">IF($I472="N/A",0,IF(Y483&gt;$I477,0,IF($I475="Yes",MAX(0,MIN(Y485*$I474,X501+Y498,$I476)),MAX(0,MIN(Y498,Y485*$I474,$I476)))))</f>
        <v>0</v>
      </c>
      <c r="Z499" s="521">
        <f t="shared" ref="Z499" si="2761">IF($I472="N/A",0,IF(Z483&gt;$I477,0,IF($I475="Yes",MAX(0,MIN(Z485*$I474,Y501+Z498,$I476)),MAX(0,MIN(Z498,Z485*$I474,$I476)))))</f>
        <v>0</v>
      </c>
      <c r="AA499" s="521">
        <f t="shared" ref="AA499" si="2762">IF($I472="N/A",0,IF(AA483&gt;$I477,0,IF($I475="Yes",MAX(0,MIN(AA485*$I474,Z501+AA498,$I476)),MAX(0,MIN(AA498,AA485*$I474,$I476)))))</f>
        <v>0</v>
      </c>
      <c r="AB499" s="521">
        <f t="shared" ref="AB499" si="2763">IF($I472="N/A",0,IF(AB483&gt;$I477,0,IF($I475="Yes",MAX(0,MIN(AB485*$I474,AA501+AB498,$I476)),MAX(0,MIN(AB498,AB485*$I474,$I476)))))</f>
        <v>0</v>
      </c>
      <c r="AC499" s="521">
        <f t="shared" ref="AC499" si="2764">IF($I472="N/A",0,IF(AC483&gt;$I477,0,IF($I475="Yes",MAX(0,MIN(AC485*$I474,AB501+AC498,$I476)),MAX(0,MIN(AC498,AC485*$I474,$I476)))))</f>
        <v>0</v>
      </c>
      <c r="AD499" s="521">
        <f t="shared" ref="AD499" si="2765">IF($I472="N/A",0,IF(AD483&gt;$I477,0,IF($I475="Yes",MAX(0,MIN(AD485*$I474,AC501+AD498,$I476)),MAX(0,MIN(AD498,AD485*$I474,$I476)))))</f>
        <v>0</v>
      </c>
      <c r="AE499" s="521">
        <f t="shared" ref="AE499" si="2766">IF($I472="N/A",0,IF(AE483&gt;$I477,0,IF($I475="Yes",MAX(0,MIN(AE485*$I474,AD501+AE498,$I476)),MAX(0,MIN(AE498,AE485*$I474,$I476)))))</f>
        <v>0</v>
      </c>
      <c r="AF499" s="521">
        <f t="shared" ref="AF499" si="2767">IF($I472="N/A",0,IF(AF483&gt;$I477,0,IF($I475="Yes",MAX(0,MIN(AF485*$I474,AE501+AF498,$I476)),MAX(0,MIN(AF498,AF485*$I474,$I476)))))</f>
        <v>0</v>
      </c>
      <c r="AG499" s="521">
        <f t="shared" ref="AG499" si="2768">IF($I472="N/A",0,IF(AG483&gt;$I477,0,IF($I475="Yes",MAX(0,MIN(AG485*$I474,AF501+AG498,$I476)),MAX(0,MIN(AG498,AG485*$I474,$I476)))))</f>
        <v>0</v>
      </c>
      <c r="AH499" s="521">
        <f t="shared" ref="AH499" si="2769">IF($I472="N/A",0,IF(AH483&gt;$I477,0,IF($I475="Yes",MAX(0,MIN(AH485*$I474,AG501+AH498,$I476)),MAX(0,MIN(AH498,AH485*$I474,$I476)))))</f>
        <v>0</v>
      </c>
    </row>
    <row r="500" spans="3:34" x14ac:dyDescent="0.2">
      <c r="C500" s="1168" t="s">
        <v>2275</v>
      </c>
      <c r="D500" s="1170"/>
      <c r="E500" s="421">
        <f>IF($I475="Yes",IF(E483&gt;$I477,0,E498-E499),0)</f>
        <v>0</v>
      </c>
      <c r="F500" s="421">
        <f t="shared" ref="F500:AH500" si="2770">IF($I472="N/A",0,IF(F484&gt;$I477,0,IF($I475="Yes",F498-F499,0)))</f>
        <v>0</v>
      </c>
      <c r="G500" s="421">
        <f t="shared" si="2770"/>
        <v>0</v>
      </c>
      <c r="H500" s="421">
        <f t="shared" si="2770"/>
        <v>0</v>
      </c>
      <c r="I500" s="421">
        <f t="shared" si="2770"/>
        <v>0</v>
      </c>
      <c r="J500" s="421">
        <f t="shared" si="2770"/>
        <v>0</v>
      </c>
      <c r="K500" s="421">
        <f t="shared" si="2770"/>
        <v>0</v>
      </c>
      <c r="L500" s="421">
        <f t="shared" si="2770"/>
        <v>0</v>
      </c>
      <c r="M500" s="421">
        <f t="shared" si="2770"/>
        <v>0</v>
      </c>
      <c r="N500" s="421">
        <f t="shared" si="2770"/>
        <v>0</v>
      </c>
      <c r="O500" s="421">
        <f t="shared" si="2770"/>
        <v>0</v>
      </c>
      <c r="P500" s="421">
        <f t="shared" si="2770"/>
        <v>0</v>
      </c>
      <c r="Q500" s="421">
        <f t="shared" si="2770"/>
        <v>0</v>
      </c>
      <c r="R500" s="421">
        <f t="shared" si="2770"/>
        <v>0</v>
      </c>
      <c r="S500" s="447">
        <f t="shared" si="2770"/>
        <v>0</v>
      </c>
      <c r="T500" s="439">
        <f t="shared" si="2770"/>
        <v>0</v>
      </c>
      <c r="U500" s="421">
        <f t="shared" si="2770"/>
        <v>0</v>
      </c>
      <c r="V500" s="421">
        <f t="shared" si="2770"/>
        <v>0</v>
      </c>
      <c r="W500" s="421">
        <f t="shared" si="2770"/>
        <v>0</v>
      </c>
      <c r="X500" s="421">
        <f t="shared" si="2770"/>
        <v>0</v>
      </c>
      <c r="Y500" s="421">
        <f t="shared" si="2770"/>
        <v>0</v>
      </c>
      <c r="Z500" s="421">
        <f t="shared" si="2770"/>
        <v>0</v>
      </c>
      <c r="AA500" s="421">
        <f t="shared" si="2770"/>
        <v>0</v>
      </c>
      <c r="AB500" s="421">
        <f t="shared" si="2770"/>
        <v>0</v>
      </c>
      <c r="AC500" s="421">
        <f t="shared" si="2770"/>
        <v>0</v>
      </c>
      <c r="AD500" s="421">
        <f t="shared" si="2770"/>
        <v>0</v>
      </c>
      <c r="AE500" s="421">
        <f t="shared" si="2770"/>
        <v>0</v>
      </c>
      <c r="AF500" s="421">
        <f t="shared" si="2770"/>
        <v>0</v>
      </c>
      <c r="AG500" s="421">
        <f t="shared" si="2770"/>
        <v>0</v>
      </c>
      <c r="AH500" s="421">
        <f t="shared" si="2770"/>
        <v>0</v>
      </c>
    </row>
    <row r="501" spans="3:34" x14ac:dyDescent="0.2">
      <c r="C501" s="1168" t="s">
        <v>2276</v>
      </c>
      <c r="D501" s="1170"/>
      <c r="E501" s="421">
        <f>E500</f>
        <v>0</v>
      </c>
      <c r="F501" s="236">
        <f t="shared" ref="F501" si="2771">IF($I472="N/A",0,IF(F483&gt;$I477,0,E501+F500))</f>
        <v>0</v>
      </c>
      <c r="G501" s="236">
        <f t="shared" ref="G501" si="2772">IF($I472="N/A",0,IF(G483&gt;$I477,0,F501+G500))</f>
        <v>0</v>
      </c>
      <c r="H501" s="236">
        <f t="shared" ref="H501" si="2773">IF($I472="N/A",0,IF(H483&gt;$I477,0,G501+H500))</f>
        <v>0</v>
      </c>
      <c r="I501" s="236">
        <f t="shared" ref="I501" si="2774">IF($I472="N/A",0,IF(I483&gt;$I477,0,H501+I500))</f>
        <v>0</v>
      </c>
      <c r="J501" s="236">
        <f t="shared" ref="J501" si="2775">IF($I472="N/A",0,IF(J483&gt;$I477,0,I501+J500))</f>
        <v>0</v>
      </c>
      <c r="K501" s="236">
        <f t="shared" ref="K501" si="2776">IF($I472="N/A",0,IF(K483&gt;$I477,0,J501+K500))</f>
        <v>0</v>
      </c>
      <c r="L501" s="236">
        <f t="shared" ref="L501" si="2777">IF($I472="N/A",0,IF(L483&gt;$I477,0,K501+L500))</f>
        <v>0</v>
      </c>
      <c r="M501" s="236">
        <f t="shared" ref="M501" si="2778">IF($I472="N/A",0,IF(M483&gt;$I477,0,L501+M500))</f>
        <v>0</v>
      </c>
      <c r="N501" s="236">
        <f t="shared" ref="N501" si="2779">IF($I472="N/A",0,IF(N483&gt;$I477,0,M501+N500))</f>
        <v>0</v>
      </c>
      <c r="O501" s="236">
        <f t="shared" ref="O501" si="2780">IF($I472="N/A",0,IF(O483&gt;$I477,0,N501+O500))</f>
        <v>0</v>
      </c>
      <c r="P501" s="236">
        <f t="shared" ref="P501" si="2781">IF($I472="N/A",0,IF(P483&gt;$I477,0,O501+P500))</f>
        <v>0</v>
      </c>
      <c r="Q501" s="236">
        <f t="shared" ref="Q501" si="2782">IF($I472="N/A",0,IF(Q483&gt;$I477,0,P501+Q500))</f>
        <v>0</v>
      </c>
      <c r="R501" s="236">
        <f t="shared" ref="R501" si="2783">IF($I472="N/A",0,IF(R483&gt;$I477,0,Q501+R500))</f>
        <v>0</v>
      </c>
      <c r="S501" s="446">
        <f t="shared" ref="S501" si="2784">IF($I472="N/A",0,IF(S483&gt;$I477,0,R501+S500))</f>
        <v>0</v>
      </c>
      <c r="T501" s="438">
        <f t="shared" ref="T501" si="2785">IF($I472="N/A",0,IF(T483&gt;$I477,0,S501+T500))</f>
        <v>0</v>
      </c>
      <c r="U501" s="236">
        <f t="shared" ref="U501" si="2786">IF($I472="N/A",0,IF(U483&gt;$I477,0,T501+U500))</f>
        <v>0</v>
      </c>
      <c r="V501" s="236">
        <f t="shared" ref="V501" si="2787">IF($I472="N/A",0,IF(V483&gt;$I477,0,U501+V500))</f>
        <v>0</v>
      </c>
      <c r="W501" s="236">
        <f t="shared" ref="W501" si="2788">IF($I472="N/A",0,IF(W483&gt;$I477,0,V501+W500))</f>
        <v>0</v>
      </c>
      <c r="X501" s="236">
        <f t="shared" ref="X501" si="2789">IF($I472="N/A",0,IF(X483&gt;$I477,0,W501+X500))</f>
        <v>0</v>
      </c>
      <c r="Y501" s="236">
        <f t="shared" ref="Y501" si="2790">IF($I472="N/A",0,IF(Y483&gt;$I477,0,X501+Y500))</f>
        <v>0</v>
      </c>
      <c r="Z501" s="236">
        <f t="shared" ref="Z501" si="2791">IF($I472="N/A",0,IF(Z483&gt;$I477,0,Y501+Z500))</f>
        <v>0</v>
      </c>
      <c r="AA501" s="236">
        <f t="shared" ref="AA501" si="2792">IF($I472="N/A",0,IF(AA483&gt;$I477,0,Z501+AA500))</f>
        <v>0</v>
      </c>
      <c r="AB501" s="236">
        <f t="shared" ref="AB501" si="2793">IF($I472="N/A",0,IF(AB483&gt;$I477,0,AA501+AB500))</f>
        <v>0</v>
      </c>
      <c r="AC501" s="236">
        <f t="shared" ref="AC501" si="2794">IF($I472="N/A",0,IF(AC483&gt;$I477,0,AB501+AC500))</f>
        <v>0</v>
      </c>
      <c r="AD501" s="236">
        <f t="shared" ref="AD501" si="2795">IF($I472="N/A",0,IF(AD483&gt;$I477,0,AC501+AD500))</f>
        <v>0</v>
      </c>
      <c r="AE501" s="236">
        <f t="shared" ref="AE501" si="2796">IF($I472="N/A",0,IF(AE483&gt;$I477,0,AD501+AE500))</f>
        <v>0</v>
      </c>
      <c r="AF501" s="236">
        <f t="shared" ref="AF501" si="2797">IF($I472="N/A",0,IF(AF483&gt;$I477,0,AE501+AF500))</f>
        <v>0</v>
      </c>
      <c r="AG501" s="236">
        <f t="shared" ref="AG501" si="2798">IF($I472="N/A",0,IF(AG483&gt;$I477,0,AF501+AG500))</f>
        <v>0</v>
      </c>
      <c r="AH501" s="236">
        <f t="shared" ref="AH501" si="2799">IF($I472="N/A",0,IF(AH483&gt;$I477,0,AG501+AH500))</f>
        <v>0</v>
      </c>
    </row>
    <row r="504" spans="3:34" ht="15" x14ac:dyDescent="0.2">
      <c r="C504" s="1456" t="str">
        <f>IF(Sources!$D$81="","N/A",Sources!$D$81)</f>
        <v>N/A</v>
      </c>
      <c r="D504" s="1456"/>
      <c r="E504" s="1456"/>
      <c r="F504" s="412" t="s">
        <v>2266</v>
      </c>
      <c r="G504" s="92" t="str">
        <f>IF(AND(ISERROR(VLOOKUP($C504,OpBudget!$C$159:$C$165,1,FALSE)),ISERROR(VLOOKUP($C504,Sources!$C$36:$C$55,1,FALSE))),"N/A",IF(ISERROR(VLOOKUP($C504,Sources!$C$36:$C$55,1,FALSE)),"Fee","Loan"))</f>
        <v>N/A</v>
      </c>
      <c r="H504" s="412"/>
      <c r="I504" s="412"/>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row>
    <row r="505" spans="3:34" ht="15" x14ac:dyDescent="0.2">
      <c r="C505" s="345"/>
      <c r="D505" s="345"/>
      <c r="E505" s="345"/>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row>
    <row r="506" spans="3:34" ht="15" x14ac:dyDescent="0.2">
      <c r="C506" s="417" t="s">
        <v>2260</v>
      </c>
      <c r="D506" s="345"/>
      <c r="E506" s="345"/>
      <c r="F506" s="74"/>
      <c r="G506" s="74" t="s">
        <v>2261</v>
      </c>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row>
    <row r="507" spans="3:34" x14ac:dyDescent="0.2">
      <c r="C507" s="1452" t="s">
        <v>2255</v>
      </c>
      <c r="D507" s="1452"/>
      <c r="E507" s="413" t="str">
        <f>IF(OR($G504="Fee",$G504="N/A"),"N/A",INDEX(Sources!$C$35:$K$55,MATCH(Loans!$C504,Sources!$C$35:$C$55,0),MATCH("Amount",Sources!$C$35:$N$35,0)))</f>
        <v>N/A</v>
      </c>
      <c r="F507" s="74"/>
      <c r="G507" s="1454" t="s">
        <v>2262</v>
      </c>
      <c r="H507" s="1454"/>
      <c r="I507" s="705" t="str">
        <f>IF(OR($G504="Loan",$G504="N/A"),"N/A",INDEX(OpBudget!$C$159:$K$165,MATCH(Loans!$C504,OpBudget!$C$159:$C$165,0),MATCH("Total Amount",OpBudget!$C$159:$K$159,0)))</f>
        <v>N/A</v>
      </c>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row>
    <row r="508" spans="3:34" x14ac:dyDescent="0.2">
      <c r="C508" s="1452" t="s">
        <v>2256</v>
      </c>
      <c r="D508" s="1452"/>
      <c r="E508" s="702" t="str">
        <f>IF(OR($G504="Fee",$G504="N/A"),"N/A",INDEX(Sources!$C$35:$K$55,MATCH(Loans!$C504,Sources!$C$35:$C$55,0),MATCH("Interest Rate",Sources!$C$35:$N$35,0)))</f>
        <v>N/A</v>
      </c>
      <c r="F508" s="74"/>
      <c r="G508" s="1454" t="s">
        <v>2268</v>
      </c>
      <c r="H508" s="1454"/>
      <c r="I508" s="703" t="str">
        <f>IF(OR($G504="Loan",$G504="N/A"),"N/A",INDEX(OpBudget!$C$159:$K$165,MATCH(Loans!$C504,OpBudget!$C$159:$C$165,0),MATCH("Annual Percent Inflator",OpBudget!$C$159:$K$159,0)))</f>
        <v>N/A</v>
      </c>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row>
    <row r="509" spans="3:34" x14ac:dyDescent="0.2">
      <c r="C509" s="1452" t="s">
        <v>2279</v>
      </c>
      <c r="D509" s="1452"/>
      <c r="E509" s="702" t="str">
        <f>IF(OR($G504="Fee",$G504="N/A"),"N/A",INDEX(Sources!$C$35:$N$55,MATCH(Loans!$C504,Sources!$C$35:$C$55,0),MATCH("Simple or Compound Interest?",Sources!$C$35:$N$35,0)))</f>
        <v>N/A</v>
      </c>
      <c r="F509" s="74"/>
      <c r="G509" s="424" t="s">
        <v>2263</v>
      </c>
      <c r="H509" s="424"/>
      <c r="I509" s="703" t="str">
        <f>IF(OR($G504="Loan",$G504="N/A"),"N/A",INDEX(Sources!$D$67:$H$82,MATCH(Loans!$C504,Sources!$D$67:$D$82,0),MATCH("Split of Cash Flow",Sources!$D$67:$H$67,0)))</f>
        <v>N/A</v>
      </c>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row>
    <row r="510" spans="3:34" x14ac:dyDescent="0.2">
      <c r="C510" s="1452" t="s">
        <v>2257</v>
      </c>
      <c r="D510" s="1452"/>
      <c r="E510" s="420" t="str">
        <f>IF(OR($G504="Fee",$G504="N/A"),"N/A",INDEX(Sources!$C$35:$K$55,MATCH(Loans!$C504,Sources!$C$35:$C$55,0),MATCH("Term (Years)",Sources!$C$35:$N$35,0)))</f>
        <v>N/A</v>
      </c>
      <c r="F510" s="74"/>
      <c r="G510" s="1454" t="s">
        <v>2281</v>
      </c>
      <c r="H510" s="1454"/>
      <c r="I510" s="703" t="str">
        <f>IF(OR($G504="Loan",$G504="N/A"),"N/A",INDEX(OpBudget!$C$159:$K$165,MATCH(Loans!$C504,OpBudget!$C$159:$C$165,0),MATCH("Accrue Unpaid Fee?",OpBudget!$C$159:$K$159,0)))</f>
        <v>N/A</v>
      </c>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row>
    <row r="511" spans="3:34" x14ac:dyDescent="0.2">
      <c r="C511" s="1452" t="s">
        <v>2284</v>
      </c>
      <c r="D511" s="1452"/>
      <c r="E511" s="420" t="str">
        <f>IF(OR($G504="Fee",$G504="N/A"),"N/A",INDEX(Sources!$D$67:$O$82,MATCH(Loans!$C504,Sources!$D$67:$D$82,0),MATCH("Beginning Payment Year",Sources!$D$67:$O$67,0)))</f>
        <v>N/A</v>
      </c>
      <c r="F511" s="74"/>
      <c r="G511" s="1454" t="s">
        <v>2293</v>
      </c>
      <c r="H511" s="1454"/>
      <c r="I511" s="705" t="str">
        <f>IF(OR($G504="Loan",$G504="N/A"),"N/A",IF(INDEX(OpBudget!$C$159:$K$165,MATCH(Loans!$C504,OpBudget!$C$159:$C$165,0),MATCH("Fee Cap (if applicable)",OpBudget!$C$159:$K$159,0))=0,"N/A",INDEX(OpBudget!$C$159:$K$165,MATCH(Loans!$C504,OpBudget!$C$159:$C$165,0),MATCH("Fee Cap (if applicable)",OpBudget!$C$159:$K$159,0))))</f>
        <v>N/A</v>
      </c>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row>
    <row r="512" spans="3:34" x14ac:dyDescent="0.2">
      <c r="C512" s="1452" t="s">
        <v>2267</v>
      </c>
      <c r="D512" s="1452"/>
      <c r="E512" s="703" t="str">
        <f>IF(OR($G504="Fee",$G504="N/A"),"N/A",INDEX(Sources!$D$67:$O$82,MATCH(Loans!$C504,Sources!$D$67:$D$82,0),MATCH("Split of Cash Flow",Sources!$D$67:$O$67,0)))</f>
        <v>N/A</v>
      </c>
      <c r="F512" s="1455"/>
      <c r="G512" s="1454" t="s">
        <v>2292</v>
      </c>
      <c r="H512" s="1454"/>
      <c r="I512" s="420" t="str">
        <f>IF(OR($G504="Loan",$G504="N/A"),"N/A",INDEX(OpBudget!$C$159:$K$165,MATCH(Loans!$C504,OpBudget!$C$159:$C$165,0),MATCH("Number of Years Fee Exists",OpBudget!$C$159:$K$159,0)))</f>
        <v>N/A</v>
      </c>
      <c r="J512" s="74"/>
      <c r="K512" s="74"/>
      <c r="L512" s="74" t="s">
        <v>2278</v>
      </c>
      <c r="M512" s="74"/>
      <c r="N512" s="74"/>
      <c r="O512" s="74"/>
      <c r="P512" s="74"/>
      <c r="Q512" s="74"/>
      <c r="R512" s="74"/>
      <c r="S512" s="74"/>
      <c r="T512" s="74"/>
      <c r="U512" s="74"/>
      <c r="V512" s="74"/>
      <c r="W512" s="74"/>
      <c r="X512" s="74"/>
      <c r="Y512" s="74"/>
      <c r="Z512" s="74"/>
      <c r="AA512" s="74"/>
      <c r="AB512" s="74"/>
      <c r="AC512" s="74"/>
      <c r="AD512" s="74"/>
      <c r="AE512" s="74"/>
      <c r="AF512" s="74"/>
      <c r="AG512" s="74"/>
      <c r="AH512" s="74"/>
    </row>
    <row r="513" spans="3:34" x14ac:dyDescent="0.2">
      <c r="C513" s="1452" t="s">
        <v>2289</v>
      </c>
      <c r="D513" s="1452"/>
      <c r="E513" s="704" t="str">
        <f>IF(OR($G504="Fee",$G504="N/A"),"N/A",INDEX(Sources!$D$67:$O$82,MATCH(Loans!$C504,Sources!$D$67:$D$82,0),MATCH("Pari Passu?",Sources!$D$67:$O$67,0)))</f>
        <v>N/A</v>
      </c>
      <c r="F513" s="1455"/>
      <c r="G513" s="424"/>
      <c r="H513" s="424"/>
      <c r="I513" s="526"/>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row>
    <row r="514" spans="3:34" x14ac:dyDescent="0.2">
      <c r="C514" s="1452" t="s">
        <v>2295</v>
      </c>
      <c r="D514" s="1452"/>
      <c r="E514" s="703" t="str">
        <f>IF(OR($G504="Fee",$G504="N/A"),"N/A",INDEX(Sources!$D$67:$O$82,MATCH(Loans!$C504,Sources!$D$67:$D$82,0),MATCH("Shared Position Split of Cash Flow",Sources!$D$67:$O$67,0)))</f>
        <v>N/A</v>
      </c>
      <c r="F514" s="532"/>
      <c r="G514" s="424"/>
      <c r="H514" s="424"/>
      <c r="I514" s="526"/>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row>
    <row r="515" spans="3:34" x14ac:dyDescent="0.2">
      <c r="C515" s="1452" t="s">
        <v>2291</v>
      </c>
      <c r="D515" s="1452"/>
      <c r="E515" s="704" t="str">
        <f>IF(OR($G504="Fee",$G504="N/A"),"N/A",INDEX(Sources!$D$67:$O$82,MATCH(Loans!$C504,Sources!$D$67:$D$82,0),MATCH("Deferred Loan?",Sources!$D$67:$O$67,0)))</f>
        <v>N/A</v>
      </c>
      <c r="F515" s="74"/>
      <c r="G515" s="424"/>
      <c r="H515" s="424"/>
      <c r="I515" s="526"/>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row>
    <row r="516" spans="3:34" x14ac:dyDescent="0.2">
      <c r="C516" s="1452" t="s">
        <v>2277</v>
      </c>
      <c r="D516" s="1452"/>
      <c r="E516" s="705" t="str">
        <f>IF(OR(E507=0,E507="N/A"),"N/A",INDEX($C518:$AH530,MATCH("Ending Principal Balance",$C518:$C530,0),MATCH($E510,$C518:$AH518,0)))</f>
        <v>N/A</v>
      </c>
      <c r="F516" s="74"/>
      <c r="G516" s="74"/>
      <c r="H516" s="74" t="s">
        <v>2278</v>
      </c>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row>
    <row r="517" spans="3:34" ht="15" x14ac:dyDescent="0.2">
      <c r="C517" s="345"/>
      <c r="D517" s="345"/>
      <c r="E517" s="345"/>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row>
    <row r="518" spans="3:34" ht="15" x14ac:dyDescent="0.2">
      <c r="C518" s="309"/>
      <c r="D518" s="309"/>
      <c r="E518" s="310">
        <v>1</v>
      </c>
      <c r="F518" s="310">
        <f>E518+1</f>
        <v>2</v>
      </c>
      <c r="G518" s="310">
        <f t="shared" ref="G518" si="2800">F518+1</f>
        <v>3</v>
      </c>
      <c r="H518" s="310">
        <f t="shared" ref="H518" si="2801">G518+1</f>
        <v>4</v>
      </c>
      <c r="I518" s="310">
        <f t="shared" ref="I518" si="2802">H518+1</f>
        <v>5</v>
      </c>
      <c r="J518" s="310">
        <f t="shared" ref="J518" si="2803">I518+1</f>
        <v>6</v>
      </c>
      <c r="K518" s="310">
        <f t="shared" ref="K518" si="2804">J518+1</f>
        <v>7</v>
      </c>
      <c r="L518" s="310">
        <f t="shared" ref="L518" si="2805">K518+1</f>
        <v>8</v>
      </c>
      <c r="M518" s="310">
        <f t="shared" ref="M518" si="2806">L518+1</f>
        <v>9</v>
      </c>
      <c r="N518" s="310">
        <f t="shared" ref="N518" si="2807">M518+1</f>
        <v>10</v>
      </c>
      <c r="O518" s="310">
        <f t="shared" ref="O518" si="2808">N518+1</f>
        <v>11</v>
      </c>
      <c r="P518" s="310">
        <f t="shared" ref="P518" si="2809">O518+1</f>
        <v>12</v>
      </c>
      <c r="Q518" s="310">
        <f t="shared" ref="Q518" si="2810">P518+1</f>
        <v>13</v>
      </c>
      <c r="R518" s="310">
        <f t="shared" ref="R518" si="2811">Q518+1</f>
        <v>14</v>
      </c>
      <c r="S518" s="448">
        <f t="shared" ref="S518" si="2812">R518+1</f>
        <v>15</v>
      </c>
      <c r="T518" s="428">
        <f t="shared" ref="T518" si="2813">S518+1</f>
        <v>16</v>
      </c>
      <c r="U518" s="310">
        <f t="shared" ref="U518" si="2814">T518+1</f>
        <v>17</v>
      </c>
      <c r="V518" s="310">
        <f t="shared" ref="V518" si="2815">U518+1</f>
        <v>18</v>
      </c>
      <c r="W518" s="310">
        <f t="shared" ref="W518" si="2816">V518+1</f>
        <v>19</v>
      </c>
      <c r="X518" s="310">
        <f t="shared" ref="X518" si="2817">W518+1</f>
        <v>20</v>
      </c>
      <c r="Y518" s="310">
        <f t="shared" ref="Y518" si="2818">X518+1</f>
        <v>21</v>
      </c>
      <c r="Z518" s="310">
        <f t="shared" ref="Z518" si="2819">Y518+1</f>
        <v>22</v>
      </c>
      <c r="AA518" s="310">
        <f t="shared" ref="AA518" si="2820">Z518+1</f>
        <v>23</v>
      </c>
      <c r="AB518" s="310">
        <f t="shared" ref="AB518" si="2821">AA518+1</f>
        <v>24</v>
      </c>
      <c r="AC518" s="310">
        <f t="shared" ref="AC518" si="2822">AB518+1</f>
        <v>25</v>
      </c>
      <c r="AD518" s="310">
        <f t="shared" ref="AD518" si="2823">AC518+1</f>
        <v>26</v>
      </c>
      <c r="AE518" s="310">
        <f t="shared" ref="AE518" si="2824">AD518+1</f>
        <v>27</v>
      </c>
      <c r="AF518" s="310">
        <f t="shared" ref="AF518" si="2825">AE518+1</f>
        <v>28</v>
      </c>
      <c r="AG518" s="310">
        <f t="shared" ref="AG518" si="2826">AF518+1</f>
        <v>29</v>
      </c>
      <c r="AH518" s="310">
        <f t="shared" ref="AH518" si="2827">AG518+1</f>
        <v>30</v>
      </c>
    </row>
    <row r="519" spans="3:34" ht="15" x14ac:dyDescent="0.2">
      <c r="C519" s="309"/>
      <c r="D519" s="309"/>
      <c r="E519" s="314" t="str">
        <f>IF(Details!$E$171="","",Details!$E$171)</f>
        <v/>
      </c>
      <c r="F519" s="314" t="str">
        <f>IF($E$7="","",E$7+1)</f>
        <v/>
      </c>
      <c r="G519" s="314" t="str">
        <f t="shared" ref="G519" si="2828">IF($E$7="","",F$7+1)</f>
        <v/>
      </c>
      <c r="H519" s="314" t="str">
        <f t="shared" ref="H519" si="2829">IF($E$7="","",G$7+1)</f>
        <v/>
      </c>
      <c r="I519" s="314" t="str">
        <f t="shared" ref="I519" si="2830">IF($E$7="","",H$7+1)</f>
        <v/>
      </c>
      <c r="J519" s="314" t="str">
        <f t="shared" ref="J519" si="2831">IF($E$7="","",I$7+1)</f>
        <v/>
      </c>
      <c r="K519" s="314" t="str">
        <f t="shared" ref="K519" si="2832">IF($E$7="","",J$7+1)</f>
        <v/>
      </c>
      <c r="L519" s="314" t="str">
        <f t="shared" ref="L519" si="2833">IF($E$7="","",K$7+1)</f>
        <v/>
      </c>
      <c r="M519" s="314" t="str">
        <f t="shared" ref="M519" si="2834">IF($E$7="","",L$7+1)</f>
        <v/>
      </c>
      <c r="N519" s="314" t="str">
        <f t="shared" ref="N519" si="2835">IF($E$7="","",M$7+1)</f>
        <v/>
      </c>
      <c r="O519" s="314" t="str">
        <f t="shared" ref="O519" si="2836">IF($E$7="","",N$7+1)</f>
        <v/>
      </c>
      <c r="P519" s="314" t="str">
        <f t="shared" ref="P519" si="2837">IF($E$7="","",O$7+1)</f>
        <v/>
      </c>
      <c r="Q519" s="314" t="str">
        <f t="shared" ref="Q519" si="2838">IF($E$7="","",P$7+1)</f>
        <v/>
      </c>
      <c r="R519" s="314" t="str">
        <f t="shared" ref="R519" si="2839">IF($E$7="","",Q$7+1)</f>
        <v/>
      </c>
      <c r="S519" s="440" t="str">
        <f t="shared" ref="S519" si="2840">IF($E$7="","",R$7+1)</f>
        <v/>
      </c>
      <c r="T519" s="433" t="str">
        <f t="shared" ref="T519" si="2841">IF($E$7="","",S$7+1)</f>
        <v/>
      </c>
      <c r="U519" s="314" t="str">
        <f t="shared" ref="U519" si="2842">IF($E$7="","",T$7+1)</f>
        <v/>
      </c>
      <c r="V519" s="314" t="str">
        <f t="shared" ref="V519" si="2843">IF($E$7="","",U$7+1)</f>
        <v/>
      </c>
      <c r="W519" s="314" t="str">
        <f t="shared" ref="W519" si="2844">IF($E$7="","",V$7+1)</f>
        <v/>
      </c>
      <c r="X519" s="314" t="str">
        <f t="shared" ref="X519" si="2845">IF($E$7="","",W$7+1)</f>
        <v/>
      </c>
      <c r="Y519" s="314" t="str">
        <f t="shared" ref="Y519" si="2846">IF($E$7="","",X$7+1)</f>
        <v/>
      </c>
      <c r="Z519" s="314" t="str">
        <f t="shared" ref="Z519" si="2847">IF($E$7="","",Y$7+1)</f>
        <v/>
      </c>
      <c r="AA519" s="314" t="str">
        <f t="shared" ref="AA519" si="2848">IF($E$7="","",Z$7+1)</f>
        <v/>
      </c>
      <c r="AB519" s="314" t="str">
        <f t="shared" ref="AB519" si="2849">IF($E$7="","",AA$7+1)</f>
        <v/>
      </c>
      <c r="AC519" s="314" t="str">
        <f t="shared" ref="AC519" si="2850">IF($E$7="","",AB$7+1)</f>
        <v/>
      </c>
      <c r="AD519" s="314" t="str">
        <f t="shared" ref="AD519" si="2851">IF($E$7="","",AC$7+1)</f>
        <v/>
      </c>
      <c r="AE519" s="314" t="str">
        <f t="shared" ref="AE519" si="2852">IF($E$7="","",AD$7+1)</f>
        <v/>
      </c>
      <c r="AF519" s="314" t="str">
        <f t="shared" ref="AF519" si="2853">IF($E$7="","",AE$7+1)</f>
        <v/>
      </c>
      <c r="AG519" s="314" t="str">
        <f t="shared" ref="AG519" si="2854">IF($E$7="","",AF$7+1)</f>
        <v/>
      </c>
      <c r="AH519" s="314" t="str">
        <f t="shared" ref="AH519" si="2855">IF($E$7="","",AG$7+1)</f>
        <v/>
      </c>
    </row>
    <row r="520" spans="3:34" x14ac:dyDescent="0.2">
      <c r="C520" s="1168" t="s">
        <v>2254</v>
      </c>
      <c r="D520" s="1169"/>
      <c r="E520" s="109">
        <f>E485-E494-E498</f>
        <v>0</v>
      </c>
      <c r="F520" s="109">
        <f t="shared" ref="F520:AH520" si="2856">F485-F494-F498</f>
        <v>0</v>
      </c>
      <c r="G520" s="109">
        <f t="shared" si="2856"/>
        <v>0</v>
      </c>
      <c r="H520" s="109">
        <f t="shared" si="2856"/>
        <v>0</v>
      </c>
      <c r="I520" s="109">
        <f t="shared" si="2856"/>
        <v>0</v>
      </c>
      <c r="J520" s="109">
        <f t="shared" si="2856"/>
        <v>0</v>
      </c>
      <c r="K520" s="109">
        <f t="shared" si="2856"/>
        <v>0</v>
      </c>
      <c r="L520" s="109">
        <f t="shared" si="2856"/>
        <v>0</v>
      </c>
      <c r="M520" s="109">
        <f t="shared" si="2856"/>
        <v>0</v>
      </c>
      <c r="N520" s="109">
        <f t="shared" si="2856"/>
        <v>0</v>
      </c>
      <c r="O520" s="109">
        <f t="shared" si="2856"/>
        <v>0</v>
      </c>
      <c r="P520" s="109">
        <f t="shared" si="2856"/>
        <v>0</v>
      </c>
      <c r="Q520" s="109">
        <f t="shared" si="2856"/>
        <v>0</v>
      </c>
      <c r="R520" s="109">
        <f t="shared" si="2856"/>
        <v>0</v>
      </c>
      <c r="S520" s="331">
        <f t="shared" si="2856"/>
        <v>0</v>
      </c>
      <c r="T520" s="228">
        <f t="shared" si="2856"/>
        <v>0</v>
      </c>
      <c r="U520" s="109">
        <f t="shared" si="2856"/>
        <v>0</v>
      </c>
      <c r="V520" s="109">
        <f t="shared" si="2856"/>
        <v>0</v>
      </c>
      <c r="W520" s="109">
        <f t="shared" si="2856"/>
        <v>0</v>
      </c>
      <c r="X520" s="109">
        <f t="shared" si="2856"/>
        <v>0</v>
      </c>
      <c r="Y520" s="109">
        <f t="shared" si="2856"/>
        <v>0</v>
      </c>
      <c r="Z520" s="109">
        <f t="shared" si="2856"/>
        <v>0</v>
      </c>
      <c r="AA520" s="109">
        <f t="shared" si="2856"/>
        <v>0</v>
      </c>
      <c r="AB520" s="109">
        <f t="shared" si="2856"/>
        <v>0</v>
      </c>
      <c r="AC520" s="109">
        <f t="shared" si="2856"/>
        <v>0</v>
      </c>
      <c r="AD520" s="109">
        <f t="shared" si="2856"/>
        <v>0</v>
      </c>
      <c r="AE520" s="109">
        <f t="shared" si="2856"/>
        <v>0</v>
      </c>
      <c r="AF520" s="109">
        <f t="shared" si="2856"/>
        <v>0</v>
      </c>
      <c r="AG520" s="109">
        <f t="shared" si="2856"/>
        <v>0</v>
      </c>
      <c r="AH520" s="109">
        <f t="shared" si="2856"/>
        <v>0</v>
      </c>
    </row>
    <row r="521" spans="3:34" ht="15" x14ac:dyDescent="0.2">
      <c r="C521" s="345"/>
      <c r="D521" s="345"/>
      <c r="E521" s="345"/>
      <c r="F521" s="74"/>
      <c r="G521" s="74"/>
      <c r="H521" s="74"/>
      <c r="I521" s="74"/>
      <c r="J521" s="74"/>
      <c r="K521" s="74"/>
      <c r="L521" s="74"/>
      <c r="M521" s="74"/>
      <c r="N521" s="74"/>
      <c r="O521" s="74"/>
      <c r="P521" s="74"/>
      <c r="Q521" s="74"/>
      <c r="R521" s="74"/>
      <c r="S521" s="333"/>
      <c r="T521" s="74"/>
      <c r="U521" s="74"/>
      <c r="V521" s="74"/>
      <c r="W521" s="74"/>
      <c r="X521" s="74"/>
      <c r="Y521" s="74"/>
      <c r="Z521" s="74"/>
      <c r="AA521" s="74"/>
      <c r="AB521" s="74"/>
      <c r="AC521" s="74"/>
      <c r="AD521" s="74"/>
      <c r="AE521" s="74"/>
      <c r="AF521" s="74"/>
      <c r="AG521" s="74"/>
      <c r="AH521" s="74"/>
    </row>
    <row r="522" spans="3:34" ht="15" x14ac:dyDescent="0.2">
      <c r="C522" s="432" t="s">
        <v>2286</v>
      </c>
      <c r="D522" s="345"/>
      <c r="E522" s="345"/>
      <c r="F522" s="74"/>
      <c r="G522" s="74"/>
      <c r="H522" s="74"/>
      <c r="I522" s="74"/>
      <c r="J522" s="74"/>
      <c r="K522" s="74"/>
      <c r="L522" s="74"/>
      <c r="M522" s="74"/>
      <c r="N522" s="74"/>
      <c r="O522" s="74"/>
      <c r="P522" s="74"/>
      <c r="Q522" s="74"/>
      <c r="R522" s="74"/>
      <c r="S522" s="333"/>
      <c r="T522" s="74"/>
      <c r="U522" s="74"/>
      <c r="V522" s="74"/>
      <c r="W522" s="74"/>
      <c r="X522" s="74"/>
      <c r="Y522" s="74"/>
      <c r="Z522" s="74"/>
      <c r="AA522" s="74"/>
      <c r="AB522" s="74"/>
      <c r="AC522" s="74"/>
      <c r="AD522" s="74"/>
      <c r="AE522" s="74"/>
      <c r="AF522" s="74"/>
      <c r="AG522" s="74"/>
      <c r="AH522" s="74"/>
    </row>
    <row r="523" spans="3:34" ht="15" thickBot="1" x14ac:dyDescent="0.25">
      <c r="C523" s="1453" t="s">
        <v>2285</v>
      </c>
      <c r="D523" s="1453"/>
      <c r="E523" s="423">
        <f>IF(OR($E507="N/A",$E507=0),0,IF($E513="Yes",(E520*$E512*$E514),E520*$E512))</f>
        <v>0</v>
      </c>
      <c r="F523" s="423">
        <f t="shared" ref="F523:AH523" si="2857">IF(OR($E507="N/A",$E507=0),0,IF($E513="Yes",(F520*$E512*$E514),F520*$E512))</f>
        <v>0</v>
      </c>
      <c r="G523" s="423">
        <f t="shared" si="2857"/>
        <v>0</v>
      </c>
      <c r="H523" s="423">
        <f t="shared" si="2857"/>
        <v>0</v>
      </c>
      <c r="I523" s="423">
        <f t="shared" si="2857"/>
        <v>0</v>
      </c>
      <c r="J523" s="423">
        <f t="shared" si="2857"/>
        <v>0</v>
      </c>
      <c r="K523" s="423">
        <f t="shared" si="2857"/>
        <v>0</v>
      </c>
      <c r="L523" s="423">
        <f t="shared" si="2857"/>
        <v>0</v>
      </c>
      <c r="M523" s="423">
        <f t="shared" si="2857"/>
        <v>0</v>
      </c>
      <c r="N523" s="423">
        <f t="shared" si="2857"/>
        <v>0</v>
      </c>
      <c r="O523" s="423">
        <f t="shared" si="2857"/>
        <v>0</v>
      </c>
      <c r="P523" s="423">
        <f t="shared" si="2857"/>
        <v>0</v>
      </c>
      <c r="Q523" s="423">
        <f t="shared" si="2857"/>
        <v>0</v>
      </c>
      <c r="R523" s="423">
        <f t="shared" si="2857"/>
        <v>0</v>
      </c>
      <c r="S523" s="441">
        <f t="shared" si="2857"/>
        <v>0</v>
      </c>
      <c r="T523" s="434">
        <f t="shared" si="2857"/>
        <v>0</v>
      </c>
      <c r="U523" s="423">
        <f t="shared" si="2857"/>
        <v>0</v>
      </c>
      <c r="V523" s="423">
        <f t="shared" si="2857"/>
        <v>0</v>
      </c>
      <c r="W523" s="423">
        <f t="shared" si="2857"/>
        <v>0</v>
      </c>
      <c r="X523" s="423">
        <f t="shared" si="2857"/>
        <v>0</v>
      </c>
      <c r="Y523" s="423">
        <f t="shared" si="2857"/>
        <v>0</v>
      </c>
      <c r="Z523" s="423">
        <f t="shared" si="2857"/>
        <v>0</v>
      </c>
      <c r="AA523" s="423">
        <f t="shared" si="2857"/>
        <v>0</v>
      </c>
      <c r="AB523" s="423">
        <f t="shared" si="2857"/>
        <v>0</v>
      </c>
      <c r="AC523" s="423">
        <f t="shared" si="2857"/>
        <v>0</v>
      </c>
      <c r="AD523" s="423">
        <f t="shared" si="2857"/>
        <v>0</v>
      </c>
      <c r="AE523" s="423">
        <f t="shared" si="2857"/>
        <v>0</v>
      </c>
      <c r="AF523" s="423">
        <f t="shared" si="2857"/>
        <v>0</v>
      </c>
      <c r="AG523" s="423">
        <f t="shared" si="2857"/>
        <v>0</v>
      </c>
      <c r="AH523" s="423">
        <f t="shared" si="2857"/>
        <v>0</v>
      </c>
    </row>
    <row r="524" spans="3:34" ht="15" thickTop="1" x14ac:dyDescent="0.2">
      <c r="C524" s="1449" t="s">
        <v>2189</v>
      </c>
      <c r="D524" s="1449"/>
      <c r="E524" s="316">
        <f>IF(OR($E507="N/A",E518&gt;$E510,E518&lt;$E511),0,MAX(0,E507))</f>
        <v>0</v>
      </c>
      <c r="F524" s="316">
        <f t="shared" ref="F524" si="2858">IF(OR($E507="N/A",F518&gt;$E510),0,IF(F518=$E511,$E507,MAX(E530,0)))</f>
        <v>0</v>
      </c>
      <c r="G524" s="316">
        <f t="shared" ref="G524" si="2859">IF(OR($E507="N/A",G518&gt;$E510),0,IF(G518=$E511,$E507,MAX(F530,0)))</f>
        <v>0</v>
      </c>
      <c r="H524" s="316">
        <f t="shared" ref="H524" si="2860">IF(OR($E507="N/A",H518&gt;$E510),0,IF(H518=$E511,$E507,MAX(G530,0)))</f>
        <v>0</v>
      </c>
      <c r="I524" s="316">
        <f t="shared" ref="I524" si="2861">IF(OR($E507="N/A",I518&gt;$E510),0,IF(I518=$E511,$E507,MAX(H530,0)))</f>
        <v>0</v>
      </c>
      <c r="J524" s="316">
        <f t="shared" ref="J524" si="2862">IF(OR($E507="N/A",J518&gt;$E510),0,IF(J518=$E511,$E507,MAX(I530,0)))</f>
        <v>0</v>
      </c>
      <c r="K524" s="316">
        <f t="shared" ref="K524" si="2863">IF(OR($E507="N/A",K518&gt;$E510),0,IF(K518=$E511,$E507,MAX(J530,0)))</f>
        <v>0</v>
      </c>
      <c r="L524" s="316">
        <f t="shared" ref="L524" si="2864">IF(OR($E507="N/A",L518&gt;$E510),0,IF(L518=$E511,$E507,MAX(K530,0)))</f>
        <v>0</v>
      </c>
      <c r="M524" s="316">
        <f t="shared" ref="M524" si="2865">IF(OR($E507="N/A",M518&gt;$E510),0,IF(M518=$E511,$E507,MAX(L530,0)))</f>
        <v>0</v>
      </c>
      <c r="N524" s="316">
        <f t="shared" ref="N524" si="2866">IF(OR($E507="N/A",N518&gt;$E510),0,IF(N518=$E511,$E507,MAX(M530,0)))</f>
        <v>0</v>
      </c>
      <c r="O524" s="316">
        <f t="shared" ref="O524" si="2867">IF(OR($E507="N/A",O518&gt;$E510),0,IF(O518=$E511,$E507,MAX(N530,0)))</f>
        <v>0</v>
      </c>
      <c r="P524" s="316">
        <f t="shared" ref="P524" si="2868">IF(OR($E507="N/A",P518&gt;$E510),0,IF(P518=$E511,$E507,MAX(O530,0)))</f>
        <v>0</v>
      </c>
      <c r="Q524" s="316">
        <f t="shared" ref="Q524" si="2869">IF(OR($E507="N/A",Q518&gt;$E510),0,IF(Q518=$E511,$E507,MAX(P530,0)))</f>
        <v>0</v>
      </c>
      <c r="R524" s="316">
        <f t="shared" ref="R524" si="2870">IF(OR($E507="N/A",R518&gt;$E510),0,IF(R518=$E511,$E507,MAX(Q530,0)))</f>
        <v>0</v>
      </c>
      <c r="S524" s="332">
        <f t="shared" ref="S524" si="2871">IF(OR($E507="N/A",S518&gt;$E510),0,IF(S518=$E511,$E507,MAX(R530,0)))</f>
        <v>0</v>
      </c>
      <c r="T524" s="429">
        <f t="shared" ref="T524" si="2872">IF(OR($E507="N/A",T518&gt;$E510),0,IF(T518=$E511,$E507,MAX(S530,0)))</f>
        <v>0</v>
      </c>
      <c r="U524" s="316">
        <f t="shared" ref="U524" si="2873">IF(OR($E507="N/A",U518&gt;$E510),0,IF(U518=$E511,$E507,MAX(T530,0)))</f>
        <v>0</v>
      </c>
      <c r="V524" s="316">
        <f t="shared" ref="V524" si="2874">IF(OR($E507="N/A",V518&gt;$E510),0,IF(V518=$E511,$E507,MAX(U530,0)))</f>
        <v>0</v>
      </c>
      <c r="W524" s="316">
        <f t="shared" ref="W524" si="2875">IF(OR($E507="N/A",W518&gt;$E510),0,IF(W518=$E511,$E507,MAX(V530,0)))</f>
        <v>0</v>
      </c>
      <c r="X524" s="316">
        <f t="shared" ref="X524" si="2876">IF(OR($E507="N/A",X518&gt;$E510),0,IF(X518=$E511,$E507,MAX(W530,0)))</f>
        <v>0</v>
      </c>
      <c r="Y524" s="316">
        <f t="shared" ref="Y524" si="2877">IF(OR($E507="N/A",Y518&gt;$E510),0,IF(Y518=$E511,$E507,MAX(X530,0)))</f>
        <v>0</v>
      </c>
      <c r="Z524" s="316">
        <f t="shared" ref="Z524" si="2878">IF(OR($E507="N/A",Z518&gt;$E510),0,IF(Z518=$E511,$E507,MAX(Y530,0)))</f>
        <v>0</v>
      </c>
      <c r="AA524" s="316">
        <f t="shared" ref="AA524" si="2879">IF(OR($E507="N/A",AA518&gt;$E510),0,IF(AA518=$E511,$E507,MAX(Z530,0)))</f>
        <v>0</v>
      </c>
      <c r="AB524" s="316">
        <f t="shared" ref="AB524" si="2880">IF(OR($E507="N/A",AB518&gt;$E510),0,IF(AB518=$E511,$E507,MAX(AA530,0)))</f>
        <v>0</v>
      </c>
      <c r="AC524" s="316">
        <f t="shared" ref="AC524" si="2881">IF(OR($E507="N/A",AC518&gt;$E510),0,IF(AC518=$E511,$E507,MAX(AB530,0)))</f>
        <v>0</v>
      </c>
      <c r="AD524" s="316">
        <f t="shared" ref="AD524" si="2882">IF(OR($E507="N/A",AD518&gt;$E510),0,IF(AD518=$E511,$E507,MAX(AC530,0)))</f>
        <v>0</v>
      </c>
      <c r="AE524" s="316">
        <f t="shared" ref="AE524" si="2883">IF(OR($E507="N/A",AE518&gt;$E510),0,IF(AE518=$E511,$E507,MAX(AD530,0)))</f>
        <v>0</v>
      </c>
      <c r="AF524" s="316">
        <f t="shared" ref="AF524" si="2884">IF(OR($E507="N/A",AF518&gt;$E510),0,IF(AF518=$E511,$E507,MAX(AE530,0)))</f>
        <v>0</v>
      </c>
      <c r="AG524" s="316">
        <f t="shared" ref="AG524" si="2885">IF(OR($E507="N/A",AG518&gt;$E510),0,IF(AG518=$E511,$E507,MAX(AF530,0)))</f>
        <v>0</v>
      </c>
      <c r="AH524" s="316">
        <f t="shared" ref="AH524" si="2886">IF(OR($E507="N/A",AH518&gt;$E510),0,IF(AH518=$E511,$E507,MAX(AG530,0)))</f>
        <v>0</v>
      </c>
    </row>
    <row r="525" spans="3:34" x14ac:dyDescent="0.2">
      <c r="C525" s="1181" t="s">
        <v>2186</v>
      </c>
      <c r="D525" s="1181"/>
      <c r="E525" s="109">
        <f t="shared" ref="E525:AH525" si="2887">IF(OR($E507="N/A",E518&gt;$E510,E518&lt;$E511),0,E524*$E508)</f>
        <v>0</v>
      </c>
      <c r="F525" s="109">
        <f t="shared" si="2887"/>
        <v>0</v>
      </c>
      <c r="G525" s="109">
        <f t="shared" si="2887"/>
        <v>0</v>
      </c>
      <c r="H525" s="109">
        <f t="shared" si="2887"/>
        <v>0</v>
      </c>
      <c r="I525" s="109">
        <f t="shared" si="2887"/>
        <v>0</v>
      </c>
      <c r="J525" s="109">
        <f t="shared" si="2887"/>
        <v>0</v>
      </c>
      <c r="K525" s="109">
        <f t="shared" si="2887"/>
        <v>0</v>
      </c>
      <c r="L525" s="109">
        <f t="shared" si="2887"/>
        <v>0</v>
      </c>
      <c r="M525" s="109">
        <f t="shared" si="2887"/>
        <v>0</v>
      </c>
      <c r="N525" s="109">
        <f t="shared" si="2887"/>
        <v>0</v>
      </c>
      <c r="O525" s="109">
        <f t="shared" si="2887"/>
        <v>0</v>
      </c>
      <c r="P525" s="109">
        <f t="shared" si="2887"/>
        <v>0</v>
      </c>
      <c r="Q525" s="109">
        <f t="shared" si="2887"/>
        <v>0</v>
      </c>
      <c r="R525" s="109">
        <f t="shared" si="2887"/>
        <v>0</v>
      </c>
      <c r="S525" s="331">
        <f t="shared" si="2887"/>
        <v>0</v>
      </c>
      <c r="T525" s="228">
        <f t="shared" si="2887"/>
        <v>0</v>
      </c>
      <c r="U525" s="109">
        <f t="shared" si="2887"/>
        <v>0</v>
      </c>
      <c r="V525" s="109">
        <f t="shared" si="2887"/>
        <v>0</v>
      </c>
      <c r="W525" s="109">
        <f t="shared" si="2887"/>
        <v>0</v>
      </c>
      <c r="X525" s="109">
        <f t="shared" si="2887"/>
        <v>0</v>
      </c>
      <c r="Y525" s="109">
        <f t="shared" si="2887"/>
        <v>0</v>
      </c>
      <c r="Z525" s="109">
        <f t="shared" si="2887"/>
        <v>0</v>
      </c>
      <c r="AA525" s="109">
        <f t="shared" si="2887"/>
        <v>0</v>
      </c>
      <c r="AB525" s="109">
        <f t="shared" si="2887"/>
        <v>0</v>
      </c>
      <c r="AC525" s="109">
        <f t="shared" si="2887"/>
        <v>0</v>
      </c>
      <c r="AD525" s="109">
        <f t="shared" si="2887"/>
        <v>0</v>
      </c>
      <c r="AE525" s="109">
        <f t="shared" si="2887"/>
        <v>0</v>
      </c>
      <c r="AF525" s="109">
        <f t="shared" si="2887"/>
        <v>0</v>
      </c>
      <c r="AG525" s="109">
        <f t="shared" si="2887"/>
        <v>0</v>
      </c>
      <c r="AH525" s="109">
        <f t="shared" si="2887"/>
        <v>0</v>
      </c>
    </row>
    <row r="526" spans="3:34" x14ac:dyDescent="0.2">
      <c r="C526" s="1181" t="s">
        <v>2270</v>
      </c>
      <c r="D526" s="1181"/>
      <c r="E526" s="346">
        <f t="shared" ref="E526:AH526" si="2888">IF(OR($E507="N/A",E518&gt;$E510,E518&lt;$E511),0,MAX(0,MIN(E525,E523)))</f>
        <v>0</v>
      </c>
      <c r="F526" s="346">
        <f t="shared" si="2888"/>
        <v>0</v>
      </c>
      <c r="G526" s="346">
        <f t="shared" si="2888"/>
        <v>0</v>
      </c>
      <c r="H526" s="346">
        <f t="shared" si="2888"/>
        <v>0</v>
      </c>
      <c r="I526" s="346">
        <f t="shared" si="2888"/>
        <v>0</v>
      </c>
      <c r="J526" s="346">
        <f t="shared" si="2888"/>
        <v>0</v>
      </c>
      <c r="K526" s="346">
        <f t="shared" si="2888"/>
        <v>0</v>
      </c>
      <c r="L526" s="346">
        <f t="shared" si="2888"/>
        <v>0</v>
      </c>
      <c r="M526" s="346">
        <f t="shared" si="2888"/>
        <v>0</v>
      </c>
      <c r="N526" s="346">
        <f t="shared" si="2888"/>
        <v>0</v>
      </c>
      <c r="O526" s="346">
        <f t="shared" si="2888"/>
        <v>0</v>
      </c>
      <c r="P526" s="346">
        <f t="shared" si="2888"/>
        <v>0</v>
      </c>
      <c r="Q526" s="346">
        <f t="shared" si="2888"/>
        <v>0</v>
      </c>
      <c r="R526" s="346">
        <f t="shared" si="2888"/>
        <v>0</v>
      </c>
      <c r="S526" s="442">
        <f t="shared" si="2888"/>
        <v>0</v>
      </c>
      <c r="T526" s="435">
        <f t="shared" si="2888"/>
        <v>0</v>
      </c>
      <c r="U526" s="346">
        <f t="shared" si="2888"/>
        <v>0</v>
      </c>
      <c r="V526" s="346">
        <f t="shared" si="2888"/>
        <v>0</v>
      </c>
      <c r="W526" s="346">
        <f t="shared" si="2888"/>
        <v>0</v>
      </c>
      <c r="X526" s="346">
        <f t="shared" si="2888"/>
        <v>0</v>
      </c>
      <c r="Y526" s="346">
        <f t="shared" si="2888"/>
        <v>0</v>
      </c>
      <c r="Z526" s="346">
        <f t="shared" si="2888"/>
        <v>0</v>
      </c>
      <c r="AA526" s="346">
        <f t="shared" si="2888"/>
        <v>0</v>
      </c>
      <c r="AB526" s="346">
        <f t="shared" si="2888"/>
        <v>0</v>
      </c>
      <c r="AC526" s="346">
        <f t="shared" si="2888"/>
        <v>0</v>
      </c>
      <c r="AD526" s="346">
        <f t="shared" si="2888"/>
        <v>0</v>
      </c>
      <c r="AE526" s="346">
        <f t="shared" si="2888"/>
        <v>0</v>
      </c>
      <c r="AF526" s="346">
        <f t="shared" si="2888"/>
        <v>0</v>
      </c>
      <c r="AG526" s="346">
        <f t="shared" si="2888"/>
        <v>0</v>
      </c>
      <c r="AH526" s="346">
        <f t="shared" si="2888"/>
        <v>0</v>
      </c>
    </row>
    <row r="527" spans="3:34" x14ac:dyDescent="0.2">
      <c r="C527" s="1181" t="s">
        <v>2271</v>
      </c>
      <c r="D527" s="1181"/>
      <c r="E527" s="346">
        <f t="shared" ref="E527:AH527" si="2889">IF(OR($E507="N/A",E518&gt;$E510,E518&lt;$E511),0,E526-E525)</f>
        <v>0</v>
      </c>
      <c r="F527" s="346">
        <f t="shared" si="2889"/>
        <v>0</v>
      </c>
      <c r="G527" s="346">
        <f t="shared" si="2889"/>
        <v>0</v>
      </c>
      <c r="H527" s="346">
        <f t="shared" si="2889"/>
        <v>0</v>
      </c>
      <c r="I527" s="346">
        <f t="shared" si="2889"/>
        <v>0</v>
      </c>
      <c r="J527" s="346">
        <f t="shared" si="2889"/>
        <v>0</v>
      </c>
      <c r="K527" s="346">
        <f t="shared" si="2889"/>
        <v>0</v>
      </c>
      <c r="L527" s="346">
        <f t="shared" si="2889"/>
        <v>0</v>
      </c>
      <c r="M527" s="346">
        <f t="shared" si="2889"/>
        <v>0</v>
      </c>
      <c r="N527" s="346">
        <f t="shared" si="2889"/>
        <v>0</v>
      </c>
      <c r="O527" s="346">
        <f t="shared" si="2889"/>
        <v>0</v>
      </c>
      <c r="P527" s="346">
        <f t="shared" si="2889"/>
        <v>0</v>
      </c>
      <c r="Q527" s="346">
        <f t="shared" si="2889"/>
        <v>0</v>
      </c>
      <c r="R527" s="346">
        <f t="shared" si="2889"/>
        <v>0</v>
      </c>
      <c r="S527" s="442">
        <f t="shared" si="2889"/>
        <v>0</v>
      </c>
      <c r="T527" s="435">
        <f t="shared" si="2889"/>
        <v>0</v>
      </c>
      <c r="U527" s="346">
        <f t="shared" si="2889"/>
        <v>0</v>
      </c>
      <c r="V527" s="346">
        <f t="shared" si="2889"/>
        <v>0</v>
      </c>
      <c r="W527" s="346">
        <f t="shared" si="2889"/>
        <v>0</v>
      </c>
      <c r="X527" s="346">
        <f t="shared" si="2889"/>
        <v>0</v>
      </c>
      <c r="Y527" s="346">
        <f t="shared" si="2889"/>
        <v>0</v>
      </c>
      <c r="Z527" s="346">
        <f t="shared" si="2889"/>
        <v>0</v>
      </c>
      <c r="AA527" s="346">
        <f t="shared" si="2889"/>
        <v>0</v>
      </c>
      <c r="AB527" s="346">
        <f t="shared" si="2889"/>
        <v>0</v>
      </c>
      <c r="AC527" s="346">
        <f t="shared" si="2889"/>
        <v>0</v>
      </c>
      <c r="AD527" s="346">
        <f t="shared" si="2889"/>
        <v>0</v>
      </c>
      <c r="AE527" s="346">
        <f t="shared" si="2889"/>
        <v>0</v>
      </c>
      <c r="AF527" s="346">
        <f t="shared" si="2889"/>
        <v>0</v>
      </c>
      <c r="AG527" s="346">
        <f t="shared" si="2889"/>
        <v>0</v>
      </c>
      <c r="AH527" s="346">
        <f t="shared" si="2889"/>
        <v>0</v>
      </c>
    </row>
    <row r="528" spans="3:34" ht="15" thickBot="1" x14ac:dyDescent="0.25">
      <c r="C528" s="1448" t="s">
        <v>2272</v>
      </c>
      <c r="D528" s="1448"/>
      <c r="E528" s="411">
        <f>IF(OR($E507="N/A",E518&gt;$E510,E518&lt;$E511),0,MAX(0,MIN(E523-E526,E524)))</f>
        <v>0</v>
      </c>
      <c r="F528" s="411">
        <f>IF(OR($E507="N/A",F518&gt;$E510,F518&lt;$E511),0,MAX(0,MIN(F523-F526,F524)))</f>
        <v>0</v>
      </c>
      <c r="G528" s="411">
        <f t="shared" ref="G528:AH528" si="2890">IF(OR($E507="N/A",G518&gt;$E510,G518&lt;$E511),0,MAX(0,MIN(G523-G526,G524)))</f>
        <v>0</v>
      </c>
      <c r="H528" s="411">
        <f t="shared" si="2890"/>
        <v>0</v>
      </c>
      <c r="I528" s="411">
        <f t="shared" si="2890"/>
        <v>0</v>
      </c>
      <c r="J528" s="411">
        <f t="shared" si="2890"/>
        <v>0</v>
      </c>
      <c r="K528" s="411">
        <f t="shared" si="2890"/>
        <v>0</v>
      </c>
      <c r="L528" s="411">
        <f t="shared" si="2890"/>
        <v>0</v>
      </c>
      <c r="M528" s="411">
        <f t="shared" si="2890"/>
        <v>0</v>
      </c>
      <c r="N528" s="411">
        <f t="shared" si="2890"/>
        <v>0</v>
      </c>
      <c r="O528" s="411">
        <f t="shared" si="2890"/>
        <v>0</v>
      </c>
      <c r="P528" s="411">
        <f t="shared" si="2890"/>
        <v>0</v>
      </c>
      <c r="Q528" s="411">
        <f t="shared" si="2890"/>
        <v>0</v>
      </c>
      <c r="R528" s="411">
        <f t="shared" si="2890"/>
        <v>0</v>
      </c>
      <c r="S528" s="443">
        <f t="shared" si="2890"/>
        <v>0</v>
      </c>
      <c r="T528" s="431">
        <f t="shared" si="2890"/>
        <v>0</v>
      </c>
      <c r="U528" s="411">
        <f t="shared" si="2890"/>
        <v>0</v>
      </c>
      <c r="V528" s="411">
        <f t="shared" si="2890"/>
        <v>0</v>
      </c>
      <c r="W528" s="411">
        <f t="shared" si="2890"/>
        <v>0</v>
      </c>
      <c r="X528" s="411">
        <f t="shared" si="2890"/>
        <v>0</v>
      </c>
      <c r="Y528" s="411">
        <f t="shared" si="2890"/>
        <v>0</v>
      </c>
      <c r="Z528" s="411">
        <f t="shared" si="2890"/>
        <v>0</v>
      </c>
      <c r="AA528" s="411">
        <f t="shared" si="2890"/>
        <v>0</v>
      </c>
      <c r="AB528" s="411">
        <f t="shared" si="2890"/>
        <v>0</v>
      </c>
      <c r="AC528" s="411">
        <f t="shared" si="2890"/>
        <v>0</v>
      </c>
      <c r="AD528" s="411">
        <f t="shared" si="2890"/>
        <v>0</v>
      </c>
      <c r="AE528" s="411">
        <f t="shared" si="2890"/>
        <v>0</v>
      </c>
      <c r="AF528" s="411">
        <f t="shared" si="2890"/>
        <v>0</v>
      </c>
      <c r="AG528" s="411">
        <f t="shared" si="2890"/>
        <v>0</v>
      </c>
      <c r="AH528" s="411">
        <f t="shared" si="2890"/>
        <v>0</v>
      </c>
    </row>
    <row r="529" spans="3:34" ht="15" thickTop="1" x14ac:dyDescent="0.2">
      <c r="C529" s="1449" t="s">
        <v>2282</v>
      </c>
      <c r="D529" s="1449"/>
      <c r="E529" s="430">
        <f>SUM(E526,E528)</f>
        <v>0</v>
      </c>
      <c r="F529" s="430">
        <f>SUM(F526,F528)</f>
        <v>0</v>
      </c>
      <c r="G529" s="430">
        <f t="shared" ref="G529" si="2891">SUM(G526,G528)</f>
        <v>0</v>
      </c>
      <c r="H529" s="430">
        <f t="shared" ref="H529" si="2892">SUM(H526,H528)</f>
        <v>0</v>
      </c>
      <c r="I529" s="430">
        <f t="shared" ref="I529" si="2893">SUM(I526,I528)</f>
        <v>0</v>
      </c>
      <c r="J529" s="430">
        <f t="shared" ref="J529" si="2894">SUM(J526,J528)</f>
        <v>0</v>
      </c>
      <c r="K529" s="430">
        <f t="shared" ref="K529" si="2895">SUM(K526,K528)</f>
        <v>0</v>
      </c>
      <c r="L529" s="430">
        <f t="shared" ref="L529" si="2896">SUM(L526,L528)</f>
        <v>0</v>
      </c>
      <c r="M529" s="430">
        <f t="shared" ref="M529" si="2897">SUM(M526,M528)</f>
        <v>0</v>
      </c>
      <c r="N529" s="430">
        <f t="shared" ref="N529" si="2898">SUM(N526,N528)</f>
        <v>0</v>
      </c>
      <c r="O529" s="430">
        <f t="shared" ref="O529" si="2899">SUM(O526,O528)</f>
        <v>0</v>
      </c>
      <c r="P529" s="430">
        <f t="shared" ref="P529" si="2900">SUM(P526,P528)</f>
        <v>0</v>
      </c>
      <c r="Q529" s="430">
        <f t="shared" ref="Q529" si="2901">SUM(Q526,Q528)</f>
        <v>0</v>
      </c>
      <c r="R529" s="430">
        <f t="shared" ref="R529" si="2902">SUM(R526,R528)</f>
        <v>0</v>
      </c>
      <c r="S529" s="444">
        <f t="shared" ref="S529" si="2903">SUM(S526,S528)</f>
        <v>0</v>
      </c>
      <c r="T529" s="436">
        <f t="shared" ref="T529" si="2904">SUM(T526,T528)</f>
        <v>0</v>
      </c>
      <c r="U529" s="430">
        <f t="shared" ref="U529" si="2905">SUM(U526,U528)</f>
        <v>0</v>
      </c>
      <c r="V529" s="430">
        <f t="shared" ref="V529" si="2906">SUM(V526,V528)</f>
        <v>0</v>
      </c>
      <c r="W529" s="430">
        <f t="shared" ref="W529" si="2907">SUM(W526,W528)</f>
        <v>0</v>
      </c>
      <c r="X529" s="430">
        <f t="shared" ref="X529" si="2908">SUM(X526,X528)</f>
        <v>0</v>
      </c>
      <c r="Y529" s="430">
        <f t="shared" ref="Y529" si="2909">SUM(Y526,Y528)</f>
        <v>0</v>
      </c>
      <c r="Z529" s="430">
        <f t="shared" ref="Z529" si="2910">SUM(Z526,Z528)</f>
        <v>0</v>
      </c>
      <c r="AA529" s="430">
        <f t="shared" ref="AA529" si="2911">SUM(AA526,AA528)</f>
        <v>0</v>
      </c>
      <c r="AB529" s="430">
        <f t="shared" ref="AB529" si="2912">SUM(AB526,AB528)</f>
        <v>0</v>
      </c>
      <c r="AC529" s="430">
        <f t="shared" ref="AC529" si="2913">SUM(AC526,AC528)</f>
        <v>0</v>
      </c>
      <c r="AD529" s="430">
        <f t="shared" ref="AD529" si="2914">SUM(AD526,AD528)</f>
        <v>0</v>
      </c>
      <c r="AE529" s="430">
        <f t="shared" ref="AE529" si="2915">SUM(AE526,AE528)</f>
        <v>0</v>
      </c>
      <c r="AF529" s="430">
        <f t="shared" ref="AF529" si="2916">SUM(AF526,AF528)</f>
        <v>0</v>
      </c>
      <c r="AG529" s="430">
        <f t="shared" ref="AG529" si="2917">SUM(AG526,AG528)</f>
        <v>0</v>
      </c>
      <c r="AH529" s="430">
        <f t="shared" ref="AH529" si="2918">SUM(AH526,AH528)</f>
        <v>0</v>
      </c>
    </row>
    <row r="530" spans="3:34" x14ac:dyDescent="0.2">
      <c r="C530" s="1181" t="s">
        <v>2190</v>
      </c>
      <c r="D530" s="1181"/>
      <c r="E530" s="342">
        <f>IF(OR($E507="N/A",E518&gt;$E510,E518&lt;$E511),0,IF($E509="Compound",E524-E528-E527,MAX(0,E524-E528)))</f>
        <v>0</v>
      </c>
      <c r="F530" s="342">
        <f>IF(OR($E507="N/A",F518&gt;$E510,F518&lt;$E511),0,IF($E509="Compound",F524-F528-F527,MAX(0,F524-F528)))</f>
        <v>0</v>
      </c>
      <c r="G530" s="342">
        <f t="shared" ref="G530:AH530" si="2919">IF(OR($E507="N/A",G518&gt;$E510,G518&lt;$E511),0,IF($E509="Compound",G524-G528-G527,MAX(0,G524-G528)))</f>
        <v>0</v>
      </c>
      <c r="H530" s="342">
        <f t="shared" si="2919"/>
        <v>0</v>
      </c>
      <c r="I530" s="342">
        <f t="shared" si="2919"/>
        <v>0</v>
      </c>
      <c r="J530" s="342">
        <f t="shared" si="2919"/>
        <v>0</v>
      </c>
      <c r="K530" s="342">
        <f t="shared" si="2919"/>
        <v>0</v>
      </c>
      <c r="L530" s="342">
        <f t="shared" si="2919"/>
        <v>0</v>
      </c>
      <c r="M530" s="342">
        <f t="shared" si="2919"/>
        <v>0</v>
      </c>
      <c r="N530" s="342">
        <f t="shared" si="2919"/>
        <v>0</v>
      </c>
      <c r="O530" s="342">
        <f t="shared" si="2919"/>
        <v>0</v>
      </c>
      <c r="P530" s="342">
        <f t="shared" si="2919"/>
        <v>0</v>
      </c>
      <c r="Q530" s="342">
        <f t="shared" si="2919"/>
        <v>0</v>
      </c>
      <c r="R530" s="342">
        <f t="shared" si="2919"/>
        <v>0</v>
      </c>
      <c r="S530" s="445">
        <f t="shared" si="2919"/>
        <v>0</v>
      </c>
      <c r="T530" s="437">
        <f t="shared" si="2919"/>
        <v>0</v>
      </c>
      <c r="U530" s="342">
        <f t="shared" si="2919"/>
        <v>0</v>
      </c>
      <c r="V530" s="342">
        <f t="shared" si="2919"/>
        <v>0</v>
      </c>
      <c r="W530" s="342">
        <f t="shared" si="2919"/>
        <v>0</v>
      </c>
      <c r="X530" s="342">
        <f t="shared" si="2919"/>
        <v>0</v>
      </c>
      <c r="Y530" s="342">
        <f t="shared" si="2919"/>
        <v>0</v>
      </c>
      <c r="Z530" s="342">
        <f t="shared" si="2919"/>
        <v>0</v>
      </c>
      <c r="AA530" s="342">
        <f t="shared" si="2919"/>
        <v>0</v>
      </c>
      <c r="AB530" s="342">
        <f t="shared" si="2919"/>
        <v>0</v>
      </c>
      <c r="AC530" s="342">
        <f t="shared" si="2919"/>
        <v>0</v>
      </c>
      <c r="AD530" s="342">
        <f t="shared" si="2919"/>
        <v>0</v>
      </c>
      <c r="AE530" s="342">
        <f t="shared" si="2919"/>
        <v>0</v>
      </c>
      <c r="AF530" s="342">
        <f t="shared" si="2919"/>
        <v>0</v>
      </c>
      <c r="AG530" s="342">
        <f t="shared" si="2919"/>
        <v>0</v>
      </c>
      <c r="AH530" s="342">
        <f t="shared" si="2919"/>
        <v>0</v>
      </c>
    </row>
    <row r="531" spans="3:34" x14ac:dyDescent="0.2">
      <c r="C531" s="317"/>
      <c r="D531" s="317"/>
      <c r="E531" s="74"/>
      <c r="F531" s="74"/>
      <c r="G531" s="74"/>
      <c r="H531" s="74"/>
      <c r="I531" s="74"/>
      <c r="J531" s="74"/>
      <c r="K531" s="74"/>
      <c r="L531" s="74"/>
      <c r="M531" s="74"/>
      <c r="N531" s="74"/>
      <c r="O531" s="74"/>
      <c r="P531" s="74"/>
      <c r="Q531" s="74"/>
      <c r="R531" s="74"/>
      <c r="S531" s="333"/>
      <c r="T531" s="74"/>
      <c r="U531" s="74"/>
      <c r="V531" s="74"/>
      <c r="W531" s="74"/>
      <c r="X531" s="74"/>
      <c r="Y531" s="74"/>
      <c r="Z531" s="74"/>
      <c r="AA531" s="74"/>
      <c r="AB531" s="74"/>
      <c r="AC531" s="74"/>
      <c r="AD531" s="74"/>
      <c r="AE531" s="74"/>
      <c r="AF531" s="74"/>
      <c r="AG531" s="74"/>
      <c r="AH531" s="74"/>
    </row>
    <row r="532" spans="3:34" ht="15" x14ac:dyDescent="0.2">
      <c r="C532" s="432" t="s">
        <v>2287</v>
      </c>
      <c r="D532" s="317"/>
      <c r="E532" s="74"/>
      <c r="F532" s="74"/>
      <c r="G532" s="74"/>
      <c r="H532" s="74"/>
      <c r="I532" s="74"/>
      <c r="J532" s="74"/>
      <c r="K532" s="74"/>
      <c r="L532" s="74"/>
      <c r="M532" s="74"/>
      <c r="N532" s="74"/>
      <c r="O532" s="74"/>
      <c r="P532" s="74"/>
      <c r="Q532" s="74"/>
      <c r="R532" s="74"/>
      <c r="S532" s="333"/>
      <c r="T532" s="74"/>
      <c r="U532" s="74"/>
      <c r="V532" s="74"/>
      <c r="W532" s="74"/>
      <c r="X532" s="74"/>
      <c r="Y532" s="74"/>
      <c r="Z532" s="74"/>
      <c r="AA532" s="74"/>
      <c r="AB532" s="74"/>
      <c r="AC532" s="74"/>
      <c r="AD532" s="74"/>
      <c r="AE532" s="74"/>
      <c r="AF532" s="74"/>
      <c r="AG532" s="74"/>
      <c r="AH532" s="74"/>
    </row>
    <row r="533" spans="3:34" x14ac:dyDescent="0.2">
      <c r="C533" s="1234" t="s">
        <v>2273</v>
      </c>
      <c r="D533" s="1234"/>
      <c r="E533" s="421">
        <f>IF($I507="N/A",0,IF(E518&gt;$I512,0,MIN($I511,$I507*$I509)))</f>
        <v>0</v>
      </c>
      <c r="F533" s="236">
        <f t="shared" ref="F533" si="2920">IF($I507="N/A",0,IF(F518&gt;$I512,0,MIN($I511,$I507*$I509*(1+$I508)^E$63)))</f>
        <v>0</v>
      </c>
      <c r="G533" s="236">
        <f t="shared" ref="G533" si="2921">IF($I507="N/A",0,IF(G518&gt;$I512,0,MIN($I511,$I507*$I509*(1+$I508)^F$63)))</f>
        <v>0</v>
      </c>
      <c r="H533" s="236">
        <f t="shared" ref="H533" si="2922">IF($I507="N/A",0,IF(H518&gt;$I512,0,MIN($I511,$I507*$I509*(1+$I508)^G$63)))</f>
        <v>0</v>
      </c>
      <c r="I533" s="236">
        <f t="shared" ref="I533" si="2923">IF($I507="N/A",0,IF(I518&gt;$I512,0,MIN($I511,$I507*$I509*(1+$I508)^H$63)))</f>
        <v>0</v>
      </c>
      <c r="J533" s="236">
        <f t="shared" ref="J533" si="2924">IF($I507="N/A",0,IF(J518&gt;$I512,0,MIN($I511,$I507*$I509*(1+$I508)^I$63)))</f>
        <v>0</v>
      </c>
      <c r="K533" s="236">
        <f t="shared" ref="K533" si="2925">IF($I507="N/A",0,IF(K518&gt;$I512,0,MIN($I511,$I507*$I509*(1+$I508)^J$63)))</f>
        <v>0</v>
      </c>
      <c r="L533" s="236">
        <f t="shared" ref="L533" si="2926">IF($I507="N/A",0,IF(L518&gt;$I512,0,MIN($I511,$I507*$I509*(1+$I508)^K$63)))</f>
        <v>0</v>
      </c>
      <c r="M533" s="236">
        <f t="shared" ref="M533" si="2927">IF($I507="N/A",0,IF(M518&gt;$I512,0,MIN($I511,$I507*$I509*(1+$I508)^L$63)))</f>
        <v>0</v>
      </c>
      <c r="N533" s="236">
        <f t="shared" ref="N533" si="2928">IF($I507="N/A",0,IF(N518&gt;$I512,0,MIN($I511,$I507*$I509*(1+$I508)^M$63)))</f>
        <v>0</v>
      </c>
      <c r="O533" s="236">
        <f t="shared" ref="O533" si="2929">IF($I507="N/A",0,IF(O518&gt;$I512,0,MIN($I511,$I507*$I509*(1+$I508)^N$63)))</f>
        <v>0</v>
      </c>
      <c r="P533" s="236">
        <f t="shared" ref="P533" si="2930">IF($I507="N/A",0,IF(P518&gt;$I512,0,MIN($I511,$I507*$I509*(1+$I508)^O$63)))</f>
        <v>0</v>
      </c>
      <c r="Q533" s="236">
        <f t="shared" ref="Q533" si="2931">IF($I507="N/A",0,IF(Q518&gt;$I512,0,MIN($I511,$I507*$I509*(1+$I508)^P$63)))</f>
        <v>0</v>
      </c>
      <c r="R533" s="236">
        <f t="shared" ref="R533" si="2932">IF($I507="N/A",0,IF(R518&gt;$I512,0,MIN($I511,$I507*$I509*(1+$I508)^Q$63)))</f>
        <v>0</v>
      </c>
      <c r="S533" s="446">
        <f t="shared" ref="S533" si="2933">IF($I507="N/A",0,IF(S518&gt;$I512,0,MIN($I511,$I507*$I509*(1+$I508)^R$63)))</f>
        <v>0</v>
      </c>
      <c r="T533" s="438">
        <f t="shared" ref="T533" si="2934">IF($I507="N/A",0,IF(T518&gt;$I512,0,MIN($I511,$I507*$I509*(1+$I508)^S$63)))</f>
        <v>0</v>
      </c>
      <c r="U533" s="236">
        <f t="shared" ref="U533" si="2935">IF($I507="N/A",0,IF(U518&gt;$I512,0,MIN($I511,$I507*$I509*(1+$I508)^T$63)))</f>
        <v>0</v>
      </c>
      <c r="V533" s="236">
        <f t="shared" ref="V533" si="2936">IF($I507="N/A",0,IF(V518&gt;$I512,0,MIN($I511,$I507*$I509*(1+$I508)^U$63)))</f>
        <v>0</v>
      </c>
      <c r="W533" s="236">
        <f t="shared" ref="W533" si="2937">IF($I507="N/A",0,IF(W518&gt;$I512,0,MIN($I511,$I507*$I509*(1+$I508)^V$63)))</f>
        <v>0</v>
      </c>
      <c r="X533" s="236">
        <f t="shared" ref="X533" si="2938">IF($I507="N/A",0,IF(X518&gt;$I512,0,MIN($I511,$I507*$I509*(1+$I508)^W$63)))</f>
        <v>0</v>
      </c>
      <c r="Y533" s="236">
        <f t="shared" ref="Y533" si="2939">IF($I507="N/A",0,IF(Y518&gt;$I512,0,MIN($I511,$I507*$I509*(1+$I508)^X$63)))</f>
        <v>0</v>
      </c>
      <c r="Z533" s="236">
        <f t="shared" ref="Z533" si="2940">IF($I507="N/A",0,IF(Z518&gt;$I512,0,MIN($I511,$I507*$I509*(1+$I508)^Y$63)))</f>
        <v>0</v>
      </c>
      <c r="AA533" s="236">
        <f t="shared" ref="AA533" si="2941">IF($I507="N/A",0,IF(AA518&gt;$I512,0,MIN($I511,$I507*$I509*(1+$I508)^Z$63)))</f>
        <v>0</v>
      </c>
      <c r="AB533" s="236">
        <f t="shared" ref="AB533" si="2942">IF($I507="N/A",0,IF(AB518&gt;$I512,0,MIN($I511,$I507*$I509*(1+$I508)^AA$63)))</f>
        <v>0</v>
      </c>
      <c r="AC533" s="236">
        <f t="shared" ref="AC533" si="2943">IF($I507="N/A",0,IF(AC518&gt;$I512,0,MIN($I511,$I507*$I509*(1+$I508)^AB$63)))</f>
        <v>0</v>
      </c>
      <c r="AD533" s="236">
        <f t="shared" ref="AD533" si="2944">IF($I507="N/A",0,IF(AD518&gt;$I512,0,MIN($I511,$I507*$I509*(1+$I508)^AC$63)))</f>
        <v>0</v>
      </c>
      <c r="AE533" s="236">
        <f t="shared" ref="AE533" si="2945">IF($I507="N/A",0,IF(AE518&gt;$I512,0,MIN($I511,$I507*$I509*(1+$I508)^AD$63)))</f>
        <v>0</v>
      </c>
      <c r="AF533" s="236">
        <f t="shared" ref="AF533" si="2946">IF($I507="N/A",0,IF(AF518&gt;$I512,0,MIN($I511,$I507*$I509*(1+$I508)^AE$63)))</f>
        <v>0</v>
      </c>
      <c r="AG533" s="236">
        <f t="shared" ref="AG533" si="2947">IF($I507="N/A",0,IF(AG518&gt;$I512,0,MIN($I511,$I507*$I509*(1+$I508)^AF$63)))</f>
        <v>0</v>
      </c>
      <c r="AH533" s="236">
        <f t="shared" ref="AH533" si="2948">IF($I507="N/A",0,IF(AH518&gt;$I512,0,MIN($I511,$I507*$I509*(1+$I508)^AG$63)))</f>
        <v>0</v>
      </c>
    </row>
    <row r="534" spans="3:34" x14ac:dyDescent="0.2">
      <c r="C534" s="1450" t="s">
        <v>2274</v>
      </c>
      <c r="D534" s="1451"/>
      <c r="E534" s="422">
        <f>IF($I507="N/A",0,IF(E518&gt;$I512,0,MAX(0,MIN(E533,$I507*$I509,E520))))</f>
        <v>0</v>
      </c>
      <c r="F534" s="521">
        <f t="shared" ref="F534" si="2949">IF($I507="N/A",0,IF(F518&gt;$I512,0,IF($I510="Yes",MAX(0,MIN(F520*$I509,E536+F533,$I511)),MAX(0,MIN(F533,F520*$I509,$I511)))))</f>
        <v>0</v>
      </c>
      <c r="G534" s="521">
        <f t="shared" ref="G534" si="2950">IF($I507="N/A",0,IF(G518&gt;$I512,0,IF($I510="Yes",MAX(0,MIN(G520*$I509,F536+G533,$I511)),MAX(0,MIN(G533,G520*$I509,$I511)))))</f>
        <v>0</v>
      </c>
      <c r="H534" s="521">
        <f t="shared" ref="H534" si="2951">IF($I507="N/A",0,IF(H518&gt;$I512,0,IF($I510="Yes",MAX(0,MIN(H520*$I509,G536+H533,$I511)),MAX(0,MIN(H533,H520*$I509,$I511)))))</f>
        <v>0</v>
      </c>
      <c r="I534" s="521">
        <f t="shared" ref="I534" si="2952">IF($I507="N/A",0,IF(I518&gt;$I512,0,IF($I510="Yes",MAX(0,MIN(I520*$I509,H536+I533,$I511)),MAX(0,MIN(I533,I520*$I509,$I511)))))</f>
        <v>0</v>
      </c>
      <c r="J534" s="521">
        <f t="shared" ref="J534" si="2953">IF($I507="N/A",0,IF(J518&gt;$I512,0,IF($I510="Yes",MAX(0,MIN(J520*$I509,I536+J533,$I511)),MAX(0,MIN(J533,J520*$I509,$I511)))))</f>
        <v>0</v>
      </c>
      <c r="K534" s="521">
        <f t="shared" ref="K534" si="2954">IF($I507="N/A",0,IF(K518&gt;$I512,0,IF($I510="Yes",MAX(0,MIN(K520*$I509,J536+K533,$I511)),MAX(0,MIN(K533,K520*$I509,$I511)))))</f>
        <v>0</v>
      </c>
      <c r="L534" s="521">
        <f t="shared" ref="L534" si="2955">IF($I507="N/A",0,IF(L518&gt;$I512,0,IF($I510="Yes",MAX(0,MIN(L520*$I509,K536+L533,$I511)),MAX(0,MIN(L533,L520*$I509,$I511)))))</f>
        <v>0</v>
      </c>
      <c r="M534" s="521">
        <f t="shared" ref="M534" si="2956">IF($I507="N/A",0,IF(M518&gt;$I512,0,IF($I510="Yes",MAX(0,MIN(M520*$I509,L536+M533,$I511)),MAX(0,MIN(M533,M520*$I509,$I511)))))</f>
        <v>0</v>
      </c>
      <c r="N534" s="521">
        <f t="shared" ref="N534" si="2957">IF($I507="N/A",0,IF(N518&gt;$I512,0,IF($I510="Yes",MAX(0,MIN(N520*$I509,M536+N533,$I511)),MAX(0,MIN(N533,N520*$I509,$I511)))))</f>
        <v>0</v>
      </c>
      <c r="O534" s="521">
        <f t="shared" ref="O534" si="2958">IF($I507="N/A",0,IF(O518&gt;$I512,0,IF($I510="Yes",MAX(0,MIN(O520*$I509,N536+O533,$I511)),MAX(0,MIN(O533,O520*$I509,$I511)))))</f>
        <v>0</v>
      </c>
      <c r="P534" s="521">
        <f t="shared" ref="P534" si="2959">IF($I507="N/A",0,IF(P518&gt;$I512,0,IF($I510="Yes",MAX(0,MIN(P520*$I509,O536+P533,$I511)),MAX(0,MIN(P533,P520*$I509,$I511)))))</f>
        <v>0</v>
      </c>
      <c r="Q534" s="521">
        <f t="shared" ref="Q534" si="2960">IF($I507="N/A",0,IF(Q518&gt;$I512,0,IF($I510="Yes",MAX(0,MIN(Q520*$I509,P536+Q533,$I511)),MAX(0,MIN(Q533,Q520*$I509,$I511)))))</f>
        <v>0</v>
      </c>
      <c r="R534" s="521">
        <f t="shared" ref="R534" si="2961">IF($I507="N/A",0,IF(R518&gt;$I512,0,IF($I510="Yes",MAX(0,MIN(R520*$I509,Q536+R533,$I511)),MAX(0,MIN(R533,R520*$I509,$I511)))))</f>
        <v>0</v>
      </c>
      <c r="S534" s="523">
        <f t="shared" ref="S534" si="2962">IF($I507="N/A",0,IF(S518&gt;$I512,0,IF($I510="Yes",MAX(0,MIN(S520*$I509,R536+S533,$I511)),MAX(0,MIN(S533,S520*$I509,$I511)))))</f>
        <v>0</v>
      </c>
      <c r="T534" s="522">
        <f t="shared" ref="T534" si="2963">IF($I507="N/A",0,IF(T518&gt;$I512,0,IF($I510="Yes",MAX(0,MIN(T520*$I509,S536+T533,$I511)),MAX(0,MIN(T533,T520*$I509,$I511)))))</f>
        <v>0</v>
      </c>
      <c r="U534" s="521">
        <f t="shared" ref="U534" si="2964">IF($I507="N/A",0,IF(U518&gt;$I512,0,IF($I510="Yes",MAX(0,MIN(U520*$I509,T536+U533,$I511)),MAX(0,MIN(U533,U520*$I509,$I511)))))</f>
        <v>0</v>
      </c>
      <c r="V534" s="521">
        <f t="shared" ref="V534" si="2965">IF($I507="N/A",0,IF(V518&gt;$I512,0,IF($I510="Yes",MAX(0,MIN(V520*$I509,U536+V533,$I511)),MAX(0,MIN(V533,V520*$I509,$I511)))))</f>
        <v>0</v>
      </c>
      <c r="W534" s="521">
        <f t="shared" ref="W534" si="2966">IF($I507="N/A",0,IF(W518&gt;$I512,0,IF($I510="Yes",MAX(0,MIN(W520*$I509,V536+W533,$I511)),MAX(0,MIN(W533,W520*$I509,$I511)))))</f>
        <v>0</v>
      </c>
      <c r="X534" s="521">
        <f t="shared" ref="X534" si="2967">IF($I507="N/A",0,IF(X518&gt;$I512,0,IF($I510="Yes",MAX(0,MIN(X520*$I509,W536+X533,$I511)),MAX(0,MIN(X533,X520*$I509,$I511)))))</f>
        <v>0</v>
      </c>
      <c r="Y534" s="521">
        <f t="shared" ref="Y534" si="2968">IF($I507="N/A",0,IF(Y518&gt;$I512,0,IF($I510="Yes",MAX(0,MIN(Y520*$I509,X536+Y533,$I511)),MAX(0,MIN(Y533,Y520*$I509,$I511)))))</f>
        <v>0</v>
      </c>
      <c r="Z534" s="521">
        <f t="shared" ref="Z534" si="2969">IF($I507="N/A",0,IF(Z518&gt;$I512,0,IF($I510="Yes",MAX(0,MIN(Z520*$I509,Y536+Z533,$I511)),MAX(0,MIN(Z533,Z520*$I509,$I511)))))</f>
        <v>0</v>
      </c>
      <c r="AA534" s="521">
        <f t="shared" ref="AA534" si="2970">IF($I507="N/A",0,IF(AA518&gt;$I512,0,IF($I510="Yes",MAX(0,MIN(AA520*$I509,Z536+AA533,$I511)),MAX(0,MIN(AA533,AA520*$I509,$I511)))))</f>
        <v>0</v>
      </c>
      <c r="AB534" s="521">
        <f t="shared" ref="AB534" si="2971">IF($I507="N/A",0,IF(AB518&gt;$I512,0,IF($I510="Yes",MAX(0,MIN(AB520*$I509,AA536+AB533,$I511)),MAX(0,MIN(AB533,AB520*$I509,$I511)))))</f>
        <v>0</v>
      </c>
      <c r="AC534" s="521">
        <f t="shared" ref="AC534" si="2972">IF($I507="N/A",0,IF(AC518&gt;$I512,0,IF($I510="Yes",MAX(0,MIN(AC520*$I509,AB536+AC533,$I511)),MAX(0,MIN(AC533,AC520*$I509,$I511)))))</f>
        <v>0</v>
      </c>
      <c r="AD534" s="521">
        <f t="shared" ref="AD534" si="2973">IF($I507="N/A",0,IF(AD518&gt;$I512,0,IF($I510="Yes",MAX(0,MIN(AD520*$I509,AC536+AD533,$I511)),MAX(0,MIN(AD533,AD520*$I509,$I511)))))</f>
        <v>0</v>
      </c>
      <c r="AE534" s="521">
        <f t="shared" ref="AE534" si="2974">IF($I507="N/A",0,IF(AE518&gt;$I512,0,IF($I510="Yes",MAX(0,MIN(AE520*$I509,AD536+AE533,$I511)),MAX(0,MIN(AE533,AE520*$I509,$I511)))))</f>
        <v>0</v>
      </c>
      <c r="AF534" s="521">
        <f t="shared" ref="AF534" si="2975">IF($I507="N/A",0,IF(AF518&gt;$I512,0,IF($I510="Yes",MAX(0,MIN(AF520*$I509,AE536+AF533,$I511)),MAX(0,MIN(AF533,AF520*$I509,$I511)))))</f>
        <v>0</v>
      </c>
      <c r="AG534" s="521">
        <f t="shared" ref="AG534" si="2976">IF($I507="N/A",0,IF(AG518&gt;$I512,0,IF($I510="Yes",MAX(0,MIN(AG520*$I509,AF536+AG533,$I511)),MAX(0,MIN(AG533,AG520*$I509,$I511)))))</f>
        <v>0</v>
      </c>
      <c r="AH534" s="521">
        <f t="shared" ref="AH534" si="2977">IF($I507="N/A",0,IF(AH518&gt;$I512,0,IF($I510="Yes",MAX(0,MIN(AH520*$I509,AG536+AH533,$I511)),MAX(0,MIN(AH533,AH520*$I509,$I511)))))</f>
        <v>0</v>
      </c>
    </row>
    <row r="535" spans="3:34" x14ac:dyDescent="0.2">
      <c r="C535" s="1168" t="s">
        <v>2275</v>
      </c>
      <c r="D535" s="1170"/>
      <c r="E535" s="421">
        <f>IF($I510="Yes",IF(E518&gt;$I512,0,E533-E534),0)</f>
        <v>0</v>
      </c>
      <c r="F535" s="421">
        <f t="shared" ref="F535:AH535" si="2978">IF($I507="N/A",0,IF(F519&gt;$I512,0,IF($I510="Yes",F533-F534,0)))</f>
        <v>0</v>
      </c>
      <c r="G535" s="421">
        <f t="shared" si="2978"/>
        <v>0</v>
      </c>
      <c r="H535" s="421">
        <f t="shared" si="2978"/>
        <v>0</v>
      </c>
      <c r="I535" s="421">
        <f t="shared" si="2978"/>
        <v>0</v>
      </c>
      <c r="J535" s="421">
        <f t="shared" si="2978"/>
        <v>0</v>
      </c>
      <c r="K535" s="421">
        <f t="shared" si="2978"/>
        <v>0</v>
      </c>
      <c r="L535" s="421">
        <f t="shared" si="2978"/>
        <v>0</v>
      </c>
      <c r="M535" s="421">
        <f t="shared" si="2978"/>
        <v>0</v>
      </c>
      <c r="N535" s="421">
        <f t="shared" si="2978"/>
        <v>0</v>
      </c>
      <c r="O535" s="421">
        <f t="shared" si="2978"/>
        <v>0</v>
      </c>
      <c r="P535" s="421">
        <f t="shared" si="2978"/>
        <v>0</v>
      </c>
      <c r="Q535" s="421">
        <f t="shared" si="2978"/>
        <v>0</v>
      </c>
      <c r="R535" s="421">
        <f t="shared" si="2978"/>
        <v>0</v>
      </c>
      <c r="S535" s="447">
        <f t="shared" si="2978"/>
        <v>0</v>
      </c>
      <c r="T535" s="439">
        <f t="shared" si="2978"/>
        <v>0</v>
      </c>
      <c r="U535" s="421">
        <f t="shared" si="2978"/>
        <v>0</v>
      </c>
      <c r="V535" s="421">
        <f t="shared" si="2978"/>
        <v>0</v>
      </c>
      <c r="W535" s="421">
        <f t="shared" si="2978"/>
        <v>0</v>
      </c>
      <c r="X535" s="421">
        <f t="shared" si="2978"/>
        <v>0</v>
      </c>
      <c r="Y535" s="421">
        <f t="shared" si="2978"/>
        <v>0</v>
      </c>
      <c r="Z535" s="421">
        <f t="shared" si="2978"/>
        <v>0</v>
      </c>
      <c r="AA535" s="421">
        <f t="shared" si="2978"/>
        <v>0</v>
      </c>
      <c r="AB535" s="421">
        <f t="shared" si="2978"/>
        <v>0</v>
      </c>
      <c r="AC535" s="421">
        <f t="shared" si="2978"/>
        <v>0</v>
      </c>
      <c r="AD535" s="421">
        <f t="shared" si="2978"/>
        <v>0</v>
      </c>
      <c r="AE535" s="421">
        <f t="shared" si="2978"/>
        <v>0</v>
      </c>
      <c r="AF535" s="421">
        <f t="shared" si="2978"/>
        <v>0</v>
      </c>
      <c r="AG535" s="421">
        <f t="shared" si="2978"/>
        <v>0</v>
      </c>
      <c r="AH535" s="421">
        <f t="shared" si="2978"/>
        <v>0</v>
      </c>
    </row>
    <row r="536" spans="3:34" x14ac:dyDescent="0.2">
      <c r="C536" s="1168" t="s">
        <v>2276</v>
      </c>
      <c r="D536" s="1170"/>
      <c r="E536" s="421">
        <f>E535</f>
        <v>0</v>
      </c>
      <c r="F536" s="236">
        <f t="shared" ref="F536" si="2979">IF($I507="N/A",0,IF(F518&gt;$I512,0,E536+F535))</f>
        <v>0</v>
      </c>
      <c r="G536" s="236">
        <f t="shared" ref="G536" si="2980">IF($I507="N/A",0,IF(G518&gt;$I512,0,F536+G535))</f>
        <v>0</v>
      </c>
      <c r="H536" s="236">
        <f t="shared" ref="H536" si="2981">IF($I507="N/A",0,IF(H518&gt;$I512,0,G536+H535))</f>
        <v>0</v>
      </c>
      <c r="I536" s="236">
        <f t="shared" ref="I536" si="2982">IF($I507="N/A",0,IF(I518&gt;$I512,0,H536+I535))</f>
        <v>0</v>
      </c>
      <c r="J536" s="236">
        <f t="shared" ref="J536" si="2983">IF($I507="N/A",0,IF(J518&gt;$I512,0,I536+J535))</f>
        <v>0</v>
      </c>
      <c r="K536" s="236">
        <f t="shared" ref="K536" si="2984">IF($I507="N/A",0,IF(K518&gt;$I512,0,J536+K535))</f>
        <v>0</v>
      </c>
      <c r="L536" s="236">
        <f t="shared" ref="L536" si="2985">IF($I507="N/A",0,IF(L518&gt;$I512,0,K536+L535))</f>
        <v>0</v>
      </c>
      <c r="M536" s="236">
        <f t="shared" ref="M536" si="2986">IF($I507="N/A",0,IF(M518&gt;$I512,0,L536+M535))</f>
        <v>0</v>
      </c>
      <c r="N536" s="236">
        <f t="shared" ref="N536" si="2987">IF($I507="N/A",0,IF(N518&gt;$I512,0,M536+N535))</f>
        <v>0</v>
      </c>
      <c r="O536" s="236">
        <f t="shared" ref="O536" si="2988">IF($I507="N/A",0,IF(O518&gt;$I512,0,N536+O535))</f>
        <v>0</v>
      </c>
      <c r="P536" s="236">
        <f t="shared" ref="P536" si="2989">IF($I507="N/A",0,IF(P518&gt;$I512,0,O536+P535))</f>
        <v>0</v>
      </c>
      <c r="Q536" s="236">
        <f t="shared" ref="Q536" si="2990">IF($I507="N/A",0,IF(Q518&gt;$I512,0,P536+Q535))</f>
        <v>0</v>
      </c>
      <c r="R536" s="236">
        <f t="shared" ref="R536" si="2991">IF($I507="N/A",0,IF(R518&gt;$I512,0,Q536+R535))</f>
        <v>0</v>
      </c>
      <c r="S536" s="446">
        <f t="shared" ref="S536" si="2992">IF($I507="N/A",0,IF(S518&gt;$I512,0,R536+S535))</f>
        <v>0</v>
      </c>
      <c r="T536" s="438">
        <f t="shared" ref="T536" si="2993">IF($I507="N/A",0,IF(T518&gt;$I512,0,S536+T535))</f>
        <v>0</v>
      </c>
      <c r="U536" s="236">
        <f t="shared" ref="U536" si="2994">IF($I507="N/A",0,IF(U518&gt;$I512,0,T536+U535))</f>
        <v>0</v>
      </c>
      <c r="V536" s="236">
        <f t="shared" ref="V536" si="2995">IF($I507="N/A",0,IF(V518&gt;$I512,0,U536+V535))</f>
        <v>0</v>
      </c>
      <c r="W536" s="236">
        <f t="shared" ref="W536" si="2996">IF($I507="N/A",0,IF(W518&gt;$I512,0,V536+W535))</f>
        <v>0</v>
      </c>
      <c r="X536" s="236">
        <f t="shared" ref="X536" si="2997">IF($I507="N/A",0,IF(X518&gt;$I512,0,W536+X535))</f>
        <v>0</v>
      </c>
      <c r="Y536" s="236">
        <f t="shared" ref="Y536" si="2998">IF($I507="N/A",0,IF(Y518&gt;$I512,0,X536+Y535))</f>
        <v>0</v>
      </c>
      <c r="Z536" s="236">
        <f t="shared" ref="Z536" si="2999">IF($I507="N/A",0,IF(Z518&gt;$I512,0,Y536+Z535))</f>
        <v>0</v>
      </c>
      <c r="AA536" s="236">
        <f t="shared" ref="AA536" si="3000">IF($I507="N/A",0,IF(AA518&gt;$I512,0,Z536+AA535))</f>
        <v>0</v>
      </c>
      <c r="AB536" s="236">
        <f t="shared" ref="AB536" si="3001">IF($I507="N/A",0,IF(AB518&gt;$I512,0,AA536+AB535))</f>
        <v>0</v>
      </c>
      <c r="AC536" s="236">
        <f t="shared" ref="AC536" si="3002">IF($I507="N/A",0,IF(AC518&gt;$I512,0,AB536+AC535))</f>
        <v>0</v>
      </c>
      <c r="AD536" s="236">
        <f t="shared" ref="AD536" si="3003">IF($I507="N/A",0,IF(AD518&gt;$I512,0,AC536+AD535))</f>
        <v>0</v>
      </c>
      <c r="AE536" s="236">
        <f t="shared" ref="AE536" si="3004">IF($I507="N/A",0,IF(AE518&gt;$I512,0,AD536+AE535))</f>
        <v>0</v>
      </c>
      <c r="AF536" s="236">
        <f t="shared" ref="AF536" si="3005">IF($I507="N/A",0,IF(AF518&gt;$I512,0,AE536+AF535))</f>
        <v>0</v>
      </c>
      <c r="AG536" s="236">
        <f t="shared" ref="AG536" si="3006">IF($I507="N/A",0,IF(AG518&gt;$I512,0,AF536+AG535))</f>
        <v>0</v>
      </c>
      <c r="AH536" s="236">
        <f t="shared" ref="AH536" si="3007">IF($I507="N/A",0,IF(AH518&gt;$I512,0,AG536+AH535))</f>
        <v>0</v>
      </c>
    </row>
    <row r="539" spans="3:34" ht="15" x14ac:dyDescent="0.2">
      <c r="C539" s="1456" t="str">
        <f>IF(Sources!$D$82="","N/A",Sources!$D$82)</f>
        <v>N/A</v>
      </c>
      <c r="D539" s="1456"/>
      <c r="E539" s="1456"/>
      <c r="F539" s="412" t="s">
        <v>2266</v>
      </c>
      <c r="G539" s="92" t="str">
        <f>IF(AND(ISERROR(VLOOKUP($C539,OpBudget!$C$159:$C$165,1,FALSE)),ISERROR(VLOOKUP($C539,Sources!$C$36:$C$55,1,FALSE))),"N/A",IF(ISERROR(VLOOKUP($C539,Sources!$C$36:$C$55,1,FALSE)),"Fee","Loan"))</f>
        <v>N/A</v>
      </c>
      <c r="H539" s="412"/>
      <c r="I539" s="412"/>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row>
    <row r="540" spans="3:34" ht="15" x14ac:dyDescent="0.2">
      <c r="C540" s="345"/>
      <c r="D540" s="345"/>
      <c r="E540" s="345"/>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row>
    <row r="541" spans="3:34" ht="15" x14ac:dyDescent="0.2">
      <c r="C541" s="417" t="s">
        <v>2260</v>
      </c>
      <c r="D541" s="345"/>
      <c r="E541" s="345"/>
      <c r="F541" s="74"/>
      <c r="G541" s="74" t="s">
        <v>2261</v>
      </c>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row>
    <row r="542" spans="3:34" x14ac:dyDescent="0.2">
      <c r="C542" s="1452" t="s">
        <v>2255</v>
      </c>
      <c r="D542" s="1452"/>
      <c r="E542" s="413" t="str">
        <f>IF(OR($G539="Fee",$G539="N/A"),"N/A",INDEX(Sources!$C$35:$K$55,MATCH(Loans!$C539,Sources!$C$35:$C$55,0),MATCH("Amount",Sources!$C$35:$N$35,0)))</f>
        <v>N/A</v>
      </c>
      <c r="F542" s="74"/>
      <c r="G542" s="1454" t="s">
        <v>2262</v>
      </c>
      <c r="H542" s="1454"/>
      <c r="I542" s="705" t="str">
        <f>IF(OR($G539="Loan",$G539="N/A"),"N/A",INDEX(OpBudget!$C$159:$K$165,MATCH(Loans!$C539,OpBudget!$C$159:$C$165,0),MATCH("Total Amount",OpBudget!$C$159:$K$159,0)))</f>
        <v>N/A</v>
      </c>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row>
    <row r="543" spans="3:34" x14ac:dyDescent="0.2">
      <c r="C543" s="1452" t="s">
        <v>2256</v>
      </c>
      <c r="D543" s="1452"/>
      <c r="E543" s="702" t="str">
        <f>IF(OR($G539="Fee",$G539="N/A"),"N/A",INDEX(Sources!$C$35:$K$55,MATCH(Loans!$C539,Sources!$C$35:$C$55,0),MATCH("Interest Rate",Sources!$C$35:$N$35,0)))</f>
        <v>N/A</v>
      </c>
      <c r="F543" s="74"/>
      <c r="G543" s="1454" t="s">
        <v>2268</v>
      </c>
      <c r="H543" s="1454"/>
      <c r="I543" s="703" t="str">
        <f>IF(OR($G539="Loan",$G539="N/A"),"N/A",INDEX(OpBudget!$C$159:$K$165,MATCH(Loans!$C539,OpBudget!$C$159:$C$165,0),MATCH("Annual Percent Inflator",OpBudget!$C$159:$K$159,0)))</f>
        <v>N/A</v>
      </c>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row>
    <row r="544" spans="3:34" x14ac:dyDescent="0.2">
      <c r="C544" s="1452" t="s">
        <v>2279</v>
      </c>
      <c r="D544" s="1452"/>
      <c r="E544" s="702" t="str">
        <f>IF(OR($G539="Fee",$G539="N/A"),"N/A",INDEX(Sources!$C$35:$N$55,MATCH(Loans!$C539,Sources!$C$35:$C$55,0),MATCH("Simple or Compound Interest?",Sources!$C$35:$N$35,0)))</f>
        <v>N/A</v>
      </c>
      <c r="F544" s="74"/>
      <c r="G544" s="424" t="s">
        <v>2263</v>
      </c>
      <c r="H544" s="424"/>
      <c r="I544" s="703" t="str">
        <f>IF(OR($G539="Loan",$G539="N/A"),"N/A",INDEX(Sources!$D$67:$H$82,MATCH(Loans!$C539,Sources!$D$67:$D$82,0),MATCH("Split of Cash Flow",Sources!$D$67:$H$67,0)))</f>
        <v>N/A</v>
      </c>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row>
    <row r="545" spans="3:34" x14ac:dyDescent="0.2">
      <c r="C545" s="1452" t="s">
        <v>2257</v>
      </c>
      <c r="D545" s="1452"/>
      <c r="E545" s="420" t="str">
        <f>IF(OR($G539="Fee",$G539="N/A"),"N/A",INDEX(Sources!$C$35:$K$55,MATCH(Loans!$C539,Sources!$C$35:$C$55,0),MATCH("Term (Years)",Sources!$C$35:$N$35,0)))</f>
        <v>N/A</v>
      </c>
      <c r="F545" s="74"/>
      <c r="G545" s="1454" t="s">
        <v>2281</v>
      </c>
      <c r="H545" s="1454"/>
      <c r="I545" s="703" t="str">
        <f>IF(OR($G539="Loan",$G539="N/A"),"N/A",INDEX(OpBudget!$C$159:$K$165,MATCH(Loans!$C539,OpBudget!$C$159:$C$165,0),MATCH("Accrue Unpaid Fee?",OpBudget!$C$159:$K$159,0)))</f>
        <v>N/A</v>
      </c>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row>
    <row r="546" spans="3:34" x14ac:dyDescent="0.2">
      <c r="C546" s="1452" t="s">
        <v>2284</v>
      </c>
      <c r="D546" s="1452"/>
      <c r="E546" s="420" t="str">
        <f>IF(OR($G539="Fee",$G539="N/A"),"N/A",INDEX(Sources!$D$67:$O$82,MATCH(Loans!$C539,Sources!$D$67:$D$82,0),MATCH("Beginning Payment Year",Sources!$D$67:$O$67,0)))</f>
        <v>N/A</v>
      </c>
      <c r="F546" s="74"/>
      <c r="G546" s="1454" t="s">
        <v>2293</v>
      </c>
      <c r="H546" s="1454"/>
      <c r="I546" s="705" t="str">
        <f>IF(OR($G539="Loan",$G539="N/A"),"N/A",IF(INDEX(OpBudget!$C$159:$K$165,MATCH(Loans!$C539,OpBudget!$C$159:$C$165,0),MATCH("Fee Cap (if applicable)",OpBudget!$C$159:$K$159,0))=0,"N/A",INDEX(OpBudget!$C$159:$K$165,MATCH(Loans!$C539,OpBudget!$C$159:$C$165,0),MATCH("Fee Cap (if applicable)",OpBudget!$C$159:$K$159,0))))</f>
        <v>N/A</v>
      </c>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row>
    <row r="547" spans="3:34" x14ac:dyDescent="0.2">
      <c r="C547" s="1452" t="s">
        <v>2267</v>
      </c>
      <c r="D547" s="1452"/>
      <c r="E547" s="703" t="str">
        <f>IF(OR($G539="Fee",$G539="N/A"),"N/A",INDEX(Sources!$D$67:$O$82,MATCH(Loans!$C539,Sources!$D$67:$D$82,0),MATCH("Split of Cash Flow",Sources!$D$67:$O$67,0)))</f>
        <v>N/A</v>
      </c>
      <c r="F547" s="1455"/>
      <c r="G547" s="1454" t="s">
        <v>2292</v>
      </c>
      <c r="H547" s="1454"/>
      <c r="I547" s="420" t="str">
        <f>IF(OR($G539="Loan",$G539="N/A"),"N/A",INDEX(OpBudget!$C$159:$K$165,MATCH(Loans!$C539,OpBudget!$C$159:$C$165,0),MATCH("Number of Years Fee Exists",OpBudget!$C$159:$K$159,0)))</f>
        <v>N/A</v>
      </c>
      <c r="J547" s="74"/>
      <c r="K547" s="74"/>
      <c r="L547" s="74" t="s">
        <v>2278</v>
      </c>
      <c r="M547" s="74"/>
      <c r="N547" s="74"/>
      <c r="O547" s="74"/>
      <c r="P547" s="74"/>
      <c r="Q547" s="74"/>
      <c r="R547" s="74"/>
      <c r="S547" s="74"/>
      <c r="T547" s="74"/>
      <c r="U547" s="74"/>
      <c r="V547" s="74"/>
      <c r="W547" s="74"/>
      <c r="X547" s="74"/>
      <c r="Y547" s="74"/>
      <c r="Z547" s="74"/>
      <c r="AA547" s="74"/>
      <c r="AB547" s="74"/>
      <c r="AC547" s="74"/>
      <c r="AD547" s="74"/>
      <c r="AE547" s="74"/>
      <c r="AF547" s="74"/>
      <c r="AG547" s="74"/>
      <c r="AH547" s="74"/>
    </row>
    <row r="548" spans="3:34" x14ac:dyDescent="0.2">
      <c r="C548" s="1452" t="s">
        <v>2289</v>
      </c>
      <c r="D548" s="1452"/>
      <c r="E548" s="704" t="str">
        <f>IF(OR($G539="Fee",$G539="N/A"),"N/A",INDEX(Sources!$D$67:$O$82,MATCH(Loans!$C539,Sources!$D$67:$D$82,0),MATCH("Pari Passu?",Sources!$D$67:$O$67,0)))</f>
        <v>N/A</v>
      </c>
      <c r="F548" s="1455"/>
      <c r="G548" s="424"/>
      <c r="H548" s="424"/>
      <c r="I548" s="526"/>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row>
    <row r="549" spans="3:34" x14ac:dyDescent="0.2">
      <c r="C549" s="1452" t="s">
        <v>2295</v>
      </c>
      <c r="D549" s="1452"/>
      <c r="E549" s="703" t="str">
        <f>IF(OR($G539="Fee",$G539="N/A"),"N/A",INDEX(Sources!$D$67:$O$82,MATCH(Loans!$C539,Sources!$D$67:$D$82,0),MATCH("Shared Position Split of Cash Flow",Sources!$D$67:$O$67,0)))</f>
        <v>N/A</v>
      </c>
      <c r="F549" s="532"/>
      <c r="G549" s="424"/>
      <c r="H549" s="424"/>
      <c r="I549" s="526"/>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row>
    <row r="550" spans="3:34" x14ac:dyDescent="0.2">
      <c r="C550" s="1452" t="s">
        <v>2291</v>
      </c>
      <c r="D550" s="1452"/>
      <c r="E550" s="704" t="str">
        <f>IF(OR($G539="Fee",$G539="N/A"),"N/A",INDEX(Sources!$D$67:$O$82,MATCH(Loans!$C539,Sources!$D$67:$D$82,0),MATCH("Deferred Loan?",Sources!$D$67:$O$67,0)))</f>
        <v>N/A</v>
      </c>
      <c r="F550" s="74"/>
      <c r="G550" s="424"/>
      <c r="H550" s="424"/>
      <c r="I550" s="526"/>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row>
    <row r="551" spans="3:34" x14ac:dyDescent="0.2">
      <c r="C551" s="1452" t="s">
        <v>2277</v>
      </c>
      <c r="D551" s="1452"/>
      <c r="E551" s="705" t="str">
        <f>IF(OR(E542=0,E542="N/A"),"N/A",INDEX($C553:$AH565,MATCH("Ending Principal Balance",$C553:$C565,0),MATCH($E545,$C553:$AH553,0)))</f>
        <v>N/A</v>
      </c>
      <c r="F551" s="74"/>
      <c r="G551" s="74"/>
      <c r="H551" s="74" t="s">
        <v>2278</v>
      </c>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row>
    <row r="552" spans="3:34" ht="15" x14ac:dyDescent="0.2">
      <c r="C552" s="345"/>
      <c r="D552" s="345"/>
      <c r="E552" s="345"/>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row>
    <row r="553" spans="3:34" ht="15" x14ac:dyDescent="0.2">
      <c r="C553" s="309"/>
      <c r="D553" s="309"/>
      <c r="E553" s="310">
        <v>1</v>
      </c>
      <c r="F553" s="310">
        <f>E553+1</f>
        <v>2</v>
      </c>
      <c r="G553" s="310">
        <f t="shared" ref="G553" si="3008">F553+1</f>
        <v>3</v>
      </c>
      <c r="H553" s="310">
        <f t="shared" ref="H553" si="3009">G553+1</f>
        <v>4</v>
      </c>
      <c r="I553" s="310">
        <f t="shared" ref="I553" si="3010">H553+1</f>
        <v>5</v>
      </c>
      <c r="J553" s="310">
        <f t="shared" ref="J553" si="3011">I553+1</f>
        <v>6</v>
      </c>
      <c r="K553" s="310">
        <f t="shared" ref="K553" si="3012">J553+1</f>
        <v>7</v>
      </c>
      <c r="L553" s="310">
        <f t="shared" ref="L553" si="3013">K553+1</f>
        <v>8</v>
      </c>
      <c r="M553" s="310">
        <f t="shared" ref="M553" si="3014">L553+1</f>
        <v>9</v>
      </c>
      <c r="N553" s="310">
        <f t="shared" ref="N553" si="3015">M553+1</f>
        <v>10</v>
      </c>
      <c r="O553" s="310">
        <f t="shared" ref="O553" si="3016">N553+1</f>
        <v>11</v>
      </c>
      <c r="P553" s="310">
        <f t="shared" ref="P553" si="3017">O553+1</f>
        <v>12</v>
      </c>
      <c r="Q553" s="310">
        <f t="shared" ref="Q553" si="3018">P553+1</f>
        <v>13</v>
      </c>
      <c r="R553" s="310">
        <f t="shared" ref="R553" si="3019">Q553+1</f>
        <v>14</v>
      </c>
      <c r="S553" s="448">
        <f t="shared" ref="S553" si="3020">R553+1</f>
        <v>15</v>
      </c>
      <c r="T553" s="428">
        <f t="shared" ref="T553" si="3021">S553+1</f>
        <v>16</v>
      </c>
      <c r="U553" s="310">
        <f t="shared" ref="U553" si="3022">T553+1</f>
        <v>17</v>
      </c>
      <c r="V553" s="310">
        <f t="shared" ref="V553" si="3023">U553+1</f>
        <v>18</v>
      </c>
      <c r="W553" s="310">
        <f t="shared" ref="W553" si="3024">V553+1</f>
        <v>19</v>
      </c>
      <c r="X553" s="310">
        <f t="shared" ref="X553" si="3025">W553+1</f>
        <v>20</v>
      </c>
      <c r="Y553" s="310">
        <f t="shared" ref="Y553" si="3026">X553+1</f>
        <v>21</v>
      </c>
      <c r="Z553" s="310">
        <f t="shared" ref="Z553" si="3027">Y553+1</f>
        <v>22</v>
      </c>
      <c r="AA553" s="310">
        <f t="shared" ref="AA553" si="3028">Z553+1</f>
        <v>23</v>
      </c>
      <c r="AB553" s="310">
        <f t="shared" ref="AB553" si="3029">AA553+1</f>
        <v>24</v>
      </c>
      <c r="AC553" s="310">
        <f t="shared" ref="AC553" si="3030">AB553+1</f>
        <v>25</v>
      </c>
      <c r="AD553" s="310">
        <f t="shared" ref="AD553" si="3031">AC553+1</f>
        <v>26</v>
      </c>
      <c r="AE553" s="310">
        <f t="shared" ref="AE553" si="3032">AD553+1</f>
        <v>27</v>
      </c>
      <c r="AF553" s="310">
        <f t="shared" ref="AF553" si="3033">AE553+1</f>
        <v>28</v>
      </c>
      <c r="AG553" s="310">
        <f t="shared" ref="AG553" si="3034">AF553+1</f>
        <v>29</v>
      </c>
      <c r="AH553" s="310">
        <f t="shared" ref="AH553" si="3035">AG553+1</f>
        <v>30</v>
      </c>
    </row>
    <row r="554" spans="3:34" ht="15" x14ac:dyDescent="0.2">
      <c r="C554" s="309"/>
      <c r="D554" s="309"/>
      <c r="E554" s="314" t="str">
        <f>IF(Details!$E$171="","",Details!$E$171)</f>
        <v/>
      </c>
      <c r="F554" s="314" t="str">
        <f>IF($E$7="","",E$7+1)</f>
        <v/>
      </c>
      <c r="G554" s="314" t="str">
        <f t="shared" ref="G554" si="3036">IF($E$7="","",F$7+1)</f>
        <v/>
      </c>
      <c r="H554" s="314" t="str">
        <f t="shared" ref="H554" si="3037">IF($E$7="","",G$7+1)</f>
        <v/>
      </c>
      <c r="I554" s="314" t="str">
        <f t="shared" ref="I554" si="3038">IF($E$7="","",H$7+1)</f>
        <v/>
      </c>
      <c r="J554" s="314" t="str">
        <f t="shared" ref="J554" si="3039">IF($E$7="","",I$7+1)</f>
        <v/>
      </c>
      <c r="K554" s="314" t="str">
        <f t="shared" ref="K554" si="3040">IF($E$7="","",J$7+1)</f>
        <v/>
      </c>
      <c r="L554" s="314" t="str">
        <f t="shared" ref="L554" si="3041">IF($E$7="","",K$7+1)</f>
        <v/>
      </c>
      <c r="M554" s="314" t="str">
        <f t="shared" ref="M554" si="3042">IF($E$7="","",L$7+1)</f>
        <v/>
      </c>
      <c r="N554" s="314" t="str">
        <f t="shared" ref="N554" si="3043">IF($E$7="","",M$7+1)</f>
        <v/>
      </c>
      <c r="O554" s="314" t="str">
        <f t="shared" ref="O554" si="3044">IF($E$7="","",N$7+1)</f>
        <v/>
      </c>
      <c r="P554" s="314" t="str">
        <f t="shared" ref="P554" si="3045">IF($E$7="","",O$7+1)</f>
        <v/>
      </c>
      <c r="Q554" s="314" t="str">
        <f t="shared" ref="Q554" si="3046">IF($E$7="","",P$7+1)</f>
        <v/>
      </c>
      <c r="R554" s="314" t="str">
        <f t="shared" ref="R554" si="3047">IF($E$7="","",Q$7+1)</f>
        <v/>
      </c>
      <c r="S554" s="440" t="str">
        <f t="shared" ref="S554" si="3048">IF($E$7="","",R$7+1)</f>
        <v/>
      </c>
      <c r="T554" s="433" t="str">
        <f t="shared" ref="T554" si="3049">IF($E$7="","",S$7+1)</f>
        <v/>
      </c>
      <c r="U554" s="314" t="str">
        <f t="shared" ref="U554" si="3050">IF($E$7="","",T$7+1)</f>
        <v/>
      </c>
      <c r="V554" s="314" t="str">
        <f t="shared" ref="V554" si="3051">IF($E$7="","",U$7+1)</f>
        <v/>
      </c>
      <c r="W554" s="314" t="str">
        <f t="shared" ref="W554" si="3052">IF($E$7="","",V$7+1)</f>
        <v/>
      </c>
      <c r="X554" s="314" t="str">
        <f t="shared" ref="X554" si="3053">IF($E$7="","",W$7+1)</f>
        <v/>
      </c>
      <c r="Y554" s="314" t="str">
        <f t="shared" ref="Y554" si="3054">IF($E$7="","",X$7+1)</f>
        <v/>
      </c>
      <c r="Z554" s="314" t="str">
        <f t="shared" ref="Z554" si="3055">IF($E$7="","",Y$7+1)</f>
        <v/>
      </c>
      <c r="AA554" s="314" t="str">
        <f t="shared" ref="AA554" si="3056">IF($E$7="","",Z$7+1)</f>
        <v/>
      </c>
      <c r="AB554" s="314" t="str">
        <f t="shared" ref="AB554" si="3057">IF($E$7="","",AA$7+1)</f>
        <v/>
      </c>
      <c r="AC554" s="314" t="str">
        <f t="shared" ref="AC554" si="3058">IF($E$7="","",AB$7+1)</f>
        <v/>
      </c>
      <c r="AD554" s="314" t="str">
        <f t="shared" ref="AD554" si="3059">IF($E$7="","",AC$7+1)</f>
        <v/>
      </c>
      <c r="AE554" s="314" t="str">
        <f t="shared" ref="AE554" si="3060">IF($E$7="","",AD$7+1)</f>
        <v/>
      </c>
      <c r="AF554" s="314" t="str">
        <f t="shared" ref="AF554" si="3061">IF($E$7="","",AE$7+1)</f>
        <v/>
      </c>
      <c r="AG554" s="314" t="str">
        <f t="shared" ref="AG554" si="3062">IF($E$7="","",AF$7+1)</f>
        <v/>
      </c>
      <c r="AH554" s="314" t="str">
        <f t="shared" ref="AH554" si="3063">IF($E$7="","",AG$7+1)</f>
        <v/>
      </c>
    </row>
    <row r="555" spans="3:34" x14ac:dyDescent="0.2">
      <c r="C555" s="1168" t="s">
        <v>2254</v>
      </c>
      <c r="D555" s="1169"/>
      <c r="E555" s="109">
        <f>E520-E529-E533</f>
        <v>0</v>
      </c>
      <c r="F555" s="109">
        <f t="shared" ref="F555:AH555" si="3064">F520-F529-F533</f>
        <v>0</v>
      </c>
      <c r="G555" s="109">
        <f t="shared" si="3064"/>
        <v>0</v>
      </c>
      <c r="H555" s="109">
        <f t="shared" si="3064"/>
        <v>0</v>
      </c>
      <c r="I555" s="109">
        <f t="shared" si="3064"/>
        <v>0</v>
      </c>
      <c r="J555" s="109">
        <f t="shared" si="3064"/>
        <v>0</v>
      </c>
      <c r="K555" s="109">
        <f t="shared" si="3064"/>
        <v>0</v>
      </c>
      <c r="L555" s="109">
        <f t="shared" si="3064"/>
        <v>0</v>
      </c>
      <c r="M555" s="109">
        <f t="shared" si="3064"/>
        <v>0</v>
      </c>
      <c r="N555" s="109">
        <f t="shared" si="3064"/>
        <v>0</v>
      </c>
      <c r="O555" s="109">
        <f t="shared" si="3064"/>
        <v>0</v>
      </c>
      <c r="P555" s="109">
        <f t="shared" si="3064"/>
        <v>0</v>
      </c>
      <c r="Q555" s="109">
        <f t="shared" si="3064"/>
        <v>0</v>
      </c>
      <c r="R555" s="109">
        <f t="shared" si="3064"/>
        <v>0</v>
      </c>
      <c r="S555" s="331">
        <f t="shared" si="3064"/>
        <v>0</v>
      </c>
      <c r="T555" s="228">
        <f t="shared" si="3064"/>
        <v>0</v>
      </c>
      <c r="U555" s="109">
        <f t="shared" si="3064"/>
        <v>0</v>
      </c>
      <c r="V555" s="109">
        <f t="shared" si="3064"/>
        <v>0</v>
      </c>
      <c r="W555" s="109">
        <f t="shared" si="3064"/>
        <v>0</v>
      </c>
      <c r="X555" s="109">
        <f t="shared" si="3064"/>
        <v>0</v>
      </c>
      <c r="Y555" s="109">
        <f t="shared" si="3064"/>
        <v>0</v>
      </c>
      <c r="Z555" s="109">
        <f t="shared" si="3064"/>
        <v>0</v>
      </c>
      <c r="AA555" s="109">
        <f t="shared" si="3064"/>
        <v>0</v>
      </c>
      <c r="AB555" s="109">
        <f t="shared" si="3064"/>
        <v>0</v>
      </c>
      <c r="AC555" s="109">
        <f t="shared" si="3064"/>
        <v>0</v>
      </c>
      <c r="AD555" s="109">
        <f t="shared" si="3064"/>
        <v>0</v>
      </c>
      <c r="AE555" s="109">
        <f t="shared" si="3064"/>
        <v>0</v>
      </c>
      <c r="AF555" s="109">
        <f t="shared" si="3064"/>
        <v>0</v>
      </c>
      <c r="AG555" s="109">
        <f t="shared" si="3064"/>
        <v>0</v>
      </c>
      <c r="AH555" s="109">
        <f t="shared" si="3064"/>
        <v>0</v>
      </c>
    </row>
    <row r="556" spans="3:34" ht="15" x14ac:dyDescent="0.2">
      <c r="C556" s="345"/>
      <c r="D556" s="345"/>
      <c r="E556" s="345"/>
      <c r="F556" s="74"/>
      <c r="G556" s="74"/>
      <c r="H556" s="74"/>
      <c r="I556" s="74"/>
      <c r="J556" s="74"/>
      <c r="K556" s="74"/>
      <c r="L556" s="74"/>
      <c r="M556" s="74"/>
      <c r="N556" s="74"/>
      <c r="O556" s="74"/>
      <c r="P556" s="74"/>
      <c r="Q556" s="74"/>
      <c r="R556" s="74"/>
      <c r="S556" s="333"/>
      <c r="T556" s="74"/>
      <c r="U556" s="74"/>
      <c r="V556" s="74"/>
      <c r="W556" s="74"/>
      <c r="X556" s="74"/>
      <c r="Y556" s="74"/>
      <c r="Z556" s="74"/>
      <c r="AA556" s="74"/>
      <c r="AB556" s="74"/>
      <c r="AC556" s="74"/>
      <c r="AD556" s="74"/>
      <c r="AE556" s="74"/>
      <c r="AF556" s="74"/>
      <c r="AG556" s="74"/>
      <c r="AH556" s="74"/>
    </row>
    <row r="557" spans="3:34" ht="15" x14ac:dyDescent="0.2">
      <c r="C557" s="432" t="s">
        <v>2286</v>
      </c>
      <c r="D557" s="345"/>
      <c r="E557" s="345"/>
      <c r="F557" s="74"/>
      <c r="G557" s="74"/>
      <c r="H557" s="74"/>
      <c r="I557" s="74"/>
      <c r="J557" s="74"/>
      <c r="K557" s="74"/>
      <c r="L557" s="74"/>
      <c r="M557" s="74"/>
      <c r="N557" s="74"/>
      <c r="O557" s="74"/>
      <c r="P557" s="74"/>
      <c r="Q557" s="74"/>
      <c r="R557" s="74"/>
      <c r="S557" s="333"/>
      <c r="T557" s="74"/>
      <c r="U557" s="74"/>
      <c r="V557" s="74"/>
      <c r="W557" s="74"/>
      <c r="X557" s="74"/>
      <c r="Y557" s="74"/>
      <c r="Z557" s="74"/>
      <c r="AA557" s="74"/>
      <c r="AB557" s="74"/>
      <c r="AC557" s="74"/>
      <c r="AD557" s="74"/>
      <c r="AE557" s="74"/>
      <c r="AF557" s="74"/>
      <c r="AG557" s="74"/>
      <c r="AH557" s="74"/>
    </row>
    <row r="558" spans="3:34" ht="15" thickBot="1" x14ac:dyDescent="0.25">
      <c r="C558" s="1453" t="s">
        <v>2285</v>
      </c>
      <c r="D558" s="1453"/>
      <c r="E558" s="423">
        <f>IF(OR($E542="N/A",$E542=0),0,IF($E548="Yes",(E555*$E547*$E549),E555*$E547))</f>
        <v>0</v>
      </c>
      <c r="F558" s="423">
        <f t="shared" ref="F558:AH558" si="3065">IF(OR($E542="N/A",$E542=0),0,IF($E548="Yes",(F555*$E547*$E549),F555*$E547))</f>
        <v>0</v>
      </c>
      <c r="G558" s="423">
        <f t="shared" si="3065"/>
        <v>0</v>
      </c>
      <c r="H558" s="423">
        <f t="shared" si="3065"/>
        <v>0</v>
      </c>
      <c r="I558" s="423">
        <f t="shared" si="3065"/>
        <v>0</v>
      </c>
      <c r="J558" s="423">
        <f t="shared" si="3065"/>
        <v>0</v>
      </c>
      <c r="K558" s="423">
        <f t="shared" si="3065"/>
        <v>0</v>
      </c>
      <c r="L558" s="423">
        <f t="shared" si="3065"/>
        <v>0</v>
      </c>
      <c r="M558" s="423">
        <f t="shared" si="3065"/>
        <v>0</v>
      </c>
      <c r="N558" s="423">
        <f t="shared" si="3065"/>
        <v>0</v>
      </c>
      <c r="O558" s="423">
        <f t="shared" si="3065"/>
        <v>0</v>
      </c>
      <c r="P558" s="423">
        <f t="shared" si="3065"/>
        <v>0</v>
      </c>
      <c r="Q558" s="423">
        <f t="shared" si="3065"/>
        <v>0</v>
      </c>
      <c r="R558" s="423">
        <f t="shared" si="3065"/>
        <v>0</v>
      </c>
      <c r="S558" s="441">
        <f t="shared" si="3065"/>
        <v>0</v>
      </c>
      <c r="T558" s="434">
        <f t="shared" si="3065"/>
        <v>0</v>
      </c>
      <c r="U558" s="423">
        <f t="shared" si="3065"/>
        <v>0</v>
      </c>
      <c r="V558" s="423">
        <f t="shared" si="3065"/>
        <v>0</v>
      </c>
      <c r="W558" s="423">
        <f t="shared" si="3065"/>
        <v>0</v>
      </c>
      <c r="X558" s="423">
        <f t="shared" si="3065"/>
        <v>0</v>
      </c>
      <c r="Y558" s="423">
        <f t="shared" si="3065"/>
        <v>0</v>
      </c>
      <c r="Z558" s="423">
        <f t="shared" si="3065"/>
        <v>0</v>
      </c>
      <c r="AA558" s="423">
        <f t="shared" si="3065"/>
        <v>0</v>
      </c>
      <c r="AB558" s="423">
        <f t="shared" si="3065"/>
        <v>0</v>
      </c>
      <c r="AC558" s="423">
        <f t="shared" si="3065"/>
        <v>0</v>
      </c>
      <c r="AD558" s="423">
        <f t="shared" si="3065"/>
        <v>0</v>
      </c>
      <c r="AE558" s="423">
        <f t="shared" si="3065"/>
        <v>0</v>
      </c>
      <c r="AF558" s="423">
        <f t="shared" si="3065"/>
        <v>0</v>
      </c>
      <c r="AG558" s="423">
        <f t="shared" si="3065"/>
        <v>0</v>
      </c>
      <c r="AH558" s="423">
        <f t="shared" si="3065"/>
        <v>0</v>
      </c>
    </row>
    <row r="559" spans="3:34" ht="15" thickTop="1" x14ac:dyDescent="0.2">
      <c r="C559" s="1449" t="s">
        <v>2189</v>
      </c>
      <c r="D559" s="1449"/>
      <c r="E559" s="316">
        <f>IF(OR($E542="N/A",E553&gt;$E545,E553&lt;$E546),0,MAX(0,E542))</f>
        <v>0</v>
      </c>
      <c r="F559" s="316">
        <f t="shared" ref="F559" si="3066">IF(OR($E542="N/A",F553&gt;$E545),0,IF(F553=$E546,$E542,MAX(E565,0)))</f>
        <v>0</v>
      </c>
      <c r="G559" s="316">
        <f t="shared" ref="G559" si="3067">IF(OR($E542="N/A",G553&gt;$E545),0,IF(G553=$E546,$E542,MAX(F565,0)))</f>
        <v>0</v>
      </c>
      <c r="H559" s="316">
        <f t="shared" ref="H559" si="3068">IF(OR($E542="N/A",H553&gt;$E545),0,IF(H553=$E546,$E542,MAX(G565,0)))</f>
        <v>0</v>
      </c>
      <c r="I559" s="316">
        <f t="shared" ref="I559" si="3069">IF(OR($E542="N/A",I553&gt;$E545),0,IF(I553=$E546,$E542,MAX(H565,0)))</f>
        <v>0</v>
      </c>
      <c r="J559" s="316">
        <f t="shared" ref="J559" si="3070">IF(OR($E542="N/A",J553&gt;$E545),0,IF(J553=$E546,$E542,MAX(I565,0)))</f>
        <v>0</v>
      </c>
      <c r="K559" s="316">
        <f t="shared" ref="K559" si="3071">IF(OR($E542="N/A",K553&gt;$E545),0,IF(K553=$E546,$E542,MAX(J565,0)))</f>
        <v>0</v>
      </c>
      <c r="L559" s="316">
        <f t="shared" ref="L559" si="3072">IF(OR($E542="N/A",L553&gt;$E545),0,IF(L553=$E546,$E542,MAX(K565,0)))</f>
        <v>0</v>
      </c>
      <c r="M559" s="316">
        <f t="shared" ref="M559" si="3073">IF(OR($E542="N/A",M553&gt;$E545),0,IF(M553=$E546,$E542,MAX(L565,0)))</f>
        <v>0</v>
      </c>
      <c r="N559" s="316">
        <f t="shared" ref="N559" si="3074">IF(OR($E542="N/A",N553&gt;$E545),0,IF(N553=$E546,$E542,MAX(M565,0)))</f>
        <v>0</v>
      </c>
      <c r="O559" s="316">
        <f t="shared" ref="O559" si="3075">IF(OR($E542="N/A",O553&gt;$E545),0,IF(O553=$E546,$E542,MAX(N565,0)))</f>
        <v>0</v>
      </c>
      <c r="P559" s="316">
        <f t="shared" ref="P559" si="3076">IF(OR($E542="N/A",P553&gt;$E545),0,IF(P553=$E546,$E542,MAX(O565,0)))</f>
        <v>0</v>
      </c>
      <c r="Q559" s="316">
        <f t="shared" ref="Q559" si="3077">IF(OR($E542="N/A",Q553&gt;$E545),0,IF(Q553=$E546,$E542,MAX(P565,0)))</f>
        <v>0</v>
      </c>
      <c r="R559" s="316">
        <f t="shared" ref="R559" si="3078">IF(OR($E542="N/A",R553&gt;$E545),0,IF(R553=$E546,$E542,MAX(Q565,0)))</f>
        <v>0</v>
      </c>
      <c r="S559" s="332">
        <f t="shared" ref="S559" si="3079">IF(OR($E542="N/A",S553&gt;$E545),0,IF(S553=$E546,$E542,MAX(R565,0)))</f>
        <v>0</v>
      </c>
      <c r="T559" s="429">
        <f t="shared" ref="T559" si="3080">IF(OR($E542="N/A",T553&gt;$E545),0,IF(T553=$E546,$E542,MAX(S565,0)))</f>
        <v>0</v>
      </c>
      <c r="U559" s="316">
        <f t="shared" ref="U559" si="3081">IF(OR($E542="N/A",U553&gt;$E545),0,IF(U553=$E546,$E542,MAX(T565,0)))</f>
        <v>0</v>
      </c>
      <c r="V559" s="316">
        <f t="shared" ref="V559" si="3082">IF(OR($E542="N/A",V553&gt;$E545),0,IF(V553=$E546,$E542,MAX(U565,0)))</f>
        <v>0</v>
      </c>
      <c r="W559" s="316">
        <f t="shared" ref="W559" si="3083">IF(OR($E542="N/A",W553&gt;$E545),0,IF(W553=$E546,$E542,MAX(V565,0)))</f>
        <v>0</v>
      </c>
      <c r="X559" s="316">
        <f t="shared" ref="X559" si="3084">IF(OR($E542="N/A",X553&gt;$E545),0,IF(X553=$E546,$E542,MAX(W565,0)))</f>
        <v>0</v>
      </c>
      <c r="Y559" s="316">
        <f t="shared" ref="Y559" si="3085">IF(OR($E542="N/A",Y553&gt;$E545),0,IF(Y553=$E546,$E542,MAX(X565,0)))</f>
        <v>0</v>
      </c>
      <c r="Z559" s="316">
        <f t="shared" ref="Z559" si="3086">IF(OR($E542="N/A",Z553&gt;$E545),0,IF(Z553=$E546,$E542,MAX(Y565,0)))</f>
        <v>0</v>
      </c>
      <c r="AA559" s="316">
        <f t="shared" ref="AA559" si="3087">IF(OR($E542="N/A",AA553&gt;$E545),0,IF(AA553=$E546,$E542,MAX(Z565,0)))</f>
        <v>0</v>
      </c>
      <c r="AB559" s="316">
        <f t="shared" ref="AB559" si="3088">IF(OR($E542="N/A",AB553&gt;$E545),0,IF(AB553=$E546,$E542,MAX(AA565,0)))</f>
        <v>0</v>
      </c>
      <c r="AC559" s="316">
        <f t="shared" ref="AC559" si="3089">IF(OR($E542="N/A",AC553&gt;$E545),0,IF(AC553=$E546,$E542,MAX(AB565,0)))</f>
        <v>0</v>
      </c>
      <c r="AD559" s="316">
        <f t="shared" ref="AD559" si="3090">IF(OR($E542="N/A",AD553&gt;$E545),0,IF(AD553=$E546,$E542,MAX(AC565,0)))</f>
        <v>0</v>
      </c>
      <c r="AE559" s="316">
        <f t="shared" ref="AE559" si="3091">IF(OR($E542="N/A",AE553&gt;$E545),0,IF(AE553=$E546,$E542,MAX(AD565,0)))</f>
        <v>0</v>
      </c>
      <c r="AF559" s="316">
        <f t="shared" ref="AF559" si="3092">IF(OR($E542="N/A",AF553&gt;$E545),0,IF(AF553=$E546,$E542,MAX(AE565,0)))</f>
        <v>0</v>
      </c>
      <c r="AG559" s="316">
        <f t="shared" ref="AG559" si="3093">IF(OR($E542="N/A",AG553&gt;$E545),0,IF(AG553=$E546,$E542,MAX(AF565,0)))</f>
        <v>0</v>
      </c>
      <c r="AH559" s="316">
        <f t="shared" ref="AH559" si="3094">IF(OR($E542="N/A",AH553&gt;$E545),0,IF(AH553=$E546,$E542,MAX(AG565,0)))</f>
        <v>0</v>
      </c>
    </row>
    <row r="560" spans="3:34" x14ac:dyDescent="0.2">
      <c r="C560" s="1181" t="s">
        <v>2186</v>
      </c>
      <c r="D560" s="1181"/>
      <c r="E560" s="109">
        <f t="shared" ref="E560:AH560" si="3095">IF(OR($E542="N/A",E553&gt;$E545,E553&lt;$E546),0,E559*$E543)</f>
        <v>0</v>
      </c>
      <c r="F560" s="109">
        <f t="shared" si="3095"/>
        <v>0</v>
      </c>
      <c r="G560" s="109">
        <f t="shared" si="3095"/>
        <v>0</v>
      </c>
      <c r="H560" s="109">
        <f t="shared" si="3095"/>
        <v>0</v>
      </c>
      <c r="I560" s="109">
        <f t="shared" si="3095"/>
        <v>0</v>
      </c>
      <c r="J560" s="109">
        <f t="shared" si="3095"/>
        <v>0</v>
      </c>
      <c r="K560" s="109">
        <f t="shared" si="3095"/>
        <v>0</v>
      </c>
      <c r="L560" s="109">
        <f t="shared" si="3095"/>
        <v>0</v>
      </c>
      <c r="M560" s="109">
        <f t="shared" si="3095"/>
        <v>0</v>
      </c>
      <c r="N560" s="109">
        <f t="shared" si="3095"/>
        <v>0</v>
      </c>
      <c r="O560" s="109">
        <f t="shared" si="3095"/>
        <v>0</v>
      </c>
      <c r="P560" s="109">
        <f t="shared" si="3095"/>
        <v>0</v>
      </c>
      <c r="Q560" s="109">
        <f t="shared" si="3095"/>
        <v>0</v>
      </c>
      <c r="R560" s="109">
        <f t="shared" si="3095"/>
        <v>0</v>
      </c>
      <c r="S560" s="331">
        <f t="shared" si="3095"/>
        <v>0</v>
      </c>
      <c r="T560" s="228">
        <f t="shared" si="3095"/>
        <v>0</v>
      </c>
      <c r="U560" s="109">
        <f t="shared" si="3095"/>
        <v>0</v>
      </c>
      <c r="V560" s="109">
        <f t="shared" si="3095"/>
        <v>0</v>
      </c>
      <c r="W560" s="109">
        <f t="shared" si="3095"/>
        <v>0</v>
      </c>
      <c r="X560" s="109">
        <f t="shared" si="3095"/>
        <v>0</v>
      </c>
      <c r="Y560" s="109">
        <f t="shared" si="3095"/>
        <v>0</v>
      </c>
      <c r="Z560" s="109">
        <f t="shared" si="3095"/>
        <v>0</v>
      </c>
      <c r="AA560" s="109">
        <f t="shared" si="3095"/>
        <v>0</v>
      </c>
      <c r="AB560" s="109">
        <f t="shared" si="3095"/>
        <v>0</v>
      </c>
      <c r="AC560" s="109">
        <f t="shared" si="3095"/>
        <v>0</v>
      </c>
      <c r="AD560" s="109">
        <f t="shared" si="3095"/>
        <v>0</v>
      </c>
      <c r="AE560" s="109">
        <f t="shared" si="3095"/>
        <v>0</v>
      </c>
      <c r="AF560" s="109">
        <f t="shared" si="3095"/>
        <v>0</v>
      </c>
      <c r="AG560" s="109">
        <f t="shared" si="3095"/>
        <v>0</v>
      </c>
      <c r="AH560" s="109">
        <f t="shared" si="3095"/>
        <v>0</v>
      </c>
    </row>
    <row r="561" spans="3:34" x14ac:dyDescent="0.2">
      <c r="C561" s="1181" t="s">
        <v>2270</v>
      </c>
      <c r="D561" s="1181"/>
      <c r="E561" s="346">
        <f t="shared" ref="E561:AH561" si="3096">IF(OR($E542="N/A",E553&gt;$E545,E553&lt;$E546),0,MAX(0,MIN(E560,E558)))</f>
        <v>0</v>
      </c>
      <c r="F561" s="346">
        <f t="shared" si="3096"/>
        <v>0</v>
      </c>
      <c r="G561" s="346">
        <f t="shared" si="3096"/>
        <v>0</v>
      </c>
      <c r="H561" s="346">
        <f t="shared" si="3096"/>
        <v>0</v>
      </c>
      <c r="I561" s="346">
        <f t="shared" si="3096"/>
        <v>0</v>
      </c>
      <c r="J561" s="346">
        <f t="shared" si="3096"/>
        <v>0</v>
      </c>
      <c r="K561" s="346">
        <f t="shared" si="3096"/>
        <v>0</v>
      </c>
      <c r="L561" s="346">
        <f t="shared" si="3096"/>
        <v>0</v>
      </c>
      <c r="M561" s="346">
        <f t="shared" si="3096"/>
        <v>0</v>
      </c>
      <c r="N561" s="346">
        <f t="shared" si="3096"/>
        <v>0</v>
      </c>
      <c r="O561" s="346">
        <f t="shared" si="3096"/>
        <v>0</v>
      </c>
      <c r="P561" s="346">
        <f t="shared" si="3096"/>
        <v>0</v>
      </c>
      <c r="Q561" s="346">
        <f t="shared" si="3096"/>
        <v>0</v>
      </c>
      <c r="R561" s="346">
        <f t="shared" si="3096"/>
        <v>0</v>
      </c>
      <c r="S561" s="442">
        <f t="shared" si="3096"/>
        <v>0</v>
      </c>
      <c r="T561" s="435">
        <f t="shared" si="3096"/>
        <v>0</v>
      </c>
      <c r="U561" s="346">
        <f t="shared" si="3096"/>
        <v>0</v>
      </c>
      <c r="V561" s="346">
        <f t="shared" si="3096"/>
        <v>0</v>
      </c>
      <c r="W561" s="346">
        <f t="shared" si="3096"/>
        <v>0</v>
      </c>
      <c r="X561" s="346">
        <f t="shared" si="3096"/>
        <v>0</v>
      </c>
      <c r="Y561" s="346">
        <f t="shared" si="3096"/>
        <v>0</v>
      </c>
      <c r="Z561" s="346">
        <f t="shared" si="3096"/>
        <v>0</v>
      </c>
      <c r="AA561" s="346">
        <f t="shared" si="3096"/>
        <v>0</v>
      </c>
      <c r="AB561" s="346">
        <f t="shared" si="3096"/>
        <v>0</v>
      </c>
      <c r="AC561" s="346">
        <f t="shared" si="3096"/>
        <v>0</v>
      </c>
      <c r="AD561" s="346">
        <f t="shared" si="3096"/>
        <v>0</v>
      </c>
      <c r="AE561" s="346">
        <f t="shared" si="3096"/>
        <v>0</v>
      </c>
      <c r="AF561" s="346">
        <f t="shared" si="3096"/>
        <v>0</v>
      </c>
      <c r="AG561" s="346">
        <f t="shared" si="3096"/>
        <v>0</v>
      </c>
      <c r="AH561" s="346">
        <f t="shared" si="3096"/>
        <v>0</v>
      </c>
    </row>
    <row r="562" spans="3:34" x14ac:dyDescent="0.2">
      <c r="C562" s="1181" t="s">
        <v>2271</v>
      </c>
      <c r="D562" s="1181"/>
      <c r="E562" s="346">
        <f t="shared" ref="E562:AH562" si="3097">IF(OR($E542="N/A",E553&gt;$E545,E553&lt;$E546),0,E561-E560)</f>
        <v>0</v>
      </c>
      <c r="F562" s="346">
        <f t="shared" si="3097"/>
        <v>0</v>
      </c>
      <c r="G562" s="346">
        <f t="shared" si="3097"/>
        <v>0</v>
      </c>
      <c r="H562" s="346">
        <f t="shared" si="3097"/>
        <v>0</v>
      </c>
      <c r="I562" s="346">
        <f t="shared" si="3097"/>
        <v>0</v>
      </c>
      <c r="J562" s="346">
        <f t="shared" si="3097"/>
        <v>0</v>
      </c>
      <c r="K562" s="346">
        <f t="shared" si="3097"/>
        <v>0</v>
      </c>
      <c r="L562" s="346">
        <f t="shared" si="3097"/>
        <v>0</v>
      </c>
      <c r="M562" s="346">
        <f t="shared" si="3097"/>
        <v>0</v>
      </c>
      <c r="N562" s="346">
        <f t="shared" si="3097"/>
        <v>0</v>
      </c>
      <c r="O562" s="346">
        <f t="shared" si="3097"/>
        <v>0</v>
      </c>
      <c r="P562" s="346">
        <f t="shared" si="3097"/>
        <v>0</v>
      </c>
      <c r="Q562" s="346">
        <f t="shared" si="3097"/>
        <v>0</v>
      </c>
      <c r="R562" s="346">
        <f t="shared" si="3097"/>
        <v>0</v>
      </c>
      <c r="S562" s="442">
        <f t="shared" si="3097"/>
        <v>0</v>
      </c>
      <c r="T562" s="435">
        <f t="shared" si="3097"/>
        <v>0</v>
      </c>
      <c r="U562" s="346">
        <f t="shared" si="3097"/>
        <v>0</v>
      </c>
      <c r="V562" s="346">
        <f t="shared" si="3097"/>
        <v>0</v>
      </c>
      <c r="W562" s="346">
        <f t="shared" si="3097"/>
        <v>0</v>
      </c>
      <c r="X562" s="346">
        <f t="shared" si="3097"/>
        <v>0</v>
      </c>
      <c r="Y562" s="346">
        <f t="shared" si="3097"/>
        <v>0</v>
      </c>
      <c r="Z562" s="346">
        <f t="shared" si="3097"/>
        <v>0</v>
      </c>
      <c r="AA562" s="346">
        <f t="shared" si="3097"/>
        <v>0</v>
      </c>
      <c r="AB562" s="346">
        <f t="shared" si="3097"/>
        <v>0</v>
      </c>
      <c r="AC562" s="346">
        <f t="shared" si="3097"/>
        <v>0</v>
      </c>
      <c r="AD562" s="346">
        <f t="shared" si="3097"/>
        <v>0</v>
      </c>
      <c r="AE562" s="346">
        <f t="shared" si="3097"/>
        <v>0</v>
      </c>
      <c r="AF562" s="346">
        <f t="shared" si="3097"/>
        <v>0</v>
      </c>
      <c r="AG562" s="346">
        <f t="shared" si="3097"/>
        <v>0</v>
      </c>
      <c r="AH562" s="346">
        <f t="shared" si="3097"/>
        <v>0</v>
      </c>
    </row>
    <row r="563" spans="3:34" ht="15" thickBot="1" x14ac:dyDescent="0.25">
      <c r="C563" s="1448" t="s">
        <v>2272</v>
      </c>
      <c r="D563" s="1448"/>
      <c r="E563" s="411">
        <f>IF(OR($E542="N/A",E553&gt;$E545,E553&lt;$E546),0,MAX(0,MIN(E558-E561,E559)))</f>
        <v>0</v>
      </c>
      <c r="F563" s="411">
        <f>IF(OR($E542="N/A",F553&gt;$E545,F553&lt;$E546),0,MAX(0,MIN(F558-F561,F559)))</f>
        <v>0</v>
      </c>
      <c r="G563" s="411">
        <f t="shared" ref="G563:AH563" si="3098">IF(OR($E542="N/A",G553&gt;$E545,G553&lt;$E546),0,MAX(0,MIN(G558-G561,G559)))</f>
        <v>0</v>
      </c>
      <c r="H563" s="411">
        <f t="shared" si="3098"/>
        <v>0</v>
      </c>
      <c r="I563" s="411">
        <f t="shared" si="3098"/>
        <v>0</v>
      </c>
      <c r="J563" s="411">
        <f t="shared" si="3098"/>
        <v>0</v>
      </c>
      <c r="K563" s="411">
        <f t="shared" si="3098"/>
        <v>0</v>
      </c>
      <c r="L563" s="411">
        <f t="shared" si="3098"/>
        <v>0</v>
      </c>
      <c r="M563" s="411">
        <f t="shared" si="3098"/>
        <v>0</v>
      </c>
      <c r="N563" s="411">
        <f t="shared" si="3098"/>
        <v>0</v>
      </c>
      <c r="O563" s="411">
        <f t="shared" si="3098"/>
        <v>0</v>
      </c>
      <c r="P563" s="411">
        <f t="shared" si="3098"/>
        <v>0</v>
      </c>
      <c r="Q563" s="411">
        <f t="shared" si="3098"/>
        <v>0</v>
      </c>
      <c r="R563" s="411">
        <f t="shared" si="3098"/>
        <v>0</v>
      </c>
      <c r="S563" s="443">
        <f t="shared" si="3098"/>
        <v>0</v>
      </c>
      <c r="T563" s="431">
        <f t="shared" si="3098"/>
        <v>0</v>
      </c>
      <c r="U563" s="411">
        <f t="shared" si="3098"/>
        <v>0</v>
      </c>
      <c r="V563" s="411">
        <f t="shared" si="3098"/>
        <v>0</v>
      </c>
      <c r="W563" s="411">
        <f t="shared" si="3098"/>
        <v>0</v>
      </c>
      <c r="X563" s="411">
        <f t="shared" si="3098"/>
        <v>0</v>
      </c>
      <c r="Y563" s="411">
        <f t="shared" si="3098"/>
        <v>0</v>
      </c>
      <c r="Z563" s="411">
        <f t="shared" si="3098"/>
        <v>0</v>
      </c>
      <c r="AA563" s="411">
        <f t="shared" si="3098"/>
        <v>0</v>
      </c>
      <c r="AB563" s="411">
        <f t="shared" si="3098"/>
        <v>0</v>
      </c>
      <c r="AC563" s="411">
        <f t="shared" si="3098"/>
        <v>0</v>
      </c>
      <c r="AD563" s="411">
        <f t="shared" si="3098"/>
        <v>0</v>
      </c>
      <c r="AE563" s="411">
        <f t="shared" si="3098"/>
        <v>0</v>
      </c>
      <c r="AF563" s="411">
        <f t="shared" si="3098"/>
        <v>0</v>
      </c>
      <c r="AG563" s="411">
        <f t="shared" si="3098"/>
        <v>0</v>
      </c>
      <c r="AH563" s="411">
        <f t="shared" si="3098"/>
        <v>0</v>
      </c>
    </row>
    <row r="564" spans="3:34" ht="15" thickTop="1" x14ac:dyDescent="0.2">
      <c r="C564" s="1449" t="s">
        <v>2282</v>
      </c>
      <c r="D564" s="1449"/>
      <c r="E564" s="430">
        <f>SUM(E561,E563)</f>
        <v>0</v>
      </c>
      <c r="F564" s="430">
        <f>SUM(F561,F563)</f>
        <v>0</v>
      </c>
      <c r="G564" s="430">
        <f t="shared" ref="G564" si="3099">SUM(G561,G563)</f>
        <v>0</v>
      </c>
      <c r="H564" s="430">
        <f t="shared" ref="H564" si="3100">SUM(H561,H563)</f>
        <v>0</v>
      </c>
      <c r="I564" s="430">
        <f t="shared" ref="I564" si="3101">SUM(I561,I563)</f>
        <v>0</v>
      </c>
      <c r="J564" s="430">
        <f t="shared" ref="J564" si="3102">SUM(J561,J563)</f>
        <v>0</v>
      </c>
      <c r="K564" s="430">
        <f t="shared" ref="K564" si="3103">SUM(K561,K563)</f>
        <v>0</v>
      </c>
      <c r="L564" s="430">
        <f t="shared" ref="L564" si="3104">SUM(L561,L563)</f>
        <v>0</v>
      </c>
      <c r="M564" s="430">
        <f t="shared" ref="M564" si="3105">SUM(M561,M563)</f>
        <v>0</v>
      </c>
      <c r="N564" s="430">
        <f t="shared" ref="N564" si="3106">SUM(N561,N563)</f>
        <v>0</v>
      </c>
      <c r="O564" s="430">
        <f t="shared" ref="O564" si="3107">SUM(O561,O563)</f>
        <v>0</v>
      </c>
      <c r="P564" s="430">
        <f t="shared" ref="P564" si="3108">SUM(P561,P563)</f>
        <v>0</v>
      </c>
      <c r="Q564" s="430">
        <f t="shared" ref="Q564" si="3109">SUM(Q561,Q563)</f>
        <v>0</v>
      </c>
      <c r="R564" s="430">
        <f t="shared" ref="R564" si="3110">SUM(R561,R563)</f>
        <v>0</v>
      </c>
      <c r="S564" s="444">
        <f t="shared" ref="S564" si="3111">SUM(S561,S563)</f>
        <v>0</v>
      </c>
      <c r="T564" s="436">
        <f t="shared" ref="T564" si="3112">SUM(T561,T563)</f>
        <v>0</v>
      </c>
      <c r="U564" s="430">
        <f t="shared" ref="U564" si="3113">SUM(U561,U563)</f>
        <v>0</v>
      </c>
      <c r="V564" s="430">
        <f t="shared" ref="V564" si="3114">SUM(V561,V563)</f>
        <v>0</v>
      </c>
      <c r="W564" s="430">
        <f t="shared" ref="W564" si="3115">SUM(W561,W563)</f>
        <v>0</v>
      </c>
      <c r="X564" s="430">
        <f t="shared" ref="X564" si="3116">SUM(X561,X563)</f>
        <v>0</v>
      </c>
      <c r="Y564" s="430">
        <f t="shared" ref="Y564" si="3117">SUM(Y561,Y563)</f>
        <v>0</v>
      </c>
      <c r="Z564" s="430">
        <f t="shared" ref="Z564" si="3118">SUM(Z561,Z563)</f>
        <v>0</v>
      </c>
      <c r="AA564" s="430">
        <f t="shared" ref="AA564" si="3119">SUM(AA561,AA563)</f>
        <v>0</v>
      </c>
      <c r="AB564" s="430">
        <f t="shared" ref="AB564" si="3120">SUM(AB561,AB563)</f>
        <v>0</v>
      </c>
      <c r="AC564" s="430">
        <f t="shared" ref="AC564" si="3121">SUM(AC561,AC563)</f>
        <v>0</v>
      </c>
      <c r="AD564" s="430">
        <f t="shared" ref="AD564" si="3122">SUM(AD561,AD563)</f>
        <v>0</v>
      </c>
      <c r="AE564" s="430">
        <f t="shared" ref="AE564" si="3123">SUM(AE561,AE563)</f>
        <v>0</v>
      </c>
      <c r="AF564" s="430">
        <f t="shared" ref="AF564" si="3124">SUM(AF561,AF563)</f>
        <v>0</v>
      </c>
      <c r="AG564" s="430">
        <f t="shared" ref="AG564" si="3125">SUM(AG561,AG563)</f>
        <v>0</v>
      </c>
      <c r="AH564" s="430">
        <f t="shared" ref="AH564" si="3126">SUM(AH561,AH563)</f>
        <v>0</v>
      </c>
    </row>
    <row r="565" spans="3:34" x14ac:dyDescent="0.2">
      <c r="C565" s="1181" t="s">
        <v>2190</v>
      </c>
      <c r="D565" s="1181"/>
      <c r="E565" s="342">
        <f>IF(OR($E542="N/A",E553&gt;$E545,E553&lt;$E546),0,IF($E544="Compound",E559-E563-E562,MAX(0,E559-E563)))</f>
        <v>0</v>
      </c>
      <c r="F565" s="342">
        <f>IF(OR($E542="N/A",F553&gt;$E545,F553&lt;$E546),0,IF($E544="Compound",F559-F563-F562,MAX(0,F559-F563)))</f>
        <v>0</v>
      </c>
      <c r="G565" s="342">
        <f t="shared" ref="G565:AH565" si="3127">IF(OR($E542="N/A",G553&gt;$E545,G553&lt;$E546),0,IF($E544="Compound",G559-G563-G562,MAX(0,G559-G563)))</f>
        <v>0</v>
      </c>
      <c r="H565" s="342">
        <f t="shared" si="3127"/>
        <v>0</v>
      </c>
      <c r="I565" s="342">
        <f t="shared" si="3127"/>
        <v>0</v>
      </c>
      <c r="J565" s="342">
        <f t="shared" si="3127"/>
        <v>0</v>
      </c>
      <c r="K565" s="342">
        <f t="shared" si="3127"/>
        <v>0</v>
      </c>
      <c r="L565" s="342">
        <f t="shared" si="3127"/>
        <v>0</v>
      </c>
      <c r="M565" s="342">
        <f t="shared" si="3127"/>
        <v>0</v>
      </c>
      <c r="N565" s="342">
        <f t="shared" si="3127"/>
        <v>0</v>
      </c>
      <c r="O565" s="342">
        <f t="shared" si="3127"/>
        <v>0</v>
      </c>
      <c r="P565" s="342">
        <f t="shared" si="3127"/>
        <v>0</v>
      </c>
      <c r="Q565" s="342">
        <f t="shared" si="3127"/>
        <v>0</v>
      </c>
      <c r="R565" s="342">
        <f t="shared" si="3127"/>
        <v>0</v>
      </c>
      <c r="S565" s="445">
        <f t="shared" si="3127"/>
        <v>0</v>
      </c>
      <c r="T565" s="437">
        <f t="shared" si="3127"/>
        <v>0</v>
      </c>
      <c r="U565" s="342">
        <f t="shared" si="3127"/>
        <v>0</v>
      </c>
      <c r="V565" s="342">
        <f t="shared" si="3127"/>
        <v>0</v>
      </c>
      <c r="W565" s="342">
        <f t="shared" si="3127"/>
        <v>0</v>
      </c>
      <c r="X565" s="342">
        <f t="shared" si="3127"/>
        <v>0</v>
      </c>
      <c r="Y565" s="342">
        <f t="shared" si="3127"/>
        <v>0</v>
      </c>
      <c r="Z565" s="342">
        <f t="shared" si="3127"/>
        <v>0</v>
      </c>
      <c r="AA565" s="342">
        <f t="shared" si="3127"/>
        <v>0</v>
      </c>
      <c r="AB565" s="342">
        <f t="shared" si="3127"/>
        <v>0</v>
      </c>
      <c r="AC565" s="342">
        <f t="shared" si="3127"/>
        <v>0</v>
      </c>
      <c r="AD565" s="342">
        <f t="shared" si="3127"/>
        <v>0</v>
      </c>
      <c r="AE565" s="342">
        <f t="shared" si="3127"/>
        <v>0</v>
      </c>
      <c r="AF565" s="342">
        <f t="shared" si="3127"/>
        <v>0</v>
      </c>
      <c r="AG565" s="342">
        <f t="shared" si="3127"/>
        <v>0</v>
      </c>
      <c r="AH565" s="342">
        <f t="shared" si="3127"/>
        <v>0</v>
      </c>
    </row>
    <row r="566" spans="3:34" x14ac:dyDescent="0.2">
      <c r="C566" s="317"/>
      <c r="D566" s="317"/>
      <c r="E566" s="74"/>
      <c r="F566" s="74"/>
      <c r="G566" s="74"/>
      <c r="H566" s="74"/>
      <c r="I566" s="74"/>
      <c r="J566" s="74"/>
      <c r="K566" s="74"/>
      <c r="L566" s="74"/>
      <c r="M566" s="74"/>
      <c r="N566" s="74"/>
      <c r="O566" s="74"/>
      <c r="P566" s="74"/>
      <c r="Q566" s="74"/>
      <c r="R566" s="74"/>
      <c r="S566" s="333"/>
      <c r="T566" s="74"/>
      <c r="U566" s="74"/>
      <c r="V566" s="74"/>
      <c r="W566" s="74"/>
      <c r="X566" s="74"/>
      <c r="Y566" s="74"/>
      <c r="Z566" s="74"/>
      <c r="AA566" s="74"/>
      <c r="AB566" s="74"/>
      <c r="AC566" s="74"/>
      <c r="AD566" s="74"/>
      <c r="AE566" s="74"/>
      <c r="AF566" s="74"/>
      <c r="AG566" s="74"/>
      <c r="AH566" s="74"/>
    </row>
    <row r="567" spans="3:34" ht="15" x14ac:dyDescent="0.2">
      <c r="C567" s="432" t="s">
        <v>2287</v>
      </c>
      <c r="D567" s="317"/>
      <c r="E567" s="74"/>
      <c r="F567" s="74"/>
      <c r="G567" s="74"/>
      <c r="H567" s="74"/>
      <c r="I567" s="74"/>
      <c r="J567" s="74"/>
      <c r="K567" s="74"/>
      <c r="L567" s="74"/>
      <c r="M567" s="74"/>
      <c r="N567" s="74"/>
      <c r="O567" s="74"/>
      <c r="P567" s="74"/>
      <c r="Q567" s="74"/>
      <c r="R567" s="74"/>
      <c r="S567" s="333"/>
      <c r="T567" s="74"/>
      <c r="U567" s="74"/>
      <c r="V567" s="74"/>
      <c r="W567" s="74"/>
      <c r="X567" s="74"/>
      <c r="Y567" s="74"/>
      <c r="Z567" s="74"/>
      <c r="AA567" s="74"/>
      <c r="AB567" s="74"/>
      <c r="AC567" s="74"/>
      <c r="AD567" s="74"/>
      <c r="AE567" s="74"/>
      <c r="AF567" s="74"/>
      <c r="AG567" s="74"/>
      <c r="AH567" s="74"/>
    </row>
    <row r="568" spans="3:34" x14ac:dyDescent="0.2">
      <c r="C568" s="1234" t="s">
        <v>2273</v>
      </c>
      <c r="D568" s="1234"/>
      <c r="E568" s="421">
        <f>IF($I542="N/A",0,IF(E553&gt;$I547,0,MIN($I546,$I542*$I544)))</f>
        <v>0</v>
      </c>
      <c r="F568" s="236">
        <f t="shared" ref="F568" si="3128">IF($I542="N/A",0,IF(F553&gt;$I547,0,MIN($I546,$I542*$I544*(1+$I543)^E$63)))</f>
        <v>0</v>
      </c>
      <c r="G568" s="236">
        <f t="shared" ref="G568" si="3129">IF($I542="N/A",0,IF(G553&gt;$I547,0,MIN($I546,$I542*$I544*(1+$I543)^F$63)))</f>
        <v>0</v>
      </c>
      <c r="H568" s="236">
        <f t="shared" ref="H568" si="3130">IF($I542="N/A",0,IF(H553&gt;$I547,0,MIN($I546,$I542*$I544*(1+$I543)^G$63)))</f>
        <v>0</v>
      </c>
      <c r="I568" s="236">
        <f t="shared" ref="I568" si="3131">IF($I542="N/A",0,IF(I553&gt;$I547,0,MIN($I546,$I542*$I544*(1+$I543)^H$63)))</f>
        <v>0</v>
      </c>
      <c r="J568" s="236">
        <f t="shared" ref="J568" si="3132">IF($I542="N/A",0,IF(J553&gt;$I547,0,MIN($I546,$I542*$I544*(1+$I543)^I$63)))</f>
        <v>0</v>
      </c>
      <c r="K568" s="236">
        <f t="shared" ref="K568" si="3133">IF($I542="N/A",0,IF(K553&gt;$I547,0,MIN($I546,$I542*$I544*(1+$I543)^J$63)))</f>
        <v>0</v>
      </c>
      <c r="L568" s="236">
        <f t="shared" ref="L568" si="3134">IF($I542="N/A",0,IF(L553&gt;$I547,0,MIN($I546,$I542*$I544*(1+$I543)^K$63)))</f>
        <v>0</v>
      </c>
      <c r="M568" s="236">
        <f t="shared" ref="M568" si="3135">IF($I542="N/A",0,IF(M553&gt;$I547,0,MIN($I546,$I542*$I544*(1+$I543)^L$63)))</f>
        <v>0</v>
      </c>
      <c r="N568" s="236">
        <f t="shared" ref="N568" si="3136">IF($I542="N/A",0,IF(N553&gt;$I547,0,MIN($I546,$I542*$I544*(1+$I543)^M$63)))</f>
        <v>0</v>
      </c>
      <c r="O568" s="236">
        <f t="shared" ref="O568" si="3137">IF($I542="N/A",0,IF(O553&gt;$I547,0,MIN($I546,$I542*$I544*(1+$I543)^N$63)))</f>
        <v>0</v>
      </c>
      <c r="P568" s="236">
        <f t="shared" ref="P568" si="3138">IF($I542="N/A",0,IF(P553&gt;$I547,0,MIN($I546,$I542*$I544*(1+$I543)^O$63)))</f>
        <v>0</v>
      </c>
      <c r="Q568" s="236">
        <f t="shared" ref="Q568" si="3139">IF($I542="N/A",0,IF(Q553&gt;$I547,0,MIN($I546,$I542*$I544*(1+$I543)^P$63)))</f>
        <v>0</v>
      </c>
      <c r="R568" s="236">
        <f t="shared" ref="R568" si="3140">IF($I542="N/A",0,IF(R553&gt;$I547,0,MIN($I546,$I542*$I544*(1+$I543)^Q$63)))</f>
        <v>0</v>
      </c>
      <c r="S568" s="446">
        <f t="shared" ref="S568" si="3141">IF($I542="N/A",0,IF(S553&gt;$I547,0,MIN($I546,$I542*$I544*(1+$I543)^R$63)))</f>
        <v>0</v>
      </c>
      <c r="T568" s="438">
        <f t="shared" ref="T568" si="3142">IF($I542="N/A",0,IF(T553&gt;$I547,0,MIN($I546,$I542*$I544*(1+$I543)^S$63)))</f>
        <v>0</v>
      </c>
      <c r="U568" s="236">
        <f t="shared" ref="U568" si="3143">IF($I542="N/A",0,IF(U553&gt;$I547,0,MIN($I546,$I542*$I544*(1+$I543)^T$63)))</f>
        <v>0</v>
      </c>
      <c r="V568" s="236">
        <f t="shared" ref="V568" si="3144">IF($I542="N/A",0,IF(V553&gt;$I547,0,MIN($I546,$I542*$I544*(1+$I543)^U$63)))</f>
        <v>0</v>
      </c>
      <c r="W568" s="236">
        <f t="shared" ref="W568" si="3145">IF($I542="N/A",0,IF(W553&gt;$I547,0,MIN($I546,$I542*$I544*(1+$I543)^V$63)))</f>
        <v>0</v>
      </c>
      <c r="X568" s="236">
        <f t="shared" ref="X568" si="3146">IF($I542="N/A",0,IF(X553&gt;$I547,0,MIN($I546,$I542*$I544*(1+$I543)^W$63)))</f>
        <v>0</v>
      </c>
      <c r="Y568" s="236">
        <f t="shared" ref="Y568" si="3147">IF($I542="N/A",0,IF(Y553&gt;$I547,0,MIN($I546,$I542*$I544*(1+$I543)^X$63)))</f>
        <v>0</v>
      </c>
      <c r="Z568" s="236">
        <f t="shared" ref="Z568" si="3148">IF($I542="N/A",0,IF(Z553&gt;$I547,0,MIN($I546,$I542*$I544*(1+$I543)^Y$63)))</f>
        <v>0</v>
      </c>
      <c r="AA568" s="236">
        <f t="shared" ref="AA568" si="3149">IF($I542="N/A",0,IF(AA553&gt;$I547,0,MIN($I546,$I542*$I544*(1+$I543)^Z$63)))</f>
        <v>0</v>
      </c>
      <c r="AB568" s="236">
        <f t="shared" ref="AB568" si="3150">IF($I542="N/A",0,IF(AB553&gt;$I547,0,MIN($I546,$I542*$I544*(1+$I543)^AA$63)))</f>
        <v>0</v>
      </c>
      <c r="AC568" s="236">
        <f t="shared" ref="AC568" si="3151">IF($I542="N/A",0,IF(AC553&gt;$I547,0,MIN($I546,$I542*$I544*(1+$I543)^AB$63)))</f>
        <v>0</v>
      </c>
      <c r="AD568" s="236">
        <f t="shared" ref="AD568" si="3152">IF($I542="N/A",0,IF(AD553&gt;$I547,0,MIN($I546,$I542*$I544*(1+$I543)^AC$63)))</f>
        <v>0</v>
      </c>
      <c r="AE568" s="236">
        <f t="shared" ref="AE568" si="3153">IF($I542="N/A",0,IF(AE553&gt;$I547,0,MIN($I546,$I542*$I544*(1+$I543)^AD$63)))</f>
        <v>0</v>
      </c>
      <c r="AF568" s="236">
        <f t="shared" ref="AF568" si="3154">IF($I542="N/A",0,IF(AF553&gt;$I547,0,MIN($I546,$I542*$I544*(1+$I543)^AE$63)))</f>
        <v>0</v>
      </c>
      <c r="AG568" s="236">
        <f t="shared" ref="AG568" si="3155">IF($I542="N/A",0,IF(AG553&gt;$I547,0,MIN($I546,$I542*$I544*(1+$I543)^AF$63)))</f>
        <v>0</v>
      </c>
      <c r="AH568" s="236">
        <f t="shared" ref="AH568" si="3156">IF($I542="N/A",0,IF(AH553&gt;$I547,0,MIN($I546,$I542*$I544*(1+$I543)^AG$63)))</f>
        <v>0</v>
      </c>
    </row>
    <row r="569" spans="3:34" x14ac:dyDescent="0.2">
      <c r="C569" s="1450" t="s">
        <v>2274</v>
      </c>
      <c r="D569" s="1451"/>
      <c r="E569" s="422">
        <f>IF($I542="N/A",0,IF(E553&gt;$I547,0,MAX(0,MIN(E568,$I542*$I544,E555))))</f>
        <v>0</v>
      </c>
      <c r="F569" s="521">
        <f t="shared" ref="F569" si="3157">IF($I542="N/A",0,IF(F553&gt;$I547,0,IF($I545="Yes",MAX(0,MIN(F555*$I544,E571+F568,$I546)),MAX(0,MIN(F568,F555*$I544,$I546)))))</f>
        <v>0</v>
      </c>
      <c r="G569" s="521">
        <f t="shared" ref="G569" si="3158">IF($I542="N/A",0,IF(G553&gt;$I547,0,IF($I545="Yes",MAX(0,MIN(G555*$I544,F571+G568,$I546)),MAX(0,MIN(G568,G555*$I544,$I546)))))</f>
        <v>0</v>
      </c>
      <c r="H569" s="521">
        <f t="shared" ref="H569" si="3159">IF($I542="N/A",0,IF(H553&gt;$I547,0,IF($I545="Yes",MAX(0,MIN(H555*$I544,G571+H568,$I546)),MAX(0,MIN(H568,H555*$I544,$I546)))))</f>
        <v>0</v>
      </c>
      <c r="I569" s="521">
        <f t="shared" ref="I569" si="3160">IF($I542="N/A",0,IF(I553&gt;$I547,0,IF($I545="Yes",MAX(0,MIN(I555*$I544,H571+I568,$I546)),MAX(0,MIN(I568,I555*$I544,$I546)))))</f>
        <v>0</v>
      </c>
      <c r="J569" s="521">
        <f t="shared" ref="J569" si="3161">IF($I542="N/A",0,IF(J553&gt;$I547,0,IF($I545="Yes",MAX(0,MIN(J555*$I544,I571+J568,$I546)),MAX(0,MIN(J568,J555*$I544,$I546)))))</f>
        <v>0</v>
      </c>
      <c r="K569" s="521">
        <f t="shared" ref="K569" si="3162">IF($I542="N/A",0,IF(K553&gt;$I547,0,IF($I545="Yes",MAX(0,MIN(K555*$I544,J571+K568,$I546)),MAX(0,MIN(K568,K555*$I544,$I546)))))</f>
        <v>0</v>
      </c>
      <c r="L569" s="521">
        <f t="shared" ref="L569" si="3163">IF($I542="N/A",0,IF(L553&gt;$I547,0,IF($I545="Yes",MAX(0,MIN(L555*$I544,K571+L568,$I546)),MAX(0,MIN(L568,L555*$I544,$I546)))))</f>
        <v>0</v>
      </c>
      <c r="M569" s="521">
        <f t="shared" ref="M569" si="3164">IF($I542="N/A",0,IF(M553&gt;$I547,0,IF($I545="Yes",MAX(0,MIN(M555*$I544,L571+M568,$I546)),MAX(0,MIN(M568,M555*$I544,$I546)))))</f>
        <v>0</v>
      </c>
      <c r="N569" s="521">
        <f t="shared" ref="N569" si="3165">IF($I542="N/A",0,IF(N553&gt;$I547,0,IF($I545="Yes",MAX(0,MIN(N555*$I544,M571+N568,$I546)),MAX(0,MIN(N568,N555*$I544,$I546)))))</f>
        <v>0</v>
      </c>
      <c r="O569" s="521">
        <f t="shared" ref="O569" si="3166">IF($I542="N/A",0,IF(O553&gt;$I547,0,IF($I545="Yes",MAX(0,MIN(O555*$I544,N571+O568,$I546)),MAX(0,MIN(O568,O555*$I544,$I546)))))</f>
        <v>0</v>
      </c>
      <c r="P569" s="521">
        <f t="shared" ref="P569" si="3167">IF($I542="N/A",0,IF(P553&gt;$I547,0,IF($I545="Yes",MAX(0,MIN(P555*$I544,O571+P568,$I546)),MAX(0,MIN(P568,P555*$I544,$I546)))))</f>
        <v>0</v>
      </c>
      <c r="Q569" s="521">
        <f t="shared" ref="Q569" si="3168">IF($I542="N/A",0,IF(Q553&gt;$I547,0,IF($I545="Yes",MAX(0,MIN(Q555*$I544,P571+Q568,$I546)),MAX(0,MIN(Q568,Q555*$I544,$I546)))))</f>
        <v>0</v>
      </c>
      <c r="R569" s="521">
        <f t="shared" ref="R569" si="3169">IF($I542="N/A",0,IF(R553&gt;$I547,0,IF($I545="Yes",MAX(0,MIN(R555*$I544,Q571+R568,$I546)),MAX(0,MIN(R568,R555*$I544,$I546)))))</f>
        <v>0</v>
      </c>
      <c r="S569" s="523">
        <f t="shared" ref="S569" si="3170">IF($I542="N/A",0,IF(S553&gt;$I547,0,IF($I545="Yes",MAX(0,MIN(S555*$I544,R571+S568,$I546)),MAX(0,MIN(S568,S555*$I544,$I546)))))</f>
        <v>0</v>
      </c>
      <c r="T569" s="522">
        <f t="shared" ref="T569" si="3171">IF($I542="N/A",0,IF(T553&gt;$I547,0,IF($I545="Yes",MAX(0,MIN(T555*$I544,S571+T568,$I546)),MAX(0,MIN(T568,T555*$I544,$I546)))))</f>
        <v>0</v>
      </c>
      <c r="U569" s="521">
        <f t="shared" ref="U569" si="3172">IF($I542="N/A",0,IF(U553&gt;$I547,0,IF($I545="Yes",MAX(0,MIN(U555*$I544,T571+U568,$I546)),MAX(0,MIN(U568,U555*$I544,$I546)))))</f>
        <v>0</v>
      </c>
      <c r="V569" s="521">
        <f t="shared" ref="V569" si="3173">IF($I542="N/A",0,IF(V553&gt;$I547,0,IF($I545="Yes",MAX(0,MIN(V555*$I544,U571+V568,$I546)),MAX(0,MIN(V568,V555*$I544,$I546)))))</f>
        <v>0</v>
      </c>
      <c r="W569" s="521">
        <f t="shared" ref="W569" si="3174">IF($I542="N/A",0,IF(W553&gt;$I547,0,IF($I545="Yes",MAX(0,MIN(W555*$I544,V571+W568,$I546)),MAX(0,MIN(W568,W555*$I544,$I546)))))</f>
        <v>0</v>
      </c>
      <c r="X569" s="521">
        <f t="shared" ref="X569" si="3175">IF($I542="N/A",0,IF(X553&gt;$I547,0,IF($I545="Yes",MAX(0,MIN(X555*$I544,W571+X568,$I546)),MAX(0,MIN(X568,X555*$I544,$I546)))))</f>
        <v>0</v>
      </c>
      <c r="Y569" s="521">
        <f t="shared" ref="Y569" si="3176">IF($I542="N/A",0,IF(Y553&gt;$I547,0,IF($I545="Yes",MAX(0,MIN(Y555*$I544,X571+Y568,$I546)),MAX(0,MIN(Y568,Y555*$I544,$I546)))))</f>
        <v>0</v>
      </c>
      <c r="Z569" s="521">
        <f t="shared" ref="Z569" si="3177">IF($I542="N/A",0,IF(Z553&gt;$I547,0,IF($I545="Yes",MAX(0,MIN(Z555*$I544,Y571+Z568,$I546)),MAX(0,MIN(Z568,Z555*$I544,$I546)))))</f>
        <v>0</v>
      </c>
      <c r="AA569" s="521">
        <f t="shared" ref="AA569" si="3178">IF($I542="N/A",0,IF(AA553&gt;$I547,0,IF($I545="Yes",MAX(0,MIN(AA555*$I544,Z571+AA568,$I546)),MAX(0,MIN(AA568,AA555*$I544,$I546)))))</f>
        <v>0</v>
      </c>
      <c r="AB569" s="521">
        <f t="shared" ref="AB569" si="3179">IF($I542="N/A",0,IF(AB553&gt;$I547,0,IF($I545="Yes",MAX(0,MIN(AB555*$I544,AA571+AB568,$I546)),MAX(0,MIN(AB568,AB555*$I544,$I546)))))</f>
        <v>0</v>
      </c>
      <c r="AC569" s="521">
        <f t="shared" ref="AC569" si="3180">IF($I542="N/A",0,IF(AC553&gt;$I547,0,IF($I545="Yes",MAX(0,MIN(AC555*$I544,AB571+AC568,$I546)),MAX(0,MIN(AC568,AC555*$I544,$I546)))))</f>
        <v>0</v>
      </c>
      <c r="AD569" s="521">
        <f t="shared" ref="AD569" si="3181">IF($I542="N/A",0,IF(AD553&gt;$I547,0,IF($I545="Yes",MAX(0,MIN(AD555*$I544,AC571+AD568,$I546)),MAX(0,MIN(AD568,AD555*$I544,$I546)))))</f>
        <v>0</v>
      </c>
      <c r="AE569" s="521">
        <f t="shared" ref="AE569" si="3182">IF($I542="N/A",0,IF(AE553&gt;$I547,0,IF($I545="Yes",MAX(0,MIN(AE555*$I544,AD571+AE568,$I546)),MAX(0,MIN(AE568,AE555*$I544,$I546)))))</f>
        <v>0</v>
      </c>
      <c r="AF569" s="521">
        <f t="shared" ref="AF569" si="3183">IF($I542="N/A",0,IF(AF553&gt;$I547,0,IF($I545="Yes",MAX(0,MIN(AF555*$I544,AE571+AF568,$I546)),MAX(0,MIN(AF568,AF555*$I544,$I546)))))</f>
        <v>0</v>
      </c>
      <c r="AG569" s="521">
        <f t="shared" ref="AG569" si="3184">IF($I542="N/A",0,IF(AG553&gt;$I547,0,IF($I545="Yes",MAX(0,MIN(AG555*$I544,AF571+AG568,$I546)),MAX(0,MIN(AG568,AG555*$I544,$I546)))))</f>
        <v>0</v>
      </c>
      <c r="AH569" s="521">
        <f t="shared" ref="AH569" si="3185">IF($I542="N/A",0,IF(AH553&gt;$I547,0,IF($I545="Yes",MAX(0,MIN(AH555*$I544,AG571+AH568,$I546)),MAX(0,MIN(AH568,AH555*$I544,$I546)))))</f>
        <v>0</v>
      </c>
    </row>
    <row r="570" spans="3:34" x14ac:dyDescent="0.2">
      <c r="C570" s="1168" t="s">
        <v>2275</v>
      </c>
      <c r="D570" s="1170"/>
      <c r="E570" s="421">
        <f>IF($I545="Yes",IF(E553&gt;$I547,0,E568-E569),0)</f>
        <v>0</v>
      </c>
      <c r="F570" s="421">
        <f t="shared" ref="F570:AH570" si="3186">IF($I542="N/A",0,IF(F554&gt;$I547,0,IF($I545="Yes",F568-F569,0)))</f>
        <v>0</v>
      </c>
      <c r="G570" s="421">
        <f t="shared" si="3186"/>
        <v>0</v>
      </c>
      <c r="H570" s="421">
        <f t="shared" si="3186"/>
        <v>0</v>
      </c>
      <c r="I570" s="421">
        <f t="shared" si="3186"/>
        <v>0</v>
      </c>
      <c r="J570" s="421">
        <f t="shared" si="3186"/>
        <v>0</v>
      </c>
      <c r="K570" s="421">
        <f t="shared" si="3186"/>
        <v>0</v>
      </c>
      <c r="L570" s="421">
        <f t="shared" si="3186"/>
        <v>0</v>
      </c>
      <c r="M570" s="421">
        <f t="shared" si="3186"/>
        <v>0</v>
      </c>
      <c r="N570" s="421">
        <f t="shared" si="3186"/>
        <v>0</v>
      </c>
      <c r="O570" s="421">
        <f t="shared" si="3186"/>
        <v>0</v>
      </c>
      <c r="P570" s="421">
        <f t="shared" si="3186"/>
        <v>0</v>
      </c>
      <c r="Q570" s="421">
        <f t="shared" si="3186"/>
        <v>0</v>
      </c>
      <c r="R570" s="421">
        <f t="shared" si="3186"/>
        <v>0</v>
      </c>
      <c r="S570" s="447">
        <f t="shared" si="3186"/>
        <v>0</v>
      </c>
      <c r="T570" s="439">
        <f t="shared" si="3186"/>
        <v>0</v>
      </c>
      <c r="U570" s="421">
        <f t="shared" si="3186"/>
        <v>0</v>
      </c>
      <c r="V570" s="421">
        <f t="shared" si="3186"/>
        <v>0</v>
      </c>
      <c r="W570" s="421">
        <f t="shared" si="3186"/>
        <v>0</v>
      </c>
      <c r="X570" s="421">
        <f t="shared" si="3186"/>
        <v>0</v>
      </c>
      <c r="Y570" s="421">
        <f t="shared" si="3186"/>
        <v>0</v>
      </c>
      <c r="Z570" s="421">
        <f t="shared" si="3186"/>
        <v>0</v>
      </c>
      <c r="AA570" s="421">
        <f t="shared" si="3186"/>
        <v>0</v>
      </c>
      <c r="AB570" s="421">
        <f t="shared" si="3186"/>
        <v>0</v>
      </c>
      <c r="AC570" s="421">
        <f t="shared" si="3186"/>
        <v>0</v>
      </c>
      <c r="AD570" s="421">
        <f t="shared" si="3186"/>
        <v>0</v>
      </c>
      <c r="AE570" s="421">
        <f t="shared" si="3186"/>
        <v>0</v>
      </c>
      <c r="AF570" s="421">
        <f t="shared" si="3186"/>
        <v>0</v>
      </c>
      <c r="AG570" s="421">
        <f t="shared" si="3186"/>
        <v>0</v>
      </c>
      <c r="AH570" s="421">
        <f t="shared" si="3186"/>
        <v>0</v>
      </c>
    </row>
    <row r="571" spans="3:34" x14ac:dyDescent="0.2">
      <c r="C571" s="1168" t="s">
        <v>2276</v>
      </c>
      <c r="D571" s="1170"/>
      <c r="E571" s="421">
        <f>E570</f>
        <v>0</v>
      </c>
      <c r="F571" s="236">
        <f t="shared" ref="F571" si="3187">IF($I542="N/A",0,IF(F553&gt;$I547,0,E571+F570))</f>
        <v>0</v>
      </c>
      <c r="G571" s="236">
        <f t="shared" ref="G571" si="3188">IF($I542="N/A",0,IF(G553&gt;$I547,0,F571+G570))</f>
        <v>0</v>
      </c>
      <c r="H571" s="236">
        <f t="shared" ref="H571" si="3189">IF($I542="N/A",0,IF(H553&gt;$I547,0,G571+H570))</f>
        <v>0</v>
      </c>
      <c r="I571" s="236">
        <f t="shared" ref="I571" si="3190">IF($I542="N/A",0,IF(I553&gt;$I547,0,H571+I570))</f>
        <v>0</v>
      </c>
      <c r="J571" s="236">
        <f t="shared" ref="J571" si="3191">IF($I542="N/A",0,IF(J553&gt;$I547,0,I571+J570))</f>
        <v>0</v>
      </c>
      <c r="K571" s="236">
        <f t="shared" ref="K571" si="3192">IF($I542="N/A",0,IF(K553&gt;$I547,0,J571+K570))</f>
        <v>0</v>
      </c>
      <c r="L571" s="236">
        <f t="shared" ref="L571" si="3193">IF($I542="N/A",0,IF(L553&gt;$I547,0,K571+L570))</f>
        <v>0</v>
      </c>
      <c r="M571" s="236">
        <f t="shared" ref="M571" si="3194">IF($I542="N/A",0,IF(M553&gt;$I547,0,L571+M570))</f>
        <v>0</v>
      </c>
      <c r="N571" s="236">
        <f t="shared" ref="N571" si="3195">IF($I542="N/A",0,IF(N553&gt;$I547,0,M571+N570))</f>
        <v>0</v>
      </c>
      <c r="O571" s="236">
        <f t="shared" ref="O571" si="3196">IF($I542="N/A",0,IF(O553&gt;$I547,0,N571+O570))</f>
        <v>0</v>
      </c>
      <c r="P571" s="236">
        <f t="shared" ref="P571" si="3197">IF($I542="N/A",0,IF(P553&gt;$I547,0,O571+P570))</f>
        <v>0</v>
      </c>
      <c r="Q571" s="236">
        <f t="shared" ref="Q571" si="3198">IF($I542="N/A",0,IF(Q553&gt;$I547,0,P571+Q570))</f>
        <v>0</v>
      </c>
      <c r="R571" s="236">
        <f t="shared" ref="R571" si="3199">IF($I542="N/A",0,IF(R553&gt;$I547,0,Q571+R570))</f>
        <v>0</v>
      </c>
      <c r="S571" s="446">
        <f t="shared" ref="S571" si="3200">IF($I542="N/A",0,IF(S553&gt;$I547,0,R571+S570))</f>
        <v>0</v>
      </c>
      <c r="T571" s="438">
        <f t="shared" ref="T571" si="3201">IF($I542="N/A",0,IF(T553&gt;$I547,0,S571+T570))</f>
        <v>0</v>
      </c>
      <c r="U571" s="236">
        <f t="shared" ref="U571" si="3202">IF($I542="N/A",0,IF(U553&gt;$I547,0,T571+U570))</f>
        <v>0</v>
      </c>
      <c r="V571" s="236">
        <f t="shared" ref="V571" si="3203">IF($I542="N/A",0,IF(V553&gt;$I547,0,U571+V570))</f>
        <v>0</v>
      </c>
      <c r="W571" s="236">
        <f t="shared" ref="W571" si="3204">IF($I542="N/A",0,IF(W553&gt;$I547,0,V571+W570))</f>
        <v>0</v>
      </c>
      <c r="X571" s="236">
        <f t="shared" ref="X571" si="3205">IF($I542="N/A",0,IF(X553&gt;$I547,0,W571+X570))</f>
        <v>0</v>
      </c>
      <c r="Y571" s="236">
        <f t="shared" ref="Y571" si="3206">IF($I542="N/A",0,IF(Y553&gt;$I547,0,X571+Y570))</f>
        <v>0</v>
      </c>
      <c r="Z571" s="236">
        <f t="shared" ref="Z571" si="3207">IF($I542="N/A",0,IF(Z553&gt;$I547,0,Y571+Z570))</f>
        <v>0</v>
      </c>
      <c r="AA571" s="236">
        <f t="shared" ref="AA571" si="3208">IF($I542="N/A",0,IF(AA553&gt;$I547,0,Z571+AA570))</f>
        <v>0</v>
      </c>
      <c r="AB571" s="236">
        <f t="shared" ref="AB571" si="3209">IF($I542="N/A",0,IF(AB553&gt;$I547,0,AA571+AB570))</f>
        <v>0</v>
      </c>
      <c r="AC571" s="236">
        <f t="shared" ref="AC571" si="3210">IF($I542="N/A",0,IF(AC553&gt;$I547,0,AB571+AC570))</f>
        <v>0</v>
      </c>
      <c r="AD571" s="236">
        <f t="shared" ref="AD571" si="3211">IF($I542="N/A",0,IF(AD553&gt;$I547,0,AC571+AD570))</f>
        <v>0</v>
      </c>
      <c r="AE571" s="236">
        <f t="shared" ref="AE571" si="3212">IF($I542="N/A",0,IF(AE553&gt;$I547,0,AD571+AE570))</f>
        <v>0</v>
      </c>
      <c r="AF571" s="236">
        <f t="shared" ref="AF571" si="3213">IF($I542="N/A",0,IF(AF553&gt;$I547,0,AE571+AF570))</f>
        <v>0</v>
      </c>
      <c r="AG571" s="236">
        <f t="shared" ref="AG571" si="3214">IF($I542="N/A",0,IF(AG553&gt;$I547,0,AF571+AG570))</f>
        <v>0</v>
      </c>
      <c r="AH571" s="236">
        <f t="shared" ref="AH571" si="3215">IF($I542="N/A",0,IF(AH553&gt;$I547,0,AG571+AH570))</f>
        <v>0</v>
      </c>
    </row>
    <row r="574" spans="3:34" ht="15" x14ac:dyDescent="0.2">
      <c r="C574" s="1456" t="str">
        <f>IF(Sources!$D$83="","N/A",Sources!$D$83)</f>
        <v>N/A</v>
      </c>
      <c r="D574" s="1456"/>
      <c r="E574" s="1456"/>
      <c r="F574" s="412" t="s">
        <v>2266</v>
      </c>
      <c r="G574" s="92" t="str">
        <f>IF(AND(ISERROR(VLOOKUP($C574,OpBudget!$C$159:$C$165,1,FALSE)),ISERROR(VLOOKUP($C574,Sources!$C$36:$C$55,1,FALSE))),"N/A",IF(ISERROR(VLOOKUP($C574,Sources!$C$36:$C$55,1,FALSE)),"Fee","Loan"))</f>
        <v>N/A</v>
      </c>
      <c r="H574" s="412"/>
      <c r="I574" s="412"/>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row>
    <row r="575" spans="3:34" ht="15" x14ac:dyDescent="0.2">
      <c r="C575" s="345"/>
      <c r="D575" s="345"/>
      <c r="E575" s="345"/>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row>
    <row r="576" spans="3:34" ht="15" x14ac:dyDescent="0.2">
      <c r="C576" s="417" t="s">
        <v>2260</v>
      </c>
      <c r="D576" s="345"/>
      <c r="E576" s="345"/>
      <c r="F576" s="74"/>
      <c r="G576" s="74" t="s">
        <v>2261</v>
      </c>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row>
    <row r="577" spans="3:34" x14ac:dyDescent="0.2">
      <c r="C577" s="1452" t="s">
        <v>2255</v>
      </c>
      <c r="D577" s="1452"/>
      <c r="E577" s="413" t="str">
        <f>IF(OR($G574="Fee",$G574="N/A"),"N/A",INDEX(Sources!$C$35:$K$55,MATCH(Loans!$C574,Sources!$C$35:$C$55,0),MATCH("Amount",Sources!$C$35:$N$35,0)))</f>
        <v>N/A</v>
      </c>
      <c r="F577" s="74"/>
      <c r="G577" s="1454" t="s">
        <v>2262</v>
      </c>
      <c r="H577" s="1454"/>
      <c r="I577" s="705" t="str">
        <f>IF(OR($G574="Loan",$G574="N/A"),"N/A",INDEX(OpBudget!$C$159:$K$165,MATCH(Loans!$C574,OpBudget!$C$159:$C$165,0),MATCH("Total Amount",OpBudget!$C$159:$K$159,0)))</f>
        <v>N/A</v>
      </c>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row>
    <row r="578" spans="3:34" x14ac:dyDescent="0.2">
      <c r="C578" s="1452" t="s">
        <v>2256</v>
      </c>
      <c r="D578" s="1452"/>
      <c r="E578" s="702" t="str">
        <f>IF(OR($G574="Fee",$G574="N/A"),"N/A",INDEX(Sources!$C$35:$K$55,MATCH(Loans!$C574,Sources!$C$35:$C$55,0),MATCH("Interest Rate",Sources!$C$35:$N$35,0)))</f>
        <v>N/A</v>
      </c>
      <c r="F578" s="74"/>
      <c r="G578" s="1454" t="s">
        <v>2268</v>
      </c>
      <c r="H578" s="1454"/>
      <c r="I578" s="703" t="str">
        <f>IF(OR($G574="Loan",$G574="N/A"),"N/A",INDEX(OpBudget!$C$159:$K$165,MATCH(Loans!$C574,OpBudget!$C$159:$C$165,0),MATCH("Annual Percent Inflator",OpBudget!$C$159:$K$159,0)))</f>
        <v>N/A</v>
      </c>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row>
    <row r="579" spans="3:34" x14ac:dyDescent="0.2">
      <c r="C579" s="1452" t="s">
        <v>2279</v>
      </c>
      <c r="D579" s="1452"/>
      <c r="E579" s="702" t="str">
        <f>IF(OR($G574="Fee",$G574="N/A"),"N/A",INDEX(Sources!$C$35:$N$55,MATCH(Loans!$C574,Sources!$C$35:$C$55,0),MATCH("Simple or Compound Interest?",Sources!$C$35:$N$35,0)))</f>
        <v>N/A</v>
      </c>
      <c r="F579" s="74"/>
      <c r="G579" s="424" t="s">
        <v>2263</v>
      </c>
      <c r="H579" s="424"/>
      <c r="I579" s="703" t="str">
        <f>IF(OR($G574="Loan",$G574="N/A"),"N/A",INDEX(Sources!$D$67:$H$82,MATCH(Loans!$C574,Sources!$D$67:$D$82,0),MATCH("Split of Cash Flow",Sources!$D$67:$H$67,0)))</f>
        <v>N/A</v>
      </c>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row>
    <row r="580" spans="3:34" x14ac:dyDescent="0.2">
      <c r="C580" s="1452" t="s">
        <v>2257</v>
      </c>
      <c r="D580" s="1452"/>
      <c r="E580" s="420" t="str">
        <f>IF(OR($G574="Fee",$G574="N/A"),"N/A",INDEX(Sources!$C$35:$K$55,MATCH(Loans!$C574,Sources!$C$35:$C$55,0),MATCH("Term (Years)",Sources!$C$35:$N$35,0)))</f>
        <v>N/A</v>
      </c>
      <c r="F580" s="74"/>
      <c r="G580" s="1454" t="s">
        <v>2281</v>
      </c>
      <c r="H580" s="1454"/>
      <c r="I580" s="703" t="str">
        <f>IF(OR($G574="Loan",$G574="N/A"),"N/A",INDEX(OpBudget!$C$159:$K$165,MATCH(Loans!$C574,OpBudget!$C$159:$C$165,0),MATCH("Accrue Unpaid Fee?",OpBudget!$C$159:$K$159,0)))</f>
        <v>N/A</v>
      </c>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row>
    <row r="581" spans="3:34" x14ac:dyDescent="0.2">
      <c r="C581" s="1452" t="s">
        <v>2284</v>
      </c>
      <c r="D581" s="1452"/>
      <c r="E581" s="420" t="str">
        <f>IF(OR($G574="Fee",$G574="N/A"),"N/A",INDEX(Sources!$D$67:$O$82,MATCH(Loans!$C574,Sources!$D$67:$D$82,0),MATCH("Beginning Payment Year",Sources!$D$67:$O$67,0)))</f>
        <v>N/A</v>
      </c>
      <c r="F581" s="74"/>
      <c r="G581" s="1454" t="s">
        <v>2293</v>
      </c>
      <c r="H581" s="1454"/>
      <c r="I581" s="705" t="str">
        <f>IF(OR($G574="Loan",$G574="N/A"),"N/A",IF(INDEX(OpBudget!$C$159:$K$165,MATCH(Loans!$C574,OpBudget!$C$159:$C$165,0),MATCH("Fee Cap (if applicable)",OpBudget!$C$159:$K$159,0))=0,"N/A",INDEX(OpBudget!$C$159:$K$165,MATCH(Loans!$C574,OpBudget!$C$159:$C$165,0),MATCH("Fee Cap (if applicable)",OpBudget!$C$159:$K$159,0))))</f>
        <v>N/A</v>
      </c>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row>
    <row r="582" spans="3:34" x14ac:dyDescent="0.2">
      <c r="C582" s="1452" t="s">
        <v>2267</v>
      </c>
      <c r="D582" s="1452"/>
      <c r="E582" s="703" t="str">
        <f>IF(OR($G574="Fee",$G574="N/A"),"N/A",INDEX(Sources!$D$67:$O$82,MATCH(Loans!$C574,Sources!$D$67:$D$82,0),MATCH("Split of Cash Flow",Sources!$D$67:$O$67,0)))</f>
        <v>N/A</v>
      </c>
      <c r="F582" s="1455"/>
      <c r="G582" s="1454" t="s">
        <v>2292</v>
      </c>
      <c r="H582" s="1454"/>
      <c r="I582" s="420" t="str">
        <f>IF(OR($G574="Loan",$G574="N/A"),"N/A",INDEX(OpBudget!$C$159:$K$165,MATCH(Loans!$C574,OpBudget!$C$159:$C$165,0),MATCH("Number of Years Fee Exists",OpBudget!$C$159:$K$159,0)))</f>
        <v>N/A</v>
      </c>
      <c r="J582" s="74"/>
      <c r="K582" s="74"/>
      <c r="L582" s="74" t="s">
        <v>2278</v>
      </c>
      <c r="M582" s="74"/>
      <c r="N582" s="74"/>
      <c r="O582" s="74"/>
      <c r="P582" s="74"/>
      <c r="Q582" s="74"/>
      <c r="R582" s="74"/>
      <c r="S582" s="74"/>
      <c r="T582" s="74"/>
      <c r="U582" s="74"/>
      <c r="V582" s="74"/>
      <c r="W582" s="74"/>
      <c r="X582" s="74"/>
      <c r="Y582" s="74"/>
      <c r="Z582" s="74"/>
      <c r="AA582" s="74"/>
      <c r="AB582" s="74"/>
      <c r="AC582" s="74"/>
      <c r="AD582" s="74"/>
      <c r="AE582" s="74"/>
      <c r="AF582" s="74"/>
      <c r="AG582" s="74"/>
      <c r="AH582" s="74"/>
    </row>
    <row r="583" spans="3:34" x14ac:dyDescent="0.2">
      <c r="C583" s="1452" t="s">
        <v>2289</v>
      </c>
      <c r="D583" s="1452"/>
      <c r="E583" s="704" t="str">
        <f>IF(OR($G574="Fee",$G574="N/A"),"N/A",INDEX(Sources!$D$67:$O$82,MATCH(Loans!$C574,Sources!$D$67:$D$82,0),MATCH("Pari Passu?",Sources!$D$67:$O$67,0)))</f>
        <v>N/A</v>
      </c>
      <c r="F583" s="1455"/>
      <c r="G583" s="424"/>
      <c r="H583" s="424"/>
      <c r="I583" s="526"/>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row>
    <row r="584" spans="3:34" x14ac:dyDescent="0.2">
      <c r="C584" s="1452" t="s">
        <v>2295</v>
      </c>
      <c r="D584" s="1452"/>
      <c r="E584" s="703" t="str">
        <f>IF(OR($G574="Fee",$G574="N/A"),"N/A",INDEX(Sources!$D$67:$O$82,MATCH(Loans!$C574,Sources!$D$67:$D$82,0),MATCH("Shared Position Split of Cash Flow",Sources!$D$67:$O$67,0)))</f>
        <v>N/A</v>
      </c>
      <c r="F584" s="532"/>
      <c r="G584" s="424"/>
      <c r="H584" s="424"/>
      <c r="I584" s="526"/>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row>
    <row r="585" spans="3:34" x14ac:dyDescent="0.2">
      <c r="C585" s="1452" t="s">
        <v>2291</v>
      </c>
      <c r="D585" s="1452"/>
      <c r="E585" s="704" t="str">
        <f>IF(OR($G574="Fee",$G574="N/A"),"N/A",INDEX(Sources!$D$67:$O$82,MATCH(Loans!$C574,Sources!$D$67:$D$82,0),MATCH("Deferred Loan?",Sources!$D$67:$O$67,0)))</f>
        <v>N/A</v>
      </c>
      <c r="F585" s="74"/>
      <c r="G585" s="424"/>
      <c r="H585" s="424"/>
      <c r="I585" s="526"/>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row>
    <row r="586" spans="3:34" x14ac:dyDescent="0.2">
      <c r="C586" s="1452" t="s">
        <v>2277</v>
      </c>
      <c r="D586" s="1452"/>
      <c r="E586" s="705" t="str">
        <f>IF(OR(E577=0,E577="N/A"),"N/A",INDEX($C588:$AH600,MATCH("Ending Principal Balance",$C588:$C600,0),MATCH($E580,$C588:$AH588,0)))</f>
        <v>N/A</v>
      </c>
      <c r="F586" s="74"/>
      <c r="G586" s="74"/>
      <c r="H586" s="74" t="s">
        <v>2278</v>
      </c>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row>
    <row r="587" spans="3:34" ht="15" x14ac:dyDescent="0.2">
      <c r="C587" s="345"/>
      <c r="D587" s="345"/>
      <c r="E587" s="345"/>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row>
    <row r="588" spans="3:34" ht="15" x14ac:dyDescent="0.2">
      <c r="C588" s="309"/>
      <c r="D588" s="309"/>
      <c r="E588" s="310">
        <v>1</v>
      </c>
      <c r="F588" s="310">
        <f>E588+1</f>
        <v>2</v>
      </c>
      <c r="G588" s="310">
        <f t="shared" ref="G588" si="3216">F588+1</f>
        <v>3</v>
      </c>
      <c r="H588" s="310">
        <f t="shared" ref="H588" si="3217">G588+1</f>
        <v>4</v>
      </c>
      <c r="I588" s="310">
        <f t="shared" ref="I588" si="3218">H588+1</f>
        <v>5</v>
      </c>
      <c r="J588" s="310">
        <f t="shared" ref="J588" si="3219">I588+1</f>
        <v>6</v>
      </c>
      <c r="K588" s="310">
        <f t="shared" ref="K588" si="3220">J588+1</f>
        <v>7</v>
      </c>
      <c r="L588" s="310">
        <f t="shared" ref="L588" si="3221">K588+1</f>
        <v>8</v>
      </c>
      <c r="M588" s="310">
        <f t="shared" ref="M588" si="3222">L588+1</f>
        <v>9</v>
      </c>
      <c r="N588" s="310">
        <f t="shared" ref="N588" si="3223">M588+1</f>
        <v>10</v>
      </c>
      <c r="O588" s="310">
        <f t="shared" ref="O588" si="3224">N588+1</f>
        <v>11</v>
      </c>
      <c r="P588" s="310">
        <f t="shared" ref="P588" si="3225">O588+1</f>
        <v>12</v>
      </c>
      <c r="Q588" s="310">
        <f t="shared" ref="Q588" si="3226">P588+1</f>
        <v>13</v>
      </c>
      <c r="R588" s="310">
        <f t="shared" ref="R588" si="3227">Q588+1</f>
        <v>14</v>
      </c>
      <c r="S588" s="448">
        <f t="shared" ref="S588" si="3228">R588+1</f>
        <v>15</v>
      </c>
      <c r="T588" s="428">
        <f t="shared" ref="T588" si="3229">S588+1</f>
        <v>16</v>
      </c>
      <c r="U588" s="310">
        <f t="shared" ref="U588" si="3230">T588+1</f>
        <v>17</v>
      </c>
      <c r="V588" s="310">
        <f t="shared" ref="V588" si="3231">U588+1</f>
        <v>18</v>
      </c>
      <c r="W588" s="310">
        <f t="shared" ref="W588" si="3232">V588+1</f>
        <v>19</v>
      </c>
      <c r="X588" s="310">
        <f t="shared" ref="X588" si="3233">W588+1</f>
        <v>20</v>
      </c>
      <c r="Y588" s="310">
        <f t="shared" ref="Y588" si="3234">X588+1</f>
        <v>21</v>
      </c>
      <c r="Z588" s="310">
        <f t="shared" ref="Z588" si="3235">Y588+1</f>
        <v>22</v>
      </c>
      <c r="AA588" s="310">
        <f t="shared" ref="AA588" si="3236">Z588+1</f>
        <v>23</v>
      </c>
      <c r="AB588" s="310">
        <f t="shared" ref="AB588" si="3237">AA588+1</f>
        <v>24</v>
      </c>
      <c r="AC588" s="310">
        <f t="shared" ref="AC588" si="3238">AB588+1</f>
        <v>25</v>
      </c>
      <c r="AD588" s="310">
        <f t="shared" ref="AD588" si="3239">AC588+1</f>
        <v>26</v>
      </c>
      <c r="AE588" s="310">
        <f t="shared" ref="AE588" si="3240">AD588+1</f>
        <v>27</v>
      </c>
      <c r="AF588" s="310">
        <f t="shared" ref="AF588" si="3241">AE588+1</f>
        <v>28</v>
      </c>
      <c r="AG588" s="310">
        <f t="shared" ref="AG588" si="3242">AF588+1</f>
        <v>29</v>
      </c>
      <c r="AH588" s="310">
        <f t="shared" ref="AH588" si="3243">AG588+1</f>
        <v>30</v>
      </c>
    </row>
    <row r="589" spans="3:34" ht="15" x14ac:dyDescent="0.2">
      <c r="C589" s="309"/>
      <c r="D589" s="309"/>
      <c r="E589" s="314" t="str">
        <f>IF(Details!$E$171="","",Details!$E$171)</f>
        <v/>
      </c>
      <c r="F589" s="314" t="str">
        <f>IF($E$7="","",E$7+1)</f>
        <v/>
      </c>
      <c r="G589" s="314" t="str">
        <f t="shared" ref="G589" si="3244">IF($E$7="","",F$7+1)</f>
        <v/>
      </c>
      <c r="H589" s="314" t="str">
        <f t="shared" ref="H589" si="3245">IF($E$7="","",G$7+1)</f>
        <v/>
      </c>
      <c r="I589" s="314" t="str">
        <f t="shared" ref="I589" si="3246">IF($E$7="","",H$7+1)</f>
        <v/>
      </c>
      <c r="J589" s="314" t="str">
        <f t="shared" ref="J589" si="3247">IF($E$7="","",I$7+1)</f>
        <v/>
      </c>
      <c r="K589" s="314" t="str">
        <f t="shared" ref="K589" si="3248">IF($E$7="","",J$7+1)</f>
        <v/>
      </c>
      <c r="L589" s="314" t="str">
        <f t="shared" ref="L589" si="3249">IF($E$7="","",K$7+1)</f>
        <v/>
      </c>
      <c r="M589" s="314" t="str">
        <f t="shared" ref="M589" si="3250">IF($E$7="","",L$7+1)</f>
        <v/>
      </c>
      <c r="N589" s="314" t="str">
        <f t="shared" ref="N589" si="3251">IF($E$7="","",M$7+1)</f>
        <v/>
      </c>
      <c r="O589" s="314" t="str">
        <f t="shared" ref="O589" si="3252">IF($E$7="","",N$7+1)</f>
        <v/>
      </c>
      <c r="P589" s="314" t="str">
        <f t="shared" ref="P589" si="3253">IF($E$7="","",O$7+1)</f>
        <v/>
      </c>
      <c r="Q589" s="314" t="str">
        <f t="shared" ref="Q589" si="3254">IF($E$7="","",P$7+1)</f>
        <v/>
      </c>
      <c r="R589" s="314" t="str">
        <f t="shared" ref="R589" si="3255">IF($E$7="","",Q$7+1)</f>
        <v/>
      </c>
      <c r="S589" s="440" t="str">
        <f t="shared" ref="S589" si="3256">IF($E$7="","",R$7+1)</f>
        <v/>
      </c>
      <c r="T589" s="433" t="str">
        <f t="shared" ref="T589" si="3257">IF($E$7="","",S$7+1)</f>
        <v/>
      </c>
      <c r="U589" s="314" t="str">
        <f t="shared" ref="U589" si="3258">IF($E$7="","",T$7+1)</f>
        <v/>
      </c>
      <c r="V589" s="314" t="str">
        <f t="shared" ref="V589" si="3259">IF($E$7="","",U$7+1)</f>
        <v/>
      </c>
      <c r="W589" s="314" t="str">
        <f t="shared" ref="W589" si="3260">IF($E$7="","",V$7+1)</f>
        <v/>
      </c>
      <c r="X589" s="314" t="str">
        <f t="shared" ref="X589" si="3261">IF($E$7="","",W$7+1)</f>
        <v/>
      </c>
      <c r="Y589" s="314" t="str">
        <f t="shared" ref="Y589" si="3262">IF($E$7="","",X$7+1)</f>
        <v/>
      </c>
      <c r="Z589" s="314" t="str">
        <f t="shared" ref="Z589" si="3263">IF($E$7="","",Y$7+1)</f>
        <v/>
      </c>
      <c r="AA589" s="314" t="str">
        <f t="shared" ref="AA589" si="3264">IF($E$7="","",Z$7+1)</f>
        <v/>
      </c>
      <c r="AB589" s="314" t="str">
        <f t="shared" ref="AB589" si="3265">IF($E$7="","",AA$7+1)</f>
        <v/>
      </c>
      <c r="AC589" s="314" t="str">
        <f t="shared" ref="AC589" si="3266">IF($E$7="","",AB$7+1)</f>
        <v/>
      </c>
      <c r="AD589" s="314" t="str">
        <f t="shared" ref="AD589" si="3267">IF($E$7="","",AC$7+1)</f>
        <v/>
      </c>
      <c r="AE589" s="314" t="str">
        <f t="shared" ref="AE589" si="3268">IF($E$7="","",AD$7+1)</f>
        <v/>
      </c>
      <c r="AF589" s="314" t="str">
        <f t="shared" ref="AF589" si="3269">IF($E$7="","",AE$7+1)</f>
        <v/>
      </c>
      <c r="AG589" s="314" t="str">
        <f t="shared" ref="AG589" si="3270">IF($E$7="","",AF$7+1)</f>
        <v/>
      </c>
      <c r="AH589" s="314" t="str">
        <f t="shared" ref="AH589" si="3271">IF($E$7="","",AG$7+1)</f>
        <v/>
      </c>
    </row>
    <row r="590" spans="3:34" x14ac:dyDescent="0.2">
      <c r="C590" s="1168" t="s">
        <v>2254</v>
      </c>
      <c r="D590" s="1169"/>
      <c r="E590" s="109">
        <f>E555-E564-E568</f>
        <v>0</v>
      </c>
      <c r="F590" s="109">
        <f t="shared" ref="F590:AH590" si="3272">F555-F564-F568</f>
        <v>0</v>
      </c>
      <c r="G590" s="109">
        <f t="shared" si="3272"/>
        <v>0</v>
      </c>
      <c r="H590" s="109">
        <f t="shared" si="3272"/>
        <v>0</v>
      </c>
      <c r="I590" s="109">
        <f t="shared" si="3272"/>
        <v>0</v>
      </c>
      <c r="J590" s="109">
        <f t="shared" si="3272"/>
        <v>0</v>
      </c>
      <c r="K590" s="109">
        <f t="shared" si="3272"/>
        <v>0</v>
      </c>
      <c r="L590" s="109">
        <f t="shared" si="3272"/>
        <v>0</v>
      </c>
      <c r="M590" s="109">
        <f t="shared" si="3272"/>
        <v>0</v>
      </c>
      <c r="N590" s="109">
        <f t="shared" si="3272"/>
        <v>0</v>
      </c>
      <c r="O590" s="109">
        <f t="shared" si="3272"/>
        <v>0</v>
      </c>
      <c r="P590" s="109">
        <f t="shared" si="3272"/>
        <v>0</v>
      </c>
      <c r="Q590" s="109">
        <f t="shared" si="3272"/>
        <v>0</v>
      </c>
      <c r="R590" s="109">
        <f t="shared" si="3272"/>
        <v>0</v>
      </c>
      <c r="S590" s="331">
        <f t="shared" si="3272"/>
        <v>0</v>
      </c>
      <c r="T590" s="228">
        <f t="shared" si="3272"/>
        <v>0</v>
      </c>
      <c r="U590" s="109">
        <f t="shared" si="3272"/>
        <v>0</v>
      </c>
      <c r="V590" s="109">
        <f t="shared" si="3272"/>
        <v>0</v>
      </c>
      <c r="W590" s="109">
        <f t="shared" si="3272"/>
        <v>0</v>
      </c>
      <c r="X590" s="109">
        <f t="shared" si="3272"/>
        <v>0</v>
      </c>
      <c r="Y590" s="109">
        <f t="shared" si="3272"/>
        <v>0</v>
      </c>
      <c r="Z590" s="109">
        <f t="shared" si="3272"/>
        <v>0</v>
      </c>
      <c r="AA590" s="109">
        <f t="shared" si="3272"/>
        <v>0</v>
      </c>
      <c r="AB590" s="109">
        <f t="shared" si="3272"/>
        <v>0</v>
      </c>
      <c r="AC590" s="109">
        <f t="shared" si="3272"/>
        <v>0</v>
      </c>
      <c r="AD590" s="109">
        <f t="shared" si="3272"/>
        <v>0</v>
      </c>
      <c r="AE590" s="109">
        <f t="shared" si="3272"/>
        <v>0</v>
      </c>
      <c r="AF590" s="109">
        <f t="shared" si="3272"/>
        <v>0</v>
      </c>
      <c r="AG590" s="109">
        <f t="shared" si="3272"/>
        <v>0</v>
      </c>
      <c r="AH590" s="109">
        <f t="shared" si="3272"/>
        <v>0</v>
      </c>
    </row>
    <row r="591" spans="3:34" ht="15" x14ac:dyDescent="0.2">
      <c r="C591" s="345"/>
      <c r="D591" s="345"/>
      <c r="E591" s="345"/>
      <c r="F591" s="74"/>
      <c r="G591" s="74"/>
      <c r="H591" s="74"/>
      <c r="I591" s="74"/>
      <c r="J591" s="74"/>
      <c r="K591" s="74"/>
      <c r="L591" s="74"/>
      <c r="M591" s="74"/>
      <c r="N591" s="74"/>
      <c r="O591" s="74"/>
      <c r="P591" s="74"/>
      <c r="Q591" s="74"/>
      <c r="R591" s="74"/>
      <c r="S591" s="333"/>
      <c r="T591" s="74"/>
      <c r="U591" s="74"/>
      <c r="V591" s="74"/>
      <c r="W591" s="74"/>
      <c r="X591" s="74"/>
      <c r="Y591" s="74"/>
      <c r="Z591" s="74"/>
      <c r="AA591" s="74"/>
      <c r="AB591" s="74"/>
      <c r="AC591" s="74"/>
      <c r="AD591" s="74"/>
      <c r="AE591" s="74"/>
      <c r="AF591" s="74"/>
      <c r="AG591" s="74"/>
      <c r="AH591" s="74"/>
    </row>
    <row r="592" spans="3:34" ht="15" x14ac:dyDescent="0.2">
      <c r="C592" s="432" t="s">
        <v>2286</v>
      </c>
      <c r="D592" s="345"/>
      <c r="E592" s="345"/>
      <c r="F592" s="74"/>
      <c r="G592" s="74"/>
      <c r="H592" s="74"/>
      <c r="I592" s="74"/>
      <c r="J592" s="74"/>
      <c r="K592" s="74"/>
      <c r="L592" s="74"/>
      <c r="M592" s="74"/>
      <c r="N592" s="74"/>
      <c r="O592" s="74"/>
      <c r="P592" s="74"/>
      <c r="Q592" s="74"/>
      <c r="R592" s="74"/>
      <c r="S592" s="333"/>
      <c r="T592" s="74"/>
      <c r="U592" s="74"/>
      <c r="V592" s="74"/>
      <c r="W592" s="74"/>
      <c r="X592" s="74"/>
      <c r="Y592" s="74"/>
      <c r="Z592" s="74"/>
      <c r="AA592" s="74"/>
      <c r="AB592" s="74"/>
      <c r="AC592" s="74"/>
      <c r="AD592" s="74"/>
      <c r="AE592" s="74"/>
      <c r="AF592" s="74"/>
      <c r="AG592" s="74"/>
      <c r="AH592" s="74"/>
    </row>
    <row r="593" spans="3:34" ht="15" thickBot="1" x14ac:dyDescent="0.25">
      <c r="C593" s="1453" t="s">
        <v>2285</v>
      </c>
      <c r="D593" s="1453"/>
      <c r="E593" s="423">
        <f>IF(OR($E577="N/A",$E577=0),0,IF($E583="Yes",(E590*$E582*$E584),E590*$E582))</f>
        <v>0</v>
      </c>
      <c r="F593" s="423">
        <f t="shared" ref="F593:AH593" si="3273">IF(OR($E577="N/A",$E577=0),0,IF($E583="Yes",(F590*$E582*$E584),F590*$E582))</f>
        <v>0</v>
      </c>
      <c r="G593" s="423">
        <f t="shared" si="3273"/>
        <v>0</v>
      </c>
      <c r="H593" s="423">
        <f t="shared" si="3273"/>
        <v>0</v>
      </c>
      <c r="I593" s="423">
        <f t="shared" si="3273"/>
        <v>0</v>
      </c>
      <c r="J593" s="423">
        <f t="shared" si="3273"/>
        <v>0</v>
      </c>
      <c r="K593" s="423">
        <f t="shared" si="3273"/>
        <v>0</v>
      </c>
      <c r="L593" s="423">
        <f t="shared" si="3273"/>
        <v>0</v>
      </c>
      <c r="M593" s="423">
        <f t="shared" si="3273"/>
        <v>0</v>
      </c>
      <c r="N593" s="423">
        <f t="shared" si="3273"/>
        <v>0</v>
      </c>
      <c r="O593" s="423">
        <f t="shared" si="3273"/>
        <v>0</v>
      </c>
      <c r="P593" s="423">
        <f t="shared" si="3273"/>
        <v>0</v>
      </c>
      <c r="Q593" s="423">
        <f t="shared" si="3273"/>
        <v>0</v>
      </c>
      <c r="R593" s="423">
        <f t="shared" si="3273"/>
        <v>0</v>
      </c>
      <c r="S593" s="441">
        <f t="shared" si="3273"/>
        <v>0</v>
      </c>
      <c r="T593" s="434">
        <f t="shared" si="3273"/>
        <v>0</v>
      </c>
      <c r="U593" s="423">
        <f t="shared" si="3273"/>
        <v>0</v>
      </c>
      <c r="V593" s="423">
        <f t="shared" si="3273"/>
        <v>0</v>
      </c>
      <c r="W593" s="423">
        <f t="shared" si="3273"/>
        <v>0</v>
      </c>
      <c r="X593" s="423">
        <f t="shared" si="3273"/>
        <v>0</v>
      </c>
      <c r="Y593" s="423">
        <f t="shared" si="3273"/>
        <v>0</v>
      </c>
      <c r="Z593" s="423">
        <f t="shared" si="3273"/>
        <v>0</v>
      </c>
      <c r="AA593" s="423">
        <f t="shared" si="3273"/>
        <v>0</v>
      </c>
      <c r="AB593" s="423">
        <f t="shared" si="3273"/>
        <v>0</v>
      </c>
      <c r="AC593" s="423">
        <f t="shared" si="3273"/>
        <v>0</v>
      </c>
      <c r="AD593" s="423">
        <f t="shared" si="3273"/>
        <v>0</v>
      </c>
      <c r="AE593" s="423">
        <f t="shared" si="3273"/>
        <v>0</v>
      </c>
      <c r="AF593" s="423">
        <f t="shared" si="3273"/>
        <v>0</v>
      </c>
      <c r="AG593" s="423">
        <f t="shared" si="3273"/>
        <v>0</v>
      </c>
      <c r="AH593" s="423">
        <f t="shared" si="3273"/>
        <v>0</v>
      </c>
    </row>
    <row r="594" spans="3:34" ht="15" thickTop="1" x14ac:dyDescent="0.2">
      <c r="C594" s="1449" t="s">
        <v>2189</v>
      </c>
      <c r="D594" s="1449"/>
      <c r="E594" s="316">
        <f>IF(OR($E577="N/A",E588&gt;$E580,E588&lt;$E581),0,MAX(0,E577))</f>
        <v>0</v>
      </c>
      <c r="F594" s="316">
        <f t="shared" ref="F594" si="3274">IF(OR($E577="N/A",F588&gt;$E580),0,IF(F588=$E581,$E577,MAX(E600,0)))</f>
        <v>0</v>
      </c>
      <c r="G594" s="316">
        <f t="shared" ref="G594" si="3275">IF(OR($E577="N/A",G588&gt;$E580),0,IF(G588=$E581,$E577,MAX(F600,0)))</f>
        <v>0</v>
      </c>
      <c r="H594" s="316">
        <f t="shared" ref="H594" si="3276">IF(OR($E577="N/A",H588&gt;$E580),0,IF(H588=$E581,$E577,MAX(G600,0)))</f>
        <v>0</v>
      </c>
      <c r="I594" s="316">
        <f t="shared" ref="I594" si="3277">IF(OR($E577="N/A",I588&gt;$E580),0,IF(I588=$E581,$E577,MAX(H600,0)))</f>
        <v>0</v>
      </c>
      <c r="J594" s="316">
        <f t="shared" ref="J594" si="3278">IF(OR($E577="N/A",J588&gt;$E580),0,IF(J588=$E581,$E577,MAX(I600,0)))</f>
        <v>0</v>
      </c>
      <c r="K594" s="316">
        <f t="shared" ref="K594" si="3279">IF(OR($E577="N/A",K588&gt;$E580),0,IF(K588=$E581,$E577,MAX(J600,0)))</f>
        <v>0</v>
      </c>
      <c r="L594" s="316">
        <f t="shared" ref="L594" si="3280">IF(OR($E577="N/A",L588&gt;$E580),0,IF(L588=$E581,$E577,MAX(K600,0)))</f>
        <v>0</v>
      </c>
      <c r="M594" s="316">
        <f t="shared" ref="M594" si="3281">IF(OR($E577="N/A",M588&gt;$E580),0,IF(M588=$E581,$E577,MAX(L600,0)))</f>
        <v>0</v>
      </c>
      <c r="N594" s="316">
        <f t="shared" ref="N594" si="3282">IF(OR($E577="N/A",N588&gt;$E580),0,IF(N588=$E581,$E577,MAX(M600,0)))</f>
        <v>0</v>
      </c>
      <c r="O594" s="316">
        <f t="shared" ref="O594" si="3283">IF(OR($E577="N/A",O588&gt;$E580),0,IF(O588=$E581,$E577,MAX(N600,0)))</f>
        <v>0</v>
      </c>
      <c r="P594" s="316">
        <f t="shared" ref="P594" si="3284">IF(OR($E577="N/A",P588&gt;$E580),0,IF(P588=$E581,$E577,MAX(O600,0)))</f>
        <v>0</v>
      </c>
      <c r="Q594" s="316">
        <f t="shared" ref="Q594" si="3285">IF(OR($E577="N/A",Q588&gt;$E580),0,IF(Q588=$E581,$E577,MAX(P600,0)))</f>
        <v>0</v>
      </c>
      <c r="R594" s="316">
        <f t="shared" ref="R594" si="3286">IF(OR($E577="N/A",R588&gt;$E580),0,IF(R588=$E581,$E577,MAX(Q600,0)))</f>
        <v>0</v>
      </c>
      <c r="S594" s="332">
        <f t="shared" ref="S594" si="3287">IF(OR($E577="N/A",S588&gt;$E580),0,IF(S588=$E581,$E577,MAX(R600,0)))</f>
        <v>0</v>
      </c>
      <c r="T594" s="429">
        <f t="shared" ref="T594" si="3288">IF(OR($E577="N/A",T588&gt;$E580),0,IF(T588=$E581,$E577,MAX(S600,0)))</f>
        <v>0</v>
      </c>
      <c r="U594" s="316">
        <f t="shared" ref="U594" si="3289">IF(OR($E577="N/A",U588&gt;$E580),0,IF(U588=$E581,$E577,MAX(T600,0)))</f>
        <v>0</v>
      </c>
      <c r="V594" s="316">
        <f t="shared" ref="V594" si="3290">IF(OR($E577="N/A",V588&gt;$E580),0,IF(V588=$E581,$E577,MAX(U600,0)))</f>
        <v>0</v>
      </c>
      <c r="W594" s="316">
        <f t="shared" ref="W594" si="3291">IF(OR($E577="N/A",W588&gt;$E580),0,IF(W588=$E581,$E577,MAX(V600,0)))</f>
        <v>0</v>
      </c>
      <c r="X594" s="316">
        <f t="shared" ref="X594" si="3292">IF(OR($E577="N/A",X588&gt;$E580),0,IF(X588=$E581,$E577,MAX(W600,0)))</f>
        <v>0</v>
      </c>
      <c r="Y594" s="316">
        <f t="shared" ref="Y594" si="3293">IF(OR($E577="N/A",Y588&gt;$E580),0,IF(Y588=$E581,$E577,MAX(X600,0)))</f>
        <v>0</v>
      </c>
      <c r="Z594" s="316">
        <f t="shared" ref="Z594" si="3294">IF(OR($E577="N/A",Z588&gt;$E580),0,IF(Z588=$E581,$E577,MAX(Y600,0)))</f>
        <v>0</v>
      </c>
      <c r="AA594" s="316">
        <f t="shared" ref="AA594" si="3295">IF(OR($E577="N/A",AA588&gt;$E580),0,IF(AA588=$E581,$E577,MAX(Z600,0)))</f>
        <v>0</v>
      </c>
      <c r="AB594" s="316">
        <f t="shared" ref="AB594" si="3296">IF(OR($E577="N/A",AB588&gt;$E580),0,IF(AB588=$E581,$E577,MAX(AA600,0)))</f>
        <v>0</v>
      </c>
      <c r="AC594" s="316">
        <f t="shared" ref="AC594" si="3297">IF(OR($E577="N/A",AC588&gt;$E580),0,IF(AC588=$E581,$E577,MAX(AB600,0)))</f>
        <v>0</v>
      </c>
      <c r="AD594" s="316">
        <f t="shared" ref="AD594" si="3298">IF(OR($E577="N/A",AD588&gt;$E580),0,IF(AD588=$E581,$E577,MAX(AC600,0)))</f>
        <v>0</v>
      </c>
      <c r="AE594" s="316">
        <f t="shared" ref="AE594" si="3299">IF(OR($E577="N/A",AE588&gt;$E580),0,IF(AE588=$E581,$E577,MAX(AD600,0)))</f>
        <v>0</v>
      </c>
      <c r="AF594" s="316">
        <f t="shared" ref="AF594" si="3300">IF(OR($E577="N/A",AF588&gt;$E580),0,IF(AF588=$E581,$E577,MAX(AE600,0)))</f>
        <v>0</v>
      </c>
      <c r="AG594" s="316">
        <f t="shared" ref="AG594" si="3301">IF(OR($E577="N/A",AG588&gt;$E580),0,IF(AG588=$E581,$E577,MAX(AF600,0)))</f>
        <v>0</v>
      </c>
      <c r="AH594" s="316">
        <f t="shared" ref="AH594" si="3302">IF(OR($E577="N/A",AH588&gt;$E580),0,IF(AH588=$E581,$E577,MAX(AG600,0)))</f>
        <v>0</v>
      </c>
    </row>
    <row r="595" spans="3:34" x14ac:dyDescent="0.2">
      <c r="C595" s="1181" t="s">
        <v>2186</v>
      </c>
      <c r="D595" s="1181"/>
      <c r="E595" s="109">
        <f t="shared" ref="E595:AH595" si="3303">IF(OR($E577="N/A",E588&gt;$E580,E588&lt;$E581),0,E594*$E578)</f>
        <v>0</v>
      </c>
      <c r="F595" s="109">
        <f t="shared" si="3303"/>
        <v>0</v>
      </c>
      <c r="G595" s="109">
        <f t="shared" si="3303"/>
        <v>0</v>
      </c>
      <c r="H595" s="109">
        <f t="shared" si="3303"/>
        <v>0</v>
      </c>
      <c r="I595" s="109">
        <f t="shared" si="3303"/>
        <v>0</v>
      </c>
      <c r="J595" s="109">
        <f t="shared" si="3303"/>
        <v>0</v>
      </c>
      <c r="K595" s="109">
        <f t="shared" si="3303"/>
        <v>0</v>
      </c>
      <c r="L595" s="109">
        <f t="shared" si="3303"/>
        <v>0</v>
      </c>
      <c r="M595" s="109">
        <f t="shared" si="3303"/>
        <v>0</v>
      </c>
      <c r="N595" s="109">
        <f t="shared" si="3303"/>
        <v>0</v>
      </c>
      <c r="O595" s="109">
        <f t="shared" si="3303"/>
        <v>0</v>
      </c>
      <c r="P595" s="109">
        <f t="shared" si="3303"/>
        <v>0</v>
      </c>
      <c r="Q595" s="109">
        <f t="shared" si="3303"/>
        <v>0</v>
      </c>
      <c r="R595" s="109">
        <f t="shared" si="3303"/>
        <v>0</v>
      </c>
      <c r="S595" s="331">
        <f t="shared" si="3303"/>
        <v>0</v>
      </c>
      <c r="T595" s="228">
        <f t="shared" si="3303"/>
        <v>0</v>
      </c>
      <c r="U595" s="109">
        <f t="shared" si="3303"/>
        <v>0</v>
      </c>
      <c r="V595" s="109">
        <f t="shared" si="3303"/>
        <v>0</v>
      </c>
      <c r="W595" s="109">
        <f t="shared" si="3303"/>
        <v>0</v>
      </c>
      <c r="X595" s="109">
        <f t="shared" si="3303"/>
        <v>0</v>
      </c>
      <c r="Y595" s="109">
        <f t="shared" si="3303"/>
        <v>0</v>
      </c>
      <c r="Z595" s="109">
        <f t="shared" si="3303"/>
        <v>0</v>
      </c>
      <c r="AA595" s="109">
        <f t="shared" si="3303"/>
        <v>0</v>
      </c>
      <c r="AB595" s="109">
        <f t="shared" si="3303"/>
        <v>0</v>
      </c>
      <c r="AC595" s="109">
        <f t="shared" si="3303"/>
        <v>0</v>
      </c>
      <c r="AD595" s="109">
        <f t="shared" si="3303"/>
        <v>0</v>
      </c>
      <c r="AE595" s="109">
        <f t="shared" si="3303"/>
        <v>0</v>
      </c>
      <c r="AF595" s="109">
        <f t="shared" si="3303"/>
        <v>0</v>
      </c>
      <c r="AG595" s="109">
        <f t="shared" si="3303"/>
        <v>0</v>
      </c>
      <c r="AH595" s="109">
        <f t="shared" si="3303"/>
        <v>0</v>
      </c>
    </row>
    <row r="596" spans="3:34" x14ac:dyDescent="0.2">
      <c r="C596" s="1181" t="s">
        <v>2270</v>
      </c>
      <c r="D596" s="1181"/>
      <c r="E596" s="346">
        <f t="shared" ref="E596:AH596" si="3304">IF(OR($E577="N/A",E588&gt;$E580,E588&lt;$E581),0,MAX(0,MIN(E595,E593)))</f>
        <v>0</v>
      </c>
      <c r="F596" s="346">
        <f t="shared" si="3304"/>
        <v>0</v>
      </c>
      <c r="G596" s="346">
        <f t="shared" si="3304"/>
        <v>0</v>
      </c>
      <c r="H596" s="346">
        <f t="shared" si="3304"/>
        <v>0</v>
      </c>
      <c r="I596" s="346">
        <f t="shared" si="3304"/>
        <v>0</v>
      </c>
      <c r="J596" s="346">
        <f t="shared" si="3304"/>
        <v>0</v>
      </c>
      <c r="K596" s="346">
        <f t="shared" si="3304"/>
        <v>0</v>
      </c>
      <c r="L596" s="346">
        <f t="shared" si="3304"/>
        <v>0</v>
      </c>
      <c r="M596" s="346">
        <f t="shared" si="3304"/>
        <v>0</v>
      </c>
      <c r="N596" s="346">
        <f t="shared" si="3304"/>
        <v>0</v>
      </c>
      <c r="O596" s="346">
        <f t="shared" si="3304"/>
        <v>0</v>
      </c>
      <c r="P596" s="346">
        <f t="shared" si="3304"/>
        <v>0</v>
      </c>
      <c r="Q596" s="346">
        <f t="shared" si="3304"/>
        <v>0</v>
      </c>
      <c r="R596" s="346">
        <f t="shared" si="3304"/>
        <v>0</v>
      </c>
      <c r="S596" s="442">
        <f t="shared" si="3304"/>
        <v>0</v>
      </c>
      <c r="T596" s="435">
        <f t="shared" si="3304"/>
        <v>0</v>
      </c>
      <c r="U596" s="346">
        <f t="shared" si="3304"/>
        <v>0</v>
      </c>
      <c r="V596" s="346">
        <f t="shared" si="3304"/>
        <v>0</v>
      </c>
      <c r="W596" s="346">
        <f t="shared" si="3304"/>
        <v>0</v>
      </c>
      <c r="X596" s="346">
        <f t="shared" si="3304"/>
        <v>0</v>
      </c>
      <c r="Y596" s="346">
        <f t="shared" si="3304"/>
        <v>0</v>
      </c>
      <c r="Z596" s="346">
        <f t="shared" si="3304"/>
        <v>0</v>
      </c>
      <c r="AA596" s="346">
        <f t="shared" si="3304"/>
        <v>0</v>
      </c>
      <c r="AB596" s="346">
        <f t="shared" si="3304"/>
        <v>0</v>
      </c>
      <c r="AC596" s="346">
        <f t="shared" si="3304"/>
        <v>0</v>
      </c>
      <c r="AD596" s="346">
        <f t="shared" si="3304"/>
        <v>0</v>
      </c>
      <c r="AE596" s="346">
        <f t="shared" si="3304"/>
        <v>0</v>
      </c>
      <c r="AF596" s="346">
        <f t="shared" si="3304"/>
        <v>0</v>
      </c>
      <c r="AG596" s="346">
        <f t="shared" si="3304"/>
        <v>0</v>
      </c>
      <c r="AH596" s="346">
        <f t="shared" si="3304"/>
        <v>0</v>
      </c>
    </row>
    <row r="597" spans="3:34" x14ac:dyDescent="0.2">
      <c r="C597" s="1181" t="s">
        <v>2271</v>
      </c>
      <c r="D597" s="1181"/>
      <c r="E597" s="346">
        <f t="shared" ref="E597:AH597" si="3305">IF(OR($E577="N/A",E588&gt;$E580,E588&lt;$E581),0,E596-E595)</f>
        <v>0</v>
      </c>
      <c r="F597" s="346">
        <f t="shared" si="3305"/>
        <v>0</v>
      </c>
      <c r="G597" s="346">
        <f t="shared" si="3305"/>
        <v>0</v>
      </c>
      <c r="H597" s="346">
        <f t="shared" si="3305"/>
        <v>0</v>
      </c>
      <c r="I597" s="346">
        <f t="shared" si="3305"/>
        <v>0</v>
      </c>
      <c r="J597" s="346">
        <f t="shared" si="3305"/>
        <v>0</v>
      </c>
      <c r="K597" s="346">
        <f t="shared" si="3305"/>
        <v>0</v>
      </c>
      <c r="L597" s="346">
        <f t="shared" si="3305"/>
        <v>0</v>
      </c>
      <c r="M597" s="346">
        <f t="shared" si="3305"/>
        <v>0</v>
      </c>
      <c r="N597" s="346">
        <f t="shared" si="3305"/>
        <v>0</v>
      </c>
      <c r="O597" s="346">
        <f t="shared" si="3305"/>
        <v>0</v>
      </c>
      <c r="P597" s="346">
        <f t="shared" si="3305"/>
        <v>0</v>
      </c>
      <c r="Q597" s="346">
        <f t="shared" si="3305"/>
        <v>0</v>
      </c>
      <c r="R597" s="346">
        <f t="shared" si="3305"/>
        <v>0</v>
      </c>
      <c r="S597" s="442">
        <f t="shared" si="3305"/>
        <v>0</v>
      </c>
      <c r="T597" s="435">
        <f t="shared" si="3305"/>
        <v>0</v>
      </c>
      <c r="U597" s="346">
        <f t="shared" si="3305"/>
        <v>0</v>
      </c>
      <c r="V597" s="346">
        <f t="shared" si="3305"/>
        <v>0</v>
      </c>
      <c r="W597" s="346">
        <f t="shared" si="3305"/>
        <v>0</v>
      </c>
      <c r="X597" s="346">
        <f t="shared" si="3305"/>
        <v>0</v>
      </c>
      <c r="Y597" s="346">
        <f t="shared" si="3305"/>
        <v>0</v>
      </c>
      <c r="Z597" s="346">
        <f t="shared" si="3305"/>
        <v>0</v>
      </c>
      <c r="AA597" s="346">
        <f t="shared" si="3305"/>
        <v>0</v>
      </c>
      <c r="AB597" s="346">
        <f t="shared" si="3305"/>
        <v>0</v>
      </c>
      <c r="AC597" s="346">
        <f t="shared" si="3305"/>
        <v>0</v>
      </c>
      <c r="AD597" s="346">
        <f t="shared" si="3305"/>
        <v>0</v>
      </c>
      <c r="AE597" s="346">
        <f t="shared" si="3305"/>
        <v>0</v>
      </c>
      <c r="AF597" s="346">
        <f t="shared" si="3305"/>
        <v>0</v>
      </c>
      <c r="AG597" s="346">
        <f t="shared" si="3305"/>
        <v>0</v>
      </c>
      <c r="AH597" s="346">
        <f t="shared" si="3305"/>
        <v>0</v>
      </c>
    </row>
    <row r="598" spans="3:34" ht="15" thickBot="1" x14ac:dyDescent="0.25">
      <c r="C598" s="1448" t="s">
        <v>2272</v>
      </c>
      <c r="D598" s="1448"/>
      <c r="E598" s="411">
        <f>IF(OR($E577="N/A",E588&gt;$E580,E588&lt;$E581),0,MAX(0,MIN(E593-E596,E594)))</f>
        <v>0</v>
      </c>
      <c r="F598" s="411">
        <f>IF(OR($E577="N/A",F588&gt;$E580,F588&lt;$E581),0,MAX(0,MIN(F593-F596,F594)))</f>
        <v>0</v>
      </c>
      <c r="G598" s="411">
        <f t="shared" ref="G598:AH598" si="3306">IF(OR($E577="N/A",G588&gt;$E580,G588&lt;$E581),0,MAX(0,MIN(G593-G596,G594)))</f>
        <v>0</v>
      </c>
      <c r="H598" s="411">
        <f t="shared" si="3306"/>
        <v>0</v>
      </c>
      <c r="I598" s="411">
        <f t="shared" si="3306"/>
        <v>0</v>
      </c>
      <c r="J598" s="411">
        <f t="shared" si="3306"/>
        <v>0</v>
      </c>
      <c r="K598" s="411">
        <f t="shared" si="3306"/>
        <v>0</v>
      </c>
      <c r="L598" s="411">
        <f t="shared" si="3306"/>
        <v>0</v>
      </c>
      <c r="M598" s="411">
        <f t="shared" si="3306"/>
        <v>0</v>
      </c>
      <c r="N598" s="411">
        <f t="shared" si="3306"/>
        <v>0</v>
      </c>
      <c r="O598" s="411">
        <f t="shared" si="3306"/>
        <v>0</v>
      </c>
      <c r="P598" s="411">
        <f t="shared" si="3306"/>
        <v>0</v>
      </c>
      <c r="Q598" s="411">
        <f t="shared" si="3306"/>
        <v>0</v>
      </c>
      <c r="R598" s="411">
        <f t="shared" si="3306"/>
        <v>0</v>
      </c>
      <c r="S598" s="443">
        <f t="shared" si="3306"/>
        <v>0</v>
      </c>
      <c r="T598" s="431">
        <f t="shared" si="3306"/>
        <v>0</v>
      </c>
      <c r="U598" s="411">
        <f t="shared" si="3306"/>
        <v>0</v>
      </c>
      <c r="V598" s="411">
        <f t="shared" si="3306"/>
        <v>0</v>
      </c>
      <c r="W598" s="411">
        <f t="shared" si="3306"/>
        <v>0</v>
      </c>
      <c r="X598" s="411">
        <f t="shared" si="3306"/>
        <v>0</v>
      </c>
      <c r="Y598" s="411">
        <f t="shared" si="3306"/>
        <v>0</v>
      </c>
      <c r="Z598" s="411">
        <f t="shared" si="3306"/>
        <v>0</v>
      </c>
      <c r="AA598" s="411">
        <f t="shared" si="3306"/>
        <v>0</v>
      </c>
      <c r="AB598" s="411">
        <f t="shared" si="3306"/>
        <v>0</v>
      </c>
      <c r="AC598" s="411">
        <f t="shared" si="3306"/>
        <v>0</v>
      </c>
      <c r="AD598" s="411">
        <f t="shared" si="3306"/>
        <v>0</v>
      </c>
      <c r="AE598" s="411">
        <f t="shared" si="3306"/>
        <v>0</v>
      </c>
      <c r="AF598" s="411">
        <f t="shared" si="3306"/>
        <v>0</v>
      </c>
      <c r="AG598" s="411">
        <f t="shared" si="3306"/>
        <v>0</v>
      </c>
      <c r="AH598" s="411">
        <f t="shared" si="3306"/>
        <v>0</v>
      </c>
    </row>
    <row r="599" spans="3:34" ht="15" thickTop="1" x14ac:dyDescent="0.2">
      <c r="C599" s="1449" t="s">
        <v>2282</v>
      </c>
      <c r="D599" s="1449"/>
      <c r="E599" s="430">
        <f>SUM(E596,E598)</f>
        <v>0</v>
      </c>
      <c r="F599" s="430">
        <f>SUM(F596,F598)</f>
        <v>0</v>
      </c>
      <c r="G599" s="430">
        <f t="shared" ref="G599" si="3307">SUM(G596,G598)</f>
        <v>0</v>
      </c>
      <c r="H599" s="430">
        <f t="shared" ref="H599" si="3308">SUM(H596,H598)</f>
        <v>0</v>
      </c>
      <c r="I599" s="430">
        <f t="shared" ref="I599" si="3309">SUM(I596,I598)</f>
        <v>0</v>
      </c>
      <c r="J599" s="430">
        <f t="shared" ref="J599" si="3310">SUM(J596,J598)</f>
        <v>0</v>
      </c>
      <c r="K599" s="430">
        <f t="shared" ref="K599" si="3311">SUM(K596,K598)</f>
        <v>0</v>
      </c>
      <c r="L599" s="430">
        <f t="shared" ref="L599" si="3312">SUM(L596,L598)</f>
        <v>0</v>
      </c>
      <c r="M599" s="430">
        <f t="shared" ref="M599" si="3313">SUM(M596,M598)</f>
        <v>0</v>
      </c>
      <c r="N599" s="430">
        <f t="shared" ref="N599" si="3314">SUM(N596,N598)</f>
        <v>0</v>
      </c>
      <c r="O599" s="430">
        <f t="shared" ref="O599" si="3315">SUM(O596,O598)</f>
        <v>0</v>
      </c>
      <c r="P599" s="430">
        <f t="shared" ref="P599" si="3316">SUM(P596,P598)</f>
        <v>0</v>
      </c>
      <c r="Q599" s="430">
        <f t="shared" ref="Q599" si="3317">SUM(Q596,Q598)</f>
        <v>0</v>
      </c>
      <c r="R599" s="430">
        <f t="shared" ref="R599" si="3318">SUM(R596,R598)</f>
        <v>0</v>
      </c>
      <c r="S599" s="444">
        <f t="shared" ref="S599" si="3319">SUM(S596,S598)</f>
        <v>0</v>
      </c>
      <c r="T599" s="436">
        <f t="shared" ref="T599" si="3320">SUM(T596,T598)</f>
        <v>0</v>
      </c>
      <c r="U599" s="430">
        <f t="shared" ref="U599" si="3321">SUM(U596,U598)</f>
        <v>0</v>
      </c>
      <c r="V599" s="430">
        <f t="shared" ref="V599" si="3322">SUM(V596,V598)</f>
        <v>0</v>
      </c>
      <c r="W599" s="430">
        <f t="shared" ref="W599" si="3323">SUM(W596,W598)</f>
        <v>0</v>
      </c>
      <c r="X599" s="430">
        <f t="shared" ref="X599" si="3324">SUM(X596,X598)</f>
        <v>0</v>
      </c>
      <c r="Y599" s="430">
        <f t="shared" ref="Y599" si="3325">SUM(Y596,Y598)</f>
        <v>0</v>
      </c>
      <c r="Z599" s="430">
        <f t="shared" ref="Z599" si="3326">SUM(Z596,Z598)</f>
        <v>0</v>
      </c>
      <c r="AA599" s="430">
        <f t="shared" ref="AA599" si="3327">SUM(AA596,AA598)</f>
        <v>0</v>
      </c>
      <c r="AB599" s="430">
        <f t="shared" ref="AB599" si="3328">SUM(AB596,AB598)</f>
        <v>0</v>
      </c>
      <c r="AC599" s="430">
        <f t="shared" ref="AC599" si="3329">SUM(AC596,AC598)</f>
        <v>0</v>
      </c>
      <c r="AD599" s="430">
        <f t="shared" ref="AD599" si="3330">SUM(AD596,AD598)</f>
        <v>0</v>
      </c>
      <c r="AE599" s="430">
        <f t="shared" ref="AE599" si="3331">SUM(AE596,AE598)</f>
        <v>0</v>
      </c>
      <c r="AF599" s="430">
        <f t="shared" ref="AF599" si="3332">SUM(AF596,AF598)</f>
        <v>0</v>
      </c>
      <c r="AG599" s="430">
        <f t="shared" ref="AG599" si="3333">SUM(AG596,AG598)</f>
        <v>0</v>
      </c>
      <c r="AH599" s="430">
        <f t="shared" ref="AH599" si="3334">SUM(AH596,AH598)</f>
        <v>0</v>
      </c>
    </row>
    <row r="600" spans="3:34" x14ac:dyDescent="0.2">
      <c r="C600" s="1181" t="s">
        <v>2190</v>
      </c>
      <c r="D600" s="1181"/>
      <c r="E600" s="342">
        <f>IF(OR($E577="N/A",E588&gt;$E580,E588&lt;$E581),0,IF($E579="Compound",E594-E598-E597,MAX(0,E594-E598)))</f>
        <v>0</v>
      </c>
      <c r="F600" s="342">
        <f>IF(OR($E577="N/A",F588&gt;$E580,F588&lt;$E581),0,IF($E579="Compound",F594-F598-F597,MAX(0,F594-F598)))</f>
        <v>0</v>
      </c>
      <c r="G600" s="342">
        <f t="shared" ref="G600:AH600" si="3335">IF(OR($E577="N/A",G588&gt;$E580,G588&lt;$E581),0,IF($E579="Compound",G594-G598-G597,MAX(0,G594-G598)))</f>
        <v>0</v>
      </c>
      <c r="H600" s="342">
        <f t="shared" si="3335"/>
        <v>0</v>
      </c>
      <c r="I600" s="342">
        <f t="shared" si="3335"/>
        <v>0</v>
      </c>
      <c r="J600" s="342">
        <f t="shared" si="3335"/>
        <v>0</v>
      </c>
      <c r="K600" s="342">
        <f t="shared" si="3335"/>
        <v>0</v>
      </c>
      <c r="L600" s="342">
        <f t="shared" si="3335"/>
        <v>0</v>
      </c>
      <c r="M600" s="342">
        <f t="shared" si="3335"/>
        <v>0</v>
      </c>
      <c r="N600" s="342">
        <f t="shared" si="3335"/>
        <v>0</v>
      </c>
      <c r="O600" s="342">
        <f t="shared" si="3335"/>
        <v>0</v>
      </c>
      <c r="P600" s="342">
        <f t="shared" si="3335"/>
        <v>0</v>
      </c>
      <c r="Q600" s="342">
        <f t="shared" si="3335"/>
        <v>0</v>
      </c>
      <c r="R600" s="342">
        <f t="shared" si="3335"/>
        <v>0</v>
      </c>
      <c r="S600" s="445">
        <f t="shared" si="3335"/>
        <v>0</v>
      </c>
      <c r="T600" s="437">
        <f t="shared" si="3335"/>
        <v>0</v>
      </c>
      <c r="U600" s="342">
        <f t="shared" si="3335"/>
        <v>0</v>
      </c>
      <c r="V600" s="342">
        <f t="shared" si="3335"/>
        <v>0</v>
      </c>
      <c r="W600" s="342">
        <f t="shared" si="3335"/>
        <v>0</v>
      </c>
      <c r="X600" s="342">
        <f t="shared" si="3335"/>
        <v>0</v>
      </c>
      <c r="Y600" s="342">
        <f t="shared" si="3335"/>
        <v>0</v>
      </c>
      <c r="Z600" s="342">
        <f t="shared" si="3335"/>
        <v>0</v>
      </c>
      <c r="AA600" s="342">
        <f t="shared" si="3335"/>
        <v>0</v>
      </c>
      <c r="AB600" s="342">
        <f t="shared" si="3335"/>
        <v>0</v>
      </c>
      <c r="AC600" s="342">
        <f t="shared" si="3335"/>
        <v>0</v>
      </c>
      <c r="AD600" s="342">
        <f t="shared" si="3335"/>
        <v>0</v>
      </c>
      <c r="AE600" s="342">
        <f t="shared" si="3335"/>
        <v>0</v>
      </c>
      <c r="AF600" s="342">
        <f t="shared" si="3335"/>
        <v>0</v>
      </c>
      <c r="AG600" s="342">
        <f t="shared" si="3335"/>
        <v>0</v>
      </c>
      <c r="AH600" s="342">
        <f t="shared" si="3335"/>
        <v>0</v>
      </c>
    </row>
    <row r="601" spans="3:34" x14ac:dyDescent="0.2">
      <c r="C601" s="317"/>
      <c r="D601" s="317"/>
      <c r="E601" s="74"/>
      <c r="F601" s="74"/>
      <c r="G601" s="74"/>
      <c r="H601" s="74"/>
      <c r="I601" s="74"/>
      <c r="J601" s="74"/>
      <c r="K601" s="74"/>
      <c r="L601" s="74"/>
      <c r="M601" s="74"/>
      <c r="N601" s="74"/>
      <c r="O601" s="74"/>
      <c r="P601" s="74"/>
      <c r="Q601" s="74"/>
      <c r="R601" s="74"/>
      <c r="S601" s="333"/>
      <c r="T601" s="74"/>
      <c r="U601" s="74"/>
      <c r="V601" s="74"/>
      <c r="W601" s="74"/>
      <c r="X601" s="74"/>
      <c r="Y601" s="74"/>
      <c r="Z601" s="74"/>
      <c r="AA601" s="74"/>
      <c r="AB601" s="74"/>
      <c r="AC601" s="74"/>
      <c r="AD601" s="74"/>
      <c r="AE601" s="74"/>
      <c r="AF601" s="74"/>
      <c r="AG601" s="74"/>
      <c r="AH601" s="74"/>
    </row>
    <row r="602" spans="3:34" ht="15" x14ac:dyDescent="0.2">
      <c r="C602" s="432" t="s">
        <v>2287</v>
      </c>
      <c r="D602" s="317"/>
      <c r="E602" s="74"/>
      <c r="F602" s="74"/>
      <c r="G602" s="74"/>
      <c r="H602" s="74"/>
      <c r="I602" s="74"/>
      <c r="J602" s="74"/>
      <c r="K602" s="74"/>
      <c r="L602" s="74"/>
      <c r="M602" s="74"/>
      <c r="N602" s="74"/>
      <c r="O602" s="74"/>
      <c r="P602" s="74"/>
      <c r="Q602" s="74"/>
      <c r="R602" s="74"/>
      <c r="S602" s="333"/>
      <c r="T602" s="74"/>
      <c r="U602" s="74"/>
      <c r="V602" s="74"/>
      <c r="W602" s="74"/>
      <c r="X602" s="74"/>
      <c r="Y602" s="74"/>
      <c r="Z602" s="74"/>
      <c r="AA602" s="74"/>
      <c r="AB602" s="74"/>
      <c r="AC602" s="74"/>
      <c r="AD602" s="74"/>
      <c r="AE602" s="74"/>
      <c r="AF602" s="74"/>
      <c r="AG602" s="74"/>
      <c r="AH602" s="74"/>
    </row>
    <row r="603" spans="3:34" x14ac:dyDescent="0.2">
      <c r="C603" s="1234" t="s">
        <v>2273</v>
      </c>
      <c r="D603" s="1234"/>
      <c r="E603" s="421">
        <f>IF($I577="N/A",0,IF(E588&gt;$I582,0,MIN($I581,$I577*$I579)))</f>
        <v>0</v>
      </c>
      <c r="F603" s="236">
        <f t="shared" ref="F603" si="3336">IF($I577="N/A",0,IF(F588&gt;$I582,0,MIN($I581,$I577*$I579*(1+$I578)^E$63)))</f>
        <v>0</v>
      </c>
      <c r="G603" s="236">
        <f t="shared" ref="G603" si="3337">IF($I577="N/A",0,IF(G588&gt;$I582,0,MIN($I581,$I577*$I579*(1+$I578)^F$63)))</f>
        <v>0</v>
      </c>
      <c r="H603" s="236">
        <f t="shared" ref="H603" si="3338">IF($I577="N/A",0,IF(H588&gt;$I582,0,MIN($I581,$I577*$I579*(1+$I578)^G$63)))</f>
        <v>0</v>
      </c>
      <c r="I603" s="236">
        <f t="shared" ref="I603" si="3339">IF($I577="N/A",0,IF(I588&gt;$I582,0,MIN($I581,$I577*$I579*(1+$I578)^H$63)))</f>
        <v>0</v>
      </c>
      <c r="J603" s="236">
        <f t="shared" ref="J603" si="3340">IF($I577="N/A",0,IF(J588&gt;$I582,0,MIN($I581,$I577*$I579*(1+$I578)^I$63)))</f>
        <v>0</v>
      </c>
      <c r="K603" s="236">
        <f t="shared" ref="K603" si="3341">IF($I577="N/A",0,IF(K588&gt;$I582,0,MIN($I581,$I577*$I579*(1+$I578)^J$63)))</f>
        <v>0</v>
      </c>
      <c r="L603" s="236">
        <f t="shared" ref="L603" si="3342">IF($I577="N/A",0,IF(L588&gt;$I582,0,MIN($I581,$I577*$I579*(1+$I578)^K$63)))</f>
        <v>0</v>
      </c>
      <c r="M603" s="236">
        <f t="shared" ref="M603" si="3343">IF($I577="N/A",0,IF(M588&gt;$I582,0,MIN($I581,$I577*$I579*(1+$I578)^L$63)))</f>
        <v>0</v>
      </c>
      <c r="N603" s="236">
        <f t="shared" ref="N603" si="3344">IF($I577="N/A",0,IF(N588&gt;$I582,0,MIN($I581,$I577*$I579*(1+$I578)^M$63)))</f>
        <v>0</v>
      </c>
      <c r="O603" s="236">
        <f t="shared" ref="O603" si="3345">IF($I577="N/A",0,IF(O588&gt;$I582,0,MIN($I581,$I577*$I579*(1+$I578)^N$63)))</f>
        <v>0</v>
      </c>
      <c r="P603" s="236">
        <f t="shared" ref="P603" si="3346">IF($I577="N/A",0,IF(P588&gt;$I582,0,MIN($I581,$I577*$I579*(1+$I578)^O$63)))</f>
        <v>0</v>
      </c>
      <c r="Q603" s="236">
        <f t="shared" ref="Q603" si="3347">IF($I577="N/A",0,IF(Q588&gt;$I582,0,MIN($I581,$I577*$I579*(1+$I578)^P$63)))</f>
        <v>0</v>
      </c>
      <c r="R603" s="236">
        <f t="shared" ref="R603" si="3348">IF($I577="N/A",0,IF(R588&gt;$I582,0,MIN($I581,$I577*$I579*(1+$I578)^Q$63)))</f>
        <v>0</v>
      </c>
      <c r="S603" s="446">
        <f t="shared" ref="S603" si="3349">IF($I577="N/A",0,IF(S588&gt;$I582,0,MIN($I581,$I577*$I579*(1+$I578)^R$63)))</f>
        <v>0</v>
      </c>
      <c r="T603" s="438">
        <f t="shared" ref="T603" si="3350">IF($I577="N/A",0,IF(T588&gt;$I582,0,MIN($I581,$I577*$I579*(1+$I578)^S$63)))</f>
        <v>0</v>
      </c>
      <c r="U603" s="236">
        <f t="shared" ref="U603" si="3351">IF($I577="N/A",0,IF(U588&gt;$I582,0,MIN($I581,$I577*$I579*(1+$I578)^T$63)))</f>
        <v>0</v>
      </c>
      <c r="V603" s="236">
        <f t="shared" ref="V603" si="3352">IF($I577="N/A",0,IF(V588&gt;$I582,0,MIN($I581,$I577*$I579*(1+$I578)^U$63)))</f>
        <v>0</v>
      </c>
      <c r="W603" s="236">
        <f t="shared" ref="W603" si="3353">IF($I577="N/A",0,IF(W588&gt;$I582,0,MIN($I581,$I577*$I579*(1+$I578)^V$63)))</f>
        <v>0</v>
      </c>
      <c r="X603" s="236">
        <f t="shared" ref="X603" si="3354">IF($I577="N/A",0,IF(X588&gt;$I582,0,MIN($I581,$I577*$I579*(1+$I578)^W$63)))</f>
        <v>0</v>
      </c>
      <c r="Y603" s="236">
        <f t="shared" ref="Y603" si="3355">IF($I577="N/A",0,IF(Y588&gt;$I582,0,MIN($I581,$I577*$I579*(1+$I578)^X$63)))</f>
        <v>0</v>
      </c>
      <c r="Z603" s="236">
        <f t="shared" ref="Z603" si="3356">IF($I577="N/A",0,IF(Z588&gt;$I582,0,MIN($I581,$I577*$I579*(1+$I578)^Y$63)))</f>
        <v>0</v>
      </c>
      <c r="AA603" s="236">
        <f t="shared" ref="AA603" si="3357">IF($I577="N/A",0,IF(AA588&gt;$I582,0,MIN($I581,$I577*$I579*(1+$I578)^Z$63)))</f>
        <v>0</v>
      </c>
      <c r="AB603" s="236">
        <f t="shared" ref="AB603" si="3358">IF($I577="N/A",0,IF(AB588&gt;$I582,0,MIN($I581,$I577*$I579*(1+$I578)^AA$63)))</f>
        <v>0</v>
      </c>
      <c r="AC603" s="236">
        <f t="shared" ref="AC603" si="3359">IF($I577="N/A",0,IF(AC588&gt;$I582,0,MIN($I581,$I577*$I579*(1+$I578)^AB$63)))</f>
        <v>0</v>
      </c>
      <c r="AD603" s="236">
        <f t="shared" ref="AD603" si="3360">IF($I577="N/A",0,IF(AD588&gt;$I582,0,MIN($I581,$I577*$I579*(1+$I578)^AC$63)))</f>
        <v>0</v>
      </c>
      <c r="AE603" s="236">
        <f t="shared" ref="AE603" si="3361">IF($I577="N/A",0,IF(AE588&gt;$I582,0,MIN($I581,$I577*$I579*(1+$I578)^AD$63)))</f>
        <v>0</v>
      </c>
      <c r="AF603" s="236">
        <f t="shared" ref="AF603" si="3362">IF($I577="N/A",0,IF(AF588&gt;$I582,0,MIN($I581,$I577*$I579*(1+$I578)^AE$63)))</f>
        <v>0</v>
      </c>
      <c r="AG603" s="236">
        <f t="shared" ref="AG603" si="3363">IF($I577="N/A",0,IF(AG588&gt;$I582,0,MIN($I581,$I577*$I579*(1+$I578)^AF$63)))</f>
        <v>0</v>
      </c>
      <c r="AH603" s="236">
        <f t="shared" ref="AH603" si="3364">IF($I577="N/A",0,IF(AH588&gt;$I582,0,MIN($I581,$I577*$I579*(1+$I578)^AG$63)))</f>
        <v>0</v>
      </c>
    </row>
    <row r="604" spans="3:34" x14ac:dyDescent="0.2">
      <c r="C604" s="1450" t="s">
        <v>2274</v>
      </c>
      <c r="D604" s="1451"/>
      <c r="E604" s="422">
        <f>IF($I577="N/A",0,IF(E588&gt;$I582,0,MAX(0,MIN(E603,$I577*$I579,E590))))</f>
        <v>0</v>
      </c>
      <c r="F604" s="521">
        <f t="shared" ref="F604" si="3365">IF($I577="N/A",0,IF(F588&gt;$I582,0,IF($I580="Yes",MAX(0,MIN(F590*$I579,E606+F603,$I581)),MAX(0,MIN(F603,F590*$I579,$I581)))))</f>
        <v>0</v>
      </c>
      <c r="G604" s="521">
        <f t="shared" ref="G604" si="3366">IF($I577="N/A",0,IF(G588&gt;$I582,0,IF($I580="Yes",MAX(0,MIN(G590*$I579,F606+G603,$I581)),MAX(0,MIN(G603,G590*$I579,$I581)))))</f>
        <v>0</v>
      </c>
      <c r="H604" s="521">
        <f t="shared" ref="H604" si="3367">IF($I577="N/A",0,IF(H588&gt;$I582,0,IF($I580="Yes",MAX(0,MIN(H590*$I579,G606+H603,$I581)),MAX(0,MIN(H603,H590*$I579,$I581)))))</f>
        <v>0</v>
      </c>
      <c r="I604" s="521">
        <f t="shared" ref="I604" si="3368">IF($I577="N/A",0,IF(I588&gt;$I582,0,IF($I580="Yes",MAX(0,MIN(I590*$I579,H606+I603,$I581)),MAX(0,MIN(I603,I590*$I579,$I581)))))</f>
        <v>0</v>
      </c>
      <c r="J604" s="521">
        <f t="shared" ref="J604" si="3369">IF($I577="N/A",0,IF(J588&gt;$I582,0,IF($I580="Yes",MAX(0,MIN(J590*$I579,I606+J603,$I581)),MAX(0,MIN(J603,J590*$I579,$I581)))))</f>
        <v>0</v>
      </c>
      <c r="K604" s="521">
        <f t="shared" ref="K604" si="3370">IF($I577="N/A",0,IF(K588&gt;$I582,0,IF($I580="Yes",MAX(0,MIN(K590*$I579,J606+K603,$I581)),MAX(0,MIN(K603,K590*$I579,$I581)))))</f>
        <v>0</v>
      </c>
      <c r="L604" s="521">
        <f t="shared" ref="L604" si="3371">IF($I577="N/A",0,IF(L588&gt;$I582,0,IF($I580="Yes",MAX(0,MIN(L590*$I579,K606+L603,$I581)),MAX(0,MIN(L603,L590*$I579,$I581)))))</f>
        <v>0</v>
      </c>
      <c r="M604" s="521">
        <f t="shared" ref="M604" si="3372">IF($I577="N/A",0,IF(M588&gt;$I582,0,IF($I580="Yes",MAX(0,MIN(M590*$I579,L606+M603,$I581)),MAX(0,MIN(M603,M590*$I579,$I581)))))</f>
        <v>0</v>
      </c>
      <c r="N604" s="521">
        <f t="shared" ref="N604" si="3373">IF($I577="N/A",0,IF(N588&gt;$I582,0,IF($I580="Yes",MAX(0,MIN(N590*$I579,M606+N603,$I581)),MAX(0,MIN(N603,N590*$I579,$I581)))))</f>
        <v>0</v>
      </c>
      <c r="O604" s="521">
        <f t="shared" ref="O604" si="3374">IF($I577="N/A",0,IF(O588&gt;$I582,0,IF($I580="Yes",MAX(0,MIN(O590*$I579,N606+O603,$I581)),MAX(0,MIN(O603,O590*$I579,$I581)))))</f>
        <v>0</v>
      </c>
      <c r="P604" s="521">
        <f t="shared" ref="P604" si="3375">IF($I577="N/A",0,IF(P588&gt;$I582,0,IF($I580="Yes",MAX(0,MIN(P590*$I579,O606+P603,$I581)),MAX(0,MIN(P603,P590*$I579,$I581)))))</f>
        <v>0</v>
      </c>
      <c r="Q604" s="521">
        <f t="shared" ref="Q604" si="3376">IF($I577="N/A",0,IF(Q588&gt;$I582,0,IF($I580="Yes",MAX(0,MIN(Q590*$I579,P606+Q603,$I581)),MAX(0,MIN(Q603,Q590*$I579,$I581)))))</f>
        <v>0</v>
      </c>
      <c r="R604" s="521">
        <f t="shared" ref="R604" si="3377">IF($I577="N/A",0,IF(R588&gt;$I582,0,IF($I580="Yes",MAX(0,MIN(R590*$I579,Q606+R603,$I581)),MAX(0,MIN(R603,R590*$I579,$I581)))))</f>
        <v>0</v>
      </c>
      <c r="S604" s="523">
        <f t="shared" ref="S604" si="3378">IF($I577="N/A",0,IF(S588&gt;$I582,0,IF($I580="Yes",MAX(0,MIN(S590*$I579,R606+S603,$I581)),MAX(0,MIN(S603,S590*$I579,$I581)))))</f>
        <v>0</v>
      </c>
      <c r="T604" s="522">
        <f t="shared" ref="T604" si="3379">IF($I577="N/A",0,IF(T588&gt;$I582,0,IF($I580="Yes",MAX(0,MIN(T590*$I579,S606+T603,$I581)),MAX(0,MIN(T603,T590*$I579,$I581)))))</f>
        <v>0</v>
      </c>
      <c r="U604" s="521">
        <f t="shared" ref="U604" si="3380">IF($I577="N/A",0,IF(U588&gt;$I582,0,IF($I580="Yes",MAX(0,MIN(U590*$I579,T606+U603,$I581)),MAX(0,MIN(U603,U590*$I579,$I581)))))</f>
        <v>0</v>
      </c>
      <c r="V604" s="521">
        <f t="shared" ref="V604" si="3381">IF($I577="N/A",0,IF(V588&gt;$I582,0,IF($I580="Yes",MAX(0,MIN(V590*$I579,U606+V603,$I581)),MAX(0,MIN(V603,V590*$I579,$I581)))))</f>
        <v>0</v>
      </c>
      <c r="W604" s="521">
        <f t="shared" ref="W604" si="3382">IF($I577="N/A",0,IF(W588&gt;$I582,0,IF($I580="Yes",MAX(0,MIN(W590*$I579,V606+W603,$I581)),MAX(0,MIN(W603,W590*$I579,$I581)))))</f>
        <v>0</v>
      </c>
      <c r="X604" s="521">
        <f t="shared" ref="X604" si="3383">IF($I577="N/A",0,IF(X588&gt;$I582,0,IF($I580="Yes",MAX(0,MIN(X590*$I579,W606+X603,$I581)),MAX(0,MIN(X603,X590*$I579,$I581)))))</f>
        <v>0</v>
      </c>
      <c r="Y604" s="521">
        <f t="shared" ref="Y604" si="3384">IF($I577="N/A",0,IF(Y588&gt;$I582,0,IF($I580="Yes",MAX(0,MIN(Y590*$I579,X606+Y603,$I581)),MAX(0,MIN(Y603,Y590*$I579,$I581)))))</f>
        <v>0</v>
      </c>
      <c r="Z604" s="521">
        <f t="shared" ref="Z604" si="3385">IF($I577="N/A",0,IF(Z588&gt;$I582,0,IF($I580="Yes",MAX(0,MIN(Z590*$I579,Y606+Z603,$I581)),MAX(0,MIN(Z603,Z590*$I579,$I581)))))</f>
        <v>0</v>
      </c>
      <c r="AA604" s="521">
        <f t="shared" ref="AA604" si="3386">IF($I577="N/A",0,IF(AA588&gt;$I582,0,IF($I580="Yes",MAX(0,MIN(AA590*$I579,Z606+AA603,$I581)),MAX(0,MIN(AA603,AA590*$I579,$I581)))))</f>
        <v>0</v>
      </c>
      <c r="AB604" s="521">
        <f t="shared" ref="AB604" si="3387">IF($I577="N/A",0,IF(AB588&gt;$I582,0,IF($I580="Yes",MAX(0,MIN(AB590*$I579,AA606+AB603,$I581)),MAX(0,MIN(AB603,AB590*$I579,$I581)))))</f>
        <v>0</v>
      </c>
      <c r="AC604" s="521">
        <f t="shared" ref="AC604" si="3388">IF($I577="N/A",0,IF(AC588&gt;$I582,0,IF($I580="Yes",MAX(0,MIN(AC590*$I579,AB606+AC603,$I581)),MAX(0,MIN(AC603,AC590*$I579,$I581)))))</f>
        <v>0</v>
      </c>
      <c r="AD604" s="521">
        <f t="shared" ref="AD604" si="3389">IF($I577="N/A",0,IF(AD588&gt;$I582,0,IF($I580="Yes",MAX(0,MIN(AD590*$I579,AC606+AD603,$I581)),MAX(0,MIN(AD603,AD590*$I579,$I581)))))</f>
        <v>0</v>
      </c>
      <c r="AE604" s="521">
        <f t="shared" ref="AE604" si="3390">IF($I577="N/A",0,IF(AE588&gt;$I582,0,IF($I580="Yes",MAX(0,MIN(AE590*$I579,AD606+AE603,$I581)),MAX(0,MIN(AE603,AE590*$I579,$I581)))))</f>
        <v>0</v>
      </c>
      <c r="AF604" s="521">
        <f t="shared" ref="AF604" si="3391">IF($I577="N/A",0,IF(AF588&gt;$I582,0,IF($I580="Yes",MAX(0,MIN(AF590*$I579,AE606+AF603,$I581)),MAX(0,MIN(AF603,AF590*$I579,$I581)))))</f>
        <v>0</v>
      </c>
      <c r="AG604" s="521">
        <f t="shared" ref="AG604" si="3392">IF($I577="N/A",0,IF(AG588&gt;$I582,0,IF($I580="Yes",MAX(0,MIN(AG590*$I579,AF606+AG603,$I581)),MAX(0,MIN(AG603,AG590*$I579,$I581)))))</f>
        <v>0</v>
      </c>
      <c r="AH604" s="521">
        <f t="shared" ref="AH604" si="3393">IF($I577="N/A",0,IF(AH588&gt;$I582,0,IF($I580="Yes",MAX(0,MIN(AH590*$I579,AG606+AH603,$I581)),MAX(0,MIN(AH603,AH590*$I579,$I581)))))</f>
        <v>0</v>
      </c>
    </row>
    <row r="605" spans="3:34" x14ac:dyDescent="0.2">
      <c r="C605" s="1168" t="s">
        <v>2275</v>
      </c>
      <c r="D605" s="1170"/>
      <c r="E605" s="421">
        <f>IF($I580="Yes",IF(E588&gt;$I582,0,E603-E604),0)</f>
        <v>0</v>
      </c>
      <c r="F605" s="421">
        <f t="shared" ref="F605:AH605" si="3394">IF($I577="N/A",0,IF(F589&gt;$I582,0,IF($I580="Yes",F603-F604,0)))</f>
        <v>0</v>
      </c>
      <c r="G605" s="421">
        <f t="shared" si="3394"/>
        <v>0</v>
      </c>
      <c r="H605" s="421">
        <f t="shared" si="3394"/>
        <v>0</v>
      </c>
      <c r="I605" s="421">
        <f t="shared" si="3394"/>
        <v>0</v>
      </c>
      <c r="J605" s="421">
        <f t="shared" si="3394"/>
        <v>0</v>
      </c>
      <c r="K605" s="421">
        <f t="shared" si="3394"/>
        <v>0</v>
      </c>
      <c r="L605" s="421">
        <f t="shared" si="3394"/>
        <v>0</v>
      </c>
      <c r="M605" s="421">
        <f t="shared" si="3394"/>
        <v>0</v>
      </c>
      <c r="N605" s="421">
        <f t="shared" si="3394"/>
        <v>0</v>
      </c>
      <c r="O605" s="421">
        <f t="shared" si="3394"/>
        <v>0</v>
      </c>
      <c r="P605" s="421">
        <f t="shared" si="3394"/>
        <v>0</v>
      </c>
      <c r="Q605" s="421">
        <f t="shared" si="3394"/>
        <v>0</v>
      </c>
      <c r="R605" s="421">
        <f t="shared" si="3394"/>
        <v>0</v>
      </c>
      <c r="S605" s="447">
        <f t="shared" si="3394"/>
        <v>0</v>
      </c>
      <c r="T605" s="439">
        <f t="shared" si="3394"/>
        <v>0</v>
      </c>
      <c r="U605" s="421">
        <f t="shared" si="3394"/>
        <v>0</v>
      </c>
      <c r="V605" s="421">
        <f t="shared" si="3394"/>
        <v>0</v>
      </c>
      <c r="W605" s="421">
        <f t="shared" si="3394"/>
        <v>0</v>
      </c>
      <c r="X605" s="421">
        <f t="shared" si="3394"/>
        <v>0</v>
      </c>
      <c r="Y605" s="421">
        <f t="shared" si="3394"/>
        <v>0</v>
      </c>
      <c r="Z605" s="421">
        <f t="shared" si="3394"/>
        <v>0</v>
      </c>
      <c r="AA605" s="421">
        <f t="shared" si="3394"/>
        <v>0</v>
      </c>
      <c r="AB605" s="421">
        <f t="shared" si="3394"/>
        <v>0</v>
      </c>
      <c r="AC605" s="421">
        <f t="shared" si="3394"/>
        <v>0</v>
      </c>
      <c r="AD605" s="421">
        <f t="shared" si="3394"/>
        <v>0</v>
      </c>
      <c r="AE605" s="421">
        <f t="shared" si="3394"/>
        <v>0</v>
      </c>
      <c r="AF605" s="421">
        <f t="shared" si="3394"/>
        <v>0</v>
      </c>
      <c r="AG605" s="421">
        <f t="shared" si="3394"/>
        <v>0</v>
      </c>
      <c r="AH605" s="421">
        <f t="shared" si="3394"/>
        <v>0</v>
      </c>
    </row>
    <row r="606" spans="3:34" x14ac:dyDescent="0.2">
      <c r="C606" s="1168" t="s">
        <v>2276</v>
      </c>
      <c r="D606" s="1170"/>
      <c r="E606" s="421">
        <f>E605</f>
        <v>0</v>
      </c>
      <c r="F606" s="236">
        <f t="shared" ref="F606" si="3395">IF($I577="N/A",0,IF(F588&gt;$I582,0,E606+F605))</f>
        <v>0</v>
      </c>
      <c r="G606" s="236">
        <f t="shared" ref="G606" si="3396">IF($I577="N/A",0,IF(G588&gt;$I582,0,F606+G605))</f>
        <v>0</v>
      </c>
      <c r="H606" s="236">
        <f t="shared" ref="H606" si="3397">IF($I577="N/A",0,IF(H588&gt;$I582,0,G606+H605))</f>
        <v>0</v>
      </c>
      <c r="I606" s="236">
        <f t="shared" ref="I606" si="3398">IF($I577="N/A",0,IF(I588&gt;$I582,0,H606+I605))</f>
        <v>0</v>
      </c>
      <c r="J606" s="236">
        <f t="shared" ref="J606" si="3399">IF($I577="N/A",0,IF(J588&gt;$I582,0,I606+J605))</f>
        <v>0</v>
      </c>
      <c r="K606" s="236">
        <f t="shared" ref="K606" si="3400">IF($I577="N/A",0,IF(K588&gt;$I582,0,J606+K605))</f>
        <v>0</v>
      </c>
      <c r="L606" s="236">
        <f t="shared" ref="L606" si="3401">IF($I577="N/A",0,IF(L588&gt;$I582,0,K606+L605))</f>
        <v>0</v>
      </c>
      <c r="M606" s="236">
        <f t="shared" ref="M606" si="3402">IF($I577="N/A",0,IF(M588&gt;$I582,0,L606+M605))</f>
        <v>0</v>
      </c>
      <c r="N606" s="236">
        <f t="shared" ref="N606" si="3403">IF($I577="N/A",0,IF(N588&gt;$I582,0,M606+N605))</f>
        <v>0</v>
      </c>
      <c r="O606" s="236">
        <f t="shared" ref="O606" si="3404">IF($I577="N/A",0,IF(O588&gt;$I582,0,N606+O605))</f>
        <v>0</v>
      </c>
      <c r="P606" s="236">
        <f t="shared" ref="P606" si="3405">IF($I577="N/A",0,IF(P588&gt;$I582,0,O606+P605))</f>
        <v>0</v>
      </c>
      <c r="Q606" s="236">
        <f t="shared" ref="Q606" si="3406">IF($I577="N/A",0,IF(Q588&gt;$I582,0,P606+Q605))</f>
        <v>0</v>
      </c>
      <c r="R606" s="236">
        <f t="shared" ref="R606" si="3407">IF($I577="N/A",0,IF(R588&gt;$I582,0,Q606+R605))</f>
        <v>0</v>
      </c>
      <c r="S606" s="446">
        <f t="shared" ref="S606" si="3408">IF($I577="N/A",0,IF(S588&gt;$I582,0,R606+S605))</f>
        <v>0</v>
      </c>
      <c r="T606" s="438">
        <f t="shared" ref="T606" si="3409">IF($I577="N/A",0,IF(T588&gt;$I582,0,S606+T605))</f>
        <v>0</v>
      </c>
      <c r="U606" s="236">
        <f t="shared" ref="U606" si="3410">IF($I577="N/A",0,IF(U588&gt;$I582,0,T606+U605))</f>
        <v>0</v>
      </c>
      <c r="V606" s="236">
        <f t="shared" ref="V606" si="3411">IF($I577="N/A",0,IF(V588&gt;$I582,0,U606+V605))</f>
        <v>0</v>
      </c>
      <c r="W606" s="236">
        <f t="shared" ref="W606" si="3412">IF($I577="N/A",0,IF(W588&gt;$I582,0,V606+W605))</f>
        <v>0</v>
      </c>
      <c r="X606" s="236">
        <f t="shared" ref="X606" si="3413">IF($I577="N/A",0,IF(X588&gt;$I582,0,W606+X605))</f>
        <v>0</v>
      </c>
      <c r="Y606" s="236">
        <f t="shared" ref="Y606" si="3414">IF($I577="N/A",0,IF(Y588&gt;$I582,0,X606+Y605))</f>
        <v>0</v>
      </c>
      <c r="Z606" s="236">
        <f t="shared" ref="Z606" si="3415">IF($I577="N/A",0,IF(Z588&gt;$I582,0,Y606+Z605))</f>
        <v>0</v>
      </c>
      <c r="AA606" s="236">
        <f t="shared" ref="AA606" si="3416">IF($I577="N/A",0,IF(AA588&gt;$I582,0,Z606+AA605))</f>
        <v>0</v>
      </c>
      <c r="AB606" s="236">
        <f t="shared" ref="AB606" si="3417">IF($I577="N/A",0,IF(AB588&gt;$I582,0,AA606+AB605))</f>
        <v>0</v>
      </c>
      <c r="AC606" s="236">
        <f t="shared" ref="AC606" si="3418">IF($I577="N/A",0,IF(AC588&gt;$I582,0,AB606+AC605))</f>
        <v>0</v>
      </c>
      <c r="AD606" s="236">
        <f t="shared" ref="AD606" si="3419">IF($I577="N/A",0,IF(AD588&gt;$I582,0,AC606+AD605))</f>
        <v>0</v>
      </c>
      <c r="AE606" s="236">
        <f t="shared" ref="AE606" si="3420">IF($I577="N/A",0,IF(AE588&gt;$I582,0,AD606+AE605))</f>
        <v>0</v>
      </c>
      <c r="AF606" s="236">
        <f t="shared" ref="AF606" si="3421">IF($I577="N/A",0,IF(AF588&gt;$I582,0,AE606+AF605))</f>
        <v>0</v>
      </c>
      <c r="AG606" s="236">
        <f t="shared" ref="AG606" si="3422">IF($I577="N/A",0,IF(AG588&gt;$I582,0,AF606+AG605))</f>
        <v>0</v>
      </c>
      <c r="AH606" s="236">
        <f t="shared" ref="AH606" si="3423">IF($I577="N/A",0,IF(AH588&gt;$I582,0,AG606+AH605))</f>
        <v>0</v>
      </c>
    </row>
    <row r="609" spans="3:34" ht="15" x14ac:dyDescent="0.2">
      <c r="C609" s="1456" t="str">
        <f>IF(Sources!$D$84="","N/A",Sources!$D$84)</f>
        <v>N/A</v>
      </c>
      <c r="D609" s="1456"/>
      <c r="E609" s="1456"/>
      <c r="F609" s="412" t="s">
        <v>2266</v>
      </c>
      <c r="G609" s="92" t="str">
        <f>IF(AND(ISERROR(VLOOKUP($C609,OpBudget!$C$159:$C$165,1,FALSE)),ISERROR(VLOOKUP($C609,Sources!$C$36:$C$55,1,FALSE))),"N/A",IF(ISERROR(VLOOKUP($C609,Sources!$C$36:$C$55,1,FALSE)),"Fee","Loan"))</f>
        <v>N/A</v>
      </c>
      <c r="H609" s="412"/>
      <c r="I609" s="412"/>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row>
    <row r="610" spans="3:34" ht="15" x14ac:dyDescent="0.2">
      <c r="C610" s="345"/>
      <c r="D610" s="345"/>
      <c r="E610" s="345"/>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row>
    <row r="611" spans="3:34" ht="15" x14ac:dyDescent="0.2">
      <c r="C611" s="417" t="s">
        <v>2260</v>
      </c>
      <c r="D611" s="345"/>
      <c r="E611" s="345"/>
      <c r="F611" s="74"/>
      <c r="G611" s="74" t="s">
        <v>2261</v>
      </c>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row>
    <row r="612" spans="3:34" x14ac:dyDescent="0.2">
      <c r="C612" s="1452" t="s">
        <v>2255</v>
      </c>
      <c r="D612" s="1452"/>
      <c r="E612" s="413" t="str">
        <f>IF(OR($G609="Fee",$G609="N/A"),"N/A",INDEX(Sources!$C$35:$K$55,MATCH(Loans!$C609,Sources!$C$35:$C$55,0),MATCH("Amount",Sources!$C$35:$N$35,0)))</f>
        <v>N/A</v>
      </c>
      <c r="F612" s="74"/>
      <c r="G612" s="1454" t="s">
        <v>2262</v>
      </c>
      <c r="H612" s="1454"/>
      <c r="I612" s="705" t="str">
        <f>IF(OR($G609="Loan",$G609="N/A"),"N/A",INDEX(OpBudget!$C$159:$K$165,MATCH(Loans!$C609,OpBudget!$C$159:$C$165,0),MATCH("Total Amount",OpBudget!$C$159:$K$159,0)))</f>
        <v>N/A</v>
      </c>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row>
    <row r="613" spans="3:34" x14ac:dyDescent="0.2">
      <c r="C613" s="1452" t="s">
        <v>2256</v>
      </c>
      <c r="D613" s="1452"/>
      <c r="E613" s="702" t="str">
        <f>IF(OR($G609="Fee",$G609="N/A"),"N/A",INDEX(Sources!$C$35:$K$55,MATCH(Loans!$C609,Sources!$C$35:$C$55,0),MATCH("Interest Rate",Sources!$C$35:$N$35,0)))</f>
        <v>N/A</v>
      </c>
      <c r="F613" s="74"/>
      <c r="G613" s="1454" t="s">
        <v>2268</v>
      </c>
      <c r="H613" s="1454"/>
      <c r="I613" s="703" t="str">
        <f>IF(OR($G609="Loan",$G609="N/A"),"N/A",INDEX(OpBudget!$C$159:$K$165,MATCH(Loans!$C609,OpBudget!$C$159:$C$165,0),MATCH("Annual Percent Inflator",OpBudget!$C$159:$K$159,0)))</f>
        <v>N/A</v>
      </c>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row>
    <row r="614" spans="3:34" x14ac:dyDescent="0.2">
      <c r="C614" s="1452" t="s">
        <v>2279</v>
      </c>
      <c r="D614" s="1452"/>
      <c r="E614" s="702" t="str">
        <f>IF(OR($G609="Fee",$G609="N/A"),"N/A",INDEX(Sources!$C$35:$N$55,MATCH(Loans!$C609,Sources!$C$35:$C$55,0),MATCH("Simple or Compound Interest?",Sources!$C$35:$N$35,0)))</f>
        <v>N/A</v>
      </c>
      <c r="F614" s="74"/>
      <c r="G614" s="424" t="s">
        <v>2263</v>
      </c>
      <c r="H614" s="424"/>
      <c r="I614" s="703" t="str">
        <f>IF(OR($G609="Loan",$G609="N/A"),"N/A",INDEX(Sources!$D$67:$H$82,MATCH(Loans!$C609,Sources!$D$67:$D$82,0),MATCH("Split of Cash Flow",Sources!$D$67:$H$67,0)))</f>
        <v>N/A</v>
      </c>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row>
    <row r="615" spans="3:34" x14ac:dyDescent="0.2">
      <c r="C615" s="1452" t="s">
        <v>2257</v>
      </c>
      <c r="D615" s="1452"/>
      <c r="E615" s="420" t="str">
        <f>IF(OR($G609="Fee",$G609="N/A"),"N/A",INDEX(Sources!$C$35:$K$55,MATCH(Loans!$C609,Sources!$C$35:$C$55,0),MATCH("Term (Years)",Sources!$C$35:$N$35,0)))</f>
        <v>N/A</v>
      </c>
      <c r="F615" s="74"/>
      <c r="G615" s="1454" t="s">
        <v>2281</v>
      </c>
      <c r="H615" s="1454"/>
      <c r="I615" s="703" t="str">
        <f>IF(OR($G609="Loan",$G609="N/A"),"N/A",INDEX(OpBudget!$C$159:$K$165,MATCH(Loans!$C609,OpBudget!$C$159:$C$165,0),MATCH("Accrue Unpaid Fee?",OpBudget!$C$159:$K$159,0)))</f>
        <v>N/A</v>
      </c>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row>
    <row r="616" spans="3:34" x14ac:dyDescent="0.2">
      <c r="C616" s="1452" t="s">
        <v>2284</v>
      </c>
      <c r="D616" s="1452"/>
      <c r="E616" s="420" t="str">
        <f>IF(OR($G609="Fee",$G609="N/A"),"N/A",INDEX(Sources!$D$67:$O$82,MATCH(Loans!$C609,Sources!$D$67:$D$82,0),MATCH("Beginning Payment Year",Sources!$D$67:$O$67,0)))</f>
        <v>N/A</v>
      </c>
      <c r="F616" s="74"/>
      <c r="G616" s="1454" t="s">
        <v>2293</v>
      </c>
      <c r="H616" s="1454"/>
      <c r="I616" s="705" t="str">
        <f>IF(OR($G609="Loan",$G609="N/A"),"N/A",IF(INDEX(OpBudget!$C$159:$K$165,MATCH(Loans!$C609,OpBudget!$C$159:$C$165,0),MATCH("Fee Cap (if applicable)",OpBudget!$C$159:$K$159,0))=0,"N/A",INDEX(OpBudget!$C$159:$K$165,MATCH(Loans!$C609,OpBudget!$C$159:$C$165,0),MATCH("Fee Cap (if applicable)",OpBudget!$C$159:$K$159,0))))</f>
        <v>N/A</v>
      </c>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row>
    <row r="617" spans="3:34" x14ac:dyDescent="0.2">
      <c r="C617" s="1452" t="s">
        <v>2267</v>
      </c>
      <c r="D617" s="1452"/>
      <c r="E617" s="703" t="str">
        <f>IF(OR($G609="Fee",$G609="N/A"),"N/A",INDEX(Sources!$D$67:$O$82,MATCH(Loans!$C609,Sources!$D$67:$D$82,0),MATCH("Split of Cash Flow",Sources!$D$67:$O$67,0)))</f>
        <v>N/A</v>
      </c>
      <c r="F617" s="1455"/>
      <c r="G617" s="1454" t="s">
        <v>2292</v>
      </c>
      <c r="H617" s="1454"/>
      <c r="I617" s="420" t="str">
        <f>IF(OR($G609="Loan",$G609="N/A"),"N/A",INDEX(OpBudget!$C$159:$K$165,MATCH(Loans!$C609,OpBudget!$C$159:$C$165,0),MATCH("Number of Years Fee Exists",OpBudget!$C$159:$K$159,0)))</f>
        <v>N/A</v>
      </c>
      <c r="J617" s="74"/>
      <c r="K617" s="74"/>
      <c r="L617" s="74" t="s">
        <v>2278</v>
      </c>
      <c r="M617" s="74"/>
      <c r="N617" s="74"/>
      <c r="O617" s="74"/>
      <c r="P617" s="74"/>
      <c r="Q617" s="74"/>
      <c r="R617" s="74"/>
      <c r="S617" s="74"/>
      <c r="T617" s="74"/>
      <c r="U617" s="74"/>
      <c r="V617" s="74"/>
      <c r="W617" s="74"/>
      <c r="X617" s="74"/>
      <c r="Y617" s="74"/>
      <c r="Z617" s="74"/>
      <c r="AA617" s="74"/>
      <c r="AB617" s="74"/>
      <c r="AC617" s="74"/>
      <c r="AD617" s="74"/>
      <c r="AE617" s="74"/>
      <c r="AF617" s="74"/>
      <c r="AG617" s="74"/>
      <c r="AH617" s="74"/>
    </row>
    <row r="618" spans="3:34" x14ac:dyDescent="0.2">
      <c r="C618" s="1452" t="s">
        <v>2289</v>
      </c>
      <c r="D618" s="1452"/>
      <c r="E618" s="704" t="str">
        <f>IF(OR($G609="Fee",$G609="N/A"),"N/A",INDEX(Sources!$D$67:$O$82,MATCH(Loans!$C609,Sources!$D$67:$D$82,0),MATCH("Pari Passu?",Sources!$D$67:$O$67,0)))</f>
        <v>N/A</v>
      </c>
      <c r="F618" s="1455"/>
      <c r="G618" s="424"/>
      <c r="H618" s="424"/>
      <c r="I618" s="526"/>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row>
    <row r="619" spans="3:34" x14ac:dyDescent="0.2">
      <c r="C619" s="1452" t="s">
        <v>2295</v>
      </c>
      <c r="D619" s="1452"/>
      <c r="E619" s="703" t="str">
        <f>IF(OR($G609="Fee",$G609="N/A"),"N/A",INDEX(Sources!$D$67:$O$82,MATCH(Loans!$C609,Sources!$D$67:$D$82,0),MATCH("Shared Position Split of Cash Flow",Sources!$D$67:$O$67,0)))</f>
        <v>N/A</v>
      </c>
      <c r="F619" s="532"/>
      <c r="G619" s="424"/>
      <c r="H619" s="424"/>
      <c r="I619" s="526"/>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row>
    <row r="620" spans="3:34" x14ac:dyDescent="0.2">
      <c r="C620" s="1452" t="s">
        <v>2291</v>
      </c>
      <c r="D620" s="1452"/>
      <c r="E620" s="704" t="str">
        <f>IF(OR($G609="Fee",$G609="N/A"),"N/A",INDEX(Sources!$D$67:$O$82,MATCH(Loans!$C609,Sources!$D$67:$D$82,0),MATCH("Deferred Loan?",Sources!$D$67:$O$67,0)))</f>
        <v>N/A</v>
      </c>
      <c r="F620" s="74"/>
      <c r="G620" s="424"/>
      <c r="H620" s="424"/>
      <c r="I620" s="526"/>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row>
    <row r="621" spans="3:34" x14ac:dyDescent="0.2">
      <c r="C621" s="1452" t="s">
        <v>2277</v>
      </c>
      <c r="D621" s="1452"/>
      <c r="E621" s="705" t="str">
        <f>IF(OR(E612=0,E612="N/A"),"N/A",INDEX($C623:$AH635,MATCH("Ending Principal Balance",$C623:$C635,0),MATCH($E615,$C623:$AH623,0)))</f>
        <v>N/A</v>
      </c>
      <c r="F621" s="74"/>
      <c r="G621" s="74"/>
      <c r="H621" s="74" t="s">
        <v>2278</v>
      </c>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row>
    <row r="622" spans="3:34" ht="15" x14ac:dyDescent="0.2">
      <c r="C622" s="345"/>
      <c r="D622" s="345"/>
      <c r="E622" s="345"/>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row>
    <row r="623" spans="3:34" ht="15" x14ac:dyDescent="0.2">
      <c r="C623" s="309"/>
      <c r="D623" s="309"/>
      <c r="E623" s="310">
        <v>1</v>
      </c>
      <c r="F623" s="310">
        <f>E623+1</f>
        <v>2</v>
      </c>
      <c r="G623" s="310">
        <f t="shared" ref="G623" si="3424">F623+1</f>
        <v>3</v>
      </c>
      <c r="H623" s="310">
        <f t="shared" ref="H623" si="3425">G623+1</f>
        <v>4</v>
      </c>
      <c r="I623" s="310">
        <f t="shared" ref="I623" si="3426">H623+1</f>
        <v>5</v>
      </c>
      <c r="J623" s="310">
        <f t="shared" ref="J623" si="3427">I623+1</f>
        <v>6</v>
      </c>
      <c r="K623" s="310">
        <f t="shared" ref="K623" si="3428">J623+1</f>
        <v>7</v>
      </c>
      <c r="L623" s="310">
        <f t="shared" ref="L623" si="3429">K623+1</f>
        <v>8</v>
      </c>
      <c r="M623" s="310">
        <f t="shared" ref="M623" si="3430">L623+1</f>
        <v>9</v>
      </c>
      <c r="N623" s="310">
        <f t="shared" ref="N623" si="3431">M623+1</f>
        <v>10</v>
      </c>
      <c r="O623" s="310">
        <f t="shared" ref="O623" si="3432">N623+1</f>
        <v>11</v>
      </c>
      <c r="P623" s="310">
        <f t="shared" ref="P623" si="3433">O623+1</f>
        <v>12</v>
      </c>
      <c r="Q623" s="310">
        <f t="shared" ref="Q623" si="3434">P623+1</f>
        <v>13</v>
      </c>
      <c r="R623" s="310">
        <f t="shared" ref="R623" si="3435">Q623+1</f>
        <v>14</v>
      </c>
      <c r="S623" s="448">
        <f t="shared" ref="S623" si="3436">R623+1</f>
        <v>15</v>
      </c>
      <c r="T623" s="428">
        <f t="shared" ref="T623" si="3437">S623+1</f>
        <v>16</v>
      </c>
      <c r="U623" s="310">
        <f t="shared" ref="U623" si="3438">T623+1</f>
        <v>17</v>
      </c>
      <c r="V623" s="310">
        <f t="shared" ref="V623" si="3439">U623+1</f>
        <v>18</v>
      </c>
      <c r="W623" s="310">
        <f t="shared" ref="W623" si="3440">V623+1</f>
        <v>19</v>
      </c>
      <c r="X623" s="310">
        <f t="shared" ref="X623" si="3441">W623+1</f>
        <v>20</v>
      </c>
      <c r="Y623" s="310">
        <f t="shared" ref="Y623" si="3442">X623+1</f>
        <v>21</v>
      </c>
      <c r="Z623" s="310">
        <f t="shared" ref="Z623" si="3443">Y623+1</f>
        <v>22</v>
      </c>
      <c r="AA623" s="310">
        <f t="shared" ref="AA623" si="3444">Z623+1</f>
        <v>23</v>
      </c>
      <c r="AB623" s="310">
        <f t="shared" ref="AB623" si="3445">AA623+1</f>
        <v>24</v>
      </c>
      <c r="AC623" s="310">
        <f t="shared" ref="AC623" si="3446">AB623+1</f>
        <v>25</v>
      </c>
      <c r="AD623" s="310">
        <f t="shared" ref="AD623" si="3447">AC623+1</f>
        <v>26</v>
      </c>
      <c r="AE623" s="310">
        <f t="shared" ref="AE623" si="3448">AD623+1</f>
        <v>27</v>
      </c>
      <c r="AF623" s="310">
        <f t="shared" ref="AF623" si="3449">AE623+1</f>
        <v>28</v>
      </c>
      <c r="AG623" s="310">
        <f t="shared" ref="AG623" si="3450">AF623+1</f>
        <v>29</v>
      </c>
      <c r="AH623" s="310">
        <f t="shared" ref="AH623" si="3451">AG623+1</f>
        <v>30</v>
      </c>
    </row>
    <row r="624" spans="3:34" ht="15" x14ac:dyDescent="0.2">
      <c r="C624" s="309"/>
      <c r="D624" s="309"/>
      <c r="E624" s="314" t="str">
        <f>IF(Details!$E$171="","",Details!$E$171)</f>
        <v/>
      </c>
      <c r="F624" s="314" t="str">
        <f>IF($E$7="","",E$7+1)</f>
        <v/>
      </c>
      <c r="G624" s="314" t="str">
        <f t="shared" ref="G624" si="3452">IF($E$7="","",F$7+1)</f>
        <v/>
      </c>
      <c r="H624" s="314" t="str">
        <f t="shared" ref="H624" si="3453">IF($E$7="","",G$7+1)</f>
        <v/>
      </c>
      <c r="I624" s="314" t="str">
        <f t="shared" ref="I624" si="3454">IF($E$7="","",H$7+1)</f>
        <v/>
      </c>
      <c r="J624" s="314" t="str">
        <f t="shared" ref="J624" si="3455">IF($E$7="","",I$7+1)</f>
        <v/>
      </c>
      <c r="K624" s="314" t="str">
        <f t="shared" ref="K624" si="3456">IF($E$7="","",J$7+1)</f>
        <v/>
      </c>
      <c r="L624" s="314" t="str">
        <f t="shared" ref="L624" si="3457">IF($E$7="","",K$7+1)</f>
        <v/>
      </c>
      <c r="M624" s="314" t="str">
        <f t="shared" ref="M624" si="3458">IF($E$7="","",L$7+1)</f>
        <v/>
      </c>
      <c r="N624" s="314" t="str">
        <f t="shared" ref="N624" si="3459">IF($E$7="","",M$7+1)</f>
        <v/>
      </c>
      <c r="O624" s="314" t="str">
        <f t="shared" ref="O624" si="3460">IF($E$7="","",N$7+1)</f>
        <v/>
      </c>
      <c r="P624" s="314" t="str">
        <f t="shared" ref="P624" si="3461">IF($E$7="","",O$7+1)</f>
        <v/>
      </c>
      <c r="Q624" s="314" t="str">
        <f t="shared" ref="Q624" si="3462">IF($E$7="","",P$7+1)</f>
        <v/>
      </c>
      <c r="R624" s="314" t="str">
        <f t="shared" ref="R624" si="3463">IF($E$7="","",Q$7+1)</f>
        <v/>
      </c>
      <c r="S624" s="440" t="str">
        <f t="shared" ref="S624" si="3464">IF($E$7="","",R$7+1)</f>
        <v/>
      </c>
      <c r="T624" s="433" t="str">
        <f t="shared" ref="T624" si="3465">IF($E$7="","",S$7+1)</f>
        <v/>
      </c>
      <c r="U624" s="314" t="str">
        <f t="shared" ref="U624" si="3466">IF($E$7="","",T$7+1)</f>
        <v/>
      </c>
      <c r="V624" s="314" t="str">
        <f t="shared" ref="V624" si="3467">IF($E$7="","",U$7+1)</f>
        <v/>
      </c>
      <c r="W624" s="314" t="str">
        <f t="shared" ref="W624" si="3468">IF($E$7="","",V$7+1)</f>
        <v/>
      </c>
      <c r="X624" s="314" t="str">
        <f t="shared" ref="X624" si="3469">IF($E$7="","",W$7+1)</f>
        <v/>
      </c>
      <c r="Y624" s="314" t="str">
        <f t="shared" ref="Y624" si="3470">IF($E$7="","",X$7+1)</f>
        <v/>
      </c>
      <c r="Z624" s="314" t="str">
        <f t="shared" ref="Z624" si="3471">IF($E$7="","",Y$7+1)</f>
        <v/>
      </c>
      <c r="AA624" s="314" t="str">
        <f t="shared" ref="AA624" si="3472">IF($E$7="","",Z$7+1)</f>
        <v/>
      </c>
      <c r="AB624" s="314" t="str">
        <f t="shared" ref="AB624" si="3473">IF($E$7="","",AA$7+1)</f>
        <v/>
      </c>
      <c r="AC624" s="314" t="str">
        <f t="shared" ref="AC624" si="3474">IF($E$7="","",AB$7+1)</f>
        <v/>
      </c>
      <c r="AD624" s="314" t="str">
        <f t="shared" ref="AD624" si="3475">IF($E$7="","",AC$7+1)</f>
        <v/>
      </c>
      <c r="AE624" s="314" t="str">
        <f t="shared" ref="AE624" si="3476">IF($E$7="","",AD$7+1)</f>
        <v/>
      </c>
      <c r="AF624" s="314" t="str">
        <f t="shared" ref="AF624" si="3477">IF($E$7="","",AE$7+1)</f>
        <v/>
      </c>
      <c r="AG624" s="314" t="str">
        <f t="shared" ref="AG624" si="3478">IF($E$7="","",AF$7+1)</f>
        <v/>
      </c>
      <c r="AH624" s="314" t="str">
        <f t="shared" ref="AH624" si="3479">IF($E$7="","",AG$7+1)</f>
        <v/>
      </c>
    </row>
    <row r="625" spans="3:34" x14ac:dyDescent="0.2">
      <c r="C625" s="1168" t="s">
        <v>2254</v>
      </c>
      <c r="D625" s="1169"/>
      <c r="E625" s="109">
        <f>E590-E599-E603</f>
        <v>0</v>
      </c>
      <c r="F625" s="109">
        <f t="shared" ref="F625:AH625" si="3480">F590-F599-F603</f>
        <v>0</v>
      </c>
      <c r="G625" s="109">
        <f t="shared" si="3480"/>
        <v>0</v>
      </c>
      <c r="H625" s="109">
        <f t="shared" si="3480"/>
        <v>0</v>
      </c>
      <c r="I625" s="109">
        <f t="shared" si="3480"/>
        <v>0</v>
      </c>
      <c r="J625" s="109">
        <f t="shared" si="3480"/>
        <v>0</v>
      </c>
      <c r="K625" s="109">
        <f t="shared" si="3480"/>
        <v>0</v>
      </c>
      <c r="L625" s="109">
        <f t="shared" si="3480"/>
        <v>0</v>
      </c>
      <c r="M625" s="109">
        <f t="shared" si="3480"/>
        <v>0</v>
      </c>
      <c r="N625" s="109">
        <f t="shared" si="3480"/>
        <v>0</v>
      </c>
      <c r="O625" s="109">
        <f t="shared" si="3480"/>
        <v>0</v>
      </c>
      <c r="P625" s="109">
        <f t="shared" si="3480"/>
        <v>0</v>
      </c>
      <c r="Q625" s="109">
        <f t="shared" si="3480"/>
        <v>0</v>
      </c>
      <c r="R625" s="109">
        <f t="shared" si="3480"/>
        <v>0</v>
      </c>
      <c r="S625" s="331">
        <f t="shared" si="3480"/>
        <v>0</v>
      </c>
      <c r="T625" s="228">
        <f t="shared" si="3480"/>
        <v>0</v>
      </c>
      <c r="U625" s="109">
        <f t="shared" si="3480"/>
        <v>0</v>
      </c>
      <c r="V625" s="109">
        <f t="shared" si="3480"/>
        <v>0</v>
      </c>
      <c r="W625" s="109">
        <f t="shared" si="3480"/>
        <v>0</v>
      </c>
      <c r="X625" s="109">
        <f t="shared" si="3480"/>
        <v>0</v>
      </c>
      <c r="Y625" s="109">
        <f t="shared" si="3480"/>
        <v>0</v>
      </c>
      <c r="Z625" s="109">
        <f t="shared" si="3480"/>
        <v>0</v>
      </c>
      <c r="AA625" s="109">
        <f t="shared" si="3480"/>
        <v>0</v>
      </c>
      <c r="AB625" s="109">
        <f t="shared" si="3480"/>
        <v>0</v>
      </c>
      <c r="AC625" s="109">
        <f t="shared" si="3480"/>
        <v>0</v>
      </c>
      <c r="AD625" s="109">
        <f t="shared" si="3480"/>
        <v>0</v>
      </c>
      <c r="AE625" s="109">
        <f t="shared" si="3480"/>
        <v>0</v>
      </c>
      <c r="AF625" s="109">
        <f t="shared" si="3480"/>
        <v>0</v>
      </c>
      <c r="AG625" s="109">
        <f t="shared" si="3480"/>
        <v>0</v>
      </c>
      <c r="AH625" s="109">
        <f t="shared" si="3480"/>
        <v>0</v>
      </c>
    </row>
    <row r="626" spans="3:34" ht="15" x14ac:dyDescent="0.2">
      <c r="C626" s="345"/>
      <c r="D626" s="345"/>
      <c r="E626" s="345"/>
      <c r="F626" s="74"/>
      <c r="G626" s="74"/>
      <c r="H626" s="74"/>
      <c r="I626" s="74"/>
      <c r="J626" s="74"/>
      <c r="K626" s="74"/>
      <c r="L626" s="74"/>
      <c r="M626" s="74"/>
      <c r="N626" s="74"/>
      <c r="O626" s="74"/>
      <c r="P626" s="74"/>
      <c r="Q626" s="74"/>
      <c r="R626" s="74"/>
      <c r="S626" s="333"/>
      <c r="T626" s="74"/>
      <c r="U626" s="74"/>
      <c r="V626" s="74"/>
      <c r="W626" s="74"/>
      <c r="X626" s="74"/>
      <c r="Y626" s="74"/>
      <c r="Z626" s="74"/>
      <c r="AA626" s="74"/>
      <c r="AB626" s="74"/>
      <c r="AC626" s="74"/>
      <c r="AD626" s="74"/>
      <c r="AE626" s="74"/>
      <c r="AF626" s="74"/>
      <c r="AG626" s="74"/>
      <c r="AH626" s="74"/>
    </row>
    <row r="627" spans="3:34" ht="15" x14ac:dyDescent="0.2">
      <c r="C627" s="432" t="s">
        <v>2286</v>
      </c>
      <c r="D627" s="345"/>
      <c r="E627" s="345"/>
      <c r="F627" s="74"/>
      <c r="G627" s="74"/>
      <c r="H627" s="74"/>
      <c r="I627" s="74"/>
      <c r="J627" s="74"/>
      <c r="K627" s="74"/>
      <c r="L627" s="74"/>
      <c r="M627" s="74"/>
      <c r="N627" s="74"/>
      <c r="O627" s="74"/>
      <c r="P627" s="74"/>
      <c r="Q627" s="74"/>
      <c r="R627" s="74"/>
      <c r="S627" s="333"/>
      <c r="T627" s="74"/>
      <c r="U627" s="74"/>
      <c r="V627" s="74"/>
      <c r="W627" s="74"/>
      <c r="X627" s="74"/>
      <c r="Y627" s="74"/>
      <c r="Z627" s="74"/>
      <c r="AA627" s="74"/>
      <c r="AB627" s="74"/>
      <c r="AC627" s="74"/>
      <c r="AD627" s="74"/>
      <c r="AE627" s="74"/>
      <c r="AF627" s="74"/>
      <c r="AG627" s="74"/>
      <c r="AH627" s="74"/>
    </row>
    <row r="628" spans="3:34" ht="15" thickBot="1" x14ac:dyDescent="0.25">
      <c r="C628" s="1453" t="s">
        <v>2285</v>
      </c>
      <c r="D628" s="1453"/>
      <c r="E628" s="423">
        <f>IF(OR($E612="N/A",$E612=0),0,IF($E618="Yes",(E625*$E617*$E619),E625*$E617))</f>
        <v>0</v>
      </c>
      <c r="F628" s="423">
        <f t="shared" ref="F628:AH628" si="3481">IF(OR($E612="N/A",$E612=0),0,IF($E618="Yes",(F625*$E617*$E619),F625*$E617))</f>
        <v>0</v>
      </c>
      <c r="G628" s="423">
        <f t="shared" si="3481"/>
        <v>0</v>
      </c>
      <c r="H628" s="423">
        <f t="shared" si="3481"/>
        <v>0</v>
      </c>
      <c r="I628" s="423">
        <f t="shared" si="3481"/>
        <v>0</v>
      </c>
      <c r="J628" s="423">
        <f t="shared" si="3481"/>
        <v>0</v>
      </c>
      <c r="K628" s="423">
        <f t="shared" si="3481"/>
        <v>0</v>
      </c>
      <c r="L628" s="423">
        <f t="shared" si="3481"/>
        <v>0</v>
      </c>
      <c r="M628" s="423">
        <f t="shared" si="3481"/>
        <v>0</v>
      </c>
      <c r="N628" s="423">
        <f t="shared" si="3481"/>
        <v>0</v>
      </c>
      <c r="O628" s="423">
        <f t="shared" si="3481"/>
        <v>0</v>
      </c>
      <c r="P628" s="423">
        <f t="shared" si="3481"/>
        <v>0</v>
      </c>
      <c r="Q628" s="423">
        <f t="shared" si="3481"/>
        <v>0</v>
      </c>
      <c r="R628" s="423">
        <f t="shared" si="3481"/>
        <v>0</v>
      </c>
      <c r="S628" s="441">
        <f t="shared" si="3481"/>
        <v>0</v>
      </c>
      <c r="T628" s="434">
        <f t="shared" si="3481"/>
        <v>0</v>
      </c>
      <c r="U628" s="423">
        <f t="shared" si="3481"/>
        <v>0</v>
      </c>
      <c r="V628" s="423">
        <f t="shared" si="3481"/>
        <v>0</v>
      </c>
      <c r="W628" s="423">
        <f t="shared" si="3481"/>
        <v>0</v>
      </c>
      <c r="X628" s="423">
        <f t="shared" si="3481"/>
        <v>0</v>
      </c>
      <c r="Y628" s="423">
        <f t="shared" si="3481"/>
        <v>0</v>
      </c>
      <c r="Z628" s="423">
        <f t="shared" si="3481"/>
        <v>0</v>
      </c>
      <c r="AA628" s="423">
        <f t="shared" si="3481"/>
        <v>0</v>
      </c>
      <c r="AB628" s="423">
        <f t="shared" si="3481"/>
        <v>0</v>
      </c>
      <c r="AC628" s="423">
        <f t="shared" si="3481"/>
        <v>0</v>
      </c>
      <c r="AD628" s="423">
        <f t="shared" si="3481"/>
        <v>0</v>
      </c>
      <c r="AE628" s="423">
        <f t="shared" si="3481"/>
        <v>0</v>
      </c>
      <c r="AF628" s="423">
        <f t="shared" si="3481"/>
        <v>0</v>
      </c>
      <c r="AG628" s="423">
        <f t="shared" si="3481"/>
        <v>0</v>
      </c>
      <c r="AH628" s="423">
        <f t="shared" si="3481"/>
        <v>0</v>
      </c>
    </row>
    <row r="629" spans="3:34" ht="15" thickTop="1" x14ac:dyDescent="0.2">
      <c r="C629" s="1449" t="s">
        <v>2189</v>
      </c>
      <c r="D629" s="1449"/>
      <c r="E629" s="316">
        <f>IF(OR($E612="N/A",E623&gt;$E615,E623&lt;$E616),0,MAX(0,E612))</f>
        <v>0</v>
      </c>
      <c r="F629" s="316">
        <f t="shared" ref="F629" si="3482">IF(OR($E612="N/A",F623&gt;$E615),0,IF(F623=$E616,$E612,MAX(E635,0)))</f>
        <v>0</v>
      </c>
      <c r="G629" s="316">
        <f t="shared" ref="G629" si="3483">IF(OR($E612="N/A",G623&gt;$E615),0,IF(G623=$E616,$E612,MAX(F635,0)))</f>
        <v>0</v>
      </c>
      <c r="H629" s="316">
        <f t="shared" ref="H629" si="3484">IF(OR($E612="N/A",H623&gt;$E615),0,IF(H623=$E616,$E612,MAX(G635,0)))</f>
        <v>0</v>
      </c>
      <c r="I629" s="316">
        <f t="shared" ref="I629" si="3485">IF(OR($E612="N/A",I623&gt;$E615),0,IF(I623=$E616,$E612,MAX(H635,0)))</f>
        <v>0</v>
      </c>
      <c r="J629" s="316">
        <f t="shared" ref="J629" si="3486">IF(OR($E612="N/A",J623&gt;$E615),0,IF(J623=$E616,$E612,MAX(I635,0)))</f>
        <v>0</v>
      </c>
      <c r="K629" s="316">
        <f t="shared" ref="K629" si="3487">IF(OR($E612="N/A",K623&gt;$E615),0,IF(K623=$E616,$E612,MAX(J635,0)))</f>
        <v>0</v>
      </c>
      <c r="L629" s="316">
        <f t="shared" ref="L629" si="3488">IF(OR($E612="N/A",L623&gt;$E615),0,IF(L623=$E616,$E612,MAX(K635,0)))</f>
        <v>0</v>
      </c>
      <c r="M629" s="316">
        <f t="shared" ref="M629" si="3489">IF(OR($E612="N/A",M623&gt;$E615),0,IF(M623=$E616,$E612,MAX(L635,0)))</f>
        <v>0</v>
      </c>
      <c r="N629" s="316">
        <f t="shared" ref="N629" si="3490">IF(OR($E612="N/A",N623&gt;$E615),0,IF(N623=$E616,$E612,MAX(M635,0)))</f>
        <v>0</v>
      </c>
      <c r="O629" s="316">
        <f t="shared" ref="O629" si="3491">IF(OR($E612="N/A",O623&gt;$E615),0,IF(O623=$E616,$E612,MAX(N635,0)))</f>
        <v>0</v>
      </c>
      <c r="P629" s="316">
        <f t="shared" ref="P629" si="3492">IF(OR($E612="N/A",P623&gt;$E615),0,IF(P623=$E616,$E612,MAX(O635,0)))</f>
        <v>0</v>
      </c>
      <c r="Q629" s="316">
        <f t="shared" ref="Q629" si="3493">IF(OR($E612="N/A",Q623&gt;$E615),0,IF(Q623=$E616,$E612,MAX(P635,0)))</f>
        <v>0</v>
      </c>
      <c r="R629" s="316">
        <f t="shared" ref="R629" si="3494">IF(OR($E612="N/A",R623&gt;$E615),0,IF(R623=$E616,$E612,MAX(Q635,0)))</f>
        <v>0</v>
      </c>
      <c r="S629" s="332">
        <f t="shared" ref="S629" si="3495">IF(OR($E612="N/A",S623&gt;$E615),0,IF(S623=$E616,$E612,MAX(R635,0)))</f>
        <v>0</v>
      </c>
      <c r="T629" s="429">
        <f t="shared" ref="T629" si="3496">IF(OR($E612="N/A",T623&gt;$E615),0,IF(T623=$E616,$E612,MAX(S635,0)))</f>
        <v>0</v>
      </c>
      <c r="U629" s="316">
        <f t="shared" ref="U629" si="3497">IF(OR($E612="N/A",U623&gt;$E615),0,IF(U623=$E616,$E612,MAX(T635,0)))</f>
        <v>0</v>
      </c>
      <c r="V629" s="316">
        <f t="shared" ref="V629" si="3498">IF(OR($E612="N/A",V623&gt;$E615),0,IF(V623=$E616,$E612,MAX(U635,0)))</f>
        <v>0</v>
      </c>
      <c r="W629" s="316">
        <f t="shared" ref="W629" si="3499">IF(OR($E612="N/A",W623&gt;$E615),0,IF(W623=$E616,$E612,MAX(V635,0)))</f>
        <v>0</v>
      </c>
      <c r="X629" s="316">
        <f t="shared" ref="X629" si="3500">IF(OR($E612="N/A",X623&gt;$E615),0,IF(X623=$E616,$E612,MAX(W635,0)))</f>
        <v>0</v>
      </c>
      <c r="Y629" s="316">
        <f t="shared" ref="Y629" si="3501">IF(OR($E612="N/A",Y623&gt;$E615),0,IF(Y623=$E616,$E612,MAX(X635,0)))</f>
        <v>0</v>
      </c>
      <c r="Z629" s="316">
        <f t="shared" ref="Z629" si="3502">IF(OR($E612="N/A",Z623&gt;$E615),0,IF(Z623=$E616,$E612,MAX(Y635,0)))</f>
        <v>0</v>
      </c>
      <c r="AA629" s="316">
        <f t="shared" ref="AA629" si="3503">IF(OR($E612="N/A",AA623&gt;$E615),0,IF(AA623=$E616,$E612,MAX(Z635,0)))</f>
        <v>0</v>
      </c>
      <c r="AB629" s="316">
        <f t="shared" ref="AB629" si="3504">IF(OR($E612="N/A",AB623&gt;$E615),0,IF(AB623=$E616,$E612,MAX(AA635,0)))</f>
        <v>0</v>
      </c>
      <c r="AC629" s="316">
        <f t="shared" ref="AC629" si="3505">IF(OR($E612="N/A",AC623&gt;$E615),0,IF(AC623=$E616,$E612,MAX(AB635,0)))</f>
        <v>0</v>
      </c>
      <c r="AD629" s="316">
        <f t="shared" ref="AD629" si="3506">IF(OR($E612="N/A",AD623&gt;$E615),0,IF(AD623=$E616,$E612,MAX(AC635,0)))</f>
        <v>0</v>
      </c>
      <c r="AE629" s="316">
        <f t="shared" ref="AE629" si="3507">IF(OR($E612="N/A",AE623&gt;$E615),0,IF(AE623=$E616,$E612,MAX(AD635,0)))</f>
        <v>0</v>
      </c>
      <c r="AF629" s="316">
        <f t="shared" ref="AF629" si="3508">IF(OR($E612="N/A",AF623&gt;$E615),0,IF(AF623=$E616,$E612,MAX(AE635,0)))</f>
        <v>0</v>
      </c>
      <c r="AG629" s="316">
        <f t="shared" ref="AG629" si="3509">IF(OR($E612="N/A",AG623&gt;$E615),0,IF(AG623=$E616,$E612,MAX(AF635,0)))</f>
        <v>0</v>
      </c>
      <c r="AH629" s="316">
        <f t="shared" ref="AH629" si="3510">IF(OR($E612="N/A",AH623&gt;$E615),0,IF(AH623=$E616,$E612,MAX(AG635,0)))</f>
        <v>0</v>
      </c>
    </row>
    <row r="630" spans="3:34" x14ac:dyDescent="0.2">
      <c r="C630" s="1181" t="s">
        <v>2186</v>
      </c>
      <c r="D630" s="1181"/>
      <c r="E630" s="109">
        <f t="shared" ref="E630:AH630" si="3511">IF(OR($E612="N/A",E623&gt;$E615,E623&lt;$E616),0,E629*$E613)</f>
        <v>0</v>
      </c>
      <c r="F630" s="109">
        <f t="shared" si="3511"/>
        <v>0</v>
      </c>
      <c r="G630" s="109">
        <f t="shared" si="3511"/>
        <v>0</v>
      </c>
      <c r="H630" s="109">
        <f t="shared" si="3511"/>
        <v>0</v>
      </c>
      <c r="I630" s="109">
        <f t="shared" si="3511"/>
        <v>0</v>
      </c>
      <c r="J630" s="109">
        <f t="shared" si="3511"/>
        <v>0</v>
      </c>
      <c r="K630" s="109">
        <f t="shared" si="3511"/>
        <v>0</v>
      </c>
      <c r="L630" s="109">
        <f t="shared" si="3511"/>
        <v>0</v>
      </c>
      <c r="M630" s="109">
        <f t="shared" si="3511"/>
        <v>0</v>
      </c>
      <c r="N630" s="109">
        <f t="shared" si="3511"/>
        <v>0</v>
      </c>
      <c r="O630" s="109">
        <f t="shared" si="3511"/>
        <v>0</v>
      </c>
      <c r="P630" s="109">
        <f t="shared" si="3511"/>
        <v>0</v>
      </c>
      <c r="Q630" s="109">
        <f t="shared" si="3511"/>
        <v>0</v>
      </c>
      <c r="R630" s="109">
        <f t="shared" si="3511"/>
        <v>0</v>
      </c>
      <c r="S630" s="331">
        <f t="shared" si="3511"/>
        <v>0</v>
      </c>
      <c r="T630" s="228">
        <f t="shared" si="3511"/>
        <v>0</v>
      </c>
      <c r="U630" s="109">
        <f t="shared" si="3511"/>
        <v>0</v>
      </c>
      <c r="V630" s="109">
        <f t="shared" si="3511"/>
        <v>0</v>
      </c>
      <c r="W630" s="109">
        <f t="shared" si="3511"/>
        <v>0</v>
      </c>
      <c r="X630" s="109">
        <f t="shared" si="3511"/>
        <v>0</v>
      </c>
      <c r="Y630" s="109">
        <f t="shared" si="3511"/>
        <v>0</v>
      </c>
      <c r="Z630" s="109">
        <f t="shared" si="3511"/>
        <v>0</v>
      </c>
      <c r="AA630" s="109">
        <f t="shared" si="3511"/>
        <v>0</v>
      </c>
      <c r="AB630" s="109">
        <f t="shared" si="3511"/>
        <v>0</v>
      </c>
      <c r="AC630" s="109">
        <f t="shared" si="3511"/>
        <v>0</v>
      </c>
      <c r="AD630" s="109">
        <f t="shared" si="3511"/>
        <v>0</v>
      </c>
      <c r="AE630" s="109">
        <f t="shared" si="3511"/>
        <v>0</v>
      </c>
      <c r="AF630" s="109">
        <f t="shared" si="3511"/>
        <v>0</v>
      </c>
      <c r="AG630" s="109">
        <f t="shared" si="3511"/>
        <v>0</v>
      </c>
      <c r="AH630" s="109">
        <f t="shared" si="3511"/>
        <v>0</v>
      </c>
    </row>
    <row r="631" spans="3:34" x14ac:dyDescent="0.2">
      <c r="C631" s="1181" t="s">
        <v>2270</v>
      </c>
      <c r="D631" s="1181"/>
      <c r="E631" s="346">
        <f t="shared" ref="E631:AH631" si="3512">IF(OR($E612="N/A",E623&gt;$E615,E623&lt;$E616),0,MAX(0,MIN(E630,E628)))</f>
        <v>0</v>
      </c>
      <c r="F631" s="346">
        <f t="shared" si="3512"/>
        <v>0</v>
      </c>
      <c r="G631" s="346">
        <f t="shared" si="3512"/>
        <v>0</v>
      </c>
      <c r="H631" s="346">
        <f t="shared" si="3512"/>
        <v>0</v>
      </c>
      <c r="I631" s="346">
        <f t="shared" si="3512"/>
        <v>0</v>
      </c>
      <c r="J631" s="346">
        <f t="shared" si="3512"/>
        <v>0</v>
      </c>
      <c r="K631" s="346">
        <f t="shared" si="3512"/>
        <v>0</v>
      </c>
      <c r="L631" s="346">
        <f t="shared" si="3512"/>
        <v>0</v>
      </c>
      <c r="M631" s="346">
        <f t="shared" si="3512"/>
        <v>0</v>
      </c>
      <c r="N631" s="346">
        <f t="shared" si="3512"/>
        <v>0</v>
      </c>
      <c r="O631" s="346">
        <f t="shared" si="3512"/>
        <v>0</v>
      </c>
      <c r="P631" s="346">
        <f t="shared" si="3512"/>
        <v>0</v>
      </c>
      <c r="Q631" s="346">
        <f t="shared" si="3512"/>
        <v>0</v>
      </c>
      <c r="R631" s="346">
        <f t="shared" si="3512"/>
        <v>0</v>
      </c>
      <c r="S631" s="442">
        <f t="shared" si="3512"/>
        <v>0</v>
      </c>
      <c r="T631" s="435">
        <f t="shared" si="3512"/>
        <v>0</v>
      </c>
      <c r="U631" s="346">
        <f t="shared" si="3512"/>
        <v>0</v>
      </c>
      <c r="V631" s="346">
        <f t="shared" si="3512"/>
        <v>0</v>
      </c>
      <c r="W631" s="346">
        <f t="shared" si="3512"/>
        <v>0</v>
      </c>
      <c r="X631" s="346">
        <f t="shared" si="3512"/>
        <v>0</v>
      </c>
      <c r="Y631" s="346">
        <f t="shared" si="3512"/>
        <v>0</v>
      </c>
      <c r="Z631" s="346">
        <f t="shared" si="3512"/>
        <v>0</v>
      </c>
      <c r="AA631" s="346">
        <f t="shared" si="3512"/>
        <v>0</v>
      </c>
      <c r="AB631" s="346">
        <f t="shared" si="3512"/>
        <v>0</v>
      </c>
      <c r="AC631" s="346">
        <f t="shared" si="3512"/>
        <v>0</v>
      </c>
      <c r="AD631" s="346">
        <f t="shared" si="3512"/>
        <v>0</v>
      </c>
      <c r="AE631" s="346">
        <f t="shared" si="3512"/>
        <v>0</v>
      </c>
      <c r="AF631" s="346">
        <f t="shared" si="3512"/>
        <v>0</v>
      </c>
      <c r="AG631" s="346">
        <f t="shared" si="3512"/>
        <v>0</v>
      </c>
      <c r="AH631" s="346">
        <f t="shared" si="3512"/>
        <v>0</v>
      </c>
    </row>
    <row r="632" spans="3:34" x14ac:dyDescent="0.2">
      <c r="C632" s="1181" t="s">
        <v>2271</v>
      </c>
      <c r="D632" s="1181"/>
      <c r="E632" s="346">
        <f t="shared" ref="E632:AH632" si="3513">IF(OR($E612="N/A",E623&gt;$E615,E623&lt;$E616),0,E631-E630)</f>
        <v>0</v>
      </c>
      <c r="F632" s="346">
        <f t="shared" si="3513"/>
        <v>0</v>
      </c>
      <c r="G632" s="346">
        <f t="shared" si="3513"/>
        <v>0</v>
      </c>
      <c r="H632" s="346">
        <f t="shared" si="3513"/>
        <v>0</v>
      </c>
      <c r="I632" s="346">
        <f t="shared" si="3513"/>
        <v>0</v>
      </c>
      <c r="J632" s="346">
        <f t="shared" si="3513"/>
        <v>0</v>
      </c>
      <c r="K632" s="346">
        <f t="shared" si="3513"/>
        <v>0</v>
      </c>
      <c r="L632" s="346">
        <f t="shared" si="3513"/>
        <v>0</v>
      </c>
      <c r="M632" s="346">
        <f t="shared" si="3513"/>
        <v>0</v>
      </c>
      <c r="N632" s="346">
        <f t="shared" si="3513"/>
        <v>0</v>
      </c>
      <c r="O632" s="346">
        <f t="shared" si="3513"/>
        <v>0</v>
      </c>
      <c r="P632" s="346">
        <f t="shared" si="3513"/>
        <v>0</v>
      </c>
      <c r="Q632" s="346">
        <f t="shared" si="3513"/>
        <v>0</v>
      </c>
      <c r="R632" s="346">
        <f t="shared" si="3513"/>
        <v>0</v>
      </c>
      <c r="S632" s="442">
        <f t="shared" si="3513"/>
        <v>0</v>
      </c>
      <c r="T632" s="435">
        <f t="shared" si="3513"/>
        <v>0</v>
      </c>
      <c r="U632" s="346">
        <f t="shared" si="3513"/>
        <v>0</v>
      </c>
      <c r="V632" s="346">
        <f t="shared" si="3513"/>
        <v>0</v>
      </c>
      <c r="W632" s="346">
        <f t="shared" si="3513"/>
        <v>0</v>
      </c>
      <c r="X632" s="346">
        <f t="shared" si="3513"/>
        <v>0</v>
      </c>
      <c r="Y632" s="346">
        <f t="shared" si="3513"/>
        <v>0</v>
      </c>
      <c r="Z632" s="346">
        <f t="shared" si="3513"/>
        <v>0</v>
      </c>
      <c r="AA632" s="346">
        <f t="shared" si="3513"/>
        <v>0</v>
      </c>
      <c r="AB632" s="346">
        <f t="shared" si="3513"/>
        <v>0</v>
      </c>
      <c r="AC632" s="346">
        <f t="shared" si="3513"/>
        <v>0</v>
      </c>
      <c r="AD632" s="346">
        <f t="shared" si="3513"/>
        <v>0</v>
      </c>
      <c r="AE632" s="346">
        <f t="shared" si="3513"/>
        <v>0</v>
      </c>
      <c r="AF632" s="346">
        <f t="shared" si="3513"/>
        <v>0</v>
      </c>
      <c r="AG632" s="346">
        <f t="shared" si="3513"/>
        <v>0</v>
      </c>
      <c r="AH632" s="346">
        <f t="shared" si="3513"/>
        <v>0</v>
      </c>
    </row>
    <row r="633" spans="3:34" ht="15" thickBot="1" x14ac:dyDescent="0.25">
      <c r="C633" s="1448" t="s">
        <v>2272</v>
      </c>
      <c r="D633" s="1448"/>
      <c r="E633" s="411">
        <f>IF(OR($E612="N/A",E623&gt;$E615,E623&lt;$E616),0,MAX(0,MIN(E628-E631,E629)))</f>
        <v>0</v>
      </c>
      <c r="F633" s="411">
        <f>IF(OR($E612="N/A",F623&gt;$E615,F623&lt;$E616),0,MAX(0,MIN(F628-F631,F629)))</f>
        <v>0</v>
      </c>
      <c r="G633" s="411">
        <f t="shared" ref="G633:AH633" si="3514">IF(OR($E612="N/A",G623&gt;$E615,G623&lt;$E616),0,MAX(0,MIN(G628-G631,G629)))</f>
        <v>0</v>
      </c>
      <c r="H633" s="411">
        <f t="shared" si="3514"/>
        <v>0</v>
      </c>
      <c r="I633" s="411">
        <f t="shared" si="3514"/>
        <v>0</v>
      </c>
      <c r="J633" s="411">
        <f t="shared" si="3514"/>
        <v>0</v>
      </c>
      <c r="K633" s="411">
        <f t="shared" si="3514"/>
        <v>0</v>
      </c>
      <c r="L633" s="411">
        <f t="shared" si="3514"/>
        <v>0</v>
      </c>
      <c r="M633" s="411">
        <f t="shared" si="3514"/>
        <v>0</v>
      </c>
      <c r="N633" s="411">
        <f t="shared" si="3514"/>
        <v>0</v>
      </c>
      <c r="O633" s="411">
        <f t="shared" si="3514"/>
        <v>0</v>
      </c>
      <c r="P633" s="411">
        <f t="shared" si="3514"/>
        <v>0</v>
      </c>
      <c r="Q633" s="411">
        <f t="shared" si="3514"/>
        <v>0</v>
      </c>
      <c r="R633" s="411">
        <f t="shared" si="3514"/>
        <v>0</v>
      </c>
      <c r="S633" s="443">
        <f t="shared" si="3514"/>
        <v>0</v>
      </c>
      <c r="T633" s="431">
        <f t="shared" si="3514"/>
        <v>0</v>
      </c>
      <c r="U633" s="411">
        <f t="shared" si="3514"/>
        <v>0</v>
      </c>
      <c r="V633" s="411">
        <f t="shared" si="3514"/>
        <v>0</v>
      </c>
      <c r="W633" s="411">
        <f t="shared" si="3514"/>
        <v>0</v>
      </c>
      <c r="X633" s="411">
        <f t="shared" si="3514"/>
        <v>0</v>
      </c>
      <c r="Y633" s="411">
        <f t="shared" si="3514"/>
        <v>0</v>
      </c>
      <c r="Z633" s="411">
        <f t="shared" si="3514"/>
        <v>0</v>
      </c>
      <c r="AA633" s="411">
        <f t="shared" si="3514"/>
        <v>0</v>
      </c>
      <c r="AB633" s="411">
        <f t="shared" si="3514"/>
        <v>0</v>
      </c>
      <c r="AC633" s="411">
        <f t="shared" si="3514"/>
        <v>0</v>
      </c>
      <c r="AD633" s="411">
        <f t="shared" si="3514"/>
        <v>0</v>
      </c>
      <c r="AE633" s="411">
        <f t="shared" si="3514"/>
        <v>0</v>
      </c>
      <c r="AF633" s="411">
        <f t="shared" si="3514"/>
        <v>0</v>
      </c>
      <c r="AG633" s="411">
        <f t="shared" si="3514"/>
        <v>0</v>
      </c>
      <c r="AH633" s="411">
        <f t="shared" si="3514"/>
        <v>0</v>
      </c>
    </row>
    <row r="634" spans="3:34" ht="15" thickTop="1" x14ac:dyDescent="0.2">
      <c r="C634" s="1449" t="s">
        <v>2282</v>
      </c>
      <c r="D634" s="1449"/>
      <c r="E634" s="430">
        <f>SUM(E631,E633)</f>
        <v>0</v>
      </c>
      <c r="F634" s="430">
        <f>SUM(F631,F633)</f>
        <v>0</v>
      </c>
      <c r="G634" s="430">
        <f t="shared" ref="G634" si="3515">SUM(G631,G633)</f>
        <v>0</v>
      </c>
      <c r="H634" s="430">
        <f t="shared" ref="H634" si="3516">SUM(H631,H633)</f>
        <v>0</v>
      </c>
      <c r="I634" s="430">
        <f t="shared" ref="I634" si="3517">SUM(I631,I633)</f>
        <v>0</v>
      </c>
      <c r="J634" s="430">
        <f t="shared" ref="J634" si="3518">SUM(J631,J633)</f>
        <v>0</v>
      </c>
      <c r="K634" s="430">
        <f t="shared" ref="K634" si="3519">SUM(K631,K633)</f>
        <v>0</v>
      </c>
      <c r="L634" s="430">
        <f t="shared" ref="L634" si="3520">SUM(L631,L633)</f>
        <v>0</v>
      </c>
      <c r="M634" s="430">
        <f t="shared" ref="M634" si="3521">SUM(M631,M633)</f>
        <v>0</v>
      </c>
      <c r="N634" s="430">
        <f t="shared" ref="N634" si="3522">SUM(N631,N633)</f>
        <v>0</v>
      </c>
      <c r="O634" s="430">
        <f t="shared" ref="O634" si="3523">SUM(O631,O633)</f>
        <v>0</v>
      </c>
      <c r="P634" s="430">
        <f t="shared" ref="P634" si="3524">SUM(P631,P633)</f>
        <v>0</v>
      </c>
      <c r="Q634" s="430">
        <f t="shared" ref="Q634" si="3525">SUM(Q631,Q633)</f>
        <v>0</v>
      </c>
      <c r="R634" s="430">
        <f t="shared" ref="R634" si="3526">SUM(R631,R633)</f>
        <v>0</v>
      </c>
      <c r="S634" s="444">
        <f t="shared" ref="S634" si="3527">SUM(S631,S633)</f>
        <v>0</v>
      </c>
      <c r="T634" s="436">
        <f t="shared" ref="T634" si="3528">SUM(T631,T633)</f>
        <v>0</v>
      </c>
      <c r="U634" s="430">
        <f t="shared" ref="U634" si="3529">SUM(U631,U633)</f>
        <v>0</v>
      </c>
      <c r="V634" s="430">
        <f t="shared" ref="V634" si="3530">SUM(V631,V633)</f>
        <v>0</v>
      </c>
      <c r="W634" s="430">
        <f t="shared" ref="W634" si="3531">SUM(W631,W633)</f>
        <v>0</v>
      </c>
      <c r="X634" s="430">
        <f t="shared" ref="X634" si="3532">SUM(X631,X633)</f>
        <v>0</v>
      </c>
      <c r="Y634" s="430">
        <f t="shared" ref="Y634" si="3533">SUM(Y631,Y633)</f>
        <v>0</v>
      </c>
      <c r="Z634" s="430">
        <f t="shared" ref="Z634" si="3534">SUM(Z631,Z633)</f>
        <v>0</v>
      </c>
      <c r="AA634" s="430">
        <f t="shared" ref="AA634" si="3535">SUM(AA631,AA633)</f>
        <v>0</v>
      </c>
      <c r="AB634" s="430">
        <f t="shared" ref="AB634" si="3536">SUM(AB631,AB633)</f>
        <v>0</v>
      </c>
      <c r="AC634" s="430">
        <f t="shared" ref="AC634" si="3537">SUM(AC631,AC633)</f>
        <v>0</v>
      </c>
      <c r="AD634" s="430">
        <f t="shared" ref="AD634" si="3538">SUM(AD631,AD633)</f>
        <v>0</v>
      </c>
      <c r="AE634" s="430">
        <f t="shared" ref="AE634" si="3539">SUM(AE631,AE633)</f>
        <v>0</v>
      </c>
      <c r="AF634" s="430">
        <f t="shared" ref="AF634" si="3540">SUM(AF631,AF633)</f>
        <v>0</v>
      </c>
      <c r="AG634" s="430">
        <f t="shared" ref="AG634" si="3541">SUM(AG631,AG633)</f>
        <v>0</v>
      </c>
      <c r="AH634" s="430">
        <f t="shared" ref="AH634" si="3542">SUM(AH631,AH633)</f>
        <v>0</v>
      </c>
    </row>
    <row r="635" spans="3:34" x14ac:dyDescent="0.2">
      <c r="C635" s="1181" t="s">
        <v>2190</v>
      </c>
      <c r="D635" s="1181"/>
      <c r="E635" s="342">
        <f>IF(OR($E612="N/A",E623&gt;$E615,E623&lt;$E616),0,IF($E614="Compound",E629-E633-E632,MAX(0,E629-E633)))</f>
        <v>0</v>
      </c>
      <c r="F635" s="342">
        <f>IF(OR($E612="N/A",F623&gt;$E615,F623&lt;$E616),0,IF($E614="Compound",F629-F633-F632,MAX(0,F629-F633)))</f>
        <v>0</v>
      </c>
      <c r="G635" s="342">
        <f t="shared" ref="G635:AH635" si="3543">IF(OR($E612="N/A",G623&gt;$E615,G623&lt;$E616),0,IF($E614="Compound",G629-G633-G632,MAX(0,G629-G633)))</f>
        <v>0</v>
      </c>
      <c r="H635" s="342">
        <f t="shared" si="3543"/>
        <v>0</v>
      </c>
      <c r="I635" s="342">
        <f t="shared" si="3543"/>
        <v>0</v>
      </c>
      <c r="J635" s="342">
        <f t="shared" si="3543"/>
        <v>0</v>
      </c>
      <c r="K635" s="342">
        <f t="shared" si="3543"/>
        <v>0</v>
      </c>
      <c r="L635" s="342">
        <f t="shared" si="3543"/>
        <v>0</v>
      </c>
      <c r="M635" s="342">
        <f t="shared" si="3543"/>
        <v>0</v>
      </c>
      <c r="N635" s="342">
        <f t="shared" si="3543"/>
        <v>0</v>
      </c>
      <c r="O635" s="342">
        <f t="shared" si="3543"/>
        <v>0</v>
      </c>
      <c r="P635" s="342">
        <f t="shared" si="3543"/>
        <v>0</v>
      </c>
      <c r="Q635" s="342">
        <f t="shared" si="3543"/>
        <v>0</v>
      </c>
      <c r="R635" s="342">
        <f t="shared" si="3543"/>
        <v>0</v>
      </c>
      <c r="S635" s="445">
        <f t="shared" si="3543"/>
        <v>0</v>
      </c>
      <c r="T635" s="437">
        <f t="shared" si="3543"/>
        <v>0</v>
      </c>
      <c r="U635" s="342">
        <f t="shared" si="3543"/>
        <v>0</v>
      </c>
      <c r="V635" s="342">
        <f t="shared" si="3543"/>
        <v>0</v>
      </c>
      <c r="W635" s="342">
        <f t="shared" si="3543"/>
        <v>0</v>
      </c>
      <c r="X635" s="342">
        <f t="shared" si="3543"/>
        <v>0</v>
      </c>
      <c r="Y635" s="342">
        <f t="shared" si="3543"/>
        <v>0</v>
      </c>
      <c r="Z635" s="342">
        <f t="shared" si="3543"/>
        <v>0</v>
      </c>
      <c r="AA635" s="342">
        <f t="shared" si="3543"/>
        <v>0</v>
      </c>
      <c r="AB635" s="342">
        <f t="shared" si="3543"/>
        <v>0</v>
      </c>
      <c r="AC635" s="342">
        <f t="shared" si="3543"/>
        <v>0</v>
      </c>
      <c r="AD635" s="342">
        <f t="shared" si="3543"/>
        <v>0</v>
      </c>
      <c r="AE635" s="342">
        <f t="shared" si="3543"/>
        <v>0</v>
      </c>
      <c r="AF635" s="342">
        <f t="shared" si="3543"/>
        <v>0</v>
      </c>
      <c r="AG635" s="342">
        <f t="shared" si="3543"/>
        <v>0</v>
      </c>
      <c r="AH635" s="342">
        <f t="shared" si="3543"/>
        <v>0</v>
      </c>
    </row>
    <row r="636" spans="3:34" x14ac:dyDescent="0.2">
      <c r="C636" s="317"/>
      <c r="D636" s="317"/>
      <c r="E636" s="74"/>
      <c r="F636" s="74"/>
      <c r="G636" s="74"/>
      <c r="H636" s="74"/>
      <c r="I636" s="74"/>
      <c r="J636" s="74"/>
      <c r="K636" s="74"/>
      <c r="L636" s="74"/>
      <c r="M636" s="74"/>
      <c r="N636" s="74"/>
      <c r="O636" s="74"/>
      <c r="P636" s="74"/>
      <c r="Q636" s="74"/>
      <c r="R636" s="74"/>
      <c r="S636" s="333"/>
      <c r="T636" s="74"/>
      <c r="U636" s="74"/>
      <c r="V636" s="74"/>
      <c r="W636" s="74"/>
      <c r="X636" s="74"/>
      <c r="Y636" s="74"/>
      <c r="Z636" s="74"/>
      <c r="AA636" s="74"/>
      <c r="AB636" s="74"/>
      <c r="AC636" s="74"/>
      <c r="AD636" s="74"/>
      <c r="AE636" s="74"/>
      <c r="AF636" s="74"/>
      <c r="AG636" s="74"/>
      <c r="AH636" s="74"/>
    </row>
    <row r="637" spans="3:34" ht="15" x14ac:dyDescent="0.2">
      <c r="C637" s="432" t="s">
        <v>2287</v>
      </c>
      <c r="D637" s="317"/>
      <c r="E637" s="74"/>
      <c r="F637" s="74"/>
      <c r="G637" s="74"/>
      <c r="H637" s="74"/>
      <c r="I637" s="74"/>
      <c r="J637" s="74"/>
      <c r="K637" s="74"/>
      <c r="L637" s="74"/>
      <c r="M637" s="74"/>
      <c r="N637" s="74"/>
      <c r="O637" s="74"/>
      <c r="P637" s="74"/>
      <c r="Q637" s="74"/>
      <c r="R637" s="74"/>
      <c r="S637" s="333"/>
      <c r="T637" s="74"/>
      <c r="U637" s="74"/>
      <c r="V637" s="74"/>
      <c r="W637" s="74"/>
      <c r="X637" s="74"/>
      <c r="Y637" s="74"/>
      <c r="Z637" s="74"/>
      <c r="AA637" s="74"/>
      <c r="AB637" s="74"/>
      <c r="AC637" s="74"/>
      <c r="AD637" s="74"/>
      <c r="AE637" s="74"/>
      <c r="AF637" s="74"/>
      <c r="AG637" s="74"/>
      <c r="AH637" s="74"/>
    </row>
    <row r="638" spans="3:34" x14ac:dyDescent="0.2">
      <c r="C638" s="1234" t="s">
        <v>2273</v>
      </c>
      <c r="D638" s="1234"/>
      <c r="E638" s="421">
        <f>IF($I612="N/A",0,IF(E623&gt;$I617,0,MIN($I616,$I612*$I614)))</f>
        <v>0</v>
      </c>
      <c r="F638" s="236">
        <f t="shared" ref="F638" si="3544">IF($I612="N/A",0,IF(F623&gt;$I617,0,MIN($I616,$I612*$I614*(1+$I613)^E$63)))</f>
        <v>0</v>
      </c>
      <c r="G638" s="236">
        <f t="shared" ref="G638" si="3545">IF($I612="N/A",0,IF(G623&gt;$I617,0,MIN($I616,$I612*$I614*(1+$I613)^F$63)))</f>
        <v>0</v>
      </c>
      <c r="H638" s="236">
        <f t="shared" ref="H638" si="3546">IF($I612="N/A",0,IF(H623&gt;$I617,0,MIN($I616,$I612*$I614*(1+$I613)^G$63)))</f>
        <v>0</v>
      </c>
      <c r="I638" s="236">
        <f t="shared" ref="I638" si="3547">IF($I612="N/A",0,IF(I623&gt;$I617,0,MIN($I616,$I612*$I614*(1+$I613)^H$63)))</f>
        <v>0</v>
      </c>
      <c r="J638" s="236">
        <f t="shared" ref="J638" si="3548">IF($I612="N/A",0,IF(J623&gt;$I617,0,MIN($I616,$I612*$I614*(1+$I613)^I$63)))</f>
        <v>0</v>
      </c>
      <c r="K638" s="236">
        <f t="shared" ref="K638" si="3549">IF($I612="N/A",0,IF(K623&gt;$I617,0,MIN($I616,$I612*$I614*(1+$I613)^J$63)))</f>
        <v>0</v>
      </c>
      <c r="L638" s="236">
        <f t="shared" ref="L638" si="3550">IF($I612="N/A",0,IF(L623&gt;$I617,0,MIN($I616,$I612*$I614*(1+$I613)^K$63)))</f>
        <v>0</v>
      </c>
      <c r="M638" s="236">
        <f t="shared" ref="M638" si="3551">IF($I612="N/A",0,IF(M623&gt;$I617,0,MIN($I616,$I612*$I614*(1+$I613)^L$63)))</f>
        <v>0</v>
      </c>
      <c r="N638" s="236">
        <f t="shared" ref="N638" si="3552">IF($I612="N/A",0,IF(N623&gt;$I617,0,MIN($I616,$I612*$I614*(1+$I613)^M$63)))</f>
        <v>0</v>
      </c>
      <c r="O638" s="236">
        <f t="shared" ref="O638" si="3553">IF($I612="N/A",0,IF(O623&gt;$I617,0,MIN($I616,$I612*$I614*(1+$I613)^N$63)))</f>
        <v>0</v>
      </c>
      <c r="P638" s="236">
        <f t="shared" ref="P638" si="3554">IF($I612="N/A",0,IF(P623&gt;$I617,0,MIN($I616,$I612*$I614*(1+$I613)^O$63)))</f>
        <v>0</v>
      </c>
      <c r="Q638" s="236">
        <f t="shared" ref="Q638" si="3555">IF($I612="N/A",0,IF(Q623&gt;$I617,0,MIN($I616,$I612*$I614*(1+$I613)^P$63)))</f>
        <v>0</v>
      </c>
      <c r="R638" s="236">
        <f t="shared" ref="R638" si="3556">IF($I612="N/A",0,IF(R623&gt;$I617,0,MIN($I616,$I612*$I614*(1+$I613)^Q$63)))</f>
        <v>0</v>
      </c>
      <c r="S638" s="446">
        <f t="shared" ref="S638" si="3557">IF($I612="N/A",0,IF(S623&gt;$I617,0,MIN($I616,$I612*$I614*(1+$I613)^R$63)))</f>
        <v>0</v>
      </c>
      <c r="T638" s="438">
        <f t="shared" ref="T638" si="3558">IF($I612="N/A",0,IF(T623&gt;$I617,0,MIN($I616,$I612*$I614*(1+$I613)^S$63)))</f>
        <v>0</v>
      </c>
      <c r="U638" s="236">
        <f t="shared" ref="U638" si="3559">IF($I612="N/A",0,IF(U623&gt;$I617,0,MIN($I616,$I612*$I614*(1+$I613)^T$63)))</f>
        <v>0</v>
      </c>
      <c r="V638" s="236">
        <f t="shared" ref="V638" si="3560">IF($I612="N/A",0,IF(V623&gt;$I617,0,MIN($I616,$I612*$I614*(1+$I613)^U$63)))</f>
        <v>0</v>
      </c>
      <c r="W638" s="236">
        <f t="shared" ref="W638" si="3561">IF($I612="N/A",0,IF(W623&gt;$I617,0,MIN($I616,$I612*$I614*(1+$I613)^V$63)))</f>
        <v>0</v>
      </c>
      <c r="X638" s="236">
        <f t="shared" ref="X638" si="3562">IF($I612="N/A",0,IF(X623&gt;$I617,0,MIN($I616,$I612*$I614*(1+$I613)^W$63)))</f>
        <v>0</v>
      </c>
      <c r="Y638" s="236">
        <f t="shared" ref="Y638" si="3563">IF($I612="N/A",0,IF(Y623&gt;$I617,0,MIN($I616,$I612*$I614*(1+$I613)^X$63)))</f>
        <v>0</v>
      </c>
      <c r="Z638" s="236">
        <f t="shared" ref="Z638" si="3564">IF($I612="N/A",0,IF(Z623&gt;$I617,0,MIN($I616,$I612*$I614*(1+$I613)^Y$63)))</f>
        <v>0</v>
      </c>
      <c r="AA638" s="236">
        <f t="shared" ref="AA638" si="3565">IF($I612="N/A",0,IF(AA623&gt;$I617,0,MIN($I616,$I612*$I614*(1+$I613)^Z$63)))</f>
        <v>0</v>
      </c>
      <c r="AB638" s="236">
        <f t="shared" ref="AB638" si="3566">IF($I612="N/A",0,IF(AB623&gt;$I617,0,MIN($I616,$I612*$I614*(1+$I613)^AA$63)))</f>
        <v>0</v>
      </c>
      <c r="AC638" s="236">
        <f t="shared" ref="AC638" si="3567">IF($I612="N/A",0,IF(AC623&gt;$I617,0,MIN($I616,$I612*$I614*(1+$I613)^AB$63)))</f>
        <v>0</v>
      </c>
      <c r="AD638" s="236">
        <f t="shared" ref="AD638" si="3568">IF($I612="N/A",0,IF(AD623&gt;$I617,0,MIN($I616,$I612*$I614*(1+$I613)^AC$63)))</f>
        <v>0</v>
      </c>
      <c r="AE638" s="236">
        <f t="shared" ref="AE638" si="3569">IF($I612="N/A",0,IF(AE623&gt;$I617,0,MIN($I616,$I612*$I614*(1+$I613)^AD$63)))</f>
        <v>0</v>
      </c>
      <c r="AF638" s="236">
        <f t="shared" ref="AF638" si="3570">IF($I612="N/A",0,IF(AF623&gt;$I617,0,MIN($I616,$I612*$I614*(1+$I613)^AE$63)))</f>
        <v>0</v>
      </c>
      <c r="AG638" s="236">
        <f t="shared" ref="AG638" si="3571">IF($I612="N/A",0,IF(AG623&gt;$I617,0,MIN($I616,$I612*$I614*(1+$I613)^AF$63)))</f>
        <v>0</v>
      </c>
      <c r="AH638" s="236">
        <f t="shared" ref="AH638" si="3572">IF($I612="N/A",0,IF(AH623&gt;$I617,0,MIN($I616,$I612*$I614*(1+$I613)^AG$63)))</f>
        <v>0</v>
      </c>
    </row>
    <row r="639" spans="3:34" x14ac:dyDescent="0.2">
      <c r="C639" s="1450" t="s">
        <v>2274</v>
      </c>
      <c r="D639" s="1451"/>
      <c r="E639" s="422">
        <f>IF($I612="N/A",0,IF(E623&gt;$I617,0,MAX(0,MIN(E638,$I612*$I614,E625))))</f>
        <v>0</v>
      </c>
      <c r="F639" s="521">
        <f t="shared" ref="F639" si="3573">IF($I612="N/A",0,IF(F623&gt;$I617,0,IF($I615="Yes",MAX(0,MIN(F625*$I614,E641+F638,$I616)),MAX(0,MIN(F638,F625*$I614,$I616)))))</f>
        <v>0</v>
      </c>
      <c r="G639" s="521">
        <f t="shared" ref="G639" si="3574">IF($I612="N/A",0,IF(G623&gt;$I617,0,IF($I615="Yes",MAX(0,MIN(G625*$I614,F641+G638,$I616)),MAX(0,MIN(G638,G625*$I614,$I616)))))</f>
        <v>0</v>
      </c>
      <c r="H639" s="521">
        <f t="shared" ref="H639" si="3575">IF($I612="N/A",0,IF(H623&gt;$I617,0,IF($I615="Yes",MAX(0,MIN(H625*$I614,G641+H638,$I616)),MAX(0,MIN(H638,H625*$I614,$I616)))))</f>
        <v>0</v>
      </c>
      <c r="I639" s="521">
        <f t="shared" ref="I639" si="3576">IF($I612="N/A",0,IF(I623&gt;$I617,0,IF($I615="Yes",MAX(0,MIN(I625*$I614,H641+I638,$I616)),MAX(0,MIN(I638,I625*$I614,$I616)))))</f>
        <v>0</v>
      </c>
      <c r="J639" s="521">
        <f t="shared" ref="J639" si="3577">IF($I612="N/A",0,IF(J623&gt;$I617,0,IF($I615="Yes",MAX(0,MIN(J625*$I614,I641+J638,$I616)),MAX(0,MIN(J638,J625*$I614,$I616)))))</f>
        <v>0</v>
      </c>
      <c r="K639" s="521">
        <f t="shared" ref="K639" si="3578">IF($I612="N/A",0,IF(K623&gt;$I617,0,IF($I615="Yes",MAX(0,MIN(K625*$I614,J641+K638,$I616)),MAX(0,MIN(K638,K625*$I614,$I616)))))</f>
        <v>0</v>
      </c>
      <c r="L639" s="521">
        <f t="shared" ref="L639" si="3579">IF($I612="N/A",0,IF(L623&gt;$I617,0,IF($I615="Yes",MAX(0,MIN(L625*$I614,K641+L638,$I616)),MAX(0,MIN(L638,L625*$I614,$I616)))))</f>
        <v>0</v>
      </c>
      <c r="M639" s="521">
        <f t="shared" ref="M639" si="3580">IF($I612="N/A",0,IF(M623&gt;$I617,0,IF($I615="Yes",MAX(0,MIN(M625*$I614,L641+M638,$I616)),MAX(0,MIN(M638,M625*$I614,$I616)))))</f>
        <v>0</v>
      </c>
      <c r="N639" s="521">
        <f t="shared" ref="N639" si="3581">IF($I612="N/A",0,IF(N623&gt;$I617,0,IF($I615="Yes",MAX(0,MIN(N625*$I614,M641+N638,$I616)),MAX(0,MIN(N638,N625*$I614,$I616)))))</f>
        <v>0</v>
      </c>
      <c r="O639" s="521">
        <f t="shared" ref="O639" si="3582">IF($I612="N/A",0,IF(O623&gt;$I617,0,IF($I615="Yes",MAX(0,MIN(O625*$I614,N641+O638,$I616)),MAX(0,MIN(O638,O625*$I614,$I616)))))</f>
        <v>0</v>
      </c>
      <c r="P639" s="521">
        <f t="shared" ref="P639" si="3583">IF($I612="N/A",0,IF(P623&gt;$I617,0,IF($I615="Yes",MAX(0,MIN(P625*$I614,O641+P638,$I616)),MAX(0,MIN(P638,P625*$I614,$I616)))))</f>
        <v>0</v>
      </c>
      <c r="Q639" s="521">
        <f t="shared" ref="Q639" si="3584">IF($I612="N/A",0,IF(Q623&gt;$I617,0,IF($I615="Yes",MAX(0,MIN(Q625*$I614,P641+Q638,$I616)),MAX(0,MIN(Q638,Q625*$I614,$I616)))))</f>
        <v>0</v>
      </c>
      <c r="R639" s="521">
        <f t="shared" ref="R639" si="3585">IF($I612="N/A",0,IF(R623&gt;$I617,0,IF($I615="Yes",MAX(0,MIN(R625*$I614,Q641+R638,$I616)),MAX(0,MIN(R638,R625*$I614,$I616)))))</f>
        <v>0</v>
      </c>
      <c r="S639" s="523">
        <f t="shared" ref="S639" si="3586">IF($I612="N/A",0,IF(S623&gt;$I617,0,IF($I615="Yes",MAX(0,MIN(S625*$I614,R641+S638,$I616)),MAX(0,MIN(S638,S625*$I614,$I616)))))</f>
        <v>0</v>
      </c>
      <c r="T639" s="522">
        <f t="shared" ref="T639" si="3587">IF($I612="N/A",0,IF(T623&gt;$I617,0,IF($I615="Yes",MAX(0,MIN(T625*$I614,S641+T638,$I616)),MAX(0,MIN(T638,T625*$I614,$I616)))))</f>
        <v>0</v>
      </c>
      <c r="U639" s="521">
        <f t="shared" ref="U639" si="3588">IF($I612="N/A",0,IF(U623&gt;$I617,0,IF($I615="Yes",MAX(0,MIN(U625*$I614,T641+U638,$I616)),MAX(0,MIN(U638,U625*$I614,$I616)))))</f>
        <v>0</v>
      </c>
      <c r="V639" s="521">
        <f t="shared" ref="V639" si="3589">IF($I612="N/A",0,IF(V623&gt;$I617,0,IF($I615="Yes",MAX(0,MIN(V625*$I614,U641+V638,$I616)),MAX(0,MIN(V638,V625*$I614,$I616)))))</f>
        <v>0</v>
      </c>
      <c r="W639" s="521">
        <f t="shared" ref="W639" si="3590">IF($I612="N/A",0,IF(W623&gt;$I617,0,IF($I615="Yes",MAX(0,MIN(W625*$I614,V641+W638,$I616)),MAX(0,MIN(W638,W625*$I614,$I616)))))</f>
        <v>0</v>
      </c>
      <c r="X639" s="521">
        <f t="shared" ref="X639" si="3591">IF($I612="N/A",0,IF(X623&gt;$I617,0,IF($I615="Yes",MAX(0,MIN(X625*$I614,W641+X638,$I616)),MAX(0,MIN(X638,X625*$I614,$I616)))))</f>
        <v>0</v>
      </c>
      <c r="Y639" s="521">
        <f t="shared" ref="Y639" si="3592">IF($I612="N/A",0,IF(Y623&gt;$I617,0,IF($I615="Yes",MAX(0,MIN(Y625*$I614,X641+Y638,$I616)),MAX(0,MIN(Y638,Y625*$I614,$I616)))))</f>
        <v>0</v>
      </c>
      <c r="Z639" s="521">
        <f t="shared" ref="Z639" si="3593">IF($I612="N/A",0,IF(Z623&gt;$I617,0,IF($I615="Yes",MAX(0,MIN(Z625*$I614,Y641+Z638,$I616)),MAX(0,MIN(Z638,Z625*$I614,$I616)))))</f>
        <v>0</v>
      </c>
      <c r="AA639" s="521">
        <f t="shared" ref="AA639" si="3594">IF($I612="N/A",0,IF(AA623&gt;$I617,0,IF($I615="Yes",MAX(0,MIN(AA625*$I614,Z641+AA638,$I616)),MAX(0,MIN(AA638,AA625*$I614,$I616)))))</f>
        <v>0</v>
      </c>
      <c r="AB639" s="521">
        <f t="shared" ref="AB639" si="3595">IF($I612="N/A",0,IF(AB623&gt;$I617,0,IF($I615="Yes",MAX(0,MIN(AB625*$I614,AA641+AB638,$I616)),MAX(0,MIN(AB638,AB625*$I614,$I616)))))</f>
        <v>0</v>
      </c>
      <c r="AC639" s="521">
        <f t="shared" ref="AC639" si="3596">IF($I612="N/A",0,IF(AC623&gt;$I617,0,IF($I615="Yes",MAX(0,MIN(AC625*$I614,AB641+AC638,$I616)),MAX(0,MIN(AC638,AC625*$I614,$I616)))))</f>
        <v>0</v>
      </c>
      <c r="AD639" s="521">
        <f t="shared" ref="AD639" si="3597">IF($I612="N/A",0,IF(AD623&gt;$I617,0,IF($I615="Yes",MAX(0,MIN(AD625*$I614,AC641+AD638,$I616)),MAX(0,MIN(AD638,AD625*$I614,$I616)))))</f>
        <v>0</v>
      </c>
      <c r="AE639" s="521">
        <f t="shared" ref="AE639" si="3598">IF($I612="N/A",0,IF(AE623&gt;$I617,0,IF($I615="Yes",MAX(0,MIN(AE625*$I614,AD641+AE638,$I616)),MAX(0,MIN(AE638,AE625*$I614,$I616)))))</f>
        <v>0</v>
      </c>
      <c r="AF639" s="521">
        <f t="shared" ref="AF639" si="3599">IF($I612="N/A",0,IF(AF623&gt;$I617,0,IF($I615="Yes",MAX(0,MIN(AF625*$I614,AE641+AF638,$I616)),MAX(0,MIN(AF638,AF625*$I614,$I616)))))</f>
        <v>0</v>
      </c>
      <c r="AG639" s="521">
        <f t="shared" ref="AG639" si="3600">IF($I612="N/A",0,IF(AG623&gt;$I617,0,IF($I615="Yes",MAX(0,MIN(AG625*$I614,AF641+AG638,$I616)),MAX(0,MIN(AG638,AG625*$I614,$I616)))))</f>
        <v>0</v>
      </c>
      <c r="AH639" s="521">
        <f t="shared" ref="AH639" si="3601">IF($I612="N/A",0,IF(AH623&gt;$I617,0,IF($I615="Yes",MAX(0,MIN(AH625*$I614,AG641+AH638,$I616)),MAX(0,MIN(AH638,AH625*$I614,$I616)))))</f>
        <v>0</v>
      </c>
    </row>
    <row r="640" spans="3:34" x14ac:dyDescent="0.2">
      <c r="C640" s="1168" t="s">
        <v>2275</v>
      </c>
      <c r="D640" s="1170"/>
      <c r="E640" s="421">
        <f>IF($I615="Yes",IF(E623&gt;$I617,0,E638-E639),0)</f>
        <v>0</v>
      </c>
      <c r="F640" s="421">
        <f t="shared" ref="F640:AH640" si="3602">IF($I612="N/A",0,IF(F624&gt;$I617,0,IF($I615="Yes",F638-F639,0)))</f>
        <v>0</v>
      </c>
      <c r="G640" s="421">
        <f t="shared" si="3602"/>
        <v>0</v>
      </c>
      <c r="H640" s="421">
        <f t="shared" si="3602"/>
        <v>0</v>
      </c>
      <c r="I640" s="421">
        <f t="shared" si="3602"/>
        <v>0</v>
      </c>
      <c r="J640" s="421">
        <f t="shared" si="3602"/>
        <v>0</v>
      </c>
      <c r="K640" s="421">
        <f t="shared" si="3602"/>
        <v>0</v>
      </c>
      <c r="L640" s="421">
        <f t="shared" si="3602"/>
        <v>0</v>
      </c>
      <c r="M640" s="421">
        <f t="shared" si="3602"/>
        <v>0</v>
      </c>
      <c r="N640" s="421">
        <f t="shared" si="3602"/>
        <v>0</v>
      </c>
      <c r="O640" s="421">
        <f t="shared" si="3602"/>
        <v>0</v>
      </c>
      <c r="P640" s="421">
        <f t="shared" si="3602"/>
        <v>0</v>
      </c>
      <c r="Q640" s="421">
        <f t="shared" si="3602"/>
        <v>0</v>
      </c>
      <c r="R640" s="421">
        <f t="shared" si="3602"/>
        <v>0</v>
      </c>
      <c r="S640" s="447">
        <f t="shared" si="3602"/>
        <v>0</v>
      </c>
      <c r="T640" s="439">
        <f t="shared" si="3602"/>
        <v>0</v>
      </c>
      <c r="U640" s="421">
        <f t="shared" si="3602"/>
        <v>0</v>
      </c>
      <c r="V640" s="421">
        <f t="shared" si="3602"/>
        <v>0</v>
      </c>
      <c r="W640" s="421">
        <f t="shared" si="3602"/>
        <v>0</v>
      </c>
      <c r="X640" s="421">
        <f t="shared" si="3602"/>
        <v>0</v>
      </c>
      <c r="Y640" s="421">
        <f t="shared" si="3602"/>
        <v>0</v>
      </c>
      <c r="Z640" s="421">
        <f t="shared" si="3602"/>
        <v>0</v>
      </c>
      <c r="AA640" s="421">
        <f t="shared" si="3602"/>
        <v>0</v>
      </c>
      <c r="AB640" s="421">
        <f t="shared" si="3602"/>
        <v>0</v>
      </c>
      <c r="AC640" s="421">
        <f t="shared" si="3602"/>
        <v>0</v>
      </c>
      <c r="AD640" s="421">
        <f t="shared" si="3602"/>
        <v>0</v>
      </c>
      <c r="AE640" s="421">
        <f t="shared" si="3602"/>
        <v>0</v>
      </c>
      <c r="AF640" s="421">
        <f t="shared" si="3602"/>
        <v>0</v>
      </c>
      <c r="AG640" s="421">
        <f t="shared" si="3602"/>
        <v>0</v>
      </c>
      <c r="AH640" s="421">
        <f t="shared" si="3602"/>
        <v>0</v>
      </c>
    </row>
    <row r="641" spans="3:34" x14ac:dyDescent="0.2">
      <c r="C641" s="1168" t="s">
        <v>2276</v>
      </c>
      <c r="D641" s="1170"/>
      <c r="E641" s="421">
        <f>E640</f>
        <v>0</v>
      </c>
      <c r="F641" s="236">
        <f t="shared" ref="F641" si="3603">IF($I612="N/A",0,IF(F623&gt;$I617,0,E641+F640))</f>
        <v>0</v>
      </c>
      <c r="G641" s="236">
        <f t="shared" ref="G641" si="3604">IF($I612="N/A",0,IF(G623&gt;$I617,0,F641+G640))</f>
        <v>0</v>
      </c>
      <c r="H641" s="236">
        <f t="shared" ref="H641" si="3605">IF($I612="N/A",0,IF(H623&gt;$I617,0,G641+H640))</f>
        <v>0</v>
      </c>
      <c r="I641" s="236">
        <f t="shared" ref="I641" si="3606">IF($I612="N/A",0,IF(I623&gt;$I617,0,H641+I640))</f>
        <v>0</v>
      </c>
      <c r="J641" s="236">
        <f t="shared" ref="J641" si="3607">IF($I612="N/A",0,IF(J623&gt;$I617,0,I641+J640))</f>
        <v>0</v>
      </c>
      <c r="K641" s="236">
        <f t="shared" ref="K641" si="3608">IF($I612="N/A",0,IF(K623&gt;$I617,0,J641+K640))</f>
        <v>0</v>
      </c>
      <c r="L641" s="236">
        <f t="shared" ref="L641" si="3609">IF($I612="N/A",0,IF(L623&gt;$I617,0,K641+L640))</f>
        <v>0</v>
      </c>
      <c r="M641" s="236">
        <f t="shared" ref="M641" si="3610">IF($I612="N/A",0,IF(M623&gt;$I617,0,L641+M640))</f>
        <v>0</v>
      </c>
      <c r="N641" s="236">
        <f t="shared" ref="N641" si="3611">IF($I612="N/A",0,IF(N623&gt;$I617,0,M641+N640))</f>
        <v>0</v>
      </c>
      <c r="O641" s="236">
        <f t="shared" ref="O641" si="3612">IF($I612="N/A",0,IF(O623&gt;$I617,0,N641+O640))</f>
        <v>0</v>
      </c>
      <c r="P641" s="236">
        <f t="shared" ref="P641" si="3613">IF($I612="N/A",0,IF(P623&gt;$I617,0,O641+P640))</f>
        <v>0</v>
      </c>
      <c r="Q641" s="236">
        <f t="shared" ref="Q641" si="3614">IF($I612="N/A",0,IF(Q623&gt;$I617,0,P641+Q640))</f>
        <v>0</v>
      </c>
      <c r="R641" s="236">
        <f t="shared" ref="R641" si="3615">IF($I612="N/A",0,IF(R623&gt;$I617,0,Q641+R640))</f>
        <v>0</v>
      </c>
      <c r="S641" s="446">
        <f t="shared" ref="S641" si="3616">IF($I612="N/A",0,IF(S623&gt;$I617,0,R641+S640))</f>
        <v>0</v>
      </c>
      <c r="T641" s="438">
        <f t="shared" ref="T641" si="3617">IF($I612="N/A",0,IF(T623&gt;$I617,0,S641+T640))</f>
        <v>0</v>
      </c>
      <c r="U641" s="236">
        <f t="shared" ref="U641" si="3618">IF($I612="N/A",0,IF(U623&gt;$I617,0,T641+U640))</f>
        <v>0</v>
      </c>
      <c r="V641" s="236">
        <f t="shared" ref="V641" si="3619">IF($I612="N/A",0,IF(V623&gt;$I617,0,U641+V640))</f>
        <v>0</v>
      </c>
      <c r="W641" s="236">
        <f t="shared" ref="W641" si="3620">IF($I612="N/A",0,IF(W623&gt;$I617,0,V641+W640))</f>
        <v>0</v>
      </c>
      <c r="X641" s="236">
        <f t="shared" ref="X641" si="3621">IF($I612="N/A",0,IF(X623&gt;$I617,0,W641+X640))</f>
        <v>0</v>
      </c>
      <c r="Y641" s="236">
        <f t="shared" ref="Y641" si="3622">IF($I612="N/A",0,IF(Y623&gt;$I617,0,X641+Y640))</f>
        <v>0</v>
      </c>
      <c r="Z641" s="236">
        <f t="shared" ref="Z641" si="3623">IF($I612="N/A",0,IF(Z623&gt;$I617,0,Y641+Z640))</f>
        <v>0</v>
      </c>
      <c r="AA641" s="236">
        <f t="shared" ref="AA641" si="3624">IF($I612="N/A",0,IF(AA623&gt;$I617,0,Z641+AA640))</f>
        <v>0</v>
      </c>
      <c r="AB641" s="236">
        <f t="shared" ref="AB641" si="3625">IF($I612="N/A",0,IF(AB623&gt;$I617,0,AA641+AB640))</f>
        <v>0</v>
      </c>
      <c r="AC641" s="236">
        <f t="shared" ref="AC641" si="3626">IF($I612="N/A",0,IF(AC623&gt;$I617,0,AB641+AC640))</f>
        <v>0</v>
      </c>
      <c r="AD641" s="236">
        <f t="shared" ref="AD641" si="3627">IF($I612="N/A",0,IF(AD623&gt;$I617,0,AC641+AD640))</f>
        <v>0</v>
      </c>
      <c r="AE641" s="236">
        <f t="shared" ref="AE641" si="3628">IF($I612="N/A",0,IF(AE623&gt;$I617,0,AD641+AE640))</f>
        <v>0</v>
      </c>
      <c r="AF641" s="236">
        <f t="shared" ref="AF641" si="3629">IF($I612="N/A",0,IF(AF623&gt;$I617,0,AE641+AF640))</f>
        <v>0</v>
      </c>
      <c r="AG641" s="236">
        <f t="shared" ref="AG641" si="3630">IF($I612="N/A",0,IF(AG623&gt;$I617,0,AF641+AG640))</f>
        <v>0</v>
      </c>
      <c r="AH641" s="236">
        <f t="shared" ref="AH641" si="3631">IF($I612="N/A",0,IF(AH623&gt;$I617,0,AG641+AH640))</f>
        <v>0</v>
      </c>
    </row>
    <row r="644" spans="3:34" ht="15" x14ac:dyDescent="0.2">
      <c r="C644" s="1456" t="str">
        <f>IF(Sources!$D$85="","N/A",Sources!$D$85)</f>
        <v>N/A</v>
      </c>
      <c r="D644" s="1456"/>
      <c r="E644" s="1456"/>
      <c r="F644" s="412" t="s">
        <v>2266</v>
      </c>
      <c r="G644" s="92" t="str">
        <f>IF(AND(ISERROR(VLOOKUP($C644,OpBudget!$C$159:$C$165,1,FALSE)),ISERROR(VLOOKUP($C644,Sources!$C$36:$C$55,1,FALSE))),"N/A",IF(ISERROR(VLOOKUP($C644,Sources!$C$36:$C$55,1,FALSE)),"Fee","Loan"))</f>
        <v>N/A</v>
      </c>
      <c r="H644" s="412"/>
      <c r="I644" s="412"/>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row>
    <row r="645" spans="3:34" ht="15" x14ac:dyDescent="0.2">
      <c r="C645" s="345"/>
      <c r="D645" s="345"/>
      <c r="E645" s="345"/>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row>
    <row r="646" spans="3:34" ht="15" x14ac:dyDescent="0.2">
      <c r="C646" s="417" t="s">
        <v>2260</v>
      </c>
      <c r="D646" s="345"/>
      <c r="E646" s="345"/>
      <c r="F646" s="74"/>
      <c r="G646" s="74" t="s">
        <v>2261</v>
      </c>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row>
    <row r="647" spans="3:34" x14ac:dyDescent="0.2">
      <c r="C647" s="1452" t="s">
        <v>2255</v>
      </c>
      <c r="D647" s="1452"/>
      <c r="E647" s="413" t="str">
        <f>IF(OR($G644="Fee",$G644="N/A"),"N/A",INDEX(Sources!$C$35:$K$55,MATCH(Loans!$C644,Sources!$C$35:$C$55,0),MATCH("Amount",Sources!$C$35:$N$35,0)))</f>
        <v>N/A</v>
      </c>
      <c r="F647" s="74"/>
      <c r="G647" s="1454" t="s">
        <v>2262</v>
      </c>
      <c r="H647" s="1454"/>
      <c r="I647" s="705" t="str">
        <f>IF(OR($G644="Loan",$G644="N/A"),"N/A",INDEX(OpBudget!$C$159:$K$165,MATCH(Loans!$C644,OpBudget!$C$159:$C$165,0),MATCH("Total Amount",OpBudget!$C$159:$K$159,0)))</f>
        <v>N/A</v>
      </c>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row>
    <row r="648" spans="3:34" x14ac:dyDescent="0.2">
      <c r="C648" s="1452" t="s">
        <v>2256</v>
      </c>
      <c r="D648" s="1452"/>
      <c r="E648" s="702" t="str">
        <f>IF(OR($G644="Fee",$G644="N/A"),"N/A",INDEX(Sources!$C$35:$K$55,MATCH(Loans!$C644,Sources!$C$35:$C$55,0),MATCH("Interest Rate",Sources!$C$35:$N$35,0)))</f>
        <v>N/A</v>
      </c>
      <c r="F648" s="74"/>
      <c r="G648" s="1454" t="s">
        <v>2268</v>
      </c>
      <c r="H648" s="1454"/>
      <c r="I648" s="703" t="str">
        <f>IF(OR($G644="Loan",$G644="N/A"),"N/A",INDEX(OpBudget!$C$159:$K$165,MATCH(Loans!$C644,OpBudget!$C$159:$C$165,0),MATCH("Annual Percent Inflator",OpBudget!$C$159:$K$159,0)))</f>
        <v>N/A</v>
      </c>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row>
    <row r="649" spans="3:34" x14ac:dyDescent="0.2">
      <c r="C649" s="1452" t="s">
        <v>2279</v>
      </c>
      <c r="D649" s="1452"/>
      <c r="E649" s="702" t="str">
        <f>IF(OR($G644="Fee",$G644="N/A"),"N/A",INDEX(Sources!$C$35:$N$55,MATCH(Loans!$C644,Sources!$C$35:$C$55,0),MATCH("Simple or Compound Interest?",Sources!$C$35:$N$35,0)))</f>
        <v>N/A</v>
      </c>
      <c r="F649" s="74"/>
      <c r="G649" s="424" t="s">
        <v>2263</v>
      </c>
      <c r="H649" s="424"/>
      <c r="I649" s="703" t="str">
        <f>IF(OR($G644="Loan",$G644="N/A"),"N/A",INDEX(Sources!$D$67:$H$82,MATCH(Loans!$C644,Sources!$D$67:$D$82,0),MATCH("Split of Cash Flow",Sources!$D$67:$H$67,0)))</f>
        <v>N/A</v>
      </c>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row>
    <row r="650" spans="3:34" x14ac:dyDescent="0.2">
      <c r="C650" s="1452" t="s">
        <v>2257</v>
      </c>
      <c r="D650" s="1452"/>
      <c r="E650" s="420" t="str">
        <f>IF(OR($G644="Fee",$G644="N/A"),"N/A",INDEX(Sources!$C$35:$K$55,MATCH(Loans!$C644,Sources!$C$35:$C$55,0),MATCH("Term (Years)",Sources!$C$35:$N$35,0)))</f>
        <v>N/A</v>
      </c>
      <c r="F650" s="74"/>
      <c r="G650" s="1454" t="s">
        <v>2281</v>
      </c>
      <c r="H650" s="1454"/>
      <c r="I650" s="703" t="str">
        <f>IF(OR($G644="Loan",$G644="N/A"),"N/A",INDEX(OpBudget!$C$159:$K$165,MATCH(Loans!$C644,OpBudget!$C$159:$C$165,0),MATCH("Accrue Unpaid Fee?",OpBudget!$C$159:$K$159,0)))</f>
        <v>N/A</v>
      </c>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row>
    <row r="651" spans="3:34" x14ac:dyDescent="0.2">
      <c r="C651" s="1452" t="s">
        <v>2284</v>
      </c>
      <c r="D651" s="1452"/>
      <c r="E651" s="420" t="str">
        <f>IF(OR($G644="Fee",$G644="N/A"),"N/A",INDEX(Sources!$D$67:$O$82,MATCH(Loans!$C644,Sources!$D$67:$D$82,0),MATCH("Beginning Payment Year",Sources!$D$67:$O$67,0)))</f>
        <v>N/A</v>
      </c>
      <c r="F651" s="74"/>
      <c r="G651" s="1454" t="s">
        <v>2293</v>
      </c>
      <c r="H651" s="1454"/>
      <c r="I651" s="705" t="str">
        <f>IF(OR($G644="Loan",$G644="N/A"),"N/A",IF(INDEX(OpBudget!$C$159:$K$165,MATCH(Loans!$C644,OpBudget!$C$159:$C$165,0),MATCH("Fee Cap (if applicable)",OpBudget!$C$159:$K$159,0))=0,"N/A",INDEX(OpBudget!$C$159:$K$165,MATCH(Loans!$C644,OpBudget!$C$159:$C$165,0),MATCH("Fee Cap (if applicable)",OpBudget!$C$159:$K$159,0))))</f>
        <v>N/A</v>
      </c>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row>
    <row r="652" spans="3:34" x14ac:dyDescent="0.2">
      <c r="C652" s="1452" t="s">
        <v>2267</v>
      </c>
      <c r="D652" s="1452"/>
      <c r="E652" s="703" t="str">
        <f>IF(OR($G644="Fee",$G644="N/A"),"N/A",INDEX(Sources!$D$67:$O$82,MATCH(Loans!$C644,Sources!$D$67:$D$82,0),MATCH("Split of Cash Flow",Sources!$D$67:$O$67,0)))</f>
        <v>N/A</v>
      </c>
      <c r="F652" s="1455"/>
      <c r="G652" s="1454" t="s">
        <v>2292</v>
      </c>
      <c r="H652" s="1454"/>
      <c r="I652" s="420" t="str">
        <f>IF(OR($G644="Loan",$G644="N/A"),"N/A",INDEX(OpBudget!$C$159:$K$165,MATCH(Loans!$C644,OpBudget!$C$159:$C$165,0),MATCH("Number of Years Fee Exists",OpBudget!$C$159:$K$159,0)))</f>
        <v>N/A</v>
      </c>
      <c r="J652" s="74"/>
      <c r="K652" s="74"/>
      <c r="L652" s="74" t="s">
        <v>2278</v>
      </c>
      <c r="M652" s="74"/>
      <c r="N652" s="74"/>
      <c r="O652" s="74"/>
      <c r="P652" s="74"/>
      <c r="Q652" s="74"/>
      <c r="R652" s="74"/>
      <c r="S652" s="74"/>
      <c r="T652" s="74"/>
      <c r="U652" s="74"/>
      <c r="V652" s="74"/>
      <c r="W652" s="74"/>
      <c r="X652" s="74"/>
      <c r="Y652" s="74"/>
      <c r="Z652" s="74"/>
      <c r="AA652" s="74"/>
      <c r="AB652" s="74"/>
      <c r="AC652" s="74"/>
      <c r="AD652" s="74"/>
      <c r="AE652" s="74"/>
      <c r="AF652" s="74"/>
      <c r="AG652" s="74"/>
      <c r="AH652" s="74"/>
    </row>
    <row r="653" spans="3:34" x14ac:dyDescent="0.2">
      <c r="C653" s="1452" t="s">
        <v>2289</v>
      </c>
      <c r="D653" s="1452"/>
      <c r="E653" s="704" t="str">
        <f>IF(OR($G644="Fee",$G644="N/A"),"N/A",INDEX(Sources!$D$67:$O$82,MATCH(Loans!$C644,Sources!$D$67:$D$82,0),MATCH("Pari Passu?",Sources!$D$67:$O$67,0)))</f>
        <v>N/A</v>
      </c>
      <c r="F653" s="1455"/>
      <c r="G653" s="424"/>
      <c r="H653" s="424"/>
      <c r="I653" s="526"/>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row>
    <row r="654" spans="3:34" x14ac:dyDescent="0.2">
      <c r="C654" s="1452" t="s">
        <v>2295</v>
      </c>
      <c r="D654" s="1452"/>
      <c r="E654" s="703" t="str">
        <f>IF(OR($G644="Fee",$G644="N/A"),"N/A",INDEX(Sources!$D$67:$O$82,MATCH(Loans!$C644,Sources!$D$67:$D$82,0),MATCH("Shared Position Split of Cash Flow",Sources!$D$67:$O$67,0)))</f>
        <v>N/A</v>
      </c>
      <c r="F654" s="532"/>
      <c r="G654" s="424"/>
      <c r="H654" s="424"/>
      <c r="I654" s="526"/>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row>
    <row r="655" spans="3:34" x14ac:dyDescent="0.2">
      <c r="C655" s="1452" t="s">
        <v>2291</v>
      </c>
      <c r="D655" s="1452"/>
      <c r="E655" s="704" t="str">
        <f>IF(OR($G644="Fee",$G644="N/A"),"N/A",INDEX(Sources!$D$67:$O$82,MATCH(Loans!$C644,Sources!$D$67:$D$82,0),MATCH("Deferred Loan?",Sources!$D$67:$O$67,0)))</f>
        <v>N/A</v>
      </c>
      <c r="F655" s="74"/>
      <c r="G655" s="424"/>
      <c r="H655" s="424"/>
      <c r="I655" s="526"/>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row>
    <row r="656" spans="3:34" x14ac:dyDescent="0.2">
      <c r="C656" s="1452" t="s">
        <v>2277</v>
      </c>
      <c r="D656" s="1452"/>
      <c r="E656" s="705" t="str">
        <f>IF(OR(E647=0,E647="N/A"),"N/A",INDEX($C658:$AH670,MATCH("Ending Principal Balance",$C658:$C670,0),MATCH($E650,$C658:$AH658,0)))</f>
        <v>N/A</v>
      </c>
      <c r="F656" s="74"/>
      <c r="G656" s="74"/>
      <c r="H656" s="74" t="s">
        <v>2278</v>
      </c>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row>
    <row r="657" spans="3:34" ht="15" x14ac:dyDescent="0.2">
      <c r="C657" s="345"/>
      <c r="D657" s="345"/>
      <c r="E657" s="345"/>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row>
    <row r="658" spans="3:34" ht="15" x14ac:dyDescent="0.2">
      <c r="C658" s="309"/>
      <c r="D658" s="309"/>
      <c r="E658" s="310">
        <v>1</v>
      </c>
      <c r="F658" s="310">
        <f>E658+1</f>
        <v>2</v>
      </c>
      <c r="G658" s="310">
        <f t="shared" ref="G658" si="3632">F658+1</f>
        <v>3</v>
      </c>
      <c r="H658" s="310">
        <f t="shared" ref="H658" si="3633">G658+1</f>
        <v>4</v>
      </c>
      <c r="I658" s="310">
        <f t="shared" ref="I658" si="3634">H658+1</f>
        <v>5</v>
      </c>
      <c r="J658" s="310">
        <f t="shared" ref="J658" si="3635">I658+1</f>
        <v>6</v>
      </c>
      <c r="K658" s="310">
        <f t="shared" ref="K658" si="3636">J658+1</f>
        <v>7</v>
      </c>
      <c r="L658" s="310">
        <f t="shared" ref="L658" si="3637">K658+1</f>
        <v>8</v>
      </c>
      <c r="M658" s="310">
        <f t="shared" ref="M658" si="3638">L658+1</f>
        <v>9</v>
      </c>
      <c r="N658" s="310">
        <f t="shared" ref="N658" si="3639">M658+1</f>
        <v>10</v>
      </c>
      <c r="O658" s="310">
        <f t="shared" ref="O658" si="3640">N658+1</f>
        <v>11</v>
      </c>
      <c r="P658" s="310">
        <f t="shared" ref="P658" si="3641">O658+1</f>
        <v>12</v>
      </c>
      <c r="Q658" s="310">
        <f t="shared" ref="Q658" si="3642">P658+1</f>
        <v>13</v>
      </c>
      <c r="R658" s="310">
        <f t="shared" ref="R658" si="3643">Q658+1</f>
        <v>14</v>
      </c>
      <c r="S658" s="448">
        <f t="shared" ref="S658" si="3644">R658+1</f>
        <v>15</v>
      </c>
      <c r="T658" s="428">
        <f t="shared" ref="T658" si="3645">S658+1</f>
        <v>16</v>
      </c>
      <c r="U658" s="310">
        <f t="shared" ref="U658" si="3646">T658+1</f>
        <v>17</v>
      </c>
      <c r="V658" s="310">
        <f t="shared" ref="V658" si="3647">U658+1</f>
        <v>18</v>
      </c>
      <c r="W658" s="310">
        <f t="shared" ref="W658" si="3648">V658+1</f>
        <v>19</v>
      </c>
      <c r="X658" s="310">
        <f t="shared" ref="X658" si="3649">W658+1</f>
        <v>20</v>
      </c>
      <c r="Y658" s="310">
        <f t="shared" ref="Y658" si="3650">X658+1</f>
        <v>21</v>
      </c>
      <c r="Z658" s="310">
        <f t="shared" ref="Z658" si="3651">Y658+1</f>
        <v>22</v>
      </c>
      <c r="AA658" s="310">
        <f t="shared" ref="AA658" si="3652">Z658+1</f>
        <v>23</v>
      </c>
      <c r="AB658" s="310">
        <f t="shared" ref="AB658" si="3653">AA658+1</f>
        <v>24</v>
      </c>
      <c r="AC658" s="310">
        <f t="shared" ref="AC658" si="3654">AB658+1</f>
        <v>25</v>
      </c>
      <c r="AD658" s="310">
        <f t="shared" ref="AD658" si="3655">AC658+1</f>
        <v>26</v>
      </c>
      <c r="AE658" s="310">
        <f t="shared" ref="AE658" si="3656">AD658+1</f>
        <v>27</v>
      </c>
      <c r="AF658" s="310">
        <f t="shared" ref="AF658" si="3657">AE658+1</f>
        <v>28</v>
      </c>
      <c r="AG658" s="310">
        <f t="shared" ref="AG658" si="3658">AF658+1</f>
        <v>29</v>
      </c>
      <c r="AH658" s="310">
        <f t="shared" ref="AH658" si="3659">AG658+1</f>
        <v>30</v>
      </c>
    </row>
    <row r="659" spans="3:34" ht="15" x14ac:dyDescent="0.2">
      <c r="C659" s="309"/>
      <c r="D659" s="309"/>
      <c r="E659" s="314" t="str">
        <f>IF(Details!$E$171="","",Details!$E$171)</f>
        <v/>
      </c>
      <c r="F659" s="314" t="str">
        <f>IF($E$7="","",E$7+1)</f>
        <v/>
      </c>
      <c r="G659" s="314" t="str">
        <f t="shared" ref="G659" si="3660">IF($E$7="","",F$7+1)</f>
        <v/>
      </c>
      <c r="H659" s="314" t="str">
        <f t="shared" ref="H659" si="3661">IF($E$7="","",G$7+1)</f>
        <v/>
      </c>
      <c r="I659" s="314" t="str">
        <f t="shared" ref="I659" si="3662">IF($E$7="","",H$7+1)</f>
        <v/>
      </c>
      <c r="J659" s="314" t="str">
        <f t="shared" ref="J659" si="3663">IF($E$7="","",I$7+1)</f>
        <v/>
      </c>
      <c r="K659" s="314" t="str">
        <f t="shared" ref="K659" si="3664">IF($E$7="","",J$7+1)</f>
        <v/>
      </c>
      <c r="L659" s="314" t="str">
        <f t="shared" ref="L659" si="3665">IF($E$7="","",K$7+1)</f>
        <v/>
      </c>
      <c r="M659" s="314" t="str">
        <f t="shared" ref="M659" si="3666">IF($E$7="","",L$7+1)</f>
        <v/>
      </c>
      <c r="N659" s="314" t="str">
        <f t="shared" ref="N659" si="3667">IF($E$7="","",M$7+1)</f>
        <v/>
      </c>
      <c r="O659" s="314" t="str">
        <f t="shared" ref="O659" si="3668">IF($E$7="","",N$7+1)</f>
        <v/>
      </c>
      <c r="P659" s="314" t="str">
        <f t="shared" ref="P659" si="3669">IF($E$7="","",O$7+1)</f>
        <v/>
      </c>
      <c r="Q659" s="314" t="str">
        <f t="shared" ref="Q659" si="3670">IF($E$7="","",P$7+1)</f>
        <v/>
      </c>
      <c r="R659" s="314" t="str">
        <f t="shared" ref="R659" si="3671">IF($E$7="","",Q$7+1)</f>
        <v/>
      </c>
      <c r="S659" s="440" t="str">
        <f t="shared" ref="S659" si="3672">IF($E$7="","",R$7+1)</f>
        <v/>
      </c>
      <c r="T659" s="433" t="str">
        <f t="shared" ref="T659" si="3673">IF($E$7="","",S$7+1)</f>
        <v/>
      </c>
      <c r="U659" s="314" t="str">
        <f t="shared" ref="U659" si="3674">IF($E$7="","",T$7+1)</f>
        <v/>
      </c>
      <c r="V659" s="314" t="str">
        <f t="shared" ref="V659" si="3675">IF($E$7="","",U$7+1)</f>
        <v/>
      </c>
      <c r="W659" s="314" t="str">
        <f t="shared" ref="W659" si="3676">IF($E$7="","",V$7+1)</f>
        <v/>
      </c>
      <c r="X659" s="314" t="str">
        <f t="shared" ref="X659" si="3677">IF($E$7="","",W$7+1)</f>
        <v/>
      </c>
      <c r="Y659" s="314" t="str">
        <f t="shared" ref="Y659" si="3678">IF($E$7="","",X$7+1)</f>
        <v/>
      </c>
      <c r="Z659" s="314" t="str">
        <f t="shared" ref="Z659" si="3679">IF($E$7="","",Y$7+1)</f>
        <v/>
      </c>
      <c r="AA659" s="314" t="str">
        <f t="shared" ref="AA659" si="3680">IF($E$7="","",Z$7+1)</f>
        <v/>
      </c>
      <c r="AB659" s="314" t="str">
        <f t="shared" ref="AB659" si="3681">IF($E$7="","",AA$7+1)</f>
        <v/>
      </c>
      <c r="AC659" s="314" t="str">
        <f t="shared" ref="AC659" si="3682">IF($E$7="","",AB$7+1)</f>
        <v/>
      </c>
      <c r="AD659" s="314" t="str">
        <f t="shared" ref="AD659" si="3683">IF($E$7="","",AC$7+1)</f>
        <v/>
      </c>
      <c r="AE659" s="314" t="str">
        <f t="shared" ref="AE659" si="3684">IF($E$7="","",AD$7+1)</f>
        <v/>
      </c>
      <c r="AF659" s="314" t="str">
        <f t="shared" ref="AF659" si="3685">IF($E$7="","",AE$7+1)</f>
        <v/>
      </c>
      <c r="AG659" s="314" t="str">
        <f t="shared" ref="AG659" si="3686">IF($E$7="","",AF$7+1)</f>
        <v/>
      </c>
      <c r="AH659" s="314" t="str">
        <f t="shared" ref="AH659" si="3687">IF($E$7="","",AG$7+1)</f>
        <v/>
      </c>
    </row>
    <row r="660" spans="3:34" x14ac:dyDescent="0.2">
      <c r="C660" s="1168" t="s">
        <v>2254</v>
      </c>
      <c r="D660" s="1169"/>
      <c r="E660" s="109">
        <f>E625-E634-E638</f>
        <v>0</v>
      </c>
      <c r="F660" s="109">
        <f t="shared" ref="F660:AH660" si="3688">F625-F634-F638</f>
        <v>0</v>
      </c>
      <c r="G660" s="109">
        <f t="shared" si="3688"/>
        <v>0</v>
      </c>
      <c r="H660" s="109">
        <f t="shared" si="3688"/>
        <v>0</v>
      </c>
      <c r="I660" s="109">
        <f t="shared" si="3688"/>
        <v>0</v>
      </c>
      <c r="J660" s="109">
        <f t="shared" si="3688"/>
        <v>0</v>
      </c>
      <c r="K660" s="109">
        <f t="shared" si="3688"/>
        <v>0</v>
      </c>
      <c r="L660" s="109">
        <f t="shared" si="3688"/>
        <v>0</v>
      </c>
      <c r="M660" s="109">
        <f t="shared" si="3688"/>
        <v>0</v>
      </c>
      <c r="N660" s="109">
        <f t="shared" si="3688"/>
        <v>0</v>
      </c>
      <c r="O660" s="109">
        <f t="shared" si="3688"/>
        <v>0</v>
      </c>
      <c r="P660" s="109">
        <f t="shared" si="3688"/>
        <v>0</v>
      </c>
      <c r="Q660" s="109">
        <f t="shared" si="3688"/>
        <v>0</v>
      </c>
      <c r="R660" s="109">
        <f t="shared" si="3688"/>
        <v>0</v>
      </c>
      <c r="S660" s="331">
        <f t="shared" si="3688"/>
        <v>0</v>
      </c>
      <c r="T660" s="228">
        <f t="shared" si="3688"/>
        <v>0</v>
      </c>
      <c r="U660" s="109">
        <f t="shared" si="3688"/>
        <v>0</v>
      </c>
      <c r="V660" s="109">
        <f t="shared" si="3688"/>
        <v>0</v>
      </c>
      <c r="W660" s="109">
        <f t="shared" si="3688"/>
        <v>0</v>
      </c>
      <c r="X660" s="109">
        <f t="shared" si="3688"/>
        <v>0</v>
      </c>
      <c r="Y660" s="109">
        <f t="shared" si="3688"/>
        <v>0</v>
      </c>
      <c r="Z660" s="109">
        <f t="shared" si="3688"/>
        <v>0</v>
      </c>
      <c r="AA660" s="109">
        <f t="shared" si="3688"/>
        <v>0</v>
      </c>
      <c r="AB660" s="109">
        <f t="shared" si="3688"/>
        <v>0</v>
      </c>
      <c r="AC660" s="109">
        <f t="shared" si="3688"/>
        <v>0</v>
      </c>
      <c r="AD660" s="109">
        <f t="shared" si="3688"/>
        <v>0</v>
      </c>
      <c r="AE660" s="109">
        <f t="shared" si="3688"/>
        <v>0</v>
      </c>
      <c r="AF660" s="109">
        <f t="shared" si="3688"/>
        <v>0</v>
      </c>
      <c r="AG660" s="109">
        <f t="shared" si="3688"/>
        <v>0</v>
      </c>
      <c r="AH660" s="109">
        <f t="shared" si="3688"/>
        <v>0</v>
      </c>
    </row>
    <row r="661" spans="3:34" ht="15" x14ac:dyDescent="0.2">
      <c r="C661" s="345"/>
      <c r="D661" s="345"/>
      <c r="E661" s="345"/>
      <c r="F661" s="74"/>
      <c r="G661" s="74"/>
      <c r="H661" s="74"/>
      <c r="I661" s="74"/>
      <c r="J661" s="74"/>
      <c r="K661" s="74"/>
      <c r="L661" s="74"/>
      <c r="M661" s="74"/>
      <c r="N661" s="74"/>
      <c r="O661" s="74"/>
      <c r="P661" s="74"/>
      <c r="Q661" s="74"/>
      <c r="R661" s="74"/>
      <c r="S661" s="333"/>
      <c r="T661" s="74"/>
      <c r="U661" s="74"/>
      <c r="V661" s="74"/>
      <c r="W661" s="74"/>
      <c r="X661" s="74"/>
      <c r="Y661" s="74"/>
      <c r="Z661" s="74"/>
      <c r="AA661" s="74"/>
      <c r="AB661" s="74"/>
      <c r="AC661" s="74"/>
      <c r="AD661" s="74"/>
      <c r="AE661" s="74"/>
      <c r="AF661" s="74"/>
      <c r="AG661" s="74"/>
      <c r="AH661" s="74"/>
    </row>
    <row r="662" spans="3:34" ht="15" x14ac:dyDescent="0.2">
      <c r="C662" s="432" t="s">
        <v>2286</v>
      </c>
      <c r="D662" s="345"/>
      <c r="E662" s="345"/>
      <c r="F662" s="74"/>
      <c r="G662" s="74"/>
      <c r="H662" s="74"/>
      <c r="I662" s="74"/>
      <c r="J662" s="74"/>
      <c r="K662" s="74"/>
      <c r="L662" s="74"/>
      <c r="M662" s="74"/>
      <c r="N662" s="74"/>
      <c r="O662" s="74"/>
      <c r="P662" s="74"/>
      <c r="Q662" s="74"/>
      <c r="R662" s="74"/>
      <c r="S662" s="333"/>
      <c r="T662" s="74"/>
      <c r="U662" s="74"/>
      <c r="V662" s="74"/>
      <c r="W662" s="74"/>
      <c r="X662" s="74"/>
      <c r="Y662" s="74"/>
      <c r="Z662" s="74"/>
      <c r="AA662" s="74"/>
      <c r="AB662" s="74"/>
      <c r="AC662" s="74"/>
      <c r="AD662" s="74"/>
      <c r="AE662" s="74"/>
      <c r="AF662" s="74"/>
      <c r="AG662" s="74"/>
      <c r="AH662" s="74"/>
    </row>
    <row r="663" spans="3:34" ht="15" thickBot="1" x14ac:dyDescent="0.25">
      <c r="C663" s="1453" t="s">
        <v>2285</v>
      </c>
      <c r="D663" s="1453"/>
      <c r="E663" s="423">
        <f>IF(OR($E647="N/A",$E647=0),0,IF($E653="Yes",(E660*$E652*$E654),E660*$E652))</f>
        <v>0</v>
      </c>
      <c r="F663" s="423">
        <f t="shared" ref="F663:AH663" si="3689">IF(OR($E647="N/A",$E647=0),0,IF($E653="Yes",(F660*$E652*$E654),F660*$E652))</f>
        <v>0</v>
      </c>
      <c r="G663" s="423">
        <f t="shared" si="3689"/>
        <v>0</v>
      </c>
      <c r="H663" s="423">
        <f t="shared" si="3689"/>
        <v>0</v>
      </c>
      <c r="I663" s="423">
        <f t="shared" si="3689"/>
        <v>0</v>
      </c>
      <c r="J663" s="423">
        <f t="shared" si="3689"/>
        <v>0</v>
      </c>
      <c r="K663" s="423">
        <f t="shared" si="3689"/>
        <v>0</v>
      </c>
      <c r="L663" s="423">
        <f t="shared" si="3689"/>
        <v>0</v>
      </c>
      <c r="M663" s="423">
        <f t="shared" si="3689"/>
        <v>0</v>
      </c>
      <c r="N663" s="423">
        <f t="shared" si="3689"/>
        <v>0</v>
      </c>
      <c r="O663" s="423">
        <f t="shared" si="3689"/>
        <v>0</v>
      </c>
      <c r="P663" s="423">
        <f t="shared" si="3689"/>
        <v>0</v>
      </c>
      <c r="Q663" s="423">
        <f t="shared" si="3689"/>
        <v>0</v>
      </c>
      <c r="R663" s="423">
        <f t="shared" si="3689"/>
        <v>0</v>
      </c>
      <c r="S663" s="441">
        <f t="shared" si="3689"/>
        <v>0</v>
      </c>
      <c r="T663" s="434">
        <f t="shared" si="3689"/>
        <v>0</v>
      </c>
      <c r="U663" s="423">
        <f t="shared" si="3689"/>
        <v>0</v>
      </c>
      <c r="V663" s="423">
        <f t="shared" si="3689"/>
        <v>0</v>
      </c>
      <c r="W663" s="423">
        <f t="shared" si="3689"/>
        <v>0</v>
      </c>
      <c r="X663" s="423">
        <f t="shared" si="3689"/>
        <v>0</v>
      </c>
      <c r="Y663" s="423">
        <f t="shared" si="3689"/>
        <v>0</v>
      </c>
      <c r="Z663" s="423">
        <f t="shared" si="3689"/>
        <v>0</v>
      </c>
      <c r="AA663" s="423">
        <f t="shared" si="3689"/>
        <v>0</v>
      </c>
      <c r="AB663" s="423">
        <f t="shared" si="3689"/>
        <v>0</v>
      </c>
      <c r="AC663" s="423">
        <f t="shared" si="3689"/>
        <v>0</v>
      </c>
      <c r="AD663" s="423">
        <f t="shared" si="3689"/>
        <v>0</v>
      </c>
      <c r="AE663" s="423">
        <f t="shared" si="3689"/>
        <v>0</v>
      </c>
      <c r="AF663" s="423">
        <f t="shared" si="3689"/>
        <v>0</v>
      </c>
      <c r="AG663" s="423">
        <f t="shared" si="3689"/>
        <v>0</v>
      </c>
      <c r="AH663" s="423">
        <f t="shared" si="3689"/>
        <v>0</v>
      </c>
    </row>
    <row r="664" spans="3:34" ht="15" thickTop="1" x14ac:dyDescent="0.2">
      <c r="C664" s="1449" t="s">
        <v>2189</v>
      </c>
      <c r="D664" s="1449"/>
      <c r="E664" s="316">
        <f>IF(OR($E647="N/A",E658&gt;$E650,E658&lt;$E651),0,MAX(0,E647))</f>
        <v>0</v>
      </c>
      <c r="F664" s="316">
        <f t="shared" ref="F664" si="3690">IF(OR($E647="N/A",F658&gt;$E650),0,IF(F658=$E651,$E647,MAX(E670,0)))</f>
        <v>0</v>
      </c>
      <c r="G664" s="316">
        <f t="shared" ref="G664" si="3691">IF(OR($E647="N/A",G658&gt;$E650),0,IF(G658=$E651,$E647,MAX(F670,0)))</f>
        <v>0</v>
      </c>
      <c r="H664" s="316">
        <f t="shared" ref="H664" si="3692">IF(OR($E647="N/A",H658&gt;$E650),0,IF(H658=$E651,$E647,MAX(G670,0)))</f>
        <v>0</v>
      </c>
      <c r="I664" s="316">
        <f t="shared" ref="I664" si="3693">IF(OR($E647="N/A",I658&gt;$E650),0,IF(I658=$E651,$E647,MAX(H670,0)))</f>
        <v>0</v>
      </c>
      <c r="J664" s="316">
        <f t="shared" ref="J664" si="3694">IF(OR($E647="N/A",J658&gt;$E650),0,IF(J658=$E651,$E647,MAX(I670,0)))</f>
        <v>0</v>
      </c>
      <c r="K664" s="316">
        <f t="shared" ref="K664" si="3695">IF(OR($E647="N/A",K658&gt;$E650),0,IF(K658=$E651,$E647,MAX(J670,0)))</f>
        <v>0</v>
      </c>
      <c r="L664" s="316">
        <f t="shared" ref="L664" si="3696">IF(OR($E647="N/A",L658&gt;$E650),0,IF(L658=$E651,$E647,MAX(K670,0)))</f>
        <v>0</v>
      </c>
      <c r="M664" s="316">
        <f t="shared" ref="M664" si="3697">IF(OR($E647="N/A",M658&gt;$E650),0,IF(M658=$E651,$E647,MAX(L670,0)))</f>
        <v>0</v>
      </c>
      <c r="N664" s="316">
        <f t="shared" ref="N664" si="3698">IF(OR($E647="N/A",N658&gt;$E650),0,IF(N658=$E651,$E647,MAX(M670,0)))</f>
        <v>0</v>
      </c>
      <c r="O664" s="316">
        <f t="shared" ref="O664" si="3699">IF(OR($E647="N/A",O658&gt;$E650),0,IF(O658=$E651,$E647,MAX(N670,0)))</f>
        <v>0</v>
      </c>
      <c r="P664" s="316">
        <f t="shared" ref="P664" si="3700">IF(OR($E647="N/A",P658&gt;$E650),0,IF(P658=$E651,$E647,MAX(O670,0)))</f>
        <v>0</v>
      </c>
      <c r="Q664" s="316">
        <f t="shared" ref="Q664" si="3701">IF(OR($E647="N/A",Q658&gt;$E650),0,IF(Q658=$E651,$E647,MAX(P670,0)))</f>
        <v>0</v>
      </c>
      <c r="R664" s="316">
        <f t="shared" ref="R664" si="3702">IF(OR($E647="N/A",R658&gt;$E650),0,IF(R658=$E651,$E647,MAX(Q670,0)))</f>
        <v>0</v>
      </c>
      <c r="S664" s="332">
        <f t="shared" ref="S664" si="3703">IF(OR($E647="N/A",S658&gt;$E650),0,IF(S658=$E651,$E647,MAX(R670,0)))</f>
        <v>0</v>
      </c>
      <c r="T664" s="429">
        <f t="shared" ref="T664" si="3704">IF(OR($E647="N/A",T658&gt;$E650),0,IF(T658=$E651,$E647,MAX(S670,0)))</f>
        <v>0</v>
      </c>
      <c r="U664" s="316">
        <f t="shared" ref="U664" si="3705">IF(OR($E647="N/A",U658&gt;$E650),0,IF(U658=$E651,$E647,MAX(T670,0)))</f>
        <v>0</v>
      </c>
      <c r="V664" s="316">
        <f t="shared" ref="V664" si="3706">IF(OR($E647="N/A",V658&gt;$E650),0,IF(V658=$E651,$E647,MAX(U670,0)))</f>
        <v>0</v>
      </c>
      <c r="W664" s="316">
        <f t="shared" ref="W664" si="3707">IF(OR($E647="N/A",W658&gt;$E650),0,IF(W658=$E651,$E647,MAX(V670,0)))</f>
        <v>0</v>
      </c>
      <c r="X664" s="316">
        <f t="shared" ref="X664" si="3708">IF(OR($E647="N/A",X658&gt;$E650),0,IF(X658=$E651,$E647,MAX(W670,0)))</f>
        <v>0</v>
      </c>
      <c r="Y664" s="316">
        <f t="shared" ref="Y664" si="3709">IF(OR($E647="N/A",Y658&gt;$E650),0,IF(Y658=$E651,$E647,MAX(X670,0)))</f>
        <v>0</v>
      </c>
      <c r="Z664" s="316">
        <f t="shared" ref="Z664" si="3710">IF(OR($E647="N/A",Z658&gt;$E650),0,IF(Z658=$E651,$E647,MAX(Y670,0)))</f>
        <v>0</v>
      </c>
      <c r="AA664" s="316">
        <f t="shared" ref="AA664" si="3711">IF(OR($E647="N/A",AA658&gt;$E650),0,IF(AA658=$E651,$E647,MAX(Z670,0)))</f>
        <v>0</v>
      </c>
      <c r="AB664" s="316">
        <f t="shared" ref="AB664" si="3712">IF(OR($E647="N/A",AB658&gt;$E650),0,IF(AB658=$E651,$E647,MAX(AA670,0)))</f>
        <v>0</v>
      </c>
      <c r="AC664" s="316">
        <f t="shared" ref="AC664" si="3713">IF(OR($E647="N/A",AC658&gt;$E650),0,IF(AC658=$E651,$E647,MAX(AB670,0)))</f>
        <v>0</v>
      </c>
      <c r="AD664" s="316">
        <f t="shared" ref="AD664" si="3714">IF(OR($E647="N/A",AD658&gt;$E650),0,IF(AD658=$E651,$E647,MAX(AC670,0)))</f>
        <v>0</v>
      </c>
      <c r="AE664" s="316">
        <f t="shared" ref="AE664" si="3715">IF(OR($E647="N/A",AE658&gt;$E650),0,IF(AE658=$E651,$E647,MAX(AD670,0)))</f>
        <v>0</v>
      </c>
      <c r="AF664" s="316">
        <f t="shared" ref="AF664" si="3716">IF(OR($E647="N/A",AF658&gt;$E650),0,IF(AF658=$E651,$E647,MAX(AE670,0)))</f>
        <v>0</v>
      </c>
      <c r="AG664" s="316">
        <f t="shared" ref="AG664" si="3717">IF(OR($E647="N/A",AG658&gt;$E650),0,IF(AG658=$E651,$E647,MAX(AF670,0)))</f>
        <v>0</v>
      </c>
      <c r="AH664" s="316">
        <f t="shared" ref="AH664" si="3718">IF(OR($E647="N/A",AH658&gt;$E650),0,IF(AH658=$E651,$E647,MAX(AG670,0)))</f>
        <v>0</v>
      </c>
    </row>
    <row r="665" spans="3:34" x14ac:dyDescent="0.2">
      <c r="C665" s="1181" t="s">
        <v>2186</v>
      </c>
      <c r="D665" s="1181"/>
      <c r="E665" s="109">
        <f t="shared" ref="E665:AH665" si="3719">IF(OR($E647="N/A",E658&gt;$E650,E658&lt;$E651),0,E664*$E648)</f>
        <v>0</v>
      </c>
      <c r="F665" s="109">
        <f t="shared" si="3719"/>
        <v>0</v>
      </c>
      <c r="G665" s="109">
        <f t="shared" si="3719"/>
        <v>0</v>
      </c>
      <c r="H665" s="109">
        <f t="shared" si="3719"/>
        <v>0</v>
      </c>
      <c r="I665" s="109">
        <f t="shared" si="3719"/>
        <v>0</v>
      </c>
      <c r="J665" s="109">
        <f t="shared" si="3719"/>
        <v>0</v>
      </c>
      <c r="K665" s="109">
        <f t="shared" si="3719"/>
        <v>0</v>
      </c>
      <c r="L665" s="109">
        <f t="shared" si="3719"/>
        <v>0</v>
      </c>
      <c r="M665" s="109">
        <f t="shared" si="3719"/>
        <v>0</v>
      </c>
      <c r="N665" s="109">
        <f t="shared" si="3719"/>
        <v>0</v>
      </c>
      <c r="O665" s="109">
        <f t="shared" si="3719"/>
        <v>0</v>
      </c>
      <c r="P665" s="109">
        <f t="shared" si="3719"/>
        <v>0</v>
      </c>
      <c r="Q665" s="109">
        <f t="shared" si="3719"/>
        <v>0</v>
      </c>
      <c r="R665" s="109">
        <f t="shared" si="3719"/>
        <v>0</v>
      </c>
      <c r="S665" s="331">
        <f t="shared" si="3719"/>
        <v>0</v>
      </c>
      <c r="T665" s="228">
        <f t="shared" si="3719"/>
        <v>0</v>
      </c>
      <c r="U665" s="109">
        <f t="shared" si="3719"/>
        <v>0</v>
      </c>
      <c r="V665" s="109">
        <f t="shared" si="3719"/>
        <v>0</v>
      </c>
      <c r="W665" s="109">
        <f t="shared" si="3719"/>
        <v>0</v>
      </c>
      <c r="X665" s="109">
        <f t="shared" si="3719"/>
        <v>0</v>
      </c>
      <c r="Y665" s="109">
        <f t="shared" si="3719"/>
        <v>0</v>
      </c>
      <c r="Z665" s="109">
        <f t="shared" si="3719"/>
        <v>0</v>
      </c>
      <c r="AA665" s="109">
        <f t="shared" si="3719"/>
        <v>0</v>
      </c>
      <c r="AB665" s="109">
        <f t="shared" si="3719"/>
        <v>0</v>
      </c>
      <c r="AC665" s="109">
        <f t="shared" si="3719"/>
        <v>0</v>
      </c>
      <c r="AD665" s="109">
        <f t="shared" si="3719"/>
        <v>0</v>
      </c>
      <c r="AE665" s="109">
        <f t="shared" si="3719"/>
        <v>0</v>
      </c>
      <c r="AF665" s="109">
        <f t="shared" si="3719"/>
        <v>0</v>
      </c>
      <c r="AG665" s="109">
        <f t="shared" si="3719"/>
        <v>0</v>
      </c>
      <c r="AH665" s="109">
        <f t="shared" si="3719"/>
        <v>0</v>
      </c>
    </row>
    <row r="666" spans="3:34" x14ac:dyDescent="0.2">
      <c r="C666" s="1181" t="s">
        <v>2270</v>
      </c>
      <c r="D666" s="1181"/>
      <c r="E666" s="346">
        <f t="shared" ref="E666:AH666" si="3720">IF(OR($E647="N/A",E658&gt;$E650,E658&lt;$E651),0,MAX(0,MIN(E665,E663)))</f>
        <v>0</v>
      </c>
      <c r="F666" s="346">
        <f t="shared" si="3720"/>
        <v>0</v>
      </c>
      <c r="G666" s="346">
        <f t="shared" si="3720"/>
        <v>0</v>
      </c>
      <c r="H666" s="346">
        <f t="shared" si="3720"/>
        <v>0</v>
      </c>
      <c r="I666" s="346">
        <f t="shared" si="3720"/>
        <v>0</v>
      </c>
      <c r="J666" s="346">
        <f t="shared" si="3720"/>
        <v>0</v>
      </c>
      <c r="K666" s="346">
        <f t="shared" si="3720"/>
        <v>0</v>
      </c>
      <c r="L666" s="346">
        <f t="shared" si="3720"/>
        <v>0</v>
      </c>
      <c r="M666" s="346">
        <f t="shared" si="3720"/>
        <v>0</v>
      </c>
      <c r="N666" s="346">
        <f t="shared" si="3720"/>
        <v>0</v>
      </c>
      <c r="O666" s="346">
        <f t="shared" si="3720"/>
        <v>0</v>
      </c>
      <c r="P666" s="346">
        <f t="shared" si="3720"/>
        <v>0</v>
      </c>
      <c r="Q666" s="346">
        <f t="shared" si="3720"/>
        <v>0</v>
      </c>
      <c r="R666" s="346">
        <f t="shared" si="3720"/>
        <v>0</v>
      </c>
      <c r="S666" s="442">
        <f t="shared" si="3720"/>
        <v>0</v>
      </c>
      <c r="T666" s="435">
        <f t="shared" si="3720"/>
        <v>0</v>
      </c>
      <c r="U666" s="346">
        <f t="shared" si="3720"/>
        <v>0</v>
      </c>
      <c r="V666" s="346">
        <f t="shared" si="3720"/>
        <v>0</v>
      </c>
      <c r="W666" s="346">
        <f t="shared" si="3720"/>
        <v>0</v>
      </c>
      <c r="X666" s="346">
        <f t="shared" si="3720"/>
        <v>0</v>
      </c>
      <c r="Y666" s="346">
        <f t="shared" si="3720"/>
        <v>0</v>
      </c>
      <c r="Z666" s="346">
        <f t="shared" si="3720"/>
        <v>0</v>
      </c>
      <c r="AA666" s="346">
        <f t="shared" si="3720"/>
        <v>0</v>
      </c>
      <c r="AB666" s="346">
        <f t="shared" si="3720"/>
        <v>0</v>
      </c>
      <c r="AC666" s="346">
        <f t="shared" si="3720"/>
        <v>0</v>
      </c>
      <c r="AD666" s="346">
        <f t="shared" si="3720"/>
        <v>0</v>
      </c>
      <c r="AE666" s="346">
        <f t="shared" si="3720"/>
        <v>0</v>
      </c>
      <c r="AF666" s="346">
        <f t="shared" si="3720"/>
        <v>0</v>
      </c>
      <c r="AG666" s="346">
        <f t="shared" si="3720"/>
        <v>0</v>
      </c>
      <c r="AH666" s="346">
        <f t="shared" si="3720"/>
        <v>0</v>
      </c>
    </row>
    <row r="667" spans="3:34" x14ac:dyDescent="0.2">
      <c r="C667" s="1181" t="s">
        <v>2271</v>
      </c>
      <c r="D667" s="1181"/>
      <c r="E667" s="346">
        <f t="shared" ref="E667:AH667" si="3721">IF(OR($E647="N/A",E658&gt;$E650,E658&lt;$E651),0,E666-E665)</f>
        <v>0</v>
      </c>
      <c r="F667" s="346">
        <f t="shared" si="3721"/>
        <v>0</v>
      </c>
      <c r="G667" s="346">
        <f t="shared" si="3721"/>
        <v>0</v>
      </c>
      <c r="H667" s="346">
        <f t="shared" si="3721"/>
        <v>0</v>
      </c>
      <c r="I667" s="346">
        <f t="shared" si="3721"/>
        <v>0</v>
      </c>
      <c r="J667" s="346">
        <f t="shared" si="3721"/>
        <v>0</v>
      </c>
      <c r="K667" s="346">
        <f t="shared" si="3721"/>
        <v>0</v>
      </c>
      <c r="L667" s="346">
        <f t="shared" si="3721"/>
        <v>0</v>
      </c>
      <c r="M667" s="346">
        <f t="shared" si="3721"/>
        <v>0</v>
      </c>
      <c r="N667" s="346">
        <f t="shared" si="3721"/>
        <v>0</v>
      </c>
      <c r="O667" s="346">
        <f t="shared" si="3721"/>
        <v>0</v>
      </c>
      <c r="P667" s="346">
        <f t="shared" si="3721"/>
        <v>0</v>
      </c>
      <c r="Q667" s="346">
        <f t="shared" si="3721"/>
        <v>0</v>
      </c>
      <c r="R667" s="346">
        <f t="shared" si="3721"/>
        <v>0</v>
      </c>
      <c r="S667" s="442">
        <f t="shared" si="3721"/>
        <v>0</v>
      </c>
      <c r="T667" s="435">
        <f t="shared" si="3721"/>
        <v>0</v>
      </c>
      <c r="U667" s="346">
        <f t="shared" si="3721"/>
        <v>0</v>
      </c>
      <c r="V667" s="346">
        <f t="shared" si="3721"/>
        <v>0</v>
      </c>
      <c r="W667" s="346">
        <f t="shared" si="3721"/>
        <v>0</v>
      </c>
      <c r="X667" s="346">
        <f t="shared" si="3721"/>
        <v>0</v>
      </c>
      <c r="Y667" s="346">
        <f t="shared" si="3721"/>
        <v>0</v>
      </c>
      <c r="Z667" s="346">
        <f t="shared" si="3721"/>
        <v>0</v>
      </c>
      <c r="AA667" s="346">
        <f t="shared" si="3721"/>
        <v>0</v>
      </c>
      <c r="AB667" s="346">
        <f t="shared" si="3721"/>
        <v>0</v>
      </c>
      <c r="AC667" s="346">
        <f t="shared" si="3721"/>
        <v>0</v>
      </c>
      <c r="AD667" s="346">
        <f t="shared" si="3721"/>
        <v>0</v>
      </c>
      <c r="AE667" s="346">
        <f t="shared" si="3721"/>
        <v>0</v>
      </c>
      <c r="AF667" s="346">
        <f t="shared" si="3721"/>
        <v>0</v>
      </c>
      <c r="AG667" s="346">
        <f t="shared" si="3721"/>
        <v>0</v>
      </c>
      <c r="AH667" s="346">
        <f t="shared" si="3721"/>
        <v>0</v>
      </c>
    </row>
    <row r="668" spans="3:34" ht="15" thickBot="1" x14ac:dyDescent="0.25">
      <c r="C668" s="1448" t="s">
        <v>2272</v>
      </c>
      <c r="D668" s="1448"/>
      <c r="E668" s="411">
        <f>IF(OR($E647="N/A",E658&gt;$E650,E658&lt;$E651),0,MAX(0,MIN(E663-E666,E664)))</f>
        <v>0</v>
      </c>
      <c r="F668" s="411">
        <f>IF(OR($E647="N/A",F658&gt;$E650,F658&lt;$E651),0,MAX(0,MIN(F663-F666,F664)))</f>
        <v>0</v>
      </c>
      <c r="G668" s="411">
        <f t="shared" ref="G668:AH668" si="3722">IF(OR($E647="N/A",G658&gt;$E650,G658&lt;$E651),0,MAX(0,MIN(G663-G666,G664)))</f>
        <v>0</v>
      </c>
      <c r="H668" s="411">
        <f t="shared" si="3722"/>
        <v>0</v>
      </c>
      <c r="I668" s="411">
        <f t="shared" si="3722"/>
        <v>0</v>
      </c>
      <c r="J668" s="411">
        <f t="shared" si="3722"/>
        <v>0</v>
      </c>
      <c r="K668" s="411">
        <f t="shared" si="3722"/>
        <v>0</v>
      </c>
      <c r="L668" s="411">
        <f t="shared" si="3722"/>
        <v>0</v>
      </c>
      <c r="M668" s="411">
        <f t="shared" si="3722"/>
        <v>0</v>
      </c>
      <c r="N668" s="411">
        <f t="shared" si="3722"/>
        <v>0</v>
      </c>
      <c r="O668" s="411">
        <f t="shared" si="3722"/>
        <v>0</v>
      </c>
      <c r="P668" s="411">
        <f t="shared" si="3722"/>
        <v>0</v>
      </c>
      <c r="Q668" s="411">
        <f t="shared" si="3722"/>
        <v>0</v>
      </c>
      <c r="R668" s="411">
        <f t="shared" si="3722"/>
        <v>0</v>
      </c>
      <c r="S668" s="443">
        <f t="shared" si="3722"/>
        <v>0</v>
      </c>
      <c r="T668" s="431">
        <f t="shared" si="3722"/>
        <v>0</v>
      </c>
      <c r="U668" s="411">
        <f t="shared" si="3722"/>
        <v>0</v>
      </c>
      <c r="V668" s="411">
        <f t="shared" si="3722"/>
        <v>0</v>
      </c>
      <c r="W668" s="411">
        <f t="shared" si="3722"/>
        <v>0</v>
      </c>
      <c r="X668" s="411">
        <f t="shared" si="3722"/>
        <v>0</v>
      </c>
      <c r="Y668" s="411">
        <f t="shared" si="3722"/>
        <v>0</v>
      </c>
      <c r="Z668" s="411">
        <f t="shared" si="3722"/>
        <v>0</v>
      </c>
      <c r="AA668" s="411">
        <f t="shared" si="3722"/>
        <v>0</v>
      </c>
      <c r="AB668" s="411">
        <f t="shared" si="3722"/>
        <v>0</v>
      </c>
      <c r="AC668" s="411">
        <f t="shared" si="3722"/>
        <v>0</v>
      </c>
      <c r="AD668" s="411">
        <f t="shared" si="3722"/>
        <v>0</v>
      </c>
      <c r="AE668" s="411">
        <f t="shared" si="3722"/>
        <v>0</v>
      </c>
      <c r="AF668" s="411">
        <f t="shared" si="3722"/>
        <v>0</v>
      </c>
      <c r="AG668" s="411">
        <f t="shared" si="3722"/>
        <v>0</v>
      </c>
      <c r="AH668" s="411">
        <f t="shared" si="3722"/>
        <v>0</v>
      </c>
    </row>
    <row r="669" spans="3:34" ht="15" thickTop="1" x14ac:dyDescent="0.2">
      <c r="C669" s="1449" t="s">
        <v>2282</v>
      </c>
      <c r="D669" s="1449"/>
      <c r="E669" s="430">
        <f>SUM(E666,E668)</f>
        <v>0</v>
      </c>
      <c r="F669" s="430">
        <f>SUM(F666,F668)</f>
        <v>0</v>
      </c>
      <c r="G669" s="430">
        <f t="shared" ref="G669" si="3723">SUM(G666,G668)</f>
        <v>0</v>
      </c>
      <c r="H669" s="430">
        <f t="shared" ref="H669" si="3724">SUM(H666,H668)</f>
        <v>0</v>
      </c>
      <c r="I669" s="430">
        <f t="shared" ref="I669" si="3725">SUM(I666,I668)</f>
        <v>0</v>
      </c>
      <c r="J669" s="430">
        <f t="shared" ref="J669" si="3726">SUM(J666,J668)</f>
        <v>0</v>
      </c>
      <c r="K669" s="430">
        <f t="shared" ref="K669" si="3727">SUM(K666,K668)</f>
        <v>0</v>
      </c>
      <c r="L669" s="430">
        <f t="shared" ref="L669" si="3728">SUM(L666,L668)</f>
        <v>0</v>
      </c>
      <c r="M669" s="430">
        <f t="shared" ref="M669" si="3729">SUM(M666,M668)</f>
        <v>0</v>
      </c>
      <c r="N669" s="430">
        <f t="shared" ref="N669" si="3730">SUM(N666,N668)</f>
        <v>0</v>
      </c>
      <c r="O669" s="430">
        <f t="shared" ref="O669" si="3731">SUM(O666,O668)</f>
        <v>0</v>
      </c>
      <c r="P669" s="430">
        <f t="shared" ref="P669" si="3732">SUM(P666,P668)</f>
        <v>0</v>
      </c>
      <c r="Q669" s="430">
        <f t="shared" ref="Q669" si="3733">SUM(Q666,Q668)</f>
        <v>0</v>
      </c>
      <c r="R669" s="430">
        <f t="shared" ref="R669" si="3734">SUM(R666,R668)</f>
        <v>0</v>
      </c>
      <c r="S669" s="444">
        <f t="shared" ref="S669" si="3735">SUM(S666,S668)</f>
        <v>0</v>
      </c>
      <c r="T669" s="436">
        <f t="shared" ref="T669" si="3736">SUM(T666,T668)</f>
        <v>0</v>
      </c>
      <c r="U669" s="430">
        <f t="shared" ref="U669" si="3737">SUM(U666,U668)</f>
        <v>0</v>
      </c>
      <c r="V669" s="430">
        <f t="shared" ref="V669" si="3738">SUM(V666,V668)</f>
        <v>0</v>
      </c>
      <c r="W669" s="430">
        <f t="shared" ref="W669" si="3739">SUM(W666,W668)</f>
        <v>0</v>
      </c>
      <c r="X669" s="430">
        <f t="shared" ref="X669" si="3740">SUM(X666,X668)</f>
        <v>0</v>
      </c>
      <c r="Y669" s="430">
        <f t="shared" ref="Y669" si="3741">SUM(Y666,Y668)</f>
        <v>0</v>
      </c>
      <c r="Z669" s="430">
        <f t="shared" ref="Z669" si="3742">SUM(Z666,Z668)</f>
        <v>0</v>
      </c>
      <c r="AA669" s="430">
        <f t="shared" ref="AA669" si="3743">SUM(AA666,AA668)</f>
        <v>0</v>
      </c>
      <c r="AB669" s="430">
        <f t="shared" ref="AB669" si="3744">SUM(AB666,AB668)</f>
        <v>0</v>
      </c>
      <c r="AC669" s="430">
        <f t="shared" ref="AC669" si="3745">SUM(AC666,AC668)</f>
        <v>0</v>
      </c>
      <c r="AD669" s="430">
        <f t="shared" ref="AD669" si="3746">SUM(AD666,AD668)</f>
        <v>0</v>
      </c>
      <c r="AE669" s="430">
        <f t="shared" ref="AE669" si="3747">SUM(AE666,AE668)</f>
        <v>0</v>
      </c>
      <c r="AF669" s="430">
        <f t="shared" ref="AF669" si="3748">SUM(AF666,AF668)</f>
        <v>0</v>
      </c>
      <c r="AG669" s="430">
        <f t="shared" ref="AG669" si="3749">SUM(AG666,AG668)</f>
        <v>0</v>
      </c>
      <c r="AH669" s="430">
        <f t="shared" ref="AH669" si="3750">SUM(AH666,AH668)</f>
        <v>0</v>
      </c>
    </row>
    <row r="670" spans="3:34" x14ac:dyDescent="0.2">
      <c r="C670" s="1181" t="s">
        <v>2190</v>
      </c>
      <c r="D670" s="1181"/>
      <c r="E670" s="342">
        <f>IF(OR($E647="N/A",E658&gt;$E650,E658&lt;$E651),0,IF($E649="Compound",E664-E668-E667,MAX(0,E664-E668)))</f>
        <v>0</v>
      </c>
      <c r="F670" s="342">
        <f>IF(OR($E647="N/A",F658&gt;$E650,F658&lt;$E651),0,IF($E649="Compound",F664-F668-F667,MAX(0,F664-F668)))</f>
        <v>0</v>
      </c>
      <c r="G670" s="342">
        <f t="shared" ref="G670:AH670" si="3751">IF(OR($E647="N/A",G658&gt;$E650,G658&lt;$E651),0,IF($E649="Compound",G664-G668-G667,MAX(0,G664-G668)))</f>
        <v>0</v>
      </c>
      <c r="H670" s="342">
        <f t="shared" si="3751"/>
        <v>0</v>
      </c>
      <c r="I670" s="342">
        <f t="shared" si="3751"/>
        <v>0</v>
      </c>
      <c r="J670" s="342">
        <f t="shared" si="3751"/>
        <v>0</v>
      </c>
      <c r="K670" s="342">
        <f t="shared" si="3751"/>
        <v>0</v>
      </c>
      <c r="L670" s="342">
        <f t="shared" si="3751"/>
        <v>0</v>
      </c>
      <c r="M670" s="342">
        <f t="shared" si="3751"/>
        <v>0</v>
      </c>
      <c r="N670" s="342">
        <f t="shared" si="3751"/>
        <v>0</v>
      </c>
      <c r="O670" s="342">
        <f t="shared" si="3751"/>
        <v>0</v>
      </c>
      <c r="P670" s="342">
        <f t="shared" si="3751"/>
        <v>0</v>
      </c>
      <c r="Q670" s="342">
        <f t="shared" si="3751"/>
        <v>0</v>
      </c>
      <c r="R670" s="342">
        <f t="shared" si="3751"/>
        <v>0</v>
      </c>
      <c r="S670" s="445">
        <f t="shared" si="3751"/>
        <v>0</v>
      </c>
      <c r="T670" s="437">
        <f t="shared" si="3751"/>
        <v>0</v>
      </c>
      <c r="U670" s="342">
        <f t="shared" si="3751"/>
        <v>0</v>
      </c>
      <c r="V670" s="342">
        <f t="shared" si="3751"/>
        <v>0</v>
      </c>
      <c r="W670" s="342">
        <f t="shared" si="3751"/>
        <v>0</v>
      </c>
      <c r="X670" s="342">
        <f t="shared" si="3751"/>
        <v>0</v>
      </c>
      <c r="Y670" s="342">
        <f t="shared" si="3751"/>
        <v>0</v>
      </c>
      <c r="Z670" s="342">
        <f t="shared" si="3751"/>
        <v>0</v>
      </c>
      <c r="AA670" s="342">
        <f t="shared" si="3751"/>
        <v>0</v>
      </c>
      <c r="AB670" s="342">
        <f t="shared" si="3751"/>
        <v>0</v>
      </c>
      <c r="AC670" s="342">
        <f t="shared" si="3751"/>
        <v>0</v>
      </c>
      <c r="AD670" s="342">
        <f t="shared" si="3751"/>
        <v>0</v>
      </c>
      <c r="AE670" s="342">
        <f t="shared" si="3751"/>
        <v>0</v>
      </c>
      <c r="AF670" s="342">
        <f t="shared" si="3751"/>
        <v>0</v>
      </c>
      <c r="AG670" s="342">
        <f t="shared" si="3751"/>
        <v>0</v>
      </c>
      <c r="AH670" s="342">
        <f t="shared" si="3751"/>
        <v>0</v>
      </c>
    </row>
    <row r="671" spans="3:34" x14ac:dyDescent="0.2">
      <c r="C671" s="317"/>
      <c r="D671" s="317"/>
      <c r="E671" s="74"/>
      <c r="F671" s="74"/>
      <c r="G671" s="74"/>
      <c r="H671" s="74"/>
      <c r="I671" s="74"/>
      <c r="J671" s="74"/>
      <c r="K671" s="74"/>
      <c r="L671" s="74"/>
      <c r="M671" s="74"/>
      <c r="N671" s="74"/>
      <c r="O671" s="74"/>
      <c r="P671" s="74"/>
      <c r="Q671" s="74"/>
      <c r="R671" s="74"/>
      <c r="S671" s="333"/>
      <c r="T671" s="74"/>
      <c r="U671" s="74"/>
      <c r="V671" s="74"/>
      <c r="W671" s="74"/>
      <c r="X671" s="74"/>
      <c r="Y671" s="74"/>
      <c r="Z671" s="74"/>
      <c r="AA671" s="74"/>
      <c r="AB671" s="74"/>
      <c r="AC671" s="74"/>
      <c r="AD671" s="74"/>
      <c r="AE671" s="74"/>
      <c r="AF671" s="74"/>
      <c r="AG671" s="74"/>
      <c r="AH671" s="74"/>
    </row>
    <row r="672" spans="3:34" ht="15" x14ac:dyDescent="0.2">
      <c r="C672" s="432" t="s">
        <v>2287</v>
      </c>
      <c r="D672" s="317"/>
      <c r="E672" s="74"/>
      <c r="F672" s="74"/>
      <c r="G672" s="74"/>
      <c r="H672" s="74"/>
      <c r="I672" s="74"/>
      <c r="J672" s="74"/>
      <c r="K672" s="74"/>
      <c r="L672" s="74"/>
      <c r="M672" s="74"/>
      <c r="N672" s="74"/>
      <c r="O672" s="74"/>
      <c r="P672" s="74"/>
      <c r="Q672" s="74"/>
      <c r="R672" s="74"/>
      <c r="S672" s="333"/>
      <c r="T672" s="74"/>
      <c r="U672" s="74"/>
      <c r="V672" s="74"/>
      <c r="W672" s="74"/>
      <c r="X672" s="74"/>
      <c r="Y672" s="74"/>
      <c r="Z672" s="74"/>
      <c r="AA672" s="74"/>
      <c r="AB672" s="74"/>
      <c r="AC672" s="74"/>
      <c r="AD672" s="74"/>
      <c r="AE672" s="74"/>
      <c r="AF672" s="74"/>
      <c r="AG672" s="74"/>
      <c r="AH672" s="74"/>
    </row>
    <row r="673" spans="3:34" x14ac:dyDescent="0.2">
      <c r="C673" s="1234" t="s">
        <v>2273</v>
      </c>
      <c r="D673" s="1234"/>
      <c r="E673" s="421">
        <f>IF($I647="N/A",0,IF(E658&gt;$I652,0,MIN($I651,$I647*$I649)))</f>
        <v>0</v>
      </c>
      <c r="F673" s="236">
        <f t="shared" ref="F673" si="3752">IF($I647="N/A",0,IF(F658&gt;$I652,0,MIN($I651,$I647*$I649*(1+$I648)^E$63)))</f>
        <v>0</v>
      </c>
      <c r="G673" s="236">
        <f t="shared" ref="G673" si="3753">IF($I647="N/A",0,IF(G658&gt;$I652,0,MIN($I651,$I647*$I649*(1+$I648)^F$63)))</f>
        <v>0</v>
      </c>
      <c r="H673" s="236">
        <f t="shared" ref="H673" si="3754">IF($I647="N/A",0,IF(H658&gt;$I652,0,MIN($I651,$I647*$I649*(1+$I648)^G$63)))</f>
        <v>0</v>
      </c>
      <c r="I673" s="236">
        <f t="shared" ref="I673" si="3755">IF($I647="N/A",0,IF(I658&gt;$I652,0,MIN($I651,$I647*$I649*(1+$I648)^H$63)))</f>
        <v>0</v>
      </c>
      <c r="J673" s="236">
        <f t="shared" ref="J673" si="3756">IF($I647="N/A",0,IF(J658&gt;$I652,0,MIN($I651,$I647*$I649*(1+$I648)^I$63)))</f>
        <v>0</v>
      </c>
      <c r="K673" s="236">
        <f t="shared" ref="K673" si="3757">IF($I647="N/A",0,IF(K658&gt;$I652,0,MIN($I651,$I647*$I649*(1+$I648)^J$63)))</f>
        <v>0</v>
      </c>
      <c r="L673" s="236">
        <f t="shared" ref="L673" si="3758">IF($I647="N/A",0,IF(L658&gt;$I652,0,MIN($I651,$I647*$I649*(1+$I648)^K$63)))</f>
        <v>0</v>
      </c>
      <c r="M673" s="236">
        <f t="shared" ref="M673" si="3759">IF($I647="N/A",0,IF(M658&gt;$I652,0,MIN($I651,$I647*$I649*(1+$I648)^L$63)))</f>
        <v>0</v>
      </c>
      <c r="N673" s="236">
        <f t="shared" ref="N673" si="3760">IF($I647="N/A",0,IF(N658&gt;$I652,0,MIN($I651,$I647*$I649*(1+$I648)^M$63)))</f>
        <v>0</v>
      </c>
      <c r="O673" s="236">
        <f t="shared" ref="O673" si="3761">IF($I647="N/A",0,IF(O658&gt;$I652,0,MIN($I651,$I647*$I649*(1+$I648)^N$63)))</f>
        <v>0</v>
      </c>
      <c r="P673" s="236">
        <f t="shared" ref="P673" si="3762">IF($I647="N/A",0,IF(P658&gt;$I652,0,MIN($I651,$I647*$I649*(1+$I648)^O$63)))</f>
        <v>0</v>
      </c>
      <c r="Q673" s="236">
        <f t="shared" ref="Q673" si="3763">IF($I647="N/A",0,IF(Q658&gt;$I652,0,MIN($I651,$I647*$I649*(1+$I648)^P$63)))</f>
        <v>0</v>
      </c>
      <c r="R673" s="236">
        <f t="shared" ref="R673" si="3764">IF($I647="N/A",0,IF(R658&gt;$I652,0,MIN($I651,$I647*$I649*(1+$I648)^Q$63)))</f>
        <v>0</v>
      </c>
      <c r="S673" s="446">
        <f t="shared" ref="S673" si="3765">IF($I647="N/A",0,IF(S658&gt;$I652,0,MIN($I651,$I647*$I649*(1+$I648)^R$63)))</f>
        <v>0</v>
      </c>
      <c r="T673" s="438">
        <f t="shared" ref="T673" si="3766">IF($I647="N/A",0,IF(T658&gt;$I652,0,MIN($I651,$I647*$I649*(1+$I648)^S$63)))</f>
        <v>0</v>
      </c>
      <c r="U673" s="236">
        <f t="shared" ref="U673" si="3767">IF($I647="N/A",0,IF(U658&gt;$I652,0,MIN($I651,$I647*$I649*(1+$I648)^T$63)))</f>
        <v>0</v>
      </c>
      <c r="V673" s="236">
        <f t="shared" ref="V673" si="3768">IF($I647="N/A",0,IF(V658&gt;$I652,0,MIN($I651,$I647*$I649*(1+$I648)^U$63)))</f>
        <v>0</v>
      </c>
      <c r="W673" s="236">
        <f t="shared" ref="W673" si="3769">IF($I647="N/A",0,IF(W658&gt;$I652,0,MIN($I651,$I647*$I649*(1+$I648)^V$63)))</f>
        <v>0</v>
      </c>
      <c r="X673" s="236">
        <f t="shared" ref="X673" si="3770">IF($I647="N/A",0,IF(X658&gt;$I652,0,MIN($I651,$I647*$I649*(1+$I648)^W$63)))</f>
        <v>0</v>
      </c>
      <c r="Y673" s="236">
        <f t="shared" ref="Y673" si="3771">IF($I647="N/A",0,IF(Y658&gt;$I652,0,MIN($I651,$I647*$I649*(1+$I648)^X$63)))</f>
        <v>0</v>
      </c>
      <c r="Z673" s="236">
        <f t="shared" ref="Z673" si="3772">IF($I647="N/A",0,IF(Z658&gt;$I652,0,MIN($I651,$I647*$I649*(1+$I648)^Y$63)))</f>
        <v>0</v>
      </c>
      <c r="AA673" s="236">
        <f t="shared" ref="AA673" si="3773">IF($I647="N/A",0,IF(AA658&gt;$I652,0,MIN($I651,$I647*$I649*(1+$I648)^Z$63)))</f>
        <v>0</v>
      </c>
      <c r="AB673" s="236">
        <f t="shared" ref="AB673" si="3774">IF($I647="N/A",0,IF(AB658&gt;$I652,0,MIN($I651,$I647*$I649*(1+$I648)^AA$63)))</f>
        <v>0</v>
      </c>
      <c r="AC673" s="236">
        <f t="shared" ref="AC673" si="3775">IF($I647="N/A",0,IF(AC658&gt;$I652,0,MIN($I651,$I647*$I649*(1+$I648)^AB$63)))</f>
        <v>0</v>
      </c>
      <c r="AD673" s="236">
        <f t="shared" ref="AD673" si="3776">IF($I647="N/A",0,IF(AD658&gt;$I652,0,MIN($I651,$I647*$I649*(1+$I648)^AC$63)))</f>
        <v>0</v>
      </c>
      <c r="AE673" s="236">
        <f t="shared" ref="AE673" si="3777">IF($I647="N/A",0,IF(AE658&gt;$I652,0,MIN($I651,$I647*$I649*(1+$I648)^AD$63)))</f>
        <v>0</v>
      </c>
      <c r="AF673" s="236">
        <f t="shared" ref="AF673" si="3778">IF($I647="N/A",0,IF(AF658&gt;$I652,0,MIN($I651,$I647*$I649*(1+$I648)^AE$63)))</f>
        <v>0</v>
      </c>
      <c r="AG673" s="236">
        <f t="shared" ref="AG673" si="3779">IF($I647="N/A",0,IF(AG658&gt;$I652,0,MIN($I651,$I647*$I649*(1+$I648)^AF$63)))</f>
        <v>0</v>
      </c>
      <c r="AH673" s="236">
        <f t="shared" ref="AH673" si="3780">IF($I647="N/A",0,IF(AH658&gt;$I652,0,MIN($I651,$I647*$I649*(1+$I648)^AG$63)))</f>
        <v>0</v>
      </c>
    </row>
    <row r="674" spans="3:34" x14ac:dyDescent="0.2">
      <c r="C674" s="1450" t="s">
        <v>2274</v>
      </c>
      <c r="D674" s="1451"/>
      <c r="E674" s="422">
        <f>IF($I647="N/A",0,IF(E658&gt;$I652,0,MAX(0,MIN(E673,$I647*$I649,E660))))</f>
        <v>0</v>
      </c>
      <c r="F674" s="521">
        <f t="shared" ref="F674" si="3781">IF($I647="N/A",0,IF(F658&gt;$I652,0,IF($I650="Yes",MAX(0,MIN(F660*$I649,E676+F673,$I651)),MAX(0,MIN(F673,F660*$I649,$I651)))))</f>
        <v>0</v>
      </c>
      <c r="G674" s="521">
        <f t="shared" ref="G674" si="3782">IF($I647="N/A",0,IF(G658&gt;$I652,0,IF($I650="Yes",MAX(0,MIN(G660*$I649,F676+G673,$I651)),MAX(0,MIN(G673,G660*$I649,$I651)))))</f>
        <v>0</v>
      </c>
      <c r="H674" s="521">
        <f t="shared" ref="H674" si="3783">IF($I647="N/A",0,IF(H658&gt;$I652,0,IF($I650="Yes",MAX(0,MIN(H660*$I649,G676+H673,$I651)),MAX(0,MIN(H673,H660*$I649,$I651)))))</f>
        <v>0</v>
      </c>
      <c r="I674" s="521">
        <f t="shared" ref="I674" si="3784">IF($I647="N/A",0,IF(I658&gt;$I652,0,IF($I650="Yes",MAX(0,MIN(I660*$I649,H676+I673,$I651)),MAX(0,MIN(I673,I660*$I649,$I651)))))</f>
        <v>0</v>
      </c>
      <c r="J674" s="521">
        <f t="shared" ref="J674" si="3785">IF($I647="N/A",0,IF(J658&gt;$I652,0,IF($I650="Yes",MAX(0,MIN(J660*$I649,I676+J673,$I651)),MAX(0,MIN(J673,J660*$I649,$I651)))))</f>
        <v>0</v>
      </c>
      <c r="K674" s="521">
        <f t="shared" ref="K674" si="3786">IF($I647="N/A",0,IF(K658&gt;$I652,0,IF($I650="Yes",MAX(0,MIN(K660*$I649,J676+K673,$I651)),MAX(0,MIN(K673,K660*$I649,$I651)))))</f>
        <v>0</v>
      </c>
      <c r="L674" s="521">
        <f t="shared" ref="L674" si="3787">IF($I647="N/A",0,IF(L658&gt;$I652,0,IF($I650="Yes",MAX(0,MIN(L660*$I649,K676+L673,$I651)),MAX(0,MIN(L673,L660*$I649,$I651)))))</f>
        <v>0</v>
      </c>
      <c r="M674" s="521">
        <f t="shared" ref="M674" si="3788">IF($I647="N/A",0,IF(M658&gt;$I652,0,IF($I650="Yes",MAX(0,MIN(M660*$I649,L676+M673,$I651)),MAX(0,MIN(M673,M660*$I649,$I651)))))</f>
        <v>0</v>
      </c>
      <c r="N674" s="521">
        <f t="shared" ref="N674" si="3789">IF($I647="N/A",0,IF(N658&gt;$I652,0,IF($I650="Yes",MAX(0,MIN(N660*$I649,M676+N673,$I651)),MAX(0,MIN(N673,N660*$I649,$I651)))))</f>
        <v>0</v>
      </c>
      <c r="O674" s="521">
        <f t="shared" ref="O674" si="3790">IF($I647="N/A",0,IF(O658&gt;$I652,0,IF($I650="Yes",MAX(0,MIN(O660*$I649,N676+O673,$I651)),MAX(0,MIN(O673,O660*$I649,$I651)))))</f>
        <v>0</v>
      </c>
      <c r="P674" s="521">
        <f t="shared" ref="P674" si="3791">IF($I647="N/A",0,IF(P658&gt;$I652,0,IF($I650="Yes",MAX(0,MIN(P660*$I649,O676+P673,$I651)),MAX(0,MIN(P673,P660*$I649,$I651)))))</f>
        <v>0</v>
      </c>
      <c r="Q674" s="521">
        <f t="shared" ref="Q674" si="3792">IF($I647="N/A",0,IF(Q658&gt;$I652,0,IF($I650="Yes",MAX(0,MIN(Q660*$I649,P676+Q673,$I651)),MAX(0,MIN(Q673,Q660*$I649,$I651)))))</f>
        <v>0</v>
      </c>
      <c r="R674" s="521">
        <f t="shared" ref="R674" si="3793">IF($I647="N/A",0,IF(R658&gt;$I652,0,IF($I650="Yes",MAX(0,MIN(R660*$I649,Q676+R673,$I651)),MAX(0,MIN(R673,R660*$I649,$I651)))))</f>
        <v>0</v>
      </c>
      <c r="S674" s="523">
        <f t="shared" ref="S674" si="3794">IF($I647="N/A",0,IF(S658&gt;$I652,0,IF($I650="Yes",MAX(0,MIN(S660*$I649,R676+S673,$I651)),MAX(0,MIN(S673,S660*$I649,$I651)))))</f>
        <v>0</v>
      </c>
      <c r="T674" s="522">
        <f t="shared" ref="T674" si="3795">IF($I647="N/A",0,IF(T658&gt;$I652,0,IF($I650="Yes",MAX(0,MIN(T660*$I649,S676+T673,$I651)),MAX(0,MIN(T673,T660*$I649,$I651)))))</f>
        <v>0</v>
      </c>
      <c r="U674" s="521">
        <f t="shared" ref="U674" si="3796">IF($I647="N/A",0,IF(U658&gt;$I652,0,IF($I650="Yes",MAX(0,MIN(U660*$I649,T676+U673,$I651)),MAX(0,MIN(U673,U660*$I649,$I651)))))</f>
        <v>0</v>
      </c>
      <c r="V674" s="521">
        <f t="shared" ref="V674" si="3797">IF($I647="N/A",0,IF(V658&gt;$I652,0,IF($I650="Yes",MAX(0,MIN(V660*$I649,U676+V673,$I651)),MAX(0,MIN(V673,V660*$I649,$I651)))))</f>
        <v>0</v>
      </c>
      <c r="W674" s="521">
        <f t="shared" ref="W674" si="3798">IF($I647="N/A",0,IF(W658&gt;$I652,0,IF($I650="Yes",MAX(0,MIN(W660*$I649,V676+W673,$I651)),MAX(0,MIN(W673,W660*$I649,$I651)))))</f>
        <v>0</v>
      </c>
      <c r="X674" s="521">
        <f t="shared" ref="X674" si="3799">IF($I647="N/A",0,IF(X658&gt;$I652,0,IF($I650="Yes",MAX(0,MIN(X660*$I649,W676+X673,$I651)),MAX(0,MIN(X673,X660*$I649,$I651)))))</f>
        <v>0</v>
      </c>
      <c r="Y674" s="521">
        <f t="shared" ref="Y674" si="3800">IF($I647="N/A",0,IF(Y658&gt;$I652,0,IF($I650="Yes",MAX(0,MIN(Y660*$I649,X676+Y673,$I651)),MAX(0,MIN(Y673,Y660*$I649,$I651)))))</f>
        <v>0</v>
      </c>
      <c r="Z674" s="521">
        <f t="shared" ref="Z674" si="3801">IF($I647="N/A",0,IF(Z658&gt;$I652,0,IF($I650="Yes",MAX(0,MIN(Z660*$I649,Y676+Z673,$I651)),MAX(0,MIN(Z673,Z660*$I649,$I651)))))</f>
        <v>0</v>
      </c>
      <c r="AA674" s="521">
        <f t="shared" ref="AA674" si="3802">IF($I647="N/A",0,IF(AA658&gt;$I652,0,IF($I650="Yes",MAX(0,MIN(AA660*$I649,Z676+AA673,$I651)),MAX(0,MIN(AA673,AA660*$I649,$I651)))))</f>
        <v>0</v>
      </c>
      <c r="AB674" s="521">
        <f t="shared" ref="AB674" si="3803">IF($I647="N/A",0,IF(AB658&gt;$I652,0,IF($I650="Yes",MAX(0,MIN(AB660*$I649,AA676+AB673,$I651)),MAX(0,MIN(AB673,AB660*$I649,$I651)))))</f>
        <v>0</v>
      </c>
      <c r="AC674" s="521">
        <f t="shared" ref="AC674" si="3804">IF($I647="N/A",0,IF(AC658&gt;$I652,0,IF($I650="Yes",MAX(0,MIN(AC660*$I649,AB676+AC673,$I651)),MAX(0,MIN(AC673,AC660*$I649,$I651)))))</f>
        <v>0</v>
      </c>
      <c r="AD674" s="521">
        <f t="shared" ref="AD674" si="3805">IF($I647="N/A",0,IF(AD658&gt;$I652,0,IF($I650="Yes",MAX(0,MIN(AD660*$I649,AC676+AD673,$I651)),MAX(0,MIN(AD673,AD660*$I649,$I651)))))</f>
        <v>0</v>
      </c>
      <c r="AE674" s="521">
        <f t="shared" ref="AE674" si="3806">IF($I647="N/A",0,IF(AE658&gt;$I652,0,IF($I650="Yes",MAX(0,MIN(AE660*$I649,AD676+AE673,$I651)),MAX(0,MIN(AE673,AE660*$I649,$I651)))))</f>
        <v>0</v>
      </c>
      <c r="AF674" s="521">
        <f t="shared" ref="AF674" si="3807">IF($I647="N/A",0,IF(AF658&gt;$I652,0,IF($I650="Yes",MAX(0,MIN(AF660*$I649,AE676+AF673,$I651)),MAX(0,MIN(AF673,AF660*$I649,$I651)))))</f>
        <v>0</v>
      </c>
      <c r="AG674" s="521">
        <f t="shared" ref="AG674" si="3808">IF($I647="N/A",0,IF(AG658&gt;$I652,0,IF($I650="Yes",MAX(0,MIN(AG660*$I649,AF676+AG673,$I651)),MAX(0,MIN(AG673,AG660*$I649,$I651)))))</f>
        <v>0</v>
      </c>
      <c r="AH674" s="521">
        <f t="shared" ref="AH674" si="3809">IF($I647="N/A",0,IF(AH658&gt;$I652,0,IF($I650="Yes",MAX(0,MIN(AH660*$I649,AG676+AH673,$I651)),MAX(0,MIN(AH673,AH660*$I649,$I651)))))</f>
        <v>0</v>
      </c>
    </row>
    <row r="675" spans="3:34" x14ac:dyDescent="0.2">
      <c r="C675" s="1168" t="s">
        <v>2275</v>
      </c>
      <c r="D675" s="1170"/>
      <c r="E675" s="421">
        <f>IF($I650="Yes",IF(E658&gt;$I652,0,E673-E674),0)</f>
        <v>0</v>
      </c>
      <c r="F675" s="421">
        <f t="shared" ref="F675:AH675" si="3810">IF($I647="N/A",0,IF(F659&gt;$I652,0,IF($I650="Yes",F673-F674,0)))</f>
        <v>0</v>
      </c>
      <c r="G675" s="421">
        <f t="shared" si="3810"/>
        <v>0</v>
      </c>
      <c r="H675" s="421">
        <f t="shared" si="3810"/>
        <v>0</v>
      </c>
      <c r="I675" s="421">
        <f t="shared" si="3810"/>
        <v>0</v>
      </c>
      <c r="J675" s="421">
        <f t="shared" si="3810"/>
        <v>0</v>
      </c>
      <c r="K675" s="421">
        <f t="shared" si="3810"/>
        <v>0</v>
      </c>
      <c r="L675" s="421">
        <f t="shared" si="3810"/>
        <v>0</v>
      </c>
      <c r="M675" s="421">
        <f t="shared" si="3810"/>
        <v>0</v>
      </c>
      <c r="N675" s="421">
        <f t="shared" si="3810"/>
        <v>0</v>
      </c>
      <c r="O675" s="421">
        <f t="shared" si="3810"/>
        <v>0</v>
      </c>
      <c r="P675" s="421">
        <f t="shared" si="3810"/>
        <v>0</v>
      </c>
      <c r="Q675" s="421">
        <f t="shared" si="3810"/>
        <v>0</v>
      </c>
      <c r="R675" s="421">
        <f t="shared" si="3810"/>
        <v>0</v>
      </c>
      <c r="S675" s="447">
        <f t="shared" si="3810"/>
        <v>0</v>
      </c>
      <c r="T675" s="439">
        <f t="shared" si="3810"/>
        <v>0</v>
      </c>
      <c r="U675" s="421">
        <f t="shared" si="3810"/>
        <v>0</v>
      </c>
      <c r="V675" s="421">
        <f t="shared" si="3810"/>
        <v>0</v>
      </c>
      <c r="W675" s="421">
        <f t="shared" si="3810"/>
        <v>0</v>
      </c>
      <c r="X675" s="421">
        <f t="shared" si="3810"/>
        <v>0</v>
      </c>
      <c r="Y675" s="421">
        <f t="shared" si="3810"/>
        <v>0</v>
      </c>
      <c r="Z675" s="421">
        <f t="shared" si="3810"/>
        <v>0</v>
      </c>
      <c r="AA675" s="421">
        <f t="shared" si="3810"/>
        <v>0</v>
      </c>
      <c r="AB675" s="421">
        <f t="shared" si="3810"/>
        <v>0</v>
      </c>
      <c r="AC675" s="421">
        <f t="shared" si="3810"/>
        <v>0</v>
      </c>
      <c r="AD675" s="421">
        <f t="shared" si="3810"/>
        <v>0</v>
      </c>
      <c r="AE675" s="421">
        <f t="shared" si="3810"/>
        <v>0</v>
      </c>
      <c r="AF675" s="421">
        <f t="shared" si="3810"/>
        <v>0</v>
      </c>
      <c r="AG675" s="421">
        <f t="shared" si="3810"/>
        <v>0</v>
      </c>
      <c r="AH675" s="421">
        <f t="shared" si="3810"/>
        <v>0</v>
      </c>
    </row>
    <row r="676" spans="3:34" x14ac:dyDescent="0.2">
      <c r="C676" s="1168" t="s">
        <v>2276</v>
      </c>
      <c r="D676" s="1170"/>
      <c r="E676" s="421">
        <f>E675</f>
        <v>0</v>
      </c>
      <c r="F676" s="236">
        <f t="shared" ref="F676" si="3811">IF($I647="N/A",0,IF(F658&gt;$I652,0,E676+F675))</f>
        <v>0</v>
      </c>
      <c r="G676" s="236">
        <f t="shared" ref="G676" si="3812">IF($I647="N/A",0,IF(G658&gt;$I652,0,F676+G675))</f>
        <v>0</v>
      </c>
      <c r="H676" s="236">
        <f t="shared" ref="H676" si="3813">IF($I647="N/A",0,IF(H658&gt;$I652,0,G676+H675))</f>
        <v>0</v>
      </c>
      <c r="I676" s="236">
        <f t="shared" ref="I676" si="3814">IF($I647="N/A",0,IF(I658&gt;$I652,0,H676+I675))</f>
        <v>0</v>
      </c>
      <c r="J676" s="236">
        <f t="shared" ref="J676" si="3815">IF($I647="N/A",0,IF(J658&gt;$I652,0,I676+J675))</f>
        <v>0</v>
      </c>
      <c r="K676" s="236">
        <f t="shared" ref="K676" si="3816">IF($I647="N/A",0,IF(K658&gt;$I652,0,J676+K675))</f>
        <v>0</v>
      </c>
      <c r="L676" s="236">
        <f t="shared" ref="L676" si="3817">IF($I647="N/A",0,IF(L658&gt;$I652,0,K676+L675))</f>
        <v>0</v>
      </c>
      <c r="M676" s="236">
        <f t="shared" ref="M676" si="3818">IF($I647="N/A",0,IF(M658&gt;$I652,0,L676+M675))</f>
        <v>0</v>
      </c>
      <c r="N676" s="236">
        <f t="shared" ref="N676" si="3819">IF($I647="N/A",0,IF(N658&gt;$I652,0,M676+N675))</f>
        <v>0</v>
      </c>
      <c r="O676" s="236">
        <f t="shared" ref="O676" si="3820">IF($I647="N/A",0,IF(O658&gt;$I652,0,N676+O675))</f>
        <v>0</v>
      </c>
      <c r="P676" s="236">
        <f t="shared" ref="P676" si="3821">IF($I647="N/A",0,IF(P658&gt;$I652,0,O676+P675))</f>
        <v>0</v>
      </c>
      <c r="Q676" s="236">
        <f t="shared" ref="Q676" si="3822">IF($I647="N/A",0,IF(Q658&gt;$I652,0,P676+Q675))</f>
        <v>0</v>
      </c>
      <c r="R676" s="236">
        <f t="shared" ref="R676" si="3823">IF($I647="N/A",0,IF(R658&gt;$I652,0,Q676+R675))</f>
        <v>0</v>
      </c>
      <c r="S676" s="446">
        <f t="shared" ref="S676" si="3824">IF($I647="N/A",0,IF(S658&gt;$I652,0,R676+S675))</f>
        <v>0</v>
      </c>
      <c r="T676" s="438">
        <f t="shared" ref="T676" si="3825">IF($I647="N/A",0,IF(T658&gt;$I652,0,S676+T675))</f>
        <v>0</v>
      </c>
      <c r="U676" s="236">
        <f t="shared" ref="U676" si="3826">IF($I647="N/A",0,IF(U658&gt;$I652,0,T676+U675))</f>
        <v>0</v>
      </c>
      <c r="V676" s="236">
        <f t="shared" ref="V676" si="3827">IF($I647="N/A",0,IF(V658&gt;$I652,0,U676+V675))</f>
        <v>0</v>
      </c>
      <c r="W676" s="236">
        <f t="shared" ref="W676" si="3828">IF($I647="N/A",0,IF(W658&gt;$I652,0,V676+W675))</f>
        <v>0</v>
      </c>
      <c r="X676" s="236">
        <f t="shared" ref="X676" si="3829">IF($I647="N/A",0,IF(X658&gt;$I652,0,W676+X675))</f>
        <v>0</v>
      </c>
      <c r="Y676" s="236">
        <f t="shared" ref="Y676" si="3830">IF($I647="N/A",0,IF(Y658&gt;$I652,0,X676+Y675))</f>
        <v>0</v>
      </c>
      <c r="Z676" s="236">
        <f t="shared" ref="Z676" si="3831">IF($I647="N/A",0,IF(Z658&gt;$I652,0,Y676+Z675))</f>
        <v>0</v>
      </c>
      <c r="AA676" s="236">
        <f t="shared" ref="AA676" si="3832">IF($I647="N/A",0,IF(AA658&gt;$I652,0,Z676+AA675))</f>
        <v>0</v>
      </c>
      <c r="AB676" s="236">
        <f t="shared" ref="AB676" si="3833">IF($I647="N/A",0,IF(AB658&gt;$I652,0,AA676+AB675))</f>
        <v>0</v>
      </c>
      <c r="AC676" s="236">
        <f t="shared" ref="AC676" si="3834">IF($I647="N/A",0,IF(AC658&gt;$I652,0,AB676+AC675))</f>
        <v>0</v>
      </c>
      <c r="AD676" s="236">
        <f t="shared" ref="AD676" si="3835">IF($I647="N/A",0,IF(AD658&gt;$I652,0,AC676+AD675))</f>
        <v>0</v>
      </c>
      <c r="AE676" s="236">
        <f t="shared" ref="AE676" si="3836">IF($I647="N/A",0,IF(AE658&gt;$I652,0,AD676+AE675))</f>
        <v>0</v>
      </c>
      <c r="AF676" s="236">
        <f t="shared" ref="AF676" si="3837">IF($I647="N/A",0,IF(AF658&gt;$I652,0,AE676+AF675))</f>
        <v>0</v>
      </c>
      <c r="AG676" s="236">
        <f t="shared" ref="AG676" si="3838">IF($I647="N/A",0,IF(AG658&gt;$I652,0,AF676+AG675))</f>
        <v>0</v>
      </c>
      <c r="AH676" s="236">
        <f t="shared" ref="AH676" si="3839">IF($I647="N/A",0,IF(AH658&gt;$I652,0,AG676+AH675))</f>
        <v>0</v>
      </c>
    </row>
    <row r="679" spans="3:34" ht="15" x14ac:dyDescent="0.2">
      <c r="C679" s="1456" t="str">
        <f>IF(Sources!$D$86="","N/A",Sources!$D$86)</f>
        <v>N/A</v>
      </c>
      <c r="D679" s="1456"/>
      <c r="E679" s="1456"/>
      <c r="F679" s="412" t="s">
        <v>2266</v>
      </c>
      <c r="G679" s="92" t="str">
        <f>IF(AND(ISERROR(VLOOKUP($C679,OpBudget!$C$159:$C$165,1,FALSE)),ISERROR(VLOOKUP($C679,Sources!$C$36:$C$55,1,FALSE))),"N/A",IF(ISERROR(VLOOKUP($C679,Sources!$C$36:$C$55,1,FALSE)),"Fee","Loan"))</f>
        <v>N/A</v>
      </c>
      <c r="H679" s="412"/>
      <c r="I679" s="412"/>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row>
    <row r="680" spans="3:34" ht="15" x14ac:dyDescent="0.2">
      <c r="C680" s="345"/>
      <c r="D680" s="345"/>
      <c r="E680" s="345"/>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row>
    <row r="681" spans="3:34" ht="15" x14ac:dyDescent="0.2">
      <c r="C681" s="417" t="s">
        <v>2260</v>
      </c>
      <c r="D681" s="345"/>
      <c r="E681" s="345"/>
      <c r="F681" s="74"/>
      <c r="G681" s="74" t="s">
        <v>2261</v>
      </c>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row>
    <row r="682" spans="3:34" x14ac:dyDescent="0.2">
      <c r="C682" s="1452" t="s">
        <v>2255</v>
      </c>
      <c r="D682" s="1452"/>
      <c r="E682" s="413" t="str">
        <f>IF(OR($G679="Fee",$G679="N/A"),"N/A",INDEX(Sources!$C$35:$K$55,MATCH(Loans!$C679,Sources!$C$35:$C$55,0),MATCH("Amount",Sources!$C$35:$N$35,0)))</f>
        <v>N/A</v>
      </c>
      <c r="F682" s="74"/>
      <c r="G682" s="1454" t="s">
        <v>2262</v>
      </c>
      <c r="H682" s="1454"/>
      <c r="I682" s="705" t="str">
        <f>IF(OR($G679="Loan",$G679="N/A"),"N/A",INDEX(OpBudget!$C$159:$K$165,MATCH(Loans!$C679,OpBudget!$C$159:$C$165,0),MATCH("Total Amount",OpBudget!$C$159:$K$159,0)))</f>
        <v>N/A</v>
      </c>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row>
    <row r="683" spans="3:34" x14ac:dyDescent="0.2">
      <c r="C683" s="1452" t="s">
        <v>2256</v>
      </c>
      <c r="D683" s="1452"/>
      <c r="E683" s="702" t="str">
        <f>IF(OR($G679="Fee",$G679="N/A"),"N/A",INDEX(Sources!$C$35:$K$55,MATCH(Loans!$C679,Sources!$C$35:$C$55,0),MATCH("Interest Rate",Sources!$C$35:$N$35,0)))</f>
        <v>N/A</v>
      </c>
      <c r="F683" s="74"/>
      <c r="G683" s="1454" t="s">
        <v>2268</v>
      </c>
      <c r="H683" s="1454"/>
      <c r="I683" s="703" t="str">
        <f>IF(OR($G679="Loan",$G679="N/A"),"N/A",INDEX(OpBudget!$C$159:$K$165,MATCH(Loans!$C679,OpBudget!$C$159:$C$165,0),MATCH("Annual Percent Inflator",OpBudget!$C$159:$K$159,0)))</f>
        <v>N/A</v>
      </c>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row>
    <row r="684" spans="3:34" x14ac:dyDescent="0.2">
      <c r="C684" s="1452" t="s">
        <v>2279</v>
      </c>
      <c r="D684" s="1452"/>
      <c r="E684" s="702" t="str">
        <f>IF(OR($G679="Fee",$G679="N/A"),"N/A",INDEX(Sources!$C$35:$N$55,MATCH(Loans!$C679,Sources!$C$35:$C$55,0),MATCH("Simple or Compound Interest?",Sources!$C$35:$N$35,0)))</f>
        <v>N/A</v>
      </c>
      <c r="F684" s="74"/>
      <c r="G684" s="424" t="s">
        <v>2263</v>
      </c>
      <c r="H684" s="424"/>
      <c r="I684" s="703" t="str">
        <f>IF(OR($G679="Loan",$G679="N/A"),"N/A",INDEX(Sources!$D$67:$H$82,MATCH(Loans!$C679,Sources!$D$67:$D$82,0),MATCH("Split of Cash Flow",Sources!$D$67:$H$67,0)))</f>
        <v>N/A</v>
      </c>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row>
    <row r="685" spans="3:34" x14ac:dyDescent="0.2">
      <c r="C685" s="1452" t="s">
        <v>2257</v>
      </c>
      <c r="D685" s="1452"/>
      <c r="E685" s="420" t="str">
        <f>IF(OR($G679="Fee",$G679="N/A"),"N/A",INDEX(Sources!$C$35:$K$55,MATCH(Loans!$C679,Sources!$C$35:$C$55,0),MATCH("Term (Years)",Sources!$C$35:$N$35,0)))</f>
        <v>N/A</v>
      </c>
      <c r="F685" s="74"/>
      <c r="G685" s="1454" t="s">
        <v>2281</v>
      </c>
      <c r="H685" s="1454"/>
      <c r="I685" s="703" t="str">
        <f>IF(OR($G679="Loan",$G679="N/A"),"N/A",INDEX(OpBudget!$C$159:$K$165,MATCH(Loans!$C679,OpBudget!$C$159:$C$165,0),MATCH("Accrue Unpaid Fee?",OpBudget!$C$159:$K$159,0)))</f>
        <v>N/A</v>
      </c>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row>
    <row r="686" spans="3:34" x14ac:dyDescent="0.2">
      <c r="C686" s="1452" t="s">
        <v>2284</v>
      </c>
      <c r="D686" s="1452"/>
      <c r="E686" s="420" t="str">
        <f>IF(OR($G679="Fee",$G679="N/A"),"N/A",INDEX(Sources!$D$67:$O$82,MATCH(Loans!$C679,Sources!$D$67:$D$82,0),MATCH("Beginning Payment Year",Sources!$D$67:$O$67,0)))</f>
        <v>N/A</v>
      </c>
      <c r="F686" s="74"/>
      <c r="G686" s="1454" t="s">
        <v>2293</v>
      </c>
      <c r="H686" s="1454"/>
      <c r="I686" s="705" t="str">
        <f>IF(OR($G679="Loan",$G679="N/A"),"N/A",IF(INDEX(OpBudget!$C$159:$K$165,MATCH(Loans!$C679,OpBudget!$C$159:$C$165,0),MATCH("Fee Cap (if applicable)",OpBudget!$C$159:$K$159,0))=0,"N/A",INDEX(OpBudget!$C$159:$K$165,MATCH(Loans!$C679,OpBudget!$C$159:$C$165,0),MATCH("Fee Cap (if applicable)",OpBudget!$C$159:$K$159,0))))</f>
        <v>N/A</v>
      </c>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row>
    <row r="687" spans="3:34" x14ac:dyDescent="0.2">
      <c r="C687" s="1452" t="s">
        <v>2267</v>
      </c>
      <c r="D687" s="1452"/>
      <c r="E687" s="703" t="str">
        <f>IF(OR($G679="Fee",$G679="N/A"),"N/A",INDEX(Sources!$D$67:$O$82,MATCH(Loans!$C679,Sources!$D$67:$D$82,0),MATCH("Split of Cash Flow",Sources!$D$67:$O$67,0)))</f>
        <v>N/A</v>
      </c>
      <c r="F687" s="1455"/>
      <c r="G687" s="1454" t="s">
        <v>2292</v>
      </c>
      <c r="H687" s="1454"/>
      <c r="I687" s="420" t="str">
        <f>IF(OR($G679="Loan",$G679="N/A"),"N/A",INDEX(OpBudget!$C$159:$K$165,MATCH(Loans!$C679,OpBudget!$C$159:$C$165,0),MATCH("Number of Years Fee Exists",OpBudget!$C$159:$K$159,0)))</f>
        <v>N/A</v>
      </c>
      <c r="J687" s="74"/>
      <c r="K687" s="74"/>
      <c r="L687" s="74" t="s">
        <v>2278</v>
      </c>
      <c r="M687" s="74"/>
      <c r="N687" s="74"/>
      <c r="O687" s="74"/>
      <c r="P687" s="74"/>
      <c r="Q687" s="74"/>
      <c r="R687" s="74"/>
      <c r="S687" s="74"/>
      <c r="T687" s="74"/>
      <c r="U687" s="74"/>
      <c r="V687" s="74"/>
      <c r="W687" s="74"/>
      <c r="X687" s="74"/>
      <c r="Y687" s="74"/>
      <c r="Z687" s="74"/>
      <c r="AA687" s="74"/>
      <c r="AB687" s="74"/>
      <c r="AC687" s="74"/>
      <c r="AD687" s="74"/>
      <c r="AE687" s="74"/>
      <c r="AF687" s="74"/>
      <c r="AG687" s="74"/>
      <c r="AH687" s="74"/>
    </row>
    <row r="688" spans="3:34" x14ac:dyDescent="0.2">
      <c r="C688" s="1452" t="s">
        <v>2289</v>
      </c>
      <c r="D688" s="1452"/>
      <c r="E688" s="704" t="str">
        <f>IF(OR($G679="Fee",$G679="N/A"),"N/A",INDEX(Sources!$D$67:$O$82,MATCH(Loans!$C679,Sources!$D$67:$D$82,0),MATCH("Pari Passu?",Sources!$D$67:$O$67,0)))</f>
        <v>N/A</v>
      </c>
      <c r="F688" s="1455"/>
      <c r="G688" s="424"/>
      <c r="H688" s="424"/>
      <c r="I688" s="526"/>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row>
    <row r="689" spans="3:34" x14ac:dyDescent="0.2">
      <c r="C689" s="1452" t="s">
        <v>2295</v>
      </c>
      <c r="D689" s="1452"/>
      <c r="E689" s="703" t="str">
        <f>IF(OR($G679="Fee",$G679="N/A"),"N/A",INDEX(Sources!$D$67:$O$82,MATCH(Loans!$C679,Sources!$D$67:$D$82,0),MATCH("Shared Position Split of Cash Flow",Sources!$D$67:$O$67,0)))</f>
        <v>N/A</v>
      </c>
      <c r="F689" s="532"/>
      <c r="G689" s="424"/>
      <c r="H689" s="424"/>
      <c r="I689" s="526"/>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row>
    <row r="690" spans="3:34" x14ac:dyDescent="0.2">
      <c r="C690" s="1452" t="s">
        <v>2291</v>
      </c>
      <c r="D690" s="1452"/>
      <c r="E690" s="704" t="str">
        <f>IF(OR($G679="Fee",$G679="N/A"),"N/A",INDEX(Sources!$D$67:$O$82,MATCH(Loans!$C679,Sources!$D$67:$D$82,0),MATCH("Deferred Loan?",Sources!$D$67:$O$67,0)))</f>
        <v>N/A</v>
      </c>
      <c r="F690" s="74"/>
      <c r="G690" s="424"/>
      <c r="H690" s="424"/>
      <c r="I690" s="526"/>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row>
    <row r="691" spans="3:34" x14ac:dyDescent="0.2">
      <c r="C691" s="1452" t="s">
        <v>2277</v>
      </c>
      <c r="D691" s="1452"/>
      <c r="E691" s="705" t="str">
        <f>IF(OR(E682=0,E682="N/A"),"N/A",INDEX($C693:$AH705,MATCH("Ending Principal Balance",$C693:$C705,0),MATCH($E685,$C693:$AH693,0)))</f>
        <v>N/A</v>
      </c>
      <c r="F691" s="74"/>
      <c r="G691" s="74"/>
      <c r="H691" s="74" t="s">
        <v>2278</v>
      </c>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row>
    <row r="692" spans="3:34" ht="15" x14ac:dyDescent="0.2">
      <c r="C692" s="345"/>
      <c r="D692" s="345"/>
      <c r="E692" s="345"/>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row>
    <row r="693" spans="3:34" ht="15" x14ac:dyDescent="0.2">
      <c r="C693" s="309"/>
      <c r="D693" s="309"/>
      <c r="E693" s="310">
        <v>1</v>
      </c>
      <c r="F693" s="310">
        <f>E693+1</f>
        <v>2</v>
      </c>
      <c r="G693" s="310">
        <f t="shared" ref="G693" si="3840">F693+1</f>
        <v>3</v>
      </c>
      <c r="H693" s="310">
        <f t="shared" ref="H693" si="3841">G693+1</f>
        <v>4</v>
      </c>
      <c r="I693" s="310">
        <f t="shared" ref="I693" si="3842">H693+1</f>
        <v>5</v>
      </c>
      <c r="J693" s="310">
        <f t="shared" ref="J693" si="3843">I693+1</f>
        <v>6</v>
      </c>
      <c r="K693" s="310">
        <f t="shared" ref="K693" si="3844">J693+1</f>
        <v>7</v>
      </c>
      <c r="L693" s="310">
        <f t="shared" ref="L693" si="3845">K693+1</f>
        <v>8</v>
      </c>
      <c r="M693" s="310">
        <f t="shared" ref="M693" si="3846">L693+1</f>
        <v>9</v>
      </c>
      <c r="N693" s="310">
        <f t="shared" ref="N693" si="3847">M693+1</f>
        <v>10</v>
      </c>
      <c r="O693" s="310">
        <f t="shared" ref="O693" si="3848">N693+1</f>
        <v>11</v>
      </c>
      <c r="P693" s="310">
        <f t="shared" ref="P693" si="3849">O693+1</f>
        <v>12</v>
      </c>
      <c r="Q693" s="310">
        <f t="shared" ref="Q693" si="3850">P693+1</f>
        <v>13</v>
      </c>
      <c r="R693" s="310">
        <f t="shared" ref="R693" si="3851">Q693+1</f>
        <v>14</v>
      </c>
      <c r="S693" s="448">
        <f t="shared" ref="S693" si="3852">R693+1</f>
        <v>15</v>
      </c>
      <c r="T693" s="428">
        <f t="shared" ref="T693" si="3853">S693+1</f>
        <v>16</v>
      </c>
      <c r="U693" s="310">
        <f t="shared" ref="U693" si="3854">T693+1</f>
        <v>17</v>
      </c>
      <c r="V693" s="310">
        <f t="shared" ref="V693" si="3855">U693+1</f>
        <v>18</v>
      </c>
      <c r="W693" s="310">
        <f t="shared" ref="W693" si="3856">V693+1</f>
        <v>19</v>
      </c>
      <c r="X693" s="310">
        <f t="shared" ref="X693" si="3857">W693+1</f>
        <v>20</v>
      </c>
      <c r="Y693" s="310">
        <f t="shared" ref="Y693" si="3858">X693+1</f>
        <v>21</v>
      </c>
      <c r="Z693" s="310">
        <f t="shared" ref="Z693" si="3859">Y693+1</f>
        <v>22</v>
      </c>
      <c r="AA693" s="310">
        <f t="shared" ref="AA693" si="3860">Z693+1</f>
        <v>23</v>
      </c>
      <c r="AB693" s="310">
        <f t="shared" ref="AB693" si="3861">AA693+1</f>
        <v>24</v>
      </c>
      <c r="AC693" s="310">
        <f t="shared" ref="AC693" si="3862">AB693+1</f>
        <v>25</v>
      </c>
      <c r="AD693" s="310">
        <f t="shared" ref="AD693" si="3863">AC693+1</f>
        <v>26</v>
      </c>
      <c r="AE693" s="310">
        <f t="shared" ref="AE693" si="3864">AD693+1</f>
        <v>27</v>
      </c>
      <c r="AF693" s="310">
        <f t="shared" ref="AF693" si="3865">AE693+1</f>
        <v>28</v>
      </c>
      <c r="AG693" s="310">
        <f t="shared" ref="AG693" si="3866">AF693+1</f>
        <v>29</v>
      </c>
      <c r="AH693" s="310">
        <f t="shared" ref="AH693" si="3867">AG693+1</f>
        <v>30</v>
      </c>
    </row>
    <row r="694" spans="3:34" ht="15" x14ac:dyDescent="0.2">
      <c r="C694" s="309"/>
      <c r="D694" s="309"/>
      <c r="E694" s="314" t="str">
        <f>IF(Details!$E$171="","",Details!$E$171)</f>
        <v/>
      </c>
      <c r="F694" s="314" t="str">
        <f>IF($E$7="","",E$7+1)</f>
        <v/>
      </c>
      <c r="G694" s="314" t="str">
        <f t="shared" ref="G694" si="3868">IF($E$7="","",F$7+1)</f>
        <v/>
      </c>
      <c r="H694" s="314" t="str">
        <f t="shared" ref="H694" si="3869">IF($E$7="","",G$7+1)</f>
        <v/>
      </c>
      <c r="I694" s="314" t="str">
        <f t="shared" ref="I694" si="3870">IF($E$7="","",H$7+1)</f>
        <v/>
      </c>
      <c r="J694" s="314" t="str">
        <f t="shared" ref="J694" si="3871">IF($E$7="","",I$7+1)</f>
        <v/>
      </c>
      <c r="K694" s="314" t="str">
        <f t="shared" ref="K694" si="3872">IF($E$7="","",J$7+1)</f>
        <v/>
      </c>
      <c r="L694" s="314" t="str">
        <f t="shared" ref="L694" si="3873">IF($E$7="","",K$7+1)</f>
        <v/>
      </c>
      <c r="M694" s="314" t="str">
        <f t="shared" ref="M694" si="3874">IF($E$7="","",L$7+1)</f>
        <v/>
      </c>
      <c r="N694" s="314" t="str">
        <f t="shared" ref="N694" si="3875">IF($E$7="","",M$7+1)</f>
        <v/>
      </c>
      <c r="O694" s="314" t="str">
        <f t="shared" ref="O694" si="3876">IF($E$7="","",N$7+1)</f>
        <v/>
      </c>
      <c r="P694" s="314" t="str">
        <f t="shared" ref="P694" si="3877">IF($E$7="","",O$7+1)</f>
        <v/>
      </c>
      <c r="Q694" s="314" t="str">
        <f t="shared" ref="Q694" si="3878">IF($E$7="","",P$7+1)</f>
        <v/>
      </c>
      <c r="R694" s="314" t="str">
        <f t="shared" ref="R694" si="3879">IF($E$7="","",Q$7+1)</f>
        <v/>
      </c>
      <c r="S694" s="440" t="str">
        <f t="shared" ref="S694" si="3880">IF($E$7="","",R$7+1)</f>
        <v/>
      </c>
      <c r="T694" s="433" t="str">
        <f t="shared" ref="T694" si="3881">IF($E$7="","",S$7+1)</f>
        <v/>
      </c>
      <c r="U694" s="314" t="str">
        <f t="shared" ref="U694" si="3882">IF($E$7="","",T$7+1)</f>
        <v/>
      </c>
      <c r="V694" s="314" t="str">
        <f t="shared" ref="V694" si="3883">IF($E$7="","",U$7+1)</f>
        <v/>
      </c>
      <c r="W694" s="314" t="str">
        <f t="shared" ref="W694" si="3884">IF($E$7="","",V$7+1)</f>
        <v/>
      </c>
      <c r="X694" s="314" t="str">
        <f t="shared" ref="X694" si="3885">IF($E$7="","",W$7+1)</f>
        <v/>
      </c>
      <c r="Y694" s="314" t="str">
        <f t="shared" ref="Y694" si="3886">IF($E$7="","",X$7+1)</f>
        <v/>
      </c>
      <c r="Z694" s="314" t="str">
        <f t="shared" ref="Z694" si="3887">IF($E$7="","",Y$7+1)</f>
        <v/>
      </c>
      <c r="AA694" s="314" t="str">
        <f t="shared" ref="AA694" si="3888">IF($E$7="","",Z$7+1)</f>
        <v/>
      </c>
      <c r="AB694" s="314" t="str">
        <f t="shared" ref="AB694" si="3889">IF($E$7="","",AA$7+1)</f>
        <v/>
      </c>
      <c r="AC694" s="314" t="str">
        <f t="shared" ref="AC694" si="3890">IF($E$7="","",AB$7+1)</f>
        <v/>
      </c>
      <c r="AD694" s="314" t="str">
        <f t="shared" ref="AD694" si="3891">IF($E$7="","",AC$7+1)</f>
        <v/>
      </c>
      <c r="AE694" s="314" t="str">
        <f t="shared" ref="AE694" si="3892">IF($E$7="","",AD$7+1)</f>
        <v/>
      </c>
      <c r="AF694" s="314" t="str">
        <f t="shared" ref="AF694" si="3893">IF($E$7="","",AE$7+1)</f>
        <v/>
      </c>
      <c r="AG694" s="314" t="str">
        <f t="shared" ref="AG694" si="3894">IF($E$7="","",AF$7+1)</f>
        <v/>
      </c>
      <c r="AH694" s="314" t="str">
        <f t="shared" ref="AH694" si="3895">IF($E$7="","",AG$7+1)</f>
        <v/>
      </c>
    </row>
    <row r="695" spans="3:34" x14ac:dyDescent="0.2">
      <c r="C695" s="1168" t="s">
        <v>2254</v>
      </c>
      <c r="D695" s="1169"/>
      <c r="E695" s="109">
        <f>E660-E669-E673</f>
        <v>0</v>
      </c>
      <c r="F695" s="109">
        <f t="shared" ref="F695:AH695" si="3896">F660-F669-F673</f>
        <v>0</v>
      </c>
      <c r="G695" s="109">
        <f t="shared" si="3896"/>
        <v>0</v>
      </c>
      <c r="H695" s="109">
        <f t="shared" si="3896"/>
        <v>0</v>
      </c>
      <c r="I695" s="109">
        <f t="shared" si="3896"/>
        <v>0</v>
      </c>
      <c r="J695" s="109">
        <f t="shared" si="3896"/>
        <v>0</v>
      </c>
      <c r="K695" s="109">
        <f t="shared" si="3896"/>
        <v>0</v>
      </c>
      <c r="L695" s="109">
        <f t="shared" si="3896"/>
        <v>0</v>
      </c>
      <c r="M695" s="109">
        <f t="shared" si="3896"/>
        <v>0</v>
      </c>
      <c r="N695" s="109">
        <f t="shared" si="3896"/>
        <v>0</v>
      </c>
      <c r="O695" s="109">
        <f t="shared" si="3896"/>
        <v>0</v>
      </c>
      <c r="P695" s="109">
        <f t="shared" si="3896"/>
        <v>0</v>
      </c>
      <c r="Q695" s="109">
        <f t="shared" si="3896"/>
        <v>0</v>
      </c>
      <c r="R695" s="109">
        <f t="shared" si="3896"/>
        <v>0</v>
      </c>
      <c r="S695" s="331">
        <f t="shared" si="3896"/>
        <v>0</v>
      </c>
      <c r="T695" s="228">
        <f t="shared" si="3896"/>
        <v>0</v>
      </c>
      <c r="U695" s="109">
        <f t="shared" si="3896"/>
        <v>0</v>
      </c>
      <c r="V695" s="109">
        <f t="shared" si="3896"/>
        <v>0</v>
      </c>
      <c r="W695" s="109">
        <f t="shared" si="3896"/>
        <v>0</v>
      </c>
      <c r="X695" s="109">
        <f t="shared" si="3896"/>
        <v>0</v>
      </c>
      <c r="Y695" s="109">
        <f t="shared" si="3896"/>
        <v>0</v>
      </c>
      <c r="Z695" s="109">
        <f t="shared" si="3896"/>
        <v>0</v>
      </c>
      <c r="AA695" s="109">
        <f t="shared" si="3896"/>
        <v>0</v>
      </c>
      <c r="AB695" s="109">
        <f t="shared" si="3896"/>
        <v>0</v>
      </c>
      <c r="AC695" s="109">
        <f t="shared" si="3896"/>
        <v>0</v>
      </c>
      <c r="AD695" s="109">
        <f t="shared" si="3896"/>
        <v>0</v>
      </c>
      <c r="AE695" s="109">
        <f t="shared" si="3896"/>
        <v>0</v>
      </c>
      <c r="AF695" s="109">
        <f t="shared" si="3896"/>
        <v>0</v>
      </c>
      <c r="AG695" s="109">
        <f t="shared" si="3896"/>
        <v>0</v>
      </c>
      <c r="AH695" s="109">
        <f t="shared" si="3896"/>
        <v>0</v>
      </c>
    </row>
    <row r="696" spans="3:34" ht="15" x14ac:dyDescent="0.2">
      <c r="C696" s="345"/>
      <c r="D696" s="345"/>
      <c r="E696" s="345"/>
      <c r="F696" s="74"/>
      <c r="G696" s="74"/>
      <c r="H696" s="74"/>
      <c r="I696" s="74"/>
      <c r="J696" s="74"/>
      <c r="K696" s="74"/>
      <c r="L696" s="74"/>
      <c r="M696" s="74"/>
      <c r="N696" s="74"/>
      <c r="O696" s="74"/>
      <c r="P696" s="74"/>
      <c r="Q696" s="74"/>
      <c r="R696" s="74"/>
      <c r="S696" s="333"/>
      <c r="T696" s="74"/>
      <c r="U696" s="74"/>
      <c r="V696" s="74"/>
      <c r="W696" s="74"/>
      <c r="X696" s="74"/>
      <c r="Y696" s="74"/>
      <c r="Z696" s="74"/>
      <c r="AA696" s="74"/>
      <c r="AB696" s="74"/>
      <c r="AC696" s="74"/>
      <c r="AD696" s="74"/>
      <c r="AE696" s="74"/>
      <c r="AF696" s="74"/>
      <c r="AG696" s="74"/>
      <c r="AH696" s="74"/>
    </row>
    <row r="697" spans="3:34" ht="15" x14ac:dyDescent="0.2">
      <c r="C697" s="432" t="s">
        <v>2286</v>
      </c>
      <c r="D697" s="345"/>
      <c r="E697" s="345"/>
      <c r="F697" s="74"/>
      <c r="G697" s="74"/>
      <c r="H697" s="74"/>
      <c r="I697" s="74"/>
      <c r="J697" s="74"/>
      <c r="K697" s="74"/>
      <c r="L697" s="74"/>
      <c r="M697" s="74"/>
      <c r="N697" s="74"/>
      <c r="O697" s="74"/>
      <c r="P697" s="74"/>
      <c r="Q697" s="74"/>
      <c r="R697" s="74"/>
      <c r="S697" s="333"/>
      <c r="T697" s="74"/>
      <c r="U697" s="74"/>
      <c r="V697" s="74"/>
      <c r="W697" s="74"/>
      <c r="X697" s="74"/>
      <c r="Y697" s="74"/>
      <c r="Z697" s="74"/>
      <c r="AA697" s="74"/>
      <c r="AB697" s="74"/>
      <c r="AC697" s="74"/>
      <c r="AD697" s="74"/>
      <c r="AE697" s="74"/>
      <c r="AF697" s="74"/>
      <c r="AG697" s="74"/>
      <c r="AH697" s="74"/>
    </row>
    <row r="698" spans="3:34" ht="15" thickBot="1" x14ac:dyDescent="0.25">
      <c r="C698" s="1453" t="s">
        <v>2285</v>
      </c>
      <c r="D698" s="1453"/>
      <c r="E698" s="423">
        <f>IF(OR($E682="N/A",$E682=0),0,IF($E688="Yes",(E695*$E687*$E689),E695*$E687))</f>
        <v>0</v>
      </c>
      <c r="F698" s="423">
        <f t="shared" ref="F698:AH698" si="3897">IF(OR($E682="N/A",$E682=0),0,IF($E688="Yes",(F695*$E687*$E689),F695*$E687))</f>
        <v>0</v>
      </c>
      <c r="G698" s="423">
        <f t="shared" si="3897"/>
        <v>0</v>
      </c>
      <c r="H698" s="423">
        <f t="shared" si="3897"/>
        <v>0</v>
      </c>
      <c r="I698" s="423">
        <f t="shared" si="3897"/>
        <v>0</v>
      </c>
      <c r="J698" s="423">
        <f t="shared" si="3897"/>
        <v>0</v>
      </c>
      <c r="K698" s="423">
        <f t="shared" si="3897"/>
        <v>0</v>
      </c>
      <c r="L698" s="423">
        <f t="shared" si="3897"/>
        <v>0</v>
      </c>
      <c r="M698" s="423">
        <f t="shared" si="3897"/>
        <v>0</v>
      </c>
      <c r="N698" s="423">
        <f t="shared" si="3897"/>
        <v>0</v>
      </c>
      <c r="O698" s="423">
        <f t="shared" si="3897"/>
        <v>0</v>
      </c>
      <c r="P698" s="423">
        <f t="shared" si="3897"/>
        <v>0</v>
      </c>
      <c r="Q698" s="423">
        <f t="shared" si="3897"/>
        <v>0</v>
      </c>
      <c r="R698" s="423">
        <f t="shared" si="3897"/>
        <v>0</v>
      </c>
      <c r="S698" s="441">
        <f t="shared" si="3897"/>
        <v>0</v>
      </c>
      <c r="T698" s="434">
        <f t="shared" si="3897"/>
        <v>0</v>
      </c>
      <c r="U698" s="423">
        <f t="shared" si="3897"/>
        <v>0</v>
      </c>
      <c r="V698" s="423">
        <f t="shared" si="3897"/>
        <v>0</v>
      </c>
      <c r="W698" s="423">
        <f t="shared" si="3897"/>
        <v>0</v>
      </c>
      <c r="X698" s="423">
        <f t="shared" si="3897"/>
        <v>0</v>
      </c>
      <c r="Y698" s="423">
        <f t="shared" si="3897"/>
        <v>0</v>
      </c>
      <c r="Z698" s="423">
        <f t="shared" si="3897"/>
        <v>0</v>
      </c>
      <c r="AA698" s="423">
        <f t="shared" si="3897"/>
        <v>0</v>
      </c>
      <c r="AB698" s="423">
        <f t="shared" si="3897"/>
        <v>0</v>
      </c>
      <c r="AC698" s="423">
        <f t="shared" si="3897"/>
        <v>0</v>
      </c>
      <c r="AD698" s="423">
        <f t="shared" si="3897"/>
        <v>0</v>
      </c>
      <c r="AE698" s="423">
        <f t="shared" si="3897"/>
        <v>0</v>
      </c>
      <c r="AF698" s="423">
        <f t="shared" si="3897"/>
        <v>0</v>
      </c>
      <c r="AG698" s="423">
        <f t="shared" si="3897"/>
        <v>0</v>
      </c>
      <c r="AH698" s="423">
        <f t="shared" si="3897"/>
        <v>0</v>
      </c>
    </row>
    <row r="699" spans="3:34" ht="15" thickTop="1" x14ac:dyDescent="0.2">
      <c r="C699" s="1449" t="s">
        <v>2189</v>
      </c>
      <c r="D699" s="1449"/>
      <c r="E699" s="316">
        <f>IF(OR($E682="N/A",E693&gt;$E685,E693&lt;$E686),0,MAX(0,E682))</f>
        <v>0</v>
      </c>
      <c r="F699" s="316">
        <f t="shared" ref="F699" si="3898">IF(OR($E682="N/A",F693&gt;$E685),0,IF(F693=$E686,$E682,MAX(E705,0)))</f>
        <v>0</v>
      </c>
      <c r="G699" s="316">
        <f t="shared" ref="G699" si="3899">IF(OR($E682="N/A",G693&gt;$E685),0,IF(G693=$E686,$E682,MAX(F705,0)))</f>
        <v>0</v>
      </c>
      <c r="H699" s="316">
        <f t="shared" ref="H699" si="3900">IF(OR($E682="N/A",H693&gt;$E685),0,IF(H693=$E686,$E682,MAX(G705,0)))</f>
        <v>0</v>
      </c>
      <c r="I699" s="316">
        <f t="shared" ref="I699" si="3901">IF(OR($E682="N/A",I693&gt;$E685),0,IF(I693=$E686,$E682,MAX(H705,0)))</f>
        <v>0</v>
      </c>
      <c r="J699" s="316">
        <f t="shared" ref="J699" si="3902">IF(OR($E682="N/A",J693&gt;$E685),0,IF(J693=$E686,$E682,MAX(I705,0)))</f>
        <v>0</v>
      </c>
      <c r="K699" s="316">
        <f t="shared" ref="K699" si="3903">IF(OR($E682="N/A",K693&gt;$E685),0,IF(K693=$E686,$E682,MAX(J705,0)))</f>
        <v>0</v>
      </c>
      <c r="L699" s="316">
        <f t="shared" ref="L699" si="3904">IF(OR($E682="N/A",L693&gt;$E685),0,IF(L693=$E686,$E682,MAX(K705,0)))</f>
        <v>0</v>
      </c>
      <c r="M699" s="316">
        <f t="shared" ref="M699" si="3905">IF(OR($E682="N/A",M693&gt;$E685),0,IF(M693=$E686,$E682,MAX(L705,0)))</f>
        <v>0</v>
      </c>
      <c r="N699" s="316">
        <f t="shared" ref="N699" si="3906">IF(OR($E682="N/A",N693&gt;$E685),0,IF(N693=$E686,$E682,MAX(M705,0)))</f>
        <v>0</v>
      </c>
      <c r="O699" s="316">
        <f t="shared" ref="O699" si="3907">IF(OR($E682="N/A",O693&gt;$E685),0,IF(O693=$E686,$E682,MAX(N705,0)))</f>
        <v>0</v>
      </c>
      <c r="P699" s="316">
        <f t="shared" ref="P699" si="3908">IF(OR($E682="N/A",P693&gt;$E685),0,IF(P693=$E686,$E682,MAX(O705,0)))</f>
        <v>0</v>
      </c>
      <c r="Q699" s="316">
        <f t="shared" ref="Q699" si="3909">IF(OR($E682="N/A",Q693&gt;$E685),0,IF(Q693=$E686,$E682,MAX(P705,0)))</f>
        <v>0</v>
      </c>
      <c r="R699" s="316">
        <f t="shared" ref="R699" si="3910">IF(OR($E682="N/A",R693&gt;$E685),0,IF(R693=$E686,$E682,MAX(Q705,0)))</f>
        <v>0</v>
      </c>
      <c r="S699" s="332">
        <f t="shared" ref="S699" si="3911">IF(OR($E682="N/A",S693&gt;$E685),0,IF(S693=$E686,$E682,MAX(R705,0)))</f>
        <v>0</v>
      </c>
      <c r="T699" s="429">
        <f t="shared" ref="T699" si="3912">IF(OR($E682="N/A",T693&gt;$E685),0,IF(T693=$E686,$E682,MAX(S705,0)))</f>
        <v>0</v>
      </c>
      <c r="U699" s="316">
        <f t="shared" ref="U699" si="3913">IF(OR($E682="N/A",U693&gt;$E685),0,IF(U693=$E686,$E682,MAX(T705,0)))</f>
        <v>0</v>
      </c>
      <c r="V699" s="316">
        <f t="shared" ref="V699" si="3914">IF(OR($E682="N/A",V693&gt;$E685),0,IF(V693=$E686,$E682,MAX(U705,0)))</f>
        <v>0</v>
      </c>
      <c r="W699" s="316">
        <f t="shared" ref="W699" si="3915">IF(OR($E682="N/A",W693&gt;$E685),0,IF(W693=$E686,$E682,MAX(V705,0)))</f>
        <v>0</v>
      </c>
      <c r="X699" s="316">
        <f t="shared" ref="X699" si="3916">IF(OR($E682="N/A",X693&gt;$E685),0,IF(X693=$E686,$E682,MAX(W705,0)))</f>
        <v>0</v>
      </c>
      <c r="Y699" s="316">
        <f t="shared" ref="Y699" si="3917">IF(OR($E682="N/A",Y693&gt;$E685),0,IF(Y693=$E686,$E682,MAX(X705,0)))</f>
        <v>0</v>
      </c>
      <c r="Z699" s="316">
        <f t="shared" ref="Z699" si="3918">IF(OR($E682="N/A",Z693&gt;$E685),0,IF(Z693=$E686,$E682,MAX(Y705,0)))</f>
        <v>0</v>
      </c>
      <c r="AA699" s="316">
        <f t="shared" ref="AA699" si="3919">IF(OR($E682="N/A",AA693&gt;$E685),0,IF(AA693=$E686,$E682,MAX(Z705,0)))</f>
        <v>0</v>
      </c>
      <c r="AB699" s="316">
        <f t="shared" ref="AB699" si="3920">IF(OR($E682="N/A",AB693&gt;$E685),0,IF(AB693=$E686,$E682,MAX(AA705,0)))</f>
        <v>0</v>
      </c>
      <c r="AC699" s="316">
        <f t="shared" ref="AC699" si="3921">IF(OR($E682="N/A",AC693&gt;$E685),0,IF(AC693=$E686,$E682,MAX(AB705,0)))</f>
        <v>0</v>
      </c>
      <c r="AD699" s="316">
        <f t="shared" ref="AD699" si="3922">IF(OR($E682="N/A",AD693&gt;$E685),0,IF(AD693=$E686,$E682,MAX(AC705,0)))</f>
        <v>0</v>
      </c>
      <c r="AE699" s="316">
        <f t="shared" ref="AE699" si="3923">IF(OR($E682="N/A",AE693&gt;$E685),0,IF(AE693=$E686,$E682,MAX(AD705,0)))</f>
        <v>0</v>
      </c>
      <c r="AF699" s="316">
        <f t="shared" ref="AF699" si="3924">IF(OR($E682="N/A",AF693&gt;$E685),0,IF(AF693=$E686,$E682,MAX(AE705,0)))</f>
        <v>0</v>
      </c>
      <c r="AG699" s="316">
        <f t="shared" ref="AG699" si="3925">IF(OR($E682="N/A",AG693&gt;$E685),0,IF(AG693=$E686,$E682,MAX(AF705,0)))</f>
        <v>0</v>
      </c>
      <c r="AH699" s="316">
        <f t="shared" ref="AH699" si="3926">IF(OR($E682="N/A",AH693&gt;$E685),0,IF(AH693=$E686,$E682,MAX(AG705,0)))</f>
        <v>0</v>
      </c>
    </row>
    <row r="700" spans="3:34" x14ac:dyDescent="0.2">
      <c r="C700" s="1181" t="s">
        <v>2186</v>
      </c>
      <c r="D700" s="1181"/>
      <c r="E700" s="109">
        <f t="shared" ref="E700:AH700" si="3927">IF(OR($E682="N/A",E693&gt;$E685,E693&lt;$E686),0,E699*$E683)</f>
        <v>0</v>
      </c>
      <c r="F700" s="109">
        <f t="shared" si="3927"/>
        <v>0</v>
      </c>
      <c r="G700" s="109">
        <f t="shared" si="3927"/>
        <v>0</v>
      </c>
      <c r="H700" s="109">
        <f t="shared" si="3927"/>
        <v>0</v>
      </c>
      <c r="I700" s="109">
        <f t="shared" si="3927"/>
        <v>0</v>
      </c>
      <c r="J700" s="109">
        <f t="shared" si="3927"/>
        <v>0</v>
      </c>
      <c r="K700" s="109">
        <f t="shared" si="3927"/>
        <v>0</v>
      </c>
      <c r="L700" s="109">
        <f t="shared" si="3927"/>
        <v>0</v>
      </c>
      <c r="M700" s="109">
        <f t="shared" si="3927"/>
        <v>0</v>
      </c>
      <c r="N700" s="109">
        <f t="shared" si="3927"/>
        <v>0</v>
      </c>
      <c r="O700" s="109">
        <f t="shared" si="3927"/>
        <v>0</v>
      </c>
      <c r="P700" s="109">
        <f t="shared" si="3927"/>
        <v>0</v>
      </c>
      <c r="Q700" s="109">
        <f t="shared" si="3927"/>
        <v>0</v>
      </c>
      <c r="R700" s="109">
        <f t="shared" si="3927"/>
        <v>0</v>
      </c>
      <c r="S700" s="331">
        <f t="shared" si="3927"/>
        <v>0</v>
      </c>
      <c r="T700" s="228">
        <f t="shared" si="3927"/>
        <v>0</v>
      </c>
      <c r="U700" s="109">
        <f t="shared" si="3927"/>
        <v>0</v>
      </c>
      <c r="V700" s="109">
        <f t="shared" si="3927"/>
        <v>0</v>
      </c>
      <c r="W700" s="109">
        <f t="shared" si="3927"/>
        <v>0</v>
      </c>
      <c r="X700" s="109">
        <f t="shared" si="3927"/>
        <v>0</v>
      </c>
      <c r="Y700" s="109">
        <f t="shared" si="3927"/>
        <v>0</v>
      </c>
      <c r="Z700" s="109">
        <f t="shared" si="3927"/>
        <v>0</v>
      </c>
      <c r="AA700" s="109">
        <f t="shared" si="3927"/>
        <v>0</v>
      </c>
      <c r="AB700" s="109">
        <f t="shared" si="3927"/>
        <v>0</v>
      </c>
      <c r="AC700" s="109">
        <f t="shared" si="3927"/>
        <v>0</v>
      </c>
      <c r="AD700" s="109">
        <f t="shared" si="3927"/>
        <v>0</v>
      </c>
      <c r="AE700" s="109">
        <f t="shared" si="3927"/>
        <v>0</v>
      </c>
      <c r="AF700" s="109">
        <f t="shared" si="3927"/>
        <v>0</v>
      </c>
      <c r="AG700" s="109">
        <f t="shared" si="3927"/>
        <v>0</v>
      </c>
      <c r="AH700" s="109">
        <f t="shared" si="3927"/>
        <v>0</v>
      </c>
    </row>
    <row r="701" spans="3:34" x14ac:dyDescent="0.2">
      <c r="C701" s="1181" t="s">
        <v>2270</v>
      </c>
      <c r="D701" s="1181"/>
      <c r="E701" s="346">
        <f t="shared" ref="E701:AH701" si="3928">IF(OR($E682="N/A",E693&gt;$E685,E693&lt;$E686),0,MAX(0,MIN(E700,E698)))</f>
        <v>0</v>
      </c>
      <c r="F701" s="346">
        <f t="shared" si="3928"/>
        <v>0</v>
      </c>
      <c r="G701" s="346">
        <f t="shared" si="3928"/>
        <v>0</v>
      </c>
      <c r="H701" s="346">
        <f t="shared" si="3928"/>
        <v>0</v>
      </c>
      <c r="I701" s="346">
        <f t="shared" si="3928"/>
        <v>0</v>
      </c>
      <c r="J701" s="346">
        <f t="shared" si="3928"/>
        <v>0</v>
      </c>
      <c r="K701" s="346">
        <f t="shared" si="3928"/>
        <v>0</v>
      </c>
      <c r="L701" s="346">
        <f t="shared" si="3928"/>
        <v>0</v>
      </c>
      <c r="M701" s="346">
        <f t="shared" si="3928"/>
        <v>0</v>
      </c>
      <c r="N701" s="346">
        <f t="shared" si="3928"/>
        <v>0</v>
      </c>
      <c r="O701" s="346">
        <f t="shared" si="3928"/>
        <v>0</v>
      </c>
      <c r="P701" s="346">
        <f t="shared" si="3928"/>
        <v>0</v>
      </c>
      <c r="Q701" s="346">
        <f t="shared" si="3928"/>
        <v>0</v>
      </c>
      <c r="R701" s="346">
        <f t="shared" si="3928"/>
        <v>0</v>
      </c>
      <c r="S701" s="442">
        <f t="shared" si="3928"/>
        <v>0</v>
      </c>
      <c r="T701" s="435">
        <f t="shared" si="3928"/>
        <v>0</v>
      </c>
      <c r="U701" s="346">
        <f t="shared" si="3928"/>
        <v>0</v>
      </c>
      <c r="V701" s="346">
        <f t="shared" si="3928"/>
        <v>0</v>
      </c>
      <c r="W701" s="346">
        <f t="shared" si="3928"/>
        <v>0</v>
      </c>
      <c r="X701" s="346">
        <f t="shared" si="3928"/>
        <v>0</v>
      </c>
      <c r="Y701" s="346">
        <f t="shared" si="3928"/>
        <v>0</v>
      </c>
      <c r="Z701" s="346">
        <f t="shared" si="3928"/>
        <v>0</v>
      </c>
      <c r="AA701" s="346">
        <f t="shared" si="3928"/>
        <v>0</v>
      </c>
      <c r="AB701" s="346">
        <f t="shared" si="3928"/>
        <v>0</v>
      </c>
      <c r="AC701" s="346">
        <f t="shared" si="3928"/>
        <v>0</v>
      </c>
      <c r="AD701" s="346">
        <f t="shared" si="3928"/>
        <v>0</v>
      </c>
      <c r="AE701" s="346">
        <f t="shared" si="3928"/>
        <v>0</v>
      </c>
      <c r="AF701" s="346">
        <f t="shared" si="3928"/>
        <v>0</v>
      </c>
      <c r="AG701" s="346">
        <f t="shared" si="3928"/>
        <v>0</v>
      </c>
      <c r="AH701" s="346">
        <f t="shared" si="3928"/>
        <v>0</v>
      </c>
    </row>
    <row r="702" spans="3:34" x14ac:dyDescent="0.2">
      <c r="C702" s="1181" t="s">
        <v>2271</v>
      </c>
      <c r="D702" s="1181"/>
      <c r="E702" s="346">
        <f t="shared" ref="E702:AH702" si="3929">IF(OR($E682="N/A",E693&gt;$E685,E693&lt;$E686),0,E701-E700)</f>
        <v>0</v>
      </c>
      <c r="F702" s="346">
        <f t="shared" si="3929"/>
        <v>0</v>
      </c>
      <c r="G702" s="346">
        <f t="shared" si="3929"/>
        <v>0</v>
      </c>
      <c r="H702" s="346">
        <f t="shared" si="3929"/>
        <v>0</v>
      </c>
      <c r="I702" s="346">
        <f t="shared" si="3929"/>
        <v>0</v>
      </c>
      <c r="J702" s="346">
        <f t="shared" si="3929"/>
        <v>0</v>
      </c>
      <c r="K702" s="346">
        <f t="shared" si="3929"/>
        <v>0</v>
      </c>
      <c r="L702" s="346">
        <f t="shared" si="3929"/>
        <v>0</v>
      </c>
      <c r="M702" s="346">
        <f t="shared" si="3929"/>
        <v>0</v>
      </c>
      <c r="N702" s="346">
        <f t="shared" si="3929"/>
        <v>0</v>
      </c>
      <c r="O702" s="346">
        <f t="shared" si="3929"/>
        <v>0</v>
      </c>
      <c r="P702" s="346">
        <f t="shared" si="3929"/>
        <v>0</v>
      </c>
      <c r="Q702" s="346">
        <f t="shared" si="3929"/>
        <v>0</v>
      </c>
      <c r="R702" s="346">
        <f t="shared" si="3929"/>
        <v>0</v>
      </c>
      <c r="S702" s="442">
        <f t="shared" si="3929"/>
        <v>0</v>
      </c>
      <c r="T702" s="435">
        <f t="shared" si="3929"/>
        <v>0</v>
      </c>
      <c r="U702" s="346">
        <f t="shared" si="3929"/>
        <v>0</v>
      </c>
      <c r="V702" s="346">
        <f t="shared" si="3929"/>
        <v>0</v>
      </c>
      <c r="W702" s="346">
        <f t="shared" si="3929"/>
        <v>0</v>
      </c>
      <c r="X702" s="346">
        <f t="shared" si="3929"/>
        <v>0</v>
      </c>
      <c r="Y702" s="346">
        <f t="shared" si="3929"/>
        <v>0</v>
      </c>
      <c r="Z702" s="346">
        <f t="shared" si="3929"/>
        <v>0</v>
      </c>
      <c r="AA702" s="346">
        <f t="shared" si="3929"/>
        <v>0</v>
      </c>
      <c r="AB702" s="346">
        <f t="shared" si="3929"/>
        <v>0</v>
      </c>
      <c r="AC702" s="346">
        <f t="shared" si="3929"/>
        <v>0</v>
      </c>
      <c r="AD702" s="346">
        <f t="shared" si="3929"/>
        <v>0</v>
      </c>
      <c r="AE702" s="346">
        <f t="shared" si="3929"/>
        <v>0</v>
      </c>
      <c r="AF702" s="346">
        <f t="shared" si="3929"/>
        <v>0</v>
      </c>
      <c r="AG702" s="346">
        <f t="shared" si="3929"/>
        <v>0</v>
      </c>
      <c r="AH702" s="346">
        <f t="shared" si="3929"/>
        <v>0</v>
      </c>
    </row>
    <row r="703" spans="3:34" ht="15" thickBot="1" x14ac:dyDescent="0.25">
      <c r="C703" s="1448" t="s">
        <v>2272</v>
      </c>
      <c r="D703" s="1448"/>
      <c r="E703" s="411">
        <f>IF(OR($E682="N/A",E693&gt;$E685,E693&lt;$E686),0,MAX(0,MIN(E698-E701,E699)))</f>
        <v>0</v>
      </c>
      <c r="F703" s="411">
        <f>IF(OR($E682="N/A",F693&gt;$E685,F693&lt;$E686),0,MAX(0,MIN(F698-F701,F699)))</f>
        <v>0</v>
      </c>
      <c r="G703" s="411">
        <f t="shared" ref="G703:AH703" si="3930">IF(OR($E682="N/A",G693&gt;$E685,G693&lt;$E686),0,MAX(0,MIN(G698-G701,G699)))</f>
        <v>0</v>
      </c>
      <c r="H703" s="411">
        <f t="shared" si="3930"/>
        <v>0</v>
      </c>
      <c r="I703" s="411">
        <f t="shared" si="3930"/>
        <v>0</v>
      </c>
      <c r="J703" s="411">
        <f t="shared" si="3930"/>
        <v>0</v>
      </c>
      <c r="K703" s="411">
        <f t="shared" si="3930"/>
        <v>0</v>
      </c>
      <c r="L703" s="411">
        <f t="shared" si="3930"/>
        <v>0</v>
      </c>
      <c r="M703" s="411">
        <f t="shared" si="3930"/>
        <v>0</v>
      </c>
      <c r="N703" s="411">
        <f t="shared" si="3930"/>
        <v>0</v>
      </c>
      <c r="O703" s="411">
        <f t="shared" si="3930"/>
        <v>0</v>
      </c>
      <c r="P703" s="411">
        <f t="shared" si="3930"/>
        <v>0</v>
      </c>
      <c r="Q703" s="411">
        <f t="shared" si="3930"/>
        <v>0</v>
      </c>
      <c r="R703" s="411">
        <f t="shared" si="3930"/>
        <v>0</v>
      </c>
      <c r="S703" s="443">
        <f t="shared" si="3930"/>
        <v>0</v>
      </c>
      <c r="T703" s="431">
        <f t="shared" si="3930"/>
        <v>0</v>
      </c>
      <c r="U703" s="411">
        <f t="shared" si="3930"/>
        <v>0</v>
      </c>
      <c r="V703" s="411">
        <f t="shared" si="3930"/>
        <v>0</v>
      </c>
      <c r="W703" s="411">
        <f t="shared" si="3930"/>
        <v>0</v>
      </c>
      <c r="X703" s="411">
        <f t="shared" si="3930"/>
        <v>0</v>
      </c>
      <c r="Y703" s="411">
        <f t="shared" si="3930"/>
        <v>0</v>
      </c>
      <c r="Z703" s="411">
        <f t="shared" si="3930"/>
        <v>0</v>
      </c>
      <c r="AA703" s="411">
        <f t="shared" si="3930"/>
        <v>0</v>
      </c>
      <c r="AB703" s="411">
        <f t="shared" si="3930"/>
        <v>0</v>
      </c>
      <c r="AC703" s="411">
        <f t="shared" si="3930"/>
        <v>0</v>
      </c>
      <c r="AD703" s="411">
        <f t="shared" si="3930"/>
        <v>0</v>
      </c>
      <c r="AE703" s="411">
        <f t="shared" si="3930"/>
        <v>0</v>
      </c>
      <c r="AF703" s="411">
        <f t="shared" si="3930"/>
        <v>0</v>
      </c>
      <c r="AG703" s="411">
        <f t="shared" si="3930"/>
        <v>0</v>
      </c>
      <c r="AH703" s="411">
        <f t="shared" si="3930"/>
        <v>0</v>
      </c>
    </row>
    <row r="704" spans="3:34" ht="15" thickTop="1" x14ac:dyDescent="0.2">
      <c r="C704" s="1449" t="s">
        <v>2282</v>
      </c>
      <c r="D704" s="1449"/>
      <c r="E704" s="430">
        <f>SUM(E701,E703)</f>
        <v>0</v>
      </c>
      <c r="F704" s="430">
        <f>SUM(F701,F703)</f>
        <v>0</v>
      </c>
      <c r="G704" s="430">
        <f t="shared" ref="G704" si="3931">SUM(G701,G703)</f>
        <v>0</v>
      </c>
      <c r="H704" s="430">
        <f t="shared" ref="H704" si="3932">SUM(H701,H703)</f>
        <v>0</v>
      </c>
      <c r="I704" s="430">
        <f t="shared" ref="I704" si="3933">SUM(I701,I703)</f>
        <v>0</v>
      </c>
      <c r="J704" s="430">
        <f t="shared" ref="J704" si="3934">SUM(J701,J703)</f>
        <v>0</v>
      </c>
      <c r="K704" s="430">
        <f t="shared" ref="K704" si="3935">SUM(K701,K703)</f>
        <v>0</v>
      </c>
      <c r="L704" s="430">
        <f t="shared" ref="L704" si="3936">SUM(L701,L703)</f>
        <v>0</v>
      </c>
      <c r="M704" s="430">
        <f t="shared" ref="M704" si="3937">SUM(M701,M703)</f>
        <v>0</v>
      </c>
      <c r="N704" s="430">
        <f t="shared" ref="N704" si="3938">SUM(N701,N703)</f>
        <v>0</v>
      </c>
      <c r="O704" s="430">
        <f t="shared" ref="O704" si="3939">SUM(O701,O703)</f>
        <v>0</v>
      </c>
      <c r="P704" s="430">
        <f t="shared" ref="P704" si="3940">SUM(P701,P703)</f>
        <v>0</v>
      </c>
      <c r="Q704" s="430">
        <f t="shared" ref="Q704" si="3941">SUM(Q701,Q703)</f>
        <v>0</v>
      </c>
      <c r="R704" s="430">
        <f t="shared" ref="R704" si="3942">SUM(R701,R703)</f>
        <v>0</v>
      </c>
      <c r="S704" s="444">
        <f t="shared" ref="S704" si="3943">SUM(S701,S703)</f>
        <v>0</v>
      </c>
      <c r="T704" s="436">
        <f t="shared" ref="T704" si="3944">SUM(T701,T703)</f>
        <v>0</v>
      </c>
      <c r="U704" s="430">
        <f t="shared" ref="U704" si="3945">SUM(U701,U703)</f>
        <v>0</v>
      </c>
      <c r="V704" s="430">
        <f t="shared" ref="V704" si="3946">SUM(V701,V703)</f>
        <v>0</v>
      </c>
      <c r="W704" s="430">
        <f t="shared" ref="W704" si="3947">SUM(W701,W703)</f>
        <v>0</v>
      </c>
      <c r="X704" s="430">
        <f t="shared" ref="X704" si="3948">SUM(X701,X703)</f>
        <v>0</v>
      </c>
      <c r="Y704" s="430">
        <f t="shared" ref="Y704" si="3949">SUM(Y701,Y703)</f>
        <v>0</v>
      </c>
      <c r="Z704" s="430">
        <f t="shared" ref="Z704" si="3950">SUM(Z701,Z703)</f>
        <v>0</v>
      </c>
      <c r="AA704" s="430">
        <f t="shared" ref="AA704" si="3951">SUM(AA701,AA703)</f>
        <v>0</v>
      </c>
      <c r="AB704" s="430">
        <f t="shared" ref="AB704" si="3952">SUM(AB701,AB703)</f>
        <v>0</v>
      </c>
      <c r="AC704" s="430">
        <f t="shared" ref="AC704" si="3953">SUM(AC701,AC703)</f>
        <v>0</v>
      </c>
      <c r="AD704" s="430">
        <f t="shared" ref="AD704" si="3954">SUM(AD701,AD703)</f>
        <v>0</v>
      </c>
      <c r="AE704" s="430">
        <f t="shared" ref="AE704" si="3955">SUM(AE701,AE703)</f>
        <v>0</v>
      </c>
      <c r="AF704" s="430">
        <f t="shared" ref="AF704" si="3956">SUM(AF701,AF703)</f>
        <v>0</v>
      </c>
      <c r="AG704" s="430">
        <f t="shared" ref="AG704" si="3957">SUM(AG701,AG703)</f>
        <v>0</v>
      </c>
      <c r="AH704" s="430">
        <f t="shared" ref="AH704" si="3958">SUM(AH701,AH703)</f>
        <v>0</v>
      </c>
    </row>
    <row r="705" spans="3:34" x14ac:dyDescent="0.2">
      <c r="C705" s="1181" t="s">
        <v>2190</v>
      </c>
      <c r="D705" s="1181"/>
      <c r="E705" s="342">
        <f>IF(OR($E682="N/A",E693&gt;$E685,E693&lt;$E686),0,IF($E684="Compound",E699-E703-E702,MAX(0,E699-E703)))</f>
        <v>0</v>
      </c>
      <c r="F705" s="342">
        <f>IF(OR($E682="N/A",F693&gt;$E685,F693&lt;$E686),0,IF($E684="Compound",F699-F703-F702,MAX(0,F699-F703)))</f>
        <v>0</v>
      </c>
      <c r="G705" s="342">
        <f t="shared" ref="G705:AH705" si="3959">IF(OR($E682="N/A",G693&gt;$E685,G693&lt;$E686),0,IF($E684="Compound",G699-G703-G702,MAX(0,G699-G703)))</f>
        <v>0</v>
      </c>
      <c r="H705" s="342">
        <f t="shared" si="3959"/>
        <v>0</v>
      </c>
      <c r="I705" s="342">
        <f t="shared" si="3959"/>
        <v>0</v>
      </c>
      <c r="J705" s="342">
        <f t="shared" si="3959"/>
        <v>0</v>
      </c>
      <c r="K705" s="342">
        <f t="shared" si="3959"/>
        <v>0</v>
      </c>
      <c r="L705" s="342">
        <f t="shared" si="3959"/>
        <v>0</v>
      </c>
      <c r="M705" s="342">
        <f t="shared" si="3959"/>
        <v>0</v>
      </c>
      <c r="N705" s="342">
        <f t="shared" si="3959"/>
        <v>0</v>
      </c>
      <c r="O705" s="342">
        <f t="shared" si="3959"/>
        <v>0</v>
      </c>
      <c r="P705" s="342">
        <f t="shared" si="3959"/>
        <v>0</v>
      </c>
      <c r="Q705" s="342">
        <f t="shared" si="3959"/>
        <v>0</v>
      </c>
      <c r="R705" s="342">
        <f t="shared" si="3959"/>
        <v>0</v>
      </c>
      <c r="S705" s="445">
        <f t="shared" si="3959"/>
        <v>0</v>
      </c>
      <c r="T705" s="437">
        <f t="shared" si="3959"/>
        <v>0</v>
      </c>
      <c r="U705" s="342">
        <f t="shared" si="3959"/>
        <v>0</v>
      </c>
      <c r="V705" s="342">
        <f t="shared" si="3959"/>
        <v>0</v>
      </c>
      <c r="W705" s="342">
        <f t="shared" si="3959"/>
        <v>0</v>
      </c>
      <c r="X705" s="342">
        <f t="shared" si="3959"/>
        <v>0</v>
      </c>
      <c r="Y705" s="342">
        <f t="shared" si="3959"/>
        <v>0</v>
      </c>
      <c r="Z705" s="342">
        <f t="shared" si="3959"/>
        <v>0</v>
      </c>
      <c r="AA705" s="342">
        <f t="shared" si="3959"/>
        <v>0</v>
      </c>
      <c r="AB705" s="342">
        <f t="shared" si="3959"/>
        <v>0</v>
      </c>
      <c r="AC705" s="342">
        <f t="shared" si="3959"/>
        <v>0</v>
      </c>
      <c r="AD705" s="342">
        <f t="shared" si="3959"/>
        <v>0</v>
      </c>
      <c r="AE705" s="342">
        <f t="shared" si="3959"/>
        <v>0</v>
      </c>
      <c r="AF705" s="342">
        <f t="shared" si="3959"/>
        <v>0</v>
      </c>
      <c r="AG705" s="342">
        <f t="shared" si="3959"/>
        <v>0</v>
      </c>
      <c r="AH705" s="342">
        <f t="shared" si="3959"/>
        <v>0</v>
      </c>
    </row>
    <row r="706" spans="3:34" x14ac:dyDescent="0.2">
      <c r="C706" s="317"/>
      <c r="D706" s="317"/>
      <c r="E706" s="74"/>
      <c r="F706" s="74"/>
      <c r="G706" s="74"/>
      <c r="H706" s="74"/>
      <c r="I706" s="74"/>
      <c r="J706" s="74"/>
      <c r="K706" s="74"/>
      <c r="L706" s="74"/>
      <c r="M706" s="74"/>
      <c r="N706" s="74"/>
      <c r="O706" s="74"/>
      <c r="P706" s="74"/>
      <c r="Q706" s="74"/>
      <c r="R706" s="74"/>
      <c r="S706" s="333"/>
      <c r="T706" s="74"/>
      <c r="U706" s="74"/>
      <c r="V706" s="74"/>
      <c r="W706" s="74"/>
      <c r="X706" s="74"/>
      <c r="Y706" s="74"/>
      <c r="Z706" s="74"/>
      <c r="AA706" s="74"/>
      <c r="AB706" s="74"/>
      <c r="AC706" s="74"/>
      <c r="AD706" s="74"/>
      <c r="AE706" s="74"/>
      <c r="AF706" s="74"/>
      <c r="AG706" s="74"/>
      <c r="AH706" s="74"/>
    </row>
    <row r="707" spans="3:34" ht="15" x14ac:dyDescent="0.2">
      <c r="C707" s="432" t="s">
        <v>2287</v>
      </c>
      <c r="D707" s="317"/>
      <c r="E707" s="74"/>
      <c r="F707" s="74"/>
      <c r="G707" s="74"/>
      <c r="H707" s="74"/>
      <c r="I707" s="74"/>
      <c r="J707" s="74"/>
      <c r="K707" s="74"/>
      <c r="L707" s="74"/>
      <c r="M707" s="74"/>
      <c r="N707" s="74"/>
      <c r="O707" s="74"/>
      <c r="P707" s="74"/>
      <c r="Q707" s="74"/>
      <c r="R707" s="74"/>
      <c r="S707" s="333"/>
      <c r="T707" s="74"/>
      <c r="U707" s="74"/>
      <c r="V707" s="74"/>
      <c r="W707" s="74"/>
      <c r="X707" s="74"/>
      <c r="Y707" s="74"/>
      <c r="Z707" s="74"/>
      <c r="AA707" s="74"/>
      <c r="AB707" s="74"/>
      <c r="AC707" s="74"/>
      <c r="AD707" s="74"/>
      <c r="AE707" s="74"/>
      <c r="AF707" s="74"/>
      <c r="AG707" s="74"/>
      <c r="AH707" s="74"/>
    </row>
    <row r="708" spans="3:34" x14ac:dyDescent="0.2">
      <c r="C708" s="1234" t="s">
        <v>2273</v>
      </c>
      <c r="D708" s="1234"/>
      <c r="E708" s="421">
        <f>IF($I682="N/A",0,IF(E693&gt;$I687,0,MIN($I686,$I682*$I684)))</f>
        <v>0</v>
      </c>
      <c r="F708" s="236">
        <f t="shared" ref="F708" si="3960">IF($I682="N/A",0,IF(F693&gt;$I687,0,MIN($I686,$I682*$I684*(1+$I683)^E$63)))</f>
        <v>0</v>
      </c>
      <c r="G708" s="236">
        <f t="shared" ref="G708" si="3961">IF($I682="N/A",0,IF(G693&gt;$I687,0,MIN($I686,$I682*$I684*(1+$I683)^F$63)))</f>
        <v>0</v>
      </c>
      <c r="H708" s="236">
        <f t="shared" ref="H708" si="3962">IF($I682="N/A",0,IF(H693&gt;$I687,0,MIN($I686,$I682*$I684*(1+$I683)^G$63)))</f>
        <v>0</v>
      </c>
      <c r="I708" s="236">
        <f t="shared" ref="I708" si="3963">IF($I682="N/A",0,IF(I693&gt;$I687,0,MIN($I686,$I682*$I684*(1+$I683)^H$63)))</f>
        <v>0</v>
      </c>
      <c r="J708" s="236">
        <f t="shared" ref="J708" si="3964">IF($I682="N/A",0,IF(J693&gt;$I687,0,MIN($I686,$I682*$I684*(1+$I683)^I$63)))</f>
        <v>0</v>
      </c>
      <c r="K708" s="236">
        <f t="shared" ref="K708" si="3965">IF($I682="N/A",0,IF(K693&gt;$I687,0,MIN($I686,$I682*$I684*(1+$I683)^J$63)))</f>
        <v>0</v>
      </c>
      <c r="L708" s="236">
        <f t="shared" ref="L708" si="3966">IF($I682="N/A",0,IF(L693&gt;$I687,0,MIN($I686,$I682*$I684*(1+$I683)^K$63)))</f>
        <v>0</v>
      </c>
      <c r="M708" s="236">
        <f t="shared" ref="M708" si="3967">IF($I682="N/A",0,IF(M693&gt;$I687,0,MIN($I686,$I682*$I684*(1+$I683)^L$63)))</f>
        <v>0</v>
      </c>
      <c r="N708" s="236">
        <f t="shared" ref="N708" si="3968">IF($I682="N/A",0,IF(N693&gt;$I687,0,MIN($I686,$I682*$I684*(1+$I683)^M$63)))</f>
        <v>0</v>
      </c>
      <c r="O708" s="236">
        <f t="shared" ref="O708" si="3969">IF($I682="N/A",0,IF(O693&gt;$I687,0,MIN($I686,$I682*$I684*(1+$I683)^N$63)))</f>
        <v>0</v>
      </c>
      <c r="P708" s="236">
        <f t="shared" ref="P708" si="3970">IF($I682="N/A",0,IF(P693&gt;$I687,0,MIN($I686,$I682*$I684*(1+$I683)^O$63)))</f>
        <v>0</v>
      </c>
      <c r="Q708" s="236">
        <f t="shared" ref="Q708" si="3971">IF($I682="N/A",0,IF(Q693&gt;$I687,0,MIN($I686,$I682*$I684*(1+$I683)^P$63)))</f>
        <v>0</v>
      </c>
      <c r="R708" s="236">
        <f t="shared" ref="R708" si="3972">IF($I682="N/A",0,IF(R693&gt;$I687,0,MIN($I686,$I682*$I684*(1+$I683)^Q$63)))</f>
        <v>0</v>
      </c>
      <c r="S708" s="446">
        <f t="shared" ref="S708" si="3973">IF($I682="N/A",0,IF(S693&gt;$I687,0,MIN($I686,$I682*$I684*(1+$I683)^R$63)))</f>
        <v>0</v>
      </c>
      <c r="T708" s="438">
        <f t="shared" ref="T708" si="3974">IF($I682="N/A",0,IF(T693&gt;$I687,0,MIN($I686,$I682*$I684*(1+$I683)^S$63)))</f>
        <v>0</v>
      </c>
      <c r="U708" s="236">
        <f t="shared" ref="U708" si="3975">IF($I682="N/A",0,IF(U693&gt;$I687,0,MIN($I686,$I682*$I684*(1+$I683)^T$63)))</f>
        <v>0</v>
      </c>
      <c r="V708" s="236">
        <f t="shared" ref="V708" si="3976">IF($I682="N/A",0,IF(V693&gt;$I687,0,MIN($I686,$I682*$I684*(1+$I683)^U$63)))</f>
        <v>0</v>
      </c>
      <c r="W708" s="236">
        <f t="shared" ref="W708" si="3977">IF($I682="N/A",0,IF(W693&gt;$I687,0,MIN($I686,$I682*$I684*(1+$I683)^V$63)))</f>
        <v>0</v>
      </c>
      <c r="X708" s="236">
        <f t="shared" ref="X708" si="3978">IF($I682="N/A",0,IF(X693&gt;$I687,0,MIN($I686,$I682*$I684*(1+$I683)^W$63)))</f>
        <v>0</v>
      </c>
      <c r="Y708" s="236">
        <f t="shared" ref="Y708" si="3979">IF($I682="N/A",0,IF(Y693&gt;$I687,0,MIN($I686,$I682*$I684*(1+$I683)^X$63)))</f>
        <v>0</v>
      </c>
      <c r="Z708" s="236">
        <f t="shared" ref="Z708" si="3980">IF($I682="N/A",0,IF(Z693&gt;$I687,0,MIN($I686,$I682*$I684*(1+$I683)^Y$63)))</f>
        <v>0</v>
      </c>
      <c r="AA708" s="236">
        <f t="shared" ref="AA708" si="3981">IF($I682="N/A",0,IF(AA693&gt;$I687,0,MIN($I686,$I682*$I684*(1+$I683)^Z$63)))</f>
        <v>0</v>
      </c>
      <c r="AB708" s="236">
        <f t="shared" ref="AB708" si="3982">IF($I682="N/A",0,IF(AB693&gt;$I687,0,MIN($I686,$I682*$I684*(1+$I683)^AA$63)))</f>
        <v>0</v>
      </c>
      <c r="AC708" s="236">
        <f t="shared" ref="AC708" si="3983">IF($I682="N/A",0,IF(AC693&gt;$I687,0,MIN($I686,$I682*$I684*(1+$I683)^AB$63)))</f>
        <v>0</v>
      </c>
      <c r="AD708" s="236">
        <f t="shared" ref="AD708" si="3984">IF($I682="N/A",0,IF(AD693&gt;$I687,0,MIN($I686,$I682*$I684*(1+$I683)^AC$63)))</f>
        <v>0</v>
      </c>
      <c r="AE708" s="236">
        <f t="shared" ref="AE708" si="3985">IF($I682="N/A",0,IF(AE693&gt;$I687,0,MIN($I686,$I682*$I684*(1+$I683)^AD$63)))</f>
        <v>0</v>
      </c>
      <c r="AF708" s="236">
        <f t="shared" ref="AF708" si="3986">IF($I682="N/A",0,IF(AF693&gt;$I687,0,MIN($I686,$I682*$I684*(1+$I683)^AE$63)))</f>
        <v>0</v>
      </c>
      <c r="AG708" s="236">
        <f t="shared" ref="AG708" si="3987">IF($I682="N/A",0,IF(AG693&gt;$I687,0,MIN($I686,$I682*$I684*(1+$I683)^AF$63)))</f>
        <v>0</v>
      </c>
      <c r="AH708" s="236">
        <f t="shared" ref="AH708" si="3988">IF($I682="N/A",0,IF(AH693&gt;$I687,0,MIN($I686,$I682*$I684*(1+$I683)^AG$63)))</f>
        <v>0</v>
      </c>
    </row>
    <row r="709" spans="3:34" x14ac:dyDescent="0.2">
      <c r="C709" s="1450" t="s">
        <v>2274</v>
      </c>
      <c r="D709" s="1451"/>
      <c r="E709" s="422">
        <f>IF($I682="N/A",0,IF(E693&gt;$I687,0,MAX(0,MIN(E708,$I682*$I684,E695))))</f>
        <v>0</v>
      </c>
      <c r="F709" s="521">
        <f t="shared" ref="F709" si="3989">IF($I682="N/A",0,IF(F693&gt;$I687,0,IF($I685="Yes",MAX(0,MIN(F695*$I684,E711+F708,$I686)),MAX(0,MIN(F708,F695*$I684,$I686)))))</f>
        <v>0</v>
      </c>
      <c r="G709" s="521">
        <f t="shared" ref="G709" si="3990">IF($I682="N/A",0,IF(G693&gt;$I687,0,IF($I685="Yes",MAX(0,MIN(G695*$I684,F711+G708,$I686)),MAX(0,MIN(G708,G695*$I684,$I686)))))</f>
        <v>0</v>
      </c>
      <c r="H709" s="521">
        <f t="shared" ref="H709" si="3991">IF($I682="N/A",0,IF(H693&gt;$I687,0,IF($I685="Yes",MAX(0,MIN(H695*$I684,G711+H708,$I686)),MAX(0,MIN(H708,H695*$I684,$I686)))))</f>
        <v>0</v>
      </c>
      <c r="I709" s="521">
        <f t="shared" ref="I709" si="3992">IF($I682="N/A",0,IF(I693&gt;$I687,0,IF($I685="Yes",MAX(0,MIN(I695*$I684,H711+I708,$I686)),MAX(0,MIN(I708,I695*$I684,$I686)))))</f>
        <v>0</v>
      </c>
      <c r="J709" s="521">
        <f t="shared" ref="J709" si="3993">IF($I682="N/A",0,IF(J693&gt;$I687,0,IF($I685="Yes",MAX(0,MIN(J695*$I684,I711+J708,$I686)),MAX(0,MIN(J708,J695*$I684,$I686)))))</f>
        <v>0</v>
      </c>
      <c r="K709" s="521">
        <f t="shared" ref="K709" si="3994">IF($I682="N/A",0,IF(K693&gt;$I687,0,IF($I685="Yes",MAX(0,MIN(K695*$I684,J711+K708,$I686)),MAX(0,MIN(K708,K695*$I684,$I686)))))</f>
        <v>0</v>
      </c>
      <c r="L709" s="521">
        <f t="shared" ref="L709" si="3995">IF($I682="N/A",0,IF(L693&gt;$I687,0,IF($I685="Yes",MAX(0,MIN(L695*$I684,K711+L708,$I686)),MAX(0,MIN(L708,L695*$I684,$I686)))))</f>
        <v>0</v>
      </c>
      <c r="M709" s="521">
        <f t="shared" ref="M709" si="3996">IF($I682="N/A",0,IF(M693&gt;$I687,0,IF($I685="Yes",MAX(0,MIN(M695*$I684,L711+M708,$I686)),MAX(0,MIN(M708,M695*$I684,$I686)))))</f>
        <v>0</v>
      </c>
      <c r="N709" s="521">
        <f t="shared" ref="N709" si="3997">IF($I682="N/A",0,IF(N693&gt;$I687,0,IF($I685="Yes",MAX(0,MIN(N695*$I684,M711+N708,$I686)),MAX(0,MIN(N708,N695*$I684,$I686)))))</f>
        <v>0</v>
      </c>
      <c r="O709" s="521">
        <f t="shared" ref="O709" si="3998">IF($I682="N/A",0,IF(O693&gt;$I687,0,IF($I685="Yes",MAX(0,MIN(O695*$I684,N711+O708,$I686)),MAX(0,MIN(O708,O695*$I684,$I686)))))</f>
        <v>0</v>
      </c>
      <c r="P709" s="521">
        <f t="shared" ref="P709" si="3999">IF($I682="N/A",0,IF(P693&gt;$I687,0,IF($I685="Yes",MAX(0,MIN(P695*$I684,O711+P708,$I686)),MAX(0,MIN(P708,P695*$I684,$I686)))))</f>
        <v>0</v>
      </c>
      <c r="Q709" s="521">
        <f t="shared" ref="Q709" si="4000">IF($I682="N/A",0,IF(Q693&gt;$I687,0,IF($I685="Yes",MAX(0,MIN(Q695*$I684,P711+Q708,$I686)),MAX(0,MIN(Q708,Q695*$I684,$I686)))))</f>
        <v>0</v>
      </c>
      <c r="R709" s="521">
        <f t="shared" ref="R709" si="4001">IF($I682="N/A",0,IF(R693&gt;$I687,0,IF($I685="Yes",MAX(0,MIN(R695*$I684,Q711+R708,$I686)),MAX(0,MIN(R708,R695*$I684,$I686)))))</f>
        <v>0</v>
      </c>
      <c r="S709" s="523">
        <f t="shared" ref="S709" si="4002">IF($I682="N/A",0,IF(S693&gt;$I687,0,IF($I685="Yes",MAX(0,MIN(S695*$I684,R711+S708,$I686)),MAX(0,MIN(S708,S695*$I684,$I686)))))</f>
        <v>0</v>
      </c>
      <c r="T709" s="522">
        <f t="shared" ref="T709" si="4003">IF($I682="N/A",0,IF(T693&gt;$I687,0,IF($I685="Yes",MAX(0,MIN(T695*$I684,S711+T708,$I686)),MAX(0,MIN(T708,T695*$I684,$I686)))))</f>
        <v>0</v>
      </c>
      <c r="U709" s="521">
        <f t="shared" ref="U709" si="4004">IF($I682="N/A",0,IF(U693&gt;$I687,0,IF($I685="Yes",MAX(0,MIN(U695*$I684,T711+U708,$I686)),MAX(0,MIN(U708,U695*$I684,$I686)))))</f>
        <v>0</v>
      </c>
      <c r="V709" s="521">
        <f t="shared" ref="V709" si="4005">IF($I682="N/A",0,IF(V693&gt;$I687,0,IF($I685="Yes",MAX(0,MIN(V695*$I684,U711+V708,$I686)),MAX(0,MIN(V708,V695*$I684,$I686)))))</f>
        <v>0</v>
      </c>
      <c r="W709" s="521">
        <f t="shared" ref="W709" si="4006">IF($I682="N/A",0,IF(W693&gt;$I687,0,IF($I685="Yes",MAX(0,MIN(W695*$I684,V711+W708,$I686)),MAX(0,MIN(W708,W695*$I684,$I686)))))</f>
        <v>0</v>
      </c>
      <c r="X709" s="521">
        <f t="shared" ref="X709" si="4007">IF($I682="N/A",0,IF(X693&gt;$I687,0,IF($I685="Yes",MAX(0,MIN(X695*$I684,W711+X708,$I686)),MAX(0,MIN(X708,X695*$I684,$I686)))))</f>
        <v>0</v>
      </c>
      <c r="Y709" s="521">
        <f t="shared" ref="Y709" si="4008">IF($I682="N/A",0,IF(Y693&gt;$I687,0,IF($I685="Yes",MAX(0,MIN(Y695*$I684,X711+Y708,$I686)),MAX(0,MIN(Y708,Y695*$I684,$I686)))))</f>
        <v>0</v>
      </c>
      <c r="Z709" s="521">
        <f t="shared" ref="Z709" si="4009">IF($I682="N/A",0,IF(Z693&gt;$I687,0,IF($I685="Yes",MAX(0,MIN(Z695*$I684,Y711+Z708,$I686)),MAX(0,MIN(Z708,Z695*$I684,$I686)))))</f>
        <v>0</v>
      </c>
      <c r="AA709" s="521">
        <f t="shared" ref="AA709" si="4010">IF($I682="N/A",0,IF(AA693&gt;$I687,0,IF($I685="Yes",MAX(0,MIN(AA695*$I684,Z711+AA708,$I686)),MAX(0,MIN(AA708,AA695*$I684,$I686)))))</f>
        <v>0</v>
      </c>
      <c r="AB709" s="521">
        <f t="shared" ref="AB709" si="4011">IF($I682="N/A",0,IF(AB693&gt;$I687,0,IF($I685="Yes",MAX(0,MIN(AB695*$I684,AA711+AB708,$I686)),MAX(0,MIN(AB708,AB695*$I684,$I686)))))</f>
        <v>0</v>
      </c>
      <c r="AC709" s="521">
        <f t="shared" ref="AC709" si="4012">IF($I682="N/A",0,IF(AC693&gt;$I687,0,IF($I685="Yes",MAX(0,MIN(AC695*$I684,AB711+AC708,$I686)),MAX(0,MIN(AC708,AC695*$I684,$I686)))))</f>
        <v>0</v>
      </c>
      <c r="AD709" s="521">
        <f t="shared" ref="AD709" si="4013">IF($I682="N/A",0,IF(AD693&gt;$I687,0,IF($I685="Yes",MAX(0,MIN(AD695*$I684,AC711+AD708,$I686)),MAX(0,MIN(AD708,AD695*$I684,$I686)))))</f>
        <v>0</v>
      </c>
      <c r="AE709" s="521">
        <f t="shared" ref="AE709" si="4014">IF($I682="N/A",0,IF(AE693&gt;$I687,0,IF($I685="Yes",MAX(0,MIN(AE695*$I684,AD711+AE708,$I686)),MAX(0,MIN(AE708,AE695*$I684,$I686)))))</f>
        <v>0</v>
      </c>
      <c r="AF709" s="521">
        <f t="shared" ref="AF709" si="4015">IF($I682="N/A",0,IF(AF693&gt;$I687,0,IF($I685="Yes",MAX(0,MIN(AF695*$I684,AE711+AF708,$I686)),MAX(0,MIN(AF708,AF695*$I684,$I686)))))</f>
        <v>0</v>
      </c>
      <c r="AG709" s="521">
        <f t="shared" ref="AG709" si="4016">IF($I682="N/A",0,IF(AG693&gt;$I687,0,IF($I685="Yes",MAX(0,MIN(AG695*$I684,AF711+AG708,$I686)),MAX(0,MIN(AG708,AG695*$I684,$I686)))))</f>
        <v>0</v>
      </c>
      <c r="AH709" s="521">
        <f t="shared" ref="AH709" si="4017">IF($I682="N/A",0,IF(AH693&gt;$I687,0,IF($I685="Yes",MAX(0,MIN(AH695*$I684,AG711+AH708,$I686)),MAX(0,MIN(AH708,AH695*$I684,$I686)))))</f>
        <v>0</v>
      </c>
    </row>
    <row r="710" spans="3:34" x14ac:dyDescent="0.2">
      <c r="C710" s="1168" t="s">
        <v>2275</v>
      </c>
      <c r="D710" s="1170"/>
      <c r="E710" s="421">
        <f>IF($I685="Yes",IF(E693&gt;$I687,0,E708-E709),0)</f>
        <v>0</v>
      </c>
      <c r="F710" s="421">
        <f t="shared" ref="F710:AH710" si="4018">IF($I682="N/A",0,IF(F694&gt;$I687,0,IF($I685="Yes",F708-F709,0)))</f>
        <v>0</v>
      </c>
      <c r="G710" s="421">
        <f t="shared" si="4018"/>
        <v>0</v>
      </c>
      <c r="H710" s="421">
        <f t="shared" si="4018"/>
        <v>0</v>
      </c>
      <c r="I710" s="421">
        <f t="shared" si="4018"/>
        <v>0</v>
      </c>
      <c r="J710" s="421">
        <f t="shared" si="4018"/>
        <v>0</v>
      </c>
      <c r="K710" s="421">
        <f t="shared" si="4018"/>
        <v>0</v>
      </c>
      <c r="L710" s="421">
        <f t="shared" si="4018"/>
        <v>0</v>
      </c>
      <c r="M710" s="421">
        <f t="shared" si="4018"/>
        <v>0</v>
      </c>
      <c r="N710" s="421">
        <f t="shared" si="4018"/>
        <v>0</v>
      </c>
      <c r="O710" s="421">
        <f t="shared" si="4018"/>
        <v>0</v>
      </c>
      <c r="P710" s="421">
        <f t="shared" si="4018"/>
        <v>0</v>
      </c>
      <c r="Q710" s="421">
        <f t="shared" si="4018"/>
        <v>0</v>
      </c>
      <c r="R710" s="421">
        <f t="shared" si="4018"/>
        <v>0</v>
      </c>
      <c r="S710" s="447">
        <f t="shared" si="4018"/>
        <v>0</v>
      </c>
      <c r="T710" s="439">
        <f t="shared" si="4018"/>
        <v>0</v>
      </c>
      <c r="U710" s="421">
        <f t="shared" si="4018"/>
        <v>0</v>
      </c>
      <c r="V710" s="421">
        <f t="shared" si="4018"/>
        <v>0</v>
      </c>
      <c r="W710" s="421">
        <f t="shared" si="4018"/>
        <v>0</v>
      </c>
      <c r="X710" s="421">
        <f t="shared" si="4018"/>
        <v>0</v>
      </c>
      <c r="Y710" s="421">
        <f t="shared" si="4018"/>
        <v>0</v>
      </c>
      <c r="Z710" s="421">
        <f t="shared" si="4018"/>
        <v>0</v>
      </c>
      <c r="AA710" s="421">
        <f t="shared" si="4018"/>
        <v>0</v>
      </c>
      <c r="AB710" s="421">
        <f t="shared" si="4018"/>
        <v>0</v>
      </c>
      <c r="AC710" s="421">
        <f t="shared" si="4018"/>
        <v>0</v>
      </c>
      <c r="AD710" s="421">
        <f t="shared" si="4018"/>
        <v>0</v>
      </c>
      <c r="AE710" s="421">
        <f t="shared" si="4018"/>
        <v>0</v>
      </c>
      <c r="AF710" s="421">
        <f t="shared" si="4018"/>
        <v>0</v>
      </c>
      <c r="AG710" s="421">
        <f t="shared" si="4018"/>
        <v>0</v>
      </c>
      <c r="AH710" s="421">
        <f t="shared" si="4018"/>
        <v>0</v>
      </c>
    </row>
    <row r="711" spans="3:34" x14ac:dyDescent="0.2">
      <c r="C711" s="1168" t="s">
        <v>2276</v>
      </c>
      <c r="D711" s="1170"/>
      <c r="E711" s="421">
        <f>E710</f>
        <v>0</v>
      </c>
      <c r="F711" s="236">
        <f t="shared" ref="F711" si="4019">IF($I682="N/A",0,IF(F693&gt;$I687,0,E711+F710))</f>
        <v>0</v>
      </c>
      <c r="G711" s="236">
        <f t="shared" ref="G711" si="4020">IF($I682="N/A",0,IF(G693&gt;$I687,0,F711+G710))</f>
        <v>0</v>
      </c>
      <c r="H711" s="236">
        <f t="shared" ref="H711" si="4021">IF($I682="N/A",0,IF(H693&gt;$I687,0,G711+H710))</f>
        <v>0</v>
      </c>
      <c r="I711" s="236">
        <f t="shared" ref="I711" si="4022">IF($I682="N/A",0,IF(I693&gt;$I687,0,H711+I710))</f>
        <v>0</v>
      </c>
      <c r="J711" s="236">
        <f t="shared" ref="J711" si="4023">IF($I682="N/A",0,IF(J693&gt;$I687,0,I711+J710))</f>
        <v>0</v>
      </c>
      <c r="K711" s="236">
        <f t="shared" ref="K711" si="4024">IF($I682="N/A",0,IF(K693&gt;$I687,0,J711+K710))</f>
        <v>0</v>
      </c>
      <c r="L711" s="236">
        <f t="shared" ref="L711" si="4025">IF($I682="N/A",0,IF(L693&gt;$I687,0,K711+L710))</f>
        <v>0</v>
      </c>
      <c r="M711" s="236">
        <f t="shared" ref="M711" si="4026">IF($I682="N/A",0,IF(M693&gt;$I687,0,L711+M710))</f>
        <v>0</v>
      </c>
      <c r="N711" s="236">
        <f t="shared" ref="N711" si="4027">IF($I682="N/A",0,IF(N693&gt;$I687,0,M711+N710))</f>
        <v>0</v>
      </c>
      <c r="O711" s="236">
        <f t="shared" ref="O711" si="4028">IF($I682="N/A",0,IF(O693&gt;$I687,0,N711+O710))</f>
        <v>0</v>
      </c>
      <c r="P711" s="236">
        <f t="shared" ref="P711" si="4029">IF($I682="N/A",0,IF(P693&gt;$I687,0,O711+P710))</f>
        <v>0</v>
      </c>
      <c r="Q711" s="236">
        <f t="shared" ref="Q711" si="4030">IF($I682="N/A",0,IF(Q693&gt;$I687,0,P711+Q710))</f>
        <v>0</v>
      </c>
      <c r="R711" s="236">
        <f t="shared" ref="R711" si="4031">IF($I682="N/A",0,IF(R693&gt;$I687,0,Q711+R710))</f>
        <v>0</v>
      </c>
      <c r="S711" s="446">
        <f t="shared" ref="S711" si="4032">IF($I682="N/A",0,IF(S693&gt;$I687,0,R711+S710))</f>
        <v>0</v>
      </c>
      <c r="T711" s="438">
        <f t="shared" ref="T711" si="4033">IF($I682="N/A",0,IF(T693&gt;$I687,0,S711+T710))</f>
        <v>0</v>
      </c>
      <c r="U711" s="236">
        <f t="shared" ref="U711" si="4034">IF($I682="N/A",0,IF(U693&gt;$I687,0,T711+U710))</f>
        <v>0</v>
      </c>
      <c r="V711" s="236">
        <f t="shared" ref="V711" si="4035">IF($I682="N/A",0,IF(V693&gt;$I687,0,U711+V710))</f>
        <v>0</v>
      </c>
      <c r="W711" s="236">
        <f t="shared" ref="W711" si="4036">IF($I682="N/A",0,IF(W693&gt;$I687,0,V711+W710))</f>
        <v>0</v>
      </c>
      <c r="X711" s="236">
        <f t="shared" ref="X711" si="4037">IF($I682="N/A",0,IF(X693&gt;$I687,0,W711+X710))</f>
        <v>0</v>
      </c>
      <c r="Y711" s="236">
        <f t="shared" ref="Y711" si="4038">IF($I682="N/A",0,IF(Y693&gt;$I687,0,X711+Y710))</f>
        <v>0</v>
      </c>
      <c r="Z711" s="236">
        <f t="shared" ref="Z711" si="4039">IF($I682="N/A",0,IF(Z693&gt;$I687,0,Y711+Z710))</f>
        <v>0</v>
      </c>
      <c r="AA711" s="236">
        <f t="shared" ref="AA711" si="4040">IF($I682="N/A",0,IF(AA693&gt;$I687,0,Z711+AA710))</f>
        <v>0</v>
      </c>
      <c r="AB711" s="236">
        <f t="shared" ref="AB711" si="4041">IF($I682="N/A",0,IF(AB693&gt;$I687,0,AA711+AB710))</f>
        <v>0</v>
      </c>
      <c r="AC711" s="236">
        <f t="shared" ref="AC711" si="4042">IF($I682="N/A",0,IF(AC693&gt;$I687,0,AB711+AC710))</f>
        <v>0</v>
      </c>
      <c r="AD711" s="236">
        <f t="shared" ref="AD711" si="4043">IF($I682="N/A",0,IF(AD693&gt;$I687,0,AC711+AD710))</f>
        <v>0</v>
      </c>
      <c r="AE711" s="236">
        <f t="shared" ref="AE711" si="4044">IF($I682="N/A",0,IF(AE693&gt;$I687,0,AD711+AE710))</f>
        <v>0</v>
      </c>
      <c r="AF711" s="236">
        <f t="shared" ref="AF711" si="4045">IF($I682="N/A",0,IF(AF693&gt;$I687,0,AE711+AF710))</f>
        <v>0</v>
      </c>
      <c r="AG711" s="236">
        <f t="shared" ref="AG711" si="4046">IF($I682="N/A",0,IF(AG693&gt;$I687,0,AF711+AG710))</f>
        <v>0</v>
      </c>
      <c r="AH711" s="236">
        <f t="shared" ref="AH711" si="4047">IF($I682="N/A",0,IF(AH693&gt;$I687,0,AG711+AH710))</f>
        <v>0</v>
      </c>
    </row>
    <row r="714" spans="3:34" ht="15" x14ac:dyDescent="0.2">
      <c r="C714" s="1456" t="str">
        <f>IF(Sources!$D$87="","N/A",Sources!$D$87)</f>
        <v>N/A</v>
      </c>
      <c r="D714" s="1456"/>
      <c r="E714" s="1456"/>
      <c r="F714" s="412" t="s">
        <v>2266</v>
      </c>
      <c r="G714" s="92" t="str">
        <f>IF(AND(ISERROR(VLOOKUP($C714,OpBudget!$C$159:$C$165,1,FALSE)),ISERROR(VLOOKUP($C714,Sources!$C$36:$C$55,1,FALSE))),"N/A",IF(ISERROR(VLOOKUP($C714,Sources!$C$36:$C$55,1,FALSE)),"Fee","Loan"))</f>
        <v>N/A</v>
      </c>
      <c r="H714" s="412"/>
      <c r="I714" s="412"/>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row>
    <row r="715" spans="3:34" ht="15" x14ac:dyDescent="0.2">
      <c r="C715" s="345"/>
      <c r="D715" s="345"/>
      <c r="E715" s="345"/>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row>
    <row r="716" spans="3:34" ht="15" x14ac:dyDescent="0.2">
      <c r="C716" s="417" t="s">
        <v>2260</v>
      </c>
      <c r="D716" s="345"/>
      <c r="E716" s="345"/>
      <c r="F716" s="74"/>
      <c r="G716" s="74" t="s">
        <v>2261</v>
      </c>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row>
    <row r="717" spans="3:34" x14ac:dyDescent="0.2">
      <c r="C717" s="1452" t="s">
        <v>2255</v>
      </c>
      <c r="D717" s="1452"/>
      <c r="E717" s="413" t="str">
        <f>IF(OR($G714="Fee",$G714="N/A"),"N/A",INDEX(Sources!$C$35:$K$55,MATCH(Loans!$C714,Sources!$C$35:$C$55,0),MATCH("Amount",Sources!$C$35:$N$35,0)))</f>
        <v>N/A</v>
      </c>
      <c r="F717" s="74"/>
      <c r="G717" s="1454" t="s">
        <v>2262</v>
      </c>
      <c r="H717" s="1454"/>
      <c r="I717" s="705" t="str">
        <f>IF(OR($G714="Loan",$G714="N/A"),"N/A",INDEX(OpBudget!$C$159:$K$165,MATCH(Loans!$C714,OpBudget!$C$159:$C$165,0),MATCH("Total Amount",OpBudget!$C$159:$K$159,0)))</f>
        <v>N/A</v>
      </c>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row>
    <row r="718" spans="3:34" x14ac:dyDescent="0.2">
      <c r="C718" s="1452" t="s">
        <v>2256</v>
      </c>
      <c r="D718" s="1452"/>
      <c r="E718" s="702" t="str">
        <f>IF(OR($G714="Fee",$G714="N/A"),"N/A",INDEX(Sources!$C$35:$K$55,MATCH(Loans!$C714,Sources!$C$35:$C$55,0),MATCH("Interest Rate",Sources!$C$35:$N$35,0)))</f>
        <v>N/A</v>
      </c>
      <c r="F718" s="74"/>
      <c r="G718" s="1454" t="s">
        <v>2268</v>
      </c>
      <c r="H718" s="1454"/>
      <c r="I718" s="703" t="str">
        <f>IF(OR($G714="Loan",$G714="N/A"),"N/A",INDEX(OpBudget!$C$159:$K$165,MATCH(Loans!$C714,OpBudget!$C$159:$C$165,0),MATCH("Annual Percent Inflator",OpBudget!$C$159:$K$159,0)))</f>
        <v>N/A</v>
      </c>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row>
    <row r="719" spans="3:34" x14ac:dyDescent="0.2">
      <c r="C719" s="1452" t="s">
        <v>2279</v>
      </c>
      <c r="D719" s="1452"/>
      <c r="E719" s="702" t="str">
        <f>IF(OR($G714="Fee",$G714="N/A"),"N/A",INDEX(Sources!$C$35:$N$55,MATCH(Loans!$C714,Sources!$C$35:$C$55,0),MATCH("Simple or Compound Interest?",Sources!$C$35:$N$35,0)))</f>
        <v>N/A</v>
      </c>
      <c r="F719" s="74"/>
      <c r="G719" s="424" t="s">
        <v>2263</v>
      </c>
      <c r="H719" s="424"/>
      <c r="I719" s="703" t="str">
        <f>IF(OR($G714="Loan",$G714="N/A"),"N/A",INDEX(Sources!$D$67:$H$82,MATCH(Loans!$C714,Sources!$D$67:$D$82,0),MATCH("Split of Cash Flow",Sources!$D$67:$H$67,0)))</f>
        <v>N/A</v>
      </c>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row>
    <row r="720" spans="3:34" x14ac:dyDescent="0.2">
      <c r="C720" s="1452" t="s">
        <v>2257</v>
      </c>
      <c r="D720" s="1452"/>
      <c r="E720" s="420" t="str">
        <f>IF(OR($G714="Fee",$G714="N/A"),"N/A",INDEX(Sources!$C$35:$K$55,MATCH(Loans!$C714,Sources!$C$35:$C$55,0),MATCH("Term (Years)",Sources!$C$35:$N$35,0)))</f>
        <v>N/A</v>
      </c>
      <c r="F720" s="74"/>
      <c r="G720" s="1454" t="s">
        <v>2281</v>
      </c>
      <c r="H720" s="1454"/>
      <c r="I720" s="703" t="str">
        <f>IF(OR($G714="Loan",$G714="N/A"),"N/A",INDEX(OpBudget!$C$159:$K$165,MATCH(Loans!$C714,OpBudget!$C$159:$C$165,0),MATCH("Accrue Unpaid Fee?",OpBudget!$C$159:$K$159,0)))</f>
        <v>N/A</v>
      </c>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row>
    <row r="721" spans="3:34" x14ac:dyDescent="0.2">
      <c r="C721" s="1452" t="s">
        <v>2284</v>
      </c>
      <c r="D721" s="1452"/>
      <c r="E721" s="420" t="str">
        <f>IF(OR($G714="Fee",$G714="N/A"),"N/A",INDEX(Sources!$D$67:$O$82,MATCH(Loans!$C714,Sources!$D$67:$D$82,0),MATCH("Beginning Payment Year",Sources!$D$67:$O$67,0)))</f>
        <v>N/A</v>
      </c>
      <c r="F721" s="74"/>
      <c r="G721" s="1454" t="s">
        <v>2293</v>
      </c>
      <c r="H721" s="1454"/>
      <c r="I721" s="705" t="str">
        <f>IF(OR($G714="Loan",$G714="N/A"),"N/A",IF(INDEX(OpBudget!$C$159:$K$165,MATCH(Loans!$C714,OpBudget!$C$159:$C$165,0),MATCH("Fee Cap (if applicable)",OpBudget!$C$159:$K$159,0))=0,"N/A",INDEX(OpBudget!$C$159:$K$165,MATCH(Loans!$C714,OpBudget!$C$159:$C$165,0),MATCH("Fee Cap (if applicable)",OpBudget!$C$159:$K$159,0))))</f>
        <v>N/A</v>
      </c>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row>
    <row r="722" spans="3:34" x14ac:dyDescent="0.2">
      <c r="C722" s="1452" t="s">
        <v>2267</v>
      </c>
      <c r="D722" s="1452"/>
      <c r="E722" s="703" t="str">
        <f>IF(OR($G714="Fee",$G714="N/A"),"N/A",INDEX(Sources!$D$67:$O$82,MATCH(Loans!$C714,Sources!$D$67:$D$82,0),MATCH("Split of Cash Flow",Sources!$D$67:$O$67,0)))</f>
        <v>N/A</v>
      </c>
      <c r="F722" s="1455"/>
      <c r="G722" s="1454" t="s">
        <v>2292</v>
      </c>
      <c r="H722" s="1454"/>
      <c r="I722" s="420" t="str">
        <f>IF(OR($G714="Loan",$G714="N/A"),"N/A",INDEX(OpBudget!$C$159:$K$165,MATCH(Loans!$C714,OpBudget!$C$159:$C$165,0),MATCH("Number of Years Fee Exists",OpBudget!$C$159:$K$159,0)))</f>
        <v>N/A</v>
      </c>
      <c r="J722" s="74"/>
      <c r="K722" s="74"/>
      <c r="L722" s="74" t="s">
        <v>2278</v>
      </c>
      <c r="M722" s="74"/>
      <c r="N722" s="74"/>
      <c r="O722" s="74"/>
      <c r="P722" s="74"/>
      <c r="Q722" s="74"/>
      <c r="R722" s="74"/>
      <c r="S722" s="74"/>
      <c r="T722" s="74"/>
      <c r="U722" s="74"/>
      <c r="V722" s="74"/>
      <c r="W722" s="74"/>
      <c r="X722" s="74"/>
      <c r="Y722" s="74"/>
      <c r="Z722" s="74"/>
      <c r="AA722" s="74"/>
      <c r="AB722" s="74"/>
      <c r="AC722" s="74"/>
      <c r="AD722" s="74"/>
      <c r="AE722" s="74"/>
      <c r="AF722" s="74"/>
      <c r="AG722" s="74"/>
      <c r="AH722" s="74"/>
    </row>
    <row r="723" spans="3:34" x14ac:dyDescent="0.2">
      <c r="C723" s="1452" t="s">
        <v>2289</v>
      </c>
      <c r="D723" s="1452"/>
      <c r="E723" s="704" t="str">
        <f>IF(OR($G714="Fee",$G714="N/A"),"N/A",INDEX(Sources!$D$67:$O$82,MATCH(Loans!$C714,Sources!$D$67:$D$82,0),MATCH("Pari Passu?",Sources!$D$67:$O$67,0)))</f>
        <v>N/A</v>
      </c>
      <c r="F723" s="1455"/>
      <c r="G723" s="424"/>
      <c r="H723" s="424"/>
      <c r="I723" s="526"/>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row>
    <row r="724" spans="3:34" x14ac:dyDescent="0.2">
      <c r="C724" s="1452" t="s">
        <v>2295</v>
      </c>
      <c r="D724" s="1452"/>
      <c r="E724" s="703" t="str">
        <f>IF(OR($G714="Fee",$G714="N/A"),"N/A",INDEX(Sources!$D$67:$O$82,MATCH(Loans!$C714,Sources!$D$67:$D$82,0),MATCH("Shared Position Split of Cash Flow",Sources!$D$67:$O$67,0)))</f>
        <v>N/A</v>
      </c>
      <c r="F724" s="532"/>
      <c r="G724" s="424"/>
      <c r="H724" s="424"/>
      <c r="I724" s="526"/>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row>
    <row r="725" spans="3:34" x14ac:dyDescent="0.2">
      <c r="C725" s="1452" t="s">
        <v>2291</v>
      </c>
      <c r="D725" s="1452"/>
      <c r="E725" s="704" t="str">
        <f>IF(OR($G714="Fee",$G714="N/A"),"N/A",INDEX(Sources!$D$67:$O$82,MATCH(Loans!$C714,Sources!$D$67:$D$82,0),MATCH("Deferred Loan?",Sources!$D$67:$O$67,0)))</f>
        <v>N/A</v>
      </c>
      <c r="F725" s="74"/>
      <c r="G725" s="424"/>
      <c r="H725" s="424"/>
      <c r="I725" s="526"/>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row>
    <row r="726" spans="3:34" x14ac:dyDescent="0.2">
      <c r="C726" s="1452" t="s">
        <v>2277</v>
      </c>
      <c r="D726" s="1452"/>
      <c r="E726" s="705" t="str">
        <f>IF(OR(E717=0,E717="N/A"),"N/A",INDEX($C728:$AH740,MATCH("Ending Principal Balance",$C728:$C740,0),MATCH($E720,$C728:$AH728,0)))</f>
        <v>N/A</v>
      </c>
      <c r="F726" s="74"/>
      <c r="G726" s="74"/>
      <c r="H726" s="74" t="s">
        <v>2278</v>
      </c>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row>
    <row r="727" spans="3:34" ht="15" x14ac:dyDescent="0.2">
      <c r="C727" s="345"/>
      <c r="D727" s="345"/>
      <c r="E727" s="345"/>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row>
    <row r="728" spans="3:34" ht="15" x14ac:dyDescent="0.2">
      <c r="C728" s="309"/>
      <c r="D728" s="309"/>
      <c r="E728" s="310">
        <v>1</v>
      </c>
      <c r="F728" s="310">
        <f>E728+1</f>
        <v>2</v>
      </c>
      <c r="G728" s="310">
        <f t="shared" ref="G728" si="4048">F728+1</f>
        <v>3</v>
      </c>
      <c r="H728" s="310">
        <f t="shared" ref="H728" si="4049">G728+1</f>
        <v>4</v>
      </c>
      <c r="I728" s="310">
        <f t="shared" ref="I728" si="4050">H728+1</f>
        <v>5</v>
      </c>
      <c r="J728" s="310">
        <f t="shared" ref="J728" si="4051">I728+1</f>
        <v>6</v>
      </c>
      <c r="K728" s="310">
        <f t="shared" ref="K728" si="4052">J728+1</f>
        <v>7</v>
      </c>
      <c r="L728" s="310">
        <f t="shared" ref="L728" si="4053">K728+1</f>
        <v>8</v>
      </c>
      <c r="M728" s="310">
        <f t="shared" ref="M728" si="4054">L728+1</f>
        <v>9</v>
      </c>
      <c r="N728" s="310">
        <f t="shared" ref="N728" si="4055">M728+1</f>
        <v>10</v>
      </c>
      <c r="O728" s="310">
        <f t="shared" ref="O728" si="4056">N728+1</f>
        <v>11</v>
      </c>
      <c r="P728" s="310">
        <f t="shared" ref="P728" si="4057">O728+1</f>
        <v>12</v>
      </c>
      <c r="Q728" s="310">
        <f t="shared" ref="Q728" si="4058">P728+1</f>
        <v>13</v>
      </c>
      <c r="R728" s="310">
        <f t="shared" ref="R728" si="4059">Q728+1</f>
        <v>14</v>
      </c>
      <c r="S728" s="448">
        <f t="shared" ref="S728" si="4060">R728+1</f>
        <v>15</v>
      </c>
      <c r="T728" s="428">
        <f t="shared" ref="T728" si="4061">S728+1</f>
        <v>16</v>
      </c>
      <c r="U728" s="310">
        <f t="shared" ref="U728" si="4062">T728+1</f>
        <v>17</v>
      </c>
      <c r="V728" s="310">
        <f t="shared" ref="V728" si="4063">U728+1</f>
        <v>18</v>
      </c>
      <c r="W728" s="310">
        <f t="shared" ref="W728" si="4064">V728+1</f>
        <v>19</v>
      </c>
      <c r="X728" s="310">
        <f t="shared" ref="X728" si="4065">W728+1</f>
        <v>20</v>
      </c>
      <c r="Y728" s="310">
        <f t="shared" ref="Y728" si="4066">X728+1</f>
        <v>21</v>
      </c>
      <c r="Z728" s="310">
        <f t="shared" ref="Z728" si="4067">Y728+1</f>
        <v>22</v>
      </c>
      <c r="AA728" s="310">
        <f t="shared" ref="AA728" si="4068">Z728+1</f>
        <v>23</v>
      </c>
      <c r="AB728" s="310">
        <f t="shared" ref="AB728" si="4069">AA728+1</f>
        <v>24</v>
      </c>
      <c r="AC728" s="310">
        <f t="shared" ref="AC728" si="4070">AB728+1</f>
        <v>25</v>
      </c>
      <c r="AD728" s="310">
        <f t="shared" ref="AD728" si="4071">AC728+1</f>
        <v>26</v>
      </c>
      <c r="AE728" s="310">
        <f t="shared" ref="AE728" si="4072">AD728+1</f>
        <v>27</v>
      </c>
      <c r="AF728" s="310">
        <f t="shared" ref="AF728" si="4073">AE728+1</f>
        <v>28</v>
      </c>
      <c r="AG728" s="310">
        <f t="shared" ref="AG728" si="4074">AF728+1</f>
        <v>29</v>
      </c>
      <c r="AH728" s="310">
        <f t="shared" ref="AH728" si="4075">AG728+1</f>
        <v>30</v>
      </c>
    </row>
    <row r="729" spans="3:34" ht="15" x14ac:dyDescent="0.2">
      <c r="C729" s="309"/>
      <c r="D729" s="309"/>
      <c r="E729" s="314" t="str">
        <f>IF(Details!$E$171="","",Details!$E$171)</f>
        <v/>
      </c>
      <c r="F729" s="314" t="str">
        <f>IF($E$7="","",E$7+1)</f>
        <v/>
      </c>
      <c r="G729" s="314" t="str">
        <f t="shared" ref="G729" si="4076">IF($E$7="","",F$7+1)</f>
        <v/>
      </c>
      <c r="H729" s="314" t="str">
        <f t="shared" ref="H729" si="4077">IF($E$7="","",G$7+1)</f>
        <v/>
      </c>
      <c r="I729" s="314" t="str">
        <f t="shared" ref="I729" si="4078">IF($E$7="","",H$7+1)</f>
        <v/>
      </c>
      <c r="J729" s="314" t="str">
        <f t="shared" ref="J729" si="4079">IF($E$7="","",I$7+1)</f>
        <v/>
      </c>
      <c r="K729" s="314" t="str">
        <f t="shared" ref="K729" si="4080">IF($E$7="","",J$7+1)</f>
        <v/>
      </c>
      <c r="L729" s="314" t="str">
        <f t="shared" ref="L729" si="4081">IF($E$7="","",K$7+1)</f>
        <v/>
      </c>
      <c r="M729" s="314" t="str">
        <f t="shared" ref="M729" si="4082">IF($E$7="","",L$7+1)</f>
        <v/>
      </c>
      <c r="N729" s="314" t="str">
        <f t="shared" ref="N729" si="4083">IF($E$7="","",M$7+1)</f>
        <v/>
      </c>
      <c r="O729" s="314" t="str">
        <f t="shared" ref="O729" si="4084">IF($E$7="","",N$7+1)</f>
        <v/>
      </c>
      <c r="P729" s="314" t="str">
        <f t="shared" ref="P729" si="4085">IF($E$7="","",O$7+1)</f>
        <v/>
      </c>
      <c r="Q729" s="314" t="str">
        <f t="shared" ref="Q729" si="4086">IF($E$7="","",P$7+1)</f>
        <v/>
      </c>
      <c r="R729" s="314" t="str">
        <f t="shared" ref="R729" si="4087">IF($E$7="","",Q$7+1)</f>
        <v/>
      </c>
      <c r="S729" s="440" t="str">
        <f t="shared" ref="S729" si="4088">IF($E$7="","",R$7+1)</f>
        <v/>
      </c>
      <c r="T729" s="433" t="str">
        <f t="shared" ref="T729" si="4089">IF($E$7="","",S$7+1)</f>
        <v/>
      </c>
      <c r="U729" s="314" t="str">
        <f t="shared" ref="U729" si="4090">IF($E$7="","",T$7+1)</f>
        <v/>
      </c>
      <c r="V729" s="314" t="str">
        <f t="shared" ref="V729" si="4091">IF($E$7="","",U$7+1)</f>
        <v/>
      </c>
      <c r="W729" s="314" t="str">
        <f t="shared" ref="W729" si="4092">IF($E$7="","",V$7+1)</f>
        <v/>
      </c>
      <c r="X729" s="314" t="str">
        <f t="shared" ref="X729" si="4093">IF($E$7="","",W$7+1)</f>
        <v/>
      </c>
      <c r="Y729" s="314" t="str">
        <f t="shared" ref="Y729" si="4094">IF($E$7="","",X$7+1)</f>
        <v/>
      </c>
      <c r="Z729" s="314" t="str">
        <f t="shared" ref="Z729" si="4095">IF($E$7="","",Y$7+1)</f>
        <v/>
      </c>
      <c r="AA729" s="314" t="str">
        <f t="shared" ref="AA729" si="4096">IF($E$7="","",Z$7+1)</f>
        <v/>
      </c>
      <c r="AB729" s="314" t="str">
        <f t="shared" ref="AB729" si="4097">IF($E$7="","",AA$7+1)</f>
        <v/>
      </c>
      <c r="AC729" s="314" t="str">
        <f t="shared" ref="AC729" si="4098">IF($E$7="","",AB$7+1)</f>
        <v/>
      </c>
      <c r="AD729" s="314" t="str">
        <f t="shared" ref="AD729" si="4099">IF($E$7="","",AC$7+1)</f>
        <v/>
      </c>
      <c r="AE729" s="314" t="str">
        <f t="shared" ref="AE729" si="4100">IF($E$7="","",AD$7+1)</f>
        <v/>
      </c>
      <c r="AF729" s="314" t="str">
        <f t="shared" ref="AF729" si="4101">IF($E$7="","",AE$7+1)</f>
        <v/>
      </c>
      <c r="AG729" s="314" t="str">
        <f t="shared" ref="AG729" si="4102">IF($E$7="","",AF$7+1)</f>
        <v/>
      </c>
      <c r="AH729" s="314" t="str">
        <f t="shared" ref="AH729" si="4103">IF($E$7="","",AG$7+1)</f>
        <v/>
      </c>
    </row>
    <row r="730" spans="3:34" x14ac:dyDescent="0.2">
      <c r="C730" s="1168" t="s">
        <v>2254</v>
      </c>
      <c r="D730" s="1169"/>
      <c r="E730" s="109">
        <f>E695-E704-E708</f>
        <v>0</v>
      </c>
      <c r="F730" s="109">
        <f t="shared" ref="F730:AH730" si="4104">F695-F704-F708</f>
        <v>0</v>
      </c>
      <c r="G730" s="109">
        <f t="shared" si="4104"/>
        <v>0</v>
      </c>
      <c r="H730" s="109">
        <f t="shared" si="4104"/>
        <v>0</v>
      </c>
      <c r="I730" s="109">
        <f t="shared" si="4104"/>
        <v>0</v>
      </c>
      <c r="J730" s="109">
        <f t="shared" si="4104"/>
        <v>0</v>
      </c>
      <c r="K730" s="109">
        <f t="shared" si="4104"/>
        <v>0</v>
      </c>
      <c r="L730" s="109">
        <f t="shared" si="4104"/>
        <v>0</v>
      </c>
      <c r="M730" s="109">
        <f t="shared" si="4104"/>
        <v>0</v>
      </c>
      <c r="N730" s="109">
        <f t="shared" si="4104"/>
        <v>0</v>
      </c>
      <c r="O730" s="109">
        <f t="shared" si="4104"/>
        <v>0</v>
      </c>
      <c r="P730" s="109">
        <f t="shared" si="4104"/>
        <v>0</v>
      </c>
      <c r="Q730" s="109">
        <f t="shared" si="4104"/>
        <v>0</v>
      </c>
      <c r="R730" s="109">
        <f t="shared" si="4104"/>
        <v>0</v>
      </c>
      <c r="S730" s="331">
        <f t="shared" si="4104"/>
        <v>0</v>
      </c>
      <c r="T730" s="228">
        <f t="shared" si="4104"/>
        <v>0</v>
      </c>
      <c r="U730" s="109">
        <f t="shared" si="4104"/>
        <v>0</v>
      </c>
      <c r="V730" s="109">
        <f t="shared" si="4104"/>
        <v>0</v>
      </c>
      <c r="W730" s="109">
        <f t="shared" si="4104"/>
        <v>0</v>
      </c>
      <c r="X730" s="109">
        <f t="shared" si="4104"/>
        <v>0</v>
      </c>
      <c r="Y730" s="109">
        <f t="shared" si="4104"/>
        <v>0</v>
      </c>
      <c r="Z730" s="109">
        <f t="shared" si="4104"/>
        <v>0</v>
      </c>
      <c r="AA730" s="109">
        <f t="shared" si="4104"/>
        <v>0</v>
      </c>
      <c r="AB730" s="109">
        <f t="shared" si="4104"/>
        <v>0</v>
      </c>
      <c r="AC730" s="109">
        <f t="shared" si="4104"/>
        <v>0</v>
      </c>
      <c r="AD730" s="109">
        <f t="shared" si="4104"/>
        <v>0</v>
      </c>
      <c r="AE730" s="109">
        <f t="shared" si="4104"/>
        <v>0</v>
      </c>
      <c r="AF730" s="109">
        <f t="shared" si="4104"/>
        <v>0</v>
      </c>
      <c r="AG730" s="109">
        <f t="shared" si="4104"/>
        <v>0</v>
      </c>
      <c r="AH730" s="109">
        <f t="shared" si="4104"/>
        <v>0</v>
      </c>
    </row>
    <row r="731" spans="3:34" ht="15" x14ac:dyDescent="0.2">
      <c r="C731" s="345"/>
      <c r="D731" s="345"/>
      <c r="E731" s="345"/>
      <c r="F731" s="74"/>
      <c r="G731" s="74"/>
      <c r="H731" s="74"/>
      <c r="I731" s="74"/>
      <c r="J731" s="74"/>
      <c r="K731" s="74"/>
      <c r="L731" s="74"/>
      <c r="M731" s="74"/>
      <c r="N731" s="74"/>
      <c r="O731" s="74"/>
      <c r="P731" s="74"/>
      <c r="Q731" s="74"/>
      <c r="R731" s="74"/>
      <c r="S731" s="333"/>
      <c r="T731" s="74"/>
      <c r="U731" s="74"/>
      <c r="V731" s="74"/>
      <c r="W731" s="74"/>
      <c r="X731" s="74"/>
      <c r="Y731" s="74"/>
      <c r="Z731" s="74"/>
      <c r="AA731" s="74"/>
      <c r="AB731" s="74"/>
      <c r="AC731" s="74"/>
      <c r="AD731" s="74"/>
      <c r="AE731" s="74"/>
      <c r="AF731" s="74"/>
      <c r="AG731" s="74"/>
      <c r="AH731" s="74"/>
    </row>
    <row r="732" spans="3:34" ht="15" x14ac:dyDescent="0.2">
      <c r="C732" s="432" t="s">
        <v>2286</v>
      </c>
      <c r="D732" s="345"/>
      <c r="E732" s="345"/>
      <c r="F732" s="74"/>
      <c r="G732" s="74"/>
      <c r="H732" s="74"/>
      <c r="I732" s="74"/>
      <c r="J732" s="74"/>
      <c r="K732" s="74"/>
      <c r="L732" s="74"/>
      <c r="M732" s="74"/>
      <c r="N732" s="74"/>
      <c r="O732" s="74"/>
      <c r="P732" s="74"/>
      <c r="Q732" s="74"/>
      <c r="R732" s="74"/>
      <c r="S732" s="333"/>
      <c r="T732" s="74"/>
      <c r="U732" s="74"/>
      <c r="V732" s="74"/>
      <c r="W732" s="74"/>
      <c r="X732" s="74"/>
      <c r="Y732" s="74"/>
      <c r="Z732" s="74"/>
      <c r="AA732" s="74"/>
      <c r="AB732" s="74"/>
      <c r="AC732" s="74"/>
      <c r="AD732" s="74"/>
      <c r="AE732" s="74"/>
      <c r="AF732" s="74"/>
      <c r="AG732" s="74"/>
      <c r="AH732" s="74"/>
    </row>
    <row r="733" spans="3:34" ht="15" thickBot="1" x14ac:dyDescent="0.25">
      <c r="C733" s="1453" t="s">
        <v>2285</v>
      </c>
      <c r="D733" s="1453"/>
      <c r="E733" s="423">
        <f>IF(OR($E717="N/A",$E717=0),0,IF($E723="Yes",(E730*$E722*$E724),E730*$E722))</f>
        <v>0</v>
      </c>
      <c r="F733" s="423">
        <f t="shared" ref="F733:AH733" si="4105">IF(OR($E717="N/A",$E717=0),0,IF($E723="Yes",(F730*$E722*$E724),F730*$E722))</f>
        <v>0</v>
      </c>
      <c r="G733" s="423">
        <f t="shared" si="4105"/>
        <v>0</v>
      </c>
      <c r="H733" s="423">
        <f t="shared" si="4105"/>
        <v>0</v>
      </c>
      <c r="I733" s="423">
        <f t="shared" si="4105"/>
        <v>0</v>
      </c>
      <c r="J733" s="423">
        <f t="shared" si="4105"/>
        <v>0</v>
      </c>
      <c r="K733" s="423">
        <f t="shared" si="4105"/>
        <v>0</v>
      </c>
      <c r="L733" s="423">
        <f t="shared" si="4105"/>
        <v>0</v>
      </c>
      <c r="M733" s="423">
        <f t="shared" si="4105"/>
        <v>0</v>
      </c>
      <c r="N733" s="423">
        <f t="shared" si="4105"/>
        <v>0</v>
      </c>
      <c r="O733" s="423">
        <f t="shared" si="4105"/>
        <v>0</v>
      </c>
      <c r="P733" s="423">
        <f t="shared" si="4105"/>
        <v>0</v>
      </c>
      <c r="Q733" s="423">
        <f t="shared" si="4105"/>
        <v>0</v>
      </c>
      <c r="R733" s="423">
        <f t="shared" si="4105"/>
        <v>0</v>
      </c>
      <c r="S733" s="441">
        <f t="shared" si="4105"/>
        <v>0</v>
      </c>
      <c r="T733" s="434">
        <f t="shared" si="4105"/>
        <v>0</v>
      </c>
      <c r="U733" s="423">
        <f t="shared" si="4105"/>
        <v>0</v>
      </c>
      <c r="V733" s="423">
        <f t="shared" si="4105"/>
        <v>0</v>
      </c>
      <c r="W733" s="423">
        <f t="shared" si="4105"/>
        <v>0</v>
      </c>
      <c r="X733" s="423">
        <f t="shared" si="4105"/>
        <v>0</v>
      </c>
      <c r="Y733" s="423">
        <f t="shared" si="4105"/>
        <v>0</v>
      </c>
      <c r="Z733" s="423">
        <f t="shared" si="4105"/>
        <v>0</v>
      </c>
      <c r="AA733" s="423">
        <f t="shared" si="4105"/>
        <v>0</v>
      </c>
      <c r="AB733" s="423">
        <f t="shared" si="4105"/>
        <v>0</v>
      </c>
      <c r="AC733" s="423">
        <f t="shared" si="4105"/>
        <v>0</v>
      </c>
      <c r="AD733" s="423">
        <f t="shared" si="4105"/>
        <v>0</v>
      </c>
      <c r="AE733" s="423">
        <f t="shared" si="4105"/>
        <v>0</v>
      </c>
      <c r="AF733" s="423">
        <f t="shared" si="4105"/>
        <v>0</v>
      </c>
      <c r="AG733" s="423">
        <f t="shared" si="4105"/>
        <v>0</v>
      </c>
      <c r="AH733" s="423">
        <f t="shared" si="4105"/>
        <v>0</v>
      </c>
    </row>
    <row r="734" spans="3:34" ht="15" thickTop="1" x14ac:dyDescent="0.2">
      <c r="C734" s="1449" t="s">
        <v>2189</v>
      </c>
      <c r="D734" s="1449"/>
      <c r="E734" s="316">
        <f>IF(OR($E717="N/A",E728&gt;$E720,E728&lt;$E721),0,MAX(0,E717))</f>
        <v>0</v>
      </c>
      <c r="F734" s="316">
        <f t="shared" ref="F734" si="4106">IF(OR($E717="N/A",F728&gt;$E720),0,IF(F728=$E721,$E717,MAX(E740,0)))</f>
        <v>0</v>
      </c>
      <c r="G734" s="316">
        <f t="shared" ref="G734" si="4107">IF(OR($E717="N/A",G728&gt;$E720),0,IF(G728=$E721,$E717,MAX(F740,0)))</f>
        <v>0</v>
      </c>
      <c r="H734" s="316">
        <f t="shared" ref="H734" si="4108">IF(OR($E717="N/A",H728&gt;$E720),0,IF(H728=$E721,$E717,MAX(G740,0)))</f>
        <v>0</v>
      </c>
      <c r="I734" s="316">
        <f t="shared" ref="I734" si="4109">IF(OR($E717="N/A",I728&gt;$E720),0,IF(I728=$E721,$E717,MAX(H740,0)))</f>
        <v>0</v>
      </c>
      <c r="J734" s="316">
        <f t="shared" ref="J734" si="4110">IF(OR($E717="N/A",J728&gt;$E720),0,IF(J728=$E721,$E717,MAX(I740,0)))</f>
        <v>0</v>
      </c>
      <c r="K734" s="316">
        <f t="shared" ref="K734" si="4111">IF(OR($E717="N/A",K728&gt;$E720),0,IF(K728=$E721,$E717,MAX(J740,0)))</f>
        <v>0</v>
      </c>
      <c r="L734" s="316">
        <f t="shared" ref="L734" si="4112">IF(OR($E717="N/A",L728&gt;$E720),0,IF(L728=$E721,$E717,MAX(K740,0)))</f>
        <v>0</v>
      </c>
      <c r="M734" s="316">
        <f t="shared" ref="M734" si="4113">IF(OR($E717="N/A",M728&gt;$E720),0,IF(M728=$E721,$E717,MAX(L740,0)))</f>
        <v>0</v>
      </c>
      <c r="N734" s="316">
        <f t="shared" ref="N734" si="4114">IF(OR($E717="N/A",N728&gt;$E720),0,IF(N728=$E721,$E717,MAX(M740,0)))</f>
        <v>0</v>
      </c>
      <c r="O734" s="316">
        <f t="shared" ref="O734" si="4115">IF(OR($E717="N/A",O728&gt;$E720),0,IF(O728=$E721,$E717,MAX(N740,0)))</f>
        <v>0</v>
      </c>
      <c r="P734" s="316">
        <f t="shared" ref="P734" si="4116">IF(OR($E717="N/A",P728&gt;$E720),0,IF(P728=$E721,$E717,MAX(O740,0)))</f>
        <v>0</v>
      </c>
      <c r="Q734" s="316">
        <f t="shared" ref="Q734" si="4117">IF(OR($E717="N/A",Q728&gt;$E720),0,IF(Q728=$E721,$E717,MAX(P740,0)))</f>
        <v>0</v>
      </c>
      <c r="R734" s="316">
        <f t="shared" ref="R734" si="4118">IF(OR($E717="N/A",R728&gt;$E720),0,IF(R728=$E721,$E717,MAX(Q740,0)))</f>
        <v>0</v>
      </c>
      <c r="S734" s="332">
        <f t="shared" ref="S734" si="4119">IF(OR($E717="N/A",S728&gt;$E720),0,IF(S728=$E721,$E717,MAX(R740,0)))</f>
        <v>0</v>
      </c>
      <c r="T734" s="429">
        <f t="shared" ref="T734" si="4120">IF(OR($E717="N/A",T728&gt;$E720),0,IF(T728=$E721,$E717,MAX(S740,0)))</f>
        <v>0</v>
      </c>
      <c r="U734" s="316">
        <f t="shared" ref="U734" si="4121">IF(OR($E717="N/A",U728&gt;$E720),0,IF(U728=$E721,$E717,MAX(T740,0)))</f>
        <v>0</v>
      </c>
      <c r="V734" s="316">
        <f t="shared" ref="V734" si="4122">IF(OR($E717="N/A",V728&gt;$E720),0,IF(V728=$E721,$E717,MAX(U740,0)))</f>
        <v>0</v>
      </c>
      <c r="W734" s="316">
        <f t="shared" ref="W734" si="4123">IF(OR($E717="N/A",W728&gt;$E720),0,IF(W728=$E721,$E717,MAX(V740,0)))</f>
        <v>0</v>
      </c>
      <c r="X734" s="316">
        <f t="shared" ref="X734" si="4124">IF(OR($E717="N/A",X728&gt;$E720),0,IF(X728=$E721,$E717,MAX(W740,0)))</f>
        <v>0</v>
      </c>
      <c r="Y734" s="316">
        <f t="shared" ref="Y734" si="4125">IF(OR($E717="N/A",Y728&gt;$E720),0,IF(Y728=$E721,$E717,MAX(X740,0)))</f>
        <v>0</v>
      </c>
      <c r="Z734" s="316">
        <f t="shared" ref="Z734" si="4126">IF(OR($E717="N/A",Z728&gt;$E720),0,IF(Z728=$E721,$E717,MAX(Y740,0)))</f>
        <v>0</v>
      </c>
      <c r="AA734" s="316">
        <f t="shared" ref="AA734" si="4127">IF(OR($E717="N/A",AA728&gt;$E720),0,IF(AA728=$E721,$E717,MAX(Z740,0)))</f>
        <v>0</v>
      </c>
      <c r="AB734" s="316">
        <f t="shared" ref="AB734" si="4128">IF(OR($E717="N/A",AB728&gt;$E720),0,IF(AB728=$E721,$E717,MAX(AA740,0)))</f>
        <v>0</v>
      </c>
      <c r="AC734" s="316">
        <f t="shared" ref="AC734" si="4129">IF(OR($E717="N/A",AC728&gt;$E720),0,IF(AC728=$E721,$E717,MAX(AB740,0)))</f>
        <v>0</v>
      </c>
      <c r="AD734" s="316">
        <f t="shared" ref="AD734" si="4130">IF(OR($E717="N/A",AD728&gt;$E720),0,IF(AD728=$E721,$E717,MAX(AC740,0)))</f>
        <v>0</v>
      </c>
      <c r="AE734" s="316">
        <f t="shared" ref="AE734" si="4131">IF(OR($E717="N/A",AE728&gt;$E720),0,IF(AE728=$E721,$E717,MAX(AD740,0)))</f>
        <v>0</v>
      </c>
      <c r="AF734" s="316">
        <f t="shared" ref="AF734" si="4132">IF(OR($E717="N/A",AF728&gt;$E720),0,IF(AF728=$E721,$E717,MAX(AE740,0)))</f>
        <v>0</v>
      </c>
      <c r="AG734" s="316">
        <f t="shared" ref="AG734" si="4133">IF(OR($E717="N/A",AG728&gt;$E720),0,IF(AG728=$E721,$E717,MAX(AF740,0)))</f>
        <v>0</v>
      </c>
      <c r="AH734" s="316">
        <f t="shared" ref="AH734" si="4134">IF(OR($E717="N/A",AH728&gt;$E720),0,IF(AH728=$E721,$E717,MAX(AG740,0)))</f>
        <v>0</v>
      </c>
    </row>
    <row r="735" spans="3:34" x14ac:dyDescent="0.2">
      <c r="C735" s="1181" t="s">
        <v>2186</v>
      </c>
      <c r="D735" s="1181"/>
      <c r="E735" s="109">
        <f t="shared" ref="E735:AH735" si="4135">IF(OR($E717="N/A",E728&gt;$E720,E728&lt;$E721),0,E734*$E718)</f>
        <v>0</v>
      </c>
      <c r="F735" s="109">
        <f t="shared" si="4135"/>
        <v>0</v>
      </c>
      <c r="G735" s="109">
        <f t="shared" si="4135"/>
        <v>0</v>
      </c>
      <c r="H735" s="109">
        <f t="shared" si="4135"/>
        <v>0</v>
      </c>
      <c r="I735" s="109">
        <f t="shared" si="4135"/>
        <v>0</v>
      </c>
      <c r="J735" s="109">
        <f t="shared" si="4135"/>
        <v>0</v>
      </c>
      <c r="K735" s="109">
        <f t="shared" si="4135"/>
        <v>0</v>
      </c>
      <c r="L735" s="109">
        <f t="shared" si="4135"/>
        <v>0</v>
      </c>
      <c r="M735" s="109">
        <f t="shared" si="4135"/>
        <v>0</v>
      </c>
      <c r="N735" s="109">
        <f t="shared" si="4135"/>
        <v>0</v>
      </c>
      <c r="O735" s="109">
        <f t="shared" si="4135"/>
        <v>0</v>
      </c>
      <c r="P735" s="109">
        <f t="shared" si="4135"/>
        <v>0</v>
      </c>
      <c r="Q735" s="109">
        <f t="shared" si="4135"/>
        <v>0</v>
      </c>
      <c r="R735" s="109">
        <f t="shared" si="4135"/>
        <v>0</v>
      </c>
      <c r="S735" s="331">
        <f t="shared" si="4135"/>
        <v>0</v>
      </c>
      <c r="T735" s="228">
        <f t="shared" si="4135"/>
        <v>0</v>
      </c>
      <c r="U735" s="109">
        <f t="shared" si="4135"/>
        <v>0</v>
      </c>
      <c r="V735" s="109">
        <f t="shared" si="4135"/>
        <v>0</v>
      </c>
      <c r="W735" s="109">
        <f t="shared" si="4135"/>
        <v>0</v>
      </c>
      <c r="X735" s="109">
        <f t="shared" si="4135"/>
        <v>0</v>
      </c>
      <c r="Y735" s="109">
        <f t="shared" si="4135"/>
        <v>0</v>
      </c>
      <c r="Z735" s="109">
        <f t="shared" si="4135"/>
        <v>0</v>
      </c>
      <c r="AA735" s="109">
        <f t="shared" si="4135"/>
        <v>0</v>
      </c>
      <c r="AB735" s="109">
        <f t="shared" si="4135"/>
        <v>0</v>
      </c>
      <c r="AC735" s="109">
        <f t="shared" si="4135"/>
        <v>0</v>
      </c>
      <c r="AD735" s="109">
        <f t="shared" si="4135"/>
        <v>0</v>
      </c>
      <c r="AE735" s="109">
        <f t="shared" si="4135"/>
        <v>0</v>
      </c>
      <c r="AF735" s="109">
        <f t="shared" si="4135"/>
        <v>0</v>
      </c>
      <c r="AG735" s="109">
        <f t="shared" si="4135"/>
        <v>0</v>
      </c>
      <c r="AH735" s="109">
        <f t="shared" si="4135"/>
        <v>0</v>
      </c>
    </row>
    <row r="736" spans="3:34" x14ac:dyDescent="0.2">
      <c r="C736" s="1181" t="s">
        <v>2270</v>
      </c>
      <c r="D736" s="1181"/>
      <c r="E736" s="346">
        <f t="shared" ref="E736:AH736" si="4136">IF(OR($E717="N/A",E728&gt;$E720,E728&lt;$E721),0,MAX(0,MIN(E735,E733)))</f>
        <v>0</v>
      </c>
      <c r="F736" s="346">
        <f t="shared" si="4136"/>
        <v>0</v>
      </c>
      <c r="G736" s="346">
        <f t="shared" si="4136"/>
        <v>0</v>
      </c>
      <c r="H736" s="346">
        <f t="shared" si="4136"/>
        <v>0</v>
      </c>
      <c r="I736" s="346">
        <f t="shared" si="4136"/>
        <v>0</v>
      </c>
      <c r="J736" s="346">
        <f t="shared" si="4136"/>
        <v>0</v>
      </c>
      <c r="K736" s="346">
        <f t="shared" si="4136"/>
        <v>0</v>
      </c>
      <c r="L736" s="346">
        <f t="shared" si="4136"/>
        <v>0</v>
      </c>
      <c r="M736" s="346">
        <f t="shared" si="4136"/>
        <v>0</v>
      </c>
      <c r="N736" s="346">
        <f t="shared" si="4136"/>
        <v>0</v>
      </c>
      <c r="O736" s="346">
        <f t="shared" si="4136"/>
        <v>0</v>
      </c>
      <c r="P736" s="346">
        <f t="shared" si="4136"/>
        <v>0</v>
      </c>
      <c r="Q736" s="346">
        <f t="shared" si="4136"/>
        <v>0</v>
      </c>
      <c r="R736" s="346">
        <f t="shared" si="4136"/>
        <v>0</v>
      </c>
      <c r="S736" s="442">
        <f t="shared" si="4136"/>
        <v>0</v>
      </c>
      <c r="T736" s="435">
        <f t="shared" si="4136"/>
        <v>0</v>
      </c>
      <c r="U736" s="346">
        <f t="shared" si="4136"/>
        <v>0</v>
      </c>
      <c r="V736" s="346">
        <f t="shared" si="4136"/>
        <v>0</v>
      </c>
      <c r="W736" s="346">
        <f t="shared" si="4136"/>
        <v>0</v>
      </c>
      <c r="X736" s="346">
        <f t="shared" si="4136"/>
        <v>0</v>
      </c>
      <c r="Y736" s="346">
        <f t="shared" si="4136"/>
        <v>0</v>
      </c>
      <c r="Z736" s="346">
        <f t="shared" si="4136"/>
        <v>0</v>
      </c>
      <c r="AA736" s="346">
        <f t="shared" si="4136"/>
        <v>0</v>
      </c>
      <c r="AB736" s="346">
        <f t="shared" si="4136"/>
        <v>0</v>
      </c>
      <c r="AC736" s="346">
        <f t="shared" si="4136"/>
        <v>0</v>
      </c>
      <c r="AD736" s="346">
        <f t="shared" si="4136"/>
        <v>0</v>
      </c>
      <c r="AE736" s="346">
        <f t="shared" si="4136"/>
        <v>0</v>
      </c>
      <c r="AF736" s="346">
        <f t="shared" si="4136"/>
        <v>0</v>
      </c>
      <c r="AG736" s="346">
        <f t="shared" si="4136"/>
        <v>0</v>
      </c>
      <c r="AH736" s="346">
        <f t="shared" si="4136"/>
        <v>0</v>
      </c>
    </row>
    <row r="737" spans="3:34" x14ac:dyDescent="0.2">
      <c r="C737" s="1181" t="s">
        <v>2271</v>
      </c>
      <c r="D737" s="1181"/>
      <c r="E737" s="346">
        <f t="shared" ref="E737:AH737" si="4137">IF(OR($E717="N/A",E728&gt;$E720,E728&lt;$E721),0,E736-E735)</f>
        <v>0</v>
      </c>
      <c r="F737" s="346">
        <f t="shared" si="4137"/>
        <v>0</v>
      </c>
      <c r="G737" s="346">
        <f t="shared" si="4137"/>
        <v>0</v>
      </c>
      <c r="H737" s="346">
        <f t="shared" si="4137"/>
        <v>0</v>
      </c>
      <c r="I737" s="346">
        <f t="shared" si="4137"/>
        <v>0</v>
      </c>
      <c r="J737" s="346">
        <f t="shared" si="4137"/>
        <v>0</v>
      </c>
      <c r="K737" s="346">
        <f t="shared" si="4137"/>
        <v>0</v>
      </c>
      <c r="L737" s="346">
        <f t="shared" si="4137"/>
        <v>0</v>
      </c>
      <c r="M737" s="346">
        <f t="shared" si="4137"/>
        <v>0</v>
      </c>
      <c r="N737" s="346">
        <f t="shared" si="4137"/>
        <v>0</v>
      </c>
      <c r="O737" s="346">
        <f t="shared" si="4137"/>
        <v>0</v>
      </c>
      <c r="P737" s="346">
        <f t="shared" si="4137"/>
        <v>0</v>
      </c>
      <c r="Q737" s="346">
        <f t="shared" si="4137"/>
        <v>0</v>
      </c>
      <c r="R737" s="346">
        <f t="shared" si="4137"/>
        <v>0</v>
      </c>
      <c r="S737" s="442">
        <f t="shared" si="4137"/>
        <v>0</v>
      </c>
      <c r="T737" s="435">
        <f t="shared" si="4137"/>
        <v>0</v>
      </c>
      <c r="U737" s="346">
        <f t="shared" si="4137"/>
        <v>0</v>
      </c>
      <c r="V737" s="346">
        <f t="shared" si="4137"/>
        <v>0</v>
      </c>
      <c r="W737" s="346">
        <f t="shared" si="4137"/>
        <v>0</v>
      </c>
      <c r="X737" s="346">
        <f t="shared" si="4137"/>
        <v>0</v>
      </c>
      <c r="Y737" s="346">
        <f t="shared" si="4137"/>
        <v>0</v>
      </c>
      <c r="Z737" s="346">
        <f t="shared" si="4137"/>
        <v>0</v>
      </c>
      <c r="AA737" s="346">
        <f t="shared" si="4137"/>
        <v>0</v>
      </c>
      <c r="AB737" s="346">
        <f t="shared" si="4137"/>
        <v>0</v>
      </c>
      <c r="AC737" s="346">
        <f t="shared" si="4137"/>
        <v>0</v>
      </c>
      <c r="AD737" s="346">
        <f t="shared" si="4137"/>
        <v>0</v>
      </c>
      <c r="AE737" s="346">
        <f t="shared" si="4137"/>
        <v>0</v>
      </c>
      <c r="AF737" s="346">
        <f t="shared" si="4137"/>
        <v>0</v>
      </c>
      <c r="AG737" s="346">
        <f t="shared" si="4137"/>
        <v>0</v>
      </c>
      <c r="AH737" s="346">
        <f t="shared" si="4137"/>
        <v>0</v>
      </c>
    </row>
    <row r="738" spans="3:34" ht="15" thickBot="1" x14ac:dyDescent="0.25">
      <c r="C738" s="1448" t="s">
        <v>2272</v>
      </c>
      <c r="D738" s="1448"/>
      <c r="E738" s="411">
        <f>IF(OR($E717="N/A",E728&gt;$E720,E728&lt;$E721),0,MAX(0,MIN(E733-E736,E734)))</f>
        <v>0</v>
      </c>
      <c r="F738" s="411">
        <f>IF(OR($E717="N/A",F728&gt;$E720,F728&lt;$E721),0,MAX(0,MIN(F733-F736,F734)))</f>
        <v>0</v>
      </c>
      <c r="G738" s="411">
        <f t="shared" ref="G738:AH738" si="4138">IF(OR($E717="N/A",G728&gt;$E720,G728&lt;$E721),0,MAX(0,MIN(G733-G736,G734)))</f>
        <v>0</v>
      </c>
      <c r="H738" s="411">
        <f t="shared" si="4138"/>
        <v>0</v>
      </c>
      <c r="I738" s="411">
        <f t="shared" si="4138"/>
        <v>0</v>
      </c>
      <c r="J738" s="411">
        <f t="shared" si="4138"/>
        <v>0</v>
      </c>
      <c r="K738" s="411">
        <f t="shared" si="4138"/>
        <v>0</v>
      </c>
      <c r="L738" s="411">
        <f t="shared" si="4138"/>
        <v>0</v>
      </c>
      <c r="M738" s="411">
        <f t="shared" si="4138"/>
        <v>0</v>
      </c>
      <c r="N738" s="411">
        <f t="shared" si="4138"/>
        <v>0</v>
      </c>
      <c r="O738" s="411">
        <f t="shared" si="4138"/>
        <v>0</v>
      </c>
      <c r="P738" s="411">
        <f t="shared" si="4138"/>
        <v>0</v>
      </c>
      <c r="Q738" s="411">
        <f t="shared" si="4138"/>
        <v>0</v>
      </c>
      <c r="R738" s="411">
        <f t="shared" si="4138"/>
        <v>0</v>
      </c>
      <c r="S738" s="443">
        <f t="shared" si="4138"/>
        <v>0</v>
      </c>
      <c r="T738" s="431">
        <f t="shared" si="4138"/>
        <v>0</v>
      </c>
      <c r="U738" s="411">
        <f t="shared" si="4138"/>
        <v>0</v>
      </c>
      <c r="V738" s="411">
        <f t="shared" si="4138"/>
        <v>0</v>
      </c>
      <c r="W738" s="411">
        <f t="shared" si="4138"/>
        <v>0</v>
      </c>
      <c r="X738" s="411">
        <f t="shared" si="4138"/>
        <v>0</v>
      </c>
      <c r="Y738" s="411">
        <f t="shared" si="4138"/>
        <v>0</v>
      </c>
      <c r="Z738" s="411">
        <f t="shared" si="4138"/>
        <v>0</v>
      </c>
      <c r="AA738" s="411">
        <f t="shared" si="4138"/>
        <v>0</v>
      </c>
      <c r="AB738" s="411">
        <f t="shared" si="4138"/>
        <v>0</v>
      </c>
      <c r="AC738" s="411">
        <f t="shared" si="4138"/>
        <v>0</v>
      </c>
      <c r="AD738" s="411">
        <f t="shared" si="4138"/>
        <v>0</v>
      </c>
      <c r="AE738" s="411">
        <f t="shared" si="4138"/>
        <v>0</v>
      </c>
      <c r="AF738" s="411">
        <f t="shared" si="4138"/>
        <v>0</v>
      </c>
      <c r="AG738" s="411">
        <f t="shared" si="4138"/>
        <v>0</v>
      </c>
      <c r="AH738" s="411">
        <f t="shared" si="4138"/>
        <v>0</v>
      </c>
    </row>
    <row r="739" spans="3:34" ht="15" thickTop="1" x14ac:dyDescent="0.2">
      <c r="C739" s="1449" t="s">
        <v>2282</v>
      </c>
      <c r="D739" s="1449"/>
      <c r="E739" s="430">
        <f>SUM(E736,E738)</f>
        <v>0</v>
      </c>
      <c r="F739" s="430">
        <f>SUM(F736,F738)</f>
        <v>0</v>
      </c>
      <c r="G739" s="430">
        <f t="shared" ref="G739" si="4139">SUM(G736,G738)</f>
        <v>0</v>
      </c>
      <c r="H739" s="430">
        <f t="shared" ref="H739" si="4140">SUM(H736,H738)</f>
        <v>0</v>
      </c>
      <c r="I739" s="430">
        <f t="shared" ref="I739" si="4141">SUM(I736,I738)</f>
        <v>0</v>
      </c>
      <c r="J739" s="430">
        <f t="shared" ref="J739" si="4142">SUM(J736,J738)</f>
        <v>0</v>
      </c>
      <c r="K739" s="430">
        <f t="shared" ref="K739" si="4143">SUM(K736,K738)</f>
        <v>0</v>
      </c>
      <c r="L739" s="430">
        <f t="shared" ref="L739" si="4144">SUM(L736,L738)</f>
        <v>0</v>
      </c>
      <c r="M739" s="430">
        <f t="shared" ref="M739" si="4145">SUM(M736,M738)</f>
        <v>0</v>
      </c>
      <c r="N739" s="430">
        <f t="shared" ref="N739" si="4146">SUM(N736,N738)</f>
        <v>0</v>
      </c>
      <c r="O739" s="430">
        <f t="shared" ref="O739" si="4147">SUM(O736,O738)</f>
        <v>0</v>
      </c>
      <c r="P739" s="430">
        <f t="shared" ref="P739" si="4148">SUM(P736,P738)</f>
        <v>0</v>
      </c>
      <c r="Q739" s="430">
        <f t="shared" ref="Q739" si="4149">SUM(Q736,Q738)</f>
        <v>0</v>
      </c>
      <c r="R739" s="430">
        <f t="shared" ref="R739" si="4150">SUM(R736,R738)</f>
        <v>0</v>
      </c>
      <c r="S739" s="444">
        <f t="shared" ref="S739" si="4151">SUM(S736,S738)</f>
        <v>0</v>
      </c>
      <c r="T739" s="436">
        <f t="shared" ref="T739" si="4152">SUM(T736,T738)</f>
        <v>0</v>
      </c>
      <c r="U739" s="430">
        <f t="shared" ref="U739" si="4153">SUM(U736,U738)</f>
        <v>0</v>
      </c>
      <c r="V739" s="430">
        <f t="shared" ref="V739" si="4154">SUM(V736,V738)</f>
        <v>0</v>
      </c>
      <c r="W739" s="430">
        <f t="shared" ref="W739" si="4155">SUM(W736,W738)</f>
        <v>0</v>
      </c>
      <c r="X739" s="430">
        <f t="shared" ref="X739" si="4156">SUM(X736,X738)</f>
        <v>0</v>
      </c>
      <c r="Y739" s="430">
        <f t="shared" ref="Y739" si="4157">SUM(Y736,Y738)</f>
        <v>0</v>
      </c>
      <c r="Z739" s="430">
        <f t="shared" ref="Z739" si="4158">SUM(Z736,Z738)</f>
        <v>0</v>
      </c>
      <c r="AA739" s="430">
        <f t="shared" ref="AA739" si="4159">SUM(AA736,AA738)</f>
        <v>0</v>
      </c>
      <c r="AB739" s="430">
        <f t="shared" ref="AB739" si="4160">SUM(AB736,AB738)</f>
        <v>0</v>
      </c>
      <c r="AC739" s="430">
        <f t="shared" ref="AC739" si="4161">SUM(AC736,AC738)</f>
        <v>0</v>
      </c>
      <c r="AD739" s="430">
        <f t="shared" ref="AD739" si="4162">SUM(AD736,AD738)</f>
        <v>0</v>
      </c>
      <c r="AE739" s="430">
        <f t="shared" ref="AE739" si="4163">SUM(AE736,AE738)</f>
        <v>0</v>
      </c>
      <c r="AF739" s="430">
        <f t="shared" ref="AF739" si="4164">SUM(AF736,AF738)</f>
        <v>0</v>
      </c>
      <c r="AG739" s="430">
        <f t="shared" ref="AG739" si="4165">SUM(AG736,AG738)</f>
        <v>0</v>
      </c>
      <c r="AH739" s="430">
        <f t="shared" ref="AH739" si="4166">SUM(AH736,AH738)</f>
        <v>0</v>
      </c>
    </row>
    <row r="740" spans="3:34" x14ac:dyDescent="0.2">
      <c r="C740" s="1181" t="s">
        <v>2190</v>
      </c>
      <c r="D740" s="1181"/>
      <c r="E740" s="342">
        <f>IF(OR($E717="N/A",E728&gt;$E720,E728&lt;$E721),0,IF($E719="Compound",E734-E738-E737,MAX(0,E734-E738)))</f>
        <v>0</v>
      </c>
      <c r="F740" s="342">
        <f>IF(OR($E717="N/A",F728&gt;$E720,F728&lt;$E721),0,IF($E719="Compound",F734-F738-F737,MAX(0,F734-F738)))</f>
        <v>0</v>
      </c>
      <c r="G740" s="342">
        <f t="shared" ref="G740:AH740" si="4167">IF(OR($E717="N/A",G728&gt;$E720,G728&lt;$E721),0,IF($E719="Compound",G734-G738-G737,MAX(0,G734-G738)))</f>
        <v>0</v>
      </c>
      <c r="H740" s="342">
        <f t="shared" si="4167"/>
        <v>0</v>
      </c>
      <c r="I740" s="342">
        <f t="shared" si="4167"/>
        <v>0</v>
      </c>
      <c r="J740" s="342">
        <f t="shared" si="4167"/>
        <v>0</v>
      </c>
      <c r="K740" s="342">
        <f t="shared" si="4167"/>
        <v>0</v>
      </c>
      <c r="L740" s="342">
        <f t="shared" si="4167"/>
        <v>0</v>
      </c>
      <c r="M740" s="342">
        <f t="shared" si="4167"/>
        <v>0</v>
      </c>
      <c r="N740" s="342">
        <f t="shared" si="4167"/>
        <v>0</v>
      </c>
      <c r="O740" s="342">
        <f t="shared" si="4167"/>
        <v>0</v>
      </c>
      <c r="P740" s="342">
        <f t="shared" si="4167"/>
        <v>0</v>
      </c>
      <c r="Q740" s="342">
        <f t="shared" si="4167"/>
        <v>0</v>
      </c>
      <c r="R740" s="342">
        <f t="shared" si="4167"/>
        <v>0</v>
      </c>
      <c r="S740" s="445">
        <f t="shared" si="4167"/>
        <v>0</v>
      </c>
      <c r="T740" s="437">
        <f t="shared" si="4167"/>
        <v>0</v>
      </c>
      <c r="U740" s="342">
        <f t="shared" si="4167"/>
        <v>0</v>
      </c>
      <c r="V740" s="342">
        <f t="shared" si="4167"/>
        <v>0</v>
      </c>
      <c r="W740" s="342">
        <f t="shared" si="4167"/>
        <v>0</v>
      </c>
      <c r="X740" s="342">
        <f t="shared" si="4167"/>
        <v>0</v>
      </c>
      <c r="Y740" s="342">
        <f t="shared" si="4167"/>
        <v>0</v>
      </c>
      <c r="Z740" s="342">
        <f t="shared" si="4167"/>
        <v>0</v>
      </c>
      <c r="AA740" s="342">
        <f t="shared" si="4167"/>
        <v>0</v>
      </c>
      <c r="AB740" s="342">
        <f t="shared" si="4167"/>
        <v>0</v>
      </c>
      <c r="AC740" s="342">
        <f t="shared" si="4167"/>
        <v>0</v>
      </c>
      <c r="AD740" s="342">
        <f t="shared" si="4167"/>
        <v>0</v>
      </c>
      <c r="AE740" s="342">
        <f t="shared" si="4167"/>
        <v>0</v>
      </c>
      <c r="AF740" s="342">
        <f t="shared" si="4167"/>
        <v>0</v>
      </c>
      <c r="AG740" s="342">
        <f t="shared" si="4167"/>
        <v>0</v>
      </c>
      <c r="AH740" s="342">
        <f t="shared" si="4167"/>
        <v>0</v>
      </c>
    </row>
    <row r="741" spans="3:34" x14ac:dyDescent="0.2">
      <c r="C741" s="317"/>
      <c r="D741" s="317"/>
      <c r="E741" s="74"/>
      <c r="F741" s="74"/>
      <c r="G741" s="74"/>
      <c r="H741" s="74"/>
      <c r="I741" s="74"/>
      <c r="J741" s="74"/>
      <c r="K741" s="74"/>
      <c r="L741" s="74"/>
      <c r="M741" s="74"/>
      <c r="N741" s="74"/>
      <c r="O741" s="74"/>
      <c r="P741" s="74"/>
      <c r="Q741" s="74"/>
      <c r="R741" s="74"/>
      <c r="S741" s="333"/>
      <c r="T741" s="74"/>
      <c r="U741" s="74"/>
      <c r="V741" s="74"/>
      <c r="W741" s="74"/>
      <c r="X741" s="74"/>
      <c r="Y741" s="74"/>
      <c r="Z741" s="74"/>
      <c r="AA741" s="74"/>
      <c r="AB741" s="74"/>
      <c r="AC741" s="74"/>
      <c r="AD741" s="74"/>
      <c r="AE741" s="74"/>
      <c r="AF741" s="74"/>
      <c r="AG741" s="74"/>
      <c r="AH741" s="74"/>
    </row>
    <row r="742" spans="3:34" ht="15" x14ac:dyDescent="0.2">
      <c r="C742" s="432" t="s">
        <v>2287</v>
      </c>
      <c r="D742" s="317"/>
      <c r="E742" s="74"/>
      <c r="F742" s="74"/>
      <c r="G742" s="74"/>
      <c r="H742" s="74"/>
      <c r="I742" s="74"/>
      <c r="J742" s="74"/>
      <c r="K742" s="74"/>
      <c r="L742" s="74"/>
      <c r="M742" s="74"/>
      <c r="N742" s="74"/>
      <c r="O742" s="74"/>
      <c r="P742" s="74"/>
      <c r="Q742" s="74"/>
      <c r="R742" s="74"/>
      <c r="S742" s="333"/>
      <c r="T742" s="74"/>
      <c r="U742" s="74"/>
      <c r="V742" s="74"/>
      <c r="W742" s="74"/>
      <c r="X742" s="74"/>
      <c r="Y742" s="74"/>
      <c r="Z742" s="74"/>
      <c r="AA742" s="74"/>
      <c r="AB742" s="74"/>
      <c r="AC742" s="74"/>
      <c r="AD742" s="74"/>
      <c r="AE742" s="74"/>
      <c r="AF742" s="74"/>
      <c r="AG742" s="74"/>
      <c r="AH742" s="74"/>
    </row>
    <row r="743" spans="3:34" x14ac:dyDescent="0.2">
      <c r="C743" s="1234" t="s">
        <v>2273</v>
      </c>
      <c r="D743" s="1234"/>
      <c r="E743" s="421">
        <f>IF($I717="N/A",0,IF(E728&gt;$I722,0,MIN($I721,$I717*$I719)))</f>
        <v>0</v>
      </c>
      <c r="F743" s="236">
        <f t="shared" ref="F743" si="4168">IF($I717="N/A",0,IF(F728&gt;$I722,0,MIN($I721,$I717*$I719*(1+$I718)^E$63)))</f>
        <v>0</v>
      </c>
      <c r="G743" s="236">
        <f t="shared" ref="G743" si="4169">IF($I717="N/A",0,IF(G728&gt;$I722,0,MIN($I721,$I717*$I719*(1+$I718)^F$63)))</f>
        <v>0</v>
      </c>
      <c r="H743" s="236">
        <f t="shared" ref="H743" si="4170">IF($I717="N/A",0,IF(H728&gt;$I722,0,MIN($I721,$I717*$I719*(1+$I718)^G$63)))</f>
        <v>0</v>
      </c>
      <c r="I743" s="236">
        <f t="shared" ref="I743" si="4171">IF($I717="N/A",0,IF(I728&gt;$I722,0,MIN($I721,$I717*$I719*(1+$I718)^H$63)))</f>
        <v>0</v>
      </c>
      <c r="J743" s="236">
        <f t="shared" ref="J743" si="4172">IF($I717="N/A",0,IF(J728&gt;$I722,0,MIN($I721,$I717*$I719*(1+$I718)^I$63)))</f>
        <v>0</v>
      </c>
      <c r="K743" s="236">
        <f t="shared" ref="K743" si="4173">IF($I717="N/A",0,IF(K728&gt;$I722,0,MIN($I721,$I717*$I719*(1+$I718)^J$63)))</f>
        <v>0</v>
      </c>
      <c r="L743" s="236">
        <f t="shared" ref="L743" si="4174">IF($I717="N/A",0,IF(L728&gt;$I722,0,MIN($I721,$I717*$I719*(1+$I718)^K$63)))</f>
        <v>0</v>
      </c>
      <c r="M743" s="236">
        <f t="shared" ref="M743" si="4175">IF($I717="N/A",0,IF(M728&gt;$I722,0,MIN($I721,$I717*$I719*(1+$I718)^L$63)))</f>
        <v>0</v>
      </c>
      <c r="N743" s="236">
        <f t="shared" ref="N743" si="4176">IF($I717="N/A",0,IF(N728&gt;$I722,0,MIN($I721,$I717*$I719*(1+$I718)^M$63)))</f>
        <v>0</v>
      </c>
      <c r="O743" s="236">
        <f t="shared" ref="O743" si="4177">IF($I717="N/A",0,IF(O728&gt;$I722,0,MIN($I721,$I717*$I719*(1+$I718)^N$63)))</f>
        <v>0</v>
      </c>
      <c r="P743" s="236">
        <f t="shared" ref="P743" si="4178">IF($I717="N/A",0,IF(P728&gt;$I722,0,MIN($I721,$I717*$I719*(1+$I718)^O$63)))</f>
        <v>0</v>
      </c>
      <c r="Q743" s="236">
        <f t="shared" ref="Q743" si="4179">IF($I717="N/A",0,IF(Q728&gt;$I722,0,MIN($I721,$I717*$I719*(1+$I718)^P$63)))</f>
        <v>0</v>
      </c>
      <c r="R743" s="236">
        <f t="shared" ref="R743" si="4180">IF($I717="N/A",0,IF(R728&gt;$I722,0,MIN($I721,$I717*$I719*(1+$I718)^Q$63)))</f>
        <v>0</v>
      </c>
      <c r="S743" s="446">
        <f t="shared" ref="S743" si="4181">IF($I717="N/A",0,IF(S728&gt;$I722,0,MIN($I721,$I717*$I719*(1+$I718)^R$63)))</f>
        <v>0</v>
      </c>
      <c r="T743" s="438">
        <f t="shared" ref="T743" si="4182">IF($I717="N/A",0,IF(T728&gt;$I722,0,MIN($I721,$I717*$I719*(1+$I718)^S$63)))</f>
        <v>0</v>
      </c>
      <c r="U743" s="236">
        <f t="shared" ref="U743" si="4183">IF($I717="N/A",0,IF(U728&gt;$I722,0,MIN($I721,$I717*$I719*(1+$I718)^T$63)))</f>
        <v>0</v>
      </c>
      <c r="V743" s="236">
        <f t="shared" ref="V743" si="4184">IF($I717="N/A",0,IF(V728&gt;$I722,0,MIN($I721,$I717*$I719*(1+$I718)^U$63)))</f>
        <v>0</v>
      </c>
      <c r="W743" s="236">
        <f t="shared" ref="W743" si="4185">IF($I717="N/A",0,IF(W728&gt;$I722,0,MIN($I721,$I717*$I719*(1+$I718)^V$63)))</f>
        <v>0</v>
      </c>
      <c r="X743" s="236">
        <f t="shared" ref="X743" si="4186">IF($I717="N/A",0,IF(X728&gt;$I722,0,MIN($I721,$I717*$I719*(1+$I718)^W$63)))</f>
        <v>0</v>
      </c>
      <c r="Y743" s="236">
        <f t="shared" ref="Y743" si="4187">IF($I717="N/A",0,IF(Y728&gt;$I722,0,MIN($I721,$I717*$I719*(1+$I718)^X$63)))</f>
        <v>0</v>
      </c>
      <c r="Z743" s="236">
        <f t="shared" ref="Z743" si="4188">IF($I717="N/A",0,IF(Z728&gt;$I722,0,MIN($I721,$I717*$I719*(1+$I718)^Y$63)))</f>
        <v>0</v>
      </c>
      <c r="AA743" s="236">
        <f t="shared" ref="AA743" si="4189">IF($I717="N/A",0,IF(AA728&gt;$I722,0,MIN($I721,$I717*$I719*(1+$I718)^Z$63)))</f>
        <v>0</v>
      </c>
      <c r="AB743" s="236">
        <f t="shared" ref="AB743" si="4190">IF($I717="N/A",0,IF(AB728&gt;$I722,0,MIN($I721,$I717*$I719*(1+$I718)^AA$63)))</f>
        <v>0</v>
      </c>
      <c r="AC743" s="236">
        <f t="shared" ref="AC743" si="4191">IF($I717="N/A",0,IF(AC728&gt;$I722,0,MIN($I721,$I717*$I719*(1+$I718)^AB$63)))</f>
        <v>0</v>
      </c>
      <c r="AD743" s="236">
        <f t="shared" ref="AD743" si="4192">IF($I717="N/A",0,IF(AD728&gt;$I722,0,MIN($I721,$I717*$I719*(1+$I718)^AC$63)))</f>
        <v>0</v>
      </c>
      <c r="AE743" s="236">
        <f t="shared" ref="AE743" si="4193">IF($I717="N/A",0,IF(AE728&gt;$I722,0,MIN($I721,$I717*$I719*(1+$I718)^AD$63)))</f>
        <v>0</v>
      </c>
      <c r="AF743" s="236">
        <f t="shared" ref="AF743" si="4194">IF($I717="N/A",0,IF(AF728&gt;$I722,0,MIN($I721,$I717*$I719*(1+$I718)^AE$63)))</f>
        <v>0</v>
      </c>
      <c r="AG743" s="236">
        <f t="shared" ref="AG743" si="4195">IF($I717="N/A",0,IF(AG728&gt;$I722,0,MIN($I721,$I717*$I719*(1+$I718)^AF$63)))</f>
        <v>0</v>
      </c>
      <c r="AH743" s="236">
        <f t="shared" ref="AH743" si="4196">IF($I717="N/A",0,IF(AH728&gt;$I722,0,MIN($I721,$I717*$I719*(1+$I718)^AG$63)))</f>
        <v>0</v>
      </c>
    </row>
    <row r="744" spans="3:34" x14ac:dyDescent="0.2">
      <c r="C744" s="1450" t="s">
        <v>2274</v>
      </c>
      <c r="D744" s="1451"/>
      <c r="E744" s="422">
        <f>IF($I717="N/A",0,IF(E728&gt;$I722,0,MAX(0,MIN(E743,$I717*$I719,E730))))</f>
        <v>0</v>
      </c>
      <c r="F744" s="521">
        <f t="shared" ref="F744" si="4197">IF($I717="N/A",0,IF(F728&gt;$I722,0,IF($I720="Yes",MAX(0,MIN(F730*$I719,E746+F743,$I721)),MAX(0,MIN(F743,F730*$I719,$I721)))))</f>
        <v>0</v>
      </c>
      <c r="G744" s="521">
        <f t="shared" ref="G744" si="4198">IF($I717="N/A",0,IF(G728&gt;$I722,0,IF($I720="Yes",MAX(0,MIN(G730*$I719,F746+G743,$I721)),MAX(0,MIN(G743,G730*$I719,$I721)))))</f>
        <v>0</v>
      </c>
      <c r="H744" s="521">
        <f t="shared" ref="H744" si="4199">IF($I717="N/A",0,IF(H728&gt;$I722,0,IF($I720="Yes",MAX(0,MIN(H730*$I719,G746+H743,$I721)),MAX(0,MIN(H743,H730*$I719,$I721)))))</f>
        <v>0</v>
      </c>
      <c r="I744" s="521">
        <f t="shared" ref="I744" si="4200">IF($I717="N/A",0,IF(I728&gt;$I722,0,IF($I720="Yes",MAX(0,MIN(I730*$I719,H746+I743,$I721)),MAX(0,MIN(I743,I730*$I719,$I721)))))</f>
        <v>0</v>
      </c>
      <c r="J744" s="521">
        <f t="shared" ref="J744" si="4201">IF($I717="N/A",0,IF(J728&gt;$I722,0,IF($I720="Yes",MAX(0,MIN(J730*$I719,I746+J743,$I721)),MAX(0,MIN(J743,J730*$I719,$I721)))))</f>
        <v>0</v>
      </c>
      <c r="K744" s="521">
        <f t="shared" ref="K744" si="4202">IF($I717="N/A",0,IF(K728&gt;$I722,0,IF($I720="Yes",MAX(0,MIN(K730*$I719,J746+K743,$I721)),MAX(0,MIN(K743,K730*$I719,$I721)))))</f>
        <v>0</v>
      </c>
      <c r="L744" s="521">
        <f t="shared" ref="L744" si="4203">IF($I717="N/A",0,IF(L728&gt;$I722,0,IF($I720="Yes",MAX(0,MIN(L730*$I719,K746+L743,$I721)),MAX(0,MIN(L743,L730*$I719,$I721)))))</f>
        <v>0</v>
      </c>
      <c r="M744" s="521">
        <f t="shared" ref="M744" si="4204">IF($I717="N/A",0,IF(M728&gt;$I722,0,IF($I720="Yes",MAX(0,MIN(M730*$I719,L746+M743,$I721)),MAX(0,MIN(M743,M730*$I719,$I721)))))</f>
        <v>0</v>
      </c>
      <c r="N744" s="521">
        <f t="shared" ref="N744" si="4205">IF($I717="N/A",0,IF(N728&gt;$I722,0,IF($I720="Yes",MAX(0,MIN(N730*$I719,M746+N743,$I721)),MAX(0,MIN(N743,N730*$I719,$I721)))))</f>
        <v>0</v>
      </c>
      <c r="O744" s="521">
        <f t="shared" ref="O744" si="4206">IF($I717="N/A",0,IF(O728&gt;$I722,0,IF($I720="Yes",MAX(0,MIN(O730*$I719,N746+O743,$I721)),MAX(0,MIN(O743,O730*$I719,$I721)))))</f>
        <v>0</v>
      </c>
      <c r="P744" s="521">
        <f t="shared" ref="P744" si="4207">IF($I717="N/A",0,IF(P728&gt;$I722,0,IF($I720="Yes",MAX(0,MIN(P730*$I719,O746+P743,$I721)),MAX(0,MIN(P743,P730*$I719,$I721)))))</f>
        <v>0</v>
      </c>
      <c r="Q744" s="521">
        <f t="shared" ref="Q744" si="4208">IF($I717="N/A",0,IF(Q728&gt;$I722,0,IF($I720="Yes",MAX(0,MIN(Q730*$I719,P746+Q743,$I721)),MAX(0,MIN(Q743,Q730*$I719,$I721)))))</f>
        <v>0</v>
      </c>
      <c r="R744" s="521">
        <f t="shared" ref="R744" si="4209">IF($I717="N/A",0,IF(R728&gt;$I722,0,IF($I720="Yes",MAX(0,MIN(R730*$I719,Q746+R743,$I721)),MAX(0,MIN(R743,R730*$I719,$I721)))))</f>
        <v>0</v>
      </c>
      <c r="S744" s="523">
        <f t="shared" ref="S744" si="4210">IF($I717="N/A",0,IF(S728&gt;$I722,0,IF($I720="Yes",MAX(0,MIN(S730*$I719,R746+S743,$I721)),MAX(0,MIN(S743,S730*$I719,$I721)))))</f>
        <v>0</v>
      </c>
      <c r="T744" s="522">
        <f t="shared" ref="T744" si="4211">IF($I717="N/A",0,IF(T728&gt;$I722,0,IF($I720="Yes",MAX(0,MIN(T730*$I719,S746+T743,$I721)),MAX(0,MIN(T743,T730*$I719,$I721)))))</f>
        <v>0</v>
      </c>
      <c r="U744" s="521">
        <f t="shared" ref="U744" si="4212">IF($I717="N/A",0,IF(U728&gt;$I722,0,IF($I720="Yes",MAX(0,MIN(U730*$I719,T746+U743,$I721)),MAX(0,MIN(U743,U730*$I719,$I721)))))</f>
        <v>0</v>
      </c>
      <c r="V744" s="521">
        <f t="shared" ref="V744" si="4213">IF($I717="N/A",0,IF(V728&gt;$I722,0,IF($I720="Yes",MAX(0,MIN(V730*$I719,U746+V743,$I721)),MAX(0,MIN(V743,V730*$I719,$I721)))))</f>
        <v>0</v>
      </c>
      <c r="W744" s="521">
        <f t="shared" ref="W744" si="4214">IF($I717="N/A",0,IF(W728&gt;$I722,0,IF($I720="Yes",MAX(0,MIN(W730*$I719,V746+W743,$I721)),MAX(0,MIN(W743,W730*$I719,$I721)))))</f>
        <v>0</v>
      </c>
      <c r="X744" s="521">
        <f t="shared" ref="X744" si="4215">IF($I717="N/A",0,IF(X728&gt;$I722,0,IF($I720="Yes",MAX(0,MIN(X730*$I719,W746+X743,$I721)),MAX(0,MIN(X743,X730*$I719,$I721)))))</f>
        <v>0</v>
      </c>
      <c r="Y744" s="521">
        <f t="shared" ref="Y744" si="4216">IF($I717="N/A",0,IF(Y728&gt;$I722,0,IF($I720="Yes",MAX(0,MIN(Y730*$I719,X746+Y743,$I721)),MAX(0,MIN(Y743,Y730*$I719,$I721)))))</f>
        <v>0</v>
      </c>
      <c r="Z744" s="521">
        <f t="shared" ref="Z744" si="4217">IF($I717="N/A",0,IF(Z728&gt;$I722,0,IF($I720="Yes",MAX(0,MIN(Z730*$I719,Y746+Z743,$I721)),MAX(0,MIN(Z743,Z730*$I719,$I721)))))</f>
        <v>0</v>
      </c>
      <c r="AA744" s="521">
        <f t="shared" ref="AA744" si="4218">IF($I717="N/A",0,IF(AA728&gt;$I722,0,IF($I720="Yes",MAX(0,MIN(AA730*$I719,Z746+AA743,$I721)),MAX(0,MIN(AA743,AA730*$I719,$I721)))))</f>
        <v>0</v>
      </c>
      <c r="AB744" s="521">
        <f t="shared" ref="AB744" si="4219">IF($I717="N/A",0,IF(AB728&gt;$I722,0,IF($I720="Yes",MAX(0,MIN(AB730*$I719,AA746+AB743,$I721)),MAX(0,MIN(AB743,AB730*$I719,$I721)))))</f>
        <v>0</v>
      </c>
      <c r="AC744" s="521">
        <f t="shared" ref="AC744" si="4220">IF($I717="N/A",0,IF(AC728&gt;$I722,0,IF($I720="Yes",MAX(0,MIN(AC730*$I719,AB746+AC743,$I721)),MAX(0,MIN(AC743,AC730*$I719,$I721)))))</f>
        <v>0</v>
      </c>
      <c r="AD744" s="521">
        <f t="shared" ref="AD744" si="4221">IF($I717="N/A",0,IF(AD728&gt;$I722,0,IF($I720="Yes",MAX(0,MIN(AD730*$I719,AC746+AD743,$I721)),MAX(0,MIN(AD743,AD730*$I719,$I721)))))</f>
        <v>0</v>
      </c>
      <c r="AE744" s="521">
        <f t="shared" ref="AE744" si="4222">IF($I717="N/A",0,IF(AE728&gt;$I722,0,IF($I720="Yes",MAX(0,MIN(AE730*$I719,AD746+AE743,$I721)),MAX(0,MIN(AE743,AE730*$I719,$I721)))))</f>
        <v>0</v>
      </c>
      <c r="AF744" s="521">
        <f t="shared" ref="AF744" si="4223">IF($I717="N/A",0,IF(AF728&gt;$I722,0,IF($I720="Yes",MAX(0,MIN(AF730*$I719,AE746+AF743,$I721)),MAX(0,MIN(AF743,AF730*$I719,$I721)))))</f>
        <v>0</v>
      </c>
      <c r="AG744" s="521">
        <f t="shared" ref="AG744" si="4224">IF($I717="N/A",0,IF(AG728&gt;$I722,0,IF($I720="Yes",MAX(0,MIN(AG730*$I719,AF746+AG743,$I721)),MAX(0,MIN(AG743,AG730*$I719,$I721)))))</f>
        <v>0</v>
      </c>
      <c r="AH744" s="521">
        <f t="shared" ref="AH744" si="4225">IF($I717="N/A",0,IF(AH728&gt;$I722,0,IF($I720="Yes",MAX(0,MIN(AH730*$I719,AG746+AH743,$I721)),MAX(0,MIN(AH743,AH730*$I719,$I721)))))</f>
        <v>0</v>
      </c>
    </row>
    <row r="745" spans="3:34" x14ac:dyDescent="0.2">
      <c r="C745" s="1168" t="s">
        <v>2275</v>
      </c>
      <c r="D745" s="1170"/>
      <c r="E745" s="421">
        <f>IF($I720="Yes",IF(E728&gt;$I722,0,E743-E744),0)</f>
        <v>0</v>
      </c>
      <c r="F745" s="421">
        <f t="shared" ref="F745:AH745" si="4226">IF($I717="N/A",0,IF(F729&gt;$I722,0,IF($I720="Yes",F743-F744,0)))</f>
        <v>0</v>
      </c>
      <c r="G745" s="421">
        <f t="shared" si="4226"/>
        <v>0</v>
      </c>
      <c r="H745" s="421">
        <f t="shared" si="4226"/>
        <v>0</v>
      </c>
      <c r="I745" s="421">
        <f t="shared" si="4226"/>
        <v>0</v>
      </c>
      <c r="J745" s="421">
        <f t="shared" si="4226"/>
        <v>0</v>
      </c>
      <c r="K745" s="421">
        <f t="shared" si="4226"/>
        <v>0</v>
      </c>
      <c r="L745" s="421">
        <f t="shared" si="4226"/>
        <v>0</v>
      </c>
      <c r="M745" s="421">
        <f t="shared" si="4226"/>
        <v>0</v>
      </c>
      <c r="N745" s="421">
        <f t="shared" si="4226"/>
        <v>0</v>
      </c>
      <c r="O745" s="421">
        <f t="shared" si="4226"/>
        <v>0</v>
      </c>
      <c r="P745" s="421">
        <f t="shared" si="4226"/>
        <v>0</v>
      </c>
      <c r="Q745" s="421">
        <f t="shared" si="4226"/>
        <v>0</v>
      </c>
      <c r="R745" s="421">
        <f t="shared" si="4226"/>
        <v>0</v>
      </c>
      <c r="S745" s="447">
        <f t="shared" si="4226"/>
        <v>0</v>
      </c>
      <c r="T745" s="439">
        <f t="shared" si="4226"/>
        <v>0</v>
      </c>
      <c r="U745" s="421">
        <f t="shared" si="4226"/>
        <v>0</v>
      </c>
      <c r="V745" s="421">
        <f t="shared" si="4226"/>
        <v>0</v>
      </c>
      <c r="W745" s="421">
        <f t="shared" si="4226"/>
        <v>0</v>
      </c>
      <c r="X745" s="421">
        <f t="shared" si="4226"/>
        <v>0</v>
      </c>
      <c r="Y745" s="421">
        <f t="shared" si="4226"/>
        <v>0</v>
      </c>
      <c r="Z745" s="421">
        <f t="shared" si="4226"/>
        <v>0</v>
      </c>
      <c r="AA745" s="421">
        <f t="shared" si="4226"/>
        <v>0</v>
      </c>
      <c r="AB745" s="421">
        <f t="shared" si="4226"/>
        <v>0</v>
      </c>
      <c r="AC745" s="421">
        <f t="shared" si="4226"/>
        <v>0</v>
      </c>
      <c r="AD745" s="421">
        <f t="shared" si="4226"/>
        <v>0</v>
      </c>
      <c r="AE745" s="421">
        <f t="shared" si="4226"/>
        <v>0</v>
      </c>
      <c r="AF745" s="421">
        <f t="shared" si="4226"/>
        <v>0</v>
      </c>
      <c r="AG745" s="421">
        <f t="shared" si="4226"/>
        <v>0</v>
      </c>
      <c r="AH745" s="421">
        <f t="shared" si="4226"/>
        <v>0</v>
      </c>
    </row>
    <row r="746" spans="3:34" x14ac:dyDescent="0.2">
      <c r="C746" s="1168" t="s">
        <v>2276</v>
      </c>
      <c r="D746" s="1170"/>
      <c r="E746" s="421">
        <f>E745</f>
        <v>0</v>
      </c>
      <c r="F746" s="236">
        <f t="shared" ref="F746" si="4227">IF($I717="N/A",0,IF(F728&gt;$I722,0,E746+F745))</f>
        <v>0</v>
      </c>
      <c r="G746" s="236">
        <f t="shared" ref="G746" si="4228">IF($I717="N/A",0,IF(G728&gt;$I722,0,F746+G745))</f>
        <v>0</v>
      </c>
      <c r="H746" s="236">
        <f t="shared" ref="H746" si="4229">IF($I717="N/A",0,IF(H728&gt;$I722,0,G746+H745))</f>
        <v>0</v>
      </c>
      <c r="I746" s="236">
        <f t="shared" ref="I746" si="4230">IF($I717="N/A",0,IF(I728&gt;$I722,0,H746+I745))</f>
        <v>0</v>
      </c>
      <c r="J746" s="236">
        <f t="shared" ref="J746" si="4231">IF($I717="N/A",0,IF(J728&gt;$I722,0,I746+J745))</f>
        <v>0</v>
      </c>
      <c r="K746" s="236">
        <f t="shared" ref="K746" si="4232">IF($I717="N/A",0,IF(K728&gt;$I722,0,J746+K745))</f>
        <v>0</v>
      </c>
      <c r="L746" s="236">
        <f t="shared" ref="L746" si="4233">IF($I717="N/A",0,IF(L728&gt;$I722,0,K746+L745))</f>
        <v>0</v>
      </c>
      <c r="M746" s="236">
        <f t="shared" ref="M746" si="4234">IF($I717="N/A",0,IF(M728&gt;$I722,0,L746+M745))</f>
        <v>0</v>
      </c>
      <c r="N746" s="236">
        <f t="shared" ref="N746" si="4235">IF($I717="N/A",0,IF(N728&gt;$I722,0,M746+N745))</f>
        <v>0</v>
      </c>
      <c r="O746" s="236">
        <f t="shared" ref="O746" si="4236">IF($I717="N/A",0,IF(O728&gt;$I722,0,N746+O745))</f>
        <v>0</v>
      </c>
      <c r="P746" s="236">
        <f t="shared" ref="P746" si="4237">IF($I717="N/A",0,IF(P728&gt;$I722,0,O746+P745))</f>
        <v>0</v>
      </c>
      <c r="Q746" s="236">
        <f t="shared" ref="Q746" si="4238">IF($I717="N/A",0,IF(Q728&gt;$I722,0,P746+Q745))</f>
        <v>0</v>
      </c>
      <c r="R746" s="236">
        <f t="shared" ref="R746" si="4239">IF($I717="N/A",0,IF(R728&gt;$I722,0,Q746+R745))</f>
        <v>0</v>
      </c>
      <c r="S746" s="446">
        <f t="shared" ref="S746" si="4240">IF($I717="N/A",0,IF(S728&gt;$I722,0,R746+S745))</f>
        <v>0</v>
      </c>
      <c r="T746" s="438">
        <f t="shared" ref="T746" si="4241">IF($I717="N/A",0,IF(T728&gt;$I722,0,S746+T745))</f>
        <v>0</v>
      </c>
      <c r="U746" s="236">
        <f t="shared" ref="U746" si="4242">IF($I717="N/A",0,IF(U728&gt;$I722,0,T746+U745))</f>
        <v>0</v>
      </c>
      <c r="V746" s="236">
        <f t="shared" ref="V746" si="4243">IF($I717="N/A",0,IF(V728&gt;$I722,0,U746+V745))</f>
        <v>0</v>
      </c>
      <c r="W746" s="236">
        <f t="shared" ref="W746" si="4244">IF($I717="N/A",0,IF(W728&gt;$I722,0,V746+W745))</f>
        <v>0</v>
      </c>
      <c r="X746" s="236">
        <f t="shared" ref="X746" si="4245">IF($I717="N/A",0,IF(X728&gt;$I722,0,W746+X745))</f>
        <v>0</v>
      </c>
      <c r="Y746" s="236">
        <f t="shared" ref="Y746" si="4246">IF($I717="N/A",0,IF(Y728&gt;$I722,0,X746+Y745))</f>
        <v>0</v>
      </c>
      <c r="Z746" s="236">
        <f t="shared" ref="Z746" si="4247">IF($I717="N/A",0,IF(Z728&gt;$I722,0,Y746+Z745))</f>
        <v>0</v>
      </c>
      <c r="AA746" s="236">
        <f t="shared" ref="AA746" si="4248">IF($I717="N/A",0,IF(AA728&gt;$I722,0,Z746+AA745))</f>
        <v>0</v>
      </c>
      <c r="AB746" s="236">
        <f t="shared" ref="AB746" si="4249">IF($I717="N/A",0,IF(AB728&gt;$I722,0,AA746+AB745))</f>
        <v>0</v>
      </c>
      <c r="AC746" s="236">
        <f t="shared" ref="AC746" si="4250">IF($I717="N/A",0,IF(AC728&gt;$I722,0,AB746+AC745))</f>
        <v>0</v>
      </c>
      <c r="AD746" s="236">
        <f t="shared" ref="AD746" si="4251">IF($I717="N/A",0,IF(AD728&gt;$I722,0,AC746+AD745))</f>
        <v>0</v>
      </c>
      <c r="AE746" s="236">
        <f t="shared" ref="AE746" si="4252">IF($I717="N/A",0,IF(AE728&gt;$I722,0,AD746+AE745))</f>
        <v>0</v>
      </c>
      <c r="AF746" s="236">
        <f t="shared" ref="AF746" si="4253">IF($I717="N/A",0,IF(AF728&gt;$I722,0,AE746+AF745))</f>
        <v>0</v>
      </c>
      <c r="AG746" s="236">
        <f t="shared" ref="AG746" si="4254">IF($I717="N/A",0,IF(AG728&gt;$I722,0,AF746+AG745))</f>
        <v>0</v>
      </c>
      <c r="AH746" s="236">
        <f t="shared" ref="AH746" si="4255">IF($I717="N/A",0,IF(AH728&gt;$I722,0,AG746+AH745))</f>
        <v>0</v>
      </c>
    </row>
  </sheetData>
  <sheetProtection algorithmName="SHA-512" hashValue="uJ92xoksvdmJBP8Hk6b9E9XrJzWsQZz26biZ2bDn3eiLnvVMW9IhXbllfsAq2hKwCm6rWbj27K8RcnvhVkadOA==" saltValue="QK1Jg9J87qYGCUfWs3ZTIQ==" spinCount="100000" sheet="1" objects="1" scenarios="1"/>
  <mergeCells count="631">
    <mergeCell ref="C570:D570"/>
    <mergeCell ref="C571:D571"/>
    <mergeCell ref="C474:D474"/>
    <mergeCell ref="C476:D476"/>
    <mergeCell ref="G476:H476"/>
    <mergeCell ref="F477:F478"/>
    <mergeCell ref="C478:D478"/>
    <mergeCell ref="C479:D479"/>
    <mergeCell ref="C480:D480"/>
    <mergeCell ref="C481:D481"/>
    <mergeCell ref="C485:D485"/>
    <mergeCell ref="C563:D563"/>
    <mergeCell ref="C568:D568"/>
    <mergeCell ref="C569:D569"/>
    <mergeCell ref="C558:D558"/>
    <mergeCell ref="C559:D559"/>
    <mergeCell ref="C560:D560"/>
    <mergeCell ref="C561:D561"/>
    <mergeCell ref="C562:D562"/>
    <mergeCell ref="C564:D564"/>
    <mergeCell ref="C565:D565"/>
    <mergeCell ref="C547:D547"/>
    <mergeCell ref="G547:H547"/>
    <mergeCell ref="G542:H542"/>
    <mergeCell ref="C441:D441"/>
    <mergeCell ref="G441:H441"/>
    <mergeCell ref="F442:F443"/>
    <mergeCell ref="C443:D443"/>
    <mergeCell ref="C444:D444"/>
    <mergeCell ref="C445:D445"/>
    <mergeCell ref="C446:D446"/>
    <mergeCell ref="C450:D450"/>
    <mergeCell ref="C459:D459"/>
    <mergeCell ref="C458:D458"/>
    <mergeCell ref="C442:D442"/>
    <mergeCell ref="G442:H442"/>
    <mergeCell ref="C386:D386"/>
    <mergeCell ref="C387:D387"/>
    <mergeCell ref="C388:D388"/>
    <mergeCell ref="C409:D409"/>
    <mergeCell ref="C410:D410"/>
    <mergeCell ref="C411:D411"/>
    <mergeCell ref="C415:D415"/>
    <mergeCell ref="C424:D424"/>
    <mergeCell ref="C425:D425"/>
    <mergeCell ref="C420:D420"/>
    <mergeCell ref="C421:D421"/>
    <mergeCell ref="C422:D422"/>
    <mergeCell ref="C423:D423"/>
    <mergeCell ref="C418:D418"/>
    <mergeCell ref="C419:D419"/>
    <mergeCell ref="C389:D389"/>
    <mergeCell ref="C390:D390"/>
    <mergeCell ref="C395:D395"/>
    <mergeCell ref="C396:D396"/>
    <mergeCell ref="C404:D404"/>
    <mergeCell ref="C406:D406"/>
    <mergeCell ref="C393:D393"/>
    <mergeCell ref="C394:D394"/>
    <mergeCell ref="C399:E399"/>
    <mergeCell ref="G406:H406"/>
    <mergeCell ref="F407:F408"/>
    <mergeCell ref="C408:D408"/>
    <mergeCell ref="C403:D403"/>
    <mergeCell ref="G403:H403"/>
    <mergeCell ref="C405:D405"/>
    <mergeCell ref="G405:H405"/>
    <mergeCell ref="C407:D407"/>
    <mergeCell ref="G407:H407"/>
    <mergeCell ref="C402:D402"/>
    <mergeCell ref="G402:H402"/>
    <mergeCell ref="C360:D360"/>
    <mergeCell ref="C361:D361"/>
    <mergeCell ref="C369:D369"/>
    <mergeCell ref="C371:D371"/>
    <mergeCell ref="G371:H371"/>
    <mergeCell ref="F372:F373"/>
    <mergeCell ref="C373:D373"/>
    <mergeCell ref="C374:D374"/>
    <mergeCell ref="C375:D375"/>
    <mergeCell ref="C383:D383"/>
    <mergeCell ref="C384:D384"/>
    <mergeCell ref="C385:D385"/>
    <mergeCell ref="C370:D370"/>
    <mergeCell ref="G370:H370"/>
    <mergeCell ref="C372:D372"/>
    <mergeCell ref="G372:H372"/>
    <mergeCell ref="C364:E364"/>
    <mergeCell ref="C367:D367"/>
    <mergeCell ref="G367:H367"/>
    <mergeCell ref="C368:D368"/>
    <mergeCell ref="G368:H368"/>
    <mergeCell ref="C376:D376"/>
    <mergeCell ref="C231:D231"/>
    <mergeCell ref="G231:H231"/>
    <mergeCell ref="F232:F233"/>
    <mergeCell ref="C233:D233"/>
    <mergeCell ref="C234:D234"/>
    <mergeCell ref="C235:D235"/>
    <mergeCell ref="C236:D236"/>
    <mergeCell ref="C240:D240"/>
    <mergeCell ref="C249:D249"/>
    <mergeCell ref="C248:D248"/>
    <mergeCell ref="C232:D232"/>
    <mergeCell ref="G232:H232"/>
    <mergeCell ref="C180:D180"/>
    <mergeCell ref="C185:D185"/>
    <mergeCell ref="C199:D199"/>
    <mergeCell ref="C200:D200"/>
    <mergeCell ref="C201:D201"/>
    <mergeCell ref="C205:D205"/>
    <mergeCell ref="C214:D214"/>
    <mergeCell ref="C215:D215"/>
    <mergeCell ref="C220:D220"/>
    <mergeCell ref="C210:D210"/>
    <mergeCell ref="C211:D211"/>
    <mergeCell ref="C212:D212"/>
    <mergeCell ref="C213:D213"/>
    <mergeCell ref="C208:D208"/>
    <mergeCell ref="C209:D209"/>
    <mergeCell ref="C197:D197"/>
    <mergeCell ref="C75:D75"/>
    <mergeCell ref="C78:D78"/>
    <mergeCell ref="F162:F163"/>
    <mergeCell ref="C163:D163"/>
    <mergeCell ref="C164:D164"/>
    <mergeCell ref="C165:D165"/>
    <mergeCell ref="C166:D166"/>
    <mergeCell ref="C170:D170"/>
    <mergeCell ref="C179:D179"/>
    <mergeCell ref="C158:D158"/>
    <mergeCell ref="G543:H543"/>
    <mergeCell ref="C545:D545"/>
    <mergeCell ref="G545:H545"/>
    <mergeCell ref="C544:D544"/>
    <mergeCell ref="C546:D546"/>
    <mergeCell ref="G546:H546"/>
    <mergeCell ref="F547:F548"/>
    <mergeCell ref="C548:D548"/>
    <mergeCell ref="C116:D116"/>
    <mergeCell ref="C131:D131"/>
    <mergeCell ref="C135:D135"/>
    <mergeCell ref="C145:D145"/>
    <mergeCell ref="C151:D151"/>
    <mergeCell ref="F127:F128"/>
    <mergeCell ref="C159:D159"/>
    <mergeCell ref="C129:D129"/>
    <mergeCell ref="C148:D148"/>
    <mergeCell ref="C154:E154"/>
    <mergeCell ref="C157:D157"/>
    <mergeCell ref="C143:D143"/>
    <mergeCell ref="C125:D125"/>
    <mergeCell ref="C149:D149"/>
    <mergeCell ref="C138:D138"/>
    <mergeCell ref="C139:D139"/>
    <mergeCell ref="C549:D549"/>
    <mergeCell ref="C550:D550"/>
    <mergeCell ref="C551:D551"/>
    <mergeCell ref="C555:D555"/>
    <mergeCell ref="C533:D533"/>
    <mergeCell ref="C534:D534"/>
    <mergeCell ref="C539:E539"/>
    <mergeCell ref="C542:D542"/>
    <mergeCell ref="C525:D525"/>
    <mergeCell ref="C526:D526"/>
    <mergeCell ref="C527:D527"/>
    <mergeCell ref="C528:D528"/>
    <mergeCell ref="C529:D529"/>
    <mergeCell ref="C530:D530"/>
    <mergeCell ref="C535:D535"/>
    <mergeCell ref="C536:D536"/>
    <mergeCell ref="C543:D543"/>
    <mergeCell ref="C523:D523"/>
    <mergeCell ref="C524:D524"/>
    <mergeCell ref="C508:D508"/>
    <mergeCell ref="G508:H508"/>
    <mergeCell ref="C510:D510"/>
    <mergeCell ref="G510:H510"/>
    <mergeCell ref="C512:D512"/>
    <mergeCell ref="G512:H512"/>
    <mergeCell ref="C509:D509"/>
    <mergeCell ref="C511:D511"/>
    <mergeCell ref="G511:H511"/>
    <mergeCell ref="F512:F513"/>
    <mergeCell ref="C513:D513"/>
    <mergeCell ref="C514:D514"/>
    <mergeCell ref="C515:D515"/>
    <mergeCell ref="C516:D516"/>
    <mergeCell ref="C520:D520"/>
    <mergeCell ref="C498:D498"/>
    <mergeCell ref="C499:D499"/>
    <mergeCell ref="C504:E504"/>
    <mergeCell ref="C507:D507"/>
    <mergeCell ref="G507:H507"/>
    <mergeCell ref="C491:D491"/>
    <mergeCell ref="C492:D492"/>
    <mergeCell ref="C493:D493"/>
    <mergeCell ref="C494:D494"/>
    <mergeCell ref="C495:D495"/>
    <mergeCell ref="C500:D500"/>
    <mergeCell ref="C501:D501"/>
    <mergeCell ref="C488:D488"/>
    <mergeCell ref="C489:D489"/>
    <mergeCell ref="C490:D490"/>
    <mergeCell ref="C475:D475"/>
    <mergeCell ref="G475:H475"/>
    <mergeCell ref="C477:D477"/>
    <mergeCell ref="G477:H477"/>
    <mergeCell ref="C469:E469"/>
    <mergeCell ref="C472:D472"/>
    <mergeCell ref="G472:H472"/>
    <mergeCell ref="C473:D473"/>
    <mergeCell ref="G473:H473"/>
    <mergeCell ref="C463:D463"/>
    <mergeCell ref="C464:D464"/>
    <mergeCell ref="C460:D460"/>
    <mergeCell ref="C465:D465"/>
    <mergeCell ref="C466:D466"/>
    <mergeCell ref="C453:D453"/>
    <mergeCell ref="C454:D454"/>
    <mergeCell ref="C455:D455"/>
    <mergeCell ref="C456:D456"/>
    <mergeCell ref="C457:D457"/>
    <mergeCell ref="G437:H437"/>
    <mergeCell ref="C438:D438"/>
    <mergeCell ref="G438:H438"/>
    <mergeCell ref="C440:D440"/>
    <mergeCell ref="G440:H440"/>
    <mergeCell ref="C428:D428"/>
    <mergeCell ref="C429:D429"/>
    <mergeCell ref="C434:E434"/>
    <mergeCell ref="C437:D437"/>
    <mergeCell ref="C430:D430"/>
    <mergeCell ref="C431:D431"/>
    <mergeCell ref="C439:D439"/>
    <mergeCell ref="C380:D380"/>
    <mergeCell ref="C353:D353"/>
    <mergeCell ref="C358:D358"/>
    <mergeCell ref="C359:D359"/>
    <mergeCell ref="C348:D348"/>
    <mergeCell ref="C349:D349"/>
    <mergeCell ref="C350:D350"/>
    <mergeCell ref="C351:D351"/>
    <mergeCell ref="C352:D352"/>
    <mergeCell ref="C354:D354"/>
    <mergeCell ref="C355:D355"/>
    <mergeCell ref="G337:H337"/>
    <mergeCell ref="G332:H332"/>
    <mergeCell ref="C333:D333"/>
    <mergeCell ref="G333:H333"/>
    <mergeCell ref="C335:D335"/>
    <mergeCell ref="G335:H335"/>
    <mergeCell ref="C334:D334"/>
    <mergeCell ref="C336:D336"/>
    <mergeCell ref="G336:H336"/>
    <mergeCell ref="F337:F338"/>
    <mergeCell ref="C338:D338"/>
    <mergeCell ref="C339:D339"/>
    <mergeCell ref="C340:D340"/>
    <mergeCell ref="C341:D341"/>
    <mergeCell ref="C345:D345"/>
    <mergeCell ref="C323:D323"/>
    <mergeCell ref="C324:D324"/>
    <mergeCell ref="C329:E329"/>
    <mergeCell ref="C332:D332"/>
    <mergeCell ref="C315:D315"/>
    <mergeCell ref="C316:D316"/>
    <mergeCell ref="C317:D317"/>
    <mergeCell ref="C318:D318"/>
    <mergeCell ref="C319:D319"/>
    <mergeCell ref="C320:D320"/>
    <mergeCell ref="C325:D325"/>
    <mergeCell ref="C326:D326"/>
    <mergeCell ref="C337:D337"/>
    <mergeCell ref="C313:D313"/>
    <mergeCell ref="C314:D314"/>
    <mergeCell ref="C298:D298"/>
    <mergeCell ref="G298:H298"/>
    <mergeCell ref="C300:D300"/>
    <mergeCell ref="G300:H300"/>
    <mergeCell ref="C302:D302"/>
    <mergeCell ref="G302:H302"/>
    <mergeCell ref="C299:D299"/>
    <mergeCell ref="C301:D301"/>
    <mergeCell ref="G301:H301"/>
    <mergeCell ref="F302:F303"/>
    <mergeCell ref="C303:D303"/>
    <mergeCell ref="C304:D304"/>
    <mergeCell ref="C305:D305"/>
    <mergeCell ref="C306:D306"/>
    <mergeCell ref="C310:D310"/>
    <mergeCell ref="C288:D288"/>
    <mergeCell ref="C289:D289"/>
    <mergeCell ref="C294:E294"/>
    <mergeCell ref="C297:D297"/>
    <mergeCell ref="G297:H297"/>
    <mergeCell ref="C281:D281"/>
    <mergeCell ref="C282:D282"/>
    <mergeCell ref="C283:D283"/>
    <mergeCell ref="C284:D284"/>
    <mergeCell ref="C285:D285"/>
    <mergeCell ref="C290:D290"/>
    <mergeCell ref="C291:D291"/>
    <mergeCell ref="C278:D278"/>
    <mergeCell ref="C279:D279"/>
    <mergeCell ref="C280:D280"/>
    <mergeCell ref="C265:D265"/>
    <mergeCell ref="G265:H265"/>
    <mergeCell ref="C267:D267"/>
    <mergeCell ref="G267:H267"/>
    <mergeCell ref="C259:E259"/>
    <mergeCell ref="C262:D262"/>
    <mergeCell ref="G262:H262"/>
    <mergeCell ref="C263:D263"/>
    <mergeCell ref="G263:H263"/>
    <mergeCell ref="C264:D264"/>
    <mergeCell ref="C266:D266"/>
    <mergeCell ref="G266:H266"/>
    <mergeCell ref="F267:F268"/>
    <mergeCell ref="C268:D268"/>
    <mergeCell ref="C269:D269"/>
    <mergeCell ref="C270:D270"/>
    <mergeCell ref="C271:D271"/>
    <mergeCell ref="C275:D275"/>
    <mergeCell ref="C253:D253"/>
    <mergeCell ref="C254:D254"/>
    <mergeCell ref="C250:D250"/>
    <mergeCell ref="C255:D255"/>
    <mergeCell ref="C256:D256"/>
    <mergeCell ref="C243:D243"/>
    <mergeCell ref="C244:D244"/>
    <mergeCell ref="C245:D245"/>
    <mergeCell ref="C246:D246"/>
    <mergeCell ref="C247:D247"/>
    <mergeCell ref="G227:H227"/>
    <mergeCell ref="C228:D228"/>
    <mergeCell ref="G228:H228"/>
    <mergeCell ref="C230:D230"/>
    <mergeCell ref="G230:H230"/>
    <mergeCell ref="C218:D218"/>
    <mergeCell ref="C219:D219"/>
    <mergeCell ref="C224:E224"/>
    <mergeCell ref="C227:D227"/>
    <mergeCell ref="C221:D221"/>
    <mergeCell ref="C229:D229"/>
    <mergeCell ref="G197:H197"/>
    <mergeCell ref="C189:E189"/>
    <mergeCell ref="C192:D192"/>
    <mergeCell ref="G192:H192"/>
    <mergeCell ref="C183:D183"/>
    <mergeCell ref="C184:D184"/>
    <mergeCell ref="C186:D186"/>
    <mergeCell ref="C194:D194"/>
    <mergeCell ref="C196:D196"/>
    <mergeCell ref="G196:H196"/>
    <mergeCell ref="F197:F198"/>
    <mergeCell ref="C198:D198"/>
    <mergeCell ref="C193:D193"/>
    <mergeCell ref="G193:H193"/>
    <mergeCell ref="C195:D195"/>
    <mergeCell ref="G195:H195"/>
    <mergeCell ref="G161:H161"/>
    <mergeCell ref="C175:D175"/>
    <mergeCell ref="C176:D176"/>
    <mergeCell ref="C177:D177"/>
    <mergeCell ref="C178:D178"/>
    <mergeCell ref="C173:D173"/>
    <mergeCell ref="C174:D174"/>
    <mergeCell ref="C162:D162"/>
    <mergeCell ref="G162:H162"/>
    <mergeCell ref="C161:D161"/>
    <mergeCell ref="G158:H158"/>
    <mergeCell ref="C150:D150"/>
    <mergeCell ref="C160:D160"/>
    <mergeCell ref="G160:H160"/>
    <mergeCell ref="C80:D80"/>
    <mergeCell ref="C81:D81"/>
    <mergeCell ref="C106:D106"/>
    <mergeCell ref="C114:D114"/>
    <mergeCell ref="C115:D115"/>
    <mergeCell ref="C128:D128"/>
    <mergeCell ref="C130:D130"/>
    <mergeCell ref="C144:D144"/>
    <mergeCell ref="G125:H125"/>
    <mergeCell ref="C127:D127"/>
    <mergeCell ref="G127:H127"/>
    <mergeCell ref="C119:E119"/>
    <mergeCell ref="C122:D122"/>
    <mergeCell ref="G122:H122"/>
    <mergeCell ref="C123:D123"/>
    <mergeCell ref="G123:H123"/>
    <mergeCell ref="C124:D124"/>
    <mergeCell ref="C126:D126"/>
    <mergeCell ref="G126:H126"/>
    <mergeCell ref="G90:H90"/>
    <mergeCell ref="G92:H92"/>
    <mergeCell ref="G87:H87"/>
    <mergeCell ref="G88:H88"/>
    <mergeCell ref="G91:H91"/>
    <mergeCell ref="C93:D93"/>
    <mergeCell ref="C95:D95"/>
    <mergeCell ref="C109:D109"/>
    <mergeCell ref="G157:H157"/>
    <mergeCell ref="F92:F93"/>
    <mergeCell ref="C140:D140"/>
    <mergeCell ref="C141:D141"/>
    <mergeCell ref="C142:D142"/>
    <mergeCell ref="C69:D69"/>
    <mergeCell ref="C70:D70"/>
    <mergeCell ref="C71:D71"/>
    <mergeCell ref="C72:D72"/>
    <mergeCell ref="C73:D73"/>
    <mergeCell ref="C113:D113"/>
    <mergeCell ref="C104:D104"/>
    <mergeCell ref="C105:D105"/>
    <mergeCell ref="C103:D103"/>
    <mergeCell ref="C90:D90"/>
    <mergeCell ref="C107:D107"/>
    <mergeCell ref="C108:D108"/>
    <mergeCell ref="C92:D92"/>
    <mergeCell ref="C84:E84"/>
    <mergeCell ref="C87:D87"/>
    <mergeCell ref="C88:D88"/>
    <mergeCell ref="C89:D89"/>
    <mergeCell ref="C91:D91"/>
    <mergeCell ref="C94:D94"/>
    <mergeCell ref="C96:D96"/>
    <mergeCell ref="C100:D100"/>
    <mergeCell ref="C110:D110"/>
    <mergeCell ref="C79:D79"/>
    <mergeCell ref="C74:D74"/>
    <mergeCell ref="C55:D55"/>
    <mergeCell ref="G55:H55"/>
    <mergeCell ref="C57:D57"/>
    <mergeCell ref="G57:H57"/>
    <mergeCell ref="C68:D68"/>
    <mergeCell ref="C65:D65"/>
    <mergeCell ref="C49:E49"/>
    <mergeCell ref="C52:D52"/>
    <mergeCell ref="G52:H52"/>
    <mergeCell ref="C53:D53"/>
    <mergeCell ref="G53:H53"/>
    <mergeCell ref="G56:H56"/>
    <mergeCell ref="C54:D54"/>
    <mergeCell ref="C56:D56"/>
    <mergeCell ref="C61:D61"/>
    <mergeCell ref="C58:D58"/>
    <mergeCell ref="C60:D60"/>
    <mergeCell ref="C59:D59"/>
    <mergeCell ref="F57:F58"/>
    <mergeCell ref="C43:D43"/>
    <mergeCell ref="C44:D44"/>
    <mergeCell ref="C45:D45"/>
    <mergeCell ref="C46:D46"/>
    <mergeCell ref="C25:D25"/>
    <mergeCell ref="C27:D27"/>
    <mergeCell ref="C26:D26"/>
    <mergeCell ref="C41:D41"/>
    <mergeCell ref="C42:D42"/>
    <mergeCell ref="C30:D30"/>
    <mergeCell ref="C32:D32"/>
    <mergeCell ref="C33:D33"/>
    <mergeCell ref="C34:D34"/>
    <mergeCell ref="C35:D35"/>
    <mergeCell ref="C36:D36"/>
    <mergeCell ref="C37:D37"/>
    <mergeCell ref="P2:S2"/>
    <mergeCell ref="B3:E3"/>
    <mergeCell ref="P3:S3"/>
    <mergeCell ref="C24:D24"/>
    <mergeCell ref="C23:D23"/>
    <mergeCell ref="C22:D22"/>
    <mergeCell ref="C8:D8"/>
    <mergeCell ref="C11:D11"/>
    <mergeCell ref="B2:E2"/>
    <mergeCell ref="C13:D13"/>
    <mergeCell ref="C14:D14"/>
    <mergeCell ref="C16:D16"/>
    <mergeCell ref="C17:D17"/>
    <mergeCell ref="C15:D15"/>
    <mergeCell ref="C18:D18"/>
    <mergeCell ref="C574:E574"/>
    <mergeCell ref="C577:D577"/>
    <mergeCell ref="G577:H577"/>
    <mergeCell ref="C578:D578"/>
    <mergeCell ref="G578:H578"/>
    <mergeCell ref="C579:D579"/>
    <mergeCell ref="C580:D580"/>
    <mergeCell ref="G580:H580"/>
    <mergeCell ref="C581:D581"/>
    <mergeCell ref="G581:H581"/>
    <mergeCell ref="C582:D582"/>
    <mergeCell ref="F582:F583"/>
    <mergeCell ref="G582:H582"/>
    <mergeCell ref="C583:D583"/>
    <mergeCell ref="C584:D584"/>
    <mergeCell ref="C585:D585"/>
    <mergeCell ref="C586:D586"/>
    <mergeCell ref="C590:D590"/>
    <mergeCell ref="C593:D593"/>
    <mergeCell ref="C594:D594"/>
    <mergeCell ref="C595:D595"/>
    <mergeCell ref="C596:D596"/>
    <mergeCell ref="C597:D597"/>
    <mergeCell ref="C598:D598"/>
    <mergeCell ref="C599:D599"/>
    <mergeCell ref="C600:D600"/>
    <mergeCell ref="C603:D603"/>
    <mergeCell ref="C604:D604"/>
    <mergeCell ref="C605:D605"/>
    <mergeCell ref="C606:D606"/>
    <mergeCell ref="C609:E609"/>
    <mergeCell ref="C612:D612"/>
    <mergeCell ref="G612:H612"/>
    <mergeCell ref="C613:D613"/>
    <mergeCell ref="G613:H613"/>
    <mergeCell ref="C614:D614"/>
    <mergeCell ref="C615:D615"/>
    <mergeCell ref="G615:H615"/>
    <mergeCell ref="C616:D616"/>
    <mergeCell ref="G616:H616"/>
    <mergeCell ref="C617:D617"/>
    <mergeCell ref="F617:F618"/>
    <mergeCell ref="G617:H617"/>
    <mergeCell ref="C618:D618"/>
    <mergeCell ref="C619:D619"/>
    <mergeCell ref="C620:D620"/>
    <mergeCell ref="C621:D621"/>
    <mergeCell ref="C625:D625"/>
    <mergeCell ref="C628:D628"/>
    <mergeCell ref="C629:D629"/>
    <mergeCell ref="C630:D630"/>
    <mergeCell ref="C631:D631"/>
    <mergeCell ref="C632:D632"/>
    <mergeCell ref="C633:D633"/>
    <mergeCell ref="C634:D634"/>
    <mergeCell ref="C635:D635"/>
    <mergeCell ref="C638:D638"/>
    <mergeCell ref="C639:D639"/>
    <mergeCell ref="C640:D640"/>
    <mergeCell ref="C641:D641"/>
    <mergeCell ref="C644:E644"/>
    <mergeCell ref="C647:D647"/>
    <mergeCell ref="G647:H647"/>
    <mergeCell ref="C648:D648"/>
    <mergeCell ref="G648:H648"/>
    <mergeCell ref="C649:D649"/>
    <mergeCell ref="C650:D650"/>
    <mergeCell ref="G650:H650"/>
    <mergeCell ref="C651:D651"/>
    <mergeCell ref="G651:H651"/>
    <mergeCell ref="C652:D652"/>
    <mergeCell ref="F652:F653"/>
    <mergeCell ref="G652:H652"/>
    <mergeCell ref="C653:D653"/>
    <mergeCell ref="C654:D654"/>
    <mergeCell ref="C655:D655"/>
    <mergeCell ref="C656:D656"/>
    <mergeCell ref="C660:D660"/>
    <mergeCell ref="C663:D663"/>
    <mergeCell ref="C664:D664"/>
    <mergeCell ref="C665:D665"/>
    <mergeCell ref="C666:D666"/>
    <mergeCell ref="C667:D667"/>
    <mergeCell ref="C668:D668"/>
    <mergeCell ref="C669:D669"/>
    <mergeCell ref="C670:D670"/>
    <mergeCell ref="C673:D673"/>
    <mergeCell ref="C674:D674"/>
    <mergeCell ref="C675:D675"/>
    <mergeCell ref="C676:D676"/>
    <mergeCell ref="C679:E679"/>
    <mergeCell ref="C682:D682"/>
    <mergeCell ref="G682:H682"/>
    <mergeCell ref="C683:D683"/>
    <mergeCell ref="G683:H683"/>
    <mergeCell ref="C684:D684"/>
    <mergeCell ref="C685:D685"/>
    <mergeCell ref="G685:H685"/>
    <mergeCell ref="C686:D686"/>
    <mergeCell ref="G686:H686"/>
    <mergeCell ref="C687:D687"/>
    <mergeCell ref="F687:F688"/>
    <mergeCell ref="G687:H687"/>
    <mergeCell ref="C688:D688"/>
    <mergeCell ref="C689:D689"/>
    <mergeCell ref="C690:D690"/>
    <mergeCell ref="C691:D691"/>
    <mergeCell ref="C695:D695"/>
    <mergeCell ref="C698:D698"/>
    <mergeCell ref="C699:D699"/>
    <mergeCell ref="C700:D700"/>
    <mergeCell ref="C701:D701"/>
    <mergeCell ref="C702:D702"/>
    <mergeCell ref="C703:D703"/>
    <mergeCell ref="C704:D704"/>
    <mergeCell ref="C705:D705"/>
    <mergeCell ref="C708:D708"/>
    <mergeCell ref="C709:D709"/>
    <mergeCell ref="C710:D710"/>
    <mergeCell ref="C711:D711"/>
    <mergeCell ref="C714:E714"/>
    <mergeCell ref="C717:D717"/>
    <mergeCell ref="G717:H717"/>
    <mergeCell ref="C718:D718"/>
    <mergeCell ref="G718:H718"/>
    <mergeCell ref="C719:D719"/>
    <mergeCell ref="C720:D720"/>
    <mergeCell ref="G720:H720"/>
    <mergeCell ref="C721:D721"/>
    <mergeCell ref="G721:H721"/>
    <mergeCell ref="C722:D722"/>
    <mergeCell ref="F722:F723"/>
    <mergeCell ref="G722:H722"/>
    <mergeCell ref="C723:D723"/>
    <mergeCell ref="C738:D738"/>
    <mergeCell ref="C739:D739"/>
    <mergeCell ref="C740:D740"/>
    <mergeCell ref="C743:D743"/>
    <mergeCell ref="C744:D744"/>
    <mergeCell ref="C745:D745"/>
    <mergeCell ref="C746:D746"/>
    <mergeCell ref="C724:D724"/>
    <mergeCell ref="C725:D725"/>
    <mergeCell ref="C726:D726"/>
    <mergeCell ref="C730:D730"/>
    <mergeCell ref="C733:D733"/>
    <mergeCell ref="C734:D734"/>
    <mergeCell ref="C735:D735"/>
    <mergeCell ref="C736:D736"/>
    <mergeCell ref="C737:D737"/>
  </mergeCells>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BBBD-966B-477A-806F-63275B95438B}">
  <sheetPr>
    <pageSetUpPr autoPageBreaks="0" fitToPage="1"/>
  </sheetPr>
  <dimension ref="A1:L37"/>
  <sheetViews>
    <sheetView showWhiteSpace="0" zoomScale="85" zoomScaleNormal="85" workbookViewId="0">
      <selection activeCell="G16" sqref="G16"/>
    </sheetView>
  </sheetViews>
  <sheetFormatPr defaultColWidth="0" defaultRowHeight="14.25" zeroHeight="1" x14ac:dyDescent="0.2"/>
  <cols>
    <col min="1" max="1" width="2.625" style="1" customWidth="1"/>
    <col min="2" max="2" width="0.625" style="1" customWidth="1"/>
    <col min="3" max="10" width="13.125" style="1" customWidth="1"/>
    <col min="11" max="11" width="0.625" style="1" customWidth="1"/>
    <col min="12" max="12" width="2.625" style="1" customWidth="1"/>
    <col min="13" max="16384" width="8.875" style="1" hidden="1"/>
  </cols>
  <sheetData>
    <row r="1" spans="2:11" ht="55.5" customHeight="1" x14ac:dyDescent="0.2"/>
    <row r="2" spans="2:11" ht="25.5" customHeight="1" x14ac:dyDescent="0.2">
      <c r="B2" s="1211" t="s">
        <v>200</v>
      </c>
      <c r="C2" s="1212"/>
      <c r="D2" s="1212"/>
      <c r="E2" s="1212"/>
      <c r="F2" s="1212"/>
      <c r="G2" s="1217" t="str">
        <f>CONCATENATE(IF(Instructions!$K$2="","",Instructions!$K$2)," ",IF(Details!$E$11="","",Details!$E$11))</f>
        <v>2026 9% LIHTC AHFA Proposal Application</v>
      </c>
      <c r="H2" s="1217"/>
      <c r="I2" s="1217"/>
      <c r="J2" s="1218"/>
    </row>
    <row r="3" spans="2:11" ht="20.25" customHeight="1" x14ac:dyDescent="0.2">
      <c r="B3" s="1166" t="s">
        <v>437</v>
      </c>
      <c r="C3" s="1167"/>
      <c r="D3" s="1167"/>
      <c r="E3" s="1167"/>
      <c r="F3" s="1167"/>
      <c r="G3" s="1219" t="str">
        <f>IF(Details!$E$12="","",CONCATENATE("Project Name: ",Details!$E$12))</f>
        <v/>
      </c>
      <c r="H3" s="1219"/>
      <c r="I3" s="1219"/>
      <c r="J3" s="1220"/>
    </row>
    <row r="4" spans="2:11" x14ac:dyDescent="0.2"/>
    <row r="5" spans="2:11" x14ac:dyDescent="0.2"/>
    <row r="6" spans="2:11" ht="15" x14ac:dyDescent="0.2">
      <c r="B6" s="1281" t="s">
        <v>2484</v>
      </c>
      <c r="C6" s="1281"/>
      <c r="D6" s="1281"/>
      <c r="E6" s="147"/>
      <c r="F6" s="147"/>
      <c r="G6" s="147"/>
      <c r="H6" s="147"/>
      <c r="I6" s="147"/>
      <c r="J6" s="147"/>
      <c r="K6" s="147"/>
    </row>
    <row r="7" spans="2:11" ht="3" customHeight="1" x14ac:dyDescent="0.2">
      <c r="B7" s="1312"/>
      <c r="C7" s="1312"/>
      <c r="D7" s="1312"/>
      <c r="E7" s="1312"/>
      <c r="F7" s="1312"/>
      <c r="G7" s="1312"/>
      <c r="H7" s="1312"/>
      <c r="I7" s="1312"/>
      <c r="J7" s="1312"/>
    </row>
    <row r="8" spans="2:11" x14ac:dyDescent="0.2"/>
    <row r="9" spans="2:11" x14ac:dyDescent="0.2">
      <c r="C9" s="1148" t="s">
        <v>2485</v>
      </c>
      <c r="D9" s="1148"/>
      <c r="E9" s="1148"/>
      <c r="F9" s="1148"/>
      <c r="G9" s="1148"/>
      <c r="H9" s="1148"/>
      <c r="I9" s="1148"/>
      <c r="J9" s="1148"/>
    </row>
    <row r="10" spans="2:11" x14ac:dyDescent="0.2">
      <c r="C10" s="1148"/>
      <c r="D10" s="1148"/>
      <c r="E10" s="1148"/>
      <c r="F10" s="1148"/>
      <c r="G10" s="1148"/>
      <c r="H10" s="1148"/>
      <c r="I10" s="1148"/>
      <c r="J10" s="1148"/>
    </row>
    <row r="11" spans="2:11" x14ac:dyDescent="0.2">
      <c r="C11" s="1148"/>
      <c r="D11" s="1148"/>
      <c r="E11" s="1148"/>
      <c r="F11" s="1148"/>
      <c r="G11" s="1148"/>
      <c r="H11" s="1148"/>
      <c r="I11" s="1148"/>
      <c r="J11" s="1148"/>
    </row>
    <row r="12" spans="2:11" x14ac:dyDescent="0.2"/>
    <row r="13" spans="2:11" x14ac:dyDescent="0.2">
      <c r="C13" s="1149" t="s">
        <v>2489</v>
      </c>
      <c r="D13" s="1204"/>
      <c r="E13" s="1262"/>
      <c r="F13" s="1262"/>
    </row>
    <row r="14" spans="2:11" x14ac:dyDescent="0.2">
      <c r="C14" s="1149" t="s">
        <v>2493</v>
      </c>
      <c r="D14" s="1204"/>
      <c r="E14" s="328">
        <f>IF(AND(Details!$E$21&lt;&gt;"Tenant Populations with Special Housing Needs",OR(LIHTCs!$G$27=0.09,LIHTCs!$H$27=0.09)),1750000,IF(AND(Details!$E$21="Tenant Populations with Special Housing Needs",OR(LIHTCs!$G$27=0.09,LIHTCs!$H$27=0.09)),2500000,IF(SUM(Sources!$G$44:$G$47,Sources!G37)&gt;0,2500000,2500000)))</f>
        <v>1750000</v>
      </c>
    </row>
    <row r="15" spans="2:11" x14ac:dyDescent="0.2">
      <c r="C15" s="1149" t="s">
        <v>2486</v>
      </c>
      <c r="D15" s="1204"/>
      <c r="E15" s="357"/>
    </row>
    <row r="16" spans="2:11" x14ac:dyDescent="0.2">
      <c r="C16" s="1149" t="s">
        <v>2491</v>
      </c>
      <c r="D16" s="1204"/>
      <c r="E16" s="652">
        <f>IF(E13="Construction to Perm",0.025,0.0225)</f>
        <v>2.2499999999999999E-2</v>
      </c>
    </row>
    <row r="17" spans="2:10" x14ac:dyDescent="0.2">
      <c r="C17" s="1149" t="s">
        <v>2494</v>
      </c>
      <c r="D17" s="1204"/>
      <c r="E17" s="653" t="str">
        <f>IF(E13="Construction to Perm",5,"N/A")</f>
        <v>N/A</v>
      </c>
      <c r="F17" s="658"/>
    </row>
    <row r="18" spans="2:10" x14ac:dyDescent="0.2">
      <c r="C18" s="1149" t="s">
        <v>2495</v>
      </c>
      <c r="D18" s="1204"/>
      <c r="E18" s="653">
        <v>10</v>
      </c>
    </row>
    <row r="19" spans="2:10" x14ac:dyDescent="0.2">
      <c r="C19" s="1149" t="s">
        <v>2487</v>
      </c>
      <c r="D19" s="1204"/>
      <c r="E19" s="355"/>
    </row>
    <row r="20" spans="2:10" x14ac:dyDescent="0.2">
      <c r="C20" s="1149" t="s">
        <v>2492</v>
      </c>
      <c r="D20" s="1204"/>
      <c r="E20" s="355"/>
    </row>
    <row r="21" spans="2:10" x14ac:dyDescent="0.2">
      <c r="C21" s="1149" t="s">
        <v>2518</v>
      </c>
      <c r="D21" s="1204"/>
      <c r="E21" s="685"/>
    </row>
    <row r="22" spans="2:10" x14ac:dyDescent="0.2">
      <c r="C22" s="1149" t="s">
        <v>2488</v>
      </c>
      <c r="D22" s="1204"/>
      <c r="E22" s="1188"/>
      <c r="F22" s="1189"/>
    </row>
    <row r="23" spans="2:10" x14ac:dyDescent="0.2"/>
    <row r="24" spans="2:10" x14ac:dyDescent="0.2"/>
    <row r="25" spans="2:10" ht="15" hidden="1" x14ac:dyDescent="0.2">
      <c r="B25" s="1281" t="s">
        <v>2490</v>
      </c>
      <c r="C25" s="1281"/>
      <c r="D25" s="1281"/>
      <c r="E25" s="147"/>
      <c r="F25" s="147"/>
      <c r="G25" s="147"/>
      <c r="H25" s="147"/>
      <c r="I25" s="147"/>
      <c r="J25" s="147"/>
    </row>
    <row r="26" spans="2:10" ht="3" hidden="1" customHeight="1" x14ac:dyDescent="0.2">
      <c r="B26" s="1312"/>
      <c r="C26" s="1312"/>
      <c r="D26" s="1312"/>
      <c r="E26" s="1312"/>
      <c r="F26" s="1312"/>
      <c r="G26" s="1312"/>
      <c r="H26" s="1312"/>
      <c r="I26" s="1312"/>
      <c r="J26" s="1312"/>
    </row>
    <row r="28" spans="2:10" ht="30" hidden="1" customHeight="1" x14ac:dyDescent="0.2">
      <c r="C28" s="375" t="s">
        <v>2504</v>
      </c>
      <c r="D28" s="375" t="s">
        <v>2505</v>
      </c>
      <c r="E28" s="375" t="s">
        <v>2506</v>
      </c>
      <c r="F28" s="375" t="s">
        <v>2507</v>
      </c>
      <c r="G28" s="375" t="s">
        <v>2508</v>
      </c>
      <c r="H28" s="375" t="s">
        <v>2191</v>
      </c>
      <c r="I28" s="375" t="s">
        <v>2509</v>
      </c>
    </row>
    <row r="29" spans="2:10" hidden="1" x14ac:dyDescent="0.2">
      <c r="C29" s="78" t="s">
        <v>2510</v>
      </c>
      <c r="D29" s="656" t="str">
        <f>IF(Details!F160="","",Details!F160)</f>
        <v/>
      </c>
      <c r="E29" s="655">
        <f>E15</f>
        <v>0</v>
      </c>
      <c r="F29" s="657"/>
      <c r="G29" s="657"/>
      <c r="H29" s="657"/>
      <c r="I29" s="657"/>
    </row>
    <row r="30" spans="2:10" hidden="1" x14ac:dyDescent="0.2">
      <c r="C30" s="654">
        <v>1</v>
      </c>
      <c r="D30" s="656" t="str">
        <f>IFERROR(EDATE(D29,36),"")</f>
        <v/>
      </c>
      <c r="E30" s="655">
        <f>E29</f>
        <v>0</v>
      </c>
      <c r="F30" s="655" t="str">
        <f>IFERROR(-PPMT($E$16,C30,$E$20,$E$15),"")</f>
        <v/>
      </c>
      <c r="G30" s="655" t="str">
        <f>IFERROR(-IPMT($E$16,C30,$E$20,$E$15),"")</f>
        <v/>
      </c>
      <c r="H30" s="655">
        <f>SUM(F30:G30)</f>
        <v>0</v>
      </c>
      <c r="I30" s="655" t="str">
        <f>IFERROR(E30-F30,"")</f>
        <v/>
      </c>
    </row>
    <row r="31" spans="2:10" hidden="1" x14ac:dyDescent="0.2">
      <c r="C31" s="654">
        <v>2</v>
      </c>
      <c r="D31" s="656" t="str">
        <f>IFERROR(EDATE(D30,12),"")</f>
        <v/>
      </c>
      <c r="E31" s="655" t="str">
        <f>I30</f>
        <v/>
      </c>
      <c r="F31" s="655" t="str">
        <f t="shared" ref="F31:F37" si="0">IFERROR(-PPMT($E$16,C31,$E$20,$E$15),"")</f>
        <v/>
      </c>
      <c r="G31" s="655" t="str">
        <f t="shared" ref="G31:G37" si="1">IFERROR(-IPMT($E$16,C31,$E$20,$E$15),"")</f>
        <v/>
      </c>
      <c r="H31" s="655">
        <f t="shared" ref="H31:H37" si="2">SUM(F31:G31)</f>
        <v>0</v>
      </c>
      <c r="I31" s="655" t="str">
        <f t="shared" ref="I31:I37" si="3">IFERROR(E31-F31,"")</f>
        <v/>
      </c>
    </row>
    <row r="32" spans="2:10" hidden="1" x14ac:dyDescent="0.2">
      <c r="C32" s="654">
        <v>3</v>
      </c>
      <c r="D32" s="656" t="str">
        <f t="shared" ref="D32:D37" si="4">IFERROR(EDATE(D31,12),"")</f>
        <v/>
      </c>
      <c r="E32" s="655" t="str">
        <f t="shared" ref="E32:E37" si="5">I31</f>
        <v/>
      </c>
      <c r="F32" s="655" t="str">
        <f t="shared" si="0"/>
        <v/>
      </c>
      <c r="G32" s="655" t="str">
        <f t="shared" si="1"/>
        <v/>
      </c>
      <c r="H32" s="655">
        <f t="shared" si="2"/>
        <v>0</v>
      </c>
      <c r="I32" s="655" t="str">
        <f t="shared" si="3"/>
        <v/>
      </c>
    </row>
    <row r="33" spans="3:9" hidden="1" x14ac:dyDescent="0.2">
      <c r="C33" s="654">
        <v>4</v>
      </c>
      <c r="D33" s="656" t="str">
        <f t="shared" si="4"/>
        <v/>
      </c>
      <c r="E33" s="655" t="str">
        <f t="shared" si="5"/>
        <v/>
      </c>
      <c r="F33" s="655" t="str">
        <f t="shared" si="0"/>
        <v/>
      </c>
      <c r="G33" s="655" t="str">
        <f t="shared" si="1"/>
        <v/>
      </c>
      <c r="H33" s="655">
        <f t="shared" si="2"/>
        <v>0</v>
      </c>
      <c r="I33" s="655" t="str">
        <f t="shared" si="3"/>
        <v/>
      </c>
    </row>
    <row r="34" spans="3:9" hidden="1" x14ac:dyDescent="0.2">
      <c r="C34" s="654">
        <v>5</v>
      </c>
      <c r="D34" s="656" t="str">
        <f t="shared" si="4"/>
        <v/>
      </c>
      <c r="E34" s="655" t="str">
        <f t="shared" si="5"/>
        <v/>
      </c>
      <c r="F34" s="655" t="str">
        <f t="shared" si="0"/>
        <v/>
      </c>
      <c r="G34" s="655" t="str">
        <f t="shared" si="1"/>
        <v/>
      </c>
      <c r="H34" s="655">
        <f t="shared" si="2"/>
        <v>0</v>
      </c>
      <c r="I34" s="655" t="str">
        <f t="shared" si="3"/>
        <v/>
      </c>
    </row>
    <row r="35" spans="3:9" hidden="1" x14ac:dyDescent="0.2">
      <c r="C35" s="654">
        <v>6</v>
      </c>
      <c r="D35" s="656" t="str">
        <f t="shared" si="4"/>
        <v/>
      </c>
      <c r="E35" s="655" t="str">
        <f t="shared" si="5"/>
        <v/>
      </c>
      <c r="F35" s="655" t="str">
        <f t="shared" si="0"/>
        <v/>
      </c>
      <c r="G35" s="655" t="str">
        <f t="shared" si="1"/>
        <v/>
      </c>
      <c r="H35" s="655">
        <f t="shared" si="2"/>
        <v>0</v>
      </c>
      <c r="I35" s="655" t="str">
        <f t="shared" si="3"/>
        <v/>
      </c>
    </row>
    <row r="36" spans="3:9" hidden="1" x14ac:dyDescent="0.2">
      <c r="C36" s="654">
        <v>7</v>
      </c>
      <c r="D36" s="656" t="str">
        <f t="shared" si="4"/>
        <v/>
      </c>
      <c r="E36" s="655" t="str">
        <f t="shared" si="5"/>
        <v/>
      </c>
      <c r="F36" s="655" t="str">
        <f t="shared" si="0"/>
        <v/>
      </c>
      <c r="G36" s="655" t="str">
        <f t="shared" si="1"/>
        <v/>
      </c>
      <c r="H36" s="655">
        <f t="shared" si="2"/>
        <v>0</v>
      </c>
      <c r="I36" s="655" t="str">
        <f t="shared" si="3"/>
        <v/>
      </c>
    </row>
    <row r="37" spans="3:9" hidden="1" x14ac:dyDescent="0.2">
      <c r="C37" s="654">
        <v>8</v>
      </c>
      <c r="D37" s="656" t="str">
        <f t="shared" si="4"/>
        <v/>
      </c>
      <c r="E37" s="655" t="str">
        <f t="shared" si="5"/>
        <v/>
      </c>
      <c r="F37" s="655" t="str">
        <f t="shared" si="0"/>
        <v/>
      </c>
      <c r="G37" s="655" t="str">
        <f t="shared" si="1"/>
        <v/>
      </c>
      <c r="H37" s="655">
        <f t="shared" si="2"/>
        <v>0</v>
      </c>
      <c r="I37" s="655" t="str">
        <f t="shared" si="3"/>
        <v/>
      </c>
    </row>
  </sheetData>
  <sheetProtection algorithmName="SHA-512" hashValue="q5lc0nrIIcQ2uvQCaLlMjFhsEM6mhuPBqkQbp89lS1Yb1977LEVeOfcwQuZTEcN/UH1CsTyWfRWXAmY5qpoGNw==" saltValue="l7/OX+TJgXyNLn7AXl8HnQ==" spinCount="100000" sheet="1" objects="1" scenarios="1"/>
  <mergeCells count="21">
    <mergeCell ref="B2:F2"/>
    <mergeCell ref="G2:J2"/>
    <mergeCell ref="B3:F3"/>
    <mergeCell ref="G3:J3"/>
    <mergeCell ref="C9:J11"/>
    <mergeCell ref="B6:D6"/>
    <mergeCell ref="B7:J7"/>
    <mergeCell ref="B26:J26"/>
    <mergeCell ref="C20:D20"/>
    <mergeCell ref="E13:F13"/>
    <mergeCell ref="C17:D17"/>
    <mergeCell ref="C18:D18"/>
    <mergeCell ref="E22:F22"/>
    <mergeCell ref="B25:D25"/>
    <mergeCell ref="C19:D19"/>
    <mergeCell ref="C21:D21"/>
    <mergeCell ref="C22:D22"/>
    <mergeCell ref="C13:D13"/>
    <mergeCell ref="C14:D14"/>
    <mergeCell ref="C15:D15"/>
    <mergeCell ref="C16:D16"/>
  </mergeCells>
  <dataValidations count="2">
    <dataValidation type="whole" operator="lessThanOrEqual" allowBlank="1" showInputMessage="1" showErrorMessage="1" sqref="E15 E19" xr:uid="{F72DFC7A-924C-4AA2-A5A7-4BD2572FF45C}">
      <formula1>E14</formula1>
    </dataValidation>
    <dataValidation type="list" allowBlank="1" showInputMessage="1" showErrorMessage="1" sqref="E13:F13" xr:uid="{7FFF0E79-1EBF-4ACB-8CF2-48377854D99C}">
      <formula1>"Construction to Perm, Perm Only"</formula1>
    </dataValidation>
  </dataValidations>
  <pageMargins left="0.7" right="0.7" top="0.75" bottom="0.75" header="0.3" footer="0.3"/>
  <pageSetup scale="79" fitToHeight="0" orientation="portrait" r:id="rId1"/>
  <headerFooter>
    <oddFooter>&amp;L&amp;"-,Bold"&amp;9Housing Development Loan Tab&amp;"-,Regular"
Affordable Housing Funding Application&amp;C&amp;9Ohio Housing Finance Agency&amp;R&amp;9Page &amp;P of &amp;N</oddFooter>
  </headerFooter>
  <colBreaks count="1" manualBreakCount="1">
    <brk id="14"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D27CEE-6B3D-4711-9598-D24FCF81AC13}">
          <x14:formula1>
            <xm:f>IF($E$13="Construction to Perm",Data!$EK$11:$EK$12,Data!$EM$11:$EM$15)</xm:f>
          </x14:formula1>
          <xm:sqref>E22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4D863-C677-43A5-9962-4B93264B0BEA}">
  <sheetPr>
    <tabColor rgb="FF0E3F75"/>
    <pageSetUpPr autoPageBreaks="0" fitToPage="1"/>
  </sheetPr>
  <dimension ref="A1:S318"/>
  <sheetViews>
    <sheetView zoomScale="85" zoomScaleNormal="85" workbookViewId="0"/>
  </sheetViews>
  <sheetFormatPr defaultColWidth="0" defaultRowHeight="15" customHeight="1" zeroHeight="1" x14ac:dyDescent="0.2"/>
  <cols>
    <col min="1" max="1" width="2.625" style="547" customWidth="1"/>
    <col min="2" max="2" width="1" style="44" customWidth="1"/>
    <col min="3" max="6" width="17.125" style="44" customWidth="1"/>
    <col min="7" max="7" width="2.625" style="44" customWidth="1"/>
    <col min="8" max="11" width="17.125" style="44" customWidth="1"/>
    <col min="12" max="12" width="1" style="44" customWidth="1"/>
    <col min="13" max="13" width="17.625" style="44" customWidth="1"/>
    <col min="14" max="16" width="8.625" style="547" customWidth="1"/>
    <col min="17" max="17" width="17.625" style="547" hidden="1" customWidth="1"/>
    <col min="18" max="16384" width="8.625" style="547" hidden="1"/>
  </cols>
  <sheetData>
    <row r="1" spans="1:16" s="83" customFormat="1" ht="55.5" customHeight="1" x14ac:dyDescent="0.2">
      <c r="B1" s="1"/>
      <c r="C1" s="1"/>
      <c r="D1" s="1"/>
      <c r="E1" s="1"/>
      <c r="F1" s="1"/>
      <c r="G1" s="1"/>
      <c r="H1" s="1"/>
      <c r="I1" s="1"/>
      <c r="J1" s="1"/>
      <c r="K1" s="1"/>
    </row>
    <row r="2" spans="1:16" s="83" customFormat="1" ht="25.5" customHeight="1" x14ac:dyDescent="0.2">
      <c r="B2" s="1211" t="s">
        <v>2582</v>
      </c>
      <c r="C2" s="1212"/>
      <c r="D2" s="1212"/>
      <c r="E2" s="1212"/>
      <c r="F2" s="1212"/>
      <c r="G2" s="27"/>
      <c r="H2" s="1217" t="str">
        <f>CONCATENATE(IF(Instructions!$K$2="","",Instructions!$K$2)," ",IF(Details!$E$11="","",Details!$E$11))</f>
        <v>2026 9% LIHTC AHFA Proposal Application</v>
      </c>
      <c r="I2" s="1217"/>
      <c r="J2" s="1217"/>
      <c r="K2" s="1218"/>
    </row>
    <row r="3" spans="1:16" s="83" customFormat="1" ht="20.25" customHeight="1" x14ac:dyDescent="0.2">
      <c r="B3" s="1166" t="s">
        <v>437</v>
      </c>
      <c r="C3" s="1167"/>
      <c r="D3" s="1167"/>
      <c r="E3" s="1167"/>
      <c r="F3" s="1167"/>
      <c r="G3" s="1304" t="str">
        <f>IF(Details!$E$12="","",CONCATENATE("Project Name: ",Details!$E$12))</f>
        <v/>
      </c>
      <c r="H3" s="1304"/>
      <c r="I3" s="1304"/>
      <c r="J3" s="1304"/>
      <c r="K3" s="1305"/>
    </row>
    <row r="4" spans="1:16" ht="15" customHeight="1" x14ac:dyDescent="0.2">
      <c r="A4" s="44"/>
      <c r="N4" s="44"/>
      <c r="O4" s="44"/>
      <c r="P4" s="44"/>
    </row>
    <row r="5" spans="1:16" ht="15" customHeight="1" x14ac:dyDescent="0.2">
      <c r="A5" s="44"/>
      <c r="N5" s="44"/>
      <c r="O5" s="44"/>
      <c r="P5" s="44"/>
    </row>
    <row r="6" spans="1:16" s="44" customFormat="1" ht="15" customHeight="1" x14ac:dyDescent="0.25">
      <c r="B6" s="42"/>
      <c r="C6" s="692" t="s">
        <v>2584</v>
      </c>
      <c r="D6" s="692"/>
      <c r="E6" s="692"/>
      <c r="F6" s="692"/>
      <c r="G6" s="692"/>
      <c r="H6" s="692"/>
      <c r="I6" s="692"/>
      <c r="J6" s="692"/>
      <c r="K6" s="692"/>
    </row>
    <row r="7" spans="1:16" s="44" customFormat="1" ht="3" customHeight="1" x14ac:dyDescent="0.2">
      <c r="B7" s="42"/>
      <c r="C7" s="1482"/>
      <c r="D7" s="1482"/>
      <c r="E7" s="1482"/>
      <c r="F7" s="1482"/>
      <c r="G7" s="1482"/>
      <c r="H7" s="1482"/>
      <c r="I7" s="1482"/>
      <c r="J7" s="1482"/>
      <c r="K7" s="1482"/>
    </row>
    <row r="8" spans="1:16" s="44" customFormat="1" ht="5.25" customHeight="1" x14ac:dyDescent="0.2">
      <c r="B8" s="42"/>
      <c r="C8" s="585"/>
      <c r="D8" s="585"/>
      <c r="E8" s="585"/>
      <c r="F8" s="585"/>
      <c r="G8" s="585"/>
      <c r="H8" s="585"/>
      <c r="I8" s="585"/>
      <c r="J8" s="585"/>
      <c r="K8" s="585"/>
    </row>
    <row r="9" spans="1:16" s="44" customFormat="1" ht="15" customHeight="1" x14ac:dyDescent="0.2">
      <c r="B9" s="42"/>
      <c r="C9" s="1487" t="s">
        <v>2585</v>
      </c>
      <c r="D9" s="1487"/>
      <c r="E9" s="1488"/>
      <c r="F9" s="727" t="str">
        <f>IF(COUNTIF(Site!$L$14:$L$63,"New Construction"),"Yes","No")</f>
        <v>No</v>
      </c>
      <c r="G9" s="707"/>
      <c r="K9" s="122"/>
    </row>
    <row r="10" spans="1:16" s="44" customFormat="1" ht="15" customHeight="1" x14ac:dyDescent="0.2">
      <c r="B10" s="42"/>
      <c r="C10" s="1487" t="s">
        <v>2623</v>
      </c>
      <c r="D10" s="1487"/>
      <c r="E10" s="1488"/>
      <c r="F10" s="727" t="str">
        <f>IF(SUM(Sources!$G$45:'Sources'!$G$47)&gt;0,"Yes","No")</f>
        <v>No</v>
      </c>
      <c r="G10" s="707"/>
      <c r="K10" s="122"/>
    </row>
    <row r="11" spans="1:16" s="44" customFormat="1" ht="15" customHeight="1" x14ac:dyDescent="0.2">
      <c r="B11" s="42"/>
      <c r="C11" s="1489"/>
      <c r="D11" s="1489"/>
      <c r="E11" s="1489"/>
      <c r="F11" s="709"/>
      <c r="G11" s="707"/>
      <c r="K11" s="122"/>
    </row>
    <row r="12" spans="1:16" s="44" customFormat="1" ht="15" customHeight="1" x14ac:dyDescent="0.2">
      <c r="B12" s="42"/>
      <c r="C12" s="1490" t="s">
        <v>3516</v>
      </c>
      <c r="D12" s="1490"/>
      <c r="E12" s="1490"/>
      <c r="F12" s="1062" t="str">
        <f>IF(AND(F9="Yes",F10="Yes"),"Yes","No")</f>
        <v>No</v>
      </c>
      <c r="G12" s="708"/>
      <c r="H12" s="708"/>
      <c r="I12" s="708"/>
      <c r="J12" s="708"/>
      <c r="K12" s="122"/>
    </row>
    <row r="13" spans="1:16" s="44" customFormat="1" ht="15" customHeight="1" x14ac:dyDescent="0.2">
      <c r="B13" s="42"/>
      <c r="C13" s="708"/>
      <c r="D13" s="708"/>
      <c r="E13" s="708"/>
      <c r="F13" s="708"/>
      <c r="G13" s="708"/>
      <c r="H13" s="708"/>
      <c r="I13" s="708"/>
      <c r="J13" s="708"/>
      <c r="K13" s="122"/>
    </row>
    <row r="14" spans="1:16" s="44" customFormat="1" ht="15" customHeight="1" x14ac:dyDescent="0.2">
      <c r="B14" s="42"/>
      <c r="C14" s="585"/>
      <c r="D14" s="585"/>
      <c r="E14" s="585"/>
      <c r="F14" s="585"/>
      <c r="G14" s="585"/>
      <c r="H14" s="698"/>
      <c r="I14" s="698"/>
      <c r="J14" s="122"/>
      <c r="K14" s="122"/>
    </row>
    <row r="15" spans="1:16" s="44" customFormat="1" ht="15" customHeight="1" x14ac:dyDescent="0.25">
      <c r="B15" s="42"/>
      <c r="C15" s="692" t="s">
        <v>2586</v>
      </c>
      <c r="D15" s="692"/>
      <c r="E15" s="692"/>
      <c r="F15" s="692"/>
      <c r="G15" s="692"/>
      <c r="H15" s="692"/>
      <c r="I15" s="692"/>
      <c r="J15" s="692"/>
      <c r="K15" s="692"/>
    </row>
    <row r="16" spans="1:16" s="44" customFormat="1" ht="3" customHeight="1" x14ac:dyDescent="0.2">
      <c r="B16" s="42"/>
      <c r="C16" s="1482"/>
      <c r="D16" s="1482"/>
      <c r="E16" s="1482"/>
      <c r="F16" s="1482"/>
      <c r="G16" s="1482"/>
      <c r="H16" s="1482"/>
      <c r="I16" s="1482"/>
      <c r="J16" s="1482"/>
      <c r="K16" s="1482"/>
    </row>
    <row r="17" spans="2:11" s="44" customFormat="1" ht="5.25" customHeight="1" x14ac:dyDescent="0.2">
      <c r="B17" s="42"/>
      <c r="C17" s="43"/>
      <c r="D17" s="43"/>
      <c r="E17" s="43"/>
      <c r="F17" s="43"/>
      <c r="G17" s="43"/>
      <c r="H17" s="43"/>
      <c r="I17" s="43"/>
      <c r="J17" s="43"/>
      <c r="K17" s="43"/>
    </row>
    <row r="18" spans="2:11" s="44" customFormat="1" ht="15" customHeight="1" x14ac:dyDescent="0.2">
      <c r="B18" s="42"/>
      <c r="C18" s="1469" t="s">
        <v>2587</v>
      </c>
      <c r="D18" s="1469"/>
      <c r="E18" s="1469"/>
      <c r="F18" s="1469"/>
      <c r="G18" s="1469"/>
      <c r="H18" s="1469"/>
      <c r="I18" s="1469"/>
      <c r="J18" s="1469"/>
      <c r="K18" s="1469"/>
    </row>
    <row r="19" spans="2:11" s="44" customFormat="1" ht="15" customHeight="1" x14ac:dyDescent="0.2">
      <c r="B19" s="42"/>
      <c r="C19" s="1469"/>
      <c r="D19" s="1469"/>
      <c r="E19" s="1469"/>
      <c r="F19" s="1469"/>
      <c r="G19" s="1469"/>
      <c r="H19" s="1469"/>
      <c r="I19" s="1469"/>
      <c r="J19" s="1469"/>
      <c r="K19" s="1469"/>
    </row>
    <row r="20" spans="2:11" s="44" customFormat="1" ht="15" customHeight="1" x14ac:dyDescent="0.2">
      <c r="B20" s="42"/>
      <c r="C20" s="1469"/>
      <c r="D20" s="1469"/>
      <c r="E20" s="1469"/>
      <c r="F20" s="1469"/>
      <c r="G20" s="1469"/>
      <c r="H20" s="1469"/>
      <c r="I20" s="1469"/>
      <c r="J20" s="1469"/>
      <c r="K20" s="1469"/>
    </row>
    <row r="21" spans="2:11" s="44" customFormat="1" ht="15" customHeight="1" x14ac:dyDescent="0.2">
      <c r="B21" s="42"/>
      <c r="C21" s="1469"/>
      <c r="D21" s="1469"/>
      <c r="E21" s="1469"/>
      <c r="F21" s="1469"/>
      <c r="G21" s="1469"/>
      <c r="H21" s="1469"/>
      <c r="I21" s="1469"/>
      <c r="J21" s="1469"/>
      <c r="K21" s="1469"/>
    </row>
    <row r="22" spans="2:11" s="44" customFormat="1" ht="15" customHeight="1" x14ac:dyDescent="0.2">
      <c r="B22" s="42"/>
      <c r="C22" s="43"/>
      <c r="D22" s="43"/>
      <c r="E22" s="43"/>
      <c r="F22" s="43"/>
      <c r="G22" s="43"/>
      <c r="H22" s="43"/>
      <c r="I22" s="43"/>
      <c r="J22" s="43"/>
      <c r="K22" s="43"/>
    </row>
    <row r="23" spans="2:11" s="44" customFormat="1" ht="30" customHeight="1" x14ac:dyDescent="0.2">
      <c r="B23" s="42"/>
      <c r="C23" s="1478" t="s">
        <v>2588</v>
      </c>
      <c r="D23" s="1479"/>
      <c r="E23" s="1061" t="s">
        <v>2589</v>
      </c>
      <c r="F23" s="1478" t="s">
        <v>2590</v>
      </c>
      <c r="G23" s="1479"/>
      <c r="H23" s="43"/>
      <c r="I23" s="43"/>
    </row>
    <row r="24" spans="2:11" s="44" customFormat="1" ht="15" customHeight="1" x14ac:dyDescent="0.2">
      <c r="B24" s="42"/>
      <c r="C24" s="1476" t="s">
        <v>2058</v>
      </c>
      <c r="D24" s="1477"/>
      <c r="E24" s="534" t="s">
        <v>2064</v>
      </c>
      <c r="F24" s="1480" t="s">
        <v>2591</v>
      </c>
      <c r="G24" s="1481"/>
      <c r="H24" s="43"/>
      <c r="I24" s="43"/>
    </row>
    <row r="25" spans="2:11" s="44" customFormat="1" ht="15" customHeight="1" x14ac:dyDescent="0.2">
      <c r="B25" s="42"/>
      <c r="C25" s="1476" t="s">
        <v>2451</v>
      </c>
      <c r="D25" s="1477"/>
      <c r="E25" s="534" t="s">
        <v>2397</v>
      </c>
      <c r="F25" s="1480" t="s">
        <v>2592</v>
      </c>
      <c r="G25" s="1481"/>
      <c r="H25" s="43"/>
      <c r="I25" s="43"/>
    </row>
    <row r="26" spans="2:11" s="44" customFormat="1" ht="15" customHeight="1" x14ac:dyDescent="0.2">
      <c r="B26" s="42"/>
      <c r="C26" s="43"/>
      <c r="D26" s="43"/>
      <c r="E26" s="43"/>
      <c r="F26" s="43"/>
      <c r="G26" s="43"/>
      <c r="H26" s="43"/>
      <c r="I26" s="43"/>
      <c r="J26" s="43"/>
      <c r="K26" s="43"/>
    </row>
    <row r="27" spans="2:11" s="44" customFormat="1" ht="15" customHeight="1" x14ac:dyDescent="0.2">
      <c r="B27" s="42"/>
      <c r="C27" s="694" t="s">
        <v>2593</v>
      </c>
      <c r="D27" s="43"/>
      <c r="E27" s="43"/>
      <c r="F27" s="43"/>
      <c r="G27" s="43"/>
      <c r="H27" s="43"/>
      <c r="I27" s="43"/>
      <c r="J27" s="43"/>
      <c r="K27" s="43"/>
    </row>
    <row r="28" spans="2:11" s="44" customFormat="1" ht="5.25" customHeight="1" x14ac:dyDescent="0.2">
      <c r="B28" s="42"/>
      <c r="C28" s="43"/>
      <c r="D28" s="43"/>
      <c r="E28" s="43"/>
      <c r="F28" s="43"/>
      <c r="G28" s="43"/>
      <c r="H28" s="43"/>
      <c r="I28" s="43"/>
      <c r="J28" s="43"/>
      <c r="K28" s="43"/>
    </row>
    <row r="29" spans="2:11" s="44" customFormat="1" ht="15" customHeight="1" x14ac:dyDescent="0.2">
      <c r="B29" s="42"/>
      <c r="C29" s="1497" t="s">
        <v>3515</v>
      </c>
      <c r="D29" s="1497"/>
      <c r="E29" s="695"/>
      <c r="F29" s="695"/>
      <c r="G29" s="707"/>
    </row>
    <row r="30" spans="2:11" s="44" customFormat="1" ht="15" customHeight="1" x14ac:dyDescent="0.2">
      <c r="B30" s="42"/>
      <c r="C30" s="1497" t="s">
        <v>2594</v>
      </c>
      <c r="D30" s="1497"/>
      <c r="E30" s="1497"/>
      <c r="F30" s="1497"/>
      <c r="G30" s="1497"/>
      <c r="H30" s="1497"/>
      <c r="I30" s="1497"/>
    </row>
    <row r="31" spans="2:11" s="44" customFormat="1" ht="15" customHeight="1" x14ac:dyDescent="0.2">
      <c r="B31" s="42"/>
      <c r="C31" s="1498" t="s">
        <v>2595</v>
      </c>
      <c r="D31" s="1498"/>
      <c r="E31" s="1"/>
      <c r="F31" s="1"/>
      <c r="G31" s="1"/>
      <c r="H31" s="1"/>
      <c r="I31" s="1"/>
    </row>
    <row r="32" spans="2:11" s="44" customFormat="1" ht="15" customHeight="1" x14ac:dyDescent="0.2">
      <c r="B32" s="42"/>
      <c r="C32" s="695"/>
      <c r="D32" s="695"/>
      <c r="E32" s="695"/>
      <c r="F32" s="695"/>
      <c r="G32" s="695"/>
      <c r="H32" s="695"/>
      <c r="I32" s="695"/>
    </row>
    <row r="33" spans="2:11" s="44" customFormat="1" ht="15" customHeight="1" x14ac:dyDescent="0.2">
      <c r="B33" s="42"/>
      <c r="C33" s="695"/>
      <c r="D33" s="695"/>
      <c r="E33" s="695"/>
      <c r="F33" s="695"/>
      <c r="G33" s="695"/>
      <c r="H33" s="695"/>
      <c r="I33" s="695"/>
    </row>
    <row r="34" spans="2:11" s="44" customFormat="1" ht="15" customHeight="1" x14ac:dyDescent="0.25">
      <c r="B34" s="42"/>
      <c r="C34" s="1468" t="s">
        <v>2596</v>
      </c>
      <c r="D34" s="1468"/>
      <c r="E34" s="1468"/>
      <c r="F34" s="1468"/>
      <c r="G34" s="1468"/>
      <c r="H34" s="1468"/>
      <c r="I34" s="1468"/>
      <c r="J34" s="1468"/>
      <c r="K34" s="1468"/>
    </row>
    <row r="35" spans="2:11" s="44" customFormat="1" ht="3" customHeight="1" x14ac:dyDescent="0.2">
      <c r="B35" s="42"/>
      <c r="C35" s="1482"/>
      <c r="D35" s="1482"/>
      <c r="E35" s="1482"/>
      <c r="F35" s="1482"/>
      <c r="G35" s="1482"/>
      <c r="H35" s="1482"/>
      <c r="I35" s="1482"/>
      <c r="J35" s="1482"/>
      <c r="K35" s="1482"/>
    </row>
    <row r="36" spans="2:11" s="44" customFormat="1" ht="5.25" customHeight="1" x14ac:dyDescent="0.2">
      <c r="B36" s="42"/>
      <c r="C36" s="43"/>
      <c r="D36" s="43"/>
      <c r="E36" s="43"/>
      <c r="F36" s="43"/>
      <c r="G36" s="43"/>
      <c r="H36" s="43"/>
      <c r="I36" s="43"/>
      <c r="J36" s="43"/>
      <c r="K36" s="43"/>
    </row>
    <row r="37" spans="2:11" s="44" customFormat="1" ht="15" customHeight="1" x14ac:dyDescent="0.2">
      <c r="B37" s="42"/>
      <c r="C37" s="1469" t="s">
        <v>2597</v>
      </c>
      <c r="D37" s="1469"/>
      <c r="E37" s="1469"/>
      <c r="F37" s="1469"/>
      <c r="G37" s="1469"/>
      <c r="H37" s="1469"/>
      <c r="I37" s="1469"/>
      <c r="J37" s="1469"/>
      <c r="K37" s="1469"/>
    </row>
    <row r="38" spans="2:11" s="44" customFormat="1" ht="15" customHeight="1" x14ac:dyDescent="0.2">
      <c r="B38" s="42"/>
      <c r="C38" s="1469"/>
      <c r="D38" s="1469"/>
      <c r="E38" s="1469"/>
      <c r="F38" s="1469"/>
      <c r="G38" s="1469"/>
      <c r="H38" s="1469"/>
      <c r="I38" s="1469"/>
      <c r="J38" s="1469"/>
      <c r="K38" s="1469"/>
    </row>
    <row r="39" spans="2:11" s="44" customFormat="1" ht="15" customHeight="1" x14ac:dyDescent="0.2">
      <c r="B39" s="42"/>
      <c r="C39" s="695"/>
      <c r="D39" s="695"/>
      <c r="E39" s="695"/>
      <c r="F39" s="695"/>
      <c r="G39" s="695"/>
      <c r="H39" s="695"/>
      <c r="I39" s="695"/>
    </row>
    <row r="40" spans="2:11" s="44" customFormat="1" ht="15" customHeight="1" x14ac:dyDescent="0.2">
      <c r="B40" s="42"/>
      <c r="C40" s="1483" t="s">
        <v>2598</v>
      </c>
      <c r="D40" s="1483"/>
      <c r="E40" s="1483"/>
      <c r="F40" s="695"/>
      <c r="G40" s="695"/>
      <c r="H40" s="695"/>
      <c r="I40" s="695"/>
    </row>
    <row r="41" spans="2:11" s="44" customFormat="1" ht="15" customHeight="1" x14ac:dyDescent="0.2">
      <c r="B41" s="42"/>
      <c r="C41" s="710"/>
      <c r="D41" s="710"/>
      <c r="E41" s="710"/>
      <c r="F41" s="695"/>
      <c r="G41" s="695"/>
      <c r="H41" s="695"/>
      <c r="I41" s="695"/>
    </row>
    <row r="42" spans="2:11" s="44" customFormat="1" ht="15" customHeight="1" x14ac:dyDescent="0.2">
      <c r="B42" s="42"/>
      <c r="C42" s="1484" t="s">
        <v>2599</v>
      </c>
      <c r="D42" s="1484"/>
      <c r="E42" s="1484"/>
      <c r="F42" s="1484"/>
      <c r="G42" s="1484"/>
      <c r="H42" s="1484"/>
      <c r="I42" s="1484"/>
      <c r="J42" s="1484"/>
      <c r="K42" s="1484"/>
    </row>
    <row r="43" spans="2:11" s="44" customFormat="1" ht="5.25" customHeight="1" x14ac:dyDescent="0.2">
      <c r="B43" s="42"/>
      <c r="C43" s="711"/>
      <c r="D43" s="711"/>
      <c r="E43" s="711"/>
      <c r="F43" s="711"/>
      <c r="G43" s="711"/>
      <c r="H43" s="711"/>
      <c r="I43" s="711"/>
      <c r="J43" s="711"/>
      <c r="K43" s="711"/>
    </row>
    <row r="44" spans="2:11" s="44" customFormat="1" ht="15" customHeight="1" x14ac:dyDescent="0.2">
      <c r="B44" s="42"/>
      <c r="C44" s="1485" t="s">
        <v>2600</v>
      </c>
      <c r="D44" s="1485"/>
      <c r="E44" s="1485"/>
      <c r="F44" s="1485"/>
      <c r="G44" s="1485"/>
      <c r="H44" s="1485"/>
      <c r="I44" s="1485"/>
      <c r="J44" s="1485"/>
      <c r="K44" s="1485"/>
    </row>
    <row r="45" spans="2:11" s="44" customFormat="1" ht="15" customHeight="1" x14ac:dyDescent="0.2">
      <c r="B45" s="42"/>
      <c r="C45" s="1485"/>
      <c r="D45" s="1485"/>
      <c r="E45" s="1485"/>
      <c r="F45" s="1485"/>
      <c r="G45" s="1485"/>
      <c r="H45" s="1485"/>
      <c r="I45" s="1485"/>
      <c r="J45" s="1485"/>
      <c r="K45" s="1485"/>
    </row>
    <row r="46" spans="2:11" s="44" customFormat="1" ht="5.25" customHeight="1" x14ac:dyDescent="0.2">
      <c r="B46" s="42"/>
      <c r="C46" s="712"/>
      <c r="D46" s="712"/>
      <c r="E46" s="712"/>
      <c r="F46" s="712"/>
      <c r="G46" s="712"/>
      <c r="H46" s="712"/>
      <c r="I46" s="712"/>
      <c r="J46" s="712"/>
      <c r="K46" s="712"/>
    </row>
    <row r="47" spans="2:11" s="44" customFormat="1" ht="15" customHeight="1" x14ac:dyDescent="0.2">
      <c r="B47" s="42"/>
      <c r="C47" s="1485" t="s">
        <v>2601</v>
      </c>
      <c r="D47" s="1485"/>
      <c r="E47" s="1485"/>
      <c r="F47" s="1485"/>
      <c r="G47" s="1485"/>
      <c r="H47" s="1485"/>
      <c r="I47" s="1485"/>
      <c r="J47" s="1485"/>
      <c r="K47" s="1485"/>
    </row>
    <row r="48" spans="2:11" s="44" customFormat="1" ht="15" customHeight="1" x14ac:dyDescent="0.2">
      <c r="B48" s="42"/>
      <c r="C48" s="1485"/>
      <c r="D48" s="1485"/>
      <c r="E48" s="1485"/>
      <c r="F48" s="1485"/>
      <c r="G48" s="1485"/>
      <c r="H48" s="1485"/>
      <c r="I48" s="1485"/>
      <c r="J48" s="1485"/>
      <c r="K48" s="1485"/>
    </row>
    <row r="49" spans="2:19" s="44" customFormat="1" ht="5.25" customHeight="1" x14ac:dyDescent="0.2">
      <c r="B49" s="42"/>
      <c r="C49" s="695"/>
      <c r="D49" s="695"/>
      <c r="E49" s="695"/>
      <c r="F49" s="695"/>
      <c r="G49" s="695"/>
      <c r="H49" s="695"/>
      <c r="I49" s="695"/>
    </row>
    <row r="50" spans="2:19" s="44" customFormat="1" ht="15" customHeight="1" x14ac:dyDescent="0.2">
      <c r="B50" s="42"/>
      <c r="C50" s="1486" t="s">
        <v>2602</v>
      </c>
      <c r="D50" s="1486"/>
      <c r="E50" s="1486"/>
      <c r="F50" s="1486"/>
      <c r="G50" s="1486"/>
      <c r="H50" s="1486"/>
      <c r="I50" s="1486"/>
      <c r="J50" s="1486"/>
      <c r="K50" s="1486"/>
    </row>
    <row r="51" spans="2:19" s="44" customFormat="1" ht="15" customHeight="1" x14ac:dyDescent="0.2">
      <c r="B51" s="42"/>
      <c r="C51" s="695"/>
      <c r="D51" s="695"/>
      <c r="E51" s="695"/>
      <c r="F51" s="695"/>
      <c r="G51" s="695"/>
      <c r="H51" s="695"/>
      <c r="I51" s="695"/>
    </row>
    <row r="52" spans="2:19" s="44" customFormat="1" ht="15" customHeight="1" x14ac:dyDescent="0.2">
      <c r="B52" s="42"/>
      <c r="C52" s="1483" t="s">
        <v>2603</v>
      </c>
      <c r="D52" s="1483"/>
      <c r="E52" s="1483"/>
      <c r="F52" s="1483"/>
      <c r="G52" s="1483"/>
      <c r="H52" s="1483"/>
      <c r="I52" s="1483"/>
    </row>
    <row r="53" spans="2:19" s="44" customFormat="1" ht="15" customHeight="1" x14ac:dyDescent="0.2">
      <c r="B53" s="42"/>
      <c r="C53" s="695"/>
      <c r="D53" s="695"/>
      <c r="E53" s="695"/>
      <c r="F53" s="695"/>
      <c r="G53" s="695"/>
      <c r="H53" s="695"/>
      <c r="I53" s="695"/>
    </row>
    <row r="54" spans="2:19" s="44" customFormat="1" ht="15" customHeight="1" x14ac:dyDescent="0.2">
      <c r="B54" s="42"/>
      <c r="C54" s="1464" t="s">
        <v>2604</v>
      </c>
      <c r="D54" s="1464"/>
      <c r="E54" s="1464"/>
      <c r="F54" s="1464"/>
      <c r="G54" s="1465" t="s">
        <v>290</v>
      </c>
      <c r="H54" s="1465"/>
      <c r="I54" s="713"/>
      <c r="J54" s="713"/>
      <c r="K54" s="713"/>
    </row>
    <row r="55" spans="2:19" s="44" customFormat="1" ht="15" customHeight="1" x14ac:dyDescent="0.2">
      <c r="B55" s="42"/>
      <c r="C55" s="1464" t="s">
        <v>2605</v>
      </c>
      <c r="D55" s="1464"/>
      <c r="E55" s="1464"/>
      <c r="F55" s="1464"/>
      <c r="G55" s="1464"/>
      <c r="H55" s="1464"/>
      <c r="I55" s="713"/>
      <c r="J55" s="713"/>
      <c r="K55" s="713"/>
    </row>
    <row r="56" spans="2:19" s="44" customFormat="1" ht="15" customHeight="1" x14ac:dyDescent="0.2">
      <c r="B56" s="42"/>
      <c r="C56" s="1464" t="s">
        <v>2606</v>
      </c>
      <c r="D56" s="1464"/>
      <c r="E56" s="1464"/>
      <c r="F56" s="1464"/>
      <c r="G56" s="1464"/>
      <c r="H56" s="1464"/>
      <c r="I56" s="713"/>
      <c r="J56" s="713"/>
      <c r="K56" s="713"/>
    </row>
    <row r="57" spans="2:19" s="44" customFormat="1" ht="15" customHeight="1" x14ac:dyDescent="0.2">
      <c r="B57" s="42"/>
      <c r="C57" s="1464" t="s">
        <v>2607</v>
      </c>
      <c r="D57" s="1464"/>
      <c r="E57" s="1464"/>
      <c r="F57" s="1464"/>
      <c r="G57" s="1464"/>
      <c r="H57" s="1464"/>
    </row>
    <row r="58" spans="2:19" s="44" customFormat="1" ht="15" customHeight="1" x14ac:dyDescent="0.2">
      <c r="B58" s="42"/>
      <c r="C58" s="706"/>
      <c r="D58" s="706"/>
      <c r="E58" s="706"/>
      <c r="F58" s="709"/>
      <c r="G58" s="707"/>
    </row>
    <row r="59" spans="2:19" s="44" customFormat="1" ht="15" customHeight="1" x14ac:dyDescent="0.2">
      <c r="B59" s="42"/>
      <c r="C59" s="1467" t="s">
        <v>2608</v>
      </c>
      <c r="D59" s="1467"/>
      <c r="E59" s="1467"/>
      <c r="F59" s="1063"/>
      <c r="G59" s="707"/>
    </row>
    <row r="60" spans="2:19" s="44" customFormat="1" ht="15" customHeight="1" x14ac:dyDescent="0.2">
      <c r="B60" s="42"/>
      <c r="C60" s="1467" t="s">
        <v>3517</v>
      </c>
      <c r="D60" s="1467"/>
      <c r="E60" s="1467"/>
      <c r="F60" s="1062" t="str">
        <f>IF(F59="","",IF(F59="Yes","Yes","No"))</f>
        <v/>
      </c>
      <c r="G60" s="707"/>
    </row>
    <row r="61" spans="2:19" s="44" customFormat="1" ht="15" customHeight="1" x14ac:dyDescent="0.2">
      <c r="Q61" s="547"/>
      <c r="R61" s="547"/>
      <c r="S61" s="547"/>
    </row>
    <row r="62" spans="2:19" s="44" customFormat="1" ht="15" customHeight="1" x14ac:dyDescent="0.2">
      <c r="Q62" s="547"/>
      <c r="R62" s="547"/>
      <c r="S62" s="547"/>
    </row>
    <row r="63" spans="2:19" s="44" customFormat="1" ht="15" customHeight="1" x14ac:dyDescent="0.25">
      <c r="C63" s="1468" t="s">
        <v>2609</v>
      </c>
      <c r="D63" s="1468"/>
      <c r="E63" s="1468"/>
      <c r="F63" s="1468"/>
      <c r="G63" s="1468"/>
      <c r="H63" s="1468"/>
      <c r="I63" s="1468"/>
      <c r="J63" s="1468"/>
      <c r="K63" s="1468"/>
      <c r="Q63" s="547"/>
      <c r="R63" s="547"/>
      <c r="S63" s="547"/>
    </row>
    <row r="64" spans="2:19" s="44" customFormat="1" ht="3" customHeight="1" x14ac:dyDescent="0.2">
      <c r="C64" s="1482"/>
      <c r="D64" s="1482"/>
      <c r="E64" s="1482"/>
      <c r="F64" s="1482"/>
      <c r="G64" s="1482"/>
      <c r="H64" s="1482"/>
      <c r="I64" s="1482"/>
      <c r="J64" s="1482"/>
      <c r="K64" s="1482"/>
      <c r="Q64" s="547"/>
      <c r="R64" s="547"/>
      <c r="S64" s="547"/>
    </row>
    <row r="65" spans="3:19" s="44" customFormat="1" ht="5.25" customHeight="1" x14ac:dyDescent="0.2">
      <c r="C65" s="43"/>
      <c r="D65" s="43"/>
      <c r="E65" s="43"/>
      <c r="F65" s="43"/>
      <c r="G65" s="43"/>
      <c r="H65" s="43"/>
      <c r="I65" s="43"/>
      <c r="J65" s="43"/>
      <c r="K65" s="43"/>
      <c r="Q65" s="547"/>
      <c r="R65" s="547"/>
      <c r="S65" s="547"/>
    </row>
    <row r="66" spans="3:19" s="44" customFormat="1" ht="15" customHeight="1" x14ac:dyDescent="0.2">
      <c r="C66" s="1469" t="s">
        <v>2610</v>
      </c>
      <c r="D66" s="1469"/>
      <c r="E66" s="1469"/>
      <c r="F66" s="1469"/>
      <c r="G66" s="1469"/>
      <c r="H66" s="1469"/>
      <c r="I66" s="1469"/>
      <c r="J66" s="1469"/>
      <c r="K66" s="1469"/>
      <c r="Q66" s="547"/>
      <c r="R66" s="547"/>
      <c r="S66" s="547"/>
    </row>
    <row r="67" spans="3:19" s="44" customFormat="1" ht="15" customHeight="1" x14ac:dyDescent="0.2">
      <c r="C67" s="1469"/>
      <c r="D67" s="1469"/>
      <c r="E67" s="1469"/>
      <c r="F67" s="1469"/>
      <c r="G67" s="1469"/>
      <c r="H67" s="1469"/>
      <c r="I67" s="1469"/>
      <c r="J67" s="1469"/>
      <c r="K67" s="1469"/>
      <c r="Q67" s="547"/>
      <c r="R67" s="547"/>
      <c r="S67" s="547"/>
    </row>
    <row r="68" spans="3:19" s="44" customFormat="1" ht="15" customHeight="1" x14ac:dyDescent="0.2">
      <c r="Q68" s="547"/>
      <c r="R68" s="547"/>
      <c r="S68" s="547"/>
    </row>
    <row r="69" spans="3:19" s="44" customFormat="1" ht="15" customHeight="1" x14ac:dyDescent="0.2">
      <c r="C69" s="1470" t="s">
        <v>2611</v>
      </c>
      <c r="D69" s="1470"/>
      <c r="E69" s="1470"/>
      <c r="F69" s="1470"/>
      <c r="G69" s="1470"/>
      <c r="H69" s="1470"/>
      <c r="I69" s="1471" t="s">
        <v>2612</v>
      </c>
      <c r="J69" s="1472"/>
      <c r="K69" s="714"/>
      <c r="Q69" s="547"/>
      <c r="R69" s="547"/>
      <c r="S69" s="547"/>
    </row>
    <row r="70" spans="3:19" s="44" customFormat="1" ht="15" customHeight="1" x14ac:dyDescent="0.2">
      <c r="Q70" s="547"/>
      <c r="R70" s="547"/>
      <c r="S70" s="547"/>
    </row>
    <row r="71" spans="3:19" s="44" customFormat="1" ht="15" customHeight="1" x14ac:dyDescent="0.2">
      <c r="C71" s="1473" t="s">
        <v>3519</v>
      </c>
      <c r="D71" s="1473"/>
      <c r="E71" s="1473"/>
      <c r="F71" s="1473"/>
      <c r="G71" s="1473"/>
      <c r="H71" s="1473"/>
      <c r="I71" s="1473"/>
      <c r="J71" s="1473"/>
      <c r="K71" s="1473"/>
      <c r="Q71" s="547"/>
      <c r="R71" s="547"/>
      <c r="S71" s="547"/>
    </row>
    <row r="72" spans="3:19" s="44" customFormat="1" ht="15" customHeight="1" x14ac:dyDescent="0.2">
      <c r="C72" s="1473"/>
      <c r="D72" s="1473"/>
      <c r="E72" s="1473"/>
      <c r="F72" s="1473"/>
      <c r="G72" s="1473"/>
      <c r="H72" s="1473"/>
      <c r="I72" s="1473"/>
      <c r="J72" s="1473"/>
      <c r="K72" s="1473"/>
      <c r="Q72" s="547"/>
      <c r="R72" s="547"/>
      <c r="S72" s="547"/>
    </row>
    <row r="73" spans="3:19" s="44" customFormat="1" ht="15" customHeight="1" x14ac:dyDescent="0.2">
      <c r="C73" s="1473"/>
      <c r="D73" s="1473"/>
      <c r="E73" s="1473"/>
      <c r="F73" s="1473"/>
      <c r="G73" s="1473"/>
      <c r="H73" s="1473"/>
      <c r="I73" s="1473"/>
      <c r="J73" s="1473"/>
      <c r="K73" s="1473"/>
      <c r="Q73" s="547"/>
      <c r="R73" s="547"/>
      <c r="S73" s="547"/>
    </row>
    <row r="74" spans="3:19" s="44" customFormat="1" ht="15" customHeight="1" x14ac:dyDescent="0.2">
      <c r="C74" s="1473"/>
      <c r="D74" s="1473"/>
      <c r="E74" s="1473"/>
      <c r="F74" s="1473"/>
      <c r="G74" s="1473"/>
      <c r="H74" s="1473"/>
      <c r="I74" s="1473"/>
      <c r="J74" s="1473"/>
      <c r="K74" s="1473"/>
      <c r="Q74" s="547"/>
      <c r="R74" s="547"/>
      <c r="S74" s="547"/>
    </row>
    <row r="75" spans="3:19" s="44" customFormat="1" ht="15" customHeight="1" x14ac:dyDescent="0.2">
      <c r="Q75" s="547"/>
      <c r="R75" s="547"/>
      <c r="S75" s="547"/>
    </row>
    <row r="76" spans="3:19" s="44" customFormat="1" ht="15" customHeight="1" x14ac:dyDescent="0.2">
      <c r="C76" s="715"/>
      <c r="D76" s="1466" t="s">
        <v>3518</v>
      </c>
      <c r="E76" s="1466"/>
      <c r="F76" s="1466"/>
      <c r="G76" s="1466"/>
      <c r="H76" s="1466"/>
      <c r="I76" s="1466"/>
      <c r="J76" s="1466"/>
      <c r="K76" s="1466"/>
      <c r="Q76" s="547"/>
      <c r="R76" s="547"/>
      <c r="S76" s="547"/>
    </row>
    <row r="77" spans="3:19" s="44" customFormat="1" ht="15" customHeight="1" x14ac:dyDescent="0.2">
      <c r="C77" s="715"/>
      <c r="D77" s="1466"/>
      <c r="E77" s="1466"/>
      <c r="F77" s="1466"/>
      <c r="G77" s="1466"/>
      <c r="H77" s="1466"/>
      <c r="I77" s="1466"/>
      <c r="J77" s="1466"/>
      <c r="K77" s="1466"/>
      <c r="Q77" s="547"/>
      <c r="R77" s="547"/>
      <c r="S77" s="547"/>
    </row>
    <row r="78" spans="3:19" s="44" customFormat="1" ht="5.25" customHeight="1" x14ac:dyDescent="0.2">
      <c r="Q78" s="547"/>
      <c r="R78" s="547"/>
      <c r="S78" s="547"/>
    </row>
    <row r="79" spans="3:19" s="44" customFormat="1" ht="15" customHeight="1" x14ac:dyDescent="0.2">
      <c r="D79" s="1474" t="s">
        <v>2613</v>
      </c>
      <c r="E79" s="1474"/>
      <c r="F79" s="1474"/>
      <c r="G79" s="713"/>
      <c r="H79" s="528" t="s">
        <v>2583</v>
      </c>
      <c r="Q79" s="547"/>
      <c r="R79" s="547"/>
      <c r="S79" s="547"/>
    </row>
    <row r="80" spans="3:19" s="44" customFormat="1" ht="15" customHeight="1" x14ac:dyDescent="0.2">
      <c r="Q80" s="547"/>
      <c r="R80" s="547"/>
      <c r="S80" s="547"/>
    </row>
    <row r="81" spans="4:19" s="44" customFormat="1" ht="15" customHeight="1" x14ac:dyDescent="0.25">
      <c r="D81" s="1468" t="s">
        <v>2614</v>
      </c>
      <c r="E81" s="1468"/>
      <c r="F81" s="1468"/>
      <c r="G81" s="1468"/>
      <c r="H81" s="1468"/>
      <c r="I81" s="1468"/>
      <c r="J81" s="1468"/>
      <c r="K81" s="1468"/>
      <c r="Q81" s="547"/>
      <c r="R81" s="547"/>
      <c r="S81" s="547"/>
    </row>
    <row r="82" spans="4:19" s="44" customFormat="1" ht="5.25" customHeight="1" x14ac:dyDescent="0.2">
      <c r="Q82" s="547"/>
      <c r="R82" s="547"/>
      <c r="S82" s="547"/>
    </row>
    <row r="83" spans="4:19" s="44" customFormat="1" ht="15" customHeight="1" x14ac:dyDescent="0.2">
      <c r="D83" s="1475"/>
      <c r="E83" s="1475"/>
      <c r="F83" s="1475"/>
      <c r="G83" s="1475"/>
      <c r="H83" s="1475"/>
      <c r="I83" s="1475"/>
      <c r="J83" s="1475"/>
      <c r="K83" s="1475"/>
      <c r="Q83" s="547"/>
      <c r="R83" s="547"/>
      <c r="S83" s="547"/>
    </row>
    <row r="84" spans="4:19" s="44" customFormat="1" ht="15" customHeight="1" x14ac:dyDescent="0.2">
      <c r="D84" s="1475"/>
      <c r="E84" s="1475"/>
      <c r="F84" s="1475"/>
      <c r="G84" s="1475"/>
      <c r="H84" s="1475"/>
      <c r="I84" s="1475"/>
      <c r="J84" s="1475"/>
      <c r="K84" s="1475"/>
      <c r="Q84" s="547"/>
      <c r="R84" s="547"/>
      <c r="S84" s="547"/>
    </row>
    <row r="85" spans="4:19" s="44" customFormat="1" ht="15" customHeight="1" x14ac:dyDescent="0.2">
      <c r="D85" s="1475"/>
      <c r="E85" s="1475"/>
      <c r="F85" s="1475"/>
      <c r="G85" s="1475"/>
      <c r="H85" s="1475"/>
      <c r="I85" s="1475"/>
      <c r="J85" s="1475"/>
      <c r="K85" s="1475"/>
      <c r="Q85" s="547"/>
      <c r="R85" s="547"/>
      <c r="S85" s="547"/>
    </row>
    <row r="86" spans="4:19" s="44" customFormat="1" ht="15" customHeight="1" x14ac:dyDescent="0.2">
      <c r="D86" s="1475"/>
      <c r="E86" s="1475"/>
      <c r="F86" s="1475"/>
      <c r="G86" s="1475"/>
      <c r="H86" s="1475"/>
      <c r="I86" s="1475"/>
      <c r="J86" s="1475"/>
      <c r="K86" s="1475"/>
      <c r="Q86" s="547"/>
      <c r="R86" s="547"/>
      <c r="S86" s="547"/>
    </row>
    <row r="87" spans="4:19" s="44" customFormat="1" ht="15" customHeight="1" x14ac:dyDescent="0.2">
      <c r="Q87" s="547"/>
      <c r="R87" s="547"/>
      <c r="S87" s="547"/>
    </row>
    <row r="88" spans="4:19" s="44" customFormat="1" ht="15" customHeight="1" x14ac:dyDescent="0.2">
      <c r="D88" s="1466" t="s">
        <v>3520</v>
      </c>
      <c r="E88" s="1466"/>
      <c r="F88" s="1466"/>
      <c r="G88" s="1466"/>
      <c r="H88" s="1466"/>
      <c r="I88" s="1466"/>
      <c r="J88" s="1466"/>
      <c r="K88" s="1466"/>
      <c r="Q88" s="547"/>
      <c r="R88" s="547"/>
      <c r="S88" s="547"/>
    </row>
    <row r="89" spans="4:19" s="44" customFormat="1" ht="15" customHeight="1" x14ac:dyDescent="0.2">
      <c r="D89" s="1466"/>
      <c r="E89" s="1466"/>
      <c r="F89" s="1466"/>
      <c r="G89" s="1466"/>
      <c r="H89" s="1466"/>
      <c r="I89" s="1466"/>
      <c r="J89" s="1466"/>
      <c r="K89" s="1466"/>
      <c r="Q89" s="547"/>
      <c r="R89" s="547"/>
      <c r="S89" s="547"/>
    </row>
    <row r="90" spans="4:19" s="44" customFormat="1" ht="15" customHeight="1" x14ac:dyDescent="0.2">
      <c r="Q90" s="547"/>
      <c r="R90" s="547"/>
      <c r="S90" s="547"/>
    </row>
    <row r="91" spans="4:19" s="44" customFormat="1" ht="15" customHeight="1" x14ac:dyDescent="0.25">
      <c r="D91" s="1468" t="s">
        <v>2614</v>
      </c>
      <c r="E91" s="1468"/>
      <c r="F91" s="1468"/>
      <c r="G91" s="1468"/>
      <c r="H91" s="1468"/>
      <c r="I91" s="1468"/>
      <c r="J91" s="1468"/>
      <c r="K91" s="1468"/>
      <c r="Q91" s="547"/>
      <c r="R91" s="547"/>
      <c r="S91" s="547"/>
    </row>
    <row r="92" spans="4:19" s="44" customFormat="1" ht="5.25" customHeight="1" x14ac:dyDescent="0.2">
      <c r="Q92" s="547"/>
      <c r="R92" s="547"/>
      <c r="S92" s="547"/>
    </row>
    <row r="93" spans="4:19" s="44" customFormat="1" ht="15" customHeight="1" x14ac:dyDescent="0.2">
      <c r="D93" s="1475"/>
      <c r="E93" s="1475"/>
      <c r="F93" s="1475"/>
      <c r="G93" s="1475"/>
      <c r="H93" s="1475"/>
      <c r="I93" s="1475"/>
      <c r="J93" s="1475"/>
      <c r="K93" s="1475"/>
      <c r="Q93" s="547"/>
      <c r="R93" s="547"/>
      <c r="S93" s="547"/>
    </row>
    <row r="94" spans="4:19" s="44" customFormat="1" ht="15" customHeight="1" x14ac:dyDescent="0.2">
      <c r="D94" s="1475"/>
      <c r="E94" s="1475"/>
      <c r="F94" s="1475"/>
      <c r="G94" s="1475"/>
      <c r="H94" s="1475"/>
      <c r="I94" s="1475"/>
      <c r="J94" s="1475"/>
      <c r="K94" s="1475"/>
      <c r="Q94" s="547"/>
      <c r="R94" s="547"/>
      <c r="S94" s="547"/>
    </row>
    <row r="95" spans="4:19" s="44" customFormat="1" ht="15" customHeight="1" x14ac:dyDescent="0.2">
      <c r="D95" s="1475"/>
      <c r="E95" s="1475"/>
      <c r="F95" s="1475"/>
      <c r="G95" s="1475"/>
      <c r="H95" s="1475"/>
      <c r="I95" s="1475"/>
      <c r="J95" s="1475"/>
      <c r="K95" s="1475"/>
      <c r="Q95" s="547"/>
      <c r="R95" s="547"/>
      <c r="S95" s="547"/>
    </row>
    <row r="96" spans="4:19" s="44" customFormat="1" ht="15" customHeight="1" x14ac:dyDescent="0.2">
      <c r="D96" s="1475"/>
      <c r="E96" s="1475"/>
      <c r="F96" s="1475"/>
      <c r="G96" s="1475"/>
      <c r="H96" s="1475"/>
      <c r="I96" s="1475"/>
      <c r="J96" s="1475"/>
      <c r="K96" s="1475"/>
      <c r="Q96" s="547"/>
      <c r="R96" s="547"/>
      <c r="S96" s="547"/>
    </row>
    <row r="97" spans="4:19" s="44" customFormat="1" ht="15" customHeight="1" x14ac:dyDescent="0.2">
      <c r="Q97" s="547"/>
      <c r="R97" s="547"/>
      <c r="S97" s="547"/>
    </row>
    <row r="98" spans="4:19" s="44" customFormat="1" ht="15" customHeight="1" x14ac:dyDescent="0.2">
      <c r="D98" s="1466" t="s">
        <v>3521</v>
      </c>
      <c r="E98" s="1466"/>
      <c r="F98" s="1466"/>
      <c r="G98" s="1466"/>
      <c r="H98" s="1466"/>
      <c r="I98" s="1466"/>
      <c r="J98" s="1466"/>
      <c r="K98" s="1466"/>
      <c r="Q98" s="547"/>
      <c r="R98" s="547"/>
      <c r="S98" s="547"/>
    </row>
    <row r="99" spans="4:19" s="44" customFormat="1" ht="15" customHeight="1" x14ac:dyDescent="0.2">
      <c r="Q99" s="547"/>
      <c r="R99" s="547"/>
      <c r="S99" s="547"/>
    </row>
    <row r="100" spans="4:19" s="44" customFormat="1" ht="15" customHeight="1" x14ac:dyDescent="0.25">
      <c r="D100" s="1468" t="s">
        <v>2614</v>
      </c>
      <c r="E100" s="1468"/>
      <c r="F100" s="1468"/>
      <c r="G100" s="1468"/>
      <c r="H100" s="1468"/>
      <c r="I100" s="1468"/>
      <c r="J100" s="1468"/>
      <c r="K100" s="1468"/>
      <c r="Q100" s="547"/>
      <c r="R100" s="547"/>
      <c r="S100" s="547"/>
    </row>
    <row r="101" spans="4:19" s="44" customFormat="1" ht="5.25" customHeight="1" x14ac:dyDescent="0.2">
      <c r="Q101" s="547"/>
      <c r="R101" s="547"/>
      <c r="S101" s="547"/>
    </row>
    <row r="102" spans="4:19" s="44" customFormat="1" ht="15" customHeight="1" x14ac:dyDescent="0.2">
      <c r="D102" s="1475"/>
      <c r="E102" s="1475"/>
      <c r="F102" s="1475"/>
      <c r="G102" s="1475"/>
      <c r="H102" s="1475"/>
      <c r="I102" s="1475"/>
      <c r="J102" s="1475"/>
      <c r="K102" s="1475"/>
      <c r="Q102" s="547"/>
      <c r="R102" s="547"/>
      <c r="S102" s="547"/>
    </row>
    <row r="103" spans="4:19" s="44" customFormat="1" ht="15" customHeight="1" x14ac:dyDescent="0.2">
      <c r="D103" s="1475"/>
      <c r="E103" s="1475"/>
      <c r="F103" s="1475"/>
      <c r="G103" s="1475"/>
      <c r="H103" s="1475"/>
      <c r="I103" s="1475"/>
      <c r="J103" s="1475"/>
      <c r="K103" s="1475"/>
      <c r="Q103" s="547"/>
      <c r="R103" s="547"/>
      <c r="S103" s="547"/>
    </row>
    <row r="104" spans="4:19" s="44" customFormat="1" ht="15" customHeight="1" x14ac:dyDescent="0.2">
      <c r="D104" s="1475"/>
      <c r="E104" s="1475"/>
      <c r="F104" s="1475"/>
      <c r="G104" s="1475"/>
      <c r="H104" s="1475"/>
      <c r="I104" s="1475"/>
      <c r="J104" s="1475"/>
      <c r="K104" s="1475"/>
      <c r="Q104" s="547"/>
      <c r="R104" s="547"/>
      <c r="S104" s="547"/>
    </row>
    <row r="105" spans="4:19" s="44" customFormat="1" ht="15" customHeight="1" x14ac:dyDescent="0.2">
      <c r="D105" s="1475"/>
      <c r="E105" s="1475"/>
      <c r="F105" s="1475"/>
      <c r="G105" s="1475"/>
      <c r="H105" s="1475"/>
      <c r="I105" s="1475"/>
      <c r="J105" s="1475"/>
      <c r="K105" s="1475"/>
      <c r="Q105" s="547"/>
      <c r="R105" s="547"/>
      <c r="S105" s="547"/>
    </row>
    <row r="106" spans="4:19" s="44" customFormat="1" ht="15" customHeight="1" x14ac:dyDescent="0.2">
      <c r="Q106" s="547"/>
      <c r="R106" s="547"/>
      <c r="S106" s="547"/>
    </row>
    <row r="107" spans="4:19" s="44" customFormat="1" ht="15" customHeight="1" x14ac:dyDescent="0.2">
      <c r="D107" s="1466" t="s">
        <v>3522</v>
      </c>
      <c r="E107" s="1466"/>
      <c r="F107" s="1466"/>
      <c r="G107" s="1466"/>
      <c r="H107" s="1466"/>
      <c r="I107" s="1466"/>
      <c r="J107" s="1466"/>
      <c r="K107" s="1466"/>
      <c r="Q107" s="547"/>
      <c r="R107" s="547"/>
      <c r="S107" s="547"/>
    </row>
    <row r="108" spans="4:19" s="44" customFormat="1" ht="15" customHeight="1" x14ac:dyDescent="0.2">
      <c r="D108" s="1466"/>
      <c r="E108" s="1466"/>
      <c r="F108" s="1466"/>
      <c r="G108" s="1466"/>
      <c r="H108" s="1466"/>
      <c r="I108" s="1466"/>
      <c r="J108" s="1466"/>
      <c r="K108" s="1466"/>
      <c r="Q108" s="547"/>
      <c r="R108" s="547"/>
      <c r="S108" s="547"/>
    </row>
    <row r="109" spans="4:19" s="44" customFormat="1" ht="15" customHeight="1" x14ac:dyDescent="0.2">
      <c r="Q109" s="547"/>
      <c r="R109" s="547"/>
      <c r="S109" s="547"/>
    </row>
    <row r="110" spans="4:19" s="44" customFormat="1" ht="15" customHeight="1" x14ac:dyDescent="0.25">
      <c r="D110" s="1468" t="s">
        <v>2614</v>
      </c>
      <c r="E110" s="1468"/>
      <c r="F110" s="1468"/>
      <c r="G110" s="1468"/>
      <c r="H110" s="1468"/>
      <c r="I110" s="1468"/>
      <c r="J110" s="1468"/>
      <c r="K110" s="1468"/>
      <c r="Q110" s="547"/>
      <c r="R110" s="547"/>
      <c r="S110" s="547"/>
    </row>
    <row r="111" spans="4:19" s="44" customFormat="1" ht="5.25" customHeight="1" x14ac:dyDescent="0.2">
      <c r="Q111" s="547"/>
      <c r="R111" s="547"/>
      <c r="S111" s="547"/>
    </row>
    <row r="112" spans="4:19" s="44" customFormat="1" ht="15" customHeight="1" x14ac:dyDescent="0.2">
      <c r="D112" s="1475"/>
      <c r="E112" s="1475"/>
      <c r="F112" s="1475"/>
      <c r="G112" s="1475"/>
      <c r="H112" s="1475"/>
      <c r="I112" s="1475"/>
      <c r="J112" s="1475"/>
      <c r="K112" s="1475"/>
      <c r="Q112" s="547"/>
      <c r="R112" s="547"/>
      <c r="S112" s="547"/>
    </row>
    <row r="113" spans="4:19" s="44" customFormat="1" ht="15" customHeight="1" x14ac:dyDescent="0.2">
      <c r="D113" s="1475"/>
      <c r="E113" s="1475"/>
      <c r="F113" s="1475"/>
      <c r="G113" s="1475"/>
      <c r="H113" s="1475"/>
      <c r="I113" s="1475"/>
      <c r="J113" s="1475"/>
      <c r="K113" s="1475"/>
      <c r="Q113" s="547"/>
      <c r="R113" s="547"/>
      <c r="S113" s="547"/>
    </row>
    <row r="114" spans="4:19" s="44" customFormat="1" ht="15" customHeight="1" x14ac:dyDescent="0.2">
      <c r="D114" s="1475"/>
      <c r="E114" s="1475"/>
      <c r="F114" s="1475"/>
      <c r="G114" s="1475"/>
      <c r="H114" s="1475"/>
      <c r="I114" s="1475"/>
      <c r="J114" s="1475"/>
      <c r="K114" s="1475"/>
      <c r="Q114" s="547"/>
      <c r="R114" s="547"/>
      <c r="S114" s="547"/>
    </row>
    <row r="115" spans="4:19" s="44" customFormat="1" ht="15" customHeight="1" x14ac:dyDescent="0.2">
      <c r="D115" s="1475"/>
      <c r="E115" s="1475"/>
      <c r="F115" s="1475"/>
      <c r="G115" s="1475"/>
      <c r="H115" s="1475"/>
      <c r="I115" s="1475"/>
      <c r="J115" s="1475"/>
      <c r="K115" s="1475"/>
      <c r="Q115" s="547"/>
      <c r="R115" s="547"/>
      <c r="S115" s="547"/>
    </row>
    <row r="116" spans="4:19" s="44" customFormat="1" ht="15" customHeight="1" x14ac:dyDescent="0.2">
      <c r="Q116" s="547"/>
      <c r="R116" s="547"/>
      <c r="S116" s="547"/>
    </row>
    <row r="117" spans="4:19" s="44" customFormat="1" ht="15" customHeight="1" x14ac:dyDescent="0.2">
      <c r="D117" s="1466" t="s">
        <v>3523</v>
      </c>
      <c r="E117" s="1466"/>
      <c r="F117" s="1466"/>
      <c r="G117" s="1466"/>
      <c r="H117" s="1466"/>
      <c r="I117" s="1466"/>
      <c r="J117" s="1466"/>
      <c r="K117" s="1466"/>
      <c r="Q117" s="547"/>
      <c r="R117" s="547"/>
      <c r="S117" s="547"/>
    </row>
    <row r="118" spans="4:19" s="44" customFormat="1" ht="15" customHeight="1" x14ac:dyDescent="0.2">
      <c r="D118" s="1466"/>
      <c r="E118" s="1466"/>
      <c r="F118" s="1466"/>
      <c r="G118" s="1466"/>
      <c r="H118" s="1466"/>
      <c r="I118" s="1466"/>
      <c r="J118" s="1466"/>
      <c r="K118" s="1466"/>
      <c r="Q118" s="547"/>
      <c r="R118" s="547"/>
      <c r="S118" s="547"/>
    </row>
    <row r="119" spans="4:19" s="44" customFormat="1" ht="15" customHeight="1" x14ac:dyDescent="0.2">
      <c r="D119" s="1466"/>
      <c r="E119" s="1466"/>
      <c r="F119" s="1466"/>
      <c r="G119" s="1466"/>
      <c r="H119" s="1466"/>
      <c r="I119" s="1466"/>
      <c r="J119" s="1466"/>
      <c r="K119" s="1466"/>
      <c r="Q119" s="547"/>
      <c r="R119" s="547"/>
      <c r="S119" s="547"/>
    </row>
    <row r="120" spans="4:19" s="44" customFormat="1" ht="15" customHeight="1" x14ac:dyDescent="0.2">
      <c r="Q120" s="547"/>
      <c r="R120" s="547"/>
      <c r="S120" s="547"/>
    </row>
    <row r="121" spans="4:19" s="44" customFormat="1" ht="15" customHeight="1" x14ac:dyDescent="0.25">
      <c r="D121" s="1468" t="s">
        <v>2614</v>
      </c>
      <c r="E121" s="1468"/>
      <c r="F121" s="1468"/>
      <c r="G121" s="1468"/>
      <c r="H121" s="1468"/>
      <c r="I121" s="1468"/>
      <c r="J121" s="1468"/>
      <c r="K121" s="1468"/>
      <c r="Q121" s="547"/>
      <c r="R121" s="547"/>
      <c r="S121" s="547"/>
    </row>
    <row r="122" spans="4:19" s="44" customFormat="1" ht="5.25" customHeight="1" x14ac:dyDescent="0.2">
      <c r="Q122" s="547"/>
      <c r="R122" s="547"/>
      <c r="S122" s="547"/>
    </row>
    <row r="123" spans="4:19" s="44" customFormat="1" ht="15" customHeight="1" x14ac:dyDescent="0.2">
      <c r="D123" s="1475"/>
      <c r="E123" s="1475"/>
      <c r="F123" s="1475"/>
      <c r="G123" s="1475"/>
      <c r="H123" s="1475"/>
      <c r="I123" s="1475"/>
      <c r="J123" s="1475"/>
      <c r="K123" s="1475"/>
      <c r="Q123" s="547"/>
      <c r="R123" s="547"/>
      <c r="S123" s="547"/>
    </row>
    <row r="124" spans="4:19" s="44" customFormat="1" ht="15" customHeight="1" x14ac:dyDescent="0.2">
      <c r="D124" s="1475"/>
      <c r="E124" s="1475"/>
      <c r="F124" s="1475"/>
      <c r="G124" s="1475"/>
      <c r="H124" s="1475"/>
      <c r="I124" s="1475"/>
      <c r="J124" s="1475"/>
      <c r="K124" s="1475"/>
      <c r="Q124" s="547"/>
      <c r="R124" s="547"/>
      <c r="S124" s="547"/>
    </row>
    <row r="125" spans="4:19" s="44" customFormat="1" ht="15" customHeight="1" x14ac:dyDescent="0.2">
      <c r="D125" s="1475"/>
      <c r="E125" s="1475"/>
      <c r="F125" s="1475"/>
      <c r="G125" s="1475"/>
      <c r="H125" s="1475"/>
      <c r="I125" s="1475"/>
      <c r="J125" s="1475"/>
      <c r="K125" s="1475"/>
      <c r="Q125" s="547"/>
      <c r="R125" s="547"/>
      <c r="S125" s="547"/>
    </row>
    <row r="126" spans="4:19" s="44" customFormat="1" ht="15" customHeight="1" x14ac:dyDescent="0.2">
      <c r="D126" s="1475"/>
      <c r="E126" s="1475"/>
      <c r="F126" s="1475"/>
      <c r="G126" s="1475"/>
      <c r="H126" s="1475"/>
      <c r="I126" s="1475"/>
      <c r="J126" s="1475"/>
      <c r="K126" s="1475"/>
      <c r="Q126" s="547"/>
      <c r="R126" s="547"/>
      <c r="S126" s="547"/>
    </row>
    <row r="127" spans="4:19" s="44" customFormat="1" ht="15" customHeight="1" x14ac:dyDescent="0.2">
      <c r="Q127" s="547"/>
      <c r="R127" s="547"/>
      <c r="S127" s="547"/>
    </row>
    <row r="128" spans="4:19" s="44" customFormat="1" ht="15" customHeight="1" x14ac:dyDescent="0.2">
      <c r="D128" s="1466" t="s">
        <v>3524</v>
      </c>
      <c r="E128" s="1466"/>
      <c r="F128" s="1466"/>
      <c r="G128" s="1466"/>
      <c r="H128" s="1466"/>
      <c r="I128" s="1466"/>
      <c r="J128" s="1466"/>
      <c r="K128" s="1466"/>
      <c r="Q128" s="547"/>
      <c r="R128" s="547"/>
      <c r="S128" s="547"/>
    </row>
    <row r="129" spans="4:19" s="44" customFormat="1" ht="15" customHeight="1" x14ac:dyDescent="0.2">
      <c r="D129" s="1466"/>
      <c r="E129" s="1466"/>
      <c r="F129" s="1466"/>
      <c r="G129" s="1466"/>
      <c r="H129" s="1466"/>
      <c r="I129" s="1466"/>
      <c r="J129" s="1466"/>
      <c r="K129" s="1466"/>
      <c r="Q129" s="547"/>
      <c r="R129" s="547"/>
      <c r="S129" s="547"/>
    </row>
    <row r="130" spans="4:19" s="44" customFormat="1" ht="15" customHeight="1" x14ac:dyDescent="0.2">
      <c r="Q130" s="547"/>
      <c r="R130" s="547"/>
      <c r="S130" s="547"/>
    </row>
    <row r="131" spans="4:19" s="44" customFormat="1" ht="15" customHeight="1" x14ac:dyDescent="0.25">
      <c r="D131" s="1468" t="s">
        <v>2614</v>
      </c>
      <c r="E131" s="1468"/>
      <c r="F131" s="1468"/>
      <c r="G131" s="1468"/>
      <c r="H131" s="1468"/>
      <c r="I131" s="1468"/>
      <c r="J131" s="1468"/>
      <c r="K131" s="1468"/>
      <c r="Q131" s="547"/>
      <c r="R131" s="547"/>
      <c r="S131" s="547"/>
    </row>
    <row r="132" spans="4:19" s="44" customFormat="1" ht="5.25" customHeight="1" x14ac:dyDescent="0.2">
      <c r="Q132" s="547"/>
      <c r="R132" s="547"/>
      <c r="S132" s="547"/>
    </row>
    <row r="133" spans="4:19" s="44" customFormat="1" ht="15" customHeight="1" x14ac:dyDescent="0.2">
      <c r="D133" s="1475"/>
      <c r="E133" s="1475"/>
      <c r="F133" s="1475"/>
      <c r="G133" s="1475"/>
      <c r="H133" s="1475"/>
      <c r="I133" s="1475"/>
      <c r="J133" s="1475"/>
      <c r="K133" s="1475"/>
      <c r="Q133" s="547"/>
      <c r="R133" s="547"/>
      <c r="S133" s="547"/>
    </row>
    <row r="134" spans="4:19" s="44" customFormat="1" ht="15" customHeight="1" x14ac:dyDescent="0.2">
      <c r="D134" s="1475"/>
      <c r="E134" s="1475"/>
      <c r="F134" s="1475"/>
      <c r="G134" s="1475"/>
      <c r="H134" s="1475"/>
      <c r="I134" s="1475"/>
      <c r="J134" s="1475"/>
      <c r="K134" s="1475"/>
      <c r="Q134" s="547"/>
      <c r="R134" s="547"/>
      <c r="S134" s="547"/>
    </row>
    <row r="135" spans="4:19" s="44" customFormat="1" ht="15" customHeight="1" x14ac:dyDescent="0.2">
      <c r="D135" s="1475"/>
      <c r="E135" s="1475"/>
      <c r="F135" s="1475"/>
      <c r="G135" s="1475"/>
      <c r="H135" s="1475"/>
      <c r="I135" s="1475"/>
      <c r="J135" s="1475"/>
      <c r="K135" s="1475"/>
      <c r="Q135" s="547"/>
      <c r="R135" s="547"/>
      <c r="S135" s="547"/>
    </row>
    <row r="136" spans="4:19" s="44" customFormat="1" ht="15" customHeight="1" x14ac:dyDescent="0.2">
      <c r="D136" s="1475"/>
      <c r="E136" s="1475"/>
      <c r="F136" s="1475"/>
      <c r="G136" s="1475"/>
      <c r="H136" s="1475"/>
      <c r="I136" s="1475"/>
      <c r="J136" s="1475"/>
      <c r="K136" s="1475"/>
      <c r="Q136" s="547"/>
      <c r="R136" s="547"/>
      <c r="S136" s="547"/>
    </row>
    <row r="137" spans="4:19" s="44" customFormat="1" ht="15" customHeight="1" x14ac:dyDescent="0.2">
      <c r="Q137" s="547"/>
      <c r="R137" s="547"/>
      <c r="S137" s="547"/>
    </row>
    <row r="138" spans="4:19" s="44" customFormat="1" ht="15" customHeight="1" x14ac:dyDescent="0.2">
      <c r="D138" s="1466" t="s">
        <v>3525</v>
      </c>
      <c r="E138" s="1466"/>
      <c r="F138" s="1466"/>
      <c r="G138" s="1466"/>
      <c r="H138" s="1466"/>
      <c r="I138" s="1466"/>
      <c r="J138" s="1466"/>
      <c r="K138" s="1466"/>
      <c r="Q138" s="547"/>
      <c r="R138" s="547"/>
      <c r="S138" s="547"/>
    </row>
    <row r="139" spans="4:19" s="44" customFormat="1" ht="15" customHeight="1" x14ac:dyDescent="0.2">
      <c r="D139" s="1466"/>
      <c r="E139" s="1466"/>
      <c r="F139" s="1466"/>
      <c r="G139" s="1466"/>
      <c r="H139" s="1466"/>
      <c r="I139" s="1466"/>
      <c r="J139" s="1466"/>
      <c r="K139" s="1466"/>
      <c r="Q139" s="547"/>
      <c r="R139" s="547"/>
      <c r="S139" s="547"/>
    </row>
    <row r="140" spans="4:19" s="44" customFormat="1" ht="15" customHeight="1" x14ac:dyDescent="0.2">
      <c r="Q140" s="547"/>
      <c r="R140" s="547"/>
      <c r="S140" s="547"/>
    </row>
    <row r="141" spans="4:19" s="44" customFormat="1" ht="15" customHeight="1" x14ac:dyDescent="0.25">
      <c r="D141" s="1468" t="s">
        <v>2614</v>
      </c>
      <c r="E141" s="1468"/>
      <c r="F141" s="1468"/>
      <c r="G141" s="1468"/>
      <c r="H141" s="1468"/>
      <c r="I141" s="1468"/>
      <c r="J141" s="1468"/>
      <c r="K141" s="1468"/>
      <c r="Q141" s="547"/>
      <c r="R141" s="547"/>
      <c r="S141" s="547"/>
    </row>
    <row r="142" spans="4:19" s="44" customFormat="1" ht="5.25" customHeight="1" x14ac:dyDescent="0.2">
      <c r="Q142" s="547"/>
      <c r="R142" s="547"/>
      <c r="S142" s="547"/>
    </row>
    <row r="143" spans="4:19" s="44" customFormat="1" ht="15" customHeight="1" x14ac:dyDescent="0.2">
      <c r="D143" s="1475"/>
      <c r="E143" s="1475"/>
      <c r="F143" s="1475"/>
      <c r="G143" s="1475"/>
      <c r="H143" s="1475"/>
      <c r="I143" s="1475"/>
      <c r="J143" s="1475"/>
      <c r="K143" s="1475"/>
      <c r="Q143" s="547"/>
      <c r="R143" s="547"/>
      <c r="S143" s="547"/>
    </row>
    <row r="144" spans="4:19" s="44" customFormat="1" ht="15" customHeight="1" x14ac:dyDescent="0.2">
      <c r="D144" s="1475"/>
      <c r="E144" s="1475"/>
      <c r="F144" s="1475"/>
      <c r="G144" s="1475"/>
      <c r="H144" s="1475"/>
      <c r="I144" s="1475"/>
      <c r="J144" s="1475"/>
      <c r="K144" s="1475"/>
      <c r="Q144" s="547"/>
      <c r="R144" s="547"/>
      <c r="S144" s="547"/>
    </row>
    <row r="145" spans="3:19" s="44" customFormat="1" ht="15" customHeight="1" x14ac:dyDescent="0.2">
      <c r="D145" s="1475"/>
      <c r="E145" s="1475"/>
      <c r="F145" s="1475"/>
      <c r="G145" s="1475"/>
      <c r="H145" s="1475"/>
      <c r="I145" s="1475"/>
      <c r="J145" s="1475"/>
      <c r="K145" s="1475"/>
      <c r="Q145" s="547"/>
      <c r="R145" s="547"/>
      <c r="S145" s="547"/>
    </row>
    <row r="146" spans="3:19" s="44" customFormat="1" ht="15" customHeight="1" x14ac:dyDescent="0.2">
      <c r="D146" s="1475"/>
      <c r="E146" s="1475"/>
      <c r="F146" s="1475"/>
      <c r="G146" s="1475"/>
      <c r="H146" s="1475"/>
      <c r="I146" s="1475"/>
      <c r="J146" s="1475"/>
      <c r="K146" s="1475"/>
      <c r="Q146" s="547"/>
      <c r="R146" s="547"/>
      <c r="S146" s="547"/>
    </row>
    <row r="147" spans="3:19" s="44" customFormat="1" ht="15" customHeight="1" x14ac:dyDescent="0.2">
      <c r="Q147" s="547"/>
      <c r="R147" s="547"/>
      <c r="S147" s="547"/>
    </row>
    <row r="148" spans="3:19" s="44" customFormat="1" ht="15" customHeight="1" x14ac:dyDescent="0.2">
      <c r="Q148" s="547"/>
      <c r="R148" s="547"/>
      <c r="S148" s="547"/>
    </row>
    <row r="149" spans="3:19" s="44" customFormat="1" ht="15" customHeight="1" x14ac:dyDescent="0.2">
      <c r="C149" s="1470" t="s">
        <v>2615</v>
      </c>
      <c r="D149" s="1470"/>
      <c r="E149" s="1470"/>
      <c r="F149" s="1470"/>
      <c r="G149" s="1470"/>
      <c r="H149" s="1470"/>
      <c r="I149" s="1471" t="s">
        <v>2612</v>
      </c>
      <c r="J149" s="1472"/>
      <c r="K149" s="714"/>
      <c r="Q149" s="547"/>
      <c r="R149" s="547"/>
      <c r="S149" s="547"/>
    </row>
    <row r="150" spans="3:19" s="44" customFormat="1" ht="15" customHeight="1" x14ac:dyDescent="0.2">
      <c r="Q150" s="547"/>
      <c r="R150" s="547"/>
      <c r="S150" s="547"/>
    </row>
    <row r="151" spans="3:19" s="44" customFormat="1" ht="15" customHeight="1" x14ac:dyDescent="0.2">
      <c r="C151" s="1473" t="s">
        <v>3526</v>
      </c>
      <c r="D151" s="1473"/>
      <c r="E151" s="1473"/>
      <c r="F151" s="1473"/>
      <c r="G151" s="1473"/>
      <c r="H151" s="1473"/>
      <c r="I151" s="1473"/>
      <c r="J151" s="1473"/>
      <c r="K151" s="1473"/>
      <c r="Q151" s="547"/>
      <c r="R151" s="547"/>
      <c r="S151" s="547"/>
    </row>
    <row r="152" spans="3:19" s="44" customFormat="1" ht="15" customHeight="1" x14ac:dyDescent="0.2">
      <c r="C152" s="1473"/>
      <c r="D152" s="1473"/>
      <c r="E152" s="1473"/>
      <c r="F152" s="1473"/>
      <c r="G152" s="1473"/>
      <c r="H152" s="1473"/>
      <c r="I152" s="1473"/>
      <c r="J152" s="1473"/>
      <c r="K152" s="1473"/>
      <c r="Q152" s="547"/>
      <c r="R152" s="547"/>
      <c r="S152" s="547"/>
    </row>
    <row r="153" spans="3:19" s="44" customFormat="1" ht="15" customHeight="1" x14ac:dyDescent="0.2">
      <c r="Q153" s="547"/>
      <c r="R153" s="547"/>
      <c r="S153" s="547"/>
    </row>
    <row r="154" spans="3:19" s="44" customFormat="1" ht="15" customHeight="1" x14ac:dyDescent="0.2">
      <c r="D154" s="1491" t="s">
        <v>3527</v>
      </c>
      <c r="E154" s="1491"/>
      <c r="F154" s="1491"/>
      <c r="G154" s="1491"/>
      <c r="H154" s="1491"/>
      <c r="I154" s="1491"/>
      <c r="J154" s="1491"/>
      <c r="K154" s="1491"/>
      <c r="Q154" s="547"/>
      <c r="R154" s="547"/>
      <c r="S154" s="547"/>
    </row>
    <row r="155" spans="3:19" s="44" customFormat="1" ht="15" customHeight="1" x14ac:dyDescent="0.2">
      <c r="D155" s="1491"/>
      <c r="E155" s="1491"/>
      <c r="F155" s="1491"/>
      <c r="G155" s="1491"/>
      <c r="H155" s="1491"/>
      <c r="I155" s="1491"/>
      <c r="J155" s="1491"/>
      <c r="K155" s="1491"/>
      <c r="Q155" s="547"/>
      <c r="R155" s="547"/>
      <c r="S155" s="547"/>
    </row>
    <row r="156" spans="3:19" s="44" customFormat="1" ht="15" customHeight="1" x14ac:dyDescent="0.2">
      <c r="D156" s="1491"/>
      <c r="E156" s="1491"/>
      <c r="F156" s="1491"/>
      <c r="G156" s="1491"/>
      <c r="H156" s="1491"/>
      <c r="I156" s="1491"/>
      <c r="J156" s="1491"/>
      <c r="K156" s="1491"/>
      <c r="Q156" s="547"/>
      <c r="R156" s="547"/>
      <c r="S156" s="547"/>
    </row>
    <row r="157" spans="3:19" s="44" customFormat="1" ht="15" customHeight="1" x14ac:dyDescent="0.2">
      <c r="Q157" s="547"/>
      <c r="R157" s="547"/>
      <c r="S157" s="547"/>
    </row>
    <row r="158" spans="3:19" s="44" customFormat="1" ht="15" customHeight="1" x14ac:dyDescent="0.25">
      <c r="D158" s="1468" t="s">
        <v>2614</v>
      </c>
      <c r="E158" s="1468"/>
      <c r="F158" s="1468"/>
      <c r="G158" s="1468"/>
      <c r="H158" s="1468"/>
      <c r="I158" s="1468"/>
      <c r="J158" s="1468"/>
      <c r="K158" s="1468"/>
      <c r="Q158" s="547"/>
      <c r="R158" s="547"/>
      <c r="S158" s="547"/>
    </row>
    <row r="159" spans="3:19" s="44" customFormat="1" ht="5.25" customHeight="1" x14ac:dyDescent="0.2">
      <c r="Q159" s="547"/>
      <c r="R159" s="547"/>
      <c r="S159" s="547"/>
    </row>
    <row r="160" spans="3:19" s="44" customFormat="1" ht="15" customHeight="1" x14ac:dyDescent="0.2">
      <c r="D160" s="1475"/>
      <c r="E160" s="1475"/>
      <c r="F160" s="1475"/>
      <c r="G160" s="1475"/>
      <c r="H160" s="1475"/>
      <c r="I160" s="1475"/>
      <c r="J160" s="1475"/>
      <c r="K160" s="1475"/>
      <c r="Q160" s="547"/>
      <c r="R160" s="547"/>
      <c r="S160" s="547"/>
    </row>
    <row r="161" spans="3:19" s="44" customFormat="1" ht="15" customHeight="1" x14ac:dyDescent="0.2">
      <c r="D161" s="1475"/>
      <c r="E161" s="1475"/>
      <c r="F161" s="1475"/>
      <c r="G161" s="1475"/>
      <c r="H161" s="1475"/>
      <c r="I161" s="1475"/>
      <c r="J161" s="1475"/>
      <c r="K161" s="1475"/>
      <c r="Q161" s="547"/>
      <c r="R161" s="547"/>
      <c r="S161" s="547"/>
    </row>
    <row r="162" spans="3:19" s="44" customFormat="1" ht="15" customHeight="1" x14ac:dyDescent="0.2">
      <c r="D162" s="1475"/>
      <c r="E162" s="1475"/>
      <c r="F162" s="1475"/>
      <c r="G162" s="1475"/>
      <c r="H162" s="1475"/>
      <c r="I162" s="1475"/>
      <c r="J162" s="1475"/>
      <c r="K162" s="1475"/>
      <c r="Q162" s="547"/>
      <c r="R162" s="547"/>
      <c r="S162" s="547"/>
    </row>
    <row r="163" spans="3:19" s="44" customFormat="1" ht="15" customHeight="1" x14ac:dyDescent="0.2">
      <c r="D163" s="1475"/>
      <c r="E163" s="1475"/>
      <c r="F163" s="1475"/>
      <c r="G163" s="1475"/>
      <c r="H163" s="1475"/>
      <c r="I163" s="1475"/>
      <c r="J163" s="1475"/>
      <c r="K163" s="1475"/>
      <c r="Q163" s="547"/>
      <c r="R163" s="547"/>
      <c r="S163" s="547"/>
    </row>
    <row r="164" spans="3:19" s="44" customFormat="1" ht="15" customHeight="1" x14ac:dyDescent="0.2">
      <c r="Q164" s="547"/>
      <c r="R164" s="547"/>
      <c r="S164" s="547"/>
    </row>
    <row r="165" spans="3:19" s="44" customFormat="1" ht="15" customHeight="1" x14ac:dyDescent="0.2">
      <c r="Q165" s="547"/>
      <c r="R165" s="547"/>
      <c r="S165" s="547"/>
    </row>
    <row r="166" spans="3:19" s="44" customFormat="1" ht="15" customHeight="1" x14ac:dyDescent="0.25">
      <c r="C166" s="1468" t="s">
        <v>2616</v>
      </c>
      <c r="D166" s="1468"/>
      <c r="E166" s="1468"/>
      <c r="F166" s="1468"/>
      <c r="G166" s="1468"/>
      <c r="H166" s="1468"/>
      <c r="I166" s="1468"/>
      <c r="J166" s="1468"/>
      <c r="K166" s="1468"/>
      <c r="Q166" s="547"/>
      <c r="R166" s="547"/>
      <c r="S166" s="547"/>
    </row>
    <row r="167" spans="3:19" s="44" customFormat="1" ht="3" customHeight="1" x14ac:dyDescent="0.2">
      <c r="C167" s="1482"/>
      <c r="D167" s="1482"/>
      <c r="E167" s="1482"/>
      <c r="F167" s="1482"/>
      <c r="G167" s="1482"/>
      <c r="H167" s="1482"/>
      <c r="I167" s="1482"/>
      <c r="J167" s="1482"/>
      <c r="K167" s="1482"/>
      <c r="Q167" s="547"/>
      <c r="R167" s="547"/>
      <c r="S167" s="547"/>
    </row>
    <row r="168" spans="3:19" s="44" customFormat="1" ht="15" customHeight="1" x14ac:dyDescent="0.2">
      <c r="Q168" s="547"/>
      <c r="R168" s="547"/>
      <c r="S168" s="547"/>
    </row>
    <row r="169" spans="3:19" s="44" customFormat="1" ht="15" customHeight="1" x14ac:dyDescent="0.2">
      <c r="C169" s="1469" t="s">
        <v>3528</v>
      </c>
      <c r="D169" s="1469"/>
      <c r="E169" s="1469"/>
      <c r="F169" s="1469"/>
      <c r="G169" s="1469"/>
      <c r="H169" s="1469"/>
      <c r="I169" s="1469"/>
      <c r="J169" s="1469"/>
      <c r="K169" s="1469"/>
      <c r="Q169" s="547"/>
      <c r="R169" s="547"/>
      <c r="S169" s="547"/>
    </row>
    <row r="170" spans="3:19" s="44" customFormat="1" ht="15" customHeight="1" x14ac:dyDescent="0.2">
      <c r="C170" s="1469"/>
      <c r="D170" s="1469"/>
      <c r="E170" s="1469"/>
      <c r="F170" s="1469"/>
      <c r="G170" s="1469"/>
      <c r="H170" s="1469"/>
      <c r="I170" s="1469"/>
      <c r="J170" s="1469"/>
      <c r="K170" s="1469"/>
      <c r="Q170" s="547"/>
      <c r="R170" s="547"/>
      <c r="S170" s="547"/>
    </row>
    <row r="171" spans="3:19" s="44" customFormat="1" ht="15" customHeight="1" x14ac:dyDescent="0.2">
      <c r="C171" s="1469"/>
      <c r="D171" s="1469"/>
      <c r="E171" s="1469"/>
      <c r="F171" s="1469"/>
      <c r="G171" s="1469"/>
      <c r="H171" s="1469"/>
      <c r="I171" s="1469"/>
      <c r="J171" s="1469"/>
      <c r="K171" s="1469"/>
      <c r="Q171" s="547"/>
      <c r="R171" s="547"/>
      <c r="S171" s="547"/>
    </row>
    <row r="172" spans="3:19" s="44" customFormat="1" ht="15" customHeight="1" x14ac:dyDescent="0.2">
      <c r="C172" s="1469"/>
      <c r="D172" s="1469"/>
      <c r="E172" s="1469"/>
      <c r="F172" s="1469"/>
      <c r="G172" s="1469"/>
      <c r="H172" s="1469"/>
      <c r="I172" s="1469"/>
      <c r="J172" s="1469"/>
      <c r="K172" s="1469"/>
      <c r="Q172" s="547"/>
      <c r="R172" s="547"/>
      <c r="S172" s="547"/>
    </row>
    <row r="173" spans="3:19" s="44" customFormat="1" ht="15" customHeight="1" x14ac:dyDescent="0.2">
      <c r="C173" s="1469"/>
      <c r="D173" s="1469"/>
      <c r="E173" s="1469"/>
      <c r="F173" s="1469"/>
      <c r="G173" s="1469"/>
      <c r="H173" s="1469"/>
      <c r="I173" s="1469"/>
      <c r="J173" s="1469"/>
      <c r="K173" s="1469"/>
      <c r="Q173" s="547"/>
      <c r="R173" s="547"/>
      <c r="S173" s="547"/>
    </row>
    <row r="174" spans="3:19" s="44" customFormat="1" ht="15" customHeight="1" x14ac:dyDescent="0.2">
      <c r="Q174" s="547"/>
      <c r="R174" s="547"/>
      <c r="S174" s="547"/>
    </row>
    <row r="175" spans="3:19" s="44" customFormat="1" ht="15" customHeight="1" x14ac:dyDescent="0.2">
      <c r="C175" s="1499" t="s">
        <v>2617</v>
      </c>
      <c r="D175" s="1499"/>
      <c r="E175" s="1499"/>
      <c r="F175" s="716" t="str">
        <f>IF(F59="","Enter Info Above",F59)</f>
        <v>Enter Info Above</v>
      </c>
      <c r="Q175" s="547"/>
      <c r="R175" s="547"/>
      <c r="S175" s="547"/>
    </row>
    <row r="176" spans="3:19" s="44" customFormat="1" ht="15" customHeight="1" x14ac:dyDescent="0.2">
      <c r="C176" s="1499" t="s">
        <v>2618</v>
      </c>
      <c r="D176" s="1499"/>
      <c r="E176" s="1500"/>
      <c r="F176" s="716" t="str">
        <f>IF(Details!$E$13="","",Details!$E$13)</f>
        <v/>
      </c>
      <c r="Q176" s="547"/>
      <c r="R176" s="547"/>
      <c r="S176" s="547"/>
    </row>
    <row r="177" spans="3:19" s="44" customFormat="1" ht="15" customHeight="1" x14ac:dyDescent="0.2">
      <c r="C177" s="563" t="s">
        <v>2619</v>
      </c>
      <c r="D177" s="563"/>
      <c r="E177" s="717"/>
      <c r="F177" s="1064" t="str">
        <f>IFERROR(VLOOKUP(F176,Data!$B$11:$AH$3178,32,FALSE),"Enter Tract Above")</f>
        <v>Enter Tract Above</v>
      </c>
      <c r="Q177" s="547"/>
      <c r="R177" s="547"/>
      <c r="S177" s="547"/>
    </row>
    <row r="178" spans="3:19" s="44" customFormat="1" ht="15" customHeight="1" x14ac:dyDescent="0.2">
      <c r="C178" s="1501" t="s">
        <v>2620</v>
      </c>
      <c r="D178" s="1501"/>
      <c r="E178" s="1502"/>
      <c r="F178" s="718" t="str">
        <f>IFERROR(VLOOKUP(F176,Data!$B$11:$AH$3178,33,FALSE),"Enter Tract Above")</f>
        <v>Enter Tract Above</v>
      </c>
      <c r="Q178" s="547"/>
      <c r="R178" s="547"/>
      <c r="S178" s="547"/>
    </row>
    <row r="179" spans="3:19" s="44" customFormat="1" ht="15" customHeight="1" x14ac:dyDescent="0.2">
      <c r="C179" s="585"/>
      <c r="D179" s="585"/>
      <c r="E179" s="585"/>
      <c r="F179" s="1066"/>
      <c r="Q179" s="547"/>
      <c r="R179" s="547"/>
      <c r="S179" s="547"/>
    </row>
    <row r="180" spans="3:19" s="44" customFormat="1" ht="15" customHeight="1" x14ac:dyDescent="0.2">
      <c r="C180" s="1503" t="s">
        <v>2621</v>
      </c>
      <c r="D180" s="1503"/>
      <c r="E180" s="1503"/>
      <c r="F180" s="578" t="str">
        <f>IF(F176="Enter Tract Above","Enter Tract Above",IF(AND(F175="No",F178="No"),"Yes","No"))</f>
        <v>No</v>
      </c>
      <c r="Q180" s="547"/>
      <c r="R180" s="547"/>
      <c r="S180" s="547"/>
    </row>
    <row r="181" spans="3:19" s="44" customFormat="1" ht="15" customHeight="1" x14ac:dyDescent="0.2">
      <c r="C181" s="1503" t="s">
        <v>3530</v>
      </c>
      <c r="D181" s="1503"/>
      <c r="E181" s="1503"/>
      <c r="F181" s="1065" t="str">
        <f>IF(F180="No","No","Yes")</f>
        <v>No</v>
      </c>
      <c r="Q181" s="547"/>
      <c r="R181" s="547"/>
      <c r="S181" s="547"/>
    </row>
    <row r="182" spans="3:19" s="44" customFormat="1" ht="15" customHeight="1" x14ac:dyDescent="0.2">
      <c r="C182" s="1489"/>
      <c r="D182" s="1489"/>
      <c r="E182" s="1489"/>
      <c r="Q182" s="547"/>
      <c r="R182" s="547"/>
      <c r="S182" s="547"/>
    </row>
    <row r="183" spans="3:19" s="44" customFormat="1" ht="15" customHeight="1" x14ac:dyDescent="0.2">
      <c r="D183" s="1491" t="s">
        <v>3529</v>
      </c>
      <c r="E183" s="1491"/>
      <c r="F183" s="1491"/>
      <c r="G183" s="1491"/>
      <c r="H183" s="1491"/>
      <c r="I183" s="1491"/>
      <c r="J183" s="1491"/>
      <c r="K183" s="1491"/>
      <c r="Q183" s="547"/>
      <c r="R183" s="547"/>
      <c r="S183" s="547"/>
    </row>
    <row r="184" spans="3:19" s="44" customFormat="1" ht="15" customHeight="1" x14ac:dyDescent="0.2">
      <c r="Q184" s="547"/>
      <c r="R184" s="547"/>
      <c r="S184" s="547"/>
    </row>
    <row r="185" spans="3:19" s="44" customFormat="1" ht="15" customHeight="1" x14ac:dyDescent="0.25">
      <c r="D185" s="1468" t="s">
        <v>2614</v>
      </c>
      <c r="E185" s="1468"/>
      <c r="F185" s="1468"/>
      <c r="G185" s="1468"/>
      <c r="H185" s="1468"/>
      <c r="I185" s="1468"/>
      <c r="J185" s="1468"/>
      <c r="K185" s="1468"/>
      <c r="Q185" s="547"/>
      <c r="R185" s="547"/>
      <c r="S185" s="547"/>
    </row>
    <row r="186" spans="3:19" s="44" customFormat="1" ht="5.25" customHeight="1" x14ac:dyDescent="0.2">
      <c r="Q186" s="547"/>
      <c r="R186" s="547"/>
      <c r="S186" s="547"/>
    </row>
    <row r="187" spans="3:19" s="44" customFormat="1" ht="15" customHeight="1" x14ac:dyDescent="0.2">
      <c r="D187" s="1475"/>
      <c r="E187" s="1475"/>
      <c r="F187" s="1475"/>
      <c r="G187" s="1475"/>
      <c r="H187" s="1475"/>
      <c r="I187" s="1475"/>
      <c r="J187" s="1475"/>
      <c r="K187" s="1475"/>
      <c r="Q187" s="547"/>
      <c r="R187" s="547"/>
      <c r="S187" s="547"/>
    </row>
    <row r="188" spans="3:19" s="44" customFormat="1" ht="15" customHeight="1" x14ac:dyDescent="0.2">
      <c r="D188" s="1475"/>
      <c r="E188" s="1475"/>
      <c r="F188" s="1475"/>
      <c r="G188" s="1475"/>
      <c r="H188" s="1475"/>
      <c r="I188" s="1475"/>
      <c r="J188" s="1475"/>
      <c r="K188" s="1475"/>
      <c r="Q188" s="547"/>
      <c r="R188" s="547"/>
      <c r="S188" s="547"/>
    </row>
    <row r="189" spans="3:19" s="44" customFormat="1" ht="15" customHeight="1" x14ac:dyDescent="0.2">
      <c r="D189" s="1475"/>
      <c r="E189" s="1475"/>
      <c r="F189" s="1475"/>
      <c r="G189" s="1475"/>
      <c r="H189" s="1475"/>
      <c r="I189" s="1475"/>
      <c r="J189" s="1475"/>
      <c r="K189" s="1475"/>
      <c r="Q189" s="547"/>
      <c r="R189" s="547"/>
      <c r="S189" s="547"/>
    </row>
    <row r="190" spans="3:19" s="44" customFormat="1" ht="15" customHeight="1" x14ac:dyDescent="0.2">
      <c r="D190" s="1475"/>
      <c r="E190" s="1475"/>
      <c r="F190" s="1475"/>
      <c r="G190" s="1475"/>
      <c r="H190" s="1475"/>
      <c r="I190" s="1475"/>
      <c r="J190" s="1475"/>
      <c r="K190" s="1475"/>
      <c r="Q190" s="547"/>
      <c r="R190" s="547"/>
      <c r="S190" s="547"/>
    </row>
    <row r="191" spans="3:19" s="44" customFormat="1" ht="15" customHeight="1" x14ac:dyDescent="0.2">
      <c r="D191" s="719"/>
      <c r="E191" s="719"/>
      <c r="F191" s="719"/>
      <c r="G191" s="719"/>
      <c r="H191" s="719"/>
      <c r="I191" s="719"/>
      <c r="J191" s="719"/>
      <c r="K191" s="719"/>
      <c r="Q191" s="547"/>
      <c r="R191" s="547"/>
      <c r="S191" s="547"/>
    </row>
    <row r="192" spans="3:19" s="44" customFormat="1" ht="15" customHeight="1" x14ac:dyDescent="0.2">
      <c r="D192" s="719"/>
      <c r="E192" s="719"/>
      <c r="F192" s="719"/>
      <c r="G192" s="719"/>
      <c r="H192" s="719"/>
      <c r="I192" s="719"/>
      <c r="J192" s="719"/>
      <c r="K192" s="719"/>
      <c r="Q192" s="547"/>
      <c r="R192" s="547"/>
      <c r="S192" s="547"/>
    </row>
    <row r="193" spans="3:19" s="44" customFormat="1" ht="15" customHeight="1" x14ac:dyDescent="0.25">
      <c r="C193" s="1468" t="s">
        <v>2622</v>
      </c>
      <c r="D193" s="1468"/>
      <c r="E193" s="1468"/>
      <c r="F193" s="1468"/>
      <c r="G193" s="1468"/>
      <c r="H193" s="1468"/>
      <c r="I193" s="1468"/>
      <c r="J193" s="1468"/>
      <c r="K193" s="1468"/>
      <c r="Q193" s="547"/>
      <c r="R193" s="547"/>
      <c r="S193" s="547"/>
    </row>
    <row r="194" spans="3:19" s="44" customFormat="1" ht="3" customHeight="1" x14ac:dyDescent="0.2">
      <c r="C194" s="1482"/>
      <c r="D194" s="1482"/>
      <c r="E194" s="1482"/>
      <c r="F194" s="1482"/>
      <c r="G194" s="1482"/>
      <c r="H194" s="1482"/>
      <c r="I194" s="1482"/>
      <c r="J194" s="1482"/>
      <c r="K194" s="1482"/>
      <c r="Q194" s="547"/>
      <c r="R194" s="547"/>
      <c r="S194" s="547"/>
    </row>
    <row r="195" spans="3:19" s="44" customFormat="1" ht="15" customHeight="1" x14ac:dyDescent="0.2">
      <c r="D195" s="719"/>
      <c r="E195" s="719"/>
      <c r="F195" s="719"/>
      <c r="G195" s="719"/>
      <c r="H195" s="719"/>
      <c r="I195" s="719"/>
      <c r="J195" s="719"/>
      <c r="K195" s="719"/>
      <c r="Q195" s="547"/>
      <c r="R195" s="547"/>
      <c r="S195" s="547"/>
    </row>
    <row r="196" spans="3:19" s="44" customFormat="1" ht="15" customHeight="1" x14ac:dyDescent="0.2">
      <c r="C196" s="1501" t="s">
        <v>2544</v>
      </c>
      <c r="D196" s="1501"/>
      <c r="E196" s="1501"/>
      <c r="F196" s="1501"/>
      <c r="G196" s="1501"/>
      <c r="H196" s="719"/>
      <c r="I196" s="719"/>
      <c r="J196" s="719"/>
      <c r="K196" s="719"/>
      <c r="Q196" s="547"/>
      <c r="R196" s="547"/>
      <c r="S196" s="547"/>
    </row>
    <row r="197" spans="3:19" s="44" customFormat="1" ht="15" customHeight="1" x14ac:dyDescent="0.2">
      <c r="D197" s="719"/>
      <c r="E197" s="719"/>
      <c r="F197" s="719"/>
      <c r="G197" s="719"/>
      <c r="H197" s="719"/>
      <c r="I197" s="719"/>
      <c r="J197" s="719"/>
      <c r="K197" s="719"/>
      <c r="Q197" s="547"/>
      <c r="R197" s="547"/>
      <c r="S197" s="547"/>
    </row>
    <row r="198" spans="3:19" s="44" customFormat="1" ht="15" customHeight="1" x14ac:dyDescent="0.2">
      <c r="C198" s="720"/>
      <c r="D198" s="721"/>
      <c r="E198" s="721"/>
      <c r="F198" s="721"/>
      <c r="G198" s="722"/>
      <c r="H198" s="719"/>
      <c r="I198" s="719"/>
      <c r="J198" s="719"/>
      <c r="K198" s="719"/>
      <c r="Q198" s="547"/>
      <c r="R198" s="547"/>
      <c r="S198" s="547"/>
    </row>
    <row r="199" spans="3:19" s="44" customFormat="1" ht="15" customHeight="1" x14ac:dyDescent="0.2">
      <c r="C199" s="1493" t="s">
        <v>2545</v>
      </c>
      <c r="D199" s="1494"/>
      <c r="E199" s="1495"/>
      <c r="F199" s="1495"/>
      <c r="G199" s="691"/>
      <c r="H199" s="719"/>
      <c r="I199" s="719"/>
      <c r="J199" s="719"/>
      <c r="K199" s="719"/>
      <c r="Q199" s="547"/>
      <c r="R199" s="547"/>
      <c r="S199" s="547"/>
    </row>
    <row r="200" spans="3:19" s="44" customFormat="1" ht="15" customHeight="1" x14ac:dyDescent="0.2">
      <c r="C200" s="723"/>
      <c r="D200" s="724"/>
      <c r="G200" s="691"/>
      <c r="H200" s="719"/>
      <c r="I200" s="719"/>
      <c r="J200" s="719"/>
      <c r="K200" s="719"/>
      <c r="Q200" s="547"/>
      <c r="R200" s="547"/>
      <c r="S200" s="547"/>
    </row>
    <row r="201" spans="3:19" s="44" customFormat="1" ht="15" customHeight="1" x14ac:dyDescent="0.2">
      <c r="C201" s="1493" t="s">
        <v>2546</v>
      </c>
      <c r="D201" s="1494"/>
      <c r="E201" s="1495"/>
      <c r="F201" s="1495"/>
      <c r="G201" s="691"/>
      <c r="H201" s="719"/>
      <c r="I201" s="719"/>
      <c r="J201" s="719"/>
      <c r="K201" s="719"/>
      <c r="Q201" s="547"/>
      <c r="R201" s="547"/>
      <c r="S201" s="547"/>
    </row>
    <row r="202" spans="3:19" s="44" customFormat="1" ht="15" customHeight="1" x14ac:dyDescent="0.2">
      <c r="C202" s="723"/>
      <c r="D202" s="724"/>
      <c r="G202" s="691"/>
      <c r="H202" s="719"/>
      <c r="I202" s="719"/>
      <c r="J202" s="719"/>
      <c r="K202" s="719"/>
      <c r="Q202" s="547"/>
      <c r="R202" s="547"/>
      <c r="S202" s="547"/>
    </row>
    <row r="203" spans="3:19" s="44" customFormat="1" ht="15" customHeight="1" x14ac:dyDescent="0.2">
      <c r="C203" s="723" t="s">
        <v>553</v>
      </c>
      <c r="D203" s="724"/>
      <c r="E203" s="1496" t="str">
        <f>IF(Team!E12="","",Team!E12)</f>
        <v/>
      </c>
      <c r="F203" s="1496"/>
      <c r="G203" s="691"/>
      <c r="H203" s="719"/>
      <c r="I203" s="719"/>
      <c r="J203" s="719"/>
      <c r="K203" s="719"/>
      <c r="Q203" s="547"/>
      <c r="R203" s="547"/>
      <c r="S203" s="547"/>
    </row>
    <row r="204" spans="3:19" s="44" customFormat="1" ht="15" customHeight="1" x14ac:dyDescent="0.2">
      <c r="C204" s="723"/>
      <c r="D204" s="724"/>
      <c r="G204" s="691"/>
      <c r="H204" s="719"/>
      <c r="I204" s="719"/>
      <c r="J204" s="719"/>
      <c r="K204" s="719"/>
      <c r="Q204" s="547"/>
      <c r="R204" s="547"/>
      <c r="S204" s="547"/>
    </row>
    <row r="205" spans="3:19" s="44" customFormat="1" ht="15" customHeight="1" x14ac:dyDescent="0.2">
      <c r="C205" s="723" t="s">
        <v>2547</v>
      </c>
      <c r="D205" s="724"/>
      <c r="E205" s="1496"/>
      <c r="F205" s="1496"/>
      <c r="G205" s="691"/>
      <c r="H205" s="719"/>
      <c r="I205" s="719"/>
      <c r="J205" s="719"/>
      <c r="K205" s="719"/>
      <c r="Q205" s="547"/>
      <c r="R205" s="547"/>
      <c r="S205" s="547"/>
    </row>
    <row r="206" spans="3:19" s="44" customFormat="1" ht="15" customHeight="1" x14ac:dyDescent="0.2">
      <c r="C206" s="723"/>
      <c r="D206" s="724"/>
      <c r="E206" s="563"/>
      <c r="F206" s="563"/>
      <c r="G206" s="691"/>
      <c r="H206" s="719"/>
      <c r="I206" s="719"/>
      <c r="J206" s="719"/>
      <c r="K206" s="719"/>
      <c r="Q206" s="547"/>
      <c r="R206" s="547"/>
      <c r="S206" s="547"/>
    </row>
    <row r="207" spans="3:19" s="44" customFormat="1" ht="15" customHeight="1" x14ac:dyDescent="0.2">
      <c r="C207" s="723" t="s">
        <v>2548</v>
      </c>
      <c r="D207" s="724"/>
      <c r="E207" s="1492"/>
      <c r="F207" s="1492"/>
      <c r="G207" s="691"/>
      <c r="H207" s="719"/>
      <c r="I207" s="719"/>
      <c r="J207" s="719"/>
      <c r="K207" s="719"/>
      <c r="Q207" s="547"/>
      <c r="R207" s="547"/>
      <c r="S207" s="547"/>
    </row>
    <row r="208" spans="3:19" s="44" customFormat="1" ht="15" customHeight="1" x14ac:dyDescent="0.2">
      <c r="C208" s="725"/>
      <c r="D208" s="548"/>
      <c r="E208" s="548"/>
      <c r="F208" s="548"/>
      <c r="G208" s="726"/>
      <c r="H208" s="719"/>
      <c r="I208" s="719"/>
      <c r="J208" s="719"/>
      <c r="K208" s="719"/>
      <c r="Q208" s="547"/>
      <c r="R208" s="547"/>
      <c r="S208" s="547"/>
    </row>
    <row r="209" spans="14:19" s="44" customFormat="1" ht="15" customHeight="1" x14ac:dyDescent="0.2">
      <c r="Q209" s="547"/>
      <c r="R209" s="547"/>
      <c r="S209" s="547"/>
    </row>
    <row r="210" spans="14:19" s="44" customFormat="1" ht="15" hidden="1" customHeight="1" x14ac:dyDescent="0.2">
      <c r="N210" s="547"/>
      <c r="O210" s="547"/>
      <c r="P210" s="547"/>
      <c r="Q210" s="547"/>
      <c r="R210" s="547"/>
      <c r="S210" s="547"/>
    </row>
    <row r="211" spans="14:19" s="44" customFormat="1" ht="15" hidden="1" customHeight="1" x14ac:dyDescent="0.2">
      <c r="N211" s="547"/>
      <c r="O211" s="547"/>
      <c r="P211" s="547"/>
      <c r="Q211" s="547"/>
      <c r="R211" s="547"/>
      <c r="S211" s="547"/>
    </row>
    <row r="212" spans="14:19" s="44" customFormat="1" ht="15" hidden="1" customHeight="1" x14ac:dyDescent="0.2">
      <c r="N212" s="547"/>
      <c r="O212" s="547"/>
      <c r="P212" s="547"/>
      <c r="Q212" s="547"/>
      <c r="R212" s="547"/>
      <c r="S212" s="547"/>
    </row>
    <row r="213" spans="14:19" s="44" customFormat="1" ht="15" hidden="1" customHeight="1" x14ac:dyDescent="0.2">
      <c r="N213" s="547"/>
      <c r="O213" s="547"/>
      <c r="P213" s="547"/>
      <c r="Q213" s="547"/>
      <c r="R213" s="547"/>
      <c r="S213" s="547"/>
    </row>
    <row r="214" spans="14:19" s="44" customFormat="1" ht="15" hidden="1" customHeight="1" x14ac:dyDescent="0.2">
      <c r="N214" s="547"/>
      <c r="O214" s="547"/>
      <c r="P214" s="547"/>
      <c r="Q214" s="547"/>
      <c r="R214" s="547"/>
      <c r="S214" s="547"/>
    </row>
    <row r="215" spans="14:19" s="44" customFormat="1" ht="15" hidden="1" customHeight="1" x14ac:dyDescent="0.2">
      <c r="N215" s="547"/>
      <c r="O215" s="547"/>
      <c r="P215" s="547"/>
      <c r="Q215" s="547"/>
      <c r="R215" s="547"/>
      <c r="S215" s="547"/>
    </row>
    <row r="216" spans="14:19" s="44" customFormat="1" ht="15" hidden="1" customHeight="1" x14ac:dyDescent="0.2">
      <c r="N216" s="547"/>
      <c r="O216" s="547"/>
      <c r="P216" s="547"/>
      <c r="Q216" s="547"/>
      <c r="R216" s="547"/>
      <c r="S216" s="547"/>
    </row>
    <row r="217" spans="14:19" s="44" customFormat="1" ht="15" hidden="1" customHeight="1" x14ac:dyDescent="0.2">
      <c r="N217" s="547"/>
      <c r="O217" s="547"/>
      <c r="P217" s="547"/>
      <c r="Q217" s="547"/>
      <c r="R217" s="547"/>
      <c r="S217" s="547"/>
    </row>
    <row r="218" spans="14:19" s="44" customFormat="1" ht="15" hidden="1" customHeight="1" x14ac:dyDescent="0.2">
      <c r="N218" s="547"/>
      <c r="O218" s="547"/>
      <c r="P218" s="547"/>
      <c r="Q218" s="547"/>
      <c r="R218" s="547"/>
      <c r="S218" s="547"/>
    </row>
    <row r="219" spans="14:19" s="44" customFormat="1" ht="15" hidden="1" customHeight="1" x14ac:dyDescent="0.2">
      <c r="N219" s="547"/>
      <c r="O219" s="547"/>
      <c r="P219" s="547"/>
      <c r="Q219" s="547"/>
      <c r="R219" s="547"/>
      <c r="S219" s="547"/>
    </row>
    <row r="220" spans="14:19" s="44" customFormat="1" ht="15" hidden="1" customHeight="1" x14ac:dyDescent="0.2">
      <c r="N220" s="547"/>
      <c r="O220" s="547"/>
      <c r="P220" s="547"/>
      <c r="Q220" s="547"/>
      <c r="R220" s="547"/>
      <c r="S220" s="547"/>
    </row>
    <row r="221" spans="14:19" s="44" customFormat="1" ht="15" hidden="1" customHeight="1" x14ac:dyDescent="0.2">
      <c r="N221" s="547"/>
      <c r="O221" s="547"/>
      <c r="P221" s="547"/>
      <c r="Q221" s="547"/>
      <c r="R221" s="547"/>
      <c r="S221" s="547"/>
    </row>
    <row r="222" spans="14:19" s="44" customFormat="1" ht="15" hidden="1" customHeight="1" x14ac:dyDescent="0.2">
      <c r="N222" s="547"/>
      <c r="O222" s="547"/>
      <c r="P222" s="547"/>
      <c r="Q222" s="547"/>
      <c r="R222" s="547"/>
      <c r="S222" s="547"/>
    </row>
    <row r="223" spans="14:19" s="44" customFormat="1" ht="15" hidden="1" customHeight="1" x14ac:dyDescent="0.2">
      <c r="N223" s="547"/>
      <c r="O223" s="547"/>
      <c r="P223" s="547"/>
      <c r="Q223" s="547"/>
      <c r="R223" s="547"/>
      <c r="S223" s="547"/>
    </row>
    <row r="224" spans="14:19" s="44" customFormat="1" ht="15" hidden="1" customHeight="1" x14ac:dyDescent="0.2">
      <c r="N224" s="547"/>
      <c r="O224" s="547"/>
      <c r="P224" s="547"/>
      <c r="Q224" s="547"/>
      <c r="R224" s="547"/>
      <c r="S224" s="547"/>
    </row>
    <row r="225" spans="14:19" s="44" customFormat="1" ht="15" hidden="1" customHeight="1" x14ac:dyDescent="0.2">
      <c r="N225" s="547"/>
      <c r="O225" s="547"/>
      <c r="P225" s="547"/>
      <c r="Q225" s="547"/>
      <c r="R225" s="547"/>
      <c r="S225" s="547"/>
    </row>
    <row r="226" spans="14:19" s="44" customFormat="1" ht="15" hidden="1" customHeight="1" x14ac:dyDescent="0.2">
      <c r="N226" s="547"/>
      <c r="O226" s="547"/>
      <c r="P226" s="547"/>
      <c r="Q226" s="547"/>
      <c r="R226" s="547"/>
      <c r="S226" s="547"/>
    </row>
    <row r="227" spans="14:19" s="44" customFormat="1" ht="15" hidden="1" customHeight="1" x14ac:dyDescent="0.2">
      <c r="N227" s="547"/>
      <c r="O227" s="547"/>
      <c r="P227" s="547"/>
      <c r="Q227" s="547"/>
      <c r="R227" s="547"/>
      <c r="S227" s="547"/>
    </row>
    <row r="228" spans="14:19" s="44" customFormat="1" ht="15" hidden="1" customHeight="1" x14ac:dyDescent="0.2">
      <c r="N228" s="547"/>
      <c r="O228" s="547"/>
      <c r="P228" s="547"/>
      <c r="Q228" s="547"/>
      <c r="R228" s="547"/>
      <c r="S228" s="547"/>
    </row>
    <row r="229" spans="14:19" s="44" customFormat="1" ht="15" hidden="1" customHeight="1" x14ac:dyDescent="0.2">
      <c r="N229" s="547"/>
      <c r="O229" s="547"/>
      <c r="P229" s="547"/>
      <c r="Q229" s="547"/>
      <c r="R229" s="547"/>
      <c r="S229" s="547"/>
    </row>
    <row r="230" spans="14:19" s="44" customFormat="1" ht="15" hidden="1" customHeight="1" x14ac:dyDescent="0.2">
      <c r="N230" s="547"/>
      <c r="O230" s="547"/>
      <c r="P230" s="547"/>
      <c r="Q230" s="547"/>
      <c r="R230" s="547"/>
      <c r="S230" s="547"/>
    </row>
    <row r="231" spans="14:19" s="44" customFormat="1" ht="15" hidden="1" customHeight="1" x14ac:dyDescent="0.2">
      <c r="N231" s="547"/>
      <c r="O231" s="547"/>
      <c r="P231" s="547"/>
      <c r="Q231" s="547"/>
      <c r="R231" s="547"/>
      <c r="S231" s="547"/>
    </row>
    <row r="232" spans="14:19" s="44" customFormat="1" ht="15" hidden="1" customHeight="1" x14ac:dyDescent="0.2">
      <c r="N232" s="547"/>
      <c r="O232" s="547"/>
      <c r="P232" s="547"/>
      <c r="Q232" s="547"/>
      <c r="R232" s="547"/>
      <c r="S232" s="547"/>
    </row>
    <row r="233" spans="14:19" s="44" customFormat="1" ht="15" hidden="1" customHeight="1" x14ac:dyDescent="0.2">
      <c r="N233" s="547"/>
      <c r="O233" s="547"/>
      <c r="P233" s="547"/>
      <c r="Q233" s="547"/>
      <c r="R233" s="547"/>
      <c r="S233" s="547"/>
    </row>
    <row r="234" spans="14:19" s="44" customFormat="1" ht="15" hidden="1" customHeight="1" x14ac:dyDescent="0.2">
      <c r="N234" s="547"/>
      <c r="O234" s="547"/>
      <c r="P234" s="547"/>
      <c r="Q234" s="547"/>
      <c r="R234" s="547"/>
      <c r="S234" s="547"/>
    </row>
    <row r="235" spans="14:19" s="44" customFormat="1" ht="15" hidden="1" customHeight="1" x14ac:dyDescent="0.2">
      <c r="N235" s="547"/>
      <c r="O235" s="547"/>
      <c r="P235" s="547"/>
      <c r="Q235" s="547"/>
      <c r="R235" s="547"/>
      <c r="S235" s="547"/>
    </row>
    <row r="236" spans="14:19" s="44" customFormat="1" ht="15" hidden="1" customHeight="1" x14ac:dyDescent="0.2">
      <c r="N236" s="547"/>
      <c r="O236" s="547"/>
      <c r="P236" s="547"/>
      <c r="Q236" s="547"/>
      <c r="R236" s="547"/>
      <c r="S236" s="547"/>
    </row>
    <row r="237" spans="14:19" s="44" customFormat="1" ht="15" hidden="1" customHeight="1" x14ac:dyDescent="0.2">
      <c r="N237" s="547"/>
      <c r="O237" s="547"/>
      <c r="P237" s="547"/>
      <c r="Q237" s="547"/>
      <c r="R237" s="547"/>
      <c r="S237" s="547"/>
    </row>
    <row r="238" spans="14:19" s="44" customFormat="1" ht="15" hidden="1" customHeight="1" x14ac:dyDescent="0.2">
      <c r="N238" s="547"/>
      <c r="O238" s="547"/>
      <c r="P238" s="547"/>
      <c r="Q238" s="547"/>
      <c r="R238" s="547"/>
      <c r="S238" s="547"/>
    </row>
    <row r="239" spans="14:19" s="44" customFormat="1" ht="15" hidden="1" customHeight="1" x14ac:dyDescent="0.2">
      <c r="N239" s="547"/>
      <c r="O239" s="547"/>
      <c r="P239" s="547"/>
      <c r="Q239" s="547"/>
      <c r="R239" s="547"/>
      <c r="S239" s="547"/>
    </row>
    <row r="240" spans="14:19" s="44" customFormat="1" ht="15" hidden="1" customHeight="1" x14ac:dyDescent="0.2">
      <c r="N240" s="547"/>
      <c r="O240" s="547"/>
      <c r="P240" s="547"/>
      <c r="Q240" s="547"/>
      <c r="R240" s="547"/>
      <c r="S240" s="547"/>
    </row>
    <row r="241" spans="14:19" s="44" customFormat="1" ht="15" hidden="1" customHeight="1" x14ac:dyDescent="0.2">
      <c r="N241" s="547"/>
      <c r="O241" s="547"/>
      <c r="P241" s="547"/>
      <c r="Q241" s="547"/>
      <c r="R241" s="547"/>
      <c r="S241" s="547"/>
    </row>
    <row r="242" spans="14:19" s="44" customFormat="1" ht="15" hidden="1" customHeight="1" x14ac:dyDescent="0.2">
      <c r="N242" s="547"/>
      <c r="O242" s="547"/>
      <c r="P242" s="547"/>
      <c r="Q242" s="547"/>
      <c r="R242" s="547"/>
      <c r="S242" s="547"/>
    </row>
    <row r="243" spans="14:19" s="44" customFormat="1" ht="15" hidden="1" customHeight="1" x14ac:dyDescent="0.2">
      <c r="N243" s="547"/>
      <c r="O243" s="547"/>
      <c r="P243" s="547"/>
      <c r="Q243" s="547"/>
      <c r="R243" s="547"/>
      <c r="S243" s="547"/>
    </row>
    <row r="244" spans="14:19" s="44" customFormat="1" ht="15" hidden="1" customHeight="1" x14ac:dyDescent="0.2">
      <c r="N244" s="547"/>
      <c r="O244" s="547"/>
      <c r="P244" s="547"/>
      <c r="Q244" s="547"/>
      <c r="R244" s="547"/>
      <c r="S244" s="547"/>
    </row>
    <row r="245" spans="14:19" s="44" customFormat="1" ht="15" hidden="1" customHeight="1" x14ac:dyDescent="0.2">
      <c r="N245" s="547"/>
      <c r="O245" s="547"/>
      <c r="P245" s="547"/>
      <c r="Q245" s="547"/>
      <c r="R245" s="547"/>
      <c r="S245" s="547"/>
    </row>
    <row r="246" spans="14:19" s="44" customFormat="1" ht="15" hidden="1" customHeight="1" x14ac:dyDescent="0.2">
      <c r="N246" s="547"/>
      <c r="O246" s="547"/>
      <c r="P246" s="547"/>
      <c r="Q246" s="547"/>
      <c r="R246" s="547"/>
      <c r="S246" s="547"/>
    </row>
    <row r="247" spans="14:19" s="44" customFormat="1" ht="15" hidden="1" customHeight="1" x14ac:dyDescent="0.2">
      <c r="N247" s="547"/>
      <c r="O247" s="547"/>
      <c r="P247" s="547"/>
      <c r="Q247" s="547"/>
      <c r="R247" s="547"/>
      <c r="S247" s="547"/>
    </row>
    <row r="248" spans="14:19" s="44" customFormat="1" ht="15" hidden="1" customHeight="1" x14ac:dyDescent="0.2">
      <c r="N248" s="547"/>
      <c r="O248" s="547"/>
      <c r="P248" s="547"/>
      <c r="Q248" s="547"/>
      <c r="R248" s="547"/>
      <c r="S248" s="547"/>
    </row>
    <row r="249" spans="14:19" s="44" customFormat="1" ht="15" hidden="1" customHeight="1" x14ac:dyDescent="0.2">
      <c r="N249" s="547"/>
      <c r="O249" s="547"/>
      <c r="P249" s="547"/>
      <c r="Q249" s="547"/>
      <c r="R249" s="547"/>
      <c r="S249" s="547"/>
    </row>
    <row r="250" spans="14:19" s="44" customFormat="1" ht="15" hidden="1" customHeight="1" x14ac:dyDescent="0.2">
      <c r="N250" s="547"/>
      <c r="O250" s="547"/>
      <c r="P250" s="547"/>
      <c r="Q250" s="547"/>
      <c r="R250" s="547"/>
      <c r="S250" s="547"/>
    </row>
    <row r="251" spans="14:19" s="44" customFormat="1" ht="15" hidden="1" customHeight="1" x14ac:dyDescent="0.2">
      <c r="N251" s="547"/>
      <c r="O251" s="547"/>
      <c r="P251" s="547"/>
      <c r="Q251" s="547"/>
      <c r="R251" s="547"/>
      <c r="S251" s="547"/>
    </row>
    <row r="252" spans="14:19" s="44" customFormat="1" ht="15" hidden="1" customHeight="1" x14ac:dyDescent="0.2">
      <c r="N252" s="547"/>
      <c r="O252" s="547"/>
      <c r="P252" s="547"/>
      <c r="Q252" s="547"/>
      <c r="R252" s="547"/>
      <c r="S252" s="547"/>
    </row>
    <row r="253" spans="14:19" s="44" customFormat="1" ht="15" hidden="1" customHeight="1" x14ac:dyDescent="0.2">
      <c r="N253" s="547"/>
      <c r="O253" s="547"/>
      <c r="P253" s="547"/>
      <c r="Q253" s="547"/>
      <c r="R253" s="547"/>
      <c r="S253" s="547"/>
    </row>
    <row r="254" spans="14:19" s="44" customFormat="1" ht="15" hidden="1" customHeight="1" x14ac:dyDescent="0.2">
      <c r="N254" s="547"/>
      <c r="O254" s="547"/>
      <c r="P254" s="547"/>
      <c r="Q254" s="547"/>
      <c r="R254" s="547"/>
      <c r="S254" s="547"/>
    </row>
    <row r="255" spans="14:19" s="44" customFormat="1" ht="15" hidden="1" customHeight="1" x14ac:dyDescent="0.2">
      <c r="N255" s="547"/>
      <c r="O255" s="547"/>
      <c r="P255" s="547"/>
      <c r="Q255" s="547"/>
      <c r="R255" s="547"/>
      <c r="S255" s="547"/>
    </row>
    <row r="256" spans="14:19" s="44" customFormat="1" ht="15" hidden="1" customHeight="1" x14ac:dyDescent="0.2">
      <c r="N256" s="547"/>
      <c r="O256" s="547"/>
      <c r="P256" s="547"/>
      <c r="Q256" s="547"/>
      <c r="R256" s="547"/>
      <c r="S256" s="547"/>
    </row>
    <row r="257" spans="14:19" s="44" customFormat="1" ht="15" hidden="1" customHeight="1" x14ac:dyDescent="0.2">
      <c r="N257" s="547"/>
      <c r="O257" s="547"/>
      <c r="P257" s="547"/>
      <c r="Q257" s="547"/>
      <c r="R257" s="547"/>
      <c r="S257" s="547"/>
    </row>
    <row r="258" spans="14:19" s="44" customFormat="1" ht="15" hidden="1" customHeight="1" x14ac:dyDescent="0.2">
      <c r="N258" s="547"/>
      <c r="O258" s="547"/>
      <c r="P258" s="547"/>
      <c r="Q258" s="547"/>
      <c r="R258" s="547"/>
      <c r="S258" s="547"/>
    </row>
    <row r="259" spans="14:19" s="44" customFormat="1" ht="15" hidden="1" customHeight="1" x14ac:dyDescent="0.2">
      <c r="N259" s="547"/>
      <c r="O259" s="547"/>
      <c r="P259" s="547"/>
      <c r="Q259" s="547"/>
      <c r="R259" s="547"/>
      <c r="S259" s="547"/>
    </row>
    <row r="260" spans="14:19" s="44" customFormat="1" ht="15" hidden="1" customHeight="1" x14ac:dyDescent="0.2">
      <c r="N260" s="547"/>
      <c r="O260" s="547"/>
      <c r="P260" s="547"/>
      <c r="Q260" s="547"/>
      <c r="R260" s="547"/>
      <c r="S260" s="547"/>
    </row>
    <row r="261" spans="14:19" s="44" customFormat="1" ht="15" hidden="1" customHeight="1" x14ac:dyDescent="0.2">
      <c r="N261" s="547"/>
      <c r="O261" s="547"/>
      <c r="P261" s="547"/>
      <c r="Q261" s="547"/>
      <c r="R261" s="547"/>
      <c r="S261" s="547"/>
    </row>
    <row r="262" spans="14:19" s="44" customFormat="1" ht="15" hidden="1" customHeight="1" x14ac:dyDescent="0.2">
      <c r="N262" s="547"/>
      <c r="O262" s="547"/>
      <c r="P262" s="547"/>
      <c r="Q262" s="547"/>
      <c r="R262" s="547"/>
      <c r="S262" s="547"/>
    </row>
    <row r="263" spans="14:19" s="44" customFormat="1" ht="15" hidden="1" customHeight="1" x14ac:dyDescent="0.2">
      <c r="N263" s="547"/>
      <c r="O263" s="547"/>
      <c r="P263" s="547"/>
      <c r="Q263" s="547"/>
      <c r="R263" s="547"/>
      <c r="S263" s="547"/>
    </row>
    <row r="264" spans="14:19" s="44" customFormat="1" ht="15" hidden="1" customHeight="1" x14ac:dyDescent="0.2">
      <c r="N264" s="547"/>
      <c r="O264" s="547"/>
      <c r="P264" s="547"/>
      <c r="Q264" s="547"/>
      <c r="R264" s="547"/>
      <c r="S264" s="547"/>
    </row>
    <row r="265" spans="14:19" s="44" customFormat="1" ht="15" hidden="1" customHeight="1" x14ac:dyDescent="0.2">
      <c r="N265" s="547"/>
      <c r="O265" s="547"/>
      <c r="P265" s="547"/>
      <c r="Q265" s="547"/>
      <c r="R265" s="547"/>
      <c r="S265" s="547"/>
    </row>
    <row r="266" spans="14:19" s="44" customFormat="1" ht="15" hidden="1" customHeight="1" x14ac:dyDescent="0.2">
      <c r="N266" s="547"/>
      <c r="O266" s="547"/>
      <c r="P266" s="547"/>
      <c r="Q266" s="547"/>
      <c r="R266" s="547"/>
      <c r="S266" s="547"/>
    </row>
    <row r="267" spans="14:19" s="44" customFormat="1" ht="15" hidden="1" customHeight="1" x14ac:dyDescent="0.2">
      <c r="N267" s="547"/>
      <c r="O267" s="547"/>
      <c r="P267" s="547"/>
      <c r="Q267" s="547"/>
      <c r="R267" s="547"/>
      <c r="S267" s="547"/>
    </row>
    <row r="268" spans="14:19" s="44" customFormat="1" ht="15" hidden="1" customHeight="1" x14ac:dyDescent="0.2">
      <c r="N268" s="547"/>
      <c r="O268" s="547"/>
      <c r="P268" s="547"/>
      <c r="Q268" s="547"/>
      <c r="R268" s="547"/>
      <c r="S268" s="547"/>
    </row>
    <row r="269" spans="14:19" s="44" customFormat="1" ht="15" hidden="1" customHeight="1" x14ac:dyDescent="0.2">
      <c r="N269" s="547"/>
      <c r="O269" s="547"/>
      <c r="P269" s="547"/>
      <c r="Q269" s="547"/>
      <c r="R269" s="547"/>
      <c r="S269" s="547"/>
    </row>
    <row r="270" spans="14:19" s="44" customFormat="1" ht="15" hidden="1" customHeight="1" x14ac:dyDescent="0.2">
      <c r="N270" s="547"/>
      <c r="O270" s="547"/>
      <c r="P270" s="547"/>
      <c r="Q270" s="547"/>
      <c r="R270" s="547"/>
      <c r="S270" s="547"/>
    </row>
    <row r="271" spans="14:19" s="44" customFormat="1" ht="15" hidden="1" customHeight="1" x14ac:dyDescent="0.2">
      <c r="N271" s="547"/>
      <c r="O271" s="547"/>
      <c r="P271" s="547"/>
      <c r="Q271" s="547"/>
      <c r="R271" s="547"/>
      <c r="S271" s="547"/>
    </row>
    <row r="272" spans="14:19" s="44" customFormat="1" ht="15" hidden="1" customHeight="1" x14ac:dyDescent="0.2">
      <c r="N272" s="547"/>
      <c r="O272" s="547"/>
      <c r="P272" s="547"/>
      <c r="Q272" s="547"/>
      <c r="R272" s="547"/>
      <c r="S272" s="547"/>
    </row>
    <row r="273" spans="14:19" s="44" customFormat="1" ht="15" hidden="1" customHeight="1" x14ac:dyDescent="0.2">
      <c r="N273" s="547"/>
      <c r="O273" s="547"/>
      <c r="P273" s="547"/>
      <c r="Q273" s="547"/>
      <c r="R273" s="547"/>
      <c r="S273" s="547"/>
    </row>
    <row r="274" spans="14:19" s="44" customFormat="1" ht="15" hidden="1" customHeight="1" x14ac:dyDescent="0.2">
      <c r="N274" s="547"/>
      <c r="O274" s="547"/>
      <c r="P274" s="547"/>
      <c r="Q274" s="547"/>
      <c r="R274" s="547"/>
      <c r="S274" s="547"/>
    </row>
    <row r="275" spans="14:19" s="44" customFormat="1" ht="15" hidden="1" customHeight="1" x14ac:dyDescent="0.2">
      <c r="N275" s="547"/>
      <c r="O275" s="547"/>
      <c r="P275" s="547"/>
      <c r="Q275" s="547"/>
      <c r="R275" s="547"/>
      <c r="S275" s="547"/>
    </row>
    <row r="276" spans="14:19" s="44" customFormat="1" ht="15" hidden="1" customHeight="1" x14ac:dyDescent="0.2">
      <c r="N276" s="547"/>
      <c r="O276" s="547"/>
      <c r="P276" s="547"/>
      <c r="Q276" s="547"/>
      <c r="R276" s="547"/>
      <c r="S276" s="547"/>
    </row>
    <row r="277" spans="14:19" s="44" customFormat="1" ht="15" hidden="1" customHeight="1" x14ac:dyDescent="0.2">
      <c r="N277" s="547"/>
      <c r="O277" s="547"/>
      <c r="P277" s="547"/>
      <c r="Q277" s="547"/>
      <c r="R277" s="547"/>
      <c r="S277" s="547"/>
    </row>
    <row r="278" spans="14:19" s="44" customFormat="1" ht="15" hidden="1" customHeight="1" x14ac:dyDescent="0.2">
      <c r="N278" s="547"/>
      <c r="O278" s="547"/>
      <c r="P278" s="547"/>
      <c r="Q278" s="547"/>
      <c r="R278" s="547"/>
      <c r="S278" s="547"/>
    </row>
    <row r="279" spans="14:19" s="44" customFormat="1" ht="15" hidden="1" customHeight="1" x14ac:dyDescent="0.2">
      <c r="N279" s="547"/>
      <c r="O279" s="547"/>
      <c r="P279" s="547"/>
      <c r="Q279" s="547"/>
      <c r="R279" s="547"/>
      <c r="S279" s="547"/>
    </row>
    <row r="280" spans="14:19" s="44" customFormat="1" ht="15" hidden="1" customHeight="1" x14ac:dyDescent="0.2">
      <c r="N280" s="547"/>
      <c r="O280" s="547"/>
      <c r="P280" s="547"/>
      <c r="Q280" s="547"/>
      <c r="R280" s="547"/>
      <c r="S280" s="547"/>
    </row>
    <row r="281" spans="14:19" s="44" customFormat="1" ht="15" hidden="1" customHeight="1" x14ac:dyDescent="0.2">
      <c r="N281" s="547"/>
      <c r="O281" s="547"/>
      <c r="P281" s="547"/>
      <c r="Q281" s="547"/>
      <c r="R281" s="547"/>
      <c r="S281" s="547"/>
    </row>
    <row r="282" spans="14:19" s="44" customFormat="1" ht="15" hidden="1" customHeight="1" x14ac:dyDescent="0.2">
      <c r="N282" s="547"/>
      <c r="O282" s="547"/>
      <c r="P282" s="547"/>
      <c r="Q282" s="547"/>
      <c r="R282" s="547"/>
      <c r="S282" s="547"/>
    </row>
    <row r="283" spans="14:19" s="44" customFormat="1" ht="15" hidden="1" customHeight="1" x14ac:dyDescent="0.2">
      <c r="N283" s="547"/>
      <c r="O283" s="547"/>
      <c r="P283" s="547"/>
      <c r="Q283" s="547"/>
      <c r="R283" s="547"/>
      <c r="S283" s="547"/>
    </row>
    <row r="284" spans="14:19" s="44" customFormat="1" ht="15" hidden="1" customHeight="1" x14ac:dyDescent="0.2">
      <c r="N284" s="547"/>
      <c r="O284" s="547"/>
      <c r="P284" s="547"/>
      <c r="Q284" s="547"/>
      <c r="R284" s="547"/>
      <c r="S284" s="547"/>
    </row>
    <row r="285" spans="14:19" s="44" customFormat="1" ht="15" hidden="1" customHeight="1" x14ac:dyDescent="0.2">
      <c r="N285" s="547"/>
      <c r="O285" s="547"/>
      <c r="P285" s="547"/>
      <c r="Q285" s="547"/>
      <c r="R285" s="547"/>
      <c r="S285" s="547"/>
    </row>
    <row r="286" spans="14:19" s="44" customFormat="1" ht="15" hidden="1" customHeight="1" x14ac:dyDescent="0.2">
      <c r="N286" s="547"/>
      <c r="O286" s="547"/>
      <c r="P286" s="547"/>
      <c r="Q286" s="547"/>
      <c r="R286" s="547"/>
      <c r="S286" s="547"/>
    </row>
    <row r="287" spans="14:19" s="44" customFormat="1" ht="15" hidden="1" customHeight="1" x14ac:dyDescent="0.2">
      <c r="N287" s="547"/>
      <c r="O287" s="547"/>
      <c r="P287" s="547"/>
      <c r="Q287" s="547"/>
      <c r="R287" s="547"/>
      <c r="S287" s="547"/>
    </row>
    <row r="288" spans="14:19" s="44" customFormat="1" ht="15" hidden="1" customHeight="1" x14ac:dyDescent="0.2">
      <c r="N288" s="547"/>
      <c r="O288" s="547"/>
      <c r="P288" s="547"/>
      <c r="Q288" s="547"/>
      <c r="R288" s="547"/>
      <c r="S288" s="547"/>
    </row>
    <row r="289" spans="14:19" s="44" customFormat="1" ht="15" hidden="1" customHeight="1" x14ac:dyDescent="0.2">
      <c r="N289" s="547"/>
      <c r="O289" s="547"/>
      <c r="P289" s="547"/>
      <c r="Q289" s="547"/>
      <c r="R289" s="547"/>
      <c r="S289" s="547"/>
    </row>
    <row r="290" spans="14:19" s="44" customFormat="1" ht="15" hidden="1" customHeight="1" x14ac:dyDescent="0.2">
      <c r="N290" s="547"/>
      <c r="O290" s="547"/>
      <c r="P290" s="547"/>
      <c r="Q290" s="547"/>
      <c r="R290" s="547"/>
      <c r="S290" s="547"/>
    </row>
    <row r="291" spans="14:19" s="44" customFormat="1" ht="15" hidden="1" customHeight="1" x14ac:dyDescent="0.2">
      <c r="N291" s="547"/>
      <c r="O291" s="547"/>
      <c r="P291" s="547"/>
      <c r="Q291" s="547"/>
      <c r="R291" s="547"/>
      <c r="S291" s="547"/>
    </row>
    <row r="292" spans="14:19" s="44" customFormat="1" ht="15" hidden="1" customHeight="1" x14ac:dyDescent="0.2">
      <c r="N292" s="547"/>
      <c r="O292" s="547"/>
      <c r="P292" s="547"/>
      <c r="Q292" s="547"/>
      <c r="R292" s="547"/>
      <c r="S292" s="547"/>
    </row>
    <row r="293" spans="14:19" s="44" customFormat="1" ht="15" hidden="1" customHeight="1" x14ac:dyDescent="0.2">
      <c r="N293" s="547"/>
      <c r="O293" s="547"/>
      <c r="P293" s="547"/>
      <c r="Q293" s="547"/>
      <c r="R293" s="547"/>
      <c r="S293" s="547"/>
    </row>
    <row r="294" spans="14:19" s="44" customFormat="1" ht="15" hidden="1" customHeight="1" x14ac:dyDescent="0.2">
      <c r="N294" s="547"/>
      <c r="O294" s="547"/>
      <c r="P294" s="547"/>
      <c r="Q294" s="547"/>
      <c r="R294" s="547"/>
      <c r="S294" s="547"/>
    </row>
    <row r="295" spans="14:19" s="44" customFormat="1" ht="15" hidden="1" customHeight="1" x14ac:dyDescent="0.2">
      <c r="N295" s="547"/>
      <c r="O295" s="547"/>
      <c r="P295" s="547"/>
      <c r="Q295" s="547"/>
      <c r="R295" s="547"/>
      <c r="S295" s="547"/>
    </row>
    <row r="296" spans="14:19" s="44" customFormat="1" ht="15" hidden="1" customHeight="1" x14ac:dyDescent="0.2">
      <c r="N296" s="547"/>
      <c r="O296" s="547"/>
      <c r="P296" s="547"/>
      <c r="Q296" s="547"/>
      <c r="R296" s="547"/>
      <c r="S296" s="547"/>
    </row>
    <row r="297" spans="14:19" s="44" customFormat="1" ht="15" hidden="1" customHeight="1" x14ac:dyDescent="0.2">
      <c r="N297" s="547"/>
      <c r="O297" s="547"/>
      <c r="P297" s="547"/>
      <c r="Q297" s="547"/>
      <c r="R297" s="547"/>
      <c r="S297" s="547"/>
    </row>
    <row r="298" spans="14:19" s="44" customFormat="1" ht="15" hidden="1" customHeight="1" x14ac:dyDescent="0.2">
      <c r="N298" s="547"/>
      <c r="O298" s="547"/>
      <c r="P298" s="547"/>
      <c r="Q298" s="547"/>
      <c r="R298" s="547"/>
      <c r="S298" s="547"/>
    </row>
    <row r="299" spans="14:19" s="44" customFormat="1" ht="15" hidden="1" customHeight="1" x14ac:dyDescent="0.2">
      <c r="N299" s="547"/>
      <c r="O299" s="547"/>
      <c r="P299" s="547"/>
      <c r="Q299" s="547"/>
      <c r="R299" s="547"/>
      <c r="S299" s="547"/>
    </row>
    <row r="300" spans="14:19" s="44" customFormat="1" ht="15" hidden="1" customHeight="1" x14ac:dyDescent="0.2">
      <c r="N300" s="547"/>
      <c r="O300" s="547"/>
      <c r="P300" s="547"/>
      <c r="Q300" s="547"/>
      <c r="R300" s="547"/>
      <c r="S300" s="547"/>
    </row>
    <row r="301" spans="14:19" s="44" customFormat="1" ht="15" hidden="1" customHeight="1" x14ac:dyDescent="0.2">
      <c r="N301" s="547"/>
      <c r="O301" s="547"/>
      <c r="P301" s="547"/>
      <c r="Q301" s="547"/>
      <c r="R301" s="547"/>
      <c r="S301" s="547"/>
    </row>
    <row r="302" spans="14:19" s="44" customFormat="1" ht="15" hidden="1" customHeight="1" x14ac:dyDescent="0.2">
      <c r="N302" s="547"/>
      <c r="O302" s="547"/>
      <c r="P302" s="547"/>
      <c r="Q302" s="547"/>
      <c r="R302" s="547"/>
      <c r="S302" s="547"/>
    </row>
    <row r="303" spans="14:19" s="44" customFormat="1" ht="15" hidden="1" customHeight="1" x14ac:dyDescent="0.2">
      <c r="N303" s="547"/>
      <c r="O303" s="547"/>
      <c r="P303" s="547"/>
      <c r="Q303" s="547"/>
      <c r="R303" s="547"/>
      <c r="S303" s="547"/>
    </row>
    <row r="304" spans="14:19" s="44" customFormat="1" ht="15" hidden="1" customHeight="1" x14ac:dyDescent="0.2">
      <c r="N304" s="547"/>
      <c r="O304" s="547"/>
      <c r="P304" s="547"/>
      <c r="Q304" s="547"/>
      <c r="R304" s="547"/>
      <c r="S304" s="547"/>
    </row>
    <row r="305" spans="14:19" s="44" customFormat="1" ht="15" hidden="1" customHeight="1" x14ac:dyDescent="0.2">
      <c r="N305" s="547"/>
      <c r="O305" s="547"/>
      <c r="P305" s="547"/>
      <c r="Q305" s="547"/>
      <c r="R305" s="547"/>
      <c r="S305" s="547"/>
    </row>
    <row r="306" spans="14:19" s="44" customFormat="1" ht="15" hidden="1" customHeight="1" x14ac:dyDescent="0.2">
      <c r="N306" s="547"/>
      <c r="O306" s="547"/>
      <c r="P306" s="547"/>
      <c r="Q306" s="547"/>
      <c r="R306" s="547"/>
      <c r="S306" s="547"/>
    </row>
    <row r="307" spans="14:19" s="44" customFormat="1" ht="15" hidden="1" customHeight="1" x14ac:dyDescent="0.2">
      <c r="N307" s="547"/>
      <c r="O307" s="547"/>
      <c r="P307" s="547"/>
      <c r="Q307" s="547"/>
      <c r="R307" s="547"/>
      <c r="S307" s="547"/>
    </row>
    <row r="308" spans="14:19" s="44" customFormat="1" ht="15" hidden="1" customHeight="1" x14ac:dyDescent="0.2">
      <c r="N308" s="547"/>
      <c r="O308" s="547"/>
      <c r="P308" s="547"/>
      <c r="Q308" s="547"/>
      <c r="R308" s="547"/>
      <c r="S308" s="547"/>
    </row>
    <row r="309" spans="14:19" s="44" customFormat="1" ht="15" hidden="1" customHeight="1" x14ac:dyDescent="0.2">
      <c r="N309" s="547"/>
      <c r="O309" s="547"/>
      <c r="P309" s="547"/>
      <c r="Q309" s="547"/>
      <c r="R309" s="547"/>
      <c r="S309" s="547"/>
    </row>
    <row r="310" spans="14:19" s="44" customFormat="1" ht="15" hidden="1" customHeight="1" x14ac:dyDescent="0.2">
      <c r="N310" s="547"/>
      <c r="O310" s="547"/>
      <c r="P310" s="547"/>
      <c r="Q310" s="547"/>
      <c r="R310" s="547"/>
      <c r="S310" s="547"/>
    </row>
    <row r="311" spans="14:19" s="44" customFormat="1" ht="15" hidden="1" customHeight="1" x14ac:dyDescent="0.2">
      <c r="N311" s="547"/>
      <c r="O311" s="547"/>
      <c r="P311" s="547"/>
      <c r="Q311" s="547"/>
      <c r="R311" s="547"/>
      <c r="S311" s="547"/>
    </row>
    <row r="312" spans="14:19" s="44" customFormat="1" ht="15" hidden="1" customHeight="1" x14ac:dyDescent="0.2">
      <c r="N312" s="547"/>
      <c r="O312" s="547"/>
      <c r="P312" s="547"/>
      <c r="Q312" s="547"/>
      <c r="R312" s="547"/>
      <c r="S312" s="547"/>
    </row>
    <row r="313" spans="14:19" s="44" customFormat="1" ht="15" hidden="1" customHeight="1" x14ac:dyDescent="0.2">
      <c r="N313" s="547"/>
      <c r="O313" s="547"/>
      <c r="P313" s="547"/>
      <c r="Q313" s="547"/>
      <c r="R313" s="547"/>
      <c r="S313" s="547"/>
    </row>
    <row r="314" spans="14:19" s="44" customFormat="1" ht="15" hidden="1" customHeight="1" x14ac:dyDescent="0.2">
      <c r="N314" s="547"/>
      <c r="O314" s="547"/>
      <c r="P314" s="547"/>
      <c r="Q314" s="547"/>
      <c r="R314" s="547"/>
      <c r="S314" s="547"/>
    </row>
    <row r="315" spans="14:19" s="44" customFormat="1" ht="15" hidden="1" customHeight="1" x14ac:dyDescent="0.2">
      <c r="N315" s="547"/>
      <c r="O315" s="547"/>
      <c r="P315" s="547"/>
      <c r="Q315" s="547"/>
      <c r="R315" s="547"/>
      <c r="S315" s="547"/>
    </row>
    <row r="316" spans="14:19" s="44" customFormat="1" ht="15" hidden="1" customHeight="1" x14ac:dyDescent="0.2">
      <c r="N316" s="547"/>
      <c r="O316" s="547"/>
      <c r="P316" s="547"/>
      <c r="Q316" s="547"/>
      <c r="R316" s="547"/>
      <c r="S316" s="547"/>
    </row>
    <row r="317" spans="14:19" s="44" customFormat="1" ht="15" hidden="1" customHeight="1" x14ac:dyDescent="0.2">
      <c r="N317" s="547"/>
      <c r="O317" s="547"/>
      <c r="P317" s="547"/>
      <c r="Q317" s="547"/>
      <c r="R317" s="547"/>
      <c r="S317" s="547"/>
    </row>
    <row r="318" spans="14:19" s="44" customFormat="1" ht="15" hidden="1" customHeight="1" x14ac:dyDescent="0.2">
      <c r="N318" s="547"/>
      <c r="O318" s="547"/>
      <c r="P318" s="547"/>
      <c r="Q318" s="547"/>
      <c r="R318" s="547"/>
      <c r="S318" s="547"/>
    </row>
  </sheetData>
  <sheetProtection algorithmName="SHA-512" hashValue="6y1y0C9SPl4HE94wXJT6rk0ykPqoyqxPcG9/45SqtH2SBYyRTnr/mx3fCp21fJY069NbONolkoXxc/AoyAb3Qg==" saltValue="qOiBsClRdxlHfshl2UpT1Q==" spinCount="100000" sheet="1" objects="1" scenarios="1"/>
  <mergeCells count="92">
    <mergeCell ref="C199:D199"/>
    <mergeCell ref="E199:F199"/>
    <mergeCell ref="C175:E175"/>
    <mergeCell ref="C176:E176"/>
    <mergeCell ref="C178:E178"/>
    <mergeCell ref="C180:E180"/>
    <mergeCell ref="C181:E181"/>
    <mergeCell ref="C182:E182"/>
    <mergeCell ref="D183:K183"/>
    <mergeCell ref="D185:K185"/>
    <mergeCell ref="D187:K190"/>
    <mergeCell ref="C193:K193"/>
    <mergeCell ref="C196:G196"/>
    <mergeCell ref="C194:K194"/>
    <mergeCell ref="C29:D29"/>
    <mergeCell ref="C30:I30"/>
    <mergeCell ref="C31:D31"/>
    <mergeCell ref="C34:K34"/>
    <mergeCell ref="C37:K38"/>
    <mergeCell ref="E207:F207"/>
    <mergeCell ref="C201:D201"/>
    <mergeCell ref="E201:F201"/>
    <mergeCell ref="E203:F203"/>
    <mergeCell ref="E205:F205"/>
    <mergeCell ref="C169:K173"/>
    <mergeCell ref="D131:K131"/>
    <mergeCell ref="D133:K136"/>
    <mergeCell ref="D138:K139"/>
    <mergeCell ref="D141:K141"/>
    <mergeCell ref="D143:K146"/>
    <mergeCell ref="C149:H149"/>
    <mergeCell ref="I149:J149"/>
    <mergeCell ref="C151:K152"/>
    <mergeCell ref="D154:K156"/>
    <mergeCell ref="D158:K158"/>
    <mergeCell ref="D160:K163"/>
    <mergeCell ref="C166:K166"/>
    <mergeCell ref="D128:K129"/>
    <mergeCell ref="D91:K91"/>
    <mergeCell ref="D93:K96"/>
    <mergeCell ref="D98:K98"/>
    <mergeCell ref="D100:K100"/>
    <mergeCell ref="D102:K105"/>
    <mergeCell ref="D107:K108"/>
    <mergeCell ref="D110:K110"/>
    <mergeCell ref="D112:K115"/>
    <mergeCell ref="D117:K119"/>
    <mergeCell ref="D121:K121"/>
    <mergeCell ref="D123:K126"/>
    <mergeCell ref="H2:K2"/>
    <mergeCell ref="G3:K3"/>
    <mergeCell ref="C9:E9"/>
    <mergeCell ref="C11:E11"/>
    <mergeCell ref="C12:E12"/>
    <mergeCell ref="C10:E10"/>
    <mergeCell ref="B2:F2"/>
    <mergeCell ref="B3:F3"/>
    <mergeCell ref="C7:K7"/>
    <mergeCell ref="C16:K16"/>
    <mergeCell ref="C35:K35"/>
    <mergeCell ref="C64:K64"/>
    <mergeCell ref="C167:K167"/>
    <mergeCell ref="C18:K21"/>
    <mergeCell ref="C59:E59"/>
    <mergeCell ref="C40:E40"/>
    <mergeCell ref="C42:K42"/>
    <mergeCell ref="C44:K45"/>
    <mergeCell ref="C47:K48"/>
    <mergeCell ref="C50:K50"/>
    <mergeCell ref="C52:I52"/>
    <mergeCell ref="C55:H55"/>
    <mergeCell ref="C56:H56"/>
    <mergeCell ref="C57:H57"/>
    <mergeCell ref="C23:D23"/>
    <mergeCell ref="C24:D24"/>
    <mergeCell ref="C25:D25"/>
    <mergeCell ref="F23:G23"/>
    <mergeCell ref="F24:G24"/>
    <mergeCell ref="F25:G25"/>
    <mergeCell ref="C54:F54"/>
    <mergeCell ref="G54:H54"/>
    <mergeCell ref="D88:K89"/>
    <mergeCell ref="C60:E60"/>
    <mergeCell ref="C63:K63"/>
    <mergeCell ref="C66:K67"/>
    <mergeCell ref="C69:H69"/>
    <mergeCell ref="I69:J69"/>
    <mergeCell ref="C71:K74"/>
    <mergeCell ref="D76:K77"/>
    <mergeCell ref="D79:F79"/>
    <mergeCell ref="D81:K81"/>
    <mergeCell ref="D83:K86"/>
  </mergeCells>
  <conditionalFormatting sqref="B63:K146">
    <cfRule type="expression" dxfId="206" priority="2">
      <formula>$F$59="No"</formula>
    </cfRule>
  </conditionalFormatting>
  <dataValidations count="2">
    <dataValidation type="list" allowBlank="1" showInputMessage="1" showErrorMessage="1" sqref="K69 K149" xr:uid="{C5FF3C12-E442-4904-982B-C28B0D1A26DE}">
      <formula1>"Yes, No"</formula1>
    </dataValidation>
    <dataValidation type="list" allowBlank="1" showInputMessage="1" showErrorMessage="1" sqref="F59" xr:uid="{48C9CAF6-4463-46DA-A724-A3E4CE5616CC}">
      <formula1>"Yes, No, N/A"</formula1>
    </dataValidation>
  </dataValidations>
  <hyperlinks>
    <hyperlink ref="C30:E30" r:id="rId1" display="• HOME-ARP Supplemental Allocations by Participating Jurisdiction" xr:uid="{81E5A123-A561-4B1A-BBB5-A917B0F8E569}"/>
    <hyperlink ref="C30:F30" r:id="rId2" location="p-983.57(e)" display="• PIH 2016-17 (RAD) Notice Regarding Fair Housing and Civil Rights Requirements and Relocation Requirements" xr:uid="{023EA6CC-5679-4EDC-BABC-2C4F58D9596D}"/>
    <hyperlink ref="G54:H54" r:id="rId3" display="Click here" xr:uid="{2730220A-6D54-47AD-8CB5-E9B76635B81A}"/>
    <hyperlink ref="C31:D31" r:id="rId4" display="• RAD Minority Concentration Map" xr:uid="{9A6DCDDF-AA7B-4B2F-B855-6A191E80C0A2}"/>
    <hyperlink ref="C30:I30" r:id="rId5" display="• PIH 2016-17: RAD Notice Regarding Fair Housing and Civil Rights Requirements and Relocation Requirements" xr:uid="{77914824-F7CF-4ABA-ACE8-FA0F211F986E}"/>
    <hyperlink ref="H79" r:id="rId6" xr:uid="{955DE954-84ED-434B-98AC-6F46EB2D5F42}"/>
    <hyperlink ref="C29:D29" r:id="rId7" location="p-983.55(e)" display="• 24 C.F.R. §983.55(e)" xr:uid="{56DF2E30-364B-4E7F-B627-BA518DEF0EEB}"/>
  </hyperlinks>
  <pageMargins left="0.7" right="0.7" top="0.75" bottom="0.75" header="0.3" footer="0.3"/>
  <pageSetup scale="59" fitToHeight="0" orientation="portrait" r:id="rId8"/>
  <headerFooter>
    <oddFooter>&amp;L&amp;"-,Bold"&amp;9HDAP Site and Neighborhood Standards Tab&amp;"-,Regular"
Affordable Housing Funding Application (AHFA)&amp;C&amp;9Ohio Housing Finance Agency&amp;R&amp;9Page &amp;P of &amp;N</oddFooter>
  </headerFooter>
  <rowBreaks count="2" manualBreakCount="2">
    <brk id="62" min="1" max="10" man="1"/>
    <brk id="147" min="1" max="10" man="1"/>
  </rowBreaks>
  <ignoredErrors>
    <ignoredError sqref="E203" unlockedFormula="1"/>
  </ignoredErrors>
  <drawing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D9B31-2B26-4C90-8740-54911887A789}">
  <sheetPr>
    <tabColor rgb="FF0E3F75"/>
    <pageSetUpPr autoPageBreaks="0" fitToPage="1"/>
  </sheetPr>
  <dimension ref="A1:Q183"/>
  <sheetViews>
    <sheetView zoomScale="85" zoomScaleNormal="85" workbookViewId="0"/>
  </sheetViews>
  <sheetFormatPr defaultColWidth="0" defaultRowHeight="15" customHeight="1" zeroHeight="1" x14ac:dyDescent="0.2"/>
  <cols>
    <col min="1" max="1" width="2.625" style="547" customWidth="1"/>
    <col min="2" max="2" width="1" style="44" customWidth="1"/>
    <col min="3" max="9" width="15.625" style="44" customWidth="1"/>
    <col min="10" max="10" width="19" style="44" customWidth="1"/>
    <col min="11" max="11" width="1" style="44" customWidth="1"/>
    <col min="12" max="12" width="19.625" style="44" hidden="1" customWidth="1"/>
    <col min="13" max="16" width="9.625" style="547" hidden="1" customWidth="1"/>
    <col min="17" max="17" width="19.625" style="547" hidden="1" customWidth="1"/>
    <col min="18" max="16384" width="9.625" style="547" hidden="1"/>
  </cols>
  <sheetData>
    <row r="1" spans="2:10" s="83" customFormat="1" ht="55.5" customHeight="1" x14ac:dyDescent="0.2">
      <c r="B1" s="1"/>
      <c r="C1" s="1"/>
      <c r="D1" s="1"/>
      <c r="E1" s="1"/>
      <c r="F1" s="1"/>
      <c r="G1" s="1"/>
      <c r="H1" s="1"/>
      <c r="I1" s="1"/>
      <c r="J1" s="1"/>
    </row>
    <row r="2" spans="2:10" s="83" customFormat="1" ht="25.5" customHeight="1" x14ac:dyDescent="0.2">
      <c r="B2" s="1211" t="s">
        <v>2654</v>
      </c>
      <c r="C2" s="1212"/>
      <c r="D2" s="1212"/>
      <c r="E2" s="1212"/>
      <c r="F2" s="1212"/>
      <c r="G2" s="1217" t="str">
        <f>CONCATENATE(IF(Instructions!$K$2="","",Instructions!$K$2)," ",IF(Details!$E$11="","",Details!$E$11))</f>
        <v>2026 9% LIHTC AHFA Proposal Application</v>
      </c>
      <c r="H2" s="1217"/>
      <c r="I2" s="1217"/>
      <c r="J2" s="1218"/>
    </row>
    <row r="3" spans="2:10" s="83" customFormat="1" ht="20.25" customHeight="1" x14ac:dyDescent="0.2">
      <c r="B3" s="1166" t="s">
        <v>437</v>
      </c>
      <c r="C3" s="1167"/>
      <c r="D3" s="1167"/>
      <c r="E3" s="1167"/>
      <c r="F3" s="1167"/>
      <c r="G3" s="1304" t="str">
        <f>IF(Details!$E$12="","",CONCATENATE("Project Name: ",Details!$E$12))</f>
        <v/>
      </c>
      <c r="H3" s="1304"/>
      <c r="I3" s="1304"/>
      <c r="J3" s="1305"/>
    </row>
    <row r="4" spans="2:10" s="44" customFormat="1" ht="15" customHeight="1" x14ac:dyDescent="0.2"/>
    <row r="5" spans="2:10" s="44" customFormat="1" ht="15" customHeight="1" x14ac:dyDescent="0.2"/>
    <row r="6" spans="2:10" s="44" customFormat="1" ht="15" customHeight="1" x14ac:dyDescent="0.25">
      <c r="C6" s="692" t="s">
        <v>2584</v>
      </c>
      <c r="D6" s="692"/>
      <c r="E6" s="692"/>
      <c r="F6" s="692"/>
      <c r="G6" s="692"/>
      <c r="H6" s="692"/>
      <c r="I6" s="692"/>
      <c r="J6" s="692"/>
    </row>
    <row r="7" spans="2:10" s="44" customFormat="1" ht="3" customHeight="1" x14ac:dyDescent="0.2">
      <c r="C7" s="1482"/>
      <c r="D7" s="1482"/>
      <c r="E7" s="1482"/>
      <c r="F7" s="1482"/>
      <c r="G7" s="1482"/>
      <c r="H7" s="1482"/>
      <c r="I7" s="1482"/>
      <c r="J7" s="1482"/>
    </row>
    <row r="8" spans="2:10" s="44" customFormat="1" ht="15" customHeight="1" x14ac:dyDescent="0.2">
      <c r="C8" s="585"/>
      <c r="D8" s="585"/>
      <c r="E8" s="585"/>
      <c r="F8" s="585"/>
      <c r="G8" s="585"/>
      <c r="H8" s="585"/>
      <c r="I8" s="585"/>
      <c r="J8" s="585"/>
    </row>
    <row r="9" spans="2:10" s="44" customFormat="1" ht="15" customHeight="1" x14ac:dyDescent="0.2">
      <c r="C9" s="1508" t="s">
        <v>2655</v>
      </c>
      <c r="D9" s="1508"/>
      <c r="E9" s="1509"/>
      <c r="F9" s="727" t="str">
        <f>IF(SUM(Sources!G44:'Sources'!G47)&gt;0,"Yes","No")</f>
        <v>No</v>
      </c>
      <c r="J9" s="122"/>
    </row>
    <row r="10" spans="2:10" s="44" customFormat="1" ht="15" customHeight="1" x14ac:dyDescent="0.2">
      <c r="C10" s="1467" t="s">
        <v>3516</v>
      </c>
      <c r="D10" s="1467"/>
      <c r="E10" s="1467"/>
      <c r="F10" s="1062" t="str">
        <f>IF(F9="No","No","""Yes")</f>
        <v>No</v>
      </c>
      <c r="J10" s="122"/>
    </row>
    <row r="11" spans="2:10" s="44" customFormat="1" ht="15" customHeight="1" x14ac:dyDescent="0.2">
      <c r="C11" s="708"/>
      <c r="D11" s="708"/>
      <c r="E11" s="708"/>
      <c r="F11" s="708"/>
      <c r="G11" s="708"/>
      <c r="H11" s="708"/>
      <c r="I11" s="708"/>
      <c r="J11" s="122"/>
    </row>
    <row r="12" spans="2:10" s="44" customFormat="1" ht="15" customHeight="1" x14ac:dyDescent="0.2"/>
    <row r="13" spans="2:10" s="44" customFormat="1" ht="15" customHeight="1" x14ac:dyDescent="0.25">
      <c r="B13" s="42"/>
      <c r="C13" s="1471" t="s">
        <v>2624</v>
      </c>
      <c r="D13" s="1471"/>
      <c r="E13" s="1471"/>
      <c r="F13" s="1471"/>
      <c r="G13" s="1471"/>
      <c r="H13" s="692"/>
      <c r="I13" s="692"/>
      <c r="J13" s="692"/>
    </row>
    <row r="14" spans="2:10" s="44" customFormat="1" ht="3" customHeight="1" x14ac:dyDescent="0.2">
      <c r="B14" s="42"/>
      <c r="C14" s="1482"/>
      <c r="D14" s="1482"/>
      <c r="E14" s="1482"/>
      <c r="F14" s="1482"/>
      <c r="G14" s="1482"/>
      <c r="H14" s="1482"/>
      <c r="I14" s="1482"/>
      <c r="J14" s="1482"/>
    </row>
    <row r="15" spans="2:10" s="44" customFormat="1" ht="5.25" customHeight="1" x14ac:dyDescent="0.2">
      <c r="B15" s="42"/>
      <c r="C15" s="43"/>
      <c r="D15" s="43"/>
      <c r="E15" s="43"/>
      <c r="F15" s="43"/>
      <c r="G15" s="43"/>
      <c r="H15" s="43"/>
      <c r="I15" s="43"/>
      <c r="J15" s="43"/>
    </row>
    <row r="16" spans="2:10" s="44" customFormat="1" ht="15" customHeight="1" x14ac:dyDescent="0.2">
      <c r="B16" s="42"/>
      <c r="C16" s="1469" t="s">
        <v>2625</v>
      </c>
      <c r="D16" s="1469"/>
      <c r="E16" s="1469"/>
      <c r="F16" s="1469"/>
      <c r="G16" s="1469"/>
      <c r="H16" s="1469"/>
      <c r="I16" s="1469"/>
      <c r="J16" s="1469"/>
    </row>
    <row r="17" spans="2:10" s="44" customFormat="1" ht="15" customHeight="1" x14ac:dyDescent="0.2">
      <c r="B17" s="42"/>
      <c r="C17" s="1469"/>
      <c r="D17" s="1469"/>
      <c r="E17" s="1469"/>
      <c r="F17" s="1469"/>
      <c r="G17" s="1469"/>
      <c r="H17" s="1469"/>
      <c r="I17" s="1469"/>
      <c r="J17" s="1469"/>
    </row>
    <row r="18" spans="2:10" s="44" customFormat="1" ht="15" customHeight="1" x14ac:dyDescent="0.2">
      <c r="B18" s="42"/>
      <c r="C18" s="1469"/>
      <c r="D18" s="1469"/>
      <c r="E18" s="1469"/>
      <c r="F18" s="1469"/>
      <c r="G18" s="1469"/>
      <c r="H18" s="1469"/>
      <c r="I18" s="1469"/>
      <c r="J18" s="1469"/>
    </row>
    <row r="19" spans="2:10" s="44" customFormat="1" ht="15" customHeight="1" x14ac:dyDescent="0.2">
      <c r="B19" s="42"/>
      <c r="C19" s="43"/>
      <c r="D19" s="43"/>
      <c r="E19" s="43"/>
      <c r="F19" s="43"/>
      <c r="G19" s="43"/>
      <c r="H19" s="43"/>
      <c r="I19" s="43"/>
      <c r="J19" s="43"/>
    </row>
    <row r="20" spans="2:10" s="44" customFormat="1" ht="15" customHeight="1" x14ac:dyDescent="0.2">
      <c r="B20" s="42"/>
      <c r="C20" s="1511" t="s">
        <v>2626</v>
      </c>
      <c r="D20" s="1511"/>
      <c r="E20" s="1511"/>
      <c r="F20" s="43"/>
      <c r="G20" s="43"/>
      <c r="H20" s="43"/>
      <c r="I20" s="43"/>
      <c r="J20" s="43"/>
    </row>
    <row r="21" spans="2:10" s="44" customFormat="1" ht="15" customHeight="1" x14ac:dyDescent="0.2">
      <c r="B21" s="42"/>
      <c r="C21" s="43"/>
      <c r="D21" s="43"/>
      <c r="E21" s="43"/>
      <c r="F21" s="43"/>
      <c r="G21" s="43"/>
      <c r="H21" s="43"/>
      <c r="I21" s="43"/>
      <c r="J21" s="43"/>
    </row>
    <row r="22" spans="2:10" s="44" customFormat="1" ht="15" customHeight="1" x14ac:dyDescent="0.2">
      <c r="B22" s="42"/>
      <c r="C22" s="1512" t="s">
        <v>2588</v>
      </c>
      <c r="D22" s="1512"/>
      <c r="E22" s="1512"/>
      <c r="F22" s="998" t="s">
        <v>2713</v>
      </c>
      <c r="G22" s="1478" t="s">
        <v>2590</v>
      </c>
      <c r="H22" s="1479"/>
      <c r="I22" s="43"/>
      <c r="J22" s="43"/>
    </row>
    <row r="23" spans="2:10" s="44" customFormat="1" ht="15" customHeight="1" x14ac:dyDescent="0.2">
      <c r="B23" s="42"/>
      <c r="C23" s="1507" t="s">
        <v>2058</v>
      </c>
      <c r="D23" s="1507"/>
      <c r="E23" s="1507"/>
      <c r="F23" s="534" t="s">
        <v>2064</v>
      </c>
      <c r="G23" s="1480" t="s">
        <v>2627</v>
      </c>
      <c r="H23" s="1481"/>
      <c r="I23" s="43"/>
      <c r="J23" s="43"/>
    </row>
    <row r="24" spans="2:10" s="44" customFormat="1" ht="15" customHeight="1" x14ac:dyDescent="0.2">
      <c r="B24" s="42"/>
      <c r="C24" s="1507" t="s">
        <v>2451</v>
      </c>
      <c r="D24" s="1507"/>
      <c r="E24" s="1507"/>
      <c r="F24" s="534" t="s">
        <v>2397</v>
      </c>
      <c r="G24" s="1480" t="s">
        <v>2396</v>
      </c>
      <c r="H24" s="1481"/>
      <c r="I24" s="43"/>
      <c r="J24" s="43"/>
    </row>
    <row r="25" spans="2:10" s="44" customFormat="1" ht="15" customHeight="1" x14ac:dyDescent="0.2">
      <c r="B25" s="42"/>
      <c r="C25" s="1507" t="s">
        <v>2628</v>
      </c>
      <c r="D25" s="1507"/>
      <c r="E25" s="1507"/>
      <c r="F25" s="534" t="s">
        <v>2343</v>
      </c>
      <c r="G25" s="1480" t="s">
        <v>2342</v>
      </c>
      <c r="H25" s="1481"/>
      <c r="I25" s="43"/>
      <c r="J25" s="43"/>
    </row>
    <row r="26" spans="2:10" s="44" customFormat="1" ht="15" customHeight="1" x14ac:dyDescent="0.2">
      <c r="B26" s="42"/>
      <c r="C26" s="43"/>
      <c r="D26" s="43"/>
      <c r="E26" s="43"/>
      <c r="F26" s="43"/>
      <c r="G26" s="43"/>
      <c r="H26" s="43"/>
      <c r="I26" s="43"/>
      <c r="J26" s="43"/>
    </row>
    <row r="27" spans="2:10" s="44" customFormat="1" ht="15" customHeight="1" x14ac:dyDescent="0.2">
      <c r="B27" s="42"/>
      <c r="C27" s="694" t="s">
        <v>2593</v>
      </c>
      <c r="D27" s="43"/>
      <c r="E27" s="43"/>
      <c r="F27" s="43"/>
      <c r="G27" s="43"/>
      <c r="H27" s="43"/>
      <c r="I27" s="43"/>
      <c r="J27" s="43"/>
    </row>
    <row r="28" spans="2:10" s="44" customFormat="1" ht="5.25" customHeight="1" x14ac:dyDescent="0.2">
      <c r="B28" s="42"/>
      <c r="C28" s="43"/>
      <c r="D28" s="43"/>
      <c r="E28" s="43"/>
      <c r="F28" s="43"/>
      <c r="G28" s="43"/>
      <c r="H28" s="43"/>
      <c r="I28" s="43"/>
      <c r="J28" s="43"/>
    </row>
    <row r="29" spans="2:10" s="44" customFormat="1" ht="15" customHeight="1" x14ac:dyDescent="0.2">
      <c r="B29" s="42"/>
      <c r="C29" s="1497" t="s">
        <v>2629</v>
      </c>
      <c r="D29" s="1497"/>
      <c r="E29" s="1497"/>
      <c r="F29" s="1497"/>
    </row>
    <row r="30" spans="2:10" s="44" customFormat="1" ht="15" customHeight="1" x14ac:dyDescent="0.2">
      <c r="B30" s="42"/>
      <c r="C30" s="1497" t="s">
        <v>2387</v>
      </c>
      <c r="D30" s="1497"/>
      <c r="E30" s="1497"/>
      <c r="F30" s="1497"/>
      <c r="G30" s="695"/>
      <c r="H30" s="695"/>
    </row>
    <row r="31" spans="2:10" s="44" customFormat="1" ht="15" customHeight="1" x14ac:dyDescent="0.2">
      <c r="B31" s="42"/>
      <c r="C31" s="695"/>
      <c r="D31" s="695"/>
      <c r="E31" s="695"/>
      <c r="F31" s="695"/>
      <c r="G31" s="695"/>
      <c r="H31" s="695"/>
    </row>
    <row r="32" spans="2:10" s="44" customFormat="1" ht="15" customHeight="1" x14ac:dyDescent="0.2">
      <c r="B32" s="42"/>
      <c r="C32" s="695"/>
      <c r="D32" s="695"/>
      <c r="E32" s="695"/>
      <c r="F32" s="695"/>
      <c r="G32" s="695"/>
      <c r="H32" s="695"/>
    </row>
    <row r="33" spans="2:13" s="44" customFormat="1" ht="15" customHeight="1" x14ac:dyDescent="0.25">
      <c r="B33" s="42"/>
      <c r="C33" s="1468" t="s">
        <v>2630</v>
      </c>
      <c r="D33" s="1468"/>
      <c r="E33" s="1468"/>
      <c r="F33" s="1468"/>
      <c r="G33" s="1468"/>
      <c r="H33" s="1468"/>
      <c r="I33" s="1468"/>
      <c r="J33" s="1468"/>
    </row>
    <row r="34" spans="2:13" s="44" customFormat="1" ht="3" customHeight="1" x14ac:dyDescent="0.2">
      <c r="B34" s="42"/>
      <c r="C34" s="693"/>
      <c r="D34" s="693"/>
      <c r="E34" s="693"/>
      <c r="F34" s="693"/>
      <c r="G34" s="693"/>
      <c r="H34" s="693"/>
      <c r="I34" s="693"/>
      <c r="J34" s="693"/>
    </row>
    <row r="35" spans="2:13" s="44" customFormat="1" ht="5.25" customHeight="1" x14ac:dyDescent="0.2">
      <c r="B35" s="42"/>
      <c r="C35" s="43"/>
      <c r="D35" s="43"/>
      <c r="E35" s="43"/>
      <c r="F35" s="43"/>
      <c r="G35" s="43"/>
      <c r="H35" s="43"/>
      <c r="I35" s="43"/>
      <c r="J35" s="43"/>
    </row>
    <row r="36" spans="2:13" s="44" customFormat="1" ht="15" customHeight="1" x14ac:dyDescent="0.2">
      <c r="B36" s="42"/>
      <c r="C36" s="1469" t="s">
        <v>2631</v>
      </c>
      <c r="D36" s="1469"/>
      <c r="E36" s="1469"/>
      <c r="F36" s="1469"/>
      <c r="G36" s="1469"/>
      <c r="H36" s="1469"/>
      <c r="I36" s="1469"/>
      <c r="J36" s="1469"/>
    </row>
    <row r="37" spans="2:13" s="44" customFormat="1" ht="15" customHeight="1" x14ac:dyDescent="0.2">
      <c r="B37" s="42"/>
      <c r="C37" s="1469"/>
      <c r="D37" s="1469"/>
      <c r="E37" s="1469"/>
      <c r="F37" s="1469"/>
      <c r="G37" s="1469"/>
      <c r="H37" s="1469"/>
      <c r="I37" s="1469"/>
      <c r="J37" s="1469"/>
    </row>
    <row r="38" spans="2:13" s="44" customFormat="1" ht="15" customHeight="1" x14ac:dyDescent="0.2">
      <c r="B38" s="42"/>
      <c r="C38" s="695"/>
      <c r="D38" s="695"/>
      <c r="E38" s="695"/>
      <c r="F38" s="695"/>
      <c r="G38" s="695"/>
      <c r="H38" s="695"/>
    </row>
    <row r="39" spans="2:13" s="44" customFormat="1" ht="15" customHeight="1" x14ac:dyDescent="0.2">
      <c r="C39" s="43"/>
      <c r="D39" s="43"/>
      <c r="E39" s="43"/>
      <c r="F39" s="43"/>
      <c r="G39" s="43"/>
      <c r="H39" s="43"/>
      <c r="I39" s="43"/>
      <c r="M39" s="547"/>
    </row>
    <row r="40" spans="2:13" s="44" customFormat="1" ht="15" customHeight="1" x14ac:dyDescent="0.2">
      <c r="C40" s="1504" t="s">
        <v>2632</v>
      </c>
      <c r="D40" s="1504"/>
      <c r="E40" s="1504"/>
      <c r="F40" s="1505" t="s">
        <v>2393</v>
      </c>
      <c r="G40" s="1505"/>
      <c r="H40" s="1506"/>
      <c r="I40" s="659" t="str">
        <f>IF(OR(I46="",I47="",I48="",I49="",I50="",I51=""),"Incomplete info",IF(OR(I46="No",I47="No",I48="No",I49="No",I50="No",I51="No"),"Yes","No"))</f>
        <v>No</v>
      </c>
      <c r="M40" s="547"/>
    </row>
    <row r="41" spans="2:13" s="44" customFormat="1" ht="5.25" customHeight="1" x14ac:dyDescent="0.2">
      <c r="C41" s="43"/>
      <c r="D41" s="43"/>
      <c r="E41" s="43"/>
      <c r="F41" s="43"/>
      <c r="G41" s="260"/>
      <c r="H41" s="260"/>
      <c r="I41" s="260"/>
      <c r="M41" s="547"/>
    </row>
    <row r="42" spans="2:13" s="44" customFormat="1" ht="15" customHeight="1" x14ac:dyDescent="0.2">
      <c r="C42" s="1469" t="s">
        <v>2633</v>
      </c>
      <c r="D42" s="1469"/>
      <c r="E42" s="1469"/>
      <c r="F42" s="1469"/>
      <c r="G42" s="1469"/>
      <c r="H42" s="1469"/>
      <c r="I42" s="1469"/>
      <c r="M42" s="547"/>
    </row>
    <row r="43" spans="2:13" s="44" customFormat="1" ht="15" customHeight="1" x14ac:dyDescent="0.2">
      <c r="C43" s="1469"/>
      <c r="D43" s="1469"/>
      <c r="E43" s="1469"/>
      <c r="F43" s="1469"/>
      <c r="G43" s="1469"/>
      <c r="H43" s="1469"/>
      <c r="I43" s="1469"/>
      <c r="M43" s="547"/>
    </row>
    <row r="44" spans="2:13" s="44" customFormat="1" ht="15" customHeight="1" x14ac:dyDescent="0.2">
      <c r="C44" s="43"/>
      <c r="D44" s="43"/>
      <c r="E44" s="43"/>
      <c r="F44" s="43"/>
      <c r="G44" s="260"/>
      <c r="H44" s="260"/>
      <c r="I44" s="260"/>
      <c r="M44" s="547"/>
    </row>
    <row r="45" spans="2:13" s="44" customFormat="1" ht="45" customHeight="1" x14ac:dyDescent="0.2">
      <c r="C45" s="995" t="s">
        <v>344</v>
      </c>
      <c r="D45" s="995" t="s">
        <v>2468</v>
      </c>
      <c r="E45" s="1023" t="s">
        <v>2634</v>
      </c>
      <c r="F45" s="1023" t="s">
        <v>2635</v>
      </c>
      <c r="G45" s="995" t="s">
        <v>2636</v>
      </c>
      <c r="H45" s="1023" t="s">
        <v>2637</v>
      </c>
      <c r="I45" s="995" t="s">
        <v>2638</v>
      </c>
      <c r="M45" s="547"/>
    </row>
    <row r="46" spans="2:13" s="44" customFormat="1" ht="15" customHeight="1" x14ac:dyDescent="0.2">
      <c r="C46" s="734">
        <f>Revenue!$N$110</f>
        <v>0</v>
      </c>
      <c r="D46" s="560">
        <v>0</v>
      </c>
      <c r="E46" s="728"/>
      <c r="F46" s="728"/>
      <c r="G46" s="588"/>
      <c r="H46" s="728"/>
      <c r="I46" s="560" t="str">
        <f t="shared" ref="I46:I51" si="0">IF(C46=0,"N/A",IF(OR(E46="",F46="",G46="",H46=""),"",IF(OR(E46&lt;&gt;F46,G46&lt;&gt;H46),"Yes","No")))</f>
        <v>N/A</v>
      </c>
      <c r="M46" s="547"/>
    </row>
    <row r="47" spans="2:13" s="44" customFormat="1" ht="15" customHeight="1" x14ac:dyDescent="0.2">
      <c r="C47" s="734">
        <f>Revenue!$N$111</f>
        <v>0</v>
      </c>
      <c r="D47" s="560">
        <v>1</v>
      </c>
      <c r="E47" s="728"/>
      <c r="F47" s="728"/>
      <c r="G47" s="588"/>
      <c r="H47" s="728"/>
      <c r="I47" s="560" t="str">
        <f t="shared" si="0"/>
        <v>N/A</v>
      </c>
      <c r="M47" s="547"/>
    </row>
    <row r="48" spans="2:13" s="44" customFormat="1" ht="15" customHeight="1" x14ac:dyDescent="0.2">
      <c r="C48" s="734">
        <f>Revenue!$N$112</f>
        <v>0</v>
      </c>
      <c r="D48" s="560">
        <v>2</v>
      </c>
      <c r="E48" s="728"/>
      <c r="F48" s="728"/>
      <c r="G48" s="588"/>
      <c r="H48" s="728"/>
      <c r="I48" s="560" t="str">
        <f t="shared" si="0"/>
        <v>N/A</v>
      </c>
      <c r="M48" s="547"/>
    </row>
    <row r="49" spans="3:13" s="44" customFormat="1" ht="15" customHeight="1" x14ac:dyDescent="0.2">
      <c r="C49" s="734">
        <f>Revenue!$N$113</f>
        <v>0</v>
      </c>
      <c r="D49" s="560">
        <v>3</v>
      </c>
      <c r="E49" s="728"/>
      <c r="F49" s="728"/>
      <c r="G49" s="588"/>
      <c r="H49" s="728"/>
      <c r="I49" s="560" t="str">
        <f t="shared" si="0"/>
        <v>N/A</v>
      </c>
      <c r="M49" s="547"/>
    </row>
    <row r="50" spans="3:13" s="44" customFormat="1" ht="15" customHeight="1" x14ac:dyDescent="0.2">
      <c r="C50" s="734">
        <f>Revenue!$N$114</f>
        <v>0</v>
      </c>
      <c r="D50" s="560">
        <v>4</v>
      </c>
      <c r="E50" s="728"/>
      <c r="F50" s="728"/>
      <c r="G50" s="588"/>
      <c r="H50" s="728"/>
      <c r="I50" s="560" t="str">
        <f t="shared" si="0"/>
        <v>N/A</v>
      </c>
      <c r="M50" s="547"/>
    </row>
    <row r="51" spans="3:13" s="44" customFormat="1" ht="15" customHeight="1" x14ac:dyDescent="0.2">
      <c r="C51" s="734">
        <f>Revenue!$N$115</f>
        <v>0</v>
      </c>
      <c r="D51" s="560">
        <v>5</v>
      </c>
      <c r="E51" s="728"/>
      <c r="F51" s="728"/>
      <c r="G51" s="588"/>
      <c r="H51" s="728"/>
      <c r="I51" s="560" t="str">
        <f t="shared" si="0"/>
        <v>N/A</v>
      </c>
      <c r="M51" s="547"/>
    </row>
    <row r="52" spans="3:13" s="44" customFormat="1" ht="15" customHeight="1" x14ac:dyDescent="0.2">
      <c r="C52" s="43"/>
      <c r="D52" s="43"/>
      <c r="E52" s="43"/>
      <c r="F52" s="43"/>
      <c r="G52" s="43"/>
      <c r="H52" s="43"/>
      <c r="I52" s="43"/>
      <c r="M52" s="547"/>
    </row>
    <row r="53" spans="3:13" s="44" customFormat="1" ht="15" customHeight="1" x14ac:dyDescent="0.2">
      <c r="C53" s="43"/>
      <c r="D53" s="43"/>
      <c r="E53" s="43"/>
      <c r="F53" s="43"/>
      <c r="G53" s="43"/>
      <c r="H53" s="43"/>
      <c r="I53" s="43"/>
      <c r="M53" s="547"/>
    </row>
    <row r="54" spans="3:13" s="44" customFormat="1" ht="15" customHeight="1" x14ac:dyDescent="0.2">
      <c r="C54" s="1504" t="s">
        <v>2639</v>
      </c>
      <c r="D54" s="1504"/>
      <c r="E54" s="1504"/>
      <c r="F54" s="1505" t="s">
        <v>2392</v>
      </c>
      <c r="G54" s="1505"/>
      <c r="H54" s="1506"/>
      <c r="I54" s="659" t="str">
        <f>IF(OR(I61="",I62="",I63="",I64="",I65="",I66=""),"Incomplete info",IF(OR(I61="No",I62="No",I63="No",I64="No",I65="No",I66="No"),"No","Yes"))</f>
        <v>Yes</v>
      </c>
      <c r="M54" s="547"/>
    </row>
    <row r="55" spans="3:13" s="44" customFormat="1" ht="5.25" customHeight="1" x14ac:dyDescent="0.2">
      <c r="C55" s="43"/>
      <c r="D55" s="43"/>
      <c r="E55" s="43"/>
      <c r="F55" s="43"/>
      <c r="G55" s="260"/>
      <c r="H55" s="260"/>
      <c r="I55" s="260"/>
      <c r="M55" s="547"/>
    </row>
    <row r="56" spans="3:13" s="44" customFormat="1" ht="15" customHeight="1" x14ac:dyDescent="0.2">
      <c r="C56" s="1469" t="s">
        <v>2640</v>
      </c>
      <c r="D56" s="1469"/>
      <c r="E56" s="1469"/>
      <c r="F56" s="1469"/>
      <c r="G56" s="1469"/>
      <c r="H56" s="1469"/>
      <c r="I56" s="1469"/>
      <c r="M56" s="547"/>
    </row>
    <row r="57" spans="3:13" s="44" customFormat="1" ht="15" customHeight="1" x14ac:dyDescent="0.2">
      <c r="C57" s="1469"/>
      <c r="D57" s="1469"/>
      <c r="E57" s="1469"/>
      <c r="F57" s="1469"/>
      <c r="G57" s="1469"/>
      <c r="H57" s="1469"/>
      <c r="I57" s="1469"/>
      <c r="M57" s="547"/>
    </row>
    <row r="58" spans="3:13" s="44" customFormat="1" ht="15" customHeight="1" x14ac:dyDescent="0.2">
      <c r="C58" s="1469"/>
      <c r="D58" s="1469"/>
      <c r="E58" s="1469"/>
      <c r="F58" s="1469"/>
      <c r="G58" s="1469"/>
      <c r="H58" s="1469"/>
      <c r="I58" s="1469"/>
      <c r="M58" s="547"/>
    </row>
    <row r="59" spans="3:13" s="44" customFormat="1" ht="15" customHeight="1" x14ac:dyDescent="0.2">
      <c r="C59" s="43"/>
      <c r="D59" s="43"/>
      <c r="E59" s="43"/>
      <c r="F59" s="43"/>
      <c r="G59" s="260"/>
      <c r="H59" s="260"/>
      <c r="I59" s="260"/>
      <c r="M59" s="547"/>
    </row>
    <row r="60" spans="3:13" s="44" customFormat="1" ht="45" customHeight="1" x14ac:dyDescent="0.2">
      <c r="C60" s="995" t="s">
        <v>344</v>
      </c>
      <c r="D60" s="995" t="s">
        <v>2468</v>
      </c>
      <c r="E60" s="1023" t="s">
        <v>2641</v>
      </c>
      <c r="F60" s="1023" t="s">
        <v>2642</v>
      </c>
      <c r="G60" s="1023" t="s">
        <v>2643</v>
      </c>
      <c r="H60" s="995" t="s">
        <v>2644</v>
      </c>
      <c r="I60" s="995" t="s">
        <v>2645</v>
      </c>
      <c r="M60" s="547"/>
    </row>
    <row r="61" spans="3:13" s="44" customFormat="1" ht="15" customHeight="1" x14ac:dyDescent="0.2">
      <c r="C61" s="734">
        <f>Revenue!$N$110</f>
        <v>0</v>
      </c>
      <c r="D61" s="560">
        <v>0</v>
      </c>
      <c r="E61" s="728" t="s">
        <v>2466</v>
      </c>
      <c r="F61" s="729"/>
      <c r="G61" s="729"/>
      <c r="H61" s="560" t="str">
        <f t="shared" ref="H61:H66" si="1">IF(C61=0,"N/A",IF(OR(E61="",F61="",G61=""),"",IF(OR(E61&gt;(F61+120),E61&lt;(G61-120)),"Yes","No")))</f>
        <v>N/A</v>
      </c>
      <c r="I61" s="560" t="str">
        <f t="shared" ref="I61:I66" si="2">IF(H61="N/A","N/A",IF(H61="","",IF(H61="Yes","No","Yes")))</f>
        <v>N/A</v>
      </c>
      <c r="M61" s="547"/>
    </row>
    <row r="62" spans="3:13" s="44" customFormat="1" ht="15" customHeight="1" x14ac:dyDescent="0.2">
      <c r="C62" s="734">
        <f>Revenue!$N$111</f>
        <v>0</v>
      </c>
      <c r="D62" s="560">
        <v>1</v>
      </c>
      <c r="E62" s="728"/>
      <c r="F62" s="728"/>
      <c r="G62" s="728"/>
      <c r="H62" s="560" t="str">
        <f t="shared" si="1"/>
        <v>N/A</v>
      </c>
      <c r="I62" s="560" t="str">
        <f t="shared" si="2"/>
        <v>N/A</v>
      </c>
      <c r="M62" s="547"/>
    </row>
    <row r="63" spans="3:13" s="44" customFormat="1" ht="15" customHeight="1" x14ac:dyDescent="0.2">
      <c r="C63" s="734">
        <f>Revenue!$N$112</f>
        <v>0</v>
      </c>
      <c r="D63" s="560">
        <v>2</v>
      </c>
      <c r="E63" s="728"/>
      <c r="F63" s="729"/>
      <c r="G63" s="729"/>
      <c r="H63" s="560" t="str">
        <f t="shared" si="1"/>
        <v>N/A</v>
      </c>
      <c r="I63" s="560" t="str">
        <f t="shared" si="2"/>
        <v>N/A</v>
      </c>
      <c r="M63" s="547"/>
    </row>
    <row r="64" spans="3:13" s="44" customFormat="1" ht="15" customHeight="1" x14ac:dyDescent="0.2">
      <c r="C64" s="734">
        <f>Revenue!$N$113</f>
        <v>0</v>
      </c>
      <c r="D64" s="560">
        <v>3</v>
      </c>
      <c r="E64" s="728" t="s">
        <v>2466</v>
      </c>
      <c r="F64" s="729"/>
      <c r="G64" s="729"/>
      <c r="H64" s="560" t="str">
        <f t="shared" si="1"/>
        <v>N/A</v>
      </c>
      <c r="I64" s="560" t="str">
        <f t="shared" si="2"/>
        <v>N/A</v>
      </c>
      <c r="M64" s="547"/>
    </row>
    <row r="65" spans="3:13" s="44" customFormat="1" ht="15" customHeight="1" x14ac:dyDescent="0.2">
      <c r="C65" s="734">
        <f>Revenue!$N$114</f>
        <v>0</v>
      </c>
      <c r="D65" s="560">
        <v>4</v>
      </c>
      <c r="E65" s="728" t="s">
        <v>2466</v>
      </c>
      <c r="F65" s="729"/>
      <c r="G65" s="729"/>
      <c r="H65" s="560" t="str">
        <f t="shared" si="1"/>
        <v>N/A</v>
      </c>
      <c r="I65" s="560" t="str">
        <f t="shared" si="2"/>
        <v>N/A</v>
      </c>
      <c r="M65" s="547"/>
    </row>
    <row r="66" spans="3:13" s="44" customFormat="1" ht="15" customHeight="1" x14ac:dyDescent="0.2">
      <c r="C66" s="734">
        <f>Revenue!$N$115</f>
        <v>0</v>
      </c>
      <c r="D66" s="560">
        <v>5</v>
      </c>
      <c r="E66" s="728" t="s">
        <v>2466</v>
      </c>
      <c r="F66" s="729"/>
      <c r="G66" s="729"/>
      <c r="H66" s="560" t="str">
        <f t="shared" si="1"/>
        <v>N/A</v>
      </c>
      <c r="I66" s="560" t="str">
        <f t="shared" si="2"/>
        <v>N/A</v>
      </c>
      <c r="M66" s="547"/>
    </row>
    <row r="67" spans="3:13" s="44" customFormat="1" ht="15" customHeight="1" x14ac:dyDescent="0.2">
      <c r="C67" s="43"/>
      <c r="D67" s="43"/>
      <c r="E67" s="43"/>
      <c r="F67" s="43"/>
      <c r="G67" s="43"/>
      <c r="H67" s="43"/>
      <c r="I67" s="43"/>
      <c r="M67" s="547"/>
    </row>
    <row r="68" spans="3:13" s="44" customFormat="1" ht="15" customHeight="1" x14ac:dyDescent="0.2">
      <c r="C68" s="43"/>
      <c r="D68" s="43"/>
      <c r="E68" s="43"/>
      <c r="F68" s="43"/>
      <c r="G68" s="43"/>
      <c r="H68" s="43"/>
      <c r="I68" s="43"/>
      <c r="M68" s="547"/>
    </row>
    <row r="69" spans="3:13" s="44" customFormat="1" ht="15" customHeight="1" x14ac:dyDescent="0.2">
      <c r="C69" s="1504" t="s">
        <v>2646</v>
      </c>
      <c r="D69" s="1504"/>
      <c r="E69" s="1504"/>
      <c r="F69" s="1505" t="s">
        <v>2391</v>
      </c>
      <c r="G69" s="1505"/>
      <c r="H69" s="1506"/>
      <c r="I69" s="659" t="str">
        <f>IF(OR(H75="",H76="",H77="",H78="",H79="",H80=""),"Incomplete info",IF(OR(H75="No",H76="No",H77="No",H78="No",H79="No",H80="No"),"No","Yes"))</f>
        <v>Yes</v>
      </c>
      <c r="M69" s="547"/>
    </row>
    <row r="70" spans="3:13" s="44" customFormat="1" ht="5.25" customHeight="1" x14ac:dyDescent="0.2">
      <c r="C70" s="43"/>
      <c r="D70" s="43"/>
      <c r="E70" s="43"/>
      <c r="F70" s="43"/>
      <c r="G70" s="260"/>
      <c r="H70" s="260"/>
      <c r="I70" s="260"/>
      <c r="M70" s="547"/>
    </row>
    <row r="71" spans="3:13" s="44" customFormat="1" ht="15" customHeight="1" x14ac:dyDescent="0.2">
      <c r="C71" s="1469" t="s">
        <v>2647</v>
      </c>
      <c r="D71" s="1469"/>
      <c r="E71" s="1469"/>
      <c r="F71" s="1469"/>
      <c r="G71" s="1469"/>
      <c r="H71" s="1469"/>
      <c r="I71" s="1469"/>
      <c r="M71" s="547"/>
    </row>
    <row r="72" spans="3:13" s="44" customFormat="1" ht="15" customHeight="1" x14ac:dyDescent="0.2">
      <c r="C72" s="1469"/>
      <c r="D72" s="1469"/>
      <c r="E72" s="1469"/>
      <c r="F72" s="1469"/>
      <c r="G72" s="1469"/>
      <c r="H72" s="1469"/>
      <c r="I72" s="1469"/>
      <c r="M72" s="547"/>
    </row>
    <row r="73" spans="3:13" s="44" customFormat="1" ht="15" customHeight="1" x14ac:dyDescent="0.2">
      <c r="C73" s="43"/>
      <c r="D73" s="43"/>
      <c r="E73" s="43"/>
      <c r="F73" s="43"/>
      <c r="G73" s="260"/>
      <c r="H73" s="260"/>
      <c r="I73" s="260"/>
      <c r="M73" s="547"/>
    </row>
    <row r="74" spans="3:13" s="44" customFormat="1" ht="45" customHeight="1" x14ac:dyDescent="0.2">
      <c r="C74" s="995" t="s">
        <v>344</v>
      </c>
      <c r="D74" s="995" t="s">
        <v>2468</v>
      </c>
      <c r="E74" s="995" t="s">
        <v>2648</v>
      </c>
      <c r="F74" s="1023" t="s">
        <v>2649</v>
      </c>
      <c r="G74" s="995" t="s">
        <v>2650</v>
      </c>
      <c r="H74" s="995" t="s">
        <v>2651</v>
      </c>
      <c r="I74" s="730"/>
      <c r="M74" s="547"/>
    </row>
    <row r="75" spans="3:13" s="44" customFormat="1" ht="15" customHeight="1" x14ac:dyDescent="0.2">
      <c r="C75" s="734">
        <f>Revenue!$N$110</f>
        <v>0</v>
      </c>
      <c r="D75" s="560">
        <v>0</v>
      </c>
      <c r="E75" s="589"/>
      <c r="F75" s="729"/>
      <c r="G75" s="589"/>
      <c r="H75" s="560" t="str">
        <f t="shared" ref="H75:H80" si="3">IF(C75=0,"N/A",IF(OR(E75="",F75="",G75=""),"",IF(OR(E75="No",F75="No",G75="No"),"No","Yes")))</f>
        <v>N/A</v>
      </c>
      <c r="I75" s="731"/>
      <c r="M75" s="547"/>
    </row>
    <row r="76" spans="3:13" s="44" customFormat="1" ht="15" customHeight="1" x14ac:dyDescent="0.2">
      <c r="C76" s="734">
        <f>Revenue!$N$111</f>
        <v>0</v>
      </c>
      <c r="D76" s="560">
        <v>1</v>
      </c>
      <c r="E76" s="589"/>
      <c r="F76" s="729"/>
      <c r="G76" s="589"/>
      <c r="H76" s="560" t="str">
        <f t="shared" si="3"/>
        <v>N/A</v>
      </c>
      <c r="I76" s="731"/>
      <c r="M76" s="547"/>
    </row>
    <row r="77" spans="3:13" s="44" customFormat="1" ht="15" customHeight="1" x14ac:dyDescent="0.2">
      <c r="C77" s="734">
        <f>Revenue!$N$112</f>
        <v>0</v>
      </c>
      <c r="D77" s="560">
        <v>2</v>
      </c>
      <c r="E77" s="589"/>
      <c r="F77" s="729"/>
      <c r="G77" s="589"/>
      <c r="H77" s="560" t="str">
        <f t="shared" si="3"/>
        <v>N/A</v>
      </c>
      <c r="I77" s="731"/>
      <c r="M77" s="547"/>
    </row>
    <row r="78" spans="3:13" s="44" customFormat="1" ht="15" customHeight="1" x14ac:dyDescent="0.2">
      <c r="C78" s="734">
        <f>Revenue!$N$113</f>
        <v>0</v>
      </c>
      <c r="D78" s="560">
        <v>3</v>
      </c>
      <c r="E78" s="589"/>
      <c r="F78" s="729"/>
      <c r="G78" s="589"/>
      <c r="H78" s="560" t="str">
        <f t="shared" si="3"/>
        <v>N/A</v>
      </c>
      <c r="I78" s="731"/>
      <c r="M78" s="547"/>
    </row>
    <row r="79" spans="3:13" s="44" customFormat="1" ht="15" customHeight="1" x14ac:dyDescent="0.2">
      <c r="C79" s="734">
        <f>Revenue!$N$114</f>
        <v>0</v>
      </c>
      <c r="D79" s="560">
        <v>4</v>
      </c>
      <c r="E79" s="589"/>
      <c r="F79" s="729"/>
      <c r="G79" s="589"/>
      <c r="H79" s="560" t="str">
        <f t="shared" si="3"/>
        <v>N/A</v>
      </c>
      <c r="I79" s="731"/>
      <c r="M79" s="547"/>
    </row>
    <row r="80" spans="3:13" s="44" customFormat="1" ht="15" customHeight="1" x14ac:dyDescent="0.2">
      <c r="C80" s="734">
        <f>Revenue!$N$115</f>
        <v>0</v>
      </c>
      <c r="D80" s="560">
        <v>5</v>
      </c>
      <c r="E80" s="589"/>
      <c r="F80" s="729"/>
      <c r="G80" s="589"/>
      <c r="H80" s="560" t="str">
        <f t="shared" si="3"/>
        <v>N/A</v>
      </c>
      <c r="I80" s="731"/>
      <c r="M80" s="547"/>
    </row>
    <row r="81" spans="3:13" s="44" customFormat="1" ht="15" customHeight="1" x14ac:dyDescent="0.2">
      <c r="C81" s="43"/>
      <c r="D81" s="43"/>
      <c r="E81" s="43"/>
      <c r="F81" s="43"/>
      <c r="G81" s="43"/>
      <c r="H81" s="43"/>
      <c r="I81" s="43"/>
      <c r="M81" s="547"/>
    </row>
    <row r="82" spans="3:13" s="44" customFormat="1" ht="15" customHeight="1" x14ac:dyDescent="0.2">
      <c r="C82" s="43"/>
      <c r="D82" s="43"/>
      <c r="E82" s="43"/>
      <c r="F82" s="43"/>
      <c r="G82" s="43"/>
      <c r="H82" s="43"/>
      <c r="I82" s="43"/>
      <c r="M82" s="547"/>
    </row>
    <row r="83" spans="3:13" s="44" customFormat="1" ht="15" customHeight="1" x14ac:dyDescent="0.2">
      <c r="C83" s="1510" t="s">
        <v>2652</v>
      </c>
      <c r="D83" s="1510"/>
      <c r="E83" s="1510"/>
      <c r="F83" s="732" t="str">
        <f>IF(OR(I69="Incomplete Info",I54="Incomplete Info",I40="Incomplete Info"),"Incomplete Info",IF(OR(I40="No",I54="No",I69="No"),"No","Yes"))</f>
        <v>No</v>
      </c>
      <c r="G83" s="43"/>
    </row>
    <row r="84" spans="3:13" s="44" customFormat="1" ht="15" customHeight="1" x14ac:dyDescent="0.2">
      <c r="M84" s="547"/>
    </row>
    <row r="85" spans="3:13" s="44" customFormat="1" ht="15" customHeight="1" x14ac:dyDescent="0.2">
      <c r="M85" s="547"/>
    </row>
    <row r="86" spans="3:13" s="44" customFormat="1" ht="15" customHeight="1" x14ac:dyDescent="0.25">
      <c r="C86" s="1468" t="s">
        <v>2653</v>
      </c>
      <c r="D86" s="1468"/>
      <c r="E86" s="1468"/>
      <c r="F86" s="1468"/>
      <c r="G86" s="1468"/>
      <c r="H86" s="1468"/>
      <c r="I86" s="1468"/>
      <c r="J86" s="1468"/>
      <c r="M86" s="547"/>
    </row>
    <row r="87" spans="3:13" s="44" customFormat="1" ht="3" customHeight="1" x14ac:dyDescent="0.2">
      <c r="C87" s="1482"/>
      <c r="D87" s="1482"/>
      <c r="E87" s="1482"/>
      <c r="F87" s="1482"/>
      <c r="G87" s="1482"/>
      <c r="H87" s="1482"/>
      <c r="I87" s="1482"/>
      <c r="J87" s="1482"/>
      <c r="M87" s="547"/>
    </row>
    <row r="88" spans="3:13" s="44" customFormat="1" ht="15" customHeight="1" x14ac:dyDescent="0.2">
      <c r="C88" s="585"/>
      <c r="D88" s="585"/>
      <c r="E88" s="585"/>
      <c r="F88" s="585"/>
      <c r="G88" s="585"/>
      <c r="H88" s="585"/>
      <c r="I88" s="585"/>
      <c r="J88" s="585"/>
      <c r="M88" s="547"/>
    </row>
    <row r="89" spans="3:13" s="44" customFormat="1" ht="15" customHeight="1" x14ac:dyDescent="0.2">
      <c r="C89" s="1501" t="s">
        <v>2544</v>
      </c>
      <c r="D89" s="1501"/>
      <c r="E89" s="1501"/>
      <c r="F89" s="1501"/>
      <c r="G89" s="1501"/>
      <c r="H89" s="1501"/>
      <c r="I89" s="1501"/>
      <c r="M89" s="547"/>
    </row>
    <row r="90" spans="3:13" s="44" customFormat="1" ht="15" customHeight="1" x14ac:dyDescent="0.2">
      <c r="M90" s="547"/>
    </row>
    <row r="91" spans="3:13" s="44" customFormat="1" ht="15" customHeight="1" x14ac:dyDescent="0.2">
      <c r="C91" s="720"/>
      <c r="D91" s="721"/>
      <c r="E91" s="721"/>
      <c r="F91" s="721"/>
      <c r="G91" s="722"/>
      <c r="M91" s="547"/>
    </row>
    <row r="92" spans="3:13" s="44" customFormat="1" ht="15" customHeight="1" x14ac:dyDescent="0.2">
      <c r="C92" s="1493" t="s">
        <v>2545</v>
      </c>
      <c r="D92" s="1494"/>
      <c r="E92" s="1495"/>
      <c r="F92" s="1495"/>
      <c r="G92" s="691"/>
      <c r="M92" s="547"/>
    </row>
    <row r="93" spans="3:13" s="44" customFormat="1" ht="15" customHeight="1" x14ac:dyDescent="0.2">
      <c r="C93" s="723"/>
      <c r="D93" s="724"/>
      <c r="G93" s="691"/>
      <c r="M93" s="547"/>
    </row>
    <row r="94" spans="3:13" s="44" customFormat="1" ht="15" customHeight="1" x14ac:dyDescent="0.2">
      <c r="C94" s="1493" t="s">
        <v>2546</v>
      </c>
      <c r="D94" s="1494"/>
      <c r="E94" s="1495"/>
      <c r="F94" s="1495"/>
      <c r="G94" s="691"/>
      <c r="M94" s="547"/>
    </row>
    <row r="95" spans="3:13" s="44" customFormat="1" ht="15" customHeight="1" x14ac:dyDescent="0.2">
      <c r="C95" s="723"/>
      <c r="D95" s="724"/>
      <c r="G95" s="691"/>
      <c r="M95" s="547"/>
    </row>
    <row r="96" spans="3:13" s="44" customFormat="1" ht="15" customHeight="1" x14ac:dyDescent="0.2">
      <c r="C96" s="723" t="s">
        <v>2424</v>
      </c>
      <c r="D96" s="724"/>
      <c r="E96" s="1495"/>
      <c r="F96" s="1495"/>
      <c r="G96" s="691"/>
      <c r="M96" s="547"/>
    </row>
    <row r="97" spans="3:13" s="44" customFormat="1" ht="15" customHeight="1" x14ac:dyDescent="0.2">
      <c r="C97" s="723"/>
      <c r="D97" s="724"/>
      <c r="G97" s="691"/>
      <c r="M97" s="547"/>
    </row>
    <row r="98" spans="3:13" s="44" customFormat="1" ht="15" customHeight="1" x14ac:dyDescent="0.2">
      <c r="C98" s="723" t="s">
        <v>2547</v>
      </c>
      <c r="D98" s="724"/>
      <c r="E98" s="1495"/>
      <c r="F98" s="1495"/>
      <c r="G98" s="691"/>
      <c r="M98" s="547"/>
    </row>
    <row r="99" spans="3:13" s="44" customFormat="1" ht="15" customHeight="1" x14ac:dyDescent="0.2">
      <c r="C99" s="723"/>
      <c r="D99" s="724"/>
      <c r="E99" s="563"/>
      <c r="F99" s="563"/>
      <c r="G99" s="691"/>
      <c r="M99" s="547"/>
    </row>
    <row r="100" spans="3:13" s="44" customFormat="1" ht="15" customHeight="1" x14ac:dyDescent="0.2">
      <c r="C100" s="723" t="s">
        <v>2548</v>
      </c>
      <c r="D100" s="724"/>
      <c r="E100" s="1495"/>
      <c r="F100" s="1495"/>
      <c r="G100" s="691"/>
      <c r="M100" s="547"/>
    </row>
    <row r="101" spans="3:13" s="44" customFormat="1" ht="15" customHeight="1" x14ac:dyDescent="0.2">
      <c r="C101" s="725"/>
      <c r="D101" s="548"/>
      <c r="E101" s="548"/>
      <c r="F101" s="548"/>
      <c r="G101" s="726"/>
      <c r="M101" s="547"/>
    </row>
    <row r="102" spans="3:13" s="44" customFormat="1" ht="15" customHeight="1" x14ac:dyDescent="0.2">
      <c r="M102" s="547"/>
    </row>
    <row r="103" spans="3:13" s="44" customFormat="1" ht="15" hidden="1" customHeight="1" x14ac:dyDescent="0.2">
      <c r="M103" s="547"/>
    </row>
    <row r="104" spans="3:13" s="44" customFormat="1" ht="15" hidden="1" customHeight="1" x14ac:dyDescent="0.2">
      <c r="M104" s="547"/>
    </row>
    <row r="105" spans="3:13" s="44" customFormat="1" ht="15" hidden="1" customHeight="1" x14ac:dyDescent="0.2">
      <c r="M105" s="547"/>
    </row>
    <row r="106" spans="3:13" s="44" customFormat="1" ht="15" hidden="1" customHeight="1" x14ac:dyDescent="0.2">
      <c r="M106" s="547"/>
    </row>
    <row r="107" spans="3:13" s="44" customFormat="1" ht="15" hidden="1" customHeight="1" x14ac:dyDescent="0.2">
      <c r="M107" s="547"/>
    </row>
    <row r="108" spans="3:13" s="44" customFormat="1" ht="15" hidden="1" customHeight="1" x14ac:dyDescent="0.2">
      <c r="M108" s="547"/>
    </row>
    <row r="109" spans="3:13" s="44" customFormat="1" ht="15" hidden="1" customHeight="1" x14ac:dyDescent="0.2">
      <c r="M109" s="547"/>
    </row>
    <row r="110" spans="3:13" s="44" customFormat="1" ht="15" hidden="1" customHeight="1" x14ac:dyDescent="0.2">
      <c r="M110" s="547"/>
    </row>
    <row r="111" spans="3:13" s="44" customFormat="1" ht="15" hidden="1" customHeight="1" x14ac:dyDescent="0.2">
      <c r="M111" s="547"/>
    </row>
    <row r="112" spans="3:13" s="44" customFormat="1" ht="15" hidden="1" customHeight="1" x14ac:dyDescent="0.2">
      <c r="M112" s="547"/>
    </row>
    <row r="113" spans="13:13" s="44" customFormat="1" ht="15" hidden="1" customHeight="1" x14ac:dyDescent="0.2">
      <c r="M113" s="547"/>
    </row>
    <row r="114" spans="13:13" s="44" customFormat="1" ht="15" hidden="1" customHeight="1" x14ac:dyDescent="0.2">
      <c r="M114" s="547"/>
    </row>
    <row r="115" spans="13:13" s="44" customFormat="1" ht="15" hidden="1" customHeight="1" x14ac:dyDescent="0.2">
      <c r="M115" s="547"/>
    </row>
    <row r="116" spans="13:13" s="44" customFormat="1" ht="15" hidden="1" customHeight="1" x14ac:dyDescent="0.2">
      <c r="M116" s="547"/>
    </row>
    <row r="117" spans="13:13" s="44" customFormat="1" ht="15" hidden="1" customHeight="1" x14ac:dyDescent="0.2">
      <c r="M117" s="547"/>
    </row>
    <row r="118" spans="13:13" s="44" customFormat="1" ht="15" hidden="1" customHeight="1" x14ac:dyDescent="0.2">
      <c r="M118" s="547"/>
    </row>
    <row r="119" spans="13:13" s="44" customFormat="1" ht="15" hidden="1" customHeight="1" x14ac:dyDescent="0.2">
      <c r="M119" s="547"/>
    </row>
    <row r="120" spans="13:13" s="44" customFormat="1" ht="15" hidden="1" customHeight="1" x14ac:dyDescent="0.2">
      <c r="M120" s="547"/>
    </row>
    <row r="121" spans="13:13" s="44" customFormat="1" ht="15" hidden="1" customHeight="1" x14ac:dyDescent="0.2">
      <c r="M121" s="547"/>
    </row>
    <row r="122" spans="13:13" s="44" customFormat="1" ht="15" hidden="1" customHeight="1" x14ac:dyDescent="0.2">
      <c r="M122" s="547"/>
    </row>
    <row r="123" spans="13:13" s="44" customFormat="1" ht="15" hidden="1" customHeight="1" x14ac:dyDescent="0.2">
      <c r="M123" s="547"/>
    </row>
    <row r="124" spans="13:13" s="44" customFormat="1" ht="15" hidden="1" customHeight="1" x14ac:dyDescent="0.2">
      <c r="M124" s="547"/>
    </row>
    <row r="125" spans="13:13" s="44" customFormat="1" ht="15" hidden="1" customHeight="1" x14ac:dyDescent="0.2">
      <c r="M125" s="547"/>
    </row>
    <row r="126" spans="13:13" s="44" customFormat="1" ht="15" hidden="1" customHeight="1" x14ac:dyDescent="0.2">
      <c r="M126" s="547"/>
    </row>
    <row r="127" spans="13:13" s="44" customFormat="1" ht="15" hidden="1" customHeight="1" x14ac:dyDescent="0.2">
      <c r="M127" s="547"/>
    </row>
    <row r="128" spans="13:13" s="44" customFormat="1" ht="15" hidden="1" customHeight="1" x14ac:dyDescent="0.2">
      <c r="M128" s="547"/>
    </row>
    <row r="129" spans="13:13" s="44" customFormat="1" ht="15" hidden="1" customHeight="1" x14ac:dyDescent="0.2">
      <c r="M129" s="547"/>
    </row>
    <row r="130" spans="13:13" s="44" customFormat="1" ht="15" hidden="1" customHeight="1" x14ac:dyDescent="0.2">
      <c r="M130" s="547"/>
    </row>
    <row r="131" spans="13:13" s="44" customFormat="1" ht="15" hidden="1" customHeight="1" x14ac:dyDescent="0.2">
      <c r="M131" s="547"/>
    </row>
    <row r="132" spans="13:13" s="44" customFormat="1" ht="15" hidden="1" customHeight="1" x14ac:dyDescent="0.2">
      <c r="M132" s="547"/>
    </row>
    <row r="133" spans="13:13" s="44" customFormat="1" ht="15" hidden="1" customHeight="1" x14ac:dyDescent="0.2">
      <c r="M133" s="547"/>
    </row>
    <row r="134" spans="13:13" s="44" customFormat="1" ht="15" hidden="1" customHeight="1" x14ac:dyDescent="0.2">
      <c r="M134" s="547"/>
    </row>
    <row r="135" spans="13:13" s="44" customFormat="1" ht="15" hidden="1" customHeight="1" x14ac:dyDescent="0.2">
      <c r="M135" s="547"/>
    </row>
    <row r="136" spans="13:13" s="44" customFormat="1" ht="15" hidden="1" customHeight="1" x14ac:dyDescent="0.2">
      <c r="M136" s="547"/>
    </row>
    <row r="137" spans="13:13" s="44" customFormat="1" ht="15" hidden="1" customHeight="1" x14ac:dyDescent="0.2">
      <c r="M137" s="547"/>
    </row>
    <row r="138" spans="13:13" s="44" customFormat="1" ht="15" hidden="1" customHeight="1" x14ac:dyDescent="0.2">
      <c r="M138" s="547"/>
    </row>
    <row r="139" spans="13:13" s="44" customFormat="1" ht="15" hidden="1" customHeight="1" x14ac:dyDescent="0.2">
      <c r="M139" s="547"/>
    </row>
    <row r="140" spans="13:13" s="44" customFormat="1" ht="15" hidden="1" customHeight="1" x14ac:dyDescent="0.2">
      <c r="M140" s="547"/>
    </row>
    <row r="141" spans="13:13" s="44" customFormat="1" ht="15" hidden="1" customHeight="1" x14ac:dyDescent="0.2">
      <c r="M141" s="547"/>
    </row>
    <row r="142" spans="13:13" s="44" customFormat="1" ht="15" hidden="1" customHeight="1" x14ac:dyDescent="0.2">
      <c r="M142" s="547"/>
    </row>
    <row r="143" spans="13:13" s="44" customFormat="1" ht="15" hidden="1" customHeight="1" x14ac:dyDescent="0.2">
      <c r="M143" s="547"/>
    </row>
    <row r="144" spans="13:13" s="44" customFormat="1" ht="15" hidden="1" customHeight="1" x14ac:dyDescent="0.2">
      <c r="M144" s="547"/>
    </row>
    <row r="145" spans="13:13" s="44" customFormat="1" ht="15" hidden="1" customHeight="1" x14ac:dyDescent="0.2">
      <c r="M145" s="547"/>
    </row>
    <row r="146" spans="13:13" s="44" customFormat="1" ht="15" hidden="1" customHeight="1" x14ac:dyDescent="0.2">
      <c r="M146" s="547"/>
    </row>
    <row r="147" spans="13:13" s="44" customFormat="1" ht="15" hidden="1" customHeight="1" x14ac:dyDescent="0.2">
      <c r="M147" s="547"/>
    </row>
    <row r="148" spans="13:13" s="44" customFormat="1" ht="15" hidden="1" customHeight="1" x14ac:dyDescent="0.2">
      <c r="M148" s="547"/>
    </row>
    <row r="149" spans="13:13" s="44" customFormat="1" ht="15" hidden="1" customHeight="1" x14ac:dyDescent="0.2">
      <c r="M149" s="547"/>
    </row>
    <row r="150" spans="13:13" s="44" customFormat="1" ht="15" hidden="1" customHeight="1" x14ac:dyDescent="0.2">
      <c r="M150" s="547"/>
    </row>
    <row r="151" spans="13:13" s="44" customFormat="1" ht="15" hidden="1" customHeight="1" x14ac:dyDescent="0.2">
      <c r="M151" s="547"/>
    </row>
    <row r="152" spans="13:13" s="44" customFormat="1" ht="15" hidden="1" customHeight="1" x14ac:dyDescent="0.2">
      <c r="M152" s="547"/>
    </row>
    <row r="153" spans="13:13" s="44" customFormat="1" ht="15" hidden="1" customHeight="1" x14ac:dyDescent="0.2">
      <c r="M153" s="547"/>
    </row>
    <row r="154" spans="13:13" s="44" customFormat="1" ht="15" hidden="1" customHeight="1" x14ac:dyDescent="0.2">
      <c r="M154" s="547"/>
    </row>
    <row r="155" spans="13:13" s="44" customFormat="1" ht="15" hidden="1" customHeight="1" x14ac:dyDescent="0.2">
      <c r="M155" s="547"/>
    </row>
    <row r="156" spans="13:13" s="44" customFormat="1" ht="15" hidden="1" customHeight="1" x14ac:dyDescent="0.2">
      <c r="M156" s="547"/>
    </row>
    <row r="157" spans="13:13" s="44" customFormat="1" ht="15" hidden="1" customHeight="1" x14ac:dyDescent="0.2">
      <c r="M157" s="547"/>
    </row>
    <row r="158" spans="13:13" s="44" customFormat="1" ht="15" hidden="1" customHeight="1" x14ac:dyDescent="0.2">
      <c r="M158" s="547"/>
    </row>
    <row r="159" spans="13:13" s="44" customFormat="1" ht="15" hidden="1" customHeight="1" x14ac:dyDescent="0.2">
      <c r="M159" s="547"/>
    </row>
    <row r="160" spans="13:13" s="44" customFormat="1" ht="15" hidden="1" customHeight="1" x14ac:dyDescent="0.2">
      <c r="M160" s="547"/>
    </row>
    <row r="161" spans="13:13" s="44" customFormat="1" ht="15" hidden="1" customHeight="1" x14ac:dyDescent="0.2">
      <c r="M161" s="547"/>
    </row>
    <row r="162" spans="13:13" s="44" customFormat="1" ht="15" hidden="1" customHeight="1" x14ac:dyDescent="0.2">
      <c r="M162" s="547"/>
    </row>
    <row r="163" spans="13:13" s="44" customFormat="1" ht="15" hidden="1" customHeight="1" x14ac:dyDescent="0.2">
      <c r="M163" s="547"/>
    </row>
    <row r="164" spans="13:13" s="44" customFormat="1" ht="15" hidden="1" customHeight="1" x14ac:dyDescent="0.2">
      <c r="M164" s="547"/>
    </row>
    <row r="165" spans="13:13" s="44" customFormat="1" ht="15" hidden="1" customHeight="1" x14ac:dyDescent="0.2">
      <c r="M165" s="547"/>
    </row>
    <row r="166" spans="13:13" s="44" customFormat="1" ht="15" hidden="1" customHeight="1" x14ac:dyDescent="0.2">
      <c r="M166" s="547"/>
    </row>
    <row r="167" spans="13:13" s="44" customFormat="1" ht="15" hidden="1" customHeight="1" x14ac:dyDescent="0.2">
      <c r="M167" s="547"/>
    </row>
    <row r="168" spans="13:13" s="44" customFormat="1" ht="15" hidden="1" customHeight="1" x14ac:dyDescent="0.2">
      <c r="M168" s="547"/>
    </row>
    <row r="183" ht="15" customHeight="1" x14ac:dyDescent="0.2"/>
  </sheetData>
  <sheetProtection algorithmName="SHA-512" hashValue="bY3kWEBG8rbJovJ0uTkJM55I6VpjWYTHd1m/kfl5+ahfwakaNzTCtEqeOMvzlLXVl41reFddEJl+VJhj7w3z7Q==" saltValue="gHiVtY1awoFSA3cY+KSdFg==" spinCount="100000" sheet="1" objects="1" scenarios="1"/>
  <mergeCells count="43">
    <mergeCell ref="C10:E10"/>
    <mergeCell ref="C92:D92"/>
    <mergeCell ref="E92:F92"/>
    <mergeCell ref="C94:D94"/>
    <mergeCell ref="E94:F94"/>
    <mergeCell ref="C71:I72"/>
    <mergeCell ref="C83:E83"/>
    <mergeCell ref="C86:J86"/>
    <mergeCell ref="C13:G13"/>
    <mergeCell ref="C16:J18"/>
    <mergeCell ref="C20:E20"/>
    <mergeCell ref="C22:E22"/>
    <mergeCell ref="G22:H22"/>
    <mergeCell ref="G24:H24"/>
    <mergeCell ref="C14:J14"/>
    <mergeCell ref="G25:H25"/>
    <mergeCell ref="B2:F2"/>
    <mergeCell ref="G2:J2"/>
    <mergeCell ref="B3:F3"/>
    <mergeCell ref="G3:J3"/>
    <mergeCell ref="C9:E9"/>
    <mergeCell ref="C7:J7"/>
    <mergeCell ref="E98:F98"/>
    <mergeCell ref="E100:F100"/>
    <mergeCell ref="E96:F96"/>
    <mergeCell ref="C54:E54"/>
    <mergeCell ref="F54:H54"/>
    <mergeCell ref="C56:I58"/>
    <mergeCell ref="C69:E69"/>
    <mergeCell ref="F69:H69"/>
    <mergeCell ref="C87:J87"/>
    <mergeCell ref="C89:I89"/>
    <mergeCell ref="C23:E23"/>
    <mergeCell ref="G23:H23"/>
    <mergeCell ref="C24:E24"/>
    <mergeCell ref="C25:E25"/>
    <mergeCell ref="C29:F29"/>
    <mergeCell ref="C42:I43"/>
    <mergeCell ref="C30:F30"/>
    <mergeCell ref="C33:J33"/>
    <mergeCell ref="C36:J37"/>
    <mergeCell ref="C40:E40"/>
    <mergeCell ref="F40:H40"/>
  </mergeCells>
  <conditionalFormatting sqref="C46:I51 C61:I66 C75:H80">
    <cfRule type="expression" dxfId="205" priority="1">
      <formula>$C46=0</formula>
    </cfRule>
  </conditionalFormatting>
  <conditionalFormatting sqref="C86:J86 C87 C88:J88">
    <cfRule type="expression" dxfId="204" priority="3">
      <formula>#REF!="No"</formula>
    </cfRule>
  </conditionalFormatting>
  <conditionalFormatting sqref="H13:K13 B13:C14 K14 B15:K19 B20:C20 F20:K20 B21:K21 B22:G25 I22:K25 B26:K28 B29:B30 G29:K30 B31:K38">
    <cfRule type="expression" dxfId="203" priority="7">
      <formula>#REF!="No"</formula>
    </cfRule>
  </conditionalFormatting>
  <dataValidations count="2">
    <dataValidation type="list" allowBlank="1" showInputMessage="1" showErrorMessage="1" sqref="E75:G80" xr:uid="{388FB1A8-D9FF-4E49-8BA0-73B3C67161EF}">
      <formula1>"Yes, No, N/A"</formula1>
    </dataValidation>
    <dataValidation type="list" allowBlank="1" showInputMessage="1" showErrorMessage="1" sqref="F9" xr:uid="{FBF7E96F-5E99-4058-B9FF-394B369FB764}">
      <formula1>"No, Yes"</formula1>
    </dataValidation>
  </dataValidations>
  <hyperlinks>
    <hyperlink ref="C29:E29" r:id="rId1" display="• HOME-ARP Supplemental Allocations by Participating Jurisdiction" xr:uid="{2956DED7-4AED-4412-AF7A-8943E2F52A15}"/>
    <hyperlink ref="C29:F29" r:id="rId2" location="p-92.205(d)(1)" display="• 24 C.F.R. §92.205(d)(1)" xr:uid="{7082535C-9836-4FCC-8D69-50CC89C0A656}"/>
    <hyperlink ref="C30:E30" r:id="rId3" display="• HOME-ARP Supplemental Allocations by Participating Jurisdiction" xr:uid="{4F67B874-6F8E-4F0F-8C2C-C447E2E701F2}"/>
    <hyperlink ref="C30:F30" r:id="rId4" display="• Allocating Eligible Costs and Identifying HOME-Assisted Units (CPD-16-15)" xr:uid="{50DEA6B0-0A5C-4C90-B33F-3B53421AC310}"/>
    <hyperlink ref="G23:H23" r:id="rId5" location="p-92.252(j)" display="24 C.F.R. §92.252(j)" xr:uid="{A6447454-2B38-48A0-B89A-F869C6C5D2DE}"/>
    <hyperlink ref="G24:H24" r:id="rId6" location="p-93.200(c)(1)" display="24 C.F.R. §93.200(c)(1)" xr:uid="{C6E69498-0B4A-4C38-A52B-8D7AAD6DB707}"/>
    <hyperlink ref="G25:H25" r:id="rId7" location="p-92.219(b)(2)(i)" display="24 C.F.R. §92.219(b)(2)(i)" xr:uid="{7E4378A1-B7C8-4354-AF65-1A947BDAB866}"/>
  </hyperlinks>
  <pageMargins left="0.7" right="0.7" top="0.75" bottom="0.75" header="0.3" footer="0.3"/>
  <pageSetup scale="63" fitToHeight="0" orientation="portrait" r:id="rId8"/>
  <headerFooter>
    <oddFooter>&amp;L&amp;"-,Bold"&amp;9HDAP Unit Comparability Tab&amp;"-,Regular"
Affordable Housing Funding Application (AHFA)&amp;C&amp;9Ohio Housing Finance Agency&amp;R&amp;9Page &amp;P of &amp;N</oddFooter>
  </headerFooter>
  <rowBreaks count="1" manualBreakCount="1">
    <brk id="68" min="1" max="10" man="1"/>
  </rowBreaks>
  <drawing r:id="rId9"/>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82C7E-F8C4-4A6F-8979-506FF8FB035D}">
  <sheetPr>
    <tabColor rgb="FF0E3F75"/>
    <pageSetUpPr autoPageBreaks="0" fitToPage="1"/>
  </sheetPr>
  <dimension ref="A1:Q259"/>
  <sheetViews>
    <sheetView zoomScale="85" zoomScaleNormal="85" workbookViewId="0"/>
  </sheetViews>
  <sheetFormatPr defaultColWidth="0" defaultRowHeight="0" customHeight="1" zeroHeight="1" outlineLevelRow="1" x14ac:dyDescent="0.2"/>
  <cols>
    <col min="1" max="1" width="2.625" style="547" customWidth="1"/>
    <col min="2" max="2" width="0.625" style="44" customWidth="1"/>
    <col min="3" max="9" width="17.125" style="44" customWidth="1"/>
    <col min="10" max="10" width="1" style="44" customWidth="1"/>
    <col min="11" max="11" width="3.625" style="44" customWidth="1"/>
    <col min="12" max="12" width="17.625" style="1056" hidden="1" customWidth="1"/>
    <col min="13" max="16" width="17.625" style="44" hidden="1" customWidth="1"/>
    <col min="17" max="17" width="0" style="547" hidden="1" customWidth="1"/>
    <col min="18" max="16384" width="8.625" style="547" hidden="1"/>
  </cols>
  <sheetData>
    <row r="1" spans="1:16" s="83" customFormat="1" ht="55.5" customHeight="1" x14ac:dyDescent="0.2">
      <c r="B1" s="1"/>
      <c r="C1" s="1"/>
      <c r="D1" s="1"/>
      <c r="E1" s="1"/>
      <c r="F1" s="1"/>
      <c r="G1" s="1"/>
      <c r="H1" s="1"/>
      <c r="I1" s="1"/>
      <c r="L1" s="99"/>
    </row>
    <row r="2" spans="1:16" s="83" customFormat="1" ht="25.5" customHeight="1" x14ac:dyDescent="0.2">
      <c r="B2" s="1211" t="s">
        <v>2446</v>
      </c>
      <c r="C2" s="1212"/>
      <c r="D2" s="1212"/>
      <c r="E2" s="1212"/>
      <c r="F2" s="1212"/>
      <c r="G2" s="1217" t="str">
        <f>CONCATENATE(IF(Instructions!$K$2="","",Instructions!$K$2)," ",IF(Details!$E$11="","",Details!$E$11))</f>
        <v>2026 9% LIHTC AHFA Proposal Application</v>
      </c>
      <c r="H2" s="1217"/>
      <c r="I2" s="1217"/>
      <c r="L2" s="99"/>
    </row>
    <row r="3" spans="1:16" s="83" customFormat="1" ht="20.25" customHeight="1" x14ac:dyDescent="0.2">
      <c r="B3" s="1166" t="s">
        <v>437</v>
      </c>
      <c r="C3" s="1167"/>
      <c r="D3" s="1167"/>
      <c r="E3" s="1167"/>
      <c r="F3" s="1167"/>
      <c r="G3" s="1304" t="str">
        <f>IF(Details!$E$12="","",CONCATENATE("Project Name: ",Details!$E$12))</f>
        <v/>
      </c>
      <c r="H3" s="1304"/>
      <c r="I3" s="1304"/>
      <c r="L3" s="99"/>
    </row>
    <row r="4" spans="1:16" ht="5.25" customHeight="1" x14ac:dyDescent="0.2">
      <c r="A4" s="44"/>
    </row>
    <row r="5" spans="1:16" ht="15" customHeight="1" x14ac:dyDescent="0.2">
      <c r="A5" s="44"/>
    </row>
    <row r="6" spans="1:16" ht="15" customHeight="1" x14ac:dyDescent="0.25">
      <c r="A6" s="44"/>
      <c r="B6" s="584" t="s">
        <v>2401</v>
      </c>
      <c r="C6" s="584"/>
      <c r="D6" s="584"/>
      <c r="E6" s="584"/>
      <c r="F6" s="584"/>
      <c r="G6" s="584"/>
      <c r="H6" s="584"/>
      <c r="I6" s="584"/>
      <c r="J6" s="584"/>
    </row>
    <row r="7" spans="1:16" ht="3" customHeight="1" x14ac:dyDescent="0.2">
      <c r="A7" s="44"/>
      <c r="B7" s="42"/>
      <c r="C7" s="1515"/>
      <c r="D7" s="1515"/>
      <c r="E7" s="1515"/>
      <c r="F7" s="1515"/>
      <c r="G7" s="1515"/>
      <c r="H7" s="1515"/>
      <c r="I7" s="1515"/>
      <c r="J7" s="42"/>
    </row>
    <row r="8" spans="1:16" ht="5.25" customHeight="1" x14ac:dyDescent="0.2">
      <c r="A8" s="44"/>
      <c r="B8" s="42"/>
      <c r="C8" s="585"/>
      <c r="D8" s="585"/>
      <c r="E8" s="585"/>
      <c r="F8" s="585"/>
      <c r="G8" s="585"/>
      <c r="H8" s="585"/>
      <c r="I8" s="585"/>
    </row>
    <row r="9" spans="1:16" ht="15" customHeight="1" x14ac:dyDescent="0.2">
      <c r="A9" s="44"/>
      <c r="B9" s="42"/>
      <c r="C9" s="1469" t="s">
        <v>2774</v>
      </c>
      <c r="D9" s="1469"/>
      <c r="E9" s="1469"/>
      <c r="F9" s="1469"/>
      <c r="G9" s="1469"/>
      <c r="H9" s="1469"/>
      <c r="I9" s="1469"/>
    </row>
    <row r="10" spans="1:16" ht="15" customHeight="1" x14ac:dyDescent="0.2">
      <c r="A10" s="44"/>
      <c r="B10" s="42"/>
      <c r="C10" s="1469"/>
      <c r="D10" s="1469"/>
      <c r="E10" s="1469"/>
      <c r="F10" s="1469"/>
      <c r="G10" s="1469"/>
      <c r="H10" s="1469"/>
      <c r="I10" s="1469"/>
    </row>
    <row r="11" spans="1:16" ht="15" customHeight="1" x14ac:dyDescent="0.2">
      <c r="A11" s="44"/>
      <c r="B11" s="42"/>
      <c r="C11" s="1469"/>
      <c r="D11" s="1469"/>
      <c r="E11" s="1469"/>
      <c r="F11" s="1469"/>
      <c r="G11" s="1469"/>
      <c r="H11" s="1469"/>
      <c r="I11" s="1469"/>
    </row>
    <row r="12" spans="1:16" ht="15" customHeight="1" x14ac:dyDescent="0.2">
      <c r="A12" s="44"/>
      <c r="B12" s="42"/>
      <c r="C12" s="1469"/>
      <c r="D12" s="1469"/>
      <c r="E12" s="1469"/>
      <c r="F12" s="1469"/>
      <c r="G12" s="1469"/>
      <c r="H12" s="1469"/>
      <c r="I12" s="1469"/>
    </row>
    <row r="13" spans="1:16" ht="15" customHeight="1" x14ac:dyDescent="0.2">
      <c r="A13" s="44"/>
      <c r="B13" s="42"/>
      <c r="C13" s="1469"/>
      <c r="D13" s="1469"/>
      <c r="E13" s="1469"/>
      <c r="F13" s="1469"/>
      <c r="G13" s="1469"/>
      <c r="H13" s="1469"/>
      <c r="I13" s="1469"/>
    </row>
    <row r="14" spans="1:16" ht="15" customHeight="1" x14ac:dyDescent="0.2">
      <c r="A14" s="44"/>
      <c r="B14" s="42"/>
      <c r="C14" s="43"/>
      <c r="D14" s="43"/>
      <c r="E14" s="43"/>
      <c r="F14" s="43"/>
      <c r="G14" s="43"/>
      <c r="H14" s="43"/>
      <c r="I14" s="43"/>
    </row>
    <row r="15" spans="1:16" ht="30" customHeight="1" x14ac:dyDescent="0.2">
      <c r="A15" s="44"/>
      <c r="B15" s="42"/>
      <c r="C15" s="1478" t="s">
        <v>2348</v>
      </c>
      <c r="D15" s="1520"/>
      <c r="E15" s="1479"/>
      <c r="F15" s="995" t="s">
        <v>2062</v>
      </c>
      <c r="G15" s="1512" t="s">
        <v>2400</v>
      </c>
      <c r="H15" s="1512"/>
      <c r="K15" s="1056"/>
      <c r="L15" s="44"/>
      <c r="P15" s="547"/>
    </row>
    <row r="16" spans="1:16" ht="15" customHeight="1" x14ac:dyDescent="0.2">
      <c r="A16" s="44"/>
      <c r="B16" s="42"/>
      <c r="C16" s="1476" t="s">
        <v>2346</v>
      </c>
      <c r="D16" s="1518"/>
      <c r="E16" s="1477"/>
      <c r="F16" s="534" t="s">
        <v>2064</v>
      </c>
      <c r="G16" s="1151" t="s">
        <v>2399</v>
      </c>
      <c r="H16" s="1152"/>
      <c r="K16" s="1056"/>
      <c r="L16" s="44"/>
      <c r="P16" s="547"/>
    </row>
    <row r="17" spans="1:16" ht="15" customHeight="1" x14ac:dyDescent="0.2">
      <c r="A17" s="44"/>
      <c r="B17" s="42"/>
      <c r="C17" s="1476" t="s">
        <v>2344</v>
      </c>
      <c r="D17" s="1518"/>
      <c r="E17" s="1477"/>
      <c r="F17" s="534" t="s">
        <v>2343</v>
      </c>
      <c r="G17" s="1151" t="s">
        <v>2342</v>
      </c>
      <c r="H17" s="1152"/>
      <c r="K17" s="1056"/>
      <c r="L17" s="44"/>
      <c r="P17" s="547"/>
    </row>
    <row r="18" spans="1:16" ht="15" customHeight="1" x14ac:dyDescent="0.2">
      <c r="A18" s="44"/>
      <c r="B18" s="42"/>
      <c r="C18" s="1476" t="s">
        <v>2398</v>
      </c>
      <c r="D18" s="1518"/>
      <c r="E18" s="1477"/>
      <c r="F18" s="534" t="s">
        <v>2397</v>
      </c>
      <c r="G18" s="1151" t="s">
        <v>2396</v>
      </c>
      <c r="H18" s="1152"/>
      <c r="K18" s="1056"/>
      <c r="L18" s="44"/>
      <c r="P18" s="547"/>
    </row>
    <row r="19" spans="1:16" ht="14.25" x14ac:dyDescent="0.2">
      <c r="A19" s="44"/>
      <c r="B19" s="42"/>
      <c r="C19" s="43"/>
      <c r="D19" s="43"/>
      <c r="E19" s="43"/>
      <c r="F19" s="43"/>
      <c r="G19" s="43"/>
      <c r="H19" s="43"/>
      <c r="I19" s="43"/>
    </row>
    <row r="20" spans="1:16" ht="15" customHeight="1" x14ac:dyDescent="0.2">
      <c r="A20" s="44"/>
      <c r="B20" s="42"/>
      <c r="C20" s="1513" t="s">
        <v>2512</v>
      </c>
      <c r="D20" s="1513"/>
      <c r="E20" s="1514"/>
      <c r="F20" s="659" t="str">
        <f>IF(SUM(Sources!$G$44:$G$47)&gt;0,"Yes","No")</f>
        <v>No</v>
      </c>
      <c r="G20" s="43"/>
      <c r="H20" s="43"/>
      <c r="I20" s="43"/>
    </row>
    <row r="21" spans="1:16" ht="15" customHeight="1" x14ac:dyDescent="0.2">
      <c r="A21" s="44"/>
      <c r="B21" s="42"/>
      <c r="C21" s="1510" t="s">
        <v>2513</v>
      </c>
      <c r="D21" s="1510"/>
      <c r="E21" s="1519"/>
      <c r="F21" s="660" t="str">
        <f>IF(F20="No","No","Yes")</f>
        <v>No</v>
      </c>
      <c r="G21" s="43"/>
      <c r="H21" s="43"/>
      <c r="I21" s="43"/>
    </row>
    <row r="22" spans="1:16" ht="15" customHeight="1" x14ac:dyDescent="0.2">
      <c r="A22" s="44"/>
      <c r="B22" s="42"/>
      <c r="C22" s="43"/>
      <c r="D22" s="43"/>
      <c r="E22" s="43"/>
      <c r="F22" s="43"/>
      <c r="G22" s="43"/>
      <c r="H22" s="43"/>
      <c r="I22" s="43"/>
    </row>
    <row r="23" spans="1:16" ht="15" customHeight="1" x14ac:dyDescent="0.2">
      <c r="A23" s="44"/>
      <c r="B23" s="42"/>
      <c r="C23" s="43"/>
      <c r="D23" s="43"/>
      <c r="E23" s="43"/>
      <c r="F23" s="43"/>
      <c r="G23" s="43"/>
      <c r="H23" s="43"/>
      <c r="I23" s="43"/>
    </row>
    <row r="24" spans="1:16" ht="15" customHeight="1" x14ac:dyDescent="0.25">
      <c r="A24" s="44"/>
      <c r="B24" s="584" t="s">
        <v>2395</v>
      </c>
      <c r="C24" s="1523" t="s">
        <v>2395</v>
      </c>
      <c r="D24" s="1523"/>
      <c r="E24" s="1523"/>
      <c r="F24" s="1523"/>
      <c r="G24" s="1523"/>
      <c r="H24" s="1523"/>
      <c r="I24" s="1523"/>
      <c r="J24" s="584"/>
    </row>
    <row r="25" spans="1:16" ht="3" customHeight="1" x14ac:dyDescent="0.2">
      <c r="A25" s="44"/>
      <c r="B25" s="42"/>
      <c r="C25" s="1515"/>
      <c r="D25" s="1515"/>
      <c r="E25" s="1515"/>
      <c r="F25" s="1515"/>
      <c r="G25" s="1515"/>
      <c r="H25" s="1515"/>
      <c r="I25" s="1515"/>
      <c r="J25" s="42"/>
    </row>
    <row r="26" spans="1:16" ht="5.25" customHeight="1" x14ac:dyDescent="0.2">
      <c r="A26" s="44"/>
      <c r="B26" s="42"/>
      <c r="C26" s="43"/>
      <c r="D26" s="43"/>
      <c r="E26" s="43"/>
      <c r="F26" s="43"/>
      <c r="G26" s="43"/>
      <c r="H26" s="43"/>
      <c r="I26" s="43"/>
    </row>
    <row r="27" spans="1:16" ht="15" customHeight="1" x14ac:dyDescent="0.2">
      <c r="A27" s="44"/>
      <c r="B27" s="42"/>
      <c r="C27" s="1469" t="s">
        <v>2394</v>
      </c>
      <c r="D27" s="1469"/>
      <c r="E27" s="1469"/>
      <c r="F27" s="1469"/>
      <c r="G27" s="1469"/>
      <c r="H27" s="1469"/>
      <c r="I27" s="1469"/>
    </row>
    <row r="28" spans="1:16" ht="15" customHeight="1" x14ac:dyDescent="0.2">
      <c r="A28" s="44"/>
      <c r="B28" s="42"/>
      <c r="C28" s="1469"/>
      <c r="D28" s="1469"/>
      <c r="E28" s="1469"/>
      <c r="F28" s="1469"/>
      <c r="G28" s="1469"/>
      <c r="H28" s="1469"/>
      <c r="I28" s="1469"/>
    </row>
    <row r="29" spans="1:16" ht="15" customHeight="1" x14ac:dyDescent="0.2">
      <c r="A29" s="44"/>
      <c r="B29" s="42"/>
      <c r="C29" s="43"/>
      <c r="D29" s="43"/>
      <c r="E29" s="43"/>
      <c r="F29" s="43"/>
      <c r="G29" s="43"/>
      <c r="H29" s="43"/>
      <c r="I29" s="43"/>
    </row>
    <row r="30" spans="1:16" ht="15" customHeight="1" x14ac:dyDescent="0.2">
      <c r="A30" s="44"/>
      <c r="B30" s="42"/>
      <c r="C30" s="1466" t="s">
        <v>2393</v>
      </c>
      <c r="D30" s="1466"/>
      <c r="E30" s="1466"/>
      <c r="F30" s="830"/>
      <c r="G30" s="43"/>
      <c r="H30" s="43"/>
      <c r="I30" s="43"/>
    </row>
    <row r="31" spans="1:16" ht="15" customHeight="1" x14ac:dyDescent="0.2">
      <c r="A31" s="44"/>
      <c r="B31" s="42"/>
      <c r="C31" s="1466" t="s">
        <v>2392</v>
      </c>
      <c r="D31" s="1466"/>
      <c r="E31" s="1466"/>
      <c r="F31" s="830"/>
      <c r="G31" s="43"/>
      <c r="H31" s="43"/>
      <c r="I31" s="43"/>
    </row>
    <row r="32" spans="1:16" ht="15" customHeight="1" x14ac:dyDescent="0.2">
      <c r="A32" s="44"/>
      <c r="B32" s="42"/>
      <c r="C32" s="1466" t="s">
        <v>2391</v>
      </c>
      <c r="D32" s="1466"/>
      <c r="E32" s="1466"/>
      <c r="F32" s="830"/>
      <c r="G32" s="43"/>
      <c r="H32" s="43"/>
      <c r="I32" s="43"/>
    </row>
    <row r="33" spans="1:17" ht="15" customHeight="1" x14ac:dyDescent="0.2">
      <c r="A33" s="44"/>
      <c r="B33" s="42"/>
      <c r="C33" s="583"/>
      <c r="D33" s="583"/>
      <c r="E33" s="583"/>
      <c r="F33" s="43"/>
      <c r="G33" s="43"/>
      <c r="H33" s="43"/>
      <c r="I33" s="43"/>
    </row>
    <row r="34" spans="1:17" ht="15" customHeight="1" x14ac:dyDescent="0.2">
      <c r="A34" s="44"/>
      <c r="B34" s="42"/>
      <c r="C34" s="1466" t="s">
        <v>2390</v>
      </c>
      <c r="D34" s="1466"/>
      <c r="E34" s="1466"/>
      <c r="F34" s="582" t="str">
        <f>IF(OR(F32="",F31="",F30="",F30="Incomplete Info",F31="Incomeplete Info",F32="Incomplete Info"),"Missing info",IF(AND(F30="Yes",F31="Yes",F32="Yes"),"Proration","Standard"))</f>
        <v>Missing info</v>
      </c>
      <c r="G34" s="1516" t="str">
        <f>IF(F34="Standard","* Do not use this worksheet. Please use the Standard Method worksheet.","")</f>
        <v/>
      </c>
      <c r="H34" s="1516"/>
      <c r="I34" s="1516"/>
    </row>
    <row r="35" spans="1:17" ht="15" customHeight="1" x14ac:dyDescent="0.2">
      <c r="A35" s="44"/>
      <c r="G35" s="1516"/>
      <c r="H35" s="1516"/>
      <c r="I35" s="1516"/>
    </row>
    <row r="36" spans="1:17" ht="15" customHeight="1" x14ac:dyDescent="0.2">
      <c r="A36" s="44"/>
    </row>
    <row r="37" spans="1:17" s="44" customFormat="1" ht="15" customHeight="1" x14ac:dyDescent="0.25">
      <c r="C37" s="1468" t="s">
        <v>2389</v>
      </c>
      <c r="D37" s="1468"/>
      <c r="E37" s="1468"/>
      <c r="F37" s="1468"/>
      <c r="G37" s="1468"/>
      <c r="H37" s="1468"/>
      <c r="I37" s="1468"/>
      <c r="L37" s="1056"/>
      <c r="Q37" s="547"/>
    </row>
    <row r="38" spans="1:17" s="44" customFormat="1" ht="3" customHeight="1" x14ac:dyDescent="0.2">
      <c r="C38" s="1482"/>
      <c r="D38" s="1482"/>
      <c r="E38" s="1482"/>
      <c r="F38" s="1482"/>
      <c r="G38" s="1482"/>
      <c r="H38" s="1482"/>
      <c r="I38" s="1482"/>
      <c r="L38" s="1056"/>
      <c r="Q38" s="547"/>
    </row>
    <row r="39" spans="1:17" s="44" customFormat="1" ht="5.25" customHeight="1" x14ac:dyDescent="0.2">
      <c r="C39" s="43"/>
      <c r="D39" s="43"/>
      <c r="E39" s="43"/>
      <c r="F39" s="43"/>
      <c r="G39" s="43"/>
      <c r="H39" s="43"/>
      <c r="I39" s="43"/>
      <c r="L39" s="1056"/>
      <c r="Q39" s="547"/>
    </row>
    <row r="40" spans="1:17" s="44" customFormat="1" ht="15" customHeight="1" x14ac:dyDescent="0.2">
      <c r="C40" s="1469" t="s">
        <v>2388</v>
      </c>
      <c r="D40" s="1469"/>
      <c r="E40" s="1469"/>
      <c r="F40" s="1469"/>
      <c r="G40" s="1469"/>
      <c r="H40" s="1469"/>
      <c r="I40" s="1469"/>
      <c r="L40" s="1056"/>
      <c r="Q40" s="547"/>
    </row>
    <row r="41" spans="1:17" s="44" customFormat="1" ht="15" customHeight="1" x14ac:dyDescent="0.2">
      <c r="C41" s="1469"/>
      <c r="D41" s="1469"/>
      <c r="E41" s="1469"/>
      <c r="F41" s="1469"/>
      <c r="G41" s="1469"/>
      <c r="H41" s="1469"/>
      <c r="I41" s="1469"/>
      <c r="L41" s="1056"/>
      <c r="Q41" s="547"/>
    </row>
    <row r="42" spans="1:17" s="44" customFormat="1" ht="15" customHeight="1" x14ac:dyDescent="0.2">
      <c r="C42" s="1469"/>
      <c r="D42" s="1469"/>
      <c r="E42" s="1469"/>
      <c r="F42" s="1469"/>
      <c r="G42" s="1469"/>
      <c r="H42" s="1469"/>
      <c r="I42" s="1469"/>
      <c r="L42" s="1056"/>
      <c r="Q42" s="547"/>
    </row>
    <row r="43" spans="1:17" s="44" customFormat="1" ht="15" customHeight="1" x14ac:dyDescent="0.2">
      <c r="C43" s="43"/>
      <c r="D43" s="43"/>
      <c r="E43" s="43"/>
      <c r="F43" s="43"/>
      <c r="G43" s="43"/>
      <c r="H43" s="43"/>
      <c r="I43" s="43"/>
      <c r="L43" s="1056"/>
      <c r="Q43" s="547"/>
    </row>
    <row r="44" spans="1:17" s="44" customFormat="1" ht="15" customHeight="1" x14ac:dyDescent="0.2">
      <c r="C44" s="1521" t="s">
        <v>2387</v>
      </c>
      <c r="D44" s="1521"/>
      <c r="E44" s="1521"/>
      <c r="F44" s="1521"/>
      <c r="G44" s="43"/>
      <c r="H44" s="43"/>
      <c r="I44" s="43"/>
      <c r="L44" s="1056"/>
      <c r="Q44" s="547"/>
    </row>
    <row r="45" spans="1:17" s="44" customFormat="1" ht="15" customHeight="1" x14ac:dyDescent="0.2">
      <c r="C45" s="1522" t="s">
        <v>2386</v>
      </c>
      <c r="D45" s="1522"/>
      <c r="E45" s="1522"/>
      <c r="F45" s="1522"/>
      <c r="G45" s="43"/>
      <c r="H45" s="43"/>
      <c r="I45" s="43"/>
      <c r="L45" s="1056"/>
      <c r="Q45" s="547"/>
    </row>
    <row r="46" spans="1:17" s="44" customFormat="1" ht="15" customHeight="1" x14ac:dyDescent="0.2">
      <c r="L46" s="1056"/>
      <c r="Q46" s="547"/>
    </row>
    <row r="47" spans="1:17" s="44" customFormat="1" ht="15" customHeight="1" x14ac:dyDescent="0.2">
      <c r="C47" s="1513" t="s">
        <v>2385</v>
      </c>
      <c r="D47" s="1513"/>
      <c r="E47" s="1514"/>
      <c r="F47" s="581">
        <f>SUM(Sources!G44:G47)</f>
        <v>0</v>
      </c>
      <c r="G47" s="41"/>
      <c r="H47" s="41"/>
      <c r="I47" s="41"/>
      <c r="L47" s="1056"/>
      <c r="Q47" s="547"/>
    </row>
    <row r="48" spans="1:17" s="44" customFormat="1" ht="15" customHeight="1" x14ac:dyDescent="0.2">
      <c r="C48" s="1513" t="s">
        <v>2384</v>
      </c>
      <c r="D48" s="1513"/>
      <c r="E48" s="1514"/>
      <c r="F48" s="574">
        <f>SUM(Details!F133:F135)</f>
        <v>0</v>
      </c>
      <c r="G48" s="796"/>
      <c r="H48" s="41"/>
      <c r="I48" s="41"/>
      <c r="L48" s="1056"/>
      <c r="Q48" s="547"/>
    </row>
    <row r="49" spans="3:17" s="44" customFormat="1" ht="15" customHeight="1" x14ac:dyDescent="0.2">
      <c r="C49" s="1513" t="s">
        <v>2383</v>
      </c>
      <c r="D49" s="1513"/>
      <c r="E49" s="1514"/>
      <c r="F49" s="570">
        <f>Uses!K84</f>
        <v>8000</v>
      </c>
      <c r="G49" s="41"/>
      <c r="H49" s="41"/>
      <c r="I49" s="41"/>
      <c r="L49" s="1056"/>
      <c r="Q49" s="547"/>
    </row>
    <row r="50" spans="3:17" s="44" customFormat="1" ht="15" customHeight="1" x14ac:dyDescent="0.2">
      <c r="C50" s="1513" t="s">
        <v>2658</v>
      </c>
      <c r="D50" s="1513"/>
      <c r="E50" s="1514"/>
      <c r="F50" s="570">
        <f>SUMIF(Uses!L8:L83,"No",Uses!K8:K83)</f>
        <v>8000</v>
      </c>
      <c r="G50" s="1529"/>
      <c r="H50" s="1340"/>
      <c r="I50" s="1340"/>
      <c r="L50" s="1056"/>
      <c r="Q50" s="547"/>
    </row>
    <row r="51" spans="3:17" s="44" customFormat="1" ht="15" customHeight="1" x14ac:dyDescent="0.2">
      <c r="C51" s="1513" t="s">
        <v>2659</v>
      </c>
      <c r="D51" s="1513"/>
      <c r="E51" s="1514"/>
      <c r="F51" s="738"/>
      <c r="G51" s="254"/>
      <c r="H51" s="254"/>
      <c r="I51" s="254"/>
      <c r="L51" s="1056"/>
      <c r="Q51" s="547"/>
    </row>
    <row r="52" spans="3:17" s="44" customFormat="1" ht="15" customHeight="1" x14ac:dyDescent="0.2">
      <c r="C52" s="1513" t="s">
        <v>2382</v>
      </c>
      <c r="D52" s="1513"/>
      <c r="E52" s="1514"/>
      <c r="F52" s="581">
        <f>Uses!K28</f>
        <v>0</v>
      </c>
      <c r="G52" s="41"/>
      <c r="H52" s="41"/>
      <c r="I52" s="41"/>
      <c r="L52" s="1056"/>
      <c r="Q52" s="547"/>
    </row>
    <row r="53" spans="3:17" s="44" customFormat="1" ht="15" customHeight="1" x14ac:dyDescent="0.2">
      <c r="C53" s="1513" t="s">
        <v>2381</v>
      </c>
      <c r="D53" s="1513"/>
      <c r="E53" s="1514"/>
      <c r="F53" s="580" t="s">
        <v>8</v>
      </c>
      <c r="G53" s="41"/>
      <c r="H53" s="41"/>
      <c r="I53" s="41"/>
      <c r="L53" s="1056"/>
      <c r="Q53" s="547"/>
    </row>
    <row r="54" spans="3:17" s="44" customFormat="1" ht="15" customHeight="1" x14ac:dyDescent="0.2">
      <c r="C54" s="1513" t="s">
        <v>2380</v>
      </c>
      <c r="D54" s="1513"/>
      <c r="E54" s="1513"/>
      <c r="F54" s="570">
        <f>IF(F53="No",F49-F50-F51,F49-SUM(F50:F52))</f>
        <v>0</v>
      </c>
      <c r="G54" s="41"/>
      <c r="H54" s="41"/>
      <c r="I54" s="41"/>
      <c r="L54" s="1056"/>
      <c r="Q54" s="547"/>
    </row>
    <row r="55" spans="3:17" s="44" customFormat="1" ht="15" customHeight="1" x14ac:dyDescent="0.2">
      <c r="C55" s="1513" t="s">
        <v>2379</v>
      </c>
      <c r="D55" s="1513"/>
      <c r="E55" s="1513"/>
      <c r="F55" s="579">
        <f>IFERROR(ROUNDDOWN(F54/F48,0),0)</f>
        <v>0</v>
      </c>
      <c r="G55" s="41"/>
      <c r="H55" s="41"/>
      <c r="I55" s="41"/>
      <c r="L55" s="1056"/>
      <c r="Q55" s="547"/>
    </row>
    <row r="56" spans="3:17" s="44" customFormat="1" ht="15" customHeight="1" x14ac:dyDescent="0.2">
      <c r="C56" s="1513" t="s">
        <v>2371</v>
      </c>
      <c r="D56" s="1513"/>
      <c r="E56" s="1513"/>
      <c r="F56" s="577">
        <f>IF(F54=0,0,F47/F54)</f>
        <v>0</v>
      </c>
      <c r="G56" s="41"/>
      <c r="H56" s="41"/>
      <c r="I56" s="41"/>
      <c r="L56" s="1056"/>
      <c r="Q56" s="547"/>
    </row>
    <row r="57" spans="3:17" s="44" customFormat="1" ht="15" customHeight="1" x14ac:dyDescent="0.2">
      <c r="C57" s="41"/>
      <c r="D57" s="41"/>
      <c r="E57" s="41"/>
      <c r="F57" s="41"/>
      <c r="G57" s="41"/>
      <c r="H57" s="41"/>
      <c r="I57" s="41"/>
      <c r="L57" s="1056"/>
      <c r="Q57" s="547"/>
    </row>
    <row r="58" spans="3:17" s="44" customFormat="1" ht="15" customHeight="1" x14ac:dyDescent="0.2">
      <c r="C58" s="41"/>
      <c r="D58" s="41"/>
      <c r="E58" s="41"/>
      <c r="F58" s="41"/>
      <c r="G58" s="41"/>
      <c r="H58" s="41"/>
      <c r="I58" s="41"/>
      <c r="L58" s="1056"/>
      <c r="Q58" s="547"/>
    </row>
    <row r="59" spans="3:17" s="44" customFormat="1" ht="15" customHeight="1" x14ac:dyDescent="0.2">
      <c r="C59" s="1528" t="s">
        <v>2369</v>
      </c>
      <c r="D59" s="1528"/>
      <c r="E59" s="1528"/>
      <c r="F59" s="1528"/>
      <c r="G59" s="41"/>
      <c r="H59" s="41"/>
      <c r="I59" s="41"/>
      <c r="L59" s="1056"/>
      <c r="Q59" s="547"/>
    </row>
    <row r="60" spans="3:17" s="44" customFormat="1" ht="5.25" customHeight="1" x14ac:dyDescent="0.2">
      <c r="C60" s="41"/>
      <c r="D60" s="41"/>
      <c r="E60" s="41"/>
      <c r="F60" s="41"/>
      <c r="G60" s="41"/>
      <c r="H60" s="41"/>
      <c r="I60" s="41"/>
      <c r="L60" s="1056"/>
      <c r="Q60" s="547"/>
    </row>
    <row r="61" spans="3:17" s="44" customFormat="1" ht="30" customHeight="1" x14ac:dyDescent="0.2">
      <c r="C61" s="995" t="s">
        <v>344</v>
      </c>
      <c r="D61" s="995" t="s">
        <v>424</v>
      </c>
      <c r="E61" s="995" t="s">
        <v>2368</v>
      </c>
      <c r="F61" s="995" t="s">
        <v>2341</v>
      </c>
      <c r="G61" s="995" t="s">
        <v>2367</v>
      </c>
      <c r="H61" s="995" t="s">
        <v>2366</v>
      </c>
      <c r="I61" s="995" t="s">
        <v>2365</v>
      </c>
      <c r="L61" s="1056"/>
      <c r="Q61" s="547"/>
    </row>
    <row r="62" spans="3:17" s="44" customFormat="1" ht="15" customHeight="1" x14ac:dyDescent="0.2">
      <c r="C62" s="574">
        <f>Revenue!$N$110</f>
        <v>0</v>
      </c>
      <c r="D62" s="560" t="s">
        <v>348</v>
      </c>
      <c r="E62" s="575">
        <f>$F$56*C62</f>
        <v>0</v>
      </c>
      <c r="F62" s="559">
        <f>ROUNDUP(E62,0)</f>
        <v>0</v>
      </c>
      <c r="G62" s="574">
        <f>IFERROR(IF(C62=0,0,AVERAGEIF(Revenue!$D$47:$D$92,0,Revenue!$F$47:$F$92)),"")</f>
        <v>0</v>
      </c>
      <c r="H62" s="570">
        <f>IFERROR($F$55*G62,"")</f>
        <v>0</v>
      </c>
      <c r="I62" s="570">
        <f>IFERROR(ROUNDDOWN(F62*H62,0),"")</f>
        <v>0</v>
      </c>
      <c r="L62" s="1056"/>
      <c r="Q62" s="547"/>
    </row>
    <row r="63" spans="3:17" s="44" customFormat="1" ht="15" customHeight="1" x14ac:dyDescent="0.2">
      <c r="C63" s="574">
        <f>Revenue!$N$111</f>
        <v>0</v>
      </c>
      <c r="D63" s="560">
        <v>1</v>
      </c>
      <c r="E63" s="575">
        <f t="shared" ref="E63:E67" si="0">$F$56*C63</f>
        <v>0</v>
      </c>
      <c r="F63" s="559">
        <f t="shared" ref="F63:F67" si="1">ROUNDUP(E63,0)</f>
        <v>0</v>
      </c>
      <c r="G63" s="574">
        <f>IFERROR(IF(C63=0,0,AVERAGEIF(Revenue!$D$47:$D$92,1,Revenue!$F$47:$F$92)),"")</f>
        <v>0</v>
      </c>
      <c r="H63" s="570">
        <f t="shared" ref="H63:H67" si="2">IFERROR($F$55*G63,"")</f>
        <v>0</v>
      </c>
      <c r="I63" s="570">
        <f t="shared" ref="I63:I67" si="3">IFERROR(ROUNDDOWN(F63*H63,0),"")</f>
        <v>0</v>
      </c>
      <c r="L63" s="1056"/>
      <c r="Q63" s="547"/>
    </row>
    <row r="64" spans="3:17" s="44" customFormat="1" ht="15" customHeight="1" x14ac:dyDescent="0.2">
      <c r="C64" s="574">
        <f>Revenue!$N$112</f>
        <v>0</v>
      </c>
      <c r="D64" s="560">
        <v>2</v>
      </c>
      <c r="E64" s="575">
        <f t="shared" si="0"/>
        <v>0</v>
      </c>
      <c r="F64" s="559">
        <f t="shared" si="1"/>
        <v>0</v>
      </c>
      <c r="G64" s="574">
        <f>IFERROR(IF(C64=0,0,AVERAGEIF(Revenue!$D$47:$D$92,2,Revenue!$F$47:$F$92)),"")</f>
        <v>0</v>
      </c>
      <c r="H64" s="570">
        <f t="shared" si="2"/>
        <v>0</v>
      </c>
      <c r="I64" s="570">
        <f t="shared" si="3"/>
        <v>0</v>
      </c>
      <c r="L64" s="1056"/>
      <c r="Q64" s="547"/>
    </row>
    <row r="65" spans="3:17" s="44" customFormat="1" ht="15" customHeight="1" x14ac:dyDescent="0.2">
      <c r="C65" s="574">
        <f>Revenue!$N$113</f>
        <v>0</v>
      </c>
      <c r="D65" s="560">
        <v>3</v>
      </c>
      <c r="E65" s="575">
        <f t="shared" si="0"/>
        <v>0</v>
      </c>
      <c r="F65" s="559">
        <f t="shared" si="1"/>
        <v>0</v>
      </c>
      <c r="G65" s="574">
        <f>IFERROR(IF(C65=0,0,AVERAGEIF(Revenue!$D$47:$D$92,3,Revenue!$F$47:$F$92)),"")</f>
        <v>0</v>
      </c>
      <c r="H65" s="570">
        <f t="shared" si="2"/>
        <v>0</v>
      </c>
      <c r="I65" s="570">
        <f t="shared" si="3"/>
        <v>0</v>
      </c>
      <c r="L65" s="1056"/>
      <c r="Q65" s="547"/>
    </row>
    <row r="66" spans="3:17" s="44" customFormat="1" ht="15" customHeight="1" x14ac:dyDescent="0.2">
      <c r="C66" s="574">
        <f>Revenue!$N$114</f>
        <v>0</v>
      </c>
      <c r="D66" s="560">
        <v>4</v>
      </c>
      <c r="E66" s="575">
        <f t="shared" si="0"/>
        <v>0</v>
      </c>
      <c r="F66" s="559">
        <f t="shared" si="1"/>
        <v>0</v>
      </c>
      <c r="G66" s="574">
        <f>IFERROR(IF(C66=0,0,AVERAGEIF(Revenue!$D$47:$D$92,4,Revenue!$F$47:$F$92)),"")</f>
        <v>0</v>
      </c>
      <c r="H66" s="570">
        <f t="shared" si="2"/>
        <v>0</v>
      </c>
      <c r="I66" s="570">
        <f t="shared" si="3"/>
        <v>0</v>
      </c>
      <c r="L66" s="1056"/>
      <c r="Q66" s="547"/>
    </row>
    <row r="67" spans="3:17" s="44" customFormat="1" ht="15" customHeight="1" thickBot="1" x14ac:dyDescent="0.25">
      <c r="C67" s="605">
        <f>Revenue!$N$115</f>
        <v>0</v>
      </c>
      <c r="D67" s="560">
        <v>5</v>
      </c>
      <c r="E67" s="575">
        <f t="shared" si="0"/>
        <v>0</v>
      </c>
      <c r="F67" s="559">
        <f t="shared" si="1"/>
        <v>0</v>
      </c>
      <c r="G67" s="574">
        <f>IFERROR(IF(C67=0,0,AVERAGEIF(Revenue!$D$47:$D$92,5,Revenue!$F$47:$F$92)),"")</f>
        <v>0</v>
      </c>
      <c r="H67" s="570">
        <f t="shared" si="2"/>
        <v>0</v>
      </c>
      <c r="I67" s="570">
        <f t="shared" si="3"/>
        <v>0</v>
      </c>
      <c r="L67" s="1056"/>
      <c r="Q67" s="547"/>
    </row>
    <row r="68" spans="3:17" s="44" customFormat="1" ht="15" customHeight="1" thickTop="1" x14ac:dyDescent="0.2">
      <c r="C68" s="573">
        <f>SUM(C62:C67)</f>
        <v>0</v>
      </c>
      <c r="D68" s="41"/>
      <c r="E68" s="1524" t="s">
        <v>2364</v>
      </c>
      <c r="F68" s="1524"/>
      <c r="G68" s="1524"/>
      <c r="H68" s="1525"/>
      <c r="I68" s="570">
        <f>SUM(I62:I67)</f>
        <v>0</v>
      </c>
      <c r="L68" s="1056"/>
      <c r="Q68" s="547"/>
    </row>
    <row r="69" spans="3:17" s="44" customFormat="1" ht="15" customHeight="1" thickBot="1" x14ac:dyDescent="0.25">
      <c r="C69" s="41"/>
      <c r="D69" s="41"/>
      <c r="E69" s="1526" t="s">
        <v>2363</v>
      </c>
      <c r="F69" s="1526"/>
      <c r="G69" s="1526"/>
      <c r="H69" s="1527"/>
      <c r="I69" s="572">
        <f>IF(F53="Yes",F52,0)</f>
        <v>0</v>
      </c>
      <c r="L69" s="1056"/>
      <c r="Q69" s="547"/>
    </row>
    <row r="70" spans="3:17" s="44" customFormat="1" ht="15" customHeight="1" thickTop="1" x14ac:dyDescent="0.2">
      <c r="C70" s="41"/>
      <c r="D70" s="41"/>
      <c r="E70" s="1532" t="s">
        <v>2378</v>
      </c>
      <c r="F70" s="1532"/>
      <c r="G70" s="1532"/>
      <c r="H70" s="1533"/>
      <c r="I70" s="571">
        <f>I68+I69</f>
        <v>0</v>
      </c>
      <c r="L70" s="1056"/>
      <c r="Q70" s="547"/>
    </row>
    <row r="71" spans="3:17" s="44" customFormat="1" ht="15" customHeight="1" x14ac:dyDescent="0.2">
      <c r="C71" s="41"/>
      <c r="D71" s="41"/>
      <c r="E71" s="41"/>
      <c r="F71" s="41"/>
      <c r="G71" s="41"/>
      <c r="H71" s="41"/>
      <c r="I71" s="41"/>
      <c r="L71" s="1056"/>
      <c r="Q71" s="547"/>
    </row>
    <row r="72" spans="3:17" s="44" customFormat="1" ht="15" customHeight="1" x14ac:dyDescent="0.2">
      <c r="C72" s="41"/>
      <c r="D72" s="41"/>
      <c r="E72" s="41"/>
      <c r="F72" s="41"/>
      <c r="G72" s="41"/>
      <c r="H72" s="41"/>
      <c r="I72" s="41"/>
      <c r="L72" s="1056"/>
      <c r="Q72" s="547"/>
    </row>
    <row r="73" spans="3:17" s="44" customFormat="1" ht="15" customHeight="1" x14ac:dyDescent="0.2">
      <c r="C73" s="1528" t="s">
        <v>2361</v>
      </c>
      <c r="D73" s="1528"/>
      <c r="E73" s="1528"/>
      <c r="F73" s="1528"/>
      <c r="G73" s="41"/>
      <c r="H73" s="41"/>
      <c r="I73" s="41"/>
      <c r="L73" s="1056"/>
      <c r="Q73" s="547"/>
    </row>
    <row r="74" spans="3:17" s="44" customFormat="1" ht="5.25" customHeight="1" x14ac:dyDescent="0.2">
      <c r="C74" s="41"/>
      <c r="D74" s="41"/>
      <c r="E74" s="41"/>
      <c r="F74" s="41"/>
      <c r="G74" s="41"/>
      <c r="H74" s="41"/>
      <c r="I74" s="41"/>
      <c r="L74" s="1056"/>
      <c r="Q74" s="547"/>
    </row>
    <row r="75" spans="3:17" s="44" customFormat="1" ht="30" customHeight="1" x14ac:dyDescent="0.2">
      <c r="C75" s="995" t="s">
        <v>424</v>
      </c>
      <c r="D75" s="995" t="s">
        <v>2377</v>
      </c>
      <c r="E75" s="995" t="s">
        <v>2448</v>
      </c>
      <c r="F75" s="995" t="s">
        <v>2359</v>
      </c>
      <c r="G75" s="260"/>
      <c r="H75" s="260"/>
      <c r="I75" s="260"/>
      <c r="L75" s="1056"/>
      <c r="Q75" s="547"/>
    </row>
    <row r="76" spans="3:17" s="44" customFormat="1" ht="15" customHeight="1" x14ac:dyDescent="0.2">
      <c r="C76" s="560" t="s">
        <v>348</v>
      </c>
      <c r="D76" s="560">
        <f>IFERROR(VLOOKUP($C76,$D$62:$F$67,3),"")</f>
        <v>0</v>
      </c>
      <c r="E76" s="570">
        <f>Data!$CJ$11</f>
        <v>181488</v>
      </c>
      <c r="F76" s="567">
        <f>IF(OR(D76="",D76=0),0,D76*E76)</f>
        <v>0</v>
      </c>
      <c r="G76" s="41"/>
      <c r="H76" s="41"/>
      <c r="I76" s="41"/>
      <c r="L76" s="1056"/>
      <c r="Q76" s="547"/>
    </row>
    <row r="77" spans="3:17" s="44" customFormat="1" ht="15" customHeight="1" x14ac:dyDescent="0.2">
      <c r="C77" s="560">
        <v>1</v>
      </c>
      <c r="D77" s="560">
        <f t="shared" ref="D77:D81" si="4">IFERROR(VLOOKUP($C77,$D$62:$F$67,3),"")</f>
        <v>0</v>
      </c>
      <c r="E77" s="570">
        <f>Data!$CJ$12</f>
        <v>208048.8</v>
      </c>
      <c r="F77" s="567">
        <f t="shared" ref="F77:F81" si="5">IF(OR(D77="",D77=0),0,D77*E77)</f>
        <v>0</v>
      </c>
      <c r="G77" s="41"/>
      <c r="H77" s="41"/>
      <c r="I77" s="41"/>
      <c r="L77" s="1056"/>
      <c r="Q77" s="547"/>
    </row>
    <row r="78" spans="3:17" s="44" customFormat="1" ht="15" customHeight="1" x14ac:dyDescent="0.2">
      <c r="C78" s="560">
        <v>2</v>
      </c>
      <c r="D78" s="560">
        <f t="shared" si="4"/>
        <v>0</v>
      </c>
      <c r="E78" s="570">
        <f>Data!$CJ$13</f>
        <v>252993.59999999998</v>
      </c>
      <c r="F78" s="567">
        <f t="shared" si="5"/>
        <v>0</v>
      </c>
      <c r="G78" s="41"/>
      <c r="H78" s="41"/>
      <c r="I78" s="41"/>
      <c r="L78" s="1056"/>
      <c r="Q78" s="547"/>
    </row>
    <row r="79" spans="3:17" s="44" customFormat="1" ht="15" customHeight="1" x14ac:dyDescent="0.2">
      <c r="C79" s="560">
        <v>3</v>
      </c>
      <c r="D79" s="560">
        <f t="shared" si="4"/>
        <v>0</v>
      </c>
      <c r="E79" s="570">
        <f>Data!$CJ$14</f>
        <v>327292.79999999999</v>
      </c>
      <c r="F79" s="567">
        <f t="shared" si="5"/>
        <v>0</v>
      </c>
      <c r="G79" s="41"/>
      <c r="H79" s="41"/>
      <c r="I79" s="41"/>
      <c r="L79" s="1056"/>
      <c r="Q79" s="547"/>
    </row>
    <row r="80" spans="3:17" s="44" customFormat="1" ht="15" customHeight="1" x14ac:dyDescent="0.2">
      <c r="C80" s="560">
        <v>4</v>
      </c>
      <c r="D80" s="560">
        <f t="shared" si="4"/>
        <v>0</v>
      </c>
      <c r="E80" s="570">
        <f>Data!$CJ$15</f>
        <v>359263.2</v>
      </c>
      <c r="F80" s="567">
        <f t="shared" si="5"/>
        <v>0</v>
      </c>
      <c r="G80" s="41"/>
      <c r="H80" s="41"/>
      <c r="I80" s="41"/>
      <c r="L80" s="1056"/>
      <c r="Q80" s="547"/>
    </row>
    <row r="81" spans="3:17" s="44" customFormat="1" ht="15" customHeight="1" thickBot="1" x14ac:dyDescent="0.25">
      <c r="C81" s="560">
        <v>5</v>
      </c>
      <c r="D81" s="560">
        <f t="shared" si="4"/>
        <v>0</v>
      </c>
      <c r="E81" s="570">
        <f>Data!$CJ$16</f>
        <v>359263.2</v>
      </c>
      <c r="F81" s="566">
        <f t="shared" si="5"/>
        <v>0</v>
      </c>
      <c r="G81" s="41"/>
      <c r="H81" s="41"/>
      <c r="I81" s="41"/>
      <c r="L81" s="1056"/>
      <c r="Q81" s="547"/>
    </row>
    <row r="82" spans="3:17" s="44" customFormat="1" ht="15" customHeight="1" thickTop="1" x14ac:dyDescent="0.2">
      <c r="C82" s="1534" t="s">
        <v>2376</v>
      </c>
      <c r="D82" s="1534"/>
      <c r="E82" s="1534"/>
      <c r="F82" s="571">
        <f>SUM(F76:F81)</f>
        <v>0</v>
      </c>
      <c r="G82" s="41"/>
      <c r="H82" s="41"/>
      <c r="I82" s="41"/>
      <c r="L82" s="1056"/>
      <c r="Q82" s="547"/>
    </row>
    <row r="83" spans="3:17" s="44" customFormat="1" ht="15" customHeight="1" x14ac:dyDescent="0.2">
      <c r="C83" s="41"/>
      <c r="D83" s="41"/>
      <c r="E83" s="41"/>
      <c r="F83" s="41"/>
      <c r="G83" s="41"/>
      <c r="H83" s="41"/>
      <c r="I83" s="41"/>
      <c r="L83" s="1056"/>
      <c r="Q83" s="547"/>
    </row>
    <row r="84" spans="3:17" s="44" customFormat="1" ht="15" customHeight="1" x14ac:dyDescent="0.2">
      <c r="C84" s="41"/>
      <c r="D84" s="41"/>
      <c r="E84" s="41"/>
      <c r="F84" s="41"/>
      <c r="G84" s="41"/>
      <c r="H84" s="41"/>
      <c r="I84" s="41"/>
      <c r="L84" s="1056"/>
      <c r="Q84" s="547"/>
    </row>
    <row r="85" spans="3:17" s="44" customFormat="1" ht="15" customHeight="1" x14ac:dyDescent="0.2">
      <c r="C85" s="1528" t="s">
        <v>2357</v>
      </c>
      <c r="D85" s="1528"/>
      <c r="E85" s="1528"/>
      <c r="F85" s="1528"/>
      <c r="G85" s="1528"/>
      <c r="H85" s="1528"/>
      <c r="I85" s="41"/>
      <c r="L85" s="1056"/>
      <c r="Q85" s="547"/>
    </row>
    <row r="86" spans="3:17" s="44" customFormat="1" ht="5.25" customHeight="1" x14ac:dyDescent="0.2">
      <c r="C86" s="41"/>
      <c r="D86" s="41"/>
      <c r="E86" s="41"/>
      <c r="F86" s="41"/>
      <c r="G86" s="41"/>
      <c r="H86" s="41"/>
      <c r="I86" s="41"/>
      <c r="L86" s="1056"/>
      <c r="Q86" s="547"/>
    </row>
    <row r="87" spans="3:17" s="44" customFormat="1" ht="15" customHeight="1" x14ac:dyDescent="0.2">
      <c r="C87" s="1513" t="s">
        <v>2375</v>
      </c>
      <c r="D87" s="1513"/>
      <c r="E87" s="1513"/>
      <c r="F87" s="560">
        <f>SUM(D76:D81)</f>
        <v>0</v>
      </c>
      <c r="G87" s="41"/>
      <c r="H87" s="41"/>
      <c r="I87" s="41"/>
      <c r="L87" s="1056"/>
      <c r="Q87" s="547"/>
    </row>
    <row r="88" spans="3:17" s="44" customFormat="1" ht="5.25" customHeight="1" x14ac:dyDescent="0.2">
      <c r="C88" s="41"/>
      <c r="D88" s="41"/>
      <c r="E88" s="41"/>
      <c r="F88" s="41"/>
      <c r="G88" s="41"/>
      <c r="H88" s="41"/>
      <c r="I88" s="41"/>
      <c r="L88" s="1056"/>
      <c r="Q88" s="547"/>
    </row>
    <row r="89" spans="3:17" s="44" customFormat="1" ht="15" customHeight="1" x14ac:dyDescent="0.2">
      <c r="C89" s="1513" t="s">
        <v>2355</v>
      </c>
      <c r="D89" s="1513"/>
      <c r="E89" s="1513"/>
      <c r="F89" s="41"/>
      <c r="G89" s="41"/>
      <c r="H89" s="41"/>
      <c r="I89" s="41"/>
      <c r="L89" s="1056"/>
      <c r="Q89" s="547"/>
    </row>
    <row r="90" spans="3:17" s="44" customFormat="1" ht="15" customHeight="1" x14ac:dyDescent="0.2">
      <c r="C90" s="1340" t="s">
        <v>2354</v>
      </c>
      <c r="D90" s="1340"/>
      <c r="E90" s="1340"/>
      <c r="F90" s="568">
        <f>F47</f>
        <v>0</v>
      </c>
      <c r="G90" s="41"/>
      <c r="H90" s="41"/>
      <c r="I90" s="41"/>
      <c r="L90" s="1056"/>
      <c r="Q90" s="547"/>
    </row>
    <row r="91" spans="3:17" s="44" customFormat="1" ht="15" customHeight="1" x14ac:dyDescent="0.2">
      <c r="C91" s="1340" t="s">
        <v>2353</v>
      </c>
      <c r="D91" s="1340"/>
      <c r="E91" s="1340"/>
      <c r="F91" s="567">
        <f>I70</f>
        <v>0</v>
      </c>
      <c r="G91" s="41"/>
      <c r="H91" s="41"/>
      <c r="I91" s="41"/>
      <c r="L91" s="1056"/>
      <c r="Q91" s="547"/>
    </row>
    <row r="92" spans="3:17" s="44" customFormat="1" ht="15" customHeight="1" thickBot="1" x14ac:dyDescent="0.25">
      <c r="C92" s="1530" t="s">
        <v>2352</v>
      </c>
      <c r="D92" s="1530"/>
      <c r="E92" s="1530"/>
      <c r="F92" s="566">
        <f>F82</f>
        <v>0</v>
      </c>
      <c r="G92" s="41"/>
      <c r="H92" s="41"/>
      <c r="I92" s="41"/>
      <c r="L92" s="1056"/>
      <c r="Q92" s="547"/>
    </row>
    <row r="93" spans="3:17" s="44" customFormat="1" ht="15" customHeight="1" thickTop="1" x14ac:dyDescent="0.2">
      <c r="C93" s="1531" t="s">
        <v>2351</v>
      </c>
      <c r="D93" s="1531"/>
      <c r="E93" s="1531"/>
      <c r="F93" s="565">
        <f>MIN(F90:F92)</f>
        <v>0</v>
      </c>
      <c r="G93" s="1340" t="str">
        <f>IF(F93&lt;F90,"* More Assisted Units are needed to justify HDAP request.","* There are enough Assisted Units.")</f>
        <v>* There are enough Assisted Units.</v>
      </c>
      <c r="H93" s="1340"/>
      <c r="I93" s="1340"/>
      <c r="L93" s="1056"/>
      <c r="Q93" s="547"/>
    </row>
    <row r="94" spans="3:17" s="44" customFormat="1" ht="15" customHeight="1" x14ac:dyDescent="0.2">
      <c r="L94" s="1056"/>
      <c r="Q94" s="547"/>
    </row>
    <row r="95" spans="3:17" s="44" customFormat="1" ht="15" customHeight="1" x14ac:dyDescent="0.2">
      <c r="L95" s="1056"/>
      <c r="Q95" s="547"/>
    </row>
    <row r="96" spans="3:17" s="44" customFormat="1" ht="15" customHeight="1" x14ac:dyDescent="0.25">
      <c r="C96" s="1468" t="s">
        <v>2374</v>
      </c>
      <c r="D96" s="1468"/>
      <c r="E96" s="1468"/>
      <c r="F96" s="1468"/>
      <c r="G96" s="1468"/>
      <c r="H96" s="1468"/>
      <c r="I96" s="1468"/>
      <c r="L96" s="1056"/>
      <c r="Q96" s="547"/>
    </row>
    <row r="97" spans="3:17" s="44" customFormat="1" ht="3" customHeight="1" x14ac:dyDescent="0.2">
      <c r="C97" s="1482"/>
      <c r="D97" s="1482"/>
      <c r="E97" s="1482"/>
      <c r="F97" s="1482"/>
      <c r="G97" s="1482"/>
      <c r="H97" s="1482"/>
      <c r="I97" s="1482"/>
      <c r="L97" s="1056"/>
      <c r="Q97" s="547"/>
    </row>
    <row r="98" spans="3:17" s="44" customFormat="1" ht="5.25" customHeight="1" x14ac:dyDescent="0.2">
      <c r="C98" s="43"/>
      <c r="D98" s="43"/>
      <c r="E98" s="43"/>
      <c r="F98" s="43"/>
      <c r="G98" s="43"/>
      <c r="H98" s="43"/>
      <c r="I98" s="43"/>
      <c r="L98" s="1056"/>
      <c r="Q98" s="547"/>
    </row>
    <row r="99" spans="3:17" s="44" customFormat="1" ht="15" customHeight="1" x14ac:dyDescent="0.2">
      <c r="C99" s="1469" t="s">
        <v>2373</v>
      </c>
      <c r="D99" s="1469"/>
      <c r="E99" s="1469"/>
      <c r="F99" s="1469"/>
      <c r="G99" s="1469"/>
      <c r="H99" s="1469"/>
      <c r="I99" s="1469"/>
      <c r="L99" s="1056"/>
      <c r="Q99" s="547"/>
    </row>
    <row r="100" spans="3:17" s="44" customFormat="1" ht="15" customHeight="1" x14ac:dyDescent="0.2">
      <c r="C100" s="1469"/>
      <c r="D100" s="1469"/>
      <c r="E100" s="1469"/>
      <c r="F100" s="1469"/>
      <c r="G100" s="1469"/>
      <c r="H100" s="1469"/>
      <c r="I100" s="1469"/>
      <c r="L100" s="1056"/>
      <c r="Q100" s="547"/>
    </row>
    <row r="101" spans="3:17" s="44" customFormat="1" ht="15" customHeight="1" x14ac:dyDescent="0.2">
      <c r="L101" s="1056"/>
      <c r="Q101" s="547"/>
    </row>
    <row r="102" spans="3:17" s="44" customFormat="1" ht="15" customHeight="1" x14ac:dyDescent="0.25">
      <c r="C102" s="1468" t="s">
        <v>2372</v>
      </c>
      <c r="D102" s="1468"/>
      <c r="E102" s="1468"/>
      <c r="F102" s="578" t="str">
        <f>IF(F93&lt;F90,"Yes","No")</f>
        <v>No</v>
      </c>
      <c r="L102" s="1056"/>
      <c r="Q102" s="547"/>
    </row>
    <row r="103" spans="3:17" s="44" customFormat="1" ht="15" customHeight="1" x14ac:dyDescent="0.2">
      <c r="L103" s="1056"/>
      <c r="Q103" s="547"/>
    </row>
    <row r="104" spans="3:17" s="44" customFormat="1" ht="15" customHeight="1" x14ac:dyDescent="0.2">
      <c r="C104" s="1513" t="s">
        <v>2371</v>
      </c>
      <c r="D104" s="1513"/>
      <c r="E104" s="1513"/>
      <c r="F104" s="577">
        <f>F56</f>
        <v>0</v>
      </c>
      <c r="G104" s="41"/>
      <c r="H104" s="41"/>
      <c r="I104" s="41"/>
      <c r="L104" s="1056"/>
      <c r="Q104" s="547"/>
    </row>
    <row r="105" spans="3:17" s="44" customFormat="1" ht="15" customHeight="1" x14ac:dyDescent="0.2">
      <c r="C105" s="1510" t="s">
        <v>2370</v>
      </c>
      <c r="D105" s="1510"/>
      <c r="E105" s="1510"/>
      <c r="F105" s="576">
        <v>0.17</v>
      </c>
      <c r="G105" s="1529" t="str">
        <f>IF(OR(F138&lt;F137,F139&lt;F137)," * You must continue increasing the HDAP Share Ratio."," The minimum HDAP Share Ratio is met.")</f>
        <v xml:space="preserve"> The minimum HDAP Share Ratio is met.</v>
      </c>
      <c r="H105" s="1340"/>
      <c r="I105" s="1340"/>
      <c r="L105" s="1056"/>
      <c r="Q105" s="547"/>
    </row>
    <row r="106" spans="3:17" s="44" customFormat="1" ht="15" customHeight="1" x14ac:dyDescent="0.2">
      <c r="C106" s="41"/>
      <c r="D106" s="41"/>
      <c r="E106" s="41"/>
      <c r="F106" s="41"/>
      <c r="G106" s="41"/>
      <c r="H106" s="41"/>
      <c r="I106" s="41"/>
      <c r="L106" s="1056"/>
      <c r="Q106" s="547"/>
    </row>
    <row r="107" spans="3:17" s="44" customFormat="1" ht="15" customHeight="1" x14ac:dyDescent="0.2">
      <c r="C107" s="1535" t="s">
        <v>2369</v>
      </c>
      <c r="D107" s="1535"/>
      <c r="E107" s="1535"/>
      <c r="F107" s="1535"/>
      <c r="G107" s="41"/>
      <c r="H107" s="41"/>
      <c r="I107" s="41"/>
      <c r="L107" s="1056"/>
      <c r="Q107" s="547"/>
    </row>
    <row r="108" spans="3:17" s="44" customFormat="1" ht="5.25" customHeight="1" x14ac:dyDescent="0.2">
      <c r="C108" s="41"/>
      <c r="D108" s="41"/>
      <c r="E108" s="41"/>
      <c r="F108" s="41"/>
      <c r="G108" s="41"/>
      <c r="H108" s="41"/>
      <c r="I108" s="41"/>
      <c r="L108" s="1056"/>
      <c r="Q108" s="547"/>
    </row>
    <row r="109" spans="3:17" s="44" customFormat="1" ht="30" customHeight="1" x14ac:dyDescent="0.2">
      <c r="C109" s="995" t="s">
        <v>344</v>
      </c>
      <c r="D109" s="995" t="s">
        <v>424</v>
      </c>
      <c r="E109" s="995" t="s">
        <v>2368</v>
      </c>
      <c r="F109" s="995" t="s">
        <v>2341</v>
      </c>
      <c r="G109" s="995" t="s">
        <v>2367</v>
      </c>
      <c r="H109" s="995" t="s">
        <v>2366</v>
      </c>
      <c r="I109" s="995" t="s">
        <v>2365</v>
      </c>
      <c r="L109" s="1056"/>
      <c r="Q109" s="547"/>
    </row>
    <row r="110" spans="3:17" s="44" customFormat="1" ht="15" customHeight="1" x14ac:dyDescent="0.2">
      <c r="C110" s="574">
        <f>Revenue!$N$110</f>
        <v>0</v>
      </c>
      <c r="D110" s="560" t="s">
        <v>348</v>
      </c>
      <c r="E110" s="575">
        <f>MAX($F$105,$F$104)*C110</f>
        <v>0</v>
      </c>
      <c r="F110" s="559">
        <f>ROUNDUP(E110,0)</f>
        <v>0</v>
      </c>
      <c r="G110" s="574">
        <f>IF(C110=0,0,AVERAGEIF(Revenue!$D$47:$D$92,0,Revenue!$F$47:$F$92))</f>
        <v>0</v>
      </c>
      <c r="H110" s="570">
        <f t="shared" ref="H110:H115" si="6">$F$55*G110</f>
        <v>0</v>
      </c>
      <c r="I110" s="570">
        <f t="shared" ref="I110:I115" si="7">ROUNDDOWN(F110*H110,0)</f>
        <v>0</v>
      </c>
      <c r="L110" s="1056"/>
      <c r="Q110" s="547"/>
    </row>
    <row r="111" spans="3:17" s="44" customFormat="1" ht="15" customHeight="1" x14ac:dyDescent="0.2">
      <c r="C111" s="574">
        <f>Revenue!$N$111</f>
        <v>0</v>
      </c>
      <c r="D111" s="560">
        <v>1</v>
      </c>
      <c r="E111" s="575">
        <f t="shared" ref="E111:E115" si="8">MAX($F$105,$F$104)*C111</f>
        <v>0</v>
      </c>
      <c r="F111" s="559">
        <f t="shared" ref="F111:F115" si="9">ROUNDUP(E111,0)</f>
        <v>0</v>
      </c>
      <c r="G111" s="574">
        <f>IF(C111=0,0,AVERAGEIF(Revenue!$D$47:$D$92,D111,Revenue!$F$47:$F$92))</f>
        <v>0</v>
      </c>
      <c r="H111" s="570">
        <f t="shared" si="6"/>
        <v>0</v>
      </c>
      <c r="I111" s="570">
        <f t="shared" si="7"/>
        <v>0</v>
      </c>
      <c r="L111" s="1056"/>
      <c r="Q111" s="547"/>
    </row>
    <row r="112" spans="3:17" s="44" customFormat="1" ht="15" customHeight="1" x14ac:dyDescent="0.2">
      <c r="C112" s="574">
        <f>Revenue!$N$112</f>
        <v>0</v>
      </c>
      <c r="D112" s="560">
        <v>2</v>
      </c>
      <c r="E112" s="575">
        <f t="shared" si="8"/>
        <v>0</v>
      </c>
      <c r="F112" s="559">
        <f t="shared" si="9"/>
        <v>0</v>
      </c>
      <c r="G112" s="574">
        <f>IF(C112=0,0,AVERAGEIF(Revenue!$D$47:$D$92,D112,Revenue!$F$47:$F$92))</f>
        <v>0</v>
      </c>
      <c r="H112" s="570">
        <f t="shared" si="6"/>
        <v>0</v>
      </c>
      <c r="I112" s="570">
        <f t="shared" si="7"/>
        <v>0</v>
      </c>
      <c r="L112" s="1056"/>
      <c r="Q112" s="547"/>
    </row>
    <row r="113" spans="3:17" s="44" customFormat="1" ht="15" customHeight="1" x14ac:dyDescent="0.2">
      <c r="C113" s="574">
        <f>Revenue!$N$113</f>
        <v>0</v>
      </c>
      <c r="D113" s="560">
        <v>3</v>
      </c>
      <c r="E113" s="575">
        <f t="shared" si="8"/>
        <v>0</v>
      </c>
      <c r="F113" s="559">
        <f t="shared" si="9"/>
        <v>0</v>
      </c>
      <c r="G113" s="574">
        <f>IF(C113=0,0,AVERAGEIF(Revenue!$D$47:$D$92,D113,Revenue!$F$47:$F$92))</f>
        <v>0</v>
      </c>
      <c r="H113" s="570">
        <f t="shared" si="6"/>
        <v>0</v>
      </c>
      <c r="I113" s="570">
        <f t="shared" si="7"/>
        <v>0</v>
      </c>
      <c r="L113" s="1056"/>
      <c r="Q113" s="547"/>
    </row>
    <row r="114" spans="3:17" s="44" customFormat="1" ht="15" customHeight="1" x14ac:dyDescent="0.2">
      <c r="C114" s="574">
        <f>Revenue!$N$114</f>
        <v>0</v>
      </c>
      <c r="D114" s="560">
        <v>4</v>
      </c>
      <c r="E114" s="575">
        <f t="shared" si="8"/>
        <v>0</v>
      </c>
      <c r="F114" s="559">
        <f t="shared" si="9"/>
        <v>0</v>
      </c>
      <c r="G114" s="574">
        <f>IF(C114=0,0,AVERAGEIF(Revenue!$D$47:$D$92,D114,Revenue!$F$47:$F$92))</f>
        <v>0</v>
      </c>
      <c r="H114" s="570">
        <f t="shared" si="6"/>
        <v>0</v>
      </c>
      <c r="I114" s="570">
        <f t="shared" si="7"/>
        <v>0</v>
      </c>
      <c r="L114" s="1056"/>
      <c r="Q114" s="547"/>
    </row>
    <row r="115" spans="3:17" s="44" customFormat="1" ht="15" customHeight="1" thickBot="1" x14ac:dyDescent="0.25">
      <c r="C115" s="605">
        <f>Revenue!$N$115</f>
        <v>0</v>
      </c>
      <c r="D115" s="560">
        <v>5</v>
      </c>
      <c r="E115" s="575">
        <f t="shared" si="8"/>
        <v>0</v>
      </c>
      <c r="F115" s="559">
        <f t="shared" si="9"/>
        <v>0</v>
      </c>
      <c r="G115" s="574">
        <f>IF(C115=0,0,AVERAGEIF(Revenue!$D$47:$D$92,D115,Revenue!$F$47:$F$92))</f>
        <v>0</v>
      </c>
      <c r="H115" s="570">
        <f t="shared" si="6"/>
        <v>0</v>
      </c>
      <c r="I115" s="570">
        <f t="shared" si="7"/>
        <v>0</v>
      </c>
      <c r="L115" s="1056"/>
      <c r="Q115" s="547"/>
    </row>
    <row r="116" spans="3:17" s="44" customFormat="1" ht="15" customHeight="1" thickTop="1" x14ac:dyDescent="0.2">
      <c r="C116" s="573">
        <f>SUM(C110:C115)</f>
        <v>0</v>
      </c>
      <c r="D116" s="41"/>
      <c r="E116" s="1524" t="s">
        <v>2364</v>
      </c>
      <c r="F116" s="1524"/>
      <c r="G116" s="1524"/>
      <c r="H116" s="1525"/>
      <c r="I116" s="570">
        <f>SUM(I110:I115)</f>
        <v>0</v>
      </c>
      <c r="L116" s="1056"/>
      <c r="Q116" s="547"/>
    </row>
    <row r="117" spans="3:17" s="44" customFormat="1" ht="15" customHeight="1" thickBot="1" x14ac:dyDescent="0.25">
      <c r="C117" s="41"/>
      <c r="D117" s="41"/>
      <c r="E117" s="1526" t="s">
        <v>2363</v>
      </c>
      <c r="F117" s="1526"/>
      <c r="G117" s="1526"/>
      <c r="H117" s="1527"/>
      <c r="I117" s="572">
        <f>IF(F53="Yes",F53,0)</f>
        <v>0</v>
      </c>
      <c r="L117" s="1056"/>
      <c r="Q117" s="547"/>
    </row>
    <row r="118" spans="3:17" s="44" customFormat="1" ht="15" customHeight="1" thickTop="1" x14ac:dyDescent="0.2">
      <c r="C118" s="41"/>
      <c r="D118" s="41"/>
      <c r="E118" s="1532" t="s">
        <v>2362</v>
      </c>
      <c r="F118" s="1532"/>
      <c r="G118" s="1532"/>
      <c r="H118" s="1533"/>
      <c r="I118" s="571">
        <f>I116+I117</f>
        <v>0</v>
      </c>
      <c r="L118" s="1056"/>
      <c r="Q118" s="547"/>
    </row>
    <row r="119" spans="3:17" s="44" customFormat="1" ht="15" customHeight="1" x14ac:dyDescent="0.2">
      <c r="C119" s="41"/>
      <c r="D119" s="41"/>
      <c r="E119" s="41"/>
      <c r="F119" s="41"/>
      <c r="G119" s="41"/>
      <c r="H119" s="41"/>
      <c r="I119" s="41"/>
      <c r="L119" s="1056"/>
      <c r="Q119" s="547"/>
    </row>
    <row r="120" spans="3:17" s="44" customFormat="1" ht="15" customHeight="1" x14ac:dyDescent="0.2">
      <c r="C120" s="1535" t="s">
        <v>2361</v>
      </c>
      <c r="D120" s="1535"/>
      <c r="E120" s="1535"/>
      <c r="F120" s="1535"/>
      <c r="G120" s="41"/>
      <c r="H120" s="41"/>
      <c r="I120" s="41"/>
      <c r="L120" s="1056"/>
      <c r="Q120" s="547"/>
    </row>
    <row r="121" spans="3:17" s="44" customFormat="1" ht="5.25" customHeight="1" x14ac:dyDescent="0.2">
      <c r="C121" s="41"/>
      <c r="D121" s="41"/>
      <c r="E121" s="41"/>
      <c r="F121" s="41"/>
      <c r="G121" s="41"/>
      <c r="H121" s="41"/>
      <c r="I121" s="41"/>
      <c r="L121" s="1056"/>
      <c r="Q121" s="547"/>
    </row>
    <row r="122" spans="3:17" s="44" customFormat="1" ht="30" customHeight="1" x14ac:dyDescent="0.2">
      <c r="C122" s="995" t="s">
        <v>424</v>
      </c>
      <c r="D122" s="995" t="s">
        <v>2360</v>
      </c>
      <c r="E122" s="995" t="s">
        <v>2448</v>
      </c>
      <c r="F122" s="995" t="s">
        <v>2359</v>
      </c>
      <c r="G122" s="260"/>
      <c r="H122" s="260"/>
      <c r="I122" s="260"/>
      <c r="L122" s="1056"/>
      <c r="Q122" s="547"/>
    </row>
    <row r="123" spans="3:17" s="44" customFormat="1" ht="15" customHeight="1" x14ac:dyDescent="0.2">
      <c r="C123" s="560" t="s">
        <v>348</v>
      </c>
      <c r="D123" s="560">
        <f>VLOOKUP(C123,$D$110:$F$115,3)</f>
        <v>0</v>
      </c>
      <c r="E123" s="570">
        <f>Data!$CJ$11</f>
        <v>181488</v>
      </c>
      <c r="F123" s="567">
        <f>D123*E123</f>
        <v>0</v>
      </c>
      <c r="G123" s="41"/>
      <c r="H123" s="41"/>
      <c r="I123" s="41"/>
      <c r="L123" s="1056"/>
      <c r="Q123" s="547"/>
    </row>
    <row r="124" spans="3:17" s="44" customFormat="1" ht="15" customHeight="1" x14ac:dyDescent="0.2">
      <c r="C124" s="560">
        <v>1</v>
      </c>
      <c r="D124" s="560">
        <f t="shared" ref="D124:D128" si="10">VLOOKUP(C124,$D$110:$F$115,3)</f>
        <v>0</v>
      </c>
      <c r="E124" s="570">
        <f>Data!$CJ$12</f>
        <v>208048.8</v>
      </c>
      <c r="F124" s="567">
        <f t="shared" ref="F124:F128" si="11">D124*E124</f>
        <v>0</v>
      </c>
      <c r="G124" s="41"/>
      <c r="H124" s="41"/>
      <c r="I124" s="41"/>
      <c r="L124" s="1056"/>
      <c r="Q124" s="547"/>
    </row>
    <row r="125" spans="3:17" s="44" customFormat="1" ht="15" customHeight="1" x14ac:dyDescent="0.2">
      <c r="C125" s="560">
        <v>2</v>
      </c>
      <c r="D125" s="560">
        <f t="shared" si="10"/>
        <v>0</v>
      </c>
      <c r="E125" s="570">
        <f>Data!$CJ$13</f>
        <v>252993.59999999998</v>
      </c>
      <c r="F125" s="567">
        <f t="shared" si="11"/>
        <v>0</v>
      </c>
      <c r="G125" s="41"/>
      <c r="H125" s="41"/>
      <c r="I125" s="41"/>
      <c r="L125" s="1056"/>
      <c r="Q125" s="547"/>
    </row>
    <row r="126" spans="3:17" s="44" customFormat="1" ht="15" customHeight="1" x14ac:dyDescent="0.2">
      <c r="C126" s="560">
        <v>3</v>
      </c>
      <c r="D126" s="560">
        <f t="shared" si="10"/>
        <v>0</v>
      </c>
      <c r="E126" s="570">
        <f>Data!$CJ$14</f>
        <v>327292.79999999999</v>
      </c>
      <c r="F126" s="567">
        <f t="shared" si="11"/>
        <v>0</v>
      </c>
      <c r="G126" s="41"/>
      <c r="H126" s="41"/>
      <c r="I126" s="41"/>
      <c r="L126" s="1056"/>
      <c r="Q126" s="547"/>
    </row>
    <row r="127" spans="3:17" s="44" customFormat="1" ht="15" customHeight="1" x14ac:dyDescent="0.2">
      <c r="C127" s="560">
        <v>4</v>
      </c>
      <c r="D127" s="560">
        <f t="shared" si="10"/>
        <v>0</v>
      </c>
      <c r="E127" s="570">
        <f>Data!$CJ$15</f>
        <v>359263.2</v>
      </c>
      <c r="F127" s="567">
        <f t="shared" si="11"/>
        <v>0</v>
      </c>
      <c r="G127" s="41"/>
      <c r="H127" s="41"/>
      <c r="I127" s="41"/>
      <c r="L127" s="1056"/>
      <c r="Q127" s="547"/>
    </row>
    <row r="128" spans="3:17" s="44" customFormat="1" ht="15" customHeight="1" x14ac:dyDescent="0.2">
      <c r="C128" s="560">
        <v>5</v>
      </c>
      <c r="D128" s="560">
        <f t="shared" si="10"/>
        <v>0</v>
      </c>
      <c r="E128" s="570">
        <f>Data!$CJ$16</f>
        <v>359263.2</v>
      </c>
      <c r="F128" s="567">
        <f t="shared" si="11"/>
        <v>0</v>
      </c>
      <c r="G128" s="41"/>
      <c r="H128" s="41"/>
      <c r="I128" s="41"/>
      <c r="L128" s="1056"/>
      <c r="Q128" s="547"/>
    </row>
    <row r="129" spans="3:17" s="44" customFormat="1" ht="15" customHeight="1" x14ac:dyDescent="0.2">
      <c r="C129" s="1534" t="s">
        <v>2358</v>
      </c>
      <c r="D129" s="1534"/>
      <c r="E129" s="1534"/>
      <c r="F129" s="569">
        <f>SUM(F123:F128)</f>
        <v>0</v>
      </c>
      <c r="G129" s="41"/>
      <c r="H129" s="41"/>
      <c r="I129" s="41"/>
      <c r="L129" s="1056"/>
      <c r="Q129" s="547"/>
    </row>
    <row r="130" spans="3:17" s="44" customFormat="1" ht="15" customHeight="1" x14ac:dyDescent="0.2">
      <c r="C130" s="41"/>
      <c r="D130" s="41"/>
      <c r="E130" s="41"/>
      <c r="F130" s="41"/>
      <c r="G130" s="41"/>
      <c r="H130" s="41"/>
      <c r="I130" s="41"/>
      <c r="L130" s="1056"/>
      <c r="Q130" s="547"/>
    </row>
    <row r="131" spans="3:17" s="44" customFormat="1" ht="15" customHeight="1" x14ac:dyDescent="0.2">
      <c r="C131" s="41"/>
      <c r="D131" s="41"/>
      <c r="E131" s="41"/>
      <c r="F131" s="41"/>
      <c r="G131" s="41"/>
      <c r="H131" s="41"/>
      <c r="I131" s="41"/>
      <c r="L131" s="1056"/>
      <c r="Q131" s="547"/>
    </row>
    <row r="132" spans="3:17" s="44" customFormat="1" ht="15" customHeight="1" x14ac:dyDescent="0.2">
      <c r="C132" s="1535" t="s">
        <v>2357</v>
      </c>
      <c r="D132" s="1535"/>
      <c r="E132" s="1535"/>
      <c r="F132" s="1535"/>
      <c r="G132" s="1535"/>
      <c r="H132" s="41"/>
      <c r="I132" s="41"/>
      <c r="L132" s="1056"/>
      <c r="Q132" s="547"/>
    </row>
    <row r="133" spans="3:17" s="44" customFormat="1" ht="15" customHeight="1" x14ac:dyDescent="0.2">
      <c r="C133" s="41"/>
      <c r="D133" s="41"/>
      <c r="E133" s="41"/>
      <c r="F133" s="41"/>
      <c r="G133" s="41"/>
      <c r="H133" s="41"/>
      <c r="I133" s="41"/>
      <c r="L133" s="1056"/>
      <c r="Q133" s="547"/>
    </row>
    <row r="134" spans="3:17" s="44" customFormat="1" ht="15" customHeight="1" x14ac:dyDescent="0.2">
      <c r="C134" s="1513" t="s">
        <v>2356</v>
      </c>
      <c r="D134" s="1513"/>
      <c r="E134" s="1513"/>
      <c r="F134" s="560">
        <f>SUM(D123:D128)</f>
        <v>0</v>
      </c>
      <c r="G134" s="41"/>
      <c r="H134" s="41"/>
      <c r="I134" s="41"/>
      <c r="L134" s="1056"/>
      <c r="Q134" s="547"/>
    </row>
    <row r="135" spans="3:17" s="44" customFormat="1" ht="15" customHeight="1" x14ac:dyDescent="0.2">
      <c r="C135" s="41"/>
      <c r="D135" s="41"/>
      <c r="E135" s="41"/>
      <c r="F135" s="41"/>
      <c r="G135" s="41"/>
      <c r="H135" s="41"/>
      <c r="I135" s="41"/>
      <c r="L135" s="1056"/>
      <c r="Q135" s="547"/>
    </row>
    <row r="136" spans="3:17" s="44" customFormat="1" ht="15" customHeight="1" x14ac:dyDescent="0.2">
      <c r="C136" s="1513" t="s">
        <v>2355</v>
      </c>
      <c r="D136" s="1513"/>
      <c r="E136" s="1513"/>
      <c r="F136" s="41"/>
      <c r="G136" s="41"/>
      <c r="H136" s="41"/>
      <c r="I136" s="41"/>
      <c r="L136" s="1056"/>
      <c r="Q136" s="547"/>
    </row>
    <row r="137" spans="3:17" s="44" customFormat="1" ht="15" customHeight="1" x14ac:dyDescent="0.2">
      <c r="C137" s="1340" t="s">
        <v>2354</v>
      </c>
      <c r="D137" s="1340"/>
      <c r="E137" s="1340"/>
      <c r="F137" s="568">
        <f>F47</f>
        <v>0</v>
      </c>
      <c r="G137" s="41"/>
      <c r="H137" s="41"/>
      <c r="I137" s="41"/>
      <c r="L137" s="1056"/>
      <c r="Q137" s="547"/>
    </row>
    <row r="138" spans="3:17" s="44" customFormat="1" ht="15" customHeight="1" x14ac:dyDescent="0.2">
      <c r="C138" s="1340" t="s">
        <v>2353</v>
      </c>
      <c r="D138" s="1340"/>
      <c r="E138" s="1340"/>
      <c r="F138" s="567">
        <f>I118</f>
        <v>0</v>
      </c>
      <c r="G138" s="41"/>
      <c r="H138" s="41"/>
      <c r="I138" s="41"/>
      <c r="L138" s="1056"/>
      <c r="Q138" s="547"/>
    </row>
    <row r="139" spans="3:17" s="44" customFormat="1" ht="15" customHeight="1" thickBot="1" x14ac:dyDescent="0.25">
      <c r="C139" s="1530" t="s">
        <v>2352</v>
      </c>
      <c r="D139" s="1530"/>
      <c r="E139" s="1530"/>
      <c r="F139" s="566">
        <f>F129</f>
        <v>0</v>
      </c>
      <c r="G139" s="41"/>
      <c r="H139" s="41"/>
      <c r="I139" s="41"/>
      <c r="L139" s="1056"/>
      <c r="Q139" s="547"/>
    </row>
    <row r="140" spans="3:17" s="44" customFormat="1" ht="15" customHeight="1" thickTop="1" x14ac:dyDescent="0.2">
      <c r="C140" s="1531" t="s">
        <v>2351</v>
      </c>
      <c r="D140" s="1531"/>
      <c r="E140" s="1531"/>
      <c r="F140" s="565">
        <f>MIN(F137:F139)</f>
        <v>0</v>
      </c>
      <c r="G140" s="1340" t="str">
        <f>IF(F140&lt;F137,"* More Assisted Units are needed.","There are enough Assisted Units.")</f>
        <v>There are enough Assisted Units.</v>
      </c>
      <c r="H140" s="1340"/>
      <c r="I140" s="1340"/>
      <c r="L140" s="1056"/>
      <c r="Q140" s="547"/>
    </row>
    <row r="141" spans="3:17" s="44" customFormat="1" ht="15" customHeight="1" x14ac:dyDescent="0.2">
      <c r="L141" s="1056"/>
      <c r="Q141" s="547"/>
    </row>
    <row r="142" spans="3:17" s="44" customFormat="1" ht="15" customHeight="1" x14ac:dyDescent="0.2">
      <c r="L142" s="1056"/>
      <c r="Q142" s="547"/>
    </row>
    <row r="143" spans="3:17" s="44" customFormat="1" ht="15" hidden="1" customHeight="1" outlineLevel="1" x14ac:dyDescent="0.25">
      <c r="C143" s="1468" t="s">
        <v>2449</v>
      </c>
      <c r="D143" s="1468"/>
      <c r="E143" s="1468"/>
      <c r="F143" s="1468"/>
      <c r="G143" s="1468"/>
      <c r="H143" s="1468"/>
      <c r="I143" s="1468"/>
      <c r="L143" s="1056"/>
      <c r="Q143" s="547"/>
    </row>
    <row r="144" spans="3:17" s="44" customFormat="1" ht="3" hidden="1" customHeight="1" outlineLevel="1" x14ac:dyDescent="0.2">
      <c r="C144" s="1536"/>
      <c r="D144" s="1536"/>
      <c r="E144" s="1536"/>
      <c r="F144" s="1536"/>
      <c r="G144" s="1536"/>
      <c r="H144" s="1536"/>
      <c r="I144" s="1536"/>
      <c r="L144" s="1056"/>
      <c r="Q144" s="547"/>
    </row>
    <row r="145" spans="1:17" s="44" customFormat="1" ht="5.25" hidden="1" customHeight="1" outlineLevel="1" x14ac:dyDescent="0.2">
      <c r="C145" s="43"/>
      <c r="D145" s="43"/>
      <c r="E145" s="43"/>
      <c r="F145" s="43"/>
      <c r="G145" s="43"/>
      <c r="H145" s="43"/>
      <c r="I145" s="43"/>
      <c r="L145" s="1056"/>
      <c r="Q145" s="547"/>
    </row>
    <row r="146" spans="1:17" s="44" customFormat="1" ht="15" hidden="1" customHeight="1" outlineLevel="1" x14ac:dyDescent="0.2">
      <c r="C146" s="1469" t="s">
        <v>2450</v>
      </c>
      <c r="D146" s="1469"/>
      <c r="E146" s="1469"/>
      <c r="F146" s="1469"/>
      <c r="G146" s="1469"/>
      <c r="H146" s="1469"/>
      <c r="I146" s="1469"/>
      <c r="L146" s="1056"/>
      <c r="Q146" s="547"/>
    </row>
    <row r="147" spans="1:17" s="44" customFormat="1" ht="15" hidden="1" customHeight="1" outlineLevel="1" x14ac:dyDescent="0.2">
      <c r="C147" s="1469"/>
      <c r="D147" s="1469"/>
      <c r="E147" s="1469"/>
      <c r="F147" s="1469"/>
      <c r="G147" s="1469"/>
      <c r="H147" s="1469"/>
      <c r="I147" s="1469"/>
      <c r="L147" s="1056"/>
      <c r="Q147" s="547"/>
    </row>
    <row r="148" spans="1:17" s="44" customFormat="1" ht="15" hidden="1" customHeight="1" outlineLevel="1" x14ac:dyDescent="0.2">
      <c r="L148" s="1056"/>
      <c r="Q148" s="547"/>
    </row>
    <row r="149" spans="1:17" s="44" customFormat="1" ht="15" hidden="1" customHeight="1" outlineLevel="1" x14ac:dyDescent="0.2">
      <c r="C149" s="1540" t="s">
        <v>2348</v>
      </c>
      <c r="D149" s="1541"/>
      <c r="E149" s="564" t="s">
        <v>2062</v>
      </c>
      <c r="F149" s="1542" t="s">
        <v>2347</v>
      </c>
      <c r="G149" s="1542"/>
      <c r="L149" s="1056"/>
      <c r="O149" s="547"/>
    </row>
    <row r="150" spans="1:17" ht="15" hidden="1" customHeight="1" outlineLevel="1" x14ac:dyDescent="0.2">
      <c r="A150" s="44"/>
      <c r="C150" s="1476" t="s">
        <v>2451</v>
      </c>
      <c r="D150" s="1518"/>
      <c r="E150" s="534" t="s">
        <v>2397</v>
      </c>
      <c r="F150" s="1141" t="s">
        <v>2452</v>
      </c>
      <c r="G150" s="1141"/>
      <c r="O150" s="547"/>
      <c r="P150" s="547"/>
    </row>
    <row r="151" spans="1:17" ht="15" hidden="1" customHeight="1" outlineLevel="1" x14ac:dyDescent="0.2">
      <c r="A151" s="44"/>
    </row>
    <row r="152" spans="1:17" ht="15" hidden="1" customHeight="1" outlineLevel="1" x14ac:dyDescent="0.2">
      <c r="A152" s="44"/>
    </row>
    <row r="153" spans="1:17" ht="15" hidden="1" customHeight="1" outlineLevel="1" x14ac:dyDescent="0.2">
      <c r="A153" s="44"/>
      <c r="C153" s="1503" t="s">
        <v>2453</v>
      </c>
      <c r="D153" s="1503"/>
      <c r="E153" s="1503"/>
      <c r="F153" s="1543"/>
      <c r="G153" s="793" t="s">
        <v>8</v>
      </c>
    </row>
    <row r="154" spans="1:17" ht="15" hidden="1" customHeight="1" outlineLevel="1" x14ac:dyDescent="0.2">
      <c r="A154" s="44"/>
      <c r="C154" s="1499" t="s">
        <v>2454</v>
      </c>
      <c r="D154" s="1499"/>
      <c r="E154" s="1499"/>
      <c r="F154" s="1499"/>
      <c r="G154" s="1499"/>
    </row>
    <row r="155" spans="1:17" ht="15" hidden="1" customHeight="1" outlineLevel="1" x14ac:dyDescent="0.2">
      <c r="A155" s="44"/>
      <c r="C155" s="563"/>
      <c r="D155" s="563"/>
      <c r="E155" s="563"/>
      <c r="F155" s="563"/>
      <c r="G155" s="596"/>
    </row>
    <row r="156" spans="1:17" ht="15" hidden="1" customHeight="1" outlineLevel="1" x14ac:dyDescent="0.2">
      <c r="A156" s="44"/>
      <c r="C156" s="1537" t="s">
        <v>2455</v>
      </c>
      <c r="D156" s="1537"/>
      <c r="E156" s="1537"/>
      <c r="F156" s="1537"/>
      <c r="G156" s="596"/>
    </row>
    <row r="157" spans="1:17" ht="15" hidden="1" customHeight="1" outlineLevel="1" x14ac:dyDescent="0.2">
      <c r="A157" s="44"/>
      <c r="C157" s="1538" t="s">
        <v>2456</v>
      </c>
      <c r="D157" s="1538"/>
      <c r="E157" s="1538"/>
      <c r="F157" s="1539"/>
      <c r="G157" s="792"/>
    </row>
    <row r="158" spans="1:17" ht="15" hidden="1" customHeight="1" outlineLevel="1" x14ac:dyDescent="0.2">
      <c r="A158" s="44"/>
      <c r="C158" s="1538" t="s">
        <v>2457</v>
      </c>
      <c r="D158" s="1538"/>
      <c r="E158" s="1538"/>
      <c r="F158" s="1539"/>
      <c r="G158" s="582" t="e">
        <f>IF((SUMIF(Revenue!$M$47:$M$92,"&gt;0",Revenue!$C$47:$C$92)/Revenue!C101)&gt;0.05,"Yes","No")</f>
        <v>#DIV/0!</v>
      </c>
    </row>
    <row r="159" spans="1:17" ht="15" hidden="1" customHeight="1" outlineLevel="1" x14ac:dyDescent="0.2">
      <c r="A159" s="44"/>
      <c r="C159" s="1538" t="s">
        <v>2458</v>
      </c>
      <c r="D159" s="1538"/>
      <c r="E159" s="1538"/>
      <c r="F159" s="1538"/>
      <c r="G159" s="791" t="str">
        <f>IF(F172&lt;0,"No","Yes")</f>
        <v>Yes</v>
      </c>
    </row>
    <row r="160" spans="1:17" ht="15" hidden="1" customHeight="1" outlineLevel="1" x14ac:dyDescent="0.2">
      <c r="A160" s="44"/>
    </row>
    <row r="161" spans="1:9" ht="15" hidden="1" customHeight="1" outlineLevel="1" x14ac:dyDescent="0.2">
      <c r="A161" s="44"/>
      <c r="C161" s="1503" t="s">
        <v>2459</v>
      </c>
      <c r="D161" s="1503"/>
      <c r="E161" s="1503"/>
      <c r="F161" s="1503"/>
      <c r="G161" s="793" t="e">
        <f>IF(OR(G153="No",G157="No",G158="No",G159="No"),"No","Yes")</f>
        <v>#DIV/0!</v>
      </c>
    </row>
    <row r="162" spans="1:9" ht="15" hidden="1" customHeight="1" outlineLevel="1" x14ac:dyDescent="0.2">
      <c r="A162" s="44"/>
    </row>
    <row r="163" spans="1:9" ht="15" hidden="1" customHeight="1" outlineLevel="1" x14ac:dyDescent="0.2">
      <c r="A163" s="44"/>
      <c r="C163" s="548" t="s">
        <v>2460</v>
      </c>
      <c r="D163" s="548"/>
      <c r="E163" s="548"/>
      <c r="F163" s="548"/>
    </row>
    <row r="164" spans="1:9" ht="5.25" hidden="1" customHeight="1" outlineLevel="1" x14ac:dyDescent="0.2">
      <c r="A164" s="44"/>
    </row>
    <row r="165" spans="1:9" ht="30" hidden="1" customHeight="1" outlineLevel="1" x14ac:dyDescent="0.2">
      <c r="A165" s="44"/>
      <c r="C165" s="557" t="s">
        <v>424</v>
      </c>
      <c r="D165" s="557" t="s">
        <v>2461</v>
      </c>
      <c r="E165" s="557" t="s">
        <v>2462</v>
      </c>
      <c r="F165" s="557" t="s">
        <v>2463</v>
      </c>
    </row>
    <row r="166" spans="1:9" ht="15" hidden="1" customHeight="1" outlineLevel="1" x14ac:dyDescent="0.2">
      <c r="A166" s="44"/>
      <c r="C166" s="560" t="s">
        <v>348</v>
      </c>
      <c r="D166" s="559">
        <f t="shared" ref="D166:D171" si="12">F110</f>
        <v>0</v>
      </c>
      <c r="E166" s="559">
        <f>SUMIFS(Revenue!$C$47:$C$92,Revenue!$D$47:$D$92,0,Revenue!$G$47:$G$92,"&lt;=.3")</f>
        <v>0</v>
      </c>
      <c r="F166" s="597">
        <f>E166-D166</f>
        <v>0</v>
      </c>
    </row>
    <row r="167" spans="1:9" ht="15" hidden="1" customHeight="1" outlineLevel="1" x14ac:dyDescent="0.2">
      <c r="A167" s="44"/>
      <c r="C167" s="560">
        <v>1</v>
      </c>
      <c r="D167" s="559">
        <f t="shared" si="12"/>
        <v>0</v>
      </c>
      <c r="E167" s="559">
        <f>SUMIFS(Revenue!$C$47:$C$92,Revenue!$D$47:$D$92,C167,Revenue!$G$47:$G$92,"&lt;=.3")</f>
        <v>0</v>
      </c>
      <c r="F167" s="597">
        <f t="shared" ref="F167:F171" si="13">E167-D167</f>
        <v>0</v>
      </c>
    </row>
    <row r="168" spans="1:9" ht="15" hidden="1" customHeight="1" outlineLevel="1" x14ac:dyDescent="0.2">
      <c r="A168" s="44"/>
      <c r="C168" s="560">
        <v>2</v>
      </c>
      <c r="D168" s="559">
        <f t="shared" si="12"/>
        <v>0</v>
      </c>
      <c r="E168" s="559">
        <f>SUMIFS(Revenue!$C$47:$C$92,Revenue!$D$47:$D$92,C168,Revenue!$G$47:$G$92,"&lt;=.3")</f>
        <v>0</v>
      </c>
      <c r="F168" s="597">
        <f t="shared" si="13"/>
        <v>0</v>
      </c>
    </row>
    <row r="169" spans="1:9" ht="15" hidden="1" customHeight="1" outlineLevel="1" x14ac:dyDescent="0.2">
      <c r="A169" s="44"/>
      <c r="C169" s="560">
        <v>3</v>
      </c>
      <c r="D169" s="559">
        <f t="shared" si="12"/>
        <v>0</v>
      </c>
      <c r="E169" s="559">
        <f>SUMIFS(Revenue!$C$47:$C$92,Revenue!$D$47:$D$92,C169,Revenue!$G$47:$G$92,"&lt;=.3")</f>
        <v>0</v>
      </c>
      <c r="F169" s="597">
        <f t="shared" si="13"/>
        <v>0</v>
      </c>
    </row>
    <row r="170" spans="1:9" ht="15" hidden="1" customHeight="1" outlineLevel="1" x14ac:dyDescent="0.2">
      <c r="A170" s="44"/>
      <c r="C170" s="560">
        <v>4</v>
      </c>
      <c r="D170" s="559">
        <f t="shared" si="12"/>
        <v>0</v>
      </c>
      <c r="E170" s="559">
        <f>SUMIFS(Revenue!$C$47:$C$92,Revenue!$D$47:$D$92,C170,Revenue!$G$47:$G$92,"&lt;=.3")</f>
        <v>0</v>
      </c>
      <c r="F170" s="597">
        <f t="shared" si="13"/>
        <v>0</v>
      </c>
    </row>
    <row r="171" spans="1:9" ht="15" hidden="1" customHeight="1" outlineLevel="1" thickBot="1" x14ac:dyDescent="0.25">
      <c r="A171" s="44"/>
      <c r="C171" s="560">
        <v>5</v>
      </c>
      <c r="D171" s="562">
        <f t="shared" si="12"/>
        <v>0</v>
      </c>
      <c r="E171" s="562">
        <f>SUMIFS(Revenue!$C$47:$C$92,Revenue!$D$47:$D$92,C171,Revenue!$G$47:$G$92,"&lt;=.3")</f>
        <v>0</v>
      </c>
      <c r="F171" s="598">
        <f t="shared" si="13"/>
        <v>0</v>
      </c>
    </row>
    <row r="172" spans="1:9" ht="15" hidden="1" customHeight="1" outlineLevel="1" thickTop="1" x14ac:dyDescent="0.2">
      <c r="A172" s="44"/>
      <c r="C172" s="44" t="s">
        <v>325</v>
      </c>
      <c r="D172" s="599">
        <f>SUM(D166:D171)</f>
        <v>0</v>
      </c>
      <c r="E172" s="599">
        <f>SUM(E166:E171)</f>
        <v>0</v>
      </c>
      <c r="F172" s="600">
        <f>SUM(F166:F171)</f>
        <v>0</v>
      </c>
    </row>
    <row r="173" spans="1:9" ht="15" hidden="1" customHeight="1" outlineLevel="1" x14ac:dyDescent="0.2">
      <c r="A173" s="44"/>
    </row>
    <row r="174" spans="1:9" ht="15" hidden="1" customHeight="1" outlineLevel="1" x14ac:dyDescent="0.2">
      <c r="A174" s="44"/>
    </row>
    <row r="175" spans="1:9" ht="15" customHeight="1" collapsed="1" x14ac:dyDescent="0.25">
      <c r="A175" s="44"/>
      <c r="C175" s="1468" t="s">
        <v>2350</v>
      </c>
      <c r="D175" s="1468"/>
      <c r="E175" s="1468"/>
      <c r="F175" s="1468"/>
      <c r="G175" s="1468"/>
      <c r="H175" s="1468"/>
      <c r="I175" s="1468"/>
    </row>
    <row r="176" spans="1:9" ht="3" customHeight="1" x14ac:dyDescent="0.2">
      <c r="A176" s="44"/>
      <c r="C176" s="1482"/>
      <c r="D176" s="1482"/>
      <c r="E176" s="1482"/>
      <c r="F176" s="1482"/>
      <c r="G176" s="1482"/>
      <c r="H176" s="1482"/>
      <c r="I176" s="1482"/>
    </row>
    <row r="177" spans="1:9" ht="5.25" customHeight="1" x14ac:dyDescent="0.2">
      <c r="A177" s="44"/>
      <c r="C177" s="43"/>
      <c r="D177" s="43"/>
      <c r="E177" s="43"/>
      <c r="F177" s="43"/>
      <c r="G177" s="43"/>
      <c r="H177" s="43"/>
      <c r="I177" s="43"/>
    </row>
    <row r="178" spans="1:9" ht="15" customHeight="1" x14ac:dyDescent="0.2">
      <c r="A178" s="44"/>
      <c r="C178" s="1469" t="s">
        <v>2349</v>
      </c>
      <c r="D178" s="1469"/>
      <c r="E178" s="1469"/>
      <c r="F178" s="1469"/>
      <c r="G178" s="1469"/>
      <c r="H178" s="1469"/>
      <c r="I178" s="1469"/>
    </row>
    <row r="179" spans="1:9" ht="15" customHeight="1" x14ac:dyDescent="0.2">
      <c r="A179" s="44"/>
      <c r="C179" s="1469"/>
      <c r="D179" s="1469"/>
      <c r="E179" s="1469"/>
      <c r="F179" s="1469"/>
      <c r="G179" s="1469"/>
      <c r="H179" s="1469"/>
      <c r="I179" s="1469"/>
    </row>
    <row r="180" spans="1:9" ht="15" customHeight="1" x14ac:dyDescent="0.2">
      <c r="A180" s="44"/>
      <c r="C180" s="1469"/>
      <c r="D180" s="1469"/>
      <c r="E180" s="1469"/>
      <c r="F180" s="1469"/>
      <c r="G180" s="1469"/>
      <c r="H180" s="1469"/>
      <c r="I180" s="1469"/>
    </row>
    <row r="181" spans="1:9" ht="15" customHeight="1" x14ac:dyDescent="0.2">
      <c r="A181" s="44"/>
    </row>
    <row r="182" spans="1:9" ht="15" customHeight="1" x14ac:dyDescent="0.2">
      <c r="A182" s="44"/>
      <c r="C182" s="1499" t="s">
        <v>2519</v>
      </c>
      <c r="D182" s="1499"/>
      <c r="E182" s="1499"/>
      <c r="F182" s="733" t="str">
        <f>IF(SUM(Sources!G44:G45)&gt;0,"Yes","No")</f>
        <v>No</v>
      </c>
      <c r="G182" s="596"/>
    </row>
    <row r="183" spans="1:9" ht="15" customHeight="1" x14ac:dyDescent="0.25">
      <c r="A183" s="44"/>
      <c r="C183" s="1503" t="s">
        <v>2464</v>
      </c>
      <c r="D183" s="1503"/>
      <c r="E183" s="1503"/>
      <c r="F183" s="601" t="str">
        <f>IF(F182="","",IF(F182="Yes","Yes","No"))</f>
        <v>No</v>
      </c>
    </row>
    <row r="184" spans="1:9" ht="15" customHeight="1" x14ac:dyDescent="0.2">
      <c r="A184" s="44"/>
    </row>
    <row r="185" spans="1:9" ht="15" customHeight="1" x14ac:dyDescent="0.2">
      <c r="A185" s="44"/>
      <c r="C185" s="1478" t="s">
        <v>2348</v>
      </c>
      <c r="D185" s="1520"/>
      <c r="E185" s="1479"/>
      <c r="F185" s="995" t="s">
        <v>2062</v>
      </c>
      <c r="G185" s="1512" t="s">
        <v>2347</v>
      </c>
      <c r="H185" s="1512"/>
    </row>
    <row r="186" spans="1:9" ht="15" customHeight="1" x14ac:dyDescent="0.2">
      <c r="A186" s="44"/>
      <c r="C186" s="1476" t="s">
        <v>2346</v>
      </c>
      <c r="D186" s="1518"/>
      <c r="E186" s="1477"/>
      <c r="F186" s="534" t="s">
        <v>2064</v>
      </c>
      <c r="G186" s="1141" t="s">
        <v>2345</v>
      </c>
      <c r="H186" s="1141"/>
    </row>
    <row r="187" spans="1:9" ht="15" customHeight="1" x14ac:dyDescent="0.2">
      <c r="A187" s="44"/>
      <c r="C187" s="1476" t="s">
        <v>2344</v>
      </c>
      <c r="D187" s="1518"/>
      <c r="E187" s="1477"/>
      <c r="F187" s="534" t="s">
        <v>2343</v>
      </c>
      <c r="G187" s="1141" t="s">
        <v>2342</v>
      </c>
      <c r="H187" s="1141"/>
    </row>
    <row r="188" spans="1:9" ht="15" customHeight="1" x14ac:dyDescent="0.2">
      <c r="A188" s="44"/>
    </row>
    <row r="189" spans="1:9" ht="15" customHeight="1" x14ac:dyDescent="0.2">
      <c r="A189" s="44"/>
    </row>
    <row r="190" spans="1:9" ht="15" customHeight="1" x14ac:dyDescent="0.2">
      <c r="A190" s="44"/>
      <c r="C190" s="1517" t="s">
        <v>2763</v>
      </c>
      <c r="D190" s="1517"/>
      <c r="E190" s="1517"/>
      <c r="F190" s="1517"/>
      <c r="G190" s="1517"/>
    </row>
    <row r="191" spans="1:9" ht="5.25" customHeight="1" x14ac:dyDescent="0.2">
      <c r="A191" s="44"/>
    </row>
    <row r="192" spans="1:9" ht="15" customHeight="1" x14ac:dyDescent="0.2">
      <c r="A192" s="44"/>
      <c r="F192" s="995" t="s">
        <v>344</v>
      </c>
      <c r="G192" s="1023" t="s">
        <v>2764</v>
      </c>
    </row>
    <row r="193" spans="1:9" ht="15" customHeight="1" thickBot="1" x14ac:dyDescent="0.25">
      <c r="A193" s="44"/>
      <c r="C193" s="1547" t="s">
        <v>2761</v>
      </c>
      <c r="D193" s="1547"/>
      <c r="E193" s="1548"/>
      <c r="F193" s="817">
        <f>F134</f>
        <v>0</v>
      </c>
      <c r="G193" s="822" t="e">
        <f>F193/$F$193</f>
        <v>#DIV/0!</v>
      </c>
    </row>
    <row r="194" spans="1:9" ht="15" customHeight="1" thickTop="1" x14ac:dyDescent="0.2">
      <c r="A194" s="44"/>
      <c r="C194" s="1549" t="s">
        <v>2773</v>
      </c>
      <c r="D194" s="1549"/>
      <c r="E194" s="1550"/>
      <c r="F194" s="816">
        <f>IF(F193&gt;=5,ROUNDUP(F193*0.2,0),0)</f>
        <v>0</v>
      </c>
      <c r="G194" s="824" t="e">
        <f>F194/$F$193</f>
        <v>#DIV/0!</v>
      </c>
    </row>
    <row r="195" spans="1:9" ht="15" customHeight="1" x14ac:dyDescent="0.2">
      <c r="A195" s="44"/>
      <c r="C195" s="1549" t="s">
        <v>2762</v>
      </c>
      <c r="D195" s="1549"/>
      <c r="E195" s="1549"/>
      <c r="F195" s="791">
        <f>F193-F194</f>
        <v>0</v>
      </c>
      <c r="G195" s="823" t="e">
        <f>F195/$F$193</f>
        <v>#DIV/0!</v>
      </c>
    </row>
    <row r="196" spans="1:9" ht="15" customHeight="1" x14ac:dyDescent="0.2">
      <c r="A196" s="44"/>
    </row>
    <row r="197" spans="1:9" ht="15" customHeight="1" x14ac:dyDescent="0.2">
      <c r="A197" s="44"/>
    </row>
    <row r="198" spans="1:9" ht="15" customHeight="1" x14ac:dyDescent="0.2">
      <c r="A198" s="44"/>
      <c r="C198" s="1517" t="str">
        <f>_xlfn.CONCAT("Distributing the ",F195," High HOME/OHTF Assisted Unit(s)")</f>
        <v>Distributing the 0 High HOME/OHTF Assisted Unit(s)</v>
      </c>
      <c r="D198" s="1517"/>
      <c r="E198" s="1517"/>
      <c r="F198" s="1517"/>
      <c r="G198" s="558"/>
      <c r="H198" s="548"/>
      <c r="I198" s="548"/>
    </row>
    <row r="199" spans="1:9" ht="5.25" customHeight="1" x14ac:dyDescent="0.2">
      <c r="A199" s="44"/>
    </row>
    <row r="200" spans="1:9" ht="45" customHeight="1" x14ac:dyDescent="0.2">
      <c r="A200" s="44"/>
      <c r="C200" s="995" t="s">
        <v>424</v>
      </c>
      <c r="D200" s="1023" t="s">
        <v>2341</v>
      </c>
      <c r="E200" s="995" t="s">
        <v>2765</v>
      </c>
      <c r="F200" s="995" t="s">
        <v>2770</v>
      </c>
      <c r="G200" s="1023" t="s">
        <v>2771</v>
      </c>
      <c r="H200" s="995" t="s">
        <v>2772</v>
      </c>
      <c r="I200" s="995" t="s">
        <v>2769</v>
      </c>
    </row>
    <row r="201" spans="1:9" ht="15" customHeight="1" x14ac:dyDescent="0.2">
      <c r="A201" s="44"/>
      <c r="C201" s="560">
        <v>0</v>
      </c>
      <c r="D201" s="818">
        <f>F110</f>
        <v>0</v>
      </c>
      <c r="E201" s="820" t="e">
        <f t="shared" ref="E201:E207" si="14">D201/$D$219</f>
        <v>#DIV/0!</v>
      </c>
      <c r="F201" s="814" t="e">
        <f>$F$195*E201</f>
        <v>#DIV/0!</v>
      </c>
      <c r="G201" s="828"/>
      <c r="H201" s="823">
        <f>IF(OR(G201="",G201=0),0,G201/$F$195)</f>
        <v>0</v>
      </c>
      <c r="I201" s="823" t="e">
        <f>IF(OR(E201="",H201=""),"",H201-E201)</f>
        <v>#DIV/0!</v>
      </c>
    </row>
    <row r="202" spans="1:9" ht="15" customHeight="1" x14ac:dyDescent="0.2">
      <c r="A202" s="44"/>
      <c r="C202" s="560">
        <v>1</v>
      </c>
      <c r="D202" s="818">
        <f t="shared" ref="D202:D206" si="15">F111</f>
        <v>0</v>
      </c>
      <c r="E202" s="820" t="e">
        <f t="shared" si="14"/>
        <v>#DIV/0!</v>
      </c>
      <c r="F202" s="814" t="e">
        <f t="shared" ref="F202:F206" si="16">$F$195*E202</f>
        <v>#DIV/0!</v>
      </c>
      <c r="G202" s="828"/>
      <c r="H202" s="823">
        <f t="shared" ref="H202:H207" si="17">IF(OR(G202="",G202=0),0,G202/$F$195)</f>
        <v>0</v>
      </c>
      <c r="I202" s="823" t="e">
        <f t="shared" ref="I202:I207" si="18">IF(OR(E202="",H202=""),"",H202-E202)</f>
        <v>#DIV/0!</v>
      </c>
    </row>
    <row r="203" spans="1:9" ht="15" customHeight="1" x14ac:dyDescent="0.2">
      <c r="A203" s="44"/>
      <c r="C203" s="560">
        <v>2</v>
      </c>
      <c r="D203" s="818">
        <f t="shared" si="15"/>
        <v>0</v>
      </c>
      <c r="E203" s="820" t="e">
        <f t="shared" si="14"/>
        <v>#DIV/0!</v>
      </c>
      <c r="F203" s="814" t="e">
        <f t="shared" si="16"/>
        <v>#DIV/0!</v>
      </c>
      <c r="G203" s="828"/>
      <c r="H203" s="823">
        <f t="shared" si="17"/>
        <v>0</v>
      </c>
      <c r="I203" s="823" t="e">
        <f t="shared" si="18"/>
        <v>#DIV/0!</v>
      </c>
    </row>
    <row r="204" spans="1:9" ht="15" customHeight="1" x14ac:dyDescent="0.2">
      <c r="A204" s="44"/>
      <c r="C204" s="560">
        <v>3</v>
      </c>
      <c r="D204" s="818">
        <f t="shared" si="15"/>
        <v>0</v>
      </c>
      <c r="E204" s="820" t="e">
        <f t="shared" si="14"/>
        <v>#DIV/0!</v>
      </c>
      <c r="F204" s="814" t="e">
        <f t="shared" si="16"/>
        <v>#DIV/0!</v>
      </c>
      <c r="G204" s="828"/>
      <c r="H204" s="823">
        <f t="shared" si="17"/>
        <v>0</v>
      </c>
      <c r="I204" s="823" t="e">
        <f t="shared" si="18"/>
        <v>#DIV/0!</v>
      </c>
    </row>
    <row r="205" spans="1:9" ht="15" customHeight="1" x14ac:dyDescent="0.2">
      <c r="A205" s="44"/>
      <c r="C205" s="560">
        <v>4</v>
      </c>
      <c r="D205" s="818">
        <f t="shared" si="15"/>
        <v>0</v>
      </c>
      <c r="E205" s="820" t="e">
        <f t="shared" si="14"/>
        <v>#DIV/0!</v>
      </c>
      <c r="F205" s="814" t="e">
        <f t="shared" si="16"/>
        <v>#DIV/0!</v>
      </c>
      <c r="G205" s="828"/>
      <c r="H205" s="823">
        <f t="shared" si="17"/>
        <v>0</v>
      </c>
      <c r="I205" s="823" t="e">
        <f t="shared" si="18"/>
        <v>#DIV/0!</v>
      </c>
    </row>
    <row r="206" spans="1:9" ht="15" customHeight="1" thickBot="1" x14ac:dyDescent="0.25">
      <c r="A206" s="44"/>
      <c r="C206" s="560">
        <v>5</v>
      </c>
      <c r="D206" s="562">
        <f t="shared" si="15"/>
        <v>0</v>
      </c>
      <c r="E206" s="821" t="e">
        <f t="shared" si="14"/>
        <v>#DIV/0!</v>
      </c>
      <c r="F206" s="815" t="e">
        <f t="shared" si="16"/>
        <v>#DIV/0!</v>
      </c>
      <c r="G206" s="829"/>
      <c r="H206" s="822">
        <f t="shared" si="17"/>
        <v>0</v>
      </c>
      <c r="I206" s="822" t="e">
        <f t="shared" si="18"/>
        <v>#DIV/0!</v>
      </c>
    </row>
    <row r="207" spans="1:9" ht="15" customHeight="1" thickTop="1" x14ac:dyDescent="0.2">
      <c r="A207" s="44"/>
      <c r="C207" s="561" t="s">
        <v>325</v>
      </c>
      <c r="D207" s="826">
        <f>SUM(D201:D206)</f>
        <v>0</v>
      </c>
      <c r="E207" s="825" t="e">
        <f t="shared" si="14"/>
        <v>#DIV/0!</v>
      </c>
      <c r="F207" s="587" t="e">
        <f>SUM(F201:F206)</f>
        <v>#DIV/0!</v>
      </c>
      <c r="G207" s="827">
        <f>SUM(G201:G206)</f>
        <v>0</v>
      </c>
      <c r="H207" s="824">
        <f t="shared" si="17"/>
        <v>0</v>
      </c>
      <c r="I207" s="824" t="e">
        <f t="shared" si="18"/>
        <v>#DIV/0!</v>
      </c>
    </row>
    <row r="208" spans="1:9" ht="15" customHeight="1" x14ac:dyDescent="0.2">
      <c r="A208" s="44"/>
      <c r="G208" s="742" t="e">
        <f>IF(G207&lt;F207,"*You must add more High HOME units.","")</f>
        <v>#DIV/0!</v>
      </c>
    </row>
    <row r="209" spans="1:16" ht="15" customHeight="1" x14ac:dyDescent="0.2">
      <c r="A209" s="44"/>
    </row>
    <row r="210" spans="1:16" ht="15" customHeight="1" x14ac:dyDescent="0.2">
      <c r="A210" s="44"/>
      <c r="C210" s="1517" t="str">
        <f>_xlfn.CONCAT("Distributing the ",F194," Low HOME/OHTF Assisted Unit(s)")</f>
        <v>Distributing the 0 Low HOME/OHTF Assisted Unit(s)</v>
      </c>
      <c r="D210" s="1517"/>
      <c r="E210" s="1517"/>
      <c r="F210" s="1517"/>
      <c r="G210" s="558"/>
      <c r="H210" s="548"/>
      <c r="I210" s="548"/>
    </row>
    <row r="211" spans="1:16" ht="5.25" customHeight="1" x14ac:dyDescent="0.2">
      <c r="A211" s="44"/>
    </row>
    <row r="212" spans="1:16" ht="45" customHeight="1" x14ac:dyDescent="0.2">
      <c r="A212" s="44"/>
      <c r="C212" s="995" t="s">
        <v>424</v>
      </c>
      <c r="D212" s="1023" t="s">
        <v>2341</v>
      </c>
      <c r="E212" s="995" t="s">
        <v>2765</v>
      </c>
      <c r="F212" s="995" t="s">
        <v>2766</v>
      </c>
      <c r="G212" s="1023" t="s">
        <v>2767</v>
      </c>
      <c r="H212" s="995" t="s">
        <v>2768</v>
      </c>
      <c r="I212" s="995" t="s">
        <v>2769</v>
      </c>
      <c r="O212" s="547"/>
      <c r="P212" s="547"/>
    </row>
    <row r="213" spans="1:16" ht="15" customHeight="1" x14ac:dyDescent="0.2">
      <c r="A213" s="44"/>
      <c r="C213" s="560">
        <v>0</v>
      </c>
      <c r="D213" s="818">
        <f t="shared" ref="D213:D218" si="19">F110</f>
        <v>0</v>
      </c>
      <c r="E213" s="820" t="e">
        <f>D213/$D$219</f>
        <v>#DIV/0!</v>
      </c>
      <c r="F213" s="814" t="e">
        <f>$F$194*E213</f>
        <v>#DIV/0!</v>
      </c>
      <c r="G213" s="828"/>
      <c r="H213" s="823">
        <f>IF(OR(G213="",G213=0),0,G213/$G$219)</f>
        <v>0</v>
      </c>
      <c r="I213" s="823" t="e">
        <f>IF(OR(E213="",H213=""),"",H213-E213)</f>
        <v>#DIV/0!</v>
      </c>
      <c r="O213" s="547"/>
      <c r="P213" s="547"/>
    </row>
    <row r="214" spans="1:16" ht="15" customHeight="1" x14ac:dyDescent="0.2">
      <c r="A214" s="44"/>
      <c r="C214" s="560">
        <v>1</v>
      </c>
      <c r="D214" s="818">
        <f t="shared" si="19"/>
        <v>0</v>
      </c>
      <c r="E214" s="820" t="e">
        <f t="shared" ref="E214:E219" si="20">D214/$D$219</f>
        <v>#DIV/0!</v>
      </c>
      <c r="F214" s="814" t="e">
        <f t="shared" ref="F214:F218" si="21">$F$194*E214</f>
        <v>#DIV/0!</v>
      </c>
      <c r="G214" s="828"/>
      <c r="H214" s="823">
        <f t="shared" ref="H214:H219" si="22">IF(OR(G214="",G214=0),0,G214/$G$219)</f>
        <v>0</v>
      </c>
      <c r="I214" s="823" t="e">
        <f t="shared" ref="I214:I219" si="23">IF(OR(E214="",H214=""),"",H214-E214)</f>
        <v>#DIV/0!</v>
      </c>
      <c r="O214" s="547"/>
      <c r="P214" s="547"/>
    </row>
    <row r="215" spans="1:16" ht="15" customHeight="1" x14ac:dyDescent="0.2">
      <c r="A215" s="44"/>
      <c r="C215" s="560">
        <v>2</v>
      </c>
      <c r="D215" s="818">
        <f t="shared" si="19"/>
        <v>0</v>
      </c>
      <c r="E215" s="820" t="e">
        <f t="shared" si="20"/>
        <v>#DIV/0!</v>
      </c>
      <c r="F215" s="814" t="e">
        <f t="shared" si="21"/>
        <v>#DIV/0!</v>
      </c>
      <c r="G215" s="828"/>
      <c r="H215" s="823">
        <f t="shared" si="22"/>
        <v>0</v>
      </c>
      <c r="I215" s="823" t="e">
        <f t="shared" si="23"/>
        <v>#DIV/0!</v>
      </c>
      <c r="O215" s="547"/>
      <c r="P215" s="547"/>
    </row>
    <row r="216" spans="1:16" ht="15" customHeight="1" x14ac:dyDescent="0.2">
      <c r="A216" s="44"/>
      <c r="C216" s="560">
        <v>3</v>
      </c>
      <c r="D216" s="818">
        <f t="shared" si="19"/>
        <v>0</v>
      </c>
      <c r="E216" s="820" t="e">
        <f t="shared" si="20"/>
        <v>#DIV/0!</v>
      </c>
      <c r="F216" s="814" t="e">
        <f t="shared" si="21"/>
        <v>#DIV/0!</v>
      </c>
      <c r="G216" s="828"/>
      <c r="H216" s="823">
        <f t="shared" si="22"/>
        <v>0</v>
      </c>
      <c r="I216" s="823" t="e">
        <f t="shared" si="23"/>
        <v>#DIV/0!</v>
      </c>
      <c r="O216" s="547"/>
      <c r="P216" s="547"/>
    </row>
    <row r="217" spans="1:16" ht="15" customHeight="1" x14ac:dyDescent="0.2">
      <c r="A217" s="44"/>
      <c r="C217" s="560">
        <v>4</v>
      </c>
      <c r="D217" s="818">
        <f t="shared" si="19"/>
        <v>0</v>
      </c>
      <c r="E217" s="820" t="e">
        <f t="shared" si="20"/>
        <v>#DIV/0!</v>
      </c>
      <c r="F217" s="814" t="e">
        <f t="shared" si="21"/>
        <v>#DIV/0!</v>
      </c>
      <c r="G217" s="828"/>
      <c r="H217" s="823">
        <f t="shared" si="22"/>
        <v>0</v>
      </c>
      <c r="I217" s="823" t="e">
        <f t="shared" si="23"/>
        <v>#DIV/0!</v>
      </c>
      <c r="O217" s="547"/>
      <c r="P217" s="547"/>
    </row>
    <row r="218" spans="1:16" ht="15" customHeight="1" thickBot="1" x14ac:dyDescent="0.25">
      <c r="A218" s="44"/>
      <c r="C218" s="560">
        <v>5</v>
      </c>
      <c r="D218" s="819">
        <f t="shared" si="19"/>
        <v>0</v>
      </c>
      <c r="E218" s="821" t="e">
        <f t="shared" si="20"/>
        <v>#DIV/0!</v>
      </c>
      <c r="F218" s="815" t="e">
        <f t="shared" si="21"/>
        <v>#DIV/0!</v>
      </c>
      <c r="G218" s="829"/>
      <c r="H218" s="822">
        <f t="shared" si="22"/>
        <v>0</v>
      </c>
      <c r="I218" s="822" t="e">
        <f t="shared" si="23"/>
        <v>#DIV/0!</v>
      </c>
      <c r="O218" s="547"/>
      <c r="P218" s="547"/>
    </row>
    <row r="219" spans="1:16" ht="15" customHeight="1" thickTop="1" x14ac:dyDescent="0.2">
      <c r="A219" s="44"/>
      <c r="C219" s="561" t="s">
        <v>325</v>
      </c>
      <c r="D219" s="826">
        <f>SUM(D213:D218)</f>
        <v>0</v>
      </c>
      <c r="E219" s="825" t="e">
        <f t="shared" si="20"/>
        <v>#DIV/0!</v>
      </c>
      <c r="F219" s="587" t="e">
        <f>SUM(F213:F218)</f>
        <v>#DIV/0!</v>
      </c>
      <c r="G219" s="827">
        <f>SUM(G213:G218)</f>
        <v>0</v>
      </c>
      <c r="H219" s="824">
        <f t="shared" si="22"/>
        <v>0</v>
      </c>
      <c r="I219" s="824" t="e">
        <f t="shared" si="23"/>
        <v>#DIV/0!</v>
      </c>
    </row>
    <row r="220" spans="1:16" ht="15" customHeight="1" x14ac:dyDescent="0.2">
      <c r="A220" s="44"/>
      <c r="G220" s="742" t="e">
        <f>IF(G219&lt;F219,"*You must add more Low HOME units.","")</f>
        <v>#DIV/0!</v>
      </c>
    </row>
    <row r="221" spans="1:16" ht="15" customHeight="1" x14ac:dyDescent="0.2">
      <c r="A221" s="44"/>
    </row>
    <row r="222" spans="1:16" ht="15" hidden="1" customHeight="1" x14ac:dyDescent="0.2">
      <c r="A222" s="44"/>
      <c r="C222" s="558" t="s">
        <v>2340</v>
      </c>
      <c r="D222" s="558"/>
      <c r="E222" s="558"/>
      <c r="F222" s="558"/>
      <c r="G222" s="558"/>
    </row>
    <row r="223" spans="1:16" ht="5.25" hidden="1" customHeight="1" x14ac:dyDescent="0.2">
      <c r="A223" s="44"/>
    </row>
    <row r="224" spans="1:16" ht="30" hidden="1" customHeight="1" x14ac:dyDescent="0.2">
      <c r="A224" s="44"/>
      <c r="C224" s="557" t="s">
        <v>2331</v>
      </c>
      <c r="D224" s="557" t="s">
        <v>2330</v>
      </c>
      <c r="E224" s="557" t="s">
        <v>2339</v>
      </c>
      <c r="F224" s="557" t="s">
        <v>2336</v>
      </c>
      <c r="G224" s="557" t="s">
        <v>2335</v>
      </c>
    </row>
    <row r="225" spans="1:7" ht="15" hidden="1" customHeight="1" x14ac:dyDescent="0.2">
      <c r="A225" s="44"/>
      <c r="C225" s="560" t="s">
        <v>348</v>
      </c>
      <c r="D225" s="559">
        <f>D201</f>
        <v>0</v>
      </c>
      <c r="E225" s="555" t="str">
        <f>IFERROR(ROUNDDOWN(INDEX(Data!$AS$11:$BC$98,MATCH(Details!$E$18,Data!$AR$11:$AR$98,0),MATCH(VLOOKUP(0,Data!$BE$11:$BF$16,2),Data!$AS$10:$BC$10,0))*2*0.65*0.3/12,0),"")</f>
        <v/>
      </c>
      <c r="F225" s="555" t="str">
        <f>IFERROR(INDEX(Data!$BN$11:$BS$98,MATCH(Details!$E$18,Data!$BN$11:$BN$98,0),MATCH(0,Data!$BN$10:$BS$10,0)),"N/A")</f>
        <v>N/A</v>
      </c>
      <c r="G225" s="555" t="str">
        <f>IF(F225&lt;E225,"FMR","65% AMI")</f>
        <v>65% AMI</v>
      </c>
    </row>
    <row r="226" spans="1:7" ht="15" hidden="1" customHeight="1" x14ac:dyDescent="0.2">
      <c r="A226" s="44"/>
      <c r="C226" s="560">
        <v>1</v>
      </c>
      <c r="D226" s="559">
        <f t="shared" ref="D226:D230" si="24">D202</f>
        <v>0</v>
      </c>
      <c r="E226" s="555" t="str">
        <f>IFERROR(ROUNDDOWN(INDEX(Data!$AS$11:$BC$98,MATCH(Details!$E$18,Data!$AR$11:$AR$98,0),MATCH(VLOOKUP($C226,Data!$BE$11:$BF$16,2),Data!$AS$10:$BC$10,0))*2*0.65*0.3/12,0),"")</f>
        <v/>
      </c>
      <c r="F226" s="555" t="str">
        <f>IFERROR(INDEX(Data!$BN$11:$BS$98,MATCH(Details!$E$18,Data!$BN$11:$BN$98,0),MATCH($C226,Data!$BN$10:$BS$10,0)),"N/A")</f>
        <v>N/A</v>
      </c>
      <c r="G226" s="555" t="str">
        <f t="shared" ref="G226:G230" si="25">IF(F226&lt;E226,"FMR","65% AMI")</f>
        <v>65% AMI</v>
      </c>
    </row>
    <row r="227" spans="1:7" ht="15" hidden="1" customHeight="1" x14ac:dyDescent="0.2">
      <c r="A227" s="44"/>
      <c r="C227" s="560">
        <v>2</v>
      </c>
      <c r="D227" s="559">
        <f t="shared" si="24"/>
        <v>0</v>
      </c>
      <c r="E227" s="555" t="str">
        <f>IFERROR(ROUNDDOWN(INDEX(Data!$AS$11:$BC$98,MATCH(Details!$E$18,Data!$AR$11:$AR$98,0),MATCH(VLOOKUP($C227,Data!$BE$11:$BF$16,2),Data!$AS$10:$BC$10,0))*2*0.65*0.3/12,0),"")</f>
        <v/>
      </c>
      <c r="F227" s="555" t="str">
        <f>IFERROR(INDEX(Data!$BN$11:$BS$98,MATCH(Details!$E$18,Data!$BN$11:$BN$98,0),MATCH($C227,Data!$BN$10:$BS$10,0)),"N/A")</f>
        <v>N/A</v>
      </c>
      <c r="G227" s="555" t="str">
        <f t="shared" si="25"/>
        <v>65% AMI</v>
      </c>
    </row>
    <row r="228" spans="1:7" ht="15" hidden="1" customHeight="1" x14ac:dyDescent="0.2">
      <c r="A228" s="44"/>
      <c r="C228" s="560">
        <v>3</v>
      </c>
      <c r="D228" s="559">
        <f t="shared" si="24"/>
        <v>0</v>
      </c>
      <c r="E228" s="555" t="str">
        <f>IFERROR(ROUNDDOWN(INDEX(Data!$AS$11:$BC$98,MATCH(Details!$E$18,Data!$AR$11:$AR$98,0),MATCH(VLOOKUP($C228,Data!$BE$11:$BF$16,2),Data!$AS$10:$BC$10,0))*2*0.65*0.3/12,0),"")</f>
        <v/>
      </c>
      <c r="F228" s="555" t="str">
        <f>IFERROR(INDEX(Data!$BN$11:$BS$98,MATCH(Details!$E$18,Data!$BN$11:$BN$98,0),MATCH($C228,Data!$BN$10:$BS$10,0)),"N/A")</f>
        <v>N/A</v>
      </c>
      <c r="G228" s="555" t="str">
        <f t="shared" si="25"/>
        <v>65% AMI</v>
      </c>
    </row>
    <row r="229" spans="1:7" ht="15" hidden="1" customHeight="1" x14ac:dyDescent="0.2">
      <c r="A229" s="44"/>
      <c r="C229" s="560">
        <v>4</v>
      </c>
      <c r="D229" s="559">
        <f t="shared" si="24"/>
        <v>0</v>
      </c>
      <c r="E229" s="555" t="str">
        <f>IFERROR(ROUNDDOWN(INDEX(Data!$AS$11:$BC$98,MATCH(Details!$E$18,Data!$AR$11:$AR$98,0),MATCH(VLOOKUP($C229,Data!$BE$11:$BF$16,2),Data!$AS$10:$BC$10,0))*2*0.65*0.3/12,0),"")</f>
        <v/>
      </c>
      <c r="F229" s="555" t="str">
        <f>IFERROR(INDEX(Data!$BN$11:$BS$98,MATCH(Details!$E$18,Data!$BN$11:$BN$98,0),MATCH($C229,Data!$BN$10:$BS$10,0)),"N/A")</f>
        <v>N/A</v>
      </c>
      <c r="G229" s="555" t="str">
        <f t="shared" si="25"/>
        <v>65% AMI</v>
      </c>
    </row>
    <row r="230" spans="1:7" ht="15" hidden="1" customHeight="1" x14ac:dyDescent="0.2">
      <c r="A230" s="44"/>
      <c r="C230" s="560">
        <v>5</v>
      </c>
      <c r="D230" s="559">
        <f t="shared" si="24"/>
        <v>0</v>
      </c>
      <c r="E230" s="555" t="str">
        <f>IFERROR(ROUNDDOWN(INDEX(Data!$AS$11:$BC$98,MATCH(Details!$E$18,Data!$AR$11:$AR$98,0),MATCH(VLOOKUP($C230,Data!$BE$11:$BF$16,2),Data!$AS$10:$BC$10,0))*2*0.65*0.3/12,0),"")</f>
        <v/>
      </c>
      <c r="F230" s="555" t="e">
        <f>1.15*F229</f>
        <v>#VALUE!</v>
      </c>
      <c r="G230" s="555" t="e">
        <f t="shared" si="25"/>
        <v>#VALUE!</v>
      </c>
    </row>
    <row r="231" spans="1:7" ht="15" hidden="1" customHeight="1" x14ac:dyDescent="0.2">
      <c r="A231" s="44"/>
    </row>
    <row r="232" spans="1:7" ht="15" hidden="1" customHeight="1" x14ac:dyDescent="0.2">
      <c r="A232" s="44"/>
    </row>
    <row r="233" spans="1:7" ht="15" hidden="1" customHeight="1" x14ac:dyDescent="0.2">
      <c r="A233" s="44"/>
      <c r="C233" s="558" t="s">
        <v>2338</v>
      </c>
      <c r="D233" s="558"/>
      <c r="E233" s="558"/>
      <c r="F233" s="558"/>
      <c r="G233" s="558"/>
    </row>
    <row r="234" spans="1:7" ht="5.25" hidden="1" customHeight="1" x14ac:dyDescent="0.2">
      <c r="A234" s="44"/>
    </row>
    <row r="235" spans="1:7" ht="30" hidden="1" customHeight="1" x14ac:dyDescent="0.2">
      <c r="A235" s="44"/>
      <c r="C235" s="557" t="s">
        <v>2331</v>
      </c>
      <c r="D235" s="557" t="s">
        <v>2332</v>
      </c>
      <c r="E235" s="557" t="s">
        <v>2337</v>
      </c>
      <c r="F235" s="557" t="s">
        <v>2336</v>
      </c>
      <c r="G235" s="557" t="s">
        <v>2335</v>
      </c>
    </row>
    <row r="236" spans="1:7" ht="15" hidden="1" customHeight="1" x14ac:dyDescent="0.2">
      <c r="A236" s="44"/>
      <c r="C236" s="560" t="s">
        <v>348</v>
      </c>
      <c r="D236" s="559">
        <f>G213</f>
        <v>0</v>
      </c>
      <c r="E236" s="555" t="str">
        <f>IFERROR(ROUNDDOWN(INDEX(Data!$AS$11:$BC$98,MATCH(Details!$E$18,Data!$AR$11:$AR$98,0),MATCH(VLOOKUP(0,Data!$BE$11:$BF$16,2),Data!$AS$10:$BC$10,0))*2*0.5*0.3/12,0),"")</f>
        <v/>
      </c>
      <c r="F236" s="555" t="str">
        <f>IFERROR(INDEX(Data!$BN$11:$BS$98,MATCH(Details!$E$18,Data!$BN$11:$BN$98,0),MATCH(0,Data!$BN$10:$BS$10,0)),"N/A")</f>
        <v>N/A</v>
      </c>
      <c r="G236" s="555" t="str">
        <f>IF(F236&lt;E236,"FMR","50% AMI")</f>
        <v>50% AMI</v>
      </c>
    </row>
    <row r="237" spans="1:7" ht="15" hidden="1" customHeight="1" x14ac:dyDescent="0.2">
      <c r="A237" s="44"/>
      <c r="C237" s="560">
        <v>1</v>
      </c>
      <c r="D237" s="559">
        <f t="shared" ref="D237:D241" si="26">G214</f>
        <v>0</v>
      </c>
      <c r="E237" s="555" t="str">
        <f>IFERROR(ROUNDDOWN(INDEX(Data!$AS$11:$BC$98,MATCH(Details!$E$18,Data!$AR$11:$AR$98,0),MATCH(VLOOKUP($C237,Data!$BE$11:$BF$16,2),Data!$AS$10:$BC$10,0))*2*0.5*0.3/12,0),"")</f>
        <v/>
      </c>
      <c r="F237" s="555" t="str">
        <f>IFERROR(INDEX(Data!$BN$11:$BS$98,MATCH(Details!$E$18,Data!$BN$11:$BN$98,0),MATCH($C237,Data!$BN$10:$BS$10,0)),"N/A")</f>
        <v>N/A</v>
      </c>
      <c r="G237" s="555" t="str">
        <f t="shared" ref="G237:G241" si="27">IF(F237&lt;E237,"FMR","50% AMI")</f>
        <v>50% AMI</v>
      </c>
    </row>
    <row r="238" spans="1:7" ht="15" hidden="1" customHeight="1" x14ac:dyDescent="0.2">
      <c r="A238" s="44"/>
      <c r="C238" s="560">
        <v>2</v>
      </c>
      <c r="D238" s="559">
        <f t="shared" si="26"/>
        <v>0</v>
      </c>
      <c r="E238" s="555" t="str">
        <f>IFERROR(ROUNDDOWN(INDEX(Data!$AS$11:$BC$98,MATCH(Details!$E$18,Data!$AR$11:$AR$98,0),MATCH(VLOOKUP($C238,Data!$BE$11:$BF$16,2),Data!$AS$10:$BC$10,0))*2*0.5*0.3/12,0),"")</f>
        <v/>
      </c>
      <c r="F238" s="555" t="str">
        <f>IFERROR(INDEX(Data!$BN$11:$BS$98,MATCH(Details!$E$18,Data!$BN$11:$BN$98,0),MATCH($C238,Data!$BN$10:$BS$10,0)),"N/A")</f>
        <v>N/A</v>
      </c>
      <c r="G238" s="555" t="str">
        <f t="shared" si="27"/>
        <v>50% AMI</v>
      </c>
    </row>
    <row r="239" spans="1:7" ht="15" hidden="1" customHeight="1" x14ac:dyDescent="0.2">
      <c r="A239" s="44"/>
      <c r="C239" s="560">
        <v>3</v>
      </c>
      <c r="D239" s="559">
        <f t="shared" si="26"/>
        <v>0</v>
      </c>
      <c r="E239" s="555" t="str">
        <f>IFERROR(ROUNDDOWN(INDEX(Data!$AS$11:$BC$98,MATCH(Details!$E$18,Data!$AR$11:$AR$98,0),MATCH(VLOOKUP($C239,Data!$BE$11:$BF$16,2),Data!$AS$10:$BC$10,0))*2*0.5*0.3/12,0),"")</f>
        <v/>
      </c>
      <c r="F239" s="555" t="str">
        <f>IFERROR(INDEX(Data!$BN$11:$BS$98,MATCH(Details!$E$18,Data!$BN$11:$BN$98,0),MATCH($C239,Data!$BN$10:$BS$10,0)),"N/A")</f>
        <v>N/A</v>
      </c>
      <c r="G239" s="555" t="str">
        <f t="shared" si="27"/>
        <v>50% AMI</v>
      </c>
    </row>
    <row r="240" spans="1:7" ht="15" hidden="1" customHeight="1" x14ac:dyDescent="0.2">
      <c r="A240" s="44"/>
      <c r="C240" s="560">
        <v>4</v>
      </c>
      <c r="D240" s="559">
        <f t="shared" si="26"/>
        <v>0</v>
      </c>
      <c r="E240" s="555" t="str">
        <f>IFERROR(ROUNDDOWN(INDEX(Data!$AS$11:$BC$98,MATCH(Details!$E$18,Data!$AR$11:$AR$98,0),MATCH(VLOOKUP($C240,Data!$BE$11:$BF$16,2),Data!$AS$10:$BC$10,0))*2*0.5*0.3/12,0),"")</f>
        <v/>
      </c>
      <c r="F240" s="555" t="str">
        <f>IFERROR(INDEX(Data!$BN$11:$BS$98,MATCH(Details!$E$18,Data!$BN$11:$BN$98,0),MATCH($C240,Data!$BN$10:$BS$10,0)),"N/A")</f>
        <v>N/A</v>
      </c>
      <c r="G240" s="555" t="str">
        <f t="shared" si="27"/>
        <v>50% AMI</v>
      </c>
    </row>
    <row r="241" spans="1:9" ht="15" hidden="1" customHeight="1" x14ac:dyDescent="0.2">
      <c r="A241" s="44"/>
      <c r="C241" s="560">
        <v>5</v>
      </c>
      <c r="D241" s="559">
        <f t="shared" si="26"/>
        <v>0</v>
      </c>
      <c r="E241" s="555" t="str">
        <f>IFERROR(ROUNDDOWN(INDEX(Data!$AS$11:$BC$98,MATCH(Details!$E$18,Data!$AR$11:$AR$98,0),MATCH(VLOOKUP($C241,Data!$BE$11:$BF$16,2),Data!$AS$10:$BC$10,0))*2*0.5*0.3/12,0),"")</f>
        <v/>
      </c>
      <c r="F241" s="555" t="e">
        <f>1.15*F240</f>
        <v>#VALUE!</v>
      </c>
      <c r="G241" s="555" t="e">
        <f t="shared" si="27"/>
        <v>#VALUE!</v>
      </c>
    </row>
    <row r="242" spans="1:9" ht="15" hidden="1" customHeight="1" x14ac:dyDescent="0.2">
      <c r="A242" s="44"/>
    </row>
    <row r="243" spans="1:9" ht="15" hidden="1" customHeight="1" x14ac:dyDescent="0.2">
      <c r="A243" s="44"/>
    </row>
    <row r="244" spans="1:9" ht="15" customHeight="1" x14ac:dyDescent="0.25">
      <c r="A244" s="44"/>
      <c r="C244" s="1468" t="s">
        <v>2334</v>
      </c>
      <c r="D244" s="1468"/>
      <c r="E244" s="1468"/>
      <c r="F244" s="1468"/>
      <c r="G244" s="1468"/>
      <c r="H244" s="1468"/>
      <c r="I244" s="1468"/>
    </row>
    <row r="245" spans="1:9" ht="15" customHeight="1" x14ac:dyDescent="0.2">
      <c r="A245" s="44"/>
    </row>
    <row r="246" spans="1:9" ht="15" customHeight="1" x14ac:dyDescent="0.2">
      <c r="A246" s="44"/>
      <c r="C246" s="1537" t="s">
        <v>2333</v>
      </c>
      <c r="D246" s="1537"/>
      <c r="E246" s="1537"/>
      <c r="F246" s="1537"/>
      <c r="G246" s="1537"/>
      <c r="H246" s="1537"/>
      <c r="I246" s="1537"/>
    </row>
    <row r="247" spans="1:9" ht="5.25" customHeight="1" thickBot="1" x14ac:dyDescent="0.25">
      <c r="A247" s="44"/>
    </row>
    <row r="248" spans="1:9" ht="15" customHeight="1" x14ac:dyDescent="0.2">
      <c r="A248" s="44"/>
      <c r="D248" s="1544" t="s">
        <v>2330</v>
      </c>
      <c r="E248" s="1545"/>
      <c r="F248" s="1546"/>
      <c r="G248" s="1544" t="s">
        <v>2332</v>
      </c>
      <c r="H248" s="1545"/>
      <c r="I248" s="1546"/>
    </row>
    <row r="249" spans="1:9" ht="45" customHeight="1" x14ac:dyDescent="0.2">
      <c r="A249" s="44"/>
      <c r="C249" s="1023" t="s">
        <v>2331</v>
      </c>
      <c r="D249" s="1024" t="s">
        <v>2330</v>
      </c>
      <c r="E249" s="995" t="s">
        <v>2329</v>
      </c>
      <c r="F249" s="999" t="s">
        <v>2328</v>
      </c>
      <c r="G249" s="1025" t="s">
        <v>2327</v>
      </c>
      <c r="H249" s="994" t="s">
        <v>2326</v>
      </c>
      <c r="I249" s="1026" t="s">
        <v>2325</v>
      </c>
    </row>
    <row r="250" spans="1:9" ht="15" customHeight="1" x14ac:dyDescent="0.2">
      <c r="A250" s="44"/>
      <c r="C250" s="552" t="s">
        <v>348</v>
      </c>
      <c r="D250" s="556">
        <f>D201</f>
        <v>0</v>
      </c>
      <c r="E250" s="555" t="str">
        <f t="shared" ref="E250:E255" si="28">G225</f>
        <v>65% AMI</v>
      </c>
      <c r="F250" s="553">
        <f t="shared" ref="F250:F255" si="29">MIN(E225:F225)</f>
        <v>0</v>
      </c>
      <c r="G250" s="794">
        <f t="shared" ref="G250:G255" si="30">G213</f>
        <v>0</v>
      </c>
      <c r="H250" s="554" t="str">
        <f t="shared" ref="H250:H255" si="31">G236</f>
        <v>50% AMI</v>
      </c>
      <c r="I250" s="553">
        <f t="shared" ref="I250:I255" si="32">MIN(E236:F236)</f>
        <v>0</v>
      </c>
    </row>
    <row r="251" spans="1:9" ht="15" customHeight="1" x14ac:dyDescent="0.2">
      <c r="A251" s="44"/>
      <c r="C251" s="552">
        <v>1</v>
      </c>
      <c r="D251" s="556">
        <f t="shared" ref="D251:D255" si="33">D202</f>
        <v>0</v>
      </c>
      <c r="E251" s="555" t="str">
        <f t="shared" si="28"/>
        <v>65% AMI</v>
      </c>
      <c r="F251" s="553">
        <f t="shared" si="29"/>
        <v>0</v>
      </c>
      <c r="G251" s="794">
        <f t="shared" si="30"/>
        <v>0</v>
      </c>
      <c r="H251" s="554" t="str">
        <f t="shared" si="31"/>
        <v>50% AMI</v>
      </c>
      <c r="I251" s="553">
        <f t="shared" si="32"/>
        <v>0</v>
      </c>
    </row>
    <row r="252" spans="1:9" ht="15" customHeight="1" x14ac:dyDescent="0.2">
      <c r="A252" s="44"/>
      <c r="C252" s="552">
        <v>2</v>
      </c>
      <c r="D252" s="556">
        <f t="shared" si="33"/>
        <v>0</v>
      </c>
      <c r="E252" s="555" t="str">
        <f t="shared" si="28"/>
        <v>65% AMI</v>
      </c>
      <c r="F252" s="553">
        <f t="shared" si="29"/>
        <v>0</v>
      </c>
      <c r="G252" s="794">
        <f t="shared" si="30"/>
        <v>0</v>
      </c>
      <c r="H252" s="554" t="str">
        <f t="shared" si="31"/>
        <v>50% AMI</v>
      </c>
      <c r="I252" s="553">
        <f t="shared" si="32"/>
        <v>0</v>
      </c>
    </row>
    <row r="253" spans="1:9" ht="15" customHeight="1" x14ac:dyDescent="0.2">
      <c r="A253" s="44"/>
      <c r="C253" s="552">
        <v>3</v>
      </c>
      <c r="D253" s="556">
        <f t="shared" si="33"/>
        <v>0</v>
      </c>
      <c r="E253" s="555" t="str">
        <f t="shared" si="28"/>
        <v>65% AMI</v>
      </c>
      <c r="F253" s="553">
        <f t="shared" si="29"/>
        <v>0</v>
      </c>
      <c r="G253" s="794">
        <f t="shared" si="30"/>
        <v>0</v>
      </c>
      <c r="H253" s="554" t="str">
        <f t="shared" si="31"/>
        <v>50% AMI</v>
      </c>
      <c r="I253" s="553">
        <f t="shared" si="32"/>
        <v>0</v>
      </c>
    </row>
    <row r="254" spans="1:9" ht="15" customHeight="1" x14ac:dyDescent="0.2">
      <c r="A254" s="44"/>
      <c r="C254" s="552">
        <v>4</v>
      </c>
      <c r="D254" s="556">
        <f t="shared" si="33"/>
        <v>0</v>
      </c>
      <c r="E254" s="555" t="str">
        <f t="shared" si="28"/>
        <v>65% AMI</v>
      </c>
      <c r="F254" s="553">
        <f t="shared" si="29"/>
        <v>0</v>
      </c>
      <c r="G254" s="794">
        <f t="shared" si="30"/>
        <v>0</v>
      </c>
      <c r="H254" s="554" t="str">
        <f t="shared" si="31"/>
        <v>50% AMI</v>
      </c>
      <c r="I254" s="553">
        <f t="shared" si="32"/>
        <v>0</v>
      </c>
    </row>
    <row r="255" spans="1:9" ht="15" customHeight="1" thickBot="1" x14ac:dyDescent="0.25">
      <c r="A255" s="44"/>
      <c r="C255" s="552">
        <v>5</v>
      </c>
      <c r="D255" s="556">
        <f t="shared" si="33"/>
        <v>0</v>
      </c>
      <c r="E255" s="551" t="e">
        <f t="shared" si="28"/>
        <v>#VALUE!</v>
      </c>
      <c r="F255" s="549" t="e">
        <f t="shared" si="29"/>
        <v>#VALUE!</v>
      </c>
      <c r="G255" s="795">
        <f t="shared" si="30"/>
        <v>0</v>
      </c>
      <c r="H255" s="550" t="e">
        <f t="shared" si="31"/>
        <v>#VALUE!</v>
      </c>
      <c r="I255" s="549" t="e">
        <f t="shared" si="32"/>
        <v>#VALUE!</v>
      </c>
    </row>
    <row r="256" spans="1:9" ht="15" customHeight="1" x14ac:dyDescent="0.2">
      <c r="A256" s="44"/>
    </row>
    <row r="257" spans="1:1" ht="15" customHeight="1" x14ac:dyDescent="0.2">
      <c r="A257" s="44"/>
    </row>
    <row r="258" spans="1:1" ht="15" hidden="1" customHeight="1" x14ac:dyDescent="0.2"/>
    <row r="259" spans="1:1" ht="15" hidden="1" customHeight="1" x14ac:dyDescent="0.2"/>
  </sheetData>
  <sheetProtection algorithmName="SHA-512" hashValue="1x3rPM+X4DFssx5S+uIn1VmZZqdRV803C7lbJ5zyTWmTwgvVnIA8JuaOWKnh7m7OOXIsAd+r8coCKvH8sNxakA==" saltValue="rmPBOfi1kSPPqpoBIoXimw==" spinCount="100000" sheet="1" objects="1" scenarios="1"/>
  <mergeCells count="110">
    <mergeCell ref="D248:F248"/>
    <mergeCell ref="G248:I248"/>
    <mergeCell ref="C244:I244"/>
    <mergeCell ref="C246:I246"/>
    <mergeCell ref="C187:E187"/>
    <mergeCell ref="G187:H187"/>
    <mergeCell ref="C193:E193"/>
    <mergeCell ref="C194:E194"/>
    <mergeCell ref="C195:E195"/>
    <mergeCell ref="C210:F210"/>
    <mergeCell ref="C178:I180"/>
    <mergeCell ref="C182:E182"/>
    <mergeCell ref="C183:E183"/>
    <mergeCell ref="C185:E185"/>
    <mergeCell ref="G185:H185"/>
    <mergeCell ref="C186:E186"/>
    <mergeCell ref="G186:H186"/>
    <mergeCell ref="C190:G190"/>
    <mergeCell ref="C159:F159"/>
    <mergeCell ref="C161:F161"/>
    <mergeCell ref="C175:I175"/>
    <mergeCell ref="C176:I176"/>
    <mergeCell ref="C154:G154"/>
    <mergeCell ref="C156:F156"/>
    <mergeCell ref="C157:F157"/>
    <mergeCell ref="C158:F158"/>
    <mergeCell ref="C149:D149"/>
    <mergeCell ref="F149:G149"/>
    <mergeCell ref="C150:D150"/>
    <mergeCell ref="F150:G150"/>
    <mergeCell ref="C153:F153"/>
    <mergeCell ref="C139:E139"/>
    <mergeCell ref="C140:E140"/>
    <mergeCell ref="G140:I140"/>
    <mergeCell ref="C143:I143"/>
    <mergeCell ref="C144:I144"/>
    <mergeCell ref="C146:I147"/>
    <mergeCell ref="C129:E129"/>
    <mergeCell ref="C132:G132"/>
    <mergeCell ref="C134:E134"/>
    <mergeCell ref="C136:E136"/>
    <mergeCell ref="C137:E137"/>
    <mergeCell ref="C138:E138"/>
    <mergeCell ref="E116:H116"/>
    <mergeCell ref="E117:H117"/>
    <mergeCell ref="E118:H118"/>
    <mergeCell ref="C120:F120"/>
    <mergeCell ref="C107:F107"/>
    <mergeCell ref="C97:I97"/>
    <mergeCell ref="C99:I100"/>
    <mergeCell ref="C102:E102"/>
    <mergeCell ref="C104:E104"/>
    <mergeCell ref="C105:E105"/>
    <mergeCell ref="G105:I105"/>
    <mergeCell ref="C90:E90"/>
    <mergeCell ref="C91:E91"/>
    <mergeCell ref="C92:E92"/>
    <mergeCell ref="C93:E93"/>
    <mergeCell ref="G93:I93"/>
    <mergeCell ref="C96:I96"/>
    <mergeCell ref="E70:H70"/>
    <mergeCell ref="C73:F73"/>
    <mergeCell ref="C82:E82"/>
    <mergeCell ref="C85:H85"/>
    <mergeCell ref="C87:E87"/>
    <mergeCell ref="C89:E89"/>
    <mergeCell ref="E69:H69"/>
    <mergeCell ref="C55:E55"/>
    <mergeCell ref="C56:E56"/>
    <mergeCell ref="C59:F59"/>
    <mergeCell ref="C49:E49"/>
    <mergeCell ref="C50:E50"/>
    <mergeCell ref="G50:I50"/>
    <mergeCell ref="C52:E52"/>
    <mergeCell ref="C53:E53"/>
    <mergeCell ref="C54:E54"/>
    <mergeCell ref="C27:I28"/>
    <mergeCell ref="G34:I35"/>
    <mergeCell ref="C198:F198"/>
    <mergeCell ref="C17:E17"/>
    <mergeCell ref="C18:E18"/>
    <mergeCell ref="C21:E21"/>
    <mergeCell ref="C9:I13"/>
    <mergeCell ref="C15:E15"/>
    <mergeCell ref="C16:E16"/>
    <mergeCell ref="C37:I37"/>
    <mergeCell ref="C38:I38"/>
    <mergeCell ref="C40:I42"/>
    <mergeCell ref="C44:F44"/>
    <mergeCell ref="C47:E47"/>
    <mergeCell ref="C48:E48"/>
    <mergeCell ref="C45:F45"/>
    <mergeCell ref="C51:E51"/>
    <mergeCell ref="C24:I24"/>
    <mergeCell ref="C30:E30"/>
    <mergeCell ref="C31:E31"/>
    <mergeCell ref="C32:E32"/>
    <mergeCell ref="C34:E34"/>
    <mergeCell ref="E68:H68"/>
    <mergeCell ref="C25:I25"/>
    <mergeCell ref="G2:I2"/>
    <mergeCell ref="G15:H15"/>
    <mergeCell ref="G16:H16"/>
    <mergeCell ref="G17:H17"/>
    <mergeCell ref="G18:H18"/>
    <mergeCell ref="B2:F2"/>
    <mergeCell ref="B3:F3"/>
    <mergeCell ref="C20:E20"/>
    <mergeCell ref="G3:I3"/>
    <mergeCell ref="C7:I7"/>
  </mergeCells>
  <conditionalFormatting sqref="C76:F81">
    <cfRule type="expression" dxfId="202" priority="23">
      <formula>$D76=0</formula>
    </cfRule>
  </conditionalFormatting>
  <conditionalFormatting sqref="C166:F171">
    <cfRule type="expression" dxfId="201" priority="28">
      <formula>$D166=0</formula>
    </cfRule>
  </conditionalFormatting>
  <conditionalFormatting sqref="C225:G230">
    <cfRule type="expression" dxfId="200" priority="32">
      <formula>$D225=0</formula>
    </cfRule>
  </conditionalFormatting>
  <conditionalFormatting sqref="C236:G241">
    <cfRule type="expression" dxfId="199" priority="30">
      <formula>$D236=0</formula>
    </cfRule>
  </conditionalFormatting>
  <conditionalFormatting sqref="C62:I67">
    <cfRule type="expression" dxfId="198" priority="14">
      <formula>$C62=0</formula>
    </cfRule>
  </conditionalFormatting>
  <conditionalFormatting sqref="C104:I140">
    <cfRule type="expression" dxfId="197" priority="5">
      <formula>$F$102="No"</formula>
    </cfRule>
  </conditionalFormatting>
  <conditionalFormatting sqref="C156:I173">
    <cfRule type="expression" dxfId="196" priority="24">
      <formula>$G$153="No"</formula>
    </cfRule>
  </conditionalFormatting>
  <conditionalFormatting sqref="C185:I256">
    <cfRule type="expression" dxfId="195" priority="25">
      <formula>$F$182="No"</formula>
    </cfRule>
  </conditionalFormatting>
  <conditionalFormatting sqref="C213:I218 E214:E219 H214:I219">
    <cfRule type="expression" dxfId="194" priority="31">
      <formula>$D213=0</formula>
    </cfRule>
  </conditionalFormatting>
  <conditionalFormatting sqref="E236:F241">
    <cfRule type="expression" dxfId="193" priority="12">
      <formula>$D236=0</formula>
    </cfRule>
  </conditionalFormatting>
  <conditionalFormatting sqref="H207:I207">
    <cfRule type="expression" dxfId="192" priority="3">
      <formula>$D207=0</formula>
    </cfRule>
  </conditionalFormatting>
  <dataValidations count="2">
    <dataValidation type="list" allowBlank="1" showInputMessage="1" showErrorMessage="1" sqref="G153 G155:G157 F30:F32" xr:uid="{ED75F976-6EEA-4B35-B75E-7B497E628EA0}">
      <formula1>"Yes, No"</formula1>
    </dataValidation>
    <dataValidation allowBlank="1" showInputMessage="1" sqref="F182" xr:uid="{C701CB5A-0A9E-4241-84BC-D83467AF9B13}"/>
  </dataValidations>
  <hyperlinks>
    <hyperlink ref="C44:E44" r:id="rId1" display="• HOME-ARP Supplemental Allocations by Participating Jurisdiction" xr:uid="{E8FEE2C8-6B07-479B-876B-7B0A7A0810BA}"/>
    <hyperlink ref="C44:F44" r:id="rId2" display="• Allocating Eligible Costs and Identifying HOME-Assisted Units (CPD-16-15)" xr:uid="{E9943A3B-26A1-4D0E-96EA-95BA1C994640}"/>
    <hyperlink ref="C45" r:id="rId3" xr:uid="{0B504325-633A-45BF-845E-4CB6966576B2}"/>
    <hyperlink ref="F150:G150" r:id="rId4" location="p-93.302(b)(1)(i)" display="24 C.F.R. §93.302(b)(1)(i)" xr:uid="{5F49BBF9-9E47-4094-A94B-2463E250C068}"/>
    <hyperlink ref="G186:H186" r:id="rId5" location="p-92.252(a)" display="24 C.F.R. §92.252(a)-(b)" xr:uid="{CE591D31-BA30-4324-9460-4857C153F54D}"/>
    <hyperlink ref="G187:H187" r:id="rId6" location="p-92.219(b)(2)(i)" display="24 C.F.R. §92.219(b)(2)(i)" xr:uid="{DB77D6EF-51D1-4151-ACA1-52CF98E8B608}"/>
    <hyperlink ref="G16:H16" r:id="rId7" location="p-92.205(d)(1)" display="24 C.F.R. §92.205(d)(1)" xr:uid="{1A113F9E-435A-4F3E-8F3A-DEBF3CFF98FD}"/>
    <hyperlink ref="G17:H17" r:id="rId8" location="p-92.219(b)(2)(i)" display="24 C.F.R. §92.219(b)(2)(i)" xr:uid="{E3D3B477-C546-4A62-B80A-25B520C3D9FB}"/>
    <hyperlink ref="G18:H18" r:id="rId9" location="p-93.200(c)(1)" display="24 C.F.R. §93.200(c)(1)" xr:uid="{86048600-CE87-498C-90D8-28CC618BB663}"/>
  </hyperlinks>
  <pageMargins left="0.7" right="0.7" top="0.75" bottom="0.75" header="0.3" footer="0.3"/>
  <pageSetup scale="69" fitToHeight="0" orientation="portrait" r:id="rId10"/>
  <headerFooter>
    <oddFooter>&amp;L&amp;"-,Bold"&amp;9HDAP Cost Allocation - Proration Method Tab&amp;"-,Regular"
Affordable Housing Funding Application (AHFA)&amp;C&amp;9Ohio Housing Finance Agency&amp;R&amp;9Page &amp;P of &amp;N</oddFooter>
  </headerFooter>
  <rowBreaks count="3" manualBreakCount="3">
    <brk id="36" min="1" max="8" man="1"/>
    <brk id="95" min="1" max="8" man="1"/>
    <brk id="174" min="1" max="8" man="1"/>
  </rowBreaks>
  <ignoredErrors>
    <ignoredError sqref="F47:F48 F182" formulaRange="1"/>
  </ignoredErrors>
  <drawing r:id="rId11"/>
  <legacyDrawing r:id="rId1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372EB-A3A5-4BE0-A40E-8EDF0EC00CC5}">
  <sheetPr>
    <tabColor rgb="FF0E3F75"/>
    <pageSetUpPr autoPageBreaks="0" fitToPage="1"/>
  </sheetPr>
  <dimension ref="A1:Q233"/>
  <sheetViews>
    <sheetView zoomScale="85" zoomScaleNormal="85" workbookViewId="0"/>
  </sheetViews>
  <sheetFormatPr defaultColWidth="0" defaultRowHeight="0" customHeight="1" zeroHeight="1" x14ac:dyDescent="0.2"/>
  <cols>
    <col min="1" max="1" width="2.625" style="547" customWidth="1"/>
    <col min="2" max="2" width="1" style="44" customWidth="1"/>
    <col min="3" max="9" width="17.125" style="44" customWidth="1"/>
    <col min="10" max="10" width="1" style="44" customWidth="1"/>
    <col min="11" max="11" width="3.625" style="44" customWidth="1"/>
    <col min="12" max="16" width="17.625" style="44" hidden="1" customWidth="1"/>
    <col min="17" max="17" width="0" style="547" hidden="1" customWidth="1"/>
    <col min="18" max="16384" width="8.625" style="547" hidden="1"/>
  </cols>
  <sheetData>
    <row r="1" spans="1:10" s="83" customFormat="1" ht="55.5" customHeight="1" x14ac:dyDescent="0.2">
      <c r="B1" s="1"/>
      <c r="C1" s="1"/>
      <c r="D1" s="1"/>
      <c r="E1" s="1"/>
      <c r="F1" s="1"/>
      <c r="G1" s="1"/>
      <c r="H1" s="1"/>
      <c r="I1" s="1"/>
    </row>
    <row r="2" spans="1:10" s="83" customFormat="1" ht="25.5" customHeight="1" x14ac:dyDescent="0.2">
      <c r="B2" s="1211" t="s">
        <v>2447</v>
      </c>
      <c r="C2" s="1212"/>
      <c r="D2" s="1212"/>
      <c r="E2" s="1212"/>
      <c r="F2" s="1212"/>
      <c r="G2" s="1217" t="str">
        <f>CONCATENATE(IF(Instructions!$K$2="","",Instructions!$K$2)," ",IF(Details!$E$11="","",Details!$E$11))</f>
        <v>2026 9% LIHTC AHFA Proposal Application</v>
      </c>
      <c r="H2" s="1217"/>
      <c r="I2" s="1218"/>
    </row>
    <row r="3" spans="1:10" s="83" customFormat="1" ht="20.25" customHeight="1" x14ac:dyDescent="0.2">
      <c r="B3" s="1166" t="s">
        <v>437</v>
      </c>
      <c r="C3" s="1167"/>
      <c r="D3" s="1167"/>
      <c r="E3" s="1167"/>
      <c r="F3" s="1167"/>
      <c r="G3" s="1304" t="str">
        <f>IF(Details!$E$12="","",CONCATENATE("Project Name: ",Details!$E$12))</f>
        <v/>
      </c>
      <c r="H3" s="1304"/>
      <c r="I3" s="1305"/>
    </row>
    <row r="4" spans="1:10" ht="5.25" customHeight="1" x14ac:dyDescent="0.2">
      <c r="A4" s="44"/>
    </row>
    <row r="5" spans="1:10" ht="15" customHeight="1" x14ac:dyDescent="0.2">
      <c r="A5" s="44"/>
    </row>
    <row r="6" spans="1:10" s="44" customFormat="1" ht="15" customHeight="1" x14ac:dyDescent="0.25">
      <c r="B6" s="584" t="s">
        <v>2401</v>
      </c>
      <c r="C6" s="584"/>
      <c r="D6" s="584"/>
      <c r="E6" s="584"/>
      <c r="F6" s="584"/>
      <c r="G6" s="584"/>
      <c r="H6" s="584"/>
      <c r="I6" s="584"/>
      <c r="J6" s="584"/>
    </row>
    <row r="7" spans="1:10" s="44" customFormat="1" ht="3" customHeight="1" x14ac:dyDescent="0.2">
      <c r="B7" s="42"/>
      <c r="C7" s="1515"/>
      <c r="D7" s="1515"/>
      <c r="E7" s="1515"/>
      <c r="F7" s="1515"/>
      <c r="G7" s="1515"/>
      <c r="H7" s="1515"/>
      <c r="I7" s="1515"/>
      <c r="J7" s="42"/>
    </row>
    <row r="8" spans="1:10" s="44" customFormat="1" ht="5.25" customHeight="1" x14ac:dyDescent="0.2">
      <c r="B8" s="42"/>
      <c r="C8" s="585"/>
      <c r="D8" s="585"/>
      <c r="E8" s="585"/>
      <c r="F8" s="585"/>
      <c r="G8" s="585"/>
      <c r="H8" s="585"/>
      <c r="I8" s="585"/>
    </row>
    <row r="9" spans="1:10" s="44" customFormat="1" ht="15" customHeight="1" x14ac:dyDescent="0.2">
      <c r="B9" s="42"/>
      <c r="C9" s="1469" t="s">
        <v>2416</v>
      </c>
      <c r="D9" s="1469"/>
      <c r="E9" s="1469"/>
      <c r="F9" s="1469"/>
      <c r="G9" s="1469"/>
      <c r="H9" s="1469"/>
      <c r="I9" s="1469"/>
    </row>
    <row r="10" spans="1:10" s="44" customFormat="1" ht="15" customHeight="1" x14ac:dyDescent="0.2">
      <c r="B10" s="42"/>
      <c r="C10" s="1469"/>
      <c r="D10" s="1469"/>
      <c r="E10" s="1469"/>
      <c r="F10" s="1469"/>
      <c r="G10" s="1469"/>
      <c r="H10" s="1469"/>
      <c r="I10" s="1469"/>
    </row>
    <row r="11" spans="1:10" s="44" customFormat="1" ht="15" customHeight="1" x14ac:dyDescent="0.2">
      <c r="B11" s="42"/>
      <c r="C11" s="1469"/>
      <c r="D11" s="1469"/>
      <c r="E11" s="1469"/>
      <c r="F11" s="1469"/>
      <c r="G11" s="1469"/>
      <c r="H11" s="1469"/>
      <c r="I11" s="1469"/>
    </row>
    <row r="12" spans="1:10" s="44" customFormat="1" ht="15" customHeight="1" x14ac:dyDescent="0.2">
      <c r="B12" s="42"/>
      <c r="C12" s="1469"/>
      <c r="D12" s="1469"/>
      <c r="E12" s="1469"/>
      <c r="F12" s="1469"/>
      <c r="G12" s="1469"/>
      <c r="H12" s="1469"/>
      <c r="I12" s="1469"/>
    </row>
    <row r="13" spans="1:10" s="44" customFormat="1" ht="15" customHeight="1" x14ac:dyDescent="0.2">
      <c r="B13" s="42"/>
      <c r="C13" s="1469"/>
      <c r="D13" s="1469"/>
      <c r="E13" s="1469"/>
      <c r="F13" s="1469"/>
      <c r="G13" s="1469"/>
      <c r="H13" s="1469"/>
      <c r="I13" s="1469"/>
    </row>
    <row r="14" spans="1:10" s="44" customFormat="1" ht="15" customHeight="1" x14ac:dyDescent="0.2">
      <c r="B14" s="42"/>
      <c r="C14" s="1469"/>
      <c r="D14" s="1469"/>
      <c r="E14" s="1469"/>
      <c r="F14" s="1469"/>
      <c r="G14" s="1469"/>
      <c r="H14" s="1469"/>
      <c r="I14" s="1469"/>
    </row>
    <row r="15" spans="1:10" s="44" customFormat="1" ht="15" customHeight="1" x14ac:dyDescent="0.2">
      <c r="B15" s="42"/>
      <c r="C15" s="43"/>
      <c r="D15" s="43"/>
      <c r="E15" s="43"/>
      <c r="F15" s="43"/>
      <c r="G15" s="43"/>
      <c r="H15" s="43"/>
      <c r="I15" s="43"/>
    </row>
    <row r="16" spans="1:10" s="44" customFormat="1" ht="30" customHeight="1" x14ac:dyDescent="0.2">
      <c r="B16" s="42"/>
      <c r="C16" s="1551" t="s">
        <v>2348</v>
      </c>
      <c r="D16" s="1553"/>
      <c r="E16" s="1552"/>
      <c r="F16" s="1027" t="s">
        <v>2062</v>
      </c>
      <c r="G16" s="1551" t="s">
        <v>2400</v>
      </c>
      <c r="H16" s="1552"/>
    </row>
    <row r="17" spans="2:10" s="44" customFormat="1" ht="15" customHeight="1" x14ac:dyDescent="0.2">
      <c r="B17" s="42"/>
      <c r="C17" s="1476" t="s">
        <v>2346</v>
      </c>
      <c r="D17" s="1518"/>
      <c r="E17" s="1477"/>
      <c r="F17" s="534" t="s">
        <v>2064</v>
      </c>
      <c r="G17" s="1480" t="s">
        <v>2399</v>
      </c>
      <c r="H17" s="1481"/>
    </row>
    <row r="18" spans="2:10" s="44" customFormat="1" ht="15" customHeight="1" x14ac:dyDescent="0.2">
      <c r="B18" s="42"/>
      <c r="C18" s="1476" t="s">
        <v>2398</v>
      </c>
      <c r="D18" s="1518"/>
      <c r="E18" s="1477"/>
      <c r="F18" s="534" t="s">
        <v>2397</v>
      </c>
      <c r="G18" s="1480" t="s">
        <v>2396</v>
      </c>
      <c r="H18" s="1481"/>
    </row>
    <row r="19" spans="2:10" s="44" customFormat="1" ht="15" customHeight="1" x14ac:dyDescent="0.2">
      <c r="B19" s="42"/>
      <c r="C19" s="1476" t="s">
        <v>2344</v>
      </c>
      <c r="D19" s="1518"/>
      <c r="E19" s="1477"/>
      <c r="F19" s="534" t="s">
        <v>2343</v>
      </c>
      <c r="G19" s="1480" t="s">
        <v>2342</v>
      </c>
      <c r="H19" s="1481"/>
    </row>
    <row r="20" spans="2:10" s="44" customFormat="1" ht="15" customHeight="1" x14ac:dyDescent="0.2">
      <c r="B20" s="42"/>
      <c r="C20" s="43"/>
      <c r="D20" s="43"/>
      <c r="E20" s="43"/>
      <c r="F20" s="43"/>
      <c r="G20" s="43"/>
      <c r="H20" s="43"/>
      <c r="I20" s="43"/>
    </row>
    <row r="21" spans="2:10" s="44" customFormat="1" ht="15" customHeight="1" x14ac:dyDescent="0.2">
      <c r="B21" s="42"/>
      <c r="C21" s="43"/>
      <c r="D21" s="43"/>
      <c r="E21" s="43"/>
      <c r="F21" s="43"/>
      <c r="G21" s="43"/>
      <c r="H21" s="43"/>
      <c r="I21" s="43"/>
    </row>
    <row r="22" spans="2:10" s="44" customFormat="1" ht="15" customHeight="1" x14ac:dyDescent="0.2">
      <c r="B22" s="42"/>
      <c r="C22" s="1513" t="s">
        <v>2512</v>
      </c>
      <c r="D22" s="1513"/>
      <c r="E22" s="1514"/>
      <c r="F22" s="659" t="str">
        <f>IF(SUM(Sources!$G$44:$G$47)&gt;0,"Yes","No")</f>
        <v>No</v>
      </c>
      <c r="G22" s="43"/>
      <c r="H22" s="43"/>
      <c r="I22" s="43"/>
    </row>
    <row r="23" spans="2:10" s="44" customFormat="1" ht="15" customHeight="1" x14ac:dyDescent="0.2">
      <c r="B23" s="42"/>
      <c r="C23" s="1510" t="s">
        <v>2513</v>
      </c>
      <c r="D23" s="1510"/>
      <c r="E23" s="1519"/>
      <c r="F23" s="660" t="str">
        <f>IF(F22="No","No","Yes")</f>
        <v>No</v>
      </c>
      <c r="G23" s="43"/>
      <c r="H23" s="43"/>
      <c r="I23" s="43"/>
    </row>
    <row r="24" spans="2:10" s="44" customFormat="1" ht="15" customHeight="1" x14ac:dyDescent="0.2">
      <c r="B24" s="42"/>
      <c r="C24" s="43"/>
      <c r="D24" s="43"/>
      <c r="E24" s="43"/>
      <c r="F24" s="43"/>
      <c r="G24" s="43"/>
      <c r="H24" s="43"/>
      <c r="I24" s="43"/>
    </row>
    <row r="25" spans="2:10" s="44" customFormat="1" ht="15" customHeight="1" x14ac:dyDescent="0.2">
      <c r="B25" s="42"/>
      <c r="C25" s="43"/>
      <c r="D25" s="43"/>
      <c r="E25" s="43"/>
      <c r="F25" s="43"/>
      <c r="G25" s="43"/>
      <c r="H25" s="43"/>
      <c r="I25" s="43"/>
    </row>
    <row r="26" spans="2:10" s="44" customFormat="1" ht="15" customHeight="1" x14ac:dyDescent="0.25">
      <c r="B26" s="584" t="s">
        <v>2415</v>
      </c>
      <c r="C26" s="1468" t="s">
        <v>2415</v>
      </c>
      <c r="D26" s="1468"/>
      <c r="E26" s="1468"/>
      <c r="F26" s="1468"/>
      <c r="G26" s="1468"/>
      <c r="H26" s="1468"/>
      <c r="I26" s="1468"/>
      <c r="J26" s="584"/>
    </row>
    <row r="27" spans="2:10" s="44" customFormat="1" ht="3" customHeight="1" x14ac:dyDescent="0.2">
      <c r="B27" s="42"/>
      <c r="C27" s="1515"/>
      <c r="D27" s="1515"/>
      <c r="E27" s="1515"/>
      <c r="F27" s="1515"/>
      <c r="G27" s="1515"/>
      <c r="H27" s="1515"/>
      <c r="I27" s="1515"/>
      <c r="J27" s="42"/>
    </row>
    <row r="28" spans="2:10" s="44" customFormat="1" ht="15" customHeight="1" x14ac:dyDescent="0.2">
      <c r="B28" s="42"/>
      <c r="C28" s="43"/>
      <c r="D28" s="43"/>
      <c r="E28" s="43"/>
      <c r="F28" s="43"/>
      <c r="G28" s="43"/>
      <c r="H28" s="43"/>
      <c r="I28" s="43"/>
    </row>
    <row r="29" spans="2:10" s="44" customFormat="1" ht="13.7" customHeight="1" x14ac:dyDescent="0.2">
      <c r="B29" s="42"/>
      <c r="C29" s="1469" t="s">
        <v>2414</v>
      </c>
      <c r="D29" s="1469"/>
      <c r="E29" s="1469"/>
      <c r="F29" s="1469"/>
      <c r="G29" s="1469"/>
      <c r="H29" s="1469"/>
      <c r="I29" s="1469"/>
    </row>
    <row r="30" spans="2:10" s="44" customFormat="1" ht="14.1" hidden="1" customHeight="1" x14ac:dyDescent="0.2">
      <c r="B30" s="42"/>
      <c r="C30" s="1469"/>
      <c r="D30" s="1469"/>
      <c r="E30" s="1469"/>
      <c r="F30" s="1469"/>
      <c r="G30" s="1469"/>
      <c r="H30" s="1469"/>
      <c r="I30" s="1469"/>
    </row>
    <row r="31" spans="2:10" s="44" customFormat="1" ht="14.25" x14ac:dyDescent="0.2">
      <c r="B31" s="42"/>
      <c r="C31" s="1469"/>
      <c r="D31" s="1469"/>
      <c r="E31" s="1469"/>
      <c r="F31" s="1469"/>
      <c r="G31" s="1469"/>
      <c r="H31" s="1469"/>
      <c r="I31" s="1469"/>
    </row>
    <row r="32" spans="2:10" s="44" customFormat="1" ht="14.25" x14ac:dyDescent="0.2">
      <c r="B32" s="42"/>
      <c r="C32" s="43"/>
      <c r="D32" s="43"/>
      <c r="E32" s="43"/>
      <c r="F32" s="43"/>
      <c r="G32" s="43"/>
      <c r="H32" s="43"/>
      <c r="I32" s="43"/>
    </row>
    <row r="33" spans="2:17" s="44" customFormat="1" ht="13.7" customHeight="1" x14ac:dyDescent="0.2">
      <c r="B33" s="42"/>
      <c r="C33" s="1466" t="s">
        <v>2393</v>
      </c>
      <c r="D33" s="1466"/>
      <c r="E33" s="1466"/>
      <c r="F33" s="830"/>
      <c r="G33" s="43"/>
      <c r="H33" s="43"/>
      <c r="I33" s="43"/>
    </row>
    <row r="34" spans="2:17" s="44" customFormat="1" ht="13.7" customHeight="1" x14ac:dyDescent="0.2">
      <c r="B34" s="42"/>
      <c r="C34" s="1466" t="s">
        <v>2392</v>
      </c>
      <c r="D34" s="1466"/>
      <c r="E34" s="1466"/>
      <c r="F34" s="830"/>
      <c r="G34" s="43"/>
      <c r="H34" s="43"/>
      <c r="I34" s="43"/>
    </row>
    <row r="35" spans="2:17" s="44" customFormat="1" ht="13.7" customHeight="1" x14ac:dyDescent="0.2">
      <c r="B35" s="42"/>
      <c r="C35" s="1466" t="s">
        <v>2391</v>
      </c>
      <c r="D35" s="1466"/>
      <c r="E35" s="1466"/>
      <c r="F35" s="830"/>
      <c r="G35" s="43"/>
      <c r="H35" s="43"/>
      <c r="I35" s="43"/>
    </row>
    <row r="36" spans="2:17" s="44" customFormat="1" ht="14.25" x14ac:dyDescent="0.2">
      <c r="B36" s="42"/>
      <c r="C36" s="583"/>
      <c r="D36" s="583"/>
      <c r="E36" s="583"/>
      <c r="F36" s="43"/>
      <c r="G36" s="43"/>
      <c r="H36" s="43"/>
      <c r="I36" s="43"/>
    </row>
    <row r="37" spans="2:17" s="44" customFormat="1" ht="14.1" customHeight="1" x14ac:dyDescent="0.2">
      <c r="B37" s="42"/>
      <c r="C37" s="1466" t="s">
        <v>2390</v>
      </c>
      <c r="D37" s="1466"/>
      <c r="E37" s="1466"/>
      <c r="F37" s="582" t="str">
        <f>IF(OR(F35="",F34="",F33="",F33="Incomplete Info",F34="Incomplete Info",F35="Incomplete Info"),"Missing info",IF(AND(F33="Yes",F34="Yes",F35="Yes"),"Proration","Standard"))</f>
        <v>Missing info</v>
      </c>
      <c r="G37" s="1531" t="str">
        <f>IF(F37="Proration","* Do not use this worksheet. Please use the Proration Method spreadsheet.","")</f>
        <v/>
      </c>
      <c r="H37" s="1531"/>
      <c r="I37" s="1531"/>
    </row>
    <row r="38" spans="2:17" s="44" customFormat="1" ht="14.25" x14ac:dyDescent="0.2">
      <c r="G38" s="1531"/>
      <c r="H38" s="1531"/>
      <c r="I38" s="1531"/>
    </row>
    <row r="39" spans="2:17" s="44" customFormat="1" ht="15" customHeight="1" x14ac:dyDescent="0.2">
      <c r="B39" s="42"/>
      <c r="C39" s="43"/>
      <c r="D39" s="43"/>
      <c r="E39" s="43"/>
      <c r="F39" s="43"/>
      <c r="G39" s="43"/>
      <c r="H39" s="43"/>
      <c r="I39" s="43"/>
    </row>
    <row r="40" spans="2:17" s="44" customFormat="1" ht="15" customHeight="1" x14ac:dyDescent="0.25">
      <c r="C40" s="1468" t="s">
        <v>2413</v>
      </c>
      <c r="D40" s="1468"/>
      <c r="E40" s="1468"/>
      <c r="F40" s="1468"/>
      <c r="G40" s="1468"/>
      <c r="H40" s="1468"/>
      <c r="I40" s="1468"/>
      <c r="Q40" s="547"/>
    </row>
    <row r="41" spans="2:17" s="44" customFormat="1" ht="3" customHeight="1" x14ac:dyDescent="0.2">
      <c r="C41" s="1482"/>
      <c r="D41" s="1482"/>
      <c r="E41" s="1482"/>
      <c r="F41" s="1482"/>
      <c r="G41" s="1482"/>
      <c r="H41" s="1482"/>
      <c r="I41" s="1482"/>
      <c r="Q41" s="547"/>
    </row>
    <row r="42" spans="2:17" s="44" customFormat="1" ht="5.25" customHeight="1" x14ac:dyDescent="0.2">
      <c r="C42" s="43"/>
      <c r="D42" s="43"/>
      <c r="E42" s="43"/>
      <c r="F42" s="43"/>
      <c r="G42" s="43"/>
      <c r="H42" s="43"/>
      <c r="I42" s="43"/>
      <c r="Q42" s="547"/>
    </row>
    <row r="43" spans="2:17" s="44" customFormat="1" ht="15" customHeight="1" x14ac:dyDescent="0.2">
      <c r="C43" s="1469" t="s">
        <v>2412</v>
      </c>
      <c r="D43" s="1469"/>
      <c r="E43" s="1469"/>
      <c r="F43" s="1469"/>
      <c r="G43" s="1469"/>
      <c r="H43" s="1469"/>
      <c r="I43" s="1469"/>
      <c r="Q43" s="547"/>
    </row>
    <row r="44" spans="2:17" s="44" customFormat="1" ht="15" customHeight="1" x14ac:dyDescent="0.2">
      <c r="C44" s="1469"/>
      <c r="D44" s="1469"/>
      <c r="E44" s="1469"/>
      <c r="F44" s="1469"/>
      <c r="G44" s="1469"/>
      <c r="H44" s="1469"/>
      <c r="I44" s="1469"/>
      <c r="Q44" s="547"/>
    </row>
    <row r="45" spans="2:17" s="44" customFormat="1" ht="15" customHeight="1" x14ac:dyDescent="0.2">
      <c r="C45" s="1469"/>
      <c r="D45" s="1469"/>
      <c r="E45" s="1469"/>
      <c r="F45" s="1469"/>
      <c r="G45" s="1469"/>
      <c r="H45" s="1469"/>
      <c r="I45" s="1469"/>
      <c r="Q45" s="547"/>
    </row>
    <row r="46" spans="2:17" s="44" customFormat="1" ht="15" customHeight="1" x14ac:dyDescent="0.2">
      <c r="C46" s="43"/>
      <c r="D46" s="43"/>
      <c r="E46" s="43"/>
      <c r="F46" s="43"/>
      <c r="G46" s="43"/>
      <c r="H46" s="43"/>
      <c r="I46" s="43"/>
      <c r="Q46" s="547"/>
    </row>
    <row r="47" spans="2:17" s="44" customFormat="1" ht="15" customHeight="1" x14ac:dyDescent="0.2">
      <c r="C47" s="1497" t="s">
        <v>2387</v>
      </c>
      <c r="D47" s="1497"/>
      <c r="E47" s="1497"/>
      <c r="F47" s="1497"/>
      <c r="G47" s="43"/>
      <c r="H47" s="43"/>
      <c r="I47" s="43"/>
      <c r="Q47" s="547"/>
    </row>
    <row r="48" spans="2:17" s="44" customFormat="1" ht="15" customHeight="1" x14ac:dyDescent="0.2">
      <c r="C48" s="1556" t="s">
        <v>2386</v>
      </c>
      <c r="D48" s="1556"/>
      <c r="E48" s="1556"/>
      <c r="F48" s="1556"/>
      <c r="G48" s="43"/>
      <c r="H48" s="43"/>
      <c r="I48" s="43"/>
      <c r="Q48" s="547"/>
    </row>
    <row r="49" spans="3:17" s="44" customFormat="1" ht="15" customHeight="1" x14ac:dyDescent="0.2">
      <c r="Q49" s="547"/>
    </row>
    <row r="50" spans="3:17" s="44" customFormat="1" ht="15" customHeight="1" x14ac:dyDescent="0.2">
      <c r="C50" s="1513" t="s">
        <v>2411</v>
      </c>
      <c r="D50" s="1513"/>
      <c r="E50" s="1514"/>
      <c r="F50" s="581">
        <f>SUM(Sources!G44:G47)</f>
        <v>0</v>
      </c>
      <c r="G50" s="41"/>
      <c r="H50" s="41"/>
      <c r="I50" s="41"/>
      <c r="Q50" s="547"/>
    </row>
    <row r="51" spans="3:17" s="44" customFormat="1" ht="15" customHeight="1" x14ac:dyDescent="0.2">
      <c r="C51" s="1513" t="s">
        <v>2384</v>
      </c>
      <c r="D51" s="1513"/>
      <c r="E51" s="1514"/>
      <c r="F51" s="574">
        <f>SUM(Details!F133:F135)</f>
        <v>0</v>
      </c>
      <c r="G51" s="796"/>
      <c r="H51" s="41"/>
      <c r="I51" s="41"/>
      <c r="Q51" s="547"/>
    </row>
    <row r="52" spans="3:17" s="44" customFormat="1" ht="15" customHeight="1" x14ac:dyDescent="0.2">
      <c r="C52" s="1513" t="s">
        <v>2383</v>
      </c>
      <c r="D52" s="1513"/>
      <c r="E52" s="1514"/>
      <c r="F52" s="570">
        <f>Uses!K84</f>
        <v>8000</v>
      </c>
      <c r="G52" s="41"/>
      <c r="H52" s="41"/>
      <c r="I52" s="41"/>
      <c r="Q52" s="547"/>
    </row>
    <row r="53" spans="3:17" s="44" customFormat="1" ht="15" customHeight="1" x14ac:dyDescent="0.2">
      <c r="C53" s="1513" t="s">
        <v>2410</v>
      </c>
      <c r="D53" s="1513"/>
      <c r="E53" s="1514"/>
      <c r="F53" s="570">
        <f>SUMIF(Uses!L8:L83,"No",Uses!K8:K83)</f>
        <v>8000</v>
      </c>
      <c r="G53" s="1529"/>
      <c r="H53" s="1340"/>
      <c r="I53" s="1340"/>
      <c r="Q53" s="547"/>
    </row>
    <row r="54" spans="3:17" s="44" customFormat="1" ht="15" customHeight="1" x14ac:dyDescent="0.2">
      <c r="C54" s="1513" t="s">
        <v>2659</v>
      </c>
      <c r="D54" s="1513"/>
      <c r="E54" s="1514"/>
      <c r="F54" s="738"/>
      <c r="G54" s="254"/>
      <c r="H54" s="254"/>
      <c r="I54" s="254"/>
      <c r="Q54" s="547"/>
    </row>
    <row r="55" spans="3:17" s="44" customFormat="1" ht="15" customHeight="1" x14ac:dyDescent="0.2">
      <c r="C55" s="1513" t="s">
        <v>2409</v>
      </c>
      <c r="D55" s="1513"/>
      <c r="E55" s="1514"/>
      <c r="F55" s="590"/>
      <c r="G55" s="1557" t="s">
        <v>2408</v>
      </c>
      <c r="H55" s="1558"/>
      <c r="I55" s="1558"/>
      <c r="Q55" s="547"/>
    </row>
    <row r="56" spans="3:17" s="44" customFormat="1" ht="15" customHeight="1" x14ac:dyDescent="0.2">
      <c r="C56" s="1513" t="s">
        <v>2382</v>
      </c>
      <c r="D56" s="1513"/>
      <c r="E56" s="1514"/>
      <c r="F56" s="581">
        <f>Uses!K28</f>
        <v>0</v>
      </c>
      <c r="G56" s="1557"/>
      <c r="H56" s="1558"/>
      <c r="I56" s="1558"/>
      <c r="Q56" s="547"/>
    </row>
    <row r="57" spans="3:17" s="44" customFormat="1" ht="15" customHeight="1" x14ac:dyDescent="0.2">
      <c r="C57" s="1513" t="s">
        <v>2381</v>
      </c>
      <c r="D57" s="1513"/>
      <c r="E57" s="1514"/>
      <c r="F57" s="580" t="s">
        <v>8</v>
      </c>
      <c r="G57" s="41"/>
      <c r="H57" s="41"/>
      <c r="I57" s="41"/>
      <c r="Q57" s="547"/>
    </row>
    <row r="58" spans="3:17" s="44" customFormat="1" ht="15" customHeight="1" x14ac:dyDescent="0.2">
      <c r="C58" s="1513" t="s">
        <v>2380</v>
      </c>
      <c r="D58" s="1513"/>
      <c r="E58" s="1513"/>
      <c r="F58" s="570">
        <f>IF(F57="No",F52-F53-F54,F52-SUM(F53:F56))</f>
        <v>0</v>
      </c>
      <c r="G58" s="41"/>
      <c r="H58" s="41"/>
      <c r="I58" s="41"/>
      <c r="Q58" s="547"/>
    </row>
    <row r="59" spans="3:17" s="44" customFormat="1" ht="15" customHeight="1" x14ac:dyDescent="0.2">
      <c r="C59" s="1513" t="s">
        <v>2379</v>
      </c>
      <c r="D59" s="1513"/>
      <c r="E59" s="1513"/>
      <c r="F59" s="570">
        <f>IFERROR(ROUNDDOWN(F58/F51,0),0)</f>
        <v>0</v>
      </c>
      <c r="G59" s="41"/>
      <c r="H59" s="41"/>
      <c r="I59" s="41"/>
      <c r="Q59" s="547"/>
    </row>
    <row r="60" spans="3:17" s="44" customFormat="1" ht="15" customHeight="1" x14ac:dyDescent="0.2">
      <c r="C60" s="41"/>
      <c r="D60" s="41"/>
      <c r="E60" s="41"/>
      <c r="F60" s="41"/>
      <c r="G60" s="41"/>
      <c r="H60" s="41"/>
      <c r="I60" s="41"/>
      <c r="Q60" s="547"/>
    </row>
    <row r="61" spans="3:17" s="44" customFormat="1" ht="15" customHeight="1" x14ac:dyDescent="0.2">
      <c r="C61" s="1528" t="s">
        <v>2407</v>
      </c>
      <c r="D61" s="1528"/>
      <c r="E61" s="1528"/>
      <c r="F61" s="1528"/>
      <c r="G61" s="41"/>
      <c r="H61" s="41"/>
      <c r="I61" s="41"/>
      <c r="Q61" s="547"/>
    </row>
    <row r="62" spans="3:17" s="44" customFormat="1" ht="5.25" customHeight="1" x14ac:dyDescent="0.2">
      <c r="C62" s="41"/>
      <c r="D62" s="41"/>
      <c r="E62" s="41"/>
      <c r="F62" s="41"/>
      <c r="G62" s="41"/>
      <c r="H62" s="41"/>
      <c r="I62" s="41"/>
      <c r="Q62" s="547"/>
    </row>
    <row r="63" spans="3:17" s="44" customFormat="1" ht="30" customHeight="1" x14ac:dyDescent="0.2">
      <c r="C63" s="995" t="s">
        <v>2406</v>
      </c>
      <c r="D63" s="995" t="s">
        <v>424</v>
      </c>
      <c r="E63" s="995" t="s">
        <v>2405</v>
      </c>
      <c r="F63" s="995" t="s">
        <v>2404</v>
      </c>
      <c r="G63" s="41"/>
    </row>
    <row r="64" spans="3:17" s="44" customFormat="1" ht="15" customHeight="1" x14ac:dyDescent="0.2">
      <c r="C64" s="589"/>
      <c r="D64" s="589"/>
      <c r="E64" s="588"/>
      <c r="F64" s="570" t="str">
        <f>IF(OR(D64="",E64=""),"",IFERROR(ROUNDDOWN($F$59*E64,0),0))</f>
        <v/>
      </c>
      <c r="G64" s="41"/>
      <c r="H64" s="586"/>
    </row>
    <row r="65" spans="3:7" s="44" customFormat="1" ht="15" customHeight="1" x14ac:dyDescent="0.2">
      <c r="C65" s="589"/>
      <c r="D65" s="589"/>
      <c r="E65" s="588"/>
      <c r="F65" s="570" t="str">
        <f t="shared" ref="F65:F84" si="0">IF(OR(D65="",E65=""),"",IFERROR(ROUNDDOWN($F$59*E65,0),0))</f>
        <v/>
      </c>
      <c r="G65" s="41"/>
    </row>
    <row r="66" spans="3:7" s="44" customFormat="1" ht="15" customHeight="1" x14ac:dyDescent="0.2">
      <c r="C66" s="589"/>
      <c r="D66" s="589"/>
      <c r="E66" s="588"/>
      <c r="F66" s="570" t="str">
        <f t="shared" si="0"/>
        <v/>
      </c>
      <c r="G66" s="41"/>
    </row>
    <row r="67" spans="3:7" s="44" customFormat="1" ht="15" customHeight="1" x14ac:dyDescent="0.2">
      <c r="C67" s="589"/>
      <c r="D67" s="589"/>
      <c r="E67" s="588"/>
      <c r="F67" s="570" t="str">
        <f t="shared" si="0"/>
        <v/>
      </c>
      <c r="G67" s="41"/>
    </row>
    <row r="68" spans="3:7" s="44" customFormat="1" ht="15" customHeight="1" x14ac:dyDescent="0.2">
      <c r="C68" s="589"/>
      <c r="D68" s="589"/>
      <c r="E68" s="588"/>
      <c r="F68" s="570" t="str">
        <f t="shared" si="0"/>
        <v/>
      </c>
      <c r="G68" s="41"/>
    </row>
    <row r="69" spans="3:7" s="44" customFormat="1" ht="15" customHeight="1" x14ac:dyDescent="0.2">
      <c r="C69" s="589"/>
      <c r="D69" s="589"/>
      <c r="E69" s="588"/>
      <c r="F69" s="570" t="str">
        <f t="shared" si="0"/>
        <v/>
      </c>
      <c r="G69" s="41"/>
    </row>
    <row r="70" spans="3:7" s="44" customFormat="1" ht="15" customHeight="1" x14ac:dyDescent="0.2">
      <c r="C70" s="589"/>
      <c r="D70" s="589"/>
      <c r="E70" s="588"/>
      <c r="F70" s="570" t="str">
        <f t="shared" si="0"/>
        <v/>
      </c>
      <c r="G70" s="41"/>
    </row>
    <row r="71" spans="3:7" s="44" customFormat="1" ht="15" customHeight="1" x14ac:dyDescent="0.2">
      <c r="C71" s="589"/>
      <c r="D71" s="589"/>
      <c r="E71" s="588"/>
      <c r="F71" s="570" t="str">
        <f t="shared" si="0"/>
        <v/>
      </c>
      <c r="G71" s="41"/>
    </row>
    <row r="72" spans="3:7" s="44" customFormat="1" ht="15" customHeight="1" x14ac:dyDescent="0.2">
      <c r="C72" s="589"/>
      <c r="D72" s="589"/>
      <c r="E72" s="588"/>
      <c r="F72" s="570" t="str">
        <f t="shared" si="0"/>
        <v/>
      </c>
      <c r="G72" s="41"/>
    </row>
    <row r="73" spans="3:7" s="44" customFormat="1" ht="15" customHeight="1" x14ac:dyDescent="0.2">
      <c r="C73" s="589"/>
      <c r="D73" s="589"/>
      <c r="E73" s="588"/>
      <c r="F73" s="570" t="str">
        <f t="shared" si="0"/>
        <v/>
      </c>
      <c r="G73" s="41"/>
    </row>
    <row r="74" spans="3:7" s="44" customFormat="1" ht="15" customHeight="1" x14ac:dyDescent="0.2">
      <c r="C74" s="589"/>
      <c r="D74" s="589"/>
      <c r="E74" s="588"/>
      <c r="F74" s="570" t="str">
        <f t="shared" si="0"/>
        <v/>
      </c>
      <c r="G74" s="41"/>
    </row>
    <row r="75" spans="3:7" s="44" customFormat="1" ht="15" customHeight="1" x14ac:dyDescent="0.2">
      <c r="C75" s="589"/>
      <c r="D75" s="589"/>
      <c r="E75" s="588"/>
      <c r="F75" s="570" t="str">
        <f t="shared" si="0"/>
        <v/>
      </c>
      <c r="G75" s="41"/>
    </row>
    <row r="76" spans="3:7" s="44" customFormat="1" ht="15" customHeight="1" x14ac:dyDescent="0.2">
      <c r="C76" s="589"/>
      <c r="D76" s="589"/>
      <c r="E76" s="588"/>
      <c r="F76" s="570" t="str">
        <f t="shared" si="0"/>
        <v/>
      </c>
      <c r="G76" s="41"/>
    </row>
    <row r="77" spans="3:7" s="44" customFormat="1" ht="15" customHeight="1" x14ac:dyDescent="0.2">
      <c r="C77" s="589"/>
      <c r="D77" s="589"/>
      <c r="E77" s="588"/>
      <c r="F77" s="570" t="str">
        <f t="shared" si="0"/>
        <v/>
      </c>
      <c r="G77" s="41"/>
    </row>
    <row r="78" spans="3:7" s="44" customFormat="1" ht="15" customHeight="1" x14ac:dyDescent="0.2">
      <c r="C78" s="589"/>
      <c r="D78" s="589"/>
      <c r="E78" s="588"/>
      <c r="F78" s="570" t="str">
        <f t="shared" si="0"/>
        <v/>
      </c>
      <c r="G78" s="41"/>
    </row>
    <row r="79" spans="3:7" s="44" customFormat="1" ht="15" customHeight="1" x14ac:dyDescent="0.2">
      <c r="C79" s="589"/>
      <c r="D79" s="589"/>
      <c r="E79" s="588"/>
      <c r="F79" s="570" t="str">
        <f t="shared" si="0"/>
        <v/>
      </c>
      <c r="G79" s="41"/>
    </row>
    <row r="80" spans="3:7" s="44" customFormat="1" ht="15" customHeight="1" x14ac:dyDescent="0.2">
      <c r="C80" s="589"/>
      <c r="D80" s="589"/>
      <c r="E80" s="588"/>
      <c r="F80" s="570" t="str">
        <f t="shared" si="0"/>
        <v/>
      </c>
      <c r="G80" s="41"/>
    </row>
    <row r="81" spans="3:17" s="44" customFormat="1" ht="15" customHeight="1" x14ac:dyDescent="0.2">
      <c r="C81" s="589"/>
      <c r="D81" s="589"/>
      <c r="E81" s="588"/>
      <c r="F81" s="570" t="str">
        <f t="shared" si="0"/>
        <v/>
      </c>
      <c r="G81" s="41"/>
    </row>
    <row r="82" spans="3:17" s="44" customFormat="1" ht="15" customHeight="1" x14ac:dyDescent="0.2">
      <c r="C82" s="589"/>
      <c r="D82" s="589"/>
      <c r="E82" s="588"/>
      <c r="F82" s="570" t="str">
        <f t="shared" si="0"/>
        <v/>
      </c>
      <c r="G82" s="41"/>
    </row>
    <row r="83" spans="3:17" s="44" customFormat="1" ht="15" customHeight="1" x14ac:dyDescent="0.2">
      <c r="C83" s="589"/>
      <c r="D83" s="589"/>
      <c r="E83" s="588"/>
      <c r="F83" s="570" t="str">
        <f t="shared" si="0"/>
        <v/>
      </c>
      <c r="G83" s="41"/>
    </row>
    <row r="84" spans="3:17" s="44" customFormat="1" ht="15" customHeight="1" x14ac:dyDescent="0.2">
      <c r="C84" s="589"/>
      <c r="D84" s="589"/>
      <c r="E84" s="588"/>
      <c r="F84" s="570" t="str">
        <f t="shared" si="0"/>
        <v/>
      </c>
      <c r="G84" s="41"/>
    </row>
    <row r="85" spans="3:17" s="44" customFormat="1" ht="15" customHeight="1" x14ac:dyDescent="0.2">
      <c r="C85" s="1555" t="s">
        <v>2364</v>
      </c>
      <c r="D85" s="1555"/>
      <c r="E85" s="1555"/>
      <c r="F85" s="570">
        <f>SUM(F64:F84)</f>
        <v>0</v>
      </c>
      <c r="G85" s="41"/>
    </row>
    <row r="86" spans="3:17" s="44" customFormat="1" ht="15" customHeight="1" thickBot="1" x14ac:dyDescent="0.25">
      <c r="C86" s="1554" t="s">
        <v>2403</v>
      </c>
      <c r="D86" s="1554"/>
      <c r="E86" s="1554"/>
      <c r="F86" s="572">
        <f>IF(F57="Yes",F56,0)</f>
        <v>0</v>
      </c>
      <c r="G86" s="41"/>
    </row>
    <row r="87" spans="3:17" s="44" customFormat="1" ht="15" customHeight="1" thickTop="1" x14ac:dyDescent="0.2">
      <c r="C87" s="1559" t="s">
        <v>2362</v>
      </c>
      <c r="D87" s="1559"/>
      <c r="E87" s="1559"/>
      <c r="F87" s="571">
        <f>F85+F86</f>
        <v>0</v>
      </c>
      <c r="G87" s="41"/>
    </row>
    <row r="88" spans="3:17" s="44" customFormat="1" ht="15" customHeight="1" x14ac:dyDescent="0.2">
      <c r="C88" s="41"/>
      <c r="D88" s="41"/>
      <c r="E88" s="41"/>
      <c r="F88" s="41"/>
      <c r="G88" s="41"/>
      <c r="H88" s="41"/>
      <c r="I88" s="41"/>
      <c r="Q88" s="547"/>
    </row>
    <row r="89" spans="3:17" s="44" customFormat="1" ht="15" customHeight="1" x14ac:dyDescent="0.2">
      <c r="C89" s="41"/>
      <c r="D89" s="41"/>
      <c r="E89" s="41"/>
      <c r="F89" s="41"/>
      <c r="G89" s="41"/>
      <c r="H89" s="41"/>
      <c r="I89" s="41"/>
      <c r="Q89" s="547"/>
    </row>
    <row r="90" spans="3:17" s="44" customFormat="1" ht="15" customHeight="1" x14ac:dyDescent="0.2">
      <c r="C90" s="1528" t="s">
        <v>2361</v>
      </c>
      <c r="D90" s="1528"/>
      <c r="E90" s="1528"/>
      <c r="F90" s="1528"/>
      <c r="G90" s="41"/>
      <c r="H90" s="41"/>
      <c r="I90" s="41"/>
      <c r="Q90" s="547"/>
    </row>
    <row r="91" spans="3:17" s="44" customFormat="1" ht="5.25" customHeight="1" x14ac:dyDescent="0.2">
      <c r="C91" s="41"/>
      <c r="D91" s="41"/>
      <c r="E91" s="41"/>
      <c r="F91" s="41"/>
      <c r="G91" s="41"/>
      <c r="H91" s="41"/>
      <c r="I91" s="41"/>
      <c r="Q91" s="547"/>
    </row>
    <row r="92" spans="3:17" s="44" customFormat="1" ht="30" customHeight="1" x14ac:dyDescent="0.2">
      <c r="C92" s="995" t="s">
        <v>424</v>
      </c>
      <c r="D92" s="995" t="s">
        <v>2377</v>
      </c>
      <c r="E92" s="995" t="s">
        <v>2448</v>
      </c>
      <c r="F92" s="995" t="s">
        <v>2359</v>
      </c>
      <c r="G92" s="260"/>
      <c r="H92" s="260"/>
      <c r="I92" s="260"/>
      <c r="Q92" s="547"/>
    </row>
    <row r="93" spans="3:17" s="44" customFormat="1" ht="15" customHeight="1" x14ac:dyDescent="0.2">
      <c r="C93" s="560" t="s">
        <v>348</v>
      </c>
      <c r="D93" s="560">
        <f>SUM(COUNTIF($D$64:$D$84,0))</f>
        <v>0</v>
      </c>
      <c r="E93" s="570">
        <f>Data!$CJ$11</f>
        <v>181488</v>
      </c>
      <c r="F93" s="567">
        <f>D93*E93</f>
        <v>0</v>
      </c>
      <c r="G93" s="41"/>
      <c r="H93" s="41"/>
      <c r="I93" s="41"/>
      <c r="Q93" s="547"/>
    </row>
    <row r="94" spans="3:17" s="44" customFormat="1" ht="15" customHeight="1" x14ac:dyDescent="0.2">
      <c r="C94" s="560">
        <v>1</v>
      </c>
      <c r="D94" s="560">
        <f>SUM(COUNTIF($D$64:$D$84,C94))</f>
        <v>0</v>
      </c>
      <c r="E94" s="570">
        <f>Data!$CJ$12</f>
        <v>208048.8</v>
      </c>
      <c r="F94" s="567">
        <f t="shared" ref="F94:F98" si="1">D94*E94</f>
        <v>0</v>
      </c>
      <c r="G94" s="41"/>
      <c r="H94" s="41"/>
      <c r="I94" s="41"/>
      <c r="Q94" s="547"/>
    </row>
    <row r="95" spans="3:17" s="44" customFormat="1" ht="15" customHeight="1" x14ac:dyDescent="0.2">
      <c r="C95" s="560">
        <v>2</v>
      </c>
      <c r="D95" s="560">
        <f t="shared" ref="D95:D98" si="2">SUM(COUNTIF($D$64:$D$84,C95))</f>
        <v>0</v>
      </c>
      <c r="E95" s="570">
        <f>Data!$CJ$13</f>
        <v>252993.59999999998</v>
      </c>
      <c r="F95" s="567">
        <f t="shared" si="1"/>
        <v>0</v>
      </c>
      <c r="G95" s="41"/>
      <c r="H95" s="41"/>
      <c r="I95" s="41"/>
      <c r="Q95" s="547"/>
    </row>
    <row r="96" spans="3:17" s="44" customFormat="1" ht="15" customHeight="1" x14ac:dyDescent="0.2">
      <c r="C96" s="560">
        <v>3</v>
      </c>
      <c r="D96" s="560">
        <f t="shared" si="2"/>
        <v>0</v>
      </c>
      <c r="E96" s="570">
        <f>Data!$CJ$14</f>
        <v>327292.79999999999</v>
      </c>
      <c r="F96" s="567">
        <f t="shared" si="1"/>
        <v>0</v>
      </c>
      <c r="G96" s="41"/>
      <c r="H96" s="41"/>
      <c r="I96" s="41"/>
      <c r="Q96" s="547"/>
    </row>
    <row r="97" spans="3:17" s="44" customFormat="1" ht="15" customHeight="1" x14ac:dyDescent="0.2">
      <c r="C97" s="560">
        <v>4</v>
      </c>
      <c r="D97" s="560">
        <f t="shared" si="2"/>
        <v>0</v>
      </c>
      <c r="E97" s="570">
        <f>Data!$CJ$15</f>
        <v>359263.2</v>
      </c>
      <c r="F97" s="567">
        <f t="shared" si="1"/>
        <v>0</v>
      </c>
      <c r="G97" s="41"/>
      <c r="H97" s="41"/>
      <c r="I97" s="41"/>
      <c r="Q97" s="547"/>
    </row>
    <row r="98" spans="3:17" s="44" customFormat="1" ht="15" customHeight="1" x14ac:dyDescent="0.2">
      <c r="C98" s="560">
        <v>5</v>
      </c>
      <c r="D98" s="560">
        <f t="shared" si="2"/>
        <v>0</v>
      </c>
      <c r="E98" s="570">
        <f>Data!$CJ$16</f>
        <v>359263.2</v>
      </c>
      <c r="F98" s="567">
        <f t="shared" si="1"/>
        <v>0</v>
      </c>
      <c r="G98" s="41"/>
      <c r="H98" s="41"/>
      <c r="I98" s="41"/>
      <c r="Q98" s="547"/>
    </row>
    <row r="99" spans="3:17" s="44" customFormat="1" ht="15" customHeight="1" x14ac:dyDescent="0.2">
      <c r="C99" s="1534" t="s">
        <v>2358</v>
      </c>
      <c r="D99" s="1534"/>
      <c r="E99" s="1534"/>
      <c r="F99" s="569">
        <f>SUM(F93:F98)</f>
        <v>0</v>
      </c>
      <c r="G99" s="41"/>
      <c r="H99" s="41"/>
      <c r="I99" s="41"/>
      <c r="Q99" s="547"/>
    </row>
    <row r="100" spans="3:17" s="44" customFormat="1" ht="15" customHeight="1" x14ac:dyDescent="0.2">
      <c r="C100" s="41"/>
      <c r="D100" s="41"/>
      <c r="E100" s="41"/>
      <c r="F100" s="41"/>
      <c r="G100" s="41"/>
      <c r="H100" s="41"/>
      <c r="I100" s="41"/>
      <c r="Q100" s="547"/>
    </row>
    <row r="101" spans="3:17" s="44" customFormat="1" ht="15" customHeight="1" x14ac:dyDescent="0.2">
      <c r="C101" s="41"/>
      <c r="D101" s="41"/>
      <c r="E101" s="41"/>
      <c r="F101" s="41"/>
      <c r="G101" s="41"/>
      <c r="H101" s="41"/>
      <c r="I101" s="41"/>
      <c r="Q101" s="547"/>
    </row>
    <row r="102" spans="3:17" s="44" customFormat="1" ht="15" customHeight="1" x14ac:dyDescent="0.2">
      <c r="C102" s="1528" t="s">
        <v>2357</v>
      </c>
      <c r="D102" s="1528"/>
      <c r="E102" s="1528"/>
      <c r="F102" s="1528"/>
      <c r="G102" s="1528"/>
      <c r="H102" s="1528"/>
      <c r="I102" s="41"/>
      <c r="Q102" s="547"/>
    </row>
    <row r="103" spans="3:17" s="44" customFormat="1" ht="5.25" customHeight="1" x14ac:dyDescent="0.2">
      <c r="C103" s="41"/>
      <c r="D103" s="41"/>
      <c r="E103" s="41"/>
      <c r="F103" s="41"/>
      <c r="G103" s="41"/>
      <c r="H103" s="41"/>
      <c r="I103" s="41"/>
      <c r="Q103" s="547"/>
    </row>
    <row r="104" spans="3:17" s="44" customFormat="1" ht="15" customHeight="1" x14ac:dyDescent="0.2">
      <c r="C104" s="1513" t="s">
        <v>2402</v>
      </c>
      <c r="D104" s="1513"/>
      <c r="E104" s="1513"/>
      <c r="F104" s="560">
        <f>SUM(D93:D98)</f>
        <v>0</v>
      </c>
      <c r="G104" s="41"/>
      <c r="H104" s="41"/>
      <c r="I104" s="41"/>
      <c r="Q104" s="547"/>
    </row>
    <row r="105" spans="3:17" s="44" customFormat="1" ht="5.25" customHeight="1" x14ac:dyDescent="0.2">
      <c r="C105" s="41"/>
      <c r="D105" s="41"/>
      <c r="E105" s="41"/>
      <c r="F105" s="41"/>
      <c r="G105" s="41"/>
      <c r="H105" s="41"/>
      <c r="I105" s="41"/>
      <c r="Q105" s="547"/>
    </row>
    <row r="106" spans="3:17" s="44" customFormat="1" ht="15" customHeight="1" x14ac:dyDescent="0.2">
      <c r="C106" s="1513" t="s">
        <v>2355</v>
      </c>
      <c r="D106" s="1513"/>
      <c r="E106" s="1513"/>
      <c r="F106" s="41"/>
      <c r="G106" s="41"/>
      <c r="H106" s="41"/>
      <c r="I106" s="41"/>
      <c r="Q106" s="547"/>
    </row>
    <row r="107" spans="3:17" s="44" customFormat="1" ht="15" customHeight="1" x14ac:dyDescent="0.2">
      <c r="C107" s="1340" t="s">
        <v>2354</v>
      </c>
      <c r="D107" s="1340"/>
      <c r="E107" s="1340"/>
      <c r="F107" s="568">
        <f>F50</f>
        <v>0</v>
      </c>
      <c r="G107" s="41"/>
      <c r="H107" s="41"/>
      <c r="I107" s="41"/>
      <c r="Q107" s="547"/>
    </row>
    <row r="108" spans="3:17" s="44" customFormat="1" ht="15" customHeight="1" x14ac:dyDescent="0.2">
      <c r="C108" s="1340" t="s">
        <v>2353</v>
      </c>
      <c r="D108" s="1340"/>
      <c r="E108" s="1340"/>
      <c r="F108" s="567">
        <f>F87</f>
        <v>0</v>
      </c>
      <c r="G108" s="41"/>
      <c r="H108" s="41"/>
      <c r="I108" s="41"/>
      <c r="Q108" s="547"/>
    </row>
    <row r="109" spans="3:17" s="44" customFormat="1" ht="15" customHeight="1" thickBot="1" x14ac:dyDescent="0.25">
      <c r="C109" s="1530" t="s">
        <v>2352</v>
      </c>
      <c r="D109" s="1530"/>
      <c r="E109" s="1530"/>
      <c r="F109" s="566">
        <f>F99</f>
        <v>0</v>
      </c>
      <c r="G109" s="41"/>
      <c r="H109" s="41"/>
      <c r="I109" s="41"/>
      <c r="Q109" s="547"/>
    </row>
    <row r="110" spans="3:17" s="44" customFormat="1" ht="15" customHeight="1" thickTop="1" x14ac:dyDescent="0.2">
      <c r="C110" s="1531" t="s">
        <v>2351</v>
      </c>
      <c r="D110" s="1531"/>
      <c r="E110" s="1531"/>
      <c r="F110" s="565">
        <f>MIN(F107:F109)</f>
        <v>0</v>
      </c>
      <c r="G110" s="1340" t="str">
        <f>IF(F110&lt;F107,"* Continue adding more Assisted Units in Step 1.","There are enough Assisted Units.")</f>
        <v>There are enough Assisted Units.</v>
      </c>
      <c r="H110" s="1340"/>
      <c r="I110" s="1340"/>
      <c r="Q110" s="547"/>
    </row>
    <row r="111" spans="3:17" s="44" customFormat="1" ht="15" customHeight="1" x14ac:dyDescent="0.2">
      <c r="Q111" s="547"/>
    </row>
    <row r="112" spans="3:17" s="44" customFormat="1" ht="15" hidden="1" customHeight="1" x14ac:dyDescent="0.2">
      <c r="Q112" s="547"/>
    </row>
    <row r="113" spans="1:17" ht="15" hidden="1" customHeight="1" x14ac:dyDescent="0.25">
      <c r="A113" s="44"/>
      <c r="C113" s="1468" t="s">
        <v>2449</v>
      </c>
      <c r="D113" s="1468"/>
      <c r="E113" s="1468"/>
      <c r="F113" s="1468"/>
      <c r="G113" s="1468"/>
      <c r="H113" s="1468"/>
      <c r="I113" s="1468"/>
    </row>
    <row r="114" spans="1:17" ht="5.25" hidden="1" customHeight="1" x14ac:dyDescent="0.2">
      <c r="A114" s="44"/>
      <c r="C114" s="1536"/>
      <c r="D114" s="1536"/>
      <c r="E114" s="1536"/>
      <c r="F114" s="1536"/>
      <c r="G114" s="1536"/>
      <c r="H114" s="1536"/>
      <c r="I114" s="1536"/>
    </row>
    <row r="115" spans="1:17" ht="5.25" hidden="1" customHeight="1" x14ac:dyDescent="0.2">
      <c r="A115" s="44"/>
      <c r="C115" s="43"/>
      <c r="D115" s="43"/>
      <c r="E115" s="43"/>
      <c r="F115" s="43"/>
      <c r="G115" s="43"/>
      <c r="H115" s="43"/>
      <c r="I115" s="43"/>
    </row>
    <row r="116" spans="1:17" ht="15" hidden="1" customHeight="1" x14ac:dyDescent="0.2">
      <c r="A116" s="44"/>
      <c r="C116" s="1469" t="s">
        <v>2450</v>
      </c>
      <c r="D116" s="1469"/>
      <c r="E116" s="1469"/>
      <c r="F116" s="1469"/>
      <c r="G116" s="1469"/>
      <c r="H116" s="1469"/>
      <c r="I116" s="1469"/>
    </row>
    <row r="117" spans="1:17" ht="15" hidden="1" customHeight="1" x14ac:dyDescent="0.2">
      <c r="A117" s="44"/>
      <c r="C117" s="1469"/>
      <c r="D117" s="1469"/>
      <c r="E117" s="1469"/>
      <c r="F117" s="1469"/>
      <c r="G117" s="1469"/>
      <c r="H117" s="1469"/>
      <c r="I117" s="1469"/>
    </row>
    <row r="118" spans="1:17" ht="15" hidden="1" customHeight="1" x14ac:dyDescent="0.2">
      <c r="A118" s="44"/>
    </row>
    <row r="119" spans="1:17" ht="15" hidden="1" customHeight="1" x14ac:dyDescent="0.2">
      <c r="A119" s="44"/>
      <c r="C119" s="1540" t="s">
        <v>2348</v>
      </c>
      <c r="D119" s="1541"/>
      <c r="E119" s="564" t="s">
        <v>2062</v>
      </c>
      <c r="F119" s="1542" t="s">
        <v>2347</v>
      </c>
      <c r="G119" s="1542"/>
    </row>
    <row r="120" spans="1:17" ht="15" hidden="1" customHeight="1" x14ac:dyDescent="0.2">
      <c r="A120" s="44"/>
      <c r="C120" s="1476" t="s">
        <v>2451</v>
      </c>
      <c r="D120" s="1518"/>
      <c r="E120" s="534" t="s">
        <v>2397</v>
      </c>
      <c r="F120" s="1560" t="s">
        <v>2452</v>
      </c>
      <c r="G120" s="1560"/>
    </row>
    <row r="121" spans="1:17" ht="15" hidden="1" customHeight="1" x14ac:dyDescent="0.2">
      <c r="A121" s="44"/>
    </row>
    <row r="122" spans="1:17" s="44" customFormat="1" ht="15" hidden="1" customHeight="1" x14ac:dyDescent="0.2">
      <c r="Q122" s="547"/>
    </row>
    <row r="123" spans="1:17" s="44" customFormat="1" ht="15" hidden="1" customHeight="1" x14ac:dyDescent="0.2">
      <c r="C123" s="1503" t="s">
        <v>2453</v>
      </c>
      <c r="D123" s="1503"/>
      <c r="E123" s="1503"/>
      <c r="F123" s="1543"/>
      <c r="G123" s="793"/>
      <c r="Q123" s="547"/>
    </row>
    <row r="124" spans="1:17" s="44" customFormat="1" ht="15" hidden="1" customHeight="1" x14ac:dyDescent="0.2">
      <c r="C124" s="1499" t="s">
        <v>2775</v>
      </c>
      <c r="D124" s="1499"/>
      <c r="E124" s="1499"/>
      <c r="F124" s="1499"/>
      <c r="G124" s="1499"/>
      <c r="Q124" s="547"/>
    </row>
    <row r="125" spans="1:17" s="44" customFormat="1" ht="15" hidden="1" customHeight="1" x14ac:dyDescent="0.2">
      <c r="C125" s="563"/>
      <c r="D125" s="563"/>
      <c r="E125" s="563"/>
      <c r="F125" s="563"/>
      <c r="G125" s="596"/>
      <c r="Q125" s="547"/>
    </row>
    <row r="126" spans="1:17" s="44" customFormat="1" ht="15" hidden="1" customHeight="1" x14ac:dyDescent="0.2">
      <c r="C126" s="1537" t="s">
        <v>2455</v>
      </c>
      <c r="D126" s="1537"/>
      <c r="E126" s="1537"/>
      <c r="F126" s="1537"/>
      <c r="G126" s="596"/>
      <c r="Q126" s="547"/>
    </row>
    <row r="127" spans="1:17" ht="15" hidden="1" customHeight="1" x14ac:dyDescent="0.2">
      <c r="A127" s="44"/>
      <c r="C127" s="1538" t="s">
        <v>2456</v>
      </c>
      <c r="D127" s="1538"/>
      <c r="E127" s="1538"/>
      <c r="F127" s="1539"/>
      <c r="G127" s="792"/>
    </row>
    <row r="128" spans="1:17" ht="15" hidden="1" customHeight="1" x14ac:dyDescent="0.2">
      <c r="A128" s="44"/>
      <c r="C128" s="1538" t="s">
        <v>2457</v>
      </c>
      <c r="D128" s="1538"/>
      <c r="E128" s="1538"/>
      <c r="F128" s="1539"/>
      <c r="G128" s="582" t="e">
        <f>IF((SUMIF(Revenue!$M$47:$M$92,"&gt;0",Revenue!$C$47:$C$92)/Revenue!C101)&gt;0.05,"Yes","No")</f>
        <v>#DIV/0!</v>
      </c>
    </row>
    <row r="129" spans="1:7" ht="15" hidden="1" customHeight="1" x14ac:dyDescent="0.2">
      <c r="A129" s="44"/>
      <c r="C129" s="1538" t="s">
        <v>2458</v>
      </c>
      <c r="D129" s="1538"/>
      <c r="E129" s="1538"/>
      <c r="F129" s="1538"/>
      <c r="G129" s="791" t="str">
        <f>IF(F142&lt;0,"No","Yes")</f>
        <v>Yes</v>
      </c>
    </row>
    <row r="130" spans="1:7" ht="15" hidden="1" customHeight="1" x14ac:dyDescent="0.2">
      <c r="A130" s="44"/>
    </row>
    <row r="131" spans="1:7" ht="15" hidden="1" customHeight="1" x14ac:dyDescent="0.2">
      <c r="A131" s="44"/>
      <c r="C131" s="1503" t="s">
        <v>2459</v>
      </c>
      <c r="D131" s="1503"/>
      <c r="E131" s="1503"/>
      <c r="F131" s="1503"/>
      <c r="G131" s="797" t="e">
        <f>IF(OR(G123="No",G127="No",G128="No",G129="No"),"No","Yes")</f>
        <v>#DIV/0!</v>
      </c>
    </row>
    <row r="132" spans="1:7" ht="15" hidden="1" customHeight="1" x14ac:dyDescent="0.2">
      <c r="A132" s="44"/>
      <c r="C132" s="1538"/>
      <c r="D132" s="1538"/>
      <c r="E132" s="1538"/>
      <c r="F132" s="1538"/>
      <c r="G132" s="1538"/>
    </row>
    <row r="133" spans="1:7" ht="15" hidden="1" customHeight="1" x14ac:dyDescent="0.2">
      <c r="A133" s="44"/>
      <c r="C133" s="548" t="s">
        <v>2460</v>
      </c>
      <c r="D133" s="548"/>
      <c r="E133" s="548"/>
      <c r="F133" s="548"/>
    </row>
    <row r="134" spans="1:7" ht="15" hidden="1" customHeight="1" x14ac:dyDescent="0.2">
      <c r="A134" s="44"/>
    </row>
    <row r="135" spans="1:7" ht="30" hidden="1" customHeight="1" x14ac:dyDescent="0.2">
      <c r="A135" s="44"/>
      <c r="C135" s="557" t="s">
        <v>424</v>
      </c>
      <c r="D135" s="557" t="s">
        <v>2465</v>
      </c>
      <c r="E135" s="557" t="s">
        <v>2462</v>
      </c>
      <c r="F135" s="557" t="s">
        <v>2463</v>
      </c>
    </row>
    <row r="136" spans="1:7" ht="15" hidden="1" customHeight="1" x14ac:dyDescent="0.2">
      <c r="A136" s="44"/>
      <c r="C136" s="560" t="s">
        <v>348</v>
      </c>
      <c r="D136" s="559">
        <f>D93</f>
        <v>0</v>
      </c>
      <c r="E136" s="559">
        <f>SUMIFS(Revenue!$C$47:$C$92,Revenue!$D$47:$D$92,0,Revenue!$G$47:$G$92,"&lt;=.3")</f>
        <v>0</v>
      </c>
      <c r="F136" s="597">
        <f>E136-D136</f>
        <v>0</v>
      </c>
    </row>
    <row r="137" spans="1:7" ht="15" hidden="1" customHeight="1" x14ac:dyDescent="0.2">
      <c r="A137" s="44"/>
      <c r="C137" s="560">
        <v>1</v>
      </c>
      <c r="D137" s="559">
        <f t="shared" ref="D137:D141" si="3">D94</f>
        <v>0</v>
      </c>
      <c r="E137" s="559">
        <f>SUMIFS(Revenue!$C$47:$C$92,Revenue!$D$47:$D$92,C137,Revenue!$G$47:$G$92,"&lt;=.3")</f>
        <v>0</v>
      </c>
      <c r="F137" s="597">
        <f t="shared" ref="F137:F141" si="4">E137-D137</f>
        <v>0</v>
      </c>
    </row>
    <row r="138" spans="1:7" ht="15" hidden="1" customHeight="1" x14ac:dyDescent="0.2">
      <c r="A138" s="44"/>
      <c r="C138" s="560">
        <v>2</v>
      </c>
      <c r="D138" s="559">
        <f t="shared" si="3"/>
        <v>0</v>
      </c>
      <c r="E138" s="559">
        <f>SUMIFS(Revenue!$C$47:$C$92,Revenue!$D$47:$D$92,C138,Revenue!$G$47:$G$92,"&lt;=.3")</f>
        <v>0</v>
      </c>
      <c r="F138" s="597">
        <f t="shared" si="4"/>
        <v>0</v>
      </c>
    </row>
    <row r="139" spans="1:7" ht="15" hidden="1" customHeight="1" x14ac:dyDescent="0.2">
      <c r="A139" s="44"/>
      <c r="C139" s="560">
        <v>3</v>
      </c>
      <c r="D139" s="559">
        <f t="shared" si="3"/>
        <v>0</v>
      </c>
      <c r="E139" s="559">
        <f>SUMIFS(Revenue!$C$47:$C$92,Revenue!$D$47:$D$92,C139,Revenue!$G$47:$G$92,"&lt;=.3")</f>
        <v>0</v>
      </c>
      <c r="F139" s="597">
        <f t="shared" si="4"/>
        <v>0</v>
      </c>
    </row>
    <row r="140" spans="1:7" ht="15" hidden="1" customHeight="1" x14ac:dyDescent="0.2">
      <c r="A140" s="44"/>
      <c r="C140" s="560">
        <v>4</v>
      </c>
      <c r="D140" s="559">
        <f t="shared" si="3"/>
        <v>0</v>
      </c>
      <c r="E140" s="559">
        <f>SUMIFS(Revenue!$C$47:$C$92,Revenue!$D$47:$D$92,C140,Revenue!$G$47:$G$92,"&lt;=.3")</f>
        <v>0</v>
      </c>
      <c r="F140" s="597">
        <f t="shared" si="4"/>
        <v>0</v>
      </c>
    </row>
    <row r="141" spans="1:7" ht="15" hidden="1" customHeight="1" thickBot="1" x14ac:dyDescent="0.25">
      <c r="A141" s="44"/>
      <c r="C141" s="560">
        <v>5</v>
      </c>
      <c r="D141" s="562">
        <f t="shared" si="3"/>
        <v>0</v>
      </c>
      <c r="E141" s="562">
        <f>SUMIFS(Revenue!$C$47:$C$92,Revenue!$D$47:$D$92,C141,Revenue!$G$47:$G$92,"&lt;=.3")</f>
        <v>0</v>
      </c>
      <c r="F141" s="598">
        <f t="shared" si="4"/>
        <v>0</v>
      </c>
    </row>
    <row r="142" spans="1:7" ht="15" hidden="1" customHeight="1" thickTop="1" x14ac:dyDescent="0.2">
      <c r="A142" s="44"/>
      <c r="C142" s="44" t="s">
        <v>325</v>
      </c>
      <c r="D142" s="599">
        <f>SUM(D136:D141)</f>
        <v>0</v>
      </c>
      <c r="E142" s="599">
        <f>SUM(E136:E141)</f>
        <v>0</v>
      </c>
      <c r="F142" s="600">
        <f>SUM(F136:F141)</f>
        <v>0</v>
      </c>
    </row>
    <row r="143" spans="1:7" ht="15" hidden="1" customHeight="1" x14ac:dyDescent="0.2">
      <c r="A143" s="44"/>
    </row>
    <row r="144" spans="1:7" ht="15" customHeight="1" x14ac:dyDescent="0.2">
      <c r="A144" s="44"/>
    </row>
    <row r="145" spans="1:9" ht="15" customHeight="1" x14ac:dyDescent="0.25">
      <c r="A145" s="44"/>
      <c r="C145" s="1468" t="s">
        <v>2350</v>
      </c>
      <c r="D145" s="1468"/>
      <c r="E145" s="1468"/>
      <c r="F145" s="1468"/>
      <c r="G145" s="1468"/>
      <c r="H145" s="1468"/>
      <c r="I145" s="1468"/>
    </row>
    <row r="146" spans="1:9" ht="3" customHeight="1" x14ac:dyDescent="0.2">
      <c r="A146" s="44"/>
      <c r="C146" s="1482"/>
      <c r="D146" s="1482"/>
      <c r="E146" s="1482"/>
      <c r="F146" s="1482"/>
      <c r="G146" s="1482"/>
      <c r="H146" s="1482"/>
      <c r="I146" s="1482"/>
    </row>
    <row r="147" spans="1:9" ht="5.25" customHeight="1" x14ac:dyDescent="0.2">
      <c r="A147" s="44"/>
      <c r="C147" s="43"/>
      <c r="D147" s="43"/>
      <c r="E147" s="43"/>
      <c r="F147" s="43"/>
      <c r="G147" s="43"/>
      <c r="H147" s="43"/>
      <c r="I147" s="43"/>
    </row>
    <row r="148" spans="1:9" ht="15" customHeight="1" x14ac:dyDescent="0.2">
      <c r="A148" s="44"/>
      <c r="C148" s="1469" t="s">
        <v>2349</v>
      </c>
      <c r="D148" s="1469"/>
      <c r="E148" s="1469"/>
      <c r="F148" s="1469"/>
      <c r="G148" s="1469"/>
      <c r="H148" s="1469"/>
      <c r="I148" s="1469"/>
    </row>
    <row r="149" spans="1:9" ht="15" customHeight="1" x14ac:dyDescent="0.2">
      <c r="A149" s="44"/>
      <c r="C149" s="1469"/>
      <c r="D149" s="1469"/>
      <c r="E149" s="1469"/>
      <c r="F149" s="1469"/>
      <c r="G149" s="1469"/>
      <c r="H149" s="1469"/>
      <c r="I149" s="1469"/>
    </row>
    <row r="150" spans="1:9" ht="15" customHeight="1" x14ac:dyDescent="0.2">
      <c r="A150" s="44"/>
      <c r="C150" s="1469"/>
      <c r="D150" s="1469"/>
      <c r="E150" s="1469"/>
      <c r="F150" s="1469"/>
      <c r="G150" s="1469"/>
      <c r="H150" s="1469"/>
      <c r="I150" s="1469"/>
    </row>
    <row r="151" spans="1:9" ht="15" customHeight="1" x14ac:dyDescent="0.2">
      <c r="A151" s="44"/>
    </row>
    <row r="152" spans="1:9" ht="15" customHeight="1" x14ac:dyDescent="0.2">
      <c r="A152" s="44"/>
      <c r="C152" s="1499" t="s">
        <v>2520</v>
      </c>
      <c r="D152" s="1499"/>
      <c r="E152" s="1499"/>
      <c r="F152" s="733" t="str">
        <f>IF(SUM(Sources!G44:G45)&gt;0,"Yes","No")</f>
        <v>No</v>
      </c>
      <c r="G152" s="596"/>
    </row>
    <row r="153" spans="1:9" ht="15" customHeight="1" x14ac:dyDescent="0.25">
      <c r="A153" s="44"/>
      <c r="C153" s="1503" t="s">
        <v>2464</v>
      </c>
      <c r="D153" s="1503"/>
      <c r="E153" s="1503"/>
      <c r="F153" s="601" t="str">
        <f>IF(F152="","",IF(F152="Yes","Yes","No"))</f>
        <v>No</v>
      </c>
    </row>
    <row r="154" spans="1:9" ht="15" customHeight="1" x14ac:dyDescent="0.2">
      <c r="A154" s="44"/>
    </row>
    <row r="155" spans="1:9" ht="15" customHeight="1" x14ac:dyDescent="0.2">
      <c r="A155" s="44"/>
      <c r="C155" s="1478" t="s">
        <v>2348</v>
      </c>
      <c r="D155" s="1520"/>
      <c r="E155" s="1479"/>
      <c r="F155" s="995" t="s">
        <v>2062</v>
      </c>
      <c r="G155" s="1512" t="s">
        <v>2347</v>
      </c>
      <c r="H155" s="1512"/>
    </row>
    <row r="156" spans="1:9" ht="15" customHeight="1" x14ac:dyDescent="0.2">
      <c r="A156" s="44"/>
      <c r="C156" s="1476" t="s">
        <v>2346</v>
      </c>
      <c r="D156" s="1518"/>
      <c r="E156" s="1477"/>
      <c r="F156" s="534" t="s">
        <v>2064</v>
      </c>
      <c r="G156" s="1560" t="s">
        <v>2345</v>
      </c>
      <c r="H156" s="1560"/>
    </row>
    <row r="157" spans="1:9" ht="15" customHeight="1" x14ac:dyDescent="0.2">
      <c r="A157" s="44"/>
      <c r="C157" s="1476" t="s">
        <v>2344</v>
      </c>
      <c r="D157" s="1518"/>
      <c r="E157" s="1477"/>
      <c r="F157" s="534" t="s">
        <v>2343</v>
      </c>
      <c r="G157" s="1560" t="s">
        <v>2342</v>
      </c>
      <c r="H157" s="1560"/>
    </row>
    <row r="158" spans="1:9" ht="15" customHeight="1" x14ac:dyDescent="0.2">
      <c r="A158" s="44"/>
    </row>
    <row r="159" spans="1:9" ht="15" customHeight="1" x14ac:dyDescent="0.2">
      <c r="A159" s="44"/>
    </row>
    <row r="160" spans="1:9" ht="15" customHeight="1" x14ac:dyDescent="0.2">
      <c r="A160" s="44"/>
      <c r="C160" s="1517" t="s">
        <v>2763</v>
      </c>
      <c r="D160" s="1517"/>
      <c r="E160" s="1517"/>
      <c r="F160" s="1517"/>
      <c r="G160" s="1517"/>
    </row>
    <row r="161" spans="1:9" ht="15" customHeight="1" x14ac:dyDescent="0.2">
      <c r="A161" s="44"/>
    </row>
    <row r="162" spans="1:9" ht="15" customHeight="1" x14ac:dyDescent="0.2">
      <c r="A162" s="44"/>
      <c r="F162" s="995" t="s">
        <v>344</v>
      </c>
      <c r="G162" s="1023" t="s">
        <v>2764</v>
      </c>
    </row>
    <row r="163" spans="1:9" ht="15" customHeight="1" thickBot="1" x14ac:dyDescent="0.25">
      <c r="A163" s="44"/>
      <c r="C163" s="1547" t="s">
        <v>2761</v>
      </c>
      <c r="D163" s="1547"/>
      <c r="E163" s="1548"/>
      <c r="F163" s="817">
        <f>F104</f>
        <v>0</v>
      </c>
      <c r="G163" s="822">
        <f>IF(F163=0,0,F163/$F$163)</f>
        <v>0</v>
      </c>
    </row>
    <row r="164" spans="1:9" ht="15" customHeight="1" thickTop="1" x14ac:dyDescent="0.2">
      <c r="A164" s="44"/>
      <c r="C164" s="1549" t="s">
        <v>2773</v>
      </c>
      <c r="D164" s="1549"/>
      <c r="E164" s="1550"/>
      <c r="F164" s="816">
        <f>IF(F163&gt;=5,ROUNDUP(F163*0.2,0),0)</f>
        <v>0</v>
      </c>
      <c r="G164" s="824">
        <f t="shared" ref="G164:G165" si="5">IF(F164=0,0,F164/$F$163)</f>
        <v>0</v>
      </c>
    </row>
    <row r="165" spans="1:9" ht="15" customHeight="1" x14ac:dyDescent="0.2">
      <c r="A165" s="44"/>
      <c r="C165" s="1549" t="s">
        <v>2762</v>
      </c>
      <c r="D165" s="1549"/>
      <c r="E165" s="1549"/>
      <c r="F165" s="791">
        <f>F163-F164</f>
        <v>0</v>
      </c>
      <c r="G165" s="823">
        <f t="shared" si="5"/>
        <v>0</v>
      </c>
    </row>
    <row r="166" spans="1:9" ht="15" customHeight="1" x14ac:dyDescent="0.2">
      <c r="A166" s="44"/>
    </row>
    <row r="167" spans="1:9" ht="15" customHeight="1" x14ac:dyDescent="0.2">
      <c r="A167" s="44"/>
    </row>
    <row r="168" spans="1:9" ht="15" customHeight="1" x14ac:dyDescent="0.2">
      <c r="A168" s="44"/>
      <c r="C168" s="1517" t="str">
        <f>_xlfn.CONCAT("Distributing the ",F165," High HOME/OHTF Assisted Unit(s)")</f>
        <v>Distributing the 0 High HOME/OHTF Assisted Unit(s)</v>
      </c>
      <c r="D168" s="1517"/>
      <c r="E168" s="1517"/>
      <c r="F168" s="1517"/>
      <c r="G168" s="558"/>
      <c r="H168" s="548"/>
      <c r="I168" s="548"/>
    </row>
    <row r="169" spans="1:9" ht="5.25" customHeight="1" x14ac:dyDescent="0.2">
      <c r="A169" s="44"/>
    </row>
    <row r="170" spans="1:9" ht="45" customHeight="1" x14ac:dyDescent="0.2">
      <c r="A170" s="44"/>
      <c r="C170" s="995" t="s">
        <v>424</v>
      </c>
      <c r="D170" s="1023" t="s">
        <v>2341</v>
      </c>
      <c r="E170" s="995" t="s">
        <v>2765</v>
      </c>
      <c r="F170" s="995" t="s">
        <v>2770</v>
      </c>
      <c r="G170" s="1023" t="s">
        <v>2771</v>
      </c>
      <c r="H170" s="995" t="s">
        <v>2772</v>
      </c>
      <c r="I170" s="995" t="s">
        <v>2769</v>
      </c>
    </row>
    <row r="171" spans="1:9" ht="15" customHeight="1" x14ac:dyDescent="0.2">
      <c r="A171" s="44"/>
      <c r="C171" s="560">
        <v>0</v>
      </c>
      <c r="D171" s="818">
        <f>D93</f>
        <v>0</v>
      </c>
      <c r="E171" s="820" t="e">
        <f>D171/$F$163</f>
        <v>#DIV/0!</v>
      </c>
      <c r="F171" s="814" t="e">
        <f t="shared" ref="F171:F176" si="6">$F$165*E171</f>
        <v>#DIV/0!</v>
      </c>
      <c r="G171" s="828"/>
      <c r="H171" s="823">
        <f>IF(OR(G171="",G171=0),0,G171/$F$165)</f>
        <v>0</v>
      </c>
      <c r="I171" s="823" t="e">
        <f>IF(OR(E171="",H171=""),"",H171-E171)</f>
        <v>#DIV/0!</v>
      </c>
    </row>
    <row r="172" spans="1:9" ht="15" customHeight="1" x14ac:dyDescent="0.2">
      <c r="A172" s="44"/>
      <c r="C172" s="560">
        <v>1</v>
      </c>
      <c r="D172" s="818">
        <f t="shared" ref="D172:D176" si="7">D94</f>
        <v>0</v>
      </c>
      <c r="E172" s="820" t="e">
        <f t="shared" ref="E172:E177" si="8">D172/$F$163</f>
        <v>#DIV/0!</v>
      </c>
      <c r="F172" s="814" t="e">
        <f t="shared" si="6"/>
        <v>#DIV/0!</v>
      </c>
      <c r="G172" s="828"/>
      <c r="H172" s="823">
        <f t="shared" ref="H172:H177" si="9">IF(OR(G172="",G172=0),0,G172/$F$165)</f>
        <v>0</v>
      </c>
      <c r="I172" s="823" t="e">
        <f t="shared" ref="I172:I177" si="10">IF(OR(E172="",H172=""),"",H172-E172)</f>
        <v>#DIV/0!</v>
      </c>
    </row>
    <row r="173" spans="1:9" ht="15" customHeight="1" x14ac:dyDescent="0.2">
      <c r="A173" s="44"/>
      <c r="C173" s="560">
        <v>2</v>
      </c>
      <c r="D173" s="818">
        <f t="shared" si="7"/>
        <v>0</v>
      </c>
      <c r="E173" s="820" t="e">
        <f t="shared" si="8"/>
        <v>#DIV/0!</v>
      </c>
      <c r="F173" s="814" t="e">
        <f t="shared" si="6"/>
        <v>#DIV/0!</v>
      </c>
      <c r="G173" s="828"/>
      <c r="H173" s="823">
        <f t="shared" si="9"/>
        <v>0</v>
      </c>
      <c r="I173" s="823" t="e">
        <f t="shared" si="10"/>
        <v>#DIV/0!</v>
      </c>
    </row>
    <row r="174" spans="1:9" ht="15" customHeight="1" x14ac:dyDescent="0.2">
      <c r="A174" s="44"/>
      <c r="C174" s="560">
        <v>3</v>
      </c>
      <c r="D174" s="818">
        <f t="shared" si="7"/>
        <v>0</v>
      </c>
      <c r="E174" s="820" t="e">
        <f t="shared" si="8"/>
        <v>#DIV/0!</v>
      </c>
      <c r="F174" s="814" t="e">
        <f t="shared" si="6"/>
        <v>#DIV/0!</v>
      </c>
      <c r="G174" s="828"/>
      <c r="H174" s="823">
        <f t="shared" si="9"/>
        <v>0</v>
      </c>
      <c r="I174" s="823" t="e">
        <f t="shared" si="10"/>
        <v>#DIV/0!</v>
      </c>
    </row>
    <row r="175" spans="1:9" ht="15" customHeight="1" x14ac:dyDescent="0.2">
      <c r="A175" s="44"/>
      <c r="C175" s="560">
        <v>4</v>
      </c>
      <c r="D175" s="818">
        <f t="shared" si="7"/>
        <v>0</v>
      </c>
      <c r="E175" s="820" t="e">
        <f t="shared" si="8"/>
        <v>#DIV/0!</v>
      </c>
      <c r="F175" s="814" t="e">
        <f t="shared" si="6"/>
        <v>#DIV/0!</v>
      </c>
      <c r="G175" s="828"/>
      <c r="H175" s="823">
        <f t="shared" si="9"/>
        <v>0</v>
      </c>
      <c r="I175" s="823" t="e">
        <f t="shared" si="10"/>
        <v>#DIV/0!</v>
      </c>
    </row>
    <row r="176" spans="1:9" ht="15" customHeight="1" thickBot="1" x14ac:dyDescent="0.25">
      <c r="A176" s="44"/>
      <c r="C176" s="560">
        <v>5</v>
      </c>
      <c r="D176" s="562">
        <f t="shared" si="7"/>
        <v>0</v>
      </c>
      <c r="E176" s="821" t="e">
        <f t="shared" si="8"/>
        <v>#DIV/0!</v>
      </c>
      <c r="F176" s="815" t="e">
        <f t="shared" si="6"/>
        <v>#DIV/0!</v>
      </c>
      <c r="G176" s="829"/>
      <c r="H176" s="822">
        <f t="shared" si="9"/>
        <v>0</v>
      </c>
      <c r="I176" s="822" t="e">
        <f t="shared" si="10"/>
        <v>#DIV/0!</v>
      </c>
    </row>
    <row r="177" spans="1:9" ht="15" customHeight="1" thickTop="1" x14ac:dyDescent="0.2">
      <c r="A177" s="44"/>
      <c r="C177" s="561" t="s">
        <v>325</v>
      </c>
      <c r="D177" s="826">
        <f>SUM(D171:D176)</f>
        <v>0</v>
      </c>
      <c r="E177" s="825" t="e">
        <f t="shared" si="8"/>
        <v>#DIV/0!</v>
      </c>
      <c r="F177" s="831" t="e">
        <f>SUM(F171:F176)</f>
        <v>#DIV/0!</v>
      </c>
      <c r="G177" s="827">
        <f>SUM(G171:G176)</f>
        <v>0</v>
      </c>
      <c r="H177" s="824">
        <f t="shared" si="9"/>
        <v>0</v>
      </c>
      <c r="I177" s="824" t="e">
        <f t="shared" si="10"/>
        <v>#DIV/0!</v>
      </c>
    </row>
    <row r="178" spans="1:9" ht="15" customHeight="1" x14ac:dyDescent="0.2">
      <c r="A178" s="44"/>
      <c r="G178" s="742" t="str">
        <f>IFERROR(IF(G177&lt;F177,"*You must add more High HOME units.",""),"")</f>
        <v/>
      </c>
    </row>
    <row r="179" spans="1:9" ht="15" customHeight="1" x14ac:dyDescent="0.2">
      <c r="A179" s="44"/>
    </row>
    <row r="180" spans="1:9" ht="15" customHeight="1" x14ac:dyDescent="0.2">
      <c r="A180" s="44"/>
      <c r="C180" s="1517" t="str">
        <f>_xlfn.CONCAT("Distributing the ",F164," Low HOME/OHTF Assisted Unit(s)")</f>
        <v>Distributing the 0 Low HOME/OHTF Assisted Unit(s)</v>
      </c>
      <c r="D180" s="1517"/>
      <c r="E180" s="1517"/>
      <c r="F180" s="1517"/>
      <c r="G180" s="558"/>
      <c r="H180" s="548"/>
      <c r="I180" s="548"/>
    </row>
    <row r="181" spans="1:9" ht="5.25" customHeight="1" x14ac:dyDescent="0.2">
      <c r="A181" s="44"/>
    </row>
    <row r="182" spans="1:9" ht="45" customHeight="1" x14ac:dyDescent="0.2">
      <c r="A182" s="44"/>
      <c r="C182" s="995" t="s">
        <v>424</v>
      </c>
      <c r="D182" s="1023" t="s">
        <v>2341</v>
      </c>
      <c r="E182" s="995" t="s">
        <v>2765</v>
      </c>
      <c r="F182" s="995" t="s">
        <v>2766</v>
      </c>
      <c r="G182" s="1023" t="s">
        <v>2767</v>
      </c>
      <c r="H182" s="995" t="s">
        <v>2768</v>
      </c>
      <c r="I182" s="995" t="s">
        <v>2769</v>
      </c>
    </row>
    <row r="183" spans="1:9" ht="15" customHeight="1" x14ac:dyDescent="0.2">
      <c r="A183" s="44"/>
      <c r="C183" s="560">
        <v>0</v>
      </c>
      <c r="D183" s="818">
        <f>D93</f>
        <v>0</v>
      </c>
      <c r="E183" s="820" t="e">
        <f>D183/$F$163</f>
        <v>#DIV/0!</v>
      </c>
      <c r="F183" s="814" t="e">
        <f>$F$164*E183</f>
        <v>#DIV/0!</v>
      </c>
      <c r="G183" s="828"/>
      <c r="H183" s="823">
        <f>IF(OR(G183="",G183=0),0,G183/$F$164)</f>
        <v>0</v>
      </c>
      <c r="I183" s="823" t="e">
        <f>IF(OR(E183="",H183=""),"",H183-E183)</f>
        <v>#DIV/0!</v>
      </c>
    </row>
    <row r="184" spans="1:9" ht="15" customHeight="1" x14ac:dyDescent="0.2">
      <c r="A184" s="44"/>
      <c r="C184" s="560">
        <v>1</v>
      </c>
      <c r="D184" s="818">
        <f t="shared" ref="D184:D188" si="11">D94</f>
        <v>0</v>
      </c>
      <c r="E184" s="820" t="e">
        <f t="shared" ref="E184:E189" si="12">D184/$F$163</f>
        <v>#DIV/0!</v>
      </c>
      <c r="F184" s="814" t="e">
        <f t="shared" ref="F184:F188" si="13">$F$164*E184</f>
        <v>#DIV/0!</v>
      </c>
      <c r="G184" s="828"/>
      <c r="H184" s="823">
        <f t="shared" ref="H184:H189" si="14">IF(OR(G184="",G184=0),0,G184/$F$164)</f>
        <v>0</v>
      </c>
      <c r="I184" s="823" t="e">
        <f t="shared" ref="I184:I189" si="15">IF(OR(E184="",H184=""),"",H184-E184)</f>
        <v>#DIV/0!</v>
      </c>
    </row>
    <row r="185" spans="1:9" ht="15" customHeight="1" x14ac:dyDescent="0.2">
      <c r="A185" s="44"/>
      <c r="C185" s="560">
        <v>2</v>
      </c>
      <c r="D185" s="818">
        <f t="shared" si="11"/>
        <v>0</v>
      </c>
      <c r="E185" s="820" t="e">
        <f t="shared" si="12"/>
        <v>#DIV/0!</v>
      </c>
      <c r="F185" s="814" t="e">
        <f t="shared" si="13"/>
        <v>#DIV/0!</v>
      </c>
      <c r="G185" s="828"/>
      <c r="H185" s="823">
        <f t="shared" si="14"/>
        <v>0</v>
      </c>
      <c r="I185" s="823" t="e">
        <f t="shared" si="15"/>
        <v>#DIV/0!</v>
      </c>
    </row>
    <row r="186" spans="1:9" ht="15" customHeight="1" x14ac:dyDescent="0.2">
      <c r="A186" s="44"/>
      <c r="C186" s="560">
        <v>3</v>
      </c>
      <c r="D186" s="818">
        <f t="shared" si="11"/>
        <v>0</v>
      </c>
      <c r="E186" s="820" t="e">
        <f t="shared" si="12"/>
        <v>#DIV/0!</v>
      </c>
      <c r="F186" s="814" t="e">
        <f t="shared" si="13"/>
        <v>#DIV/0!</v>
      </c>
      <c r="G186" s="828"/>
      <c r="H186" s="823">
        <f t="shared" si="14"/>
        <v>0</v>
      </c>
      <c r="I186" s="823" t="e">
        <f t="shared" si="15"/>
        <v>#DIV/0!</v>
      </c>
    </row>
    <row r="187" spans="1:9" ht="15" customHeight="1" x14ac:dyDescent="0.2">
      <c r="A187" s="44"/>
      <c r="C187" s="560">
        <v>4</v>
      </c>
      <c r="D187" s="818">
        <f t="shared" si="11"/>
        <v>0</v>
      </c>
      <c r="E187" s="820" t="e">
        <f t="shared" si="12"/>
        <v>#DIV/0!</v>
      </c>
      <c r="F187" s="814" t="e">
        <f t="shared" si="13"/>
        <v>#DIV/0!</v>
      </c>
      <c r="G187" s="828"/>
      <c r="H187" s="823">
        <f t="shared" si="14"/>
        <v>0</v>
      </c>
      <c r="I187" s="823" t="e">
        <f t="shared" si="15"/>
        <v>#DIV/0!</v>
      </c>
    </row>
    <row r="188" spans="1:9" ht="15" customHeight="1" thickBot="1" x14ac:dyDescent="0.25">
      <c r="A188" s="44"/>
      <c r="C188" s="560">
        <v>5</v>
      </c>
      <c r="D188" s="562">
        <f t="shared" si="11"/>
        <v>0</v>
      </c>
      <c r="E188" s="821" t="e">
        <f t="shared" si="12"/>
        <v>#DIV/0!</v>
      </c>
      <c r="F188" s="815" t="e">
        <f t="shared" si="13"/>
        <v>#DIV/0!</v>
      </c>
      <c r="G188" s="829"/>
      <c r="H188" s="822">
        <f t="shared" si="14"/>
        <v>0</v>
      </c>
      <c r="I188" s="822" t="e">
        <f t="shared" si="15"/>
        <v>#DIV/0!</v>
      </c>
    </row>
    <row r="189" spans="1:9" ht="15" customHeight="1" thickTop="1" x14ac:dyDescent="0.2">
      <c r="A189" s="44"/>
      <c r="C189" s="561" t="s">
        <v>325</v>
      </c>
      <c r="D189" s="826">
        <f>SUM(D183:D188)</f>
        <v>0</v>
      </c>
      <c r="E189" s="825" t="e">
        <f t="shared" si="12"/>
        <v>#DIV/0!</v>
      </c>
      <c r="F189" s="587" t="e">
        <f>SUM(F183:F188)</f>
        <v>#DIV/0!</v>
      </c>
      <c r="G189" s="827">
        <f>SUM(G183:G188)</f>
        <v>0</v>
      </c>
      <c r="H189" s="824">
        <f t="shared" si="14"/>
        <v>0</v>
      </c>
      <c r="I189" s="824" t="e">
        <f t="shared" si="15"/>
        <v>#DIV/0!</v>
      </c>
    </row>
    <row r="190" spans="1:9" ht="15" customHeight="1" x14ac:dyDescent="0.2">
      <c r="A190" s="44"/>
      <c r="G190" s="742" t="str">
        <f>IFERROR(IF(G189&lt;F189,"*You must add more Low HOME units.",""),"")</f>
        <v/>
      </c>
    </row>
    <row r="191" spans="1:9" ht="15" hidden="1" customHeight="1" x14ac:dyDescent="0.2">
      <c r="A191" s="44"/>
    </row>
    <row r="192" spans="1:9" ht="15" hidden="1" customHeight="1" x14ac:dyDescent="0.2">
      <c r="A192" s="44"/>
      <c r="C192" s="558" t="s">
        <v>2340</v>
      </c>
      <c r="D192" s="558"/>
      <c r="E192" s="558"/>
      <c r="F192" s="558"/>
      <c r="G192" s="558"/>
    </row>
    <row r="193" spans="1:7" ht="5.25" hidden="1" customHeight="1" x14ac:dyDescent="0.2">
      <c r="A193" s="44"/>
    </row>
    <row r="194" spans="1:7" ht="30" hidden="1" customHeight="1" x14ac:dyDescent="0.2">
      <c r="A194" s="44"/>
      <c r="C194" s="557" t="s">
        <v>2331</v>
      </c>
      <c r="D194" s="557" t="s">
        <v>2330</v>
      </c>
      <c r="E194" s="557" t="s">
        <v>2339</v>
      </c>
      <c r="F194" s="557" t="s">
        <v>2336</v>
      </c>
      <c r="G194" s="557" t="s">
        <v>2335</v>
      </c>
    </row>
    <row r="195" spans="1:7" ht="15" hidden="1" customHeight="1" x14ac:dyDescent="0.2">
      <c r="A195" s="44"/>
      <c r="C195" s="560" t="s">
        <v>348</v>
      </c>
      <c r="D195" s="559">
        <f>G171</f>
        <v>0</v>
      </c>
      <c r="E195" s="555" t="str">
        <f>IFERROR(ROUNDDOWN(INDEX(Data!$AS$11:$BC$98,MATCH(Details!$E$18,Data!$AR$11:$AR$98,0),MATCH(VLOOKUP(0,Data!$BE$11:$BF$16,2),Data!$AS$10:$BC$10,0))*2*0.65*0.3/12,0),"")</f>
        <v/>
      </c>
      <c r="F195" s="555" t="str">
        <f>IFERROR(INDEX(Data!$BN$11:$BS$98,MATCH(Details!$E$18,Data!$BN$11:$BN$98,0),MATCH(0,Data!$BN$10:$BS$10,0)),"N/A")</f>
        <v>N/A</v>
      </c>
      <c r="G195" s="555" t="str">
        <f>IF(F195&lt;E195,"FMR","65% AMI")</f>
        <v>65% AMI</v>
      </c>
    </row>
    <row r="196" spans="1:7" ht="15" hidden="1" customHeight="1" x14ac:dyDescent="0.2">
      <c r="A196" s="44"/>
      <c r="C196" s="560">
        <v>1</v>
      </c>
      <c r="D196" s="559">
        <f t="shared" ref="D196:D200" si="16">G172</f>
        <v>0</v>
      </c>
      <c r="E196" s="555" t="str">
        <f>IFERROR(ROUNDDOWN(INDEX(Data!$AS$11:$BC$98,MATCH(Details!$E$18,Data!$AR$11:$AR$98,0),MATCH(VLOOKUP($C196,Data!$BE$11:$BF$16,2),Data!$AS$10:$BC$10,0))*2*0.65*0.3/12,0),"")</f>
        <v/>
      </c>
      <c r="F196" s="555" t="str">
        <f>IFERROR(INDEX(Data!$BN$11:$BS$98,MATCH(Details!$E$18,Data!$BN$11:$BN$98,0),MATCH($C196,Data!$BN$10:$BS$10,0)),"N/A")</f>
        <v>N/A</v>
      </c>
      <c r="G196" s="555" t="str">
        <f t="shared" ref="G196:G200" si="17">IF(F196&lt;E196,"FMR","65% AMI")</f>
        <v>65% AMI</v>
      </c>
    </row>
    <row r="197" spans="1:7" ht="15" hidden="1" customHeight="1" x14ac:dyDescent="0.2">
      <c r="A197" s="44"/>
      <c r="C197" s="560">
        <v>2</v>
      </c>
      <c r="D197" s="559">
        <f t="shared" si="16"/>
        <v>0</v>
      </c>
      <c r="E197" s="555" t="str">
        <f>IFERROR(ROUNDDOWN(INDEX(Data!$AS$11:$BC$98,MATCH(Details!$E$18,Data!$AR$11:$AR$98,0),MATCH(VLOOKUP($C197,Data!$BE$11:$BF$16,2),Data!$AS$10:$BC$10,0))*2*0.65*0.3/12,0),"")</f>
        <v/>
      </c>
      <c r="F197" s="555" t="str">
        <f>IFERROR(INDEX(Data!$BN$11:$BS$98,MATCH(Details!$E$18,Data!$BN$11:$BN$98,0),MATCH($C197,Data!$BN$10:$BS$10,0)),"N/A")</f>
        <v>N/A</v>
      </c>
      <c r="G197" s="555" t="str">
        <f t="shared" si="17"/>
        <v>65% AMI</v>
      </c>
    </row>
    <row r="198" spans="1:7" ht="15" hidden="1" customHeight="1" x14ac:dyDescent="0.2">
      <c r="A198" s="44"/>
      <c r="C198" s="560">
        <v>3</v>
      </c>
      <c r="D198" s="559">
        <f t="shared" si="16"/>
        <v>0</v>
      </c>
      <c r="E198" s="555" t="str">
        <f>IFERROR(ROUNDDOWN(INDEX(Data!$AS$11:$BC$98,MATCH(Details!$E$18,Data!$AR$11:$AR$98,0),MATCH(VLOOKUP($C198,Data!$BE$11:$BF$16,2),Data!$AS$10:$BC$10,0))*2*0.65*0.3/12,0),"")</f>
        <v/>
      </c>
      <c r="F198" s="555" t="str">
        <f>IFERROR(INDEX(Data!$BN$11:$BS$98,MATCH(Details!$E$18,Data!$BN$11:$BN$98,0),MATCH($C198,Data!$BN$10:$BS$10,0)),"N/A")</f>
        <v>N/A</v>
      </c>
      <c r="G198" s="555" t="str">
        <f t="shared" si="17"/>
        <v>65% AMI</v>
      </c>
    </row>
    <row r="199" spans="1:7" ht="15" hidden="1" customHeight="1" x14ac:dyDescent="0.2">
      <c r="A199" s="44"/>
      <c r="C199" s="560">
        <v>4</v>
      </c>
      <c r="D199" s="559">
        <f t="shared" si="16"/>
        <v>0</v>
      </c>
      <c r="E199" s="555" t="str">
        <f>IFERROR(ROUNDDOWN(INDEX(Data!$AS$11:$BC$98,MATCH(Details!$E$18,Data!$AR$11:$AR$98,0),MATCH(VLOOKUP($C199,Data!$BE$11:$BF$16,2),Data!$AS$10:$BC$10,0))*2*0.65*0.3/12,0),"")</f>
        <v/>
      </c>
      <c r="F199" s="555" t="str">
        <f>IFERROR(INDEX(Data!$BN$11:$BS$98,MATCH(Details!$E$18,Data!$BN$11:$BN$98,0),MATCH($C199,Data!$BN$10:$BS$10,0)),"N/A")</f>
        <v>N/A</v>
      </c>
      <c r="G199" s="555" t="str">
        <f t="shared" si="17"/>
        <v>65% AMI</v>
      </c>
    </row>
    <row r="200" spans="1:7" ht="15" hidden="1" customHeight="1" x14ac:dyDescent="0.2">
      <c r="A200" s="44"/>
      <c r="C200" s="560">
        <v>5</v>
      </c>
      <c r="D200" s="559">
        <f t="shared" si="16"/>
        <v>0</v>
      </c>
      <c r="E200" s="555" t="str">
        <f>IFERROR(ROUNDDOWN(INDEX(Data!$AS$11:$BC$98,MATCH(Details!$E$18,Data!$AR$11:$AR$98,0),MATCH(VLOOKUP($C200,Data!$BE$11:$BF$16,2),Data!$AS$10:$BC$10,0))*2*0.65*0.3/12,0),"")</f>
        <v/>
      </c>
      <c r="F200" s="555" t="e">
        <f>1.15*F199</f>
        <v>#VALUE!</v>
      </c>
      <c r="G200" s="555" t="e">
        <f t="shared" si="17"/>
        <v>#VALUE!</v>
      </c>
    </row>
    <row r="201" spans="1:7" ht="15" hidden="1" customHeight="1" x14ac:dyDescent="0.2">
      <c r="A201" s="44"/>
    </row>
    <row r="202" spans="1:7" ht="15" hidden="1" customHeight="1" x14ac:dyDescent="0.2">
      <c r="A202" s="44"/>
      <c r="C202" s="558" t="s">
        <v>2338</v>
      </c>
      <c r="D202" s="558"/>
      <c r="E202" s="558"/>
      <c r="F202" s="558"/>
      <c r="G202" s="558"/>
    </row>
    <row r="203" spans="1:7" ht="5.25" hidden="1" customHeight="1" x14ac:dyDescent="0.2">
      <c r="A203" s="44"/>
    </row>
    <row r="204" spans="1:7" ht="30" hidden="1" customHeight="1" x14ac:dyDescent="0.2">
      <c r="A204" s="44"/>
      <c r="C204" s="557" t="s">
        <v>2331</v>
      </c>
      <c r="D204" s="557" t="s">
        <v>2332</v>
      </c>
      <c r="E204" s="557" t="s">
        <v>2337</v>
      </c>
      <c r="F204" s="557" t="s">
        <v>2336</v>
      </c>
      <c r="G204" s="557" t="s">
        <v>2335</v>
      </c>
    </row>
    <row r="205" spans="1:7" ht="15" hidden="1" customHeight="1" x14ac:dyDescent="0.2">
      <c r="A205" s="44"/>
      <c r="C205" s="560" t="s">
        <v>348</v>
      </c>
      <c r="D205" s="559">
        <f>G183</f>
        <v>0</v>
      </c>
      <c r="E205" s="555" t="str">
        <f>IFERROR(ROUNDDOWN(INDEX(Data!$AS$11:$BC$98,MATCH(Details!$E$18,Data!$AR$11:$AR$98,0),MATCH(VLOOKUP(0,Data!$BE$11:$BF$16,2),Data!$AS$10:$BC$10,0))*2*0.5*0.3/12,0),"")</f>
        <v/>
      </c>
      <c r="F205" s="555" t="str">
        <f>IFERROR(INDEX(Data!$BN$11:$BS$98,MATCH(Details!$E$18,Data!$BN$11:$BN$98,0),MATCH(0,Data!$BN$10:$BS$10,0)),"N/A")</f>
        <v>N/A</v>
      </c>
      <c r="G205" s="555" t="str">
        <f>IF(F205&lt;E205,"FMR","50% AMI")</f>
        <v>50% AMI</v>
      </c>
    </row>
    <row r="206" spans="1:7" ht="15" hidden="1" customHeight="1" x14ac:dyDescent="0.2">
      <c r="A206" s="44"/>
      <c r="C206" s="560">
        <v>1</v>
      </c>
      <c r="D206" s="559">
        <f t="shared" ref="D206:D209" si="18">G184</f>
        <v>0</v>
      </c>
      <c r="E206" s="555" t="str">
        <f>IFERROR(ROUNDDOWN(INDEX(Data!$AS$11:$BC$98,MATCH(Details!$E$18,Data!$AR$11:$AR$98,0),MATCH(VLOOKUP($C206,Data!$BE$11:$BF$16,2),Data!$AS$10:$BC$10,0))*2*0.5*0.3/12,0),"")</f>
        <v/>
      </c>
      <c r="F206" s="555" t="str">
        <f>IFERROR(INDEX(Data!$BN$11:$BS$98,MATCH(Details!$E$18,Data!$BN$11:$BN$98,0),MATCH($C206,Data!$BN$10:$BS$10,0)),"N/A")</f>
        <v>N/A</v>
      </c>
      <c r="G206" s="555" t="str">
        <f t="shared" ref="G206:G210" si="19">IF(F206&lt;E206,"FMR","50% AMI")</f>
        <v>50% AMI</v>
      </c>
    </row>
    <row r="207" spans="1:7" ht="15" hidden="1" customHeight="1" x14ac:dyDescent="0.2">
      <c r="A207" s="44"/>
      <c r="C207" s="560">
        <v>2</v>
      </c>
      <c r="D207" s="559">
        <f t="shared" si="18"/>
        <v>0</v>
      </c>
      <c r="E207" s="555" t="str">
        <f>IFERROR(ROUNDDOWN(INDEX(Data!$AS$11:$BC$98,MATCH(Details!$E$18,Data!$AR$11:$AR$98,0),MATCH(VLOOKUP($C207,Data!$BE$11:$BF$16,2),Data!$AS$10:$BC$10,0))*2*0.5*0.3/12,0),"")</f>
        <v/>
      </c>
      <c r="F207" s="555" t="str">
        <f>IFERROR(INDEX(Data!$BN$11:$BS$98,MATCH(Details!$E$18,Data!$BN$11:$BN$98,0),MATCH($C207,Data!$BN$10:$BS$10,0)),"N/A")</f>
        <v>N/A</v>
      </c>
      <c r="G207" s="555" t="str">
        <f t="shared" si="19"/>
        <v>50% AMI</v>
      </c>
    </row>
    <row r="208" spans="1:7" ht="15" hidden="1" customHeight="1" x14ac:dyDescent="0.2">
      <c r="A208" s="44"/>
      <c r="C208" s="560">
        <v>3</v>
      </c>
      <c r="D208" s="559">
        <f t="shared" si="18"/>
        <v>0</v>
      </c>
      <c r="E208" s="555" t="str">
        <f>IFERROR(ROUNDDOWN(INDEX(Data!$AS$11:$BC$98,MATCH(Details!$E$18,Data!$AR$11:$AR$98,0),MATCH(VLOOKUP($C208,Data!$BE$11:$BF$16,2),Data!$AS$10:$BC$10,0))*2*0.5*0.3/12,0),"")</f>
        <v/>
      </c>
      <c r="F208" s="555" t="str">
        <f>IFERROR(INDEX(Data!$BN$11:$BS$98,MATCH(Details!$E$18,Data!$BN$11:$BN$98,0),MATCH($C208,Data!$BN$10:$BS$10,0)),"N/A")</f>
        <v>N/A</v>
      </c>
      <c r="G208" s="555" t="str">
        <f t="shared" si="19"/>
        <v>50% AMI</v>
      </c>
    </row>
    <row r="209" spans="1:9" ht="15" hidden="1" customHeight="1" x14ac:dyDescent="0.2">
      <c r="A209" s="44"/>
      <c r="C209" s="560">
        <v>4</v>
      </c>
      <c r="D209" s="559">
        <f t="shared" si="18"/>
        <v>0</v>
      </c>
      <c r="E209" s="555" t="str">
        <f>IFERROR(ROUNDDOWN(INDEX(Data!$AS$11:$BC$98,MATCH(Details!$E$18,Data!$AR$11:$AR$98,0),MATCH(VLOOKUP($C209,Data!$BE$11:$BF$16,2),Data!$AS$10:$BC$10,0))*2*0.5*0.3/12,0),"")</f>
        <v/>
      </c>
      <c r="F209" s="555" t="str">
        <f>IFERROR(INDEX(Data!$BN$11:$BS$98,MATCH(Details!$E$18,Data!$BN$11:$BN$98,0),MATCH($C209,Data!$BN$10:$BS$10,0)),"N/A")</f>
        <v>N/A</v>
      </c>
      <c r="G209" s="555" t="str">
        <f t="shared" si="19"/>
        <v>50% AMI</v>
      </c>
    </row>
    <row r="210" spans="1:9" ht="15" hidden="1" customHeight="1" x14ac:dyDescent="0.2">
      <c r="A210" s="44"/>
      <c r="C210" s="560">
        <v>5</v>
      </c>
      <c r="D210" s="559">
        <f>G188</f>
        <v>0</v>
      </c>
      <c r="E210" s="555" t="str">
        <f>IFERROR(ROUNDDOWN(INDEX(Data!$AS$11:$BC$98,MATCH(Details!$E$18,Data!$AR$11:$AR$98,0),MATCH(VLOOKUP($C210,Data!$BE$11:$BF$16,2),Data!$AS$10:$BC$10,0))*2*0.5*0.3/12,0),"")</f>
        <v/>
      </c>
      <c r="F210" s="791" t="e">
        <f>1.15*F209</f>
        <v>#VALUE!</v>
      </c>
      <c r="G210" s="555" t="e">
        <f t="shared" si="19"/>
        <v>#VALUE!</v>
      </c>
    </row>
    <row r="211" spans="1:9" ht="15" customHeight="1" x14ac:dyDescent="0.2">
      <c r="A211" s="44"/>
    </row>
    <row r="212" spans="1:9" ht="15" customHeight="1" x14ac:dyDescent="0.25">
      <c r="A212" s="44"/>
      <c r="C212" s="1468" t="s">
        <v>2334</v>
      </c>
      <c r="D212" s="1468"/>
      <c r="E212" s="1468"/>
      <c r="F212" s="1468"/>
      <c r="G212" s="1468"/>
      <c r="H212" s="1468"/>
      <c r="I212" s="1468"/>
    </row>
    <row r="213" spans="1:9" ht="15" customHeight="1" x14ac:dyDescent="0.2">
      <c r="A213" s="44"/>
    </row>
    <row r="214" spans="1:9" ht="15" customHeight="1" x14ac:dyDescent="0.2">
      <c r="A214" s="44"/>
      <c r="C214" s="1537" t="s">
        <v>2333</v>
      </c>
      <c r="D214" s="1537"/>
      <c r="E214" s="1537"/>
      <c r="F214" s="1537"/>
      <c r="G214" s="1537"/>
      <c r="H214" s="1537"/>
      <c r="I214" s="1537"/>
    </row>
    <row r="215" spans="1:9" ht="15" customHeight="1" thickBot="1" x14ac:dyDescent="0.25">
      <c r="A215" s="44"/>
    </row>
    <row r="216" spans="1:9" ht="15" customHeight="1" x14ac:dyDescent="0.2">
      <c r="A216" s="44"/>
      <c r="D216" s="1544" t="s">
        <v>2330</v>
      </c>
      <c r="E216" s="1545"/>
      <c r="F216" s="1546"/>
      <c r="G216" s="1544" t="s">
        <v>2332</v>
      </c>
      <c r="H216" s="1545"/>
      <c r="I216" s="1546"/>
    </row>
    <row r="217" spans="1:9" ht="45" customHeight="1" x14ac:dyDescent="0.2">
      <c r="A217" s="44"/>
      <c r="C217" s="1023" t="s">
        <v>2331</v>
      </c>
      <c r="D217" s="1024" t="s">
        <v>2330</v>
      </c>
      <c r="E217" s="995" t="s">
        <v>2329</v>
      </c>
      <c r="F217" s="999" t="s">
        <v>2328</v>
      </c>
      <c r="G217" s="1025" t="s">
        <v>2327</v>
      </c>
      <c r="H217" s="994" t="s">
        <v>2326</v>
      </c>
      <c r="I217" s="1026" t="s">
        <v>2325</v>
      </c>
    </row>
    <row r="218" spans="1:9" ht="15" customHeight="1" x14ac:dyDescent="0.2">
      <c r="A218" s="44"/>
      <c r="C218" s="552" t="s">
        <v>348</v>
      </c>
      <c r="D218" s="556">
        <f>D195</f>
        <v>0</v>
      </c>
      <c r="E218" s="555" t="str">
        <f>G195</f>
        <v>65% AMI</v>
      </c>
      <c r="F218" s="553">
        <f>MIN(E195:F195)</f>
        <v>0</v>
      </c>
      <c r="G218" s="794">
        <f>D205</f>
        <v>0</v>
      </c>
      <c r="H218" s="554" t="str">
        <f>G205</f>
        <v>50% AMI</v>
      </c>
      <c r="I218" s="553">
        <f>MIN(E205:F205)</f>
        <v>0</v>
      </c>
    </row>
    <row r="219" spans="1:9" ht="15" customHeight="1" x14ac:dyDescent="0.2">
      <c r="A219" s="44"/>
      <c r="C219" s="552">
        <v>1</v>
      </c>
      <c r="D219" s="556">
        <f t="shared" ref="D219:D223" si="20">D196</f>
        <v>0</v>
      </c>
      <c r="E219" s="555" t="str">
        <f t="shared" ref="E219:E223" si="21">G196</f>
        <v>65% AMI</v>
      </c>
      <c r="F219" s="553">
        <f t="shared" ref="F219:F223" si="22">MIN(E196:F196)</f>
        <v>0</v>
      </c>
      <c r="G219" s="794">
        <f t="shared" ref="G219:G223" si="23">D206</f>
        <v>0</v>
      </c>
      <c r="H219" s="554" t="str">
        <f t="shared" ref="H219:H223" si="24">G206</f>
        <v>50% AMI</v>
      </c>
      <c r="I219" s="553">
        <f t="shared" ref="I219:I223" si="25">MIN(E206:F206)</f>
        <v>0</v>
      </c>
    </row>
    <row r="220" spans="1:9" ht="15" customHeight="1" x14ac:dyDescent="0.2">
      <c r="A220" s="44"/>
      <c r="C220" s="552">
        <v>2</v>
      </c>
      <c r="D220" s="556">
        <f t="shared" si="20"/>
        <v>0</v>
      </c>
      <c r="E220" s="555" t="str">
        <f t="shared" si="21"/>
        <v>65% AMI</v>
      </c>
      <c r="F220" s="553">
        <f t="shared" si="22"/>
        <v>0</v>
      </c>
      <c r="G220" s="794">
        <f t="shared" si="23"/>
        <v>0</v>
      </c>
      <c r="H220" s="554" t="str">
        <f t="shared" si="24"/>
        <v>50% AMI</v>
      </c>
      <c r="I220" s="553">
        <f t="shared" si="25"/>
        <v>0</v>
      </c>
    </row>
    <row r="221" spans="1:9" ht="15" customHeight="1" x14ac:dyDescent="0.2">
      <c r="A221" s="44"/>
      <c r="C221" s="552">
        <v>3</v>
      </c>
      <c r="D221" s="556">
        <f t="shared" si="20"/>
        <v>0</v>
      </c>
      <c r="E221" s="555" t="str">
        <f t="shared" si="21"/>
        <v>65% AMI</v>
      </c>
      <c r="F221" s="553">
        <f t="shared" si="22"/>
        <v>0</v>
      </c>
      <c r="G221" s="794">
        <f t="shared" si="23"/>
        <v>0</v>
      </c>
      <c r="H221" s="554" t="str">
        <f t="shared" si="24"/>
        <v>50% AMI</v>
      </c>
      <c r="I221" s="553">
        <f t="shared" si="25"/>
        <v>0</v>
      </c>
    </row>
    <row r="222" spans="1:9" ht="15" customHeight="1" x14ac:dyDescent="0.2">
      <c r="A222" s="44"/>
      <c r="C222" s="552">
        <v>4</v>
      </c>
      <c r="D222" s="556">
        <f t="shared" si="20"/>
        <v>0</v>
      </c>
      <c r="E222" s="555" t="str">
        <f t="shared" si="21"/>
        <v>65% AMI</v>
      </c>
      <c r="F222" s="553">
        <f t="shared" si="22"/>
        <v>0</v>
      </c>
      <c r="G222" s="794">
        <f t="shared" si="23"/>
        <v>0</v>
      </c>
      <c r="H222" s="554" t="str">
        <f t="shared" si="24"/>
        <v>50% AMI</v>
      </c>
      <c r="I222" s="553">
        <f t="shared" si="25"/>
        <v>0</v>
      </c>
    </row>
    <row r="223" spans="1:9" ht="15" customHeight="1" thickBot="1" x14ac:dyDescent="0.25">
      <c r="A223" s="44"/>
      <c r="C223" s="552">
        <v>5</v>
      </c>
      <c r="D223" s="556">
        <f t="shared" si="20"/>
        <v>0</v>
      </c>
      <c r="E223" s="551" t="e">
        <f t="shared" si="21"/>
        <v>#VALUE!</v>
      </c>
      <c r="F223" s="549" t="e">
        <f t="shared" si="22"/>
        <v>#VALUE!</v>
      </c>
      <c r="G223" s="795">
        <f t="shared" si="23"/>
        <v>0</v>
      </c>
      <c r="H223" s="550" t="e">
        <f t="shared" si="24"/>
        <v>#VALUE!</v>
      </c>
      <c r="I223" s="549" t="e">
        <f t="shared" si="25"/>
        <v>#VALUE!</v>
      </c>
    </row>
    <row r="224" spans="1:9" ht="15" customHeight="1" x14ac:dyDescent="0.2">
      <c r="A224" s="44"/>
    </row>
    <row r="225" spans="1:1" ht="15" hidden="1" customHeight="1" x14ac:dyDescent="0.2">
      <c r="A225" s="44"/>
    </row>
    <row r="226" spans="1:1" ht="15" hidden="1" customHeight="1" x14ac:dyDescent="0.2">
      <c r="A226" s="44"/>
    </row>
    <row r="227" spans="1:1" ht="15" hidden="1" customHeight="1" x14ac:dyDescent="0.2">
      <c r="A227" s="44"/>
    </row>
    <row r="228" spans="1:1" ht="15" hidden="1" customHeight="1" x14ac:dyDescent="0.2">
      <c r="A228" s="44"/>
    </row>
    <row r="229" spans="1:1" ht="15" hidden="1" customHeight="1" x14ac:dyDescent="0.2">
      <c r="A229" s="44"/>
    </row>
    <row r="230" spans="1:1" ht="15" hidden="1" customHeight="1" x14ac:dyDescent="0.2">
      <c r="A230" s="44"/>
    </row>
    <row r="231" spans="1:1" ht="15" hidden="1" customHeight="1" x14ac:dyDescent="0.2">
      <c r="A231" s="44"/>
    </row>
    <row r="232" spans="1:1" ht="15" hidden="1" customHeight="1" x14ac:dyDescent="0.2">
      <c r="A232" s="44"/>
    </row>
    <row r="233" spans="1:1" ht="15" hidden="1" customHeight="1" x14ac:dyDescent="0.2"/>
  </sheetData>
  <sheetProtection algorithmName="SHA-512" hashValue="QjnTPgsigjPyoofAegm60jQql6cxQK9XRNaUmk7Pcs3ylj7wf2h9dMtgvxu8EBxIKQvuchsg3Db0zqwmzQt3gg==" saltValue="A1etOk/XQP9Kc/qP5Y+uGQ==" spinCount="100000" sheet="1" objects="1" scenarios="1"/>
  <mergeCells count="91">
    <mergeCell ref="C212:I212"/>
    <mergeCell ref="C214:I214"/>
    <mergeCell ref="D216:F216"/>
    <mergeCell ref="G216:I216"/>
    <mergeCell ref="B2:F2"/>
    <mergeCell ref="B3:F3"/>
    <mergeCell ref="G3:I3"/>
    <mergeCell ref="C7:I7"/>
    <mergeCell ref="C27:I27"/>
    <mergeCell ref="C163:E163"/>
    <mergeCell ref="C164:E164"/>
    <mergeCell ref="C165:E165"/>
    <mergeCell ref="C168:F168"/>
    <mergeCell ref="C180:F180"/>
    <mergeCell ref="C156:E156"/>
    <mergeCell ref="G156:H156"/>
    <mergeCell ref="C157:E157"/>
    <mergeCell ref="G157:H157"/>
    <mergeCell ref="C160:G160"/>
    <mergeCell ref="C114:I114"/>
    <mergeCell ref="C116:I117"/>
    <mergeCell ref="C119:D119"/>
    <mergeCell ref="F119:G119"/>
    <mergeCell ref="C120:D120"/>
    <mergeCell ref="F120:G120"/>
    <mergeCell ref="C123:F123"/>
    <mergeCell ref="C124:G124"/>
    <mergeCell ref="C126:F126"/>
    <mergeCell ref="C127:F127"/>
    <mergeCell ref="C155:E155"/>
    <mergeCell ref="G155:H155"/>
    <mergeCell ref="C132:G132"/>
    <mergeCell ref="C145:I145"/>
    <mergeCell ref="C146:I146"/>
    <mergeCell ref="C148:I150"/>
    <mergeCell ref="C152:E152"/>
    <mergeCell ref="C153:E153"/>
    <mergeCell ref="C128:F128"/>
    <mergeCell ref="C129:F129"/>
    <mergeCell ref="C131:F131"/>
    <mergeCell ref="C113:I113"/>
    <mergeCell ref="C87:E87"/>
    <mergeCell ref="C90:F90"/>
    <mergeCell ref="C99:E99"/>
    <mergeCell ref="C102:H102"/>
    <mergeCell ref="C104:E104"/>
    <mergeCell ref="C106:E106"/>
    <mergeCell ref="C107:E107"/>
    <mergeCell ref="C108:E108"/>
    <mergeCell ref="C109:E109"/>
    <mergeCell ref="C110:E110"/>
    <mergeCell ref="G110:I110"/>
    <mergeCell ref="C51:E51"/>
    <mergeCell ref="C48:F48"/>
    <mergeCell ref="C54:E54"/>
    <mergeCell ref="G55:I56"/>
    <mergeCell ref="C29:I31"/>
    <mergeCell ref="C34:E34"/>
    <mergeCell ref="C35:E35"/>
    <mergeCell ref="C40:I40"/>
    <mergeCell ref="C41:I41"/>
    <mergeCell ref="C43:I45"/>
    <mergeCell ref="C47:F47"/>
    <mergeCell ref="C50:E50"/>
    <mergeCell ref="C37:E37"/>
    <mergeCell ref="G37:I38"/>
    <mergeCell ref="C86:E86"/>
    <mergeCell ref="C52:E52"/>
    <mergeCell ref="C53:E53"/>
    <mergeCell ref="G53:I53"/>
    <mergeCell ref="C55:E55"/>
    <mergeCell ref="C56:E56"/>
    <mergeCell ref="C57:E57"/>
    <mergeCell ref="C58:E58"/>
    <mergeCell ref="C59:E59"/>
    <mergeCell ref="C61:F61"/>
    <mergeCell ref="C85:E85"/>
    <mergeCell ref="C22:E22"/>
    <mergeCell ref="C23:E23"/>
    <mergeCell ref="C26:I26"/>
    <mergeCell ref="C33:E33"/>
    <mergeCell ref="G2:I2"/>
    <mergeCell ref="G16:H16"/>
    <mergeCell ref="G17:H17"/>
    <mergeCell ref="G18:H18"/>
    <mergeCell ref="G19:H19"/>
    <mergeCell ref="C18:E18"/>
    <mergeCell ref="C19:E19"/>
    <mergeCell ref="C9:I14"/>
    <mergeCell ref="C16:E16"/>
    <mergeCell ref="C17:E17"/>
  </mergeCells>
  <conditionalFormatting sqref="C136:D141 F136:F141">
    <cfRule type="expression" dxfId="191" priority="24">
      <formula>$D136=0</formula>
    </cfRule>
  </conditionalFormatting>
  <conditionalFormatting sqref="C93:F98">
    <cfRule type="expression" dxfId="190" priority="17">
      <formula>$D93=0</formula>
    </cfRule>
  </conditionalFormatting>
  <conditionalFormatting sqref="C126:I143">
    <cfRule type="expression" dxfId="189" priority="20">
      <formula>$G$123="No"</formula>
    </cfRule>
  </conditionalFormatting>
  <conditionalFormatting sqref="C160:I223">
    <cfRule type="expression" dxfId="188" priority="1">
      <formula>$F$153="No"</formula>
    </cfRule>
  </conditionalFormatting>
  <conditionalFormatting sqref="C171:I176 H172:H177">
    <cfRule type="expression" dxfId="187" priority="5">
      <formula>$D171=0</formula>
    </cfRule>
  </conditionalFormatting>
  <conditionalFormatting sqref="C183:I188 E184:E189 H184:H189 H189:I189">
    <cfRule type="expression" dxfId="186" priority="7">
      <formula>$D183=0</formula>
    </cfRule>
  </conditionalFormatting>
  <conditionalFormatting sqref="E171:F177">
    <cfRule type="expression" dxfId="185" priority="2">
      <formula>$D171=0</formula>
    </cfRule>
  </conditionalFormatting>
  <conditionalFormatting sqref="H177:I177">
    <cfRule type="expression" dxfId="184" priority="4">
      <formula>$D177=0</formula>
    </cfRule>
  </conditionalFormatting>
  <dataValidations count="2">
    <dataValidation type="list" allowBlank="1" showInputMessage="1" showErrorMessage="1" sqref="G123 G125:G127 F33:F35" xr:uid="{C152E6FB-B93B-4798-8C98-C24DEDFF6E76}">
      <formula1>"Yes, No"</formula1>
    </dataValidation>
    <dataValidation type="list" allowBlank="1" showInputMessage="1" showErrorMessage="1" sqref="D64:D71" xr:uid="{8E5EE111-ABE3-4C42-BE4C-0894671C8625}">
      <formula1>"0,1,2,3,4,5"</formula1>
    </dataValidation>
  </dataValidations>
  <hyperlinks>
    <hyperlink ref="C47:E47" r:id="rId1" display="• HOME-ARP Supplemental Allocations by Participating Jurisdiction" xr:uid="{65975E01-6862-4E85-A8B7-55247CDE040B}"/>
    <hyperlink ref="C47:F47" r:id="rId2" display="• Allocating Eligible Costs and Identifying HOME-Assisted Units (CPD-16-15)" xr:uid="{1041039B-69DA-4DE5-9BE9-E53576D97C60}"/>
    <hyperlink ref="C48" r:id="rId3" xr:uid="{22606419-561A-473D-8193-9F177A0C36B7}"/>
    <hyperlink ref="F120:G120" r:id="rId4" location="p-93.302(b)(1)(i)" display="24 C.F.R. §93.302(b)(1)(i)" xr:uid="{2585D5F1-53C6-4423-94EA-A9CA6A4035C3}"/>
    <hyperlink ref="G156:H156" r:id="rId5" location="p-92.252(a)" display="24 C.F.R. §92.252(a)-(b)" xr:uid="{04207D57-7DF7-44A4-9D7A-7B38C4012594}"/>
    <hyperlink ref="G157:H157" r:id="rId6" location="p-92.219(b)(2)(i)" display="24 C.F.R. §92.219(b)(2)(i)" xr:uid="{9F4566F6-C9ED-4741-B3B1-AEB1A05D705D}"/>
  </hyperlinks>
  <pageMargins left="0.7" right="0.7" top="0.75" bottom="0.75" header="0.3" footer="0.3"/>
  <pageSetup scale="69" fitToHeight="0" orientation="portrait" r:id="rId7"/>
  <headerFooter>
    <oddFooter>&amp;L&amp;"-,Bold"&amp;9HDAP Cost Allocation - Standard Method Tab&amp;"-,Regular"
Affordable Housing Funding Application (AHFA)&amp;C&amp;9Ohio Housing Finance Agency&amp;R&amp;9Page &amp;P of &amp;N</oddFooter>
  </headerFooter>
  <rowBreaks count="3" manualBreakCount="3">
    <brk id="39" min="1" max="8" man="1"/>
    <brk id="89" min="1" max="8" man="1"/>
    <brk id="112" min="1" max="8" man="1"/>
  </rowBreaks>
  <ignoredErrors>
    <ignoredError sqref="F50:F51" formulaRange="1"/>
  </ignoredErrors>
  <drawing r:id="rId8"/>
  <legacyDrawing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11C80-EF20-4041-A352-F3B1AC50FBB6}">
  <sheetPr>
    <pageSetUpPr autoPageBreaks="0" fitToPage="1"/>
  </sheetPr>
  <dimension ref="A1:P531"/>
  <sheetViews>
    <sheetView zoomScale="85" zoomScaleNormal="85" workbookViewId="0"/>
  </sheetViews>
  <sheetFormatPr defaultColWidth="0" defaultRowHeight="15" customHeight="1" zeroHeight="1" x14ac:dyDescent="0.2"/>
  <cols>
    <col min="1" max="1" width="2.625" style="83" customWidth="1"/>
    <col min="2" max="2" width="0.625" style="83" customWidth="1"/>
    <col min="3" max="4" width="13.625" style="83" customWidth="1"/>
    <col min="5" max="6" width="16.625" style="83" customWidth="1"/>
    <col min="7" max="9" width="13.625" style="83" customWidth="1"/>
    <col min="10" max="11" width="16.625" style="83" customWidth="1"/>
    <col min="12" max="12" width="0.625" style="83" customWidth="1"/>
    <col min="13" max="13" width="2.625" style="83" customWidth="1"/>
    <col min="14" max="14" width="8.875" style="83" hidden="1" customWidth="1"/>
    <col min="15" max="16" width="0" style="83" hidden="1" customWidth="1"/>
    <col min="17" max="16384" width="8.875" style="83" hidden="1"/>
  </cols>
  <sheetData>
    <row r="1" spans="2:13" ht="55.5" customHeight="1" x14ac:dyDescent="0.2">
      <c r="B1" s="1"/>
      <c r="C1" s="1"/>
      <c r="D1" s="1"/>
      <c r="E1" s="1"/>
      <c r="F1" s="1"/>
      <c r="G1" s="1"/>
      <c r="H1" s="1"/>
      <c r="I1" s="1"/>
      <c r="J1" s="1"/>
      <c r="K1" s="1"/>
      <c r="L1" s="1"/>
    </row>
    <row r="2" spans="2:13" ht="25.5" customHeight="1" x14ac:dyDescent="0.2">
      <c r="B2" s="1211" t="s">
        <v>297</v>
      </c>
      <c r="C2" s="1212"/>
      <c r="D2" s="1212"/>
      <c r="E2" s="1212"/>
      <c r="F2" s="1212"/>
      <c r="G2" s="27"/>
      <c r="H2" s="1217" t="str">
        <f>CONCATENATE(IF(Instructions!$K$2="","",Instructions!$K$2)," ",IF(Details!$E$11="","",Details!$E$11))</f>
        <v>2026 9% LIHTC AHFA Proposal Application</v>
      </c>
      <c r="I2" s="1217"/>
      <c r="J2" s="1217"/>
      <c r="K2" s="1217"/>
      <c r="L2" s="1218"/>
      <c r="M2" s="234"/>
    </row>
    <row r="3" spans="2:13" ht="20.25" customHeight="1" x14ac:dyDescent="0.2">
      <c r="B3" s="1166" t="s">
        <v>437</v>
      </c>
      <c r="C3" s="1167"/>
      <c r="D3" s="1167"/>
      <c r="E3" s="1167"/>
      <c r="F3" s="1167"/>
      <c r="G3" s="237"/>
      <c r="H3" s="1304" t="str">
        <f>IF(Details!$E$12="","",CONCATENATE("Project Name: ",Details!$E$12))</f>
        <v/>
      </c>
      <c r="I3" s="1304"/>
      <c r="J3" s="1304"/>
      <c r="K3" s="1304"/>
      <c r="L3" s="1305"/>
      <c r="M3" s="235"/>
    </row>
    <row r="4" spans="2:13" ht="5.25" customHeight="1" x14ac:dyDescent="0.2">
      <c r="B4" s="238"/>
      <c r="C4" s="238"/>
      <c r="D4" s="238"/>
      <c r="E4" s="238"/>
      <c r="F4" s="238"/>
      <c r="G4" s="1"/>
      <c r="H4" s="239"/>
      <c r="I4" s="239"/>
      <c r="J4" s="235"/>
      <c r="K4" s="235"/>
      <c r="L4" s="235"/>
    </row>
    <row r="5" spans="2:13" ht="15" customHeight="1" x14ac:dyDescent="0.2"/>
    <row r="6" spans="2:13" x14ac:dyDescent="0.2">
      <c r="B6" s="1281" t="s">
        <v>513</v>
      </c>
      <c r="C6" s="1281"/>
      <c r="D6" s="1281"/>
      <c r="E6" s="1281"/>
      <c r="F6" s="1281"/>
      <c r="G6" s="1281"/>
      <c r="H6" s="1281"/>
      <c r="I6" s="1281"/>
      <c r="J6" s="1281"/>
      <c r="K6" s="1281"/>
      <c r="L6" s="1281"/>
    </row>
    <row r="7" spans="2:13" ht="3" customHeight="1" x14ac:dyDescent="0.2">
      <c r="B7" s="1312"/>
      <c r="C7" s="1312"/>
      <c r="D7" s="1312"/>
      <c r="E7" s="1312"/>
      <c r="F7" s="1312"/>
      <c r="G7" s="1312"/>
      <c r="H7" s="1312"/>
      <c r="I7" s="1312"/>
      <c r="J7" s="1312"/>
      <c r="K7" s="1312"/>
      <c r="L7" s="1312"/>
    </row>
    <row r="8" spans="2:13" ht="15" customHeight="1" x14ac:dyDescent="0.2">
      <c r="C8" s="240"/>
      <c r="K8" s="240"/>
    </row>
    <row r="9" spans="2:13" ht="15" customHeight="1" x14ac:dyDescent="0.2">
      <c r="C9" s="1157" t="s">
        <v>532</v>
      </c>
      <c r="D9" s="1157"/>
      <c r="E9" s="1157"/>
      <c r="F9" s="1157"/>
      <c r="G9" s="241"/>
      <c r="H9" s="1157" t="s">
        <v>564</v>
      </c>
      <c r="I9" s="1157"/>
      <c r="J9" s="1157"/>
      <c r="K9" s="1157"/>
      <c r="M9" s="240"/>
    </row>
    <row r="10" spans="2:13" ht="15" customHeight="1" x14ac:dyDescent="0.2">
      <c r="C10" s="1574" t="s">
        <v>533</v>
      </c>
      <c r="D10" s="1574"/>
      <c r="E10" s="1574"/>
      <c r="F10" s="1574"/>
      <c r="G10" s="241"/>
      <c r="H10" s="1575" t="s">
        <v>2008</v>
      </c>
      <c r="I10" s="1575"/>
      <c r="J10" s="1575"/>
      <c r="K10" s="1575"/>
      <c r="M10" s="240"/>
    </row>
    <row r="11" spans="2:13" ht="5.25" customHeight="1" x14ac:dyDescent="0.2">
      <c r="C11" s="73"/>
      <c r="D11" s="73"/>
      <c r="E11" s="241"/>
      <c r="F11" s="241"/>
      <c r="G11" s="241"/>
      <c r="H11" s="242"/>
      <c r="I11" s="242"/>
      <c r="J11" s="242"/>
      <c r="K11" s="242"/>
      <c r="M11" s="240"/>
    </row>
    <row r="12" spans="2:13" ht="15" customHeight="1" x14ac:dyDescent="0.2">
      <c r="C12" s="1149" t="s">
        <v>539</v>
      </c>
      <c r="D12" s="1204"/>
      <c r="E12" s="1345"/>
      <c r="F12" s="1345"/>
      <c r="G12" s="241"/>
      <c r="H12" s="1149" t="s">
        <v>544</v>
      </c>
      <c r="I12" s="1204"/>
      <c r="J12" s="1345"/>
      <c r="K12" s="1345"/>
      <c r="M12" s="240"/>
    </row>
    <row r="13" spans="2:13" ht="15" customHeight="1" x14ac:dyDescent="0.2">
      <c r="C13" s="1149" t="s">
        <v>299</v>
      </c>
      <c r="D13" s="1204"/>
      <c r="E13" s="1345"/>
      <c r="F13" s="1345"/>
      <c r="G13" s="241"/>
      <c r="H13" s="1149" t="s">
        <v>545</v>
      </c>
      <c r="I13" s="1204"/>
      <c r="J13" s="1345"/>
      <c r="K13" s="1345"/>
      <c r="M13" s="240"/>
    </row>
    <row r="14" spans="2:13" ht="15" customHeight="1" x14ac:dyDescent="0.2">
      <c r="C14" s="1149" t="s">
        <v>540</v>
      </c>
      <c r="D14" s="1204"/>
      <c r="E14" s="1345"/>
      <c r="F14" s="1345"/>
      <c r="G14" s="243"/>
      <c r="H14" s="1149" t="s">
        <v>546</v>
      </c>
      <c r="I14" s="1204"/>
      <c r="J14" s="1345"/>
      <c r="K14" s="1345"/>
      <c r="M14" s="240"/>
    </row>
    <row r="15" spans="2:13" ht="15" customHeight="1" x14ac:dyDescent="0.2">
      <c r="C15" s="1149" t="s">
        <v>541</v>
      </c>
      <c r="D15" s="1204"/>
      <c r="E15" s="1576"/>
      <c r="F15" s="1576"/>
      <c r="G15" s="241"/>
      <c r="H15" s="1149" t="s">
        <v>547</v>
      </c>
      <c r="I15" s="1204"/>
      <c r="J15" s="1345"/>
      <c r="K15" s="1345"/>
      <c r="M15" s="240"/>
    </row>
    <row r="16" spans="2:13" ht="15" customHeight="1" x14ac:dyDescent="0.2">
      <c r="C16" s="1149" t="s">
        <v>574</v>
      </c>
      <c r="D16" s="1204"/>
      <c r="E16" s="1345"/>
      <c r="F16" s="1345"/>
      <c r="G16" s="244"/>
      <c r="H16" s="1149" t="s">
        <v>528</v>
      </c>
      <c r="I16" s="1204"/>
      <c r="J16" s="1561"/>
      <c r="K16" s="1561"/>
      <c r="M16" s="240"/>
    </row>
    <row r="17" spans="3:15" ht="15" customHeight="1" x14ac:dyDescent="0.2">
      <c r="C17" s="1149" t="s">
        <v>575</v>
      </c>
      <c r="D17" s="1204"/>
      <c r="E17" s="1562"/>
      <c r="F17" s="1562"/>
      <c r="G17" s="241"/>
      <c r="H17" s="1149" t="s">
        <v>529</v>
      </c>
      <c r="I17" s="1204"/>
      <c r="J17" s="1561"/>
      <c r="K17" s="1561"/>
      <c r="M17" s="240"/>
    </row>
    <row r="18" spans="3:15" ht="15" customHeight="1" x14ac:dyDescent="0.2">
      <c r="C18" s="1149" t="s">
        <v>542</v>
      </c>
      <c r="D18" s="1204"/>
      <c r="E18" s="1345"/>
      <c r="F18" s="1345"/>
      <c r="G18" s="241"/>
      <c r="H18" s="1149" t="s">
        <v>530</v>
      </c>
      <c r="I18" s="1204"/>
      <c r="J18" s="1580"/>
      <c r="K18" s="1345"/>
      <c r="M18" s="240"/>
    </row>
    <row r="19" spans="3:15" ht="15" customHeight="1" x14ac:dyDescent="0.2">
      <c r="C19" s="1149" t="s">
        <v>543</v>
      </c>
      <c r="D19" s="1204"/>
      <c r="E19" s="1585"/>
      <c r="F19" s="1198"/>
      <c r="G19" s="241"/>
      <c r="H19" s="73"/>
      <c r="I19" s="73"/>
      <c r="J19" s="241"/>
      <c r="K19" s="241"/>
      <c r="M19" s="240"/>
    </row>
    <row r="20" spans="3:15" ht="15" customHeight="1" x14ac:dyDescent="0.2">
      <c r="C20" s="1149" t="s">
        <v>591</v>
      </c>
      <c r="D20" s="1149"/>
      <c r="E20" s="1345"/>
      <c r="F20" s="1345"/>
      <c r="G20" s="241"/>
      <c r="H20" s="73"/>
      <c r="I20" s="73"/>
      <c r="J20" s="241"/>
      <c r="K20" s="241"/>
      <c r="M20" s="240"/>
    </row>
    <row r="21" spans="3:15" ht="15" customHeight="1" x14ac:dyDescent="0.2">
      <c r="O21" s="240"/>
    </row>
    <row r="22" spans="3:15" ht="15" customHeight="1" x14ac:dyDescent="0.2">
      <c r="C22" s="1301" t="s">
        <v>99</v>
      </c>
      <c r="D22" s="1301"/>
      <c r="E22" s="1301"/>
      <c r="F22" s="1301"/>
      <c r="H22" s="1157" t="s">
        <v>534</v>
      </c>
      <c r="I22" s="1157"/>
      <c r="J22" s="1157"/>
      <c r="K22" s="1157"/>
      <c r="L22" s="240"/>
    </row>
    <row r="23" spans="3:15" ht="15" customHeight="1" x14ac:dyDescent="0.2">
      <c r="C23" s="1589" t="str">
        <f>CONCATENATE("This individual is responsible for the ",Details!$E$12, " application")</f>
        <v>This individual is responsible for the  application</v>
      </c>
      <c r="D23" s="1589"/>
      <c r="E23" s="1589"/>
      <c r="F23" s="1589"/>
      <c r="G23" s="31"/>
      <c r="H23" s="1575" t="s">
        <v>531</v>
      </c>
      <c r="I23" s="1575"/>
      <c r="J23" s="1575"/>
      <c r="K23" s="1575"/>
      <c r="L23" s="240"/>
    </row>
    <row r="24" spans="3:15" ht="5.25" customHeight="1" x14ac:dyDescent="0.2">
      <c r="C24" s="245"/>
      <c r="D24" s="245"/>
      <c r="E24" s="245"/>
      <c r="F24" s="245"/>
      <c r="G24" s="31"/>
      <c r="H24" s="33"/>
      <c r="I24" s="33"/>
      <c r="J24" s="33"/>
      <c r="K24" s="33"/>
      <c r="L24" s="240"/>
    </row>
    <row r="25" spans="3:15" ht="15" customHeight="1" x14ac:dyDescent="0.2">
      <c r="C25" s="1149" t="s">
        <v>524</v>
      </c>
      <c r="D25" s="1149"/>
      <c r="E25" s="1345"/>
      <c r="F25" s="1345"/>
      <c r="G25" s="241"/>
      <c r="H25" s="1149" t="s">
        <v>535</v>
      </c>
      <c r="I25" s="1149"/>
      <c r="J25" s="1345"/>
      <c r="K25" s="1345"/>
      <c r="L25" s="240"/>
    </row>
    <row r="26" spans="3:15" ht="15" customHeight="1" x14ac:dyDescent="0.2">
      <c r="C26" s="1149" t="s">
        <v>525</v>
      </c>
      <c r="D26" s="1149"/>
      <c r="E26" s="1345"/>
      <c r="F26" s="1345"/>
      <c r="G26" s="241"/>
      <c r="H26" s="1149" t="s">
        <v>536</v>
      </c>
      <c r="I26" s="1149"/>
      <c r="J26" s="1345"/>
      <c r="K26" s="1345"/>
      <c r="L26" s="240"/>
    </row>
    <row r="27" spans="3:15" ht="15" customHeight="1" x14ac:dyDescent="0.2">
      <c r="C27" s="1149" t="s">
        <v>526</v>
      </c>
      <c r="D27" s="1149"/>
      <c r="E27" s="1345"/>
      <c r="F27" s="1345"/>
      <c r="G27" s="241"/>
      <c r="H27" s="1149" t="s">
        <v>537</v>
      </c>
      <c r="I27" s="1149"/>
      <c r="J27" s="1345"/>
      <c r="K27" s="1345"/>
      <c r="L27" s="240"/>
    </row>
    <row r="28" spans="3:15" ht="15" customHeight="1" x14ac:dyDescent="0.2">
      <c r="C28" s="1149" t="s">
        <v>527</v>
      </c>
      <c r="D28" s="1149"/>
      <c r="E28" s="1345"/>
      <c r="F28" s="1345"/>
      <c r="G28" s="241"/>
      <c r="H28" s="1149" t="s">
        <v>538</v>
      </c>
      <c r="I28" s="1149"/>
      <c r="J28" s="1345"/>
      <c r="K28" s="1345"/>
      <c r="L28" s="240"/>
    </row>
    <row r="29" spans="3:15" ht="15" customHeight="1" x14ac:dyDescent="0.2">
      <c r="C29" s="1149" t="s">
        <v>528</v>
      </c>
      <c r="D29" s="1149"/>
      <c r="E29" s="1561"/>
      <c r="F29" s="1561"/>
      <c r="G29" s="246"/>
      <c r="H29" s="1149" t="s">
        <v>528</v>
      </c>
      <c r="I29" s="1149"/>
      <c r="J29" s="1561"/>
      <c r="K29" s="1561"/>
      <c r="L29" s="240"/>
    </row>
    <row r="30" spans="3:15" ht="15" customHeight="1" x14ac:dyDescent="0.2">
      <c r="C30" s="1149" t="s">
        <v>529</v>
      </c>
      <c r="D30" s="1149"/>
      <c r="E30" s="1561"/>
      <c r="F30" s="1561"/>
      <c r="G30" s="246"/>
      <c r="H30" s="1149" t="s">
        <v>529</v>
      </c>
      <c r="I30" s="1149"/>
      <c r="J30" s="1561"/>
      <c r="K30" s="1561"/>
      <c r="L30" s="240"/>
    </row>
    <row r="31" spans="3:15" ht="15" customHeight="1" x14ac:dyDescent="0.2">
      <c r="C31" s="1149" t="s">
        <v>530</v>
      </c>
      <c r="D31" s="1149"/>
      <c r="E31" s="1345"/>
      <c r="F31" s="1345"/>
      <c r="G31" s="241"/>
      <c r="H31" s="1149" t="s">
        <v>530</v>
      </c>
      <c r="I31" s="1149"/>
      <c r="J31" s="1345"/>
      <c r="K31" s="1345"/>
      <c r="L31" s="240"/>
    </row>
    <row r="32" spans="3:15" ht="15" customHeight="1" x14ac:dyDescent="0.2">
      <c r="K32" s="240"/>
    </row>
    <row r="33" spans="3:16" ht="15" hidden="1" customHeight="1" x14ac:dyDescent="0.2">
      <c r="C33" s="1600" t="s">
        <v>2555</v>
      </c>
      <c r="D33" s="1600"/>
      <c r="E33" s="1600"/>
      <c r="F33" s="148"/>
      <c r="G33" s="148"/>
      <c r="H33" s="1301"/>
      <c r="I33" s="1301"/>
      <c r="J33" s="1301"/>
      <c r="K33" s="688"/>
    </row>
    <row r="34" spans="3:16" ht="15" hidden="1" customHeight="1" x14ac:dyDescent="0.2">
      <c r="K34" s="240"/>
    </row>
    <row r="35" spans="3:16" ht="15" hidden="1" customHeight="1" x14ac:dyDescent="0.2">
      <c r="C35" s="1175" t="s">
        <v>2564</v>
      </c>
      <c r="D35" s="1175"/>
      <c r="E35" s="1175"/>
      <c r="F35" s="1175"/>
      <c r="G35" s="1175"/>
      <c r="H35" s="355"/>
      <c r="I35" s="690" t="s">
        <v>2569</v>
      </c>
      <c r="K35" s="240"/>
    </row>
    <row r="36" spans="3:16" ht="15" hidden="1" customHeight="1" x14ac:dyDescent="0.2">
      <c r="C36" s="1175"/>
      <c r="D36" s="1175"/>
      <c r="E36" s="1175"/>
      <c r="F36" s="1175"/>
      <c r="G36" s="1175"/>
      <c r="K36" s="240"/>
    </row>
    <row r="37" spans="3:16" ht="15" hidden="1" customHeight="1" x14ac:dyDescent="0.2">
      <c r="C37" s="1301" t="s">
        <v>2559</v>
      </c>
      <c r="D37" s="1301"/>
      <c r="E37" s="1301"/>
      <c r="F37" s="1301"/>
      <c r="G37" s="1301"/>
      <c r="K37" s="240"/>
    </row>
    <row r="38" spans="3:16" ht="15" hidden="1" customHeight="1" x14ac:dyDescent="0.2">
      <c r="C38" s="1155" t="s">
        <v>2562</v>
      </c>
      <c r="D38" s="1155"/>
      <c r="E38" s="1155"/>
      <c r="F38" s="1155"/>
      <c r="G38" s="1155"/>
      <c r="H38" s="355"/>
      <c r="K38" s="240"/>
    </row>
    <row r="39" spans="3:16" ht="15" hidden="1" customHeight="1" x14ac:dyDescent="0.2">
      <c r="C39" s="1155" t="s">
        <v>2560</v>
      </c>
      <c r="D39" s="1155"/>
      <c r="E39" s="1155"/>
      <c r="F39" s="1155"/>
      <c r="G39" s="1324"/>
      <c r="H39" s="355"/>
      <c r="I39" s="99"/>
      <c r="J39" s="99"/>
    </row>
    <row r="40" spans="3:16" ht="15" hidden="1" customHeight="1" x14ac:dyDescent="0.2">
      <c r="C40" s="1155" t="s">
        <v>2556</v>
      </c>
      <c r="D40" s="1155"/>
      <c r="E40" s="1155"/>
      <c r="F40" s="1155"/>
      <c r="G40" s="1324"/>
      <c r="H40" s="1591"/>
      <c r="I40" s="1262"/>
      <c r="J40" s="1262"/>
    </row>
    <row r="41" spans="3:16" ht="15" hidden="1" customHeight="1" x14ac:dyDescent="0.2">
      <c r="C41" s="1155" t="s">
        <v>2557</v>
      </c>
      <c r="D41" s="1155"/>
      <c r="E41" s="1155"/>
      <c r="F41" s="1155"/>
      <c r="G41" s="1324"/>
      <c r="H41" s="355"/>
      <c r="K41" s="240"/>
    </row>
    <row r="42" spans="3:16" ht="15" hidden="1" customHeight="1" x14ac:dyDescent="0.2">
      <c r="C42" s="1155" t="s">
        <v>2558</v>
      </c>
      <c r="D42" s="1155"/>
      <c r="E42" s="1155"/>
      <c r="F42" s="1155"/>
      <c r="G42" s="1324"/>
      <c r="H42" s="362"/>
      <c r="K42" s="240"/>
    </row>
    <row r="43" spans="3:16" ht="15" hidden="1" customHeight="1" x14ac:dyDescent="0.2">
      <c r="K43" s="240"/>
    </row>
    <row r="44" spans="3:16" ht="15" hidden="1" customHeight="1" x14ac:dyDescent="0.2">
      <c r="C44" s="1301" t="s">
        <v>2561</v>
      </c>
      <c r="D44" s="1301"/>
      <c r="E44" s="1301"/>
      <c r="F44" s="1301"/>
      <c r="G44" s="1301"/>
      <c r="K44" s="240"/>
      <c r="M44" s="410" t="s">
        <v>2249</v>
      </c>
      <c r="N44" s="1193" t="s">
        <v>2657</v>
      </c>
      <c r="O44" s="253"/>
      <c r="P44" s="253"/>
    </row>
    <row r="45" spans="3:16" ht="15" hidden="1" customHeight="1" x14ac:dyDescent="0.2">
      <c r="C45" s="1155" t="s">
        <v>2563</v>
      </c>
      <c r="D45" s="1155"/>
      <c r="E45" s="1155"/>
      <c r="F45" s="1155"/>
      <c r="G45" s="1155"/>
      <c r="H45" s="355"/>
      <c r="K45" s="240"/>
      <c r="M45" s="410"/>
      <c r="N45" s="1193"/>
      <c r="O45" s="253"/>
      <c r="P45" s="253"/>
    </row>
    <row r="46" spans="3:16" ht="15" hidden="1" customHeight="1" x14ac:dyDescent="0.2">
      <c r="C46" s="1155" t="s">
        <v>2565</v>
      </c>
      <c r="D46" s="1155"/>
      <c r="E46" s="1155"/>
      <c r="F46" s="1155"/>
      <c r="G46" s="1324"/>
      <c r="H46" s="355"/>
      <c r="I46" s="99"/>
      <c r="J46" s="99"/>
      <c r="K46" s="240"/>
      <c r="N46" s="1193"/>
      <c r="O46" s="253"/>
      <c r="P46" s="253"/>
    </row>
    <row r="47" spans="3:16" ht="15" hidden="1" customHeight="1" x14ac:dyDescent="0.2">
      <c r="C47" s="1155" t="s">
        <v>2566</v>
      </c>
      <c r="D47" s="1155"/>
      <c r="E47" s="1155"/>
      <c r="F47" s="1155"/>
      <c r="G47" s="1324"/>
      <c r="H47" s="1591"/>
      <c r="I47" s="1262"/>
      <c r="J47" s="1262"/>
      <c r="K47" s="240"/>
      <c r="N47" s="1193"/>
      <c r="O47" s="253"/>
      <c r="P47" s="253"/>
    </row>
    <row r="48" spans="3:16" ht="15" hidden="1" customHeight="1" x14ac:dyDescent="0.2">
      <c r="C48" s="1155" t="s">
        <v>2567</v>
      </c>
      <c r="D48" s="1155"/>
      <c r="E48" s="1155"/>
      <c r="F48" s="1155"/>
      <c r="G48" s="1324"/>
      <c r="H48" s="1591"/>
      <c r="I48" s="1262"/>
      <c r="J48" s="1262"/>
      <c r="K48" s="240"/>
      <c r="N48" s="1193"/>
      <c r="O48" s="253"/>
      <c r="P48" s="253"/>
    </row>
    <row r="49" spans="2:16" ht="15" hidden="1" customHeight="1" x14ac:dyDescent="0.2">
      <c r="C49" s="1155" t="s">
        <v>2568</v>
      </c>
      <c r="D49" s="1155"/>
      <c r="E49" s="1155"/>
      <c r="F49" s="1155"/>
      <c r="G49" s="1324"/>
      <c r="H49" s="689"/>
      <c r="K49" s="240"/>
      <c r="N49" s="1193"/>
      <c r="O49" s="253"/>
      <c r="P49" s="253"/>
    </row>
    <row r="50" spans="2:16" ht="15" hidden="1" customHeight="1" x14ac:dyDescent="0.2">
      <c r="C50" s="1155" t="s">
        <v>2558</v>
      </c>
      <c r="D50" s="1155"/>
      <c r="E50" s="1155"/>
      <c r="F50" s="1155"/>
      <c r="G50" s="1324"/>
      <c r="H50" s="362"/>
      <c r="K50" s="240"/>
      <c r="N50" s="1193"/>
      <c r="O50" s="253"/>
      <c r="P50" s="253"/>
    </row>
    <row r="51" spans="2:16" ht="15" hidden="1" customHeight="1" x14ac:dyDescent="0.2">
      <c r="K51" s="240"/>
      <c r="N51" s="1193"/>
      <c r="O51" s="253"/>
      <c r="P51" s="253"/>
    </row>
    <row r="52" spans="2:16" ht="15" customHeight="1" x14ac:dyDescent="0.2">
      <c r="K52" s="240"/>
      <c r="N52" s="253"/>
      <c r="O52" s="253"/>
      <c r="P52" s="253"/>
    </row>
    <row r="53" spans="2:16" ht="15" customHeight="1" x14ac:dyDescent="0.2">
      <c r="B53" s="1281" t="s">
        <v>516</v>
      </c>
      <c r="C53" s="1281"/>
      <c r="D53" s="1281"/>
      <c r="E53" s="1281"/>
      <c r="F53" s="1281"/>
      <c r="G53" s="1281"/>
      <c r="H53" s="1281"/>
      <c r="I53" s="1281"/>
      <c r="J53" s="1281"/>
      <c r="K53" s="1281"/>
      <c r="L53" s="1281"/>
    </row>
    <row r="54" spans="2:16" ht="3" customHeight="1" x14ac:dyDescent="0.2">
      <c r="B54" s="1312"/>
      <c r="C54" s="1312"/>
      <c r="D54" s="1312"/>
      <c r="E54" s="1312"/>
      <c r="F54" s="1312"/>
      <c r="G54" s="1312"/>
      <c r="H54" s="1312"/>
      <c r="I54" s="1312"/>
      <c r="J54" s="1312"/>
      <c r="K54" s="1312"/>
      <c r="L54" s="1312"/>
    </row>
    <row r="55" spans="2:16" ht="15" customHeight="1" x14ac:dyDescent="0.2">
      <c r="C55" s="240"/>
      <c r="K55" s="240"/>
    </row>
    <row r="56" spans="2:16" ht="15" customHeight="1" x14ac:dyDescent="0.2">
      <c r="C56" s="1149" t="s">
        <v>517</v>
      </c>
      <c r="D56" s="1204"/>
      <c r="E56" s="355"/>
      <c r="K56" s="240"/>
    </row>
    <row r="57" spans="2:16" ht="15" customHeight="1" x14ac:dyDescent="0.2">
      <c r="C57" s="25"/>
      <c r="D57" s="25"/>
      <c r="E57" s="25"/>
      <c r="F57" s="25"/>
      <c r="G57" s="25"/>
      <c r="K57" s="240"/>
    </row>
    <row r="58" spans="2:16" ht="15" customHeight="1" x14ac:dyDescent="0.2">
      <c r="C58" s="1157" t="s">
        <v>548</v>
      </c>
      <c r="D58" s="1157"/>
      <c r="E58" s="1157"/>
      <c r="F58" s="1157"/>
      <c r="G58" s="241"/>
      <c r="H58" s="1157" t="s">
        <v>514</v>
      </c>
      <c r="I58" s="1157"/>
      <c r="J58" s="1157"/>
      <c r="K58" s="1157"/>
    </row>
    <row r="59" spans="2:16" ht="15" customHeight="1" x14ac:dyDescent="0.2">
      <c r="C59" s="1574" t="s">
        <v>590</v>
      </c>
      <c r="D59" s="1574"/>
      <c r="E59" s="1574"/>
      <c r="F59" s="1574"/>
      <c r="G59" s="241"/>
      <c r="H59" s="1575" t="s">
        <v>2008</v>
      </c>
      <c r="I59" s="1575"/>
      <c r="J59" s="1575"/>
      <c r="K59" s="1575"/>
    </row>
    <row r="60" spans="2:16" ht="5.25" customHeight="1" x14ac:dyDescent="0.2">
      <c r="C60" s="73"/>
      <c r="D60" s="73"/>
      <c r="E60" s="241"/>
      <c r="F60" s="241"/>
      <c r="G60" s="241"/>
      <c r="H60" s="242"/>
      <c r="I60" s="242"/>
      <c r="J60" s="242"/>
      <c r="K60" s="242"/>
    </row>
    <row r="61" spans="2:16" ht="15" customHeight="1" x14ac:dyDescent="0.2">
      <c r="C61" s="1149" t="s">
        <v>539</v>
      </c>
      <c r="D61" s="1204"/>
      <c r="E61" s="1345"/>
      <c r="F61" s="1345"/>
      <c r="G61" s="241"/>
      <c r="H61" s="1149" t="s">
        <v>544</v>
      </c>
      <c r="I61" s="1204"/>
      <c r="J61" s="1345"/>
      <c r="K61" s="1345"/>
    </row>
    <row r="62" spans="2:16" ht="15" customHeight="1" x14ac:dyDescent="0.2">
      <c r="C62" s="1149" t="s">
        <v>299</v>
      </c>
      <c r="D62" s="1204"/>
      <c r="E62" s="1345"/>
      <c r="F62" s="1345"/>
      <c r="G62" s="247"/>
      <c r="H62" s="1149" t="s">
        <v>545</v>
      </c>
      <c r="I62" s="1204"/>
      <c r="J62" s="1345"/>
      <c r="K62" s="1345"/>
    </row>
    <row r="63" spans="2:16" ht="15" customHeight="1" x14ac:dyDescent="0.2">
      <c r="C63" s="1149" t="s">
        <v>540</v>
      </c>
      <c r="D63" s="1204"/>
      <c r="E63" s="1345"/>
      <c r="F63" s="1345"/>
      <c r="G63" s="243"/>
      <c r="H63" s="1149" t="s">
        <v>546</v>
      </c>
      <c r="I63" s="1204"/>
      <c r="J63" s="1345"/>
      <c r="K63" s="1345"/>
    </row>
    <row r="64" spans="2:16" ht="15" customHeight="1" x14ac:dyDescent="0.2">
      <c r="C64" s="1149" t="s">
        <v>541</v>
      </c>
      <c r="D64" s="1204"/>
      <c r="E64" s="1576"/>
      <c r="F64" s="1576"/>
      <c r="G64" s="241"/>
      <c r="H64" s="1149" t="s">
        <v>547</v>
      </c>
      <c r="I64" s="1204"/>
      <c r="J64" s="1345"/>
      <c r="K64" s="1345"/>
    </row>
    <row r="65" spans="3:11" ht="15" customHeight="1" x14ac:dyDescent="0.2">
      <c r="C65" s="1149" t="s">
        <v>574</v>
      </c>
      <c r="D65" s="1204"/>
      <c r="E65" s="1345"/>
      <c r="F65" s="1345"/>
      <c r="G65" s="244"/>
      <c r="H65" s="1149" t="s">
        <v>528</v>
      </c>
      <c r="I65" s="1204"/>
      <c r="J65" s="1561"/>
      <c r="K65" s="1561"/>
    </row>
    <row r="66" spans="3:11" ht="15" customHeight="1" x14ac:dyDescent="0.2">
      <c r="C66" s="1149" t="s">
        <v>575</v>
      </c>
      <c r="D66" s="1204"/>
      <c r="E66" s="1562"/>
      <c r="F66" s="1562"/>
      <c r="G66" s="241"/>
      <c r="H66" s="1149" t="s">
        <v>529</v>
      </c>
      <c r="I66" s="1204"/>
      <c r="J66" s="1561"/>
      <c r="K66" s="1561"/>
    </row>
    <row r="67" spans="3:11" ht="15" customHeight="1" x14ac:dyDescent="0.2">
      <c r="C67" s="1149" t="s">
        <v>542</v>
      </c>
      <c r="D67" s="1204"/>
      <c r="E67" s="1345"/>
      <c r="F67" s="1345"/>
      <c r="G67" s="241"/>
      <c r="H67" s="1149" t="s">
        <v>530</v>
      </c>
      <c r="I67" s="1204"/>
      <c r="J67" s="1580"/>
      <c r="K67" s="1345"/>
    </row>
    <row r="68" spans="3:11" ht="15" customHeight="1" x14ac:dyDescent="0.2">
      <c r="C68" s="1149" t="s">
        <v>543</v>
      </c>
      <c r="D68" s="1204"/>
      <c r="E68" s="1585"/>
      <c r="F68" s="1198"/>
      <c r="G68" s="241"/>
      <c r="H68" s="73"/>
      <c r="I68" s="73"/>
      <c r="J68" s="241"/>
      <c r="K68" s="241"/>
    </row>
    <row r="69" spans="3:11" ht="15" customHeight="1" x14ac:dyDescent="0.2">
      <c r="C69" s="1149" t="s">
        <v>591</v>
      </c>
      <c r="D69" s="1204"/>
      <c r="E69" s="1345"/>
      <c r="F69" s="1345"/>
      <c r="G69" s="241"/>
      <c r="H69" s="73"/>
      <c r="I69" s="73"/>
      <c r="J69" s="241"/>
      <c r="K69" s="241"/>
    </row>
    <row r="70" spans="3:11" ht="15" customHeight="1" x14ac:dyDescent="0.2"/>
    <row r="71" spans="3:11" ht="15" customHeight="1" x14ac:dyDescent="0.2">
      <c r="C71" s="1301" t="s">
        <v>99</v>
      </c>
      <c r="D71" s="1301"/>
      <c r="E71" s="1301"/>
      <c r="F71" s="1301"/>
      <c r="H71" s="1157" t="s">
        <v>534</v>
      </c>
      <c r="I71" s="1157"/>
      <c r="J71" s="1157"/>
      <c r="K71" s="1157"/>
    </row>
    <row r="72" spans="3:11" ht="15" customHeight="1" x14ac:dyDescent="0.2">
      <c r="C72" s="1589" t="str">
        <f>CONCATENATE("This individual is responsible for the ",Details!$E$12, " application")</f>
        <v>This individual is responsible for the  application</v>
      </c>
      <c r="D72" s="1589"/>
      <c r="E72" s="1589"/>
      <c r="F72" s="1589"/>
      <c r="G72" s="31"/>
      <c r="H72" s="1575" t="s">
        <v>531</v>
      </c>
      <c r="I72" s="1575"/>
      <c r="J72" s="1575"/>
      <c r="K72" s="1575"/>
    </row>
    <row r="73" spans="3:11" ht="5.25" customHeight="1" x14ac:dyDescent="0.2">
      <c r="C73" s="245"/>
      <c r="D73" s="245"/>
      <c r="E73" s="245"/>
      <c r="F73" s="245"/>
      <c r="G73" s="31"/>
      <c r="H73" s="33"/>
      <c r="I73" s="33"/>
      <c r="J73" s="33"/>
      <c r="K73" s="33"/>
    </row>
    <row r="74" spans="3:11" ht="15" customHeight="1" x14ac:dyDescent="0.2">
      <c r="C74" s="1149" t="s">
        <v>524</v>
      </c>
      <c r="D74" s="1149"/>
      <c r="E74" s="1345"/>
      <c r="F74" s="1345"/>
      <c r="G74" s="241"/>
      <c r="H74" s="1149" t="s">
        <v>535</v>
      </c>
      <c r="I74" s="1149"/>
      <c r="J74" s="1345"/>
      <c r="K74" s="1345"/>
    </row>
    <row r="75" spans="3:11" ht="15" customHeight="1" x14ac:dyDescent="0.2">
      <c r="C75" s="1149" t="s">
        <v>525</v>
      </c>
      <c r="D75" s="1149"/>
      <c r="E75" s="1345"/>
      <c r="F75" s="1345"/>
      <c r="G75" s="241"/>
      <c r="H75" s="1149" t="s">
        <v>536</v>
      </c>
      <c r="I75" s="1149"/>
      <c r="J75" s="1345"/>
      <c r="K75" s="1345"/>
    </row>
    <row r="76" spans="3:11" ht="15" customHeight="1" x14ac:dyDescent="0.2">
      <c r="C76" s="1149" t="s">
        <v>526</v>
      </c>
      <c r="D76" s="1149"/>
      <c r="E76" s="1345"/>
      <c r="F76" s="1345"/>
      <c r="G76" s="241"/>
      <c r="H76" s="1149" t="s">
        <v>537</v>
      </c>
      <c r="I76" s="1149"/>
      <c r="J76" s="1345"/>
      <c r="K76" s="1345"/>
    </row>
    <row r="77" spans="3:11" ht="15" customHeight="1" x14ac:dyDescent="0.2">
      <c r="C77" s="1149" t="s">
        <v>527</v>
      </c>
      <c r="D77" s="1149"/>
      <c r="E77" s="1345"/>
      <c r="F77" s="1345"/>
      <c r="G77" s="241"/>
      <c r="H77" s="1149" t="s">
        <v>538</v>
      </c>
      <c r="I77" s="1149"/>
      <c r="J77" s="1345"/>
      <c r="K77" s="1345"/>
    </row>
    <row r="78" spans="3:11" ht="15" customHeight="1" x14ac:dyDescent="0.2">
      <c r="C78" s="1149" t="s">
        <v>528</v>
      </c>
      <c r="D78" s="1149"/>
      <c r="E78" s="1561"/>
      <c r="F78" s="1561"/>
      <c r="G78" s="246"/>
      <c r="H78" s="1149" t="s">
        <v>528</v>
      </c>
      <c r="I78" s="1149"/>
      <c r="J78" s="1561"/>
      <c r="K78" s="1561"/>
    </row>
    <row r="79" spans="3:11" ht="15" customHeight="1" x14ac:dyDescent="0.2">
      <c r="C79" s="1149" t="s">
        <v>529</v>
      </c>
      <c r="D79" s="1149"/>
      <c r="E79" s="1561"/>
      <c r="F79" s="1561"/>
      <c r="G79" s="246"/>
      <c r="H79" s="1149" t="s">
        <v>529</v>
      </c>
      <c r="I79" s="1149"/>
      <c r="J79" s="1561"/>
      <c r="K79" s="1561"/>
    </row>
    <row r="80" spans="3:11" ht="15" customHeight="1" x14ac:dyDescent="0.2">
      <c r="C80" s="1149" t="s">
        <v>530</v>
      </c>
      <c r="D80" s="1149"/>
      <c r="E80" s="1345"/>
      <c r="F80" s="1345"/>
      <c r="G80" s="241"/>
      <c r="H80" s="1149" t="s">
        <v>530</v>
      </c>
      <c r="I80" s="1149"/>
      <c r="J80" s="1345"/>
      <c r="K80" s="1345"/>
    </row>
    <row r="81" spans="3:14" ht="15" customHeight="1" x14ac:dyDescent="0.2">
      <c r="K81" s="240"/>
    </row>
    <row r="82" spans="3:14" ht="15" hidden="1" customHeight="1" x14ac:dyDescent="0.2">
      <c r="C82" s="1600" t="s">
        <v>2555</v>
      </c>
      <c r="D82" s="1600"/>
      <c r="E82" s="1600"/>
      <c r="F82" s="148"/>
      <c r="G82" s="148"/>
      <c r="H82" s="1301"/>
      <c r="I82" s="1301"/>
      <c r="J82" s="1301"/>
      <c r="K82" s="688"/>
    </row>
    <row r="83" spans="3:14" ht="15" hidden="1" customHeight="1" x14ac:dyDescent="0.2">
      <c r="K83" s="240"/>
    </row>
    <row r="84" spans="3:14" ht="15" hidden="1" customHeight="1" x14ac:dyDescent="0.2">
      <c r="C84" s="1175" t="s">
        <v>2564</v>
      </c>
      <c r="D84" s="1175"/>
      <c r="E84" s="1175"/>
      <c r="F84" s="1175"/>
      <c r="G84" s="1175"/>
      <c r="H84" s="355"/>
      <c r="I84" s="690" t="s">
        <v>2569</v>
      </c>
      <c r="K84" s="240"/>
    </row>
    <row r="85" spans="3:14" ht="15" hidden="1" customHeight="1" x14ac:dyDescent="0.2">
      <c r="C85" s="1175"/>
      <c r="D85" s="1175"/>
      <c r="E85" s="1175"/>
      <c r="F85" s="1175"/>
      <c r="G85" s="1175"/>
      <c r="K85" s="240"/>
    </row>
    <row r="86" spans="3:14" ht="15" hidden="1" customHeight="1" x14ac:dyDescent="0.2">
      <c r="C86" s="1301" t="s">
        <v>2559</v>
      </c>
      <c r="D86" s="1301"/>
      <c r="E86" s="1301"/>
      <c r="F86" s="1301"/>
      <c r="G86" s="1301"/>
      <c r="K86" s="240"/>
    </row>
    <row r="87" spans="3:14" ht="15" hidden="1" customHeight="1" x14ac:dyDescent="0.2">
      <c r="C87" s="1155" t="s">
        <v>2562</v>
      </c>
      <c r="D87" s="1155"/>
      <c r="E87" s="1155"/>
      <c r="F87" s="1155"/>
      <c r="G87" s="1155"/>
      <c r="H87" s="355"/>
      <c r="K87" s="240"/>
    </row>
    <row r="88" spans="3:14" ht="15" hidden="1" customHeight="1" x14ac:dyDescent="0.2">
      <c r="C88" s="1155" t="s">
        <v>2560</v>
      </c>
      <c r="D88" s="1155"/>
      <c r="E88" s="1155"/>
      <c r="F88" s="1155"/>
      <c r="G88" s="1324"/>
      <c r="H88" s="355"/>
      <c r="I88" s="99"/>
      <c r="J88" s="99"/>
    </row>
    <row r="89" spans="3:14" ht="15" hidden="1" customHeight="1" x14ac:dyDescent="0.2">
      <c r="C89" s="1155" t="s">
        <v>2556</v>
      </c>
      <c r="D89" s="1155"/>
      <c r="E89" s="1155"/>
      <c r="F89" s="1155"/>
      <c r="G89" s="1324"/>
      <c r="H89" s="1591"/>
      <c r="I89" s="1262"/>
      <c r="J89" s="1262"/>
    </row>
    <row r="90" spans="3:14" ht="15" hidden="1" customHeight="1" x14ac:dyDescent="0.2">
      <c r="C90" s="1155" t="s">
        <v>2557</v>
      </c>
      <c r="D90" s="1155"/>
      <c r="E90" s="1155"/>
      <c r="F90" s="1155"/>
      <c r="G90" s="1324"/>
      <c r="H90" s="355"/>
      <c r="K90" s="240"/>
    </row>
    <row r="91" spans="3:14" ht="15" hidden="1" customHeight="1" x14ac:dyDescent="0.2">
      <c r="C91" s="1155" t="s">
        <v>2558</v>
      </c>
      <c r="D91" s="1155"/>
      <c r="E91" s="1155"/>
      <c r="F91" s="1155"/>
      <c r="G91" s="1324"/>
      <c r="H91" s="362"/>
      <c r="K91" s="240"/>
    </row>
    <row r="92" spans="3:14" ht="15" hidden="1" customHeight="1" x14ac:dyDescent="0.2">
      <c r="K92" s="240"/>
    </row>
    <row r="93" spans="3:14" ht="15" hidden="1" customHeight="1" x14ac:dyDescent="0.2">
      <c r="C93" s="1301" t="s">
        <v>2561</v>
      </c>
      <c r="D93" s="1301"/>
      <c r="E93" s="1301"/>
      <c r="F93" s="1301"/>
      <c r="G93" s="1301"/>
      <c r="K93" s="240"/>
      <c r="M93" s="410" t="s">
        <v>2249</v>
      </c>
      <c r="N93" s="1193" t="s">
        <v>2657</v>
      </c>
    </row>
    <row r="94" spans="3:14" ht="15" hidden="1" customHeight="1" x14ac:dyDescent="0.2">
      <c r="C94" s="1155" t="s">
        <v>2563</v>
      </c>
      <c r="D94" s="1155"/>
      <c r="E94" s="1155"/>
      <c r="F94" s="1155"/>
      <c r="G94" s="1155"/>
      <c r="H94" s="355"/>
      <c r="K94" s="240"/>
      <c r="M94" s="410"/>
      <c r="N94" s="1193"/>
    </row>
    <row r="95" spans="3:14" ht="15" hidden="1" customHeight="1" x14ac:dyDescent="0.2">
      <c r="C95" s="1155" t="s">
        <v>2565</v>
      </c>
      <c r="D95" s="1155"/>
      <c r="E95" s="1155"/>
      <c r="F95" s="1155"/>
      <c r="G95" s="1324"/>
      <c r="H95" s="355"/>
      <c r="I95" s="99"/>
      <c r="J95" s="99"/>
      <c r="K95" s="240"/>
      <c r="N95" s="1193"/>
    </row>
    <row r="96" spans="3:14" ht="15" hidden="1" customHeight="1" x14ac:dyDescent="0.2">
      <c r="C96" s="1155" t="s">
        <v>2566</v>
      </c>
      <c r="D96" s="1155"/>
      <c r="E96" s="1155"/>
      <c r="F96" s="1155"/>
      <c r="G96" s="1324"/>
      <c r="H96" s="1591"/>
      <c r="I96" s="1262"/>
      <c r="J96" s="1262"/>
      <c r="K96" s="240"/>
      <c r="N96" s="1193"/>
    </row>
    <row r="97" spans="2:14" ht="15" hidden="1" customHeight="1" x14ac:dyDescent="0.2">
      <c r="C97" s="1155" t="s">
        <v>2567</v>
      </c>
      <c r="D97" s="1155"/>
      <c r="E97" s="1155"/>
      <c r="F97" s="1155"/>
      <c r="G97" s="1324"/>
      <c r="H97" s="1591"/>
      <c r="I97" s="1262"/>
      <c r="J97" s="1262"/>
      <c r="K97" s="240"/>
      <c r="N97" s="1193"/>
    </row>
    <row r="98" spans="2:14" ht="15" hidden="1" customHeight="1" x14ac:dyDescent="0.2">
      <c r="C98" s="1155" t="s">
        <v>2568</v>
      </c>
      <c r="D98" s="1155"/>
      <c r="E98" s="1155"/>
      <c r="F98" s="1155"/>
      <c r="G98" s="1324"/>
      <c r="H98" s="689"/>
      <c r="K98" s="240"/>
      <c r="N98" s="1193"/>
    </row>
    <row r="99" spans="2:14" ht="15" hidden="1" customHeight="1" x14ac:dyDescent="0.2">
      <c r="C99" s="1155" t="s">
        <v>2558</v>
      </c>
      <c r="D99" s="1155"/>
      <c r="E99" s="1155"/>
      <c r="F99" s="1155"/>
      <c r="G99" s="1324"/>
      <c r="H99" s="362"/>
      <c r="K99" s="240"/>
      <c r="N99" s="1193"/>
    </row>
    <row r="100" spans="2:14" ht="15" hidden="1" customHeight="1" x14ac:dyDescent="0.2">
      <c r="K100" s="240"/>
      <c r="N100" s="1193"/>
    </row>
    <row r="101" spans="2:14" ht="15" customHeight="1" x14ac:dyDescent="0.2">
      <c r="K101" s="240"/>
    </row>
    <row r="102" spans="2:14" ht="15" customHeight="1" x14ac:dyDescent="0.2">
      <c r="B102" s="1281" t="s">
        <v>518</v>
      </c>
      <c r="C102" s="1281"/>
      <c r="D102" s="1281"/>
      <c r="E102" s="1281"/>
      <c r="F102" s="1281"/>
      <c r="G102" s="1281"/>
      <c r="H102" s="1281"/>
      <c r="I102" s="1281"/>
      <c r="J102" s="1281"/>
      <c r="K102" s="1281"/>
      <c r="L102" s="1281"/>
    </row>
    <row r="103" spans="2:14" ht="3" customHeight="1" x14ac:dyDescent="0.2">
      <c r="B103" s="1312"/>
      <c r="C103" s="1312"/>
      <c r="D103" s="1312"/>
      <c r="E103" s="1312"/>
      <c r="F103" s="1312"/>
      <c r="G103" s="1312"/>
      <c r="H103" s="1312"/>
      <c r="I103" s="1312"/>
      <c r="J103" s="1312"/>
      <c r="K103" s="1312"/>
      <c r="L103" s="1312"/>
    </row>
    <row r="104" spans="2:14" ht="15" customHeight="1" x14ac:dyDescent="0.2">
      <c r="C104" s="240"/>
      <c r="K104" s="240"/>
    </row>
    <row r="105" spans="2:14" ht="15" customHeight="1" x14ac:dyDescent="0.2">
      <c r="C105" s="1149" t="s">
        <v>517</v>
      </c>
      <c r="D105" s="1204"/>
      <c r="E105" s="355"/>
      <c r="F105" s="73"/>
      <c r="J105" s="240"/>
    </row>
    <row r="106" spans="2:14" ht="15" customHeight="1" x14ac:dyDescent="0.2">
      <c r="C106" s="25"/>
      <c r="D106" s="25"/>
      <c r="E106" s="25"/>
      <c r="F106" s="25"/>
      <c r="G106" s="25"/>
      <c r="K106" s="240"/>
    </row>
    <row r="107" spans="2:14" ht="15" customHeight="1" x14ac:dyDescent="0.2">
      <c r="C107" s="1157" t="s">
        <v>549</v>
      </c>
      <c r="D107" s="1157"/>
      <c r="E107" s="1157"/>
      <c r="F107" s="1157"/>
      <c r="G107" s="241"/>
      <c r="H107" s="1157" t="s">
        <v>514</v>
      </c>
      <c r="I107" s="1157"/>
      <c r="J107" s="1157"/>
      <c r="K107" s="1157"/>
    </row>
    <row r="108" spans="2:14" ht="15" customHeight="1" x14ac:dyDescent="0.2">
      <c r="C108" s="1574" t="s">
        <v>590</v>
      </c>
      <c r="D108" s="1574"/>
      <c r="E108" s="1574"/>
      <c r="F108" s="1574"/>
      <c r="G108" s="241"/>
      <c r="H108" s="1575" t="s">
        <v>2008</v>
      </c>
      <c r="I108" s="1575"/>
      <c r="J108" s="1575"/>
      <c r="K108" s="1575"/>
    </row>
    <row r="109" spans="2:14" ht="5.25" customHeight="1" x14ac:dyDescent="0.2">
      <c r="C109" s="73"/>
      <c r="D109" s="73"/>
      <c r="E109" s="241"/>
      <c r="F109" s="241"/>
      <c r="G109" s="241"/>
      <c r="H109" s="242"/>
      <c r="I109" s="242"/>
      <c r="J109" s="242"/>
      <c r="K109" s="242"/>
    </row>
    <row r="110" spans="2:14" ht="15" customHeight="1" x14ac:dyDescent="0.2">
      <c r="C110" s="1149" t="s">
        <v>539</v>
      </c>
      <c r="D110" s="1204"/>
      <c r="E110" s="1345"/>
      <c r="F110" s="1345"/>
      <c r="G110" s="241"/>
      <c r="H110" s="1149" t="s">
        <v>544</v>
      </c>
      <c r="I110" s="1204"/>
      <c r="J110" s="1345"/>
      <c r="K110" s="1345"/>
    </row>
    <row r="111" spans="2:14" ht="15" customHeight="1" x14ac:dyDescent="0.2">
      <c r="C111" s="1149" t="s">
        <v>299</v>
      </c>
      <c r="D111" s="1204"/>
      <c r="E111" s="1345"/>
      <c r="F111" s="1345"/>
      <c r="G111" s="241"/>
      <c r="H111" s="1149" t="s">
        <v>545</v>
      </c>
      <c r="I111" s="1204"/>
      <c r="J111" s="1345"/>
      <c r="K111" s="1345"/>
    </row>
    <row r="112" spans="2:14" ht="15" customHeight="1" x14ac:dyDescent="0.2">
      <c r="C112" s="1149" t="s">
        <v>540</v>
      </c>
      <c r="D112" s="1204"/>
      <c r="E112" s="1345"/>
      <c r="F112" s="1345"/>
      <c r="G112" s="243"/>
      <c r="H112" s="1149" t="s">
        <v>546</v>
      </c>
      <c r="I112" s="1204"/>
      <c r="J112" s="1345"/>
      <c r="K112" s="1345"/>
    </row>
    <row r="113" spans="3:11" ht="15" customHeight="1" x14ac:dyDescent="0.2">
      <c r="C113" s="1149" t="s">
        <v>541</v>
      </c>
      <c r="D113" s="1204"/>
      <c r="E113" s="1576"/>
      <c r="F113" s="1576"/>
      <c r="G113" s="241"/>
      <c r="H113" s="1149" t="s">
        <v>547</v>
      </c>
      <c r="I113" s="1204"/>
      <c r="J113" s="1345"/>
      <c r="K113" s="1345"/>
    </row>
    <row r="114" spans="3:11" ht="15" customHeight="1" x14ac:dyDescent="0.2">
      <c r="C114" s="1149" t="s">
        <v>574</v>
      </c>
      <c r="D114" s="1204"/>
      <c r="E114" s="1345"/>
      <c r="F114" s="1345"/>
      <c r="G114" s="244"/>
      <c r="H114" s="1149" t="s">
        <v>528</v>
      </c>
      <c r="I114" s="1204"/>
      <c r="J114" s="1561"/>
      <c r="K114" s="1561"/>
    </row>
    <row r="115" spans="3:11" ht="15" customHeight="1" x14ac:dyDescent="0.2">
      <c r="C115" s="1149" t="s">
        <v>575</v>
      </c>
      <c r="D115" s="1204"/>
      <c r="E115" s="1562"/>
      <c r="F115" s="1562"/>
      <c r="G115" s="241"/>
      <c r="H115" s="1149" t="s">
        <v>529</v>
      </c>
      <c r="I115" s="1204"/>
      <c r="J115" s="1561"/>
      <c r="K115" s="1561"/>
    </row>
    <row r="116" spans="3:11" ht="15" customHeight="1" x14ac:dyDescent="0.2">
      <c r="C116" s="1149" t="s">
        <v>542</v>
      </c>
      <c r="D116" s="1204"/>
      <c r="E116" s="1345"/>
      <c r="F116" s="1345"/>
      <c r="G116" s="241"/>
      <c r="H116" s="1149" t="s">
        <v>530</v>
      </c>
      <c r="I116" s="1204"/>
      <c r="J116" s="1345"/>
      <c r="K116" s="1345"/>
    </row>
    <row r="117" spans="3:11" ht="15" customHeight="1" x14ac:dyDescent="0.2">
      <c r="C117" s="1149" t="s">
        <v>543</v>
      </c>
      <c r="D117" s="1204"/>
      <c r="E117" s="1197"/>
      <c r="F117" s="1198"/>
      <c r="G117" s="241"/>
      <c r="H117" s="73"/>
      <c r="I117" s="73"/>
      <c r="J117" s="241"/>
      <c r="K117" s="241"/>
    </row>
    <row r="118" spans="3:11" ht="15" customHeight="1" x14ac:dyDescent="0.2">
      <c r="C118" s="1149" t="s">
        <v>591</v>
      </c>
      <c r="D118" s="1204"/>
      <c r="E118" s="1345"/>
      <c r="F118" s="1345"/>
      <c r="G118" s="241"/>
      <c r="H118" s="73"/>
      <c r="I118" s="73"/>
      <c r="J118" s="241"/>
      <c r="K118" s="241"/>
    </row>
    <row r="119" spans="3:11" ht="15" customHeight="1" x14ac:dyDescent="0.2"/>
    <row r="120" spans="3:11" ht="15" customHeight="1" x14ac:dyDescent="0.2">
      <c r="C120" s="1301" t="s">
        <v>99</v>
      </c>
      <c r="D120" s="1301"/>
      <c r="E120" s="1301"/>
      <c r="F120" s="1301"/>
      <c r="H120" s="1157" t="s">
        <v>534</v>
      </c>
      <c r="I120" s="1157"/>
      <c r="J120" s="1157"/>
      <c r="K120" s="1157"/>
    </row>
    <row r="121" spans="3:11" ht="15" customHeight="1" x14ac:dyDescent="0.2">
      <c r="C121" s="1589" t="str">
        <f>CONCATENATE("This individual is responsible for the ",Details!$E$12, " application")</f>
        <v>This individual is responsible for the  application</v>
      </c>
      <c r="D121" s="1589"/>
      <c r="E121" s="1589"/>
      <c r="F121" s="1589"/>
      <c r="G121" s="31"/>
      <c r="H121" s="1575" t="s">
        <v>531</v>
      </c>
      <c r="I121" s="1575"/>
      <c r="J121" s="1575"/>
      <c r="K121" s="1575"/>
    </row>
    <row r="122" spans="3:11" ht="5.25" customHeight="1" x14ac:dyDescent="0.2">
      <c r="C122" s="245"/>
      <c r="D122" s="245"/>
      <c r="E122" s="245"/>
      <c r="F122" s="245"/>
      <c r="G122" s="31"/>
      <c r="H122" s="33"/>
      <c r="I122" s="33"/>
      <c r="J122" s="33"/>
      <c r="K122" s="33"/>
    </row>
    <row r="123" spans="3:11" ht="15" customHeight="1" x14ac:dyDescent="0.2">
      <c r="C123" s="1149" t="s">
        <v>524</v>
      </c>
      <c r="D123" s="1149"/>
      <c r="E123" s="1345"/>
      <c r="F123" s="1345"/>
      <c r="G123" s="241"/>
      <c r="H123" s="1149" t="s">
        <v>535</v>
      </c>
      <c r="I123" s="1149"/>
      <c r="J123" s="1345"/>
      <c r="K123" s="1345"/>
    </row>
    <row r="124" spans="3:11" ht="15" customHeight="1" x14ac:dyDescent="0.2">
      <c r="C124" s="1149" t="s">
        <v>525</v>
      </c>
      <c r="D124" s="1149"/>
      <c r="E124" s="1345"/>
      <c r="F124" s="1345"/>
      <c r="G124" s="241"/>
      <c r="H124" s="1149" t="s">
        <v>536</v>
      </c>
      <c r="I124" s="1149"/>
      <c r="J124" s="1345"/>
      <c r="K124" s="1345"/>
    </row>
    <row r="125" spans="3:11" ht="15" customHeight="1" x14ac:dyDescent="0.2">
      <c r="C125" s="1149" t="s">
        <v>526</v>
      </c>
      <c r="D125" s="1149"/>
      <c r="E125" s="1345"/>
      <c r="F125" s="1345"/>
      <c r="G125" s="241"/>
      <c r="H125" s="1149" t="s">
        <v>537</v>
      </c>
      <c r="I125" s="1149"/>
      <c r="J125" s="1345"/>
      <c r="K125" s="1345"/>
    </row>
    <row r="126" spans="3:11" ht="15" customHeight="1" x14ac:dyDescent="0.2">
      <c r="C126" s="1149" t="s">
        <v>527</v>
      </c>
      <c r="D126" s="1149"/>
      <c r="E126" s="1345"/>
      <c r="F126" s="1345"/>
      <c r="G126" s="241"/>
      <c r="H126" s="1149" t="s">
        <v>538</v>
      </c>
      <c r="I126" s="1149"/>
      <c r="J126" s="1345"/>
      <c r="K126" s="1345"/>
    </row>
    <row r="127" spans="3:11" ht="15" customHeight="1" x14ac:dyDescent="0.2">
      <c r="C127" s="1149" t="s">
        <v>528</v>
      </c>
      <c r="D127" s="1149"/>
      <c r="E127" s="1561"/>
      <c r="F127" s="1561"/>
      <c r="G127" s="246"/>
      <c r="H127" s="1149" t="s">
        <v>528</v>
      </c>
      <c r="I127" s="1149"/>
      <c r="J127" s="1561"/>
      <c r="K127" s="1561"/>
    </row>
    <row r="128" spans="3:11" ht="15" customHeight="1" x14ac:dyDescent="0.2">
      <c r="C128" s="1149" t="s">
        <v>529</v>
      </c>
      <c r="D128" s="1149"/>
      <c r="E128" s="1561"/>
      <c r="F128" s="1561"/>
      <c r="G128" s="246"/>
      <c r="H128" s="1149" t="s">
        <v>529</v>
      </c>
      <c r="I128" s="1149"/>
      <c r="J128" s="1561"/>
      <c r="K128" s="1561"/>
    </row>
    <row r="129" spans="3:14" ht="15" customHeight="1" x14ac:dyDescent="0.2">
      <c r="C129" s="1149" t="s">
        <v>530</v>
      </c>
      <c r="D129" s="1149"/>
      <c r="E129" s="1345"/>
      <c r="F129" s="1345"/>
      <c r="G129" s="241"/>
      <c r="H129" s="1149" t="s">
        <v>530</v>
      </c>
      <c r="I129" s="1149"/>
      <c r="J129" s="1345"/>
      <c r="K129" s="1345"/>
    </row>
    <row r="130" spans="3:14" ht="15" customHeight="1" x14ac:dyDescent="0.2">
      <c r="K130" s="240"/>
    </row>
    <row r="131" spans="3:14" ht="15" hidden="1" customHeight="1" x14ac:dyDescent="0.2">
      <c r="C131" s="1600" t="s">
        <v>2555</v>
      </c>
      <c r="D131" s="1600"/>
      <c r="E131" s="1600"/>
      <c r="F131" s="148"/>
      <c r="G131" s="148"/>
      <c r="H131" s="1301"/>
      <c r="I131" s="1301"/>
      <c r="J131" s="1301"/>
      <c r="K131" s="688"/>
    </row>
    <row r="132" spans="3:14" ht="15" hidden="1" customHeight="1" x14ac:dyDescent="0.2">
      <c r="K132" s="240"/>
    </row>
    <row r="133" spans="3:14" ht="15" hidden="1" customHeight="1" x14ac:dyDescent="0.2">
      <c r="C133" s="1175" t="s">
        <v>2564</v>
      </c>
      <c r="D133" s="1175"/>
      <c r="E133" s="1175"/>
      <c r="F133" s="1175"/>
      <c r="G133" s="1175"/>
      <c r="H133" s="355"/>
      <c r="I133" s="690" t="s">
        <v>2569</v>
      </c>
      <c r="K133" s="240"/>
    </row>
    <row r="134" spans="3:14" ht="15" hidden="1" customHeight="1" x14ac:dyDescent="0.2">
      <c r="C134" s="1175"/>
      <c r="D134" s="1175"/>
      <c r="E134" s="1175"/>
      <c r="F134" s="1175"/>
      <c r="G134" s="1175"/>
      <c r="K134" s="240"/>
    </row>
    <row r="135" spans="3:14" ht="15" hidden="1" customHeight="1" x14ac:dyDescent="0.2">
      <c r="C135" s="1301" t="s">
        <v>2559</v>
      </c>
      <c r="D135" s="1301"/>
      <c r="E135" s="1301"/>
      <c r="F135" s="1301"/>
      <c r="G135" s="1301"/>
      <c r="K135" s="240"/>
    </row>
    <row r="136" spans="3:14" ht="15" hidden="1" customHeight="1" x14ac:dyDescent="0.2">
      <c r="C136" s="1155" t="s">
        <v>2562</v>
      </c>
      <c r="D136" s="1155"/>
      <c r="E136" s="1155"/>
      <c r="F136" s="1155"/>
      <c r="G136" s="1155"/>
      <c r="H136" s="355"/>
      <c r="K136" s="240"/>
    </row>
    <row r="137" spans="3:14" ht="15" hidden="1" customHeight="1" x14ac:dyDescent="0.2">
      <c r="C137" s="1155" t="s">
        <v>2560</v>
      </c>
      <c r="D137" s="1155"/>
      <c r="E137" s="1155"/>
      <c r="F137" s="1155"/>
      <c r="G137" s="1324"/>
      <c r="H137" s="355"/>
      <c r="I137" s="99"/>
      <c r="J137" s="99"/>
    </row>
    <row r="138" spans="3:14" ht="15" hidden="1" customHeight="1" x14ac:dyDescent="0.2">
      <c r="C138" s="1155" t="s">
        <v>2556</v>
      </c>
      <c r="D138" s="1155"/>
      <c r="E138" s="1155"/>
      <c r="F138" s="1155"/>
      <c r="G138" s="1324"/>
      <c r="H138" s="1591"/>
      <c r="I138" s="1262"/>
      <c r="J138" s="1262"/>
    </row>
    <row r="139" spans="3:14" ht="15" hidden="1" customHeight="1" x14ac:dyDescent="0.2">
      <c r="C139" s="1155" t="s">
        <v>2557</v>
      </c>
      <c r="D139" s="1155"/>
      <c r="E139" s="1155"/>
      <c r="F139" s="1155"/>
      <c r="G139" s="1324"/>
      <c r="H139" s="355"/>
      <c r="K139" s="240"/>
    </row>
    <row r="140" spans="3:14" ht="15" hidden="1" customHeight="1" x14ac:dyDescent="0.2">
      <c r="C140" s="1155" t="s">
        <v>2558</v>
      </c>
      <c r="D140" s="1155"/>
      <c r="E140" s="1155"/>
      <c r="F140" s="1155"/>
      <c r="G140" s="1324"/>
      <c r="H140" s="362"/>
      <c r="K140" s="240"/>
    </row>
    <row r="141" spans="3:14" ht="15" hidden="1" customHeight="1" x14ac:dyDescent="0.2">
      <c r="K141" s="240"/>
    </row>
    <row r="142" spans="3:14" ht="15" hidden="1" customHeight="1" x14ac:dyDescent="0.2">
      <c r="C142" s="1301" t="s">
        <v>2561</v>
      </c>
      <c r="D142" s="1301"/>
      <c r="E142" s="1301"/>
      <c r="F142" s="1301"/>
      <c r="G142" s="1301"/>
      <c r="K142" s="240"/>
      <c r="M142" s="410" t="s">
        <v>2249</v>
      </c>
      <c r="N142" s="1193" t="s">
        <v>2657</v>
      </c>
    </row>
    <row r="143" spans="3:14" ht="15" hidden="1" customHeight="1" x14ac:dyDescent="0.2">
      <c r="C143" s="1155" t="s">
        <v>2563</v>
      </c>
      <c r="D143" s="1155"/>
      <c r="E143" s="1155"/>
      <c r="F143" s="1155"/>
      <c r="G143" s="1155"/>
      <c r="H143" s="355"/>
      <c r="K143" s="240"/>
      <c r="M143" s="410"/>
      <c r="N143" s="1193"/>
    </row>
    <row r="144" spans="3:14" ht="15" hidden="1" customHeight="1" x14ac:dyDescent="0.2">
      <c r="C144" s="1155" t="s">
        <v>2565</v>
      </c>
      <c r="D144" s="1155"/>
      <c r="E144" s="1155"/>
      <c r="F144" s="1155"/>
      <c r="G144" s="1324"/>
      <c r="H144" s="355"/>
      <c r="I144" s="99"/>
      <c r="J144" s="99"/>
      <c r="K144" s="240"/>
      <c r="N144" s="1193"/>
    </row>
    <row r="145" spans="2:14" ht="15" hidden="1" customHeight="1" x14ac:dyDescent="0.2">
      <c r="C145" s="1155" t="s">
        <v>2566</v>
      </c>
      <c r="D145" s="1155"/>
      <c r="E145" s="1155"/>
      <c r="F145" s="1155"/>
      <c r="G145" s="1324"/>
      <c r="H145" s="1591"/>
      <c r="I145" s="1262"/>
      <c r="J145" s="1262"/>
      <c r="K145" s="240"/>
      <c r="N145" s="1193"/>
    </row>
    <row r="146" spans="2:14" ht="15" hidden="1" customHeight="1" x14ac:dyDescent="0.2">
      <c r="C146" s="1155" t="s">
        <v>2567</v>
      </c>
      <c r="D146" s="1155"/>
      <c r="E146" s="1155"/>
      <c r="F146" s="1155"/>
      <c r="G146" s="1324"/>
      <c r="H146" s="1591"/>
      <c r="I146" s="1262"/>
      <c r="J146" s="1262"/>
      <c r="K146" s="240"/>
      <c r="N146" s="1193"/>
    </row>
    <row r="147" spans="2:14" ht="15" hidden="1" customHeight="1" x14ac:dyDescent="0.2">
      <c r="C147" s="1155" t="s">
        <v>2568</v>
      </c>
      <c r="D147" s="1155"/>
      <c r="E147" s="1155"/>
      <c r="F147" s="1155"/>
      <c r="G147" s="1324"/>
      <c r="H147" s="689"/>
      <c r="K147" s="240"/>
      <c r="N147" s="1193"/>
    </row>
    <row r="148" spans="2:14" ht="15" hidden="1" customHeight="1" x14ac:dyDescent="0.2">
      <c r="C148" s="1155" t="s">
        <v>2558</v>
      </c>
      <c r="D148" s="1155"/>
      <c r="E148" s="1155"/>
      <c r="F148" s="1155"/>
      <c r="G148" s="1324"/>
      <c r="H148" s="362"/>
      <c r="K148" s="240"/>
      <c r="N148" s="1193"/>
    </row>
    <row r="149" spans="2:14" ht="15" hidden="1" customHeight="1" x14ac:dyDescent="0.2">
      <c r="K149" s="240"/>
      <c r="N149" s="1193"/>
    </row>
    <row r="150" spans="2:14" ht="15" customHeight="1" x14ac:dyDescent="0.2">
      <c r="K150" s="240"/>
    </row>
    <row r="151" spans="2:14" ht="15" customHeight="1" x14ac:dyDescent="0.2">
      <c r="B151" s="1281" t="s">
        <v>568</v>
      </c>
      <c r="C151" s="1281"/>
      <c r="D151" s="1281"/>
      <c r="E151" s="1281"/>
      <c r="F151" s="1281"/>
      <c r="G151" s="1281"/>
      <c r="H151" s="1281"/>
      <c r="I151" s="1281"/>
      <c r="J151" s="1281"/>
      <c r="K151" s="1281"/>
      <c r="L151" s="1281"/>
    </row>
    <row r="152" spans="2:14" ht="3" customHeight="1" x14ac:dyDescent="0.2">
      <c r="B152" s="1312"/>
      <c r="C152" s="1312"/>
      <c r="D152" s="1312"/>
      <c r="E152" s="1312"/>
      <c r="F152" s="1312"/>
      <c r="G152" s="1312"/>
      <c r="H152" s="1312"/>
      <c r="I152" s="1312"/>
      <c r="J152" s="1312"/>
      <c r="K152" s="1312"/>
      <c r="L152" s="1312"/>
    </row>
    <row r="153" spans="2:14" ht="15" customHeight="1" x14ac:dyDescent="0.2">
      <c r="K153" s="240"/>
    </row>
    <row r="154" spans="2:14" ht="15" customHeight="1" x14ac:dyDescent="0.2">
      <c r="C154" s="1149" t="s">
        <v>517</v>
      </c>
      <c r="D154" s="1204"/>
      <c r="E154" s="355"/>
      <c r="K154" s="240"/>
    </row>
    <row r="155" spans="2:14" ht="15" customHeight="1" x14ac:dyDescent="0.2">
      <c r="C155" s="25"/>
      <c r="D155" s="25"/>
      <c r="E155" s="25"/>
      <c r="F155" s="25"/>
      <c r="G155" s="25"/>
      <c r="K155" s="240"/>
    </row>
    <row r="156" spans="2:14" ht="15" customHeight="1" x14ac:dyDescent="0.2">
      <c r="C156" s="1175" t="s">
        <v>519</v>
      </c>
      <c r="D156" s="1175"/>
      <c r="E156" s="1345"/>
      <c r="F156" s="1345"/>
      <c r="G156" s="241"/>
      <c r="H156" s="1149" t="s">
        <v>550</v>
      </c>
      <c r="I156" s="1149"/>
      <c r="J156" s="1345"/>
      <c r="K156" s="1345"/>
      <c r="L156" s="240"/>
    </row>
    <row r="157" spans="2:14" ht="15" customHeight="1" x14ac:dyDescent="0.2">
      <c r="C157" s="1149" t="s">
        <v>94</v>
      </c>
      <c r="D157" s="1149"/>
      <c r="E157" s="1345"/>
      <c r="F157" s="1345"/>
      <c r="G157" s="241"/>
      <c r="H157" s="1149" t="s">
        <v>551</v>
      </c>
      <c r="I157" s="1149"/>
      <c r="J157" s="1345"/>
      <c r="K157" s="1345"/>
      <c r="L157" s="240"/>
    </row>
    <row r="158" spans="2:14" ht="15" customHeight="1" x14ac:dyDescent="0.2">
      <c r="C158" s="1149" t="s">
        <v>95</v>
      </c>
      <c r="D158" s="1149"/>
      <c r="E158" s="1345"/>
      <c r="F158" s="1345"/>
      <c r="G158" s="241"/>
      <c r="H158" s="1149" t="s">
        <v>552</v>
      </c>
      <c r="I158" s="1149"/>
      <c r="J158" s="1345"/>
      <c r="K158" s="1345"/>
      <c r="L158" s="240"/>
    </row>
    <row r="159" spans="2:14" ht="15" customHeight="1" x14ac:dyDescent="0.2">
      <c r="C159" s="1149" t="s">
        <v>96</v>
      </c>
      <c r="D159" s="1149"/>
      <c r="E159" s="1345"/>
      <c r="F159" s="1345"/>
      <c r="G159" s="241"/>
      <c r="H159" s="1149" t="s">
        <v>553</v>
      </c>
      <c r="I159" s="1149"/>
      <c r="J159" s="1345"/>
      <c r="K159" s="1345"/>
      <c r="L159" s="240"/>
    </row>
    <row r="160" spans="2:14" ht="15" customHeight="1" x14ac:dyDescent="0.2">
      <c r="C160" s="1149" t="s">
        <v>574</v>
      </c>
      <c r="D160" s="1204"/>
      <c r="E160" s="1345"/>
      <c r="F160" s="1345"/>
      <c r="G160" s="243"/>
      <c r="H160" s="1149" t="s">
        <v>528</v>
      </c>
      <c r="I160" s="1149"/>
      <c r="J160" s="1561"/>
      <c r="K160" s="1561"/>
      <c r="L160" s="240"/>
    </row>
    <row r="161" spans="2:13" ht="15" customHeight="1" x14ac:dyDescent="0.2">
      <c r="C161" s="1149" t="s">
        <v>2012</v>
      </c>
      <c r="D161" s="1149"/>
      <c r="E161" s="1562"/>
      <c r="F161" s="1562"/>
      <c r="G161" s="241"/>
      <c r="H161" s="1149" t="s">
        <v>529</v>
      </c>
      <c r="I161" s="1149"/>
      <c r="J161" s="1561"/>
      <c r="K161" s="1561"/>
      <c r="L161" s="240"/>
    </row>
    <row r="162" spans="2:13" ht="15" customHeight="1" x14ac:dyDescent="0.2">
      <c r="C162" s="1149" t="s">
        <v>542</v>
      </c>
      <c r="D162" s="1204"/>
      <c r="E162" s="1562"/>
      <c r="F162" s="1562"/>
      <c r="G162" s="244"/>
      <c r="H162" s="1149" t="s">
        <v>530</v>
      </c>
      <c r="I162" s="1149"/>
      <c r="J162" s="1345"/>
      <c r="K162" s="1345"/>
      <c r="L162" s="240"/>
    </row>
    <row r="163" spans="2:13" ht="15" customHeight="1" x14ac:dyDescent="0.2">
      <c r="C163" s="1149" t="s">
        <v>515</v>
      </c>
      <c r="D163" s="1149"/>
      <c r="E163" s="1345"/>
      <c r="F163" s="1345"/>
      <c r="G163" s="241"/>
      <c r="H163" s="241"/>
      <c r="I163" s="1592"/>
      <c r="J163" s="1592"/>
      <c r="K163" s="241"/>
      <c r="L163" s="241"/>
      <c r="M163" s="240"/>
    </row>
    <row r="164" spans="2:13" ht="15" customHeight="1" x14ac:dyDescent="0.2">
      <c r="C164" s="1149" t="s">
        <v>591</v>
      </c>
      <c r="D164" s="1204"/>
      <c r="E164" s="1345"/>
      <c r="F164" s="1345"/>
      <c r="K164" s="240"/>
    </row>
    <row r="165" spans="2:13" ht="15" customHeight="1" x14ac:dyDescent="0.2">
      <c r="K165" s="240"/>
    </row>
    <row r="166" spans="2:13" ht="15" customHeight="1" x14ac:dyDescent="0.2">
      <c r="K166" s="240"/>
    </row>
    <row r="167" spans="2:13" ht="15" customHeight="1" x14ac:dyDescent="0.2">
      <c r="B167" s="1281" t="s">
        <v>718</v>
      </c>
      <c r="C167" s="1281"/>
      <c r="D167" s="1281"/>
      <c r="E167" s="1281"/>
      <c r="F167" s="1281"/>
      <c r="G167" s="1281"/>
      <c r="H167" s="1281"/>
      <c r="I167" s="1281"/>
      <c r="J167" s="1281"/>
      <c r="K167" s="1281"/>
      <c r="L167" s="1281"/>
    </row>
    <row r="168" spans="2:13" ht="3" customHeight="1" x14ac:dyDescent="0.2">
      <c r="B168" s="1312"/>
      <c r="C168" s="1312"/>
      <c r="D168" s="1312"/>
      <c r="E168" s="1312"/>
      <c r="F168" s="1312"/>
      <c r="G168" s="1312"/>
      <c r="H168" s="1312"/>
      <c r="I168" s="1312"/>
      <c r="J168" s="1312"/>
      <c r="K168" s="1312"/>
      <c r="L168" s="1312"/>
    </row>
    <row r="169" spans="2:13" ht="15" customHeight="1" x14ac:dyDescent="0.2">
      <c r="C169" s="240"/>
      <c r="K169" s="240"/>
    </row>
    <row r="170" spans="2:13" ht="15" customHeight="1" x14ac:dyDescent="0.2">
      <c r="C170" s="1157" t="s">
        <v>554</v>
      </c>
      <c r="D170" s="1157"/>
      <c r="E170" s="1157"/>
      <c r="F170" s="1157"/>
      <c r="G170" s="241"/>
      <c r="H170" s="1157" t="s">
        <v>555</v>
      </c>
      <c r="I170" s="1157"/>
      <c r="J170" s="1157"/>
      <c r="K170" s="1157"/>
    </row>
    <row r="171" spans="2:13" ht="15" customHeight="1" x14ac:dyDescent="0.2">
      <c r="C171" s="1574" t="s">
        <v>557</v>
      </c>
      <c r="D171" s="1574"/>
      <c r="E171" s="1574"/>
      <c r="F171" s="1574"/>
      <c r="G171" s="241"/>
      <c r="H171" s="1575" t="s">
        <v>556</v>
      </c>
      <c r="I171" s="1575"/>
      <c r="J171" s="1575"/>
      <c r="K171" s="1575"/>
    </row>
    <row r="172" spans="2:13" ht="5.25" customHeight="1" x14ac:dyDescent="0.2">
      <c r="C172" s="73"/>
      <c r="D172" s="73"/>
      <c r="E172" s="241"/>
      <c r="F172" s="241"/>
      <c r="G172" s="241"/>
      <c r="H172" s="242"/>
      <c r="I172" s="242"/>
      <c r="J172" s="242"/>
      <c r="K172" s="242"/>
    </row>
    <row r="173" spans="2:13" ht="15" customHeight="1" x14ac:dyDescent="0.2">
      <c r="C173" s="1149" t="s">
        <v>539</v>
      </c>
      <c r="D173" s="1204"/>
      <c r="E173" s="1345"/>
      <c r="F173" s="1345"/>
      <c r="G173" s="241"/>
      <c r="H173" s="1149" t="s">
        <v>544</v>
      </c>
      <c r="I173" s="1204"/>
      <c r="J173" s="1345"/>
      <c r="K173" s="1345"/>
    </row>
    <row r="174" spans="2:13" ht="15" customHeight="1" x14ac:dyDescent="0.2">
      <c r="C174" s="1149" t="s">
        <v>299</v>
      </c>
      <c r="D174" s="1204"/>
      <c r="E174" s="1345"/>
      <c r="F174" s="1345"/>
      <c r="G174" s="241"/>
      <c r="H174" s="1149" t="s">
        <v>545</v>
      </c>
      <c r="I174" s="1204"/>
      <c r="J174" s="1345"/>
      <c r="K174" s="1345"/>
    </row>
    <row r="175" spans="2:13" ht="15" customHeight="1" x14ac:dyDescent="0.2">
      <c r="C175" s="1149" t="s">
        <v>540</v>
      </c>
      <c r="D175" s="1204"/>
      <c r="E175" s="1345"/>
      <c r="F175" s="1345"/>
      <c r="G175" s="243"/>
      <c r="H175" s="1149" t="s">
        <v>546</v>
      </c>
      <c r="I175" s="1204"/>
      <c r="J175" s="1345"/>
      <c r="K175" s="1345"/>
    </row>
    <row r="176" spans="2:13" ht="15" customHeight="1" x14ac:dyDescent="0.2">
      <c r="C176" s="1149" t="s">
        <v>541</v>
      </c>
      <c r="D176" s="1204"/>
      <c r="E176" s="1576"/>
      <c r="F176" s="1576"/>
      <c r="G176" s="241"/>
      <c r="H176" s="1149" t="s">
        <v>547</v>
      </c>
      <c r="I176" s="1204"/>
      <c r="J176" s="1345"/>
      <c r="K176" s="1345"/>
    </row>
    <row r="177" spans="3:11" ht="15" customHeight="1" x14ac:dyDescent="0.2">
      <c r="C177" s="1149" t="s">
        <v>574</v>
      </c>
      <c r="D177" s="1204"/>
      <c r="E177" s="1345"/>
      <c r="F177" s="1345"/>
      <c r="G177" s="244"/>
      <c r="H177" s="1149" t="s">
        <v>528</v>
      </c>
      <c r="I177" s="1204"/>
      <c r="J177" s="1561"/>
      <c r="K177" s="1561"/>
    </row>
    <row r="178" spans="3:11" ht="15" customHeight="1" x14ac:dyDescent="0.2">
      <c r="C178" s="1149" t="s">
        <v>575</v>
      </c>
      <c r="D178" s="1204"/>
      <c r="E178" s="1562"/>
      <c r="F178" s="1562"/>
      <c r="G178" s="241"/>
      <c r="H178" s="1149" t="s">
        <v>529</v>
      </c>
      <c r="I178" s="1204"/>
      <c r="J178" s="1561"/>
      <c r="K178" s="1561"/>
    </row>
    <row r="179" spans="3:11" ht="15" customHeight="1" x14ac:dyDescent="0.2">
      <c r="C179" s="1149" t="s">
        <v>542</v>
      </c>
      <c r="D179" s="1204"/>
      <c r="E179" s="1345"/>
      <c r="F179" s="1345"/>
      <c r="G179" s="241"/>
      <c r="H179" s="1149" t="s">
        <v>530</v>
      </c>
      <c r="I179" s="1204"/>
      <c r="J179" s="1580"/>
      <c r="K179" s="1345"/>
    </row>
    <row r="180" spans="3:11" ht="15" customHeight="1" x14ac:dyDescent="0.2">
      <c r="C180" s="1149" t="s">
        <v>543</v>
      </c>
      <c r="D180" s="1204"/>
      <c r="E180" s="1585"/>
      <c r="F180" s="1198"/>
      <c r="G180" s="241"/>
      <c r="H180" s="73"/>
      <c r="I180" s="73"/>
      <c r="J180" s="241"/>
      <c r="K180" s="241"/>
    </row>
    <row r="181" spans="3:11" ht="15" customHeight="1" x14ac:dyDescent="0.2">
      <c r="C181" s="1149" t="s">
        <v>591</v>
      </c>
      <c r="D181" s="1204"/>
      <c r="E181" s="1345"/>
      <c r="F181" s="1345"/>
    </row>
    <row r="182" spans="3:11" ht="15" customHeight="1" x14ac:dyDescent="0.2">
      <c r="C182" s="73"/>
      <c r="D182" s="73"/>
      <c r="E182" s="241"/>
      <c r="F182" s="241"/>
    </row>
    <row r="183" spans="3:11" ht="15" customHeight="1" x14ac:dyDescent="0.2">
      <c r="C183" s="1301" t="s">
        <v>99</v>
      </c>
      <c r="D183" s="1301"/>
      <c r="E183" s="1301"/>
      <c r="F183" s="1301"/>
      <c r="H183" s="1157" t="s">
        <v>534</v>
      </c>
      <c r="I183" s="1157"/>
      <c r="J183" s="1157"/>
      <c r="K183" s="1157"/>
    </row>
    <row r="184" spans="3:11" ht="15" customHeight="1" x14ac:dyDescent="0.2">
      <c r="C184" s="1589" t="str">
        <f>CONCATENATE("This individual is responsible for underwriting the ",Details!$E$12, " application")</f>
        <v>This individual is responsible for underwriting the  application</v>
      </c>
      <c r="D184" s="1589"/>
      <c r="E184" s="1589"/>
      <c r="F184" s="1589"/>
      <c r="G184" s="31"/>
      <c r="H184" s="1575" t="s">
        <v>531</v>
      </c>
      <c r="I184" s="1575"/>
      <c r="J184" s="1575"/>
      <c r="K184" s="1575"/>
    </row>
    <row r="185" spans="3:11" ht="5.25" customHeight="1" x14ac:dyDescent="0.2">
      <c r="C185" s="245"/>
      <c r="D185" s="245"/>
      <c r="E185" s="245"/>
      <c r="F185" s="245"/>
      <c r="G185" s="31"/>
      <c r="H185" s="33"/>
      <c r="I185" s="33"/>
      <c r="J185" s="33"/>
      <c r="K185" s="33"/>
    </row>
    <row r="186" spans="3:11" ht="15" customHeight="1" x14ac:dyDescent="0.2">
      <c r="C186" s="1149" t="s">
        <v>524</v>
      </c>
      <c r="D186" s="1149"/>
      <c r="E186" s="1345"/>
      <c r="F186" s="1345"/>
      <c r="G186" s="241"/>
      <c r="H186" s="1149" t="s">
        <v>535</v>
      </c>
      <c r="I186" s="1149"/>
      <c r="J186" s="1345"/>
      <c r="K186" s="1345"/>
    </row>
    <row r="187" spans="3:11" ht="15" customHeight="1" x14ac:dyDescent="0.2">
      <c r="C187" s="1149" t="s">
        <v>525</v>
      </c>
      <c r="D187" s="1149"/>
      <c r="E187" s="1345"/>
      <c r="F187" s="1345"/>
      <c r="G187" s="241"/>
      <c r="H187" s="1149" t="s">
        <v>536</v>
      </c>
      <c r="I187" s="1149"/>
      <c r="J187" s="1345"/>
      <c r="K187" s="1345"/>
    </row>
    <row r="188" spans="3:11" ht="15" customHeight="1" x14ac:dyDescent="0.2">
      <c r="C188" s="1149" t="s">
        <v>526</v>
      </c>
      <c r="D188" s="1149"/>
      <c r="E188" s="1345"/>
      <c r="F188" s="1345"/>
      <c r="G188" s="241"/>
      <c r="H188" s="1149" t="s">
        <v>537</v>
      </c>
      <c r="I188" s="1149"/>
      <c r="J188" s="1345"/>
      <c r="K188" s="1345"/>
    </row>
    <row r="189" spans="3:11" ht="15" customHeight="1" x14ac:dyDescent="0.2">
      <c r="C189" s="1149" t="s">
        <v>527</v>
      </c>
      <c r="D189" s="1149"/>
      <c r="E189" s="1345"/>
      <c r="F189" s="1345"/>
      <c r="G189" s="241"/>
      <c r="H189" s="1149" t="s">
        <v>538</v>
      </c>
      <c r="I189" s="1149"/>
      <c r="J189" s="1345"/>
      <c r="K189" s="1345"/>
    </row>
    <row r="190" spans="3:11" ht="15" customHeight="1" x14ac:dyDescent="0.2">
      <c r="C190" s="1149" t="s">
        <v>528</v>
      </c>
      <c r="D190" s="1149"/>
      <c r="E190" s="1561"/>
      <c r="F190" s="1561"/>
      <c r="G190" s="246"/>
      <c r="H190" s="1149" t="s">
        <v>528</v>
      </c>
      <c r="I190" s="1149"/>
      <c r="J190" s="1561"/>
      <c r="K190" s="1561"/>
    </row>
    <row r="191" spans="3:11" ht="15" customHeight="1" x14ac:dyDescent="0.2">
      <c r="C191" s="1149" t="s">
        <v>529</v>
      </c>
      <c r="D191" s="1149"/>
      <c r="E191" s="1561"/>
      <c r="F191" s="1561"/>
      <c r="G191" s="246"/>
      <c r="H191" s="1149" t="s">
        <v>529</v>
      </c>
      <c r="I191" s="1149"/>
      <c r="J191" s="1561"/>
      <c r="K191" s="1561"/>
    </row>
    <row r="192" spans="3:11" ht="15" customHeight="1" x14ac:dyDescent="0.2">
      <c r="C192" s="1149" t="s">
        <v>530</v>
      </c>
      <c r="D192" s="1149"/>
      <c r="E192" s="1345"/>
      <c r="F192" s="1345"/>
      <c r="G192" s="241"/>
      <c r="H192" s="1149" t="s">
        <v>530</v>
      </c>
      <c r="I192" s="1149"/>
      <c r="J192" s="1345"/>
      <c r="K192" s="1345"/>
    </row>
    <row r="193" spans="2:12" ht="15" customHeight="1" x14ac:dyDescent="0.2">
      <c r="K193" s="240"/>
    </row>
    <row r="194" spans="2:12" ht="15" customHeight="1" x14ac:dyDescent="0.2">
      <c r="K194" s="240"/>
    </row>
    <row r="195" spans="2:12" ht="15" hidden="1" customHeight="1" x14ac:dyDescent="0.2">
      <c r="B195" s="1281" t="s">
        <v>2521</v>
      </c>
      <c r="C195" s="1281"/>
      <c r="D195" s="1281"/>
      <c r="E195" s="1281"/>
      <c r="F195" s="1281"/>
      <c r="G195" s="1281"/>
      <c r="H195" s="1281"/>
      <c r="I195" s="1281"/>
      <c r="J195" s="1281"/>
      <c r="K195" s="1281"/>
      <c r="L195" s="1281"/>
    </row>
    <row r="196" spans="2:12" ht="3" hidden="1" customHeight="1" x14ac:dyDescent="0.2">
      <c r="B196" s="1590"/>
      <c r="C196" s="1590"/>
      <c r="D196" s="1590"/>
      <c r="E196" s="1590"/>
      <c r="F196" s="1590"/>
      <c r="G196" s="1590"/>
      <c r="H196" s="1590"/>
      <c r="I196" s="1590"/>
      <c r="J196" s="1590"/>
      <c r="K196" s="1590"/>
      <c r="L196" s="1590"/>
    </row>
    <row r="197" spans="2:12" ht="15" hidden="1" customHeight="1" x14ac:dyDescent="0.2">
      <c r="C197" s="240"/>
      <c r="K197" s="240"/>
    </row>
    <row r="198" spans="2:12" ht="15" hidden="1" customHeight="1" x14ac:dyDescent="0.2">
      <c r="C198" s="1157" t="s">
        <v>2522</v>
      </c>
      <c r="D198" s="1157"/>
      <c r="E198" s="1157"/>
      <c r="F198" s="1157"/>
      <c r="G198" s="241"/>
      <c r="H198" s="1157" t="s">
        <v>2523</v>
      </c>
      <c r="I198" s="1157"/>
      <c r="J198" s="1157"/>
      <c r="K198" s="1157"/>
    </row>
    <row r="199" spans="2:12" ht="15" hidden="1" customHeight="1" x14ac:dyDescent="0.2">
      <c r="C199" s="1574" t="s">
        <v>557</v>
      </c>
      <c r="D199" s="1574"/>
      <c r="E199" s="1574"/>
      <c r="F199" s="1574"/>
      <c r="G199" s="241"/>
      <c r="H199" s="1575" t="s">
        <v>556</v>
      </c>
      <c r="I199" s="1575"/>
      <c r="J199" s="1575"/>
      <c r="K199" s="1575"/>
    </row>
    <row r="200" spans="2:12" ht="15" hidden="1" customHeight="1" x14ac:dyDescent="0.2">
      <c r="C200" s="73"/>
      <c r="D200" s="73"/>
      <c r="E200" s="241"/>
      <c r="F200" s="241"/>
      <c r="G200" s="241"/>
      <c r="H200" s="242"/>
      <c r="I200" s="242"/>
      <c r="J200" s="242"/>
      <c r="K200" s="242"/>
    </row>
    <row r="201" spans="2:12" ht="15" hidden="1" customHeight="1" x14ac:dyDescent="0.2">
      <c r="C201" s="1149" t="s">
        <v>539</v>
      </c>
      <c r="D201" s="1204"/>
      <c r="E201" s="1345" t="s">
        <v>265</v>
      </c>
      <c r="F201" s="1345"/>
      <c r="G201" s="241"/>
      <c r="H201" s="1149" t="s">
        <v>544</v>
      </c>
      <c r="I201" s="1204"/>
      <c r="J201" s="1345"/>
      <c r="K201" s="1345"/>
    </row>
    <row r="202" spans="2:12" ht="15" hidden="1" customHeight="1" x14ac:dyDescent="0.2">
      <c r="C202" s="1149" t="s">
        <v>299</v>
      </c>
      <c r="D202" s="1204"/>
      <c r="E202" s="1345"/>
      <c r="F202" s="1345"/>
      <c r="G202" s="241"/>
      <c r="H202" s="1149" t="s">
        <v>545</v>
      </c>
      <c r="I202" s="1204"/>
      <c r="J202" s="1345"/>
      <c r="K202" s="1345"/>
    </row>
    <row r="203" spans="2:12" ht="15" hidden="1" customHeight="1" x14ac:dyDescent="0.2">
      <c r="C203" s="1149" t="s">
        <v>540</v>
      </c>
      <c r="D203" s="1204"/>
      <c r="E203" s="1345"/>
      <c r="F203" s="1345"/>
      <c r="G203" s="243"/>
      <c r="H203" s="1149" t="s">
        <v>546</v>
      </c>
      <c r="I203" s="1204"/>
      <c r="J203" s="1345"/>
      <c r="K203" s="1345"/>
    </row>
    <row r="204" spans="2:12" ht="15" hidden="1" customHeight="1" x14ac:dyDescent="0.2">
      <c r="C204" s="1149" t="s">
        <v>541</v>
      </c>
      <c r="D204" s="1204"/>
      <c r="E204" s="1576"/>
      <c r="F204" s="1576"/>
      <c r="G204" s="241"/>
      <c r="H204" s="1149" t="s">
        <v>547</v>
      </c>
      <c r="I204" s="1204"/>
      <c r="J204" s="1345"/>
      <c r="K204" s="1345"/>
    </row>
    <row r="205" spans="2:12" ht="15" hidden="1" customHeight="1" x14ac:dyDescent="0.2">
      <c r="C205" s="1149" t="s">
        <v>574</v>
      </c>
      <c r="D205" s="1204"/>
      <c r="E205" s="1345"/>
      <c r="F205" s="1345"/>
      <c r="G205" s="244"/>
      <c r="H205" s="1149" t="s">
        <v>528</v>
      </c>
      <c r="I205" s="1204"/>
      <c r="J205" s="1561"/>
      <c r="K205" s="1561"/>
    </row>
    <row r="206" spans="2:12" ht="15" hidden="1" customHeight="1" x14ac:dyDescent="0.2">
      <c r="C206" s="1149" t="s">
        <v>575</v>
      </c>
      <c r="D206" s="1204"/>
      <c r="E206" s="1562"/>
      <c r="F206" s="1562"/>
      <c r="G206" s="241"/>
      <c r="H206" s="1149" t="s">
        <v>529</v>
      </c>
      <c r="I206" s="1204"/>
      <c r="J206" s="1561"/>
      <c r="K206" s="1561"/>
    </row>
    <row r="207" spans="2:12" ht="15" hidden="1" customHeight="1" x14ac:dyDescent="0.2">
      <c r="C207" s="1149" t="s">
        <v>542</v>
      </c>
      <c r="D207" s="1204"/>
      <c r="E207" s="1345"/>
      <c r="F207" s="1345"/>
      <c r="G207" s="241"/>
      <c r="H207" s="1149" t="s">
        <v>530</v>
      </c>
      <c r="I207" s="1204"/>
      <c r="J207" s="1580"/>
      <c r="K207" s="1345"/>
    </row>
    <row r="208" spans="2:12" ht="15" hidden="1" customHeight="1" x14ac:dyDescent="0.2">
      <c r="C208" s="1149" t="s">
        <v>543</v>
      </c>
      <c r="D208" s="1204"/>
      <c r="E208" s="1197"/>
      <c r="F208" s="1198"/>
      <c r="G208" s="241"/>
      <c r="H208" s="73"/>
      <c r="I208" s="73"/>
      <c r="J208" s="241"/>
      <c r="K208" s="241"/>
    </row>
    <row r="209" spans="2:12" ht="15" hidden="1" customHeight="1" x14ac:dyDescent="0.2">
      <c r="C209" s="1149" t="s">
        <v>591</v>
      </c>
      <c r="D209" s="1204"/>
      <c r="E209" s="1345" t="s">
        <v>265</v>
      </c>
      <c r="F209" s="1345"/>
    </row>
    <row r="210" spans="2:12" ht="15" hidden="1" customHeight="1" x14ac:dyDescent="0.2">
      <c r="C210" s="73"/>
      <c r="D210" s="73"/>
      <c r="E210" s="241"/>
      <c r="F210" s="241"/>
    </row>
    <row r="211" spans="2:12" ht="15" hidden="1" customHeight="1" x14ac:dyDescent="0.2">
      <c r="C211" s="1301" t="s">
        <v>99</v>
      </c>
      <c r="D211" s="1301"/>
      <c r="E211" s="1301"/>
      <c r="F211" s="1301"/>
      <c r="H211" s="1157" t="s">
        <v>534</v>
      </c>
      <c r="I211" s="1157"/>
      <c r="J211" s="1157"/>
      <c r="K211" s="1157"/>
    </row>
    <row r="212" spans="2:12" ht="15" hidden="1" customHeight="1" x14ac:dyDescent="0.2">
      <c r="C212" s="1589" t="str">
        <f>CONCATENATE("This individual is responsible for underwriting the ",Details!$E$12, " application")</f>
        <v>This individual is responsible for underwriting the  application</v>
      </c>
      <c r="D212" s="1589"/>
      <c r="E212" s="1589"/>
      <c r="F212" s="1589"/>
      <c r="G212" s="31"/>
      <c r="H212" s="1575" t="s">
        <v>531</v>
      </c>
      <c r="I212" s="1575"/>
      <c r="J212" s="1575"/>
      <c r="K212" s="1575"/>
    </row>
    <row r="213" spans="2:12" ht="15" hidden="1" customHeight="1" x14ac:dyDescent="0.2">
      <c r="C213" s="245"/>
      <c r="D213" s="245"/>
      <c r="E213" s="245"/>
      <c r="F213" s="245"/>
      <c r="G213" s="31"/>
      <c r="H213" s="33"/>
      <c r="I213" s="33"/>
      <c r="J213" s="33"/>
      <c r="K213" s="33"/>
    </row>
    <row r="214" spans="2:12" ht="15" hidden="1" customHeight="1" x14ac:dyDescent="0.2">
      <c r="C214" s="1149" t="s">
        <v>524</v>
      </c>
      <c r="D214" s="1149"/>
      <c r="E214" s="1345"/>
      <c r="F214" s="1345"/>
      <c r="G214" s="241"/>
      <c r="H214" s="1149" t="s">
        <v>535</v>
      </c>
      <c r="I214" s="1149"/>
      <c r="J214" s="1345"/>
      <c r="K214" s="1345"/>
    </row>
    <row r="215" spans="2:12" ht="15" hidden="1" customHeight="1" x14ac:dyDescent="0.2">
      <c r="C215" s="1149" t="s">
        <v>525</v>
      </c>
      <c r="D215" s="1149"/>
      <c r="E215" s="1345"/>
      <c r="F215" s="1345"/>
      <c r="G215" s="241"/>
      <c r="H215" s="1149" t="s">
        <v>536</v>
      </c>
      <c r="I215" s="1149"/>
      <c r="J215" s="1345"/>
      <c r="K215" s="1345"/>
    </row>
    <row r="216" spans="2:12" ht="15" hidden="1" customHeight="1" x14ac:dyDescent="0.2">
      <c r="C216" s="1149" t="s">
        <v>526</v>
      </c>
      <c r="D216" s="1149"/>
      <c r="E216" s="1345"/>
      <c r="F216" s="1345"/>
      <c r="G216" s="241"/>
      <c r="H216" s="1149" t="s">
        <v>537</v>
      </c>
      <c r="I216" s="1149"/>
      <c r="J216" s="1345"/>
      <c r="K216" s="1345"/>
    </row>
    <row r="217" spans="2:12" ht="15" hidden="1" customHeight="1" x14ac:dyDescent="0.2">
      <c r="C217" s="1149" t="s">
        <v>527</v>
      </c>
      <c r="D217" s="1149"/>
      <c r="E217" s="1345"/>
      <c r="F217" s="1345"/>
      <c r="G217" s="241"/>
      <c r="H217" s="1149" t="s">
        <v>538</v>
      </c>
      <c r="I217" s="1149"/>
      <c r="J217" s="1345"/>
      <c r="K217" s="1345"/>
    </row>
    <row r="218" spans="2:12" ht="15" hidden="1" customHeight="1" x14ac:dyDescent="0.2">
      <c r="C218" s="1149" t="s">
        <v>528</v>
      </c>
      <c r="D218" s="1149"/>
      <c r="E218" s="1561"/>
      <c r="F218" s="1561"/>
      <c r="G218" s="246"/>
      <c r="H218" s="1149" t="s">
        <v>528</v>
      </c>
      <c r="I218" s="1149"/>
      <c r="J218" s="1561"/>
      <c r="K218" s="1561"/>
    </row>
    <row r="219" spans="2:12" ht="15" hidden="1" customHeight="1" x14ac:dyDescent="0.2">
      <c r="C219" s="1149" t="s">
        <v>529</v>
      </c>
      <c r="D219" s="1149"/>
      <c r="E219" s="1561"/>
      <c r="F219" s="1561"/>
      <c r="G219" s="246"/>
      <c r="H219" s="1149" t="s">
        <v>529</v>
      </c>
      <c r="I219" s="1149"/>
      <c r="J219" s="1561"/>
      <c r="K219" s="1561"/>
    </row>
    <row r="220" spans="2:12" ht="15" hidden="1" customHeight="1" x14ac:dyDescent="0.2">
      <c r="C220" s="1149" t="s">
        <v>530</v>
      </c>
      <c r="D220" s="1149"/>
      <c r="E220" s="1345"/>
      <c r="F220" s="1345"/>
      <c r="G220" s="241"/>
      <c r="H220" s="1149" t="s">
        <v>530</v>
      </c>
      <c r="I220" s="1149"/>
      <c r="J220" s="1345"/>
      <c r="K220" s="1345"/>
    </row>
    <row r="221" spans="2:12" ht="15" hidden="1" customHeight="1" x14ac:dyDescent="0.2">
      <c r="K221" s="240"/>
    </row>
    <row r="222" spans="2:12" ht="15" hidden="1" customHeight="1" x14ac:dyDescent="0.2">
      <c r="K222" s="240"/>
    </row>
    <row r="223" spans="2:12" ht="15" customHeight="1" x14ac:dyDescent="0.2">
      <c r="B223" s="1281" t="s">
        <v>569</v>
      </c>
      <c r="C223" s="1281"/>
      <c r="D223" s="1281"/>
      <c r="E223" s="1281"/>
      <c r="F223" s="1281"/>
      <c r="G223" s="1281"/>
      <c r="H223" s="1281"/>
      <c r="I223" s="1281"/>
      <c r="J223" s="1281"/>
      <c r="K223" s="1281"/>
      <c r="L223" s="1281"/>
    </row>
    <row r="224" spans="2:12" ht="3" customHeight="1" x14ac:dyDescent="0.2">
      <c r="B224" s="1312"/>
      <c r="C224" s="1312"/>
      <c r="D224" s="1312"/>
      <c r="E224" s="1312"/>
      <c r="F224" s="1312"/>
      <c r="G224" s="1312"/>
      <c r="H224" s="1312"/>
      <c r="I224" s="1312"/>
      <c r="J224" s="1312"/>
      <c r="K224" s="1312"/>
      <c r="L224" s="1312"/>
    </row>
    <row r="225" spans="3:11" ht="15" customHeight="1" x14ac:dyDescent="0.2">
      <c r="C225" s="240"/>
      <c r="K225" s="240"/>
    </row>
    <row r="226" spans="3:11" ht="15" customHeight="1" x14ac:dyDescent="0.2">
      <c r="C226" s="1149" t="s">
        <v>517</v>
      </c>
      <c r="D226" s="1204"/>
      <c r="E226" s="355"/>
      <c r="K226" s="240"/>
    </row>
    <row r="227" spans="3:11" ht="15" customHeight="1" x14ac:dyDescent="0.2">
      <c r="C227" s="240"/>
      <c r="K227" s="240"/>
    </row>
    <row r="228" spans="3:11" ht="15" customHeight="1" x14ac:dyDescent="0.2">
      <c r="C228" s="1157" t="s">
        <v>566</v>
      </c>
      <c r="D228" s="1157"/>
      <c r="E228" s="1157"/>
      <c r="F228" s="1157"/>
      <c r="G228" s="241"/>
      <c r="H228" s="1157" t="s">
        <v>719</v>
      </c>
      <c r="I228" s="1157"/>
      <c r="J228" s="1157"/>
      <c r="K228" s="1157"/>
    </row>
    <row r="229" spans="3:11" ht="15" customHeight="1" x14ac:dyDescent="0.2">
      <c r="C229" s="1574" t="s">
        <v>565</v>
      </c>
      <c r="D229" s="1574"/>
      <c r="E229" s="1574"/>
      <c r="F229" s="1574"/>
      <c r="G229" s="241"/>
      <c r="H229" s="1575" t="s">
        <v>567</v>
      </c>
      <c r="I229" s="1575"/>
      <c r="J229" s="1575"/>
      <c r="K229" s="1575"/>
    </row>
    <row r="230" spans="3:11" ht="5.25" customHeight="1" x14ac:dyDescent="0.2">
      <c r="C230" s="73"/>
      <c r="D230" s="73"/>
      <c r="E230" s="241"/>
      <c r="F230" s="241"/>
      <c r="G230" s="241"/>
      <c r="H230" s="242"/>
      <c r="I230" s="242"/>
      <c r="J230" s="242"/>
      <c r="K230" s="242"/>
    </row>
    <row r="231" spans="3:11" ht="15" customHeight="1" x14ac:dyDescent="0.2">
      <c r="C231" s="1149" t="s">
        <v>539</v>
      </c>
      <c r="D231" s="1204"/>
      <c r="E231" s="1345"/>
      <c r="F231" s="1345"/>
      <c r="G231" s="241"/>
      <c r="H231" s="1149" t="s">
        <v>544</v>
      </c>
      <c r="I231" s="1204"/>
      <c r="J231" s="1345"/>
      <c r="K231" s="1345"/>
    </row>
    <row r="232" spans="3:11" ht="15" customHeight="1" x14ac:dyDescent="0.2">
      <c r="C232" s="1149" t="s">
        <v>299</v>
      </c>
      <c r="D232" s="1204"/>
      <c r="E232" s="1345"/>
      <c r="F232" s="1345"/>
      <c r="G232" s="241"/>
      <c r="H232" s="1149" t="s">
        <v>545</v>
      </c>
      <c r="I232" s="1204"/>
      <c r="J232" s="1345"/>
      <c r="K232" s="1345"/>
    </row>
    <row r="233" spans="3:11" ht="15" customHeight="1" x14ac:dyDescent="0.2">
      <c r="C233" s="1149" t="s">
        <v>540</v>
      </c>
      <c r="D233" s="1204"/>
      <c r="E233" s="1345"/>
      <c r="F233" s="1345"/>
      <c r="G233" s="243"/>
      <c r="H233" s="1149" t="s">
        <v>546</v>
      </c>
      <c r="I233" s="1204"/>
      <c r="J233" s="1345"/>
      <c r="K233" s="1345"/>
    </row>
    <row r="234" spans="3:11" ht="15" customHeight="1" x14ac:dyDescent="0.2">
      <c r="C234" s="1149" t="s">
        <v>541</v>
      </c>
      <c r="D234" s="1204"/>
      <c r="E234" s="1576"/>
      <c r="F234" s="1576"/>
      <c r="G234" s="241"/>
      <c r="H234" s="1149" t="s">
        <v>547</v>
      </c>
      <c r="I234" s="1204"/>
      <c r="J234" s="1345"/>
      <c r="K234" s="1345"/>
    </row>
    <row r="235" spans="3:11" ht="15" customHeight="1" x14ac:dyDescent="0.2">
      <c r="C235" s="1149" t="s">
        <v>574</v>
      </c>
      <c r="D235" s="1204"/>
      <c r="E235" s="1345"/>
      <c r="F235" s="1345"/>
      <c r="G235" s="244"/>
      <c r="H235" s="1149" t="s">
        <v>528</v>
      </c>
      <c r="I235" s="1204"/>
      <c r="J235" s="1561"/>
      <c r="K235" s="1561"/>
    </row>
    <row r="236" spans="3:11" ht="15" customHeight="1" x14ac:dyDescent="0.2">
      <c r="C236" s="1149" t="s">
        <v>575</v>
      </c>
      <c r="D236" s="1204"/>
      <c r="E236" s="1562"/>
      <c r="F236" s="1562"/>
      <c r="G236" s="241"/>
      <c r="H236" s="1149" t="s">
        <v>529</v>
      </c>
      <c r="I236" s="1204"/>
      <c r="J236" s="1561"/>
      <c r="K236" s="1561"/>
    </row>
    <row r="237" spans="3:11" ht="15" customHeight="1" x14ac:dyDescent="0.2">
      <c r="C237" s="1149" t="s">
        <v>542</v>
      </c>
      <c r="D237" s="1204"/>
      <c r="E237" s="1345"/>
      <c r="F237" s="1345"/>
      <c r="G237" s="241"/>
      <c r="H237" s="1149" t="s">
        <v>530</v>
      </c>
      <c r="I237" s="1204"/>
      <c r="J237" s="1345"/>
      <c r="K237" s="1345"/>
    </row>
    <row r="238" spans="3:11" ht="15" customHeight="1" x14ac:dyDescent="0.2">
      <c r="C238" s="1149" t="s">
        <v>543</v>
      </c>
      <c r="D238" s="1204"/>
      <c r="E238" s="1197"/>
      <c r="F238" s="1198"/>
      <c r="G238" s="241"/>
      <c r="H238" s="73"/>
      <c r="I238" s="73"/>
      <c r="J238" s="241"/>
      <c r="K238" s="241"/>
    </row>
    <row r="239" spans="3:11" ht="15" customHeight="1" x14ac:dyDescent="0.2">
      <c r="C239" s="1149" t="s">
        <v>591</v>
      </c>
      <c r="D239" s="1204"/>
      <c r="E239" s="1345"/>
      <c r="F239" s="1345"/>
      <c r="G239" s="241"/>
      <c r="H239" s="73"/>
      <c r="I239" s="73"/>
      <c r="J239" s="241"/>
      <c r="K239" s="241"/>
    </row>
    <row r="240" spans="3:11" ht="15" customHeight="1" x14ac:dyDescent="0.2"/>
    <row r="241" spans="2:12" ht="15" customHeight="1" x14ac:dyDescent="0.2">
      <c r="C241" s="1301" t="s">
        <v>99</v>
      </c>
      <c r="D241" s="1301"/>
      <c r="E241" s="1301"/>
      <c r="F241" s="1301"/>
      <c r="H241" s="1157" t="s">
        <v>534</v>
      </c>
      <c r="I241" s="1157"/>
      <c r="J241" s="1157"/>
      <c r="K241" s="1157"/>
    </row>
    <row r="242" spans="2:12" ht="15" customHeight="1" x14ac:dyDescent="0.2">
      <c r="C242" s="1589" t="str">
        <f>CONCATENATE("This individual is responsible for underwriting the ",Details!$E$12, " application")</f>
        <v>This individual is responsible for underwriting the  application</v>
      </c>
      <c r="D242" s="1589"/>
      <c r="E242" s="1589"/>
      <c r="F242" s="1589"/>
      <c r="G242" s="31"/>
      <c r="H242" s="1575" t="s">
        <v>531</v>
      </c>
      <c r="I242" s="1575"/>
      <c r="J242" s="1575"/>
      <c r="K242" s="1575"/>
    </row>
    <row r="243" spans="2:12" ht="5.25" customHeight="1" x14ac:dyDescent="0.2">
      <c r="C243" s="245"/>
      <c r="D243" s="245"/>
      <c r="E243" s="245"/>
      <c r="F243" s="245"/>
      <c r="G243" s="31"/>
      <c r="H243" s="33"/>
      <c r="I243" s="33"/>
      <c r="J243" s="33"/>
      <c r="K243" s="33"/>
    </row>
    <row r="244" spans="2:12" ht="15" customHeight="1" x14ac:dyDescent="0.2">
      <c r="C244" s="1149" t="s">
        <v>524</v>
      </c>
      <c r="D244" s="1149"/>
      <c r="E244" s="1345"/>
      <c r="F244" s="1345"/>
      <c r="G244" s="241"/>
      <c r="H244" s="1149" t="s">
        <v>535</v>
      </c>
      <c r="I244" s="1149"/>
      <c r="J244" s="1345"/>
      <c r="K244" s="1345"/>
    </row>
    <row r="245" spans="2:12" ht="15" customHeight="1" x14ac:dyDescent="0.2">
      <c r="C245" s="1149" t="s">
        <v>525</v>
      </c>
      <c r="D245" s="1149"/>
      <c r="E245" s="1345"/>
      <c r="F245" s="1345"/>
      <c r="G245" s="241"/>
      <c r="H245" s="1149" t="s">
        <v>536</v>
      </c>
      <c r="I245" s="1149"/>
      <c r="J245" s="1345"/>
      <c r="K245" s="1345"/>
    </row>
    <row r="246" spans="2:12" ht="15" customHeight="1" x14ac:dyDescent="0.2">
      <c r="C246" s="1149" t="s">
        <v>526</v>
      </c>
      <c r="D246" s="1149"/>
      <c r="E246" s="1345"/>
      <c r="F246" s="1345"/>
      <c r="G246" s="241"/>
      <c r="H246" s="1149" t="s">
        <v>537</v>
      </c>
      <c r="I246" s="1149"/>
      <c r="J246" s="1345"/>
      <c r="K246" s="1345"/>
    </row>
    <row r="247" spans="2:12" ht="15" customHeight="1" x14ac:dyDescent="0.2">
      <c r="C247" s="1149" t="s">
        <v>527</v>
      </c>
      <c r="D247" s="1149"/>
      <c r="E247" s="1345"/>
      <c r="F247" s="1345"/>
      <c r="G247" s="241"/>
      <c r="H247" s="1149" t="s">
        <v>538</v>
      </c>
      <c r="I247" s="1149"/>
      <c r="J247" s="1345"/>
      <c r="K247" s="1345"/>
    </row>
    <row r="248" spans="2:12" ht="15" customHeight="1" x14ac:dyDescent="0.2">
      <c r="C248" s="1149" t="s">
        <v>528</v>
      </c>
      <c r="D248" s="1149"/>
      <c r="E248" s="1561"/>
      <c r="F248" s="1561"/>
      <c r="G248" s="246"/>
      <c r="H248" s="1149" t="s">
        <v>528</v>
      </c>
      <c r="I248" s="1149"/>
      <c r="J248" s="1561"/>
      <c r="K248" s="1561"/>
    </row>
    <row r="249" spans="2:12" ht="15" customHeight="1" x14ac:dyDescent="0.2">
      <c r="C249" s="1149" t="s">
        <v>529</v>
      </c>
      <c r="D249" s="1149"/>
      <c r="E249" s="1561"/>
      <c r="F249" s="1561"/>
      <c r="G249" s="246"/>
      <c r="H249" s="1149" t="s">
        <v>529</v>
      </c>
      <c r="I249" s="1149"/>
      <c r="J249" s="1561"/>
      <c r="K249" s="1561"/>
    </row>
    <row r="250" spans="2:12" ht="15" customHeight="1" x14ac:dyDescent="0.2">
      <c r="C250" s="1149" t="s">
        <v>530</v>
      </c>
      <c r="D250" s="1149"/>
      <c r="E250" s="1345"/>
      <c r="F250" s="1345"/>
      <c r="G250" s="241"/>
      <c r="H250" s="1149" t="s">
        <v>530</v>
      </c>
      <c r="I250" s="1149"/>
      <c r="J250" s="1345"/>
      <c r="K250" s="1345"/>
    </row>
    <row r="251" spans="2:12" ht="15" customHeight="1" x14ac:dyDescent="0.2">
      <c r="K251" s="240"/>
    </row>
    <row r="252" spans="2:12" ht="15" customHeight="1" x14ac:dyDescent="0.2">
      <c r="K252" s="240"/>
    </row>
    <row r="253" spans="2:12" ht="15" customHeight="1" x14ac:dyDescent="0.2">
      <c r="B253" s="1281" t="s">
        <v>570</v>
      </c>
      <c r="C253" s="1281"/>
      <c r="D253" s="1281"/>
      <c r="E253" s="1281"/>
      <c r="F253" s="1281"/>
      <c r="G253" s="1281"/>
      <c r="H253" s="1281"/>
      <c r="I253" s="1281"/>
      <c r="J253" s="1281"/>
      <c r="K253" s="1281"/>
      <c r="L253" s="1281"/>
    </row>
    <row r="254" spans="2:12" ht="3" customHeight="1" x14ac:dyDescent="0.2">
      <c r="B254" s="1312"/>
      <c r="C254" s="1312"/>
      <c r="D254" s="1312"/>
      <c r="E254" s="1312"/>
      <c r="F254" s="1312"/>
      <c r="G254" s="1312"/>
      <c r="H254" s="1312"/>
      <c r="I254" s="1312"/>
      <c r="J254" s="1312"/>
      <c r="K254" s="1312"/>
      <c r="L254" s="1312"/>
    </row>
    <row r="255" spans="2:12" ht="15" customHeight="1" x14ac:dyDescent="0.2"/>
    <row r="256" spans="2:12" ht="15" customHeight="1" x14ac:dyDescent="0.2">
      <c r="C256" s="1157" t="s">
        <v>2781</v>
      </c>
      <c r="D256" s="1157"/>
      <c r="E256" s="1157"/>
      <c r="F256" s="1157"/>
      <c r="G256" s="241"/>
      <c r="H256" s="1157" t="s">
        <v>534</v>
      </c>
      <c r="I256" s="1157"/>
      <c r="J256" s="1157"/>
      <c r="K256" s="1157"/>
    </row>
    <row r="257" spans="3:11" ht="15" customHeight="1" x14ac:dyDescent="0.2">
      <c r="C257" s="1574" t="s">
        <v>2782</v>
      </c>
      <c r="D257" s="1574"/>
      <c r="E257" s="1574"/>
      <c r="F257" s="1574"/>
      <c r="G257" s="241"/>
      <c r="H257" s="1575" t="s">
        <v>531</v>
      </c>
      <c r="I257" s="1575"/>
      <c r="J257" s="1575"/>
      <c r="K257" s="1575"/>
    </row>
    <row r="258" spans="3:11" ht="5.25" customHeight="1" x14ac:dyDescent="0.2">
      <c r="C258" s="73"/>
      <c r="D258" s="73"/>
      <c r="E258" s="241"/>
      <c r="F258" s="241"/>
      <c r="G258" s="241"/>
      <c r="H258" s="242"/>
      <c r="I258" s="242"/>
      <c r="J258" s="242"/>
      <c r="K258" s="242"/>
    </row>
    <row r="259" spans="3:11" ht="15" customHeight="1" x14ac:dyDescent="0.2">
      <c r="C259" s="1149" t="s">
        <v>539</v>
      </c>
      <c r="D259" s="1149"/>
      <c r="E259" s="1345"/>
      <c r="F259" s="1345"/>
      <c r="G259" s="241"/>
      <c r="H259" s="1149" t="s">
        <v>535</v>
      </c>
      <c r="I259" s="1149"/>
      <c r="J259" s="1345"/>
      <c r="K259" s="1345"/>
    </row>
    <row r="260" spans="3:11" ht="15" customHeight="1" x14ac:dyDescent="0.2">
      <c r="C260" s="1149" t="s">
        <v>299</v>
      </c>
      <c r="D260" s="1149"/>
      <c r="E260" s="1345"/>
      <c r="F260" s="1345"/>
      <c r="G260" s="241"/>
      <c r="H260" s="1149" t="s">
        <v>536</v>
      </c>
      <c r="I260" s="1149"/>
      <c r="J260" s="1345"/>
      <c r="K260" s="1345"/>
    </row>
    <row r="261" spans="3:11" ht="15" customHeight="1" x14ac:dyDescent="0.2">
      <c r="C261" s="1149" t="s">
        <v>540</v>
      </c>
      <c r="D261" s="1149"/>
      <c r="E261" s="1345"/>
      <c r="F261" s="1345"/>
      <c r="G261" s="243"/>
      <c r="H261" s="1149" t="s">
        <v>537</v>
      </c>
      <c r="I261" s="1149"/>
      <c r="J261" s="1345"/>
      <c r="K261" s="1345"/>
    </row>
    <row r="262" spans="3:11" ht="15" customHeight="1" x14ac:dyDescent="0.2">
      <c r="C262" s="1149" t="s">
        <v>541</v>
      </c>
      <c r="D262" s="1149"/>
      <c r="E262" s="1576"/>
      <c r="F262" s="1576"/>
      <c r="G262" s="241"/>
      <c r="H262" s="1149" t="s">
        <v>538</v>
      </c>
      <c r="I262" s="1149"/>
      <c r="J262" s="1345"/>
      <c r="K262" s="1345"/>
    </row>
    <row r="263" spans="3:11" ht="15" customHeight="1" x14ac:dyDescent="0.2">
      <c r="C263" s="1149" t="s">
        <v>574</v>
      </c>
      <c r="D263" s="1204"/>
      <c r="E263" s="1345"/>
      <c r="F263" s="1345"/>
      <c r="G263" s="244"/>
      <c r="H263" s="1149" t="s">
        <v>553</v>
      </c>
      <c r="I263" s="1149"/>
      <c r="J263" s="1581"/>
      <c r="K263" s="1582"/>
    </row>
    <row r="264" spans="3:11" ht="15" customHeight="1" x14ac:dyDescent="0.2">
      <c r="C264" s="1149" t="s">
        <v>575</v>
      </c>
      <c r="D264" s="1149"/>
      <c r="E264" s="1562"/>
      <c r="F264" s="1562"/>
      <c r="G264" s="241"/>
      <c r="H264" s="1149" t="s">
        <v>528</v>
      </c>
      <c r="I264" s="1149"/>
      <c r="J264" s="1581"/>
      <c r="K264" s="1582"/>
    </row>
    <row r="265" spans="3:11" ht="15" customHeight="1" x14ac:dyDescent="0.2">
      <c r="C265" s="1149" t="s">
        <v>542</v>
      </c>
      <c r="D265" s="1149"/>
      <c r="E265" s="1345"/>
      <c r="F265" s="1345"/>
      <c r="G265" s="241"/>
      <c r="H265" s="73" t="s">
        <v>529</v>
      </c>
      <c r="I265" s="73"/>
      <c r="J265" s="1581"/>
      <c r="K265" s="1582"/>
    </row>
    <row r="266" spans="3:11" ht="15" customHeight="1" x14ac:dyDescent="0.2">
      <c r="C266" s="1149" t="s">
        <v>558</v>
      </c>
      <c r="D266" s="1149"/>
      <c r="E266" s="1345"/>
      <c r="F266" s="1345"/>
      <c r="H266" s="73" t="s">
        <v>530</v>
      </c>
      <c r="I266" s="73"/>
      <c r="J266" s="1585"/>
      <c r="K266" s="1588"/>
    </row>
    <row r="267" spans="3:11" ht="15" customHeight="1" x14ac:dyDescent="0.2">
      <c r="C267" s="1149" t="s">
        <v>559</v>
      </c>
      <c r="D267" s="1149"/>
      <c r="E267" s="1562"/>
      <c r="F267" s="1562"/>
    </row>
    <row r="268" spans="3:11" ht="15" customHeight="1" x14ac:dyDescent="0.2">
      <c r="C268" s="73"/>
      <c r="D268" s="73"/>
      <c r="E268" s="248"/>
      <c r="F268" s="248"/>
    </row>
    <row r="269" spans="3:11" ht="15" customHeight="1" x14ac:dyDescent="0.2"/>
    <row r="270" spans="3:11" ht="15" customHeight="1" x14ac:dyDescent="0.2">
      <c r="C270" s="1281" t="s">
        <v>640</v>
      </c>
      <c r="D270" s="1281"/>
      <c r="E270" s="1281"/>
      <c r="F270" s="1281"/>
      <c r="G270" s="1281"/>
      <c r="H270" s="1281"/>
      <c r="I270" s="1281"/>
      <c r="J270" s="1281"/>
      <c r="K270" s="1281"/>
    </row>
    <row r="271" spans="3:11" ht="3" customHeight="1" x14ac:dyDescent="0.2">
      <c r="C271" s="1312"/>
      <c r="D271" s="1312"/>
      <c r="E271" s="1312"/>
      <c r="F271" s="1312"/>
      <c r="G271" s="1312"/>
      <c r="H271" s="1312"/>
      <c r="I271" s="1312"/>
      <c r="J271" s="1312"/>
      <c r="K271" s="1312"/>
    </row>
    <row r="272" spans="3:11" ht="15" customHeight="1" x14ac:dyDescent="0.2"/>
    <row r="273" spans="3:11" ht="15" customHeight="1" x14ac:dyDescent="0.2">
      <c r="C273" s="1157" t="s">
        <v>640</v>
      </c>
      <c r="D273" s="1157"/>
      <c r="E273" s="1157"/>
      <c r="F273" s="1157"/>
      <c r="G273" s="241"/>
      <c r="H273" s="1157" t="s">
        <v>534</v>
      </c>
      <c r="I273" s="1157"/>
      <c r="J273" s="1157"/>
      <c r="K273" s="1157"/>
    </row>
    <row r="274" spans="3:11" ht="15" customHeight="1" x14ac:dyDescent="0.2">
      <c r="C274" s="1574" t="s">
        <v>720</v>
      </c>
      <c r="D274" s="1574"/>
      <c r="E274" s="1574"/>
      <c r="F274" s="1574"/>
      <c r="G274" s="241"/>
      <c r="H274" s="1575" t="s">
        <v>531</v>
      </c>
      <c r="I274" s="1575"/>
      <c r="J274" s="1575"/>
      <c r="K274" s="1575"/>
    </row>
    <row r="275" spans="3:11" ht="5.25" customHeight="1" x14ac:dyDescent="0.2">
      <c r="C275" s="73"/>
      <c r="D275" s="73"/>
      <c r="E275" s="241"/>
      <c r="F275" s="241"/>
      <c r="G275" s="241"/>
      <c r="H275" s="242"/>
      <c r="I275" s="242"/>
      <c r="J275" s="242"/>
      <c r="K275" s="242"/>
    </row>
    <row r="276" spans="3:11" ht="15" customHeight="1" x14ac:dyDescent="0.2">
      <c r="C276" s="1149" t="s">
        <v>539</v>
      </c>
      <c r="D276" s="1204"/>
      <c r="E276" s="1345"/>
      <c r="F276" s="1345"/>
      <c r="G276" s="241"/>
      <c r="H276" s="1149" t="s">
        <v>535</v>
      </c>
      <c r="I276" s="1149"/>
      <c r="J276" s="1345"/>
      <c r="K276" s="1345"/>
    </row>
    <row r="277" spans="3:11" ht="15" customHeight="1" x14ac:dyDescent="0.2">
      <c r="C277" s="1149" t="s">
        <v>299</v>
      </c>
      <c r="D277" s="1204"/>
      <c r="E277" s="1345"/>
      <c r="F277" s="1345"/>
      <c r="G277" s="241"/>
      <c r="H277" s="1149" t="s">
        <v>536</v>
      </c>
      <c r="I277" s="1149"/>
      <c r="J277" s="1345"/>
      <c r="K277" s="1345"/>
    </row>
    <row r="278" spans="3:11" ht="15" customHeight="1" x14ac:dyDescent="0.2">
      <c r="C278" s="1149" t="s">
        <v>540</v>
      </c>
      <c r="D278" s="1204"/>
      <c r="E278" s="1345"/>
      <c r="F278" s="1345"/>
      <c r="G278" s="243"/>
      <c r="H278" s="1149" t="s">
        <v>537</v>
      </c>
      <c r="I278" s="1149"/>
      <c r="J278" s="1345"/>
      <c r="K278" s="1345"/>
    </row>
    <row r="279" spans="3:11" ht="15" customHeight="1" x14ac:dyDescent="0.2">
      <c r="C279" s="1149" t="s">
        <v>541</v>
      </c>
      <c r="D279" s="1204"/>
      <c r="E279" s="1576"/>
      <c r="F279" s="1576"/>
      <c r="G279" s="241"/>
      <c r="H279" s="1149" t="s">
        <v>538</v>
      </c>
      <c r="I279" s="1149"/>
      <c r="J279" s="1345"/>
      <c r="K279" s="1345"/>
    </row>
    <row r="280" spans="3:11" ht="15" customHeight="1" x14ac:dyDescent="0.2">
      <c r="C280" s="1149" t="s">
        <v>574</v>
      </c>
      <c r="D280" s="1204"/>
      <c r="E280" s="1345"/>
      <c r="F280" s="1345"/>
      <c r="G280" s="244"/>
      <c r="H280" s="1149" t="s">
        <v>528</v>
      </c>
      <c r="I280" s="1149"/>
      <c r="J280" s="1561"/>
      <c r="K280" s="1561"/>
    </row>
    <row r="281" spans="3:11" ht="15" customHeight="1" x14ac:dyDescent="0.2">
      <c r="C281" s="1149" t="s">
        <v>575</v>
      </c>
      <c r="D281" s="1204"/>
      <c r="E281" s="1562"/>
      <c r="F281" s="1562"/>
      <c r="G281" s="241"/>
      <c r="H281" s="1149" t="s">
        <v>529</v>
      </c>
      <c r="I281" s="1149"/>
      <c r="J281" s="1561"/>
      <c r="K281" s="1561"/>
    </row>
    <row r="282" spans="3:11" ht="15" customHeight="1" x14ac:dyDescent="0.2">
      <c r="C282" s="1149" t="s">
        <v>542</v>
      </c>
      <c r="D282" s="1204"/>
      <c r="E282" s="1345"/>
      <c r="F282" s="1345"/>
      <c r="G282" s="241"/>
      <c r="H282" s="1149" t="s">
        <v>530</v>
      </c>
      <c r="I282" s="1149"/>
      <c r="J282" s="1345"/>
      <c r="K282" s="1345"/>
    </row>
    <row r="283" spans="3:11" ht="15" customHeight="1" x14ac:dyDescent="0.2">
      <c r="C283" s="1149" t="s">
        <v>543</v>
      </c>
      <c r="D283" s="1204"/>
      <c r="E283" s="1586"/>
      <c r="F283" s="1587"/>
      <c r="G283" s="241"/>
      <c r="H283" s="73"/>
      <c r="I283" s="73"/>
      <c r="J283" s="241"/>
      <c r="K283" s="241"/>
    </row>
    <row r="284" spans="3:11" ht="15" customHeight="1" x14ac:dyDescent="0.2">
      <c r="C284" s="1149" t="s">
        <v>558</v>
      </c>
      <c r="D284" s="1149"/>
      <c r="E284" s="1345"/>
      <c r="F284" s="1345"/>
    </row>
    <row r="285" spans="3:11" ht="15" customHeight="1" x14ac:dyDescent="0.2">
      <c r="C285" s="1149" t="s">
        <v>559</v>
      </c>
      <c r="D285" s="1149"/>
      <c r="E285" s="1562"/>
      <c r="F285" s="1562"/>
    </row>
    <row r="286" spans="3:11" ht="15" customHeight="1" x14ac:dyDescent="0.2">
      <c r="C286" s="1149" t="s">
        <v>591</v>
      </c>
      <c r="D286" s="1149"/>
      <c r="E286" s="1262"/>
      <c r="F286" s="1262"/>
    </row>
    <row r="287" spans="3:11" ht="15" customHeight="1" x14ac:dyDescent="0.2">
      <c r="C287" s="1149" t="s">
        <v>521</v>
      </c>
      <c r="D287" s="1149"/>
      <c r="E287" s="1573"/>
      <c r="F287" s="1573"/>
    </row>
    <row r="288" spans="3:11" ht="15" customHeight="1" x14ac:dyDescent="0.2"/>
    <row r="289" spans="3:11" ht="15" customHeight="1" x14ac:dyDescent="0.2"/>
    <row r="290" spans="3:11" ht="15" customHeight="1" x14ac:dyDescent="0.2">
      <c r="C290" s="1281" t="s">
        <v>641</v>
      </c>
      <c r="D290" s="1281"/>
      <c r="E290" s="1281"/>
      <c r="F290" s="1281"/>
      <c r="G290" s="1281"/>
      <c r="H290" s="1281"/>
      <c r="I290" s="1281"/>
      <c r="J290" s="1281"/>
      <c r="K290" s="1281"/>
    </row>
    <row r="291" spans="3:11" ht="3" customHeight="1" x14ac:dyDescent="0.2">
      <c r="C291" s="1312"/>
      <c r="D291" s="1312"/>
      <c r="E291" s="1312"/>
      <c r="F291" s="1312"/>
      <c r="G291" s="1312"/>
      <c r="H291" s="1312"/>
      <c r="I291" s="1312"/>
      <c r="J291" s="1312"/>
      <c r="K291" s="1312"/>
    </row>
    <row r="292" spans="3:11" ht="15" customHeight="1" x14ac:dyDescent="0.2"/>
    <row r="293" spans="3:11" ht="15" customHeight="1" x14ac:dyDescent="0.2">
      <c r="C293" s="1149" t="s">
        <v>517</v>
      </c>
      <c r="D293" s="1204"/>
      <c r="E293" s="355"/>
    </row>
    <row r="294" spans="3:11" ht="15" customHeight="1" x14ac:dyDescent="0.2"/>
    <row r="295" spans="3:11" ht="15" customHeight="1" x14ac:dyDescent="0.2">
      <c r="C295" s="1157" t="s">
        <v>641</v>
      </c>
      <c r="D295" s="1157"/>
      <c r="E295" s="1157"/>
      <c r="F295" s="1157"/>
      <c r="G295" s="241"/>
      <c r="H295" s="1157" t="s">
        <v>534</v>
      </c>
      <c r="I295" s="1157"/>
      <c r="J295" s="1157"/>
      <c r="K295" s="1157"/>
    </row>
    <row r="296" spans="3:11" ht="15" customHeight="1" x14ac:dyDescent="0.2">
      <c r="C296" s="1574" t="s">
        <v>721</v>
      </c>
      <c r="D296" s="1574"/>
      <c r="E296" s="1574"/>
      <c r="F296" s="1574"/>
      <c r="G296" s="241"/>
      <c r="H296" s="1575" t="s">
        <v>531</v>
      </c>
      <c r="I296" s="1575"/>
      <c r="J296" s="1575"/>
      <c r="K296" s="1575"/>
    </row>
    <row r="297" spans="3:11" ht="5.25" customHeight="1" x14ac:dyDescent="0.2">
      <c r="C297" s="73"/>
      <c r="D297" s="73"/>
      <c r="E297" s="241"/>
      <c r="F297" s="241"/>
      <c r="G297" s="241"/>
      <c r="H297" s="242"/>
      <c r="I297" s="242"/>
      <c r="J297" s="242"/>
      <c r="K297" s="242"/>
    </row>
    <row r="298" spans="3:11" ht="15" customHeight="1" x14ac:dyDescent="0.2">
      <c r="C298" s="1149" t="s">
        <v>539</v>
      </c>
      <c r="D298" s="1204"/>
      <c r="E298" s="1345"/>
      <c r="F298" s="1345"/>
      <c r="G298" s="241"/>
      <c r="H298" s="1149" t="s">
        <v>535</v>
      </c>
      <c r="I298" s="1149"/>
      <c r="J298" s="1345"/>
      <c r="K298" s="1345"/>
    </row>
    <row r="299" spans="3:11" ht="15" customHeight="1" x14ac:dyDescent="0.2">
      <c r="C299" s="1149" t="s">
        <v>299</v>
      </c>
      <c r="D299" s="1204"/>
      <c r="E299" s="1345"/>
      <c r="F299" s="1345"/>
      <c r="G299" s="241"/>
      <c r="H299" s="1149" t="s">
        <v>536</v>
      </c>
      <c r="I299" s="1149"/>
      <c r="J299" s="1345"/>
      <c r="K299" s="1345"/>
    </row>
    <row r="300" spans="3:11" ht="15" customHeight="1" x14ac:dyDescent="0.2">
      <c r="C300" s="1149" t="s">
        <v>540</v>
      </c>
      <c r="D300" s="1204"/>
      <c r="E300" s="1345"/>
      <c r="F300" s="1345"/>
      <c r="G300" s="243"/>
      <c r="H300" s="1149" t="s">
        <v>537</v>
      </c>
      <c r="I300" s="1149"/>
      <c r="J300" s="1345"/>
      <c r="K300" s="1345"/>
    </row>
    <row r="301" spans="3:11" ht="15" customHeight="1" x14ac:dyDescent="0.2">
      <c r="C301" s="1149" t="s">
        <v>541</v>
      </c>
      <c r="D301" s="1204"/>
      <c r="E301" s="1576"/>
      <c r="F301" s="1576"/>
      <c r="G301" s="241"/>
      <c r="H301" s="1149" t="s">
        <v>538</v>
      </c>
      <c r="I301" s="1149"/>
      <c r="J301" s="1345"/>
      <c r="K301" s="1345"/>
    </row>
    <row r="302" spans="3:11" ht="15" customHeight="1" x14ac:dyDescent="0.2">
      <c r="C302" s="1149" t="s">
        <v>574</v>
      </c>
      <c r="D302" s="1204"/>
      <c r="E302" s="1345"/>
      <c r="F302" s="1345"/>
      <c r="G302" s="244"/>
      <c r="H302" s="1149" t="s">
        <v>528</v>
      </c>
      <c r="I302" s="1149"/>
      <c r="J302" s="1561"/>
      <c r="K302" s="1561"/>
    </row>
    <row r="303" spans="3:11" ht="15" customHeight="1" x14ac:dyDescent="0.2">
      <c r="C303" s="1149" t="s">
        <v>575</v>
      </c>
      <c r="D303" s="1204"/>
      <c r="E303" s="1562"/>
      <c r="F303" s="1562"/>
      <c r="G303" s="241"/>
      <c r="H303" s="1149" t="s">
        <v>529</v>
      </c>
      <c r="I303" s="1149"/>
      <c r="J303" s="1561"/>
      <c r="K303" s="1561"/>
    </row>
    <row r="304" spans="3:11" ht="15" customHeight="1" x14ac:dyDescent="0.2">
      <c r="C304" s="1149" t="s">
        <v>542</v>
      </c>
      <c r="D304" s="1204"/>
      <c r="E304" s="1345"/>
      <c r="F304" s="1345"/>
      <c r="G304" s="241"/>
      <c r="H304" s="1149" t="s">
        <v>530</v>
      </c>
      <c r="I304" s="1149"/>
      <c r="J304" s="1345"/>
      <c r="K304" s="1345"/>
    </row>
    <row r="305" spans="3:11" ht="15" customHeight="1" x14ac:dyDescent="0.2">
      <c r="C305" s="1149" t="s">
        <v>543</v>
      </c>
      <c r="D305" s="1204"/>
      <c r="E305" s="1586"/>
      <c r="F305" s="1587"/>
      <c r="G305" s="241"/>
      <c r="H305" s="73"/>
      <c r="I305" s="73"/>
      <c r="J305" s="241"/>
      <c r="K305" s="241"/>
    </row>
    <row r="306" spans="3:11" ht="15" customHeight="1" x14ac:dyDescent="0.2">
      <c r="C306" s="1149" t="s">
        <v>558</v>
      </c>
      <c r="D306" s="1149"/>
      <c r="E306" s="1345"/>
      <c r="F306" s="1345"/>
    </row>
    <row r="307" spans="3:11" ht="15" customHeight="1" x14ac:dyDescent="0.2">
      <c r="C307" s="1149" t="s">
        <v>559</v>
      </c>
      <c r="D307" s="1149"/>
      <c r="E307" s="1562"/>
      <c r="F307" s="1562"/>
    </row>
    <row r="308" spans="3:11" ht="15" customHeight="1" x14ac:dyDescent="0.2">
      <c r="C308" s="1149" t="s">
        <v>591</v>
      </c>
      <c r="D308" s="1149"/>
      <c r="E308" s="1262"/>
      <c r="F308" s="1262"/>
    </row>
    <row r="309" spans="3:11" ht="15" customHeight="1" x14ac:dyDescent="0.2">
      <c r="C309" s="1149" t="s">
        <v>521</v>
      </c>
      <c r="D309" s="1149"/>
      <c r="E309" s="1573"/>
      <c r="F309" s="1573"/>
    </row>
    <row r="310" spans="3:11" ht="15" customHeight="1" x14ac:dyDescent="0.2"/>
    <row r="311" spans="3:11" ht="15" customHeight="1" x14ac:dyDescent="0.2"/>
    <row r="312" spans="3:11" ht="15" customHeight="1" x14ac:dyDescent="0.2">
      <c r="C312" s="1281" t="s">
        <v>560</v>
      </c>
      <c r="D312" s="1281"/>
      <c r="E312" s="1281"/>
      <c r="F312" s="1281"/>
      <c r="G312" s="1281"/>
      <c r="H312" s="1281"/>
      <c r="I312" s="1281"/>
      <c r="J312" s="1281"/>
      <c r="K312" s="1281"/>
    </row>
    <row r="313" spans="3:11" ht="3" customHeight="1" x14ac:dyDescent="0.2">
      <c r="C313" s="1312"/>
      <c r="D313" s="1312"/>
      <c r="E313" s="1312"/>
      <c r="F313" s="1312"/>
      <c r="G313" s="1312"/>
      <c r="H313" s="1312"/>
      <c r="I313" s="1312"/>
      <c r="J313" s="1312"/>
      <c r="K313" s="1312"/>
    </row>
    <row r="314" spans="3:11" ht="15" customHeight="1" x14ac:dyDescent="0.2"/>
    <row r="315" spans="3:11" ht="15" customHeight="1" x14ac:dyDescent="0.2">
      <c r="C315" s="1157" t="s">
        <v>560</v>
      </c>
      <c r="D315" s="1157"/>
      <c r="E315" s="1157"/>
      <c r="F315" s="1157"/>
      <c r="G315" s="241"/>
      <c r="H315" s="1157" t="s">
        <v>534</v>
      </c>
      <c r="I315" s="1157"/>
      <c r="J315" s="1157"/>
      <c r="K315" s="1157"/>
    </row>
    <row r="316" spans="3:11" ht="15" customHeight="1" x14ac:dyDescent="0.2">
      <c r="C316" s="1574" t="s">
        <v>593</v>
      </c>
      <c r="D316" s="1574"/>
      <c r="E316" s="1574"/>
      <c r="F316" s="1574"/>
      <c r="G316" s="241"/>
      <c r="H316" s="1575" t="s">
        <v>531</v>
      </c>
      <c r="I316" s="1575"/>
      <c r="J316" s="1575"/>
      <c r="K316" s="1575"/>
    </row>
    <row r="317" spans="3:11" ht="5.25" customHeight="1" x14ac:dyDescent="0.2">
      <c r="C317" s="73"/>
      <c r="D317" s="73"/>
      <c r="E317" s="241"/>
      <c r="F317" s="241"/>
      <c r="G317" s="241"/>
      <c r="H317" s="242"/>
      <c r="I317" s="242"/>
      <c r="J317" s="242"/>
      <c r="K317" s="242"/>
    </row>
    <row r="318" spans="3:11" ht="15" customHeight="1" x14ac:dyDescent="0.2">
      <c r="C318" s="1149" t="s">
        <v>539</v>
      </c>
      <c r="D318" s="1204"/>
      <c r="E318" s="1345"/>
      <c r="F318" s="1345"/>
      <c r="G318" s="241"/>
      <c r="H318" s="1149" t="s">
        <v>535</v>
      </c>
      <c r="I318" s="1149"/>
      <c r="J318" s="1345"/>
      <c r="K318" s="1345"/>
    </row>
    <row r="319" spans="3:11" ht="15" customHeight="1" x14ac:dyDescent="0.2">
      <c r="C319" s="1149" t="s">
        <v>299</v>
      </c>
      <c r="D319" s="1204"/>
      <c r="E319" s="1345"/>
      <c r="F319" s="1345"/>
      <c r="G319" s="241"/>
      <c r="H319" s="1149" t="s">
        <v>536</v>
      </c>
      <c r="I319" s="1149"/>
      <c r="J319" s="1345"/>
      <c r="K319" s="1345"/>
    </row>
    <row r="320" spans="3:11" ht="15" customHeight="1" x14ac:dyDescent="0.2">
      <c r="C320" s="1149" t="s">
        <v>540</v>
      </c>
      <c r="D320" s="1204"/>
      <c r="E320" s="1345"/>
      <c r="F320" s="1345"/>
      <c r="G320" s="243"/>
      <c r="H320" s="1149" t="s">
        <v>537</v>
      </c>
      <c r="I320" s="1149"/>
      <c r="J320" s="1345"/>
      <c r="K320" s="1345"/>
    </row>
    <row r="321" spans="3:11" ht="15" customHeight="1" x14ac:dyDescent="0.2">
      <c r="C321" s="1149" t="s">
        <v>541</v>
      </c>
      <c r="D321" s="1204"/>
      <c r="E321" s="1576"/>
      <c r="F321" s="1576"/>
      <c r="G321" s="241"/>
      <c r="H321" s="1149" t="s">
        <v>538</v>
      </c>
      <c r="I321" s="1149"/>
      <c r="J321" s="1345"/>
      <c r="K321" s="1345"/>
    </row>
    <row r="322" spans="3:11" ht="15" customHeight="1" x14ac:dyDescent="0.2">
      <c r="C322" s="1149" t="s">
        <v>574</v>
      </c>
      <c r="D322" s="1204"/>
      <c r="E322" s="1345"/>
      <c r="F322" s="1345"/>
      <c r="G322" s="244"/>
      <c r="H322" s="1149" t="s">
        <v>528</v>
      </c>
      <c r="I322" s="1149"/>
      <c r="J322" s="1561"/>
      <c r="K322" s="1561"/>
    </row>
    <row r="323" spans="3:11" ht="15" customHeight="1" x14ac:dyDescent="0.2">
      <c r="C323" s="1149" t="s">
        <v>575</v>
      </c>
      <c r="D323" s="1204"/>
      <c r="E323" s="1562"/>
      <c r="F323" s="1562"/>
      <c r="G323" s="241"/>
      <c r="H323" s="1149" t="s">
        <v>529</v>
      </c>
      <c r="I323" s="1149"/>
      <c r="J323" s="1561"/>
      <c r="K323" s="1561"/>
    </row>
    <row r="324" spans="3:11" ht="15" customHeight="1" x14ac:dyDescent="0.2">
      <c r="C324" s="1149" t="s">
        <v>542</v>
      </c>
      <c r="D324" s="1204"/>
      <c r="E324" s="1345"/>
      <c r="F324" s="1345"/>
      <c r="G324" s="241"/>
      <c r="H324" s="1149" t="s">
        <v>530</v>
      </c>
      <c r="I324" s="1149"/>
      <c r="J324" s="1345"/>
      <c r="K324" s="1345"/>
    </row>
    <row r="325" spans="3:11" ht="15" customHeight="1" x14ac:dyDescent="0.2">
      <c r="C325" s="1149" t="s">
        <v>558</v>
      </c>
      <c r="D325" s="1149"/>
      <c r="E325" s="1345"/>
      <c r="F325" s="1345"/>
    </row>
    <row r="326" spans="3:11" ht="15" customHeight="1" x14ac:dyDescent="0.2">
      <c r="C326" s="1149" t="s">
        <v>559</v>
      </c>
      <c r="D326" s="1149"/>
      <c r="E326" s="1562"/>
      <c r="F326" s="1562"/>
    </row>
    <row r="327" spans="3:11" ht="15" customHeight="1" x14ac:dyDescent="0.2">
      <c r="C327" s="1149" t="s">
        <v>591</v>
      </c>
      <c r="D327" s="1149"/>
      <c r="E327" s="1262"/>
      <c r="F327" s="1262"/>
    </row>
    <row r="328" spans="3:11" ht="15" customHeight="1" x14ac:dyDescent="0.2">
      <c r="C328" s="1149" t="s">
        <v>592</v>
      </c>
      <c r="D328" s="1149"/>
      <c r="E328" s="1573"/>
      <c r="F328" s="1573"/>
    </row>
    <row r="329" spans="3:11" ht="15" customHeight="1" x14ac:dyDescent="0.2"/>
    <row r="330" spans="3:11" ht="15" customHeight="1" x14ac:dyDescent="0.2"/>
    <row r="331" spans="3:11" ht="15" customHeight="1" x14ac:dyDescent="0.2">
      <c r="C331" s="1281" t="s">
        <v>561</v>
      </c>
      <c r="D331" s="1281"/>
      <c r="E331" s="1281"/>
      <c r="F331" s="1281"/>
      <c r="G331" s="1281"/>
      <c r="H331" s="1281"/>
      <c r="I331" s="1281"/>
      <c r="J331" s="1281"/>
      <c r="K331" s="1281"/>
    </row>
    <row r="332" spans="3:11" ht="3" customHeight="1" x14ac:dyDescent="0.2">
      <c r="C332" s="1312"/>
      <c r="D332" s="1312"/>
      <c r="E332" s="1312"/>
      <c r="F332" s="1312"/>
      <c r="G332" s="1312"/>
      <c r="H332" s="1312"/>
      <c r="I332" s="1312"/>
      <c r="J332" s="1312"/>
      <c r="K332" s="1312"/>
    </row>
    <row r="333" spans="3:11" ht="15" customHeight="1" x14ac:dyDescent="0.2"/>
    <row r="334" spans="3:11" ht="15" customHeight="1" x14ac:dyDescent="0.2">
      <c r="C334" s="1149" t="s">
        <v>517</v>
      </c>
      <c r="D334" s="1204"/>
      <c r="E334" s="355"/>
    </row>
    <row r="335" spans="3:11" ht="15" customHeight="1" x14ac:dyDescent="0.2"/>
    <row r="336" spans="3:11" ht="15" customHeight="1" x14ac:dyDescent="0.2">
      <c r="C336" s="1157" t="s">
        <v>561</v>
      </c>
      <c r="D336" s="1157"/>
      <c r="E336" s="1157"/>
      <c r="F336" s="1157"/>
      <c r="G336" s="241"/>
      <c r="H336" s="1157" t="s">
        <v>534</v>
      </c>
      <c r="I336" s="1157"/>
      <c r="J336" s="1157"/>
      <c r="K336" s="1157"/>
    </row>
    <row r="337" spans="3:11" ht="15" customHeight="1" x14ac:dyDescent="0.2">
      <c r="C337" s="1574" t="s">
        <v>594</v>
      </c>
      <c r="D337" s="1574"/>
      <c r="E337" s="1574"/>
      <c r="F337" s="1574"/>
      <c r="G337" s="241"/>
      <c r="H337" s="1575" t="s">
        <v>531</v>
      </c>
      <c r="I337" s="1575"/>
      <c r="J337" s="1575"/>
      <c r="K337" s="1575"/>
    </row>
    <row r="338" spans="3:11" ht="4.5" customHeight="1" x14ac:dyDescent="0.2">
      <c r="C338" s="73"/>
      <c r="D338" s="73"/>
      <c r="E338" s="241"/>
      <c r="F338" s="241"/>
      <c r="G338" s="241"/>
      <c r="H338" s="242"/>
      <c r="I338" s="242"/>
      <c r="J338" s="242"/>
      <c r="K338" s="242"/>
    </row>
    <row r="339" spans="3:11" ht="15" customHeight="1" x14ac:dyDescent="0.2">
      <c r="C339" s="1149" t="s">
        <v>539</v>
      </c>
      <c r="D339" s="1204"/>
      <c r="E339" s="1345"/>
      <c r="F339" s="1345"/>
      <c r="G339" s="241"/>
      <c r="H339" s="1149" t="s">
        <v>535</v>
      </c>
      <c r="I339" s="1149"/>
      <c r="J339" s="1345"/>
      <c r="K339" s="1345"/>
    </row>
    <row r="340" spans="3:11" ht="15" customHeight="1" x14ac:dyDescent="0.2">
      <c r="C340" s="1149" t="s">
        <v>299</v>
      </c>
      <c r="D340" s="1204"/>
      <c r="E340" s="1345"/>
      <c r="F340" s="1345"/>
      <c r="G340" s="241"/>
      <c r="H340" s="1149" t="s">
        <v>536</v>
      </c>
      <c r="I340" s="1149"/>
      <c r="J340" s="1345"/>
      <c r="K340" s="1345"/>
    </row>
    <row r="341" spans="3:11" ht="15" customHeight="1" x14ac:dyDescent="0.2">
      <c r="C341" s="1149" t="s">
        <v>540</v>
      </c>
      <c r="D341" s="1204"/>
      <c r="E341" s="1345"/>
      <c r="F341" s="1345"/>
      <c r="G341" s="243"/>
      <c r="H341" s="1149" t="s">
        <v>537</v>
      </c>
      <c r="I341" s="1149"/>
      <c r="J341" s="1345"/>
      <c r="K341" s="1345"/>
    </row>
    <row r="342" spans="3:11" ht="15" customHeight="1" x14ac:dyDescent="0.2">
      <c r="C342" s="1149" t="s">
        <v>541</v>
      </c>
      <c r="D342" s="1204"/>
      <c r="E342" s="1576"/>
      <c r="F342" s="1576"/>
      <c r="G342" s="241"/>
      <c r="H342" s="1149" t="s">
        <v>538</v>
      </c>
      <c r="I342" s="1149"/>
      <c r="J342" s="1345"/>
      <c r="K342" s="1345"/>
    </row>
    <row r="343" spans="3:11" ht="15" customHeight="1" x14ac:dyDescent="0.2">
      <c r="C343" s="1149" t="s">
        <v>574</v>
      </c>
      <c r="D343" s="1204"/>
      <c r="E343" s="1345"/>
      <c r="F343" s="1345"/>
      <c r="G343" s="244"/>
      <c r="H343" s="1149" t="s">
        <v>528</v>
      </c>
      <c r="I343" s="1149"/>
      <c r="J343" s="1561"/>
      <c r="K343" s="1561"/>
    </row>
    <row r="344" spans="3:11" ht="15" customHeight="1" x14ac:dyDescent="0.2">
      <c r="C344" s="1149" t="s">
        <v>575</v>
      </c>
      <c r="D344" s="1204"/>
      <c r="E344" s="1562"/>
      <c r="F344" s="1562"/>
      <c r="G344" s="241"/>
      <c r="H344" s="1149" t="s">
        <v>529</v>
      </c>
      <c r="I344" s="1149"/>
      <c r="J344" s="1561"/>
      <c r="K344" s="1561"/>
    </row>
    <row r="345" spans="3:11" ht="15" customHeight="1" x14ac:dyDescent="0.2">
      <c r="C345" s="1149" t="s">
        <v>542</v>
      </c>
      <c r="D345" s="1204"/>
      <c r="E345" s="1345"/>
      <c r="F345" s="1345"/>
      <c r="G345" s="241"/>
      <c r="H345" s="1149" t="s">
        <v>530</v>
      </c>
      <c r="I345" s="1149"/>
      <c r="J345" s="1345"/>
      <c r="K345" s="1345"/>
    </row>
    <row r="346" spans="3:11" ht="15" customHeight="1" x14ac:dyDescent="0.2">
      <c r="C346" s="1149" t="s">
        <v>558</v>
      </c>
      <c r="D346" s="1149"/>
      <c r="E346" s="1345"/>
      <c r="F346" s="1345"/>
    </row>
    <row r="347" spans="3:11" ht="15" customHeight="1" x14ac:dyDescent="0.2">
      <c r="C347" s="1149" t="s">
        <v>559</v>
      </c>
      <c r="D347" s="1149"/>
      <c r="E347" s="1583"/>
      <c r="F347" s="1584"/>
    </row>
    <row r="348" spans="3:11" ht="15" customHeight="1" x14ac:dyDescent="0.2">
      <c r="C348" s="1149" t="s">
        <v>591</v>
      </c>
      <c r="D348" s="1149"/>
      <c r="E348" s="1262"/>
      <c r="F348" s="1262"/>
    </row>
    <row r="349" spans="3:11" ht="15" customHeight="1" x14ac:dyDescent="0.2">
      <c r="C349" s="1149" t="s">
        <v>592</v>
      </c>
      <c r="D349" s="1149"/>
      <c r="E349" s="1573"/>
      <c r="F349" s="1573"/>
    </row>
    <row r="350" spans="3:11" ht="15" customHeight="1" x14ac:dyDescent="0.2"/>
    <row r="351" spans="3:11" ht="15" customHeight="1" x14ac:dyDescent="0.2"/>
    <row r="352" spans="3:11" ht="15" customHeight="1" x14ac:dyDescent="0.2">
      <c r="C352" s="1281" t="s">
        <v>562</v>
      </c>
      <c r="D352" s="1281"/>
      <c r="E352" s="1281"/>
      <c r="F352" s="1281"/>
      <c r="G352" s="1281"/>
      <c r="H352" s="1281"/>
      <c r="I352" s="1281"/>
      <c r="J352" s="1281"/>
      <c r="K352" s="1281"/>
    </row>
    <row r="353" spans="3:11" ht="3" customHeight="1" x14ac:dyDescent="0.2">
      <c r="C353" s="1312"/>
      <c r="D353" s="1312"/>
      <c r="E353" s="1312"/>
      <c r="F353" s="1312"/>
      <c r="G353" s="1312"/>
      <c r="H353" s="1312"/>
      <c r="I353" s="1312"/>
      <c r="J353" s="1312"/>
      <c r="K353" s="1312"/>
    </row>
    <row r="354" spans="3:11" ht="15" customHeight="1" x14ac:dyDescent="0.2"/>
    <row r="355" spans="3:11" ht="15" customHeight="1" x14ac:dyDescent="0.2">
      <c r="C355" s="1149" t="s">
        <v>517</v>
      </c>
      <c r="D355" s="1204"/>
      <c r="E355" s="355"/>
    </row>
    <row r="356" spans="3:11" ht="15" customHeight="1" x14ac:dyDescent="0.2"/>
    <row r="357" spans="3:11" ht="15" customHeight="1" x14ac:dyDescent="0.2">
      <c r="C357" s="1157" t="s">
        <v>562</v>
      </c>
      <c r="D357" s="1157"/>
      <c r="E357" s="1157"/>
      <c r="F357" s="1157"/>
      <c r="G357" s="241"/>
      <c r="H357" s="1157" t="s">
        <v>534</v>
      </c>
      <c r="I357" s="1157"/>
      <c r="J357" s="1157"/>
      <c r="K357" s="1157"/>
    </row>
    <row r="358" spans="3:11" ht="15" customHeight="1" x14ac:dyDescent="0.2">
      <c r="C358" s="1574" t="s">
        <v>594</v>
      </c>
      <c r="D358" s="1574"/>
      <c r="E358" s="1574"/>
      <c r="F358" s="1574"/>
      <c r="G358" s="241"/>
      <c r="H358" s="1575" t="s">
        <v>531</v>
      </c>
      <c r="I358" s="1575"/>
      <c r="J358" s="1575"/>
      <c r="K358" s="1575"/>
    </row>
    <row r="359" spans="3:11" ht="5.25" customHeight="1" x14ac:dyDescent="0.2">
      <c r="C359" s="73"/>
      <c r="D359" s="73"/>
      <c r="E359" s="241"/>
      <c r="F359" s="241"/>
      <c r="G359" s="241"/>
      <c r="H359" s="242"/>
      <c r="I359" s="242"/>
      <c r="J359" s="242"/>
      <c r="K359" s="242"/>
    </row>
    <row r="360" spans="3:11" ht="15" customHeight="1" x14ac:dyDescent="0.2">
      <c r="C360" s="1149" t="s">
        <v>539</v>
      </c>
      <c r="D360" s="1204"/>
      <c r="E360" s="1345"/>
      <c r="F360" s="1345"/>
      <c r="G360" s="241"/>
      <c r="H360" s="1149" t="s">
        <v>535</v>
      </c>
      <c r="I360" s="1149"/>
      <c r="J360" s="1345"/>
      <c r="K360" s="1345"/>
    </row>
    <row r="361" spans="3:11" ht="15" customHeight="1" x14ac:dyDescent="0.2">
      <c r="C361" s="1149" t="s">
        <v>299</v>
      </c>
      <c r="D361" s="1204"/>
      <c r="E361" s="1345"/>
      <c r="F361" s="1345"/>
      <c r="G361" s="241"/>
      <c r="H361" s="1149" t="s">
        <v>536</v>
      </c>
      <c r="I361" s="1149"/>
      <c r="J361" s="1345"/>
      <c r="K361" s="1345"/>
    </row>
    <row r="362" spans="3:11" ht="15" customHeight="1" x14ac:dyDescent="0.2">
      <c r="C362" s="1149" t="s">
        <v>540</v>
      </c>
      <c r="D362" s="1204"/>
      <c r="E362" s="1345"/>
      <c r="F362" s="1345"/>
      <c r="G362" s="243"/>
      <c r="H362" s="1149" t="s">
        <v>537</v>
      </c>
      <c r="I362" s="1149"/>
      <c r="J362" s="1345"/>
      <c r="K362" s="1345"/>
    </row>
    <row r="363" spans="3:11" ht="15" customHeight="1" x14ac:dyDescent="0.2">
      <c r="C363" s="1149" t="s">
        <v>541</v>
      </c>
      <c r="D363" s="1204"/>
      <c r="E363" s="1576"/>
      <c r="F363" s="1576"/>
      <c r="G363" s="241"/>
      <c r="H363" s="1149" t="s">
        <v>538</v>
      </c>
      <c r="I363" s="1149"/>
      <c r="J363" s="1345"/>
      <c r="K363" s="1345"/>
    </row>
    <row r="364" spans="3:11" ht="15" customHeight="1" x14ac:dyDescent="0.2">
      <c r="C364" s="1149" t="s">
        <v>574</v>
      </c>
      <c r="D364" s="1204"/>
      <c r="E364" s="1345"/>
      <c r="F364" s="1345"/>
      <c r="G364" s="244"/>
      <c r="H364" s="1149" t="s">
        <v>528</v>
      </c>
      <c r="I364" s="1149"/>
      <c r="J364" s="1561"/>
      <c r="K364" s="1561"/>
    </row>
    <row r="365" spans="3:11" ht="15" customHeight="1" x14ac:dyDescent="0.2">
      <c r="C365" s="1149" t="s">
        <v>575</v>
      </c>
      <c r="D365" s="1204"/>
      <c r="E365" s="1562"/>
      <c r="F365" s="1562"/>
      <c r="G365" s="241"/>
      <c r="H365" s="1149" t="s">
        <v>529</v>
      </c>
      <c r="I365" s="1149"/>
      <c r="J365" s="1561"/>
      <c r="K365" s="1561"/>
    </row>
    <row r="366" spans="3:11" ht="15" customHeight="1" x14ac:dyDescent="0.2">
      <c r="C366" s="1149" t="s">
        <v>542</v>
      </c>
      <c r="D366" s="1204"/>
      <c r="E366" s="1345"/>
      <c r="F366" s="1345"/>
      <c r="G366" s="241"/>
      <c r="H366" s="1149" t="s">
        <v>530</v>
      </c>
      <c r="I366" s="1149"/>
      <c r="J366" s="1345"/>
      <c r="K366" s="1345"/>
    </row>
    <row r="367" spans="3:11" ht="15" customHeight="1" x14ac:dyDescent="0.2">
      <c r="C367" s="1149" t="s">
        <v>238</v>
      </c>
      <c r="D367" s="1149"/>
      <c r="E367" s="1345"/>
      <c r="F367" s="1345"/>
    </row>
    <row r="368" spans="3:11" ht="15" customHeight="1" x14ac:dyDescent="0.2">
      <c r="C368" s="1149" t="s">
        <v>239</v>
      </c>
      <c r="D368" s="1149"/>
      <c r="E368" s="1562"/>
      <c r="F368" s="1562"/>
    </row>
    <row r="369" spans="2:12" ht="15" customHeight="1" x14ac:dyDescent="0.2">
      <c r="C369" s="1149" t="s">
        <v>520</v>
      </c>
      <c r="D369" s="1149"/>
      <c r="E369" s="1262"/>
      <c r="F369" s="1262"/>
    </row>
    <row r="370" spans="2:12" ht="15" customHeight="1" x14ac:dyDescent="0.2">
      <c r="C370" s="1149" t="s">
        <v>521</v>
      </c>
      <c r="D370" s="1149"/>
      <c r="E370" s="1573"/>
      <c r="F370" s="1573"/>
    </row>
    <row r="371" spans="2:12" ht="15" customHeight="1" x14ac:dyDescent="0.2"/>
    <row r="372" spans="2:12" ht="15" customHeight="1" x14ac:dyDescent="0.2"/>
    <row r="373" spans="2:12" ht="15" customHeight="1" x14ac:dyDescent="0.2">
      <c r="B373" s="1281" t="s">
        <v>225</v>
      </c>
      <c r="C373" s="1281"/>
      <c r="D373" s="1281"/>
      <c r="E373" s="1281"/>
      <c r="F373" s="1281"/>
      <c r="G373" s="1281"/>
      <c r="H373" s="1281"/>
      <c r="I373" s="1281"/>
      <c r="J373" s="1281"/>
      <c r="K373" s="1281"/>
      <c r="L373" s="1281"/>
    </row>
    <row r="374" spans="2:12" ht="3" customHeight="1" x14ac:dyDescent="0.2">
      <c r="B374" s="1312"/>
      <c r="C374" s="1312"/>
      <c r="D374" s="1312"/>
      <c r="E374" s="1312"/>
      <c r="F374" s="1312"/>
      <c r="G374" s="1312"/>
      <c r="H374" s="1312"/>
      <c r="I374" s="1312"/>
      <c r="J374" s="1312"/>
      <c r="K374" s="1312"/>
      <c r="L374" s="1312"/>
    </row>
    <row r="375" spans="2:12" ht="15" customHeight="1" x14ac:dyDescent="0.2"/>
    <row r="376" spans="2:12" ht="15" customHeight="1" x14ac:dyDescent="0.2">
      <c r="C376" s="1149" t="s">
        <v>595</v>
      </c>
      <c r="D376" s="1149"/>
      <c r="E376" s="1149"/>
      <c r="F376" s="1149"/>
      <c r="G376" s="515"/>
    </row>
    <row r="377" spans="2:12" ht="15" customHeight="1" x14ac:dyDescent="0.2">
      <c r="C377" s="1236" t="s">
        <v>523</v>
      </c>
      <c r="D377" s="1236"/>
      <c r="E377" s="1236"/>
      <c r="F377" s="1236"/>
      <c r="G377" s="1262"/>
      <c r="H377" s="1262"/>
      <c r="I377" s="1262"/>
    </row>
    <row r="378" spans="2:12" ht="15" customHeight="1" x14ac:dyDescent="0.2"/>
    <row r="379" spans="2:12" ht="15" customHeight="1" x14ac:dyDescent="0.2">
      <c r="C379" s="1175" t="s">
        <v>573</v>
      </c>
      <c r="D379" s="1175"/>
      <c r="E379" s="1345"/>
      <c r="F379" s="1345"/>
      <c r="G379" s="241"/>
      <c r="H379" s="1577" t="s">
        <v>544</v>
      </c>
      <c r="I379" s="1579"/>
      <c r="J379" s="1345"/>
      <c r="K379" s="1345"/>
    </row>
    <row r="380" spans="2:12" ht="15" customHeight="1" x14ac:dyDescent="0.2">
      <c r="C380" s="1149" t="s">
        <v>299</v>
      </c>
      <c r="D380" s="1149"/>
      <c r="E380" s="1345"/>
      <c r="F380" s="1345"/>
      <c r="G380" s="241"/>
      <c r="H380" s="1577" t="s">
        <v>545</v>
      </c>
      <c r="I380" s="1579"/>
      <c r="J380" s="1345"/>
      <c r="K380" s="1345"/>
    </row>
    <row r="381" spans="2:12" ht="15" customHeight="1" x14ac:dyDescent="0.2">
      <c r="C381" s="1149" t="s">
        <v>540</v>
      </c>
      <c r="D381" s="1149"/>
      <c r="E381" s="1345"/>
      <c r="F381" s="1345"/>
      <c r="G381" s="241"/>
      <c r="H381" s="1577" t="s">
        <v>546</v>
      </c>
      <c r="I381" s="1579"/>
      <c r="J381" s="1345"/>
      <c r="K381" s="1345"/>
    </row>
    <row r="382" spans="2:12" ht="15" customHeight="1" x14ac:dyDescent="0.2">
      <c r="C382" s="1149" t="s">
        <v>541</v>
      </c>
      <c r="D382" s="1149"/>
      <c r="E382" s="1345"/>
      <c r="F382" s="1345"/>
      <c r="G382" s="241"/>
      <c r="H382" s="1577" t="s">
        <v>547</v>
      </c>
      <c r="I382" s="1579"/>
      <c r="J382" s="1345"/>
      <c r="K382" s="1345"/>
    </row>
    <row r="383" spans="2:12" ht="15" customHeight="1" x14ac:dyDescent="0.2">
      <c r="C383" s="1149" t="s">
        <v>574</v>
      </c>
      <c r="D383" s="1149"/>
      <c r="E383" s="1345"/>
      <c r="F383" s="1345"/>
      <c r="G383" s="243"/>
      <c r="H383" s="249" t="s">
        <v>528</v>
      </c>
      <c r="I383" s="250"/>
      <c r="J383" s="1561"/>
      <c r="K383" s="1561"/>
    </row>
    <row r="384" spans="2:12" ht="15" customHeight="1" x14ac:dyDescent="0.2">
      <c r="C384" s="1149" t="s">
        <v>575</v>
      </c>
      <c r="D384" s="1149"/>
      <c r="E384" s="1562"/>
      <c r="F384" s="1562"/>
      <c r="G384" s="241"/>
      <c r="H384" s="249" t="s">
        <v>529</v>
      </c>
      <c r="I384" s="250"/>
      <c r="J384" s="1561"/>
      <c r="K384" s="1561"/>
    </row>
    <row r="385" spans="2:12" ht="15" customHeight="1" x14ac:dyDescent="0.2">
      <c r="C385" s="1149" t="s">
        <v>542</v>
      </c>
      <c r="D385" s="1204"/>
      <c r="E385" s="1562"/>
      <c r="F385" s="1562"/>
      <c r="G385" s="244"/>
      <c r="H385" s="1577" t="s">
        <v>530</v>
      </c>
      <c r="I385" s="1577"/>
      <c r="J385" s="1345"/>
      <c r="K385" s="1345"/>
    </row>
    <row r="386" spans="2:12" ht="15" customHeight="1" x14ac:dyDescent="0.2">
      <c r="C386" s="1149" t="s">
        <v>543</v>
      </c>
      <c r="D386" s="1149"/>
      <c r="E386" s="1345"/>
      <c r="F386" s="1345"/>
      <c r="G386" s="241"/>
      <c r="H386" s="1577"/>
      <c r="I386" s="1577"/>
      <c r="J386" s="1578"/>
      <c r="K386" s="1578"/>
    </row>
    <row r="387" spans="2:12" ht="15" customHeight="1" x14ac:dyDescent="0.2"/>
    <row r="388" spans="2:12" ht="15" customHeight="1" x14ac:dyDescent="0.2"/>
    <row r="389" spans="2:12" ht="15" customHeight="1" x14ac:dyDescent="0.2">
      <c r="B389" s="1281" t="s">
        <v>522</v>
      </c>
      <c r="C389" s="1281"/>
      <c r="D389" s="1281"/>
      <c r="E389" s="1281"/>
      <c r="F389" s="1281"/>
      <c r="G389" s="1281"/>
      <c r="H389" s="1281"/>
      <c r="I389" s="1281"/>
      <c r="J389" s="1281"/>
      <c r="K389" s="1281"/>
      <c r="L389" s="1281"/>
    </row>
    <row r="390" spans="2:12" ht="3" customHeight="1" x14ac:dyDescent="0.2">
      <c r="B390" s="1312"/>
      <c r="C390" s="1312"/>
      <c r="D390" s="1312"/>
      <c r="E390" s="1312"/>
      <c r="F390" s="1312"/>
      <c r="G390" s="1312"/>
      <c r="H390" s="1312"/>
      <c r="I390" s="1312"/>
      <c r="J390" s="1312"/>
      <c r="K390" s="1312"/>
      <c r="L390" s="1312"/>
    </row>
    <row r="391" spans="2:12" ht="15" customHeight="1" x14ac:dyDescent="0.2"/>
    <row r="392" spans="2:12" ht="15" customHeight="1" x14ac:dyDescent="0.2">
      <c r="C392" s="1149" t="s">
        <v>595</v>
      </c>
      <c r="D392" s="1149"/>
      <c r="E392" s="1149"/>
      <c r="F392" s="1204"/>
      <c r="G392" s="515"/>
    </row>
    <row r="393" spans="2:12" ht="15" customHeight="1" x14ac:dyDescent="0.2">
      <c r="C393" s="1236" t="s">
        <v>523</v>
      </c>
      <c r="D393" s="1236"/>
      <c r="E393" s="1236"/>
      <c r="F393" s="1593"/>
      <c r="G393" s="1262"/>
      <c r="H393" s="1262"/>
      <c r="I393" s="1262"/>
    </row>
    <row r="394" spans="2:12" ht="15" customHeight="1" x14ac:dyDescent="0.2"/>
    <row r="395" spans="2:12" ht="15" customHeight="1" x14ac:dyDescent="0.2">
      <c r="C395" s="1175" t="s">
        <v>576</v>
      </c>
      <c r="D395" s="1175"/>
      <c r="E395" s="1345"/>
      <c r="F395" s="1345"/>
      <c r="G395" s="241"/>
      <c r="H395" s="1577" t="s">
        <v>544</v>
      </c>
      <c r="I395" s="1579"/>
      <c r="J395" s="1345"/>
      <c r="K395" s="1345"/>
    </row>
    <row r="396" spans="2:12" ht="15" customHeight="1" x14ac:dyDescent="0.2">
      <c r="C396" s="1149" t="s">
        <v>299</v>
      </c>
      <c r="D396" s="1149"/>
      <c r="E396" s="1345"/>
      <c r="F396" s="1345"/>
      <c r="G396" s="241"/>
      <c r="H396" s="1577" t="s">
        <v>545</v>
      </c>
      <c r="I396" s="1579"/>
      <c r="J396" s="1345"/>
      <c r="K396" s="1345"/>
    </row>
    <row r="397" spans="2:12" ht="15" customHeight="1" x14ac:dyDescent="0.2">
      <c r="C397" s="1149" t="s">
        <v>540</v>
      </c>
      <c r="D397" s="1149"/>
      <c r="E397" s="1345"/>
      <c r="F397" s="1345"/>
      <c r="G397" s="241"/>
      <c r="H397" s="1577" t="s">
        <v>546</v>
      </c>
      <c r="I397" s="1579"/>
      <c r="J397" s="1345"/>
      <c r="K397" s="1345"/>
    </row>
    <row r="398" spans="2:12" ht="15" customHeight="1" x14ac:dyDescent="0.2">
      <c r="C398" s="1149" t="s">
        <v>541</v>
      </c>
      <c r="D398" s="1149"/>
      <c r="E398" s="1345"/>
      <c r="F398" s="1345"/>
      <c r="G398" s="241"/>
      <c r="H398" s="1577" t="s">
        <v>547</v>
      </c>
      <c r="I398" s="1579"/>
      <c r="J398" s="1345"/>
      <c r="K398" s="1345"/>
    </row>
    <row r="399" spans="2:12" ht="15" customHeight="1" x14ac:dyDescent="0.2">
      <c r="C399" s="1149" t="s">
        <v>574</v>
      </c>
      <c r="D399" s="1149"/>
      <c r="E399" s="1345"/>
      <c r="F399" s="1345"/>
      <c r="G399" s="243"/>
      <c r="H399" s="249" t="s">
        <v>528</v>
      </c>
      <c r="I399" s="250"/>
      <c r="J399" s="1581"/>
      <c r="K399" s="1582"/>
    </row>
    <row r="400" spans="2:12" ht="15" customHeight="1" x14ac:dyDescent="0.2">
      <c r="C400" s="1149" t="s">
        <v>575</v>
      </c>
      <c r="D400" s="1149"/>
      <c r="E400" s="1562"/>
      <c r="F400" s="1562"/>
      <c r="G400" s="241"/>
      <c r="H400" s="249" t="s">
        <v>529</v>
      </c>
      <c r="I400" s="250"/>
      <c r="J400" s="1581"/>
      <c r="K400" s="1582"/>
    </row>
    <row r="401" spans="2:12" ht="15" customHeight="1" x14ac:dyDescent="0.2">
      <c r="C401" s="1149" t="s">
        <v>542</v>
      </c>
      <c r="D401" s="1204"/>
      <c r="E401" s="1562"/>
      <c r="F401" s="1562"/>
      <c r="G401" s="244"/>
      <c r="H401" s="1577" t="s">
        <v>530</v>
      </c>
      <c r="I401" s="1577"/>
      <c r="J401" s="1197"/>
      <c r="K401" s="1198"/>
    </row>
    <row r="402" spans="2:12" ht="15" customHeight="1" x14ac:dyDescent="0.2">
      <c r="C402" s="1149" t="s">
        <v>543</v>
      </c>
      <c r="D402" s="1149"/>
      <c r="E402" s="1345"/>
      <c r="F402" s="1345"/>
      <c r="G402" s="241"/>
      <c r="H402" s="1577"/>
      <c r="I402" s="1577"/>
      <c r="J402" s="1578"/>
      <c r="K402" s="1578"/>
    </row>
    <row r="403" spans="2:12" ht="15" customHeight="1" x14ac:dyDescent="0.2"/>
    <row r="404" spans="2:12" ht="15" customHeight="1" x14ac:dyDescent="0.2"/>
    <row r="405" spans="2:12" ht="15" customHeight="1" x14ac:dyDescent="0.2">
      <c r="B405" s="1281" t="s">
        <v>571</v>
      </c>
      <c r="C405" s="1281"/>
      <c r="D405" s="1281"/>
      <c r="E405" s="1281"/>
      <c r="F405" s="1281"/>
      <c r="G405" s="1281"/>
      <c r="H405" s="1281"/>
      <c r="I405" s="1281"/>
      <c r="J405" s="1281"/>
      <c r="K405" s="1281"/>
      <c r="L405" s="1281"/>
    </row>
    <row r="406" spans="2:12" ht="3" customHeight="1" x14ac:dyDescent="0.2">
      <c r="B406" s="1312"/>
      <c r="C406" s="1312"/>
      <c r="D406" s="1312"/>
      <c r="E406" s="1312"/>
      <c r="F406" s="1312"/>
      <c r="G406" s="1312"/>
      <c r="H406" s="1312"/>
      <c r="I406" s="1312"/>
      <c r="J406" s="1312"/>
      <c r="K406" s="1312"/>
      <c r="L406" s="1312"/>
    </row>
    <row r="407" spans="2:12" ht="15" customHeight="1" x14ac:dyDescent="0.2"/>
    <row r="408" spans="2:12" ht="15" customHeight="1" x14ac:dyDescent="0.2">
      <c r="C408" s="1149" t="s">
        <v>595</v>
      </c>
      <c r="D408" s="1149"/>
      <c r="E408" s="1149"/>
      <c r="F408" s="1204"/>
      <c r="G408" s="515"/>
    </row>
    <row r="409" spans="2:12" ht="15" customHeight="1" x14ac:dyDescent="0.2">
      <c r="C409" s="1236" t="s">
        <v>523</v>
      </c>
      <c r="D409" s="1236"/>
      <c r="E409" s="1236"/>
      <c r="F409" s="1593"/>
      <c r="G409" s="1262"/>
      <c r="H409" s="1262"/>
      <c r="I409" s="1262"/>
    </row>
    <row r="410" spans="2:12" ht="15" customHeight="1" x14ac:dyDescent="0.2"/>
    <row r="411" spans="2:12" ht="15" customHeight="1" x14ac:dyDescent="0.2">
      <c r="C411" s="1175" t="s">
        <v>241</v>
      </c>
      <c r="D411" s="1175"/>
      <c r="E411" s="1345"/>
      <c r="F411" s="1345"/>
      <c r="G411" s="241"/>
      <c r="H411" s="1577" t="s">
        <v>544</v>
      </c>
      <c r="I411" s="1579"/>
      <c r="J411" s="1345"/>
      <c r="K411" s="1345"/>
    </row>
    <row r="412" spans="2:12" ht="15" customHeight="1" x14ac:dyDescent="0.2">
      <c r="C412" s="1149" t="s">
        <v>299</v>
      </c>
      <c r="D412" s="1149"/>
      <c r="E412" s="1345"/>
      <c r="F412" s="1345"/>
      <c r="G412" s="241"/>
      <c r="H412" s="1577" t="s">
        <v>545</v>
      </c>
      <c r="I412" s="1579"/>
      <c r="J412" s="1345"/>
      <c r="K412" s="1345"/>
    </row>
    <row r="413" spans="2:12" ht="15" customHeight="1" x14ac:dyDescent="0.2">
      <c r="C413" s="1149" t="s">
        <v>540</v>
      </c>
      <c r="D413" s="1149"/>
      <c r="E413" s="1345"/>
      <c r="F413" s="1345"/>
      <c r="G413" s="241"/>
      <c r="H413" s="1577" t="s">
        <v>546</v>
      </c>
      <c r="I413" s="1579"/>
      <c r="J413" s="1345"/>
      <c r="K413" s="1345"/>
    </row>
    <row r="414" spans="2:12" ht="15" customHeight="1" x14ac:dyDescent="0.2">
      <c r="C414" s="1149" t="s">
        <v>541</v>
      </c>
      <c r="D414" s="1149"/>
      <c r="E414" s="1345"/>
      <c r="F414" s="1345"/>
      <c r="G414" s="241"/>
      <c r="H414" s="1577" t="s">
        <v>547</v>
      </c>
      <c r="I414" s="1579"/>
      <c r="J414" s="1345"/>
      <c r="K414" s="1345"/>
    </row>
    <row r="415" spans="2:12" ht="15" customHeight="1" x14ac:dyDescent="0.2">
      <c r="C415" s="1149" t="s">
        <v>574</v>
      </c>
      <c r="D415" s="1149"/>
      <c r="E415" s="1345"/>
      <c r="F415" s="1345"/>
      <c r="G415" s="243"/>
      <c r="H415" s="249" t="s">
        <v>528</v>
      </c>
      <c r="I415" s="250"/>
      <c r="J415" s="1581"/>
      <c r="K415" s="1582"/>
    </row>
    <row r="416" spans="2:12" ht="15" customHeight="1" x14ac:dyDescent="0.2">
      <c r="C416" s="1149" t="s">
        <v>575</v>
      </c>
      <c r="D416" s="1149"/>
      <c r="E416" s="1562"/>
      <c r="F416" s="1562"/>
      <c r="G416" s="241"/>
      <c r="H416" s="249" t="s">
        <v>529</v>
      </c>
      <c r="I416" s="250"/>
      <c r="J416" s="1581"/>
      <c r="K416" s="1582"/>
    </row>
    <row r="417" spans="2:12" ht="15" customHeight="1" x14ac:dyDescent="0.2">
      <c r="C417" s="1149" t="s">
        <v>542</v>
      </c>
      <c r="D417" s="1204"/>
      <c r="E417" s="1562"/>
      <c r="F417" s="1562"/>
      <c r="G417" s="244"/>
      <c r="H417" s="1577" t="s">
        <v>530</v>
      </c>
      <c r="I417" s="1577"/>
      <c r="J417" s="1585"/>
      <c r="K417" s="1198"/>
    </row>
    <row r="418" spans="2:12" ht="15" customHeight="1" x14ac:dyDescent="0.2">
      <c r="C418" s="1149" t="s">
        <v>543</v>
      </c>
      <c r="D418" s="1149"/>
      <c r="E418" s="1580"/>
      <c r="F418" s="1345"/>
      <c r="G418" s="241"/>
      <c r="H418" s="1577"/>
      <c r="I418" s="1577"/>
      <c r="J418" s="1578"/>
      <c r="K418" s="1578"/>
    </row>
    <row r="419" spans="2:12" ht="15" customHeight="1" x14ac:dyDescent="0.2"/>
    <row r="420" spans="2:12" ht="15" customHeight="1" x14ac:dyDescent="0.2"/>
    <row r="421" spans="2:12" ht="15" customHeight="1" x14ac:dyDescent="0.2">
      <c r="B421" s="1281" t="s">
        <v>572</v>
      </c>
      <c r="C421" s="1281"/>
      <c r="D421" s="1281"/>
      <c r="E421" s="1281"/>
      <c r="F421" s="1281"/>
      <c r="G421" s="1281"/>
      <c r="H421" s="1281"/>
      <c r="I421" s="1281"/>
      <c r="J421" s="1281"/>
      <c r="K421" s="1281"/>
      <c r="L421" s="1281"/>
    </row>
    <row r="422" spans="2:12" ht="3" customHeight="1" x14ac:dyDescent="0.2">
      <c r="B422" s="1312"/>
      <c r="C422" s="1312"/>
      <c r="D422" s="1312"/>
      <c r="E422" s="1312"/>
      <c r="F422" s="1312"/>
      <c r="G422" s="1312"/>
      <c r="H422" s="1312"/>
      <c r="I422" s="1312"/>
      <c r="J422" s="1312"/>
      <c r="K422" s="1312"/>
      <c r="L422" s="1312"/>
    </row>
    <row r="423" spans="2:12" ht="15" customHeight="1" x14ac:dyDescent="0.2"/>
    <row r="424" spans="2:12" ht="15" customHeight="1" x14ac:dyDescent="0.2">
      <c r="C424" s="1149" t="s">
        <v>595</v>
      </c>
      <c r="D424" s="1149"/>
      <c r="E424" s="1149"/>
      <c r="F424" s="1149"/>
      <c r="G424" s="515"/>
    </row>
    <row r="425" spans="2:12" ht="15" customHeight="1" x14ac:dyDescent="0.2">
      <c r="C425" s="73" t="s">
        <v>523</v>
      </c>
      <c r="D425" s="73"/>
      <c r="E425" s="73"/>
      <c r="F425" s="73"/>
      <c r="G425" s="1262"/>
      <c r="H425" s="1262"/>
      <c r="I425" s="1262"/>
    </row>
    <row r="426" spans="2:12" ht="15" customHeight="1" x14ac:dyDescent="0.2"/>
    <row r="427" spans="2:12" ht="15" customHeight="1" x14ac:dyDescent="0.2">
      <c r="C427" s="1175" t="s">
        <v>563</v>
      </c>
      <c r="D427" s="1175"/>
      <c r="E427" s="1197"/>
      <c r="F427" s="1198"/>
      <c r="G427" s="241"/>
      <c r="H427" s="1577" t="s">
        <v>544</v>
      </c>
      <c r="I427" s="1579"/>
      <c r="J427" s="1345"/>
      <c r="K427" s="1345"/>
    </row>
    <row r="428" spans="2:12" ht="15" customHeight="1" x14ac:dyDescent="0.2">
      <c r="C428" s="1149" t="s">
        <v>299</v>
      </c>
      <c r="D428" s="1149"/>
      <c r="E428" s="1197"/>
      <c r="F428" s="1198"/>
      <c r="G428" s="241"/>
      <c r="H428" s="1577" t="s">
        <v>545</v>
      </c>
      <c r="I428" s="1579"/>
      <c r="J428" s="1345"/>
      <c r="K428" s="1345"/>
    </row>
    <row r="429" spans="2:12" ht="15" customHeight="1" x14ac:dyDescent="0.2">
      <c r="C429" s="1149" t="s">
        <v>540</v>
      </c>
      <c r="D429" s="1149"/>
      <c r="E429" s="1197"/>
      <c r="F429" s="1198"/>
      <c r="G429" s="241"/>
      <c r="H429" s="1577" t="s">
        <v>546</v>
      </c>
      <c r="I429" s="1579"/>
      <c r="J429" s="1345"/>
      <c r="K429" s="1345"/>
    </row>
    <row r="430" spans="2:12" ht="15" customHeight="1" x14ac:dyDescent="0.2">
      <c r="C430" s="1149" t="s">
        <v>541</v>
      </c>
      <c r="D430" s="1149"/>
      <c r="E430" s="1197"/>
      <c r="F430" s="1198"/>
      <c r="G430" s="241"/>
      <c r="H430" s="1577" t="s">
        <v>547</v>
      </c>
      <c r="I430" s="1579"/>
      <c r="J430" s="1345"/>
      <c r="K430" s="1345"/>
    </row>
    <row r="431" spans="2:12" ht="15" customHeight="1" x14ac:dyDescent="0.2">
      <c r="C431" s="1149" t="s">
        <v>574</v>
      </c>
      <c r="D431" s="1149"/>
      <c r="E431" s="1598"/>
      <c r="F431" s="1599"/>
      <c r="G431" s="243"/>
      <c r="H431" s="249" t="s">
        <v>528</v>
      </c>
      <c r="I431" s="250"/>
      <c r="J431" s="1581"/>
      <c r="K431" s="1582"/>
    </row>
    <row r="432" spans="2:12" ht="15" customHeight="1" x14ac:dyDescent="0.2">
      <c r="C432" s="1149" t="s">
        <v>575</v>
      </c>
      <c r="D432" s="1149"/>
      <c r="E432" s="1562"/>
      <c r="F432" s="1562"/>
      <c r="G432" s="241"/>
      <c r="H432" s="249" t="s">
        <v>529</v>
      </c>
      <c r="I432" s="250"/>
      <c r="J432" s="1581"/>
      <c r="K432" s="1582"/>
    </row>
    <row r="433" spans="2:12" ht="15" customHeight="1" x14ac:dyDescent="0.2">
      <c r="C433" s="1149" t="s">
        <v>542</v>
      </c>
      <c r="D433" s="1204"/>
      <c r="E433" s="1583"/>
      <c r="F433" s="1584"/>
      <c r="G433" s="244"/>
      <c r="H433" s="1577" t="s">
        <v>530</v>
      </c>
      <c r="I433" s="1577"/>
      <c r="J433" s="1197"/>
      <c r="K433" s="1198"/>
    </row>
    <row r="434" spans="2:12" ht="15" customHeight="1" x14ac:dyDescent="0.2">
      <c r="C434" s="1149" t="s">
        <v>543</v>
      </c>
      <c r="D434" s="1149"/>
      <c r="E434" s="1197"/>
      <c r="F434" s="1198"/>
      <c r="G434" s="241"/>
      <c r="H434" s="1577"/>
      <c r="I434" s="1577"/>
      <c r="J434" s="1578"/>
      <c r="K434" s="1578"/>
    </row>
    <row r="435" spans="2:12" ht="15" customHeight="1" x14ac:dyDescent="0.2"/>
    <row r="436" spans="2:12" ht="15" customHeight="1" x14ac:dyDescent="0.2"/>
    <row r="437" spans="2:12" ht="15" customHeight="1" x14ac:dyDescent="0.2">
      <c r="B437" s="1281" t="s">
        <v>577</v>
      </c>
      <c r="C437" s="1281"/>
      <c r="D437" s="1281"/>
      <c r="E437" s="1281"/>
      <c r="F437" s="1281"/>
      <c r="G437" s="1281"/>
      <c r="H437" s="1281"/>
      <c r="I437" s="1281"/>
      <c r="J437" s="1281"/>
      <c r="K437" s="1281"/>
      <c r="L437" s="1281"/>
    </row>
    <row r="438" spans="2:12" ht="3" customHeight="1" x14ac:dyDescent="0.2">
      <c r="B438" s="1312"/>
      <c r="C438" s="1312"/>
      <c r="D438" s="1312"/>
      <c r="E438" s="1312"/>
      <c r="F438" s="1312"/>
      <c r="G438" s="1312"/>
      <c r="H438" s="1312"/>
      <c r="I438" s="1312"/>
      <c r="J438" s="1312"/>
      <c r="K438" s="1312"/>
      <c r="L438" s="1312"/>
    </row>
    <row r="439" spans="2:12" ht="5.25" customHeight="1" x14ac:dyDescent="0.2"/>
    <row r="440" spans="2:12" ht="15" customHeight="1" x14ac:dyDescent="0.2">
      <c r="C440" s="1572" t="s">
        <v>332</v>
      </c>
      <c r="D440" s="1572"/>
      <c r="E440" s="1572"/>
      <c r="F440" s="1572"/>
      <c r="G440" s="1572"/>
      <c r="H440" s="1572"/>
      <c r="I440" s="1572"/>
      <c r="J440" s="1572"/>
      <c r="K440" s="1572"/>
    </row>
    <row r="441" spans="2:12" ht="15" customHeight="1" x14ac:dyDescent="0.2">
      <c r="C441" s="1572"/>
      <c r="D441" s="1572"/>
      <c r="E441" s="1572"/>
      <c r="F441" s="1572"/>
      <c r="G441" s="1572"/>
      <c r="H441" s="1572"/>
      <c r="I441" s="1572"/>
      <c r="J441" s="1572"/>
      <c r="K441" s="1572"/>
    </row>
    <row r="442" spans="2:12" ht="15" customHeight="1" x14ac:dyDescent="0.2">
      <c r="C442" s="1572"/>
      <c r="D442" s="1572"/>
      <c r="E442" s="1572"/>
      <c r="F442" s="1572"/>
      <c r="G442" s="1572"/>
      <c r="H442" s="1572"/>
      <c r="I442" s="1572"/>
      <c r="J442" s="1572"/>
      <c r="K442" s="1572"/>
    </row>
    <row r="443" spans="2:12" ht="15" customHeight="1" x14ac:dyDescent="0.2">
      <c r="C443" s="1"/>
      <c r="D443" s="1"/>
      <c r="E443" s="1"/>
      <c r="F443" s="1"/>
      <c r="G443" s="1"/>
      <c r="H443" s="1"/>
      <c r="I443" s="1"/>
      <c r="J443" s="1"/>
    </row>
    <row r="444" spans="2:12" ht="30" customHeight="1" x14ac:dyDescent="0.2">
      <c r="C444" s="1594" t="s">
        <v>578</v>
      </c>
      <c r="D444" s="1595"/>
      <c r="E444" s="1007" t="s">
        <v>288</v>
      </c>
      <c r="F444" s="1004" t="s">
        <v>338</v>
      </c>
      <c r="G444" s="1004" t="s">
        <v>339</v>
      </c>
      <c r="H444" s="1004" t="s">
        <v>579</v>
      </c>
      <c r="I444" s="1004" t="s">
        <v>580</v>
      </c>
      <c r="J444" s="1004" t="s">
        <v>581</v>
      </c>
      <c r="K444" s="1004" t="s">
        <v>203</v>
      </c>
    </row>
    <row r="445" spans="2:12" ht="30" customHeight="1" x14ac:dyDescent="0.2">
      <c r="C445" s="1596"/>
      <c r="D445" s="1597"/>
      <c r="E445" s="1028" t="str">
        <f>IF(E12="","",E12)</f>
        <v/>
      </c>
      <c r="F445" s="1029">
        <f>IF(E56="No","N/A",E61)</f>
        <v>0</v>
      </c>
      <c r="G445" s="1029">
        <f>IF(E105="No","N/A",E110)</f>
        <v>0</v>
      </c>
      <c r="H445" s="1029" t="str">
        <f>IF(E327="","",E327)</f>
        <v/>
      </c>
      <c r="I445" s="1029">
        <f>IF(E334="No","N/A",E348)</f>
        <v>0</v>
      </c>
      <c r="J445" s="1029">
        <f>IF(E355="No","N/A",E369)</f>
        <v>0</v>
      </c>
      <c r="K445" s="1029" t="str">
        <f>IF(E411="","",E411)</f>
        <v/>
      </c>
    </row>
    <row r="446" spans="2:12" ht="15" customHeight="1" x14ac:dyDescent="0.2">
      <c r="C446" s="1341" t="s">
        <v>204</v>
      </c>
      <c r="D446" s="1342"/>
      <c r="E446" s="516"/>
      <c r="F446" s="516"/>
      <c r="G446" s="516"/>
      <c r="H446" s="516"/>
      <c r="I446" s="516"/>
      <c r="J446" s="516"/>
      <c r="K446" s="516"/>
    </row>
    <row r="447" spans="2:12" ht="15" customHeight="1" x14ac:dyDescent="0.2">
      <c r="C447" s="1341" t="s">
        <v>205</v>
      </c>
      <c r="D447" s="1342"/>
      <c r="E447" s="517"/>
      <c r="F447" s="517"/>
      <c r="G447" s="517"/>
      <c r="H447" s="517"/>
      <c r="I447" s="517"/>
      <c r="J447" s="517"/>
      <c r="K447" s="517"/>
    </row>
    <row r="448" spans="2:12" ht="15" customHeight="1" x14ac:dyDescent="0.2">
      <c r="C448" s="1341" t="s">
        <v>582</v>
      </c>
      <c r="D448" s="1342"/>
      <c r="E448" s="517"/>
      <c r="F448" s="517"/>
      <c r="G448" s="517"/>
      <c r="H448" s="517"/>
      <c r="I448" s="517"/>
      <c r="J448" s="517"/>
      <c r="K448" s="517"/>
    </row>
    <row r="449" spans="2:12" ht="15" customHeight="1" x14ac:dyDescent="0.2">
      <c r="C449" s="1341" t="s">
        <v>206</v>
      </c>
      <c r="D449" s="1342"/>
      <c r="E449" s="517"/>
      <c r="F449" s="517"/>
      <c r="G449" s="517"/>
      <c r="H449" s="517"/>
      <c r="I449" s="517"/>
      <c r="J449" s="517"/>
      <c r="K449" s="517"/>
    </row>
    <row r="450" spans="2:12" ht="15" customHeight="1" x14ac:dyDescent="0.2">
      <c r="C450" s="1341" t="s">
        <v>333</v>
      </c>
      <c r="D450" s="1342"/>
      <c r="E450" s="517"/>
      <c r="F450" s="517"/>
      <c r="G450" s="517"/>
      <c r="H450" s="517"/>
      <c r="I450" s="517"/>
      <c r="J450" s="517"/>
      <c r="K450" s="517"/>
    </row>
    <row r="451" spans="2:12" ht="15" customHeight="1" x14ac:dyDescent="0.2">
      <c r="C451" s="1341" t="s">
        <v>207</v>
      </c>
      <c r="D451" s="1342"/>
      <c r="E451" s="517"/>
      <c r="F451" s="517"/>
      <c r="G451" s="517"/>
      <c r="H451" s="517"/>
      <c r="I451" s="517"/>
      <c r="J451" s="517"/>
      <c r="K451" s="517"/>
    </row>
    <row r="452" spans="2:12" ht="15" customHeight="1" x14ac:dyDescent="0.2">
      <c r="C452" s="1341" t="s">
        <v>425</v>
      </c>
      <c r="D452" s="1342"/>
      <c r="E452" s="517"/>
      <c r="F452" s="517"/>
      <c r="G452" s="517"/>
      <c r="H452" s="517"/>
      <c r="I452" s="517"/>
      <c r="J452" s="517"/>
      <c r="K452" s="517"/>
    </row>
    <row r="453" spans="2:12" ht="15" customHeight="1" x14ac:dyDescent="0.2">
      <c r="C453" s="1341" t="s">
        <v>208</v>
      </c>
      <c r="D453" s="1342"/>
      <c r="E453" s="517"/>
      <c r="F453" s="517"/>
      <c r="G453" s="517"/>
      <c r="H453" s="517"/>
      <c r="I453" s="517"/>
      <c r="J453" s="517"/>
      <c r="K453" s="517"/>
    </row>
    <row r="454" spans="2:12" ht="15" customHeight="1" x14ac:dyDescent="0.2">
      <c r="C454" s="1341" t="s">
        <v>209</v>
      </c>
      <c r="D454" s="1342"/>
      <c r="E454" s="517"/>
      <c r="F454" s="517"/>
      <c r="G454" s="517"/>
      <c r="H454" s="517"/>
      <c r="I454" s="517"/>
      <c r="J454" s="517"/>
      <c r="K454" s="517"/>
    </row>
    <row r="455" spans="2:12" ht="15" customHeight="1" x14ac:dyDescent="0.2">
      <c r="C455" s="1341" t="s">
        <v>210</v>
      </c>
      <c r="D455" s="1342"/>
      <c r="E455" s="517"/>
      <c r="F455" s="517"/>
      <c r="G455" s="517"/>
      <c r="H455" s="517"/>
      <c r="I455" s="517"/>
      <c r="J455" s="517"/>
      <c r="K455" s="517"/>
    </row>
    <row r="456" spans="2:12" ht="15" customHeight="1" x14ac:dyDescent="0.2">
      <c r="C456" s="1341" t="s">
        <v>211</v>
      </c>
      <c r="D456" s="1342"/>
      <c r="E456" s="517"/>
      <c r="F456" s="517"/>
      <c r="G456" s="517"/>
      <c r="H456" s="517"/>
      <c r="I456" s="517"/>
      <c r="J456" s="517"/>
      <c r="K456" s="517"/>
    </row>
    <row r="457" spans="2:12" ht="15" customHeight="1" x14ac:dyDescent="0.2">
      <c r="C457" s="1341" t="s">
        <v>212</v>
      </c>
      <c r="D457" s="1342"/>
      <c r="E457" s="517"/>
      <c r="F457" s="517"/>
      <c r="G457" s="517"/>
      <c r="H457" s="517"/>
      <c r="I457" s="517"/>
      <c r="J457" s="517"/>
      <c r="K457" s="517"/>
    </row>
    <row r="458" spans="2:12" ht="15" customHeight="1" x14ac:dyDescent="0.2">
      <c r="C458" s="1341" t="s">
        <v>213</v>
      </c>
      <c r="D458" s="1342"/>
      <c r="E458" s="517"/>
      <c r="F458" s="517"/>
      <c r="G458" s="517"/>
      <c r="H458" s="517"/>
      <c r="I458" s="517"/>
      <c r="J458" s="517"/>
      <c r="K458" s="517"/>
    </row>
    <row r="459" spans="2:12" ht="15" customHeight="1" x14ac:dyDescent="0.2">
      <c r="C459" s="1341" t="s">
        <v>214</v>
      </c>
      <c r="D459" s="1342"/>
      <c r="E459" s="517"/>
      <c r="F459" s="517"/>
      <c r="G459" s="517"/>
      <c r="H459" s="517"/>
      <c r="I459" s="517"/>
      <c r="J459" s="517"/>
      <c r="K459" s="517"/>
    </row>
    <row r="460" spans="2:12" ht="15" customHeight="1" x14ac:dyDescent="0.2">
      <c r="C460" s="1341" t="s">
        <v>215</v>
      </c>
      <c r="D460" s="1342"/>
      <c r="E460" s="517"/>
      <c r="F460" s="517"/>
      <c r="G460" s="517"/>
      <c r="H460" s="517"/>
      <c r="I460" s="517"/>
      <c r="J460" s="517"/>
      <c r="K460" s="517"/>
    </row>
    <row r="461" spans="2:12" ht="15" customHeight="1" x14ac:dyDescent="0.2">
      <c r="C461" s="1"/>
      <c r="D461" s="1"/>
      <c r="E461" s="1"/>
      <c r="F461" s="1"/>
      <c r="G461" s="1"/>
      <c r="H461" s="1"/>
      <c r="I461" s="1"/>
      <c r="J461" s="1"/>
    </row>
    <row r="462" spans="2:12" ht="15" customHeight="1" x14ac:dyDescent="0.2">
      <c r="C462" s="1"/>
      <c r="D462" s="1"/>
      <c r="E462" s="1"/>
      <c r="F462" s="1"/>
      <c r="G462" s="1"/>
      <c r="H462" s="1"/>
      <c r="I462" s="1"/>
      <c r="J462" s="1"/>
    </row>
    <row r="463" spans="2:12" ht="15" customHeight="1" x14ac:dyDescent="0.2">
      <c r="B463" s="1281" t="s">
        <v>2726</v>
      </c>
      <c r="C463" s="1281"/>
      <c r="D463" s="1281"/>
      <c r="E463" s="1281"/>
      <c r="F463" s="1281"/>
      <c r="G463" s="1281"/>
      <c r="H463" s="1281"/>
      <c r="I463" s="1281"/>
      <c r="J463" s="1281"/>
      <c r="K463" s="1281"/>
      <c r="L463" s="1281"/>
    </row>
    <row r="464" spans="2:12" ht="3" customHeight="1" x14ac:dyDescent="0.2">
      <c r="B464" s="1312"/>
      <c r="C464" s="1312"/>
      <c r="D464" s="1312"/>
      <c r="E464" s="1312"/>
      <c r="F464" s="1312"/>
      <c r="G464" s="1312"/>
      <c r="H464" s="1312"/>
      <c r="I464" s="1312"/>
      <c r="J464" s="1312"/>
      <c r="K464" s="1312"/>
      <c r="L464" s="1312"/>
    </row>
    <row r="465" spans="3:11" ht="15" customHeight="1" x14ac:dyDescent="0.2"/>
    <row r="466" spans="3:11" ht="15" customHeight="1" x14ac:dyDescent="0.2">
      <c r="C466" s="1148" t="s">
        <v>583</v>
      </c>
      <c r="D466" s="1148"/>
      <c r="E466" s="1148"/>
      <c r="F466" s="1148"/>
      <c r="G466" s="1148"/>
      <c r="H466" s="1148"/>
      <c r="I466" s="1148"/>
      <c r="J466" s="1148"/>
      <c r="K466" s="1148"/>
    </row>
    <row r="467" spans="3:11" ht="15" customHeight="1" x14ac:dyDescent="0.2">
      <c r="C467" s="1148"/>
      <c r="D467" s="1148"/>
      <c r="E467" s="1148"/>
      <c r="F467" s="1148"/>
      <c r="G467" s="1148"/>
      <c r="H467" s="1148"/>
      <c r="I467" s="1148"/>
      <c r="J467" s="1148"/>
      <c r="K467" s="1148"/>
    </row>
    <row r="468" spans="3:11" ht="15" customHeight="1" x14ac:dyDescent="0.2">
      <c r="C468" s="1148"/>
      <c r="D468" s="1148"/>
      <c r="E468" s="1148"/>
      <c r="F468" s="1148"/>
      <c r="G468" s="1148"/>
      <c r="H468" s="1148"/>
      <c r="I468" s="1148"/>
      <c r="J468" s="1148"/>
      <c r="K468" s="1148"/>
    </row>
    <row r="469" spans="3:11" ht="5.25" customHeight="1" x14ac:dyDescent="0.2">
      <c r="C469" s="86"/>
      <c r="D469" s="86"/>
      <c r="E469" s="86"/>
      <c r="F469" s="86"/>
      <c r="G469" s="86"/>
      <c r="H469" s="86"/>
      <c r="I469" s="86"/>
      <c r="J469" s="86"/>
      <c r="K469" s="86"/>
    </row>
    <row r="470" spans="3:11" ht="5.25" customHeight="1" x14ac:dyDescent="0.2">
      <c r="C470" s="1569"/>
      <c r="D470" s="1570"/>
      <c r="E470" s="1570"/>
      <c r="F470" s="1570"/>
      <c r="G470" s="1570"/>
      <c r="H470" s="1570"/>
      <c r="I470" s="1570"/>
      <c r="J470" s="1570"/>
      <c r="K470" s="1571"/>
    </row>
    <row r="471" spans="3:11" ht="15" customHeight="1" x14ac:dyDescent="0.2">
      <c r="C471" s="1563"/>
      <c r="D471" s="1564"/>
      <c r="E471" s="1564"/>
      <c r="F471" s="1564"/>
      <c r="G471" s="1564"/>
      <c r="H471" s="1564"/>
      <c r="I471" s="1564"/>
      <c r="J471" s="1564"/>
      <c r="K471" s="1565"/>
    </row>
    <row r="472" spans="3:11" ht="15" customHeight="1" x14ac:dyDescent="0.2">
      <c r="C472" s="1563"/>
      <c r="D472" s="1564"/>
      <c r="E472" s="1564"/>
      <c r="F472" s="1564"/>
      <c r="G472" s="1564"/>
      <c r="H472" s="1564"/>
      <c r="I472" s="1564"/>
      <c r="J472" s="1564"/>
      <c r="K472" s="1565"/>
    </row>
    <row r="473" spans="3:11" ht="15" customHeight="1" x14ac:dyDescent="0.2">
      <c r="C473" s="1563"/>
      <c r="D473" s="1564"/>
      <c r="E473" s="1564"/>
      <c r="F473" s="1564"/>
      <c r="G473" s="1564"/>
      <c r="H473" s="1564"/>
      <c r="I473" s="1564"/>
      <c r="J473" s="1564"/>
      <c r="K473" s="1565"/>
    </row>
    <row r="474" spans="3:11" ht="15" customHeight="1" x14ac:dyDescent="0.2">
      <c r="C474" s="1566"/>
      <c r="D474" s="1567"/>
      <c r="E474" s="1567"/>
      <c r="F474" s="1567"/>
      <c r="G474" s="1567"/>
      <c r="H474" s="1567"/>
      <c r="I474" s="1567"/>
      <c r="J474" s="1567"/>
      <c r="K474" s="1568"/>
    </row>
    <row r="475" spans="3:11" ht="15" customHeight="1" x14ac:dyDescent="0.2">
      <c r="C475" s="1"/>
      <c r="D475" s="1"/>
      <c r="E475" s="1"/>
      <c r="F475" s="1"/>
      <c r="G475" s="1"/>
      <c r="H475" s="1"/>
      <c r="I475" s="1"/>
      <c r="J475" s="1"/>
    </row>
    <row r="476" spans="3:11" ht="15" customHeight="1" x14ac:dyDescent="0.2">
      <c r="C476" s="1148" t="s">
        <v>2715</v>
      </c>
      <c r="D476" s="1148"/>
      <c r="E476" s="1148"/>
      <c r="F476" s="1148"/>
      <c r="G476" s="1148"/>
      <c r="H476" s="1148"/>
      <c r="I476" s="1148"/>
      <c r="J476" s="1148"/>
      <c r="K476" s="1148"/>
    </row>
    <row r="477" spans="3:11" ht="15" customHeight="1" x14ac:dyDescent="0.2">
      <c r="C477" s="1148"/>
      <c r="D477" s="1148"/>
      <c r="E477" s="1148"/>
      <c r="F477" s="1148"/>
      <c r="G477" s="1148"/>
      <c r="H477" s="1148"/>
      <c r="I477" s="1148"/>
      <c r="J477" s="1148"/>
      <c r="K477" s="1148"/>
    </row>
    <row r="478" spans="3:11" ht="15" customHeight="1" x14ac:dyDescent="0.2">
      <c r="C478" s="1148"/>
      <c r="D478" s="1148"/>
      <c r="E478" s="1148"/>
      <c r="F478" s="1148"/>
      <c r="G478" s="1148"/>
      <c r="H478" s="1148"/>
      <c r="I478" s="1148"/>
      <c r="J478" s="1148"/>
      <c r="K478" s="1148"/>
    </row>
    <row r="479" spans="3:11" ht="5.25" customHeight="1" x14ac:dyDescent="0.2">
      <c r="C479" s="86"/>
      <c r="D479" s="86"/>
      <c r="E479" s="86"/>
      <c r="F479" s="86"/>
      <c r="G479" s="86"/>
      <c r="H479" s="86"/>
      <c r="I479" s="86"/>
      <c r="J479" s="86"/>
      <c r="K479" s="86"/>
    </row>
    <row r="480" spans="3:11" ht="5.25" customHeight="1" x14ac:dyDescent="0.2">
      <c r="C480" s="1569"/>
      <c r="D480" s="1570"/>
      <c r="E480" s="1570"/>
      <c r="F480" s="1570"/>
      <c r="G480" s="1570"/>
      <c r="H480" s="1570"/>
      <c r="I480" s="1570"/>
      <c r="J480" s="1570"/>
      <c r="K480" s="1571"/>
    </row>
    <row r="481" spans="3:11" ht="15" customHeight="1" x14ac:dyDescent="0.2">
      <c r="C481" s="1563"/>
      <c r="D481" s="1564"/>
      <c r="E481" s="1564"/>
      <c r="F481" s="1564"/>
      <c r="G481" s="1564"/>
      <c r="H481" s="1564"/>
      <c r="I481" s="1564"/>
      <c r="J481" s="1564"/>
      <c r="K481" s="1565"/>
    </row>
    <row r="482" spans="3:11" ht="15" customHeight="1" x14ac:dyDescent="0.2">
      <c r="C482" s="1563"/>
      <c r="D482" s="1564"/>
      <c r="E482" s="1564"/>
      <c r="F482" s="1564"/>
      <c r="G482" s="1564"/>
      <c r="H482" s="1564"/>
      <c r="I482" s="1564"/>
      <c r="J482" s="1564"/>
      <c r="K482" s="1565"/>
    </row>
    <row r="483" spans="3:11" ht="15" customHeight="1" x14ac:dyDescent="0.2">
      <c r="C483" s="1563"/>
      <c r="D483" s="1564"/>
      <c r="E483" s="1564"/>
      <c r="F483" s="1564"/>
      <c r="G483" s="1564"/>
      <c r="H483" s="1564"/>
      <c r="I483" s="1564"/>
      <c r="J483" s="1564"/>
      <c r="K483" s="1565"/>
    </row>
    <row r="484" spans="3:11" ht="15" customHeight="1" x14ac:dyDescent="0.2">
      <c r="C484" s="1566"/>
      <c r="D484" s="1567"/>
      <c r="E484" s="1567"/>
      <c r="F484" s="1567"/>
      <c r="G484" s="1567"/>
      <c r="H484" s="1567"/>
      <c r="I484" s="1567"/>
      <c r="J484" s="1567"/>
      <c r="K484" s="1568"/>
    </row>
    <row r="485" spans="3:11" ht="15" customHeight="1" x14ac:dyDescent="0.2">
      <c r="C485" s="1"/>
      <c r="D485" s="1"/>
      <c r="E485" s="1"/>
      <c r="F485" s="1"/>
      <c r="G485" s="1"/>
      <c r="H485" s="1"/>
      <c r="I485" s="1"/>
      <c r="J485" s="1"/>
    </row>
    <row r="486" spans="3:11" ht="15" customHeight="1" x14ac:dyDescent="0.2">
      <c r="C486" s="1148" t="s">
        <v>584</v>
      </c>
      <c r="D486" s="1148"/>
      <c r="E486" s="1148"/>
      <c r="F486" s="1148"/>
      <c r="G486" s="1148"/>
      <c r="H486" s="1148"/>
      <c r="I486" s="1148"/>
      <c r="J486" s="1148"/>
      <c r="K486" s="1148"/>
    </row>
    <row r="487" spans="3:11" ht="15" customHeight="1" x14ac:dyDescent="0.2">
      <c r="C487" s="1148"/>
      <c r="D487" s="1148"/>
      <c r="E487" s="1148"/>
      <c r="F487" s="1148"/>
      <c r="G487" s="1148"/>
      <c r="H487" s="1148"/>
      <c r="I487" s="1148"/>
      <c r="J487" s="1148"/>
      <c r="K487" s="1148"/>
    </row>
    <row r="488" spans="3:11" ht="15" customHeight="1" x14ac:dyDescent="0.2">
      <c r="C488" s="1148"/>
      <c r="D488" s="1148"/>
      <c r="E488" s="1148"/>
      <c r="F488" s="1148"/>
      <c r="G488" s="1148"/>
      <c r="H488" s="1148"/>
      <c r="I488" s="1148"/>
      <c r="J488" s="1148"/>
      <c r="K488" s="1148"/>
    </row>
    <row r="489" spans="3:11" ht="5.25" customHeight="1" x14ac:dyDescent="0.2">
      <c r="C489" s="86"/>
      <c r="D489" s="86"/>
      <c r="E489" s="86"/>
      <c r="F489" s="86"/>
      <c r="G489" s="86"/>
      <c r="H489" s="86"/>
      <c r="I489" s="86"/>
      <c r="J489" s="86"/>
      <c r="K489" s="86"/>
    </row>
    <row r="490" spans="3:11" ht="5.25" customHeight="1" x14ac:dyDescent="0.2">
      <c r="C490" s="1569"/>
      <c r="D490" s="1570"/>
      <c r="E490" s="1570"/>
      <c r="F490" s="1570"/>
      <c r="G490" s="1570"/>
      <c r="H490" s="1570"/>
      <c r="I490" s="1570"/>
      <c r="J490" s="1570"/>
      <c r="K490" s="1571"/>
    </row>
    <row r="491" spans="3:11" ht="15" customHeight="1" x14ac:dyDescent="0.2">
      <c r="C491" s="1563"/>
      <c r="D491" s="1564"/>
      <c r="E491" s="1564"/>
      <c r="F491" s="1564"/>
      <c r="G491" s="1564"/>
      <c r="H491" s="1564"/>
      <c r="I491" s="1564"/>
      <c r="J491" s="1564"/>
      <c r="K491" s="1565"/>
    </row>
    <row r="492" spans="3:11" ht="15" customHeight="1" x14ac:dyDescent="0.2">
      <c r="C492" s="1563"/>
      <c r="D492" s="1564"/>
      <c r="E492" s="1564"/>
      <c r="F492" s="1564"/>
      <c r="G492" s="1564"/>
      <c r="H492" s="1564"/>
      <c r="I492" s="1564"/>
      <c r="J492" s="1564"/>
      <c r="K492" s="1565"/>
    </row>
    <row r="493" spans="3:11" ht="15" customHeight="1" x14ac:dyDescent="0.2">
      <c r="C493" s="1563"/>
      <c r="D493" s="1564"/>
      <c r="E493" s="1564"/>
      <c r="F493" s="1564"/>
      <c r="G493" s="1564"/>
      <c r="H493" s="1564"/>
      <c r="I493" s="1564"/>
      <c r="J493" s="1564"/>
      <c r="K493" s="1565"/>
    </row>
    <row r="494" spans="3:11" ht="15" customHeight="1" x14ac:dyDescent="0.2">
      <c r="C494" s="1566"/>
      <c r="D494" s="1567"/>
      <c r="E494" s="1567"/>
      <c r="F494" s="1567"/>
      <c r="G494" s="1567"/>
      <c r="H494" s="1567"/>
      <c r="I494" s="1567"/>
      <c r="J494" s="1567"/>
      <c r="K494" s="1568"/>
    </row>
    <row r="495" spans="3:11" ht="15" customHeight="1" x14ac:dyDescent="0.2">
      <c r="C495" s="1"/>
      <c r="D495" s="1"/>
      <c r="E495" s="1"/>
      <c r="F495" s="1"/>
      <c r="G495" s="1"/>
      <c r="H495" s="1"/>
      <c r="I495" s="1"/>
      <c r="J495" s="1"/>
    </row>
    <row r="496" spans="3:11" ht="15" customHeight="1" x14ac:dyDescent="0.2">
      <c r="C496" s="1148" t="s">
        <v>585</v>
      </c>
      <c r="D496" s="1148"/>
      <c r="E496" s="1148"/>
      <c r="F496" s="1148"/>
      <c r="G496" s="1148"/>
      <c r="H496" s="1148"/>
      <c r="I496" s="1148"/>
      <c r="J496" s="1148"/>
      <c r="K496" s="1148"/>
    </row>
    <row r="497" spans="3:11" ht="15" customHeight="1" x14ac:dyDescent="0.2">
      <c r="C497" s="1148"/>
      <c r="D497" s="1148"/>
      <c r="E497" s="1148"/>
      <c r="F497" s="1148"/>
      <c r="G497" s="1148"/>
      <c r="H497" s="1148"/>
      <c r="I497" s="1148"/>
      <c r="J497" s="1148"/>
      <c r="K497" s="1148"/>
    </row>
    <row r="498" spans="3:11" ht="5.25" customHeight="1" x14ac:dyDescent="0.2">
      <c r="C498" s="86"/>
      <c r="D498" s="86"/>
      <c r="E498" s="86"/>
      <c r="F498" s="86"/>
      <c r="G498" s="86"/>
      <c r="H498" s="86"/>
      <c r="I498" s="86"/>
      <c r="J498" s="86"/>
      <c r="K498" s="86"/>
    </row>
    <row r="499" spans="3:11" ht="5.25" customHeight="1" x14ac:dyDescent="0.2">
      <c r="C499" s="1569"/>
      <c r="D499" s="1570"/>
      <c r="E499" s="1570"/>
      <c r="F499" s="1570"/>
      <c r="G499" s="1570"/>
      <c r="H499" s="1570"/>
      <c r="I499" s="1570"/>
      <c r="J499" s="1570"/>
      <c r="K499" s="1571"/>
    </row>
    <row r="500" spans="3:11" ht="15" customHeight="1" x14ac:dyDescent="0.2">
      <c r="C500" s="1563"/>
      <c r="D500" s="1564"/>
      <c r="E500" s="1564"/>
      <c r="F500" s="1564"/>
      <c r="G500" s="1564"/>
      <c r="H500" s="1564"/>
      <c r="I500" s="1564"/>
      <c r="J500" s="1564"/>
      <c r="K500" s="1565"/>
    </row>
    <row r="501" spans="3:11" ht="15" customHeight="1" x14ac:dyDescent="0.2">
      <c r="C501" s="1563"/>
      <c r="D501" s="1564"/>
      <c r="E501" s="1564"/>
      <c r="F501" s="1564"/>
      <c r="G501" s="1564"/>
      <c r="H501" s="1564"/>
      <c r="I501" s="1564"/>
      <c r="J501" s="1564"/>
      <c r="K501" s="1565"/>
    </row>
    <row r="502" spans="3:11" ht="15" customHeight="1" x14ac:dyDescent="0.2">
      <c r="C502" s="1563"/>
      <c r="D502" s="1564"/>
      <c r="E502" s="1564"/>
      <c r="F502" s="1564"/>
      <c r="G502" s="1564"/>
      <c r="H502" s="1564"/>
      <c r="I502" s="1564"/>
      <c r="J502" s="1564"/>
      <c r="K502" s="1565"/>
    </row>
    <row r="503" spans="3:11" ht="15" customHeight="1" x14ac:dyDescent="0.2">
      <c r="C503" s="1566"/>
      <c r="D503" s="1567"/>
      <c r="E503" s="1567"/>
      <c r="F503" s="1567"/>
      <c r="G503" s="1567"/>
      <c r="H503" s="1567"/>
      <c r="I503" s="1567"/>
      <c r="J503" s="1567"/>
      <c r="K503" s="1568"/>
    </row>
    <row r="504" spans="3:11" ht="15" customHeight="1" x14ac:dyDescent="0.2">
      <c r="C504" s="1"/>
      <c r="D504" s="1"/>
      <c r="E504" s="1"/>
      <c r="F504" s="1"/>
      <c r="G504" s="1"/>
      <c r="H504" s="1"/>
      <c r="I504" s="1"/>
      <c r="J504" s="1"/>
    </row>
    <row r="505" spans="3:11" ht="15" customHeight="1" x14ac:dyDescent="0.2">
      <c r="C505" s="1148" t="s">
        <v>2714</v>
      </c>
      <c r="D505" s="1148"/>
      <c r="E505" s="1148"/>
      <c r="F505" s="1148"/>
      <c r="G505" s="1148"/>
      <c r="H505" s="1148"/>
      <c r="I505" s="1148"/>
      <c r="J505" s="1148"/>
      <c r="K505" s="1148"/>
    </row>
    <row r="506" spans="3:11" ht="15" customHeight="1" x14ac:dyDescent="0.2">
      <c r="C506" s="1148"/>
      <c r="D506" s="1148"/>
      <c r="E506" s="1148"/>
      <c r="F506" s="1148"/>
      <c r="G506" s="1148"/>
      <c r="H506" s="1148"/>
      <c r="I506" s="1148"/>
      <c r="J506" s="1148"/>
      <c r="K506" s="1148"/>
    </row>
    <row r="507" spans="3:11" ht="5.25" customHeight="1" x14ac:dyDescent="0.2">
      <c r="C507" s="86"/>
      <c r="D507" s="86"/>
      <c r="E507" s="86"/>
      <c r="F507" s="86"/>
      <c r="G507" s="86"/>
      <c r="H507" s="86"/>
      <c r="I507" s="86"/>
      <c r="J507" s="86"/>
      <c r="K507" s="86"/>
    </row>
    <row r="508" spans="3:11" ht="5.25" customHeight="1" x14ac:dyDescent="0.2">
      <c r="C508" s="1569"/>
      <c r="D508" s="1570"/>
      <c r="E508" s="1570"/>
      <c r="F508" s="1570"/>
      <c r="G508" s="1570"/>
      <c r="H508" s="1570"/>
      <c r="I508" s="1570"/>
      <c r="J508" s="1570"/>
      <c r="K508" s="1571"/>
    </row>
    <row r="509" spans="3:11" ht="15" customHeight="1" x14ac:dyDescent="0.2">
      <c r="C509" s="1563"/>
      <c r="D509" s="1564"/>
      <c r="E509" s="1564"/>
      <c r="F509" s="1564"/>
      <c r="G509" s="1564"/>
      <c r="H509" s="1564"/>
      <c r="I509" s="1564"/>
      <c r="J509" s="1564"/>
      <c r="K509" s="1565"/>
    </row>
    <row r="510" spans="3:11" ht="15" customHeight="1" x14ac:dyDescent="0.2">
      <c r="C510" s="1563"/>
      <c r="D510" s="1564"/>
      <c r="E510" s="1564"/>
      <c r="F510" s="1564"/>
      <c r="G510" s="1564"/>
      <c r="H510" s="1564"/>
      <c r="I510" s="1564"/>
      <c r="J510" s="1564"/>
      <c r="K510" s="1565"/>
    </row>
    <row r="511" spans="3:11" ht="15" customHeight="1" x14ac:dyDescent="0.2">
      <c r="C511" s="1563"/>
      <c r="D511" s="1564"/>
      <c r="E511" s="1564"/>
      <c r="F511" s="1564"/>
      <c r="G511" s="1564"/>
      <c r="H511" s="1564"/>
      <c r="I511" s="1564"/>
      <c r="J511" s="1564"/>
      <c r="K511" s="1565"/>
    </row>
    <row r="512" spans="3:11" ht="15" customHeight="1" x14ac:dyDescent="0.2">
      <c r="C512" s="1566"/>
      <c r="D512" s="1567"/>
      <c r="E512" s="1567"/>
      <c r="F512" s="1567"/>
      <c r="G512" s="1567"/>
      <c r="H512" s="1567"/>
      <c r="I512" s="1567"/>
      <c r="J512" s="1567"/>
      <c r="K512" s="1568"/>
    </row>
    <row r="513" spans="3:11" ht="15" customHeight="1" x14ac:dyDescent="0.2">
      <c r="C513" s="1"/>
      <c r="D513" s="1"/>
      <c r="E513" s="1"/>
      <c r="F513" s="1"/>
      <c r="G513" s="1"/>
      <c r="H513" s="1"/>
      <c r="I513" s="1"/>
      <c r="J513" s="1"/>
    </row>
    <row r="514" spans="3:11" ht="15" customHeight="1" x14ac:dyDescent="0.2">
      <c r="C514" s="1148" t="s">
        <v>586</v>
      </c>
      <c r="D514" s="1148"/>
      <c r="E514" s="1148"/>
      <c r="F514" s="1148"/>
      <c r="G514" s="1148"/>
      <c r="H514" s="1148"/>
      <c r="I514" s="1148"/>
      <c r="J514" s="1148"/>
      <c r="K514" s="1148"/>
    </row>
    <row r="515" spans="3:11" ht="5.25" customHeight="1" x14ac:dyDescent="0.2">
      <c r="C515" s="86"/>
      <c r="D515" s="86"/>
      <c r="E515" s="86"/>
      <c r="F515" s="86"/>
      <c r="G515" s="86"/>
      <c r="H515" s="86"/>
      <c r="I515" s="86"/>
      <c r="J515" s="86"/>
      <c r="K515" s="86"/>
    </row>
    <row r="516" spans="3:11" ht="5.25" customHeight="1" x14ac:dyDescent="0.2">
      <c r="C516" s="1569"/>
      <c r="D516" s="1570"/>
      <c r="E516" s="1570"/>
      <c r="F516" s="1570"/>
      <c r="G516" s="1570"/>
      <c r="H516" s="1570"/>
      <c r="I516" s="1570"/>
      <c r="J516" s="1570"/>
      <c r="K516" s="1571"/>
    </row>
    <row r="517" spans="3:11" ht="15" customHeight="1" x14ac:dyDescent="0.2">
      <c r="C517" s="1563"/>
      <c r="D517" s="1564"/>
      <c r="E517" s="1564"/>
      <c r="F517" s="1564"/>
      <c r="G517" s="1564"/>
      <c r="H517" s="1564"/>
      <c r="I517" s="1564"/>
      <c r="J517" s="1564"/>
      <c r="K517" s="1565"/>
    </row>
    <row r="518" spans="3:11" ht="15" customHeight="1" x14ac:dyDescent="0.2">
      <c r="C518" s="1563"/>
      <c r="D518" s="1564"/>
      <c r="E518" s="1564"/>
      <c r="F518" s="1564"/>
      <c r="G518" s="1564"/>
      <c r="H518" s="1564"/>
      <c r="I518" s="1564"/>
      <c r="J518" s="1564"/>
      <c r="K518" s="1565"/>
    </row>
    <row r="519" spans="3:11" ht="15" customHeight="1" x14ac:dyDescent="0.2">
      <c r="C519" s="1563"/>
      <c r="D519" s="1564"/>
      <c r="E519" s="1564"/>
      <c r="F519" s="1564"/>
      <c r="G519" s="1564"/>
      <c r="H519" s="1564"/>
      <c r="I519" s="1564"/>
      <c r="J519" s="1564"/>
      <c r="K519" s="1565"/>
    </row>
    <row r="520" spans="3:11" ht="15" customHeight="1" x14ac:dyDescent="0.2">
      <c r="C520" s="1566"/>
      <c r="D520" s="1567"/>
      <c r="E520" s="1567"/>
      <c r="F520" s="1567"/>
      <c r="G520" s="1567"/>
      <c r="H520" s="1567"/>
      <c r="I520" s="1567"/>
      <c r="J520" s="1567"/>
      <c r="K520" s="1568"/>
    </row>
    <row r="521" spans="3:11" ht="15" customHeight="1" x14ac:dyDescent="0.2">
      <c r="C521" s="1"/>
      <c r="D521" s="1"/>
      <c r="E521" s="1"/>
      <c r="F521" s="1"/>
      <c r="G521" s="1"/>
      <c r="H521" s="1"/>
      <c r="I521" s="1"/>
      <c r="J521" s="1"/>
    </row>
    <row r="522" spans="3:11" ht="15" customHeight="1" x14ac:dyDescent="0.2">
      <c r="C522" s="1148" t="s">
        <v>2716</v>
      </c>
      <c r="D522" s="1148"/>
      <c r="E522" s="1148"/>
      <c r="F522" s="1148"/>
      <c r="G522" s="1148"/>
      <c r="H522" s="1148"/>
      <c r="I522" s="1148"/>
      <c r="J522" s="1148"/>
      <c r="K522" s="1148"/>
    </row>
    <row r="523" spans="3:11" ht="15" customHeight="1" x14ac:dyDescent="0.2">
      <c r="C523" s="1148"/>
      <c r="D523" s="1148"/>
      <c r="E523" s="1148"/>
      <c r="F523" s="1148"/>
      <c r="G523" s="1148"/>
      <c r="H523" s="1148"/>
      <c r="I523" s="1148"/>
      <c r="J523" s="1148"/>
      <c r="K523" s="1148"/>
    </row>
    <row r="524" spans="3:11" ht="5.25" customHeight="1" x14ac:dyDescent="0.2">
      <c r="C524" s="86"/>
      <c r="D524" s="86"/>
      <c r="E524" s="86"/>
      <c r="F524" s="86"/>
      <c r="G524" s="86"/>
      <c r="H524" s="86"/>
      <c r="I524" s="86"/>
      <c r="J524" s="86"/>
      <c r="K524" s="86"/>
    </row>
    <row r="525" spans="3:11" ht="5.25" customHeight="1" x14ac:dyDescent="0.2">
      <c r="C525" s="1569"/>
      <c r="D525" s="1570"/>
      <c r="E525" s="1570"/>
      <c r="F525" s="1570"/>
      <c r="G525" s="1570"/>
      <c r="H525" s="1570"/>
      <c r="I525" s="1570"/>
      <c r="J525" s="1570"/>
      <c r="K525" s="1571"/>
    </row>
    <row r="526" spans="3:11" ht="15" customHeight="1" x14ac:dyDescent="0.2">
      <c r="C526" s="1563"/>
      <c r="D526" s="1564"/>
      <c r="E526" s="1564"/>
      <c r="F526" s="1564"/>
      <c r="G526" s="1564"/>
      <c r="H526" s="1564"/>
      <c r="I526" s="1564"/>
      <c r="J526" s="1564"/>
      <c r="K526" s="1565"/>
    </row>
    <row r="527" spans="3:11" ht="15" customHeight="1" x14ac:dyDescent="0.2">
      <c r="C527" s="1563"/>
      <c r="D527" s="1564"/>
      <c r="E527" s="1564"/>
      <c r="F527" s="1564"/>
      <c r="G527" s="1564"/>
      <c r="H527" s="1564"/>
      <c r="I527" s="1564"/>
      <c r="J527" s="1564"/>
      <c r="K527" s="1565"/>
    </row>
    <row r="528" spans="3:11" ht="15" customHeight="1" x14ac:dyDescent="0.2">
      <c r="C528" s="1563"/>
      <c r="D528" s="1564"/>
      <c r="E528" s="1564"/>
      <c r="F528" s="1564"/>
      <c r="G528" s="1564"/>
      <c r="H528" s="1564"/>
      <c r="I528" s="1564"/>
      <c r="J528" s="1564"/>
      <c r="K528" s="1565"/>
    </row>
    <row r="529" spans="3:11" ht="15" customHeight="1" x14ac:dyDescent="0.2">
      <c r="C529" s="1566"/>
      <c r="D529" s="1567"/>
      <c r="E529" s="1567"/>
      <c r="F529" s="1567"/>
      <c r="G529" s="1567"/>
      <c r="H529" s="1567"/>
      <c r="I529" s="1567"/>
      <c r="J529" s="1567"/>
      <c r="K529" s="1568"/>
    </row>
    <row r="530" spans="3:11" ht="15" customHeight="1" x14ac:dyDescent="0.2">
      <c r="C530" s="1"/>
      <c r="D530" s="1"/>
      <c r="E530" s="1"/>
      <c r="F530" s="1"/>
      <c r="G530" s="1"/>
      <c r="H530" s="1"/>
      <c r="I530" s="1"/>
      <c r="J530" s="1"/>
    </row>
    <row r="531" spans="3:11" ht="15" hidden="1" customHeight="1" x14ac:dyDescent="0.2">
      <c r="C531" s="1"/>
      <c r="D531" s="1"/>
      <c r="E531" s="1"/>
      <c r="F531" s="1"/>
      <c r="G531" s="1"/>
      <c r="H531" s="1"/>
      <c r="I531" s="1"/>
      <c r="J531" s="1"/>
    </row>
  </sheetData>
  <sheetProtection algorithmName="SHA-512" hashValue="UjDAzfbsia+RBKV8tK0NGFY0BVRXMj/TdoG3nupDllXfzSIxG9tPGO3MzLmi79qv2/iW3LFWbAhN0sf92JhLFg==" saltValue="fx/+NsvIl7XzSVxf8GBYiA==" spinCount="100000" sheet="1" objects="1" scenarios="1"/>
  <mergeCells count="962">
    <mergeCell ref="N44:N51"/>
    <mergeCell ref="N93:N100"/>
    <mergeCell ref="N142:N149"/>
    <mergeCell ref="C145:G145"/>
    <mergeCell ref="H145:J145"/>
    <mergeCell ref="C146:G146"/>
    <mergeCell ref="H146:J146"/>
    <mergeCell ref="C147:G147"/>
    <mergeCell ref="C148:G148"/>
    <mergeCell ref="C98:G98"/>
    <mergeCell ref="C99:G99"/>
    <mergeCell ref="C131:E131"/>
    <mergeCell ref="H131:J131"/>
    <mergeCell ref="C133:G133"/>
    <mergeCell ref="C134:G134"/>
    <mergeCell ref="C135:G135"/>
    <mergeCell ref="C136:G136"/>
    <mergeCell ref="C137:G137"/>
    <mergeCell ref="C138:G138"/>
    <mergeCell ref="H138:J138"/>
    <mergeCell ref="C139:G139"/>
    <mergeCell ref="C140:G140"/>
    <mergeCell ref="C118:D118"/>
    <mergeCell ref="E118:F118"/>
    <mergeCell ref="J111:K111"/>
    <mergeCell ref="C108:F108"/>
    <mergeCell ref="H108:K108"/>
    <mergeCell ref="B102:L102"/>
    <mergeCell ref="B103:L103"/>
    <mergeCell ref="C107:F107"/>
    <mergeCell ref="H113:I113"/>
    <mergeCell ref="H89:J89"/>
    <mergeCell ref="C90:G90"/>
    <mergeCell ref="C91:G91"/>
    <mergeCell ref="C93:G93"/>
    <mergeCell ref="C94:G94"/>
    <mergeCell ref="C95:G95"/>
    <mergeCell ref="C96:G96"/>
    <mergeCell ref="H96:J96"/>
    <mergeCell ref="C97:G97"/>
    <mergeCell ref="H97:J97"/>
    <mergeCell ref="J113:K113"/>
    <mergeCell ref="C113:D113"/>
    <mergeCell ref="E113:F113"/>
    <mergeCell ref="H112:I112"/>
    <mergeCell ref="J112:K112"/>
    <mergeCell ref="C112:D112"/>
    <mergeCell ref="E112:F112"/>
    <mergeCell ref="J79:K79"/>
    <mergeCell ref="C80:D80"/>
    <mergeCell ref="E80:F80"/>
    <mergeCell ref="H80:I80"/>
    <mergeCell ref="J80:K80"/>
    <mergeCell ref="C82:E82"/>
    <mergeCell ref="H82:J82"/>
    <mergeCell ref="C86:G86"/>
    <mergeCell ref="C87:G87"/>
    <mergeCell ref="H76:I76"/>
    <mergeCell ref="J76:K76"/>
    <mergeCell ref="J61:K61"/>
    <mergeCell ref="H77:I77"/>
    <mergeCell ref="J77:K77"/>
    <mergeCell ref="C78:D78"/>
    <mergeCell ref="E78:F78"/>
    <mergeCell ref="H78:I78"/>
    <mergeCell ref="E61:F61"/>
    <mergeCell ref="J78:K78"/>
    <mergeCell ref="E66:F66"/>
    <mergeCell ref="E62:F62"/>
    <mergeCell ref="E63:F63"/>
    <mergeCell ref="E64:F64"/>
    <mergeCell ref="J75:K75"/>
    <mergeCell ref="H66:I66"/>
    <mergeCell ref="J66:K66"/>
    <mergeCell ref="C62:D62"/>
    <mergeCell ref="E65:F65"/>
    <mergeCell ref="C66:D66"/>
    <mergeCell ref="C207:D207"/>
    <mergeCell ref="E207:F207"/>
    <mergeCell ref="H207:I207"/>
    <mergeCell ref="C201:D201"/>
    <mergeCell ref="E201:F201"/>
    <mergeCell ref="H201:I201"/>
    <mergeCell ref="C84:G84"/>
    <mergeCell ref="C85:G85"/>
    <mergeCell ref="C79:D79"/>
    <mergeCell ref="E79:F79"/>
    <mergeCell ref="H79:I79"/>
    <mergeCell ref="E111:F111"/>
    <mergeCell ref="H111:I111"/>
    <mergeCell ref="H107:K107"/>
    <mergeCell ref="C110:D110"/>
    <mergeCell ref="E110:F110"/>
    <mergeCell ref="H110:I110"/>
    <mergeCell ref="J110:K110"/>
    <mergeCell ref="C111:D111"/>
    <mergeCell ref="E175:F175"/>
    <mergeCell ref="C174:D174"/>
    <mergeCell ref="H174:I174"/>
    <mergeCell ref="J174:K174"/>
    <mergeCell ref="C175:D175"/>
    <mergeCell ref="H214:I214"/>
    <mergeCell ref="J214:K214"/>
    <mergeCell ref="J207:K207"/>
    <mergeCell ref="C219:D219"/>
    <mergeCell ref="E219:F219"/>
    <mergeCell ref="H219:I219"/>
    <mergeCell ref="J219:K219"/>
    <mergeCell ref="J64:K64"/>
    <mergeCell ref="H65:I65"/>
    <mergeCell ref="J65:K65"/>
    <mergeCell ref="C208:D208"/>
    <mergeCell ref="E208:F208"/>
    <mergeCell ref="C209:D209"/>
    <mergeCell ref="E209:F209"/>
    <mergeCell ref="C211:F211"/>
    <mergeCell ref="H211:K211"/>
    <mergeCell ref="C205:D205"/>
    <mergeCell ref="E205:F205"/>
    <mergeCell ref="H205:I205"/>
    <mergeCell ref="J205:K205"/>
    <mergeCell ref="C206:D206"/>
    <mergeCell ref="E206:F206"/>
    <mergeCell ref="H206:I206"/>
    <mergeCell ref="J206:K206"/>
    <mergeCell ref="C309:D309"/>
    <mergeCell ref="E309:F309"/>
    <mergeCell ref="C302:D302"/>
    <mergeCell ref="E302:F302"/>
    <mergeCell ref="H302:I302"/>
    <mergeCell ref="J302:K302"/>
    <mergeCell ref="C303:D303"/>
    <mergeCell ref="E303:F303"/>
    <mergeCell ref="H303:I303"/>
    <mergeCell ref="J303:K303"/>
    <mergeCell ref="C304:D304"/>
    <mergeCell ref="E304:F304"/>
    <mergeCell ref="H304:I304"/>
    <mergeCell ref="J304:K304"/>
    <mergeCell ref="C305:D305"/>
    <mergeCell ref="E305:F305"/>
    <mergeCell ref="C306:D306"/>
    <mergeCell ref="E306:F306"/>
    <mergeCell ref="C307:D307"/>
    <mergeCell ref="E307:F307"/>
    <mergeCell ref="C308:D308"/>
    <mergeCell ref="E308:F308"/>
    <mergeCell ref="H300:I300"/>
    <mergeCell ref="J300:K300"/>
    <mergeCell ref="C301:D301"/>
    <mergeCell ref="E301:F301"/>
    <mergeCell ref="H301:I301"/>
    <mergeCell ref="J301:K301"/>
    <mergeCell ref="C293:D293"/>
    <mergeCell ref="C299:D299"/>
    <mergeCell ref="E299:F299"/>
    <mergeCell ref="H299:I299"/>
    <mergeCell ref="J299:K299"/>
    <mergeCell ref="C300:D300"/>
    <mergeCell ref="E300:F300"/>
    <mergeCell ref="E162:F162"/>
    <mergeCell ref="H162:I162"/>
    <mergeCell ref="J162:K162"/>
    <mergeCell ref="H161:I161"/>
    <mergeCell ref="C158:D158"/>
    <mergeCell ref="H175:I175"/>
    <mergeCell ref="J175:K175"/>
    <mergeCell ref="C170:F170"/>
    <mergeCell ref="H170:K170"/>
    <mergeCell ref="C171:F171"/>
    <mergeCell ref="H171:K171"/>
    <mergeCell ref="C173:D173"/>
    <mergeCell ref="H173:I173"/>
    <mergeCell ref="J161:K161"/>
    <mergeCell ref="C162:D162"/>
    <mergeCell ref="J159:K159"/>
    <mergeCell ref="C157:D157"/>
    <mergeCell ref="E157:F157"/>
    <mergeCell ref="H157:I157"/>
    <mergeCell ref="J157:K157"/>
    <mergeCell ref="C124:D124"/>
    <mergeCell ref="J158:K158"/>
    <mergeCell ref="E124:F124"/>
    <mergeCell ref="H124:I124"/>
    <mergeCell ref="J124:K124"/>
    <mergeCell ref="E125:F125"/>
    <mergeCell ref="H125:I125"/>
    <mergeCell ref="J125:K125"/>
    <mergeCell ref="H116:I116"/>
    <mergeCell ref="J116:K116"/>
    <mergeCell ref="C121:F121"/>
    <mergeCell ref="H121:K121"/>
    <mergeCell ref="C120:F120"/>
    <mergeCell ref="H120:K120"/>
    <mergeCell ref="H114:I114"/>
    <mergeCell ref="J114:K114"/>
    <mergeCell ref="C123:D123"/>
    <mergeCell ref="E123:F123"/>
    <mergeCell ref="H123:I123"/>
    <mergeCell ref="J123:K123"/>
    <mergeCell ref="C116:D116"/>
    <mergeCell ref="E116:F116"/>
    <mergeCell ref="C117:D117"/>
    <mergeCell ref="E117:F117"/>
    <mergeCell ref="C49:G49"/>
    <mergeCell ref="H67:I67"/>
    <mergeCell ref="J67:K67"/>
    <mergeCell ref="C68:D68"/>
    <mergeCell ref="E68:F68"/>
    <mergeCell ref="C76:D76"/>
    <mergeCell ref="E76:F76"/>
    <mergeCell ref="C77:D77"/>
    <mergeCell ref="E77:F77"/>
    <mergeCell ref="C74:D74"/>
    <mergeCell ref="E74:F74"/>
    <mergeCell ref="C75:D75"/>
    <mergeCell ref="E75:F75"/>
    <mergeCell ref="H74:I74"/>
    <mergeCell ref="J74:K74"/>
    <mergeCell ref="C72:F72"/>
    <mergeCell ref="H72:K72"/>
    <mergeCell ref="C69:D69"/>
    <mergeCell ref="E69:F69"/>
    <mergeCell ref="H75:I75"/>
    <mergeCell ref="C71:F71"/>
    <mergeCell ref="H62:I62"/>
    <mergeCell ref="C64:D64"/>
    <mergeCell ref="H64:I64"/>
    <mergeCell ref="C41:G41"/>
    <mergeCell ref="J28:K28"/>
    <mergeCell ref="C29:D29"/>
    <mergeCell ref="E29:F29"/>
    <mergeCell ref="H29:I29"/>
    <mergeCell ref="J29:K29"/>
    <mergeCell ref="C42:G42"/>
    <mergeCell ref="H47:J47"/>
    <mergeCell ref="C48:G48"/>
    <mergeCell ref="H30:I30"/>
    <mergeCell ref="J30:K30"/>
    <mergeCell ref="C31:D31"/>
    <mergeCell ref="E31:F31"/>
    <mergeCell ref="H31:I31"/>
    <mergeCell ref="J31:K31"/>
    <mergeCell ref="C33:E33"/>
    <mergeCell ref="H33:J33"/>
    <mergeCell ref="H40:J40"/>
    <mergeCell ref="C35:G35"/>
    <mergeCell ref="C36:G36"/>
    <mergeCell ref="C38:G38"/>
    <mergeCell ref="C446:D446"/>
    <mergeCell ref="C449:D449"/>
    <mergeCell ref="C450:D450"/>
    <mergeCell ref="C447:D447"/>
    <mergeCell ref="C448:D448"/>
    <mergeCell ref="C444:D445"/>
    <mergeCell ref="B437:L437"/>
    <mergeCell ref="B438:L438"/>
    <mergeCell ref="C58:F58"/>
    <mergeCell ref="H58:K58"/>
    <mergeCell ref="C59:F59"/>
    <mergeCell ref="H59:K59"/>
    <mergeCell ref="C61:D61"/>
    <mergeCell ref="H61:I61"/>
    <mergeCell ref="H430:I430"/>
    <mergeCell ref="J430:K430"/>
    <mergeCell ref="C431:D431"/>
    <mergeCell ref="E431:F431"/>
    <mergeCell ref="J431:K431"/>
    <mergeCell ref="C432:D432"/>
    <mergeCell ref="C88:G88"/>
    <mergeCell ref="C89:G89"/>
    <mergeCell ref="C67:D67"/>
    <mergeCell ref="E67:F67"/>
    <mergeCell ref="C408:F408"/>
    <mergeCell ref="B405:L405"/>
    <mergeCell ref="B406:L406"/>
    <mergeCell ref="J411:K411"/>
    <mergeCell ref="E412:F412"/>
    <mergeCell ref="H412:I412"/>
    <mergeCell ref="J412:K412"/>
    <mergeCell ref="E411:F411"/>
    <mergeCell ref="H411:I411"/>
    <mergeCell ref="C411:D411"/>
    <mergeCell ref="C412:D412"/>
    <mergeCell ref="G409:I409"/>
    <mergeCell ref="C409:F409"/>
    <mergeCell ref="E400:F400"/>
    <mergeCell ref="E401:F401"/>
    <mergeCell ref="C402:D402"/>
    <mergeCell ref="E402:F402"/>
    <mergeCell ref="E398:F398"/>
    <mergeCell ref="H398:I398"/>
    <mergeCell ref="E399:F399"/>
    <mergeCell ref="C398:D398"/>
    <mergeCell ref="J398:K398"/>
    <mergeCell ref="C399:D399"/>
    <mergeCell ref="J399:K399"/>
    <mergeCell ref="C400:D400"/>
    <mergeCell ref="J400:K400"/>
    <mergeCell ref="C401:D401"/>
    <mergeCell ref="J401:K401"/>
    <mergeCell ref="J402:K402"/>
    <mergeCell ref="H401:I401"/>
    <mergeCell ref="H402:I402"/>
    <mergeCell ref="C393:F393"/>
    <mergeCell ref="G393:I393"/>
    <mergeCell ref="G377:I377"/>
    <mergeCell ref="B389:L389"/>
    <mergeCell ref="B390:L390"/>
    <mergeCell ref="C363:D363"/>
    <mergeCell ref="E363:F363"/>
    <mergeCell ref="H363:I363"/>
    <mergeCell ref="C370:D370"/>
    <mergeCell ref="E370:F370"/>
    <mergeCell ref="C366:D366"/>
    <mergeCell ref="E366:F366"/>
    <mergeCell ref="H366:I366"/>
    <mergeCell ref="J366:K366"/>
    <mergeCell ref="C368:D368"/>
    <mergeCell ref="E368:F368"/>
    <mergeCell ref="E369:F369"/>
    <mergeCell ref="C364:D364"/>
    <mergeCell ref="E364:F364"/>
    <mergeCell ref="H364:I364"/>
    <mergeCell ref="J364:K364"/>
    <mergeCell ref="C365:D365"/>
    <mergeCell ref="E365:F365"/>
    <mergeCell ref="H365:I365"/>
    <mergeCell ref="J395:K395"/>
    <mergeCell ref="C396:D396"/>
    <mergeCell ref="J396:K396"/>
    <mergeCell ref="C397:D397"/>
    <mergeCell ref="J397:K397"/>
    <mergeCell ref="E397:F397"/>
    <mergeCell ref="H397:I397"/>
    <mergeCell ref="E395:F395"/>
    <mergeCell ref="H395:I395"/>
    <mergeCell ref="C395:D395"/>
    <mergeCell ref="C355:D355"/>
    <mergeCell ref="C392:F392"/>
    <mergeCell ref="E396:F396"/>
    <mergeCell ref="H396:I396"/>
    <mergeCell ref="C361:D361"/>
    <mergeCell ref="E361:F361"/>
    <mergeCell ref="H361:I361"/>
    <mergeCell ref="E179:F179"/>
    <mergeCell ref="H179:I179"/>
    <mergeCell ref="E188:F188"/>
    <mergeCell ref="H188:I188"/>
    <mergeCell ref="C191:D191"/>
    <mergeCell ref="E191:F191"/>
    <mergeCell ref="H191:I191"/>
    <mergeCell ref="C192:D192"/>
    <mergeCell ref="E192:F192"/>
    <mergeCell ref="H192:I192"/>
    <mergeCell ref="C231:D231"/>
    <mergeCell ref="E231:F231"/>
    <mergeCell ref="H231:I231"/>
    <mergeCell ref="C233:D233"/>
    <mergeCell ref="E233:F233"/>
    <mergeCell ref="H233:I233"/>
    <mergeCell ref="C369:D369"/>
    <mergeCell ref="J365:K365"/>
    <mergeCell ref="H127:I127"/>
    <mergeCell ref="J127:K127"/>
    <mergeCell ref="E127:F127"/>
    <mergeCell ref="C142:G142"/>
    <mergeCell ref="J179:K179"/>
    <mergeCell ref="H190:I190"/>
    <mergeCell ref="J190:K190"/>
    <mergeCell ref="J363:K363"/>
    <mergeCell ref="J173:K173"/>
    <mergeCell ref="C160:D160"/>
    <mergeCell ref="E160:F160"/>
    <mergeCell ref="J160:K160"/>
    <mergeCell ref="I163:J163"/>
    <mergeCell ref="C161:D161"/>
    <mergeCell ref="E161:F161"/>
    <mergeCell ref="C179:D179"/>
    <mergeCell ref="C164:D164"/>
    <mergeCell ref="E164:F164"/>
    <mergeCell ref="E176:F176"/>
    <mergeCell ref="C177:D177"/>
    <mergeCell ref="E177:F177"/>
    <mergeCell ref="C178:D178"/>
    <mergeCell ref="E178:F178"/>
    <mergeCell ref="C367:D367"/>
    <mergeCell ref="E367:F367"/>
    <mergeCell ref="J187:K187"/>
    <mergeCell ref="C188:D188"/>
    <mergeCell ref="J361:K361"/>
    <mergeCell ref="C362:D362"/>
    <mergeCell ref="E362:F362"/>
    <mergeCell ref="H362:I362"/>
    <mergeCell ref="J362:K362"/>
    <mergeCell ref="J191:K191"/>
    <mergeCell ref="C189:D189"/>
    <mergeCell ref="E189:F189"/>
    <mergeCell ref="H189:I189"/>
    <mergeCell ref="J189:K189"/>
    <mergeCell ref="C190:D190"/>
    <mergeCell ref="E190:F190"/>
    <mergeCell ref="J188:K188"/>
    <mergeCell ref="J192:K192"/>
    <mergeCell ref="C228:F228"/>
    <mergeCell ref="H228:K228"/>
    <mergeCell ref="C229:F229"/>
    <mergeCell ref="H229:K229"/>
    <mergeCell ref="B223:L223"/>
    <mergeCell ref="B224:L224"/>
    <mergeCell ref="H17:I17"/>
    <mergeCell ref="H18:I18"/>
    <mergeCell ref="H23:K23"/>
    <mergeCell ref="C25:D25"/>
    <mergeCell ref="E25:F25"/>
    <mergeCell ref="H25:I25"/>
    <mergeCell ref="J25:K25"/>
    <mergeCell ref="J62:K62"/>
    <mergeCell ref="H63:I63"/>
    <mergeCell ref="J63:K63"/>
    <mergeCell ref="C63:D63"/>
    <mergeCell ref="C44:G44"/>
    <mergeCell ref="C45:G45"/>
    <mergeCell ref="C46:G46"/>
    <mergeCell ref="C47:G47"/>
    <mergeCell ref="C39:G39"/>
    <mergeCell ref="C40:G40"/>
    <mergeCell ref="C27:D27"/>
    <mergeCell ref="E27:F27"/>
    <mergeCell ref="H27:I27"/>
    <mergeCell ref="J27:K27"/>
    <mergeCell ref="C50:G50"/>
    <mergeCell ref="H48:J48"/>
    <mergeCell ref="C37:G37"/>
    <mergeCell ref="H26:I26"/>
    <mergeCell ref="J26:K26"/>
    <mergeCell ref="H71:K71"/>
    <mergeCell ref="C65:D65"/>
    <mergeCell ref="J15:K15"/>
    <mergeCell ref="H15:I15"/>
    <mergeCell ref="C20:D20"/>
    <mergeCell ref="E20:F20"/>
    <mergeCell ref="C17:D17"/>
    <mergeCell ref="C18:D18"/>
    <mergeCell ref="E19:F19"/>
    <mergeCell ref="C19:D19"/>
    <mergeCell ref="C16:D16"/>
    <mergeCell ref="E16:F16"/>
    <mergeCell ref="J16:K16"/>
    <mergeCell ref="E17:F17"/>
    <mergeCell ref="J17:K17"/>
    <mergeCell ref="E18:F18"/>
    <mergeCell ref="J18:K18"/>
    <mergeCell ref="H16:I16"/>
    <mergeCell ref="C22:F22"/>
    <mergeCell ref="H22:K22"/>
    <mergeCell ref="C23:F23"/>
    <mergeCell ref="C26:D26"/>
    <mergeCell ref="C176:D176"/>
    <mergeCell ref="H176:I176"/>
    <mergeCell ref="J176:K176"/>
    <mergeCell ref="H177:I177"/>
    <mergeCell ref="J177:K177"/>
    <mergeCell ref="H178:I178"/>
    <mergeCell ref="J178:K178"/>
    <mergeCell ref="C30:D30"/>
    <mergeCell ref="E30:F30"/>
    <mergeCell ref="H159:I159"/>
    <mergeCell ref="H160:I160"/>
    <mergeCell ref="H156:I156"/>
    <mergeCell ref="J156:K156"/>
    <mergeCell ref="C125:D125"/>
    <mergeCell ref="C126:D126"/>
    <mergeCell ref="C127:D127"/>
    <mergeCell ref="C159:D159"/>
    <mergeCell ref="E159:F159"/>
    <mergeCell ref="C163:D163"/>
    <mergeCell ref="E163:F163"/>
    <mergeCell ref="B167:L167"/>
    <mergeCell ref="C144:G144"/>
    <mergeCell ref="E158:F158"/>
    <mergeCell ref="H158:I158"/>
    <mergeCell ref="C12:D12"/>
    <mergeCell ref="C13:D13"/>
    <mergeCell ref="C14:D14"/>
    <mergeCell ref="C15:D15"/>
    <mergeCell ref="B3:F3"/>
    <mergeCell ref="B2:F2"/>
    <mergeCell ref="E13:F13"/>
    <mergeCell ref="J13:K13"/>
    <mergeCell ref="E14:F14"/>
    <mergeCell ref="J14:K14"/>
    <mergeCell ref="H9:K9"/>
    <mergeCell ref="H10:K10"/>
    <mergeCell ref="E12:F12"/>
    <mergeCell ref="H12:I12"/>
    <mergeCell ref="J12:K12"/>
    <mergeCell ref="C9:F9"/>
    <mergeCell ref="C10:F10"/>
    <mergeCell ref="H13:I13"/>
    <mergeCell ref="H14:I14"/>
    <mergeCell ref="H2:L2"/>
    <mergeCell ref="H3:L3"/>
    <mergeCell ref="B7:L7"/>
    <mergeCell ref="B6:L6"/>
    <mergeCell ref="E15:F15"/>
    <mergeCell ref="C180:D180"/>
    <mergeCell ref="E180:F180"/>
    <mergeCell ref="C183:F183"/>
    <mergeCell ref="H183:K183"/>
    <mergeCell ref="C184:F184"/>
    <mergeCell ref="H184:K184"/>
    <mergeCell ref="C186:D186"/>
    <mergeCell ref="E186:F186"/>
    <mergeCell ref="C187:D187"/>
    <mergeCell ref="E187:F187"/>
    <mergeCell ref="H186:I186"/>
    <mergeCell ref="J186:K186"/>
    <mergeCell ref="H187:I187"/>
    <mergeCell ref="E181:F181"/>
    <mergeCell ref="C181:D181"/>
    <mergeCell ref="B195:L195"/>
    <mergeCell ref="B196:L196"/>
    <mergeCell ref="C198:F198"/>
    <mergeCell ref="H198:K198"/>
    <mergeCell ref="C199:F199"/>
    <mergeCell ref="H199:K199"/>
    <mergeCell ref="J202:K202"/>
    <mergeCell ref="J201:K201"/>
    <mergeCell ref="C220:D220"/>
    <mergeCell ref="E220:F220"/>
    <mergeCell ref="H220:I220"/>
    <mergeCell ref="J220:K220"/>
    <mergeCell ref="C215:D215"/>
    <mergeCell ref="E215:F215"/>
    <mergeCell ref="H217:I217"/>
    <mergeCell ref="J217:K217"/>
    <mergeCell ref="C218:D218"/>
    <mergeCell ref="C202:D202"/>
    <mergeCell ref="E202:F202"/>
    <mergeCell ref="H202:I202"/>
    <mergeCell ref="C212:F212"/>
    <mergeCell ref="H212:K212"/>
    <mergeCell ref="C214:D214"/>
    <mergeCell ref="E214:F214"/>
    <mergeCell ref="J231:K231"/>
    <mergeCell ref="C232:D232"/>
    <mergeCell ref="E232:F232"/>
    <mergeCell ref="H232:I232"/>
    <mergeCell ref="J232:K232"/>
    <mergeCell ref="C203:D203"/>
    <mergeCell ref="E203:F203"/>
    <mergeCell ref="H203:I203"/>
    <mergeCell ref="J203:K203"/>
    <mergeCell ref="C204:D204"/>
    <mergeCell ref="E204:F204"/>
    <mergeCell ref="H204:I204"/>
    <mergeCell ref="J204:K204"/>
    <mergeCell ref="H215:I215"/>
    <mergeCell ref="J215:K215"/>
    <mergeCell ref="C216:D216"/>
    <mergeCell ref="E216:F216"/>
    <mergeCell ref="H216:I216"/>
    <mergeCell ref="J216:K216"/>
    <mergeCell ref="C217:D217"/>
    <mergeCell ref="E217:F217"/>
    <mergeCell ref="E218:F218"/>
    <mergeCell ref="H218:I218"/>
    <mergeCell ref="J218:K218"/>
    <mergeCell ref="J233:K233"/>
    <mergeCell ref="C234:D234"/>
    <mergeCell ref="E234:F234"/>
    <mergeCell ref="H234:I234"/>
    <mergeCell ref="J234:K234"/>
    <mergeCell ref="C235:D235"/>
    <mergeCell ref="E235:F235"/>
    <mergeCell ref="H235:I235"/>
    <mergeCell ref="J235:K235"/>
    <mergeCell ref="C236:D236"/>
    <mergeCell ref="E236:F236"/>
    <mergeCell ref="H236:I236"/>
    <mergeCell ref="J236:K236"/>
    <mergeCell ref="C237:D237"/>
    <mergeCell ref="E237:F237"/>
    <mergeCell ref="H237:I237"/>
    <mergeCell ref="J237:K237"/>
    <mergeCell ref="C238:D238"/>
    <mergeCell ref="E238:F238"/>
    <mergeCell ref="C241:F241"/>
    <mergeCell ref="H241:K241"/>
    <mergeCell ref="C242:F242"/>
    <mergeCell ref="H242:K242"/>
    <mergeCell ref="C244:D244"/>
    <mergeCell ref="E244:F244"/>
    <mergeCell ref="H244:I244"/>
    <mergeCell ref="J244:K244"/>
    <mergeCell ref="C239:D239"/>
    <mergeCell ref="E239:F239"/>
    <mergeCell ref="C245:D245"/>
    <mergeCell ref="E245:F245"/>
    <mergeCell ref="H245:I245"/>
    <mergeCell ref="J245:K245"/>
    <mergeCell ref="C246:D246"/>
    <mergeCell ref="E246:F246"/>
    <mergeCell ref="H246:I246"/>
    <mergeCell ref="J246:K246"/>
    <mergeCell ref="C247:D247"/>
    <mergeCell ref="E247:F247"/>
    <mergeCell ref="H247:I247"/>
    <mergeCell ref="J247:K247"/>
    <mergeCell ref="C248:D248"/>
    <mergeCell ref="E248:F248"/>
    <mergeCell ref="H248:I248"/>
    <mergeCell ref="J248:K248"/>
    <mergeCell ref="C249:D249"/>
    <mergeCell ref="E249:F249"/>
    <mergeCell ref="H249:I249"/>
    <mergeCell ref="J249:K249"/>
    <mergeCell ref="C250:D250"/>
    <mergeCell ref="E250:F250"/>
    <mergeCell ref="H250:I250"/>
    <mergeCell ref="J250:K250"/>
    <mergeCell ref="C256:F256"/>
    <mergeCell ref="H256:K256"/>
    <mergeCell ref="C257:F257"/>
    <mergeCell ref="H257:K257"/>
    <mergeCell ref="C259:D259"/>
    <mergeCell ref="E259:F259"/>
    <mergeCell ref="H259:I259"/>
    <mergeCell ref="J259:K259"/>
    <mergeCell ref="B253:L253"/>
    <mergeCell ref="B254:L254"/>
    <mergeCell ref="C260:D260"/>
    <mergeCell ref="E260:F260"/>
    <mergeCell ref="H260:I260"/>
    <mergeCell ref="J260:K260"/>
    <mergeCell ref="C261:D261"/>
    <mergeCell ref="E261:F261"/>
    <mergeCell ref="H261:I261"/>
    <mergeCell ref="J261:K261"/>
    <mergeCell ref="C262:D262"/>
    <mergeCell ref="E262:F262"/>
    <mergeCell ref="H262:I262"/>
    <mergeCell ref="J262:K262"/>
    <mergeCell ref="C263:D263"/>
    <mergeCell ref="E263:F263"/>
    <mergeCell ref="H263:I263"/>
    <mergeCell ref="J263:K263"/>
    <mergeCell ref="C264:D264"/>
    <mergeCell ref="E264:F264"/>
    <mergeCell ref="H264:I264"/>
    <mergeCell ref="J264:K264"/>
    <mergeCell ref="C265:D265"/>
    <mergeCell ref="E265:F265"/>
    <mergeCell ref="J265:K265"/>
    <mergeCell ref="C266:D266"/>
    <mergeCell ref="E266:F266"/>
    <mergeCell ref="C267:D267"/>
    <mergeCell ref="E267:F267"/>
    <mergeCell ref="C273:F273"/>
    <mergeCell ref="H273:K273"/>
    <mergeCell ref="C274:F274"/>
    <mergeCell ref="H274:K274"/>
    <mergeCell ref="C270:K270"/>
    <mergeCell ref="C271:K271"/>
    <mergeCell ref="J266:K266"/>
    <mergeCell ref="C276:D276"/>
    <mergeCell ref="E276:F276"/>
    <mergeCell ref="H276:I276"/>
    <mergeCell ref="J276:K276"/>
    <mergeCell ref="C277:D277"/>
    <mergeCell ref="E277:F277"/>
    <mergeCell ref="H277:I277"/>
    <mergeCell ref="J277:K277"/>
    <mergeCell ref="C278:D278"/>
    <mergeCell ref="E278:F278"/>
    <mergeCell ref="H278:I278"/>
    <mergeCell ref="J278:K278"/>
    <mergeCell ref="C279:D279"/>
    <mergeCell ref="E279:F279"/>
    <mergeCell ref="H279:I279"/>
    <mergeCell ref="J279:K279"/>
    <mergeCell ref="C280:D280"/>
    <mergeCell ref="E280:F280"/>
    <mergeCell ref="H280:I280"/>
    <mergeCell ref="J280:K280"/>
    <mergeCell ref="C281:D281"/>
    <mergeCell ref="E281:F281"/>
    <mergeCell ref="H281:I281"/>
    <mergeCell ref="J281:K281"/>
    <mergeCell ref="C282:D282"/>
    <mergeCell ref="E282:F282"/>
    <mergeCell ref="H282:I282"/>
    <mergeCell ref="J282:K282"/>
    <mergeCell ref="C283:D283"/>
    <mergeCell ref="E283:F283"/>
    <mergeCell ref="C284:D284"/>
    <mergeCell ref="E284:F284"/>
    <mergeCell ref="C285:D285"/>
    <mergeCell ref="E285:F285"/>
    <mergeCell ref="C286:D286"/>
    <mergeCell ref="E286:F286"/>
    <mergeCell ref="C287:D287"/>
    <mergeCell ref="E287:F287"/>
    <mergeCell ref="C315:F315"/>
    <mergeCell ref="H315:K315"/>
    <mergeCell ref="C316:F316"/>
    <mergeCell ref="H316:K316"/>
    <mergeCell ref="C318:D318"/>
    <mergeCell ref="E318:F318"/>
    <mergeCell ref="H318:I318"/>
    <mergeCell ref="J318:K318"/>
    <mergeCell ref="C312:K312"/>
    <mergeCell ref="C313:K313"/>
    <mergeCell ref="C290:K290"/>
    <mergeCell ref="C291:K291"/>
    <mergeCell ref="C295:F295"/>
    <mergeCell ref="H295:K295"/>
    <mergeCell ref="C296:F296"/>
    <mergeCell ref="H296:K296"/>
    <mergeCell ref="C298:D298"/>
    <mergeCell ref="E298:F298"/>
    <mergeCell ref="H298:I298"/>
    <mergeCell ref="J298:K298"/>
    <mergeCell ref="C319:D319"/>
    <mergeCell ref="E319:F319"/>
    <mergeCell ref="H319:I319"/>
    <mergeCell ref="J319:K319"/>
    <mergeCell ref="C320:D320"/>
    <mergeCell ref="E320:F320"/>
    <mergeCell ref="H320:I320"/>
    <mergeCell ref="J320:K320"/>
    <mergeCell ref="C321:D321"/>
    <mergeCell ref="E321:F321"/>
    <mergeCell ref="H321:I321"/>
    <mergeCell ref="J321:K321"/>
    <mergeCell ref="C322:D322"/>
    <mergeCell ref="E322:F322"/>
    <mergeCell ref="H322:I322"/>
    <mergeCell ref="J322:K322"/>
    <mergeCell ref="C323:D323"/>
    <mergeCell ref="E323:F323"/>
    <mergeCell ref="H323:I323"/>
    <mergeCell ref="J323:K323"/>
    <mergeCell ref="C324:D324"/>
    <mergeCell ref="E324:F324"/>
    <mergeCell ref="H324:I324"/>
    <mergeCell ref="J324:K324"/>
    <mergeCell ref="C325:D325"/>
    <mergeCell ref="E325:F325"/>
    <mergeCell ref="C326:D326"/>
    <mergeCell ref="E326:F326"/>
    <mergeCell ref="C327:D327"/>
    <mergeCell ref="E327:F327"/>
    <mergeCell ref="C328:D328"/>
    <mergeCell ref="E328:F328"/>
    <mergeCell ref="C336:F336"/>
    <mergeCell ref="H336:K336"/>
    <mergeCell ref="C339:D339"/>
    <mergeCell ref="E339:F339"/>
    <mergeCell ref="H339:I339"/>
    <mergeCell ref="J339:K339"/>
    <mergeCell ref="H337:K337"/>
    <mergeCell ref="C331:K331"/>
    <mergeCell ref="C332:K332"/>
    <mergeCell ref="H340:I340"/>
    <mergeCell ref="J340:K340"/>
    <mergeCell ref="J384:K384"/>
    <mergeCell ref="J385:K385"/>
    <mergeCell ref="J386:K386"/>
    <mergeCell ref="C347:D347"/>
    <mergeCell ref="E347:F347"/>
    <mergeCell ref="C348:D348"/>
    <mergeCell ref="E348:F348"/>
    <mergeCell ref="C337:F337"/>
    <mergeCell ref="C343:D343"/>
    <mergeCell ref="E343:F343"/>
    <mergeCell ref="C340:D340"/>
    <mergeCell ref="E340:F340"/>
    <mergeCell ref="C344:D344"/>
    <mergeCell ref="E344:F344"/>
    <mergeCell ref="H344:I344"/>
    <mergeCell ref="J344:K344"/>
    <mergeCell ref="C345:D345"/>
    <mergeCell ref="E345:F345"/>
    <mergeCell ref="H345:I345"/>
    <mergeCell ref="J345:K345"/>
    <mergeCell ref="C346:D346"/>
    <mergeCell ref="E346:F346"/>
    <mergeCell ref="C341:D341"/>
    <mergeCell ref="E341:F341"/>
    <mergeCell ref="H418:I418"/>
    <mergeCell ref="J418:K418"/>
    <mergeCell ref="J413:K413"/>
    <mergeCell ref="H414:I414"/>
    <mergeCell ref="J414:K414"/>
    <mergeCell ref="C415:D415"/>
    <mergeCell ref="E415:F415"/>
    <mergeCell ref="J415:K415"/>
    <mergeCell ref="C416:D416"/>
    <mergeCell ref="E416:F416"/>
    <mergeCell ref="J416:K416"/>
    <mergeCell ref="E413:F413"/>
    <mergeCell ref="C414:D414"/>
    <mergeCell ref="E414:F414"/>
    <mergeCell ref="C413:D413"/>
    <mergeCell ref="H413:I413"/>
    <mergeCell ref="J417:K417"/>
    <mergeCell ref="C514:K514"/>
    <mergeCell ref="C516:K516"/>
    <mergeCell ref="C517:K520"/>
    <mergeCell ref="C525:K525"/>
    <mergeCell ref="B373:L373"/>
    <mergeCell ref="B374:L374"/>
    <mergeCell ref="C376:F376"/>
    <mergeCell ref="C379:D379"/>
    <mergeCell ref="E379:F379"/>
    <mergeCell ref="H379:I379"/>
    <mergeCell ref="J379:K379"/>
    <mergeCell ref="C380:D380"/>
    <mergeCell ref="E380:F380"/>
    <mergeCell ref="H380:I380"/>
    <mergeCell ref="J380:K380"/>
    <mergeCell ref="C505:K506"/>
    <mergeCell ref="C508:K508"/>
    <mergeCell ref="C509:K512"/>
    <mergeCell ref="H381:I381"/>
    <mergeCell ref="J381:K381"/>
    <mergeCell ref="C382:D382"/>
    <mergeCell ref="E382:F382"/>
    <mergeCell ref="H382:I382"/>
    <mergeCell ref="C424:F424"/>
    <mergeCell ref="C386:D386"/>
    <mergeCell ref="E386:F386"/>
    <mergeCell ref="H386:I386"/>
    <mergeCell ref="C381:D381"/>
    <mergeCell ref="G425:I425"/>
    <mergeCell ref="J432:K432"/>
    <mergeCell ref="C433:D433"/>
    <mergeCell ref="E433:F433"/>
    <mergeCell ref="H433:I433"/>
    <mergeCell ref="J433:K433"/>
    <mergeCell ref="J382:K382"/>
    <mergeCell ref="C383:D383"/>
    <mergeCell ref="E383:F383"/>
    <mergeCell ref="J383:K383"/>
    <mergeCell ref="C384:D384"/>
    <mergeCell ref="E384:F384"/>
    <mergeCell ref="C385:D385"/>
    <mergeCell ref="E385:F385"/>
    <mergeCell ref="H385:I385"/>
    <mergeCell ref="J429:K429"/>
    <mergeCell ref="B421:L421"/>
    <mergeCell ref="C427:D427"/>
    <mergeCell ref="E427:F427"/>
    <mergeCell ref="H427:I427"/>
    <mergeCell ref="B422:L422"/>
    <mergeCell ref="C417:D417"/>
    <mergeCell ref="E417:F417"/>
    <mergeCell ref="H417:I417"/>
    <mergeCell ref="E432:F432"/>
    <mergeCell ref="C434:D434"/>
    <mergeCell ref="E434:F434"/>
    <mergeCell ref="H434:I434"/>
    <mergeCell ref="C486:K488"/>
    <mergeCell ref="C456:D456"/>
    <mergeCell ref="C457:D457"/>
    <mergeCell ref="J434:K434"/>
    <mergeCell ref="J427:K427"/>
    <mergeCell ref="C430:D430"/>
    <mergeCell ref="E430:F430"/>
    <mergeCell ref="C428:D428"/>
    <mergeCell ref="E428:F428"/>
    <mergeCell ref="C429:D429"/>
    <mergeCell ref="E429:F429"/>
    <mergeCell ref="H428:I428"/>
    <mergeCell ref="J428:K428"/>
    <mergeCell ref="H429:I429"/>
    <mergeCell ref="C418:D418"/>
    <mergeCell ref="E418:F418"/>
    <mergeCell ref="E381:F381"/>
    <mergeCell ref="B168:L168"/>
    <mergeCell ref="E173:F173"/>
    <mergeCell ref="E174:F174"/>
    <mergeCell ref="C349:D349"/>
    <mergeCell ref="E349:F349"/>
    <mergeCell ref="C357:F357"/>
    <mergeCell ref="H357:K357"/>
    <mergeCell ref="C358:F358"/>
    <mergeCell ref="H358:K358"/>
    <mergeCell ref="C360:D360"/>
    <mergeCell ref="E360:F360"/>
    <mergeCell ref="H360:I360"/>
    <mergeCell ref="J360:K360"/>
    <mergeCell ref="C352:K352"/>
    <mergeCell ref="C353:K353"/>
    <mergeCell ref="H341:I341"/>
    <mergeCell ref="J341:K341"/>
    <mergeCell ref="C342:D342"/>
    <mergeCell ref="E342:F342"/>
    <mergeCell ref="H342:I342"/>
    <mergeCell ref="J342:K342"/>
    <mergeCell ref="H343:I343"/>
    <mergeCell ref="J343:K343"/>
    <mergeCell ref="C491:K494"/>
    <mergeCell ref="C496:K497"/>
    <mergeCell ref="C499:K499"/>
    <mergeCell ref="C500:K503"/>
    <mergeCell ref="C458:D458"/>
    <mergeCell ref="C459:D459"/>
    <mergeCell ref="C460:D460"/>
    <mergeCell ref="C476:K478"/>
    <mergeCell ref="C480:K480"/>
    <mergeCell ref="C481:K484"/>
    <mergeCell ref="E26:F26"/>
    <mergeCell ref="C28:D28"/>
    <mergeCell ref="E28:F28"/>
    <mergeCell ref="H28:I28"/>
    <mergeCell ref="C526:K529"/>
    <mergeCell ref="C522:K523"/>
    <mergeCell ref="C105:D105"/>
    <mergeCell ref="C154:D154"/>
    <mergeCell ref="C226:D226"/>
    <mergeCell ref="C334:D334"/>
    <mergeCell ref="C377:F377"/>
    <mergeCell ref="B463:L463"/>
    <mergeCell ref="B464:L464"/>
    <mergeCell ref="C466:K468"/>
    <mergeCell ref="C471:K474"/>
    <mergeCell ref="C470:K470"/>
    <mergeCell ref="C440:K442"/>
    <mergeCell ref="C451:D451"/>
    <mergeCell ref="C452:D452"/>
    <mergeCell ref="C453:D453"/>
    <mergeCell ref="C454:D454"/>
    <mergeCell ref="C455:D455"/>
    <mergeCell ref="C490:K490"/>
    <mergeCell ref="C143:G143"/>
    <mergeCell ref="B53:L53"/>
    <mergeCell ref="B54:L54"/>
    <mergeCell ref="C56:D56"/>
    <mergeCell ref="C156:D156"/>
    <mergeCell ref="E156:F156"/>
    <mergeCell ref="C128:D128"/>
    <mergeCell ref="C129:D129"/>
    <mergeCell ref="B151:L151"/>
    <mergeCell ref="B152:L152"/>
    <mergeCell ref="E129:F129"/>
    <mergeCell ref="H129:I129"/>
    <mergeCell ref="J129:K129"/>
    <mergeCell ref="H128:I128"/>
    <mergeCell ref="J128:K128"/>
    <mergeCell ref="E128:F128"/>
    <mergeCell ref="E126:F126"/>
    <mergeCell ref="H126:I126"/>
    <mergeCell ref="J126:K126"/>
    <mergeCell ref="C114:D114"/>
    <mergeCell ref="E114:F114"/>
    <mergeCell ref="C115:D115"/>
    <mergeCell ref="E115:F115"/>
    <mergeCell ref="H115:I115"/>
    <mergeCell ref="J115:K115"/>
  </mergeCells>
  <conditionalFormatting sqref="C58:K100">
    <cfRule type="expression" dxfId="183" priority="16">
      <formula>$E$56="No"</formula>
    </cfRule>
  </conditionalFormatting>
  <conditionalFormatting sqref="C107:K149">
    <cfRule type="expression" dxfId="182" priority="15">
      <formula>$E$105="No"</formula>
    </cfRule>
  </conditionalFormatting>
  <conditionalFormatting sqref="C156:K164">
    <cfRule type="expression" dxfId="181" priority="14">
      <formula>$E$154="No"</formula>
    </cfRule>
  </conditionalFormatting>
  <conditionalFormatting sqref="C228:K251">
    <cfRule type="expression" dxfId="180" priority="13">
      <formula>$E$226="No"</formula>
    </cfRule>
  </conditionalFormatting>
  <conditionalFormatting sqref="C295:K309">
    <cfRule type="expression" dxfId="179" priority="10">
      <formula>$E$293="No"</formula>
    </cfRule>
  </conditionalFormatting>
  <conditionalFormatting sqref="C336:K350">
    <cfRule type="expression" dxfId="178" priority="12">
      <formula>$E$334="No"</formula>
    </cfRule>
  </conditionalFormatting>
  <conditionalFormatting sqref="C357:K371">
    <cfRule type="expression" dxfId="177" priority="11">
      <formula>$E$355="No"</formula>
    </cfRule>
  </conditionalFormatting>
  <conditionalFormatting sqref="E446:K460">
    <cfRule type="expression" dxfId="176" priority="2">
      <formula>OR(E$445="N/A",E$445="")</formula>
    </cfRule>
  </conditionalFormatting>
  <conditionalFormatting sqref="G57 G106">
    <cfRule type="expression" dxfId="175" priority="151">
      <formula>#REF!="No"</formula>
    </cfRule>
  </conditionalFormatting>
  <conditionalFormatting sqref="G155">
    <cfRule type="expression" dxfId="174" priority="29">
      <formula>#REF!="No"</formula>
    </cfRule>
  </conditionalFormatting>
  <conditionalFormatting sqref="G376:G377">
    <cfRule type="expression" dxfId="173" priority="17">
      <formula>#REF!="No"</formula>
    </cfRule>
  </conditionalFormatting>
  <conditionalFormatting sqref="G392:G393">
    <cfRule type="expression" dxfId="172" priority="20">
      <formula>#REF!="No"</formula>
    </cfRule>
  </conditionalFormatting>
  <conditionalFormatting sqref="G408:G409">
    <cfRule type="expression" dxfId="171" priority="19">
      <formula>#REF!="No"</formula>
    </cfRule>
  </conditionalFormatting>
  <conditionalFormatting sqref="G424:G425">
    <cfRule type="expression" dxfId="170" priority="18">
      <formula>#REF!="No"</formula>
    </cfRule>
  </conditionalFormatting>
  <conditionalFormatting sqref="N44">
    <cfRule type="expression" dxfId="169" priority="5">
      <formula>CELL("protect",#REF!)=0</formula>
    </cfRule>
  </conditionalFormatting>
  <conditionalFormatting sqref="N93">
    <cfRule type="expression" dxfId="168" priority="4">
      <formula>CELL("protect",#REF!)=0</formula>
    </cfRule>
  </conditionalFormatting>
  <conditionalFormatting sqref="N142">
    <cfRule type="expression" dxfId="167" priority="3">
      <formula>CELL("protect",#REF!)=0</formula>
    </cfRule>
  </conditionalFormatting>
  <dataValidations count="5">
    <dataValidation type="list" allowBlank="1" showInputMessage="1" showErrorMessage="1" sqref="E266:F266" xr:uid="{7C7F10B1-C730-4B7C-9515-0883CB8826CA}">
      <formula1>"Limited Partnership (LP), Limited Liability Corporation (LLC), Other"</formula1>
    </dataValidation>
    <dataValidation type="list" allowBlank="1" showInputMessage="1" showErrorMessage="1" sqref="E284:F284 E306:F306" xr:uid="{64116428-5A4E-49C8-A6E6-815A1DDF9AEC}">
      <formula1>"Limited Partner, Investor Member, Other"</formula1>
    </dataValidation>
    <dataValidation type="list" allowBlank="1" showInputMessage="1" showErrorMessage="1" sqref="E355 G392 G424 E293 E105 E56 E154 E226 E334 G408 G376 H35 H38:H39 H45:H46 H84 H87:H88 H94:H95 H133 H136:H137 H143:H144" xr:uid="{A0D28B2D-6D4C-43E5-8E27-8595D5466F4D}">
      <formula1>"Yes, No"</formula1>
    </dataValidation>
    <dataValidation type="list" allowBlank="1" showInputMessage="1" showErrorMessage="1" sqref="E17:F17 E66:F66 E161:F161 E178:F178 E236:F236 E264:F264 E281:F281 E303:F303 E323:F323 E344:F344 E365:F365 E384:F384 E400:F400 E416:F416 E432:F432 E115:F115 E206:F206" xr:uid="{4476726C-8313-41E2-9F57-B5849EE26B09}">
      <formula1>"For Profit, 501(c)(3) Non-Profit, 501(c)(4) Non-Profit, Other Non-Profit, Government "</formula1>
    </dataValidation>
    <dataValidation type="list" allowBlank="1" showInputMessage="1" showErrorMessage="1" sqref="E325:F325 E346:F346 E367:F367" xr:uid="{B5E530C5-5E36-4EC9-B266-816483A04A1A}">
      <formula1>"General Partner, Managing Member, Other"</formula1>
    </dataValidation>
  </dataValidations>
  <pageMargins left="0.7" right="0.7" top="0.75" bottom="0.75" header="0.3" footer="0.3"/>
  <pageSetup scale="61" fitToHeight="0" orientation="portrait" r:id="rId1"/>
  <headerFooter>
    <oddFooter>&amp;L&amp;"-,Bold"&amp;9Development and Operations Team Tab&amp;"-,Regular"
Affordable Housing Funding Application&amp;C&amp;9Ohio Housing Finance Agency&amp;R&amp;9Page &amp;P of &amp;N</oddFooter>
  </headerFooter>
  <rowBreaks count="6" manualBreakCount="6">
    <brk id="101" min="1" max="11" man="1"/>
    <brk id="194" min="1" max="11" man="1"/>
    <brk id="289" min="1" max="11" man="1"/>
    <brk id="351" min="1" max="11" man="1"/>
    <brk id="404" min="1" max="11" man="1"/>
    <brk id="462"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D73953B-4F0A-4946-BBFD-1D6B1347D7B3}">
          <x14:formula1>
            <xm:f>Data!$EE$11:$EE$27</xm:f>
          </x14:formula1>
          <xm:sqref>G425:I425 G409:I409 G393:I393 G377:I377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A1:V172"/>
  <sheetViews>
    <sheetView showGridLines="0" zoomScale="85" zoomScaleNormal="85" zoomScaleSheetLayoutView="85" zoomScalePageLayoutView="40" workbookViewId="0">
      <selection activeCell="E21" sqref="E21:F21"/>
    </sheetView>
  </sheetViews>
  <sheetFormatPr defaultColWidth="0" defaultRowHeight="14.25" zeroHeight="1" x14ac:dyDescent="0.2"/>
  <cols>
    <col min="1" max="1" width="2.625" style="1" customWidth="1"/>
    <col min="2" max="2" width="0.625" style="1" customWidth="1"/>
    <col min="3" max="4" width="13.625" style="1" customWidth="1"/>
    <col min="5" max="11" width="14.625" style="1" customWidth="1"/>
    <col min="12" max="12" width="0.625" style="1" customWidth="1"/>
    <col min="13" max="13" width="2.625" style="1" customWidth="1"/>
    <col min="14" max="17" width="14.625" style="1" customWidth="1"/>
    <col min="18" max="19" width="14.625" style="1" hidden="1" customWidth="1"/>
    <col min="20" max="21" width="8.875" style="1" hidden="1" customWidth="1"/>
    <col min="22" max="22" width="10.125" style="1" hidden="1" customWidth="1"/>
    <col min="23" max="16384" width="8.875" style="1" hidden="1"/>
  </cols>
  <sheetData>
    <row r="1" spans="2:12" ht="55.5" customHeight="1" x14ac:dyDescent="0.2"/>
    <row r="2" spans="2:12" s="3" customFormat="1" ht="24.95" customHeight="1" x14ac:dyDescent="0.2">
      <c r="B2" s="1211" t="s">
        <v>639</v>
      </c>
      <c r="C2" s="1212"/>
      <c r="D2" s="1212"/>
      <c r="E2" s="1212"/>
      <c r="F2" s="1212"/>
      <c r="G2" s="27"/>
      <c r="H2" s="1217" t="str">
        <f>CONCATENATE(IF(Instructions!$K$2="","",Instructions!$K$2)," ",IF(Details!$E$11="","",Details!$E$11))</f>
        <v>2026 9% LIHTC AHFA Proposal Application</v>
      </c>
      <c r="I2" s="1217"/>
      <c r="J2" s="1217"/>
      <c r="K2" s="1217"/>
      <c r="L2" s="1218"/>
    </row>
    <row r="3" spans="2:12" ht="20.25" customHeight="1" x14ac:dyDescent="0.2">
      <c r="B3" s="1166" t="s">
        <v>437</v>
      </c>
      <c r="C3" s="1167"/>
      <c r="D3" s="1167"/>
      <c r="E3" s="1167"/>
      <c r="F3" s="1167"/>
      <c r="G3" s="93"/>
      <c r="H3" s="1219" t="str">
        <f>IF(Details!$E$12="","",CONCATENATE("Project Name: ",Details!$E$12))</f>
        <v/>
      </c>
      <c r="I3" s="1219"/>
      <c r="J3" s="1219"/>
      <c r="K3" s="1219"/>
      <c r="L3" s="1220"/>
    </row>
    <row r="4" spans="2:12" ht="5.25" customHeight="1" x14ac:dyDescent="0.2">
      <c r="C4" s="88"/>
    </row>
    <row r="5" spans="2:12" ht="15" x14ac:dyDescent="0.2">
      <c r="C5" s="88"/>
    </row>
    <row r="6" spans="2:12" ht="15" x14ac:dyDescent="0.2">
      <c r="B6" s="1137" t="s">
        <v>296</v>
      </c>
      <c r="C6" s="1137"/>
      <c r="D6" s="1137"/>
      <c r="E6" s="1137"/>
      <c r="F6" s="1137"/>
      <c r="G6" s="1137"/>
      <c r="H6" s="1137"/>
      <c r="I6" s="1137"/>
      <c r="J6" s="1137"/>
      <c r="K6" s="1137"/>
      <c r="L6" s="1137"/>
    </row>
    <row r="7" spans="2:12" ht="3" customHeight="1" x14ac:dyDescent="0.2">
      <c r="B7" s="1133"/>
      <c r="C7" s="1133"/>
      <c r="D7" s="1133"/>
      <c r="E7" s="1133"/>
      <c r="F7" s="1133"/>
      <c r="G7" s="1133"/>
      <c r="H7" s="1133"/>
      <c r="I7" s="1133"/>
      <c r="J7" s="1133"/>
      <c r="K7" s="1133"/>
      <c r="L7" s="1133"/>
    </row>
    <row r="8" spans="2:12" x14ac:dyDescent="0.2"/>
    <row r="9" spans="2:12" ht="14.25" customHeight="1" x14ac:dyDescent="0.2">
      <c r="C9" s="1175" t="s">
        <v>447</v>
      </c>
      <c r="D9" s="1176"/>
      <c r="E9" s="1213" t="s">
        <v>2524</v>
      </c>
      <c r="F9" s="1214"/>
      <c r="G9" s="114"/>
      <c r="H9" s="1175" t="s">
        <v>650</v>
      </c>
      <c r="I9" s="1176"/>
      <c r="J9" s="1197"/>
      <c r="K9" s="1198"/>
    </row>
    <row r="10" spans="2:12" ht="14.25" customHeight="1" x14ac:dyDescent="0.2">
      <c r="C10" s="1175" t="s">
        <v>264</v>
      </c>
      <c r="D10" s="1176"/>
      <c r="E10" s="1215">
        <v>0.09</v>
      </c>
      <c r="F10" s="1216"/>
      <c r="G10" s="114"/>
      <c r="H10" s="1175" t="s">
        <v>651</v>
      </c>
      <c r="I10" s="1176"/>
      <c r="J10" s="1197"/>
      <c r="K10" s="1198"/>
    </row>
    <row r="11" spans="2:12" ht="14.25" customHeight="1" x14ac:dyDescent="0.2">
      <c r="C11" s="1175" t="s">
        <v>722</v>
      </c>
      <c r="D11" s="1176"/>
      <c r="E11" s="1197" t="s">
        <v>2571</v>
      </c>
      <c r="F11" s="1198"/>
      <c r="G11" s="114"/>
      <c r="H11" s="1175" t="s">
        <v>2135</v>
      </c>
      <c r="I11" s="1176"/>
      <c r="J11" s="1197"/>
      <c r="K11" s="1198"/>
    </row>
    <row r="12" spans="2:12" ht="14.25" customHeight="1" x14ac:dyDescent="0.2">
      <c r="C12" s="1175" t="s">
        <v>298</v>
      </c>
      <c r="D12" s="1176"/>
      <c r="E12" s="1197"/>
      <c r="F12" s="1198"/>
      <c r="G12" s="114"/>
      <c r="H12" s="83" t="s">
        <v>674</v>
      </c>
      <c r="I12" s="158"/>
      <c r="J12" s="1224"/>
      <c r="K12" s="1225"/>
    </row>
    <row r="13" spans="2:12" ht="14.25" customHeight="1" x14ac:dyDescent="0.2">
      <c r="C13" s="1207" t="s">
        <v>665</v>
      </c>
      <c r="D13" s="1174"/>
      <c r="E13" s="1197"/>
      <c r="F13" s="1198"/>
      <c r="G13" s="114"/>
      <c r="H13" s="1175" t="s">
        <v>247</v>
      </c>
      <c r="I13" s="1176"/>
      <c r="J13" s="1197"/>
      <c r="K13" s="1198"/>
    </row>
    <row r="14" spans="2:12" ht="14.25" customHeight="1" x14ac:dyDescent="0.2">
      <c r="C14" s="1200" t="s">
        <v>299</v>
      </c>
      <c r="D14" s="1201"/>
      <c r="E14" s="1197"/>
      <c r="F14" s="1198"/>
      <c r="G14" s="114"/>
      <c r="H14" s="1175" t="s">
        <v>676</v>
      </c>
      <c r="I14" s="1176"/>
      <c r="J14" s="1209"/>
      <c r="K14" s="1210"/>
    </row>
    <row r="15" spans="2:12" ht="14.25" customHeight="1" x14ac:dyDescent="0.2">
      <c r="C15" s="1200" t="s">
        <v>446</v>
      </c>
      <c r="D15" s="1201"/>
      <c r="E15" s="1197"/>
      <c r="F15" s="1198"/>
      <c r="G15" s="114"/>
      <c r="H15" s="1175" t="s">
        <v>1964</v>
      </c>
      <c r="I15" s="1176"/>
      <c r="J15" s="1197"/>
      <c r="K15" s="1198"/>
    </row>
    <row r="16" spans="2:12" ht="14.25" customHeight="1" x14ac:dyDescent="0.2">
      <c r="C16" s="1173" t="s">
        <v>2986</v>
      </c>
      <c r="D16" s="1174"/>
      <c r="E16" s="1171"/>
      <c r="F16" s="1172"/>
      <c r="G16" s="114"/>
      <c r="H16" s="1175"/>
      <c r="I16" s="1175"/>
      <c r="J16" s="1199"/>
      <c r="K16" s="1199"/>
    </row>
    <row r="17" spans="3:13" ht="14.25" customHeight="1" x14ac:dyDescent="0.2">
      <c r="C17" s="1173" t="s">
        <v>2984</v>
      </c>
      <c r="D17" s="1174"/>
      <c r="E17" s="1171"/>
      <c r="F17" s="1172"/>
      <c r="G17" s="114"/>
      <c r="H17" s="1175" t="s">
        <v>3019</v>
      </c>
      <c r="I17" s="1176"/>
      <c r="J17" s="78" t="str">
        <f>IF($E$13="","Input Census Tract",VLOOKUP($E$13,Data!$B$11:$F$3178,5,FALSE))</f>
        <v>Input Census Tract</v>
      </c>
      <c r="K17" s="25"/>
    </row>
    <row r="18" spans="3:13" ht="14.25" customHeight="1" x14ac:dyDescent="0.2">
      <c r="C18" s="1222" t="s">
        <v>300</v>
      </c>
      <c r="D18" s="1223"/>
      <c r="E18" s="1202" t="str">
        <f>IFERROR(VLOOKUP($E$13,Data!$B$11:$F$3178,3,FALSE),"Input Census Tract")</f>
        <v>Input Census Tract</v>
      </c>
      <c r="F18" s="1203"/>
      <c r="G18" s="114"/>
      <c r="H18" s="1149" t="s">
        <v>3020</v>
      </c>
      <c r="I18" s="1204"/>
      <c r="J18" s="78" t="str" cm="1">
        <f t="array" ref="J18">IF($E$17="","Input Zip Code Tabulation Area",IFERROR(_xlfn.XLOOKUP(1,($E$17=Data!$AJ$11:$AJ$1866)*(Details!$E$18=Data!$AM$11:$AM$1866),Data!$AP$11:$AP$1866),"No"))</f>
        <v>Input Zip Code Tabulation Area</v>
      </c>
      <c r="K18" s="25"/>
    </row>
    <row r="19" spans="3:13" ht="14.25" customHeight="1" x14ac:dyDescent="0.2">
      <c r="C19" s="1175" t="s">
        <v>1961</v>
      </c>
      <c r="D19" s="1201"/>
      <c r="E19" s="1202" t="str">
        <f>IFERROR(VLOOKUP($E$13,Data!$B$11:$F$3178,4,FALSE),"Input Census Tract")</f>
        <v>Input Census Tract</v>
      </c>
      <c r="F19" s="1203"/>
      <c r="G19" s="160"/>
      <c r="H19" s="83"/>
      <c r="I19" s="83"/>
      <c r="J19" s="86"/>
    </row>
    <row r="20" spans="3:13" ht="14.25" customHeight="1" x14ac:dyDescent="0.2">
      <c r="C20" s="1200" t="s">
        <v>2779</v>
      </c>
      <c r="D20" s="1201"/>
      <c r="E20" s="1202" t="str">
        <f>IFERROR(VLOOKUP($E$18,Data!$CQ$11:$CR$98,2,FALSE),"Input Census Tract")</f>
        <v>Input Census Tract</v>
      </c>
      <c r="F20" s="1203"/>
      <c r="G20" s="160"/>
      <c r="H20" s="1226" t="s">
        <v>2993</v>
      </c>
      <c r="I20" s="1226"/>
      <c r="J20" s="875" t="s">
        <v>2991</v>
      </c>
      <c r="K20" s="875" t="s">
        <v>2992</v>
      </c>
      <c r="L20" s="980"/>
    </row>
    <row r="21" spans="3:13" ht="14.25" customHeight="1" x14ac:dyDescent="0.2">
      <c r="C21" s="1200" t="s">
        <v>2483</v>
      </c>
      <c r="D21" s="1201"/>
      <c r="E21" s="1197"/>
      <c r="F21" s="1198"/>
      <c r="G21" s="160"/>
      <c r="H21" s="1230" t="s">
        <v>2987</v>
      </c>
      <c r="I21" s="1230"/>
      <c r="J21" s="877" t="str">
        <f>IFERROR(VLOOKUP($E$13,Data!$B$11:$J$3178,6,FALSE),"Input Tract")</f>
        <v>Input Tract</v>
      </c>
      <c r="K21" s="979" t="str">
        <f>IFERROR(_xlfn.PERCENTRANK.EXC(Data!$G$11:$G$3178,Details!J21),"Input Tract")</f>
        <v>Input Tract</v>
      </c>
      <c r="L21" s="978"/>
    </row>
    <row r="22" spans="3:13" ht="14.25" customHeight="1" x14ac:dyDescent="0.2">
      <c r="C22" s="1200" t="s">
        <v>3418</v>
      </c>
      <c r="D22" s="1201"/>
      <c r="E22" s="1202" t="str">
        <f>IFERROR(IF($E$13="","Input Census Tract",VLOOKUP(Details!$E$18,Data!$CQ$11:$CS$98,3,FALSE)),"")</f>
        <v>Input Census Tract</v>
      </c>
      <c r="F22" s="1203"/>
      <c r="G22" s="160"/>
      <c r="H22" s="858" t="s">
        <v>2988</v>
      </c>
      <c r="I22" s="858"/>
      <c r="J22" s="876" t="str">
        <f>IFERROR(VLOOKUP($E$13,Data!$B$11:$J$3178,7,FALSE),"Input Tract")</f>
        <v>Input Tract</v>
      </c>
      <c r="K22" s="979" t="str">
        <f>IFERROR(_xlfn.PERCENTRANK.EXC(Data!$H$11:$H$3178,Details!J22),"Input Tract")</f>
        <v>Input Tract</v>
      </c>
      <c r="L22" s="978"/>
    </row>
    <row r="23" spans="3:13" ht="14.25" customHeight="1" x14ac:dyDescent="0.2">
      <c r="C23" s="1207" t="s">
        <v>647</v>
      </c>
      <c r="D23" s="1174"/>
      <c r="E23" s="1205"/>
      <c r="F23" s="1206"/>
      <c r="H23" s="1" t="s">
        <v>2989</v>
      </c>
      <c r="J23" s="876" t="str">
        <f>IFERROR(VLOOKUP($E$13,Data!$B$11:$J$3178,8,FALSE),"Input Tract")</f>
        <v>Input Tract</v>
      </c>
      <c r="K23" s="979" t="str">
        <f>IFERROR(_xlfn.PERCENTRANK.EXC(Data!$I$11:$I$3178,Details!J23),"Input Tract")</f>
        <v>Input Tract</v>
      </c>
      <c r="L23" s="978"/>
    </row>
    <row r="24" spans="3:13" ht="14.25" customHeight="1" x14ac:dyDescent="0.2">
      <c r="C24" s="1207" t="s">
        <v>648</v>
      </c>
      <c r="D24" s="1174"/>
      <c r="E24" s="1205"/>
      <c r="F24" s="1206"/>
      <c r="H24" s="1" t="s">
        <v>2990</v>
      </c>
      <c r="J24" s="876" t="str">
        <f>IFERROR(VLOOKUP($E$13,Data!$B$11:$J$3178,9,FALSE),"Input Tract")</f>
        <v>Input Tract</v>
      </c>
      <c r="K24" s="979" t="str">
        <f>IFERROR(_xlfn.PERCENTRANK.EXC(Data!$J$11:$J$3178,Details!J24),"Input Tract")</f>
        <v>Input Tract</v>
      </c>
      <c r="L24" s="978"/>
    </row>
    <row r="25" spans="3:13" ht="14.25" customHeight="1" x14ac:dyDescent="0.2">
      <c r="C25" s="1207" t="s">
        <v>1962</v>
      </c>
      <c r="D25" s="1174"/>
      <c r="E25" s="1209"/>
      <c r="F25" s="1210"/>
      <c r="G25" s="82"/>
      <c r="J25" s="977"/>
      <c r="K25" s="1177"/>
      <c r="L25" s="1177"/>
    </row>
    <row r="26" spans="3:13" ht="14.25" customHeight="1" x14ac:dyDescent="0.2">
      <c r="C26" s="1207" t="s">
        <v>1963</v>
      </c>
      <c r="D26" s="1174"/>
      <c r="E26" s="1209"/>
      <c r="F26" s="1210"/>
      <c r="G26" s="82"/>
      <c r="H26" s="1208"/>
      <c r="I26" s="1208"/>
      <c r="J26" s="1187"/>
      <c r="K26" s="1187"/>
      <c r="L26" s="1187"/>
    </row>
    <row r="27" spans="3:13" x14ac:dyDescent="0.2">
      <c r="C27" s="1207" t="s">
        <v>649</v>
      </c>
      <c r="D27" s="1174"/>
      <c r="E27" s="1209"/>
      <c r="F27" s="1210"/>
      <c r="H27" s="1208"/>
      <c r="I27" s="1208"/>
      <c r="J27" s="1187"/>
      <c r="K27" s="1187"/>
      <c r="L27" s="1187"/>
    </row>
    <row r="28" spans="3:13" ht="14.25" customHeight="1" x14ac:dyDescent="0.2">
      <c r="C28" s="83"/>
      <c r="D28" s="83"/>
      <c r="E28" s="123"/>
      <c r="F28" s="123"/>
      <c r="G28" s="82"/>
      <c r="J28" s="5"/>
      <c r="K28" s="82"/>
    </row>
    <row r="29" spans="3:13" ht="14.25" customHeight="1" x14ac:dyDescent="0.2">
      <c r="C29" s="83"/>
      <c r="D29" s="83"/>
      <c r="E29" s="123"/>
      <c r="F29" s="123"/>
      <c r="G29" s="82"/>
      <c r="H29" s="83"/>
      <c r="I29" s="159"/>
      <c r="J29" s="123"/>
      <c r="K29" s="123"/>
    </row>
    <row r="30" spans="3:13" ht="14.25" customHeight="1" x14ac:dyDescent="0.2">
      <c r="C30" s="1137" t="s">
        <v>677</v>
      </c>
      <c r="D30" s="1137"/>
      <c r="E30" s="1137"/>
      <c r="F30" s="1137"/>
      <c r="G30" s="1137"/>
      <c r="H30" s="1137"/>
      <c r="I30" s="1137"/>
      <c r="J30" s="1137"/>
      <c r="K30" s="1137"/>
      <c r="L30" s="1137"/>
      <c r="M30" s="1137"/>
    </row>
    <row r="31" spans="3:13" ht="3" customHeight="1" x14ac:dyDescent="0.2">
      <c r="C31" s="1133"/>
      <c r="D31" s="1133"/>
      <c r="E31" s="1133"/>
      <c r="F31" s="1133"/>
      <c r="G31" s="1133"/>
      <c r="H31" s="1133"/>
      <c r="I31" s="1133"/>
      <c r="J31" s="1133"/>
      <c r="K31" s="1133"/>
      <c r="L31" s="1133"/>
      <c r="M31" s="1133"/>
    </row>
    <row r="32" spans="3:13" ht="14.25" customHeight="1" x14ac:dyDescent="0.25">
      <c r="C32" s="161"/>
      <c r="G32" s="82"/>
      <c r="J32" s="5"/>
      <c r="K32" s="82"/>
    </row>
    <row r="33" spans="3:12" ht="14.25" customHeight="1" x14ac:dyDescent="0.2">
      <c r="C33" s="1175" t="s">
        <v>1965</v>
      </c>
      <c r="D33" s="1175"/>
      <c r="E33" s="1175"/>
      <c r="F33" s="1176"/>
      <c r="G33" s="355"/>
      <c r="H33" s="82"/>
      <c r="K33" s="5"/>
      <c r="L33" s="82"/>
    </row>
    <row r="34" spans="3:12" ht="15" customHeight="1" x14ac:dyDescent="0.2">
      <c r="C34" s="83"/>
      <c r="D34" s="83"/>
      <c r="E34" s="83"/>
      <c r="F34" s="83"/>
      <c r="G34" s="82"/>
      <c r="J34" s="5"/>
      <c r="K34" s="82"/>
    </row>
    <row r="35" spans="3:12" ht="14.25" customHeight="1" x14ac:dyDescent="0.2">
      <c r="C35" s="1149" t="s">
        <v>678</v>
      </c>
      <c r="D35" s="1149"/>
      <c r="E35" s="1149"/>
      <c r="F35" s="1149"/>
      <c r="G35" s="1149"/>
      <c r="J35" s="5"/>
      <c r="K35" s="82"/>
    </row>
    <row r="36" spans="3:12" ht="5.25" customHeight="1" x14ac:dyDescent="0.2">
      <c r="C36" s="83"/>
      <c r="D36" s="83"/>
      <c r="E36" s="83"/>
      <c r="F36" s="83"/>
      <c r="G36" s="82"/>
      <c r="J36" s="5"/>
      <c r="K36" s="82"/>
    </row>
    <row r="37" spans="3:12" s="76" customFormat="1" ht="30" customHeight="1" x14ac:dyDescent="0.2">
      <c r="C37" s="1004" t="s">
        <v>680</v>
      </c>
      <c r="D37" s="1190" t="s">
        <v>679</v>
      </c>
      <c r="E37" s="1191"/>
      <c r="F37" s="1031" t="s">
        <v>264</v>
      </c>
      <c r="G37" s="162"/>
      <c r="K37" s="162"/>
    </row>
    <row r="38" spans="3:12" ht="14.25" customHeight="1" x14ac:dyDescent="0.2">
      <c r="C38" s="355"/>
      <c r="D38" s="1188"/>
      <c r="E38" s="1189"/>
      <c r="F38" s="356"/>
      <c r="G38" s="82"/>
      <c r="J38" s="5"/>
      <c r="K38" s="82"/>
    </row>
    <row r="39" spans="3:12" ht="14.25" customHeight="1" x14ac:dyDescent="0.2">
      <c r="C39" s="355"/>
      <c r="D39" s="1188"/>
      <c r="E39" s="1189"/>
      <c r="F39" s="356"/>
      <c r="G39" s="82"/>
      <c r="J39" s="5"/>
      <c r="K39" s="82"/>
    </row>
    <row r="40" spans="3:12" ht="14.25" customHeight="1" x14ac:dyDescent="0.2">
      <c r="C40" s="355"/>
      <c r="D40" s="1188"/>
      <c r="E40" s="1189"/>
      <c r="F40" s="355"/>
      <c r="G40" s="82"/>
      <c r="J40" s="5"/>
      <c r="K40" s="82"/>
    </row>
    <row r="41" spans="3:12" ht="14.25" customHeight="1" x14ac:dyDescent="0.2">
      <c r="C41" s="83"/>
      <c r="D41" s="83"/>
      <c r="E41" s="83"/>
      <c r="F41" s="83"/>
      <c r="G41" s="82"/>
      <c r="J41" s="5"/>
      <c r="K41" s="82"/>
    </row>
    <row r="42" spans="3:12" ht="14.25" customHeight="1" x14ac:dyDescent="0.2">
      <c r="C42" s="1221" t="s">
        <v>683</v>
      </c>
      <c r="D42" s="1221"/>
      <c r="E42" s="1221"/>
      <c r="F42" s="1228"/>
      <c r="G42" s="355"/>
      <c r="H42" s="82"/>
      <c r="K42" s="5"/>
      <c r="L42" s="82"/>
    </row>
    <row r="43" spans="3:12" ht="15" customHeight="1" x14ac:dyDescent="0.2">
      <c r="C43" s="6"/>
      <c r="D43" s="6"/>
      <c r="E43" s="6"/>
      <c r="F43" s="6"/>
      <c r="G43" s="82"/>
      <c r="J43" s="5"/>
      <c r="K43" s="82"/>
    </row>
    <row r="44" spans="3:12" ht="15" customHeight="1" x14ac:dyDescent="0.2">
      <c r="C44" s="1149" t="s">
        <v>681</v>
      </c>
      <c r="D44" s="1149"/>
      <c r="E44" s="1149"/>
      <c r="F44" s="1149"/>
      <c r="G44" s="1149"/>
      <c r="J44" s="5"/>
      <c r="K44" s="82"/>
    </row>
    <row r="45" spans="3:12" ht="5.25" customHeight="1" x14ac:dyDescent="0.2">
      <c r="C45" s="6"/>
      <c r="D45" s="6"/>
      <c r="E45" s="6"/>
      <c r="F45" s="6"/>
      <c r="G45" s="82"/>
      <c r="J45" s="5"/>
      <c r="K45" s="82"/>
    </row>
    <row r="46" spans="3:12" ht="30" customHeight="1" x14ac:dyDescent="0.2">
      <c r="C46" s="1004" t="s">
        <v>682</v>
      </c>
      <c r="D46" s="1190" t="s">
        <v>679</v>
      </c>
      <c r="E46" s="1191"/>
      <c r="F46" s="1031" t="s">
        <v>264</v>
      </c>
      <c r="G46" s="82"/>
      <c r="J46" s="5"/>
      <c r="K46" s="82"/>
    </row>
    <row r="47" spans="3:12" ht="14.25" customHeight="1" x14ac:dyDescent="0.2">
      <c r="C47" s="355"/>
      <c r="D47" s="1188"/>
      <c r="E47" s="1189"/>
      <c r="F47" s="356"/>
      <c r="G47" s="82"/>
      <c r="J47" s="5"/>
      <c r="K47" s="82"/>
    </row>
    <row r="48" spans="3:12" ht="14.25" customHeight="1" x14ac:dyDescent="0.2">
      <c r="C48" s="355"/>
      <c r="D48" s="1188"/>
      <c r="E48" s="1189"/>
      <c r="F48" s="355"/>
      <c r="G48" s="82"/>
      <c r="J48" s="5"/>
      <c r="K48" s="82"/>
    </row>
    <row r="49" spans="3:13" ht="14.25" customHeight="1" x14ac:dyDescent="0.2">
      <c r="C49" s="355"/>
      <c r="D49" s="1188"/>
      <c r="E49" s="1189"/>
      <c r="F49" s="355"/>
      <c r="G49" s="82"/>
      <c r="J49" s="5"/>
      <c r="K49" s="82"/>
    </row>
    <row r="50" spans="3:13" ht="14.25" customHeight="1" x14ac:dyDescent="0.2">
      <c r="C50" s="6"/>
      <c r="D50" s="6"/>
      <c r="E50" s="6"/>
      <c r="F50" s="6"/>
      <c r="G50" s="82"/>
      <c r="J50" s="5"/>
      <c r="K50" s="82"/>
    </row>
    <row r="51" spans="3:13" ht="14.25" customHeight="1" x14ac:dyDescent="0.2">
      <c r="C51" s="1221" t="s">
        <v>684</v>
      </c>
      <c r="D51" s="1221"/>
      <c r="E51" s="1221"/>
      <c r="F51" s="1228"/>
      <c r="G51" s="355"/>
      <c r="H51" s="82"/>
      <c r="K51" s="5"/>
      <c r="L51" s="82"/>
    </row>
    <row r="52" spans="3:13" ht="14.25" customHeight="1" x14ac:dyDescent="0.2">
      <c r="C52" s="1229"/>
      <c r="D52" s="1229"/>
      <c r="E52" s="1229"/>
      <c r="F52" s="1229"/>
      <c r="G52" s="25"/>
      <c r="H52" s="82"/>
      <c r="K52" s="5"/>
      <c r="L52" s="82"/>
    </row>
    <row r="53" spans="3:13" ht="14.25" customHeight="1" x14ac:dyDescent="0.2">
      <c r="C53" s="1149" t="s">
        <v>681</v>
      </c>
      <c r="D53" s="1149"/>
      <c r="E53" s="1149"/>
      <c r="F53" s="1149"/>
      <c r="G53" s="1149"/>
      <c r="H53" s="82"/>
      <c r="K53" s="5"/>
      <c r="L53" s="82"/>
    </row>
    <row r="54" spans="3:13" ht="5.25" customHeight="1" x14ac:dyDescent="0.2">
      <c r="C54" s="6"/>
      <c r="D54" s="6"/>
      <c r="E54" s="6"/>
      <c r="F54" s="6"/>
      <c r="G54" s="82"/>
      <c r="H54" s="82"/>
      <c r="K54" s="5"/>
      <c r="L54" s="82"/>
    </row>
    <row r="55" spans="3:13" ht="30" customHeight="1" x14ac:dyDescent="0.2">
      <c r="C55" s="1004" t="s">
        <v>682</v>
      </c>
      <c r="D55" s="1190" t="s">
        <v>679</v>
      </c>
      <c r="E55" s="1191"/>
      <c r="F55" s="1031" t="s">
        <v>264</v>
      </c>
      <c r="G55" s="1031" t="s">
        <v>2011</v>
      </c>
      <c r="H55" s="1004" t="s">
        <v>2994</v>
      </c>
      <c r="I55" s="82"/>
      <c r="L55" s="5"/>
      <c r="M55" s="82"/>
    </row>
    <row r="56" spans="3:13" ht="14.25" customHeight="1" x14ac:dyDescent="0.2">
      <c r="C56" s="355"/>
      <c r="D56" s="1188"/>
      <c r="E56" s="1189"/>
      <c r="F56" s="355"/>
      <c r="G56" s="355"/>
      <c r="H56" s="357"/>
      <c r="I56" s="82"/>
      <c r="L56" s="5"/>
      <c r="M56" s="82"/>
    </row>
    <row r="57" spans="3:13" ht="14.25" customHeight="1" x14ac:dyDescent="0.2">
      <c r="C57" s="355"/>
      <c r="D57" s="1188"/>
      <c r="E57" s="1189"/>
      <c r="F57" s="355"/>
      <c r="G57" s="355"/>
      <c r="H57" s="357"/>
      <c r="I57" s="82"/>
      <c r="L57" s="5"/>
      <c r="M57" s="82"/>
    </row>
    <row r="58" spans="3:13" ht="14.25" customHeight="1" x14ac:dyDescent="0.2">
      <c r="C58" s="355"/>
      <c r="D58" s="1188"/>
      <c r="E58" s="1189"/>
      <c r="F58" s="355"/>
      <c r="G58" s="355"/>
      <c r="H58" s="357"/>
      <c r="I58" s="82"/>
      <c r="L58" s="5"/>
      <c r="M58" s="82"/>
    </row>
    <row r="59" spans="3:13" ht="14.25" customHeight="1" x14ac:dyDescent="0.2">
      <c r="C59" s="1221"/>
      <c r="D59" s="1221"/>
      <c r="E59" s="1221"/>
      <c r="F59" s="1221"/>
      <c r="G59" s="25"/>
      <c r="H59" s="82"/>
      <c r="K59" s="5"/>
      <c r="L59" s="82"/>
    </row>
    <row r="60" spans="3:13" ht="14.25" customHeight="1" x14ac:dyDescent="0.2">
      <c r="C60" s="6"/>
      <c r="D60" s="6"/>
      <c r="E60" s="6"/>
      <c r="F60" s="6"/>
      <c r="G60" s="25"/>
      <c r="H60" s="82"/>
      <c r="K60" s="5"/>
      <c r="L60" s="82"/>
    </row>
    <row r="61" spans="3:13" ht="14.25" customHeight="1" x14ac:dyDescent="0.2">
      <c r="C61" s="1137" t="s">
        <v>2131</v>
      </c>
      <c r="D61" s="1137"/>
      <c r="E61" s="1137"/>
      <c r="F61" s="1137"/>
      <c r="G61" s="1137"/>
      <c r="H61" s="1137"/>
      <c r="I61" s="1137"/>
      <c r="J61" s="1137"/>
      <c r="K61" s="1137"/>
      <c r="L61" s="1137"/>
      <c r="M61" s="1137"/>
    </row>
    <row r="62" spans="3:13" ht="3" customHeight="1" x14ac:dyDescent="0.2">
      <c r="C62" s="1133"/>
      <c r="D62" s="1133"/>
      <c r="E62" s="1133"/>
      <c r="F62" s="1133"/>
      <c r="G62" s="1133"/>
      <c r="H62" s="1133"/>
      <c r="I62" s="1133"/>
      <c r="J62" s="1133"/>
      <c r="K62" s="1133"/>
      <c r="L62" s="1133"/>
      <c r="M62" s="1133"/>
    </row>
    <row r="63" spans="3:13" ht="14.25" customHeight="1" x14ac:dyDescent="0.2">
      <c r="C63" s="6"/>
      <c r="D63" s="6"/>
      <c r="E63" s="6"/>
      <c r="F63" s="6"/>
      <c r="G63" s="25"/>
      <c r="H63" s="82"/>
      <c r="K63" s="5"/>
      <c r="L63" s="82"/>
    </row>
    <row r="64" spans="3:13" ht="14.25" customHeight="1" x14ac:dyDescent="0.2">
      <c r="C64" s="1196" t="s">
        <v>2132</v>
      </c>
      <c r="D64" s="1196"/>
      <c r="E64" s="1196"/>
      <c r="F64" s="1196"/>
      <c r="G64" s="1196"/>
      <c r="H64" s="1196"/>
      <c r="I64" s="1196"/>
      <c r="J64" s="1196"/>
      <c r="K64" s="1196"/>
      <c r="L64" s="1196"/>
      <c r="M64" s="1196"/>
    </row>
    <row r="65" spans="3:15" ht="14.25" customHeight="1" x14ac:dyDescent="0.2">
      <c r="C65" s="6"/>
      <c r="D65" s="6"/>
      <c r="E65" s="6"/>
      <c r="F65" s="6"/>
      <c r="G65" s="25"/>
      <c r="H65" s="82"/>
      <c r="K65" s="5"/>
      <c r="L65" s="82"/>
    </row>
    <row r="66" spans="3:15" ht="45" customHeight="1" x14ac:dyDescent="0.2">
      <c r="C66" s="1190" t="s">
        <v>2133</v>
      </c>
      <c r="D66" s="1191"/>
      <c r="E66" s="1134" t="s">
        <v>2052</v>
      </c>
      <c r="F66" s="1136"/>
      <c r="G66" s="1004" t="s">
        <v>344</v>
      </c>
      <c r="H66" s="1004" t="s">
        <v>345</v>
      </c>
      <c r="I66" s="1004" t="s">
        <v>2037</v>
      </c>
      <c r="J66" s="25"/>
      <c r="K66" s="82"/>
      <c r="N66" s="5"/>
      <c r="O66" s="82"/>
    </row>
    <row r="67" spans="3:15" ht="14.25" customHeight="1" x14ac:dyDescent="0.2">
      <c r="C67" s="1194"/>
      <c r="D67" s="1195"/>
      <c r="E67" s="1194"/>
      <c r="F67" s="1195"/>
      <c r="G67" s="358"/>
      <c r="H67" s="150" t="str">
        <f>IF(C67="","",IF(Revenue!$C$101=0,0,G67/Revenue!$C$101))</f>
        <v/>
      </c>
      <c r="I67" s="355"/>
      <c r="J67" s="25"/>
      <c r="K67" s="82"/>
      <c r="N67" s="5"/>
      <c r="O67" s="82"/>
    </row>
    <row r="68" spans="3:15" ht="14.25" customHeight="1" x14ac:dyDescent="0.2">
      <c r="C68" s="1194"/>
      <c r="D68" s="1195"/>
      <c r="E68" s="1194"/>
      <c r="F68" s="1195"/>
      <c r="G68" s="358"/>
      <c r="H68" s="150" t="str">
        <f>IF(C68="","",IF(Revenue!$C$101=0,0,G68/Revenue!$C$101))</f>
        <v/>
      </c>
      <c r="I68" s="355"/>
      <c r="J68" s="25"/>
      <c r="K68" s="82"/>
      <c r="N68" s="5"/>
      <c r="O68" s="82"/>
    </row>
    <row r="69" spans="3:15" ht="14.25" customHeight="1" x14ac:dyDescent="0.2">
      <c r="C69" s="1194"/>
      <c r="D69" s="1195"/>
      <c r="E69" s="1194"/>
      <c r="F69" s="1195"/>
      <c r="G69" s="358"/>
      <c r="H69" s="150" t="str">
        <f>IF(C69="","",IF(Revenue!$C$101=0,0,G69/Revenue!$C$101))</f>
        <v/>
      </c>
      <c r="I69" s="355"/>
      <c r="J69" s="25"/>
      <c r="K69" s="82"/>
      <c r="N69" s="5"/>
      <c r="O69" s="82"/>
    </row>
    <row r="70" spans="3:15" ht="14.25" customHeight="1" x14ac:dyDescent="0.2">
      <c r="C70" s="1194"/>
      <c r="D70" s="1195"/>
      <c r="E70" s="1194"/>
      <c r="F70" s="1195"/>
      <c r="G70" s="358"/>
      <c r="H70" s="150" t="str">
        <f>IF(C70="","",IF(Revenue!$C$101=0,0,G70/Revenue!$C$101))</f>
        <v/>
      </c>
      <c r="I70" s="355"/>
      <c r="J70" s="25"/>
      <c r="K70" s="82"/>
      <c r="N70" s="5"/>
      <c r="O70" s="82"/>
    </row>
    <row r="71" spans="3:15" ht="14.25" customHeight="1" x14ac:dyDescent="0.2">
      <c r="C71" s="1194"/>
      <c r="D71" s="1195"/>
      <c r="E71" s="1194"/>
      <c r="F71" s="1195"/>
      <c r="G71" s="358"/>
      <c r="H71" s="150" t="str">
        <f>IF(C71="","",IF(Revenue!$C$101=0,0,G71/Revenue!$C$101))</f>
        <v/>
      </c>
      <c r="I71" s="355"/>
      <c r="J71" s="82"/>
      <c r="M71" s="5"/>
      <c r="N71" s="82"/>
    </row>
    <row r="72" spans="3:15" ht="14.25" customHeight="1" x14ac:dyDescent="0.25">
      <c r="C72" s="6"/>
      <c r="D72" s="6"/>
      <c r="E72" s="6"/>
      <c r="F72" s="129" t="s">
        <v>325</v>
      </c>
      <c r="G72" s="164">
        <f>SUM(G67:G71)</f>
        <v>0</v>
      </c>
      <c r="H72" s="322">
        <f>SUM(H67:H71)</f>
        <v>0</v>
      </c>
      <c r="K72" s="5"/>
      <c r="L72" s="82"/>
    </row>
    <row r="73" spans="3:15" ht="14.25" customHeight="1" x14ac:dyDescent="0.2">
      <c r="C73" s="6"/>
      <c r="D73" s="6"/>
      <c r="E73" s="6"/>
      <c r="F73" s="6"/>
      <c r="G73" s="25"/>
      <c r="H73" s="82"/>
      <c r="K73" s="5"/>
      <c r="L73" s="82"/>
    </row>
    <row r="74" spans="3:15" ht="14.25" customHeight="1" x14ac:dyDescent="0.2">
      <c r="C74" s="6"/>
      <c r="D74" s="6"/>
      <c r="E74" s="6"/>
      <c r="F74" s="6"/>
      <c r="G74" s="25"/>
      <c r="H74" s="82"/>
      <c r="K74" s="5"/>
      <c r="L74" s="82"/>
    </row>
    <row r="75" spans="3:15" ht="14.25" customHeight="1" x14ac:dyDescent="0.2">
      <c r="C75" s="1137" t="s">
        <v>2167</v>
      </c>
      <c r="D75" s="1137"/>
      <c r="E75" s="1137"/>
      <c r="F75" s="1137"/>
      <c r="G75" s="1137"/>
      <c r="H75" s="1137"/>
      <c r="I75" s="1137"/>
      <c r="J75" s="1137"/>
      <c r="K75" s="1137"/>
      <c r="L75" s="1137"/>
      <c r="M75" s="1137"/>
    </row>
    <row r="76" spans="3:15" ht="3" customHeight="1" x14ac:dyDescent="0.2">
      <c r="C76" s="1046"/>
      <c r="D76" s="1046"/>
      <c r="E76" s="1046"/>
      <c r="F76" s="1046"/>
      <c r="G76" s="1047"/>
      <c r="H76" s="1048"/>
      <c r="I76" s="1032"/>
      <c r="J76" s="1032"/>
      <c r="K76" s="1049"/>
      <c r="L76" s="1048"/>
      <c r="M76" s="1032"/>
    </row>
    <row r="77" spans="3:15" ht="14.25" customHeight="1" x14ac:dyDescent="0.2">
      <c r="C77" s="6"/>
      <c r="D77" s="6"/>
      <c r="E77" s="6"/>
      <c r="F77" s="6"/>
      <c r="G77" s="25"/>
      <c r="H77" s="82"/>
      <c r="K77" s="5"/>
      <c r="L77" s="82"/>
    </row>
    <row r="78" spans="3:15" ht="14.25" customHeight="1" x14ac:dyDescent="0.2">
      <c r="C78" s="1227" t="s">
        <v>2185</v>
      </c>
      <c r="D78" s="1227"/>
      <c r="E78" s="1227"/>
      <c r="F78" s="1227"/>
      <c r="G78" s="1227"/>
      <c r="H78" s="1227"/>
      <c r="I78" s="1227"/>
      <c r="J78" s="1227"/>
      <c r="K78" s="1227"/>
      <c r="L78" s="1227"/>
    </row>
    <row r="79" spans="3:15" ht="14.25" customHeight="1" x14ac:dyDescent="0.2">
      <c r="C79" s="6"/>
      <c r="D79" s="6"/>
      <c r="E79" s="6"/>
      <c r="F79" s="6"/>
      <c r="G79" s="25"/>
      <c r="H79" s="82"/>
      <c r="K79" s="5"/>
      <c r="L79" s="82"/>
    </row>
    <row r="80" spans="3:15" ht="45" customHeight="1" x14ac:dyDescent="0.2">
      <c r="C80" s="1180" t="s">
        <v>2168</v>
      </c>
      <c r="D80" s="1180"/>
      <c r="E80" s="1231" t="s">
        <v>2184</v>
      </c>
      <c r="F80" s="1231"/>
      <c r="G80" s="1231" t="s">
        <v>94</v>
      </c>
      <c r="H80" s="1231"/>
      <c r="I80" s="1231" t="s">
        <v>95</v>
      </c>
      <c r="J80" s="1231"/>
      <c r="K80" s="1004" t="s">
        <v>2169</v>
      </c>
      <c r="L80" s="82"/>
    </row>
    <row r="81" spans="3:17" ht="14.25" customHeight="1" x14ac:dyDescent="0.2">
      <c r="C81" s="1181" t="s">
        <v>2170</v>
      </c>
      <c r="D81" s="1181"/>
      <c r="E81" s="1182"/>
      <c r="F81" s="1182"/>
      <c r="G81" s="1182"/>
      <c r="H81" s="1182"/>
      <c r="I81" s="1182"/>
      <c r="J81" s="1182"/>
      <c r="K81" s="781"/>
      <c r="L81" s="82"/>
    </row>
    <row r="82" spans="3:17" ht="14.25" customHeight="1" x14ac:dyDescent="0.2">
      <c r="C82" s="1181" t="s">
        <v>2171</v>
      </c>
      <c r="D82" s="1181"/>
      <c r="E82" s="1182"/>
      <c r="F82" s="1182"/>
      <c r="G82" s="1182"/>
      <c r="H82" s="1182"/>
      <c r="I82" s="1182"/>
      <c r="J82" s="1182"/>
      <c r="K82" s="781"/>
      <c r="L82" s="82"/>
    </row>
    <row r="83" spans="3:17" ht="14.25" customHeight="1" x14ac:dyDescent="0.2">
      <c r="C83" s="1181" t="s">
        <v>2183</v>
      </c>
      <c r="D83" s="1181"/>
      <c r="E83" s="1182"/>
      <c r="F83" s="1182"/>
      <c r="G83" s="1182"/>
      <c r="H83" s="1182"/>
      <c r="I83" s="1182"/>
      <c r="J83" s="1182"/>
      <c r="K83" s="781"/>
      <c r="L83" s="82"/>
    </row>
    <row r="84" spans="3:17" ht="14.25" customHeight="1" x14ac:dyDescent="0.2">
      <c r="C84" s="1181" t="s">
        <v>2182</v>
      </c>
      <c r="D84" s="1181"/>
      <c r="E84" s="1182"/>
      <c r="F84" s="1182"/>
      <c r="G84" s="1182"/>
      <c r="H84" s="1182"/>
      <c r="I84" s="1182"/>
      <c r="J84" s="1182"/>
      <c r="K84" s="781"/>
      <c r="L84" s="82"/>
    </row>
    <row r="85" spans="3:17" ht="14.25" customHeight="1" x14ac:dyDescent="0.2">
      <c r="C85" s="1181" t="s">
        <v>2173</v>
      </c>
      <c r="D85" s="1181"/>
      <c r="E85" s="1182"/>
      <c r="F85" s="1182"/>
      <c r="G85" s="1182"/>
      <c r="H85" s="1182"/>
      <c r="I85" s="1182"/>
      <c r="J85" s="1182"/>
      <c r="K85" s="781"/>
      <c r="L85" s="82"/>
    </row>
    <row r="86" spans="3:17" ht="14.25" customHeight="1" x14ac:dyDescent="0.2">
      <c r="C86" s="1181" t="s">
        <v>2174</v>
      </c>
      <c r="D86" s="1181"/>
      <c r="E86" s="1182"/>
      <c r="F86" s="1182"/>
      <c r="G86" s="1182"/>
      <c r="H86" s="1182"/>
      <c r="I86" s="1182"/>
      <c r="J86" s="1182"/>
      <c r="K86" s="781"/>
      <c r="L86" s="82"/>
    </row>
    <row r="87" spans="3:17" ht="14.25" customHeight="1" x14ac:dyDescent="0.2">
      <c r="C87" s="1181" t="s">
        <v>2175</v>
      </c>
      <c r="D87" s="1181"/>
      <c r="E87" s="1182"/>
      <c r="F87" s="1182"/>
      <c r="G87" s="1182"/>
      <c r="H87" s="1182"/>
      <c r="I87" s="1182"/>
      <c r="J87" s="1182"/>
      <c r="K87" s="781"/>
      <c r="L87" s="82"/>
    </row>
    <row r="88" spans="3:17" ht="14.25" customHeight="1" x14ac:dyDescent="0.2">
      <c r="C88" s="1181" t="s">
        <v>2541</v>
      </c>
      <c r="D88" s="1181"/>
      <c r="E88" s="1182"/>
      <c r="F88" s="1182"/>
      <c r="G88" s="1182"/>
      <c r="H88" s="1182"/>
      <c r="I88" s="1182"/>
      <c r="J88" s="1182"/>
      <c r="K88" s="781"/>
      <c r="L88" s="82"/>
    </row>
    <row r="89" spans="3:17" ht="14.25" customHeight="1" x14ac:dyDescent="0.2">
      <c r="C89" s="1181" t="s">
        <v>2537</v>
      </c>
      <c r="D89" s="1181"/>
      <c r="E89" s="1182"/>
      <c r="F89" s="1182"/>
      <c r="G89" s="1182"/>
      <c r="H89" s="1182"/>
      <c r="I89" s="1182"/>
      <c r="J89" s="1182"/>
      <c r="K89" s="781"/>
      <c r="L89" s="82"/>
    </row>
    <row r="90" spans="3:17" ht="14.25" customHeight="1" x14ac:dyDescent="0.2">
      <c r="C90" s="339"/>
      <c r="D90" s="339"/>
      <c r="E90" s="117"/>
      <c r="F90" s="94"/>
      <c r="G90" s="94"/>
      <c r="H90" s="94"/>
      <c r="I90" s="340"/>
      <c r="J90" s="340"/>
      <c r="K90" s="340"/>
      <c r="L90" s="82"/>
    </row>
    <row r="91" spans="3:17" ht="30" customHeight="1" x14ac:dyDescent="0.2">
      <c r="C91" s="1004" t="s">
        <v>2168</v>
      </c>
      <c r="D91" s="1180" t="s">
        <v>2176</v>
      </c>
      <c r="E91" s="1180"/>
      <c r="F91" s="1180"/>
      <c r="G91" s="1180"/>
      <c r="H91" s="1180"/>
      <c r="I91" s="1180"/>
      <c r="J91" s="1180"/>
      <c r="K91" s="1180"/>
      <c r="L91" s="82"/>
    </row>
    <row r="92" spans="3:17" ht="45" customHeight="1" x14ac:dyDescent="0.2">
      <c r="C92" s="687" t="s">
        <v>2170</v>
      </c>
      <c r="D92" s="1179" t="s">
        <v>2177</v>
      </c>
      <c r="E92" s="1179"/>
      <c r="F92" s="1179"/>
      <c r="G92" s="1179"/>
      <c r="H92" s="1179"/>
      <c r="I92" s="1179"/>
      <c r="J92" s="1179"/>
      <c r="K92" s="1179"/>
      <c r="L92" s="82"/>
    </row>
    <row r="93" spans="3:17" ht="45" customHeight="1" x14ac:dyDescent="0.2">
      <c r="C93" s="687" t="s">
        <v>2171</v>
      </c>
      <c r="D93" s="1179" t="s">
        <v>2178</v>
      </c>
      <c r="E93" s="1179"/>
      <c r="F93" s="1179"/>
      <c r="G93" s="1179"/>
      <c r="H93" s="1179"/>
      <c r="I93" s="1179"/>
      <c r="J93" s="1179"/>
      <c r="K93" s="1179"/>
      <c r="L93" s="82"/>
    </row>
    <row r="94" spans="3:17" ht="60" customHeight="1" x14ac:dyDescent="0.2">
      <c r="C94" s="687" t="s">
        <v>2172</v>
      </c>
      <c r="D94" s="1179" t="s">
        <v>2179</v>
      </c>
      <c r="E94" s="1179"/>
      <c r="F94" s="1179"/>
      <c r="G94" s="1179"/>
      <c r="H94" s="1179"/>
      <c r="I94" s="1179"/>
      <c r="J94" s="1179"/>
      <c r="K94" s="1179"/>
      <c r="L94" s="82"/>
      <c r="N94" s="1193" t="s">
        <v>2243</v>
      </c>
      <c r="O94" s="1193"/>
      <c r="P94" s="1193"/>
      <c r="Q94" s="253"/>
    </row>
    <row r="95" spans="3:17" ht="45" customHeight="1" x14ac:dyDescent="0.2">
      <c r="C95" s="687" t="s">
        <v>2173</v>
      </c>
      <c r="D95" s="1179" t="s">
        <v>2180</v>
      </c>
      <c r="E95" s="1179"/>
      <c r="F95" s="1179"/>
      <c r="G95" s="1179"/>
      <c r="H95" s="1179"/>
      <c r="I95" s="1179"/>
      <c r="J95" s="1179"/>
      <c r="K95" s="1179"/>
      <c r="L95" s="82"/>
      <c r="N95" s="1193"/>
      <c r="O95" s="1193"/>
      <c r="P95" s="1193"/>
      <c r="Q95" s="253"/>
    </row>
    <row r="96" spans="3:17" ht="45" customHeight="1" x14ac:dyDescent="0.2">
      <c r="C96" s="687" t="s">
        <v>2174</v>
      </c>
      <c r="D96" s="1179" t="s">
        <v>2181</v>
      </c>
      <c r="E96" s="1179"/>
      <c r="F96" s="1179"/>
      <c r="G96" s="1179"/>
      <c r="H96" s="1179"/>
      <c r="I96" s="1179"/>
      <c r="J96" s="1179"/>
      <c r="K96" s="1179"/>
      <c r="L96" s="82"/>
      <c r="N96" s="1192" t="s">
        <v>2244</v>
      </c>
      <c r="O96" s="1192"/>
      <c r="P96" s="1192"/>
      <c r="Q96" s="971"/>
    </row>
    <row r="97" spans="3:17" ht="45" customHeight="1" x14ac:dyDescent="0.2">
      <c r="C97" s="687" t="s">
        <v>2175</v>
      </c>
      <c r="D97" s="1179" t="s">
        <v>2245</v>
      </c>
      <c r="E97" s="1179"/>
      <c r="F97" s="1179"/>
      <c r="G97" s="1179"/>
      <c r="H97" s="1179"/>
      <c r="I97" s="1179"/>
      <c r="J97" s="1179"/>
      <c r="K97" s="1179"/>
      <c r="L97" s="82"/>
      <c r="N97" s="1192"/>
      <c r="O97" s="1192"/>
      <c r="P97" s="1192"/>
      <c r="Q97" s="1192"/>
    </row>
    <row r="98" spans="3:17" ht="60" customHeight="1" x14ac:dyDescent="0.2">
      <c r="C98" s="687" t="s">
        <v>2539</v>
      </c>
      <c r="D98" s="1179" t="s">
        <v>2540</v>
      </c>
      <c r="E98" s="1179"/>
      <c r="F98" s="1179"/>
      <c r="G98" s="1179"/>
      <c r="H98" s="1179"/>
      <c r="I98" s="1179"/>
      <c r="J98" s="1179"/>
      <c r="K98" s="1179"/>
      <c r="L98" s="82"/>
      <c r="N98" s="253"/>
      <c r="O98" s="253"/>
    </row>
    <row r="99" spans="3:17" ht="75" customHeight="1" x14ac:dyDescent="0.2">
      <c r="C99" s="687" t="s">
        <v>2537</v>
      </c>
      <c r="D99" s="1179" t="s">
        <v>2538</v>
      </c>
      <c r="E99" s="1179"/>
      <c r="F99" s="1179"/>
      <c r="G99" s="1179"/>
      <c r="H99" s="1179"/>
      <c r="I99" s="1179"/>
      <c r="J99" s="1179"/>
      <c r="K99" s="1179"/>
      <c r="L99" s="82"/>
      <c r="N99" s="253"/>
      <c r="O99" s="253"/>
    </row>
    <row r="100" spans="3:17" ht="14.25" customHeight="1" x14ac:dyDescent="0.2">
      <c r="C100" s="6"/>
      <c r="D100" s="6"/>
      <c r="E100" s="6"/>
      <c r="F100" s="6"/>
      <c r="G100" s="25"/>
      <c r="H100" s="82"/>
      <c r="K100" s="5"/>
      <c r="L100" s="82"/>
      <c r="N100" s="253"/>
      <c r="O100" s="253"/>
    </row>
    <row r="101" spans="3:17" ht="14.25" customHeight="1" x14ac:dyDescent="0.2">
      <c r="C101" s="6"/>
      <c r="D101" s="6"/>
      <c r="E101" s="6"/>
      <c r="F101" s="6"/>
      <c r="G101" s="25"/>
      <c r="H101" s="82"/>
      <c r="K101" s="5"/>
      <c r="L101" s="82"/>
      <c r="N101" s="253"/>
      <c r="O101" s="253"/>
    </row>
    <row r="102" spans="3:17" ht="14.25" customHeight="1" x14ac:dyDescent="0.2">
      <c r="C102" s="1137" t="s">
        <v>2081</v>
      </c>
      <c r="D102" s="1137"/>
      <c r="E102" s="1137"/>
      <c r="F102" s="1137"/>
      <c r="G102" s="1137"/>
      <c r="H102" s="1137"/>
      <c r="I102" s="1137"/>
      <c r="J102" s="1137"/>
      <c r="K102" s="1137"/>
      <c r="L102" s="1137"/>
      <c r="M102" s="1137"/>
      <c r="N102" s="253"/>
      <c r="O102" s="253"/>
    </row>
    <row r="103" spans="3:17" ht="3" customHeight="1" x14ac:dyDescent="0.2">
      <c r="C103" s="1133"/>
      <c r="D103" s="1133"/>
      <c r="E103" s="1133"/>
      <c r="F103" s="1133"/>
      <c r="G103" s="1133"/>
      <c r="H103" s="1133"/>
      <c r="I103" s="1133"/>
      <c r="J103" s="1133"/>
      <c r="K103" s="1133"/>
      <c r="L103" s="1133"/>
      <c r="M103" s="1133"/>
      <c r="N103" s="253"/>
      <c r="O103" s="253"/>
    </row>
    <row r="104" spans="3:17" ht="14.25" customHeight="1" x14ac:dyDescent="0.2">
      <c r="C104" s="6"/>
      <c r="D104" s="6"/>
      <c r="E104" s="6"/>
      <c r="F104" s="6"/>
      <c r="G104" s="25"/>
      <c r="H104" s="82"/>
      <c r="K104" s="5"/>
      <c r="L104" s="82"/>
    </row>
    <row r="105" spans="3:17" ht="14.25" customHeight="1" x14ac:dyDescent="0.2">
      <c r="C105" s="1196" t="s">
        <v>2056</v>
      </c>
      <c r="D105" s="1196"/>
      <c r="E105" s="1196"/>
      <c r="F105" s="1196"/>
      <c r="G105" s="1196"/>
      <c r="H105" s="1196"/>
      <c r="I105" s="1196"/>
      <c r="J105" s="1196"/>
      <c r="K105" s="1196"/>
      <c r="L105" s="1196"/>
      <c r="M105" s="1196"/>
    </row>
    <row r="106" spans="3:17" ht="14.25" customHeight="1" x14ac:dyDescent="0.2">
      <c r="C106" s="1196"/>
      <c r="D106" s="1196"/>
      <c r="E106" s="1196"/>
      <c r="F106" s="1196"/>
      <c r="G106" s="1196"/>
      <c r="H106" s="1196"/>
      <c r="I106" s="1196"/>
      <c r="J106" s="1196"/>
      <c r="K106" s="1196"/>
      <c r="L106" s="1196"/>
      <c r="M106" s="1196"/>
    </row>
    <row r="107" spans="3:17" ht="14.25" customHeight="1" x14ac:dyDescent="0.2">
      <c r="C107" s="6"/>
      <c r="D107" s="6"/>
      <c r="E107" s="6"/>
      <c r="F107" s="6"/>
      <c r="G107" s="25"/>
      <c r="H107" s="82"/>
      <c r="K107" s="5"/>
      <c r="L107" s="82"/>
    </row>
    <row r="108" spans="3:17" ht="30" customHeight="1" x14ac:dyDescent="0.2">
      <c r="C108" s="1134" t="s">
        <v>2053</v>
      </c>
      <c r="D108" s="1135"/>
      <c r="E108" s="1135"/>
      <c r="F108" s="1136"/>
      <c r="G108" s="1004" t="s">
        <v>2062</v>
      </c>
      <c r="H108" s="1050" t="s">
        <v>2055</v>
      </c>
      <c r="I108" s="1134" t="s">
        <v>2060</v>
      </c>
      <c r="J108" s="1136"/>
      <c r="K108" s="1004" t="s">
        <v>2061</v>
      </c>
      <c r="M108" s="5"/>
      <c r="N108" s="82"/>
    </row>
    <row r="109" spans="3:17" ht="14.25" customHeight="1" x14ac:dyDescent="0.2">
      <c r="C109" s="1168" t="s">
        <v>2054</v>
      </c>
      <c r="D109" s="1169"/>
      <c r="E109" s="1169"/>
      <c r="F109" s="1170"/>
      <c r="G109" s="146" t="s">
        <v>2063</v>
      </c>
      <c r="H109" s="355"/>
      <c r="I109" s="1168" t="s">
        <v>2057</v>
      </c>
      <c r="J109" s="1170"/>
      <c r="K109" s="355"/>
      <c r="M109" s="5"/>
      <c r="N109" s="82"/>
    </row>
    <row r="110" spans="3:17" ht="14.25" customHeight="1" x14ac:dyDescent="0.2">
      <c r="C110" s="1168" t="s">
        <v>2058</v>
      </c>
      <c r="D110" s="1169"/>
      <c r="E110" s="1169"/>
      <c r="F110" s="1170"/>
      <c r="G110" s="146" t="s">
        <v>2064</v>
      </c>
      <c r="H110" s="355"/>
      <c r="I110" s="1168" t="s">
        <v>2079</v>
      </c>
      <c r="J110" s="1170"/>
      <c r="K110" s="355"/>
      <c r="M110" s="5"/>
      <c r="N110" s="82"/>
    </row>
    <row r="111" spans="3:17" ht="14.25" customHeight="1" x14ac:dyDescent="0.2">
      <c r="C111" s="1168" t="s">
        <v>2059</v>
      </c>
      <c r="D111" s="1169"/>
      <c r="E111" s="1169"/>
      <c r="F111" s="1170"/>
      <c r="G111" s="146" t="s">
        <v>2065</v>
      </c>
      <c r="H111" s="355"/>
      <c r="I111" s="1168" t="s">
        <v>2076</v>
      </c>
      <c r="J111" s="1170"/>
      <c r="K111" s="355"/>
      <c r="M111" s="5"/>
      <c r="N111" s="82"/>
    </row>
    <row r="112" spans="3:17" ht="14.25" customHeight="1" x14ac:dyDescent="0.2">
      <c r="C112" s="1168" t="s">
        <v>2074</v>
      </c>
      <c r="D112" s="1169"/>
      <c r="E112" s="1169"/>
      <c r="F112" s="1170"/>
      <c r="G112" s="146" t="s">
        <v>2075</v>
      </c>
      <c r="H112" s="355"/>
      <c r="I112" s="1168" t="s">
        <v>2076</v>
      </c>
      <c r="J112" s="1170"/>
      <c r="K112" s="355"/>
      <c r="M112" s="5"/>
      <c r="N112" s="82"/>
    </row>
    <row r="113" spans="3:14" ht="14.25" customHeight="1" x14ac:dyDescent="0.2">
      <c r="C113" s="1168" t="s">
        <v>2077</v>
      </c>
      <c r="D113" s="1169"/>
      <c r="E113" s="1169"/>
      <c r="F113" s="1170"/>
      <c r="G113" s="146" t="s">
        <v>2066</v>
      </c>
      <c r="H113" s="355"/>
      <c r="I113" s="1168" t="s">
        <v>2076</v>
      </c>
      <c r="J113" s="1170"/>
      <c r="K113" s="355"/>
      <c r="M113" s="5"/>
      <c r="N113" s="82"/>
    </row>
    <row r="114" spans="3:14" ht="14.25" customHeight="1" x14ac:dyDescent="0.2">
      <c r="C114" s="1168" t="s">
        <v>2078</v>
      </c>
      <c r="D114" s="1169"/>
      <c r="E114" s="1169"/>
      <c r="F114" s="1170"/>
      <c r="G114" s="146" t="s">
        <v>2066</v>
      </c>
      <c r="H114" s="355"/>
      <c r="I114" s="1168" t="s">
        <v>2080</v>
      </c>
      <c r="J114" s="1170"/>
      <c r="K114" s="355"/>
      <c r="M114" s="5"/>
      <c r="N114" s="82"/>
    </row>
    <row r="115" spans="3:14" ht="14.25" customHeight="1" x14ac:dyDescent="0.2">
      <c r="C115" s="1168" t="s">
        <v>2067</v>
      </c>
      <c r="D115" s="1169"/>
      <c r="E115" s="1169"/>
      <c r="F115" s="1170"/>
      <c r="G115" s="146" t="s">
        <v>2068</v>
      </c>
      <c r="H115" s="355"/>
      <c r="I115" s="1168" t="s">
        <v>2080</v>
      </c>
      <c r="J115" s="1170"/>
      <c r="K115" s="355"/>
      <c r="M115" s="5"/>
      <c r="N115" s="82"/>
    </row>
    <row r="116" spans="3:14" ht="14.25" customHeight="1" x14ac:dyDescent="0.2">
      <c r="C116" s="1168" t="s">
        <v>2069</v>
      </c>
      <c r="D116" s="1169"/>
      <c r="E116" s="1169"/>
      <c r="F116" s="1170"/>
      <c r="G116" s="146" t="s">
        <v>2070</v>
      </c>
      <c r="H116" s="355"/>
      <c r="I116" s="1168" t="s">
        <v>2079</v>
      </c>
      <c r="J116" s="1170"/>
      <c r="K116" s="355"/>
      <c r="M116" s="5"/>
      <c r="N116" s="82"/>
    </row>
    <row r="117" spans="3:14" ht="14.25" customHeight="1" x14ac:dyDescent="0.2">
      <c r="C117" s="1168" t="s">
        <v>2071</v>
      </c>
      <c r="D117" s="1169"/>
      <c r="E117" s="1169"/>
      <c r="F117" s="1170"/>
      <c r="G117" s="146" t="s">
        <v>2072</v>
      </c>
      <c r="H117" s="355"/>
      <c r="I117" s="1168" t="s">
        <v>2079</v>
      </c>
      <c r="J117" s="1170"/>
      <c r="K117" s="355"/>
      <c r="L117" s="5"/>
      <c r="M117" s="82"/>
    </row>
    <row r="118" spans="3:14" ht="14.25" customHeight="1" x14ac:dyDescent="0.2">
      <c r="C118" s="1168" t="s">
        <v>2073</v>
      </c>
      <c r="D118" s="1169"/>
      <c r="E118" s="1169"/>
      <c r="F118" s="1170"/>
      <c r="G118" s="146" t="s">
        <v>2010</v>
      </c>
      <c r="H118" s="355"/>
      <c r="I118" s="1168" t="s">
        <v>2079</v>
      </c>
      <c r="J118" s="1170"/>
      <c r="K118" s="355"/>
      <c r="L118" s="5"/>
      <c r="M118" s="82"/>
    </row>
    <row r="119" spans="3:14" ht="14.25" customHeight="1" x14ac:dyDescent="0.2">
      <c r="C119" s="6"/>
      <c r="D119" s="6"/>
      <c r="E119" s="6"/>
      <c r="F119" s="6"/>
      <c r="G119" s="25"/>
      <c r="H119" s="82"/>
      <c r="K119" s="5"/>
      <c r="L119" s="82"/>
    </row>
    <row r="120" spans="3:14" ht="14.25" customHeight="1" x14ac:dyDescent="0.2">
      <c r="C120" s="6" t="s">
        <v>2083</v>
      </c>
      <c r="D120" s="6"/>
      <c r="E120" s="6"/>
      <c r="F120" s="6"/>
      <c r="G120" s="25"/>
      <c r="H120" s="355"/>
      <c r="K120" s="5"/>
      <c r="L120" s="82"/>
    </row>
    <row r="121" spans="3:14" ht="14.25" customHeight="1" x14ac:dyDescent="0.2">
      <c r="C121" s="6"/>
      <c r="D121" s="6"/>
      <c r="E121" s="6"/>
      <c r="F121" s="6"/>
      <c r="G121" s="25"/>
      <c r="H121" s="82"/>
      <c r="K121" s="5"/>
      <c r="L121" s="82"/>
    </row>
    <row r="122" spans="3:14" ht="14.25" customHeight="1" x14ac:dyDescent="0.2">
      <c r="C122" s="6"/>
      <c r="D122" s="6"/>
      <c r="E122" s="6"/>
      <c r="F122" s="6"/>
      <c r="G122" s="25"/>
      <c r="H122" s="82"/>
      <c r="K122" s="5"/>
      <c r="L122" s="82"/>
    </row>
    <row r="123" spans="3:14" ht="14.25" customHeight="1" x14ac:dyDescent="0.2">
      <c r="C123" s="1137" t="s">
        <v>685</v>
      </c>
      <c r="D123" s="1137"/>
      <c r="E123" s="1137"/>
      <c r="F123" s="1137"/>
      <c r="G123" s="1137"/>
      <c r="H123" s="1137"/>
      <c r="I123" s="1137"/>
      <c r="J123" s="1137"/>
      <c r="K123" s="1137"/>
      <c r="L123" s="1137"/>
      <c r="M123" s="1137"/>
    </row>
    <row r="124" spans="3:14" ht="3" customHeight="1" x14ac:dyDescent="0.2">
      <c r="C124" s="1133"/>
      <c r="D124" s="1133"/>
      <c r="E124" s="1133"/>
      <c r="F124" s="1133"/>
      <c r="G124" s="1133"/>
      <c r="H124" s="1133"/>
      <c r="I124" s="1133"/>
      <c r="J124" s="1133"/>
      <c r="K124" s="1133"/>
      <c r="L124" s="1133"/>
      <c r="M124" s="1133"/>
    </row>
    <row r="125" spans="3:14" ht="5.25" customHeight="1" x14ac:dyDescent="0.2">
      <c r="C125" s="6"/>
      <c r="D125" s="6"/>
      <c r="E125" s="6"/>
      <c r="F125" s="6"/>
      <c r="G125" s="25"/>
      <c r="H125" s="82"/>
      <c r="K125" s="5"/>
      <c r="L125" s="82"/>
    </row>
    <row r="126" spans="3:14" ht="14.25" customHeight="1" x14ac:dyDescent="0.2">
      <c r="C126" s="1227" t="s">
        <v>686</v>
      </c>
      <c r="D126" s="1227"/>
      <c r="E126" s="1227"/>
      <c r="F126" s="1227"/>
      <c r="G126" s="1227"/>
      <c r="H126" s="1227"/>
      <c r="I126" s="1227"/>
      <c r="J126" s="1227"/>
      <c r="K126" s="1227"/>
      <c r="L126" s="1227"/>
      <c r="M126" s="1227"/>
    </row>
    <row r="127" spans="3:14" ht="14.25" customHeight="1" x14ac:dyDescent="0.2">
      <c r="C127" s="1227"/>
      <c r="D127" s="1227"/>
      <c r="E127" s="1227"/>
      <c r="F127" s="1227"/>
      <c r="G127" s="1227"/>
      <c r="H127" s="1227"/>
      <c r="I127" s="1227"/>
      <c r="J127" s="1227"/>
      <c r="K127" s="1227"/>
      <c r="L127" s="1227"/>
      <c r="M127" s="1227"/>
    </row>
    <row r="128" spans="3:14" ht="14.25" customHeight="1" x14ac:dyDescent="0.2">
      <c r="C128" s="1227"/>
      <c r="D128" s="1227"/>
      <c r="E128" s="1227"/>
      <c r="F128" s="1227"/>
      <c r="G128" s="1227"/>
      <c r="H128" s="1227"/>
      <c r="I128" s="1227"/>
      <c r="J128" s="1227"/>
      <c r="K128" s="1227"/>
      <c r="L128" s="1227"/>
      <c r="M128" s="1227"/>
    </row>
    <row r="129" spans="3:13" ht="14.25" customHeight="1" x14ac:dyDescent="0.2">
      <c r="C129" s="6"/>
      <c r="D129" s="6"/>
      <c r="E129" s="6"/>
      <c r="F129" s="6"/>
      <c r="G129" s="25"/>
      <c r="H129" s="82"/>
      <c r="K129" s="5"/>
      <c r="L129" s="82"/>
    </row>
    <row r="130" spans="3:13" ht="15" thickBot="1" x14ac:dyDescent="0.25">
      <c r="C130" s="1235" t="s">
        <v>709</v>
      </c>
      <c r="D130" s="1235"/>
      <c r="E130" s="1235"/>
      <c r="F130" s="116">
        <f>SUM(F131:F144)</f>
        <v>0</v>
      </c>
      <c r="G130" s="1185"/>
      <c r="H130" s="1186"/>
      <c r="I130" s="1186"/>
      <c r="J130" s="1186"/>
      <c r="K130" s="1186"/>
      <c r="L130" s="1186"/>
      <c r="M130" s="1186"/>
    </row>
    <row r="131" spans="3:13" ht="15" thickTop="1" x14ac:dyDescent="0.2">
      <c r="C131" s="1236" t="s">
        <v>691</v>
      </c>
      <c r="D131" s="1236"/>
      <c r="E131" s="1236"/>
      <c r="F131" s="359"/>
      <c r="G131" s="1238"/>
      <c r="H131" s="1155"/>
      <c r="I131" s="1155"/>
      <c r="J131" s="1155"/>
      <c r="K131" s="1155"/>
      <c r="L131" s="1155"/>
      <c r="M131" s="1155"/>
    </row>
    <row r="132" spans="3:13" x14ac:dyDescent="0.2">
      <c r="C132" s="1236" t="s">
        <v>692</v>
      </c>
      <c r="D132" s="1236"/>
      <c r="E132" s="1236"/>
      <c r="F132" s="360"/>
      <c r="G132" s="1238"/>
      <c r="H132" s="1155"/>
      <c r="I132" s="1155"/>
      <c r="J132" s="1155"/>
      <c r="K132" s="1155"/>
      <c r="L132" s="1155"/>
      <c r="M132" s="1155"/>
    </row>
    <row r="133" spans="3:13" x14ac:dyDescent="0.2">
      <c r="C133" s="1236" t="s">
        <v>693</v>
      </c>
      <c r="D133" s="1236"/>
      <c r="E133" s="1236"/>
      <c r="F133" s="360"/>
      <c r="G133" s="1239" t="s">
        <v>245</v>
      </c>
      <c r="H133" s="1240"/>
      <c r="I133" s="1240"/>
      <c r="J133" s="1240"/>
      <c r="K133" s="1240"/>
      <c r="L133" s="1240"/>
      <c r="M133" s="1240"/>
    </row>
    <row r="134" spans="3:13" x14ac:dyDescent="0.2">
      <c r="C134" s="1236" t="s">
        <v>694</v>
      </c>
      <c r="D134" s="1236"/>
      <c r="E134" s="1236"/>
      <c r="F134" s="360"/>
      <c r="G134" s="1232" t="s">
        <v>246</v>
      </c>
      <c r="H134" s="1233"/>
      <c r="I134" s="1233"/>
      <c r="J134" s="1233"/>
      <c r="K134" s="1233"/>
      <c r="L134" s="1233"/>
      <c r="M134" s="1233"/>
    </row>
    <row r="135" spans="3:13" x14ac:dyDescent="0.2">
      <c r="C135" s="1236" t="s">
        <v>695</v>
      </c>
      <c r="D135" s="1236"/>
      <c r="E135" s="1236"/>
      <c r="F135" s="360"/>
      <c r="G135" s="1239" t="s">
        <v>258</v>
      </c>
      <c r="H135" s="1240"/>
      <c r="I135" s="1240"/>
      <c r="J135" s="1240"/>
      <c r="K135" s="1240"/>
      <c r="L135" s="1240"/>
      <c r="M135" s="1240"/>
    </row>
    <row r="136" spans="3:13" x14ac:dyDescent="0.2">
      <c r="C136" s="1236" t="s">
        <v>696</v>
      </c>
      <c r="D136" s="1236"/>
      <c r="E136" s="1236"/>
      <c r="F136" s="360"/>
      <c r="G136" s="1183"/>
      <c r="H136" s="1184"/>
      <c r="I136" s="1184"/>
      <c r="J136" s="1184"/>
      <c r="K136" s="1184"/>
      <c r="L136" s="1184"/>
      <c r="M136" s="1184"/>
    </row>
    <row r="137" spans="3:13" x14ac:dyDescent="0.2">
      <c r="C137" s="1236" t="s">
        <v>697</v>
      </c>
      <c r="D137" s="1236"/>
      <c r="E137" s="1236"/>
      <c r="F137" s="360"/>
      <c r="G137" s="1183"/>
      <c r="H137" s="1184"/>
      <c r="I137" s="1184"/>
      <c r="J137" s="1184"/>
      <c r="K137" s="1184"/>
      <c r="L137" s="1184"/>
      <c r="M137" s="1184"/>
    </row>
    <row r="138" spans="3:13" x14ac:dyDescent="0.2">
      <c r="C138" s="1236" t="s">
        <v>698</v>
      </c>
      <c r="D138" s="1236"/>
      <c r="E138" s="1236"/>
      <c r="F138" s="360"/>
      <c r="G138" s="1183"/>
      <c r="H138" s="1184"/>
      <c r="I138" s="1184"/>
      <c r="J138" s="1184"/>
      <c r="K138" s="1184"/>
      <c r="L138" s="1184"/>
      <c r="M138" s="1184"/>
    </row>
    <row r="139" spans="3:13" x14ac:dyDescent="0.2">
      <c r="C139" s="1236" t="s">
        <v>699</v>
      </c>
      <c r="D139" s="1236"/>
      <c r="E139" s="1236"/>
      <c r="F139" s="360"/>
      <c r="G139" s="1183"/>
      <c r="H139" s="1184"/>
      <c r="I139" s="1184"/>
      <c r="J139" s="1184"/>
      <c r="K139" s="1184"/>
      <c r="L139" s="1184"/>
      <c r="M139" s="1184"/>
    </row>
    <row r="140" spans="3:13" x14ac:dyDescent="0.2">
      <c r="C140" s="1236" t="s">
        <v>700</v>
      </c>
      <c r="D140" s="1236"/>
      <c r="E140" s="1236"/>
      <c r="F140" s="360"/>
      <c r="G140" s="1183"/>
      <c r="H140" s="1184"/>
      <c r="I140" s="1184"/>
      <c r="J140" s="1184"/>
      <c r="K140" s="1184"/>
      <c r="L140" s="1184"/>
      <c r="M140" s="1184"/>
    </row>
    <row r="141" spans="3:13" x14ac:dyDescent="0.2">
      <c r="C141" s="1236" t="s">
        <v>701</v>
      </c>
      <c r="D141" s="1236"/>
      <c r="E141" s="1236"/>
      <c r="F141" s="360"/>
      <c r="G141" s="1183"/>
      <c r="H141" s="1184"/>
      <c r="I141" s="1184"/>
      <c r="J141" s="1184"/>
      <c r="K141" s="1184"/>
      <c r="L141" s="1184"/>
      <c r="M141" s="1184"/>
    </row>
    <row r="142" spans="3:13" x14ac:dyDescent="0.2">
      <c r="C142" s="1236" t="s">
        <v>702</v>
      </c>
      <c r="D142" s="1236"/>
      <c r="E142" s="1236"/>
      <c r="F142" s="360"/>
      <c r="G142" s="1183"/>
      <c r="H142" s="1184"/>
      <c r="I142" s="1184"/>
      <c r="J142" s="1184"/>
      <c r="K142" s="1184"/>
      <c r="L142" s="1184"/>
      <c r="M142" s="1184"/>
    </row>
    <row r="143" spans="3:13" x14ac:dyDescent="0.2">
      <c r="C143" s="1236" t="s">
        <v>703</v>
      </c>
      <c r="D143" s="1236"/>
      <c r="E143" s="1236"/>
      <c r="F143" s="360"/>
      <c r="G143" s="1183"/>
      <c r="H143" s="1184"/>
      <c r="I143" s="1184"/>
      <c r="J143" s="1184"/>
      <c r="K143" s="1184"/>
      <c r="L143" s="1184"/>
      <c r="M143" s="1184"/>
    </row>
    <row r="144" spans="3:13" ht="15" thickBot="1" x14ac:dyDescent="0.25">
      <c r="C144" s="1237" t="s">
        <v>704</v>
      </c>
      <c r="D144" s="1237"/>
      <c r="E144" s="1237"/>
      <c r="F144" s="361"/>
      <c r="G144" s="1183"/>
      <c r="H144" s="1184"/>
      <c r="I144" s="1184"/>
      <c r="J144" s="1184"/>
      <c r="K144" s="1184"/>
      <c r="L144" s="1184"/>
      <c r="M144" s="1184"/>
    </row>
    <row r="145" spans="2:13" ht="15" thickTop="1" x14ac:dyDescent="0.2">
      <c r="C145" s="1178" t="s">
        <v>705</v>
      </c>
      <c r="D145" s="1178"/>
      <c r="E145" s="1178"/>
      <c r="F145" s="134">
        <f>SUM(F131:F133)</f>
        <v>0</v>
      </c>
      <c r="G145" s="1241" t="s">
        <v>244</v>
      </c>
      <c r="H145" s="1242"/>
      <c r="I145" s="1242"/>
      <c r="J145" s="1242"/>
      <c r="K145" s="1242"/>
      <c r="L145" s="1242"/>
      <c r="M145" s="1242"/>
    </row>
    <row r="146" spans="2:13" x14ac:dyDescent="0.2">
      <c r="C146" s="1178" t="s">
        <v>710</v>
      </c>
      <c r="D146" s="1178"/>
      <c r="E146" s="1178"/>
      <c r="F146" s="135">
        <f>F134+F137+F139+F141</f>
        <v>0</v>
      </c>
      <c r="G146" s="1241" t="s">
        <v>243</v>
      </c>
      <c r="H146" s="1242"/>
      <c r="I146" s="1242"/>
      <c r="J146" s="1242"/>
      <c r="K146" s="1242"/>
      <c r="L146" s="1242"/>
      <c r="M146" s="1242"/>
    </row>
    <row r="147" spans="2:13" x14ac:dyDescent="0.2">
      <c r="C147" s="1178" t="s">
        <v>707</v>
      </c>
      <c r="D147" s="1178"/>
      <c r="E147" s="1178"/>
      <c r="F147" s="136" t="str">
        <f>IFERROR((F136+F137)/F130,"Input needed")</f>
        <v>Input needed</v>
      </c>
      <c r="G147" s="1241" t="s">
        <v>242</v>
      </c>
      <c r="H147" s="1242"/>
      <c r="I147" s="1242"/>
      <c r="J147" s="1242"/>
      <c r="K147" s="1242"/>
      <c r="L147" s="1242"/>
      <c r="M147" s="1242"/>
    </row>
    <row r="148" spans="2:13" x14ac:dyDescent="0.2">
      <c r="C148" s="1178" t="s">
        <v>706</v>
      </c>
      <c r="D148" s="1178"/>
      <c r="E148" s="1178"/>
      <c r="F148" s="135">
        <f>F130-F145</f>
        <v>0</v>
      </c>
      <c r="G148" s="1241" t="s">
        <v>112</v>
      </c>
      <c r="H148" s="1242"/>
      <c r="I148" s="1242"/>
      <c r="J148" s="1242"/>
      <c r="K148" s="1242"/>
      <c r="L148" s="1242"/>
      <c r="M148" s="1242"/>
    </row>
    <row r="149" spans="2:13" x14ac:dyDescent="0.2">
      <c r="C149" s="1178" t="s">
        <v>708</v>
      </c>
      <c r="D149" s="1178"/>
      <c r="E149" s="1178"/>
      <c r="F149" s="135" t="str">
        <f>IFERROR(F148/Revenue!C101,"See Revenue Tab")</f>
        <v>See Revenue Tab</v>
      </c>
      <c r="G149" s="1241" t="s">
        <v>113</v>
      </c>
      <c r="H149" s="1242"/>
      <c r="I149" s="1242"/>
      <c r="J149" s="1242"/>
      <c r="K149" s="1242"/>
      <c r="L149" s="1242"/>
      <c r="M149" s="1242"/>
    </row>
    <row r="150" spans="2:13" x14ac:dyDescent="0.2">
      <c r="E150" s="81"/>
      <c r="F150" s="81"/>
    </row>
    <row r="151" spans="2:13" ht="15" x14ac:dyDescent="0.25">
      <c r="E151" s="163"/>
      <c r="F151" s="81"/>
    </row>
    <row r="152" spans="2:13" ht="15" x14ac:dyDescent="0.2">
      <c r="B152" s="1137" t="s">
        <v>690</v>
      </c>
      <c r="C152" s="1137"/>
      <c r="D152" s="1137"/>
      <c r="E152" s="1137"/>
      <c r="F152" s="1137"/>
      <c r="G152" s="1137"/>
      <c r="H152" s="1137"/>
      <c r="I152" s="1137"/>
      <c r="J152" s="1137"/>
      <c r="K152" s="1137"/>
      <c r="L152" s="1137"/>
    </row>
    <row r="153" spans="2:13" ht="3" customHeight="1" x14ac:dyDescent="0.2">
      <c r="B153" s="1133"/>
      <c r="C153" s="1133"/>
      <c r="D153" s="1133"/>
      <c r="E153" s="1133"/>
      <c r="F153" s="1133"/>
      <c r="G153" s="1133"/>
      <c r="H153" s="1133"/>
      <c r="I153" s="1133"/>
      <c r="J153" s="1133"/>
      <c r="K153" s="1133"/>
      <c r="L153" s="1133"/>
    </row>
    <row r="154" spans="2:13" x14ac:dyDescent="0.2">
      <c r="E154" s="81"/>
      <c r="F154" s="81"/>
    </row>
    <row r="155" spans="2:13" ht="30" customHeight="1" x14ac:dyDescent="0.2">
      <c r="C155" s="1231" t="s">
        <v>652</v>
      </c>
      <c r="D155" s="1231"/>
      <c r="E155" s="1231"/>
      <c r="F155" s="1031" t="s">
        <v>1966</v>
      </c>
      <c r="G155" s="1004" t="s">
        <v>1967</v>
      </c>
      <c r="H155" s="1004" t="s">
        <v>1968</v>
      </c>
      <c r="I155" s="1004" t="s">
        <v>2246</v>
      </c>
    </row>
    <row r="156" spans="2:13" x14ac:dyDescent="0.2">
      <c r="C156" s="1234" t="s">
        <v>2143</v>
      </c>
      <c r="D156" s="1234"/>
      <c r="E156" s="1234"/>
      <c r="F156" s="362"/>
      <c r="G156" s="323"/>
      <c r="H156" s="323"/>
      <c r="I156" s="323"/>
    </row>
    <row r="157" spans="2:13" x14ac:dyDescent="0.2">
      <c r="C157" s="1234" t="s">
        <v>2572</v>
      </c>
      <c r="D157" s="1234"/>
      <c r="E157" s="1234"/>
      <c r="F157" s="362"/>
      <c r="G157" s="89" t="str">
        <f t="shared" ref="G157:G166" si="0">IF(OR(F156="",F157=""),"",DATEDIF(F156,F157,"M"))</f>
        <v/>
      </c>
      <c r="H157" s="89" t="str">
        <f>IF(OR($F$156="",F157=""),"",DATEDIF($F$156,F157,"M"))</f>
        <v/>
      </c>
      <c r="I157" s="363" t="str">
        <f>IF(OR($F$156="",F157=""),"",DATEDIF($F$156,F157,"M")/12)</f>
        <v/>
      </c>
    </row>
    <row r="158" spans="2:13" hidden="1" x14ac:dyDescent="0.2">
      <c r="C158" s="1234" t="s">
        <v>2145</v>
      </c>
      <c r="D158" s="1234"/>
      <c r="E158" s="1234"/>
      <c r="F158" s="362"/>
      <c r="G158" s="89" t="str">
        <f t="shared" si="0"/>
        <v/>
      </c>
      <c r="H158" s="89" t="str">
        <f t="shared" ref="H158:H166" si="1">IF(OR($F$156="",F158=""),"",DATEDIF($F$156,F158,"M"))</f>
        <v/>
      </c>
      <c r="I158" s="363" t="str">
        <f t="shared" ref="I158:I166" si="2">IF(OR($F$156="",F158=""),"",DATEDIF($F$156,F158,"M")/12)</f>
        <v/>
      </c>
    </row>
    <row r="159" spans="2:13" x14ac:dyDescent="0.2">
      <c r="C159" s="1168" t="s">
        <v>3027</v>
      </c>
      <c r="D159" s="1169"/>
      <c r="E159" s="1170"/>
      <c r="F159" s="362"/>
      <c r="G159" s="89" t="str">
        <f>IF(E10&lt;&gt;0.04,IF(OR(F157="",F159=""),"",DATEDIF(F157,F159,"M")),(IF(OR(F158="",F159=""),"",DATEDIF(F158,F159,"M"))))</f>
        <v/>
      </c>
      <c r="H159" s="89" t="str">
        <f t="shared" ref="H159" si="3">IF(OR($F$156="",F159=""),"",DATEDIF($F$156,F159,"M"))</f>
        <v/>
      </c>
      <c r="I159" s="363" t="str">
        <f t="shared" ref="I159" si="4">IF(OR($F$156="",F159=""),"",DATEDIF($F$156,F159,"M")/12)</f>
        <v/>
      </c>
    </row>
    <row r="160" spans="2:13" x14ac:dyDescent="0.2">
      <c r="C160" s="1234" t="s">
        <v>2980</v>
      </c>
      <c r="D160" s="1234"/>
      <c r="E160" s="1234"/>
      <c r="F160" s="362"/>
      <c r="G160" s="89" t="str">
        <f t="shared" si="0"/>
        <v/>
      </c>
      <c r="H160" s="89" t="str">
        <f t="shared" si="1"/>
        <v/>
      </c>
      <c r="I160" s="363" t="str">
        <f t="shared" si="2"/>
        <v/>
      </c>
    </row>
    <row r="161" spans="3:11" x14ac:dyDescent="0.2">
      <c r="C161" s="1234" t="s">
        <v>1969</v>
      </c>
      <c r="D161" s="1234"/>
      <c r="E161" s="1234"/>
      <c r="F161" s="362"/>
      <c r="G161" s="89" t="str">
        <f t="shared" si="0"/>
        <v/>
      </c>
      <c r="H161" s="89" t="str">
        <f t="shared" si="1"/>
        <v/>
      </c>
      <c r="I161" s="363" t="str">
        <f t="shared" si="2"/>
        <v/>
      </c>
    </row>
    <row r="162" spans="3:11" x14ac:dyDescent="0.2">
      <c r="C162" s="1234" t="s">
        <v>1970</v>
      </c>
      <c r="D162" s="1234"/>
      <c r="E162" s="1234"/>
      <c r="F162" s="362"/>
      <c r="G162" s="89" t="str">
        <f t="shared" si="0"/>
        <v/>
      </c>
      <c r="H162" s="89" t="str">
        <f t="shared" si="1"/>
        <v/>
      </c>
      <c r="I162" s="363" t="str">
        <f t="shared" si="2"/>
        <v/>
      </c>
    </row>
    <row r="163" spans="3:11" x14ac:dyDescent="0.2">
      <c r="C163" s="1234" t="s">
        <v>1971</v>
      </c>
      <c r="D163" s="1234"/>
      <c r="E163" s="1234"/>
      <c r="F163" s="362"/>
      <c r="G163" s="89" t="str">
        <f t="shared" si="0"/>
        <v/>
      </c>
      <c r="H163" s="89" t="str">
        <f t="shared" si="1"/>
        <v/>
      </c>
      <c r="I163" s="363" t="str">
        <f t="shared" si="2"/>
        <v/>
      </c>
      <c r="K163" s="1" t="s">
        <v>2247</v>
      </c>
    </row>
    <row r="164" spans="3:11" x14ac:dyDescent="0.2">
      <c r="C164" s="1168" t="s">
        <v>1974</v>
      </c>
      <c r="D164" s="1169"/>
      <c r="E164" s="1170"/>
      <c r="F164" s="362"/>
      <c r="G164" s="89" t="str">
        <f t="shared" si="0"/>
        <v/>
      </c>
      <c r="H164" s="89" t="str">
        <f t="shared" si="1"/>
        <v/>
      </c>
      <c r="I164" s="363" t="str">
        <f t="shared" si="2"/>
        <v/>
      </c>
    </row>
    <row r="165" spans="3:11" x14ac:dyDescent="0.2">
      <c r="C165" s="1168" t="s">
        <v>1973</v>
      </c>
      <c r="D165" s="1169"/>
      <c r="E165" s="1170"/>
      <c r="F165" s="362"/>
      <c r="G165" s="89" t="str">
        <f t="shared" si="0"/>
        <v/>
      </c>
      <c r="H165" s="89" t="str">
        <f t="shared" si="1"/>
        <v/>
      </c>
      <c r="I165" s="363" t="str">
        <f t="shared" si="2"/>
        <v/>
      </c>
      <c r="J165" s="1" t="s">
        <v>2095</v>
      </c>
    </row>
    <row r="166" spans="3:11" x14ac:dyDescent="0.2">
      <c r="C166" s="1234" t="s">
        <v>1972</v>
      </c>
      <c r="D166" s="1234"/>
      <c r="E166" s="1234"/>
      <c r="F166" s="362"/>
      <c r="G166" s="89" t="str">
        <f t="shared" si="0"/>
        <v/>
      </c>
      <c r="H166" s="89" t="str">
        <f t="shared" si="1"/>
        <v/>
      </c>
      <c r="I166" s="363" t="str">
        <f t="shared" si="2"/>
        <v/>
      </c>
    </row>
    <row r="167" spans="3:11" x14ac:dyDescent="0.2"/>
    <row r="168" spans="3:11" x14ac:dyDescent="0.2">
      <c r="C168" s="1234" t="s">
        <v>687</v>
      </c>
      <c r="D168" s="1234"/>
      <c r="E168" s="135">
        <f>IFERROR(DATEDIF(F161,F163,"M"),"")</f>
        <v>0</v>
      </c>
    </row>
    <row r="169" spans="3:11" x14ac:dyDescent="0.2">
      <c r="C169" s="1234" t="s">
        <v>688</v>
      </c>
      <c r="D169" s="1234"/>
      <c r="E169" s="135">
        <f>IFERROR(DATEDIF(F162,F164,"M"),"")</f>
        <v>0</v>
      </c>
    </row>
    <row r="170" spans="3:11" x14ac:dyDescent="0.2">
      <c r="C170" s="1168" t="s">
        <v>2663</v>
      </c>
      <c r="D170" s="1170"/>
      <c r="E170" s="135" t="str">
        <f>IFERROR(Revenue!C94/Details!E169,"")</f>
        <v/>
      </c>
    </row>
    <row r="171" spans="3:11" x14ac:dyDescent="0.2">
      <c r="C171" s="1234" t="s">
        <v>689</v>
      </c>
      <c r="D171" s="1234"/>
      <c r="E171" s="139" t="str">
        <f>IF(F165="","",YEAR(F165))</f>
        <v/>
      </c>
    </row>
    <row r="172" spans="3:11" x14ac:dyDescent="0.2"/>
  </sheetData>
  <sheetProtection algorithmName="SHA-512" hashValue="kT3Bq+n3muMDQhNof+yaJITnVyuKtLCgNP8GGgo0NXA7t9EkMpMy5XQwcDFwi52/RFnhMQGeODKHIMqiRTCSqA==" saltValue="TTV5PIhmsmEfNHxtbdZLbQ==" spinCount="100000" sheet="1" objects="1" scenarios="1"/>
  <mergeCells count="245">
    <mergeCell ref="G135:M135"/>
    <mergeCell ref="C168:D168"/>
    <mergeCell ref="E84:F84"/>
    <mergeCell ref="I84:J84"/>
    <mergeCell ref="I85:J85"/>
    <mergeCell ref="I86:J86"/>
    <mergeCell ref="I87:J87"/>
    <mergeCell ref="E85:F85"/>
    <mergeCell ref="E86:F86"/>
    <mergeCell ref="G145:M145"/>
    <mergeCell ref="G146:M146"/>
    <mergeCell ref="C155:E155"/>
    <mergeCell ref="C156:E156"/>
    <mergeCell ref="C157:E157"/>
    <mergeCell ref="C160:E160"/>
    <mergeCell ref="G149:M149"/>
    <mergeCell ref="B152:L152"/>
    <mergeCell ref="B153:L153"/>
    <mergeCell ref="C149:E149"/>
    <mergeCell ref="G147:M147"/>
    <mergeCell ref="G148:M148"/>
    <mergeCell ref="C145:E145"/>
    <mergeCell ref="C164:E164"/>
    <mergeCell ref="G139:M139"/>
    <mergeCell ref="G138:M138"/>
    <mergeCell ref="C166:E166"/>
    <mergeCell ref="G140:M140"/>
    <mergeCell ref="G141:M141"/>
    <mergeCell ref="G142:M142"/>
    <mergeCell ref="E82:F82"/>
    <mergeCell ref="E83:F83"/>
    <mergeCell ref="C110:F110"/>
    <mergeCell ref="C103:M103"/>
    <mergeCell ref="D98:K98"/>
    <mergeCell ref="D99:K99"/>
    <mergeCell ref="C88:D88"/>
    <mergeCell ref="G131:M131"/>
    <mergeCell ref="G132:M132"/>
    <mergeCell ref="G133:M133"/>
    <mergeCell ref="D91:K91"/>
    <mergeCell ref="D92:K92"/>
    <mergeCell ref="D93:K93"/>
    <mergeCell ref="D94:K94"/>
    <mergeCell ref="D95:K95"/>
    <mergeCell ref="G85:H85"/>
    <mergeCell ref="G86:H86"/>
    <mergeCell ref="C84:D84"/>
    <mergeCell ref="C82:D82"/>
    <mergeCell ref="G134:M134"/>
    <mergeCell ref="C86:D86"/>
    <mergeCell ref="C169:D169"/>
    <mergeCell ref="C171:D171"/>
    <mergeCell ref="C130:E130"/>
    <mergeCell ref="C131:E131"/>
    <mergeCell ref="C132:E132"/>
    <mergeCell ref="C133:E133"/>
    <mergeCell ref="C134:E134"/>
    <mergeCell ref="C135:E135"/>
    <mergeCell ref="C136:E136"/>
    <mergeCell ref="C137:E137"/>
    <mergeCell ref="C138:E138"/>
    <mergeCell ref="C139:E139"/>
    <mergeCell ref="C140:E140"/>
    <mergeCell ref="C141:E141"/>
    <mergeCell ref="C142:E142"/>
    <mergeCell ref="C143:E143"/>
    <mergeCell ref="C165:E165"/>
    <mergeCell ref="C161:E161"/>
    <mergeCell ref="C158:E158"/>
    <mergeCell ref="C162:E162"/>
    <mergeCell ref="C163:E163"/>
    <mergeCell ref="C144:E144"/>
    <mergeCell ref="C170:D170"/>
    <mergeCell ref="E18:F18"/>
    <mergeCell ref="C19:D19"/>
    <mergeCell ref="C20:D20"/>
    <mergeCell ref="C111:F111"/>
    <mergeCell ref="C112:F112"/>
    <mergeCell ref="C113:F113"/>
    <mergeCell ref="G137:M137"/>
    <mergeCell ref="C53:G53"/>
    <mergeCell ref="C123:M123"/>
    <mergeCell ref="C30:M30"/>
    <mergeCell ref="C31:M31"/>
    <mergeCell ref="C33:F33"/>
    <mergeCell ref="C61:M61"/>
    <mergeCell ref="C75:M75"/>
    <mergeCell ref="E80:F80"/>
    <mergeCell ref="E81:F81"/>
    <mergeCell ref="G87:H87"/>
    <mergeCell ref="I80:J80"/>
    <mergeCell ref="I81:J81"/>
    <mergeCell ref="I82:J82"/>
    <mergeCell ref="I83:J83"/>
    <mergeCell ref="E87:F87"/>
    <mergeCell ref="C83:D83"/>
    <mergeCell ref="C124:M124"/>
    <mergeCell ref="C126:M128"/>
    <mergeCell ref="E25:F25"/>
    <mergeCell ref="E21:F21"/>
    <mergeCell ref="D56:E56"/>
    <mergeCell ref="C66:D66"/>
    <mergeCell ref="C42:F42"/>
    <mergeCell ref="C51:F51"/>
    <mergeCell ref="C52:F52"/>
    <mergeCell ref="C62:M62"/>
    <mergeCell ref="H21:I21"/>
    <mergeCell ref="C25:D25"/>
    <mergeCell ref="C26:D26"/>
    <mergeCell ref="E26:F26"/>
    <mergeCell ref="D48:E48"/>
    <mergeCell ref="D49:E49"/>
    <mergeCell ref="C21:D21"/>
    <mergeCell ref="C109:F109"/>
    <mergeCell ref="C78:L78"/>
    <mergeCell ref="G80:H80"/>
    <mergeCell ref="G81:H81"/>
    <mergeCell ref="G82:H82"/>
    <mergeCell ref="J26:L26"/>
    <mergeCell ref="E69:F69"/>
    <mergeCell ref="C11:D11"/>
    <mergeCell ref="H3:L3"/>
    <mergeCell ref="H9:I9"/>
    <mergeCell ref="H10:I10"/>
    <mergeCell ref="J13:K13"/>
    <mergeCell ref="J14:K14"/>
    <mergeCell ref="C14:D14"/>
    <mergeCell ref="C44:G44"/>
    <mergeCell ref="C59:F59"/>
    <mergeCell ref="C18:D18"/>
    <mergeCell ref="H26:I26"/>
    <mergeCell ref="C35:G35"/>
    <mergeCell ref="C22:D22"/>
    <mergeCell ref="J12:K12"/>
    <mergeCell ref="C12:D12"/>
    <mergeCell ref="E20:F20"/>
    <mergeCell ref="D37:E37"/>
    <mergeCell ref="D38:E38"/>
    <mergeCell ref="D39:E39"/>
    <mergeCell ref="H14:I14"/>
    <mergeCell ref="H13:I13"/>
    <mergeCell ref="C13:D13"/>
    <mergeCell ref="H20:I20"/>
    <mergeCell ref="C23:D23"/>
    <mergeCell ref="C114:F114"/>
    <mergeCell ref="I114:J114"/>
    <mergeCell ref="I108:J108"/>
    <mergeCell ref="I109:J109"/>
    <mergeCell ref="I110:J110"/>
    <mergeCell ref="I111:J111"/>
    <mergeCell ref="I113:J113"/>
    <mergeCell ref="B2:F2"/>
    <mergeCell ref="B3:F3"/>
    <mergeCell ref="E9:F9"/>
    <mergeCell ref="E10:F10"/>
    <mergeCell ref="E11:F11"/>
    <mergeCell ref="E12:F12"/>
    <mergeCell ref="E13:F13"/>
    <mergeCell ref="E14:F14"/>
    <mergeCell ref="H2:L2"/>
    <mergeCell ref="B6:L6"/>
    <mergeCell ref="J9:K9"/>
    <mergeCell ref="J10:K10"/>
    <mergeCell ref="J11:K11"/>
    <mergeCell ref="C9:D9"/>
    <mergeCell ref="C10:D10"/>
    <mergeCell ref="B7:L7"/>
    <mergeCell ref="H11:I11"/>
    <mergeCell ref="C68:D68"/>
    <mergeCell ref="C70:D70"/>
    <mergeCell ref="E66:F66"/>
    <mergeCell ref="C67:D67"/>
    <mergeCell ref="C69:D69"/>
    <mergeCell ref="E70:F70"/>
    <mergeCell ref="E23:F23"/>
    <mergeCell ref="E24:F24"/>
    <mergeCell ref="D47:E47"/>
    <mergeCell ref="D55:E55"/>
    <mergeCell ref="E68:F68"/>
    <mergeCell ref="C64:M64"/>
    <mergeCell ref="D57:E57"/>
    <mergeCell ref="E67:F67"/>
    <mergeCell ref="C24:D24"/>
    <mergeCell ref="H27:I27"/>
    <mergeCell ref="C27:D27"/>
    <mergeCell ref="E27:F27"/>
    <mergeCell ref="E15:F15"/>
    <mergeCell ref="J15:K15"/>
    <mergeCell ref="J16:K16"/>
    <mergeCell ref="H16:I16"/>
    <mergeCell ref="H15:I15"/>
    <mergeCell ref="C15:D15"/>
    <mergeCell ref="E16:F16"/>
    <mergeCell ref="C16:D16"/>
    <mergeCell ref="E22:F22"/>
    <mergeCell ref="E19:F19"/>
    <mergeCell ref="H18:I18"/>
    <mergeCell ref="N97:Q97"/>
    <mergeCell ref="N94:P95"/>
    <mergeCell ref="N96:P96"/>
    <mergeCell ref="I118:J118"/>
    <mergeCell ref="C108:F108"/>
    <mergeCell ref="C87:D87"/>
    <mergeCell ref="C118:F118"/>
    <mergeCell ref="C71:D71"/>
    <mergeCell ref="E71:F71"/>
    <mergeCell ref="G83:H83"/>
    <mergeCell ref="G84:H84"/>
    <mergeCell ref="C85:D85"/>
    <mergeCell ref="I115:J115"/>
    <mergeCell ref="I116:J116"/>
    <mergeCell ref="G88:H88"/>
    <mergeCell ref="I88:J88"/>
    <mergeCell ref="G89:H89"/>
    <mergeCell ref="I89:J89"/>
    <mergeCell ref="C105:M106"/>
    <mergeCell ref="I117:J117"/>
    <mergeCell ref="I112:J112"/>
    <mergeCell ref="C115:F115"/>
    <mergeCell ref="C116:F116"/>
    <mergeCell ref="C117:F117"/>
    <mergeCell ref="C159:E159"/>
    <mergeCell ref="E17:F17"/>
    <mergeCell ref="C17:D17"/>
    <mergeCell ref="H17:I17"/>
    <mergeCell ref="K25:L25"/>
    <mergeCell ref="C146:E146"/>
    <mergeCell ref="C148:E148"/>
    <mergeCell ref="C147:E147"/>
    <mergeCell ref="D96:K96"/>
    <mergeCell ref="D97:K97"/>
    <mergeCell ref="C80:D80"/>
    <mergeCell ref="C81:D81"/>
    <mergeCell ref="E88:F88"/>
    <mergeCell ref="C89:D89"/>
    <mergeCell ref="E89:F89"/>
    <mergeCell ref="G143:M143"/>
    <mergeCell ref="G144:M144"/>
    <mergeCell ref="C102:M102"/>
    <mergeCell ref="G136:M136"/>
    <mergeCell ref="G130:M130"/>
    <mergeCell ref="J27:L27"/>
    <mergeCell ref="D40:E40"/>
    <mergeCell ref="D46:E46"/>
    <mergeCell ref="D58:E58"/>
  </mergeCells>
  <phoneticPr fontId="30" type="noConversion"/>
  <conditionalFormatting sqref="N94">
    <cfRule type="expression" dxfId="228" priority="1">
      <formula>CELL("protect",#REF!)=0</formula>
    </cfRule>
  </conditionalFormatting>
  <dataValidations count="13">
    <dataValidation type="list" allowBlank="1" showInputMessage="1" showErrorMessage="1" sqref="G129 G36:G42 G125 J13 G54 G59:G60 G63 G65 G45:G51 G104 G119 G121:G122 G33" xr:uid="{00000000-0002-0000-0300-000000000000}">
      <formula1>"Yes,No"</formula1>
    </dataValidation>
    <dataValidation type="whole" allowBlank="1" showInputMessage="1" showErrorMessage="1" sqref="E13" xr:uid="{F51DAB4C-4B72-4D97-9E9C-D31CDBEF3FE7}">
      <formula1>10000000000</formula1>
      <formula2>99999999999</formula2>
    </dataValidation>
    <dataValidation type="list" allowBlank="1" showInputMessage="1" showErrorMessage="1" sqref="J9" xr:uid="{043D343F-BBC8-44C9-B3CC-82E61EBBE1E8}">
      <formula1>"New Affordability,Preserved Affordability"</formula1>
    </dataValidation>
    <dataValidation type="whole" allowBlank="1" showInputMessage="1" showErrorMessage="1" sqref="E25:F27" xr:uid="{E7773671-CBCC-4B2B-9CF6-8B7AC0E89CC0}">
      <formula1>0</formula1>
      <formula2>500</formula2>
    </dataValidation>
    <dataValidation type="list" allowBlank="1" showInputMessage="1" showErrorMessage="1" sqref="E11" xr:uid="{2DF6A2C5-FE7D-411C-87C0-2C29CB072C98}">
      <formula1>"Proposal Application, Final Application"</formula1>
    </dataValidation>
    <dataValidation type="list" allowBlank="1" showInputMessage="1" showErrorMessage="1" sqref="J10" xr:uid="{1458392E-091B-488F-8FF9-02214BC5AB69}">
      <formula1>"New Construction,Rehabilitation,Adaptive Reuse"</formula1>
    </dataValidation>
    <dataValidation type="list" allowBlank="1" showInputMessage="1" showErrorMessage="1" sqref="J15" xr:uid="{A867D0EE-6D8B-4215-98FD-B75E4B342110}">
      <formula1>"General Occupancy, Senior 55+, Senior 62+"</formula1>
    </dataValidation>
    <dataValidation type="list" allowBlank="1" showInputMessage="1" showErrorMessage="1" sqref="F47:F49 F38:F40" xr:uid="{7EE669CB-CE85-423A-93B9-9299752D81BC}">
      <formula1>"9%, 4%"</formula1>
    </dataValidation>
    <dataValidation type="list" allowBlank="1" showInputMessage="1" showErrorMessage="1" sqref="G56:G58" xr:uid="{C4FEF695-3CB3-41F5-A1C9-36AB00BDF08A}">
      <formula1>"HOME, NHTF, OHTF, Other"</formula1>
    </dataValidation>
    <dataValidation type="list" allowBlank="1" showInputMessage="1" showErrorMessage="1" sqref="H109:H118 K109:K118 H120 J11:K11 F90:H90" xr:uid="{027CAE4C-6B30-49AF-9F6C-3B29471BB13C}">
      <formula1>"Yes, No"</formula1>
    </dataValidation>
    <dataValidation type="list" allowBlank="1" showInputMessage="1" showErrorMessage="1" sqref="I67:I71" xr:uid="{EF6DAFA4-7BB0-45A1-81FF-F388FAAC612D}">
      <formula1>"Yes, No, N/A"</formula1>
    </dataValidation>
    <dataValidation type="list" allowBlank="1" showInputMessage="1" showErrorMessage="1" sqref="E10:F10" xr:uid="{DE7292BA-9FD7-4AB6-9B45-FE4EB699FED2}">
      <formula1>"9%, 4%, N/A - Non-LIHTC"</formula1>
    </dataValidation>
    <dataValidation type="list" allowBlank="1" showInputMessage="1" showErrorMessage="1" sqref="F56:F58" xr:uid="{BD2BDF95-1C20-4F44-995C-BAB842D337DB}">
      <formula1>"9%, 4%, N/A"</formula1>
    </dataValidation>
  </dataValidations>
  <hyperlinks>
    <hyperlink ref="C13:D13" r:id="rId1" display="11-Digit 2020 Census Tract:" xr:uid="{E968657B-A945-48DE-8A14-5EFD2EE85D97}"/>
    <hyperlink ref="C16:D16" r:id="rId2" display="Zip Code:" xr:uid="{22991D97-D829-4AE9-B2DB-76E9B2061859}"/>
    <hyperlink ref="C23:D23" r:id="rId3" display="Latitude:" xr:uid="{CD997967-7D6C-4060-8384-81442B09B6D7}"/>
    <hyperlink ref="C24:D24" r:id="rId4" display="Longitude:" xr:uid="{C1E5E7F2-F847-4295-8DEA-C775815C77BB}"/>
    <hyperlink ref="C25:D25" r:id="rId5" display="Ohio State Senate District:" xr:uid="{B1A6CB1A-7082-42C6-B120-AD41DEE68277}"/>
    <hyperlink ref="C26:D26" r:id="rId6" display="Ohio State House District:" xr:uid="{920EF05C-B489-4D86-A8AA-5CC693434384}"/>
    <hyperlink ref="C27:D27" r:id="rId7" display="US Congressional District:" xr:uid="{8483F8AE-AE38-46FD-B492-3BC72ED6F081}"/>
    <hyperlink ref="C17:D17" r:id="rId8" display="Zip Code Tabulation Area:" xr:uid="{E126032B-18C5-4589-9C2A-B630FDB81EDF}"/>
    <hyperlink ref="N96:P96" r:id="rId9" display="Ohio Department of Children and Youth Early Care and Education Search website" xr:uid="{FA1BB340-811D-482B-A099-73D51B57C385}"/>
  </hyperlinks>
  <pageMargins left="0.7" right="0.7" top="0.75" bottom="0.75" header="0.3" footer="0.3"/>
  <pageSetup scale="63" fitToHeight="0" orientation="portrait" r:id="rId10"/>
  <headerFooter>
    <oddFooter>&amp;L&amp;"-,Bold"&amp;9Project Details Tab&amp;"-,Regular"
Affordable Housing Funding Application&amp;C&amp;9Ohio Housing Finance Agency&amp;R&amp;9Page &amp;P of &amp;N</oddFooter>
  </headerFooter>
  <rowBreaks count="1" manualBreakCount="1">
    <brk id="122" min="1" max="11" man="1"/>
  </rowBreaks>
  <drawing r:id="rId11"/>
  <legacyDrawing r:id="rId12"/>
  <extLst>
    <ext xmlns:x14="http://schemas.microsoft.com/office/spreadsheetml/2009/9/main" uri="{CCE6A557-97BC-4b89-ADB6-D9C93CAAB3DF}">
      <x14:dataValidations xmlns:xm="http://schemas.microsoft.com/office/excel/2006/main" count="2">
        <x14:dataValidation type="list" allowBlank="1" showInputMessage="1" showErrorMessage="1" xr:uid="{36A77C67-4293-45CE-9ACE-A65F02FD9DFD}">
          <x14:formula1>
            <xm:f>Data!$EC$11:$EC$24</xm:f>
          </x14:formula1>
          <xm:sqref>C67:C71</xm:sqref>
        </x14:dataValidation>
        <x14:dataValidation type="list" allowBlank="1" showInputMessage="1" showErrorMessage="1" xr:uid="{869FE861-E2E7-446B-83B5-6FE4164A77DD}">
          <x14:formula1>
            <xm:f>Data!$EO$11:$EO$14</xm:f>
          </x14:formula1>
          <xm:sqref>E21:F21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47A46-63DD-46EA-8469-0C7CBA05FDB3}">
  <sheetPr>
    <pageSetUpPr autoPageBreaks="0" fitToPage="1"/>
  </sheetPr>
  <dimension ref="B1:X259"/>
  <sheetViews>
    <sheetView showGridLines="0" zoomScale="85" zoomScaleNormal="85" zoomScaleSheetLayoutView="40" zoomScalePageLayoutView="70" workbookViewId="0">
      <selection activeCell="Q107" sqref="Q107"/>
    </sheetView>
  </sheetViews>
  <sheetFormatPr defaultColWidth="8.875" defaultRowHeight="15" customHeight="1" x14ac:dyDescent="0.2"/>
  <cols>
    <col min="1" max="1" width="2.625" style="251" customWidth="1"/>
    <col min="2" max="6" width="14.625" style="251" customWidth="1"/>
    <col min="7" max="7" width="10.625" style="251" customWidth="1"/>
    <col min="8" max="12" width="14.625" style="251" customWidth="1"/>
    <col min="13" max="13" width="2.125" style="251" customWidth="1"/>
    <col min="14" max="17" width="8.875" style="251"/>
    <col min="18" max="18" width="9.5" style="251" bestFit="1" customWidth="1"/>
    <col min="19" max="16384" width="8.875" style="251"/>
  </cols>
  <sheetData>
    <row r="1" spans="2:12" ht="55.5" customHeight="1" x14ac:dyDescent="0.2">
      <c r="B1" s="1"/>
      <c r="C1" s="1"/>
      <c r="D1" s="1"/>
      <c r="E1" s="1"/>
      <c r="F1" s="1"/>
      <c r="G1" s="1"/>
      <c r="H1" s="1"/>
      <c r="I1" s="1"/>
      <c r="J1" s="1"/>
      <c r="K1" s="1"/>
      <c r="L1" s="1"/>
    </row>
    <row r="2" spans="2:12" ht="25.5" customHeight="1" x14ac:dyDescent="0.2">
      <c r="B2" s="1159" t="s">
        <v>2579</v>
      </c>
      <c r="C2" s="1160"/>
      <c r="D2" s="1160"/>
      <c r="E2" s="1160"/>
      <c r="F2" s="1160"/>
      <c r="G2" s="27"/>
      <c r="H2" s="27"/>
      <c r="I2" s="1217"/>
      <c r="J2" s="1217"/>
      <c r="K2" s="1217"/>
      <c r="L2" s="1218"/>
    </row>
    <row r="3" spans="2:12" ht="20.25" customHeight="1" x14ac:dyDescent="0.2">
      <c r="B3" s="1633">
        <f ca="1">TODAY()</f>
        <v>46027</v>
      </c>
      <c r="C3" s="1634"/>
      <c r="D3" s="1634"/>
      <c r="E3" s="1634"/>
      <c r="F3" s="1634"/>
      <c r="G3" s="93"/>
      <c r="H3" s="98"/>
      <c r="I3" s="1304"/>
      <c r="J3" s="1304"/>
      <c r="K3" s="1304"/>
      <c r="L3" s="1305"/>
    </row>
    <row r="6" spans="2:12" ht="15" customHeight="1" x14ac:dyDescent="0.2">
      <c r="B6" s="1609" t="s">
        <v>296</v>
      </c>
      <c r="C6" s="1609"/>
      <c r="H6" s="1609" t="str">
        <f>IF(D15="New Construction","Project Rendering","Existing Photograph")</f>
        <v>Existing Photograph</v>
      </c>
      <c r="I6" s="1609"/>
      <c r="J6" s="1609"/>
      <c r="K6" s="1609"/>
      <c r="L6" s="1609"/>
    </row>
    <row r="7" spans="2:12" ht="3" customHeight="1" x14ac:dyDescent="0.2">
      <c r="B7" s="1615"/>
      <c r="C7" s="1615"/>
      <c r="D7" s="1615"/>
      <c r="E7" s="1615"/>
      <c r="F7" s="1615"/>
      <c r="H7" s="1615"/>
      <c r="I7" s="1615"/>
      <c r="J7" s="1615"/>
      <c r="K7" s="1615"/>
      <c r="L7" s="1615"/>
    </row>
    <row r="8" spans="2:12" ht="5.25" customHeight="1" x14ac:dyDescent="0.2">
      <c r="B8" s="252"/>
      <c r="C8" s="252"/>
      <c r="H8" s="252"/>
      <c r="I8" s="252"/>
      <c r="J8" s="252"/>
      <c r="K8" s="252"/>
    </row>
    <row r="9" spans="2:12" ht="15" customHeight="1" x14ac:dyDescent="0.2">
      <c r="B9" s="1601" t="s">
        <v>2</v>
      </c>
      <c r="C9" s="1605"/>
      <c r="D9" s="1611" t="str">
        <f>IF(Details!E12="","",Details!E12)</f>
        <v/>
      </c>
      <c r="E9" s="1611"/>
      <c r="F9" s="1611"/>
      <c r="H9" s="1617"/>
      <c r="I9" s="1617"/>
      <c r="J9" s="1617"/>
      <c r="K9" s="1617"/>
      <c r="L9" s="1617"/>
    </row>
    <row r="10" spans="2:12" ht="15" customHeight="1" x14ac:dyDescent="0.2">
      <c r="B10" s="1601" t="s">
        <v>682</v>
      </c>
      <c r="C10" s="1605"/>
      <c r="D10" s="1618" t="str">
        <f>IF(OR(Details!E9="",Details!E9="TBD"),"TBD",Details!E9)</f>
        <v>TBD</v>
      </c>
      <c r="E10" s="1619"/>
      <c r="F10" s="1620"/>
      <c r="H10" s="1617"/>
      <c r="I10" s="1617"/>
      <c r="J10" s="1617"/>
      <c r="K10" s="1617"/>
      <c r="L10" s="1617"/>
    </row>
    <row r="11" spans="2:12" ht="15" customHeight="1" x14ac:dyDescent="0.2">
      <c r="B11" s="1601" t="s">
        <v>264</v>
      </c>
      <c r="C11" s="1605"/>
      <c r="D11" s="1621">
        <f>IF(Details!E10="","",Details!E10)</f>
        <v>0.09</v>
      </c>
      <c r="E11" s="1621"/>
      <c r="F11" s="1621"/>
      <c r="H11" s="1617"/>
      <c r="I11" s="1617"/>
      <c r="J11" s="1617"/>
      <c r="K11" s="1617"/>
      <c r="L11" s="1617"/>
    </row>
    <row r="12" spans="2:12" ht="15" customHeight="1" x14ac:dyDescent="0.2">
      <c r="B12" s="1601" t="s">
        <v>230</v>
      </c>
      <c r="C12" s="1605"/>
      <c r="D12" s="1611" t="str">
        <f>IF(Details!E14="","",Details!E14)</f>
        <v/>
      </c>
      <c r="E12" s="1611"/>
      <c r="F12" s="1611"/>
      <c r="H12" s="1617"/>
      <c r="I12" s="1617"/>
      <c r="J12" s="1617"/>
      <c r="K12" s="1617"/>
      <c r="L12" s="1617"/>
    </row>
    <row r="13" spans="2:12" ht="15" customHeight="1" x14ac:dyDescent="0.2">
      <c r="B13" s="1601" t="s">
        <v>3478</v>
      </c>
      <c r="C13" s="1605"/>
      <c r="D13" s="1611" t="str">
        <f>IF(Details!E15="","",Details!E15)</f>
        <v/>
      </c>
      <c r="E13" s="1611"/>
      <c r="F13" s="1611"/>
      <c r="H13" s="1617"/>
      <c r="I13" s="1617"/>
      <c r="J13" s="1617"/>
      <c r="K13" s="1617"/>
      <c r="L13" s="1617"/>
    </row>
    <row r="14" spans="2:12" ht="15" customHeight="1" x14ac:dyDescent="0.2">
      <c r="B14" s="1601" t="s">
        <v>231</v>
      </c>
      <c r="C14" s="1605"/>
      <c r="D14" s="1611" t="str">
        <f>IF(Details!E18="","",Details!E18)</f>
        <v>Input Census Tract</v>
      </c>
      <c r="E14" s="1611"/>
      <c r="F14" s="1611"/>
      <c r="H14" s="1617"/>
      <c r="I14" s="1617"/>
      <c r="J14" s="1617"/>
      <c r="K14" s="1617"/>
      <c r="L14" s="1617"/>
    </row>
    <row r="15" spans="2:12" ht="15" customHeight="1" x14ac:dyDescent="0.2">
      <c r="B15" s="1601" t="s">
        <v>2698</v>
      </c>
      <c r="C15" s="1605"/>
      <c r="D15" s="1611" t="str">
        <f>IF(Details!J10="","",Details!J10)</f>
        <v/>
      </c>
      <c r="E15" s="1611"/>
      <c r="F15" s="1611"/>
      <c r="H15" s="1617"/>
      <c r="I15" s="1617"/>
      <c r="J15" s="1617"/>
      <c r="K15" s="1617"/>
      <c r="L15" s="1617"/>
    </row>
    <row r="16" spans="2:12" ht="15" customHeight="1" x14ac:dyDescent="0.2">
      <c r="B16" s="1601" t="s">
        <v>2098</v>
      </c>
      <c r="C16" s="1605"/>
      <c r="D16" s="1611" t="str">
        <f>IF(Details!J15="","",Details!J15)</f>
        <v/>
      </c>
      <c r="E16" s="1611"/>
      <c r="F16" s="1611"/>
      <c r="H16" s="1617"/>
      <c r="I16" s="1617"/>
      <c r="J16" s="1617"/>
      <c r="K16" s="1617"/>
      <c r="L16" s="1617"/>
    </row>
    <row r="17" spans="2:24" ht="15" customHeight="1" x14ac:dyDescent="0.2">
      <c r="B17" s="1601" t="s">
        <v>2134</v>
      </c>
      <c r="C17" s="1605"/>
      <c r="D17" s="1618" t="str">
        <f>IF(Details!$E$21="","",Details!$E$21)</f>
        <v/>
      </c>
      <c r="E17" s="1619"/>
      <c r="F17" s="1620"/>
      <c r="H17" s="1617"/>
      <c r="I17" s="1617"/>
      <c r="J17" s="1617"/>
      <c r="K17" s="1617"/>
      <c r="L17" s="1617"/>
    </row>
    <row r="18" spans="2:24" ht="15" customHeight="1" x14ac:dyDescent="0.2">
      <c r="B18" s="251" t="s">
        <v>288</v>
      </c>
      <c r="D18" s="1622" t="str">
        <f>IF(Team!E12="","",Team!E12)</f>
        <v/>
      </c>
      <c r="E18" s="1622"/>
      <c r="F18" s="1622"/>
      <c r="H18" s="1617"/>
      <c r="I18" s="1617"/>
      <c r="J18" s="1617"/>
      <c r="K18" s="1617"/>
      <c r="L18" s="1617"/>
    </row>
    <row r="19" spans="2:24" ht="15" customHeight="1" x14ac:dyDescent="0.2">
      <c r="B19" s="251" t="s">
        <v>3269</v>
      </c>
      <c r="D19" s="697">
        <f>Revenue!C101</f>
        <v>0</v>
      </c>
      <c r="H19" s="1617"/>
      <c r="I19" s="1617"/>
      <c r="J19" s="1617"/>
      <c r="K19" s="1617"/>
      <c r="L19" s="1617"/>
    </row>
    <row r="20" spans="2:24" ht="15" customHeight="1" x14ac:dyDescent="0.2">
      <c r="B20" s="1601" t="s">
        <v>421</v>
      </c>
      <c r="C20" s="1605"/>
      <c r="D20" s="697">
        <f>SUM(Site!$F$91:$I$98)</f>
        <v>0</v>
      </c>
      <c r="H20" s="1617"/>
      <c r="I20" s="1617"/>
      <c r="J20" s="1617"/>
      <c r="K20" s="1617"/>
      <c r="L20" s="1617"/>
    </row>
    <row r="21" spans="2:24" ht="15" customHeight="1" x14ac:dyDescent="0.2">
      <c r="B21" s="251" t="s">
        <v>3479</v>
      </c>
      <c r="D21" s="697">
        <f>SUM(Revenue!$N$110,SUMPRODUCT(Revenue!$M$111:$M$115,Revenue!$N$111:$N$115))</f>
        <v>0</v>
      </c>
      <c r="H21" s="1617"/>
      <c r="I21" s="1617"/>
      <c r="J21" s="1617"/>
      <c r="K21" s="1617"/>
      <c r="L21" s="1617"/>
    </row>
    <row r="22" spans="2:24" ht="15" customHeight="1" x14ac:dyDescent="0.2">
      <c r="D22" s="256"/>
      <c r="E22" s="256"/>
      <c r="F22" s="256"/>
      <c r="H22" s="650"/>
      <c r="I22" s="650"/>
      <c r="J22" s="650"/>
      <c r="K22" s="650"/>
      <c r="L22" s="650"/>
    </row>
    <row r="23" spans="2:24" ht="15" customHeight="1" x14ac:dyDescent="0.2">
      <c r="D23" s="256"/>
      <c r="E23" s="256"/>
      <c r="F23" s="256"/>
      <c r="H23" s="650"/>
      <c r="I23" s="650"/>
      <c r="J23" s="650"/>
      <c r="K23" s="650"/>
      <c r="L23" s="650"/>
    </row>
    <row r="24" spans="2:24" ht="15" customHeight="1" x14ac:dyDescent="0.2">
      <c r="B24" s="1609" t="s">
        <v>2129</v>
      </c>
      <c r="C24" s="1609"/>
      <c r="D24" s="1609"/>
      <c r="E24" s="1609"/>
      <c r="F24" s="1609"/>
      <c r="H24" s="1609" t="s">
        <v>337</v>
      </c>
      <c r="I24" s="1609"/>
      <c r="J24" s="1609"/>
      <c r="K24" s="1609"/>
      <c r="L24" s="1609"/>
      <c r="O24" s="1612" t="s">
        <v>3464</v>
      </c>
      <c r="P24" s="1612"/>
      <c r="Q24" s="1612"/>
      <c r="R24" s="1612"/>
      <c r="S24" s="1612"/>
      <c r="T24" s="1612"/>
    </row>
    <row r="25" spans="2:24" ht="3" customHeight="1" x14ac:dyDescent="0.2">
      <c r="B25" s="989"/>
      <c r="C25" s="989"/>
      <c r="D25" s="990"/>
      <c r="E25" s="990"/>
      <c r="F25" s="990"/>
      <c r="H25" s="1623"/>
      <c r="I25" s="1623"/>
      <c r="J25" s="1623"/>
      <c r="K25" s="1623"/>
      <c r="L25" s="1623"/>
      <c r="O25" s="1002"/>
      <c r="P25" s="1002"/>
      <c r="Q25" s="1002"/>
      <c r="R25" s="1002"/>
      <c r="S25" s="1002"/>
      <c r="T25" s="1002"/>
    </row>
    <row r="26" spans="2:24" ht="5.25" customHeight="1" x14ac:dyDescent="0.2">
      <c r="B26" s="252"/>
      <c r="C26" s="252"/>
      <c r="H26" s="650"/>
      <c r="I26" s="650"/>
      <c r="J26" s="650"/>
      <c r="K26" s="650"/>
      <c r="L26" s="650"/>
    </row>
    <row r="27" spans="2:24" ht="15" customHeight="1" x14ac:dyDescent="0.2">
      <c r="B27" s="252"/>
      <c r="C27" s="252"/>
      <c r="D27" s="992" t="s">
        <v>163</v>
      </c>
      <c r="E27" s="993" t="s">
        <v>2531</v>
      </c>
      <c r="H27" s="1624" t="str">
        <f>IFERROR(CONCATENATE(X27," ",X28," ",X29&amp;CHAR(10)&amp;CHAR(10),X30,"."),"")</f>
        <v/>
      </c>
      <c r="I27" s="1625"/>
      <c r="J27" s="1625"/>
      <c r="K27" s="1625"/>
      <c r="L27" s="1626"/>
      <c r="O27" s="1601" t="s">
        <v>298</v>
      </c>
      <c r="P27" s="1601"/>
      <c r="Q27" s="1601"/>
      <c r="R27" s="1601">
        <f>Details!E12</f>
        <v>0</v>
      </c>
      <c r="S27" s="1601"/>
      <c r="T27" s="1601"/>
      <c r="U27" s="1601"/>
      <c r="V27" s="1601" t="s">
        <v>3465</v>
      </c>
      <c r="W27" s="1601"/>
      <c r="X27" s="251" t="str">
        <f>CONCATENATE($R$27," involves the ",$R$28," of ",$R$29 &amp; " units in " &amp; $R$30 &amp; IF($R$31&gt;0, " elevator-serviced", "") &amp; IF($R$30&gt;1, " buildings", " building"),IF($R$33="N/A",CONCATENATE(" serving ",$R$32),CONCATENATE(" serving ",$R$33))," ",$R$34," ",$R$35,", ",$R$36,".")</f>
        <v>0 involves the No construction type listed of 0 units in 0 building serving FALSE to be located in 0, Input Census Tract County.</v>
      </c>
    </row>
    <row r="28" spans="2:24" ht="15" customHeight="1" x14ac:dyDescent="0.2">
      <c r="B28" s="1601" t="s">
        <v>2526</v>
      </c>
      <c r="C28" s="1601"/>
      <c r="D28" s="257">
        <f>IF(OLIHTCs!F19="","N/A",OLIHTCs!F19)</f>
        <v>0</v>
      </c>
      <c r="E28" s="686" t="str">
        <f t="shared" ref="E28:E36" si="0">IF(D28="N/A","N/A","")</f>
        <v/>
      </c>
      <c r="H28" s="1627"/>
      <c r="I28" s="1628"/>
      <c r="J28" s="1628"/>
      <c r="K28" s="1628"/>
      <c r="L28" s="1629"/>
      <c r="O28" s="1601" t="s">
        <v>651</v>
      </c>
      <c r="P28" s="1601"/>
      <c r="Q28" s="1601"/>
      <c r="R28" s="1601" t="str" cm="1">
        <f t="array" ref="R28">_xlfn.LET(_xlpm.headers, Site!$F$68:$H$68,_xlpm.counts, Site!$F$71:$H$71,_xlpm.types, _xlfn._xlws.FILTER(_xlpm.headers, _xlpm.counts&gt;0),_xlpm.clean_types, LOWER(_xlpm.types),_xlpm.count, COUNTA(_xlpm.clean_types),IF(ISERROR(_xlpm.clean_types), "No construction type listed",IF(_xlpm.count=1, _xlfn.TEXTJOIN("", TRUE, _xlpm.clean_types),IF(_xlpm.count=2, _xlfn.TEXTJOIN(" and ", TRUE, _xlpm.clean_types),SUBSTITUTE(_xlfn.TEXTJOIN(", ", TRUE, _xlpm.clean_types), ", ", ", and ", _xlpm.count-1)))))</f>
        <v>No construction type listed</v>
      </c>
      <c r="S28" s="1601"/>
      <c r="T28" s="1601"/>
      <c r="U28" s="1601"/>
      <c r="V28" s="1601" t="s">
        <v>3466</v>
      </c>
      <c r="W28" s="1601"/>
      <c r="X28" s="251" t="str">
        <f>IF(R37=0,"",CONCATENATE(R37," units will be encumbered by a project-based rental assistance contract in the form of ",R38,"."))</f>
        <v/>
      </c>
    </row>
    <row r="29" spans="2:24" ht="15" customHeight="1" x14ac:dyDescent="0.2">
      <c r="B29" s="1601" t="str">
        <f>Sources!C44</f>
        <v>HDAP: OHTF</v>
      </c>
      <c r="C29" s="1605"/>
      <c r="D29" s="257" t="str">
        <f>IF(Sources!G44=0,"N/A",Sources!G44)</f>
        <v>N/A</v>
      </c>
      <c r="E29" s="686" t="str">
        <f t="shared" si="0"/>
        <v>N/A</v>
      </c>
      <c r="H29" s="1627"/>
      <c r="I29" s="1628"/>
      <c r="J29" s="1628"/>
      <c r="K29" s="1628"/>
      <c r="L29" s="1629"/>
      <c r="O29" s="1601" t="s">
        <v>2425</v>
      </c>
      <c r="P29" s="1601"/>
      <c r="Q29" s="1601"/>
      <c r="R29" s="1616">
        <f>Revenue!C94</f>
        <v>0</v>
      </c>
      <c r="S29" s="1616"/>
      <c r="T29" s="1616"/>
      <c r="U29" s="1616"/>
      <c r="V29" s="1601" t="s">
        <v>3467</v>
      </c>
      <c r="W29" s="1601"/>
      <c r="X29" s="251" t="e" vm="1">
        <f>CONCATENATE("This development will consist of ",R39," with ",R42,".",IF(R43&gt;1,CONCATENATE("There are ",R43," manager's units."),IF(R43=1," There is one manager's unit.","")),IF(R44=1," There is one unrestricted unit.",IF(R44&gt;1,CONCATENATE(" There are ",R44," unrestricted units."),"")))</f>
        <v>#VALUE!</v>
      </c>
    </row>
    <row r="30" spans="2:24" ht="15" customHeight="1" x14ac:dyDescent="0.2">
      <c r="B30" s="1601" t="str">
        <f>Sources!C45</f>
        <v>HDAP: HOME</v>
      </c>
      <c r="C30" s="1605"/>
      <c r="D30" s="257" t="str">
        <f>IF(Sources!G45=0,"N/A",Sources!G45)</f>
        <v>N/A</v>
      </c>
      <c r="E30" s="686" t="str">
        <f t="shared" si="0"/>
        <v>N/A</v>
      </c>
      <c r="H30" s="1627"/>
      <c r="I30" s="1628"/>
      <c r="J30" s="1628"/>
      <c r="K30" s="1628"/>
      <c r="L30" s="1629"/>
      <c r="O30" s="1601" t="s">
        <v>3454</v>
      </c>
      <c r="P30" s="1601"/>
      <c r="Q30" s="1601"/>
      <c r="R30" s="251">
        <f>SUM(Site!$F$88:$I$95)</f>
        <v>0</v>
      </c>
      <c r="U30" s="991"/>
      <c r="V30" s="1601" t="s">
        <v>3472</v>
      </c>
      <c r="W30" s="1601"/>
      <c r="X30" s="251" t="e" vm="1">
        <f>CONCATENATE("This development was submitted in the ",R45," ",R46," round's ", R47," pool ","and will be ",R48)</f>
        <v>#VALUE!</v>
      </c>
    </row>
    <row r="31" spans="2:24" ht="15" customHeight="1" x14ac:dyDescent="0.2">
      <c r="B31" s="1601" t="str">
        <f>Sources!C46</f>
        <v>HDAP: NHTF</v>
      </c>
      <c r="C31" s="1605"/>
      <c r="D31" s="257" t="str">
        <f>IF(Sources!G46=0,"N/A",Sources!G46)</f>
        <v>N/A</v>
      </c>
      <c r="E31" s="686" t="str">
        <f t="shared" si="0"/>
        <v>N/A</v>
      </c>
      <c r="H31" s="1627"/>
      <c r="I31" s="1628"/>
      <c r="J31" s="1628"/>
      <c r="K31" s="1628"/>
      <c r="L31" s="1629"/>
      <c r="O31" s="1601" t="s">
        <v>3455</v>
      </c>
      <c r="P31" s="1601"/>
      <c r="Q31" s="1601"/>
      <c r="R31" s="251">
        <f>SUM(Site!J88:J95)</f>
        <v>0</v>
      </c>
      <c r="U31" s="991"/>
      <c r="V31" s="251" t="s">
        <v>3504</v>
      </c>
      <c r="X31" s="251" t="str">
        <f>CONCATENATE("It was originally constructed in ",TEXT(MIN(Site!$P$14:$P$63),"yyyy"))</f>
        <v>It was originally constructed in 1900</v>
      </c>
    </row>
    <row r="32" spans="2:24" ht="15" customHeight="1" x14ac:dyDescent="0.2">
      <c r="B32" s="1601" t="str">
        <f>Sources!C47</f>
        <v>HDAP: Other</v>
      </c>
      <c r="C32" s="1605"/>
      <c r="D32" s="257" t="str">
        <f>IF(Sources!G47=0,"N/A",Sources!G47)</f>
        <v>N/A</v>
      </c>
      <c r="E32" s="686" t="str">
        <f t="shared" si="0"/>
        <v>N/A</v>
      </c>
      <c r="H32" s="1627"/>
      <c r="I32" s="1628"/>
      <c r="J32" s="1628"/>
      <c r="K32" s="1628"/>
      <c r="L32" s="1629"/>
      <c r="O32" s="1601" t="s">
        <v>1964</v>
      </c>
      <c r="P32" s="1601"/>
      <c r="Q32" s="1601"/>
      <c r="R32" s="251" t="b">
        <f>IF(Details!$J$15="General Occupancy","of all ages",IF(Details!$J$15="Senior 55+","seniors ages 55 and above",IF(Details!$J$15="Senior 62+","seniors ages 62 and above")))</f>
        <v>0</v>
      </c>
      <c r="U32" s="991"/>
    </row>
    <row r="33" spans="2:21" ht="15" customHeight="1" x14ac:dyDescent="0.2">
      <c r="B33" s="1601" t="s">
        <v>2532</v>
      </c>
      <c r="C33" s="1605"/>
      <c r="D33" s="257" t="str">
        <f>IF(Bonds!E20="Yes",Bonds!G34,"N/A")</f>
        <v>N/A</v>
      </c>
      <c r="E33" s="686" t="str">
        <f t="shared" si="0"/>
        <v>N/A</v>
      </c>
      <c r="F33" s="258"/>
      <c r="H33" s="1627"/>
      <c r="I33" s="1628"/>
      <c r="J33" s="1628"/>
      <c r="K33" s="1628"/>
      <c r="L33" s="1629"/>
      <c r="O33" s="1601" t="s">
        <v>3456</v>
      </c>
      <c r="P33" s="1601"/>
      <c r="Q33" s="1601"/>
      <c r="R33" s="251" t="str">
        <f>LOWER(IF(COUNTA(Details!$C$67:$C$71)=0, "N/A", _xlfn.TEXTJOIN(", ", TRUE, Details!$C$67:$C$71)))</f>
        <v>n/a</v>
      </c>
      <c r="U33" s="991"/>
    </row>
    <row r="34" spans="2:21" ht="15" customHeight="1" x14ac:dyDescent="0.2">
      <c r="B34" s="1601" t="s">
        <v>2533</v>
      </c>
      <c r="C34" s="1605"/>
      <c r="D34" s="257"/>
      <c r="E34" s="686"/>
      <c r="F34" s="258"/>
      <c r="H34" s="1627"/>
      <c r="I34" s="1628"/>
      <c r="J34" s="1628"/>
      <c r="K34" s="1628"/>
      <c r="L34" s="1629"/>
      <c r="O34" s="1601" t="s">
        <v>3457</v>
      </c>
      <c r="P34" s="1601"/>
      <c r="Q34" s="1601"/>
      <c r="R34" s="251" t="str">
        <f>IF(OR(Site!$G$72&gt;0,Site!$H$72&gt;0),"located in","to be located in")</f>
        <v>to be located in</v>
      </c>
      <c r="U34" s="991"/>
    </row>
    <row r="35" spans="2:21" ht="15" customHeight="1" x14ac:dyDescent="0.2">
      <c r="B35" s="1601" t="s">
        <v>2151</v>
      </c>
      <c r="C35" s="1605"/>
      <c r="D35" s="257" t="str">
        <f>IF(OR(HDL!E15="",HDL!E15=0),"N/A",HDL!E15)</f>
        <v>N/A</v>
      </c>
      <c r="E35" s="686" t="str">
        <f t="shared" si="0"/>
        <v>N/A</v>
      </c>
      <c r="F35" s="258"/>
      <c r="H35" s="1627"/>
      <c r="I35" s="1628"/>
      <c r="J35" s="1628"/>
      <c r="K35" s="1628"/>
      <c r="L35" s="1629"/>
      <c r="O35" s="1601" t="s">
        <v>540</v>
      </c>
      <c r="P35" s="1601"/>
      <c r="Q35" s="1601"/>
      <c r="R35" s="251">
        <f>Details!$E$15</f>
        <v>0</v>
      </c>
      <c r="U35" s="991"/>
    </row>
    <row r="36" spans="2:21" ht="15" customHeight="1" x14ac:dyDescent="0.2">
      <c r="B36" s="1601" t="s">
        <v>2130</v>
      </c>
      <c r="C36" s="1605"/>
      <c r="D36" s="257" t="str">
        <f>IF(Uses!K75&gt;0,Sources!G38,"N/A")</f>
        <v>N/A</v>
      </c>
      <c r="E36" s="686" t="str">
        <f t="shared" si="0"/>
        <v>N/A</v>
      </c>
      <c r="F36" s="258"/>
      <c r="H36" s="1630"/>
      <c r="I36" s="1631"/>
      <c r="J36" s="1631"/>
      <c r="K36" s="1631"/>
      <c r="L36" s="1632"/>
      <c r="O36" s="1601" t="s">
        <v>300</v>
      </c>
      <c r="P36" s="1601"/>
      <c r="Q36" s="1601"/>
      <c r="R36" s="251" t="str">
        <f>CONCATENATE(Details!$E$18," County")</f>
        <v>Input Census Tract County</v>
      </c>
      <c r="U36" s="991"/>
    </row>
    <row r="37" spans="2:21" ht="15" customHeight="1" x14ac:dyDescent="0.2">
      <c r="D37" s="259"/>
      <c r="E37" s="259"/>
      <c r="F37" s="259"/>
      <c r="H37" s="650"/>
      <c r="I37" s="650"/>
      <c r="J37" s="650"/>
      <c r="K37" s="650"/>
      <c r="L37" s="650"/>
      <c r="O37" s="1601" t="s">
        <v>3462</v>
      </c>
      <c r="P37" s="1601"/>
      <c r="Q37" s="1601"/>
      <c r="R37" s="251">
        <f>SUMIF(Revenue!$M$47:$M$92,"&gt;0",Revenue!C47:C92)</f>
        <v>0</v>
      </c>
    </row>
    <row r="38" spans="2:21" ht="15" customHeight="1" x14ac:dyDescent="0.2">
      <c r="D38" s="259"/>
      <c r="E38" s="259"/>
      <c r="F38" s="259"/>
      <c r="O38" s="1601" t="s">
        <v>3463</v>
      </c>
      <c r="P38" s="1601"/>
      <c r="Q38" s="1601"/>
      <c r="R38" s="251" t="str" cm="1">
        <f t="array" ref="R38">_xlfn.LET(
    _xlpm.raw_list, _xlfn.UNIQUE(IF((Revenue!$N$47:$N$92="Select here") + (Revenue!$N$47:$N$92="N/A") + (Revenue!$N$47:$N$92=""), "", Revenue!$N$47:$N$92)),
    _xlpm.clean_list, _xlfn._xlws.FILTER(_xlpm.raw_list, _xlpm.raw_list&lt;&gt;"", "Empty"),
    _xlpm.is_empty, INDEX(_xlpm.clean_list, 1)="Empty",
    IF(_xlpm.is_empty, "N/A",
        _xlfn.LET(
            _xlpm.count, COUNTA(_xlpm.clean_list),
            _xlpm.joined, _xlfn.TEXTJOIN(", ", TRUE, _xlpm.clean_list),
            IF(_xlpm.count=1, _xlpm.joined,
            IF(_xlpm.count=2, _xlfn.TEXTJOIN(" and ", TRUE, _xlpm.clean_list),
            SUBSTITUTE(_xlpm.joined, ", ", ", and ", _xlpm.count-1)))
        )
    )
)</f>
        <v>N/A</v>
      </c>
    </row>
    <row r="39" spans="2:21" ht="15" customHeight="1" x14ac:dyDescent="0.2">
      <c r="B39" s="1609" t="s">
        <v>297</v>
      </c>
      <c r="C39" s="1609"/>
      <c r="D39" s="1609"/>
      <c r="H39" s="1609" t="s">
        <v>402</v>
      </c>
      <c r="I39" s="1609"/>
      <c r="J39" s="1609"/>
      <c r="K39" s="1609"/>
      <c r="L39" s="1609"/>
      <c r="O39" s="1601" t="s">
        <v>3469</v>
      </c>
      <c r="P39" s="1601"/>
      <c r="Q39" s="1601"/>
      <c r="R39" s="251" t="e" cm="1" vm="2">
        <f t="array" ref="R39">_xlfn.LET(_xlpm.types, _xlfn._xlws.FILTER(Revenue!$M$110:$M$115, Revenue!$N$110:$N$115&gt;0), _xlpm.count, COUNTA(_xlpm.types), _xlpm.list, _xlfn.TEXTJOIN(", ", TRUE, _xlpm.types),_xlpm.suffix, "-bedroom units",IF(_xlpm.count=0, "No units listed",IF(_xlpm.count=1,"all " &amp; _xlpm.list &amp; _xlpm.suffix,"a mix of " &amp; SUBSTITUTE(_xlpm.list, ", ", ", and ", _xlpm.count-1) &amp; _xlpm.suffix)))</f>
        <v>#VALUE!</v>
      </c>
    </row>
    <row r="40" spans="2:21" ht="3" customHeight="1" x14ac:dyDescent="0.2">
      <c r="B40" s="1615"/>
      <c r="C40" s="1615"/>
      <c r="D40" s="1615"/>
      <c r="E40" s="1615"/>
      <c r="F40" s="1615"/>
      <c r="H40" s="1623"/>
      <c r="I40" s="1623"/>
      <c r="J40" s="1623"/>
      <c r="K40" s="1623"/>
      <c r="L40" s="1623"/>
      <c r="O40" s="1601"/>
      <c r="P40" s="1601"/>
      <c r="Q40" s="1601"/>
    </row>
    <row r="41" spans="2:21" ht="5.25" customHeight="1" x14ac:dyDescent="0.2">
      <c r="B41" s="252"/>
      <c r="C41" s="252"/>
      <c r="D41" s="252"/>
      <c r="O41" s="1601"/>
      <c r="P41" s="1601"/>
      <c r="Q41" s="1601"/>
    </row>
    <row r="42" spans="2:21" ht="15" customHeight="1" x14ac:dyDescent="0.2">
      <c r="B42" s="1601" t="s">
        <v>288</v>
      </c>
      <c r="C42" s="1605"/>
      <c r="D42" s="1611" t="str">
        <f>IF(Team!$E$12="","",Team!$E$12)</f>
        <v/>
      </c>
      <c r="E42" s="1611"/>
      <c r="F42" s="1611"/>
      <c r="H42" s="1340" t="s">
        <v>403</v>
      </c>
      <c r="I42" s="1340"/>
      <c r="J42" s="1635"/>
      <c r="K42" s="534" t="str">
        <f>IF(Details!$J$12="","",Details!$J$12)</f>
        <v/>
      </c>
      <c r="L42" s="254"/>
      <c r="O42" s="1601" t="s">
        <v>3468</v>
      </c>
      <c r="P42" s="1601"/>
      <c r="Q42" s="1601"/>
      <c r="R42" s="251" t="e" cm="1" vm="2">
        <f t="array" ref="R42">_xlfn.LET(_xlpm.labels, TEXT(Revenue!$C$110:$C$116, "0%"),_xlpm.counts, Revenue!$E$110:$E$116,_xlpm.selection, _xlfn._xlws.FILTER(_xlpm.labels, _xlpm.counts&gt;0),_xlpm.count, COUNTA(_xlpm.selection),_xlpm.list, _xlfn.TEXTJOIN(", ", TRUE, _xlpm.selection),IF(_xlpm.count=0, "no income restrictions",IF(_xlpm.count=1,"all units income-restricted at " &amp; _xlpm.list &amp; " AMI","a mix of income restrictions at " &amp; SUBSTITUTE(_xlpm.list, ", ", ", and ", _xlpm.count-1) &amp; "AMI")))</f>
        <v>#VALUE!</v>
      </c>
    </row>
    <row r="43" spans="2:21" ht="15" customHeight="1" x14ac:dyDescent="0.2">
      <c r="B43" s="1601" t="s">
        <v>338</v>
      </c>
      <c r="C43" s="1605"/>
      <c r="D43" s="1611" t="str">
        <f>IF(OR(Team!$E$56="No",Team!$E$56=""),"N/A",Team!$E$61)</f>
        <v>N/A</v>
      </c>
      <c r="E43" s="1611"/>
      <c r="F43" s="1611"/>
      <c r="H43" s="1340" t="s">
        <v>420</v>
      </c>
      <c r="I43" s="1340"/>
      <c r="J43" s="1635"/>
      <c r="K43" s="984" t="str">
        <f>IF(Details!$J$13="","",Details!$J$13)</f>
        <v/>
      </c>
      <c r="L43" s="1000"/>
      <c r="O43" s="1601" t="s">
        <v>3470</v>
      </c>
      <c r="P43" s="1601"/>
      <c r="Q43" s="1601"/>
      <c r="R43" s="251">
        <f>Revenue!$C$99</f>
        <v>0</v>
      </c>
    </row>
    <row r="44" spans="2:21" ht="15" customHeight="1" x14ac:dyDescent="0.2">
      <c r="B44" s="1601" t="s">
        <v>339</v>
      </c>
      <c r="C44" s="1605"/>
      <c r="D44" s="1611" t="str">
        <f>IF(OR(Team!$E$105="No",Team!$E$105=""),"N/A",Team!$E$110)</f>
        <v>N/A</v>
      </c>
      <c r="E44" s="1611"/>
      <c r="F44" s="1611"/>
      <c r="H44" s="1340" t="s">
        <v>421</v>
      </c>
      <c r="I44" s="1340"/>
      <c r="J44" s="1635"/>
      <c r="K44" s="534">
        <f>SUM(Site!$F$88:$I$95)</f>
        <v>0</v>
      </c>
      <c r="L44" s="254"/>
      <c r="O44" s="251" t="s">
        <v>3471</v>
      </c>
      <c r="R44" s="991">
        <f>Revenue!$E$117</f>
        <v>0</v>
      </c>
    </row>
    <row r="45" spans="2:21" ht="15" customHeight="1" x14ac:dyDescent="0.2">
      <c r="B45" s="1601" t="s">
        <v>232</v>
      </c>
      <c r="C45" s="1605"/>
      <c r="D45" s="1611" t="str">
        <f>IF(OR(Team!$E$154="No",Team!$E$154=""),"N/A",Team!$E$156)</f>
        <v>N/A</v>
      </c>
      <c r="E45" s="1611"/>
      <c r="F45" s="1611"/>
      <c r="H45" s="1613" t="s">
        <v>2534</v>
      </c>
      <c r="I45" s="1613"/>
      <c r="J45" s="1614"/>
      <c r="K45" s="262">
        <f>SUM(Site!$J$88:$J$95)</f>
        <v>0</v>
      </c>
      <c r="L45" s="259"/>
      <c r="O45" s="251" t="s">
        <v>3473</v>
      </c>
      <c r="R45" s="251" t="str">
        <f>LEFT(Instructions!$K$2,4)</f>
        <v>2026</v>
      </c>
    </row>
    <row r="46" spans="2:21" ht="15" customHeight="1" x14ac:dyDescent="0.2">
      <c r="B46" s="1601" t="s">
        <v>340</v>
      </c>
      <c r="C46" s="1605"/>
      <c r="D46" s="1611" t="str">
        <f>IF(Team!$E$173="","",Team!$E$173)</f>
        <v/>
      </c>
      <c r="E46" s="1611"/>
      <c r="F46" s="1611"/>
      <c r="H46" s="1613" t="s">
        <v>404</v>
      </c>
      <c r="I46" s="1613"/>
      <c r="J46" s="1614"/>
      <c r="K46" s="262" t="str">
        <f>IF(Details!$J$14="","",Details!$J$14)</f>
        <v/>
      </c>
      <c r="L46" s="259"/>
      <c r="O46" s="251" t="s">
        <v>264</v>
      </c>
      <c r="R46" s="263" t="str">
        <f>IF(Details!$E$10="N/A","",CONCATENATE(TEXT(Details!$E$10,"0%")," LIHTC"))</f>
        <v>9% LIHTC</v>
      </c>
    </row>
    <row r="47" spans="2:21" ht="15" customHeight="1" x14ac:dyDescent="0.2">
      <c r="B47" s="1601" t="s">
        <v>2527</v>
      </c>
      <c r="C47" s="1605"/>
      <c r="D47" s="1618" t="str">
        <f>IF(Team!$E$201="","",Team!$E$201)</f>
        <v>N/A</v>
      </c>
      <c r="E47" s="1619"/>
      <c r="F47" s="1620"/>
      <c r="H47" s="1613" t="s">
        <v>418</v>
      </c>
      <c r="I47" s="1613"/>
      <c r="J47" s="1614"/>
      <c r="K47" s="880">
        <f>IF(OR(Revenue!$C$101=0,K46=0,K46=""),0,K46/Revenue!$C$101)</f>
        <v>0</v>
      </c>
      <c r="L47" s="1001"/>
      <c r="O47" s="251" t="s">
        <v>2134</v>
      </c>
      <c r="R47" s="251">
        <f>Details!$E$21</f>
        <v>0</v>
      </c>
    </row>
    <row r="48" spans="2:21" ht="15" customHeight="1" x14ac:dyDescent="0.2">
      <c r="B48" s="1601" t="s">
        <v>341</v>
      </c>
      <c r="C48" s="1605"/>
      <c r="D48" s="1611" t="str">
        <f>IF(Team!$E$327="","N/A",Team!$E$327)</f>
        <v>N/A</v>
      </c>
      <c r="E48" s="1611"/>
      <c r="F48" s="1611"/>
      <c r="H48" s="1613" t="s">
        <v>2997</v>
      </c>
      <c r="I48" s="1613"/>
      <c r="J48" s="1614"/>
      <c r="K48" s="880" t="str">
        <f>IF(OR(Details!$E$20="",Details!$E$20="Input Census Tract"),"",Details!$E$20)</f>
        <v/>
      </c>
      <c r="L48" s="1001"/>
      <c r="O48" s="251" t="s">
        <v>3474</v>
      </c>
      <c r="R48" s="263" t="e" cm="1" vm="2">
        <f t="array" ref="R48">_xlfn.LET(
    _xlpm.name1, D42,
    _xlpm.name2, D43,
    _xlpm.name3, D44,
    _xlpm.d1_desc, IF(OR(_xlpm.name1="", _xlpm.name1="N/A"), "", Team!E14 &amp; ", " &amp; Team!E15 &amp; "-based " &amp; _xlpm.name1),
    _xlpm.d2_desc, IF(OR(_xlpm.name2="", _xlpm.name2="N/A"), "", Team!E63 &amp; ", " &amp; Team!E64 &amp; "-based " &amp; _xlpm.name2),
    _xlpm.d3_desc, IF(OR(_xlpm.name3="", _xlpm.name3="N/A"), "", Team!E112 &amp; ", " &amp; Team!E113 &amp; "-based " &amp; _xlpm.name3),
    _xlpm.valid_list, _xlfn._xlws.FILTER(_xlfn.VSTACK(_xlpm.d1_desc, _xlpm.d2_desc, _xlpm.d3_desc), _xlfn.VSTACK(_xlpm.d1_desc, _xlpm.d2_desc, _xlpm.d3_desc)&lt;&gt;""),
    _xlpm.count, COUNTA(_xlpm.valid_list),
    _xlpm.prefix, IF(_xlpm.count&gt;1, "co-developed by ", "developed by "),
    _xlpm.joined_text, IF(_xlpm.count=1, _xlfn.TEXTJOIN("", TRUE, _xlpm.valid_list),
                 IF(_xlpm.count=2, _xlfn.TEXTJOIN(" and ", TRUE, _xlpm.valid_list),
                 SUBSTITUTE(_xlfn.TEXTJOIN(", ", TRUE, _xlpm.valid_list), ", ", ", and ", _xlpm.count-1))),
    IF(_xlpm.count=0, "No developer listed", _xlpm.prefix &amp; _xlpm.joined_text)
)</f>
        <v>#VALUE!</v>
      </c>
    </row>
    <row r="49" spans="2:12" ht="15" customHeight="1" x14ac:dyDescent="0.2">
      <c r="B49" s="1601" t="s">
        <v>342</v>
      </c>
      <c r="C49" s="1605"/>
      <c r="D49" s="1611" t="str">
        <f>IF(OR(Team!$E$334="No",Team!$E$334=""),"N/A",Team!$E$348)</f>
        <v>N/A</v>
      </c>
      <c r="E49" s="1611"/>
      <c r="F49" s="1611"/>
      <c r="H49" s="1613" t="s">
        <v>405</v>
      </c>
      <c r="I49" s="1613"/>
      <c r="J49" s="1614"/>
      <c r="K49" s="255" t="str">
        <f>IF(IFERROR(IF(VLOOKUP($D$13,Data!$BH$11:$BH$25,1,FALSE)=$D$13,1,0),0)+IFERROR(IF(VLOOKUP($D$14,Data!$BK$11:$BK$19,1,FALSE)=$D$14,1,0),0)&gt;0,"Yes","No")</f>
        <v>No</v>
      </c>
      <c r="L49" s="263"/>
    </row>
    <row r="50" spans="2:12" ht="15" customHeight="1" x14ac:dyDescent="0.2">
      <c r="B50" s="1601" t="s">
        <v>343</v>
      </c>
      <c r="C50" s="1605"/>
      <c r="D50" s="1611" t="str">
        <f>IF(OR(Team!$E$355="No",Team!$E$355=""),"N/A",Team!$E$369)</f>
        <v>N/A</v>
      </c>
      <c r="E50" s="1611"/>
      <c r="F50" s="1611"/>
      <c r="H50" s="1613" t="s">
        <v>406</v>
      </c>
      <c r="I50" s="1613"/>
      <c r="J50" s="1614"/>
      <c r="K50" s="255" t="str">
        <f>IF(OR(Details!$J$17="",Details!$J$17="Input Census Tract"),"",Details!$J$17)</f>
        <v/>
      </c>
      <c r="L50" s="263"/>
    </row>
    <row r="51" spans="2:12" ht="15" customHeight="1" x14ac:dyDescent="0.2">
      <c r="B51" s="1601" t="s">
        <v>216</v>
      </c>
      <c r="C51" s="1605"/>
      <c r="D51" s="1611" t="str">
        <f>IF(Team!$E$395="","",Team!$E$395)</f>
        <v/>
      </c>
      <c r="E51" s="1611"/>
      <c r="F51" s="1611"/>
      <c r="H51" s="1613" t="s">
        <v>675</v>
      </c>
      <c r="I51" s="1613"/>
      <c r="J51" s="1614"/>
      <c r="K51" s="255" t="str">
        <f>IF(OR(Details!$J$18="",Details!$J$18="Input Zip Code Tabulation Area"),"",Details!$J$18)</f>
        <v/>
      </c>
      <c r="L51" s="263"/>
    </row>
    <row r="52" spans="2:12" ht="15" customHeight="1" x14ac:dyDescent="0.2">
      <c r="B52" s="1601" t="s">
        <v>225</v>
      </c>
      <c r="C52" s="1605"/>
      <c r="D52" s="1611" t="str">
        <f>IF(Team!$E$379="","",Team!$E$379)</f>
        <v/>
      </c>
      <c r="E52" s="1611"/>
      <c r="F52" s="1611"/>
      <c r="H52" s="1613" t="str">
        <f>IF($D$16="","Neighborhood Opportunity Index",IF($D$16="General Occupancy","Neighborhood Opportunity General Occupancy Index","Neighborhood Opportunity Senior Index"))</f>
        <v>Neighborhood Opportunity Index</v>
      </c>
      <c r="I52" s="1613"/>
      <c r="J52" s="1614"/>
      <c r="K52" s="281" t="str">
        <f>IF(OR(H52="",Details!$E$13="",Details!$E$13="Enter Census Tract"),"",IF(H52="Neighborhood Opportunity General Occupancy Index",VLOOKUP(Details!$E$13,Data!$B$11:$J$3178,6,FALSE),IF(H52="Neighborhood Opportunity Senior Index",VLOOKUP(Details!$E$13,Data!$B$11:$J$3178,7,FALSE))))</f>
        <v/>
      </c>
    </row>
    <row r="53" spans="2:12" ht="15" customHeight="1" x14ac:dyDescent="0.2">
      <c r="B53" s="1601" t="s">
        <v>361</v>
      </c>
      <c r="C53" s="1601"/>
      <c r="D53" s="1611" t="str">
        <f>IF(Team!$E$411="","",Team!$E$411)</f>
        <v/>
      </c>
      <c r="E53" s="1611"/>
      <c r="F53" s="1611"/>
      <c r="H53" s="1601" t="s">
        <v>2780</v>
      </c>
      <c r="I53" s="1601"/>
      <c r="J53" s="1605"/>
      <c r="K53" s="281" t="str">
        <f>IF(OR(Details!$E$13="",Details!$E$13="Enter Census Tract"),"",VLOOKUP(Details!$E$13,Data!$B$11:$J$3178,8,FALSE))</f>
        <v/>
      </c>
    </row>
    <row r="54" spans="2:12" ht="15" customHeight="1" x14ac:dyDescent="0.2">
      <c r="B54" s="1601" t="s">
        <v>2998</v>
      </c>
      <c r="C54" s="1601"/>
      <c r="D54" s="1611" t="str">
        <f>IF(OR(Team!$E$427="",Team!$E$427="N/A",Team!$E$427="NA"),"N/A",Team!$E$427)</f>
        <v>N/A</v>
      </c>
      <c r="E54" s="1611"/>
      <c r="F54" s="1611"/>
      <c r="H54" s="1601" t="s">
        <v>2810</v>
      </c>
      <c r="I54" s="1601"/>
      <c r="J54" s="1605"/>
      <c r="K54" s="281" t="str">
        <f>IF(OR(Details!$E$13="",Details!$E$13="Enter Census Tract"),"",VLOOKUP(Details!$E$13,Data!$B$11:$J$3178,9,FALSE))</f>
        <v/>
      </c>
    </row>
    <row r="56" spans="2:12" ht="15" hidden="1" customHeight="1" x14ac:dyDescent="0.2"/>
    <row r="57" spans="2:12" ht="15" hidden="1" customHeight="1" x14ac:dyDescent="0.2">
      <c r="B57" s="1609" t="s">
        <v>3013</v>
      </c>
      <c r="C57" s="1609"/>
      <c r="D57" s="1609"/>
      <c r="E57" s="1609"/>
      <c r="F57" s="1609"/>
      <c r="H57" s="1609" t="s">
        <v>3004</v>
      </c>
      <c r="I57" s="1609"/>
      <c r="J57" s="1609"/>
      <c r="K57" s="1609"/>
      <c r="L57" s="1609"/>
    </row>
    <row r="58" spans="2:12" ht="3" hidden="1" customHeight="1" x14ac:dyDescent="0.2">
      <c r="B58" s="1610"/>
      <c r="C58" s="1610"/>
      <c r="D58" s="1610"/>
      <c r="E58" s="1610"/>
      <c r="F58" s="1610"/>
      <c r="H58" s="1610"/>
      <c r="I58" s="1610"/>
      <c r="J58" s="1610"/>
      <c r="K58" s="1610"/>
      <c r="L58" s="1610"/>
    </row>
    <row r="59" spans="2:12" ht="5.0999999999999996" hidden="1" customHeight="1" x14ac:dyDescent="0.2">
      <c r="B59" s="252"/>
      <c r="C59" s="252"/>
      <c r="D59" s="252"/>
    </row>
    <row r="60" spans="2:12" ht="30" hidden="1" customHeight="1" x14ac:dyDescent="0.2">
      <c r="B60" s="252"/>
      <c r="C60" s="252"/>
      <c r="D60" s="995" t="str">
        <f>IF(Details!$E$13="","Census Tract",CONCATENATE("Census Tract ",VLOOKUP(Details!$E$13,Data!$B$11:$C$3178,2,FALSE)))</f>
        <v>Census Tract</v>
      </c>
      <c r="E60" s="995" t="str">
        <f>IF(OR(Details!$E$18="",Details!$E$18="Input Census Tract"),"County",CONCATENATE(Details!$E$18," County"))</f>
        <v>County</v>
      </c>
      <c r="F60" s="995" t="s">
        <v>3003</v>
      </c>
      <c r="H60" s="252"/>
      <c r="I60" s="252"/>
      <c r="J60" s="995" t="str">
        <f>IF(Details!$E$13="","Census Tract",CONCATENATE("Census Tract ",VLOOKUP(Details!$E$13,Data!$B$11:$C$3178,2,FALSE)))</f>
        <v>Census Tract</v>
      </c>
      <c r="K60" s="995" t="str">
        <f>IF(OR(Details!$E$18="",Details!$E$18="Input Census Tract"),"County",CONCATENATE(Details!$E$18," County"))</f>
        <v>County</v>
      </c>
      <c r="L60" s="995" t="s">
        <v>3003</v>
      </c>
    </row>
    <row r="61" spans="2:12" ht="15" hidden="1" customHeight="1" x14ac:dyDescent="0.2">
      <c r="B61" s="1601" t="s">
        <v>3002</v>
      </c>
      <c r="C61" s="1601"/>
      <c r="D61" s="965" t="str">
        <f>IF(Details!$E$13="","",VLOOKUP(Details!$E$13,Data!$B$11:$AH$3178,13,FALSE))</f>
        <v/>
      </c>
      <c r="E61" s="965" t="str">
        <f>IF(OR(Details!$E$18="",Details!$E$18="Input Census Tract"),"",VLOOKUP(Details!$E$18,Data!$DC$11:$EA$99,6,FALSE))</f>
        <v/>
      </c>
      <c r="F61" s="965">
        <f>VLOOKUP("Ohio",Data!$DC$11:$EA$99,6,FALSE)</f>
        <v>1.9001624514073067E-2</v>
      </c>
      <c r="H61" s="1601" t="s">
        <v>3005</v>
      </c>
      <c r="I61" s="1601"/>
      <c r="J61" s="965" t="str">
        <f>IF(Details!$E$13="","",VLOOKUP(Details!$E$13,Data!$B$11:$AH$3178,24,FALSE))</f>
        <v/>
      </c>
      <c r="K61" s="965" t="str">
        <f>IF(OR(Details!$E$18="",Details!$E$18="Input Census Tract"),"",VLOOKUP(Details!$E$18,Data!$DC$11:$EA$99,17,FALSE))</f>
        <v/>
      </c>
      <c r="L61" s="966">
        <f>VLOOKUP("Ohio",Data!$DC$11:$EA$99,17,FALSE)</f>
        <v>0.77819662164307335</v>
      </c>
    </row>
    <row r="62" spans="2:12" ht="15" hidden="1" customHeight="1" x14ac:dyDescent="0.2">
      <c r="B62" s="1601" t="s">
        <v>3001</v>
      </c>
      <c r="C62" s="1601"/>
      <c r="D62" s="262" t="str">
        <f>IF(Details!$E$13="","",VLOOKUP(Details!$E$13,Data!$B$11:$AH$3178,15,FALSE))</f>
        <v/>
      </c>
      <c r="E62" s="262" t="str">
        <f>IF(OR(Details!$E$18="",Details!$E$18="Input Census Tract"),"",VLOOKUP(Details!$E$18,Data!$DC$11:$EA$99,8,FALSE))</f>
        <v/>
      </c>
      <c r="F62" s="262">
        <f>VLOOKUP("Ohio",Data!$DC$11:$EA$99,8,FALSE)</f>
        <v>288.29558747950369</v>
      </c>
      <c r="H62" s="1601" t="s">
        <v>3009</v>
      </c>
      <c r="I62" s="1601"/>
      <c r="J62" s="879" t="str">
        <f>IF(Details!$E$13="","",VLOOKUP(Details!$E$13,Data!$B$11:$AH$3178,25,FALSE))</f>
        <v/>
      </c>
      <c r="K62" s="879" t="str">
        <f>IF(OR(Details!$E$18="",Details!$E$18="Input Census Tract"),"",VLOOKUP(Details!$E$18,Data!$DC$11:$EA$99,18,FALSE))</f>
        <v/>
      </c>
      <c r="L62" s="813">
        <f>VLOOKUP("Ohio",Data!$DC$11:$EA$99,18,FALSE)</f>
        <v>0.12278950353844119</v>
      </c>
    </row>
    <row r="63" spans="2:12" ht="15" hidden="1" customHeight="1" x14ac:dyDescent="0.2">
      <c r="B63" s="1601" t="s">
        <v>2999</v>
      </c>
      <c r="C63" s="1601"/>
      <c r="D63" s="880" t="str">
        <f>IF(Details!$E$13="","",VLOOKUP(Details!$E$13,Data!$B$11:$AH$3178,16,FALSE))</f>
        <v/>
      </c>
      <c r="E63" s="880" t="str">
        <f>IF(OR(Details!$E$18="",Details!$E$18="Input Census Tract"),"",VLOOKUP(Details!$E$18,Data!$DC$11:$EA$99,9,FALSE))</f>
        <v/>
      </c>
      <c r="F63" s="880">
        <f>VLOOKUP("Ohio",Data!$DC$11:$EA$99,9,FALSE)</f>
        <v>39.6</v>
      </c>
      <c r="H63" s="1601" t="s">
        <v>3008</v>
      </c>
      <c r="I63" s="1601"/>
      <c r="J63" s="879" t="str">
        <f>IF(Details!$E$13="","",VLOOKUP(Details!$E$13,Data!$B$11:$AH$3178,26,FALSE))</f>
        <v/>
      </c>
      <c r="K63" s="879" t="str">
        <f>IF(OR(Details!$E$18="",Details!$E$18="Input Census Tract"),"",VLOOKUP(Details!$E$18,Data!$DC$11:$EA$99,19,FALSE))</f>
        <v/>
      </c>
      <c r="L63" s="813">
        <f>VLOOKUP("Ohio",Data!$DC$11:$EA$99,19,FALSE)</f>
        <v>1.4559365897212964E-3</v>
      </c>
    </row>
    <row r="64" spans="2:12" ht="15" hidden="1" customHeight="1" x14ac:dyDescent="0.2">
      <c r="B64" s="1601" t="s">
        <v>2785</v>
      </c>
      <c r="C64" s="1601"/>
      <c r="D64" s="257" t="str">
        <f>IF(Details!$E$13="","",VLOOKUP(Details!$E$13,Data!$B$11:$AH$3178,17,FALSE))</f>
        <v/>
      </c>
      <c r="E64" s="257" t="str">
        <f>IF(OR(Details!$E$18="",Details!$E$18="Input Census Tract"),"",VLOOKUP(Details!$E$18,Data!$DC$11:$EA$99,10,FALSE))</f>
        <v/>
      </c>
      <c r="F64" s="257">
        <f>VLOOKUP("Ohio",Data!$DC$11:$EA$99,10,FALSE)</f>
        <v>69680</v>
      </c>
      <c r="H64" s="1601" t="s">
        <v>3006</v>
      </c>
      <c r="I64" s="1601"/>
      <c r="J64" s="879" t="str">
        <f>IF(Details!$E$13="","",VLOOKUP(Details!$E$13,Data!$B$11:$AH$3178,27,FALSE))</f>
        <v/>
      </c>
      <c r="K64" s="879" t="str">
        <f>IF(OR(Details!$E$18="",Details!$E$18="Input Census Tract"),"",VLOOKUP(Details!$E$18,Data!$DC$11:$EA$99,20,FALSE))</f>
        <v/>
      </c>
      <c r="L64" s="813">
        <f>VLOOKUP("Ohio",Data!$DC$11:$EA$99,20,FALSE)</f>
        <v>2.4458053898940631E-2</v>
      </c>
    </row>
    <row r="65" spans="2:13" ht="15" hidden="1" customHeight="1" x14ac:dyDescent="0.2">
      <c r="B65" s="1601" t="s">
        <v>2789</v>
      </c>
      <c r="C65" s="1601"/>
      <c r="D65" s="879" t="str">
        <f>IF(Details!$E$13="","",VLOOKUP(Details!$E$13,Data!$B$11:$AH$3178,18,FALSE))</f>
        <v/>
      </c>
      <c r="E65" s="879" t="str">
        <f>IF(OR(Details!$E$18="",Details!$E$18="Input Census Tract"),"",VLOOKUP(Details!$E$18,Data!$DC$11:$EA$99,11,FALSE))</f>
        <v/>
      </c>
      <c r="F65" s="879">
        <f>VLOOKUP("Ohio",Data!$DC$11:$EA$99,11,FALSE)</f>
        <v>0.13238334360874307</v>
      </c>
      <c r="H65" s="1601" t="s">
        <v>3007</v>
      </c>
      <c r="I65" s="1601"/>
      <c r="J65" s="879" t="str">
        <f>IF(Details!$E$13="","",VLOOKUP(Details!$E$13,Data!$B$11:$AH$3178,28,FALSE))</f>
        <v/>
      </c>
      <c r="K65" s="879" t="str">
        <f>IF(OR(Details!$E$18="",Details!$E$18="Input Census Tract"),"",VLOOKUP(Details!$E$18,Data!$DC$11:$EA$99,21,FALSE))</f>
        <v/>
      </c>
      <c r="L65" s="813">
        <f>VLOOKUP("Ohio",Data!$DC$11:$EA$99,21,FALSE)</f>
        <v>3.5899690035166246E-4</v>
      </c>
    </row>
    <row r="66" spans="2:13" ht="15" hidden="1" customHeight="1" x14ac:dyDescent="0.2">
      <c r="B66" s="1601" t="s">
        <v>2823</v>
      </c>
      <c r="C66" s="1601"/>
      <c r="D66" s="879" t="str">
        <f>IF(Details!$E$13="","",VLOOKUP(Details!$E$13,Data!$B$11:$AH$3178,19,FALSE))</f>
        <v/>
      </c>
      <c r="E66" s="879" t="str">
        <f>IF(OR(Details!$E$18="",Details!$E$18="Input Census Tract"),"",VLOOKUP(Details!$E$18,Data!$DC$11:$EA$99,12,FALSE))</f>
        <v/>
      </c>
      <c r="F66" s="879">
        <f>VLOOKUP("Ohio",Data!$DC$11:$EA$99,12,FALSE)</f>
        <v>4.8359935013382691E-2</v>
      </c>
      <c r="H66" s="1601" t="s">
        <v>3010</v>
      </c>
      <c r="I66" s="1601"/>
      <c r="J66" s="879" t="str">
        <f>IF(Details!$E$13="","",VLOOKUP(Details!$E$13,Data!$B$11:$AH$3178,29,FALSE))</f>
        <v/>
      </c>
      <c r="K66" s="879" t="str">
        <f>IF(OR(Details!$E$18="",Details!$E$18="Input Census Tract"),"",VLOOKUP(Details!$E$18,Data!$DC$11:$EA$99,22,FALSE))</f>
        <v/>
      </c>
      <c r="L66" s="813">
        <f>VLOOKUP("Ohio",Data!$DC$11:$EA$99,22,FALSE)</f>
        <v>1.5833299802055101E-2</v>
      </c>
    </row>
    <row r="67" spans="2:13" ht="15" hidden="1" customHeight="1" x14ac:dyDescent="0.2">
      <c r="B67" s="1601" t="s">
        <v>2819</v>
      </c>
      <c r="C67" s="1601"/>
      <c r="D67" s="879" t="str">
        <f>IF(Details!$E$13="","",VLOOKUP(Details!$E$13,Data!$B$11:$AH$3178,21,FALSE))</f>
        <v/>
      </c>
      <c r="E67" s="879" t="str">
        <f>IF(OR(Details!$E$18="",Details!$E$18="Input Census Tract"),"",VLOOKUP(Details!$E$18,Data!$DC$11:$EA$99,14,FALSE))</f>
        <v/>
      </c>
      <c r="F67" s="879">
        <f>VLOOKUP("Ohio",Data!$DC$11:$EA$99,14,FALSE)</f>
        <v>4.2999999999999997E-2</v>
      </c>
      <c r="H67" s="1602" t="s">
        <v>3011</v>
      </c>
      <c r="I67" s="1603"/>
      <c r="J67" s="879" t="str">
        <f>IF(Details!$E$13="","",VLOOKUP(Details!$E$13,Data!$B$11:$AH$3178,30,FALSE))</f>
        <v/>
      </c>
      <c r="K67" s="879" t="str">
        <f>IF(OR(Details!$E$18="",Details!$E$18="Input Census Tract"),"",VLOOKUP(Details!$E$18,Data!$DC$11:$EA$99,23,FALSE))</f>
        <v/>
      </c>
      <c r="L67" s="813">
        <f>VLOOKUP("Ohio",Data!$DC$11:$EA$99,23,FALSE)</f>
        <v>5.6907587627416732E-2</v>
      </c>
    </row>
    <row r="68" spans="2:13" ht="15" hidden="1" customHeight="1" x14ac:dyDescent="0.2">
      <c r="B68" s="1601" t="s">
        <v>3030</v>
      </c>
      <c r="C68" s="1601"/>
      <c r="D68" s="879" t="str">
        <f>IF(Details!$E$13="","",VLOOKUP(Details!$E$13,Data!$B$11:$AH$3178,23,FALSE))</f>
        <v/>
      </c>
      <c r="E68" s="879" t="str">
        <f>IF(OR(Details!$E$18="",Details!$E$18="Input Census Tract"),"",VLOOKUP(Details!$E$18,Data!$DC$11:$EA$99,15,FALSE))</f>
        <v/>
      </c>
      <c r="F68" s="879">
        <f>VLOOKUP("Ohio",Data!$DC$11:$EA$99,15,FALSE)</f>
        <v>0.33005064010861418</v>
      </c>
      <c r="H68" s="1601" t="s">
        <v>3012</v>
      </c>
      <c r="I68" s="1601"/>
      <c r="J68" s="879" t="str">
        <f>IF(Details!$E$13="","",VLOOKUP(Details!$E$13,Data!$B$11:$AH$3178,31,FALSE))</f>
        <v/>
      </c>
      <c r="K68" s="879" t="str">
        <f>IF(OR(Details!$E$18="",Details!$E$18="Input Census Tract"),"",VLOOKUP(Details!$E$18,Data!$DC$11:$EA$99,24,FALSE))</f>
        <v/>
      </c>
      <c r="L68" s="813">
        <f>VLOOKUP("Ohio",Data!$DC$11:$EA$99,24,FALSE)</f>
        <v>4.563301365716229E-2</v>
      </c>
    </row>
    <row r="69" spans="2:13" ht="15" hidden="1" customHeight="1" x14ac:dyDescent="0.2"/>
    <row r="70" spans="2:13" ht="15" hidden="1" customHeight="1" x14ac:dyDescent="0.2">
      <c r="B70" s="1604" t="s">
        <v>3397</v>
      </c>
      <c r="C70" s="1604"/>
      <c r="D70" s="1604"/>
      <c r="E70" s="1604"/>
      <c r="F70" s="1604"/>
      <c r="H70" s="1604" t="s">
        <v>3397</v>
      </c>
      <c r="I70" s="1604"/>
      <c r="J70" s="1604"/>
      <c r="K70" s="1604"/>
      <c r="L70" s="1604"/>
    </row>
    <row r="71" spans="2:13" ht="15" hidden="1" customHeight="1" x14ac:dyDescent="0.2"/>
    <row r="73" spans="2:13" ht="15" customHeight="1" x14ac:dyDescent="0.2">
      <c r="B73" s="1609" t="s">
        <v>2535</v>
      </c>
      <c r="C73" s="1609"/>
      <c r="D73" s="1609"/>
      <c r="E73" s="1609"/>
      <c r="F73" s="1609"/>
      <c r="G73" s="260"/>
      <c r="H73" s="1609" t="s">
        <v>417</v>
      </c>
      <c r="I73" s="1609"/>
      <c r="J73" s="1609"/>
      <c r="K73" s="1609"/>
      <c r="L73" s="1609"/>
    </row>
    <row r="74" spans="2:13" ht="3" customHeight="1" x14ac:dyDescent="0.2">
      <c r="B74" s="1623"/>
      <c r="C74" s="1623"/>
      <c r="D74" s="1623"/>
      <c r="E74" s="1623"/>
      <c r="F74" s="1623"/>
      <c r="G74" s="260"/>
      <c r="H74" s="1623"/>
      <c r="I74" s="1623"/>
      <c r="J74" s="1623"/>
      <c r="K74" s="1623"/>
      <c r="L74" s="1623"/>
    </row>
    <row r="75" spans="2:13" ht="5.25" customHeight="1" x14ac:dyDescent="0.2"/>
    <row r="76" spans="2:13" ht="15" customHeight="1" x14ac:dyDescent="0.2">
      <c r="B76" s="1531" t="s">
        <v>2542</v>
      </c>
      <c r="C76" s="1636"/>
      <c r="D76" s="1637" t="s">
        <v>2536</v>
      </c>
      <c r="E76" s="1638"/>
      <c r="F76" s="1643" t="s">
        <v>2169</v>
      </c>
      <c r="G76" s="260"/>
      <c r="H76" s="1601"/>
      <c r="I76" s="1601"/>
      <c r="J76" s="1601"/>
      <c r="K76" s="995" t="s">
        <v>408</v>
      </c>
      <c r="L76" s="995" t="s">
        <v>383</v>
      </c>
      <c r="M76" s="261"/>
    </row>
    <row r="77" spans="2:13" ht="15" customHeight="1" x14ac:dyDescent="0.2">
      <c r="B77" s="1531"/>
      <c r="C77" s="1636"/>
      <c r="D77" s="1639"/>
      <c r="E77" s="1640"/>
      <c r="F77" s="1644"/>
      <c r="H77" s="1601" t="s">
        <v>407</v>
      </c>
      <c r="I77" s="1601"/>
      <c r="J77" s="1601"/>
      <c r="K77" s="262">
        <f>SUM(Details!F131:F132)</f>
        <v>0</v>
      </c>
      <c r="L77" s="255">
        <f>IF($K$87=0,0,K77/$K$87)</f>
        <v>0</v>
      </c>
      <c r="M77" s="263"/>
    </row>
    <row r="78" spans="2:13" ht="15" customHeight="1" x14ac:dyDescent="0.2">
      <c r="B78" s="1531"/>
      <c r="C78" s="1636"/>
      <c r="D78" s="1641"/>
      <c r="E78" s="1642"/>
      <c r="F78" s="1645"/>
      <c r="H78" s="1601" t="s">
        <v>409</v>
      </c>
      <c r="I78" s="1601"/>
      <c r="J78" s="1601"/>
      <c r="K78" s="262">
        <f>Details!F133</f>
        <v>0</v>
      </c>
      <c r="L78" s="255">
        <f t="shared" ref="L78:L86" si="1">IF($K$87=0,0,K78/$K$87)</f>
        <v>0</v>
      </c>
      <c r="M78" s="263"/>
    </row>
    <row r="79" spans="2:13" ht="15" customHeight="1" x14ac:dyDescent="0.2">
      <c r="B79" s="1340" t="s">
        <v>2170</v>
      </c>
      <c r="C79" s="1340"/>
      <c r="D79" s="1507" t="str">
        <f>IF(Details!E81="","",Details!E81)</f>
        <v/>
      </c>
      <c r="E79" s="1507"/>
      <c r="F79" s="1003" t="str">
        <f>IF(Details!K81="","",Details!K81)</f>
        <v/>
      </c>
      <c r="H79" s="1601" t="s">
        <v>410</v>
      </c>
      <c r="I79" s="1601"/>
      <c r="J79" s="1601"/>
      <c r="K79" s="262">
        <f>Details!F134</f>
        <v>0</v>
      </c>
      <c r="L79" s="255">
        <f t="shared" si="1"/>
        <v>0</v>
      </c>
      <c r="M79" s="263"/>
    </row>
    <row r="80" spans="2:13" ht="15" customHeight="1" x14ac:dyDescent="0.2">
      <c r="B80" s="1340" t="s">
        <v>2171</v>
      </c>
      <c r="C80" s="1340"/>
      <c r="D80" s="1507" t="str">
        <f>IF(Details!E82="","",Details!E82)</f>
        <v/>
      </c>
      <c r="E80" s="1507"/>
      <c r="F80" s="1003" t="str">
        <f>IF(Details!K82="","",Details!K82)</f>
        <v/>
      </c>
      <c r="H80" s="1601" t="s">
        <v>411</v>
      </c>
      <c r="I80" s="1601"/>
      <c r="J80" s="1601"/>
      <c r="K80" s="262">
        <f>Details!F135</f>
        <v>0</v>
      </c>
      <c r="L80" s="255">
        <f t="shared" si="1"/>
        <v>0</v>
      </c>
      <c r="M80" s="263"/>
    </row>
    <row r="81" spans="2:23" ht="15" customHeight="1" x14ac:dyDescent="0.2">
      <c r="B81" s="1613" t="s">
        <v>2183</v>
      </c>
      <c r="C81" s="1613"/>
      <c r="D81" s="1507" t="str">
        <f>IF(Details!E83="","",Details!E83)</f>
        <v/>
      </c>
      <c r="E81" s="1507"/>
      <c r="F81" s="1003" t="str">
        <f>IF(Details!K83="","",Details!K83)</f>
        <v/>
      </c>
      <c r="H81" s="1601" t="s">
        <v>412</v>
      </c>
      <c r="I81" s="1601"/>
      <c r="J81" s="1601"/>
      <c r="K81" s="262">
        <f>SUM(Details!F136:F137,Details!F139)</f>
        <v>0</v>
      </c>
      <c r="L81" s="255">
        <f t="shared" si="1"/>
        <v>0</v>
      </c>
      <c r="M81" s="263"/>
    </row>
    <row r="82" spans="2:23" ht="15" customHeight="1" x14ac:dyDescent="0.2">
      <c r="B82" s="1613" t="s">
        <v>2182</v>
      </c>
      <c r="C82" s="1613"/>
      <c r="D82" s="1507" t="str">
        <f>IF(Details!E84="","",Details!E84)</f>
        <v/>
      </c>
      <c r="E82" s="1507"/>
      <c r="F82" s="1003" t="str">
        <f>IF(Details!K84="","",Details!K84)</f>
        <v/>
      </c>
      <c r="H82" s="1601" t="s">
        <v>416</v>
      </c>
      <c r="I82" s="1601"/>
      <c r="J82" s="1601"/>
      <c r="K82" s="262">
        <f>SUM(Details!F140,Details!F138)</f>
        <v>0</v>
      </c>
      <c r="L82" s="255">
        <f t="shared" si="1"/>
        <v>0</v>
      </c>
      <c r="M82" s="263"/>
    </row>
    <row r="83" spans="2:23" ht="15" customHeight="1" x14ac:dyDescent="0.2">
      <c r="B83" s="1613" t="s">
        <v>2173</v>
      </c>
      <c r="C83" s="1613"/>
      <c r="D83" s="1507" t="str">
        <f>IF(Details!E85="","",Details!E85)</f>
        <v/>
      </c>
      <c r="E83" s="1507"/>
      <c r="F83" s="1003" t="str">
        <f>IF(Details!K85="","",Details!K85)</f>
        <v/>
      </c>
      <c r="H83" s="1601" t="s">
        <v>413</v>
      </c>
      <c r="I83" s="1601"/>
      <c r="J83" s="1601"/>
      <c r="K83" s="262">
        <f>Details!F141</f>
        <v>0</v>
      </c>
      <c r="L83" s="255">
        <f t="shared" si="1"/>
        <v>0</v>
      </c>
    </row>
    <row r="84" spans="2:23" ht="15" customHeight="1" x14ac:dyDescent="0.2">
      <c r="B84" s="1613" t="s">
        <v>2174</v>
      </c>
      <c r="C84" s="1613"/>
      <c r="D84" s="1507" t="str">
        <f>IF(Details!E86="","",Details!E86)</f>
        <v/>
      </c>
      <c r="E84" s="1507"/>
      <c r="F84" s="1003" t="str">
        <f>IF(Details!K86="","",Details!K86)</f>
        <v/>
      </c>
      <c r="H84" s="1601" t="s">
        <v>414</v>
      </c>
      <c r="I84" s="1601"/>
      <c r="J84" s="1601"/>
      <c r="K84" s="262">
        <f>Details!F142</f>
        <v>0</v>
      </c>
      <c r="L84" s="255">
        <f t="shared" si="1"/>
        <v>0</v>
      </c>
    </row>
    <row r="85" spans="2:23" ht="15" customHeight="1" x14ac:dyDescent="0.2">
      <c r="B85" s="1613" t="s">
        <v>2175</v>
      </c>
      <c r="C85" s="1613"/>
      <c r="D85" s="1507" t="str">
        <f>IF(Details!E87="","",Details!E87)</f>
        <v/>
      </c>
      <c r="E85" s="1507"/>
      <c r="F85" s="1003" t="str">
        <f>IF(Details!K87="","",Details!K87)</f>
        <v/>
      </c>
      <c r="H85" s="1601" t="s">
        <v>415</v>
      </c>
      <c r="I85" s="1601"/>
      <c r="J85" s="1601"/>
      <c r="K85" s="264">
        <f>Details!F143</f>
        <v>0</v>
      </c>
      <c r="L85" s="255">
        <f t="shared" si="1"/>
        <v>0</v>
      </c>
    </row>
    <row r="86" spans="2:23" ht="15" customHeight="1" thickBot="1" x14ac:dyDescent="0.25">
      <c r="B86" s="1613" t="s">
        <v>2541</v>
      </c>
      <c r="C86" s="1613"/>
      <c r="D86" s="1507" t="str">
        <f>IF(Details!E88="","",Details!E88)</f>
        <v/>
      </c>
      <c r="E86" s="1507"/>
      <c r="F86" s="1003" t="str">
        <f>IF(Details!K88="","",Details!K88)</f>
        <v/>
      </c>
      <c r="H86" s="1646" t="s">
        <v>111</v>
      </c>
      <c r="I86" s="1646"/>
      <c r="J86" s="1646"/>
      <c r="K86" s="266">
        <f>Details!F144</f>
        <v>0</v>
      </c>
      <c r="L86" s="267">
        <f t="shared" si="1"/>
        <v>0</v>
      </c>
    </row>
    <row r="87" spans="2:23" ht="15" customHeight="1" thickTop="1" x14ac:dyDescent="0.2">
      <c r="B87" s="1601" t="s">
        <v>2537</v>
      </c>
      <c r="C87" s="1601"/>
      <c r="D87" s="1507" t="str">
        <f>IF(Details!E89="","",Details!E89)</f>
        <v/>
      </c>
      <c r="E87" s="1507"/>
      <c r="F87" s="1003" t="str">
        <f>IF(Details!K89="","",Details!K89)</f>
        <v/>
      </c>
      <c r="H87" s="1601" t="s">
        <v>419</v>
      </c>
      <c r="I87" s="1601"/>
      <c r="J87" s="1601"/>
      <c r="K87" s="268">
        <f>SUM(K77:K86)</f>
        <v>0</v>
      </c>
      <c r="L87" s="269">
        <f>SUM(L77:L86)</f>
        <v>0</v>
      </c>
    </row>
    <row r="88" spans="2:23" ht="15" customHeight="1" x14ac:dyDescent="0.2">
      <c r="B88" s="1601"/>
      <c r="C88" s="1601"/>
      <c r="D88" s="263"/>
      <c r="O88" s="260"/>
      <c r="P88" s="260"/>
      <c r="Q88" s="260"/>
      <c r="R88" s="260"/>
      <c r="S88" s="260"/>
      <c r="T88" s="260"/>
      <c r="V88" s="260"/>
    </row>
    <row r="89" spans="2:23" ht="15" customHeight="1" x14ac:dyDescent="0.2">
      <c r="O89" s="260"/>
      <c r="P89" s="260"/>
      <c r="Q89" s="260"/>
      <c r="R89" s="260"/>
      <c r="S89" s="260"/>
      <c r="T89" s="260"/>
      <c r="V89" s="260"/>
      <c r="W89" s="260"/>
    </row>
    <row r="90" spans="2:23" s="260" customFormat="1" ht="15" customHeight="1" x14ac:dyDescent="0.2">
      <c r="B90" s="1609" t="s">
        <v>3475</v>
      </c>
      <c r="C90" s="1609"/>
      <c r="D90" s="1609"/>
      <c r="E90" s="1609"/>
      <c r="F90" s="1609"/>
      <c r="H90" s="1609" t="s">
        <v>3476</v>
      </c>
      <c r="I90" s="1609"/>
      <c r="J90" s="1609"/>
      <c r="K90" s="1609"/>
      <c r="L90" s="1609"/>
      <c r="O90" s="251"/>
      <c r="P90" s="251"/>
      <c r="Q90" s="251"/>
      <c r="R90" s="251"/>
      <c r="S90" s="251"/>
      <c r="T90" s="251"/>
      <c r="U90" s="251"/>
      <c r="V90" s="251"/>
    </row>
    <row r="91" spans="2:23" s="260" customFormat="1" ht="3" customHeight="1" x14ac:dyDescent="0.2">
      <c r="B91" s="1623"/>
      <c r="C91" s="1623"/>
      <c r="D91" s="1623"/>
      <c r="E91" s="1623"/>
      <c r="F91" s="1623"/>
      <c r="H91" s="1623"/>
      <c r="I91" s="1623"/>
      <c r="J91" s="1623"/>
      <c r="K91" s="1623"/>
      <c r="L91" s="1623"/>
      <c r="O91" s="251"/>
      <c r="P91" s="251"/>
      <c r="Q91" s="251"/>
      <c r="R91" s="251"/>
      <c r="S91" s="251"/>
      <c r="T91" s="251"/>
      <c r="U91" s="251"/>
      <c r="V91" s="251"/>
      <c r="W91" s="251"/>
    </row>
    <row r="92" spans="2:23" ht="5.25" customHeight="1" x14ac:dyDescent="0.2"/>
    <row r="93" spans="2:23" ht="45" customHeight="1" x14ac:dyDescent="0.2">
      <c r="B93" s="270" t="s">
        <v>362</v>
      </c>
      <c r="C93" s="995" t="s">
        <v>344</v>
      </c>
      <c r="D93" s="995" t="s">
        <v>345</v>
      </c>
      <c r="E93" s="260"/>
      <c r="F93" s="260"/>
      <c r="H93" s="330" t="s">
        <v>2163</v>
      </c>
      <c r="I93" s="995" t="s">
        <v>344</v>
      </c>
      <c r="J93" s="996" t="s">
        <v>345</v>
      </c>
      <c r="K93" s="997" t="s">
        <v>346</v>
      </c>
      <c r="L93" s="995" t="s">
        <v>347</v>
      </c>
    </row>
    <row r="94" spans="2:23" ht="15" customHeight="1" x14ac:dyDescent="0.2">
      <c r="B94" s="263" t="s">
        <v>255</v>
      </c>
      <c r="C94" s="262">
        <f>Revenue!E110</f>
        <v>0</v>
      </c>
      <c r="D94" s="255">
        <f t="shared" ref="D94:D103" si="2">IF($C$103=0,0,C94/$C$103)</f>
        <v>0</v>
      </c>
      <c r="H94" s="251" t="s">
        <v>348</v>
      </c>
      <c r="I94" s="262">
        <f>Revenue!N110</f>
        <v>0</v>
      </c>
      <c r="J94" s="544" t="e">
        <f t="shared" ref="J94:J99" si="3">I94/$I$100</f>
        <v>#DIV/0!</v>
      </c>
      <c r="K94" s="541">
        <f>SUMIFS(Revenue!$C$47:$C$92,Revenue!$M$47:$M$92,"&gt;0",Revenue!$D$47:$D$92,0)</f>
        <v>0</v>
      </c>
      <c r="L94" s="255">
        <f t="shared" ref="L94:L100" si="4">IF($I$100=0,0,IF(I94=0,0,K94/I94))</f>
        <v>0</v>
      </c>
    </row>
    <row r="95" spans="2:23" ht="15" customHeight="1" x14ac:dyDescent="0.2">
      <c r="B95" s="263" t="s">
        <v>249</v>
      </c>
      <c r="C95" s="262">
        <f>Revenue!E111</f>
        <v>0</v>
      </c>
      <c r="D95" s="255">
        <f t="shared" si="2"/>
        <v>0</v>
      </c>
      <c r="H95" s="251" t="s">
        <v>349</v>
      </c>
      <c r="I95" s="262">
        <f>Revenue!N111</f>
        <v>0</v>
      </c>
      <c r="J95" s="544" t="e">
        <f t="shared" si="3"/>
        <v>#DIV/0!</v>
      </c>
      <c r="K95" s="541">
        <f>SUMIFS(Revenue!$C$47:$C$92,Revenue!$M$47:$M$92,"&gt;0",Revenue!$D$47:$D$92,1)</f>
        <v>0</v>
      </c>
      <c r="L95" s="255">
        <f t="shared" si="4"/>
        <v>0</v>
      </c>
      <c r="U95" s="260"/>
    </row>
    <row r="96" spans="2:23" ht="15" customHeight="1" x14ac:dyDescent="0.2">
      <c r="B96" s="263" t="s">
        <v>250</v>
      </c>
      <c r="C96" s="262">
        <f>Revenue!E112</f>
        <v>0</v>
      </c>
      <c r="D96" s="255">
        <f t="shared" si="2"/>
        <v>0</v>
      </c>
      <c r="H96" s="251" t="s">
        <v>350</v>
      </c>
      <c r="I96" s="262">
        <f>Revenue!N112</f>
        <v>0</v>
      </c>
      <c r="J96" s="544" t="e">
        <f t="shared" si="3"/>
        <v>#DIV/0!</v>
      </c>
      <c r="K96" s="541">
        <f>SUMIFS(Revenue!$C$47:$C$92,Revenue!$M$47:$M$92,"&gt;0",Revenue!$D$47:$D$92,2)</f>
        <v>0</v>
      </c>
      <c r="L96" s="255">
        <f t="shared" si="4"/>
        <v>0</v>
      </c>
      <c r="U96" s="260"/>
    </row>
    <row r="97" spans="2:12" ht="15" customHeight="1" x14ac:dyDescent="0.2">
      <c r="B97" s="263" t="s">
        <v>251</v>
      </c>
      <c r="C97" s="262">
        <f>Revenue!E113</f>
        <v>0</v>
      </c>
      <c r="D97" s="255">
        <f t="shared" si="2"/>
        <v>0</v>
      </c>
      <c r="H97" s="251" t="s">
        <v>351</v>
      </c>
      <c r="I97" s="262">
        <f>Revenue!N113</f>
        <v>0</v>
      </c>
      <c r="J97" s="544" t="e">
        <f t="shared" si="3"/>
        <v>#DIV/0!</v>
      </c>
      <c r="K97" s="541">
        <f>SUMIFS(Revenue!$C$47:$C$92,Revenue!$M$47:$M$92,"&gt;0",Revenue!$D$47:$D$92,3)</f>
        <v>0</v>
      </c>
      <c r="L97" s="255">
        <f t="shared" si="4"/>
        <v>0</v>
      </c>
    </row>
    <row r="98" spans="2:12" ht="15" customHeight="1" x14ac:dyDescent="0.2">
      <c r="B98" s="263" t="s">
        <v>252</v>
      </c>
      <c r="C98" s="262">
        <f>Revenue!E114</f>
        <v>0</v>
      </c>
      <c r="D98" s="255">
        <f t="shared" si="2"/>
        <v>0</v>
      </c>
      <c r="H98" s="251" t="s">
        <v>352</v>
      </c>
      <c r="I98" s="262">
        <f>Revenue!N114</f>
        <v>0</v>
      </c>
      <c r="J98" s="544" t="e">
        <f t="shared" si="3"/>
        <v>#DIV/0!</v>
      </c>
      <c r="K98" s="541">
        <f>SUMIFS(Revenue!$C$47:$C$92,Revenue!$M$47:$M$92,"&gt;0",Revenue!$D$47:$D$92,4)</f>
        <v>0</v>
      </c>
      <c r="L98" s="255">
        <f t="shared" si="4"/>
        <v>0</v>
      </c>
    </row>
    <row r="99" spans="2:12" ht="15" customHeight="1" thickBot="1" x14ac:dyDescent="0.25">
      <c r="B99" s="263" t="s">
        <v>253</v>
      </c>
      <c r="C99" s="262">
        <f>Revenue!E115</f>
        <v>0</v>
      </c>
      <c r="D99" s="255">
        <f t="shared" si="2"/>
        <v>0</v>
      </c>
      <c r="H99" s="271" t="s">
        <v>353</v>
      </c>
      <c r="I99" s="272">
        <f>Revenue!N115</f>
        <v>0</v>
      </c>
      <c r="J99" s="545" t="e">
        <f t="shared" si="3"/>
        <v>#DIV/0!</v>
      </c>
      <c r="K99" s="542">
        <f>SUMIFS(Revenue!$C$47:$C$92,Revenue!$M$47:$M$92,"&gt;0",Revenue!$D$47:$D$92,5)</f>
        <v>0</v>
      </c>
      <c r="L99" s="267">
        <f t="shared" si="4"/>
        <v>0</v>
      </c>
    </row>
    <row r="100" spans="2:12" ht="15" customHeight="1" thickTop="1" x14ac:dyDescent="0.2">
      <c r="B100" s="263" t="s">
        <v>254</v>
      </c>
      <c r="C100" s="262">
        <f>Revenue!E116</f>
        <v>0</v>
      </c>
      <c r="D100" s="255">
        <f t="shared" si="2"/>
        <v>0</v>
      </c>
      <c r="H100" s="251" t="s">
        <v>199</v>
      </c>
      <c r="I100" s="318">
        <f>SUM(I94:I99)</f>
        <v>0</v>
      </c>
      <c r="J100" s="546" t="e">
        <f>SUM(J94:J99)</f>
        <v>#DIV/0!</v>
      </c>
      <c r="K100" s="543">
        <f>IF($I$100=0,0,SUM(K94:K99))</f>
        <v>0</v>
      </c>
      <c r="L100" s="319">
        <f t="shared" si="4"/>
        <v>0</v>
      </c>
    </row>
    <row r="101" spans="2:12" ht="15" customHeight="1" x14ac:dyDescent="0.2">
      <c r="B101" s="251" t="s">
        <v>354</v>
      </c>
      <c r="C101" s="262">
        <f>Revenue!E117</f>
        <v>0</v>
      </c>
      <c r="D101" s="255">
        <f t="shared" si="2"/>
        <v>0</v>
      </c>
    </row>
    <row r="102" spans="2:12" ht="15" customHeight="1" thickBot="1" x14ac:dyDescent="0.25">
      <c r="B102" s="265" t="s">
        <v>363</v>
      </c>
      <c r="C102" s="272">
        <f>Revenue!E118</f>
        <v>0</v>
      </c>
      <c r="D102" s="267">
        <f t="shared" si="2"/>
        <v>0</v>
      </c>
      <c r="I102" s="251" t="s">
        <v>4612</v>
      </c>
      <c r="J102" s="251" t="s">
        <v>4613</v>
      </c>
      <c r="K102" s="251" t="s">
        <v>101</v>
      </c>
    </row>
    <row r="103" spans="2:12" ht="15" customHeight="1" thickTop="1" x14ac:dyDescent="0.2">
      <c r="B103" s="251" t="s">
        <v>199</v>
      </c>
      <c r="C103" s="268">
        <f>SUM(C94:C101)</f>
        <v>0</v>
      </c>
      <c r="D103" s="269">
        <f t="shared" si="2"/>
        <v>0</v>
      </c>
      <c r="H103" s="1126" t="s">
        <v>4614</v>
      </c>
      <c r="I103" s="1128">
        <f>Site!H109</f>
        <v>0</v>
      </c>
      <c r="J103" s="1128">
        <f>Site!H110</f>
        <v>0</v>
      </c>
      <c r="K103" s="1129">
        <f>SUM(I103:J103)</f>
        <v>0</v>
      </c>
    </row>
    <row r="104" spans="2:12" ht="15" customHeight="1" x14ac:dyDescent="0.2">
      <c r="H104" s="1126" t="s">
        <v>4615</v>
      </c>
      <c r="I104" s="1127">
        <f>I94+I95+(I96*2)+(I97*3)+(I98*4)+(I99*5)</f>
        <v>0</v>
      </c>
      <c r="K104" s="263"/>
    </row>
    <row r="105" spans="2:12" ht="15" customHeight="1" x14ac:dyDescent="0.2">
      <c r="K105" s="263"/>
    </row>
    <row r="106" spans="2:12" ht="15" customHeight="1" x14ac:dyDescent="0.2">
      <c r="B106" s="1609" t="s">
        <v>459</v>
      </c>
      <c r="C106" s="1609"/>
      <c r="D106" s="1609"/>
      <c r="E106" s="1609"/>
      <c r="F106" s="1609"/>
      <c r="G106" s="1609"/>
      <c r="H106" s="1609"/>
      <c r="I106" s="1609"/>
      <c r="J106" s="1609"/>
      <c r="K106" s="1609"/>
      <c r="L106" s="1609"/>
    </row>
    <row r="107" spans="2:12" ht="3" customHeight="1" x14ac:dyDescent="0.2">
      <c r="K107" s="263"/>
    </row>
    <row r="108" spans="2:12" ht="3" customHeight="1" x14ac:dyDescent="0.2">
      <c r="B108" s="1623"/>
      <c r="C108" s="1623"/>
      <c r="D108" s="1623"/>
      <c r="E108" s="1623"/>
      <c r="F108" s="1623"/>
      <c r="G108" s="1623"/>
      <c r="H108" s="1623"/>
      <c r="I108" s="1623"/>
      <c r="J108" s="1623"/>
      <c r="K108" s="1623"/>
      <c r="L108" s="1623"/>
    </row>
    <row r="109" spans="2:12" ht="5.0999999999999996" customHeight="1" x14ac:dyDescent="0.2">
      <c r="K109" s="263"/>
    </row>
    <row r="110" spans="2:12" ht="45" customHeight="1" x14ac:dyDescent="0.2">
      <c r="B110" s="995" t="s">
        <v>344</v>
      </c>
      <c r="C110" s="995" t="s">
        <v>424</v>
      </c>
      <c r="D110" s="995" t="s">
        <v>3458</v>
      </c>
      <c r="E110" s="995" t="s">
        <v>3459</v>
      </c>
      <c r="F110" s="995" t="s">
        <v>3460</v>
      </c>
      <c r="G110" s="995" t="s">
        <v>449</v>
      </c>
      <c r="H110" s="995" t="s">
        <v>3461</v>
      </c>
      <c r="I110" s="995" t="s">
        <v>2995</v>
      </c>
      <c r="J110" s="995" t="s">
        <v>450</v>
      </c>
      <c r="K110" s="995" t="s">
        <v>451</v>
      </c>
      <c r="L110" s="995" t="s">
        <v>480</v>
      </c>
    </row>
    <row r="111" spans="2:12" ht="15" customHeight="1" x14ac:dyDescent="0.2">
      <c r="B111" s="697" t="str">
        <f>IF(Revenue!C47=0,"",Revenue!C47)</f>
        <v/>
      </c>
      <c r="C111" s="697" t="str">
        <f>IF(Revenue!D47=0,"",Revenue!D47)</f>
        <v/>
      </c>
      <c r="D111" s="255" t="str">
        <f>IF(Revenue!G47=0,"",Revenue!G47)</f>
        <v/>
      </c>
      <c r="E111" s="255" t="str">
        <f>IF(Revenue!H47=0,"",Revenue!H47)</f>
        <v/>
      </c>
      <c r="F111" s="257" t="str">
        <f>IF(Revenue!I47=0,"",Revenue!I47)</f>
        <v/>
      </c>
      <c r="G111" s="257" t="str">
        <f>IF(Revenue!J47=0,"",Revenue!J47)</f>
        <v/>
      </c>
      <c r="H111" s="257" t="str">
        <f>IF(Revenue!K47=0,"",Revenue!K47)</f>
        <v/>
      </c>
      <c r="I111" s="257" t="str">
        <f>IF(Revenue!L47=0,"",Revenue!L47)</f>
        <v/>
      </c>
      <c r="J111" s="257" t="str">
        <f>IF(Revenue!M47=0,"",Revenue!M47)</f>
        <v/>
      </c>
      <c r="K111" s="697" t="str">
        <f>IF(OR(Revenue!N47=0,Revenue!N47="Select Here"),"",Revenue!N47)</f>
        <v/>
      </c>
      <c r="L111" s="257" t="str">
        <f>IF(Revenue!O47=0,"",Revenue!O47)</f>
        <v/>
      </c>
    </row>
    <row r="112" spans="2:12" ht="15" customHeight="1" x14ac:dyDescent="0.2">
      <c r="B112" s="697" t="str">
        <f>IF(Revenue!C48=0,"",Revenue!C48)</f>
        <v/>
      </c>
      <c r="C112" s="697" t="str">
        <f>IF(Revenue!D48=0,"",Revenue!D48)</f>
        <v/>
      </c>
      <c r="D112" s="255" t="str">
        <f>IF(Revenue!G48=0,"",Revenue!G48)</f>
        <v/>
      </c>
      <c r="E112" s="255" t="str">
        <f>IF(Revenue!H48=0,"",Revenue!H48)</f>
        <v/>
      </c>
      <c r="F112" s="257" t="str">
        <f>IF(Revenue!I48=0,"",Revenue!I48)</f>
        <v/>
      </c>
      <c r="G112" s="257" t="str">
        <f>IF(Revenue!J48=0,"",Revenue!J48)</f>
        <v/>
      </c>
      <c r="H112" s="257" t="str">
        <f>IF(Revenue!K48=0,"",Revenue!K48)</f>
        <v/>
      </c>
      <c r="I112" s="257" t="str">
        <f>IF(Revenue!L48=0,"",Revenue!L48)</f>
        <v/>
      </c>
      <c r="J112" s="257" t="str">
        <f>IF(Revenue!M48=0,"",Revenue!M48)</f>
        <v/>
      </c>
      <c r="K112" s="697" t="str">
        <f>IF(OR(Revenue!N48=0,Revenue!N48="Select Here"),"",Revenue!N48)</f>
        <v/>
      </c>
      <c r="L112" s="257" t="str">
        <f>IF(Revenue!O48=0,"",Revenue!O48)</f>
        <v/>
      </c>
    </row>
    <row r="113" spans="2:12" ht="15" customHeight="1" x14ac:dyDescent="0.2">
      <c r="B113" s="697" t="str">
        <f>IF(Revenue!C49=0,"",Revenue!C49)</f>
        <v/>
      </c>
      <c r="C113" s="697" t="str">
        <f>IF(Revenue!D49=0,"",Revenue!D49)</f>
        <v/>
      </c>
      <c r="D113" s="255" t="str">
        <f>IF(Revenue!G49=0,"",Revenue!G49)</f>
        <v/>
      </c>
      <c r="E113" s="255" t="str">
        <f>IF(Revenue!H49=0,"",Revenue!H49)</f>
        <v/>
      </c>
      <c r="F113" s="257" t="str">
        <f>IF(Revenue!I49=0,"",Revenue!I49)</f>
        <v/>
      </c>
      <c r="G113" s="257" t="str">
        <f>IF(Revenue!J49=0,"",Revenue!J49)</f>
        <v/>
      </c>
      <c r="H113" s="257" t="str">
        <f>IF(Revenue!K49=0,"",Revenue!K49)</f>
        <v/>
      </c>
      <c r="I113" s="257" t="str">
        <f>IF(Revenue!L49=0,"",Revenue!L49)</f>
        <v/>
      </c>
      <c r="J113" s="257" t="str">
        <f>IF(Revenue!M49=0,"",Revenue!M49)</f>
        <v/>
      </c>
      <c r="K113" s="697" t="str">
        <f>IF(OR(Revenue!N49=0,Revenue!N49="Select Here"),"",Revenue!N49)</f>
        <v/>
      </c>
      <c r="L113" s="257" t="str">
        <f>IF(Revenue!O49=0,"",Revenue!O49)</f>
        <v/>
      </c>
    </row>
    <row r="114" spans="2:12" ht="15" customHeight="1" x14ac:dyDescent="0.2">
      <c r="B114" s="697" t="str">
        <f>IF(Revenue!C50=0,"",Revenue!C50)</f>
        <v/>
      </c>
      <c r="C114" s="697" t="str">
        <f>IF(Revenue!D50=0,"",Revenue!D50)</f>
        <v/>
      </c>
      <c r="D114" s="255" t="str">
        <f>IF(Revenue!G50=0,"",Revenue!G50)</f>
        <v/>
      </c>
      <c r="E114" s="255" t="str">
        <f>IF(Revenue!H50=0,"",Revenue!H50)</f>
        <v/>
      </c>
      <c r="F114" s="257" t="str">
        <f>IF(Revenue!I50=0,"",Revenue!I50)</f>
        <v/>
      </c>
      <c r="G114" s="257" t="str">
        <f>IF(Revenue!J50=0,"",Revenue!J50)</f>
        <v/>
      </c>
      <c r="H114" s="257" t="str">
        <f>IF(Revenue!K50=0,"",Revenue!K50)</f>
        <v/>
      </c>
      <c r="I114" s="257" t="str">
        <f>IF(Revenue!L50=0,"",Revenue!L50)</f>
        <v/>
      </c>
      <c r="J114" s="257" t="str">
        <f>IF(Revenue!M50=0,"",Revenue!M50)</f>
        <v/>
      </c>
      <c r="K114" s="697" t="str">
        <f>IF(OR(Revenue!N50=0,Revenue!N50="Select Here"),"",Revenue!N50)</f>
        <v/>
      </c>
      <c r="L114" s="257" t="str">
        <f>IF(Revenue!O50=0,"",Revenue!O50)</f>
        <v/>
      </c>
    </row>
    <row r="115" spans="2:12" ht="15" customHeight="1" x14ac:dyDescent="0.2">
      <c r="B115" s="697" t="str">
        <f>IF(Revenue!C51=0,"",Revenue!C51)</f>
        <v/>
      </c>
      <c r="C115" s="697" t="str">
        <f>IF(Revenue!D51=0,"",Revenue!D51)</f>
        <v/>
      </c>
      <c r="D115" s="255" t="str">
        <f>IF(Revenue!G51=0,"",Revenue!G51)</f>
        <v/>
      </c>
      <c r="E115" s="255" t="str">
        <f>IF(Revenue!H51=0,"",Revenue!H51)</f>
        <v/>
      </c>
      <c r="F115" s="257" t="str">
        <f>IF(Revenue!I51=0,"",Revenue!I51)</f>
        <v/>
      </c>
      <c r="G115" s="257" t="str">
        <f>IF(Revenue!J51=0,"",Revenue!J51)</f>
        <v/>
      </c>
      <c r="H115" s="257" t="str">
        <f>IF(Revenue!K51=0,"",Revenue!K51)</f>
        <v/>
      </c>
      <c r="I115" s="257" t="str">
        <f>IF(Revenue!L51=0,"",Revenue!L51)</f>
        <v/>
      </c>
      <c r="J115" s="257" t="str">
        <f>IF(Revenue!M51=0,"",Revenue!M51)</f>
        <v/>
      </c>
      <c r="K115" s="697" t="str">
        <f>IF(OR(Revenue!N51=0,Revenue!N51="Select Here"),"",Revenue!N51)</f>
        <v/>
      </c>
      <c r="L115" s="257" t="str">
        <f>IF(Revenue!O51=0,"",Revenue!O51)</f>
        <v/>
      </c>
    </row>
    <row r="116" spans="2:12" ht="15" customHeight="1" x14ac:dyDescent="0.2">
      <c r="B116" s="697" t="str">
        <f>IF(Revenue!C52=0,"",Revenue!C52)</f>
        <v/>
      </c>
      <c r="C116" s="697" t="str">
        <f>IF(Revenue!D52=0,"",Revenue!D52)</f>
        <v/>
      </c>
      <c r="D116" s="255" t="str">
        <f>IF(Revenue!G52=0,"",Revenue!G52)</f>
        <v/>
      </c>
      <c r="E116" s="255" t="str">
        <f>IF(Revenue!H52=0,"",Revenue!H52)</f>
        <v/>
      </c>
      <c r="F116" s="257" t="str">
        <f>IF(Revenue!I52=0,"",Revenue!I52)</f>
        <v/>
      </c>
      <c r="G116" s="257" t="str">
        <f>IF(Revenue!J52=0,"",Revenue!J52)</f>
        <v/>
      </c>
      <c r="H116" s="257" t="str">
        <f>IF(Revenue!K52=0,"",Revenue!K52)</f>
        <v/>
      </c>
      <c r="I116" s="257" t="str">
        <f>IF(Revenue!L52=0,"",Revenue!L52)</f>
        <v/>
      </c>
      <c r="J116" s="257" t="str">
        <f>IF(Revenue!M52=0,"",Revenue!M52)</f>
        <v/>
      </c>
      <c r="K116" s="697" t="str">
        <f>IF(OR(Revenue!N52=0,Revenue!N52="Select Here"),"",Revenue!N52)</f>
        <v/>
      </c>
      <c r="L116" s="257" t="str">
        <f>IF(Revenue!O52=0,"",Revenue!O52)</f>
        <v/>
      </c>
    </row>
    <row r="117" spans="2:12" ht="15" customHeight="1" x14ac:dyDescent="0.2">
      <c r="B117" s="697" t="str">
        <f>IF(Revenue!C53=0,"",Revenue!C53)</f>
        <v/>
      </c>
      <c r="C117" s="697" t="str">
        <f>IF(Revenue!D53=0,"",Revenue!D53)</f>
        <v/>
      </c>
      <c r="D117" s="255" t="str">
        <f>IF(Revenue!G53=0,"",Revenue!G53)</f>
        <v/>
      </c>
      <c r="E117" s="255" t="str">
        <f>IF(Revenue!H53=0,"",Revenue!H53)</f>
        <v/>
      </c>
      <c r="F117" s="257" t="str">
        <f>IF(Revenue!I53=0,"",Revenue!I53)</f>
        <v/>
      </c>
      <c r="G117" s="257" t="str">
        <f>IF(Revenue!J53=0,"",Revenue!J53)</f>
        <v/>
      </c>
      <c r="H117" s="257" t="str">
        <f>IF(Revenue!K53=0,"",Revenue!K53)</f>
        <v/>
      </c>
      <c r="I117" s="257" t="str">
        <f>IF(Revenue!L53=0,"",Revenue!L53)</f>
        <v/>
      </c>
      <c r="J117" s="257" t="str">
        <f>IF(Revenue!M53=0,"",Revenue!M53)</f>
        <v/>
      </c>
      <c r="K117" s="697" t="str">
        <f>IF(OR(Revenue!N53=0,Revenue!N53="Select Here"),"",Revenue!N53)</f>
        <v/>
      </c>
      <c r="L117" s="257" t="str">
        <f>IF(Revenue!O53=0,"",Revenue!O53)</f>
        <v/>
      </c>
    </row>
    <row r="118" spans="2:12" ht="15" customHeight="1" x14ac:dyDescent="0.2">
      <c r="B118" s="697" t="str">
        <f>IF(Revenue!C54=0,"",Revenue!C54)</f>
        <v/>
      </c>
      <c r="C118" s="697" t="str">
        <f>IF(Revenue!D54=0,"",Revenue!D54)</f>
        <v/>
      </c>
      <c r="D118" s="255" t="str">
        <f>IF(Revenue!G54=0,"",Revenue!G54)</f>
        <v/>
      </c>
      <c r="E118" s="255" t="str">
        <f>IF(Revenue!H54=0,"",Revenue!H54)</f>
        <v/>
      </c>
      <c r="F118" s="257" t="str">
        <f>IF(Revenue!I54=0,"",Revenue!I54)</f>
        <v/>
      </c>
      <c r="G118" s="257" t="str">
        <f>IF(Revenue!J54=0,"",Revenue!J54)</f>
        <v/>
      </c>
      <c r="H118" s="257" t="str">
        <f>IF(Revenue!K54=0,"",Revenue!K54)</f>
        <v/>
      </c>
      <c r="I118" s="257" t="str">
        <f>IF(Revenue!L54=0,"",Revenue!L54)</f>
        <v/>
      </c>
      <c r="J118" s="257" t="str">
        <f>IF(Revenue!M54=0,"",Revenue!M54)</f>
        <v/>
      </c>
      <c r="K118" s="697" t="str">
        <f>IF(OR(Revenue!N54=0,Revenue!N54="Select Here"),"",Revenue!N54)</f>
        <v/>
      </c>
      <c r="L118" s="257" t="str">
        <f>IF(Revenue!O54=0,"",Revenue!O54)</f>
        <v/>
      </c>
    </row>
    <row r="119" spans="2:12" ht="15" customHeight="1" x14ac:dyDescent="0.2">
      <c r="B119" s="697" t="str">
        <f>IF(Revenue!C55=0,"",Revenue!C55)</f>
        <v/>
      </c>
      <c r="C119" s="697" t="str">
        <f>IF(Revenue!D55=0,"",Revenue!D55)</f>
        <v/>
      </c>
      <c r="D119" s="255" t="str">
        <f>IF(Revenue!G55=0,"",Revenue!G55)</f>
        <v/>
      </c>
      <c r="E119" s="255" t="str">
        <f>IF(Revenue!H55=0,"",Revenue!H55)</f>
        <v/>
      </c>
      <c r="F119" s="257" t="str">
        <f>IF(Revenue!I55=0,"",Revenue!I55)</f>
        <v/>
      </c>
      <c r="G119" s="257" t="str">
        <f>IF(Revenue!J55=0,"",Revenue!J55)</f>
        <v/>
      </c>
      <c r="H119" s="257" t="str">
        <f>IF(Revenue!K55=0,"",Revenue!K55)</f>
        <v/>
      </c>
      <c r="I119" s="257" t="str">
        <f>IF(Revenue!L55=0,"",Revenue!L55)</f>
        <v/>
      </c>
      <c r="J119" s="257" t="str">
        <f>IF(Revenue!M55=0,"",Revenue!M55)</f>
        <v/>
      </c>
      <c r="K119" s="697" t="str">
        <f>IF(OR(Revenue!N55=0,Revenue!N55="Select Here"),"",Revenue!N55)</f>
        <v/>
      </c>
      <c r="L119" s="257" t="str">
        <f>IF(Revenue!O55=0,"",Revenue!O55)</f>
        <v/>
      </c>
    </row>
    <row r="120" spans="2:12" ht="15" customHeight="1" x14ac:dyDescent="0.2">
      <c r="B120" s="697" t="str">
        <f>IF(Revenue!C56=0,"",Revenue!C56)</f>
        <v/>
      </c>
      <c r="C120" s="697" t="str">
        <f>IF(Revenue!D56=0,"",Revenue!D56)</f>
        <v/>
      </c>
      <c r="D120" s="255" t="str">
        <f>IF(Revenue!G56=0,"",Revenue!G56)</f>
        <v/>
      </c>
      <c r="E120" s="255" t="str">
        <f>IF(Revenue!H56=0,"",Revenue!H56)</f>
        <v/>
      </c>
      <c r="F120" s="257" t="str">
        <f>IF(Revenue!I56=0,"",Revenue!I56)</f>
        <v/>
      </c>
      <c r="G120" s="257" t="str">
        <f>IF(Revenue!J56=0,"",Revenue!J56)</f>
        <v/>
      </c>
      <c r="H120" s="257" t="str">
        <f>IF(Revenue!K56=0,"",Revenue!K56)</f>
        <v/>
      </c>
      <c r="I120" s="257" t="str">
        <f>IF(Revenue!L56=0,"",Revenue!L56)</f>
        <v/>
      </c>
      <c r="J120" s="257" t="str">
        <f>IF(Revenue!M56=0,"",Revenue!M56)</f>
        <v/>
      </c>
      <c r="K120" s="697" t="str">
        <f>IF(OR(Revenue!N56=0,Revenue!N56="Select Here"),"",Revenue!N56)</f>
        <v/>
      </c>
      <c r="L120" s="257" t="str">
        <f>IF(Revenue!O56=0,"",Revenue!O56)</f>
        <v/>
      </c>
    </row>
    <row r="121" spans="2:12" ht="15" customHeight="1" x14ac:dyDescent="0.2">
      <c r="B121" s="697" t="str">
        <f>IF(Revenue!C57=0,"",Revenue!C57)</f>
        <v/>
      </c>
      <c r="C121" s="697" t="str">
        <f>IF(Revenue!D57=0,"",Revenue!D57)</f>
        <v/>
      </c>
      <c r="D121" s="255" t="str">
        <f>IF(Revenue!G57=0,"",Revenue!G57)</f>
        <v/>
      </c>
      <c r="E121" s="255" t="str">
        <f>IF(Revenue!H57=0,"",Revenue!H57)</f>
        <v/>
      </c>
      <c r="F121" s="257" t="str">
        <f>IF(Revenue!I57=0,"",Revenue!I57)</f>
        <v/>
      </c>
      <c r="G121" s="257" t="str">
        <f>IF(Revenue!J57=0,"",Revenue!J57)</f>
        <v/>
      </c>
      <c r="H121" s="257" t="str">
        <f>IF(Revenue!K57=0,"",Revenue!K57)</f>
        <v/>
      </c>
      <c r="I121" s="257" t="str">
        <f>IF(Revenue!L57=0,"",Revenue!L57)</f>
        <v/>
      </c>
      <c r="J121" s="257" t="str">
        <f>IF(Revenue!M57=0,"",Revenue!M57)</f>
        <v/>
      </c>
      <c r="K121" s="697" t="str">
        <f>IF(OR(Revenue!N57=0,Revenue!N57="Select Here"),"",Revenue!N57)</f>
        <v/>
      </c>
      <c r="L121" s="257" t="str">
        <f>IF(Revenue!O57=0,"",Revenue!O57)</f>
        <v/>
      </c>
    </row>
    <row r="122" spans="2:12" ht="15" customHeight="1" x14ac:dyDescent="0.2">
      <c r="B122" s="697" t="str">
        <f>IF(Revenue!C58=0,"",Revenue!C58)</f>
        <v/>
      </c>
      <c r="C122" s="697" t="str">
        <f>IF(Revenue!D58=0,"",Revenue!D58)</f>
        <v/>
      </c>
      <c r="D122" s="255" t="str">
        <f>IF(Revenue!G58=0,"",Revenue!G58)</f>
        <v/>
      </c>
      <c r="E122" s="255" t="str">
        <f>IF(Revenue!H58=0,"",Revenue!H58)</f>
        <v/>
      </c>
      <c r="F122" s="257" t="str">
        <f>IF(Revenue!I58=0,"",Revenue!I58)</f>
        <v/>
      </c>
      <c r="G122" s="257" t="str">
        <f>IF(Revenue!J58=0,"",Revenue!J58)</f>
        <v/>
      </c>
      <c r="H122" s="257" t="str">
        <f>IF(Revenue!K58=0,"",Revenue!K58)</f>
        <v/>
      </c>
      <c r="I122" s="257" t="str">
        <f>IF(Revenue!L58=0,"",Revenue!L58)</f>
        <v/>
      </c>
      <c r="J122" s="257" t="str">
        <f>IF(Revenue!M58=0,"",Revenue!M58)</f>
        <v/>
      </c>
      <c r="K122" s="697" t="str">
        <f>IF(OR(Revenue!N58=0,Revenue!N58="Select Here"),"",Revenue!N58)</f>
        <v/>
      </c>
      <c r="L122" s="257" t="str">
        <f>IF(Revenue!O58=0,"",Revenue!O58)</f>
        <v/>
      </c>
    </row>
    <row r="123" spans="2:12" ht="15" customHeight="1" x14ac:dyDescent="0.2">
      <c r="B123" s="697" t="str">
        <f>IF(Revenue!C59=0,"",Revenue!C59)</f>
        <v/>
      </c>
      <c r="C123" s="697" t="str">
        <f>IF(Revenue!D59=0,"",Revenue!D59)</f>
        <v/>
      </c>
      <c r="D123" s="255" t="str">
        <f>IF(Revenue!G59=0,"",Revenue!G59)</f>
        <v/>
      </c>
      <c r="E123" s="255" t="str">
        <f>IF(Revenue!H59=0,"",Revenue!H59)</f>
        <v/>
      </c>
      <c r="F123" s="257" t="str">
        <f>IF(Revenue!I59=0,"",Revenue!I59)</f>
        <v/>
      </c>
      <c r="G123" s="257" t="str">
        <f>IF(Revenue!J59=0,"",Revenue!J59)</f>
        <v/>
      </c>
      <c r="H123" s="257" t="str">
        <f>IF(Revenue!K59=0,"",Revenue!K59)</f>
        <v/>
      </c>
      <c r="I123" s="257" t="str">
        <f>IF(Revenue!L59=0,"",Revenue!L59)</f>
        <v/>
      </c>
      <c r="J123" s="257" t="str">
        <f>IF(Revenue!M59=0,"",Revenue!M59)</f>
        <v/>
      </c>
      <c r="K123" s="697" t="str">
        <f>IF(OR(Revenue!N59=0,Revenue!N59="Select Here"),"",Revenue!N59)</f>
        <v/>
      </c>
      <c r="L123" s="257" t="str">
        <f>IF(Revenue!O59=0,"",Revenue!O59)</f>
        <v/>
      </c>
    </row>
    <row r="124" spans="2:12" ht="15" customHeight="1" x14ac:dyDescent="0.2">
      <c r="B124" s="697" t="str">
        <f>IF(Revenue!C60=0,"",Revenue!C60)</f>
        <v/>
      </c>
      <c r="C124" s="697" t="str">
        <f>IF(Revenue!D60=0,"",Revenue!D60)</f>
        <v/>
      </c>
      <c r="D124" s="255" t="str">
        <f>IF(Revenue!G60=0,"",Revenue!G60)</f>
        <v/>
      </c>
      <c r="E124" s="255" t="str">
        <f>IF(Revenue!H60=0,"",Revenue!H60)</f>
        <v/>
      </c>
      <c r="F124" s="257" t="str">
        <f>IF(Revenue!I60=0,"",Revenue!I60)</f>
        <v/>
      </c>
      <c r="G124" s="257" t="str">
        <f>IF(Revenue!J60=0,"",Revenue!J60)</f>
        <v/>
      </c>
      <c r="H124" s="257" t="str">
        <f>IF(Revenue!K60=0,"",Revenue!K60)</f>
        <v/>
      </c>
      <c r="I124" s="257" t="str">
        <f>IF(Revenue!L60=0,"",Revenue!L60)</f>
        <v/>
      </c>
      <c r="J124" s="257" t="str">
        <f>IF(Revenue!M60=0,"",Revenue!M60)</f>
        <v/>
      </c>
      <c r="K124" s="697" t="str">
        <f>IF(OR(Revenue!N60=0,Revenue!N60="Select Here"),"",Revenue!N60)</f>
        <v/>
      </c>
      <c r="L124" s="257" t="str">
        <f>IF(Revenue!O60=0,"",Revenue!O60)</f>
        <v/>
      </c>
    </row>
    <row r="125" spans="2:12" ht="15" customHeight="1" x14ac:dyDescent="0.2">
      <c r="B125" s="697" t="str">
        <f>IF(Revenue!C61=0,"",Revenue!C61)</f>
        <v/>
      </c>
      <c r="C125" s="697" t="str">
        <f>IF(Revenue!D61=0,"",Revenue!D61)</f>
        <v/>
      </c>
      <c r="D125" s="255" t="str">
        <f>IF(Revenue!G61=0,"",Revenue!G61)</f>
        <v/>
      </c>
      <c r="E125" s="255" t="str">
        <f>IF(Revenue!H61=0,"",Revenue!H61)</f>
        <v/>
      </c>
      <c r="F125" s="257" t="str">
        <f>IF(Revenue!I61=0,"",Revenue!I61)</f>
        <v/>
      </c>
      <c r="G125" s="257" t="str">
        <f>IF(Revenue!J61=0,"",Revenue!J61)</f>
        <v/>
      </c>
      <c r="H125" s="257" t="str">
        <f>IF(Revenue!K61=0,"",Revenue!K61)</f>
        <v/>
      </c>
      <c r="I125" s="257" t="str">
        <f>IF(Revenue!L61=0,"",Revenue!L61)</f>
        <v/>
      </c>
      <c r="J125" s="257" t="str">
        <f>IF(Revenue!M61=0,"",Revenue!M61)</f>
        <v/>
      </c>
      <c r="K125" s="697" t="str">
        <f>IF(OR(Revenue!N61=0,Revenue!N61="Select Here"),"",Revenue!N61)</f>
        <v/>
      </c>
      <c r="L125" s="257" t="str">
        <f>IF(Revenue!O61=0,"",Revenue!O61)</f>
        <v/>
      </c>
    </row>
    <row r="126" spans="2:12" ht="15" customHeight="1" x14ac:dyDescent="0.2">
      <c r="B126" s="697" t="str">
        <f>IF(Revenue!C62=0,"",Revenue!C62)</f>
        <v/>
      </c>
      <c r="C126" s="697" t="str">
        <f>IF(Revenue!D62=0,"",Revenue!D62)</f>
        <v/>
      </c>
      <c r="D126" s="255" t="str">
        <f>IF(Revenue!G62=0,"",Revenue!G62)</f>
        <v/>
      </c>
      <c r="E126" s="255" t="str">
        <f>IF(Revenue!H62=0,"",Revenue!H62)</f>
        <v/>
      </c>
      <c r="F126" s="257" t="str">
        <f>IF(Revenue!I62=0,"",Revenue!I62)</f>
        <v/>
      </c>
      <c r="G126" s="257" t="str">
        <f>IF(Revenue!J62=0,"",Revenue!J62)</f>
        <v/>
      </c>
      <c r="H126" s="257" t="str">
        <f>IF(Revenue!K62=0,"",Revenue!K62)</f>
        <v/>
      </c>
      <c r="I126" s="257" t="str">
        <f>IF(Revenue!L62=0,"",Revenue!L62)</f>
        <v/>
      </c>
      <c r="J126" s="257" t="str">
        <f>IF(Revenue!M62=0,"",Revenue!M62)</f>
        <v/>
      </c>
      <c r="K126" s="697" t="str">
        <f>IF(OR(Revenue!N62=0,Revenue!N62="Select Here"),"",Revenue!N62)</f>
        <v/>
      </c>
      <c r="L126" s="257" t="str">
        <f>IF(Revenue!O62=0,"",Revenue!O62)</f>
        <v/>
      </c>
    </row>
    <row r="127" spans="2:12" ht="15" customHeight="1" x14ac:dyDescent="0.2">
      <c r="B127" s="697" t="str">
        <f>IF(Revenue!C63=0,"",Revenue!C63)</f>
        <v/>
      </c>
      <c r="C127" s="697" t="str">
        <f>IF(Revenue!D63=0,"",Revenue!D63)</f>
        <v/>
      </c>
      <c r="D127" s="255" t="str">
        <f>IF(Revenue!G63=0,"",Revenue!G63)</f>
        <v/>
      </c>
      <c r="E127" s="255" t="str">
        <f>IF(Revenue!H63=0,"",Revenue!H63)</f>
        <v/>
      </c>
      <c r="F127" s="257" t="str">
        <f>IF(Revenue!I63=0,"",Revenue!I63)</f>
        <v/>
      </c>
      <c r="G127" s="257" t="str">
        <f>IF(Revenue!J63=0,"",Revenue!J63)</f>
        <v/>
      </c>
      <c r="H127" s="257" t="str">
        <f>IF(Revenue!K63=0,"",Revenue!K63)</f>
        <v/>
      </c>
      <c r="I127" s="257" t="str">
        <f>IF(Revenue!L63=0,"",Revenue!L63)</f>
        <v/>
      </c>
      <c r="J127" s="257" t="str">
        <f>IF(Revenue!M63=0,"",Revenue!M63)</f>
        <v/>
      </c>
      <c r="K127" s="697" t="str">
        <f>IF(OR(Revenue!N63=0,Revenue!N63="Select Here"),"",Revenue!N63)</f>
        <v/>
      </c>
      <c r="L127" s="257" t="str">
        <f>IF(Revenue!O63=0,"",Revenue!O63)</f>
        <v/>
      </c>
    </row>
    <row r="128" spans="2:12" ht="15" customHeight="1" x14ac:dyDescent="0.2">
      <c r="B128" s="697" t="str">
        <f>IF(Revenue!C64=0,"",Revenue!C64)</f>
        <v/>
      </c>
      <c r="C128" s="697" t="str">
        <f>IF(Revenue!D64=0,"",Revenue!D64)</f>
        <v/>
      </c>
      <c r="D128" s="255" t="str">
        <f>IF(Revenue!G64=0,"",Revenue!G64)</f>
        <v/>
      </c>
      <c r="E128" s="255" t="str">
        <f>IF(Revenue!H64=0,"",Revenue!H64)</f>
        <v/>
      </c>
      <c r="F128" s="257" t="str">
        <f>IF(Revenue!I64=0,"",Revenue!I64)</f>
        <v/>
      </c>
      <c r="G128" s="257" t="str">
        <f>IF(Revenue!J64=0,"",Revenue!J64)</f>
        <v/>
      </c>
      <c r="H128" s="257" t="str">
        <f>IF(Revenue!K64=0,"",Revenue!K64)</f>
        <v/>
      </c>
      <c r="I128" s="257" t="str">
        <f>IF(Revenue!L64=0,"",Revenue!L64)</f>
        <v/>
      </c>
      <c r="J128" s="257" t="str">
        <f>IF(Revenue!M64=0,"",Revenue!M64)</f>
        <v/>
      </c>
      <c r="K128" s="697" t="str">
        <f>IF(OR(Revenue!N64=0,Revenue!N64="Select Here"),"",Revenue!N64)</f>
        <v/>
      </c>
      <c r="L128" s="257" t="str">
        <f>IF(Revenue!O64=0,"",Revenue!O64)</f>
        <v/>
      </c>
    </row>
    <row r="129" spans="2:12" ht="15" customHeight="1" x14ac:dyDescent="0.2">
      <c r="B129" s="697" t="str">
        <f>IF(Revenue!C65=0,"",Revenue!C65)</f>
        <v/>
      </c>
      <c r="C129" s="697" t="str">
        <f>IF(Revenue!D65=0,"",Revenue!D65)</f>
        <v/>
      </c>
      <c r="D129" s="255" t="str">
        <f>IF(Revenue!G65=0,"",Revenue!G65)</f>
        <v/>
      </c>
      <c r="E129" s="255" t="str">
        <f>IF(Revenue!H65=0,"",Revenue!H65)</f>
        <v/>
      </c>
      <c r="F129" s="257" t="str">
        <f>IF(Revenue!I65=0,"",Revenue!I65)</f>
        <v/>
      </c>
      <c r="G129" s="257" t="str">
        <f>IF(Revenue!J65=0,"",Revenue!J65)</f>
        <v/>
      </c>
      <c r="H129" s="257" t="str">
        <f>IF(Revenue!K65=0,"",Revenue!K65)</f>
        <v/>
      </c>
      <c r="I129" s="257" t="str">
        <f>IF(Revenue!L65=0,"",Revenue!L65)</f>
        <v/>
      </c>
      <c r="J129" s="257" t="str">
        <f>IF(Revenue!M65=0,"",Revenue!M65)</f>
        <v/>
      </c>
      <c r="K129" s="697" t="str">
        <f>IF(OR(Revenue!N65=0,Revenue!N65="Select Here"),"",Revenue!N65)</f>
        <v/>
      </c>
      <c r="L129" s="257" t="str">
        <f>IF(Revenue!O65=0,"",Revenue!O65)</f>
        <v/>
      </c>
    </row>
    <row r="130" spans="2:12" ht="15" customHeight="1" x14ac:dyDescent="0.2">
      <c r="B130" s="697" t="str">
        <f>IF(Revenue!C66=0,"",Revenue!C66)</f>
        <v/>
      </c>
      <c r="C130" s="697" t="str">
        <f>IF(Revenue!D66=0,"",Revenue!D66)</f>
        <v/>
      </c>
      <c r="D130" s="255" t="str">
        <f>IF(Revenue!G66=0,"",Revenue!G66)</f>
        <v/>
      </c>
      <c r="E130" s="255" t="str">
        <f>IF(Revenue!H66=0,"",Revenue!H66)</f>
        <v/>
      </c>
      <c r="F130" s="257" t="str">
        <f>IF(Revenue!I66=0,"",Revenue!I66)</f>
        <v/>
      </c>
      <c r="G130" s="257" t="str">
        <f>IF(Revenue!J66=0,"",Revenue!J66)</f>
        <v/>
      </c>
      <c r="H130" s="257" t="str">
        <f>IF(Revenue!K66=0,"",Revenue!K66)</f>
        <v/>
      </c>
      <c r="I130" s="257" t="str">
        <f>IF(Revenue!L66=0,"",Revenue!L66)</f>
        <v/>
      </c>
      <c r="J130" s="257" t="str">
        <f>IF(Revenue!M66=0,"",Revenue!M66)</f>
        <v/>
      </c>
      <c r="K130" s="697" t="str">
        <f>IF(OR(Revenue!N66=0,Revenue!N66="Select Here"),"",Revenue!N66)</f>
        <v/>
      </c>
      <c r="L130" s="257" t="str">
        <f>IF(Revenue!O66=0,"",Revenue!O66)</f>
        <v/>
      </c>
    </row>
    <row r="131" spans="2:12" ht="15" customHeight="1" x14ac:dyDescent="0.2">
      <c r="B131" s="697" t="str">
        <f>IF(Revenue!C67=0,"",Revenue!C67)</f>
        <v/>
      </c>
      <c r="C131" s="697" t="str">
        <f>IF(Revenue!D67=0,"",Revenue!D67)</f>
        <v/>
      </c>
      <c r="D131" s="255" t="str">
        <f>IF(Revenue!G67=0,"",Revenue!G67)</f>
        <v/>
      </c>
      <c r="E131" s="255" t="str">
        <f>IF(Revenue!H67=0,"",Revenue!H67)</f>
        <v/>
      </c>
      <c r="F131" s="257" t="str">
        <f>IF(Revenue!I67=0,"",Revenue!I67)</f>
        <v/>
      </c>
      <c r="G131" s="257" t="str">
        <f>IF(Revenue!J67=0,"",Revenue!J67)</f>
        <v/>
      </c>
      <c r="H131" s="257" t="str">
        <f>IF(Revenue!K67=0,"",Revenue!K67)</f>
        <v/>
      </c>
      <c r="I131" s="257" t="str">
        <f>IF(Revenue!L67=0,"",Revenue!L67)</f>
        <v/>
      </c>
      <c r="J131" s="257" t="str">
        <f>IF(Revenue!M67=0,"",Revenue!M67)</f>
        <v/>
      </c>
      <c r="K131" s="697" t="str">
        <f>IF(OR(Revenue!N67=0,Revenue!N67="Select Here"),"",Revenue!N67)</f>
        <v/>
      </c>
      <c r="L131" s="257" t="str">
        <f>IF(Revenue!O67=0,"",Revenue!O67)</f>
        <v/>
      </c>
    </row>
    <row r="132" spans="2:12" ht="15" customHeight="1" x14ac:dyDescent="0.2">
      <c r="B132" s="697" t="str">
        <f>IF(Revenue!C68=0,"",Revenue!C68)</f>
        <v/>
      </c>
      <c r="C132" s="697" t="str">
        <f>IF(Revenue!D68=0,"",Revenue!D68)</f>
        <v/>
      </c>
      <c r="D132" s="255" t="str">
        <f>IF(Revenue!G68=0,"",Revenue!G68)</f>
        <v/>
      </c>
      <c r="E132" s="255" t="str">
        <f>IF(Revenue!H68=0,"",Revenue!H68)</f>
        <v/>
      </c>
      <c r="F132" s="257" t="str">
        <f>IF(Revenue!I68=0,"",Revenue!I68)</f>
        <v/>
      </c>
      <c r="G132" s="257" t="str">
        <f>IF(Revenue!J68=0,"",Revenue!J68)</f>
        <v/>
      </c>
      <c r="H132" s="257" t="str">
        <f>IF(Revenue!K68=0,"",Revenue!K68)</f>
        <v/>
      </c>
      <c r="I132" s="257" t="str">
        <f>IF(Revenue!L68=0,"",Revenue!L68)</f>
        <v/>
      </c>
      <c r="J132" s="257" t="str">
        <f>IF(Revenue!M68=0,"",Revenue!M68)</f>
        <v/>
      </c>
      <c r="K132" s="697" t="str">
        <f>IF(OR(Revenue!N68=0,Revenue!N68="Select Here"),"",Revenue!N68)</f>
        <v/>
      </c>
      <c r="L132" s="257" t="str">
        <f>IF(Revenue!O68=0,"",Revenue!O68)</f>
        <v/>
      </c>
    </row>
    <row r="133" spans="2:12" ht="15" customHeight="1" x14ac:dyDescent="0.2">
      <c r="B133" s="697" t="str">
        <f>IF(Revenue!C69=0,"",Revenue!C69)</f>
        <v/>
      </c>
      <c r="C133" s="697" t="str">
        <f>IF(Revenue!D69=0,"",Revenue!D69)</f>
        <v/>
      </c>
      <c r="D133" s="255" t="str">
        <f>IF(Revenue!G69=0,"",Revenue!G69)</f>
        <v/>
      </c>
      <c r="E133" s="255" t="str">
        <f>IF(Revenue!H69=0,"",Revenue!H69)</f>
        <v/>
      </c>
      <c r="F133" s="257" t="str">
        <f>IF(Revenue!I69=0,"",Revenue!I69)</f>
        <v/>
      </c>
      <c r="G133" s="257" t="str">
        <f>IF(Revenue!J69=0,"",Revenue!J69)</f>
        <v/>
      </c>
      <c r="H133" s="257" t="str">
        <f>IF(Revenue!K69=0,"",Revenue!K69)</f>
        <v/>
      </c>
      <c r="I133" s="257" t="str">
        <f>IF(Revenue!L69=0,"",Revenue!L69)</f>
        <v/>
      </c>
      <c r="J133" s="257" t="str">
        <f>IF(Revenue!M69=0,"",Revenue!M69)</f>
        <v/>
      </c>
      <c r="K133" s="697" t="str">
        <f>IF(OR(Revenue!N69=0,Revenue!N69="Select Here"),"",Revenue!N69)</f>
        <v/>
      </c>
      <c r="L133" s="257" t="str">
        <f>IF(Revenue!O69=0,"",Revenue!O69)</f>
        <v/>
      </c>
    </row>
    <row r="134" spans="2:12" ht="15" customHeight="1" x14ac:dyDescent="0.2">
      <c r="B134" s="697" t="str">
        <f>IF(Revenue!C70=0,"",Revenue!C70)</f>
        <v/>
      </c>
      <c r="C134" s="697" t="str">
        <f>IF(Revenue!D70=0,"",Revenue!D70)</f>
        <v/>
      </c>
      <c r="D134" s="255" t="str">
        <f>IF(Revenue!G70=0,"",Revenue!G70)</f>
        <v/>
      </c>
      <c r="E134" s="255" t="str">
        <f>IF(Revenue!H70=0,"",Revenue!H70)</f>
        <v/>
      </c>
      <c r="F134" s="257" t="str">
        <f>IF(Revenue!I70=0,"",Revenue!I70)</f>
        <v/>
      </c>
      <c r="G134" s="257" t="str">
        <f>IF(Revenue!J70=0,"",Revenue!J70)</f>
        <v/>
      </c>
      <c r="H134" s="257" t="str">
        <f>IF(Revenue!K70=0,"",Revenue!K70)</f>
        <v/>
      </c>
      <c r="I134" s="257" t="str">
        <f>IF(Revenue!L70=0,"",Revenue!L70)</f>
        <v/>
      </c>
      <c r="J134" s="257" t="str">
        <f>IF(Revenue!M70=0,"",Revenue!M70)</f>
        <v/>
      </c>
      <c r="K134" s="697" t="str">
        <f>IF(OR(Revenue!N70=0,Revenue!N70="Select Here"),"",Revenue!N70)</f>
        <v/>
      </c>
      <c r="L134" s="257" t="str">
        <f>IF(Revenue!O70=0,"",Revenue!O70)</f>
        <v/>
      </c>
    </row>
    <row r="135" spans="2:12" ht="15" customHeight="1" x14ac:dyDescent="0.2">
      <c r="B135" s="697" t="str">
        <f>IF(Revenue!C71=0,"",Revenue!C71)</f>
        <v/>
      </c>
      <c r="C135" s="697" t="str">
        <f>IF(Revenue!D71=0,"",Revenue!D71)</f>
        <v/>
      </c>
      <c r="D135" s="255" t="str">
        <f>IF(Revenue!G71=0,"",Revenue!G71)</f>
        <v/>
      </c>
      <c r="E135" s="255" t="str">
        <f>IF(Revenue!H71=0,"",Revenue!H71)</f>
        <v/>
      </c>
      <c r="F135" s="257" t="str">
        <f>IF(Revenue!I71=0,"",Revenue!I71)</f>
        <v/>
      </c>
      <c r="G135" s="257" t="str">
        <f>IF(Revenue!J71=0,"",Revenue!J71)</f>
        <v/>
      </c>
      <c r="H135" s="257" t="str">
        <f>IF(Revenue!K71=0,"",Revenue!K71)</f>
        <v/>
      </c>
      <c r="I135" s="257" t="str">
        <f>IF(Revenue!L71=0,"",Revenue!L71)</f>
        <v/>
      </c>
      <c r="J135" s="257" t="str">
        <f>IF(Revenue!M71=0,"",Revenue!M71)</f>
        <v/>
      </c>
      <c r="K135" s="697" t="str">
        <f>IF(OR(Revenue!N71=0,Revenue!N71="Select Here"),"",Revenue!N71)</f>
        <v/>
      </c>
      <c r="L135" s="257" t="str">
        <f>IF(Revenue!O71=0,"",Revenue!O71)</f>
        <v/>
      </c>
    </row>
    <row r="136" spans="2:12" ht="15" customHeight="1" x14ac:dyDescent="0.2">
      <c r="B136" s="697" t="str">
        <f>IF(Revenue!C72=0,"",Revenue!C72)</f>
        <v/>
      </c>
      <c r="C136" s="697" t="str">
        <f>IF(Revenue!D72=0,"",Revenue!D72)</f>
        <v/>
      </c>
      <c r="D136" s="255" t="str">
        <f>IF(Revenue!G72=0,"",Revenue!G72)</f>
        <v/>
      </c>
      <c r="E136" s="255" t="str">
        <f>IF(Revenue!H72=0,"",Revenue!H72)</f>
        <v/>
      </c>
      <c r="F136" s="257" t="str">
        <f>IF(Revenue!I72=0,"",Revenue!I72)</f>
        <v/>
      </c>
      <c r="G136" s="257" t="str">
        <f>IF(Revenue!J72=0,"",Revenue!J72)</f>
        <v/>
      </c>
      <c r="H136" s="257" t="str">
        <f>IF(Revenue!K72=0,"",Revenue!K72)</f>
        <v/>
      </c>
      <c r="I136" s="257" t="str">
        <f>IF(Revenue!L72=0,"",Revenue!L72)</f>
        <v/>
      </c>
      <c r="J136" s="257" t="str">
        <f>IF(Revenue!M72=0,"",Revenue!M72)</f>
        <v/>
      </c>
      <c r="K136" s="697" t="str">
        <f>IF(OR(Revenue!N72=0,Revenue!N72="Select Here"),"",Revenue!N72)</f>
        <v/>
      </c>
      <c r="L136" s="257" t="str">
        <f>IF(Revenue!O72=0,"",Revenue!O72)</f>
        <v/>
      </c>
    </row>
    <row r="137" spans="2:12" ht="15" customHeight="1" x14ac:dyDescent="0.2">
      <c r="B137" s="697" t="str">
        <f>IF(Revenue!C73=0,"",Revenue!C73)</f>
        <v/>
      </c>
      <c r="C137" s="697" t="str">
        <f>IF(Revenue!D73=0,"",Revenue!D73)</f>
        <v/>
      </c>
      <c r="D137" s="255" t="str">
        <f>IF(Revenue!G73=0,"",Revenue!G73)</f>
        <v/>
      </c>
      <c r="E137" s="255" t="str">
        <f>IF(Revenue!H73=0,"",Revenue!H73)</f>
        <v/>
      </c>
      <c r="F137" s="257" t="str">
        <f>IF(Revenue!I73=0,"",Revenue!I73)</f>
        <v/>
      </c>
      <c r="G137" s="257" t="str">
        <f>IF(Revenue!J73=0,"",Revenue!J73)</f>
        <v/>
      </c>
      <c r="H137" s="257" t="str">
        <f>IF(Revenue!K73=0,"",Revenue!K73)</f>
        <v/>
      </c>
      <c r="I137" s="257" t="str">
        <f>IF(Revenue!L73=0,"",Revenue!L73)</f>
        <v/>
      </c>
      <c r="J137" s="257" t="str">
        <f>IF(Revenue!M73=0,"",Revenue!M73)</f>
        <v/>
      </c>
      <c r="K137" s="697" t="str">
        <f>IF(OR(Revenue!N73=0,Revenue!N73="Select Here"),"",Revenue!N73)</f>
        <v/>
      </c>
      <c r="L137" s="257" t="str">
        <f>IF(Revenue!O73=0,"",Revenue!O73)</f>
        <v/>
      </c>
    </row>
    <row r="138" spans="2:12" ht="15" customHeight="1" x14ac:dyDescent="0.2">
      <c r="B138" s="697" t="str">
        <f>IF(Revenue!C74=0,"",Revenue!C74)</f>
        <v/>
      </c>
      <c r="C138" s="697" t="str">
        <f>IF(Revenue!D74=0,"",Revenue!D74)</f>
        <v/>
      </c>
      <c r="D138" s="255" t="str">
        <f>IF(Revenue!G74=0,"",Revenue!G74)</f>
        <v/>
      </c>
      <c r="E138" s="255" t="str">
        <f>IF(Revenue!H74=0,"",Revenue!H74)</f>
        <v/>
      </c>
      <c r="F138" s="257" t="str">
        <f>IF(Revenue!I74=0,"",Revenue!I74)</f>
        <v/>
      </c>
      <c r="G138" s="257" t="str">
        <f>IF(Revenue!J74=0,"",Revenue!J74)</f>
        <v/>
      </c>
      <c r="H138" s="257" t="str">
        <f>IF(Revenue!K74=0,"",Revenue!K74)</f>
        <v/>
      </c>
      <c r="I138" s="257" t="str">
        <f>IF(Revenue!L74=0,"",Revenue!L74)</f>
        <v/>
      </c>
      <c r="J138" s="257" t="str">
        <f>IF(Revenue!M74=0,"",Revenue!M74)</f>
        <v/>
      </c>
      <c r="K138" s="697" t="str">
        <f>IF(OR(Revenue!N74=0,Revenue!N74="Select Here"),"",Revenue!N74)</f>
        <v/>
      </c>
      <c r="L138" s="257" t="str">
        <f>IF(Revenue!O74=0,"",Revenue!O74)</f>
        <v/>
      </c>
    </row>
    <row r="139" spans="2:12" ht="15" customHeight="1" x14ac:dyDescent="0.2">
      <c r="B139" s="697" t="str">
        <f>IF(Revenue!C75=0,"",Revenue!C75)</f>
        <v/>
      </c>
      <c r="C139" s="697" t="str">
        <f>IF(Revenue!D75=0,"",Revenue!D75)</f>
        <v/>
      </c>
      <c r="D139" s="255" t="str">
        <f>IF(Revenue!G75=0,"",Revenue!G75)</f>
        <v/>
      </c>
      <c r="E139" s="255" t="str">
        <f>IF(Revenue!H75=0,"",Revenue!H75)</f>
        <v/>
      </c>
      <c r="F139" s="257" t="str">
        <f>IF(Revenue!I75=0,"",Revenue!I75)</f>
        <v/>
      </c>
      <c r="G139" s="257" t="str">
        <f>IF(Revenue!J75=0,"",Revenue!J75)</f>
        <v/>
      </c>
      <c r="H139" s="257" t="str">
        <f>IF(Revenue!K75=0,"",Revenue!K75)</f>
        <v/>
      </c>
      <c r="I139" s="257" t="str">
        <f>IF(Revenue!L75=0,"",Revenue!L75)</f>
        <v/>
      </c>
      <c r="J139" s="257" t="str">
        <f>IF(Revenue!M75=0,"",Revenue!M75)</f>
        <v/>
      </c>
      <c r="K139" s="697" t="str">
        <f>IF(OR(Revenue!N75=0,Revenue!N75="Select Here"),"",Revenue!N75)</f>
        <v/>
      </c>
      <c r="L139" s="257" t="str">
        <f>IF(Revenue!O75=0,"",Revenue!O75)</f>
        <v/>
      </c>
    </row>
    <row r="140" spans="2:12" ht="15" customHeight="1" x14ac:dyDescent="0.2">
      <c r="B140" s="697" t="str">
        <f>IF(Revenue!C76=0,"",Revenue!C76)</f>
        <v/>
      </c>
      <c r="C140" s="697" t="str">
        <f>IF(Revenue!D76=0,"",Revenue!D76)</f>
        <v/>
      </c>
      <c r="D140" s="255" t="str">
        <f>IF(Revenue!G76=0,"",Revenue!G76)</f>
        <v/>
      </c>
      <c r="E140" s="255" t="str">
        <f>IF(Revenue!H76=0,"",Revenue!H76)</f>
        <v/>
      </c>
      <c r="F140" s="257" t="str">
        <f>IF(Revenue!I76=0,"",Revenue!I76)</f>
        <v/>
      </c>
      <c r="G140" s="257" t="str">
        <f>IF(Revenue!J76=0,"",Revenue!J76)</f>
        <v/>
      </c>
      <c r="H140" s="257" t="str">
        <f>IF(Revenue!K76=0,"",Revenue!K76)</f>
        <v/>
      </c>
      <c r="I140" s="257" t="str">
        <f>IF(Revenue!L76=0,"",Revenue!L76)</f>
        <v/>
      </c>
      <c r="J140" s="257" t="str">
        <f>IF(Revenue!M76=0,"",Revenue!M76)</f>
        <v/>
      </c>
      <c r="K140" s="697" t="str">
        <f>IF(OR(Revenue!N76=0,Revenue!N76="Select Here"),"",Revenue!N76)</f>
        <v/>
      </c>
      <c r="L140" s="257" t="str">
        <f>IF(Revenue!O76=0,"",Revenue!O76)</f>
        <v/>
      </c>
    </row>
    <row r="141" spans="2:12" ht="15" customHeight="1" x14ac:dyDescent="0.2">
      <c r="B141" s="697" t="str">
        <f>IF(Revenue!C77=0,"",Revenue!C77)</f>
        <v/>
      </c>
      <c r="C141" s="697" t="str">
        <f>IF(Revenue!D77=0,"",Revenue!D77)</f>
        <v/>
      </c>
      <c r="D141" s="255" t="str">
        <f>IF(Revenue!G77=0,"",Revenue!G77)</f>
        <v/>
      </c>
      <c r="E141" s="255" t="str">
        <f>IF(Revenue!H77=0,"",Revenue!H77)</f>
        <v/>
      </c>
      <c r="F141" s="257" t="str">
        <f>IF(Revenue!I77=0,"",Revenue!I77)</f>
        <v/>
      </c>
      <c r="G141" s="257" t="str">
        <f>IF(Revenue!J77=0,"",Revenue!J77)</f>
        <v/>
      </c>
      <c r="H141" s="257" t="str">
        <f>IF(Revenue!K77=0,"",Revenue!K77)</f>
        <v/>
      </c>
      <c r="I141" s="257" t="str">
        <f>IF(Revenue!L77=0,"",Revenue!L77)</f>
        <v/>
      </c>
      <c r="J141" s="257" t="str">
        <f>IF(Revenue!M77=0,"",Revenue!M77)</f>
        <v/>
      </c>
      <c r="K141" s="697" t="str">
        <f>IF(OR(Revenue!N77=0,Revenue!N77="Select Here"),"",Revenue!N77)</f>
        <v/>
      </c>
      <c r="L141" s="257" t="str">
        <f>IF(Revenue!O77=0,"",Revenue!O77)</f>
        <v/>
      </c>
    </row>
    <row r="142" spans="2:12" ht="15" customHeight="1" x14ac:dyDescent="0.2">
      <c r="B142" s="697" t="str">
        <f>IF(Revenue!C78=0,"",Revenue!C78)</f>
        <v/>
      </c>
      <c r="C142" s="697" t="str">
        <f>IF(Revenue!D78=0,"",Revenue!D78)</f>
        <v/>
      </c>
      <c r="D142" s="255" t="str">
        <f>IF(Revenue!G78=0,"",Revenue!G78)</f>
        <v/>
      </c>
      <c r="E142" s="255" t="str">
        <f>IF(Revenue!H78=0,"",Revenue!H78)</f>
        <v/>
      </c>
      <c r="F142" s="257" t="str">
        <f>IF(Revenue!I78=0,"",Revenue!I78)</f>
        <v/>
      </c>
      <c r="G142" s="257" t="str">
        <f>IF(Revenue!J78=0,"",Revenue!J78)</f>
        <v/>
      </c>
      <c r="H142" s="257" t="str">
        <f>IF(Revenue!K78=0,"",Revenue!K78)</f>
        <v/>
      </c>
      <c r="I142" s="257" t="str">
        <f>IF(Revenue!L78=0,"",Revenue!L78)</f>
        <v/>
      </c>
      <c r="J142" s="257" t="str">
        <f>IF(Revenue!M78=0,"",Revenue!M78)</f>
        <v/>
      </c>
      <c r="K142" s="697" t="str">
        <f>IF(OR(Revenue!N78=0,Revenue!N78="Select Here"),"",Revenue!N78)</f>
        <v/>
      </c>
      <c r="L142" s="257" t="str">
        <f>IF(Revenue!O78=0,"",Revenue!O78)</f>
        <v/>
      </c>
    </row>
    <row r="143" spans="2:12" ht="15" customHeight="1" x14ac:dyDescent="0.2">
      <c r="B143" s="697" t="str">
        <f>IF(Revenue!C79=0,"",Revenue!C79)</f>
        <v/>
      </c>
      <c r="C143" s="697" t="str">
        <f>IF(Revenue!D79=0,"",Revenue!D79)</f>
        <v/>
      </c>
      <c r="D143" s="255" t="str">
        <f>IF(Revenue!G79=0,"",Revenue!G79)</f>
        <v/>
      </c>
      <c r="E143" s="255" t="str">
        <f>IF(Revenue!H79=0,"",Revenue!H79)</f>
        <v/>
      </c>
      <c r="F143" s="257" t="str">
        <f>IF(Revenue!I79=0,"",Revenue!I79)</f>
        <v/>
      </c>
      <c r="G143" s="257" t="str">
        <f>IF(Revenue!J79=0,"",Revenue!J79)</f>
        <v/>
      </c>
      <c r="H143" s="257" t="str">
        <f>IF(Revenue!K79=0,"",Revenue!K79)</f>
        <v/>
      </c>
      <c r="I143" s="257" t="str">
        <f>IF(Revenue!L79=0,"",Revenue!L79)</f>
        <v/>
      </c>
      <c r="J143" s="257" t="str">
        <f>IF(Revenue!M79=0,"",Revenue!M79)</f>
        <v/>
      </c>
      <c r="K143" s="697" t="str">
        <f>IF(OR(Revenue!N79=0,Revenue!N79="Select Here"),"",Revenue!N79)</f>
        <v/>
      </c>
      <c r="L143" s="257" t="str">
        <f>IF(Revenue!O79=0,"",Revenue!O79)</f>
        <v/>
      </c>
    </row>
    <row r="144" spans="2:12" ht="15" customHeight="1" x14ac:dyDescent="0.2">
      <c r="B144" s="697" t="str">
        <f>IF(Revenue!C80=0,"",Revenue!C80)</f>
        <v/>
      </c>
      <c r="C144" s="697" t="str">
        <f>IF(Revenue!D80=0,"",Revenue!D80)</f>
        <v/>
      </c>
      <c r="D144" s="255" t="str">
        <f>IF(Revenue!G80=0,"",Revenue!G80)</f>
        <v/>
      </c>
      <c r="E144" s="255" t="str">
        <f>IF(Revenue!H80=0,"",Revenue!H80)</f>
        <v/>
      </c>
      <c r="F144" s="257" t="str">
        <f>IF(Revenue!I80=0,"",Revenue!I80)</f>
        <v/>
      </c>
      <c r="G144" s="257" t="str">
        <f>IF(Revenue!J80=0,"",Revenue!J80)</f>
        <v/>
      </c>
      <c r="H144" s="257" t="str">
        <f>IF(Revenue!K80=0,"",Revenue!K80)</f>
        <v/>
      </c>
      <c r="I144" s="257" t="str">
        <f>IF(Revenue!L80=0,"",Revenue!L80)</f>
        <v/>
      </c>
      <c r="J144" s="257" t="str">
        <f>IF(Revenue!M80=0,"",Revenue!M80)</f>
        <v/>
      </c>
      <c r="K144" s="697" t="str">
        <f>IF(OR(Revenue!N80=0,Revenue!N80="Select Here"),"",Revenue!N80)</f>
        <v/>
      </c>
      <c r="L144" s="257" t="str">
        <f>IF(Revenue!O80=0,"",Revenue!O80)</f>
        <v/>
      </c>
    </row>
    <row r="145" spans="2:12" ht="15" customHeight="1" x14ac:dyDescent="0.2">
      <c r="B145" s="697" t="str">
        <f>IF(Revenue!C81=0,"",Revenue!C81)</f>
        <v/>
      </c>
      <c r="C145" s="697" t="str">
        <f>IF(Revenue!D81=0,"",Revenue!D81)</f>
        <v/>
      </c>
      <c r="D145" s="255" t="str">
        <f>IF(Revenue!G81=0,"",Revenue!G81)</f>
        <v/>
      </c>
      <c r="E145" s="255" t="str">
        <f>IF(Revenue!H81=0,"",Revenue!H81)</f>
        <v/>
      </c>
      <c r="F145" s="257" t="str">
        <f>IF(Revenue!I81=0,"",Revenue!I81)</f>
        <v/>
      </c>
      <c r="G145" s="257" t="str">
        <f>IF(Revenue!J81=0,"",Revenue!J81)</f>
        <v/>
      </c>
      <c r="H145" s="257" t="str">
        <f>IF(Revenue!K81=0,"",Revenue!K81)</f>
        <v/>
      </c>
      <c r="I145" s="257" t="str">
        <f>IF(Revenue!L81=0,"",Revenue!L81)</f>
        <v/>
      </c>
      <c r="J145" s="257" t="str">
        <f>IF(Revenue!M81=0,"",Revenue!M81)</f>
        <v/>
      </c>
      <c r="K145" s="697" t="str">
        <f>IF(OR(Revenue!N81=0,Revenue!N81="Select Here"),"",Revenue!N81)</f>
        <v/>
      </c>
      <c r="L145" s="257" t="str">
        <f>IF(Revenue!O81=0,"",Revenue!O81)</f>
        <v/>
      </c>
    </row>
    <row r="146" spans="2:12" ht="15" customHeight="1" x14ac:dyDescent="0.2">
      <c r="B146" s="697" t="str">
        <f>IF(Revenue!C82=0,"",Revenue!C82)</f>
        <v/>
      </c>
      <c r="C146" s="697" t="str">
        <f>IF(Revenue!D82=0,"",Revenue!D82)</f>
        <v/>
      </c>
      <c r="D146" s="255" t="str">
        <f>IF(Revenue!G82=0,"",Revenue!G82)</f>
        <v/>
      </c>
      <c r="E146" s="255" t="str">
        <f>IF(Revenue!H82=0,"",Revenue!H82)</f>
        <v/>
      </c>
      <c r="F146" s="257" t="str">
        <f>IF(Revenue!I82=0,"",Revenue!I82)</f>
        <v/>
      </c>
      <c r="G146" s="257" t="str">
        <f>IF(Revenue!J82=0,"",Revenue!J82)</f>
        <v/>
      </c>
      <c r="H146" s="257" t="str">
        <f>IF(Revenue!K82=0,"",Revenue!K82)</f>
        <v/>
      </c>
      <c r="I146" s="257" t="str">
        <f>IF(Revenue!L82=0,"",Revenue!L82)</f>
        <v/>
      </c>
      <c r="J146" s="257" t="str">
        <f>IF(Revenue!M82=0,"",Revenue!M82)</f>
        <v/>
      </c>
      <c r="K146" s="697" t="str">
        <f>IF(OR(Revenue!N82=0,Revenue!N82="Select Here"),"",Revenue!N82)</f>
        <v/>
      </c>
      <c r="L146" s="257" t="str">
        <f>IF(Revenue!O82=0,"",Revenue!O82)</f>
        <v/>
      </c>
    </row>
    <row r="147" spans="2:12" ht="15" customHeight="1" x14ac:dyDescent="0.2">
      <c r="B147" s="697" t="str">
        <f>IF(Revenue!C83=0,"",Revenue!C83)</f>
        <v/>
      </c>
      <c r="C147" s="697" t="str">
        <f>IF(Revenue!D83=0,"",Revenue!D83)</f>
        <v/>
      </c>
      <c r="D147" s="255" t="str">
        <f>IF(Revenue!G83=0,"",Revenue!G83)</f>
        <v/>
      </c>
      <c r="E147" s="255" t="str">
        <f>IF(Revenue!H83=0,"",Revenue!H83)</f>
        <v/>
      </c>
      <c r="F147" s="257" t="str">
        <f>IF(Revenue!I83=0,"",Revenue!I83)</f>
        <v/>
      </c>
      <c r="G147" s="257" t="str">
        <f>IF(Revenue!J83=0,"",Revenue!J83)</f>
        <v/>
      </c>
      <c r="H147" s="257" t="str">
        <f>IF(Revenue!K83=0,"",Revenue!K83)</f>
        <v/>
      </c>
      <c r="I147" s="257" t="str">
        <f>IF(Revenue!L83=0,"",Revenue!L83)</f>
        <v/>
      </c>
      <c r="J147" s="257" t="str">
        <f>IF(Revenue!M83=0,"",Revenue!M83)</f>
        <v/>
      </c>
      <c r="K147" s="697" t="str">
        <f>IF(OR(Revenue!N83=0,Revenue!N83="Select Here"),"",Revenue!N83)</f>
        <v/>
      </c>
      <c r="L147" s="257" t="str">
        <f>IF(Revenue!O83=0,"",Revenue!O83)</f>
        <v/>
      </c>
    </row>
    <row r="148" spans="2:12" ht="15" customHeight="1" x14ac:dyDescent="0.2">
      <c r="B148" s="697" t="str">
        <f>IF(Revenue!C84=0,"",Revenue!C84)</f>
        <v/>
      </c>
      <c r="C148" s="697" t="str">
        <f>IF(Revenue!D84=0,"",Revenue!D84)</f>
        <v/>
      </c>
      <c r="D148" s="255" t="str">
        <f>IF(Revenue!G84=0,"",Revenue!G84)</f>
        <v/>
      </c>
      <c r="E148" s="255" t="str">
        <f>IF(Revenue!H84=0,"",Revenue!H84)</f>
        <v/>
      </c>
      <c r="F148" s="257" t="str">
        <f>IF(Revenue!I84=0,"",Revenue!I84)</f>
        <v/>
      </c>
      <c r="G148" s="257" t="str">
        <f>IF(Revenue!J84=0,"",Revenue!J84)</f>
        <v/>
      </c>
      <c r="H148" s="257" t="str">
        <f>IF(Revenue!K84=0,"",Revenue!K84)</f>
        <v/>
      </c>
      <c r="I148" s="257" t="str">
        <f>IF(Revenue!L84=0,"",Revenue!L84)</f>
        <v/>
      </c>
      <c r="J148" s="257" t="str">
        <f>IF(Revenue!M84=0,"",Revenue!M84)</f>
        <v/>
      </c>
      <c r="K148" s="697" t="str">
        <f>IF(OR(Revenue!N84=0,Revenue!N84="Select Here"),"",Revenue!N84)</f>
        <v/>
      </c>
      <c r="L148" s="257" t="str">
        <f>IF(Revenue!O84=0,"",Revenue!O84)</f>
        <v/>
      </c>
    </row>
    <row r="149" spans="2:12" ht="15" customHeight="1" x14ac:dyDescent="0.2">
      <c r="B149" s="697" t="str">
        <f>IF(Revenue!C85=0,"",Revenue!C85)</f>
        <v/>
      </c>
      <c r="C149" s="697" t="str">
        <f>IF(Revenue!D85=0,"",Revenue!D85)</f>
        <v/>
      </c>
      <c r="D149" s="255" t="str">
        <f>IF(Revenue!G85=0,"",Revenue!G85)</f>
        <v/>
      </c>
      <c r="E149" s="255" t="str">
        <f>IF(Revenue!H85=0,"",Revenue!H85)</f>
        <v/>
      </c>
      <c r="F149" s="257" t="str">
        <f>IF(Revenue!I85=0,"",Revenue!I85)</f>
        <v/>
      </c>
      <c r="G149" s="257" t="str">
        <f>IF(Revenue!J85=0,"",Revenue!J85)</f>
        <v/>
      </c>
      <c r="H149" s="257" t="str">
        <f>IF(Revenue!K85=0,"",Revenue!K85)</f>
        <v/>
      </c>
      <c r="I149" s="257" t="str">
        <f>IF(Revenue!L85=0,"",Revenue!L85)</f>
        <v/>
      </c>
      <c r="J149" s="257" t="str">
        <f>IF(Revenue!M85=0,"",Revenue!M85)</f>
        <v/>
      </c>
      <c r="K149" s="697" t="str">
        <f>IF(OR(Revenue!N85=0,Revenue!N85="Select Here"),"",Revenue!N85)</f>
        <v/>
      </c>
      <c r="L149" s="257" t="str">
        <f>IF(Revenue!O85=0,"",Revenue!O85)</f>
        <v/>
      </c>
    </row>
    <row r="150" spans="2:12" ht="15" customHeight="1" x14ac:dyDescent="0.2">
      <c r="B150" s="697" t="str">
        <f>IF(Revenue!C86=0,"",Revenue!C86)</f>
        <v/>
      </c>
      <c r="C150" s="697" t="str">
        <f>IF(Revenue!D86=0,"",Revenue!D86)</f>
        <v/>
      </c>
      <c r="D150" s="255" t="str">
        <f>IF(Revenue!G86=0,"",Revenue!G86)</f>
        <v/>
      </c>
      <c r="E150" s="255" t="str">
        <f>IF(Revenue!H86=0,"",Revenue!H86)</f>
        <v/>
      </c>
      <c r="F150" s="257" t="str">
        <f>IF(Revenue!I86=0,"",Revenue!I86)</f>
        <v/>
      </c>
      <c r="G150" s="257" t="str">
        <f>IF(Revenue!J86=0,"",Revenue!J86)</f>
        <v/>
      </c>
      <c r="H150" s="257" t="str">
        <f>IF(Revenue!K86=0,"",Revenue!K86)</f>
        <v/>
      </c>
      <c r="I150" s="257" t="str">
        <f>IF(Revenue!L86=0,"",Revenue!L86)</f>
        <v/>
      </c>
      <c r="J150" s="257" t="str">
        <f>IF(Revenue!M86=0,"",Revenue!M86)</f>
        <v/>
      </c>
      <c r="K150" s="697" t="str">
        <f>IF(OR(Revenue!N86=0,Revenue!N86="Select Here"),"",Revenue!N86)</f>
        <v/>
      </c>
      <c r="L150" s="257" t="str">
        <f>IF(Revenue!O86=0,"",Revenue!O86)</f>
        <v/>
      </c>
    </row>
    <row r="151" spans="2:12" ht="15" customHeight="1" x14ac:dyDescent="0.2">
      <c r="B151" s="697" t="str">
        <f>IF(Revenue!C87=0,"",Revenue!C87)</f>
        <v/>
      </c>
      <c r="C151" s="697" t="str">
        <f>IF(Revenue!D87=0,"",Revenue!D87)</f>
        <v/>
      </c>
      <c r="D151" s="255" t="str">
        <f>IF(Revenue!G87=0,"",Revenue!G87)</f>
        <v/>
      </c>
      <c r="E151" s="255" t="str">
        <f>IF(Revenue!H87=0,"",Revenue!H87)</f>
        <v/>
      </c>
      <c r="F151" s="257" t="str">
        <f>IF(Revenue!I87=0,"",Revenue!I87)</f>
        <v/>
      </c>
      <c r="G151" s="257" t="str">
        <f>IF(Revenue!J87=0,"",Revenue!J87)</f>
        <v/>
      </c>
      <c r="H151" s="257" t="str">
        <f>IF(Revenue!K87=0,"",Revenue!K87)</f>
        <v/>
      </c>
      <c r="I151" s="257" t="str">
        <f>IF(Revenue!L87=0,"",Revenue!L87)</f>
        <v/>
      </c>
      <c r="J151" s="257" t="str">
        <f>IF(Revenue!M87=0,"",Revenue!M87)</f>
        <v/>
      </c>
      <c r="K151" s="697" t="str">
        <f>IF(OR(Revenue!N87=0,Revenue!N87="Select Here"),"",Revenue!N87)</f>
        <v/>
      </c>
      <c r="L151" s="257" t="str">
        <f>IF(Revenue!O87=0,"",Revenue!O87)</f>
        <v/>
      </c>
    </row>
    <row r="152" spans="2:12" ht="15" customHeight="1" x14ac:dyDescent="0.2">
      <c r="B152" s="697" t="str">
        <f>IF(Revenue!C88=0,"",Revenue!C88)</f>
        <v/>
      </c>
      <c r="C152" s="697" t="str">
        <f>IF(Revenue!D88=0,"",Revenue!D88)</f>
        <v/>
      </c>
      <c r="D152" s="255" t="str">
        <f>IF(Revenue!G88=0,"",Revenue!G88)</f>
        <v/>
      </c>
      <c r="E152" s="255" t="str">
        <f>IF(Revenue!H88=0,"",Revenue!H88)</f>
        <v/>
      </c>
      <c r="F152" s="257" t="str">
        <f>IF(Revenue!I88=0,"",Revenue!I88)</f>
        <v/>
      </c>
      <c r="G152" s="257" t="str">
        <f>IF(Revenue!J88=0,"",Revenue!J88)</f>
        <v/>
      </c>
      <c r="H152" s="257" t="str">
        <f>IF(Revenue!K88=0,"",Revenue!K88)</f>
        <v/>
      </c>
      <c r="I152" s="257" t="str">
        <f>IF(Revenue!L88=0,"",Revenue!L88)</f>
        <v/>
      </c>
      <c r="J152" s="257" t="str">
        <f>IF(Revenue!M88=0,"",Revenue!M88)</f>
        <v/>
      </c>
      <c r="K152" s="697" t="str">
        <f>IF(OR(Revenue!N88=0,Revenue!N88="Select Here"),"",Revenue!N88)</f>
        <v/>
      </c>
      <c r="L152" s="257" t="str">
        <f>IF(Revenue!O88=0,"",Revenue!O88)</f>
        <v/>
      </c>
    </row>
    <row r="153" spans="2:12" ht="15" customHeight="1" x14ac:dyDescent="0.2">
      <c r="B153" s="697" t="str">
        <f>IF(Revenue!C89=0,"",Revenue!C89)</f>
        <v/>
      </c>
      <c r="C153" s="697" t="str">
        <f>IF(Revenue!D89=0,"",Revenue!D89)</f>
        <v/>
      </c>
      <c r="D153" s="255" t="str">
        <f>IF(Revenue!G89=0,"",Revenue!G89)</f>
        <v/>
      </c>
      <c r="E153" s="255" t="str">
        <f>IF(Revenue!H89=0,"",Revenue!H89)</f>
        <v/>
      </c>
      <c r="F153" s="257" t="str">
        <f>IF(Revenue!I89=0,"",Revenue!I89)</f>
        <v/>
      </c>
      <c r="G153" s="257" t="str">
        <f>IF(Revenue!J89=0,"",Revenue!J89)</f>
        <v/>
      </c>
      <c r="H153" s="257" t="str">
        <f>IF(Revenue!K89=0,"",Revenue!K89)</f>
        <v/>
      </c>
      <c r="I153" s="257" t="str">
        <f>IF(Revenue!L89=0,"",Revenue!L89)</f>
        <v/>
      </c>
      <c r="J153" s="257" t="str">
        <f>IF(Revenue!M89=0,"",Revenue!M89)</f>
        <v/>
      </c>
      <c r="K153" s="697" t="str">
        <f>IF(OR(Revenue!N89=0,Revenue!N89="Select Here"),"",Revenue!N89)</f>
        <v/>
      </c>
      <c r="L153" s="257" t="str">
        <f>IF(Revenue!O89=0,"",Revenue!O89)</f>
        <v/>
      </c>
    </row>
    <row r="154" spans="2:12" ht="15" customHeight="1" x14ac:dyDescent="0.2">
      <c r="B154" s="697" t="str">
        <f>IF(Revenue!C90=0,"",Revenue!C90)</f>
        <v/>
      </c>
      <c r="C154" s="697" t="str">
        <f>IF(Revenue!D90=0,"",Revenue!D90)</f>
        <v/>
      </c>
      <c r="D154" s="255" t="str">
        <f>IF(Revenue!G90=0,"",Revenue!G90)</f>
        <v/>
      </c>
      <c r="E154" s="255" t="str">
        <f>IF(Revenue!H90=0,"",Revenue!H90)</f>
        <v/>
      </c>
      <c r="F154" s="257" t="str">
        <f>IF(Revenue!I90=0,"",Revenue!I90)</f>
        <v/>
      </c>
      <c r="G154" s="257" t="str">
        <f>IF(Revenue!J90=0,"",Revenue!J90)</f>
        <v/>
      </c>
      <c r="H154" s="257" t="str">
        <f>IF(Revenue!K90=0,"",Revenue!K90)</f>
        <v/>
      </c>
      <c r="I154" s="257" t="str">
        <f>IF(Revenue!L90=0,"",Revenue!L90)</f>
        <v/>
      </c>
      <c r="J154" s="257" t="str">
        <f>IF(Revenue!M90=0,"",Revenue!M90)</f>
        <v/>
      </c>
      <c r="K154" s="697" t="str">
        <f>IF(OR(Revenue!N90=0,Revenue!N90="Select Here"),"",Revenue!N90)</f>
        <v/>
      </c>
      <c r="L154" s="257" t="str">
        <f>IF(Revenue!O90=0,"",Revenue!O90)</f>
        <v/>
      </c>
    </row>
    <row r="155" spans="2:12" ht="15" customHeight="1" x14ac:dyDescent="0.2">
      <c r="B155" s="697" t="str">
        <f>IF(Revenue!C91=0,"",Revenue!C91)</f>
        <v/>
      </c>
      <c r="C155" s="697" t="str">
        <f>IF(Revenue!D91=0,"",Revenue!D91)</f>
        <v/>
      </c>
      <c r="D155" s="255" t="str">
        <f>IF(Revenue!G91=0,"",Revenue!G91)</f>
        <v/>
      </c>
      <c r="E155" s="255" t="str">
        <f>IF(Revenue!H91=0,"",Revenue!H91)</f>
        <v/>
      </c>
      <c r="F155" s="257" t="str">
        <f>IF(Revenue!I91=0,"",Revenue!I91)</f>
        <v/>
      </c>
      <c r="G155" s="257" t="str">
        <f>IF(Revenue!J91=0,"",Revenue!J91)</f>
        <v/>
      </c>
      <c r="H155" s="257" t="str">
        <f>IF(Revenue!K91=0,"",Revenue!K91)</f>
        <v/>
      </c>
      <c r="I155" s="257" t="str">
        <f>IF(Revenue!L91=0,"",Revenue!L91)</f>
        <v/>
      </c>
      <c r="J155" s="257" t="str">
        <f>IF(Revenue!M91=0,"",Revenue!M91)</f>
        <v/>
      </c>
      <c r="K155" s="697" t="str">
        <f>IF(OR(Revenue!N91=0,Revenue!N91="Select Here"),"",Revenue!N91)</f>
        <v/>
      </c>
      <c r="L155" s="257" t="str">
        <f>IF(Revenue!O91=0,"",Revenue!O91)</f>
        <v/>
      </c>
    </row>
    <row r="156" spans="2:12" ht="15" customHeight="1" x14ac:dyDescent="0.2">
      <c r="K156" s="263"/>
    </row>
    <row r="157" spans="2:12" ht="15" customHeight="1" x14ac:dyDescent="0.2">
      <c r="K157" s="263"/>
    </row>
    <row r="158" spans="2:12" ht="15" customHeight="1" x14ac:dyDescent="0.2">
      <c r="B158" s="1609" t="s">
        <v>367</v>
      </c>
      <c r="C158" s="1609"/>
      <c r="D158" s="1609"/>
      <c r="E158" s="1609"/>
      <c r="H158" s="1609" t="s">
        <v>2288</v>
      </c>
      <c r="I158" s="1609"/>
      <c r="J158" s="1609"/>
      <c r="K158" s="1609"/>
      <c r="L158" s="1609"/>
    </row>
    <row r="159" spans="2:12" ht="3" customHeight="1" x14ac:dyDescent="0.2">
      <c r="B159" s="1623"/>
      <c r="C159" s="1623"/>
      <c r="D159" s="1623"/>
      <c r="E159" s="1623"/>
      <c r="F159" s="1623"/>
      <c r="H159" s="1623"/>
      <c r="I159" s="1623"/>
      <c r="J159" s="1623"/>
      <c r="K159" s="1623"/>
      <c r="L159" s="1623"/>
    </row>
    <row r="160" spans="2:12" ht="5.25" customHeight="1" x14ac:dyDescent="0.2"/>
    <row r="161" spans="2:12" ht="30" customHeight="1" x14ac:dyDescent="0.2">
      <c r="B161" s="1647" t="s">
        <v>364</v>
      </c>
      <c r="C161" s="1647"/>
      <c r="D161" s="1647"/>
      <c r="E161" s="995" t="s">
        <v>365</v>
      </c>
      <c r="F161" s="995" t="s">
        <v>366</v>
      </c>
      <c r="H161" s="1647" t="s">
        <v>355</v>
      </c>
      <c r="I161" s="1647"/>
      <c r="J161" s="998" t="s">
        <v>163</v>
      </c>
      <c r="K161" s="999" t="s">
        <v>356</v>
      </c>
      <c r="L161" s="997" t="s">
        <v>322</v>
      </c>
    </row>
    <row r="162" spans="2:12" ht="15" customHeight="1" x14ac:dyDescent="0.2">
      <c r="B162" s="1601" t="s">
        <v>2137</v>
      </c>
      <c r="C162" s="1601"/>
      <c r="D162" s="1605"/>
      <c r="E162" s="273">
        <f>OpBudget!F29</f>
        <v>0</v>
      </c>
      <c r="F162" s="49">
        <f>IF(E162=0,0,E162/$C$103)</f>
        <v>0</v>
      </c>
      <c r="H162" s="1601" t="s">
        <v>165</v>
      </c>
      <c r="I162" s="1601"/>
      <c r="J162" s="257">
        <f>SUM(Uses!K9:K13)</f>
        <v>0</v>
      </c>
      <c r="K162" s="50">
        <f t="shared" ref="K162:K171" si="5">IF($C$103=0,0,J162/$C$103)</f>
        <v>0</v>
      </c>
      <c r="L162" s="51">
        <f>SUM(Uses!I9:I13)</f>
        <v>0</v>
      </c>
    </row>
    <row r="163" spans="2:12" ht="15" customHeight="1" x14ac:dyDescent="0.2">
      <c r="B163" s="1601" t="s">
        <v>378</v>
      </c>
      <c r="C163" s="1601"/>
      <c r="D163" s="1605"/>
      <c r="E163" s="273">
        <f>OpBudget!F30</f>
        <v>0</v>
      </c>
      <c r="F163" s="49">
        <f t="shared" ref="F163:F177" si="6">IF(E163=0,0,E163/$C$103)</f>
        <v>0</v>
      </c>
      <c r="H163" s="1601" t="s">
        <v>217</v>
      </c>
      <c r="I163" s="1601"/>
      <c r="J163" s="257">
        <f>SUM(Uses!K15:K23)</f>
        <v>0</v>
      </c>
      <c r="K163" s="50">
        <f t="shared" si="5"/>
        <v>0</v>
      </c>
      <c r="L163" s="51">
        <f>SUM(Uses!I15:I23)</f>
        <v>0</v>
      </c>
    </row>
    <row r="164" spans="2:12" ht="15" customHeight="1" x14ac:dyDescent="0.2">
      <c r="B164" s="1601" t="s">
        <v>2099</v>
      </c>
      <c r="C164" s="1601"/>
      <c r="D164" s="1605"/>
      <c r="E164" s="273">
        <f>OpBudget!F31</f>
        <v>0</v>
      </c>
      <c r="F164" s="49">
        <f t="shared" si="6"/>
        <v>0</v>
      </c>
      <c r="H164" s="1601" t="s">
        <v>218</v>
      </c>
      <c r="I164" s="1601"/>
      <c r="J164" s="257">
        <f>SUM(Uses!K25:K30)</f>
        <v>0</v>
      </c>
      <c r="K164" s="50">
        <f t="shared" si="5"/>
        <v>0</v>
      </c>
      <c r="L164" s="51">
        <f>SUM(Uses!I25:I30)</f>
        <v>0</v>
      </c>
    </row>
    <row r="165" spans="2:12" ht="15" customHeight="1" thickBot="1" x14ac:dyDescent="0.25">
      <c r="B165" s="1646" t="s">
        <v>2100</v>
      </c>
      <c r="C165" s="1646"/>
      <c r="D165" s="274" t="str">
        <f>IF(E162=0,"",-E165/E162)</f>
        <v/>
      </c>
      <c r="E165" s="275">
        <f>OpBudget!F33</f>
        <v>0</v>
      </c>
      <c r="F165" s="52">
        <f t="shared" si="6"/>
        <v>0</v>
      </c>
      <c r="H165" s="1601" t="s">
        <v>194</v>
      </c>
      <c r="I165" s="1601"/>
      <c r="J165" s="257">
        <f>SUM(Uses!K32:K45)</f>
        <v>0</v>
      </c>
      <c r="K165" s="50">
        <f t="shared" si="5"/>
        <v>0</v>
      </c>
      <c r="L165" s="51">
        <f>SUM(Uses!I32:I45)</f>
        <v>0</v>
      </c>
    </row>
    <row r="166" spans="2:12" ht="15" customHeight="1" thickTop="1" x14ac:dyDescent="0.2">
      <c r="B166" s="1601" t="s">
        <v>369</v>
      </c>
      <c r="C166" s="1601"/>
      <c r="D166" s="1605"/>
      <c r="E166" s="276">
        <f>SUM(E161:E165)</f>
        <v>0</v>
      </c>
      <c r="F166" s="53">
        <f t="shared" si="6"/>
        <v>0</v>
      </c>
      <c r="H166" s="1601" t="s">
        <v>358</v>
      </c>
      <c r="I166" s="1601"/>
      <c r="J166" s="257">
        <f>SUM(Uses!K47:K55)</f>
        <v>0</v>
      </c>
      <c r="K166" s="50">
        <f t="shared" si="5"/>
        <v>0</v>
      </c>
      <c r="L166" s="51">
        <f>SUM(Uses!I47:I55)</f>
        <v>0</v>
      </c>
    </row>
    <row r="167" spans="2:12" ht="15" customHeight="1" x14ac:dyDescent="0.2">
      <c r="B167" s="1601"/>
      <c r="C167" s="1601"/>
      <c r="D167" s="1601"/>
      <c r="E167" s="277"/>
      <c r="F167" s="54"/>
      <c r="H167" s="1601" t="s">
        <v>195</v>
      </c>
      <c r="I167" s="1601"/>
      <c r="J167" s="257">
        <f>SUM(Uses!K57:K69)-J168</f>
        <v>0</v>
      </c>
      <c r="K167" s="50">
        <f t="shared" si="5"/>
        <v>0</v>
      </c>
      <c r="L167" s="51">
        <f>SUM(Uses!I57:I69)-L168</f>
        <v>0</v>
      </c>
    </row>
    <row r="168" spans="2:12" ht="15" customHeight="1" x14ac:dyDescent="0.2">
      <c r="B168" s="1155" t="s">
        <v>370</v>
      </c>
      <c r="C168" s="1155"/>
      <c r="D168" s="1155"/>
      <c r="E168" s="273">
        <f>OpBudget!F112</f>
        <v>0</v>
      </c>
      <c r="F168" s="49">
        <f t="shared" si="6"/>
        <v>0</v>
      </c>
      <c r="H168" s="1601" t="s">
        <v>226</v>
      </c>
      <c r="I168" s="1601"/>
      <c r="J168" s="257">
        <f>Uses!K59</f>
        <v>0</v>
      </c>
      <c r="K168" s="50">
        <f t="shared" si="5"/>
        <v>0</v>
      </c>
      <c r="L168" s="51">
        <f>Uses!H59</f>
        <v>0</v>
      </c>
    </row>
    <row r="169" spans="2:12" ht="15" customHeight="1" x14ac:dyDescent="0.2">
      <c r="B169" s="1155" t="s">
        <v>636</v>
      </c>
      <c r="C169" s="1155"/>
      <c r="D169" s="1155"/>
      <c r="E169" s="273">
        <f>OpBudget!F113</f>
        <v>0</v>
      </c>
      <c r="F169" s="49">
        <f t="shared" si="6"/>
        <v>0</v>
      </c>
      <c r="H169" s="1601" t="s">
        <v>426</v>
      </c>
      <c r="I169" s="1601"/>
      <c r="J169" s="257">
        <f>SUM(Uses!K71:K78)</f>
        <v>8000</v>
      </c>
      <c r="K169" s="50">
        <f t="shared" si="5"/>
        <v>0</v>
      </c>
      <c r="L169" s="51">
        <f>SUM(Uses!I71:I78)</f>
        <v>0</v>
      </c>
    </row>
    <row r="170" spans="2:12" ht="15" customHeight="1" thickBot="1" x14ac:dyDescent="0.25">
      <c r="B170" s="1155" t="s">
        <v>626</v>
      </c>
      <c r="C170" s="1155"/>
      <c r="D170" s="1155"/>
      <c r="E170" s="273">
        <f>OpBudget!F114</f>
        <v>0</v>
      </c>
      <c r="F170" s="49">
        <f t="shared" si="6"/>
        <v>0</v>
      </c>
      <c r="H170" s="1646" t="s">
        <v>359</v>
      </c>
      <c r="I170" s="1646"/>
      <c r="J170" s="278">
        <f>SUM(Uses!K80:K83)</f>
        <v>0</v>
      </c>
      <c r="K170" s="55">
        <f t="shared" si="5"/>
        <v>0</v>
      </c>
      <c r="L170" s="56">
        <f>SUM(Uses!I80:I83)</f>
        <v>0</v>
      </c>
    </row>
    <row r="171" spans="2:12" ht="15" customHeight="1" thickTop="1" x14ac:dyDescent="0.2">
      <c r="B171" s="1155" t="s">
        <v>637</v>
      </c>
      <c r="C171" s="1155"/>
      <c r="D171" s="1155"/>
      <c r="E171" s="273">
        <f>OpBudget!F115</f>
        <v>0</v>
      </c>
      <c r="F171" s="49">
        <f t="shared" si="6"/>
        <v>0</v>
      </c>
      <c r="H171" s="1648" t="s">
        <v>372</v>
      </c>
      <c r="I171" s="1648"/>
      <c r="J171" s="279">
        <f>SUM(J162:J170)</f>
        <v>8000</v>
      </c>
      <c r="K171" s="57">
        <f t="shared" si="5"/>
        <v>0</v>
      </c>
      <c r="L171" s="58">
        <f>SUM(L162:L170)</f>
        <v>0</v>
      </c>
    </row>
    <row r="172" spans="2:12" ht="15" customHeight="1" x14ac:dyDescent="0.2">
      <c r="B172" s="1155" t="s">
        <v>148</v>
      </c>
      <c r="C172" s="1155"/>
      <c r="D172" s="1155"/>
      <c r="E172" s="273">
        <f>OpBudget!F116</f>
        <v>0</v>
      </c>
      <c r="F172" s="49">
        <f t="shared" si="6"/>
        <v>0</v>
      </c>
      <c r="H172" s="1649" t="s">
        <v>385</v>
      </c>
      <c r="I172" s="1649"/>
      <c r="J172" s="1649"/>
      <c r="K172" s="1650"/>
      <c r="L172" s="59">
        <f>L171/J171</f>
        <v>0</v>
      </c>
    </row>
    <row r="173" spans="2:12" ht="15" customHeight="1" x14ac:dyDescent="0.2">
      <c r="B173" s="1155" t="s">
        <v>2113</v>
      </c>
      <c r="C173" s="1155"/>
      <c r="D173" s="1155"/>
      <c r="E173" s="273">
        <f>Cashflow!F32</f>
        <v>0</v>
      </c>
      <c r="F173" s="49">
        <f t="shared" si="6"/>
        <v>0</v>
      </c>
      <c r="H173" s="258"/>
      <c r="I173" s="258"/>
      <c r="J173" s="258"/>
      <c r="K173" s="258"/>
      <c r="L173" s="60"/>
    </row>
    <row r="174" spans="2:12" ht="15" customHeight="1" x14ac:dyDescent="0.2">
      <c r="B174" s="1155" t="s">
        <v>434</v>
      </c>
      <c r="C174" s="1155"/>
      <c r="D174" s="1155"/>
      <c r="E174" s="273">
        <f>OpBudget!F117</f>
        <v>0</v>
      </c>
      <c r="F174" s="49">
        <f t="shared" si="6"/>
        <v>0</v>
      </c>
      <c r="H174" s="1601"/>
      <c r="I174" s="1601"/>
      <c r="J174" s="258"/>
      <c r="K174" s="61"/>
    </row>
    <row r="175" spans="2:12" ht="15" customHeight="1" x14ac:dyDescent="0.2">
      <c r="B175" s="25" t="s">
        <v>2101</v>
      </c>
      <c r="C175" s="25"/>
      <c r="D175" s="25"/>
      <c r="E175" s="273">
        <f>OpBudget!F118</f>
        <v>0</v>
      </c>
      <c r="F175" s="49">
        <f t="shared" si="6"/>
        <v>0</v>
      </c>
      <c r="H175" s="1612" t="s">
        <v>375</v>
      </c>
      <c r="I175" s="1612"/>
      <c r="J175" s="998" t="s">
        <v>376</v>
      </c>
      <c r="K175" s="998" t="s">
        <v>377</v>
      </c>
      <c r="L175" s="998" t="s">
        <v>301</v>
      </c>
    </row>
    <row r="176" spans="2:12" ht="15" customHeight="1" x14ac:dyDescent="0.2">
      <c r="B176" s="25" t="s">
        <v>633</v>
      </c>
      <c r="C176" s="25"/>
      <c r="D176" s="25"/>
      <c r="E176" s="273">
        <f>OpBudget!F119</f>
        <v>0</v>
      </c>
      <c r="F176" s="49">
        <f t="shared" si="6"/>
        <v>0</v>
      </c>
      <c r="H176" s="1655" t="s">
        <v>373</v>
      </c>
      <c r="I176" s="1655"/>
      <c r="J176" s="257">
        <f>K171</f>
        <v>0</v>
      </c>
      <c r="K176" s="257">
        <f>IF(Details!$J$10="Adaptive Reuse", Data!$CN$15, SUMIFS(Data!$CN$11:$CN$15, Data!$CL$11:$CL$15, TRIM(Details!$E$20), Data!$CM$11:$CM$15, TRIM(Details!$J$10)))</f>
        <v>0</v>
      </c>
      <c r="L176" s="63" t="str">
        <f>IF(OR(K176=0,K176=""),"",(J176-K176)/K176)</f>
        <v/>
      </c>
    </row>
    <row r="177" spans="2:23" ht="15" customHeight="1" thickBot="1" x14ac:dyDescent="0.25">
      <c r="B177" s="1336" t="s">
        <v>328</v>
      </c>
      <c r="C177" s="1336"/>
      <c r="D177" s="1336"/>
      <c r="E177" s="275">
        <f>Cashflow!F36</f>
        <v>0</v>
      </c>
      <c r="F177" s="52">
        <f t="shared" si="6"/>
        <v>0</v>
      </c>
      <c r="H177" s="1655" t="s">
        <v>374</v>
      </c>
      <c r="I177" s="1655"/>
      <c r="J177" s="257">
        <f>IF(Details!F130=0,0,J171/Details!F130)</f>
        <v>0</v>
      </c>
      <c r="K177" s="257">
        <f>IF(Details!$J$10="Adaptive Reuse", Data!$CO$15, SUMIFS(Data!$CO$11:$CO$15, Data!$CL$11:$CL$15, TRIM(Details!$E$20), Data!$CM$11:$CM$15, TRIM(Details!$J$10)))</f>
        <v>0</v>
      </c>
      <c r="L177" s="63" t="str">
        <f>IF(OR(K177=0,K177=""),"",(J177-K177)/K177)</f>
        <v/>
      </c>
    </row>
    <row r="178" spans="2:23" ht="15" customHeight="1" thickTop="1" x14ac:dyDescent="0.2">
      <c r="B178" s="1335" t="s">
        <v>2140</v>
      </c>
      <c r="C178" s="1335"/>
      <c r="D178" s="1335"/>
      <c r="E178" s="276">
        <f>SUM(E168:E177)</f>
        <v>0</v>
      </c>
      <c r="F178" s="276">
        <f>SUM(F168:F177)</f>
        <v>0</v>
      </c>
      <c r="H178" s="280"/>
      <c r="I178" s="280"/>
      <c r="J178" s="258"/>
      <c r="K178" s="61"/>
      <c r="L178" s="226"/>
    </row>
    <row r="179" spans="2:23" ht="15" customHeight="1" x14ac:dyDescent="0.2">
      <c r="E179" s="277"/>
      <c r="F179" s="54"/>
      <c r="H179" s="1601"/>
      <c r="I179" s="1601"/>
      <c r="J179" s="995" t="s">
        <v>260</v>
      </c>
      <c r="K179" s="995" t="s">
        <v>261</v>
      </c>
      <c r="L179" s="61"/>
    </row>
    <row r="180" spans="2:23" ht="15" customHeight="1" x14ac:dyDescent="0.2">
      <c r="B180" s="251" t="s">
        <v>371</v>
      </c>
      <c r="E180" s="320">
        <f>E166-E178</f>
        <v>0</v>
      </c>
      <c r="F180" s="321">
        <f>IF(E180=0,0,E180/$C$103)</f>
        <v>0</v>
      </c>
      <c r="H180" s="1601" t="s">
        <v>321</v>
      </c>
      <c r="I180" s="1601"/>
      <c r="J180" s="288" t="str">
        <f>Cashflow!F50</f>
        <v>N/A</v>
      </c>
      <c r="K180" s="66" t="str">
        <f>Cashflow!T50</f>
        <v>N/A</v>
      </c>
      <c r="L180" s="61"/>
    </row>
    <row r="181" spans="2:23" ht="15" customHeight="1" x14ac:dyDescent="0.2">
      <c r="E181" s="277"/>
      <c r="F181" s="54"/>
      <c r="H181" s="1601" t="s">
        <v>401</v>
      </c>
      <c r="I181" s="1601"/>
      <c r="J181" s="288">
        <v>1.2</v>
      </c>
      <c r="K181" s="66">
        <v>1</v>
      </c>
      <c r="L181" s="61"/>
    </row>
    <row r="182" spans="2:23" ht="15" customHeight="1" x14ac:dyDescent="0.2">
      <c r="E182" s="277"/>
      <c r="F182" s="54"/>
      <c r="H182" s="1111"/>
      <c r="I182" s="1111"/>
      <c r="J182" s="1111"/>
      <c r="K182" s="1112"/>
      <c r="L182" s="1113"/>
    </row>
    <row r="183" spans="2:23" ht="15" customHeight="1" x14ac:dyDescent="0.2">
      <c r="B183" s="1609" t="s">
        <v>384</v>
      </c>
      <c r="C183" s="1609"/>
      <c r="D183" s="1609"/>
      <c r="E183" s="1609"/>
      <c r="H183" s="1651" t="s">
        <v>398</v>
      </c>
      <c r="I183" s="1651"/>
      <c r="J183" s="1651"/>
      <c r="K183" s="1651"/>
      <c r="L183" s="1651"/>
      <c r="O183" s="254"/>
      <c r="P183" s="254"/>
      <c r="Q183" s="254"/>
      <c r="R183" s="254"/>
      <c r="S183" s="254"/>
      <c r="T183" s="254"/>
      <c r="V183" s="254"/>
    </row>
    <row r="184" spans="2:23" ht="3" customHeight="1" x14ac:dyDescent="0.2">
      <c r="B184" s="1623"/>
      <c r="C184" s="1623"/>
      <c r="D184" s="1623"/>
      <c r="E184" s="1623"/>
      <c r="F184" s="1623"/>
      <c r="H184" s="1652"/>
      <c r="I184" s="1652"/>
      <c r="J184" s="1652"/>
      <c r="K184" s="1652"/>
      <c r="L184" s="1652"/>
      <c r="W184" s="254"/>
    </row>
    <row r="185" spans="2:23" s="254" customFormat="1" ht="15" customHeight="1" x14ac:dyDescent="0.2">
      <c r="B185" s="251"/>
      <c r="C185" s="251"/>
      <c r="D185" s="251"/>
      <c r="E185" s="251"/>
      <c r="F185" s="251"/>
      <c r="G185" s="251"/>
      <c r="H185" s="1111"/>
      <c r="I185" s="1111"/>
      <c r="J185" s="1111"/>
      <c r="K185" s="1112"/>
      <c r="L185" s="1113"/>
      <c r="O185" s="251"/>
      <c r="P185" s="251"/>
      <c r="Q185" s="251"/>
      <c r="R185" s="251"/>
      <c r="S185" s="251"/>
      <c r="T185" s="251"/>
      <c r="U185" s="251"/>
      <c r="V185" s="251"/>
      <c r="W185" s="251"/>
    </row>
    <row r="186" spans="2:23" ht="30" customHeight="1" x14ac:dyDescent="0.2">
      <c r="B186" s="1340"/>
      <c r="C186" s="1635"/>
      <c r="D186" s="998" t="s">
        <v>165</v>
      </c>
      <c r="E186" s="995" t="s">
        <v>105</v>
      </c>
      <c r="F186" s="995" t="s">
        <v>104</v>
      </c>
      <c r="G186" s="254"/>
      <c r="H186" s="1653" t="str">
        <f>IF(OR(Sources!$G$38="",Sources!$G$38=0),"N/A - No Permanent Debt","")</f>
        <v>N/A - No Permanent Debt</v>
      </c>
      <c r="I186" s="1654"/>
      <c r="J186" s="1110" t="s">
        <v>399</v>
      </c>
      <c r="K186" s="1110" t="s">
        <v>400</v>
      </c>
      <c r="L186" s="1114"/>
    </row>
    <row r="187" spans="2:23" ht="15" customHeight="1" x14ac:dyDescent="0.2">
      <c r="B187" s="1601" t="s">
        <v>322</v>
      </c>
      <c r="C187" s="1605"/>
      <c r="D187" s="273">
        <f>LIHTCs!$F$10</f>
        <v>0</v>
      </c>
      <c r="E187" s="273">
        <f>LIHTCs!$G$10</f>
        <v>0</v>
      </c>
      <c r="F187" s="273">
        <f>LIHTCs!$H$10</f>
        <v>0</v>
      </c>
      <c r="H187" s="1652" t="s">
        <v>393</v>
      </c>
      <c r="I187" s="1652"/>
      <c r="J187" s="1115">
        <f>Cashflow!F39</f>
        <v>0</v>
      </c>
      <c r="K187" s="1116">
        <f>Cashflow!F39</f>
        <v>0</v>
      </c>
      <c r="L187" s="1111"/>
    </row>
    <row r="188" spans="2:23" ht="15" customHeight="1" x14ac:dyDescent="0.2">
      <c r="B188" s="1335" t="s">
        <v>386</v>
      </c>
      <c r="C188" s="1657"/>
      <c r="D188" s="273">
        <f>SUM(LIHTCs!$F$12:$F$13)</f>
        <v>0</v>
      </c>
      <c r="E188" s="273">
        <f>SUM(LIHTCs!$G$12:$G$13)</f>
        <v>0</v>
      </c>
      <c r="F188" s="273">
        <f>SUM(LIHTCs!$H$12:$H$13)</f>
        <v>0</v>
      </c>
      <c r="H188" s="1652" t="s">
        <v>321</v>
      </c>
      <c r="I188" s="1652"/>
      <c r="J188" s="1117">
        <f>IF($L$100=1,1.15,1.2)</f>
        <v>1.2</v>
      </c>
      <c r="K188" s="1118">
        <v>1</v>
      </c>
      <c r="L188" s="1111"/>
    </row>
    <row r="189" spans="2:23" ht="15" customHeight="1" x14ac:dyDescent="0.2">
      <c r="B189" s="1335" t="s">
        <v>387</v>
      </c>
      <c r="C189" s="1657"/>
      <c r="D189" s="273">
        <f>D187-D188</f>
        <v>0</v>
      </c>
      <c r="E189" s="273">
        <f>E187-E188</f>
        <v>0</v>
      </c>
      <c r="F189" s="273">
        <f>F187-F188</f>
        <v>0</v>
      </c>
      <c r="H189" s="1652" t="s">
        <v>394</v>
      </c>
      <c r="I189" s="1652"/>
      <c r="J189" s="1115">
        <f>J187/J188</f>
        <v>0</v>
      </c>
      <c r="K189" s="1116">
        <f>K187/K188</f>
        <v>0</v>
      </c>
      <c r="L189" s="1111"/>
    </row>
    <row r="190" spans="2:23" ht="15" customHeight="1" x14ac:dyDescent="0.2">
      <c r="B190" s="1601" t="s">
        <v>3414</v>
      </c>
      <c r="C190" s="1605"/>
      <c r="D190" s="1013"/>
      <c r="E190" s="255">
        <f>LIHTCs!$G$17</f>
        <v>0</v>
      </c>
      <c r="F190" s="255">
        <f>LIHTCs!$H$17</f>
        <v>0</v>
      </c>
      <c r="H190" s="1652" t="s">
        <v>164</v>
      </c>
      <c r="I190" s="1652"/>
      <c r="J190" s="1119">
        <f>Sources!H38</f>
        <v>0</v>
      </c>
      <c r="K190" s="1119">
        <f>Sources!H38</f>
        <v>0</v>
      </c>
      <c r="L190" s="1111"/>
      <c r="U190" s="254"/>
    </row>
    <row r="191" spans="2:23" ht="15" customHeight="1" x14ac:dyDescent="0.2">
      <c r="B191" s="1601" t="s">
        <v>3413</v>
      </c>
      <c r="C191" s="1605"/>
      <c r="D191" s="1013"/>
      <c r="E191" s="269">
        <f>LIHTCs!$G$18</f>
        <v>1</v>
      </c>
      <c r="F191" s="269">
        <f>LIHTCs!$H$18</f>
        <v>1</v>
      </c>
      <c r="H191" s="1652" t="s">
        <v>395</v>
      </c>
      <c r="I191" s="1652"/>
      <c r="J191" s="1120">
        <f>Sources!L38</f>
        <v>0</v>
      </c>
      <c r="K191" s="1120">
        <f>Sources!L38</f>
        <v>0</v>
      </c>
      <c r="L191" s="1111"/>
    </row>
    <row r="192" spans="2:23" ht="15" customHeight="1" thickBot="1" x14ac:dyDescent="0.25">
      <c r="B192" s="1601" t="s">
        <v>388</v>
      </c>
      <c r="C192" s="1605"/>
      <c r="D192" s="283">
        <f>LIHTCs!$F$20</f>
        <v>0</v>
      </c>
      <c r="E192" s="283">
        <f>LIHTCs!$G$20</f>
        <v>0</v>
      </c>
      <c r="F192" s="283">
        <f>LIHTCs!$H$20</f>
        <v>0</v>
      </c>
      <c r="H192" s="1656" t="s">
        <v>202</v>
      </c>
      <c r="I192" s="1656"/>
      <c r="J192" s="1121">
        <f>Sources!K38</f>
        <v>0</v>
      </c>
      <c r="K192" s="1121">
        <f>Sources!K38</f>
        <v>0</v>
      </c>
      <c r="L192" s="1111"/>
    </row>
    <row r="193" spans="2:12" ht="15" customHeight="1" thickTop="1" x14ac:dyDescent="0.2">
      <c r="B193" s="1335" t="s">
        <v>389</v>
      </c>
      <c r="C193" s="1657"/>
      <c r="D193" s="255">
        <f>LIHTCs!$F$24</f>
        <v>0</v>
      </c>
      <c r="E193" s="255">
        <f>LIHTCs!$F$24</f>
        <v>0</v>
      </c>
      <c r="F193" s="255">
        <f>LIHTCs!$F$24</f>
        <v>0</v>
      </c>
      <c r="H193" s="1652" t="s">
        <v>396</v>
      </c>
      <c r="I193" s="1652"/>
      <c r="J193" s="1122">
        <f>-PV(J190/12,J191*12,J189/12,,0)</f>
        <v>0</v>
      </c>
      <c r="K193" s="1122">
        <f>-PV(K190/12,K191*12,K189/12,,0)</f>
        <v>0</v>
      </c>
      <c r="L193" s="1111"/>
    </row>
    <row r="194" spans="2:12" ht="15" customHeight="1" x14ac:dyDescent="0.2">
      <c r="B194" s="1601" t="s">
        <v>390</v>
      </c>
      <c r="C194" s="1605"/>
      <c r="D194" s="273">
        <f>D192*D193</f>
        <v>0</v>
      </c>
      <c r="E194" s="273">
        <f>E192*E193</f>
        <v>0</v>
      </c>
      <c r="F194" s="273">
        <f>F192*F193</f>
        <v>0</v>
      </c>
      <c r="H194" s="1652" t="s">
        <v>397</v>
      </c>
      <c r="I194" s="1652"/>
      <c r="J194" s="1123">
        <f>SUM(Sources!G38:G39)</f>
        <v>0</v>
      </c>
      <c r="K194" s="1112"/>
      <c r="L194" s="1113"/>
    </row>
    <row r="195" spans="2:12" ht="15" customHeight="1" thickBot="1" x14ac:dyDescent="0.25">
      <c r="B195" s="1646" t="str">
        <f>IF(OR(F195=0.04,E195=0.04),"30% Present Value Rate","70% Present Value Rate")</f>
        <v>70% Present Value Rate</v>
      </c>
      <c r="C195" s="1660"/>
      <c r="D195" s="267">
        <f>LIHTCs!$F$27</f>
        <v>0.04</v>
      </c>
      <c r="E195" s="267">
        <f>LIHTCs!$G$27</f>
        <v>0.09</v>
      </c>
      <c r="F195" s="267">
        <f>LIHTCs!$H$27</f>
        <v>0.09</v>
      </c>
      <c r="H195" s="1652" t="s">
        <v>301</v>
      </c>
      <c r="I195" s="1652"/>
      <c r="J195" s="1115">
        <f>J194-MIN(J193,K193,L193)</f>
        <v>0</v>
      </c>
      <c r="K195" s="1112"/>
      <c r="L195" s="1113"/>
    </row>
    <row r="196" spans="2:12" ht="15" customHeight="1" thickTop="1" thickBot="1" x14ac:dyDescent="0.25">
      <c r="B196" s="1601" t="s">
        <v>391</v>
      </c>
      <c r="C196" s="1605"/>
      <c r="D196" s="286">
        <f>D194*D195</f>
        <v>0</v>
      </c>
      <c r="E196" s="283">
        <f>E194*E195</f>
        <v>0</v>
      </c>
      <c r="F196" s="283">
        <f>F194*F195</f>
        <v>0</v>
      </c>
      <c r="H196" s="1652"/>
      <c r="I196" s="1652"/>
      <c r="J196" s="1111"/>
      <c r="K196" s="1112"/>
      <c r="L196" s="1113"/>
    </row>
    <row r="197" spans="2:12" ht="15" customHeight="1" x14ac:dyDescent="0.2">
      <c r="B197" s="1658" t="s">
        <v>2752</v>
      </c>
      <c r="C197" s="1659"/>
      <c r="D197" s="812">
        <f>SUM(D196:F196)*10</f>
        <v>0</v>
      </c>
      <c r="E197" s="277"/>
      <c r="F197" s="277"/>
      <c r="H197" s="1652"/>
      <c r="I197" s="1652"/>
      <c r="J197" s="1110" t="s">
        <v>260</v>
      </c>
      <c r="K197" s="1110" t="s">
        <v>261</v>
      </c>
      <c r="L197" s="1111"/>
    </row>
    <row r="198" spans="2:12" ht="15" customHeight="1" x14ac:dyDescent="0.2">
      <c r="B198" s="1606" t="s">
        <v>2123</v>
      </c>
      <c r="C198" s="1605"/>
      <c r="D198" s="287">
        <f>LIHTCs!$F$34</f>
        <v>0</v>
      </c>
      <c r="E198" s="277"/>
      <c r="F198" s="277"/>
      <c r="H198" s="1652" t="s">
        <v>321</v>
      </c>
      <c r="I198" s="1652"/>
      <c r="J198" s="1124" t="str">
        <f>Cashflow!F50</f>
        <v>N/A</v>
      </c>
      <c r="K198" s="1125" t="str">
        <f>Cashflow!T50</f>
        <v>N/A</v>
      </c>
      <c r="L198" s="1111"/>
    </row>
    <row r="199" spans="2:12" ht="15" customHeight="1" x14ac:dyDescent="0.2">
      <c r="B199" s="1606" t="s">
        <v>392</v>
      </c>
      <c r="C199" s="1605"/>
      <c r="D199" s="811">
        <f>LIHTCs!$F$46</f>
        <v>0</v>
      </c>
      <c r="H199" s="1652" t="s">
        <v>401</v>
      </c>
      <c r="I199" s="1652"/>
      <c r="J199" s="1124">
        <f>J188</f>
        <v>1.2</v>
      </c>
      <c r="K199" s="1125">
        <v>1</v>
      </c>
      <c r="L199" s="1111"/>
    </row>
    <row r="200" spans="2:12" ht="15" customHeight="1" thickBot="1" x14ac:dyDescent="0.25">
      <c r="B200" s="1607" t="s">
        <v>3449</v>
      </c>
      <c r="C200" s="1608"/>
      <c r="D200" s="778">
        <f>LIHTCs!$F$48</f>
        <v>0</v>
      </c>
      <c r="H200" s="1111"/>
      <c r="I200" s="1111"/>
      <c r="J200" s="1111"/>
      <c r="K200" s="1112"/>
      <c r="L200" s="1113"/>
    </row>
    <row r="201" spans="2:12" ht="15" customHeight="1" x14ac:dyDescent="0.2">
      <c r="H201" s="1111"/>
      <c r="I201" s="1111"/>
      <c r="J201" s="1111"/>
      <c r="K201" s="1112"/>
      <c r="L201" s="1113"/>
    </row>
    <row r="202" spans="2:12" ht="15" customHeight="1" x14ac:dyDescent="0.2">
      <c r="K202" s="258"/>
      <c r="L202" s="61"/>
    </row>
    <row r="203" spans="2:12" ht="15" customHeight="1" x14ac:dyDescent="0.2">
      <c r="B203" s="1609" t="s">
        <v>380</v>
      </c>
      <c r="C203" s="1609"/>
      <c r="D203" s="1609"/>
      <c r="H203" s="1609" t="s">
        <v>379</v>
      </c>
      <c r="I203" s="1609"/>
      <c r="J203" s="1609"/>
    </row>
    <row r="204" spans="2:12" ht="3" customHeight="1" x14ac:dyDescent="0.2">
      <c r="B204" s="1623"/>
      <c r="C204" s="1623"/>
      <c r="D204" s="1623"/>
      <c r="E204" s="1623"/>
      <c r="F204" s="1623"/>
      <c r="H204" s="1623"/>
      <c r="I204" s="1623"/>
      <c r="J204" s="1623"/>
      <c r="K204" s="1623"/>
      <c r="L204" s="1623"/>
    </row>
    <row r="205" spans="2:12" ht="5.25" customHeight="1" x14ac:dyDescent="0.2"/>
    <row r="206" spans="2:12" ht="30" customHeight="1" x14ac:dyDescent="0.2">
      <c r="B206" s="1471" t="s">
        <v>295</v>
      </c>
      <c r="C206" s="1471"/>
      <c r="D206" s="995" t="s">
        <v>163</v>
      </c>
      <c r="E206" s="995" t="s">
        <v>383</v>
      </c>
      <c r="F206" s="261"/>
      <c r="H206" s="1471" t="s">
        <v>2317</v>
      </c>
      <c r="I206" s="1471"/>
      <c r="J206" s="995" t="s">
        <v>101</v>
      </c>
      <c r="K206" s="995" t="s">
        <v>383</v>
      </c>
      <c r="L206" s="261"/>
    </row>
    <row r="207" spans="2:12" ht="15" customHeight="1" x14ac:dyDescent="0.2">
      <c r="B207" s="1549" t="str">
        <f>IF(OR(Sources!C10="",Sources!C10="[Specify Here]",Sources!G10=0),"",Sources!C10)</f>
        <v/>
      </c>
      <c r="C207" s="1550"/>
      <c r="D207" s="62">
        <f>Sources!G10</f>
        <v>0</v>
      </c>
      <c r="E207" s="63" t="e">
        <f t="shared" ref="E207:E224" si="7">D207/$D$227</f>
        <v>#DIV/0!</v>
      </c>
      <c r="F207" s="61"/>
      <c r="H207" s="1661" t="str">
        <f>IF(OR(Sources!C36="",Sources!C36="[Specify Here]",Sources!G36=0),"",Sources!C36)</f>
        <v/>
      </c>
      <c r="I207" s="1662"/>
      <c r="J207" s="62">
        <f>Sources!G36</f>
        <v>0</v>
      </c>
      <c r="K207" s="63" t="e">
        <f>J207/$J$227</f>
        <v>#DIV/0!</v>
      </c>
      <c r="L207" s="61"/>
    </row>
    <row r="208" spans="2:12" ht="15" customHeight="1" x14ac:dyDescent="0.2">
      <c r="B208" s="1549" t="str">
        <f>IF(OR(Sources!C11="",Sources!C11="[Specify Here]",Sources!G11=0),"",Sources!C11)</f>
        <v/>
      </c>
      <c r="C208" s="1550"/>
      <c r="D208" s="62">
        <f>Sources!G11</f>
        <v>0</v>
      </c>
      <c r="E208" s="63" t="e">
        <f t="shared" si="7"/>
        <v>#DIV/0!</v>
      </c>
      <c r="F208" s="61"/>
      <c r="H208" s="1661" t="str">
        <f>IF(OR(Sources!C37="",Sources!C37="[Specify Here]",Sources!G37=0),"",Sources!C37)</f>
        <v/>
      </c>
      <c r="I208" s="1662"/>
      <c r="J208" s="62">
        <f>Sources!G37</f>
        <v>0</v>
      </c>
      <c r="K208" s="63" t="e">
        <f t="shared" ref="K208:K227" si="8">J208/$J$227</f>
        <v>#DIV/0!</v>
      </c>
      <c r="L208" s="61"/>
    </row>
    <row r="209" spans="2:12" ht="15" customHeight="1" x14ac:dyDescent="0.2">
      <c r="B209" s="1549" t="str">
        <f>IF(OR(Sources!C12="",Sources!C12="[Specify Here]",Sources!G12=0),"",Sources!C12)</f>
        <v/>
      </c>
      <c r="C209" s="1550"/>
      <c r="D209" s="62">
        <f>Sources!G12</f>
        <v>0</v>
      </c>
      <c r="E209" s="63" t="e">
        <f t="shared" si="7"/>
        <v>#DIV/0!</v>
      </c>
      <c r="F209" s="61"/>
      <c r="H209" s="1661" t="str">
        <f>IF(OR(Sources!C38="",Sources!C38="[Specify Here]",Sources!G38=0),"",Sources!C38)</f>
        <v/>
      </c>
      <c r="I209" s="1662"/>
      <c r="J209" s="62">
        <f>Sources!G38</f>
        <v>0</v>
      </c>
      <c r="K209" s="63" t="e">
        <f t="shared" si="8"/>
        <v>#DIV/0!</v>
      </c>
      <c r="L209" s="61"/>
    </row>
    <row r="210" spans="2:12" ht="15" customHeight="1" x14ac:dyDescent="0.2">
      <c r="B210" s="1549" t="str">
        <f>IF(OR(Sources!C13="",Sources!C13="[Specify Here]",Sources!G13=0),"",Sources!C13)</f>
        <v/>
      </c>
      <c r="C210" s="1550"/>
      <c r="D210" s="62">
        <f>Sources!G13</f>
        <v>0</v>
      </c>
      <c r="E210" s="63" t="e">
        <f t="shared" si="7"/>
        <v>#DIV/0!</v>
      </c>
      <c r="F210" s="61"/>
      <c r="H210" s="1661" t="str">
        <f>IF(OR(Sources!C39="",Sources!C39="[Specify Here]",Sources!G39=0),"",Sources!C39)</f>
        <v/>
      </c>
      <c r="I210" s="1662"/>
      <c r="J210" s="62">
        <f>Sources!G39</f>
        <v>0</v>
      </c>
      <c r="K210" s="63" t="e">
        <f t="shared" si="8"/>
        <v>#DIV/0!</v>
      </c>
      <c r="L210" s="61"/>
    </row>
    <row r="211" spans="2:12" ht="15" customHeight="1" x14ac:dyDescent="0.2">
      <c r="B211" s="1549" t="str">
        <f>IF(OR(Sources!C14="",Sources!C14="[Specify Here]",Sources!G14=0),"",Sources!C14)</f>
        <v/>
      </c>
      <c r="C211" s="1550"/>
      <c r="D211" s="62">
        <f>Sources!G14</f>
        <v>0</v>
      </c>
      <c r="E211" s="63" t="e">
        <f t="shared" si="7"/>
        <v>#DIV/0!</v>
      </c>
      <c r="F211" s="61"/>
      <c r="H211" s="1661" t="str">
        <f>IF(OR(Sources!C40="",Sources!C40="[Specify Here]",Sources!G40=0),"",Sources!C40)</f>
        <v/>
      </c>
      <c r="I211" s="1662"/>
      <c r="J211" s="62">
        <f>Sources!G40</f>
        <v>0</v>
      </c>
      <c r="K211" s="63" t="e">
        <f t="shared" si="8"/>
        <v>#DIV/0!</v>
      </c>
      <c r="L211" s="61"/>
    </row>
    <row r="212" spans="2:12" ht="15" customHeight="1" x14ac:dyDescent="0.2">
      <c r="B212" s="1549" t="str">
        <f>IF(OR(Sources!C15="",Sources!C15="[Specify Here]",Sources!G15=0),"",Sources!C15)</f>
        <v/>
      </c>
      <c r="C212" s="1550"/>
      <c r="D212" s="62">
        <f>Sources!G15</f>
        <v>0</v>
      </c>
      <c r="E212" s="63" t="e">
        <f t="shared" si="7"/>
        <v>#DIV/0!</v>
      </c>
      <c r="F212" s="61"/>
      <c r="H212" s="1661" t="str">
        <f>IF(OR(Sources!C41="",Sources!C41="[Specify Here]",Sources!G41=0),"",Sources!C41)</f>
        <v/>
      </c>
      <c r="I212" s="1662"/>
      <c r="J212" s="62">
        <f>Sources!G41</f>
        <v>0</v>
      </c>
      <c r="K212" s="63" t="e">
        <f t="shared" si="8"/>
        <v>#DIV/0!</v>
      </c>
      <c r="L212" s="61"/>
    </row>
    <row r="213" spans="2:12" ht="15" customHeight="1" x14ac:dyDescent="0.2">
      <c r="B213" s="1549" t="str">
        <f>IF(OR(Sources!C16="",Sources!C16="[Specify Here]",Sources!G16=0),"",Sources!C16)</f>
        <v/>
      </c>
      <c r="C213" s="1550"/>
      <c r="D213" s="62">
        <f>Sources!G16</f>
        <v>0</v>
      </c>
      <c r="E213" s="63" t="e">
        <f t="shared" si="7"/>
        <v>#DIV/0!</v>
      </c>
      <c r="F213" s="61"/>
      <c r="H213" s="1661" t="str">
        <f>IF(OR(Sources!C42="",Sources!C42="[Specify Here]",Sources!G42=0),"",Sources!C42)</f>
        <v/>
      </c>
      <c r="I213" s="1662"/>
      <c r="J213" s="62">
        <f>Sources!G42</f>
        <v>0</v>
      </c>
      <c r="K213" s="63" t="e">
        <f t="shared" si="8"/>
        <v>#DIV/0!</v>
      </c>
      <c r="L213" s="61"/>
    </row>
    <row r="214" spans="2:12" ht="15" customHeight="1" x14ac:dyDescent="0.2">
      <c r="B214" s="1549" t="str">
        <f>IF(OR(Sources!C17="",Sources!C17="[Specify Here]",Sources!G17=0),"",Sources!C17)</f>
        <v/>
      </c>
      <c r="C214" s="1550"/>
      <c r="D214" s="62">
        <f>Sources!G17</f>
        <v>0</v>
      </c>
      <c r="E214" s="63" t="e">
        <f t="shared" si="7"/>
        <v>#DIV/0!</v>
      </c>
      <c r="F214" s="61"/>
      <c r="H214" s="1661" t="str">
        <f>IF(OR(Sources!C43="",Sources!C43="[Specify Here]",Sources!G43=0),"",Sources!C43)</f>
        <v/>
      </c>
      <c r="I214" s="1662"/>
      <c r="J214" s="62">
        <f>Sources!G43</f>
        <v>0</v>
      </c>
      <c r="K214" s="63" t="e">
        <f t="shared" si="8"/>
        <v>#DIV/0!</v>
      </c>
      <c r="L214" s="61"/>
    </row>
    <row r="215" spans="2:12" ht="15" customHeight="1" x14ac:dyDescent="0.2">
      <c r="B215" s="1549" t="str">
        <f>IF(OR(Sources!C18="",Sources!C18="[Specify Here]",Sources!G18=0),"",Sources!C18)</f>
        <v/>
      </c>
      <c r="C215" s="1550"/>
      <c r="D215" s="62">
        <f>Sources!G18</f>
        <v>0</v>
      </c>
      <c r="E215" s="63" t="e">
        <f t="shared" si="7"/>
        <v>#DIV/0!</v>
      </c>
      <c r="F215" s="61"/>
      <c r="H215" s="1661" t="str">
        <f>IF(OR(Sources!C44="",Sources!C44="[Specify Here]",Sources!G44=0),"",Sources!C44)</f>
        <v/>
      </c>
      <c r="I215" s="1662"/>
      <c r="J215" s="62">
        <f>Sources!G44</f>
        <v>0</v>
      </c>
      <c r="K215" s="63" t="e">
        <f t="shared" si="8"/>
        <v>#DIV/0!</v>
      </c>
      <c r="L215" s="61"/>
    </row>
    <row r="216" spans="2:12" ht="15" customHeight="1" x14ac:dyDescent="0.2">
      <c r="B216" s="1549" t="str">
        <f>IF(OR(Sources!C19="",Sources!C19="[Specify Here]",Sources!G19=0),"",Sources!C19)</f>
        <v/>
      </c>
      <c r="C216" s="1550"/>
      <c r="D216" s="62">
        <f>Sources!G19</f>
        <v>0</v>
      </c>
      <c r="E216" s="63" t="e">
        <f t="shared" si="7"/>
        <v>#DIV/0!</v>
      </c>
      <c r="F216" s="61"/>
      <c r="H216" s="1661" t="str">
        <f>IF(OR(Sources!C45="",Sources!C45="[Specify Here]",Sources!G45=0),"",Sources!C45)</f>
        <v/>
      </c>
      <c r="I216" s="1662"/>
      <c r="J216" s="62">
        <f>Sources!G45</f>
        <v>0</v>
      </c>
      <c r="K216" s="63" t="e">
        <f t="shared" si="8"/>
        <v>#DIV/0!</v>
      </c>
      <c r="L216" s="61"/>
    </row>
    <row r="217" spans="2:12" ht="15" customHeight="1" x14ac:dyDescent="0.2">
      <c r="B217" s="1549" t="str">
        <f>IF(OR(Sources!C20="",Sources!C20="[Specify Here]",Sources!G20=0),"",Sources!C20)</f>
        <v/>
      </c>
      <c r="C217" s="1550"/>
      <c r="D217" s="62">
        <f>Sources!G20</f>
        <v>0</v>
      </c>
      <c r="E217" s="63" t="e">
        <f t="shared" si="7"/>
        <v>#DIV/0!</v>
      </c>
      <c r="F217" s="61"/>
      <c r="H217" s="1661" t="str">
        <f>IF(OR(Sources!C46="",Sources!C46="[Specify Here]",Sources!G46=0),"",Sources!C46)</f>
        <v/>
      </c>
      <c r="I217" s="1662"/>
      <c r="J217" s="62">
        <f>Sources!G46</f>
        <v>0</v>
      </c>
      <c r="K217" s="63" t="e">
        <f t="shared" si="8"/>
        <v>#DIV/0!</v>
      </c>
      <c r="L217" s="61"/>
    </row>
    <row r="218" spans="2:12" ht="15" customHeight="1" x14ac:dyDescent="0.2">
      <c r="B218" s="1549" t="str">
        <f>IF(OR(Sources!C21="",Sources!C21="[Specify Here]",Sources!G21=0),"",Sources!C21)</f>
        <v/>
      </c>
      <c r="C218" s="1550"/>
      <c r="D218" s="62">
        <f>Sources!G21</f>
        <v>0</v>
      </c>
      <c r="E218" s="63" t="e">
        <f t="shared" si="7"/>
        <v>#DIV/0!</v>
      </c>
      <c r="F218" s="61"/>
      <c r="H218" s="1661" t="str">
        <f>IF(OR(Sources!C47="",Sources!C47="[Specify Here]",Sources!G47=0),"",Sources!C47)</f>
        <v/>
      </c>
      <c r="I218" s="1662"/>
      <c r="J218" s="62">
        <f>Sources!G47</f>
        <v>0</v>
      </c>
      <c r="K218" s="63" t="e">
        <f t="shared" si="8"/>
        <v>#DIV/0!</v>
      </c>
      <c r="L218" s="61"/>
    </row>
    <row r="219" spans="2:12" ht="15" customHeight="1" x14ac:dyDescent="0.2">
      <c r="B219" s="1549" t="str">
        <f>IF(OR(Sources!C22="",Sources!C22="[Specify Here]",Sources!G22=0),"",Sources!C22)</f>
        <v/>
      </c>
      <c r="C219" s="1550"/>
      <c r="D219" s="62">
        <f>Sources!G22</f>
        <v>0</v>
      </c>
      <c r="E219" s="63" t="e">
        <f t="shared" si="7"/>
        <v>#DIV/0!</v>
      </c>
      <c r="F219" s="61"/>
      <c r="H219" s="1661" t="str">
        <f>IF(OR(Sources!C48="",Sources!C48="[Specify Here]",Sources!G48=0),"",Sources!C48)</f>
        <v/>
      </c>
      <c r="I219" s="1662"/>
      <c r="J219" s="62">
        <f>Sources!G48</f>
        <v>0</v>
      </c>
      <c r="K219" s="63" t="e">
        <f t="shared" si="8"/>
        <v>#DIV/0!</v>
      </c>
      <c r="L219" s="61"/>
    </row>
    <row r="220" spans="2:12" ht="15" customHeight="1" x14ac:dyDescent="0.2">
      <c r="B220" s="1549" t="str">
        <f>IF(OR(Sources!C23="",Sources!C23="[Specify Here]",Sources!G23=0),"",Sources!C23)</f>
        <v/>
      </c>
      <c r="C220" s="1550"/>
      <c r="D220" s="62">
        <f>Sources!G23</f>
        <v>0</v>
      </c>
      <c r="E220" s="63" t="e">
        <f t="shared" si="7"/>
        <v>#DIV/0!</v>
      </c>
      <c r="F220" s="61"/>
      <c r="H220" s="1661" t="str">
        <f>IF(OR(Sources!C49="",Sources!C49="[Specify Here]",Sources!G49=0),"",Sources!C49)</f>
        <v/>
      </c>
      <c r="I220" s="1662"/>
      <c r="J220" s="62">
        <f>Sources!G49</f>
        <v>0</v>
      </c>
      <c r="K220" s="63" t="e">
        <f t="shared" si="8"/>
        <v>#DIV/0!</v>
      </c>
      <c r="L220" s="61"/>
    </row>
    <row r="221" spans="2:12" ht="15" customHeight="1" x14ac:dyDescent="0.2">
      <c r="B221" s="1549" t="str">
        <f>IF(OR(Sources!C24="",Sources!C24="[Specify Here]",Sources!G24=0),"",Sources!C24)</f>
        <v/>
      </c>
      <c r="C221" s="1550"/>
      <c r="D221" s="62">
        <f>Sources!G24</f>
        <v>0</v>
      </c>
      <c r="E221" s="63" t="e">
        <f t="shared" si="7"/>
        <v>#DIV/0!</v>
      </c>
      <c r="F221" s="61"/>
      <c r="H221" s="1661" t="str">
        <f>IF(OR(Sources!C50="",Sources!C50="[Specify Here]",Sources!G50=0),"",Sources!C50)</f>
        <v/>
      </c>
      <c r="I221" s="1662"/>
      <c r="J221" s="62">
        <f>Sources!G50</f>
        <v>0</v>
      </c>
      <c r="K221" s="63" t="e">
        <f t="shared" si="8"/>
        <v>#DIV/0!</v>
      </c>
      <c r="L221" s="61"/>
    </row>
    <row r="222" spans="2:12" ht="15" customHeight="1" x14ac:dyDescent="0.2">
      <c r="B222" s="1549" t="str">
        <f>IF(OR(Sources!C25="",Sources!C25="[Specify Here]",Sources!G25=0),"",Sources!C25)</f>
        <v/>
      </c>
      <c r="C222" s="1550"/>
      <c r="D222" s="62">
        <f>Sources!G25</f>
        <v>0</v>
      </c>
      <c r="E222" s="63" t="e">
        <f t="shared" si="7"/>
        <v>#DIV/0!</v>
      </c>
      <c r="F222" s="61"/>
      <c r="H222" s="1661" t="str">
        <f>IF(OR(Sources!C51="",Sources!C51="[Specify Here]",Sources!G51=0),"",Sources!C51)</f>
        <v/>
      </c>
      <c r="I222" s="1662"/>
      <c r="J222" s="62">
        <f>Sources!G51</f>
        <v>0</v>
      </c>
      <c r="K222" s="63" t="e">
        <f t="shared" si="8"/>
        <v>#DIV/0!</v>
      </c>
      <c r="L222" s="61"/>
    </row>
    <row r="223" spans="2:12" ht="15" customHeight="1" x14ac:dyDescent="0.2">
      <c r="B223" s="1549" t="str">
        <f>IF(OR(Sources!C26="",Sources!C26="[Specify Here]",Sources!G26=0),"",Sources!C26)</f>
        <v/>
      </c>
      <c r="C223" s="1550"/>
      <c r="D223" s="62">
        <f>Sources!G26</f>
        <v>0</v>
      </c>
      <c r="E223" s="63" t="e">
        <f t="shared" si="7"/>
        <v>#DIV/0!</v>
      </c>
      <c r="F223" s="61"/>
      <c r="H223" s="1661" t="str">
        <f>IF(OR(Sources!C52="",Sources!C52="[Specify Here]",Sources!G52=0),"",Sources!C52)</f>
        <v/>
      </c>
      <c r="I223" s="1662"/>
      <c r="J223" s="62">
        <f>Sources!G52</f>
        <v>0</v>
      </c>
      <c r="K223" s="63" t="e">
        <f t="shared" si="8"/>
        <v>#DIV/0!</v>
      </c>
      <c r="L223" s="61"/>
    </row>
    <row r="224" spans="2:12" ht="15" customHeight="1" x14ac:dyDescent="0.2">
      <c r="B224" s="1549" t="str">
        <f>IF(OR(Sources!C27="",Sources!C27="[Specify Here]",Sources!G27=0),"",Sources!C27)</f>
        <v/>
      </c>
      <c r="C224" s="1550"/>
      <c r="D224" s="62">
        <f>Sources!G27</f>
        <v>0</v>
      </c>
      <c r="E224" s="63" t="e">
        <f t="shared" si="7"/>
        <v>#DIV/0!</v>
      </c>
      <c r="F224" s="61"/>
      <c r="H224" s="1661" t="str">
        <f>IF(OR(Sources!C53="",Sources!C53="[Specify Here]",Sources!G53=0),"",Sources!C53)</f>
        <v/>
      </c>
      <c r="I224" s="1662"/>
      <c r="J224" s="62">
        <f>Sources!G53</f>
        <v>0</v>
      </c>
      <c r="K224" s="63" t="e">
        <f t="shared" si="8"/>
        <v>#DIV/0!</v>
      </c>
      <c r="L224" s="61"/>
    </row>
    <row r="225" spans="2:12" ht="15" customHeight="1" x14ac:dyDescent="0.2">
      <c r="B225" s="698"/>
      <c r="C225" s="699"/>
      <c r="D225" s="62">
        <f>Sources!G28</f>
        <v>0</v>
      </c>
      <c r="E225" s="63" t="e">
        <f t="shared" ref="E225:E226" si="9">D225/$D$227</f>
        <v>#DIV/0!</v>
      </c>
      <c r="F225" s="61"/>
      <c r="H225" s="1661" t="str">
        <f>IF(OR(Sources!C54="",Sources!C54="[Specify Here]",Sources!G54=0),"",Sources!C54)</f>
        <v/>
      </c>
      <c r="I225" s="1662"/>
      <c r="J225" s="62">
        <f>Sources!G54</f>
        <v>0</v>
      </c>
      <c r="K225" s="63" t="e">
        <f t="shared" si="8"/>
        <v>#DIV/0!</v>
      </c>
      <c r="L225" s="61"/>
    </row>
    <row r="226" spans="2:12" ht="15" customHeight="1" thickBot="1" x14ac:dyDescent="0.25">
      <c r="B226" s="1663" t="str">
        <f>IF(OR(Sources!C28="",Sources!C28="[Specify Here]",Sources!G28=0),"",Sources!C28)</f>
        <v/>
      </c>
      <c r="C226" s="1664"/>
      <c r="D226" s="67">
        <f>Sources!G29</f>
        <v>0</v>
      </c>
      <c r="E226" s="68" t="e">
        <f t="shared" si="9"/>
        <v>#DIV/0!</v>
      </c>
      <c r="F226" s="61"/>
      <c r="H226" s="1665" t="str">
        <f>IF(OR(Sources!C55="",Sources!C55="[Specify Here]",Sources!G55=0),"",Sources!C55)</f>
        <v/>
      </c>
      <c r="I226" s="1666"/>
      <c r="J226" s="67">
        <f>Sources!G55</f>
        <v>0</v>
      </c>
      <c r="K226" s="68" t="e">
        <f t="shared" si="8"/>
        <v>#DIV/0!</v>
      </c>
      <c r="L226" s="61"/>
    </row>
    <row r="227" spans="2:12" ht="15" customHeight="1" thickTop="1" x14ac:dyDescent="0.2">
      <c r="B227" s="1675" t="s">
        <v>382</v>
      </c>
      <c r="C227" s="1675"/>
      <c r="D227" s="289">
        <f>SUM(D207:D226)</f>
        <v>0</v>
      </c>
      <c r="E227" s="69">
        <f>IF(D227=0,0,D227/$D$227)</f>
        <v>0</v>
      </c>
      <c r="F227" s="61"/>
      <c r="H227" s="1675" t="s">
        <v>360</v>
      </c>
      <c r="I227" s="1675"/>
      <c r="J227" s="289">
        <f>SUM(J207:J226)</f>
        <v>0</v>
      </c>
      <c r="K227" s="69" t="e">
        <f t="shared" si="8"/>
        <v>#DIV/0!</v>
      </c>
      <c r="L227" s="61"/>
    </row>
    <row r="228" spans="2:12" ht="15" customHeight="1" x14ac:dyDescent="0.2">
      <c r="L228" s="61"/>
    </row>
    <row r="230" spans="2:12" ht="15" customHeight="1" x14ac:dyDescent="0.2">
      <c r="B230" s="1609" t="s">
        <v>2580</v>
      </c>
      <c r="C230" s="1609"/>
      <c r="D230" s="1609"/>
      <c r="H230" s="1609" t="s">
        <v>2581</v>
      </c>
      <c r="I230" s="1609"/>
      <c r="J230" s="1609"/>
    </row>
    <row r="231" spans="2:12" ht="3" customHeight="1" x14ac:dyDescent="0.2">
      <c r="B231" s="1623"/>
      <c r="C231" s="1623"/>
      <c r="D231" s="1623"/>
      <c r="E231" s="1623"/>
      <c r="F231" s="1623"/>
      <c r="H231" s="1623"/>
      <c r="I231" s="1623"/>
      <c r="J231" s="1623"/>
      <c r="K231" s="1623"/>
      <c r="L231" s="1623"/>
    </row>
    <row r="232" spans="2:12" ht="5.25" customHeight="1" x14ac:dyDescent="0.2"/>
    <row r="233" spans="2:12" ht="5.25" customHeight="1" x14ac:dyDescent="0.2">
      <c r="B233" s="1672"/>
      <c r="C233" s="1673"/>
      <c r="D233" s="1673"/>
      <c r="E233" s="1673"/>
      <c r="F233" s="1674"/>
      <c r="H233" s="1672"/>
      <c r="I233" s="1673"/>
      <c r="J233" s="1673"/>
      <c r="K233" s="1673"/>
      <c r="L233" s="1674"/>
    </row>
    <row r="234" spans="2:12" ht="15" customHeight="1" x14ac:dyDescent="0.2">
      <c r="B234" s="1667"/>
      <c r="C234" s="1193"/>
      <c r="D234" s="1193"/>
      <c r="E234" s="1193"/>
      <c r="F234" s="1668"/>
      <c r="H234" s="1667"/>
      <c r="I234" s="1193"/>
      <c r="J234" s="1193"/>
      <c r="K234" s="1193"/>
      <c r="L234" s="1668"/>
    </row>
    <row r="235" spans="2:12" ht="15" customHeight="1" x14ac:dyDescent="0.2">
      <c r="B235" s="1667"/>
      <c r="C235" s="1193"/>
      <c r="D235" s="1193"/>
      <c r="E235" s="1193"/>
      <c r="F235" s="1668"/>
      <c r="H235" s="1667"/>
      <c r="I235" s="1193"/>
      <c r="J235" s="1193"/>
      <c r="K235" s="1193"/>
      <c r="L235" s="1668"/>
    </row>
    <row r="236" spans="2:12" ht="15" customHeight="1" x14ac:dyDescent="0.2">
      <c r="B236" s="1667"/>
      <c r="C236" s="1193"/>
      <c r="D236" s="1193"/>
      <c r="E236" s="1193"/>
      <c r="F236" s="1668"/>
      <c r="H236" s="1667"/>
      <c r="I236" s="1193"/>
      <c r="J236" s="1193"/>
      <c r="K236" s="1193"/>
      <c r="L236" s="1668"/>
    </row>
    <row r="237" spans="2:12" ht="15" customHeight="1" x14ac:dyDescent="0.2">
      <c r="B237" s="1667"/>
      <c r="C237" s="1193"/>
      <c r="D237" s="1193"/>
      <c r="E237" s="1193"/>
      <c r="F237" s="1668"/>
      <c r="H237" s="1667"/>
      <c r="I237" s="1193"/>
      <c r="J237" s="1193"/>
      <c r="K237" s="1193"/>
      <c r="L237" s="1668"/>
    </row>
    <row r="238" spans="2:12" ht="15" customHeight="1" x14ac:dyDescent="0.2">
      <c r="B238" s="1667"/>
      <c r="C238" s="1193"/>
      <c r="D238" s="1193"/>
      <c r="E238" s="1193"/>
      <c r="F238" s="1668"/>
      <c r="H238" s="1667"/>
      <c r="I238" s="1193"/>
      <c r="J238" s="1193"/>
      <c r="K238" s="1193"/>
      <c r="L238" s="1668"/>
    </row>
    <row r="239" spans="2:12" ht="15" customHeight="1" x14ac:dyDescent="0.2">
      <c r="B239" s="1667"/>
      <c r="C239" s="1193"/>
      <c r="D239" s="1193"/>
      <c r="E239" s="1193"/>
      <c r="F239" s="1668"/>
      <c r="H239" s="1667"/>
      <c r="I239" s="1193"/>
      <c r="J239" s="1193"/>
      <c r="K239" s="1193"/>
      <c r="L239" s="1668"/>
    </row>
    <row r="240" spans="2:12" ht="15" customHeight="1" x14ac:dyDescent="0.2">
      <c r="B240" s="1667"/>
      <c r="C240" s="1193"/>
      <c r="D240" s="1193"/>
      <c r="E240" s="1193"/>
      <c r="F240" s="1668"/>
      <c r="H240" s="1667"/>
      <c r="I240" s="1193"/>
      <c r="J240" s="1193"/>
      <c r="K240" s="1193"/>
      <c r="L240" s="1668"/>
    </row>
    <row r="241" spans="2:12" ht="15" customHeight="1" x14ac:dyDescent="0.2">
      <c r="B241" s="1667"/>
      <c r="C241" s="1193"/>
      <c r="D241" s="1193"/>
      <c r="E241" s="1193"/>
      <c r="F241" s="1668"/>
      <c r="H241" s="1667"/>
      <c r="I241" s="1193"/>
      <c r="J241" s="1193"/>
      <c r="K241" s="1193"/>
      <c r="L241" s="1668"/>
    </row>
    <row r="242" spans="2:12" ht="15" customHeight="1" x14ac:dyDescent="0.2">
      <c r="B242" s="1667"/>
      <c r="C242" s="1193"/>
      <c r="D242" s="1193"/>
      <c r="E242" s="1193"/>
      <c r="F242" s="1668"/>
      <c r="H242" s="1667"/>
      <c r="I242" s="1193"/>
      <c r="J242" s="1193"/>
      <c r="K242" s="1193"/>
      <c r="L242" s="1668"/>
    </row>
    <row r="243" spans="2:12" ht="15" customHeight="1" x14ac:dyDescent="0.2">
      <c r="B243" s="1667"/>
      <c r="C243" s="1193"/>
      <c r="D243" s="1193"/>
      <c r="E243" s="1193"/>
      <c r="F243" s="1668"/>
      <c r="H243" s="1667"/>
      <c r="I243" s="1193"/>
      <c r="J243" s="1193"/>
      <c r="K243" s="1193"/>
      <c r="L243" s="1668"/>
    </row>
    <row r="244" spans="2:12" ht="15" customHeight="1" x14ac:dyDescent="0.2">
      <c r="B244" s="1667"/>
      <c r="C244" s="1193"/>
      <c r="D244" s="1193"/>
      <c r="E244" s="1193"/>
      <c r="F244" s="1668"/>
      <c r="H244" s="1667"/>
      <c r="I244" s="1193"/>
      <c r="J244" s="1193"/>
      <c r="K244" s="1193"/>
      <c r="L244" s="1668"/>
    </row>
    <row r="245" spans="2:12" ht="15" customHeight="1" x14ac:dyDescent="0.2">
      <c r="B245" s="1667"/>
      <c r="C245" s="1193"/>
      <c r="D245" s="1193"/>
      <c r="E245" s="1193"/>
      <c r="F245" s="1668"/>
      <c r="H245" s="1667"/>
      <c r="I245" s="1193"/>
      <c r="J245" s="1193"/>
      <c r="K245" s="1193"/>
      <c r="L245" s="1668"/>
    </row>
    <row r="246" spans="2:12" ht="15" customHeight="1" x14ac:dyDescent="0.2">
      <c r="B246" s="1667"/>
      <c r="C246" s="1193"/>
      <c r="D246" s="1193"/>
      <c r="E246" s="1193"/>
      <c r="F246" s="1668"/>
      <c r="H246" s="1667"/>
      <c r="I246" s="1193"/>
      <c r="J246" s="1193"/>
      <c r="K246" s="1193"/>
      <c r="L246" s="1668"/>
    </row>
    <row r="247" spans="2:12" ht="15" customHeight="1" x14ac:dyDescent="0.2">
      <c r="B247" s="1667"/>
      <c r="C247" s="1193"/>
      <c r="D247" s="1193"/>
      <c r="E247" s="1193"/>
      <c r="F247" s="1668"/>
      <c r="H247" s="1667"/>
      <c r="I247" s="1193"/>
      <c r="J247" s="1193"/>
      <c r="K247" s="1193"/>
      <c r="L247" s="1668"/>
    </row>
    <row r="248" spans="2:12" ht="15" customHeight="1" x14ac:dyDescent="0.2">
      <c r="B248" s="1667"/>
      <c r="C248" s="1193"/>
      <c r="D248" s="1193"/>
      <c r="E248" s="1193"/>
      <c r="F248" s="1668"/>
      <c r="H248" s="1667"/>
      <c r="I248" s="1193"/>
      <c r="J248" s="1193"/>
      <c r="K248" s="1193"/>
      <c r="L248" s="1668"/>
    </row>
    <row r="249" spans="2:12" ht="15" customHeight="1" x14ac:dyDescent="0.2">
      <c r="B249" s="1667"/>
      <c r="C249" s="1193"/>
      <c r="D249" s="1193"/>
      <c r="E249" s="1193"/>
      <c r="F249" s="1668"/>
      <c r="H249" s="1667"/>
      <c r="I249" s="1193"/>
      <c r="J249" s="1193"/>
      <c r="K249" s="1193"/>
      <c r="L249" s="1668"/>
    </row>
    <row r="250" spans="2:12" ht="15" customHeight="1" x14ac:dyDescent="0.2">
      <c r="B250" s="1667"/>
      <c r="C250" s="1193"/>
      <c r="D250" s="1193"/>
      <c r="E250" s="1193"/>
      <c r="F250" s="1668"/>
      <c r="H250" s="1667"/>
      <c r="I250" s="1193"/>
      <c r="J250" s="1193"/>
      <c r="K250" s="1193"/>
      <c r="L250" s="1668"/>
    </row>
    <row r="251" spans="2:12" ht="15" customHeight="1" x14ac:dyDescent="0.2">
      <c r="B251" s="1667"/>
      <c r="C251" s="1193"/>
      <c r="D251" s="1193"/>
      <c r="E251" s="1193"/>
      <c r="F251" s="1668"/>
      <c r="H251" s="1667"/>
      <c r="I251" s="1193"/>
      <c r="J251" s="1193"/>
      <c r="K251" s="1193"/>
      <c r="L251" s="1668"/>
    </row>
    <row r="252" spans="2:12" ht="15" customHeight="1" x14ac:dyDescent="0.2">
      <c r="B252" s="1667"/>
      <c r="C252" s="1193"/>
      <c r="D252" s="1193"/>
      <c r="E252" s="1193"/>
      <c r="F252" s="1668"/>
      <c r="H252" s="1667"/>
      <c r="I252" s="1193"/>
      <c r="J252" s="1193"/>
      <c r="K252" s="1193"/>
      <c r="L252" s="1668"/>
    </row>
    <row r="253" spans="2:12" ht="15" customHeight="1" x14ac:dyDescent="0.2">
      <c r="B253" s="1667"/>
      <c r="C253" s="1193"/>
      <c r="D253" s="1193"/>
      <c r="E253" s="1193"/>
      <c r="F253" s="1668"/>
      <c r="H253" s="1667"/>
      <c r="I253" s="1193"/>
      <c r="J253" s="1193"/>
      <c r="K253" s="1193"/>
      <c r="L253" s="1668"/>
    </row>
    <row r="254" spans="2:12" ht="15" customHeight="1" x14ac:dyDescent="0.2">
      <c r="B254" s="1667"/>
      <c r="C254" s="1193"/>
      <c r="D254" s="1193"/>
      <c r="E254" s="1193"/>
      <c r="F254" s="1668"/>
      <c r="H254" s="1667"/>
      <c r="I254" s="1193"/>
      <c r="J254" s="1193"/>
      <c r="K254" s="1193"/>
      <c r="L254" s="1668"/>
    </row>
    <row r="255" spans="2:12" ht="15" customHeight="1" x14ac:dyDescent="0.2">
      <c r="B255" s="1667"/>
      <c r="C255" s="1193"/>
      <c r="D255" s="1193"/>
      <c r="E255" s="1193"/>
      <c r="F255" s="1668"/>
      <c r="H255" s="1667"/>
      <c r="I255" s="1193"/>
      <c r="J255" s="1193"/>
      <c r="K255" s="1193"/>
      <c r="L255" s="1668"/>
    </row>
    <row r="256" spans="2:12" ht="15" customHeight="1" x14ac:dyDescent="0.2">
      <c r="B256" s="1667"/>
      <c r="C256" s="1193"/>
      <c r="D256" s="1193"/>
      <c r="E256" s="1193"/>
      <c r="F256" s="1668"/>
      <c r="H256" s="1667"/>
      <c r="I256" s="1193"/>
      <c r="J256" s="1193"/>
      <c r="K256" s="1193"/>
      <c r="L256" s="1668"/>
    </row>
    <row r="257" spans="2:12" ht="15" customHeight="1" x14ac:dyDescent="0.2">
      <c r="B257" s="1667"/>
      <c r="C257" s="1193"/>
      <c r="D257" s="1193"/>
      <c r="E257" s="1193"/>
      <c r="F257" s="1668"/>
      <c r="H257" s="1667"/>
      <c r="I257" s="1193"/>
      <c r="J257" s="1193"/>
      <c r="K257" s="1193"/>
      <c r="L257" s="1668"/>
    </row>
    <row r="258" spans="2:12" ht="15" customHeight="1" x14ac:dyDescent="0.2">
      <c r="B258" s="1667"/>
      <c r="C258" s="1193"/>
      <c r="D258" s="1193"/>
      <c r="E258" s="1193"/>
      <c r="F258" s="1668"/>
      <c r="H258" s="1667"/>
      <c r="I258" s="1193"/>
      <c r="J258" s="1193"/>
      <c r="K258" s="1193"/>
      <c r="L258" s="1668"/>
    </row>
    <row r="259" spans="2:12" ht="15" customHeight="1" x14ac:dyDescent="0.2">
      <c r="B259" s="1669"/>
      <c r="C259" s="1670"/>
      <c r="D259" s="1670"/>
      <c r="E259" s="1670"/>
      <c r="F259" s="1671"/>
      <c r="H259" s="1669"/>
      <c r="I259" s="1670"/>
      <c r="J259" s="1670"/>
      <c r="K259" s="1670"/>
      <c r="L259" s="1671"/>
    </row>
  </sheetData>
  <mergeCells count="303">
    <mergeCell ref="B234:F259"/>
    <mergeCell ref="B233:F233"/>
    <mergeCell ref="H233:L233"/>
    <mergeCell ref="H234:L259"/>
    <mergeCell ref="H225:I225"/>
    <mergeCell ref="B227:C227"/>
    <mergeCell ref="H227:I227"/>
    <mergeCell ref="B230:D230"/>
    <mergeCell ref="H230:J230"/>
    <mergeCell ref="B231:F231"/>
    <mergeCell ref="H231:L231"/>
    <mergeCell ref="B223:C223"/>
    <mergeCell ref="H223:I223"/>
    <mergeCell ref="B224:C224"/>
    <mergeCell ref="H224:I224"/>
    <mergeCell ref="B226:C226"/>
    <mergeCell ref="H226:I226"/>
    <mergeCell ref="B221:C221"/>
    <mergeCell ref="H221:I221"/>
    <mergeCell ref="B222:C222"/>
    <mergeCell ref="H222:I222"/>
    <mergeCell ref="B218:C218"/>
    <mergeCell ref="H218:I218"/>
    <mergeCell ref="B219:C219"/>
    <mergeCell ref="H219:I219"/>
    <mergeCell ref="B220:C220"/>
    <mergeCell ref="H220:I220"/>
    <mergeCell ref="B216:C216"/>
    <mergeCell ref="H216:I216"/>
    <mergeCell ref="B217:C217"/>
    <mergeCell ref="H217:I217"/>
    <mergeCell ref="B214:C214"/>
    <mergeCell ref="H214:I214"/>
    <mergeCell ref="B215:C215"/>
    <mergeCell ref="H215:I215"/>
    <mergeCell ref="B212:C212"/>
    <mergeCell ref="H212:I212"/>
    <mergeCell ref="B213:C213"/>
    <mergeCell ref="H213:I213"/>
    <mergeCell ref="B210:C210"/>
    <mergeCell ref="H210:I210"/>
    <mergeCell ref="B211:C211"/>
    <mergeCell ref="H211:I211"/>
    <mergeCell ref="B207:C207"/>
    <mergeCell ref="H207:I207"/>
    <mergeCell ref="B208:C208"/>
    <mergeCell ref="H208:I208"/>
    <mergeCell ref="B209:C209"/>
    <mergeCell ref="H209:I209"/>
    <mergeCell ref="H199:I199"/>
    <mergeCell ref="B203:D203"/>
    <mergeCell ref="H203:J203"/>
    <mergeCell ref="B204:F204"/>
    <mergeCell ref="H204:L204"/>
    <mergeCell ref="B206:C206"/>
    <mergeCell ref="H206:I206"/>
    <mergeCell ref="B196:C196"/>
    <mergeCell ref="H196:I196"/>
    <mergeCell ref="B197:C197"/>
    <mergeCell ref="H197:I197"/>
    <mergeCell ref="B198:C198"/>
    <mergeCell ref="H198:I198"/>
    <mergeCell ref="B193:C193"/>
    <mergeCell ref="H193:I193"/>
    <mergeCell ref="B194:C194"/>
    <mergeCell ref="H194:I194"/>
    <mergeCell ref="B195:C195"/>
    <mergeCell ref="H195:I195"/>
    <mergeCell ref="B190:C190"/>
    <mergeCell ref="H190:I190"/>
    <mergeCell ref="B191:C191"/>
    <mergeCell ref="H191:I191"/>
    <mergeCell ref="B192:C192"/>
    <mergeCell ref="H192:I192"/>
    <mergeCell ref="B187:C187"/>
    <mergeCell ref="H187:I187"/>
    <mergeCell ref="B188:C188"/>
    <mergeCell ref="H188:I188"/>
    <mergeCell ref="B189:C189"/>
    <mergeCell ref="H189:I189"/>
    <mergeCell ref="B178:D178"/>
    <mergeCell ref="B183:E183"/>
    <mergeCell ref="H183:L183"/>
    <mergeCell ref="B184:F184"/>
    <mergeCell ref="H184:L184"/>
    <mergeCell ref="B186:C186"/>
    <mergeCell ref="H186:I186"/>
    <mergeCell ref="B173:D173"/>
    <mergeCell ref="B174:D174"/>
    <mergeCell ref="H174:I174"/>
    <mergeCell ref="H175:I175"/>
    <mergeCell ref="H176:I176"/>
    <mergeCell ref="B177:D177"/>
    <mergeCell ref="H177:I177"/>
    <mergeCell ref="H179:I179"/>
    <mergeCell ref="H180:I180"/>
    <mergeCell ref="H181:I181"/>
    <mergeCell ref="B170:D170"/>
    <mergeCell ref="H170:I170"/>
    <mergeCell ref="B171:D171"/>
    <mergeCell ref="H171:I171"/>
    <mergeCell ref="B172:D172"/>
    <mergeCell ref="H172:K172"/>
    <mergeCell ref="B167:D167"/>
    <mergeCell ref="H167:I167"/>
    <mergeCell ref="B168:D168"/>
    <mergeCell ref="H168:I168"/>
    <mergeCell ref="B169:D169"/>
    <mergeCell ref="H169:I169"/>
    <mergeCell ref="B164:D164"/>
    <mergeCell ref="H164:I164"/>
    <mergeCell ref="B165:C165"/>
    <mergeCell ref="H165:I165"/>
    <mergeCell ref="B166:D166"/>
    <mergeCell ref="H166:I166"/>
    <mergeCell ref="B161:D161"/>
    <mergeCell ref="H161:I161"/>
    <mergeCell ref="B162:D162"/>
    <mergeCell ref="H162:I162"/>
    <mergeCell ref="B163:D163"/>
    <mergeCell ref="H163:I163"/>
    <mergeCell ref="B91:F91"/>
    <mergeCell ref="H91:L91"/>
    <mergeCell ref="B158:E158"/>
    <mergeCell ref="H158:L158"/>
    <mergeCell ref="B159:F159"/>
    <mergeCell ref="H159:L159"/>
    <mergeCell ref="B87:C87"/>
    <mergeCell ref="D87:E87"/>
    <mergeCell ref="H87:J87"/>
    <mergeCell ref="B88:C88"/>
    <mergeCell ref="B90:F90"/>
    <mergeCell ref="H90:L90"/>
    <mergeCell ref="B106:L106"/>
    <mergeCell ref="B108:L108"/>
    <mergeCell ref="B85:C85"/>
    <mergeCell ref="D85:E85"/>
    <mergeCell ref="H85:J85"/>
    <mergeCell ref="B86:C86"/>
    <mergeCell ref="D86:E86"/>
    <mergeCell ref="H86:J86"/>
    <mergeCell ref="B83:C83"/>
    <mergeCell ref="D83:E83"/>
    <mergeCell ref="H83:J83"/>
    <mergeCell ref="B84:C84"/>
    <mergeCell ref="D84:E84"/>
    <mergeCell ref="H84:J84"/>
    <mergeCell ref="B81:C81"/>
    <mergeCell ref="D81:E81"/>
    <mergeCell ref="H81:J81"/>
    <mergeCell ref="B82:C82"/>
    <mergeCell ref="D82:E82"/>
    <mergeCell ref="H82:J82"/>
    <mergeCell ref="B79:C79"/>
    <mergeCell ref="D79:E79"/>
    <mergeCell ref="H79:J79"/>
    <mergeCell ref="B80:C80"/>
    <mergeCell ref="D80:E80"/>
    <mergeCell ref="H80:J80"/>
    <mergeCell ref="B73:F73"/>
    <mergeCell ref="H73:L73"/>
    <mergeCell ref="B74:F74"/>
    <mergeCell ref="H74:L74"/>
    <mergeCell ref="B76:C78"/>
    <mergeCell ref="D76:E78"/>
    <mergeCell ref="F76:F78"/>
    <mergeCell ref="H76:J76"/>
    <mergeCell ref="H77:J77"/>
    <mergeCell ref="H78:J78"/>
    <mergeCell ref="B52:C52"/>
    <mergeCell ref="D52:F52"/>
    <mergeCell ref="B53:C53"/>
    <mergeCell ref="D53:F53"/>
    <mergeCell ref="B50:C50"/>
    <mergeCell ref="D50:F50"/>
    <mergeCell ref="B51:C51"/>
    <mergeCell ref="D51:F51"/>
    <mergeCell ref="H51:J51"/>
    <mergeCell ref="H52:J52"/>
    <mergeCell ref="H53:J53"/>
    <mergeCell ref="B48:C48"/>
    <mergeCell ref="D48:F48"/>
    <mergeCell ref="B49:C49"/>
    <mergeCell ref="D49:F49"/>
    <mergeCell ref="B46:C46"/>
    <mergeCell ref="D46:F46"/>
    <mergeCell ref="H46:J46"/>
    <mergeCell ref="B47:C47"/>
    <mergeCell ref="D47:F47"/>
    <mergeCell ref="B44:C44"/>
    <mergeCell ref="D44:F44"/>
    <mergeCell ref="H44:J44"/>
    <mergeCell ref="B45:C45"/>
    <mergeCell ref="D45:F45"/>
    <mergeCell ref="H45:J45"/>
    <mergeCell ref="B42:C42"/>
    <mergeCell ref="D42:F42"/>
    <mergeCell ref="H42:J42"/>
    <mergeCell ref="B43:C43"/>
    <mergeCell ref="D43:F43"/>
    <mergeCell ref="H43:J43"/>
    <mergeCell ref="B34:C34"/>
    <mergeCell ref="B2:F2"/>
    <mergeCell ref="B35:C35"/>
    <mergeCell ref="B36:C36"/>
    <mergeCell ref="B39:D39"/>
    <mergeCell ref="H39:L39"/>
    <mergeCell ref="B40:F40"/>
    <mergeCell ref="H40:L40"/>
    <mergeCell ref="H24:L24"/>
    <mergeCell ref="H25:L25"/>
    <mergeCell ref="H27:L36"/>
    <mergeCell ref="B28:C28"/>
    <mergeCell ref="B29:C29"/>
    <mergeCell ref="B30:C30"/>
    <mergeCell ref="B31:C31"/>
    <mergeCell ref="B32:C32"/>
    <mergeCell ref="B33:C33"/>
    <mergeCell ref="B24:F24"/>
    <mergeCell ref="I2:L2"/>
    <mergeCell ref="B3:F3"/>
    <mergeCell ref="I3:L3"/>
    <mergeCell ref="B6:C6"/>
    <mergeCell ref="H6:L6"/>
    <mergeCell ref="B7:F7"/>
    <mergeCell ref="B9:C9"/>
    <mergeCell ref="D9:F9"/>
    <mergeCell ref="H9:L21"/>
    <mergeCell ref="B10:C10"/>
    <mergeCell ref="D10:F10"/>
    <mergeCell ref="B11:C11"/>
    <mergeCell ref="D11:F11"/>
    <mergeCell ref="B12:C12"/>
    <mergeCell ref="B16:C16"/>
    <mergeCell ref="D16:F16"/>
    <mergeCell ref="B17:C17"/>
    <mergeCell ref="D17:F17"/>
    <mergeCell ref="D18:F18"/>
    <mergeCell ref="D12:F12"/>
    <mergeCell ref="B13:C13"/>
    <mergeCell ref="D13:F13"/>
    <mergeCell ref="B14:C14"/>
    <mergeCell ref="D14:F14"/>
    <mergeCell ref="B15:C15"/>
    <mergeCell ref="D15:F15"/>
    <mergeCell ref="H7:L7"/>
    <mergeCell ref="O27:Q27"/>
    <mergeCell ref="O28:Q28"/>
    <mergeCell ref="O29:Q29"/>
    <mergeCell ref="O30:Q30"/>
    <mergeCell ref="O31:Q31"/>
    <mergeCell ref="O32:Q32"/>
    <mergeCell ref="R27:U27"/>
    <mergeCell ref="R28:U28"/>
    <mergeCell ref="R29:U29"/>
    <mergeCell ref="H61:I61"/>
    <mergeCell ref="H54:J54"/>
    <mergeCell ref="B54:C54"/>
    <mergeCell ref="D54:F54"/>
    <mergeCell ref="O24:T24"/>
    <mergeCell ref="V27:W27"/>
    <mergeCell ref="O39:Q39"/>
    <mergeCell ref="O37:Q37"/>
    <mergeCell ref="O38:Q38"/>
    <mergeCell ref="O40:Q40"/>
    <mergeCell ref="O41:Q41"/>
    <mergeCell ref="O42:Q42"/>
    <mergeCell ref="O43:Q43"/>
    <mergeCell ref="V28:W28"/>
    <mergeCell ref="V29:W29"/>
    <mergeCell ref="V30:W30"/>
    <mergeCell ref="O33:Q33"/>
    <mergeCell ref="O34:Q34"/>
    <mergeCell ref="O35:Q35"/>
    <mergeCell ref="O36:Q36"/>
    <mergeCell ref="H47:J47"/>
    <mergeCell ref="H48:J48"/>
    <mergeCell ref="H49:J49"/>
    <mergeCell ref="H50:J50"/>
    <mergeCell ref="B67:C67"/>
    <mergeCell ref="H67:I67"/>
    <mergeCell ref="B68:C68"/>
    <mergeCell ref="H68:I68"/>
    <mergeCell ref="B70:F70"/>
    <mergeCell ref="H70:L70"/>
    <mergeCell ref="B20:C20"/>
    <mergeCell ref="B199:C199"/>
    <mergeCell ref="B200:C200"/>
    <mergeCell ref="B62:C62"/>
    <mergeCell ref="H62:I62"/>
    <mergeCell ref="B63:C63"/>
    <mergeCell ref="H63:I63"/>
    <mergeCell ref="B64:C64"/>
    <mergeCell ref="H64:I64"/>
    <mergeCell ref="B65:C65"/>
    <mergeCell ref="H65:I65"/>
    <mergeCell ref="B66:C66"/>
    <mergeCell ref="H66:I66"/>
    <mergeCell ref="B57:F57"/>
    <mergeCell ref="H57:L57"/>
    <mergeCell ref="B58:F58"/>
    <mergeCell ref="H58:L58"/>
    <mergeCell ref="B61:C61"/>
  </mergeCells>
  <conditionalFormatting sqref="B6:B11 D9:D11 M9:M11 E39:F39 E41:F41">
    <cfRule type="expression" dxfId="166" priority="25">
      <formula>CELL("protect",#REF!)=0</formula>
    </cfRule>
  </conditionalFormatting>
  <conditionalFormatting sqref="B39:B43">
    <cfRule type="expression" dxfId="165" priority="8">
      <formula>CELL("protect",#REF!)=0</formula>
    </cfRule>
  </conditionalFormatting>
  <conditionalFormatting sqref="B57:B61 E59:F59">
    <cfRule type="expression" dxfId="164" priority="7">
      <formula>CELL("protect",#REF!)=0</formula>
    </cfRule>
  </conditionalFormatting>
  <conditionalFormatting sqref="B28:C33 B35:C36">
    <cfRule type="expression" dxfId="163" priority="16">
      <formula>OR($D28="",$D28=0,$D28="N/A")</formula>
    </cfRule>
  </conditionalFormatting>
  <conditionalFormatting sqref="B111:L155">
    <cfRule type="expression" dxfId="161" priority="12">
      <formula>OR($B111="",$B111=0)</formula>
    </cfRule>
  </conditionalFormatting>
  <conditionalFormatting sqref="C94:D102">
    <cfRule type="expression" dxfId="160" priority="24">
      <formula>$C94=0</formula>
    </cfRule>
  </conditionalFormatting>
  <conditionalFormatting sqref="D42:D43">
    <cfRule type="expression" dxfId="159" priority="9">
      <formula>CELL("protect",#REF!)=0</formula>
    </cfRule>
  </conditionalFormatting>
  <conditionalFormatting sqref="D28:E36">
    <cfRule type="expression" dxfId="158" priority="15">
      <formula>OR($D28="",$D28=0,$D28="N/A")</formula>
    </cfRule>
  </conditionalFormatting>
  <conditionalFormatting sqref="D207:E226">
    <cfRule type="expression" dxfId="157" priority="22">
      <formula>$D207=0</formula>
    </cfRule>
  </conditionalFormatting>
  <conditionalFormatting sqref="D61:F68">
    <cfRule type="expression" dxfId="156" priority="4">
      <formula>CELL("protect",#REF!)=0</formula>
    </cfRule>
  </conditionalFormatting>
  <conditionalFormatting sqref="D187:F196">
    <cfRule type="expression" dxfId="155" priority="2">
      <formula>D$187=0</formula>
    </cfRule>
  </conditionalFormatting>
  <conditionalFormatting sqref="G9:H9 G10:G11">
    <cfRule type="expression" dxfId="154" priority="27">
      <formula>CELL("protect",#REF!)=0</formula>
    </cfRule>
  </conditionalFormatting>
  <conditionalFormatting sqref="H57:H58">
    <cfRule type="expression" dxfId="153" priority="6">
      <formula>CELL("protect",#REF!)=0</formula>
    </cfRule>
  </conditionalFormatting>
  <conditionalFormatting sqref="H60:H61">
    <cfRule type="expression" dxfId="152" priority="5">
      <formula>CELL("protect",#REF!)=0</formula>
    </cfRule>
  </conditionalFormatting>
  <conditionalFormatting sqref="I94:L100">
    <cfRule type="expression" dxfId="151" priority="23">
      <formula>$I94=0</formula>
    </cfRule>
  </conditionalFormatting>
  <conditionalFormatting sqref="J207:K207 J208:J226 K208:K227">
    <cfRule type="expression" dxfId="150" priority="21">
      <formula>$J207=0</formula>
    </cfRule>
  </conditionalFormatting>
  <conditionalFormatting sqref="J61:L68">
    <cfRule type="expression" dxfId="149" priority="3">
      <formula>CELL("protect",#REF!)=0</formula>
    </cfRule>
  </conditionalFormatting>
  <conditionalFormatting sqref="J186:L186 H187:L199">
    <cfRule type="expression" dxfId="148" priority="1">
      <formula>$H$186="N/A - No Permanent Debt"</formula>
    </cfRule>
  </conditionalFormatting>
  <conditionalFormatting sqref="K77:L86">
    <cfRule type="expression" dxfId="147" priority="19">
      <formula>$K77=0</formula>
    </cfRule>
  </conditionalFormatting>
  <conditionalFormatting sqref="M1:M4 B5:M5 D6:I6 M6:M7 G7:H7 D8:I8 L8:M8">
    <cfRule type="expression" dxfId="146" priority="26">
      <formula>CELL("protect",#REF!)=0</formula>
    </cfRule>
  </conditionalFormatting>
  <dataValidations count="1">
    <dataValidation type="textLength" allowBlank="1" showInputMessage="1" showErrorMessage="1" sqref="H27:L36" xr:uid="{ED9F3FDC-CA63-4B57-BAF4-EE762C8E8A22}">
      <formula1>0</formula1>
      <formula2>1000</formula2>
    </dataValidation>
  </dataValidations>
  <pageMargins left="0.7" right="0.7" top="0.75" bottom="0.75" header="0.3" footer="0.3"/>
  <pageSetup scale="53" fitToHeight="0" orientation="portrait" r:id="rId1"/>
  <headerFooter>
    <oddFooter>&amp;L&amp;"Arial,Bold"&amp;9Executive Summary&amp;C&amp;9Ohio Housing Finance Agency&amp;R&amp;"Arial,Regular"&amp;9Page &amp;P of &amp;N</oddFooter>
  </headerFooter>
  <rowBreaks count="3" manualBreakCount="3">
    <brk id="87" min="1" max="11" man="1"/>
    <brk id="157" min="1" max="11" man="1"/>
    <brk id="229" min="1" max="11" man="1"/>
  </rowBreaks>
  <drawing r:id="rId2"/>
  <extLst>
    <ext xmlns:x14="http://schemas.microsoft.com/office/spreadsheetml/2009/9/main" uri="{78C0D931-6437-407d-A8EE-F0AAD7539E65}">
      <x14:conditionalFormattings>
        <x14:conditionalFormatting xmlns:xm="http://schemas.microsoft.com/office/excel/2006/main">
          <x14:cfRule type="expression" priority="17" id="{6B255058-3434-4569-81B0-CC604D9561C8}">
            <xm:f>OR(Bonds!$E$20="No",Bonds!$E$20="")</xm:f>
            <x14:dxf>
              <font>
                <color theme="0"/>
              </font>
            </x14:dxf>
          </x14:cfRule>
          <xm:sqref>B33:C34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DBB5D-F0F1-4A5A-AEFC-ED4A7DDFE0B3}">
  <sheetPr>
    <pageSetUpPr autoPageBreaks="0"/>
  </sheetPr>
  <dimension ref="A1:FE3182"/>
  <sheetViews>
    <sheetView zoomScale="70" zoomScaleNormal="70" workbookViewId="0">
      <pane ySplit="10" topLeftCell="A11" activePane="bottomLeft" state="frozen"/>
      <selection activeCell="CW1" sqref="CW1"/>
      <selection pane="bottomLeft"/>
    </sheetView>
  </sheetViews>
  <sheetFormatPr defaultColWidth="8.875" defaultRowHeight="14.25" x14ac:dyDescent="0.2"/>
  <cols>
    <col min="1" max="1" width="1.625" customWidth="1"/>
    <col min="2" max="2" width="14.875" style="12" customWidth="1"/>
    <col min="3" max="3" width="10.375" customWidth="1"/>
    <col min="4" max="4" width="12.375" bestFit="1" customWidth="1"/>
    <col min="5" max="5" width="37" customWidth="1"/>
    <col min="6" max="6" width="5.625" bestFit="1" customWidth="1"/>
    <col min="7" max="9" width="11.625" style="860" customWidth="1"/>
    <col min="10" max="10" width="11.875" style="860" customWidth="1"/>
    <col min="11" max="11" width="11.625" style="860" customWidth="1"/>
    <col min="12" max="12" width="10.5" style="855" customWidth="1"/>
    <col min="13" max="13" width="10.625" customWidth="1"/>
    <col min="14" max="14" width="10.625" style="846" customWidth="1"/>
    <col min="15" max="15" width="10.625" style="841" customWidth="1"/>
    <col min="16" max="16" width="10.625" customWidth="1"/>
    <col min="17" max="17" width="10.625" style="850" customWidth="1"/>
    <col min="18" max="18" width="10.625" style="852" customWidth="1"/>
    <col min="19" max="19" width="10.625" style="846" customWidth="1"/>
    <col min="20" max="20" width="12.75" style="846" customWidth="1"/>
    <col min="21" max="22" width="10.625" style="846" customWidth="1"/>
    <col min="23" max="23" width="10.625" customWidth="1"/>
    <col min="24" max="24" width="15.375" style="846" bestFit="1" customWidth="1"/>
    <col min="25" max="26" width="10.625" style="846" customWidth="1"/>
    <col min="27" max="27" width="12.125" style="846" customWidth="1"/>
    <col min="28" max="28" width="10.625" style="846" customWidth="1"/>
    <col min="29" max="29" width="12" style="846" customWidth="1"/>
    <col min="30" max="33" width="10.625" style="846" customWidth="1"/>
    <col min="34" max="34" width="10.625" customWidth="1"/>
    <col min="35" max="35" width="5.625" customWidth="1"/>
    <col min="36" max="36" width="13.625" customWidth="1"/>
    <col min="37" max="37" width="17.125" bestFit="1" customWidth="1"/>
    <col min="38" max="38" width="8.25" customWidth="1"/>
    <col min="39" max="40" width="17.125" customWidth="1"/>
    <col min="41" max="41" width="30.625" bestFit="1" customWidth="1"/>
    <col min="42" max="42" width="10" customWidth="1"/>
    <col min="43" max="43" width="5.625" customWidth="1"/>
    <col min="44" max="44" width="14.125" customWidth="1"/>
    <col min="45" max="46" width="9.625" customWidth="1"/>
    <col min="47" max="50" width="9.625" style="11" customWidth="1"/>
    <col min="51" max="53" width="9.625" customWidth="1"/>
    <col min="54" max="55" width="9.625" style="13" customWidth="1"/>
    <col min="56" max="56" width="5.625" style="13" customWidth="1"/>
    <col min="57" max="58" width="12.625" style="11" customWidth="1"/>
    <col min="59" max="59" width="5.625" customWidth="1"/>
    <col min="60" max="60" width="14.375" bestFit="1" customWidth="1"/>
    <col min="61" max="62" width="12.625" customWidth="1"/>
    <col min="63" max="63" width="12.375" bestFit="1" customWidth="1"/>
    <col min="64" max="65" width="12.625" customWidth="1"/>
    <col min="66" max="66" width="12.375" bestFit="1" customWidth="1"/>
    <col min="67" max="71" width="9.625" customWidth="1"/>
    <col min="72" max="72" width="5.625" customWidth="1"/>
    <col min="73" max="73" width="10.125" customWidth="1"/>
    <col min="74" max="74" width="17.125" bestFit="1" customWidth="1"/>
    <col min="75" max="75" width="20.125" bestFit="1" customWidth="1"/>
    <col min="76" max="76" width="47.375" bestFit="1" customWidth="1"/>
    <col min="77" max="81" width="9.625" customWidth="1"/>
    <col min="82" max="82" width="5.625" customWidth="1"/>
    <col min="83" max="83" width="9.125" customWidth="1"/>
    <col min="84" max="84" width="9.75" bestFit="1" customWidth="1"/>
    <col min="85" max="85" width="8.125" bestFit="1" customWidth="1"/>
    <col min="86" max="86" width="9.75" bestFit="1" customWidth="1"/>
    <col min="87" max="87" width="11.25" bestFit="1" customWidth="1"/>
    <col min="88" max="88" width="9.75" bestFit="1" customWidth="1"/>
    <col min="89" max="89" width="5.625" customWidth="1"/>
    <col min="90" max="90" width="16.625" bestFit="1" customWidth="1"/>
    <col min="91" max="91" width="16.5" bestFit="1" customWidth="1"/>
    <col min="92" max="92" width="9.75" bestFit="1" customWidth="1"/>
    <col min="93" max="93" width="7.625" bestFit="1" customWidth="1"/>
    <col min="94" max="94" width="5.625" customWidth="1"/>
    <col min="95" max="95" width="13.125" customWidth="1"/>
    <col min="96" max="96" width="12.25" bestFit="1" customWidth="1"/>
    <col min="97" max="97" width="12.25" customWidth="1"/>
    <col min="98" max="99" width="5.625" customWidth="1"/>
    <col min="100" max="100" width="12.375" bestFit="1" customWidth="1"/>
    <col min="101" max="101" width="10.5" bestFit="1" customWidth="1"/>
    <col min="102" max="102" width="5.625" customWidth="1"/>
    <col min="103" max="103" width="12.375" bestFit="1" customWidth="1"/>
    <col min="104" max="104" width="12.375" customWidth="1"/>
    <col min="105" max="105" width="30.625" bestFit="1" customWidth="1"/>
    <col min="106" max="106" width="5.625" customWidth="1"/>
    <col min="107" max="107" width="12.375" bestFit="1" customWidth="1"/>
    <col min="108" max="109" width="12.375" customWidth="1"/>
    <col min="110" max="111" width="11.25" bestFit="1" customWidth="1"/>
    <col min="112" max="112" width="13.375" bestFit="1" customWidth="1"/>
    <col min="113" max="131" width="10.625" customWidth="1"/>
    <col min="132" max="132" width="5.625" customWidth="1"/>
    <col min="133" max="133" width="23.625" bestFit="1" customWidth="1"/>
    <col min="134" max="134" width="5.625" customWidth="1"/>
    <col min="135" max="135" width="21.375" bestFit="1" customWidth="1"/>
    <col min="136" max="136" width="5.625" customWidth="1"/>
    <col min="137" max="137" width="23.75" bestFit="1" customWidth="1"/>
    <col min="138" max="138" width="5.625" customWidth="1"/>
    <col min="139" max="139" width="39.125" bestFit="1" customWidth="1"/>
    <col min="140" max="140" width="5.625" customWidth="1"/>
    <col min="141" max="141" width="29.75" bestFit="1" customWidth="1"/>
    <col min="142" max="142" width="5.625" customWidth="1"/>
    <col min="143" max="143" width="34" bestFit="1" customWidth="1"/>
    <col min="144" max="144" width="5.625" customWidth="1"/>
    <col min="145" max="145" width="41.125" bestFit="1" customWidth="1"/>
    <col min="146" max="146" width="5.625" customWidth="1"/>
    <col min="147" max="147" width="37" bestFit="1" customWidth="1"/>
    <col min="148" max="148" width="19.75" bestFit="1" customWidth="1"/>
    <col min="149" max="149" width="2.625" customWidth="1"/>
    <col min="150" max="150" width="32.625" bestFit="1" customWidth="1"/>
    <col min="152" max="152" width="41" bestFit="1" customWidth="1"/>
  </cols>
  <sheetData>
    <row r="1" spans="1:161" ht="55.5" customHeight="1" x14ac:dyDescent="0.2">
      <c r="B1" s="1"/>
      <c r="C1" s="1"/>
      <c r="D1" s="1"/>
      <c r="E1" s="1"/>
      <c r="F1" s="1"/>
      <c r="G1" s="859"/>
      <c r="H1" s="859"/>
      <c r="I1" s="859"/>
      <c r="J1" s="859"/>
      <c r="K1" s="859"/>
      <c r="L1" s="853"/>
      <c r="M1" s="1"/>
      <c r="N1" s="842"/>
      <c r="O1" s="838"/>
      <c r="P1" s="1"/>
      <c r="Q1" s="847"/>
      <c r="R1" s="210"/>
      <c r="S1" s="842"/>
      <c r="T1" s="842"/>
      <c r="U1" s="842"/>
      <c r="V1" s="842"/>
      <c r="W1" s="1"/>
      <c r="X1" s="842"/>
      <c r="Y1" s="842"/>
      <c r="Z1" s="842"/>
      <c r="AA1" s="842"/>
      <c r="AB1" s="842"/>
      <c r="AC1" s="842"/>
      <c r="AD1" s="842"/>
      <c r="AE1" s="842"/>
      <c r="AF1" s="842"/>
      <c r="AG1" s="842"/>
      <c r="AH1" s="1"/>
      <c r="AI1" s="1"/>
      <c r="AJ1" s="1"/>
      <c r="AK1" s="1"/>
      <c r="AL1" s="1"/>
      <c r="AM1" s="1"/>
      <c r="AN1" s="1"/>
      <c r="AO1" s="1"/>
      <c r="AP1" s="1"/>
      <c r="AQ1" s="1"/>
      <c r="AR1" s="1"/>
      <c r="AS1" s="1"/>
      <c r="AT1" s="1"/>
      <c r="AU1" s="9"/>
      <c r="AV1" s="9"/>
      <c r="AW1" s="9"/>
      <c r="AX1" s="9"/>
      <c r="AY1" s="1"/>
      <c r="AZ1" s="1"/>
      <c r="BA1" s="1"/>
      <c r="BB1" s="10"/>
      <c r="BC1" s="10"/>
      <c r="BD1" s="10"/>
      <c r="BE1" s="9"/>
      <c r="BF1" s="9"/>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row>
    <row r="2" spans="1:161" ht="25.5" customHeight="1" x14ac:dyDescent="0.2">
      <c r="A2" s="1"/>
      <c r="B2" s="857" t="s">
        <v>4</v>
      </c>
      <c r="C2" s="529"/>
      <c r="D2" s="529"/>
      <c r="E2" s="529"/>
      <c r="F2" s="1217" t="str">
        <f>CONCATENATE(IF(Instructions!$K$2="","",Instructions!$K$2)," ",IF(Details!$E$10="","",Details!$E$11))</f>
        <v>2026 9% LIHTC AHFA Proposal Application</v>
      </c>
      <c r="G2" s="1217"/>
      <c r="H2" s="1217"/>
      <c r="I2" s="1217"/>
      <c r="J2" s="1217"/>
      <c r="K2" s="1217"/>
      <c r="L2" s="1217"/>
      <c r="M2" s="1217"/>
      <c r="N2" s="1217"/>
      <c r="O2" s="1217"/>
      <c r="P2" s="1217"/>
      <c r="Q2" s="736"/>
      <c r="R2" s="736"/>
      <c r="S2" s="9"/>
      <c r="T2" s="9"/>
      <c r="U2" s="1"/>
      <c r="V2" s="1"/>
      <c r="W2" s="1"/>
      <c r="X2" s="1"/>
      <c r="Y2" s="1"/>
      <c r="Z2" s="1"/>
      <c r="AA2" s="10"/>
      <c r="AB2" s="9"/>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row>
    <row r="3" spans="1:161" ht="20.25" customHeight="1" x14ac:dyDescent="0.2">
      <c r="A3" s="1"/>
      <c r="B3" s="856" t="s">
        <v>437</v>
      </c>
      <c r="C3" s="835"/>
      <c r="D3" s="835"/>
      <c r="E3" s="835"/>
      <c r="F3" s="98"/>
      <c r="G3" s="862"/>
      <c r="H3" s="862"/>
      <c r="I3" s="862"/>
      <c r="J3" s="862"/>
      <c r="K3" s="862"/>
      <c r="L3" s="98"/>
      <c r="M3" s="98"/>
      <c r="N3" s="862"/>
      <c r="O3" s="1219"/>
      <c r="P3" s="1219"/>
      <c r="Q3" s="737"/>
      <c r="R3" s="737"/>
      <c r="S3" s="9"/>
      <c r="T3" s="9"/>
      <c r="U3" s="1"/>
      <c r="V3" s="1"/>
      <c r="W3" s="1"/>
      <c r="X3" s="1"/>
      <c r="Y3" s="1"/>
      <c r="Z3" s="1"/>
      <c r="AA3" s="10"/>
      <c r="AB3" s="9"/>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row>
    <row r="4" spans="1:161" x14ac:dyDescent="0.2">
      <c r="A4" s="1"/>
      <c r="B4" s="6"/>
      <c r="C4" s="1"/>
      <c r="D4" s="1"/>
      <c r="E4" s="1"/>
      <c r="F4" s="1"/>
      <c r="G4" s="859"/>
      <c r="H4" s="859"/>
      <c r="I4" s="859"/>
      <c r="J4" s="859"/>
      <c r="K4" s="859"/>
      <c r="L4" s="853"/>
      <c r="M4" s="1"/>
      <c r="N4" s="842"/>
      <c r="O4" s="838"/>
      <c r="P4" s="1"/>
      <c r="Q4" s="847"/>
      <c r="R4" s="210"/>
      <c r="S4" s="842"/>
      <c r="T4" s="842"/>
      <c r="U4" s="842"/>
      <c r="V4" s="842"/>
      <c r="W4" s="1"/>
      <c r="X4" s="842"/>
      <c r="Y4" s="842"/>
      <c r="Z4" s="842"/>
      <c r="AA4" s="842"/>
      <c r="AB4" s="842"/>
      <c r="AC4" s="842"/>
      <c r="AD4" s="842"/>
      <c r="AE4" s="842"/>
      <c r="AF4" s="842"/>
      <c r="AG4" s="842"/>
      <c r="AH4" s="1"/>
      <c r="AI4" s="1"/>
      <c r="AJ4" s="1"/>
      <c r="AK4" s="1"/>
      <c r="AL4" s="1"/>
      <c r="AM4" s="1"/>
      <c r="AN4" s="1"/>
      <c r="AO4" s="1"/>
      <c r="AP4" s="1"/>
      <c r="AQ4" s="1"/>
      <c r="AR4" s="1"/>
      <c r="AS4" s="1"/>
      <c r="AT4" s="1"/>
      <c r="AU4" s="9"/>
      <c r="AV4" s="9"/>
      <c r="AW4" s="9"/>
      <c r="AX4" s="9"/>
      <c r="AY4" s="1"/>
      <c r="AZ4" s="1"/>
      <c r="BA4" s="1"/>
      <c r="BB4" s="10"/>
      <c r="BC4" s="10"/>
      <c r="BD4" s="10"/>
      <c r="BE4" s="9"/>
      <c r="BF4" s="9"/>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row>
    <row r="5" spans="1:161" ht="14.25" customHeight="1" x14ac:dyDescent="0.2">
      <c r="A5" s="1"/>
      <c r="B5" s="6"/>
      <c r="C5" s="1"/>
      <c r="D5" s="1"/>
      <c r="E5" s="1"/>
      <c r="F5" s="1"/>
      <c r="G5" s="859"/>
      <c r="H5" s="859"/>
      <c r="I5" s="859"/>
      <c r="J5" s="859"/>
      <c r="K5" s="859"/>
      <c r="L5" s="853"/>
      <c r="M5" s="1"/>
      <c r="N5" s="842"/>
      <c r="O5" s="838"/>
      <c r="P5" s="1"/>
      <c r="Q5" s="847"/>
      <c r="R5" s="210"/>
      <c r="S5" s="842"/>
      <c r="T5" s="842"/>
      <c r="U5" s="842"/>
      <c r="V5" s="842"/>
      <c r="W5" s="1"/>
      <c r="X5" s="842"/>
      <c r="Y5" s="842"/>
      <c r="Z5" s="842"/>
      <c r="AA5" s="842"/>
      <c r="AB5" s="842"/>
      <c r="AC5" s="842"/>
      <c r="AD5" s="842"/>
      <c r="AE5" s="842"/>
      <c r="AF5" s="842"/>
      <c r="AG5" s="842"/>
      <c r="AH5" s="1"/>
      <c r="AI5" s="1"/>
      <c r="AJ5" s="1"/>
      <c r="AK5" s="1"/>
      <c r="AL5" s="1"/>
      <c r="AM5" s="1"/>
      <c r="AN5" s="1"/>
      <c r="AO5" s="1"/>
      <c r="AP5" s="1"/>
      <c r="AQ5" s="1"/>
      <c r="AR5" s="1"/>
      <c r="AS5" s="1"/>
      <c r="AT5" s="1"/>
      <c r="AU5" s="9"/>
      <c r="AV5" s="9"/>
      <c r="AW5" s="23"/>
      <c r="AX5" s="23"/>
      <c r="AY5" s="1"/>
      <c r="AZ5" s="1"/>
      <c r="BA5" s="1"/>
      <c r="BB5" s="10"/>
      <c r="BC5" s="10"/>
      <c r="BD5" s="10"/>
      <c r="BE5" s="9"/>
      <c r="BF5" s="9"/>
      <c r="BG5" s="1"/>
      <c r="BH5" s="1"/>
      <c r="BI5" s="1"/>
      <c r="BJ5" s="1"/>
      <c r="BK5" s="1"/>
      <c r="BL5" s="1"/>
      <c r="BM5" s="1"/>
      <c r="BN5" s="1"/>
      <c r="BO5" s="1"/>
      <c r="BP5" s="1"/>
      <c r="BQ5" s="1"/>
      <c r="BR5" s="1688"/>
      <c r="BS5" s="1688"/>
      <c r="BT5" s="1"/>
      <c r="BU5" s="1"/>
      <c r="BV5" s="1"/>
      <c r="BW5" s="1"/>
      <c r="BX5" s="1"/>
      <c r="BY5" s="1"/>
      <c r="BZ5" s="1"/>
      <c r="CA5" s="1"/>
      <c r="CB5" s="1"/>
      <c r="CC5" s="1"/>
      <c r="CD5" s="1"/>
      <c r="CE5" s="1"/>
      <c r="CF5" s="833"/>
      <c r="CG5" s="833"/>
      <c r="CH5" s="833"/>
      <c r="CI5" s="833"/>
      <c r="CJ5" s="833"/>
      <c r="CK5" s="1"/>
      <c r="CL5" s="535"/>
      <c r="CM5" s="535"/>
      <c r="CN5" s="535"/>
      <c r="CO5" s="535"/>
      <c r="CP5" s="535"/>
      <c r="CQ5" s="535"/>
      <c r="CR5" s="535"/>
      <c r="CS5" s="535"/>
      <c r="CT5" s="535"/>
      <c r="CU5" s="535"/>
      <c r="CV5" s="535"/>
      <c r="CW5" s="535"/>
      <c r="CX5" s="535"/>
      <c r="CY5" s="535"/>
      <c r="CZ5" s="535"/>
      <c r="DA5" s="535"/>
      <c r="DB5" s="535"/>
      <c r="DC5" s="535"/>
      <c r="DD5" s="535"/>
      <c r="DE5" s="535"/>
      <c r="DF5" s="535"/>
      <c r="DG5" s="535"/>
      <c r="DH5" s="535"/>
      <c r="DI5" s="535"/>
      <c r="DJ5" s="535"/>
      <c r="DK5" s="535"/>
      <c r="DL5" s="535"/>
      <c r="DM5" s="535"/>
      <c r="DN5" s="535"/>
      <c r="DO5" s="535"/>
      <c r="DP5" s="535"/>
      <c r="DQ5" s="535"/>
      <c r="DR5" s="535"/>
      <c r="DS5" s="535"/>
      <c r="DT5" s="535"/>
      <c r="DU5" s="535"/>
      <c r="DV5" s="535"/>
      <c r="DW5" s="535"/>
      <c r="DX5" s="535"/>
      <c r="DY5" s="535"/>
      <c r="DZ5" s="535"/>
      <c r="EA5" s="535"/>
      <c r="EB5" s="535"/>
      <c r="EC5" s="99"/>
      <c r="ED5" s="99"/>
      <c r="EE5" s="99"/>
      <c r="EF5" s="1"/>
      <c r="EG5" s="73"/>
      <c r="EH5" s="1"/>
      <c r="EI5" s="73"/>
      <c r="EJ5" s="1"/>
      <c r="EK5" s="73" t="s">
        <v>2498</v>
      </c>
      <c r="EL5" s="73"/>
      <c r="EM5" s="73"/>
      <c r="EN5" s="1"/>
      <c r="EO5" s="1"/>
      <c r="EP5" s="1"/>
      <c r="EQ5" s="1"/>
      <c r="ER5" s="1"/>
      <c r="ES5" s="1"/>
      <c r="ET5" s="1"/>
      <c r="EU5" s="1"/>
      <c r="EV5" s="1"/>
      <c r="EW5" s="1"/>
      <c r="EX5" s="1"/>
    </row>
    <row r="6" spans="1:161" ht="15" customHeight="1" x14ac:dyDescent="0.2">
      <c r="A6" s="1"/>
      <c r="B6" s="958" t="s">
        <v>3016</v>
      </c>
      <c r="C6" s="958"/>
      <c r="D6" s="958"/>
      <c r="E6" s="958"/>
      <c r="F6" s="958"/>
      <c r="G6" s="959"/>
      <c r="H6" s="959"/>
      <c r="I6" s="959"/>
      <c r="J6" s="959"/>
      <c r="K6" s="959"/>
      <c r="L6" s="960"/>
      <c r="M6" s="958"/>
      <c r="N6" s="961"/>
      <c r="O6" s="962"/>
      <c r="P6" s="958"/>
      <c r="Q6" s="963"/>
      <c r="R6" s="964"/>
      <c r="S6" s="961"/>
      <c r="T6" s="961"/>
      <c r="U6" s="961"/>
      <c r="V6" s="961"/>
      <c r="W6" s="958"/>
      <c r="X6" s="961"/>
      <c r="Y6" s="961"/>
      <c r="Z6" s="961"/>
      <c r="AA6" s="961"/>
      <c r="AB6" s="961"/>
      <c r="AC6" s="961"/>
      <c r="AD6" s="961"/>
      <c r="AE6" s="843"/>
      <c r="AF6" s="843"/>
      <c r="AG6" s="843"/>
      <c r="AH6" s="148"/>
      <c r="AI6" s="1"/>
      <c r="AJ6" s="1301" t="s">
        <v>3014</v>
      </c>
      <c r="AK6" s="1301"/>
      <c r="AL6" s="1301"/>
      <c r="AM6" s="1301"/>
      <c r="AN6" s="1301"/>
      <c r="AO6" s="1301"/>
      <c r="AP6" s="1301"/>
      <c r="AQ6" s="23"/>
      <c r="AR6" s="1301" t="s">
        <v>2778</v>
      </c>
      <c r="AS6" s="1301"/>
      <c r="AT6" s="1301"/>
      <c r="AU6" s="1301"/>
      <c r="AV6" s="1301"/>
      <c r="AW6" s="1301"/>
      <c r="AX6" s="1301"/>
      <c r="AY6" s="1301"/>
      <c r="AZ6" s="1301"/>
      <c r="BA6" s="1301"/>
      <c r="BB6" s="1301"/>
      <c r="BC6" s="1301"/>
      <c r="BD6" s="1"/>
      <c r="BE6" s="1678" t="s">
        <v>287</v>
      </c>
      <c r="BF6" s="1678"/>
      <c r="BG6" s="1"/>
      <c r="BH6" s="1678" t="s">
        <v>2849</v>
      </c>
      <c r="BI6" s="1678"/>
      <c r="BJ6" s="1678"/>
      <c r="BK6" s="1678"/>
      <c r="BL6" s="119" t="s">
        <v>290</v>
      </c>
      <c r="BM6" s="1"/>
      <c r="BN6" s="1678" t="s">
        <v>2850</v>
      </c>
      <c r="BO6" s="1678"/>
      <c r="BP6" s="1678"/>
      <c r="BQ6" s="70"/>
      <c r="BR6" s="1689" t="s">
        <v>290</v>
      </c>
      <c r="BS6" s="1689"/>
      <c r="BT6" s="120"/>
      <c r="BU6" s="118" t="s">
        <v>2851</v>
      </c>
      <c r="BV6" s="118"/>
      <c r="BW6" s="121"/>
      <c r="BX6" s="121" t="s">
        <v>290</v>
      </c>
      <c r="BY6" s="834"/>
      <c r="BZ6" s="834"/>
      <c r="CA6" s="834"/>
      <c r="CB6" s="834"/>
      <c r="CC6" s="834"/>
      <c r="CD6" s="1"/>
      <c r="CE6" s="1680" t="s">
        <v>2974</v>
      </c>
      <c r="CF6" s="1680"/>
      <c r="CG6" s="1680"/>
      <c r="CH6" s="1680"/>
      <c r="CI6" s="1680"/>
      <c r="CJ6" s="1680"/>
      <c r="CK6" s="651"/>
      <c r="CL6" s="1680" t="s">
        <v>2700</v>
      </c>
      <c r="CM6" s="1680"/>
      <c r="CN6" s="1680"/>
      <c r="CO6" s="1680"/>
      <c r="CP6" s="651"/>
      <c r="CQ6" s="1680" t="s">
        <v>2479</v>
      </c>
      <c r="CR6" s="1680"/>
      <c r="CS6" s="1680"/>
      <c r="CT6" s="1680"/>
      <c r="CU6" s="651"/>
      <c r="CV6" s="1301" t="s">
        <v>723</v>
      </c>
      <c r="CW6" s="1301"/>
      <c r="CX6" s="1"/>
      <c r="CY6" s="1678" t="s">
        <v>2827</v>
      </c>
      <c r="CZ6" s="1678"/>
      <c r="DA6" s="1678"/>
      <c r="DB6" s="1"/>
      <c r="DC6" s="30" t="s">
        <v>3017</v>
      </c>
      <c r="DD6" s="30"/>
      <c r="DE6" s="30"/>
      <c r="DF6" s="30"/>
      <c r="DG6" s="30"/>
      <c r="DH6" s="30"/>
      <c r="DI6" s="30"/>
      <c r="DJ6" s="30"/>
      <c r="DK6" s="30"/>
      <c r="DL6" s="30"/>
      <c r="DM6" s="30"/>
      <c r="DN6" s="30"/>
      <c r="DO6" s="30"/>
      <c r="DP6" s="30"/>
      <c r="DQ6" s="30"/>
      <c r="DR6" s="30"/>
      <c r="DS6" s="30"/>
      <c r="DT6" s="30"/>
      <c r="DU6" s="30"/>
      <c r="DV6" s="30"/>
      <c r="DW6" s="30"/>
      <c r="DX6" s="30"/>
      <c r="DY6" s="30"/>
      <c r="DZ6" s="30"/>
      <c r="EA6" s="30"/>
      <c r="EB6" s="1"/>
      <c r="EC6" s="832" t="s">
        <v>2036</v>
      </c>
      <c r="ED6" s="99"/>
      <c r="EE6" s="832" t="s">
        <v>2128</v>
      </c>
      <c r="EF6" s="1"/>
      <c r="EG6" s="118" t="s">
        <v>2196</v>
      </c>
      <c r="EH6" s="1"/>
      <c r="EI6" s="118" t="s">
        <v>2214</v>
      </c>
      <c r="EJ6" s="1"/>
      <c r="EK6" s="118"/>
      <c r="EL6" s="118"/>
      <c r="EM6" s="118"/>
      <c r="EN6" s="1"/>
      <c r="EO6" s="30" t="s">
        <v>2668</v>
      </c>
      <c r="EP6" s="1"/>
      <c r="EQ6" s="1"/>
      <c r="ER6" s="1"/>
      <c r="ES6" s="1"/>
      <c r="ET6" s="1"/>
      <c r="EU6" s="1"/>
      <c r="EV6" s="1"/>
      <c r="EW6" s="1"/>
      <c r="EX6" s="1"/>
    </row>
    <row r="7" spans="1:161" ht="5.25" customHeight="1" x14ac:dyDescent="0.2">
      <c r="A7" s="1"/>
      <c r="B7" s="6"/>
      <c r="C7" s="1"/>
      <c r="D7" s="1"/>
      <c r="E7" s="1"/>
      <c r="F7" s="1"/>
      <c r="G7" s="859"/>
      <c r="H7" s="859"/>
      <c r="I7" s="859"/>
      <c r="J7" s="859"/>
      <c r="K7" s="859"/>
      <c r="L7" s="853"/>
      <c r="M7" s="1"/>
      <c r="N7" s="842"/>
      <c r="O7" s="838"/>
      <c r="P7" s="1"/>
      <c r="Q7" s="847"/>
      <c r="R7" s="210"/>
      <c r="S7" s="842"/>
      <c r="T7" s="842"/>
      <c r="U7" s="842"/>
      <c r="V7" s="842"/>
      <c r="W7" s="1"/>
      <c r="X7" s="842"/>
      <c r="Y7" s="842"/>
      <c r="Z7" s="842"/>
      <c r="AA7" s="842"/>
      <c r="AB7" s="842"/>
      <c r="AC7" s="842"/>
      <c r="AD7" s="842"/>
      <c r="AE7" s="842"/>
      <c r="AF7" s="842"/>
      <c r="AG7" s="842"/>
      <c r="AH7" s="1"/>
      <c r="AI7" s="1"/>
      <c r="AJ7" s="1"/>
      <c r="AK7" s="1"/>
      <c r="AL7" s="1"/>
      <c r="AM7" s="1"/>
      <c r="AN7" s="1"/>
      <c r="AO7" s="1"/>
      <c r="AP7" s="1"/>
      <c r="AQ7" s="1"/>
      <c r="AR7" s="1"/>
      <c r="AS7" s="1"/>
      <c r="AT7" s="1"/>
      <c r="AU7" s="9"/>
      <c r="AV7" s="9"/>
      <c r="AW7" s="23"/>
      <c r="AX7" s="23"/>
      <c r="AY7" s="1"/>
      <c r="AZ7" s="1"/>
      <c r="BA7" s="1"/>
      <c r="BB7" s="10"/>
      <c r="BC7" s="10"/>
      <c r="BD7" s="10"/>
      <c r="BE7" s="9"/>
      <c r="BF7" s="9"/>
      <c r="BG7" s="1"/>
      <c r="BH7" s="1"/>
      <c r="BI7" s="1"/>
      <c r="BJ7" s="1"/>
      <c r="BK7" s="1"/>
      <c r="BL7" s="1"/>
      <c r="BM7" s="1"/>
      <c r="BN7" s="1"/>
      <c r="BO7" s="1"/>
      <c r="BP7" s="1"/>
      <c r="BQ7" s="1"/>
      <c r="BR7" s="1"/>
      <c r="BS7" s="1"/>
      <c r="BT7" s="1"/>
      <c r="BU7" s="1"/>
      <c r="BV7" s="1"/>
      <c r="BW7" s="1"/>
      <c r="BX7" s="1"/>
      <c r="BY7" s="1"/>
      <c r="CA7" s="1"/>
      <c r="CB7" s="1"/>
      <c r="CC7" s="1"/>
      <c r="CD7" s="1"/>
      <c r="CE7" s="1"/>
      <c r="CF7" s="1"/>
      <c r="CG7" s="1"/>
      <c r="CH7" s="1"/>
      <c r="CI7" s="1"/>
      <c r="CK7" s="1"/>
      <c r="CL7" s="6"/>
      <c r="CM7" s="6"/>
      <c r="CN7" s="6"/>
      <c r="CO7" s="6"/>
      <c r="CP7" s="6"/>
      <c r="CQ7" s="6"/>
      <c r="CR7" s="6"/>
      <c r="CS7" s="6"/>
      <c r="CT7" s="6"/>
      <c r="CU7" s="6"/>
      <c r="CV7" s="6"/>
      <c r="CW7" s="6"/>
      <c r="CX7" s="6"/>
      <c r="CY7" s="6"/>
      <c r="CZ7" s="6"/>
      <c r="DA7" s="6"/>
      <c r="DB7" s="6"/>
      <c r="DC7" s="1"/>
      <c r="DD7" s="1"/>
      <c r="DE7" s="1"/>
      <c r="DF7" s="6"/>
      <c r="DG7" s="6"/>
      <c r="DH7" s="6"/>
      <c r="DI7" s="6"/>
      <c r="DJ7" s="6"/>
      <c r="DK7" s="6"/>
      <c r="DL7" s="6"/>
      <c r="DM7" s="6"/>
      <c r="DN7" s="6"/>
      <c r="DO7" s="6"/>
      <c r="DP7" s="6"/>
      <c r="DQ7" s="6"/>
      <c r="DR7" s="6"/>
      <c r="DS7" s="6"/>
      <c r="DT7" s="6"/>
      <c r="DU7" s="6"/>
      <c r="DV7" s="6"/>
      <c r="DW7" s="6"/>
      <c r="DX7" s="6"/>
      <c r="DY7" s="6"/>
      <c r="DZ7" s="6"/>
      <c r="EA7" s="6"/>
      <c r="EB7" s="6"/>
      <c r="EC7" s="6"/>
      <c r="ED7" s="6"/>
      <c r="EE7" s="6"/>
      <c r="EF7" s="6"/>
      <c r="EG7" s="1"/>
      <c r="EH7" s="1"/>
      <c r="EI7" s="1"/>
      <c r="EJ7" s="1"/>
      <c r="EK7" s="1"/>
      <c r="EL7" s="1"/>
      <c r="EM7" s="1"/>
      <c r="EN7" s="1"/>
      <c r="EO7" s="1"/>
      <c r="EP7" s="1"/>
      <c r="EQ7" s="1"/>
      <c r="ER7" s="1"/>
      <c r="ES7" s="1"/>
      <c r="ET7" s="1"/>
      <c r="EU7" s="1"/>
      <c r="EV7" s="1"/>
      <c r="EW7" s="1"/>
      <c r="EX7" s="1"/>
      <c r="EY7" s="1"/>
      <c r="EZ7" s="1"/>
      <c r="FA7" s="1"/>
      <c r="FB7" s="1"/>
      <c r="FC7" s="1"/>
      <c r="FD7" s="1"/>
      <c r="FE7" s="1"/>
    </row>
    <row r="8" spans="1:161" ht="15" customHeight="1" x14ac:dyDescent="0.2">
      <c r="A8" s="1"/>
      <c r="B8" s="31" t="s">
        <v>724</v>
      </c>
      <c r="C8" s="32" t="s">
        <v>290</v>
      </c>
      <c r="D8" s="32"/>
      <c r="E8" s="32"/>
      <c r="F8" s="1"/>
      <c r="G8" s="1684" t="s">
        <v>2816</v>
      </c>
      <c r="H8" s="1684"/>
      <c r="I8" s="1684"/>
      <c r="J8" s="1684"/>
      <c r="K8" s="974" t="s">
        <v>3420</v>
      </c>
      <c r="L8" s="870" t="s">
        <v>2815</v>
      </c>
      <c r="M8" s="870" t="s">
        <v>2815</v>
      </c>
      <c r="N8" s="864"/>
      <c r="O8" s="871" t="s">
        <v>2814</v>
      </c>
      <c r="P8" s="9"/>
      <c r="Q8" s="872" t="s">
        <v>2813</v>
      </c>
      <c r="R8" s="873" t="s">
        <v>2812</v>
      </c>
      <c r="S8" s="874" t="s">
        <v>2811</v>
      </c>
      <c r="T8" s="874" t="s">
        <v>2824</v>
      </c>
      <c r="U8" s="874" t="s">
        <v>2818</v>
      </c>
      <c r="V8" s="874" t="s">
        <v>2820</v>
      </c>
      <c r="W8" s="870" t="s">
        <v>2822</v>
      </c>
      <c r="X8" s="874" t="s">
        <v>2826</v>
      </c>
      <c r="Y8" s="874" t="s">
        <v>2799</v>
      </c>
      <c r="Z8" s="874" t="s">
        <v>2800</v>
      </c>
      <c r="AA8" s="874" t="s">
        <v>2801</v>
      </c>
      <c r="AB8" s="874" t="s">
        <v>2802</v>
      </c>
      <c r="AC8" s="874" t="s">
        <v>2803</v>
      </c>
      <c r="AD8" s="874" t="s">
        <v>2804</v>
      </c>
      <c r="AE8" s="874" t="s">
        <v>2805</v>
      </c>
      <c r="AF8" s="874" t="s">
        <v>2806</v>
      </c>
      <c r="AG8" s="874" t="s">
        <v>2807</v>
      </c>
      <c r="AH8" s="9"/>
      <c r="AI8" s="1"/>
      <c r="AJ8" s="33" t="s">
        <v>289</v>
      </c>
      <c r="AK8" s="34" t="s">
        <v>290</v>
      </c>
      <c r="AL8" s="34"/>
      <c r="AM8" s="34"/>
      <c r="AN8" s="34"/>
      <c r="AO8" s="34"/>
      <c r="AP8" s="23"/>
      <c r="AQ8" s="23"/>
      <c r="AR8" s="15" t="s">
        <v>289</v>
      </c>
      <c r="AS8" s="35" t="s">
        <v>290</v>
      </c>
      <c r="AT8" s="1"/>
      <c r="AU8" s="10"/>
      <c r="AV8" s="10"/>
      <c r="AW8" s="10"/>
      <c r="AX8" s="9"/>
      <c r="AY8" s="9"/>
      <c r="AZ8" s="1"/>
      <c r="BA8" s="1681" t="s">
        <v>294</v>
      </c>
      <c r="BB8" s="1682"/>
      <c r="BC8" s="1683"/>
      <c r="BD8" s="1"/>
      <c r="BE8" s="1687" t="s">
        <v>291</v>
      </c>
      <c r="BF8" s="1687"/>
      <c r="BG8" s="1"/>
      <c r="BH8" s="41" t="s">
        <v>311</v>
      </c>
      <c r="BI8" s="41"/>
      <c r="BJ8" s="41"/>
      <c r="BK8" s="1513" t="s">
        <v>312</v>
      </c>
      <c r="BL8" s="1513"/>
      <c r="BM8" s="1"/>
      <c r="BN8" s="1"/>
      <c r="BO8" s="1685" t="s">
        <v>424</v>
      </c>
      <c r="BP8" s="1686"/>
      <c r="BQ8" s="1686"/>
      <c r="BR8" s="1686"/>
      <c r="BS8" s="1289"/>
      <c r="BT8" s="76"/>
      <c r="BU8" s="1"/>
      <c r="BV8" s="1"/>
      <c r="BW8" s="1"/>
      <c r="BX8" s="1"/>
      <c r="BY8" s="1290" t="s">
        <v>424</v>
      </c>
      <c r="BZ8" s="1290"/>
      <c r="CA8" s="1290"/>
      <c r="CB8" s="1290"/>
      <c r="CC8" s="1290"/>
      <c r="CD8" s="1"/>
      <c r="CE8" s="608" t="s">
        <v>290</v>
      </c>
      <c r="CF8" s="83"/>
      <c r="CG8" s="83"/>
      <c r="CH8" s="83"/>
      <c r="CI8" s="83"/>
      <c r="CJ8" s="83"/>
      <c r="CK8" s="83"/>
      <c r="CL8" s="83" t="s">
        <v>2701</v>
      </c>
      <c r="CM8" s="83"/>
      <c r="CN8" s="83"/>
      <c r="CO8" s="83"/>
      <c r="CP8" s="83"/>
      <c r="CQ8" s="137" t="s">
        <v>2482</v>
      </c>
      <c r="CR8" s="83"/>
      <c r="CS8" s="83"/>
      <c r="CT8" s="83"/>
      <c r="CU8" s="83"/>
      <c r="CV8" s="1679" t="s">
        <v>725</v>
      </c>
      <c r="CW8" s="1679"/>
      <c r="CX8" s="1"/>
      <c r="CY8" s="863" t="s">
        <v>2845</v>
      </c>
      <c r="CZ8" s="1"/>
      <c r="DA8" s="1"/>
      <c r="DB8" s="1"/>
      <c r="DC8" s="76"/>
      <c r="DD8" s="1676" t="s">
        <v>3420</v>
      </c>
      <c r="DE8" s="1677"/>
      <c r="DF8" s="870" t="s">
        <v>2815</v>
      </c>
      <c r="DG8" s="870" t="s">
        <v>2815</v>
      </c>
      <c r="DH8" s="864"/>
      <c r="DI8" s="871" t="s">
        <v>2814</v>
      </c>
      <c r="DJ8" s="9"/>
      <c r="DK8" s="872" t="s">
        <v>2813</v>
      </c>
      <c r="DL8" s="873" t="s">
        <v>2812</v>
      </c>
      <c r="DM8" s="874" t="s">
        <v>2811</v>
      </c>
      <c r="DN8" s="874" t="s">
        <v>2824</v>
      </c>
      <c r="DO8" s="874" t="s">
        <v>2818</v>
      </c>
      <c r="DP8" s="874" t="s">
        <v>2820</v>
      </c>
      <c r="DQ8" s="870" t="s">
        <v>2822</v>
      </c>
      <c r="DR8" s="874" t="s">
        <v>2826</v>
      </c>
      <c r="DS8" s="874" t="s">
        <v>2799</v>
      </c>
      <c r="DT8" s="874" t="s">
        <v>2800</v>
      </c>
      <c r="DU8" s="874" t="s">
        <v>2801</v>
      </c>
      <c r="DV8" s="874" t="s">
        <v>2802</v>
      </c>
      <c r="DW8" s="874" t="s">
        <v>2803</v>
      </c>
      <c r="DX8" s="874" t="s">
        <v>2804</v>
      </c>
      <c r="DY8" s="874" t="s">
        <v>2805</v>
      </c>
      <c r="DZ8" s="874" t="s">
        <v>2806</v>
      </c>
      <c r="EA8" s="874" t="s">
        <v>2807</v>
      </c>
      <c r="EB8" s="1"/>
      <c r="EC8" s="137"/>
      <c r="ED8" s="137"/>
      <c r="EE8" s="1"/>
      <c r="EF8" s="1"/>
      <c r="EG8" s="1"/>
      <c r="EH8" s="1"/>
      <c r="EI8" s="1"/>
      <c r="EJ8" s="1"/>
      <c r="EK8" s="1"/>
      <c r="EL8" s="1"/>
      <c r="EM8" s="1"/>
      <c r="EN8" s="1"/>
      <c r="EO8" s="1"/>
      <c r="EP8" s="1"/>
      <c r="EQ8" s="1"/>
      <c r="ER8" s="1"/>
      <c r="ES8" s="1"/>
      <c r="ET8" s="1"/>
      <c r="EU8" s="1"/>
      <c r="EV8" s="1"/>
      <c r="EW8" s="1"/>
      <c r="EX8" s="1"/>
    </row>
    <row r="9" spans="1:161" ht="5.25" customHeight="1" x14ac:dyDescent="0.2">
      <c r="A9" s="1"/>
      <c r="B9" s="6"/>
      <c r="C9" s="1"/>
      <c r="D9" s="1"/>
      <c r="E9" s="1"/>
      <c r="F9" s="1"/>
      <c r="G9" s="868"/>
      <c r="H9" s="868"/>
      <c r="I9" s="868"/>
      <c r="J9" s="868"/>
      <c r="K9" s="868"/>
      <c r="L9" s="869"/>
      <c r="M9" s="9"/>
      <c r="N9" s="864"/>
      <c r="O9" s="865"/>
      <c r="P9" s="9"/>
      <c r="Q9" s="866"/>
      <c r="R9" s="867"/>
      <c r="S9" s="864"/>
      <c r="T9" s="864"/>
      <c r="U9" s="864"/>
      <c r="V9" s="864"/>
      <c r="W9" s="9"/>
      <c r="X9" s="864"/>
      <c r="Y9" s="864"/>
      <c r="Z9" s="864"/>
      <c r="AA9" s="864"/>
      <c r="AB9" s="864"/>
      <c r="AC9" s="864"/>
      <c r="AD9" s="864"/>
      <c r="AE9" s="864"/>
      <c r="AF9" s="864"/>
      <c r="AG9" s="864"/>
      <c r="AH9" s="9"/>
      <c r="AI9" s="1"/>
      <c r="AJ9" s="1"/>
      <c r="AK9" s="1"/>
      <c r="AL9" s="1"/>
      <c r="AM9" s="1"/>
      <c r="AN9" s="1"/>
      <c r="AO9" s="1"/>
      <c r="AP9" s="1"/>
      <c r="AQ9" s="1"/>
      <c r="AR9" s="1"/>
      <c r="AS9" s="1"/>
      <c r="AT9" s="1"/>
      <c r="AU9" s="9"/>
      <c r="AV9" s="9"/>
      <c r="AW9" s="23"/>
      <c r="AX9" s="23"/>
      <c r="AY9" s="1"/>
      <c r="AZ9" s="1"/>
      <c r="BA9" s="1"/>
      <c r="BB9" s="10"/>
      <c r="BC9" s="10"/>
      <c r="BD9" s="10"/>
      <c r="BE9" s="9"/>
      <c r="BF9" s="9"/>
      <c r="BG9" s="1"/>
      <c r="BH9" s="836"/>
      <c r="BI9" s="836"/>
      <c r="BJ9" s="836"/>
      <c r="BK9" s="1"/>
      <c r="BL9" s="1"/>
      <c r="BM9" s="1"/>
      <c r="BN9" s="1"/>
      <c r="BO9" s="42"/>
      <c r="BP9" s="43"/>
      <c r="BQ9" s="43"/>
      <c r="BR9" s="43"/>
      <c r="BS9" s="43"/>
      <c r="BT9" s="1"/>
      <c r="BU9" s="1"/>
      <c r="BV9" s="76"/>
      <c r="BW9" s="76"/>
      <c r="BX9" s="76"/>
      <c r="BY9" s="76"/>
      <c r="BZ9" s="76"/>
      <c r="CA9" s="76"/>
      <c r="CB9" s="1"/>
      <c r="CC9" s="1"/>
      <c r="CD9" s="1"/>
      <c r="CE9" s="1"/>
      <c r="CF9" s="76"/>
      <c r="CG9" s="76"/>
      <c r="CH9" s="76"/>
      <c r="CI9" s="76"/>
      <c r="CJ9" s="76"/>
      <c r="CK9" s="1"/>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1"/>
      <c r="EH9" s="1"/>
      <c r="EI9" s="1"/>
      <c r="EJ9" s="1"/>
      <c r="EK9" s="1"/>
      <c r="EL9" s="1"/>
      <c r="EM9" s="1"/>
      <c r="EN9" s="1"/>
      <c r="EO9" s="1"/>
      <c r="EP9" s="1"/>
      <c r="EQ9" s="1"/>
      <c r="ER9" s="1"/>
      <c r="ES9" s="1"/>
      <c r="ET9" s="1"/>
      <c r="EU9" s="1"/>
      <c r="EV9" s="1"/>
      <c r="EW9" s="1"/>
      <c r="EX9" s="1"/>
      <c r="EY9" s="1"/>
      <c r="EZ9" s="1"/>
      <c r="FA9" s="1"/>
      <c r="FB9" s="1"/>
      <c r="FC9" s="1"/>
      <c r="FD9" s="1"/>
      <c r="FE9" s="1"/>
    </row>
    <row r="10" spans="1:161" s="18" customFormat="1" ht="60" customHeight="1" x14ac:dyDescent="0.2">
      <c r="A10" s="7"/>
      <c r="B10" s="21" t="s">
        <v>266</v>
      </c>
      <c r="C10" s="21" t="s">
        <v>106</v>
      </c>
      <c r="D10" s="21" t="s">
        <v>3</v>
      </c>
      <c r="E10" s="21" t="s">
        <v>2985</v>
      </c>
      <c r="F10" s="21" t="s">
        <v>3015</v>
      </c>
      <c r="G10" s="839" t="s">
        <v>2808</v>
      </c>
      <c r="H10" s="839" t="s">
        <v>2809</v>
      </c>
      <c r="I10" s="839" t="s">
        <v>2780</v>
      </c>
      <c r="J10" s="839" t="s">
        <v>2810</v>
      </c>
      <c r="K10" s="839" t="s">
        <v>3421</v>
      </c>
      <c r="L10" s="854" t="s">
        <v>2787</v>
      </c>
      <c r="M10" s="21" t="s">
        <v>2788</v>
      </c>
      <c r="N10" s="844" t="s">
        <v>2786</v>
      </c>
      <c r="O10" s="839" t="s">
        <v>3000</v>
      </c>
      <c r="P10" s="21" t="s">
        <v>2783</v>
      </c>
      <c r="Q10" s="848" t="s">
        <v>2784</v>
      </c>
      <c r="R10" s="851" t="s">
        <v>2785</v>
      </c>
      <c r="S10" s="844" t="s">
        <v>2789</v>
      </c>
      <c r="T10" s="844" t="s">
        <v>2823</v>
      </c>
      <c r="U10" s="844" t="s">
        <v>2817</v>
      </c>
      <c r="V10" s="844" t="s">
        <v>2819</v>
      </c>
      <c r="W10" s="21" t="s">
        <v>2821</v>
      </c>
      <c r="X10" s="844" t="s">
        <v>2825</v>
      </c>
      <c r="Y10" s="844" t="s">
        <v>2790</v>
      </c>
      <c r="Z10" s="844" t="s">
        <v>2791</v>
      </c>
      <c r="AA10" s="844" t="s">
        <v>2792</v>
      </c>
      <c r="AB10" s="844" t="s">
        <v>2793</v>
      </c>
      <c r="AC10" s="844" t="s">
        <v>2794</v>
      </c>
      <c r="AD10" s="844" t="s">
        <v>2795</v>
      </c>
      <c r="AE10" s="844" t="s">
        <v>2796</v>
      </c>
      <c r="AF10" s="844" t="s">
        <v>2797</v>
      </c>
      <c r="AG10" s="844" t="s">
        <v>2798</v>
      </c>
      <c r="AH10" s="21" t="s">
        <v>2656</v>
      </c>
      <c r="AI10" s="7"/>
      <c r="AJ10" s="21" t="s">
        <v>2711</v>
      </c>
      <c r="AK10" s="21" t="s">
        <v>2702</v>
      </c>
      <c r="AL10" s="21" t="s">
        <v>2846</v>
      </c>
      <c r="AM10" s="21" t="s">
        <v>3</v>
      </c>
      <c r="AN10" s="21" t="s">
        <v>2847</v>
      </c>
      <c r="AO10" s="21" t="s">
        <v>2848</v>
      </c>
      <c r="AP10" s="22" t="s">
        <v>3018</v>
      </c>
      <c r="AQ10" s="26"/>
      <c r="AR10" s="21" t="s">
        <v>284</v>
      </c>
      <c r="AS10" s="21">
        <v>1</v>
      </c>
      <c r="AT10" s="21">
        <v>2</v>
      </c>
      <c r="AU10" s="21">
        <v>3</v>
      </c>
      <c r="AV10" s="21">
        <v>4</v>
      </c>
      <c r="AW10" s="21">
        <v>5</v>
      </c>
      <c r="AX10" s="21">
        <v>6</v>
      </c>
      <c r="AY10" s="21">
        <v>7</v>
      </c>
      <c r="AZ10" s="21">
        <v>8</v>
      </c>
      <c r="BA10" s="38">
        <v>1.5</v>
      </c>
      <c r="BB10" s="38">
        <v>4.5</v>
      </c>
      <c r="BC10" s="38">
        <v>7.5</v>
      </c>
      <c r="BD10" s="7"/>
      <c r="BE10" s="21" t="s">
        <v>285</v>
      </c>
      <c r="BF10" s="21" t="s">
        <v>286</v>
      </c>
      <c r="BG10" s="7"/>
      <c r="BH10" s="46" t="s">
        <v>318</v>
      </c>
      <c r="BI10" s="46" t="s">
        <v>313</v>
      </c>
      <c r="BJ10" s="44"/>
      <c r="BK10" s="46" t="s">
        <v>319</v>
      </c>
      <c r="BL10" s="46" t="s">
        <v>313</v>
      </c>
      <c r="BM10" s="7"/>
      <c r="BN10" s="21" t="s">
        <v>284</v>
      </c>
      <c r="BO10" s="21">
        <v>0</v>
      </c>
      <c r="BP10" s="21">
        <v>1</v>
      </c>
      <c r="BQ10" s="21">
        <v>2</v>
      </c>
      <c r="BR10" s="21">
        <v>3</v>
      </c>
      <c r="BS10" s="21">
        <v>4</v>
      </c>
      <c r="BT10" s="117"/>
      <c r="BU10" s="40" t="s">
        <v>302</v>
      </c>
      <c r="BV10" s="40" t="s">
        <v>726</v>
      </c>
      <c r="BW10" s="40" t="s">
        <v>2857</v>
      </c>
      <c r="BX10" s="40" t="s">
        <v>2858</v>
      </c>
      <c r="BY10" s="21">
        <v>0</v>
      </c>
      <c r="BZ10" s="21">
        <v>1</v>
      </c>
      <c r="CA10" s="21">
        <v>2</v>
      </c>
      <c r="CB10" s="21">
        <v>3</v>
      </c>
      <c r="CC10" s="21">
        <v>4</v>
      </c>
      <c r="CD10" s="7"/>
      <c r="CE10" s="21" t="s">
        <v>2468</v>
      </c>
      <c r="CF10" s="21" t="s">
        <v>2976</v>
      </c>
      <c r="CG10" s="21" t="s">
        <v>2469</v>
      </c>
      <c r="CH10" s="21" t="s">
        <v>2470</v>
      </c>
      <c r="CI10" s="21" t="s">
        <v>2471</v>
      </c>
      <c r="CJ10" s="21" t="s">
        <v>2977</v>
      </c>
      <c r="CK10" s="117"/>
      <c r="CL10" s="21" t="s">
        <v>2975</v>
      </c>
      <c r="CM10" s="21" t="s">
        <v>2698</v>
      </c>
      <c r="CN10" s="21" t="s">
        <v>373</v>
      </c>
      <c r="CO10" s="21" t="s">
        <v>433</v>
      </c>
      <c r="CP10" s="117"/>
      <c r="CQ10" s="924" t="s">
        <v>3</v>
      </c>
      <c r="CR10" s="924" t="s">
        <v>2480</v>
      </c>
      <c r="CS10" s="21" t="s">
        <v>3106</v>
      </c>
      <c r="CT10" s="117"/>
      <c r="CU10" s="117"/>
      <c r="CV10" s="40" t="s">
        <v>3</v>
      </c>
      <c r="CW10" s="40" t="s">
        <v>727</v>
      </c>
      <c r="CX10" s="7"/>
      <c r="CY10" s="40" t="s">
        <v>3</v>
      </c>
      <c r="CZ10" s="40" t="s">
        <v>2831</v>
      </c>
      <c r="DA10" s="40" t="s">
        <v>2832</v>
      </c>
      <c r="DB10" s="7"/>
      <c r="DC10" s="40" t="s">
        <v>3</v>
      </c>
      <c r="DD10" s="40" t="s">
        <v>3422</v>
      </c>
      <c r="DE10" s="40" t="s">
        <v>3423</v>
      </c>
      <c r="DF10" s="854" t="s">
        <v>2787</v>
      </c>
      <c r="DG10" s="21" t="s">
        <v>2788</v>
      </c>
      <c r="DH10" s="844" t="s">
        <v>2786</v>
      </c>
      <c r="DI10" s="839" t="s">
        <v>3000</v>
      </c>
      <c r="DJ10" s="21" t="s">
        <v>2783</v>
      </c>
      <c r="DK10" s="848" t="s">
        <v>2784</v>
      </c>
      <c r="DL10" s="851" t="s">
        <v>2785</v>
      </c>
      <c r="DM10" s="844" t="s">
        <v>2789</v>
      </c>
      <c r="DN10" s="844" t="s">
        <v>2823</v>
      </c>
      <c r="DO10" s="844" t="s">
        <v>2817</v>
      </c>
      <c r="DP10" s="844" t="s">
        <v>2819</v>
      </c>
      <c r="DQ10" s="21" t="s">
        <v>2821</v>
      </c>
      <c r="DR10" s="844" t="s">
        <v>2825</v>
      </c>
      <c r="DS10" s="844" t="s">
        <v>2790</v>
      </c>
      <c r="DT10" s="844" t="s">
        <v>2791</v>
      </c>
      <c r="DU10" s="844" t="s">
        <v>2792</v>
      </c>
      <c r="DV10" s="844" t="s">
        <v>2793</v>
      </c>
      <c r="DW10" s="844" t="s">
        <v>2794</v>
      </c>
      <c r="DX10" s="844" t="s">
        <v>2795</v>
      </c>
      <c r="DY10" s="844" t="s">
        <v>2796</v>
      </c>
      <c r="DZ10" s="844" t="s">
        <v>2797</v>
      </c>
      <c r="EA10" s="844" t="s">
        <v>2798</v>
      </c>
      <c r="EB10" s="7"/>
      <c r="EC10" s="40" t="s">
        <v>2051</v>
      </c>
      <c r="ED10" s="7"/>
      <c r="EE10" s="40" t="s">
        <v>2128</v>
      </c>
      <c r="EF10" s="7"/>
      <c r="EG10" s="40" t="s">
        <v>2197</v>
      </c>
      <c r="EH10" s="7"/>
      <c r="EI10" s="40" t="s">
        <v>2213</v>
      </c>
      <c r="EJ10" s="7"/>
      <c r="EK10" s="40" t="s">
        <v>2496</v>
      </c>
      <c r="EL10" s="7"/>
      <c r="EM10" s="40" t="s">
        <v>2499</v>
      </c>
      <c r="EN10" s="7"/>
      <c r="EO10" s="40" t="s">
        <v>2670</v>
      </c>
      <c r="EP10" s="7"/>
      <c r="EQ10" s="40" t="s">
        <v>3345</v>
      </c>
      <c r="ER10" s="7"/>
      <c r="ES10" s="7"/>
      <c r="ET10" s="7"/>
      <c r="EU10" s="7"/>
      <c r="EV10" s="7"/>
      <c r="EW10" s="7"/>
      <c r="EX10" s="7"/>
    </row>
    <row r="11" spans="1:161" s="17" customFormat="1" x14ac:dyDescent="0.2">
      <c r="A11" s="25"/>
      <c r="B11" s="20">
        <v>39035156101</v>
      </c>
      <c r="C11" s="20">
        <v>1561.01</v>
      </c>
      <c r="D11" s="20" t="s">
        <v>24</v>
      </c>
      <c r="E11" s="20" t="s">
        <v>2829</v>
      </c>
      <c r="F11" s="20" t="s">
        <v>8</v>
      </c>
      <c r="G11" s="861">
        <v>100</v>
      </c>
      <c r="H11" s="861">
        <v>85.422153151037193</v>
      </c>
      <c r="I11" s="861">
        <v>17.703662909165999</v>
      </c>
      <c r="J11" s="861">
        <v>45.195693086566401</v>
      </c>
      <c r="K11" s="982">
        <v>0</v>
      </c>
      <c r="L11" s="735">
        <v>1299</v>
      </c>
      <c r="M11" s="735">
        <v>1587</v>
      </c>
      <c r="N11" s="845">
        <f t="shared" ref="N11:N74" si="0">IF(OR(L11="",M11=""),"",(M11-L11)/L11)</f>
        <v>0.22170900692840648</v>
      </c>
      <c r="O11" s="735">
        <v>3.4481517368819121</v>
      </c>
      <c r="P11" s="735">
        <f t="shared" ref="P11:P74" si="1">M11/O11</f>
        <v>460.24656717545997</v>
      </c>
      <c r="Q11" s="849">
        <v>45.5</v>
      </c>
      <c r="R11" s="71">
        <v>147353</v>
      </c>
      <c r="S11" s="845">
        <v>1.6383112791430371E-2</v>
      </c>
      <c r="T11" s="845">
        <v>0.02</v>
      </c>
      <c r="U11" s="845">
        <v>1.3999999999999999E-2</v>
      </c>
      <c r="V11" s="845">
        <v>0.20699999999999999</v>
      </c>
      <c r="W11" s="845">
        <v>0.12629757785467127</v>
      </c>
      <c r="X11" s="845">
        <v>0.24657534246575341</v>
      </c>
      <c r="Y11" s="845">
        <v>0.98424700693131695</v>
      </c>
      <c r="Z11" s="845">
        <v>0</v>
      </c>
      <c r="AA11" s="845">
        <v>0</v>
      </c>
      <c r="AB11" s="845">
        <v>6.3011972274732201E-4</v>
      </c>
      <c r="AC11" s="845">
        <v>0</v>
      </c>
      <c r="AD11" s="845">
        <v>1.260239445494644E-3</v>
      </c>
      <c r="AE11" s="845">
        <v>1.3862633900441084E-2</v>
      </c>
      <c r="AF11" s="845">
        <v>1.0712035286704474E-2</v>
      </c>
      <c r="AG11" s="845">
        <v>0.97479521109010714</v>
      </c>
      <c r="AH11" s="20" t="str">
        <f t="shared" ref="AH11:AH74" si="2">IF(AG11&gt;=0.9,"Yes","No")</f>
        <v>Yes</v>
      </c>
      <c r="AI11" s="25"/>
      <c r="AJ11" s="37">
        <v>44202</v>
      </c>
      <c r="AK11" s="37" t="s">
        <v>1253</v>
      </c>
      <c r="AL11" s="37">
        <v>39133</v>
      </c>
      <c r="AM11" s="37" t="s">
        <v>72</v>
      </c>
      <c r="AN11" s="37">
        <f t="shared" ref="AN11:AN74" si="3">VLOOKUP(AM11,$CY$11:$DA$98,2,FALSE)</f>
        <v>10420</v>
      </c>
      <c r="AO11" s="37" t="str">
        <f t="shared" ref="AO11:AO74" si="4">VLOOKUP(AM11,$CY$11:$DA$98,3,FALSE)</f>
        <v>Akron, OH</v>
      </c>
      <c r="AP11" s="37" t="s">
        <v>6</v>
      </c>
      <c r="AQ11" s="25"/>
      <c r="AR11" s="20" t="s">
        <v>5</v>
      </c>
      <c r="AS11" s="24">
        <v>29850</v>
      </c>
      <c r="AT11" s="24">
        <v>34100</v>
      </c>
      <c r="AU11" s="24">
        <v>38350</v>
      </c>
      <c r="AV11" s="24">
        <v>42600</v>
      </c>
      <c r="AW11" s="24">
        <v>46050</v>
      </c>
      <c r="AX11" s="24">
        <v>49450</v>
      </c>
      <c r="AY11" s="24">
        <v>52850</v>
      </c>
      <c r="AZ11" s="24">
        <v>56250</v>
      </c>
      <c r="BA11" s="29">
        <f>SUM(AS11,AT11)/2</f>
        <v>31975</v>
      </c>
      <c r="BB11" s="29">
        <f>SUM(AV11,AW11)/2</f>
        <v>44325</v>
      </c>
      <c r="BC11" s="29">
        <f>SUM(AY11,AZ11)/2</f>
        <v>54550</v>
      </c>
      <c r="BD11" s="25"/>
      <c r="BE11" s="28">
        <v>0</v>
      </c>
      <c r="BF11" s="28">
        <v>1</v>
      </c>
      <c r="BG11" s="25"/>
      <c r="BH11" s="837" t="s">
        <v>276</v>
      </c>
      <c r="BI11" s="837" t="s">
        <v>8</v>
      </c>
      <c r="BJ11" s="44"/>
      <c r="BK11" s="48" t="s">
        <v>15</v>
      </c>
      <c r="BL11" s="45"/>
      <c r="BM11" s="25"/>
      <c r="BN11" s="20" t="s">
        <v>5</v>
      </c>
      <c r="BO11" s="71">
        <v>736</v>
      </c>
      <c r="BP11" s="24">
        <v>785</v>
      </c>
      <c r="BQ11" s="24">
        <v>973</v>
      </c>
      <c r="BR11" s="24">
        <v>1220</v>
      </c>
      <c r="BS11" s="24">
        <v>1288</v>
      </c>
      <c r="BT11" s="122"/>
      <c r="BU11" s="39">
        <v>45105</v>
      </c>
      <c r="BV11" s="39" t="s">
        <v>1564</v>
      </c>
      <c r="BW11" s="39" t="s">
        <v>2875</v>
      </c>
      <c r="BX11" s="39" t="s">
        <v>2876</v>
      </c>
      <c r="BY11" s="71">
        <v>740</v>
      </c>
      <c r="BZ11" s="71">
        <v>780</v>
      </c>
      <c r="CA11" s="71">
        <v>970</v>
      </c>
      <c r="CB11" s="71">
        <v>1220</v>
      </c>
      <c r="CC11" s="71">
        <v>1290</v>
      </c>
      <c r="CD11" s="25"/>
      <c r="CE11" s="606">
        <v>0</v>
      </c>
      <c r="CF11" s="236">
        <v>75620</v>
      </c>
      <c r="CG11" s="607">
        <v>2.7</v>
      </c>
      <c r="CH11" s="79">
        <f>CF11*CG11</f>
        <v>204174</v>
      </c>
      <c r="CI11" s="607">
        <v>2.4</v>
      </c>
      <c r="CJ11" s="79">
        <f>CF11*CI11</f>
        <v>181488</v>
      </c>
      <c r="CK11" s="200"/>
      <c r="CL11" s="236" t="s">
        <v>2481</v>
      </c>
      <c r="CM11" s="236" t="s">
        <v>104</v>
      </c>
      <c r="CN11" s="236">
        <v>382909</v>
      </c>
      <c r="CO11" s="236">
        <v>388</v>
      </c>
      <c r="CP11" s="200"/>
      <c r="CQ11" s="20" t="s">
        <v>5</v>
      </c>
      <c r="CR11" s="236" t="s">
        <v>292</v>
      </c>
      <c r="CS11" s="236" t="s">
        <v>3107</v>
      </c>
      <c r="CT11" s="200"/>
      <c r="CU11" s="200"/>
      <c r="CV11" s="20" t="s">
        <v>5</v>
      </c>
      <c r="CW11" s="20" t="s">
        <v>6</v>
      </c>
      <c r="CX11" s="25"/>
      <c r="CY11" s="20" t="s">
        <v>5</v>
      </c>
      <c r="CZ11" s="20" t="s">
        <v>265</v>
      </c>
      <c r="DA11" s="37" t="s">
        <v>265</v>
      </c>
      <c r="DB11" s="25"/>
      <c r="DC11" s="20" t="s">
        <v>5</v>
      </c>
      <c r="DD11" s="20">
        <v>0</v>
      </c>
      <c r="DE11" s="735">
        <v>0</v>
      </c>
      <c r="DF11" s="179">
        <v>28342</v>
      </c>
      <c r="DG11" s="179">
        <v>27510</v>
      </c>
      <c r="DH11" s="878">
        <f>(DG11-DF11)/DF11</f>
        <v>-2.9355726483663819E-2</v>
      </c>
      <c r="DI11" s="606">
        <v>583.87189275552316</v>
      </c>
      <c r="DJ11" s="179">
        <f t="shared" ref="DJ11:DJ42" si="5">DG11/DI11</f>
        <v>47.116499940028611</v>
      </c>
      <c r="DK11" s="37">
        <v>42.3</v>
      </c>
      <c r="DL11" s="236">
        <v>49521</v>
      </c>
      <c r="DM11" s="878">
        <v>0.20329224182475825</v>
      </c>
      <c r="DN11" s="878">
        <v>6.5000000000000002E-2</v>
      </c>
      <c r="DO11" s="878">
        <v>1.1000000000000001E-2</v>
      </c>
      <c r="DP11" s="878">
        <v>1.9E-2</v>
      </c>
      <c r="DQ11" s="878">
        <v>0.29002932551319649</v>
      </c>
      <c r="DR11" s="878">
        <v>0.37007077856420628</v>
      </c>
      <c r="DS11" s="878">
        <v>0.96499999999999997</v>
      </c>
      <c r="DT11" s="878">
        <v>4.0000000000000001E-3</v>
      </c>
      <c r="DU11" s="878">
        <v>1E-3</v>
      </c>
      <c r="DV11" s="878">
        <v>4.0000000000000001E-3</v>
      </c>
      <c r="DW11" s="878">
        <v>0</v>
      </c>
      <c r="DX11" s="878">
        <v>3.0000000000000001E-3</v>
      </c>
      <c r="DY11" s="878">
        <v>2.1999999999999999E-2</v>
      </c>
      <c r="DZ11" s="878">
        <v>8.9999999999999993E-3</v>
      </c>
      <c r="EA11" s="878">
        <v>0.95899999999999996</v>
      </c>
      <c r="EB11" s="25"/>
      <c r="EC11" s="20" t="s">
        <v>2038</v>
      </c>
      <c r="ED11" s="25"/>
      <c r="EE11" s="20">
        <f>Team!E12</f>
        <v>0</v>
      </c>
      <c r="EF11" s="25"/>
      <c r="EG11" s="20" t="str">
        <f>IF(OR(OpBudget!F160="",OpBudget!F160=0),"N/A",OpBudget!C160)</f>
        <v>N/A</v>
      </c>
      <c r="EH11" s="25"/>
      <c r="EI11" s="20" t="s">
        <v>2215</v>
      </c>
      <c r="EJ11" s="25"/>
      <c r="EK11" s="20" t="s">
        <v>2511</v>
      </c>
      <c r="EL11" s="25"/>
      <c r="EM11" s="20" t="s">
        <v>2511</v>
      </c>
      <c r="EN11" s="25"/>
      <c r="EO11" s="37" t="s">
        <v>2669</v>
      </c>
      <c r="EP11" s="25"/>
      <c r="EQ11" s="37" t="s">
        <v>3218</v>
      </c>
      <c r="ER11" s="25"/>
      <c r="ES11" s="25"/>
      <c r="ET11" s="25"/>
      <c r="EU11" s="25"/>
      <c r="EV11" s="25"/>
      <c r="EW11" s="25"/>
      <c r="EX11" s="25"/>
    </row>
    <row r="12" spans="1:161" s="17" customFormat="1" x14ac:dyDescent="0.2">
      <c r="A12" s="25"/>
      <c r="B12" s="20">
        <v>39095007104</v>
      </c>
      <c r="C12" s="20">
        <v>71.040000000000006</v>
      </c>
      <c r="D12" s="20" t="s">
        <v>53</v>
      </c>
      <c r="E12" s="20" t="s">
        <v>2839</v>
      </c>
      <c r="F12" s="20" t="s">
        <v>8</v>
      </c>
      <c r="G12" s="861">
        <v>98.194828419181903</v>
      </c>
      <c r="H12" s="861">
        <v>74.806092341112603</v>
      </c>
      <c r="I12" s="861">
        <v>34.482625271014797</v>
      </c>
      <c r="J12" s="861">
        <v>41.755634712883399</v>
      </c>
      <c r="K12" s="982">
        <v>1</v>
      </c>
      <c r="L12" s="735" t="s">
        <v>2466</v>
      </c>
      <c r="M12" s="735">
        <v>1520</v>
      </c>
      <c r="N12" s="845" t="str">
        <f t="shared" si="0"/>
        <v/>
      </c>
      <c r="O12" s="735">
        <v>3.6082327806516457</v>
      </c>
      <c r="P12" s="735">
        <f t="shared" si="1"/>
        <v>421.25885229763043</v>
      </c>
      <c r="Q12" s="849">
        <v>44.7</v>
      </c>
      <c r="R12" s="71">
        <v>70000</v>
      </c>
      <c r="S12" s="845">
        <v>8.9473684210526316E-2</v>
      </c>
      <c r="T12" s="845">
        <v>1.8000000000000002E-2</v>
      </c>
      <c r="U12" s="845">
        <v>0</v>
      </c>
      <c r="V12" s="845">
        <v>5.0999999999999997E-2</v>
      </c>
      <c r="W12" s="845">
        <v>0.58905852417302795</v>
      </c>
      <c r="X12" s="845">
        <v>0.44708423326133911</v>
      </c>
      <c r="Y12" s="845">
        <v>0.73421052631578942</v>
      </c>
      <c r="Z12" s="845">
        <v>9.7368421052631576E-2</v>
      </c>
      <c r="AA12" s="845">
        <v>0</v>
      </c>
      <c r="AB12" s="845">
        <v>2.368421052631579E-2</v>
      </c>
      <c r="AC12" s="845">
        <v>1.1842105263157895E-2</v>
      </c>
      <c r="AD12" s="845">
        <v>2.2368421052631579E-2</v>
      </c>
      <c r="AE12" s="845">
        <v>0.11052631578947368</v>
      </c>
      <c r="AF12" s="845">
        <v>5.131578947368421E-2</v>
      </c>
      <c r="AG12" s="845">
        <v>0.71381578947368418</v>
      </c>
      <c r="AH12" s="20" t="str">
        <f t="shared" si="2"/>
        <v>No</v>
      </c>
      <c r="AI12" s="25"/>
      <c r="AJ12" s="37">
        <v>44056</v>
      </c>
      <c r="AK12" s="37" t="s">
        <v>1177</v>
      </c>
      <c r="AL12" s="37">
        <v>39153</v>
      </c>
      <c r="AM12" s="37" t="s">
        <v>82</v>
      </c>
      <c r="AN12" s="37">
        <f t="shared" si="3"/>
        <v>10420</v>
      </c>
      <c r="AO12" s="37" t="str">
        <f t="shared" si="4"/>
        <v>Akron, OH</v>
      </c>
      <c r="AP12" s="20" t="s">
        <v>6</v>
      </c>
      <c r="AQ12" s="25"/>
      <c r="AR12" s="20" t="s">
        <v>7</v>
      </c>
      <c r="AS12" s="24">
        <v>32350</v>
      </c>
      <c r="AT12" s="24">
        <v>37000</v>
      </c>
      <c r="AU12" s="24">
        <v>41650</v>
      </c>
      <c r="AV12" s="24">
        <v>46250</v>
      </c>
      <c r="AW12" s="24">
        <v>49950</v>
      </c>
      <c r="AX12" s="24">
        <v>53650</v>
      </c>
      <c r="AY12" s="24">
        <v>57350</v>
      </c>
      <c r="AZ12" s="24">
        <v>61050</v>
      </c>
      <c r="BA12" s="29">
        <f t="shared" ref="BA12:BA75" si="6">SUM(AS12,AT12)/2</f>
        <v>34675</v>
      </c>
      <c r="BB12" s="29">
        <f t="shared" ref="BB12:BB75" si="7">SUM(AV12,AW12)/2</f>
        <v>48100</v>
      </c>
      <c r="BC12" s="29">
        <f t="shared" ref="BC12:BC75" si="8">SUM(AY12,AZ12)/2</f>
        <v>59200</v>
      </c>
      <c r="BD12" s="25"/>
      <c r="BE12" s="28">
        <v>1</v>
      </c>
      <c r="BF12" s="28">
        <v>1.5</v>
      </c>
      <c r="BG12" s="25"/>
      <c r="BH12" s="45" t="s">
        <v>314</v>
      </c>
      <c r="BI12" s="45" t="s">
        <v>8</v>
      </c>
      <c r="BJ12" s="44"/>
      <c r="BK12" s="45" t="s">
        <v>19</v>
      </c>
      <c r="BL12" s="45"/>
      <c r="BM12" s="25"/>
      <c r="BN12" s="20" t="s">
        <v>7</v>
      </c>
      <c r="BO12" s="71">
        <v>839</v>
      </c>
      <c r="BP12" s="24">
        <v>844</v>
      </c>
      <c r="BQ12" s="24">
        <v>1108</v>
      </c>
      <c r="BR12" s="24">
        <v>1338</v>
      </c>
      <c r="BS12" s="24">
        <v>1493</v>
      </c>
      <c r="BT12" s="122"/>
      <c r="BU12" s="39">
        <v>45616</v>
      </c>
      <c r="BV12" s="39" t="s">
        <v>1772</v>
      </c>
      <c r="BW12" s="39" t="s">
        <v>2875</v>
      </c>
      <c r="BX12" s="39" t="s">
        <v>2876</v>
      </c>
      <c r="BY12" s="71">
        <v>770</v>
      </c>
      <c r="BZ12" s="71">
        <v>820</v>
      </c>
      <c r="CA12" s="71">
        <v>1020</v>
      </c>
      <c r="CB12" s="71">
        <v>1280</v>
      </c>
      <c r="CC12" s="71">
        <v>1350</v>
      </c>
      <c r="CD12" s="25"/>
      <c r="CE12" s="606">
        <v>1</v>
      </c>
      <c r="CF12" s="236">
        <v>86687</v>
      </c>
      <c r="CG12" s="607">
        <v>2.7</v>
      </c>
      <c r="CH12" s="79">
        <f t="shared" ref="CH12:CH16" si="9">CF12*CG12</f>
        <v>234054.90000000002</v>
      </c>
      <c r="CI12" s="607">
        <v>2.4</v>
      </c>
      <c r="CJ12" s="79">
        <f t="shared" ref="CJ12:CJ16" si="10">CF12*CI12</f>
        <v>208048.8</v>
      </c>
      <c r="CK12" s="200"/>
      <c r="CL12" s="236" t="s">
        <v>2481</v>
      </c>
      <c r="CM12" s="236" t="s">
        <v>105</v>
      </c>
      <c r="CN12" s="236">
        <v>270896</v>
      </c>
      <c r="CO12" s="236">
        <v>314</v>
      </c>
      <c r="CP12" s="200"/>
      <c r="CQ12" s="20" t="s">
        <v>7</v>
      </c>
      <c r="CR12" s="236" t="s">
        <v>292</v>
      </c>
      <c r="CS12" s="236" t="s">
        <v>3108</v>
      </c>
      <c r="CT12" s="200"/>
      <c r="CU12" s="200"/>
      <c r="CV12" s="20" t="s">
        <v>7</v>
      </c>
      <c r="CW12" s="20" t="s">
        <v>8</v>
      </c>
      <c r="CX12" s="25"/>
      <c r="CY12" s="20" t="s">
        <v>7</v>
      </c>
      <c r="CZ12" s="20">
        <v>30620</v>
      </c>
      <c r="DA12" s="37" t="s">
        <v>2835</v>
      </c>
      <c r="DB12" s="25"/>
      <c r="DC12" s="20" t="s">
        <v>7</v>
      </c>
      <c r="DD12" s="20">
        <v>0</v>
      </c>
      <c r="DE12" s="735">
        <v>0</v>
      </c>
      <c r="DF12" s="179">
        <v>105562</v>
      </c>
      <c r="DG12" s="179">
        <v>101685</v>
      </c>
      <c r="DH12" s="878">
        <f t="shared" ref="DH12:DH75" si="11">(DG12-DF12)/DF12</f>
        <v>-3.6727231390083555E-2</v>
      </c>
      <c r="DI12" s="606">
        <v>402.5452398698464</v>
      </c>
      <c r="DJ12" s="179">
        <f t="shared" si="5"/>
        <v>252.6051482632796</v>
      </c>
      <c r="DK12" s="37">
        <v>39.700000000000003</v>
      </c>
      <c r="DL12" s="236">
        <v>62001</v>
      </c>
      <c r="DM12" s="878">
        <v>0.1310514797619291</v>
      </c>
      <c r="DN12" s="878">
        <v>5.8999999999999997E-2</v>
      </c>
      <c r="DO12" s="878">
        <v>5.0000000000000001E-3</v>
      </c>
      <c r="DP12" s="878">
        <v>2.7999999999999997E-2</v>
      </c>
      <c r="DQ12" s="878">
        <v>0.31684910086004692</v>
      </c>
      <c r="DR12" s="878">
        <v>0.37330351634793335</v>
      </c>
      <c r="DS12" s="878">
        <v>0.80900000000000005</v>
      </c>
      <c r="DT12" s="878">
        <v>0.106</v>
      </c>
      <c r="DU12" s="878">
        <v>1E-3</v>
      </c>
      <c r="DV12" s="878">
        <v>8.9999999999999993E-3</v>
      </c>
      <c r="DW12" s="878">
        <v>0</v>
      </c>
      <c r="DX12" s="878">
        <v>1.2999999999999999E-2</v>
      </c>
      <c r="DY12" s="878">
        <v>6.2E-2</v>
      </c>
      <c r="DZ12" s="878">
        <v>3.4000000000000002E-2</v>
      </c>
      <c r="EA12" s="878">
        <v>0.79600000000000004</v>
      </c>
      <c r="EB12" s="25"/>
      <c r="EC12" s="20" t="s">
        <v>2039</v>
      </c>
      <c r="ED12" s="25"/>
      <c r="EE12" s="20" t="str">
        <f>IF(Team!E20="","N/A",Team!E20)</f>
        <v>N/A</v>
      </c>
      <c r="EF12" s="25"/>
      <c r="EG12" s="20" t="str">
        <f>IF(OR(OpBudget!F161="",OpBudget!F161=0),"N/A",OpBudget!C161)</f>
        <v>N/A</v>
      </c>
      <c r="EH12" s="25"/>
      <c r="EI12" s="20" t="s">
        <v>2216</v>
      </c>
      <c r="EJ12" s="25"/>
      <c r="EK12" s="20" t="s">
        <v>2497</v>
      </c>
      <c r="EL12" s="25"/>
      <c r="EM12" s="20" t="s">
        <v>2500</v>
      </c>
      <c r="EN12" s="25"/>
      <c r="EO12" s="37" t="s">
        <v>2978</v>
      </c>
      <c r="EP12" s="25"/>
      <c r="EQ12" s="37" t="s">
        <v>3217</v>
      </c>
      <c r="ER12" s="25"/>
      <c r="ES12" s="25"/>
      <c r="ET12" s="25"/>
      <c r="EU12" s="25"/>
      <c r="EV12" s="25"/>
      <c r="EW12" s="25"/>
      <c r="EX12" s="25"/>
    </row>
    <row r="13" spans="1:161" s="17" customFormat="1" x14ac:dyDescent="0.2">
      <c r="A13" s="25"/>
      <c r="B13" s="20">
        <v>39113040401</v>
      </c>
      <c r="C13" s="20">
        <v>404.01</v>
      </c>
      <c r="D13" s="20" t="s">
        <v>62</v>
      </c>
      <c r="E13" s="20" t="s">
        <v>2833</v>
      </c>
      <c r="F13" s="20" t="s">
        <v>8</v>
      </c>
      <c r="G13" s="861">
        <v>97.723932147371201</v>
      </c>
      <c r="H13" s="861">
        <v>76.687511790368603</v>
      </c>
      <c r="I13" s="861">
        <v>29.847838320493999</v>
      </c>
      <c r="J13" s="861">
        <v>43.931818642134203</v>
      </c>
      <c r="K13" s="982">
        <v>0</v>
      </c>
      <c r="L13" s="735">
        <v>5096</v>
      </c>
      <c r="M13" s="735">
        <v>4602</v>
      </c>
      <c r="N13" s="845">
        <f t="shared" si="0"/>
        <v>-9.6938775510204078E-2</v>
      </c>
      <c r="O13" s="735">
        <v>3.5654198427961123</v>
      </c>
      <c r="P13" s="735">
        <f t="shared" si="1"/>
        <v>1290.7315836305465</v>
      </c>
      <c r="Q13" s="849">
        <v>45.8</v>
      </c>
      <c r="R13" s="71">
        <v>91000</v>
      </c>
      <c r="S13" s="845">
        <v>5.7458314556106352E-2</v>
      </c>
      <c r="T13" s="845">
        <v>9.0000000000000011E-3</v>
      </c>
      <c r="U13" s="845">
        <v>1.2E-2</v>
      </c>
      <c r="V13" s="845">
        <v>0.217</v>
      </c>
      <c r="W13" s="845">
        <v>0.34849951597289447</v>
      </c>
      <c r="X13" s="845">
        <v>0.42777777777777776</v>
      </c>
      <c r="Y13" s="845">
        <v>0.8294219904389396</v>
      </c>
      <c r="Z13" s="845">
        <v>6.4971751412429377E-2</v>
      </c>
      <c r="AA13" s="845">
        <v>0</v>
      </c>
      <c r="AB13" s="845">
        <v>2.9552368535419381E-2</v>
      </c>
      <c r="AC13" s="845">
        <v>2.3902651021295088E-3</v>
      </c>
      <c r="AD13" s="845">
        <v>1.4558887440243373E-2</v>
      </c>
      <c r="AE13" s="845">
        <v>5.9104737070838763E-2</v>
      </c>
      <c r="AF13" s="845">
        <v>2.6292916123424596E-2</v>
      </c>
      <c r="AG13" s="845">
        <v>0.8294219904389396</v>
      </c>
      <c r="AH13" s="20" t="str">
        <f t="shared" si="2"/>
        <v>No</v>
      </c>
      <c r="AI13" s="25"/>
      <c r="AJ13" s="37">
        <v>44141</v>
      </c>
      <c r="AK13" s="37" t="s">
        <v>1244</v>
      </c>
      <c r="AL13" s="37">
        <v>39153</v>
      </c>
      <c r="AM13" s="37" t="s">
        <v>82</v>
      </c>
      <c r="AN13" s="37">
        <f t="shared" si="3"/>
        <v>10420</v>
      </c>
      <c r="AO13" s="37" t="str">
        <f t="shared" si="4"/>
        <v>Akron, OH</v>
      </c>
      <c r="AP13" s="20" t="s">
        <v>6</v>
      </c>
      <c r="AQ13" s="25"/>
      <c r="AR13" s="20" t="s">
        <v>9</v>
      </c>
      <c r="AS13" s="24">
        <v>31000</v>
      </c>
      <c r="AT13" s="24">
        <v>35400</v>
      </c>
      <c r="AU13" s="24">
        <v>39850</v>
      </c>
      <c r="AV13" s="24">
        <v>44250</v>
      </c>
      <c r="AW13" s="24">
        <v>47800</v>
      </c>
      <c r="AX13" s="24">
        <v>51350</v>
      </c>
      <c r="AY13" s="24">
        <v>54900</v>
      </c>
      <c r="AZ13" s="24">
        <v>58450</v>
      </c>
      <c r="BA13" s="29">
        <f t="shared" si="6"/>
        <v>33200</v>
      </c>
      <c r="BB13" s="29">
        <f t="shared" si="7"/>
        <v>46025</v>
      </c>
      <c r="BC13" s="29">
        <f t="shared" si="8"/>
        <v>56675</v>
      </c>
      <c r="BD13" s="25"/>
      <c r="BE13" s="28">
        <v>2</v>
      </c>
      <c r="BF13" s="28">
        <v>3</v>
      </c>
      <c r="BG13" s="25"/>
      <c r="BH13" s="45" t="s">
        <v>275</v>
      </c>
      <c r="BI13" s="45" t="s">
        <v>8</v>
      </c>
      <c r="BJ13" s="44"/>
      <c r="BK13" s="45" t="s">
        <v>24</v>
      </c>
      <c r="BL13" s="45"/>
      <c r="BM13" s="25"/>
      <c r="BN13" s="20" t="s">
        <v>9</v>
      </c>
      <c r="BO13" s="71">
        <v>677</v>
      </c>
      <c r="BP13" s="24">
        <v>779</v>
      </c>
      <c r="BQ13" s="24">
        <v>973</v>
      </c>
      <c r="BR13" s="24">
        <v>1280</v>
      </c>
      <c r="BS13" s="24">
        <v>1472</v>
      </c>
      <c r="BT13" s="122"/>
      <c r="BU13" s="39">
        <v>45618</v>
      </c>
      <c r="BV13" s="39" t="s">
        <v>1774</v>
      </c>
      <c r="BW13" s="39" t="s">
        <v>2875</v>
      </c>
      <c r="BX13" s="39" t="s">
        <v>2876</v>
      </c>
      <c r="BY13" s="71">
        <v>740</v>
      </c>
      <c r="BZ13" s="71">
        <v>780</v>
      </c>
      <c r="CA13" s="71">
        <v>970</v>
      </c>
      <c r="CB13" s="71">
        <v>1220</v>
      </c>
      <c r="CC13" s="71">
        <v>1290</v>
      </c>
      <c r="CD13" s="25"/>
      <c r="CE13" s="606">
        <v>2</v>
      </c>
      <c r="CF13" s="236">
        <v>105414</v>
      </c>
      <c r="CG13" s="607">
        <v>2.7</v>
      </c>
      <c r="CH13" s="79">
        <f t="shared" si="9"/>
        <v>284617.80000000005</v>
      </c>
      <c r="CI13" s="607">
        <v>2.4</v>
      </c>
      <c r="CJ13" s="79">
        <f t="shared" si="10"/>
        <v>252993.59999999998</v>
      </c>
      <c r="CK13" s="200"/>
      <c r="CL13" s="236" t="s">
        <v>292</v>
      </c>
      <c r="CM13" s="236" t="s">
        <v>104</v>
      </c>
      <c r="CN13" s="236">
        <v>323327</v>
      </c>
      <c r="CO13" s="236">
        <v>344</v>
      </c>
      <c r="CP13" s="200"/>
      <c r="CQ13" s="20" t="s">
        <v>9</v>
      </c>
      <c r="CR13" s="236" t="s">
        <v>292</v>
      </c>
      <c r="CS13" s="236" t="s">
        <v>3109</v>
      </c>
      <c r="CT13" s="200"/>
      <c r="CU13" s="200"/>
      <c r="CV13" s="20" t="s">
        <v>9</v>
      </c>
      <c r="CW13" s="20" t="s">
        <v>8</v>
      </c>
      <c r="CX13" s="25"/>
      <c r="CY13" s="20" t="s">
        <v>9</v>
      </c>
      <c r="CZ13" s="20" t="s">
        <v>265</v>
      </c>
      <c r="DA13" s="37" t="s">
        <v>265</v>
      </c>
      <c r="DB13" s="25"/>
      <c r="DC13" s="20" t="s">
        <v>9</v>
      </c>
      <c r="DD13" s="20">
        <v>0</v>
      </c>
      <c r="DE13" s="735">
        <v>0</v>
      </c>
      <c r="DF13" s="179">
        <v>53202</v>
      </c>
      <c r="DG13" s="179">
        <v>52296</v>
      </c>
      <c r="DH13" s="878">
        <f t="shared" si="11"/>
        <v>-1.7029434983647233E-2</v>
      </c>
      <c r="DI13" s="606">
        <v>422.98580088848365</v>
      </c>
      <c r="DJ13" s="179">
        <f t="shared" si="5"/>
        <v>123.63535582081481</v>
      </c>
      <c r="DK13" s="37">
        <v>41.4</v>
      </c>
      <c r="DL13" s="236">
        <v>64991</v>
      </c>
      <c r="DM13" s="878">
        <v>0.13778689171070274</v>
      </c>
      <c r="DN13" s="878">
        <v>3.6999999999999998E-2</v>
      </c>
      <c r="DO13" s="878">
        <v>2E-3</v>
      </c>
      <c r="DP13" s="878">
        <v>9.3000000000000013E-2</v>
      </c>
      <c r="DQ13" s="878">
        <v>0.21124237435847779</v>
      </c>
      <c r="DR13" s="878">
        <v>0.37565895026358009</v>
      </c>
      <c r="DS13" s="878">
        <v>0.95099999999999996</v>
      </c>
      <c r="DT13" s="878">
        <v>1.0999999999999999E-2</v>
      </c>
      <c r="DU13" s="878">
        <v>2E-3</v>
      </c>
      <c r="DV13" s="878">
        <v>6.0000000000000001E-3</v>
      </c>
      <c r="DW13" s="878">
        <v>0</v>
      </c>
      <c r="DX13" s="878">
        <v>5.0000000000000001E-3</v>
      </c>
      <c r="DY13" s="878">
        <v>2.5000000000000001E-2</v>
      </c>
      <c r="DZ13" s="878">
        <v>1.7000000000000001E-2</v>
      </c>
      <c r="EA13" s="878">
        <v>0.94299999999999995</v>
      </c>
      <c r="EB13" s="25"/>
      <c r="EC13" s="20" t="s">
        <v>2040</v>
      </c>
      <c r="ED13" s="25"/>
      <c r="EE13" s="20" t="str">
        <f>IF(Team!E61="","N/A",Team!E61)</f>
        <v>N/A</v>
      </c>
      <c r="EF13" s="25"/>
      <c r="EG13" s="20" t="str">
        <f>IF(OR(OpBudget!F162="",OpBudget!F162=0),"N/A",OpBudget!C162)</f>
        <v>N/A</v>
      </c>
      <c r="EH13" s="25"/>
      <c r="EI13" s="20" t="s">
        <v>2217</v>
      </c>
      <c r="EJ13" s="25"/>
      <c r="EK13" s="25"/>
      <c r="EL13" s="25"/>
      <c r="EM13" s="37" t="s">
        <v>2501</v>
      </c>
      <c r="EN13" s="25"/>
      <c r="EO13" s="37" t="s">
        <v>2732</v>
      </c>
      <c r="EP13" s="25"/>
      <c r="EQ13" s="37" t="s">
        <v>3250</v>
      </c>
      <c r="ER13" s="25"/>
      <c r="ES13" s="25"/>
      <c r="ET13" s="25"/>
      <c r="EU13" s="25"/>
      <c r="EV13" s="25"/>
      <c r="EW13" s="25"/>
      <c r="EX13" s="25"/>
    </row>
    <row r="14" spans="1:161" s="17" customFormat="1" x14ac:dyDescent="0.2">
      <c r="A14" s="25"/>
      <c r="B14" s="20">
        <v>39049010502</v>
      </c>
      <c r="C14" s="20">
        <v>105.02</v>
      </c>
      <c r="D14" s="20" t="s">
        <v>31</v>
      </c>
      <c r="E14" s="20" t="s">
        <v>2830</v>
      </c>
      <c r="F14" s="20" t="s">
        <v>8</v>
      </c>
      <c r="G14" s="861">
        <v>97.620526678260902</v>
      </c>
      <c r="H14" s="861">
        <v>94.179432723233703</v>
      </c>
      <c r="I14" s="861">
        <v>25.2934815614258</v>
      </c>
      <c r="J14" s="861">
        <v>40.021200707346601</v>
      </c>
      <c r="K14" s="982">
        <v>0</v>
      </c>
      <c r="L14" s="735" t="s">
        <v>2466</v>
      </c>
      <c r="M14" s="735">
        <v>3236</v>
      </c>
      <c r="N14" s="845" t="str">
        <f t="shared" si="0"/>
        <v/>
      </c>
      <c r="O14" s="735">
        <v>2.1967367255597172</v>
      </c>
      <c r="P14" s="735">
        <f t="shared" si="1"/>
        <v>1473.0941411176543</v>
      </c>
      <c r="Q14" s="849">
        <v>40.299999999999997</v>
      </c>
      <c r="R14" s="71">
        <v>127939</v>
      </c>
      <c r="S14" s="845">
        <v>5.5624227441285539E-3</v>
      </c>
      <c r="T14" s="845">
        <v>1.3999999999999999E-2</v>
      </c>
      <c r="U14" s="845">
        <v>2.2000000000000002E-2</v>
      </c>
      <c r="V14" s="845">
        <v>0</v>
      </c>
      <c r="W14" s="845">
        <v>0.28205128205128205</v>
      </c>
      <c r="X14" s="845">
        <v>9.8280098280098274E-2</v>
      </c>
      <c r="Y14" s="845">
        <v>0.79573547589616811</v>
      </c>
      <c r="Z14" s="845">
        <v>1.8850432632880099E-2</v>
      </c>
      <c r="AA14" s="845">
        <v>0</v>
      </c>
      <c r="AB14" s="845">
        <v>0.1100123609394314</v>
      </c>
      <c r="AC14" s="845">
        <v>0</v>
      </c>
      <c r="AD14" s="845">
        <v>0</v>
      </c>
      <c r="AE14" s="845">
        <v>7.5401730531520397E-2</v>
      </c>
      <c r="AF14" s="845">
        <v>7.7564894932014836E-2</v>
      </c>
      <c r="AG14" s="845">
        <v>0.73084054388133501</v>
      </c>
      <c r="AH14" s="20" t="str">
        <f t="shared" si="2"/>
        <v>No</v>
      </c>
      <c r="AI14" s="25"/>
      <c r="AJ14" s="37">
        <v>44202</v>
      </c>
      <c r="AK14" s="37" t="s">
        <v>1253</v>
      </c>
      <c r="AL14" s="37">
        <v>39153</v>
      </c>
      <c r="AM14" s="37" t="s">
        <v>82</v>
      </c>
      <c r="AN14" s="37">
        <f t="shared" si="3"/>
        <v>10420</v>
      </c>
      <c r="AO14" s="37" t="str">
        <f t="shared" si="4"/>
        <v>Akron, OH</v>
      </c>
      <c r="AP14" s="37" t="s">
        <v>6</v>
      </c>
      <c r="AQ14" s="25"/>
      <c r="AR14" s="20" t="s">
        <v>10</v>
      </c>
      <c r="AS14" s="24">
        <v>29850</v>
      </c>
      <c r="AT14" s="24">
        <v>34100</v>
      </c>
      <c r="AU14" s="24">
        <v>38350</v>
      </c>
      <c r="AV14" s="24">
        <v>42600</v>
      </c>
      <c r="AW14" s="24">
        <v>46050</v>
      </c>
      <c r="AX14" s="24">
        <v>49450</v>
      </c>
      <c r="AY14" s="24">
        <v>52850</v>
      </c>
      <c r="AZ14" s="24">
        <v>56250</v>
      </c>
      <c r="BA14" s="29">
        <f t="shared" si="6"/>
        <v>31975</v>
      </c>
      <c r="BB14" s="29">
        <f t="shared" si="7"/>
        <v>44325</v>
      </c>
      <c r="BC14" s="29">
        <f t="shared" si="8"/>
        <v>54550</v>
      </c>
      <c r="BD14" s="25"/>
      <c r="BE14" s="28">
        <v>3</v>
      </c>
      <c r="BF14" s="28">
        <v>4.5</v>
      </c>
      <c r="BG14" s="25"/>
      <c r="BH14" s="45" t="s">
        <v>315</v>
      </c>
      <c r="BI14" s="45" t="s">
        <v>8</v>
      </c>
      <c r="BJ14" s="44"/>
      <c r="BK14" s="45" t="s">
        <v>31</v>
      </c>
      <c r="BL14" s="45"/>
      <c r="BM14" s="25"/>
      <c r="BN14" s="20" t="s">
        <v>10</v>
      </c>
      <c r="BO14" s="71">
        <v>715</v>
      </c>
      <c r="BP14" s="24">
        <v>840</v>
      </c>
      <c r="BQ14" s="24">
        <v>1037</v>
      </c>
      <c r="BR14" s="24">
        <v>1257</v>
      </c>
      <c r="BS14" s="24">
        <v>1429</v>
      </c>
      <c r="BT14" s="122"/>
      <c r="BU14" s="39">
        <v>45650</v>
      </c>
      <c r="BV14" s="39" t="s">
        <v>1795</v>
      </c>
      <c r="BW14" s="39" t="s">
        <v>2875</v>
      </c>
      <c r="BX14" s="39" t="s">
        <v>2876</v>
      </c>
      <c r="BY14" s="71">
        <v>780</v>
      </c>
      <c r="BZ14" s="71">
        <v>840</v>
      </c>
      <c r="CA14" s="71">
        <v>1040</v>
      </c>
      <c r="CB14" s="71">
        <v>1330</v>
      </c>
      <c r="CC14" s="71">
        <v>1420</v>
      </c>
      <c r="CD14" s="25"/>
      <c r="CE14" s="606">
        <v>3</v>
      </c>
      <c r="CF14" s="236">
        <v>136372</v>
      </c>
      <c r="CG14" s="607">
        <v>2.7</v>
      </c>
      <c r="CH14" s="79">
        <f t="shared" si="9"/>
        <v>368204.4</v>
      </c>
      <c r="CI14" s="607">
        <v>2.4</v>
      </c>
      <c r="CJ14" s="79">
        <f t="shared" si="10"/>
        <v>327292.79999999999</v>
      </c>
      <c r="CK14" s="200"/>
      <c r="CL14" s="236" t="s">
        <v>292</v>
      </c>
      <c r="CM14" s="236" t="s">
        <v>105</v>
      </c>
      <c r="CN14" s="236">
        <v>260995</v>
      </c>
      <c r="CO14" s="236">
        <v>279</v>
      </c>
      <c r="CP14" s="200"/>
      <c r="CQ14" s="20" t="s">
        <v>10</v>
      </c>
      <c r="CR14" s="236" t="s">
        <v>292</v>
      </c>
      <c r="CS14" s="236" t="s">
        <v>3109</v>
      </c>
      <c r="CT14" s="200"/>
      <c r="CU14" s="200"/>
      <c r="CV14" s="20" t="s">
        <v>10</v>
      </c>
      <c r="CW14" s="20" t="s">
        <v>6</v>
      </c>
      <c r="CX14" s="25"/>
      <c r="CY14" s="20" t="s">
        <v>10</v>
      </c>
      <c r="CZ14" s="20">
        <v>17410</v>
      </c>
      <c r="DA14" s="37" t="s">
        <v>2829</v>
      </c>
      <c r="DB14" s="25"/>
      <c r="DC14" s="20" t="s">
        <v>10</v>
      </c>
      <c r="DD14" s="20">
        <v>3</v>
      </c>
      <c r="DE14" s="735">
        <v>180</v>
      </c>
      <c r="DF14" s="179">
        <v>100346</v>
      </c>
      <c r="DG14" s="179">
        <v>97343</v>
      </c>
      <c r="DH14" s="878">
        <f t="shared" si="11"/>
        <v>-2.9926454467542305E-2</v>
      </c>
      <c r="DI14" s="606">
        <v>702.41722692696067</v>
      </c>
      <c r="DJ14" s="179">
        <f t="shared" si="5"/>
        <v>138.58287676951011</v>
      </c>
      <c r="DK14" s="37">
        <v>42.7</v>
      </c>
      <c r="DL14" s="236">
        <v>55507</v>
      </c>
      <c r="DM14" s="878">
        <v>0.18267709848299876</v>
      </c>
      <c r="DN14" s="878">
        <v>6.9000000000000006E-2</v>
      </c>
      <c r="DO14" s="878">
        <v>0.01</v>
      </c>
      <c r="DP14" s="878">
        <v>4.8000000000000001E-2</v>
      </c>
      <c r="DQ14" s="878">
        <v>0.26106932929489979</v>
      </c>
      <c r="DR14" s="878">
        <v>0.44076295349523154</v>
      </c>
      <c r="DS14" s="878">
        <v>0.89600000000000002</v>
      </c>
      <c r="DT14" s="878">
        <v>3.7999999999999999E-2</v>
      </c>
      <c r="DU14" s="878">
        <v>0</v>
      </c>
      <c r="DV14" s="878">
        <v>4.0000000000000001E-3</v>
      </c>
      <c r="DW14" s="878">
        <v>0</v>
      </c>
      <c r="DX14" s="878">
        <v>1.2E-2</v>
      </c>
      <c r="DY14" s="878">
        <v>0.05</v>
      </c>
      <c r="DZ14" s="878">
        <v>4.8000000000000001E-2</v>
      </c>
      <c r="EA14" s="878">
        <v>0.872</v>
      </c>
      <c r="EB14" s="25"/>
      <c r="EC14" s="20" t="s">
        <v>2041</v>
      </c>
      <c r="ED14" s="25"/>
      <c r="EE14" s="20" t="str">
        <f>IF(Team!E69="","N/A",Team!E69)</f>
        <v>N/A</v>
      </c>
      <c r="EF14" s="25"/>
      <c r="EG14" s="20" t="str">
        <f>IF(OR(OpBudget!F163="",OpBudget!F163=0),"N/A",OpBudget!C163)</f>
        <v>N/A</v>
      </c>
      <c r="EH14" s="25"/>
      <c r="EI14" s="20" t="s">
        <v>2218</v>
      </c>
      <c r="EJ14" s="25"/>
      <c r="EK14" s="25"/>
      <c r="EL14" s="25"/>
      <c r="EM14" s="37" t="s">
        <v>2502</v>
      </c>
      <c r="EN14" s="25"/>
      <c r="EO14" s="37" t="s">
        <v>2979</v>
      </c>
      <c r="EP14" s="25"/>
      <c r="EQ14" s="37" t="s">
        <v>3346</v>
      </c>
      <c r="ER14" s="25"/>
      <c r="ES14" s="25"/>
      <c r="ET14" s="25"/>
      <c r="EU14" s="25"/>
      <c r="EV14" s="25"/>
      <c r="EW14" s="25"/>
      <c r="EX14" s="25"/>
    </row>
    <row r="15" spans="1:161" s="17" customFormat="1" x14ac:dyDescent="0.2">
      <c r="A15" s="25"/>
      <c r="B15" s="20">
        <v>39049006600</v>
      </c>
      <c r="C15" s="20">
        <v>66</v>
      </c>
      <c r="D15" s="20" t="s">
        <v>31</v>
      </c>
      <c r="E15" s="20" t="s">
        <v>2830</v>
      </c>
      <c r="F15" s="20" t="s">
        <v>8</v>
      </c>
      <c r="G15" s="861">
        <v>96.626600869013501</v>
      </c>
      <c r="H15" s="861">
        <v>84.148834147304498</v>
      </c>
      <c r="I15" s="861">
        <v>14.985274061342301</v>
      </c>
      <c r="J15" s="861">
        <v>62.583921696066703</v>
      </c>
      <c r="K15" s="982">
        <v>0</v>
      </c>
      <c r="L15" s="735">
        <v>3859</v>
      </c>
      <c r="M15" s="735">
        <v>4025</v>
      </c>
      <c r="N15" s="845">
        <f t="shared" si="0"/>
        <v>4.3016325472920447E-2</v>
      </c>
      <c r="O15" s="735">
        <v>0.82198022136866111</v>
      </c>
      <c r="P15" s="735">
        <f t="shared" si="1"/>
        <v>4896.711496656284</v>
      </c>
      <c r="Q15" s="849">
        <v>41.9</v>
      </c>
      <c r="R15" s="71">
        <v>232279</v>
      </c>
      <c r="S15" s="845">
        <v>3.8275070170961981E-3</v>
      </c>
      <c r="T15" s="845">
        <v>4.0000000000000001E-3</v>
      </c>
      <c r="U15" s="845">
        <v>0</v>
      </c>
      <c r="V15" s="845">
        <v>0.05</v>
      </c>
      <c r="W15" s="845">
        <v>0.25791855203619912</v>
      </c>
      <c r="X15" s="845">
        <v>0.21052631578947367</v>
      </c>
      <c r="Y15" s="845">
        <v>0.95751552795031059</v>
      </c>
      <c r="Z15" s="845">
        <v>8.1987577639751549E-3</v>
      </c>
      <c r="AA15" s="845">
        <v>0</v>
      </c>
      <c r="AB15" s="845">
        <v>7.2049689440993785E-3</v>
      </c>
      <c r="AC15" s="845">
        <v>0</v>
      </c>
      <c r="AD15" s="845">
        <v>0</v>
      </c>
      <c r="AE15" s="845">
        <v>2.7080745341614906E-2</v>
      </c>
      <c r="AF15" s="845">
        <v>5.3664596273291926E-2</v>
      </c>
      <c r="AG15" s="845">
        <v>0.9202484472049689</v>
      </c>
      <c r="AH15" s="20" t="str">
        <f t="shared" si="2"/>
        <v>Yes</v>
      </c>
      <c r="AI15" s="25"/>
      <c r="AJ15" s="37">
        <v>45174</v>
      </c>
      <c r="AK15" s="37" t="s">
        <v>1606</v>
      </c>
      <c r="AL15" s="37">
        <v>39061</v>
      </c>
      <c r="AM15" s="37" t="s">
        <v>37</v>
      </c>
      <c r="AN15" s="37">
        <f t="shared" si="3"/>
        <v>17140</v>
      </c>
      <c r="AO15" s="37" t="str">
        <f t="shared" si="4"/>
        <v>Cincinnati, OH-KY-IN</v>
      </c>
      <c r="AP15" s="20" t="s">
        <v>6</v>
      </c>
      <c r="AQ15" s="25"/>
      <c r="AR15" s="20" t="s">
        <v>11</v>
      </c>
      <c r="AS15" s="24">
        <v>31300</v>
      </c>
      <c r="AT15" s="24">
        <v>35800</v>
      </c>
      <c r="AU15" s="24">
        <v>40250</v>
      </c>
      <c r="AV15" s="24">
        <v>44700</v>
      </c>
      <c r="AW15" s="24">
        <v>48300</v>
      </c>
      <c r="AX15" s="24">
        <v>51900</v>
      </c>
      <c r="AY15" s="24">
        <v>55450</v>
      </c>
      <c r="AZ15" s="24">
        <v>59050</v>
      </c>
      <c r="BA15" s="29">
        <f t="shared" si="6"/>
        <v>33550</v>
      </c>
      <c r="BB15" s="29">
        <f t="shared" si="7"/>
        <v>46500</v>
      </c>
      <c r="BC15" s="29">
        <f t="shared" si="8"/>
        <v>57250</v>
      </c>
      <c r="BD15" s="25"/>
      <c r="BE15" s="28">
        <v>4</v>
      </c>
      <c r="BF15" s="28">
        <v>6</v>
      </c>
      <c r="BG15" s="25"/>
      <c r="BH15" s="45" t="s">
        <v>278</v>
      </c>
      <c r="BI15" s="45" t="s">
        <v>8</v>
      </c>
      <c r="BJ15" s="44"/>
      <c r="BK15" s="45" t="s">
        <v>37</v>
      </c>
      <c r="BL15" s="45"/>
      <c r="BM15" s="25"/>
      <c r="BN15" s="20" t="s">
        <v>11</v>
      </c>
      <c r="BO15" s="71">
        <v>902</v>
      </c>
      <c r="BP15" s="24">
        <v>907</v>
      </c>
      <c r="BQ15" s="24">
        <v>1092</v>
      </c>
      <c r="BR15" s="24">
        <v>1338</v>
      </c>
      <c r="BS15" s="24">
        <v>1491</v>
      </c>
      <c r="BT15" s="122"/>
      <c r="BU15" s="39">
        <v>45657</v>
      </c>
      <c r="BV15" s="39" t="s">
        <v>1801</v>
      </c>
      <c r="BW15" s="39" t="s">
        <v>2875</v>
      </c>
      <c r="BX15" s="39" t="s">
        <v>2876</v>
      </c>
      <c r="BY15" s="71">
        <v>670</v>
      </c>
      <c r="BZ15" s="71">
        <v>810</v>
      </c>
      <c r="CA15" s="71">
        <v>970</v>
      </c>
      <c r="CB15" s="71">
        <v>1320</v>
      </c>
      <c r="CC15" s="71">
        <v>1460</v>
      </c>
      <c r="CD15" s="25"/>
      <c r="CE15" s="606">
        <v>4</v>
      </c>
      <c r="CF15" s="236">
        <v>149693</v>
      </c>
      <c r="CG15" s="607">
        <v>2.7</v>
      </c>
      <c r="CH15" s="79">
        <f t="shared" si="9"/>
        <v>404171.10000000003</v>
      </c>
      <c r="CI15" s="607">
        <v>2.4</v>
      </c>
      <c r="CJ15" s="79">
        <f t="shared" si="10"/>
        <v>359263.2</v>
      </c>
      <c r="CK15" s="200"/>
      <c r="CL15" s="236" t="s">
        <v>2699</v>
      </c>
      <c r="CM15" s="236" t="s">
        <v>248</v>
      </c>
      <c r="CN15" s="236">
        <v>499854</v>
      </c>
      <c r="CO15" s="236">
        <v>433</v>
      </c>
      <c r="CP15" s="200"/>
      <c r="CQ15" s="20" t="s">
        <v>11</v>
      </c>
      <c r="CR15" s="236" t="s">
        <v>292</v>
      </c>
      <c r="CS15" s="236" t="s">
        <v>3110</v>
      </c>
      <c r="CT15" s="200"/>
      <c r="CU15" s="200"/>
      <c r="CV15" s="20" t="s">
        <v>11</v>
      </c>
      <c r="CW15" s="20" t="s">
        <v>6</v>
      </c>
      <c r="CX15" s="25"/>
      <c r="CY15" s="20" t="s">
        <v>11</v>
      </c>
      <c r="CZ15" s="20" t="s">
        <v>265</v>
      </c>
      <c r="DA15" s="37" t="s">
        <v>265</v>
      </c>
      <c r="DB15" s="25"/>
      <c r="DC15" s="20" t="s">
        <v>11</v>
      </c>
      <c r="DD15" s="20">
        <v>8</v>
      </c>
      <c r="DE15" s="735">
        <v>389</v>
      </c>
      <c r="DF15" s="179">
        <v>64840</v>
      </c>
      <c r="DG15" s="179">
        <v>61573</v>
      </c>
      <c r="DH15" s="878">
        <f t="shared" si="11"/>
        <v>-5.0385564466378777E-2</v>
      </c>
      <c r="DI15" s="606">
        <v>503.64302946549049</v>
      </c>
      <c r="DJ15" s="179">
        <f t="shared" si="5"/>
        <v>122.25524110866101</v>
      </c>
      <c r="DK15" s="37">
        <v>32.799999999999997</v>
      </c>
      <c r="DL15" s="236">
        <v>53837</v>
      </c>
      <c r="DM15" s="878">
        <v>0.22110049178806718</v>
      </c>
      <c r="DN15" s="878">
        <v>5.8000000000000003E-2</v>
      </c>
      <c r="DO15" s="878">
        <v>1.6E-2</v>
      </c>
      <c r="DP15" s="878">
        <v>7.6999999999999999E-2</v>
      </c>
      <c r="DQ15" s="878">
        <v>0.3807323299005369</v>
      </c>
      <c r="DR15" s="878">
        <v>0.51392902554617959</v>
      </c>
      <c r="DS15" s="878">
        <v>0.90700000000000003</v>
      </c>
      <c r="DT15" s="878">
        <v>2.5000000000000001E-2</v>
      </c>
      <c r="DU15" s="878">
        <v>1E-3</v>
      </c>
      <c r="DV15" s="878">
        <v>2.1000000000000001E-2</v>
      </c>
      <c r="DW15" s="878">
        <v>0</v>
      </c>
      <c r="DX15" s="878">
        <v>4.0000000000000001E-3</v>
      </c>
      <c r="DY15" s="878">
        <v>4.2999999999999997E-2</v>
      </c>
      <c r="DZ15" s="878">
        <v>2.1999999999999999E-2</v>
      </c>
      <c r="EA15" s="878">
        <v>0.89200000000000002</v>
      </c>
      <c r="EB15" s="25"/>
      <c r="EC15" s="20" t="s">
        <v>2042</v>
      </c>
      <c r="ED15" s="25"/>
      <c r="EE15" s="20" t="str">
        <f>IF(Team!E110="","N/A",Team!E110)</f>
        <v>N/A</v>
      </c>
      <c r="EF15" s="25"/>
      <c r="EG15" s="20" t="str">
        <f>IF(OR(OpBudget!F164="",OpBudget!F164=0),"N/A",OpBudget!C164)</f>
        <v>N/A</v>
      </c>
      <c r="EH15" s="25"/>
      <c r="EI15" s="20" t="s">
        <v>2219</v>
      </c>
      <c r="EJ15" s="25"/>
      <c r="EK15" s="25"/>
      <c r="EL15" s="25"/>
      <c r="EM15" s="37" t="s">
        <v>2503</v>
      </c>
      <c r="EN15" s="25"/>
      <c r="EO15" s="25"/>
      <c r="EP15" s="25"/>
      <c r="EQ15" s="37" t="s">
        <v>3347</v>
      </c>
      <c r="ER15" s="25"/>
      <c r="ES15" s="25"/>
      <c r="ET15" s="25"/>
      <c r="EU15" s="25"/>
      <c r="EV15" s="25"/>
      <c r="EW15" s="25"/>
      <c r="EX15" s="25"/>
    </row>
    <row r="16" spans="1:161" s="17" customFormat="1" x14ac:dyDescent="0.2">
      <c r="A16" s="25"/>
      <c r="B16" s="20">
        <v>39035131105</v>
      </c>
      <c r="C16" s="20">
        <v>1311.05</v>
      </c>
      <c r="D16" s="20" t="s">
        <v>24</v>
      </c>
      <c r="E16" s="20" t="s">
        <v>2829</v>
      </c>
      <c r="F16" s="20" t="s">
        <v>8</v>
      </c>
      <c r="G16" s="861">
        <v>96.434875658184794</v>
      </c>
      <c r="H16" s="861">
        <v>86.997552679836602</v>
      </c>
      <c r="I16" s="861">
        <v>31.565410890779699</v>
      </c>
      <c r="J16" s="861">
        <v>49.802856356332804</v>
      </c>
      <c r="K16" s="982">
        <v>0</v>
      </c>
      <c r="L16" s="735" t="s">
        <v>2466</v>
      </c>
      <c r="M16" s="735">
        <v>3783</v>
      </c>
      <c r="N16" s="845" t="str">
        <f t="shared" si="0"/>
        <v/>
      </c>
      <c r="O16" s="735">
        <v>1.7538339201101585</v>
      </c>
      <c r="P16" s="735">
        <f t="shared" si="1"/>
        <v>2156.988730017486</v>
      </c>
      <c r="Q16" s="849">
        <v>45.3</v>
      </c>
      <c r="R16" s="71">
        <v>110054</v>
      </c>
      <c r="S16" s="845">
        <v>4.0816326530612242E-2</v>
      </c>
      <c r="T16" s="845">
        <v>1.1000000000000001E-2</v>
      </c>
      <c r="U16" s="845">
        <v>0</v>
      </c>
      <c r="V16" s="845">
        <v>8.8000000000000009E-2</v>
      </c>
      <c r="W16" s="845">
        <v>0.41258741258741261</v>
      </c>
      <c r="X16" s="845">
        <v>0.4519774011299435</v>
      </c>
      <c r="Y16" s="845">
        <v>0.61353423209093316</v>
      </c>
      <c r="Z16" s="845">
        <v>0.20407084324610097</v>
      </c>
      <c r="AA16" s="845">
        <v>0</v>
      </c>
      <c r="AB16" s="845">
        <v>8.6968014803066346E-2</v>
      </c>
      <c r="AC16" s="845">
        <v>0</v>
      </c>
      <c r="AD16" s="845">
        <v>0</v>
      </c>
      <c r="AE16" s="845">
        <v>9.5426909859899545E-2</v>
      </c>
      <c r="AF16" s="845">
        <v>5.392545598731166E-2</v>
      </c>
      <c r="AG16" s="845">
        <v>0.58392809939201695</v>
      </c>
      <c r="AH16" s="20" t="str">
        <f t="shared" si="2"/>
        <v>No</v>
      </c>
      <c r="AI16" s="25"/>
      <c r="AJ16" s="20">
        <v>45202</v>
      </c>
      <c r="AK16" s="20" t="s">
        <v>1609</v>
      </c>
      <c r="AL16" s="20">
        <v>39061</v>
      </c>
      <c r="AM16" s="20" t="s">
        <v>37</v>
      </c>
      <c r="AN16" s="37">
        <f t="shared" si="3"/>
        <v>17140</v>
      </c>
      <c r="AO16" s="37" t="str">
        <f t="shared" si="4"/>
        <v>Cincinnati, OH-KY-IN</v>
      </c>
      <c r="AP16" s="20" t="s">
        <v>6</v>
      </c>
      <c r="AQ16" s="25"/>
      <c r="AR16" s="20" t="s">
        <v>12</v>
      </c>
      <c r="AS16" s="24">
        <v>35850</v>
      </c>
      <c r="AT16" s="24">
        <v>40950</v>
      </c>
      <c r="AU16" s="24">
        <v>46050</v>
      </c>
      <c r="AV16" s="24">
        <v>51150</v>
      </c>
      <c r="AW16" s="24">
        <v>55250</v>
      </c>
      <c r="AX16" s="24">
        <v>59350</v>
      </c>
      <c r="AY16" s="24">
        <v>63450</v>
      </c>
      <c r="AZ16" s="24">
        <v>67550</v>
      </c>
      <c r="BA16" s="29">
        <f t="shared" si="6"/>
        <v>38400</v>
      </c>
      <c r="BB16" s="29">
        <f t="shared" si="7"/>
        <v>53200</v>
      </c>
      <c r="BC16" s="29">
        <f t="shared" si="8"/>
        <v>65500</v>
      </c>
      <c r="BD16" s="25"/>
      <c r="BE16" s="28">
        <v>5</v>
      </c>
      <c r="BF16" s="28">
        <v>7.5</v>
      </c>
      <c r="BG16" s="25"/>
      <c r="BH16" s="45" t="s">
        <v>277</v>
      </c>
      <c r="BI16" s="45" t="s">
        <v>8</v>
      </c>
      <c r="BJ16" s="44"/>
      <c r="BK16" s="45" t="s">
        <v>48</v>
      </c>
      <c r="BL16" s="45"/>
      <c r="BM16" s="25"/>
      <c r="BN16" s="20" t="s">
        <v>12</v>
      </c>
      <c r="BO16" s="71">
        <v>757</v>
      </c>
      <c r="BP16" s="24">
        <v>762</v>
      </c>
      <c r="BQ16" s="24">
        <v>1000</v>
      </c>
      <c r="BR16" s="24">
        <v>1391</v>
      </c>
      <c r="BS16" s="24">
        <v>1668</v>
      </c>
      <c r="BT16" s="122"/>
      <c r="BU16" s="39">
        <v>45660</v>
      </c>
      <c r="BV16" s="39" t="s">
        <v>1804</v>
      </c>
      <c r="BW16" s="39" t="s">
        <v>2875</v>
      </c>
      <c r="BX16" s="39" t="s">
        <v>2876</v>
      </c>
      <c r="BY16" s="71">
        <v>740</v>
      </c>
      <c r="BZ16" s="71">
        <v>780</v>
      </c>
      <c r="CA16" s="71">
        <v>980</v>
      </c>
      <c r="CB16" s="71">
        <v>1220</v>
      </c>
      <c r="CC16" s="71">
        <v>1330</v>
      </c>
      <c r="CD16" s="25"/>
      <c r="CE16" s="606">
        <v>5</v>
      </c>
      <c r="CF16" s="236">
        <v>149693</v>
      </c>
      <c r="CG16" s="607">
        <v>2.7</v>
      </c>
      <c r="CH16" s="79">
        <f t="shared" si="9"/>
        <v>404171.10000000003</v>
      </c>
      <c r="CI16" s="607">
        <v>2.4</v>
      </c>
      <c r="CJ16" s="79">
        <f t="shared" si="10"/>
        <v>359263.2</v>
      </c>
      <c r="CK16" s="200"/>
      <c r="CL16" s="200"/>
      <c r="CM16" s="200"/>
      <c r="CN16" s="200"/>
      <c r="CO16" s="200"/>
      <c r="CP16" s="200"/>
      <c r="CQ16" s="20" t="s">
        <v>12</v>
      </c>
      <c r="CR16" s="236" t="s">
        <v>292</v>
      </c>
      <c r="CS16" s="236" t="s">
        <v>3108</v>
      </c>
      <c r="CT16" s="200"/>
      <c r="CU16" s="200"/>
      <c r="CV16" s="20" t="s">
        <v>12</v>
      </c>
      <c r="CW16" s="20" t="s">
        <v>8</v>
      </c>
      <c r="CX16" s="25"/>
      <c r="CY16" s="20" t="s">
        <v>12</v>
      </c>
      <c r="CZ16" s="20" t="s">
        <v>265</v>
      </c>
      <c r="DA16" s="37" t="s">
        <v>265</v>
      </c>
      <c r="DB16" s="25"/>
      <c r="DC16" s="20" t="s">
        <v>12</v>
      </c>
      <c r="DD16" s="20">
        <v>0</v>
      </c>
      <c r="DE16" s="735">
        <v>0</v>
      </c>
      <c r="DF16" s="179">
        <v>45867</v>
      </c>
      <c r="DG16" s="179">
        <v>46209</v>
      </c>
      <c r="DH16" s="878">
        <f t="shared" si="11"/>
        <v>7.4563411603113345E-3</v>
      </c>
      <c r="DI16" s="606">
        <v>401.38802837979051</v>
      </c>
      <c r="DJ16" s="179">
        <f t="shared" si="5"/>
        <v>115.12301497013601</v>
      </c>
      <c r="DK16" s="37">
        <v>40.6</v>
      </c>
      <c r="DL16" s="236">
        <v>76454</v>
      </c>
      <c r="DM16" s="878">
        <v>7.4735203175368956E-2</v>
      </c>
      <c r="DN16" s="878">
        <v>2.5000000000000001E-2</v>
      </c>
      <c r="DO16" s="878">
        <v>1.6E-2</v>
      </c>
      <c r="DP16" s="878">
        <v>3.3000000000000002E-2</v>
      </c>
      <c r="DQ16" s="878">
        <v>0.24120099203208273</v>
      </c>
      <c r="DR16" s="878">
        <v>0.29862174578866768</v>
      </c>
      <c r="DS16" s="878">
        <v>0.95399999999999996</v>
      </c>
      <c r="DT16" s="878">
        <v>8.9999999999999993E-3</v>
      </c>
      <c r="DU16" s="878">
        <v>0</v>
      </c>
      <c r="DV16" s="878">
        <v>3.0000000000000001E-3</v>
      </c>
      <c r="DW16" s="878">
        <v>0</v>
      </c>
      <c r="DX16" s="878">
        <v>8.0000000000000002E-3</v>
      </c>
      <c r="DY16" s="878">
        <v>2.5999999999999999E-2</v>
      </c>
      <c r="DZ16" s="878">
        <v>1.7999999999999999E-2</v>
      </c>
      <c r="EA16" s="878">
        <v>0.94799999999999995</v>
      </c>
      <c r="EB16" s="25"/>
      <c r="EC16" s="20" t="s">
        <v>2043</v>
      </c>
      <c r="ED16" s="25"/>
      <c r="EE16" s="20" t="str">
        <f>IF(Team!E118="","N/A",Team!E118)</f>
        <v>N/A</v>
      </c>
      <c r="EF16" s="25"/>
      <c r="EG16" s="20" t="str">
        <f>IF(OR(OpBudget!F165="",OpBudget!F165=0),"N/A",OpBudget!C165)</f>
        <v>N/A</v>
      </c>
      <c r="EH16" s="25"/>
      <c r="EI16" s="20" t="s">
        <v>2220</v>
      </c>
      <c r="EJ16" s="25"/>
      <c r="EK16" s="25"/>
      <c r="EL16" s="25"/>
      <c r="EM16" s="25"/>
      <c r="EN16" s="25"/>
      <c r="EO16" s="25"/>
      <c r="EP16" s="25"/>
      <c r="EQ16" s="37" t="s">
        <v>3348</v>
      </c>
      <c r="ER16" s="25"/>
      <c r="ES16" s="25"/>
      <c r="ET16" s="25"/>
      <c r="EU16" s="25"/>
      <c r="EV16" s="25"/>
      <c r="EW16" s="25"/>
      <c r="EX16" s="25"/>
    </row>
    <row r="17" spans="1:154" s="17" customFormat="1" x14ac:dyDescent="0.2">
      <c r="A17" s="25"/>
      <c r="B17" s="20">
        <v>39061023501</v>
      </c>
      <c r="C17" s="20">
        <v>235.01</v>
      </c>
      <c r="D17" s="20" t="s">
        <v>37</v>
      </c>
      <c r="E17" s="20" t="s">
        <v>2828</v>
      </c>
      <c r="F17" s="20" t="s">
        <v>8</v>
      </c>
      <c r="G17" s="861">
        <v>95.9945370756366</v>
      </c>
      <c r="H17" s="861">
        <v>80.714854554111199</v>
      </c>
      <c r="I17" s="861">
        <v>24.620721528837802</v>
      </c>
      <c r="J17" s="861">
        <v>45.015206841701001</v>
      </c>
      <c r="K17" s="982">
        <v>0</v>
      </c>
      <c r="L17" s="735">
        <v>4303</v>
      </c>
      <c r="M17" s="735">
        <v>4957</v>
      </c>
      <c r="N17" s="845">
        <f t="shared" si="0"/>
        <v>0.15198698582384382</v>
      </c>
      <c r="O17" s="735">
        <v>3.1311143741119336</v>
      </c>
      <c r="P17" s="735">
        <f t="shared" si="1"/>
        <v>1583.142423983134</v>
      </c>
      <c r="Q17" s="849">
        <v>43.4</v>
      </c>
      <c r="R17" s="71">
        <v>133804</v>
      </c>
      <c r="S17" s="845">
        <v>3.1874117409723624E-2</v>
      </c>
      <c r="T17" s="845">
        <v>6.9999999999999993E-3</v>
      </c>
      <c r="U17" s="845">
        <v>0</v>
      </c>
      <c r="V17" s="845">
        <v>0</v>
      </c>
      <c r="W17" s="845">
        <v>0.26429287863590772</v>
      </c>
      <c r="X17" s="845">
        <v>0.33017077798861483</v>
      </c>
      <c r="Y17" s="845">
        <v>0.77809158765382291</v>
      </c>
      <c r="Z17" s="845">
        <v>4.115392374420012E-2</v>
      </c>
      <c r="AA17" s="845">
        <v>0</v>
      </c>
      <c r="AB17" s="845">
        <v>0.14484567278595925</v>
      </c>
      <c r="AC17" s="845">
        <v>0</v>
      </c>
      <c r="AD17" s="845">
        <v>5.6485777688117817E-3</v>
      </c>
      <c r="AE17" s="845">
        <v>3.026023804720597E-2</v>
      </c>
      <c r="AF17" s="845">
        <v>5.8503126891264875E-3</v>
      </c>
      <c r="AG17" s="845">
        <v>0.77809158765382291</v>
      </c>
      <c r="AH17" s="20" t="str">
        <f t="shared" si="2"/>
        <v>No</v>
      </c>
      <c r="AI17" s="25"/>
      <c r="AJ17" s="20">
        <v>45242</v>
      </c>
      <c r="AK17" s="20" t="s">
        <v>1643</v>
      </c>
      <c r="AL17" s="20">
        <v>39061</v>
      </c>
      <c r="AM17" s="20" t="s">
        <v>37</v>
      </c>
      <c r="AN17" s="37">
        <f t="shared" si="3"/>
        <v>17140</v>
      </c>
      <c r="AO17" s="37" t="str">
        <f t="shared" si="4"/>
        <v>Cincinnati, OH-KY-IN</v>
      </c>
      <c r="AP17" s="20" t="s">
        <v>6</v>
      </c>
      <c r="AQ17" s="25"/>
      <c r="AR17" s="20" t="s">
        <v>13</v>
      </c>
      <c r="AS17" s="24">
        <v>28750</v>
      </c>
      <c r="AT17" s="24">
        <v>32850</v>
      </c>
      <c r="AU17" s="24">
        <v>36950</v>
      </c>
      <c r="AV17" s="24">
        <v>41050</v>
      </c>
      <c r="AW17" s="24">
        <v>44350</v>
      </c>
      <c r="AX17" s="24">
        <v>47650</v>
      </c>
      <c r="AY17" s="24">
        <v>50950</v>
      </c>
      <c r="AZ17" s="24">
        <v>54200</v>
      </c>
      <c r="BA17" s="29">
        <f t="shared" si="6"/>
        <v>30800</v>
      </c>
      <c r="BB17" s="29">
        <f t="shared" si="7"/>
        <v>42700</v>
      </c>
      <c r="BC17" s="29">
        <f t="shared" si="8"/>
        <v>52575</v>
      </c>
      <c r="BD17" s="25"/>
      <c r="BE17" s="25"/>
      <c r="BF17" s="25"/>
      <c r="BG17" s="25"/>
      <c r="BH17" s="45" t="s">
        <v>316</v>
      </c>
      <c r="BI17" s="45" t="s">
        <v>8</v>
      </c>
      <c r="BJ17" s="44"/>
      <c r="BK17" s="45" t="s">
        <v>62</v>
      </c>
      <c r="BL17" s="45"/>
      <c r="BM17" s="25"/>
      <c r="BN17" s="20" t="s">
        <v>13</v>
      </c>
      <c r="BO17" s="71">
        <v>683</v>
      </c>
      <c r="BP17" s="24">
        <v>816</v>
      </c>
      <c r="BQ17" s="24">
        <v>991</v>
      </c>
      <c r="BR17" s="24">
        <v>1277</v>
      </c>
      <c r="BS17" s="24">
        <v>1413</v>
      </c>
      <c r="BT17" s="122"/>
      <c r="BU17" s="39">
        <v>45671</v>
      </c>
      <c r="BV17" s="39" t="s">
        <v>1809</v>
      </c>
      <c r="BW17" s="39" t="s">
        <v>2875</v>
      </c>
      <c r="BX17" s="39" t="s">
        <v>2876</v>
      </c>
      <c r="BY17" s="71">
        <v>710</v>
      </c>
      <c r="BZ17" s="71">
        <v>790</v>
      </c>
      <c r="CA17" s="71">
        <v>980</v>
      </c>
      <c r="CB17" s="71">
        <v>1280</v>
      </c>
      <c r="CC17" s="71">
        <v>1430</v>
      </c>
      <c r="CD17" s="25"/>
      <c r="CE17" s="200"/>
      <c r="CF17" s="200"/>
      <c r="CG17" s="200"/>
      <c r="CH17" s="200"/>
      <c r="CI17" s="200"/>
      <c r="CJ17" s="200"/>
      <c r="CK17" s="200"/>
      <c r="CL17" s="200"/>
      <c r="CM17" s="200"/>
      <c r="CN17" s="200"/>
      <c r="CO17" s="200"/>
      <c r="CP17" s="200"/>
      <c r="CQ17" s="20" t="s">
        <v>13</v>
      </c>
      <c r="CR17" s="236" t="s">
        <v>292</v>
      </c>
      <c r="CS17" s="236" t="s">
        <v>3110</v>
      </c>
      <c r="CT17" s="200"/>
      <c r="CU17" s="200"/>
      <c r="CV17" s="20" t="s">
        <v>13</v>
      </c>
      <c r="CW17" s="20" t="s">
        <v>6</v>
      </c>
      <c r="CX17" s="25"/>
      <c r="CY17" s="20" t="s">
        <v>13</v>
      </c>
      <c r="CZ17" s="20">
        <v>48540</v>
      </c>
      <c r="DA17" s="37" t="s">
        <v>2841</v>
      </c>
      <c r="DB17" s="25"/>
      <c r="DC17" s="20" t="s">
        <v>13</v>
      </c>
      <c r="DD17" s="20">
        <v>3</v>
      </c>
      <c r="DE17" s="735">
        <v>131</v>
      </c>
      <c r="DF17" s="179">
        <v>69793</v>
      </c>
      <c r="DG17" s="179">
        <v>65982</v>
      </c>
      <c r="DH17" s="878">
        <f t="shared" si="11"/>
        <v>-5.4604329947129368E-2</v>
      </c>
      <c r="DI17" s="606">
        <v>532.17303881754117</v>
      </c>
      <c r="DJ17" s="179">
        <f t="shared" si="5"/>
        <v>123.98598799106458</v>
      </c>
      <c r="DK17" s="37">
        <v>44.1</v>
      </c>
      <c r="DL17" s="236">
        <v>58411</v>
      </c>
      <c r="DM17" s="878">
        <v>0.14271237151543423</v>
      </c>
      <c r="DN17" s="878">
        <v>5.7000000000000002E-2</v>
      </c>
      <c r="DO17" s="878">
        <v>1.4999999999999999E-2</v>
      </c>
      <c r="DP17" s="878">
        <v>0.113</v>
      </c>
      <c r="DQ17" s="878">
        <v>0.26037807183364842</v>
      </c>
      <c r="DR17" s="878">
        <v>0.32713808624945551</v>
      </c>
      <c r="DS17" s="878">
        <v>0.91400000000000003</v>
      </c>
      <c r="DT17" s="878">
        <v>3.1E-2</v>
      </c>
      <c r="DU17" s="878">
        <v>1E-3</v>
      </c>
      <c r="DV17" s="878">
        <v>6.0000000000000001E-3</v>
      </c>
      <c r="DW17" s="878">
        <v>0</v>
      </c>
      <c r="DX17" s="878">
        <v>6.0000000000000001E-3</v>
      </c>
      <c r="DY17" s="878">
        <v>4.2000000000000003E-2</v>
      </c>
      <c r="DZ17" s="878">
        <v>1.2999999999999999E-2</v>
      </c>
      <c r="EA17" s="878">
        <v>0.91100000000000003</v>
      </c>
      <c r="EB17" s="25"/>
      <c r="EC17" s="20" t="s">
        <v>2044</v>
      </c>
      <c r="ED17" s="25"/>
      <c r="EE17" s="20" t="str">
        <f>IF(Team!E276="","N/A",Team!E276)</f>
        <v>N/A</v>
      </c>
      <c r="EF17" s="25"/>
      <c r="EG17" s="20" t="str">
        <f>IF(OR(Sources!M41&lt;&gt;"Soft Debt",Sources!G41=0,Sources!G41=""),"N/A",Sources!C41)</f>
        <v>N/A</v>
      </c>
      <c r="EH17" s="25"/>
      <c r="EI17" s="20" t="s">
        <v>2221</v>
      </c>
      <c r="EJ17" s="25"/>
      <c r="EK17" s="25"/>
      <c r="EL17" s="25"/>
      <c r="EM17" s="25"/>
      <c r="EN17" s="25"/>
      <c r="EO17" s="25"/>
      <c r="EP17" s="25"/>
      <c r="EQ17" s="37" t="s">
        <v>3349</v>
      </c>
      <c r="ER17" s="25"/>
      <c r="ES17" s="25"/>
      <c r="ET17" s="25"/>
      <c r="EU17" s="25"/>
      <c r="EV17" s="25"/>
      <c r="EW17" s="25"/>
      <c r="EX17" s="25"/>
    </row>
    <row r="18" spans="1:154" s="17" customFormat="1" x14ac:dyDescent="0.2">
      <c r="A18" s="25"/>
      <c r="B18" s="20">
        <v>39049006721</v>
      </c>
      <c r="C18" s="20">
        <v>67.209999999999994</v>
      </c>
      <c r="D18" s="20" t="s">
        <v>31</v>
      </c>
      <c r="E18" s="20" t="s">
        <v>2830</v>
      </c>
      <c r="F18" s="20" t="s">
        <v>8</v>
      </c>
      <c r="G18" s="861">
        <v>95.2894857764623</v>
      </c>
      <c r="H18" s="861">
        <v>77.655622801698797</v>
      </c>
      <c r="I18" s="861">
        <v>20.487394322141199</v>
      </c>
      <c r="J18" s="861">
        <v>51.1203607416805</v>
      </c>
      <c r="K18" s="982">
        <v>0</v>
      </c>
      <c r="L18" s="735">
        <v>3398</v>
      </c>
      <c r="M18" s="735">
        <v>4016</v>
      </c>
      <c r="N18" s="845">
        <f t="shared" si="0"/>
        <v>0.18187168922895822</v>
      </c>
      <c r="O18" s="735">
        <v>1.090889563967921</v>
      </c>
      <c r="P18" s="735">
        <f t="shared" si="1"/>
        <v>3681.3992292606581</v>
      </c>
      <c r="Q18" s="849">
        <v>43.1</v>
      </c>
      <c r="R18" s="71">
        <v>146667</v>
      </c>
      <c r="S18" s="845">
        <v>3.5335689045936395E-3</v>
      </c>
      <c r="T18" s="845">
        <v>8.0000000000000002E-3</v>
      </c>
      <c r="U18" s="845">
        <v>1.9E-2</v>
      </c>
      <c r="V18" s="845">
        <v>0.113</v>
      </c>
      <c r="W18" s="845">
        <v>0.11823899371069183</v>
      </c>
      <c r="X18" s="845">
        <v>0.69680851063829785</v>
      </c>
      <c r="Y18" s="845">
        <v>0.92928286852589637</v>
      </c>
      <c r="Z18" s="845">
        <v>2.091633466135458E-2</v>
      </c>
      <c r="AA18" s="845">
        <v>0</v>
      </c>
      <c r="AB18" s="845">
        <v>2.8884462151394421E-2</v>
      </c>
      <c r="AC18" s="845">
        <v>0</v>
      </c>
      <c r="AD18" s="845">
        <v>0</v>
      </c>
      <c r="AE18" s="845">
        <v>2.091633466135458E-2</v>
      </c>
      <c r="AF18" s="845">
        <v>1.7181274900398405E-2</v>
      </c>
      <c r="AG18" s="845">
        <v>0.91210159362549803</v>
      </c>
      <c r="AH18" s="20" t="str">
        <f t="shared" si="2"/>
        <v>Yes</v>
      </c>
      <c r="AI18" s="25"/>
      <c r="AJ18" s="37">
        <v>45243</v>
      </c>
      <c r="AK18" s="37" t="s">
        <v>1644</v>
      </c>
      <c r="AL18" s="37">
        <v>39061</v>
      </c>
      <c r="AM18" s="37" t="s">
        <v>37</v>
      </c>
      <c r="AN18" s="37">
        <f t="shared" si="3"/>
        <v>17140</v>
      </c>
      <c r="AO18" s="37" t="str">
        <f t="shared" si="4"/>
        <v>Cincinnati, OH-KY-IN</v>
      </c>
      <c r="AP18" s="20" t="s">
        <v>6</v>
      </c>
      <c r="AQ18" s="25"/>
      <c r="AR18" s="20" t="s">
        <v>14</v>
      </c>
      <c r="AS18" s="24">
        <v>31000</v>
      </c>
      <c r="AT18" s="24">
        <v>35400</v>
      </c>
      <c r="AU18" s="24">
        <v>39850</v>
      </c>
      <c r="AV18" s="24">
        <v>44250</v>
      </c>
      <c r="AW18" s="24">
        <v>47800</v>
      </c>
      <c r="AX18" s="24">
        <v>51350</v>
      </c>
      <c r="AY18" s="24">
        <v>54900</v>
      </c>
      <c r="AZ18" s="24">
        <v>58450</v>
      </c>
      <c r="BA18" s="29">
        <f t="shared" si="6"/>
        <v>33200</v>
      </c>
      <c r="BB18" s="29">
        <f t="shared" si="7"/>
        <v>46025</v>
      </c>
      <c r="BC18" s="29">
        <f t="shared" si="8"/>
        <v>56675</v>
      </c>
      <c r="BD18" s="25"/>
      <c r="BE18" s="25"/>
      <c r="BF18" s="25"/>
      <c r="BG18" s="25"/>
      <c r="BH18" s="45" t="s">
        <v>37</v>
      </c>
      <c r="BI18" s="45" t="s">
        <v>8</v>
      </c>
      <c r="BJ18" s="44"/>
      <c r="BK18" s="45" t="s">
        <v>81</v>
      </c>
      <c r="BL18" s="45"/>
      <c r="BM18" s="25"/>
      <c r="BN18" s="20" t="s">
        <v>14</v>
      </c>
      <c r="BO18" s="71">
        <v>797</v>
      </c>
      <c r="BP18" s="24">
        <v>802</v>
      </c>
      <c r="BQ18" s="24">
        <v>1008</v>
      </c>
      <c r="BR18" s="24">
        <v>1361</v>
      </c>
      <c r="BS18" s="24">
        <v>1691</v>
      </c>
      <c r="BT18" s="122"/>
      <c r="BU18" s="39">
        <v>45679</v>
      </c>
      <c r="BV18" s="39" t="s">
        <v>1815</v>
      </c>
      <c r="BW18" s="39" t="s">
        <v>2875</v>
      </c>
      <c r="BX18" s="39" t="s">
        <v>2876</v>
      </c>
      <c r="BY18" s="71">
        <v>830</v>
      </c>
      <c r="BZ18" s="71">
        <v>890</v>
      </c>
      <c r="CA18" s="71">
        <v>1100</v>
      </c>
      <c r="CB18" s="71">
        <v>1380</v>
      </c>
      <c r="CC18" s="71">
        <v>1460</v>
      </c>
      <c r="CD18" s="25"/>
      <c r="CE18" s="200"/>
      <c r="CF18" s="200"/>
      <c r="CG18" s="200"/>
      <c r="CH18" s="200"/>
      <c r="CI18" s="200"/>
      <c r="CJ18" s="200"/>
      <c r="CK18" s="200"/>
      <c r="CL18" s="200"/>
      <c r="CM18" s="200"/>
      <c r="CN18" s="200"/>
      <c r="CO18" s="200"/>
      <c r="CP18" s="200"/>
      <c r="CQ18" s="20" t="s">
        <v>14</v>
      </c>
      <c r="CR18" s="236" t="s">
        <v>292</v>
      </c>
      <c r="CS18" s="236" t="s">
        <v>3107</v>
      </c>
      <c r="CT18" s="200"/>
      <c r="CU18" s="200"/>
      <c r="CV18" s="20" t="s">
        <v>14</v>
      </c>
      <c r="CW18" s="20" t="s">
        <v>6</v>
      </c>
      <c r="CX18" s="25"/>
      <c r="CY18" s="20" t="s">
        <v>14</v>
      </c>
      <c r="CZ18" s="20">
        <v>17140</v>
      </c>
      <c r="DA18" s="37" t="s">
        <v>2828</v>
      </c>
      <c r="DB18" s="25"/>
      <c r="DC18" s="20" t="s">
        <v>14</v>
      </c>
      <c r="DD18" s="20">
        <v>0</v>
      </c>
      <c r="DE18" s="735">
        <v>0</v>
      </c>
      <c r="DF18" s="179">
        <v>44464</v>
      </c>
      <c r="DG18" s="179">
        <v>43710</v>
      </c>
      <c r="DH18" s="878">
        <f t="shared" si="11"/>
        <v>-1.695753868297949E-2</v>
      </c>
      <c r="DI18" s="606">
        <v>489.55147326911862</v>
      </c>
      <c r="DJ18" s="179">
        <f t="shared" si="5"/>
        <v>89.285810352309014</v>
      </c>
      <c r="DK18" s="37">
        <v>42.1</v>
      </c>
      <c r="DL18" s="236">
        <v>69990</v>
      </c>
      <c r="DM18" s="878">
        <v>0.17410890514338789</v>
      </c>
      <c r="DN18" s="878">
        <v>4.2999999999999997E-2</v>
      </c>
      <c r="DO18" s="878">
        <v>2E-3</v>
      </c>
      <c r="DP18" s="878">
        <v>2.1000000000000001E-2</v>
      </c>
      <c r="DQ18" s="878">
        <v>0.23855351414406534</v>
      </c>
      <c r="DR18" s="878">
        <v>0.37799511002444985</v>
      </c>
      <c r="DS18" s="878">
        <v>0.95699999999999996</v>
      </c>
      <c r="DT18" s="878">
        <v>8.9999999999999993E-3</v>
      </c>
      <c r="DU18" s="878">
        <v>0</v>
      </c>
      <c r="DV18" s="878">
        <v>2E-3</v>
      </c>
      <c r="DW18" s="878">
        <v>0</v>
      </c>
      <c r="DX18" s="878">
        <v>2E-3</v>
      </c>
      <c r="DY18" s="878">
        <v>0.03</v>
      </c>
      <c r="DZ18" s="878">
        <v>1.2E-2</v>
      </c>
      <c r="EA18" s="878">
        <v>0.95199999999999996</v>
      </c>
      <c r="EB18" s="25"/>
      <c r="EC18" s="20" t="s">
        <v>2045</v>
      </c>
      <c r="ED18" s="25"/>
      <c r="EE18" s="20" t="str">
        <f>IF(Team!E286="","N/A",Team!E286)</f>
        <v>N/A</v>
      </c>
      <c r="EF18" s="25"/>
      <c r="EG18" s="20" t="str">
        <f>IF(OR(Sources!M42&lt;&gt;"Soft Debt",Sources!G42=0,Sources!G42=""),"N/A",Sources!C42)</f>
        <v>N/A</v>
      </c>
      <c r="EH18" s="25"/>
      <c r="EI18" s="20" t="s">
        <v>2222</v>
      </c>
      <c r="EJ18" s="25"/>
      <c r="EK18" s="25"/>
      <c r="EL18" s="25"/>
      <c r="EM18" s="25"/>
      <c r="EN18" s="25"/>
      <c r="EO18" s="25"/>
      <c r="EP18" s="25"/>
      <c r="EQ18" s="37" t="s">
        <v>3350</v>
      </c>
      <c r="ER18" s="25"/>
      <c r="ES18" s="25"/>
      <c r="ET18" s="25"/>
      <c r="EU18" s="25"/>
      <c r="EV18" s="25"/>
      <c r="EW18" s="25"/>
      <c r="EX18" s="25"/>
    </row>
    <row r="19" spans="1:154" s="17" customFormat="1" x14ac:dyDescent="0.2">
      <c r="A19" s="25"/>
      <c r="B19" s="20">
        <v>39049006321</v>
      </c>
      <c r="C19" s="20">
        <v>63.21</v>
      </c>
      <c r="D19" s="20" t="s">
        <v>31</v>
      </c>
      <c r="E19" s="20" t="s">
        <v>2830</v>
      </c>
      <c r="F19" s="20" t="s">
        <v>8</v>
      </c>
      <c r="G19" s="861">
        <v>95.117193447345898</v>
      </c>
      <c r="H19" s="861">
        <v>84.481912338717095</v>
      </c>
      <c r="I19" s="861">
        <v>22.968786619457202</v>
      </c>
      <c r="J19" s="861">
        <v>57.200233479204599</v>
      </c>
      <c r="K19" s="982">
        <v>0</v>
      </c>
      <c r="L19" s="735">
        <v>4632</v>
      </c>
      <c r="M19" s="735">
        <v>4400</v>
      </c>
      <c r="N19" s="845">
        <f t="shared" si="0"/>
        <v>-5.0086355785837651E-2</v>
      </c>
      <c r="O19" s="735">
        <v>1.6787189034624566</v>
      </c>
      <c r="P19" s="735">
        <f t="shared" si="1"/>
        <v>2621.0463174774172</v>
      </c>
      <c r="Q19" s="849">
        <v>43.6</v>
      </c>
      <c r="R19" s="71">
        <v>184474</v>
      </c>
      <c r="S19" s="845">
        <v>1.208740120874012E-2</v>
      </c>
      <c r="T19" s="845">
        <v>6.9999999999999993E-3</v>
      </c>
      <c r="U19" s="845">
        <v>0</v>
      </c>
      <c r="V19" s="845">
        <v>0.113</v>
      </c>
      <c r="W19" s="845">
        <v>3.4119106699751864E-2</v>
      </c>
      <c r="X19" s="845">
        <v>1</v>
      </c>
      <c r="Y19" s="845">
        <v>0.85750000000000004</v>
      </c>
      <c r="Z19" s="845">
        <v>9.0909090909090905E-3</v>
      </c>
      <c r="AA19" s="845">
        <v>3.1818181818181819E-3</v>
      </c>
      <c r="AB19" s="845">
        <v>5.909090909090909E-2</v>
      </c>
      <c r="AC19" s="845">
        <v>0</v>
      </c>
      <c r="AD19" s="845">
        <v>0</v>
      </c>
      <c r="AE19" s="845">
        <v>7.1136363636363636E-2</v>
      </c>
      <c r="AF19" s="845">
        <v>4.022727272727273E-2</v>
      </c>
      <c r="AG19" s="845">
        <v>0.85386363636363638</v>
      </c>
      <c r="AH19" s="20" t="str">
        <f t="shared" si="2"/>
        <v>No</v>
      </c>
      <c r="AI19" s="25"/>
      <c r="AJ19" s="37">
        <v>45040</v>
      </c>
      <c r="AK19" s="37" t="s">
        <v>1542</v>
      </c>
      <c r="AL19" s="37">
        <v>39165</v>
      </c>
      <c r="AM19" s="37" t="s">
        <v>88</v>
      </c>
      <c r="AN19" s="37">
        <f t="shared" si="3"/>
        <v>17140</v>
      </c>
      <c r="AO19" s="37" t="str">
        <f t="shared" si="4"/>
        <v>Cincinnati, OH-KY-IN</v>
      </c>
      <c r="AP19" s="37" t="s">
        <v>6</v>
      </c>
      <c r="AQ19" s="25"/>
      <c r="AR19" s="20" t="s">
        <v>15</v>
      </c>
      <c r="AS19" s="24">
        <v>39150</v>
      </c>
      <c r="AT19" s="24">
        <v>44750</v>
      </c>
      <c r="AU19" s="24">
        <v>50350</v>
      </c>
      <c r="AV19" s="24">
        <v>55900</v>
      </c>
      <c r="AW19" s="24">
        <v>60400</v>
      </c>
      <c r="AX19" s="24">
        <v>64850</v>
      </c>
      <c r="AY19" s="24">
        <v>69350</v>
      </c>
      <c r="AZ19" s="24">
        <v>73800</v>
      </c>
      <c r="BA19" s="29">
        <f t="shared" si="6"/>
        <v>41950</v>
      </c>
      <c r="BB19" s="29">
        <f t="shared" si="7"/>
        <v>58150</v>
      </c>
      <c r="BC19" s="29">
        <f t="shared" si="8"/>
        <v>71575</v>
      </c>
      <c r="BD19" s="25"/>
      <c r="BE19" s="25"/>
      <c r="BF19" s="25"/>
      <c r="BG19" s="25"/>
      <c r="BH19" s="45" t="s">
        <v>280</v>
      </c>
      <c r="BI19" s="45" t="s">
        <v>8</v>
      </c>
      <c r="BJ19" s="44"/>
      <c r="BK19" s="45" t="s">
        <v>82</v>
      </c>
      <c r="BL19" s="45"/>
      <c r="BM19" s="25"/>
      <c r="BN19" s="20" t="s">
        <v>15</v>
      </c>
      <c r="BO19" s="71">
        <v>958</v>
      </c>
      <c r="BP19" s="24">
        <v>1051</v>
      </c>
      <c r="BQ19" s="24">
        <v>1353</v>
      </c>
      <c r="BR19" s="24">
        <v>1785</v>
      </c>
      <c r="BS19" s="24">
        <v>1976</v>
      </c>
      <c r="BT19" s="122"/>
      <c r="BU19" s="39">
        <v>45684</v>
      </c>
      <c r="BV19" s="39" t="s">
        <v>1819</v>
      </c>
      <c r="BW19" s="39" t="s">
        <v>2875</v>
      </c>
      <c r="BX19" s="39" t="s">
        <v>2876</v>
      </c>
      <c r="BY19" s="71">
        <v>870</v>
      </c>
      <c r="BZ19" s="71">
        <v>990</v>
      </c>
      <c r="CA19" s="71">
        <v>1210</v>
      </c>
      <c r="CB19" s="71">
        <v>1600</v>
      </c>
      <c r="CC19" s="71">
        <v>1730</v>
      </c>
      <c r="CD19" s="25"/>
      <c r="CE19" s="200"/>
      <c r="CF19" s="200"/>
      <c r="CG19" s="200"/>
      <c r="CH19" s="200"/>
      <c r="CI19" s="200"/>
      <c r="CJ19" s="200"/>
      <c r="CK19" s="200"/>
      <c r="CL19" s="200"/>
      <c r="CM19" s="200"/>
      <c r="CN19" s="200"/>
      <c r="CO19" s="200"/>
      <c r="CP19" s="200"/>
      <c r="CQ19" s="20" t="s">
        <v>15</v>
      </c>
      <c r="CR19" s="236" t="s">
        <v>2481</v>
      </c>
      <c r="CS19" s="236" t="s">
        <v>3107</v>
      </c>
      <c r="CT19" s="200"/>
      <c r="CU19" s="200"/>
      <c r="CV19" s="20" t="s">
        <v>15</v>
      </c>
      <c r="CW19" s="20" t="s">
        <v>8</v>
      </c>
      <c r="CX19" s="25"/>
      <c r="CY19" s="20" t="s">
        <v>15</v>
      </c>
      <c r="CZ19" s="20">
        <v>17140</v>
      </c>
      <c r="DA19" s="37" t="s">
        <v>2828</v>
      </c>
      <c r="DB19" s="25"/>
      <c r="DC19" s="20" t="s">
        <v>15</v>
      </c>
      <c r="DD19" s="20">
        <v>6</v>
      </c>
      <c r="DE19" s="735">
        <v>1075</v>
      </c>
      <c r="DF19" s="179">
        <v>371154</v>
      </c>
      <c r="DG19" s="179">
        <v>389910</v>
      </c>
      <c r="DH19" s="878">
        <f t="shared" si="11"/>
        <v>5.0534279571283078E-2</v>
      </c>
      <c r="DI19" s="606">
        <v>466.53145330462542</v>
      </c>
      <c r="DJ19" s="179">
        <f t="shared" si="5"/>
        <v>835.76358515190009</v>
      </c>
      <c r="DK19" s="37">
        <v>37.1</v>
      </c>
      <c r="DL19" s="236">
        <v>81194</v>
      </c>
      <c r="DM19" s="878">
        <v>0.11723124263108084</v>
      </c>
      <c r="DN19" s="878">
        <v>4.8000000000000001E-2</v>
      </c>
      <c r="DO19" s="878">
        <v>8.0000000000000002E-3</v>
      </c>
      <c r="DP19" s="878">
        <v>4.2999999999999997E-2</v>
      </c>
      <c r="DQ19" s="878">
        <v>0.30133166244353859</v>
      </c>
      <c r="DR19" s="878">
        <v>0.40723899184242396</v>
      </c>
      <c r="DS19" s="878">
        <v>0.77900000000000003</v>
      </c>
      <c r="DT19" s="878">
        <v>8.3000000000000004E-2</v>
      </c>
      <c r="DU19" s="878">
        <v>1E-3</v>
      </c>
      <c r="DV19" s="878">
        <v>4.1000000000000002E-2</v>
      </c>
      <c r="DW19" s="878">
        <v>0</v>
      </c>
      <c r="DX19" s="878">
        <v>2.4E-2</v>
      </c>
      <c r="DY19" s="878">
        <v>7.0999999999999994E-2</v>
      </c>
      <c r="DZ19" s="878">
        <v>6.6000000000000003E-2</v>
      </c>
      <c r="EA19" s="878">
        <v>0.75900000000000001</v>
      </c>
      <c r="EB19" s="25"/>
      <c r="EC19" s="20" t="s">
        <v>2046</v>
      </c>
      <c r="ED19" s="25"/>
      <c r="EE19" s="20" t="str">
        <f>IF(Team!E298="","N/A",Team!E298)</f>
        <v>N/A</v>
      </c>
      <c r="EF19" s="25"/>
      <c r="EG19" s="20" t="str">
        <f>IF(OR(Sources!M43&lt;&gt;"Soft Debt",Sources!G43=0,Sources!G43=""),"N/A",Sources!C43)</f>
        <v>N/A</v>
      </c>
      <c r="EH19" s="25"/>
      <c r="EI19" s="20" t="s">
        <v>2223</v>
      </c>
      <c r="EJ19" s="25"/>
      <c r="EK19" s="25"/>
      <c r="EL19" s="25"/>
      <c r="EM19" s="25"/>
      <c r="EN19" s="25"/>
      <c r="EO19" s="25"/>
      <c r="EP19" s="25"/>
      <c r="EQ19" s="25"/>
      <c r="ER19" s="25"/>
      <c r="ES19" s="25"/>
      <c r="ET19" s="25"/>
      <c r="EU19" s="25"/>
      <c r="EV19" s="25"/>
      <c r="EW19" s="25"/>
      <c r="EX19" s="25"/>
    </row>
    <row r="20" spans="1:154" s="17" customFormat="1" x14ac:dyDescent="0.2">
      <c r="A20" s="25"/>
      <c r="B20" s="20">
        <v>39113010100</v>
      </c>
      <c r="C20" s="20">
        <v>101</v>
      </c>
      <c r="D20" s="20" t="s">
        <v>62</v>
      </c>
      <c r="E20" s="20" t="s">
        <v>2833</v>
      </c>
      <c r="F20" s="20" t="s">
        <v>8</v>
      </c>
      <c r="G20" s="861">
        <v>94.394314793765901</v>
      </c>
      <c r="H20" s="861">
        <v>88.671402466520803</v>
      </c>
      <c r="I20" s="861">
        <v>22.734065858365302</v>
      </c>
      <c r="J20" s="861">
        <v>44.352960392471303</v>
      </c>
      <c r="K20" s="982">
        <v>0</v>
      </c>
      <c r="L20" s="735">
        <v>2016</v>
      </c>
      <c r="M20" s="735">
        <v>2343</v>
      </c>
      <c r="N20" s="845">
        <f t="shared" si="0"/>
        <v>0.16220238095238096</v>
      </c>
      <c r="O20" s="735">
        <v>0.967560426368135</v>
      </c>
      <c r="P20" s="735">
        <f t="shared" si="1"/>
        <v>2421.5541852975093</v>
      </c>
      <c r="Q20" s="849">
        <v>41.5</v>
      </c>
      <c r="R20" s="71">
        <v>189615</v>
      </c>
      <c r="S20" s="845">
        <v>1.9700214132762312E-2</v>
      </c>
      <c r="T20" s="845">
        <v>9.0000000000000011E-3</v>
      </c>
      <c r="U20" s="845">
        <v>0</v>
      </c>
      <c r="V20" s="845">
        <v>0</v>
      </c>
      <c r="W20" s="845">
        <v>0.12052505966587113</v>
      </c>
      <c r="X20" s="845">
        <v>0.23762376237623761</v>
      </c>
      <c r="Y20" s="845">
        <v>0.89628681177976954</v>
      </c>
      <c r="Z20" s="845">
        <v>4.268032437046522E-3</v>
      </c>
      <c r="AA20" s="845">
        <v>0</v>
      </c>
      <c r="AB20" s="845">
        <v>3.5851472471190783E-2</v>
      </c>
      <c r="AC20" s="845">
        <v>0</v>
      </c>
      <c r="AD20" s="845">
        <v>1.0243277848911651E-2</v>
      </c>
      <c r="AE20" s="845">
        <v>5.3350405463081521E-2</v>
      </c>
      <c r="AF20" s="845">
        <v>1.4084507042253521E-2</v>
      </c>
      <c r="AG20" s="845">
        <v>0.89287238583013229</v>
      </c>
      <c r="AH20" s="20" t="str">
        <f t="shared" si="2"/>
        <v>No</v>
      </c>
      <c r="AI20" s="25"/>
      <c r="AJ20" s="20">
        <v>44040</v>
      </c>
      <c r="AK20" s="20" t="s">
        <v>1164</v>
      </c>
      <c r="AL20" s="20">
        <v>39035</v>
      </c>
      <c r="AM20" s="20" t="s">
        <v>24</v>
      </c>
      <c r="AN20" s="37">
        <f t="shared" si="3"/>
        <v>17410</v>
      </c>
      <c r="AO20" s="37" t="str">
        <f t="shared" si="4"/>
        <v>Cleveland, OH</v>
      </c>
      <c r="AP20" s="20" t="s">
        <v>6</v>
      </c>
      <c r="AQ20" s="25"/>
      <c r="AR20" s="20" t="s">
        <v>16</v>
      </c>
      <c r="AS20" s="24">
        <v>30300</v>
      </c>
      <c r="AT20" s="24">
        <v>34600</v>
      </c>
      <c r="AU20" s="24">
        <v>38950</v>
      </c>
      <c r="AV20" s="24">
        <v>43250</v>
      </c>
      <c r="AW20" s="24">
        <v>46750</v>
      </c>
      <c r="AX20" s="24">
        <v>50200</v>
      </c>
      <c r="AY20" s="24">
        <v>53650</v>
      </c>
      <c r="AZ20" s="24">
        <v>57100</v>
      </c>
      <c r="BA20" s="29">
        <f t="shared" si="6"/>
        <v>32450</v>
      </c>
      <c r="BB20" s="29">
        <f t="shared" si="7"/>
        <v>45000</v>
      </c>
      <c r="BC20" s="29">
        <f t="shared" si="8"/>
        <v>55375</v>
      </c>
      <c r="BD20" s="25"/>
      <c r="BE20" s="25"/>
      <c r="BF20" s="25"/>
      <c r="BG20" s="25"/>
      <c r="BH20" s="45" t="s">
        <v>52</v>
      </c>
      <c r="BI20" s="45" t="s">
        <v>8</v>
      </c>
      <c r="BJ20" s="44"/>
      <c r="BK20" s="44"/>
      <c r="BL20" s="44"/>
      <c r="BM20" s="25"/>
      <c r="BN20" s="20" t="s">
        <v>16</v>
      </c>
      <c r="BO20" s="71">
        <v>749</v>
      </c>
      <c r="BP20" s="24">
        <v>846</v>
      </c>
      <c r="BQ20" s="24">
        <v>1086</v>
      </c>
      <c r="BR20" s="24">
        <v>1371</v>
      </c>
      <c r="BS20" s="24">
        <v>1451</v>
      </c>
      <c r="BT20" s="122"/>
      <c r="BU20" s="39">
        <v>45693</v>
      </c>
      <c r="BV20" s="39" t="s">
        <v>1825</v>
      </c>
      <c r="BW20" s="39" t="s">
        <v>2875</v>
      </c>
      <c r="BX20" s="39" t="s">
        <v>2876</v>
      </c>
      <c r="BY20" s="71">
        <v>740</v>
      </c>
      <c r="BZ20" s="71">
        <v>780</v>
      </c>
      <c r="CA20" s="71">
        <v>970</v>
      </c>
      <c r="CB20" s="71">
        <v>1220</v>
      </c>
      <c r="CC20" s="71">
        <v>1290</v>
      </c>
      <c r="CD20" s="25"/>
      <c r="CE20" s="200"/>
      <c r="CF20" s="200"/>
      <c r="CG20" s="200"/>
      <c r="CH20" s="200"/>
      <c r="CI20" s="200"/>
      <c r="CJ20" s="200"/>
      <c r="CK20" s="200"/>
      <c r="CL20" s="200"/>
      <c r="CM20" s="200"/>
      <c r="CN20" s="200"/>
      <c r="CO20" s="200"/>
      <c r="CP20" s="200"/>
      <c r="CQ20" s="20" t="s">
        <v>16</v>
      </c>
      <c r="CR20" s="236" t="s">
        <v>292</v>
      </c>
      <c r="CS20" s="236" t="s">
        <v>3109</v>
      </c>
      <c r="CT20" s="200"/>
      <c r="CU20" s="200"/>
      <c r="CV20" s="20" t="s">
        <v>16</v>
      </c>
      <c r="CW20" s="20" t="s">
        <v>6</v>
      </c>
      <c r="CX20" s="25"/>
      <c r="CY20" s="20" t="s">
        <v>16</v>
      </c>
      <c r="CZ20" s="20">
        <v>15940</v>
      </c>
      <c r="DA20" s="37" t="s">
        <v>2844</v>
      </c>
      <c r="DB20" s="25"/>
      <c r="DC20" s="20" t="s">
        <v>16</v>
      </c>
      <c r="DD20" s="20">
        <v>1</v>
      </c>
      <c r="DE20" s="735">
        <v>42</v>
      </c>
      <c r="DF20" s="179">
        <v>28539</v>
      </c>
      <c r="DG20" s="179">
        <v>26731</v>
      </c>
      <c r="DH20" s="878">
        <f t="shared" si="11"/>
        <v>-6.3351904411507065E-2</v>
      </c>
      <c r="DI20" s="606">
        <v>394.67300064169024</v>
      </c>
      <c r="DJ20" s="179">
        <f t="shared" si="5"/>
        <v>67.729487338983532</v>
      </c>
      <c r="DK20" s="37">
        <v>45.5</v>
      </c>
      <c r="DL20" s="236">
        <v>64675</v>
      </c>
      <c r="DM20" s="878">
        <v>0.12462411023562103</v>
      </c>
      <c r="DN20" s="878">
        <v>3.9E-2</v>
      </c>
      <c r="DO20" s="878">
        <v>8.0000000000000002E-3</v>
      </c>
      <c r="DP20" s="878">
        <v>3.0000000000000001E-3</v>
      </c>
      <c r="DQ20" s="878">
        <v>0.22037295224817011</v>
      </c>
      <c r="DR20" s="878">
        <v>0.24120205614867538</v>
      </c>
      <c r="DS20" s="878">
        <v>0.95099999999999996</v>
      </c>
      <c r="DT20" s="878">
        <v>7.0000000000000001E-3</v>
      </c>
      <c r="DU20" s="878">
        <v>0</v>
      </c>
      <c r="DV20" s="878">
        <v>0</v>
      </c>
      <c r="DW20" s="878">
        <v>0</v>
      </c>
      <c r="DX20" s="878">
        <v>5.0000000000000001E-3</v>
      </c>
      <c r="DY20" s="878">
        <v>3.6999999999999998E-2</v>
      </c>
      <c r="DZ20" s="878">
        <v>1.2999999999999999E-2</v>
      </c>
      <c r="EA20" s="878">
        <v>0.94899999999999995</v>
      </c>
      <c r="EB20" s="25"/>
      <c r="EC20" s="37" t="s">
        <v>2047</v>
      </c>
      <c r="ED20" s="25"/>
      <c r="EE20" s="37" t="str">
        <f>IF(Team!E308="","N/A",Team!E308)</f>
        <v>N/A</v>
      </c>
      <c r="EF20" s="25"/>
      <c r="EG20" s="20" t="str">
        <f>IF(OR(Sources!M44&lt;&gt;"Soft Debt",Sources!G44=0,Sources!G44=""),"N/A",Sources!C44)</f>
        <v>N/A</v>
      </c>
      <c r="EH20" s="25"/>
      <c r="EI20" s="20" t="s">
        <v>2224</v>
      </c>
      <c r="EJ20" s="25"/>
      <c r="EK20" s="25"/>
      <c r="EL20" s="25"/>
      <c r="EM20" s="25"/>
      <c r="EN20" s="25"/>
      <c r="EO20" s="25"/>
      <c r="EP20" s="25"/>
      <c r="EQ20" s="25"/>
      <c r="ER20" s="25"/>
      <c r="ES20" s="25"/>
      <c r="ET20" s="25"/>
      <c r="EU20" s="25"/>
      <c r="EV20" s="25"/>
      <c r="EW20" s="25"/>
      <c r="EX20" s="25"/>
    </row>
    <row r="21" spans="1:154" s="17" customFormat="1" x14ac:dyDescent="0.2">
      <c r="A21" s="25"/>
      <c r="B21" s="20">
        <v>39049008500</v>
      </c>
      <c r="C21" s="20">
        <v>85</v>
      </c>
      <c r="D21" s="20" t="s">
        <v>31</v>
      </c>
      <c r="E21" s="20" t="s">
        <v>2830</v>
      </c>
      <c r="F21" s="20" t="s">
        <v>8</v>
      </c>
      <c r="G21" s="861">
        <v>92.348511391874098</v>
      </c>
      <c r="H21" s="861">
        <v>87.580732420038004</v>
      </c>
      <c r="I21" s="861">
        <v>27.370583659882499</v>
      </c>
      <c r="J21" s="861">
        <v>63.137803657598397</v>
      </c>
      <c r="K21" s="982">
        <v>0</v>
      </c>
      <c r="L21" s="735">
        <v>4624</v>
      </c>
      <c r="M21" s="735">
        <v>5450</v>
      </c>
      <c r="N21" s="845">
        <f t="shared" si="0"/>
        <v>0.17863321799307957</v>
      </c>
      <c r="O21" s="735">
        <v>1.1927815375183326</v>
      </c>
      <c r="P21" s="735">
        <f t="shared" si="1"/>
        <v>4569.1518761592461</v>
      </c>
      <c r="Q21" s="849">
        <v>31.2</v>
      </c>
      <c r="R21" s="71">
        <v>99573</v>
      </c>
      <c r="S21" s="845">
        <v>7.3394495412844041E-2</v>
      </c>
      <c r="T21" s="845">
        <v>1.9E-2</v>
      </c>
      <c r="U21" s="845">
        <v>0</v>
      </c>
      <c r="V21" s="845">
        <v>3.1E-2</v>
      </c>
      <c r="W21" s="845">
        <v>0.6000755287009063</v>
      </c>
      <c r="X21" s="845">
        <v>0.34927627438640657</v>
      </c>
      <c r="Y21" s="845">
        <v>0.89798165137614683</v>
      </c>
      <c r="Z21" s="845">
        <v>8.9908256880733943E-3</v>
      </c>
      <c r="AA21" s="845">
        <v>0</v>
      </c>
      <c r="AB21" s="845">
        <v>1.761467889908257E-2</v>
      </c>
      <c r="AC21" s="845">
        <v>0</v>
      </c>
      <c r="AD21" s="845">
        <v>0</v>
      </c>
      <c r="AE21" s="845">
        <v>7.5412844036697249E-2</v>
      </c>
      <c r="AF21" s="845">
        <v>4.6422018348623854E-2</v>
      </c>
      <c r="AG21" s="845">
        <v>0.88422018348623854</v>
      </c>
      <c r="AH21" s="20" t="str">
        <f t="shared" si="2"/>
        <v>No</v>
      </c>
      <c r="AI21" s="25"/>
      <c r="AJ21" s="20">
        <v>44141</v>
      </c>
      <c r="AK21" s="20" t="s">
        <v>1244</v>
      </c>
      <c r="AL21" s="20">
        <v>39035</v>
      </c>
      <c r="AM21" s="20" t="s">
        <v>24</v>
      </c>
      <c r="AN21" s="37">
        <f t="shared" si="3"/>
        <v>17410</v>
      </c>
      <c r="AO21" s="37" t="str">
        <f t="shared" si="4"/>
        <v>Cleveland, OH</v>
      </c>
      <c r="AP21" s="20" t="s">
        <v>6</v>
      </c>
      <c r="AQ21" s="25"/>
      <c r="AR21" s="20" t="s">
        <v>17</v>
      </c>
      <c r="AS21" s="24">
        <v>32800</v>
      </c>
      <c r="AT21" s="24">
        <v>37450</v>
      </c>
      <c r="AU21" s="24">
        <v>42150</v>
      </c>
      <c r="AV21" s="24">
        <v>46800</v>
      </c>
      <c r="AW21" s="24">
        <v>50550</v>
      </c>
      <c r="AX21" s="24">
        <v>54300</v>
      </c>
      <c r="AY21" s="24">
        <v>58050</v>
      </c>
      <c r="AZ21" s="24">
        <v>61800</v>
      </c>
      <c r="BA21" s="29">
        <f t="shared" si="6"/>
        <v>35125</v>
      </c>
      <c r="BB21" s="29">
        <f t="shared" si="7"/>
        <v>48675</v>
      </c>
      <c r="BC21" s="29">
        <f t="shared" si="8"/>
        <v>59925</v>
      </c>
      <c r="BD21" s="25"/>
      <c r="BE21" s="25"/>
      <c r="BF21" s="25"/>
      <c r="BG21" s="25"/>
      <c r="BH21" s="45" t="s">
        <v>282</v>
      </c>
      <c r="BI21" s="45" t="s">
        <v>8</v>
      </c>
      <c r="BJ21" s="44"/>
      <c r="BK21" s="44"/>
      <c r="BL21" s="44"/>
      <c r="BM21" s="25"/>
      <c r="BN21" s="20" t="s">
        <v>17</v>
      </c>
      <c r="BO21" s="71">
        <v>737</v>
      </c>
      <c r="BP21" s="24">
        <v>818</v>
      </c>
      <c r="BQ21" s="24">
        <v>1046</v>
      </c>
      <c r="BR21" s="24">
        <v>1333</v>
      </c>
      <c r="BS21" s="24">
        <v>1470</v>
      </c>
      <c r="BT21" s="122"/>
      <c r="BU21" s="39">
        <v>44056</v>
      </c>
      <c r="BV21" s="39" t="s">
        <v>1177</v>
      </c>
      <c r="BW21" s="39" t="s">
        <v>2929</v>
      </c>
      <c r="BX21" s="39" t="s">
        <v>273</v>
      </c>
      <c r="BY21" s="71">
        <v>1360</v>
      </c>
      <c r="BZ21" s="71">
        <v>1480</v>
      </c>
      <c r="CA21" s="71">
        <v>1900</v>
      </c>
      <c r="CB21" s="71">
        <v>2320</v>
      </c>
      <c r="CC21" s="71">
        <v>2520</v>
      </c>
      <c r="CD21" s="25"/>
      <c r="CE21" s="200"/>
      <c r="CF21" s="200"/>
      <c r="CG21" s="200"/>
      <c r="CH21" s="200"/>
      <c r="CI21" s="200"/>
      <c r="CJ21" s="200"/>
      <c r="CK21" s="200"/>
      <c r="CL21" s="200"/>
      <c r="CM21" s="200"/>
      <c r="CN21" s="200"/>
      <c r="CO21" s="200"/>
      <c r="CP21" s="200"/>
      <c r="CQ21" s="20" t="s">
        <v>17</v>
      </c>
      <c r="CR21" s="236" t="s">
        <v>292</v>
      </c>
      <c r="CS21" s="236" t="s">
        <v>3107</v>
      </c>
      <c r="CT21" s="200"/>
      <c r="CU21" s="200"/>
      <c r="CV21" s="20" t="s">
        <v>17</v>
      </c>
      <c r="CW21" s="20" t="s">
        <v>8</v>
      </c>
      <c r="CX21" s="25"/>
      <c r="CY21" s="20" t="s">
        <v>17</v>
      </c>
      <c r="CZ21" s="20" t="s">
        <v>265</v>
      </c>
      <c r="DA21" s="37" t="s">
        <v>265</v>
      </c>
      <c r="DB21" s="25"/>
      <c r="DC21" s="20" t="s">
        <v>17</v>
      </c>
      <c r="DD21" s="20">
        <v>0</v>
      </c>
      <c r="DE21" s="735">
        <v>0</v>
      </c>
      <c r="DF21" s="179">
        <v>39628</v>
      </c>
      <c r="DG21" s="179">
        <v>38772</v>
      </c>
      <c r="DH21" s="878">
        <f t="shared" si="11"/>
        <v>-2.1600888260825679E-2</v>
      </c>
      <c r="DI21" s="606">
        <v>428.97695734981579</v>
      </c>
      <c r="DJ21" s="179">
        <f t="shared" si="5"/>
        <v>90.382477043825887</v>
      </c>
      <c r="DK21" s="37">
        <v>41.6</v>
      </c>
      <c r="DL21" s="236">
        <v>74239</v>
      </c>
      <c r="DM21" s="878">
        <v>8.199984286200665E-2</v>
      </c>
      <c r="DN21" s="878">
        <v>5.1999999999999998E-2</v>
      </c>
      <c r="DO21" s="878">
        <v>9.0000000000000011E-3</v>
      </c>
      <c r="DP21" s="878">
        <v>4.2000000000000003E-2</v>
      </c>
      <c r="DQ21" s="878">
        <v>0.23343218153687467</v>
      </c>
      <c r="DR21" s="878">
        <v>0.33001933167633252</v>
      </c>
      <c r="DS21" s="878">
        <v>0.92300000000000004</v>
      </c>
      <c r="DT21" s="878">
        <v>1.7000000000000001E-2</v>
      </c>
      <c r="DU21" s="878">
        <v>2E-3</v>
      </c>
      <c r="DV21" s="878">
        <v>4.0000000000000001E-3</v>
      </c>
      <c r="DW21" s="878">
        <v>0</v>
      </c>
      <c r="DX21" s="878">
        <v>8.9999999999999993E-3</v>
      </c>
      <c r="DY21" s="878">
        <v>4.4999999999999998E-2</v>
      </c>
      <c r="DZ21" s="878">
        <v>1.7999999999999999E-2</v>
      </c>
      <c r="EA21" s="878">
        <v>0.92100000000000004</v>
      </c>
      <c r="EB21" s="25"/>
      <c r="EC21" s="37" t="s">
        <v>2048</v>
      </c>
      <c r="ED21" s="25"/>
      <c r="EE21" s="37" t="str">
        <f>IF(Team!E318="","N/A",Team!E318)</f>
        <v>N/A</v>
      </c>
      <c r="EF21" s="25"/>
      <c r="EG21" s="20" t="str">
        <f>IF(OR(Sources!M45&lt;&gt;"Soft Debt",Sources!G45=0,Sources!G45=""),"N/A",Sources!C45)</f>
        <v>N/A</v>
      </c>
      <c r="EH21" s="25"/>
      <c r="EI21" s="20" t="s">
        <v>2225</v>
      </c>
      <c r="EJ21" s="25"/>
      <c r="EK21" s="25"/>
      <c r="EL21" s="25"/>
      <c r="EM21" s="25"/>
      <c r="EN21" s="25"/>
      <c r="EO21" s="25"/>
      <c r="EP21" s="25"/>
      <c r="EQ21" s="25"/>
      <c r="ER21" s="25"/>
      <c r="ES21" s="25"/>
      <c r="ET21" s="25"/>
      <c r="EU21" s="25"/>
      <c r="EV21" s="25"/>
      <c r="EW21" s="25"/>
      <c r="EX21" s="25"/>
    </row>
    <row r="22" spans="1:154" s="17" customFormat="1" x14ac:dyDescent="0.2">
      <c r="A22" s="25"/>
      <c r="B22" s="20">
        <v>39049010100</v>
      </c>
      <c r="C22" s="20">
        <v>101</v>
      </c>
      <c r="D22" s="20" t="s">
        <v>31</v>
      </c>
      <c r="E22" s="20" t="s">
        <v>2830</v>
      </c>
      <c r="F22" s="20" t="s">
        <v>8</v>
      </c>
      <c r="G22" s="861">
        <v>92.037361208893103</v>
      </c>
      <c r="H22" s="861">
        <v>86.783235940312395</v>
      </c>
      <c r="I22" s="861">
        <v>31.570321738211401</v>
      </c>
      <c r="J22" s="861">
        <v>42.192731422231503</v>
      </c>
      <c r="K22" s="982">
        <v>2</v>
      </c>
      <c r="L22" s="735">
        <v>1047</v>
      </c>
      <c r="M22" s="735">
        <v>1363</v>
      </c>
      <c r="N22" s="845">
        <f t="shared" si="0"/>
        <v>0.30181470869149951</v>
      </c>
      <c r="O22" s="735">
        <v>2.5369545036251151</v>
      </c>
      <c r="P22" s="735">
        <f t="shared" si="1"/>
        <v>537.25835368839944</v>
      </c>
      <c r="Q22" s="849">
        <v>37.799999999999997</v>
      </c>
      <c r="R22" s="71">
        <v>75521</v>
      </c>
      <c r="S22" s="845">
        <v>5.6701030927835051E-2</v>
      </c>
      <c r="T22" s="845">
        <v>5.4000000000000006E-2</v>
      </c>
      <c r="U22" s="845">
        <v>0</v>
      </c>
      <c r="V22" s="845">
        <v>4.7E-2</v>
      </c>
      <c r="W22" s="845">
        <v>0.72329472329472333</v>
      </c>
      <c r="X22" s="845">
        <v>0.27758007117437722</v>
      </c>
      <c r="Y22" s="845">
        <v>0.42039618488628028</v>
      </c>
      <c r="Z22" s="845">
        <v>0.42920029347028615</v>
      </c>
      <c r="AA22" s="845">
        <v>0</v>
      </c>
      <c r="AB22" s="845">
        <v>1.6874541452677916E-2</v>
      </c>
      <c r="AC22" s="845">
        <v>0</v>
      </c>
      <c r="AD22" s="845">
        <v>2.6412325752017608E-2</v>
      </c>
      <c r="AE22" s="845">
        <v>0.10711665443873808</v>
      </c>
      <c r="AF22" s="845">
        <v>7.1166544387380778E-2</v>
      </c>
      <c r="AG22" s="845">
        <v>0.41085840058694056</v>
      </c>
      <c r="AH22" s="20" t="str">
        <f t="shared" si="2"/>
        <v>No</v>
      </c>
      <c r="AI22" s="25"/>
      <c r="AJ22" s="37">
        <v>44202</v>
      </c>
      <c r="AK22" s="37" t="s">
        <v>1253</v>
      </c>
      <c r="AL22" s="37">
        <v>39055</v>
      </c>
      <c r="AM22" s="37" t="s">
        <v>34</v>
      </c>
      <c r="AN22" s="37">
        <f t="shared" si="3"/>
        <v>17410</v>
      </c>
      <c r="AO22" s="37" t="str">
        <f t="shared" si="4"/>
        <v>Cleveland, OH</v>
      </c>
      <c r="AP22" s="20" t="s">
        <v>6</v>
      </c>
      <c r="AQ22" s="25"/>
      <c r="AR22" s="20" t="s">
        <v>18</v>
      </c>
      <c r="AS22" s="24">
        <v>30300</v>
      </c>
      <c r="AT22" s="24">
        <v>34600</v>
      </c>
      <c r="AU22" s="24">
        <v>38950</v>
      </c>
      <c r="AV22" s="24">
        <v>43250</v>
      </c>
      <c r="AW22" s="24">
        <v>46750</v>
      </c>
      <c r="AX22" s="24">
        <v>50200</v>
      </c>
      <c r="AY22" s="24">
        <v>53650</v>
      </c>
      <c r="AZ22" s="24">
        <v>57100</v>
      </c>
      <c r="BA22" s="29">
        <f t="shared" si="6"/>
        <v>32450</v>
      </c>
      <c r="BB22" s="29">
        <f t="shared" si="7"/>
        <v>45000</v>
      </c>
      <c r="BC22" s="29">
        <f t="shared" si="8"/>
        <v>55375</v>
      </c>
      <c r="BD22" s="25"/>
      <c r="BE22" s="25"/>
      <c r="BF22" s="25"/>
      <c r="BG22" s="25"/>
      <c r="BH22" s="45" t="s">
        <v>281</v>
      </c>
      <c r="BI22" s="45" t="s">
        <v>8</v>
      </c>
      <c r="BJ22" s="44"/>
      <c r="BK22" s="44"/>
      <c r="BL22" s="44"/>
      <c r="BM22" s="25"/>
      <c r="BN22" s="20" t="s">
        <v>18</v>
      </c>
      <c r="BO22" s="71">
        <v>763</v>
      </c>
      <c r="BP22" s="24">
        <v>843</v>
      </c>
      <c r="BQ22" s="24">
        <v>1106</v>
      </c>
      <c r="BR22" s="24">
        <v>1355</v>
      </c>
      <c r="BS22" s="24">
        <v>1572</v>
      </c>
      <c r="BT22" s="122"/>
      <c r="BU22" s="39">
        <v>44067</v>
      </c>
      <c r="BV22" s="39" t="s">
        <v>1183</v>
      </c>
      <c r="BW22" s="39" t="s">
        <v>2929</v>
      </c>
      <c r="BX22" s="39" t="s">
        <v>273</v>
      </c>
      <c r="BY22" s="71">
        <v>1110</v>
      </c>
      <c r="BZ22" s="71">
        <v>1200</v>
      </c>
      <c r="CA22" s="71">
        <v>1550</v>
      </c>
      <c r="CB22" s="71">
        <v>1890</v>
      </c>
      <c r="CC22" s="71">
        <v>2050</v>
      </c>
      <c r="CD22" s="25"/>
      <c r="CE22" s="200"/>
      <c r="CF22" s="200"/>
      <c r="CG22" s="200"/>
      <c r="CH22" s="200"/>
      <c r="CI22" s="200"/>
      <c r="CJ22" s="200"/>
      <c r="CK22" s="200"/>
      <c r="CL22" s="200"/>
      <c r="CM22" s="200"/>
      <c r="CN22" s="200"/>
      <c r="CO22" s="200"/>
      <c r="CP22" s="200"/>
      <c r="CQ22" s="20" t="s">
        <v>18</v>
      </c>
      <c r="CR22" s="236" t="s">
        <v>2481</v>
      </c>
      <c r="CS22" s="236" t="s">
        <v>3107</v>
      </c>
      <c r="CT22" s="200"/>
      <c r="CU22" s="200"/>
      <c r="CV22" s="20" t="s">
        <v>18</v>
      </c>
      <c r="CW22" s="20" t="s">
        <v>8</v>
      </c>
      <c r="CX22" s="25"/>
      <c r="CY22" s="20" t="s">
        <v>18</v>
      </c>
      <c r="CZ22" s="20">
        <v>44220</v>
      </c>
      <c r="DA22" s="37" t="s">
        <v>2838</v>
      </c>
      <c r="DB22" s="25"/>
      <c r="DC22" s="20" t="s">
        <v>18</v>
      </c>
      <c r="DD22" s="20">
        <v>3</v>
      </c>
      <c r="DE22" s="735">
        <v>279</v>
      </c>
      <c r="DF22" s="179">
        <v>137303</v>
      </c>
      <c r="DG22" s="179">
        <v>135445</v>
      </c>
      <c r="DH22" s="878">
        <f t="shared" si="11"/>
        <v>-1.3532115103093158E-2</v>
      </c>
      <c r="DI22" s="606">
        <v>395.87905251039939</v>
      </c>
      <c r="DJ22" s="179">
        <f t="shared" si="5"/>
        <v>342.13732487510686</v>
      </c>
      <c r="DK22" s="37">
        <v>41.2</v>
      </c>
      <c r="DL22" s="236">
        <v>60846</v>
      </c>
      <c r="DM22" s="878">
        <v>0.15572133280876435</v>
      </c>
      <c r="DN22" s="878">
        <v>6.5000000000000002E-2</v>
      </c>
      <c r="DO22" s="878">
        <v>8.0000000000000002E-3</v>
      </c>
      <c r="DP22" s="878">
        <v>2.8999999999999998E-2</v>
      </c>
      <c r="DQ22" s="878">
        <v>0.30841391775869859</v>
      </c>
      <c r="DR22" s="878">
        <v>0.39981245970814044</v>
      </c>
      <c r="DS22" s="878">
        <v>0.83499999999999996</v>
      </c>
      <c r="DT22" s="878">
        <v>8.2000000000000003E-2</v>
      </c>
      <c r="DU22" s="878">
        <v>0</v>
      </c>
      <c r="DV22" s="878">
        <v>6.0000000000000001E-3</v>
      </c>
      <c r="DW22" s="878">
        <v>1E-3</v>
      </c>
      <c r="DX22" s="878">
        <v>1.7000000000000001E-2</v>
      </c>
      <c r="DY22" s="878">
        <v>5.8000000000000003E-2</v>
      </c>
      <c r="DZ22" s="878">
        <v>0.04</v>
      </c>
      <c r="EA22" s="878">
        <v>0.82399999999999995</v>
      </c>
      <c r="EB22" s="25"/>
      <c r="EC22" s="20" t="s">
        <v>2049</v>
      </c>
      <c r="ED22" s="25"/>
      <c r="EE22" s="20" t="str">
        <f>IF(Team!E327="","N/A",Team!E327)</f>
        <v>N/A</v>
      </c>
      <c r="EF22" s="25"/>
      <c r="EG22" s="20" t="str">
        <f>IF(OR(Sources!M46&lt;&gt;"Soft Debt",Sources!G46=0,Sources!G46=""),"N/A",Sources!C46)</f>
        <v>N/A</v>
      </c>
      <c r="EH22" s="25"/>
      <c r="EI22" s="20" t="s">
        <v>2226</v>
      </c>
      <c r="EJ22" s="25"/>
      <c r="EK22" s="25"/>
      <c r="EL22" s="25"/>
      <c r="EM22" s="25"/>
      <c r="EN22" s="25"/>
      <c r="EO22" s="25"/>
      <c r="EP22" s="25"/>
      <c r="EQ22" s="25"/>
      <c r="ER22" s="25"/>
      <c r="ES22" s="25"/>
      <c r="ET22" s="25"/>
      <c r="EU22" s="25"/>
      <c r="EV22" s="25"/>
      <c r="EW22" s="25"/>
      <c r="EX22" s="25"/>
    </row>
    <row r="23" spans="1:154" s="17" customFormat="1" x14ac:dyDescent="0.2">
      <c r="A23" s="25"/>
      <c r="B23" s="20">
        <v>39049003000</v>
      </c>
      <c r="C23" s="20">
        <v>30</v>
      </c>
      <c r="D23" s="20" t="s">
        <v>31</v>
      </c>
      <c r="E23" s="20" t="s">
        <v>2830</v>
      </c>
      <c r="F23" s="20" t="s">
        <v>8</v>
      </c>
      <c r="G23" s="861">
        <v>91.851362517375406</v>
      </c>
      <c r="H23" s="861">
        <v>82.012974395586397</v>
      </c>
      <c r="I23" s="861">
        <v>38.507018478144801</v>
      </c>
      <c r="J23" s="861">
        <v>52.932173245761099</v>
      </c>
      <c r="K23" s="982">
        <v>5</v>
      </c>
      <c r="L23" s="735">
        <v>3310</v>
      </c>
      <c r="M23" s="735">
        <v>3670</v>
      </c>
      <c r="N23" s="845">
        <f t="shared" si="0"/>
        <v>0.10876132930513595</v>
      </c>
      <c r="O23" s="735">
        <v>1.3610753603034882</v>
      </c>
      <c r="P23" s="735">
        <f t="shared" si="1"/>
        <v>2696.3973539140957</v>
      </c>
      <c r="Q23" s="849">
        <v>30</v>
      </c>
      <c r="R23" s="71">
        <v>74848</v>
      </c>
      <c r="S23" s="845">
        <v>0.20423183072677092</v>
      </c>
      <c r="T23" s="845">
        <v>3.1E-2</v>
      </c>
      <c r="U23" s="845">
        <v>0</v>
      </c>
      <c r="V23" s="845">
        <v>7.0999999999999994E-2</v>
      </c>
      <c r="W23" s="845">
        <v>0.78546861564918313</v>
      </c>
      <c r="X23" s="845">
        <v>0.32457580733442803</v>
      </c>
      <c r="Y23" s="845">
        <v>0.87302452316076296</v>
      </c>
      <c r="Z23" s="845">
        <v>4.959128065395095E-2</v>
      </c>
      <c r="AA23" s="845">
        <v>4.0871934604904629E-3</v>
      </c>
      <c r="AB23" s="845">
        <v>5.776566757493188E-2</v>
      </c>
      <c r="AC23" s="845">
        <v>0</v>
      </c>
      <c r="AD23" s="845">
        <v>2.997275204359673E-3</v>
      </c>
      <c r="AE23" s="845">
        <v>1.2534059945504087E-2</v>
      </c>
      <c r="AF23" s="845">
        <v>4.5776566757493191E-2</v>
      </c>
      <c r="AG23" s="845">
        <v>0.83215258855585827</v>
      </c>
      <c r="AH23" s="20" t="str">
        <f t="shared" si="2"/>
        <v>No</v>
      </c>
      <c r="AI23" s="25"/>
      <c r="AJ23" s="20">
        <v>44280</v>
      </c>
      <c r="AK23" s="20" t="s">
        <v>1290</v>
      </c>
      <c r="AL23" s="20">
        <v>39093</v>
      </c>
      <c r="AM23" s="20" t="s">
        <v>52</v>
      </c>
      <c r="AN23" s="37">
        <f t="shared" si="3"/>
        <v>17410</v>
      </c>
      <c r="AO23" s="37" t="str">
        <f t="shared" si="4"/>
        <v>Cleveland, OH</v>
      </c>
      <c r="AP23" s="20" t="s">
        <v>6</v>
      </c>
      <c r="AQ23" s="25"/>
      <c r="AR23" s="20" t="s">
        <v>19</v>
      </c>
      <c r="AS23" s="24">
        <v>39150</v>
      </c>
      <c r="AT23" s="24">
        <v>44750</v>
      </c>
      <c r="AU23" s="24">
        <v>50350</v>
      </c>
      <c r="AV23" s="24">
        <v>55900</v>
      </c>
      <c r="AW23" s="24">
        <v>60400</v>
      </c>
      <c r="AX23" s="24">
        <v>64850</v>
      </c>
      <c r="AY23" s="24">
        <v>69350</v>
      </c>
      <c r="AZ23" s="24">
        <v>73800</v>
      </c>
      <c r="BA23" s="29">
        <f t="shared" si="6"/>
        <v>41950</v>
      </c>
      <c r="BB23" s="29">
        <f t="shared" si="7"/>
        <v>58150</v>
      </c>
      <c r="BC23" s="29">
        <f t="shared" si="8"/>
        <v>71575</v>
      </c>
      <c r="BD23" s="25"/>
      <c r="BE23" s="25"/>
      <c r="BF23" s="25"/>
      <c r="BG23" s="25"/>
      <c r="BH23" s="45" t="s">
        <v>279</v>
      </c>
      <c r="BI23" s="45" t="s">
        <v>8</v>
      </c>
      <c r="BJ23" s="44"/>
      <c r="BK23" s="44"/>
      <c r="BL23" s="44"/>
      <c r="BM23" s="25"/>
      <c r="BN23" s="20" t="s">
        <v>19</v>
      </c>
      <c r="BO23" s="71">
        <v>958</v>
      </c>
      <c r="BP23" s="24">
        <v>1051</v>
      </c>
      <c r="BQ23" s="24">
        <v>1353</v>
      </c>
      <c r="BR23" s="24">
        <v>1785</v>
      </c>
      <c r="BS23" s="24">
        <v>1976</v>
      </c>
      <c r="BT23" s="122"/>
      <c r="BU23" s="39">
        <v>44087</v>
      </c>
      <c r="BV23" s="39" t="s">
        <v>1196</v>
      </c>
      <c r="BW23" s="39" t="s">
        <v>2929</v>
      </c>
      <c r="BX23" s="39" t="s">
        <v>273</v>
      </c>
      <c r="BY23" s="71">
        <v>1140</v>
      </c>
      <c r="BZ23" s="71">
        <v>1240</v>
      </c>
      <c r="CA23" s="71">
        <v>1600</v>
      </c>
      <c r="CB23" s="71">
        <v>1950</v>
      </c>
      <c r="CC23" s="71">
        <v>2120</v>
      </c>
      <c r="CD23" s="25"/>
      <c r="CE23" s="200"/>
      <c r="CF23" s="200"/>
      <c r="CG23" s="200"/>
      <c r="CH23" s="200"/>
      <c r="CI23" s="200"/>
      <c r="CJ23" s="200"/>
      <c r="CK23" s="200"/>
      <c r="CL23" s="200"/>
      <c r="CM23" s="200"/>
      <c r="CN23" s="200"/>
      <c r="CO23" s="200"/>
      <c r="CP23" s="200"/>
      <c r="CQ23" s="20" t="s">
        <v>19</v>
      </c>
      <c r="CR23" s="236" t="s">
        <v>2481</v>
      </c>
      <c r="CS23" s="236" t="s">
        <v>3107</v>
      </c>
      <c r="CT23" s="200"/>
      <c r="CU23" s="200"/>
      <c r="CV23" s="20" t="s">
        <v>19</v>
      </c>
      <c r="CW23" s="20" t="s">
        <v>6</v>
      </c>
      <c r="CX23" s="25"/>
      <c r="CY23" s="20" t="s">
        <v>19</v>
      </c>
      <c r="CZ23" s="20">
        <v>17140</v>
      </c>
      <c r="DA23" s="37" t="s">
        <v>2828</v>
      </c>
      <c r="DB23" s="25"/>
      <c r="DC23" s="20" t="s">
        <v>19</v>
      </c>
      <c r="DD23" s="20">
        <v>7</v>
      </c>
      <c r="DE23" s="735">
        <v>1023</v>
      </c>
      <c r="DF23" s="179">
        <v>199450</v>
      </c>
      <c r="DG23" s="179">
        <v>209862</v>
      </c>
      <c r="DH23" s="878">
        <f t="shared" si="11"/>
        <v>5.2203559789420907E-2</v>
      </c>
      <c r="DI23" s="606">
        <v>452.56015325877308</v>
      </c>
      <c r="DJ23" s="179">
        <f t="shared" si="5"/>
        <v>463.72178038396873</v>
      </c>
      <c r="DK23" s="37">
        <v>40.799999999999997</v>
      </c>
      <c r="DL23" s="236">
        <v>83178</v>
      </c>
      <c r="DM23" s="878">
        <v>8.8374871723220866E-2</v>
      </c>
      <c r="DN23" s="878">
        <v>4.1000000000000002E-2</v>
      </c>
      <c r="DO23" s="878">
        <v>3.0000000000000001E-3</v>
      </c>
      <c r="DP23" s="878">
        <v>1.8000000000000002E-2</v>
      </c>
      <c r="DQ23" s="878">
        <v>0.26619157160812956</v>
      </c>
      <c r="DR23" s="878">
        <v>0.34500423181433471</v>
      </c>
      <c r="DS23" s="878">
        <v>0.92400000000000004</v>
      </c>
      <c r="DT23" s="878">
        <v>1.4999999999999999E-2</v>
      </c>
      <c r="DU23" s="878">
        <v>1E-3</v>
      </c>
      <c r="DV23" s="878">
        <v>1.0999999999999999E-2</v>
      </c>
      <c r="DW23" s="878">
        <v>0</v>
      </c>
      <c r="DX23" s="878">
        <v>8.9999999999999993E-3</v>
      </c>
      <c r="DY23" s="878">
        <v>0.04</v>
      </c>
      <c r="DZ23" s="878">
        <v>2.4E-2</v>
      </c>
      <c r="EA23" s="878">
        <v>0.91300000000000003</v>
      </c>
      <c r="EB23" s="25"/>
      <c r="EC23" s="20" t="s">
        <v>2050</v>
      </c>
      <c r="ED23" s="25"/>
      <c r="EE23" s="20" t="str">
        <f>IF(Team!E339="","N/A",Team!E339)</f>
        <v>N/A</v>
      </c>
      <c r="EF23" s="25"/>
      <c r="EG23" s="20" t="str">
        <f>IF(OR(Sources!M47&lt;&gt;"Soft Debt",Sources!G47=0,Sources!G47=""),"N/A",Sources!C47)</f>
        <v>N/A</v>
      </c>
      <c r="EH23" s="25"/>
      <c r="EI23" s="20" t="s">
        <v>2227</v>
      </c>
      <c r="EJ23" s="25"/>
      <c r="EK23" s="25"/>
      <c r="EL23" s="25"/>
      <c r="EM23" s="25"/>
      <c r="EN23" s="25"/>
      <c r="EO23" s="25"/>
      <c r="EP23" s="25"/>
      <c r="EQ23" s="25"/>
      <c r="ER23" s="25"/>
      <c r="ES23" s="25"/>
      <c r="ET23" s="25"/>
      <c r="EU23" s="25"/>
      <c r="EV23" s="25"/>
      <c r="EW23" s="25"/>
      <c r="EX23" s="25"/>
    </row>
    <row r="24" spans="1:154" s="17" customFormat="1" x14ac:dyDescent="0.2">
      <c r="A24" s="25"/>
      <c r="B24" s="20">
        <v>39061005301</v>
      </c>
      <c r="C24" s="20">
        <v>53.01</v>
      </c>
      <c r="D24" s="20" t="s">
        <v>37</v>
      </c>
      <c r="E24" s="20" t="s">
        <v>2828</v>
      </c>
      <c r="F24" s="20" t="s">
        <v>8</v>
      </c>
      <c r="G24" s="861">
        <v>91.330611937417601</v>
      </c>
      <c r="H24" s="861">
        <v>72.240912672436394</v>
      </c>
      <c r="I24" s="861">
        <v>25.958324304707901</v>
      </c>
      <c r="J24" s="861">
        <v>51.7550188519918</v>
      </c>
      <c r="K24" s="982">
        <v>0</v>
      </c>
      <c r="L24" s="735">
        <v>2718</v>
      </c>
      <c r="M24" s="735">
        <v>3496</v>
      </c>
      <c r="N24" s="845">
        <f t="shared" si="0"/>
        <v>0.28623988226637231</v>
      </c>
      <c r="O24" s="735">
        <v>0.48768525041607241</v>
      </c>
      <c r="P24" s="735">
        <f t="shared" si="1"/>
        <v>7168.5579931264292</v>
      </c>
      <c r="Q24" s="849">
        <v>33</v>
      </c>
      <c r="R24" s="71">
        <v>86518</v>
      </c>
      <c r="S24" s="845">
        <v>6.664759725400457E-2</v>
      </c>
      <c r="T24" s="845">
        <v>6.0000000000000001E-3</v>
      </c>
      <c r="U24" s="845">
        <v>0</v>
      </c>
      <c r="V24" s="845">
        <v>1.7000000000000001E-2</v>
      </c>
      <c r="W24" s="845">
        <v>0.67992333493052226</v>
      </c>
      <c r="X24" s="845">
        <v>0.18745595489781536</v>
      </c>
      <c r="Y24" s="845">
        <v>0.81893592677345539</v>
      </c>
      <c r="Z24" s="845">
        <v>7.5514874141876437E-2</v>
      </c>
      <c r="AA24" s="845">
        <v>8.2951945080091526E-3</v>
      </c>
      <c r="AB24" s="845">
        <v>1.0011441647597255E-2</v>
      </c>
      <c r="AC24" s="845">
        <v>0</v>
      </c>
      <c r="AD24" s="845">
        <v>4.5766590389016018E-3</v>
      </c>
      <c r="AE24" s="845">
        <v>8.2665903890160181E-2</v>
      </c>
      <c r="AF24" s="845">
        <v>7.8375286041189929E-2</v>
      </c>
      <c r="AG24" s="845">
        <v>0.81464530892448517</v>
      </c>
      <c r="AH24" s="20" t="str">
        <f t="shared" si="2"/>
        <v>No</v>
      </c>
      <c r="AI24" s="25"/>
      <c r="AJ24" s="20">
        <v>44251</v>
      </c>
      <c r="AK24" s="20" t="s">
        <v>1274</v>
      </c>
      <c r="AL24" s="20">
        <v>39103</v>
      </c>
      <c r="AM24" s="20" t="s">
        <v>57</v>
      </c>
      <c r="AN24" s="37">
        <f t="shared" si="3"/>
        <v>17410</v>
      </c>
      <c r="AO24" s="37" t="str">
        <f t="shared" si="4"/>
        <v>Cleveland, OH</v>
      </c>
      <c r="AP24" s="20" t="s">
        <v>6</v>
      </c>
      <c r="AQ24" s="25"/>
      <c r="AR24" s="20" t="s">
        <v>20</v>
      </c>
      <c r="AS24" s="24">
        <v>31450</v>
      </c>
      <c r="AT24" s="24">
        <v>35950</v>
      </c>
      <c r="AU24" s="24">
        <v>40450</v>
      </c>
      <c r="AV24" s="24">
        <v>44900</v>
      </c>
      <c r="AW24" s="24">
        <v>48500</v>
      </c>
      <c r="AX24" s="24">
        <v>52100</v>
      </c>
      <c r="AY24" s="24">
        <v>55700</v>
      </c>
      <c r="AZ24" s="24">
        <v>59300</v>
      </c>
      <c r="BA24" s="29">
        <f t="shared" si="6"/>
        <v>33700</v>
      </c>
      <c r="BB24" s="29">
        <f t="shared" si="7"/>
        <v>46700</v>
      </c>
      <c r="BC24" s="29">
        <f t="shared" si="8"/>
        <v>57500</v>
      </c>
      <c r="BD24" s="25"/>
      <c r="BE24" s="25"/>
      <c r="BF24" s="25"/>
      <c r="BG24" s="25"/>
      <c r="BH24" s="45" t="s">
        <v>88</v>
      </c>
      <c r="BI24" s="45" t="s">
        <v>6</v>
      </c>
      <c r="BJ24" s="44"/>
      <c r="BK24" s="44"/>
      <c r="BL24" s="44"/>
      <c r="BM24" s="25"/>
      <c r="BN24" s="20" t="s">
        <v>20</v>
      </c>
      <c r="BO24" s="71">
        <v>778</v>
      </c>
      <c r="BP24" s="24">
        <v>838</v>
      </c>
      <c r="BQ24" s="24">
        <v>1029</v>
      </c>
      <c r="BR24" s="24">
        <v>1349</v>
      </c>
      <c r="BS24" s="24">
        <v>1696</v>
      </c>
      <c r="BT24" s="122"/>
      <c r="BU24" s="39">
        <v>44141</v>
      </c>
      <c r="BV24" s="39" t="s">
        <v>1244</v>
      </c>
      <c r="BW24" s="39" t="s">
        <v>2929</v>
      </c>
      <c r="BX24" s="39" t="s">
        <v>273</v>
      </c>
      <c r="BY24" s="71">
        <v>1280</v>
      </c>
      <c r="BZ24" s="71">
        <v>1450</v>
      </c>
      <c r="CA24" s="71">
        <v>1760</v>
      </c>
      <c r="CB24" s="71">
        <v>2260</v>
      </c>
      <c r="CC24" s="71">
        <v>2420</v>
      </c>
      <c r="CD24" s="25"/>
      <c r="CE24" s="200"/>
      <c r="CF24" s="200"/>
      <c r="CG24" s="200"/>
      <c r="CH24" s="200"/>
      <c r="CI24" s="200"/>
      <c r="CJ24" s="200"/>
      <c r="CK24" s="200"/>
      <c r="CL24" s="200"/>
      <c r="CM24" s="200"/>
      <c r="CN24" s="200"/>
      <c r="CO24" s="200"/>
      <c r="CP24" s="200"/>
      <c r="CQ24" s="20" t="s">
        <v>20</v>
      </c>
      <c r="CR24" s="236" t="s">
        <v>292</v>
      </c>
      <c r="CS24" s="236" t="s">
        <v>3107</v>
      </c>
      <c r="CT24" s="200"/>
      <c r="CU24" s="200"/>
      <c r="CV24" s="20" t="s">
        <v>20</v>
      </c>
      <c r="CW24" s="20" t="s">
        <v>8</v>
      </c>
      <c r="CX24" s="25"/>
      <c r="CY24" s="20" t="s">
        <v>20</v>
      </c>
      <c r="CZ24" s="20" t="s">
        <v>265</v>
      </c>
      <c r="DA24" s="37" t="s">
        <v>265</v>
      </c>
      <c r="DB24" s="25"/>
      <c r="DC24" s="20" t="s">
        <v>20</v>
      </c>
      <c r="DD24" s="20">
        <v>2</v>
      </c>
      <c r="DE24" s="735">
        <v>92</v>
      </c>
      <c r="DF24" s="179">
        <v>41871</v>
      </c>
      <c r="DG24" s="179">
        <v>42014</v>
      </c>
      <c r="DH24" s="878">
        <f t="shared" si="11"/>
        <v>3.41525160612357E-3</v>
      </c>
      <c r="DI24" s="606">
        <v>408.73141267046202</v>
      </c>
      <c r="DJ24" s="179">
        <f t="shared" si="5"/>
        <v>102.79121862814496</v>
      </c>
      <c r="DK24" s="37">
        <v>41</v>
      </c>
      <c r="DL24" s="236">
        <v>68125</v>
      </c>
      <c r="DM24" s="878">
        <v>0.14774987110554613</v>
      </c>
      <c r="DN24" s="878">
        <v>4.7E-2</v>
      </c>
      <c r="DO24" s="878">
        <v>3.0000000000000001E-3</v>
      </c>
      <c r="DP24" s="878">
        <v>2.7000000000000003E-2</v>
      </c>
      <c r="DQ24" s="878">
        <v>0.29466553767993225</v>
      </c>
      <c r="DR24" s="878">
        <v>0.33230706075533661</v>
      </c>
      <c r="DS24" s="878">
        <v>0.92600000000000005</v>
      </c>
      <c r="DT24" s="878">
        <v>1.9E-2</v>
      </c>
      <c r="DU24" s="878">
        <v>6.0000000000000001E-3</v>
      </c>
      <c r="DV24" s="878">
        <v>7.0000000000000001E-3</v>
      </c>
      <c r="DW24" s="878">
        <v>0</v>
      </c>
      <c r="DX24" s="878">
        <v>8.9999999999999993E-3</v>
      </c>
      <c r="DY24" s="878">
        <v>3.3000000000000002E-2</v>
      </c>
      <c r="DZ24" s="878">
        <v>2.1000000000000001E-2</v>
      </c>
      <c r="EA24" s="878">
        <v>0.92100000000000004</v>
      </c>
      <c r="EB24" s="25"/>
      <c r="EC24" s="20" t="s">
        <v>100</v>
      </c>
      <c r="ED24" s="25"/>
      <c r="EE24" s="20" t="str">
        <f>IF(Team!E348="","N/A",Team!E348)</f>
        <v>N/A</v>
      </c>
      <c r="EF24" s="25"/>
      <c r="EG24" s="20" t="str">
        <f>IF(OR(Sources!M48&lt;&gt;"Soft Debt",Sources!G48=0,Sources!G48=""),"N/A",Sources!C48)</f>
        <v>N/A</v>
      </c>
      <c r="EH24" s="25"/>
      <c r="EI24" s="20" t="s">
        <v>2228</v>
      </c>
      <c r="EJ24" s="25"/>
      <c r="EK24" s="25"/>
      <c r="EL24" s="25"/>
      <c r="EM24" s="25"/>
      <c r="EN24" s="25"/>
      <c r="EO24" s="25"/>
      <c r="EP24" s="25"/>
      <c r="EQ24" s="25"/>
      <c r="ER24" s="25"/>
      <c r="ES24" s="25"/>
      <c r="ET24" s="25"/>
      <c r="EU24" s="25"/>
      <c r="EV24" s="25"/>
      <c r="EW24" s="25"/>
      <c r="EX24" s="25"/>
    </row>
    <row r="25" spans="1:154" s="17" customFormat="1" x14ac:dyDescent="0.2">
      <c r="A25" s="25"/>
      <c r="B25" s="20">
        <v>39049009000</v>
      </c>
      <c r="C25" s="20">
        <v>90</v>
      </c>
      <c r="D25" s="20" t="s">
        <v>31</v>
      </c>
      <c r="E25" s="20" t="s">
        <v>2830</v>
      </c>
      <c r="F25" s="20" t="s">
        <v>8</v>
      </c>
      <c r="G25" s="861">
        <v>90.568135135825003</v>
      </c>
      <c r="H25" s="861">
        <v>80.822927486107105</v>
      </c>
      <c r="I25" s="861">
        <v>30.439769100256399</v>
      </c>
      <c r="J25" s="861">
        <v>49.616869418439101</v>
      </c>
      <c r="K25" s="982">
        <v>0</v>
      </c>
      <c r="L25" s="735">
        <v>3114</v>
      </c>
      <c r="M25" s="735">
        <v>3384</v>
      </c>
      <c r="N25" s="845">
        <f t="shared" si="0"/>
        <v>8.6705202312138727E-2</v>
      </c>
      <c r="O25" s="735">
        <v>1.0143702937694181</v>
      </c>
      <c r="P25" s="735">
        <f t="shared" si="1"/>
        <v>3336.0598400658951</v>
      </c>
      <c r="Q25" s="849">
        <v>45.3</v>
      </c>
      <c r="R25" s="71">
        <v>155417</v>
      </c>
      <c r="S25" s="845">
        <v>2.9102910291029103E-2</v>
      </c>
      <c r="T25" s="845">
        <v>1.8000000000000002E-2</v>
      </c>
      <c r="U25" s="845">
        <v>3.7000000000000005E-2</v>
      </c>
      <c r="V25" s="845">
        <v>0</v>
      </c>
      <c r="W25" s="845">
        <v>0.21882951653944022</v>
      </c>
      <c r="X25" s="845">
        <v>0.47286821705426357</v>
      </c>
      <c r="Y25" s="845">
        <v>0.91193853427895977</v>
      </c>
      <c r="Z25" s="845">
        <v>2.7482269503546101E-2</v>
      </c>
      <c r="AA25" s="845">
        <v>0</v>
      </c>
      <c r="AB25" s="845">
        <v>2.2163120567375887E-2</v>
      </c>
      <c r="AC25" s="845">
        <v>0</v>
      </c>
      <c r="AD25" s="845">
        <v>0</v>
      </c>
      <c r="AE25" s="845">
        <v>3.8416075650118203E-2</v>
      </c>
      <c r="AF25" s="845">
        <v>6.2056737588652485E-3</v>
      </c>
      <c r="AG25" s="845">
        <v>0.90780141843971629</v>
      </c>
      <c r="AH25" s="20" t="str">
        <f t="shared" si="2"/>
        <v>Yes</v>
      </c>
      <c r="AI25" s="25"/>
      <c r="AJ25" s="37">
        <v>44280</v>
      </c>
      <c r="AK25" s="37" t="s">
        <v>1290</v>
      </c>
      <c r="AL25" s="37">
        <v>39103</v>
      </c>
      <c r="AM25" s="37" t="s">
        <v>57</v>
      </c>
      <c r="AN25" s="37">
        <f t="shared" si="3"/>
        <v>17410</v>
      </c>
      <c r="AO25" s="37" t="str">
        <f t="shared" si="4"/>
        <v>Cleveland, OH</v>
      </c>
      <c r="AP25" s="20" t="s">
        <v>6</v>
      </c>
      <c r="AQ25" s="25"/>
      <c r="AR25" s="20" t="s">
        <v>21</v>
      </c>
      <c r="AS25" s="24">
        <v>29850</v>
      </c>
      <c r="AT25" s="24">
        <v>34100</v>
      </c>
      <c r="AU25" s="24">
        <v>38350</v>
      </c>
      <c r="AV25" s="24">
        <v>42600</v>
      </c>
      <c r="AW25" s="24">
        <v>46050</v>
      </c>
      <c r="AX25" s="24">
        <v>49450</v>
      </c>
      <c r="AY25" s="24">
        <v>52850</v>
      </c>
      <c r="AZ25" s="24">
        <v>56250</v>
      </c>
      <c r="BA25" s="29">
        <f t="shared" si="6"/>
        <v>31975</v>
      </c>
      <c r="BB25" s="29">
        <f t="shared" si="7"/>
        <v>44325</v>
      </c>
      <c r="BC25" s="29">
        <f t="shared" si="8"/>
        <v>54550</v>
      </c>
      <c r="BD25" s="25"/>
      <c r="BE25" s="25"/>
      <c r="BF25" s="25"/>
      <c r="BG25" s="25"/>
      <c r="BH25" s="45" t="s">
        <v>317</v>
      </c>
      <c r="BI25" s="45" t="s">
        <v>8</v>
      </c>
      <c r="BJ25" s="44"/>
      <c r="BK25" s="44"/>
      <c r="BL25" s="44"/>
      <c r="BM25" s="25"/>
      <c r="BN25" s="20" t="s">
        <v>21</v>
      </c>
      <c r="BO25" s="71">
        <v>693</v>
      </c>
      <c r="BP25" s="24">
        <v>779</v>
      </c>
      <c r="BQ25" s="24">
        <v>973</v>
      </c>
      <c r="BR25" s="24">
        <v>1218</v>
      </c>
      <c r="BS25" s="24">
        <v>1288</v>
      </c>
      <c r="BT25" s="122"/>
      <c r="BU25" s="39">
        <v>44201</v>
      </c>
      <c r="BV25" s="39" t="s">
        <v>1252</v>
      </c>
      <c r="BW25" s="39" t="s">
        <v>2929</v>
      </c>
      <c r="BX25" s="39" t="s">
        <v>273</v>
      </c>
      <c r="BY25" s="71">
        <v>940</v>
      </c>
      <c r="BZ25" s="71">
        <v>1030</v>
      </c>
      <c r="CA25" s="71">
        <v>1320</v>
      </c>
      <c r="CB25" s="71">
        <v>1610</v>
      </c>
      <c r="CC25" s="71">
        <v>1750</v>
      </c>
      <c r="CD25" s="25"/>
      <c r="CE25" s="200"/>
      <c r="CF25" s="200"/>
      <c r="CG25" s="200"/>
      <c r="CH25" s="200"/>
      <c r="CI25" s="200"/>
      <c r="CJ25" s="200"/>
      <c r="CK25" s="200"/>
      <c r="CL25" s="200"/>
      <c r="CM25" s="200"/>
      <c r="CN25" s="200"/>
      <c r="CO25" s="200"/>
      <c r="CP25" s="200"/>
      <c r="CQ25" s="20" t="s">
        <v>21</v>
      </c>
      <c r="CR25" s="236" t="s">
        <v>292</v>
      </c>
      <c r="CS25" s="236" t="s">
        <v>3109</v>
      </c>
      <c r="CT25" s="200"/>
      <c r="CU25" s="200"/>
      <c r="CV25" s="20" t="s">
        <v>21</v>
      </c>
      <c r="CW25" s="20" t="s">
        <v>6</v>
      </c>
      <c r="CX25" s="25"/>
      <c r="CY25" s="20" t="s">
        <v>21</v>
      </c>
      <c r="CZ25" s="20" t="s">
        <v>265</v>
      </c>
      <c r="DA25" s="37" t="s">
        <v>265</v>
      </c>
      <c r="DB25" s="25"/>
      <c r="DC25" s="20" t="s">
        <v>21</v>
      </c>
      <c r="DD25" s="20">
        <v>0</v>
      </c>
      <c r="DE25" s="735">
        <v>0</v>
      </c>
      <c r="DF25" s="179">
        <v>106622</v>
      </c>
      <c r="DG25" s="179">
        <v>101203</v>
      </c>
      <c r="DH25" s="878">
        <f t="shared" si="11"/>
        <v>-5.0824407720733059E-2</v>
      </c>
      <c r="DI25" s="606">
        <v>531.93004194911157</v>
      </c>
      <c r="DJ25" s="179">
        <f t="shared" si="5"/>
        <v>190.25622171887377</v>
      </c>
      <c r="DK25" s="37">
        <v>44.7</v>
      </c>
      <c r="DL25" s="236">
        <v>58474</v>
      </c>
      <c r="DM25" s="878">
        <v>0.13853438049658445</v>
      </c>
      <c r="DN25" s="878">
        <v>4.8000000000000001E-2</v>
      </c>
      <c r="DO25" s="878">
        <v>9.0000000000000011E-3</v>
      </c>
      <c r="DP25" s="878">
        <v>3.2000000000000001E-2</v>
      </c>
      <c r="DQ25" s="878">
        <v>0.26876132930513597</v>
      </c>
      <c r="DR25" s="878">
        <v>0.37230215827338131</v>
      </c>
      <c r="DS25" s="878">
        <v>0.93200000000000005</v>
      </c>
      <c r="DT25" s="878">
        <v>1.9E-2</v>
      </c>
      <c r="DU25" s="878">
        <v>2E-3</v>
      </c>
      <c r="DV25" s="878">
        <v>4.0000000000000001E-3</v>
      </c>
      <c r="DW25" s="878">
        <v>1E-3</v>
      </c>
      <c r="DX25" s="878">
        <v>7.0000000000000001E-3</v>
      </c>
      <c r="DY25" s="878">
        <v>3.5000000000000003E-2</v>
      </c>
      <c r="DZ25" s="878">
        <v>1.7999999999999999E-2</v>
      </c>
      <c r="EA25" s="878">
        <v>0.92500000000000004</v>
      </c>
      <c r="EB25" s="25"/>
      <c r="EC25" s="25"/>
      <c r="ED25" s="25"/>
      <c r="EE25" s="20" t="str">
        <f>IF(Team!E360="","N/A",Team!E360)</f>
        <v>N/A</v>
      </c>
      <c r="EF25" s="25"/>
      <c r="EG25" s="20" t="str">
        <f>IF(OR(Sources!M49&lt;&gt;"Soft Debt",Sources!G49=0,Sources!G49=""),"N/A",Sources!C49)</f>
        <v>N/A</v>
      </c>
      <c r="EH25" s="25"/>
      <c r="EI25" s="20" t="s">
        <v>2229</v>
      </c>
      <c r="EJ25" s="25"/>
      <c r="EK25" s="25"/>
      <c r="EL25" s="25"/>
      <c r="EM25" s="25"/>
      <c r="EN25" s="25"/>
      <c r="EO25" s="25"/>
      <c r="EP25" s="25"/>
      <c r="EQ25" s="25"/>
      <c r="ER25" s="25"/>
      <c r="ES25" s="25"/>
      <c r="ET25" s="25"/>
      <c r="EU25" s="25"/>
      <c r="EV25" s="25"/>
      <c r="EW25" s="25"/>
      <c r="EX25" s="25"/>
    </row>
    <row r="26" spans="1:154" s="17" customFormat="1" x14ac:dyDescent="0.2">
      <c r="A26" s="25"/>
      <c r="B26" s="20">
        <v>39049008400</v>
      </c>
      <c r="C26" s="20">
        <v>84</v>
      </c>
      <c r="D26" s="20" t="s">
        <v>31</v>
      </c>
      <c r="E26" s="20" t="s">
        <v>2830</v>
      </c>
      <c r="F26" s="20" t="s">
        <v>8</v>
      </c>
      <c r="G26" s="861">
        <v>90.554661846814696</v>
      </c>
      <c r="H26" s="861">
        <v>90.2945130891177</v>
      </c>
      <c r="I26" s="861">
        <v>39.849737801194799</v>
      </c>
      <c r="J26" s="861">
        <v>39.985732550150601</v>
      </c>
      <c r="K26" s="982">
        <v>0</v>
      </c>
      <c r="L26" s="735">
        <v>3008</v>
      </c>
      <c r="M26" s="735">
        <v>4027</v>
      </c>
      <c r="N26" s="845">
        <f t="shared" si="0"/>
        <v>0.33876329787234044</v>
      </c>
      <c r="O26" s="735">
        <v>0.84654365459615954</v>
      </c>
      <c r="P26" s="735">
        <f t="shared" si="1"/>
        <v>4756.9903549995479</v>
      </c>
      <c r="Q26" s="849">
        <v>44.9</v>
      </c>
      <c r="R26" s="71">
        <v>121750</v>
      </c>
      <c r="S26" s="845">
        <v>3.3557046979865772E-2</v>
      </c>
      <c r="T26" s="845">
        <v>1.2E-2</v>
      </c>
      <c r="U26" s="845">
        <v>5.0000000000000001E-3</v>
      </c>
      <c r="V26" s="845">
        <v>3.7999999999999999E-2</v>
      </c>
      <c r="W26" s="845">
        <v>0.18348115299334811</v>
      </c>
      <c r="X26" s="845">
        <v>0.50151057401812693</v>
      </c>
      <c r="Y26" s="845">
        <v>0.77725353861435309</v>
      </c>
      <c r="Z26" s="845">
        <v>2.8308914824931711E-2</v>
      </c>
      <c r="AA26" s="845">
        <v>0</v>
      </c>
      <c r="AB26" s="845">
        <v>4.1221753166128632E-2</v>
      </c>
      <c r="AC26" s="845">
        <v>0</v>
      </c>
      <c r="AD26" s="845">
        <v>2.9798857710454435E-3</v>
      </c>
      <c r="AE26" s="845">
        <v>0.15023590762354111</v>
      </c>
      <c r="AF26" s="845">
        <v>1.1671219269927986E-2</v>
      </c>
      <c r="AG26" s="845">
        <v>0.77427365284330762</v>
      </c>
      <c r="AH26" s="20" t="str">
        <f t="shared" si="2"/>
        <v>No</v>
      </c>
      <c r="AI26" s="25"/>
      <c r="AJ26" s="20">
        <v>43054</v>
      </c>
      <c r="AK26" s="20" t="s">
        <v>767</v>
      </c>
      <c r="AL26" s="20">
        <v>39041</v>
      </c>
      <c r="AM26" s="20" t="s">
        <v>27</v>
      </c>
      <c r="AN26" s="37">
        <f t="shared" si="3"/>
        <v>18140</v>
      </c>
      <c r="AO26" s="37" t="str">
        <f t="shared" si="4"/>
        <v>Columbus, OH</v>
      </c>
      <c r="AP26" s="20" t="s">
        <v>6</v>
      </c>
      <c r="AQ26" s="25"/>
      <c r="AR26" s="20" t="s">
        <v>22</v>
      </c>
      <c r="AS26" s="24">
        <v>29850</v>
      </c>
      <c r="AT26" s="24">
        <v>34100</v>
      </c>
      <c r="AU26" s="24">
        <v>38350</v>
      </c>
      <c r="AV26" s="24">
        <v>42600</v>
      </c>
      <c r="AW26" s="24">
        <v>46050</v>
      </c>
      <c r="AX26" s="24">
        <v>49450</v>
      </c>
      <c r="AY26" s="24">
        <v>52850</v>
      </c>
      <c r="AZ26" s="24">
        <v>56250</v>
      </c>
      <c r="BA26" s="29">
        <f t="shared" si="6"/>
        <v>31975</v>
      </c>
      <c r="BB26" s="29">
        <f t="shared" si="7"/>
        <v>44325</v>
      </c>
      <c r="BC26" s="29">
        <f t="shared" si="8"/>
        <v>54550</v>
      </c>
      <c r="BD26" s="25"/>
      <c r="BE26" s="25"/>
      <c r="BF26" s="25"/>
      <c r="BG26" s="25"/>
      <c r="BH26" s="25"/>
      <c r="BI26" s="25"/>
      <c r="BJ26" s="25"/>
      <c r="BK26" s="25"/>
      <c r="BL26" s="25"/>
      <c r="BM26" s="25"/>
      <c r="BN26" s="20" t="s">
        <v>22</v>
      </c>
      <c r="BO26" s="71">
        <v>736</v>
      </c>
      <c r="BP26" s="24">
        <v>824</v>
      </c>
      <c r="BQ26" s="24">
        <v>973</v>
      </c>
      <c r="BR26" s="24">
        <v>1254</v>
      </c>
      <c r="BS26" s="24">
        <v>1632</v>
      </c>
      <c r="BT26" s="122"/>
      <c r="BU26" s="39">
        <v>44202</v>
      </c>
      <c r="BV26" s="39" t="s">
        <v>1253</v>
      </c>
      <c r="BW26" s="39" t="s">
        <v>2929</v>
      </c>
      <c r="BX26" s="39" t="s">
        <v>273</v>
      </c>
      <c r="BY26" s="71">
        <v>1360</v>
      </c>
      <c r="BZ26" s="71">
        <v>1480</v>
      </c>
      <c r="CA26" s="71">
        <v>1900</v>
      </c>
      <c r="CB26" s="71">
        <v>2320</v>
      </c>
      <c r="CC26" s="71">
        <v>2520</v>
      </c>
      <c r="CD26" s="25"/>
      <c r="CE26" s="200"/>
      <c r="CF26" s="200"/>
      <c r="CG26" s="200"/>
      <c r="CH26" s="200"/>
      <c r="CI26" s="200"/>
      <c r="CJ26" s="200"/>
      <c r="CK26" s="200"/>
      <c r="CL26" s="200"/>
      <c r="CM26" s="200"/>
      <c r="CN26" s="200"/>
      <c r="CO26" s="200"/>
      <c r="CP26" s="200"/>
      <c r="CQ26" s="20" t="s">
        <v>22</v>
      </c>
      <c r="CR26" s="236" t="s">
        <v>292</v>
      </c>
      <c r="CS26" s="236" t="s">
        <v>3110</v>
      </c>
      <c r="CT26" s="200"/>
      <c r="CU26" s="200"/>
      <c r="CV26" s="20" t="s">
        <v>22</v>
      </c>
      <c r="CW26" s="20" t="s">
        <v>6</v>
      </c>
      <c r="CX26" s="25"/>
      <c r="CY26" s="20" t="s">
        <v>22</v>
      </c>
      <c r="CZ26" s="20" t="s">
        <v>265</v>
      </c>
      <c r="DA26" s="37" t="s">
        <v>265</v>
      </c>
      <c r="DB26" s="25"/>
      <c r="DC26" s="20" t="s">
        <v>22</v>
      </c>
      <c r="DD26" s="20">
        <v>0</v>
      </c>
      <c r="DE26" s="735">
        <v>0</v>
      </c>
      <c r="DF26" s="179">
        <v>36768</v>
      </c>
      <c r="DG26" s="179">
        <v>36679</v>
      </c>
      <c r="DH26" s="878">
        <f t="shared" si="11"/>
        <v>-2.4205831157528284E-3</v>
      </c>
      <c r="DI26" s="606">
        <v>563.91053702559282</v>
      </c>
      <c r="DJ26" s="179">
        <f t="shared" si="5"/>
        <v>65.044005372673752</v>
      </c>
      <c r="DK26" s="37">
        <v>41</v>
      </c>
      <c r="DL26" s="236">
        <v>54687</v>
      </c>
      <c r="DM26" s="878">
        <v>0.18789861904497809</v>
      </c>
      <c r="DN26" s="878">
        <v>5.2999999999999999E-2</v>
      </c>
      <c r="DO26" s="878">
        <v>1.4999999999999999E-2</v>
      </c>
      <c r="DP26" s="878">
        <v>6.4000000000000001E-2</v>
      </c>
      <c r="DQ26" s="878">
        <v>0.27483176312247642</v>
      </c>
      <c r="DR26" s="878">
        <v>0.3809990205680705</v>
      </c>
      <c r="DS26" s="878">
        <v>0.94699999999999995</v>
      </c>
      <c r="DT26" s="878">
        <v>7.0000000000000001E-3</v>
      </c>
      <c r="DU26" s="878">
        <v>1E-3</v>
      </c>
      <c r="DV26" s="878">
        <v>4.0000000000000001E-3</v>
      </c>
      <c r="DW26" s="878">
        <v>0</v>
      </c>
      <c r="DX26" s="878">
        <v>3.0000000000000001E-3</v>
      </c>
      <c r="DY26" s="878">
        <v>3.6999999999999998E-2</v>
      </c>
      <c r="DZ26" s="878">
        <v>3.0000000000000001E-3</v>
      </c>
      <c r="EA26" s="878">
        <v>0.94599999999999995</v>
      </c>
      <c r="EB26" s="25"/>
      <c r="EC26" s="25"/>
      <c r="ED26" s="25"/>
      <c r="EE26" s="20" t="str">
        <f>IF(Team!E369="","N/A",Team!E369)</f>
        <v>N/A</v>
      </c>
      <c r="EF26" s="25"/>
      <c r="EG26" s="20" t="str">
        <f>IF(OR(Sources!M50&lt;&gt;"Soft Debt",Sources!G50=0,Sources!G50=""),"N/A",Sources!C50)</f>
        <v>N/A</v>
      </c>
      <c r="EH26" s="25"/>
      <c r="EI26" s="20" t="s">
        <v>2230</v>
      </c>
      <c r="EJ26" s="25"/>
      <c r="EK26" s="25"/>
      <c r="EL26" s="25"/>
      <c r="EM26" s="25"/>
      <c r="EN26" s="25"/>
      <c r="EO26" s="25"/>
      <c r="EP26" s="25"/>
      <c r="EQ26" s="25"/>
      <c r="ER26" s="25"/>
      <c r="ES26" s="25"/>
      <c r="ET26" s="25"/>
      <c r="EU26" s="25"/>
      <c r="EV26" s="25"/>
      <c r="EW26" s="25"/>
      <c r="EX26" s="25"/>
    </row>
    <row r="27" spans="1:154" s="17" customFormat="1" x14ac:dyDescent="0.2">
      <c r="A27" s="25"/>
      <c r="B27" s="20">
        <v>39049006238</v>
      </c>
      <c r="C27" s="20">
        <v>62.38</v>
      </c>
      <c r="D27" s="20" t="s">
        <v>31</v>
      </c>
      <c r="E27" s="20" t="s">
        <v>2830</v>
      </c>
      <c r="F27" s="20" t="s">
        <v>8</v>
      </c>
      <c r="G27" s="861">
        <v>90.434357731585393</v>
      </c>
      <c r="H27" s="861">
        <v>92.091140871877698</v>
      </c>
      <c r="I27" s="861">
        <v>19.074285618799301</v>
      </c>
      <c r="J27" s="861">
        <v>30.5255459097379</v>
      </c>
      <c r="K27" s="982">
        <v>0</v>
      </c>
      <c r="L27" s="735" t="s">
        <v>2466</v>
      </c>
      <c r="M27" s="735">
        <v>1838</v>
      </c>
      <c r="N27" s="845" t="str">
        <f t="shared" si="0"/>
        <v/>
      </c>
      <c r="O27" s="735">
        <v>1.8817966697152135</v>
      </c>
      <c r="P27" s="735">
        <f t="shared" si="1"/>
        <v>976.72614134138007</v>
      </c>
      <c r="Q27" s="849">
        <v>43.4</v>
      </c>
      <c r="R27" s="71">
        <v>115469</v>
      </c>
      <c r="S27" s="845">
        <v>2.720348204570185E-2</v>
      </c>
      <c r="T27" s="845">
        <v>4.9000000000000002E-2</v>
      </c>
      <c r="U27" s="845">
        <v>6.7000000000000004E-2</v>
      </c>
      <c r="V27" s="845">
        <v>0.14800000000000002</v>
      </c>
      <c r="W27" s="845">
        <v>0.21492921492921493</v>
      </c>
      <c r="X27" s="845">
        <v>0.31736526946107785</v>
      </c>
      <c r="Y27" s="845">
        <v>0.74700761697497275</v>
      </c>
      <c r="Z27" s="845">
        <v>9.6844396082698583E-2</v>
      </c>
      <c r="AA27" s="845">
        <v>0</v>
      </c>
      <c r="AB27" s="845">
        <v>7.0729053318824814E-2</v>
      </c>
      <c r="AC27" s="845">
        <v>0</v>
      </c>
      <c r="AD27" s="845">
        <v>0</v>
      </c>
      <c r="AE27" s="845">
        <v>8.5418933623503807E-2</v>
      </c>
      <c r="AF27" s="845">
        <v>4.5701849836779107E-2</v>
      </c>
      <c r="AG27" s="845">
        <v>0.74700761697497275</v>
      </c>
      <c r="AH27" s="20" t="str">
        <f t="shared" si="2"/>
        <v>No</v>
      </c>
      <c r="AI27" s="25"/>
      <c r="AJ27" s="37">
        <v>43054</v>
      </c>
      <c r="AK27" s="37" t="s">
        <v>767</v>
      </c>
      <c r="AL27" s="37">
        <v>39049</v>
      </c>
      <c r="AM27" s="37" t="s">
        <v>31</v>
      </c>
      <c r="AN27" s="37">
        <f t="shared" si="3"/>
        <v>18140</v>
      </c>
      <c r="AO27" s="37" t="str">
        <f t="shared" si="4"/>
        <v>Columbus, OH</v>
      </c>
      <c r="AP27" s="20" t="s">
        <v>6</v>
      </c>
      <c r="AQ27" s="25"/>
      <c r="AR27" s="20" t="s">
        <v>23</v>
      </c>
      <c r="AS27" s="24">
        <v>29850</v>
      </c>
      <c r="AT27" s="24">
        <v>34100</v>
      </c>
      <c r="AU27" s="24">
        <v>38350</v>
      </c>
      <c r="AV27" s="24">
        <v>42600</v>
      </c>
      <c r="AW27" s="24">
        <v>46050</v>
      </c>
      <c r="AX27" s="24">
        <v>49450</v>
      </c>
      <c r="AY27" s="24">
        <v>52850</v>
      </c>
      <c r="AZ27" s="24">
        <v>56250</v>
      </c>
      <c r="BA27" s="29">
        <f t="shared" si="6"/>
        <v>31975</v>
      </c>
      <c r="BB27" s="29">
        <f t="shared" si="7"/>
        <v>44325</v>
      </c>
      <c r="BC27" s="29">
        <f t="shared" si="8"/>
        <v>54550</v>
      </c>
      <c r="BD27" s="25"/>
      <c r="BE27" s="25"/>
      <c r="BF27" s="25"/>
      <c r="BG27" s="25"/>
      <c r="BH27" s="25"/>
      <c r="BI27" s="25"/>
      <c r="BJ27" s="25"/>
      <c r="BK27" s="25"/>
      <c r="BL27" s="25"/>
      <c r="BM27" s="25"/>
      <c r="BN27" s="20" t="s">
        <v>23</v>
      </c>
      <c r="BO27" s="71">
        <v>780</v>
      </c>
      <c r="BP27" s="24">
        <v>811</v>
      </c>
      <c r="BQ27" s="24">
        <v>973</v>
      </c>
      <c r="BR27" s="24">
        <v>1283</v>
      </c>
      <c r="BS27" s="24">
        <v>1288</v>
      </c>
      <c r="BT27" s="122"/>
      <c r="BU27" s="39">
        <v>44203</v>
      </c>
      <c r="BV27" s="39" t="s">
        <v>1254</v>
      </c>
      <c r="BW27" s="39" t="s">
        <v>2929</v>
      </c>
      <c r="BX27" s="39" t="s">
        <v>273</v>
      </c>
      <c r="BY27" s="71">
        <v>810</v>
      </c>
      <c r="BZ27" s="71">
        <v>880</v>
      </c>
      <c r="CA27" s="71">
        <v>1130</v>
      </c>
      <c r="CB27" s="71">
        <v>1380</v>
      </c>
      <c r="CC27" s="71">
        <v>1500</v>
      </c>
      <c r="CD27" s="25"/>
      <c r="CE27" s="200"/>
      <c r="CF27" s="200"/>
      <c r="CG27" s="200"/>
      <c r="CH27" s="200"/>
      <c r="CI27" s="200"/>
      <c r="CJ27" s="200"/>
      <c r="CK27" s="200"/>
      <c r="CL27" s="200"/>
      <c r="CM27" s="200"/>
      <c r="CN27" s="200"/>
      <c r="CO27" s="200"/>
      <c r="CP27" s="200"/>
      <c r="CQ27" s="20" t="s">
        <v>23</v>
      </c>
      <c r="CR27" s="236" t="s">
        <v>292</v>
      </c>
      <c r="CS27" s="236" t="s">
        <v>3108</v>
      </c>
      <c r="CT27" s="200"/>
      <c r="CU27" s="200"/>
      <c r="CV27" s="20" t="s">
        <v>23</v>
      </c>
      <c r="CW27" s="20" t="s">
        <v>8</v>
      </c>
      <c r="CX27" s="25"/>
      <c r="CY27" s="20" t="s">
        <v>23</v>
      </c>
      <c r="CZ27" s="20" t="s">
        <v>265</v>
      </c>
      <c r="DA27" s="37" t="s">
        <v>265</v>
      </c>
      <c r="DB27" s="25"/>
      <c r="DC27" s="20" t="s">
        <v>23</v>
      </c>
      <c r="DD27" s="20">
        <v>1</v>
      </c>
      <c r="DE27" s="735">
        <v>62</v>
      </c>
      <c r="DF27" s="179">
        <v>43036</v>
      </c>
      <c r="DG27" s="179">
        <v>41767</v>
      </c>
      <c r="DH27" s="878">
        <f t="shared" si="11"/>
        <v>-2.9486941165535831E-2</v>
      </c>
      <c r="DI27" s="606">
        <v>401.7854950693191</v>
      </c>
      <c r="DJ27" s="179">
        <f t="shared" si="5"/>
        <v>103.95347893978611</v>
      </c>
      <c r="DK27" s="37">
        <v>43.3</v>
      </c>
      <c r="DL27" s="236">
        <v>55477</v>
      </c>
      <c r="DM27" s="878">
        <v>0.13204281151717581</v>
      </c>
      <c r="DN27" s="878">
        <v>5.6000000000000001E-2</v>
      </c>
      <c r="DO27" s="878">
        <v>1.4999999999999999E-2</v>
      </c>
      <c r="DP27" s="878">
        <v>5.5E-2</v>
      </c>
      <c r="DQ27" s="878">
        <v>0.29006622516556291</v>
      </c>
      <c r="DR27" s="878">
        <v>0.36149162861491629</v>
      </c>
      <c r="DS27" s="878">
        <v>0.95499999999999996</v>
      </c>
      <c r="DT27" s="878">
        <v>8.9999999999999993E-3</v>
      </c>
      <c r="DU27" s="878">
        <v>0</v>
      </c>
      <c r="DV27" s="878">
        <v>7.0000000000000001E-3</v>
      </c>
      <c r="DW27" s="878">
        <v>0</v>
      </c>
      <c r="DX27" s="878">
        <v>2E-3</v>
      </c>
      <c r="DY27" s="878">
        <v>2.7E-2</v>
      </c>
      <c r="DZ27" s="878">
        <v>1.7000000000000001E-2</v>
      </c>
      <c r="EA27" s="878">
        <v>0.94399999999999995</v>
      </c>
      <c r="EB27" s="25"/>
      <c r="EC27" s="25"/>
      <c r="ED27" s="25"/>
      <c r="EE27" s="20" t="s">
        <v>265</v>
      </c>
      <c r="EF27" s="25"/>
      <c r="EG27" s="20" t="str">
        <f>IF(OR(Sources!M51&lt;&gt;"Soft Debt",Sources!G51=0,Sources!G51=""),"N/A",Sources!C51)</f>
        <v>N/A</v>
      </c>
      <c r="EH27" s="25"/>
      <c r="EI27" s="20" t="s">
        <v>2231</v>
      </c>
      <c r="EJ27" s="25"/>
      <c r="EK27" s="25"/>
      <c r="EL27" s="25"/>
      <c r="EM27" s="25"/>
      <c r="EN27" s="25"/>
      <c r="EO27" s="25"/>
      <c r="EP27" s="25"/>
      <c r="EQ27" s="25"/>
      <c r="ER27" s="25"/>
      <c r="ES27" s="25"/>
      <c r="ET27" s="25"/>
      <c r="EU27" s="25"/>
      <c r="EV27" s="25"/>
      <c r="EW27" s="25"/>
      <c r="EX27" s="25"/>
    </row>
    <row r="28" spans="1:154" s="17" customFormat="1" x14ac:dyDescent="0.2">
      <c r="A28" s="25"/>
      <c r="B28" s="20">
        <v>39017011131</v>
      </c>
      <c r="C28" s="20">
        <v>111.31</v>
      </c>
      <c r="D28" s="20" t="s">
        <v>15</v>
      </c>
      <c r="E28" s="20" t="s">
        <v>2828</v>
      </c>
      <c r="F28" s="20" t="s">
        <v>8</v>
      </c>
      <c r="G28" s="861">
        <v>89.718884240224597</v>
      </c>
      <c r="H28" s="861">
        <v>74.329541554491598</v>
      </c>
      <c r="I28" s="861">
        <v>15.982283082388101</v>
      </c>
      <c r="J28" s="861">
        <v>64.861177460051707</v>
      </c>
      <c r="K28" s="982">
        <v>0</v>
      </c>
      <c r="L28" s="735">
        <v>2909</v>
      </c>
      <c r="M28" s="735">
        <v>3338</v>
      </c>
      <c r="N28" s="845">
        <f t="shared" si="0"/>
        <v>0.14747335854245444</v>
      </c>
      <c r="O28" s="735">
        <v>3.6538302872749484</v>
      </c>
      <c r="P28" s="735">
        <f t="shared" si="1"/>
        <v>913.56186181529063</v>
      </c>
      <c r="Q28" s="849">
        <v>39.9</v>
      </c>
      <c r="R28" s="71">
        <v>139013</v>
      </c>
      <c r="S28" s="845">
        <v>1.3241047246464039E-2</v>
      </c>
      <c r="T28" s="845">
        <v>4.0000000000000001E-3</v>
      </c>
      <c r="U28" s="845">
        <v>0</v>
      </c>
      <c r="V28" s="845">
        <v>0</v>
      </c>
      <c r="W28" s="845">
        <v>0.29298380878951424</v>
      </c>
      <c r="X28" s="845">
        <v>0.23947368421052631</v>
      </c>
      <c r="Y28" s="845">
        <v>0.81455961653684839</v>
      </c>
      <c r="Z28" s="845">
        <v>6.5608148591971241E-2</v>
      </c>
      <c r="AA28" s="845">
        <v>0</v>
      </c>
      <c r="AB28" s="845">
        <v>8.1186339125224688E-2</v>
      </c>
      <c r="AC28" s="845">
        <v>0</v>
      </c>
      <c r="AD28" s="845">
        <v>0</v>
      </c>
      <c r="AE28" s="845">
        <v>3.8645895745955665E-2</v>
      </c>
      <c r="AF28" s="845">
        <v>3.5949670461354103E-3</v>
      </c>
      <c r="AG28" s="845">
        <v>0.81455961653684839</v>
      </c>
      <c r="AH28" s="20" t="str">
        <f t="shared" si="2"/>
        <v>No</v>
      </c>
      <c r="AI28" s="25"/>
      <c r="AJ28" s="20">
        <v>43215</v>
      </c>
      <c r="AK28" s="20" t="s">
        <v>849</v>
      </c>
      <c r="AL28" s="20">
        <v>39049</v>
      </c>
      <c r="AM28" s="20" t="s">
        <v>31</v>
      </c>
      <c r="AN28" s="37">
        <f t="shared" si="3"/>
        <v>18140</v>
      </c>
      <c r="AO28" s="37" t="str">
        <f t="shared" si="4"/>
        <v>Columbus, OH</v>
      </c>
      <c r="AP28" s="20" t="s">
        <v>6</v>
      </c>
      <c r="AQ28" s="25"/>
      <c r="AR28" s="20" t="s">
        <v>24</v>
      </c>
      <c r="AS28" s="24">
        <v>34800</v>
      </c>
      <c r="AT28" s="24">
        <v>39800</v>
      </c>
      <c r="AU28" s="24">
        <v>44750</v>
      </c>
      <c r="AV28" s="24">
        <v>49700</v>
      </c>
      <c r="AW28" s="24">
        <v>53700</v>
      </c>
      <c r="AX28" s="24">
        <v>57700</v>
      </c>
      <c r="AY28" s="24">
        <v>61650</v>
      </c>
      <c r="AZ28" s="24">
        <v>65650</v>
      </c>
      <c r="BA28" s="29">
        <f t="shared" si="6"/>
        <v>37300</v>
      </c>
      <c r="BB28" s="29">
        <f t="shared" si="7"/>
        <v>51700</v>
      </c>
      <c r="BC28" s="29">
        <f t="shared" si="8"/>
        <v>63650</v>
      </c>
      <c r="BD28" s="25"/>
      <c r="BE28" s="25"/>
      <c r="BF28" s="25"/>
      <c r="BG28" s="25"/>
      <c r="BH28" s="25"/>
      <c r="BI28" s="25"/>
      <c r="BJ28" s="25"/>
      <c r="BK28" s="25"/>
      <c r="BL28" s="25"/>
      <c r="BM28" s="25"/>
      <c r="BN28" s="20" t="s">
        <v>24</v>
      </c>
      <c r="BO28" s="71">
        <v>933</v>
      </c>
      <c r="BP28" s="24">
        <v>1058</v>
      </c>
      <c r="BQ28" s="24">
        <v>1279</v>
      </c>
      <c r="BR28" s="24">
        <v>1646</v>
      </c>
      <c r="BS28" s="24">
        <v>1760</v>
      </c>
      <c r="BT28" s="122"/>
      <c r="BU28" s="39">
        <v>44216</v>
      </c>
      <c r="BV28" s="39" t="s">
        <v>1258</v>
      </c>
      <c r="BW28" s="39" t="s">
        <v>2929</v>
      </c>
      <c r="BX28" s="39" t="s">
        <v>273</v>
      </c>
      <c r="BY28" s="71">
        <v>770</v>
      </c>
      <c r="BZ28" s="71">
        <v>850</v>
      </c>
      <c r="CA28" s="71">
        <v>1090</v>
      </c>
      <c r="CB28" s="71">
        <v>1330</v>
      </c>
      <c r="CC28" s="71">
        <v>1440</v>
      </c>
      <c r="CD28" s="25"/>
      <c r="CE28" s="200"/>
      <c r="CF28" s="200"/>
      <c r="CG28" s="200"/>
      <c r="CH28" s="200"/>
      <c r="CI28" s="200"/>
      <c r="CJ28" s="200"/>
      <c r="CK28" s="200"/>
      <c r="CL28" s="200"/>
      <c r="CM28" s="200"/>
      <c r="CN28" s="200"/>
      <c r="CO28" s="200"/>
      <c r="CP28" s="200"/>
      <c r="CQ28" s="20" t="s">
        <v>24</v>
      </c>
      <c r="CR28" s="236" t="s">
        <v>2481</v>
      </c>
      <c r="CS28" s="236" t="s">
        <v>3109</v>
      </c>
      <c r="CT28" s="200"/>
      <c r="CU28" s="200"/>
      <c r="CV28" s="20" t="s">
        <v>24</v>
      </c>
      <c r="CW28" s="20" t="s">
        <v>8</v>
      </c>
      <c r="CX28" s="25"/>
      <c r="CY28" s="20" t="s">
        <v>24</v>
      </c>
      <c r="CZ28" s="20">
        <v>17410</v>
      </c>
      <c r="DA28" s="37" t="s">
        <v>2829</v>
      </c>
      <c r="DB28" s="25"/>
      <c r="DC28" s="20" t="s">
        <v>24</v>
      </c>
      <c r="DD28" s="20">
        <v>46</v>
      </c>
      <c r="DE28" s="735">
        <v>4338</v>
      </c>
      <c r="DF28" s="179">
        <v>1267513</v>
      </c>
      <c r="DG28" s="179">
        <v>1249418</v>
      </c>
      <c r="DH28" s="878">
        <f t="shared" si="11"/>
        <v>-1.4275987701901282E-2</v>
      </c>
      <c r="DI28" s="606">
        <v>457.23168744585473</v>
      </c>
      <c r="DJ28" s="179">
        <f t="shared" si="5"/>
        <v>2732.5708919681028</v>
      </c>
      <c r="DK28" s="37">
        <v>40.5</v>
      </c>
      <c r="DL28" s="236">
        <v>62823</v>
      </c>
      <c r="DM28" s="878">
        <v>0.16204236293851143</v>
      </c>
      <c r="DN28" s="878">
        <v>6.9000000000000006E-2</v>
      </c>
      <c r="DO28" s="878">
        <v>1.1000000000000001E-2</v>
      </c>
      <c r="DP28" s="878">
        <v>5.2000000000000005E-2</v>
      </c>
      <c r="DQ28" s="878">
        <v>0.40946960606164501</v>
      </c>
      <c r="DR28" s="878">
        <v>0.41859358267560387</v>
      </c>
      <c r="DS28" s="878">
        <v>0.58699999999999997</v>
      </c>
      <c r="DT28" s="878">
        <v>0.28999999999999998</v>
      </c>
      <c r="DU28" s="878">
        <v>2E-3</v>
      </c>
      <c r="DV28" s="878">
        <v>3.2000000000000001E-2</v>
      </c>
      <c r="DW28" s="878">
        <v>0</v>
      </c>
      <c r="DX28" s="878">
        <v>2.3E-2</v>
      </c>
      <c r="DY28" s="878">
        <v>6.5000000000000002E-2</v>
      </c>
      <c r="DZ28" s="878">
        <v>6.8000000000000005E-2</v>
      </c>
      <c r="EA28" s="878">
        <v>0.56999999999999995</v>
      </c>
      <c r="EB28" s="25"/>
      <c r="EC28" s="25"/>
      <c r="ED28" s="25"/>
      <c r="EE28" s="25"/>
      <c r="EF28" s="25"/>
      <c r="EG28" s="20" t="str">
        <f>IF(OR(Sources!M52&lt;&gt;"Soft Debt",Sources!G52=0,Sources!G52=""),"N/A",Sources!C52)</f>
        <v>N/A</v>
      </c>
      <c r="EH28" s="25"/>
      <c r="EI28" s="20" t="s">
        <v>2232</v>
      </c>
      <c r="EJ28" s="25"/>
      <c r="EK28" s="25"/>
      <c r="EL28" s="25"/>
      <c r="EM28" s="25"/>
      <c r="EN28" s="25"/>
      <c r="EO28" s="25"/>
      <c r="EP28" s="25"/>
      <c r="EQ28" s="25"/>
      <c r="ER28" s="25"/>
      <c r="ES28" s="25"/>
      <c r="ET28" s="25"/>
      <c r="EU28" s="25"/>
      <c r="EV28" s="25"/>
      <c r="EW28" s="25"/>
      <c r="EX28" s="25"/>
    </row>
    <row r="29" spans="1:154" s="17" customFormat="1" x14ac:dyDescent="0.2">
      <c r="A29" s="25"/>
      <c r="B29" s="20">
        <v>39049006991</v>
      </c>
      <c r="C29" s="20">
        <v>69.91</v>
      </c>
      <c r="D29" s="20" t="s">
        <v>31</v>
      </c>
      <c r="E29" s="20" t="s">
        <v>2830</v>
      </c>
      <c r="F29" s="20" t="s">
        <v>8</v>
      </c>
      <c r="G29" s="861">
        <v>89.705607337712294</v>
      </c>
      <c r="H29" s="861">
        <v>85.682449809568595</v>
      </c>
      <c r="I29" s="861">
        <v>21.00093012052</v>
      </c>
      <c r="J29" s="861">
        <v>66.586100704149501</v>
      </c>
      <c r="K29" s="982">
        <v>0</v>
      </c>
      <c r="L29" s="735" t="s">
        <v>2466</v>
      </c>
      <c r="M29" s="735">
        <v>4369</v>
      </c>
      <c r="N29" s="845" t="str">
        <f t="shared" si="0"/>
        <v/>
      </c>
      <c r="O29" s="735">
        <v>2.701561050795712</v>
      </c>
      <c r="P29" s="735">
        <f t="shared" si="1"/>
        <v>1617.2131289474892</v>
      </c>
      <c r="Q29" s="849">
        <v>41.5</v>
      </c>
      <c r="R29" s="71">
        <v>151094</v>
      </c>
      <c r="S29" s="845">
        <v>1.2817578393224994E-2</v>
      </c>
      <c r="T29" s="845">
        <v>1.3000000000000001E-2</v>
      </c>
      <c r="U29" s="845">
        <v>0</v>
      </c>
      <c r="V29" s="845">
        <v>0</v>
      </c>
      <c r="W29" s="845">
        <v>0.12060301507537688</v>
      </c>
      <c r="X29" s="845">
        <v>0.20370370370370369</v>
      </c>
      <c r="Y29" s="845">
        <v>0.85946440833142601</v>
      </c>
      <c r="Z29" s="845">
        <v>6.8436713206683458E-2</v>
      </c>
      <c r="AA29" s="845">
        <v>0</v>
      </c>
      <c r="AB29" s="845">
        <v>2.998397802700847E-2</v>
      </c>
      <c r="AC29" s="845">
        <v>0</v>
      </c>
      <c r="AD29" s="845">
        <v>1.6021972991531242E-3</v>
      </c>
      <c r="AE29" s="845">
        <v>4.0512703135729002E-2</v>
      </c>
      <c r="AF29" s="845">
        <v>2.4032959487296866E-2</v>
      </c>
      <c r="AG29" s="845">
        <v>0.85671778439002055</v>
      </c>
      <c r="AH29" s="20" t="str">
        <f t="shared" si="2"/>
        <v>No</v>
      </c>
      <c r="AI29" s="25"/>
      <c r="AJ29" s="20">
        <v>43054</v>
      </c>
      <c r="AK29" s="20" t="s">
        <v>767</v>
      </c>
      <c r="AL29" s="20">
        <v>39089</v>
      </c>
      <c r="AM29" s="20" t="s">
        <v>50</v>
      </c>
      <c r="AN29" s="37">
        <f t="shared" si="3"/>
        <v>18140</v>
      </c>
      <c r="AO29" s="37" t="str">
        <f t="shared" si="4"/>
        <v>Columbus, OH</v>
      </c>
      <c r="AP29" s="20" t="s">
        <v>6</v>
      </c>
      <c r="AQ29" s="25"/>
      <c r="AR29" s="20" t="s">
        <v>25</v>
      </c>
      <c r="AS29" s="24">
        <v>30800</v>
      </c>
      <c r="AT29" s="24">
        <v>35200</v>
      </c>
      <c r="AU29" s="24">
        <v>39600</v>
      </c>
      <c r="AV29" s="24">
        <v>43950</v>
      </c>
      <c r="AW29" s="24">
        <v>47500</v>
      </c>
      <c r="AX29" s="24">
        <v>51000</v>
      </c>
      <c r="AY29" s="24">
        <v>54500</v>
      </c>
      <c r="AZ29" s="24">
        <v>58050</v>
      </c>
      <c r="BA29" s="29">
        <f t="shared" si="6"/>
        <v>33000</v>
      </c>
      <c r="BB29" s="29">
        <f t="shared" si="7"/>
        <v>45725</v>
      </c>
      <c r="BC29" s="29">
        <f t="shared" si="8"/>
        <v>56275</v>
      </c>
      <c r="BD29" s="25"/>
      <c r="BE29" s="25"/>
      <c r="BF29" s="25"/>
      <c r="BG29" s="25"/>
      <c r="BH29" s="25"/>
      <c r="BI29" s="25"/>
      <c r="BJ29" s="25"/>
      <c r="BK29" s="25"/>
      <c r="BL29" s="25"/>
      <c r="BM29" s="25"/>
      <c r="BN29" s="20" t="s">
        <v>25</v>
      </c>
      <c r="BO29" s="71">
        <v>801</v>
      </c>
      <c r="BP29" s="24">
        <v>806</v>
      </c>
      <c r="BQ29" s="24">
        <v>973</v>
      </c>
      <c r="BR29" s="24">
        <v>1290</v>
      </c>
      <c r="BS29" s="24">
        <v>1295</v>
      </c>
      <c r="BT29" s="122"/>
      <c r="BU29" s="39">
        <v>44221</v>
      </c>
      <c r="BV29" s="39" t="s">
        <v>1260</v>
      </c>
      <c r="BW29" s="39" t="s">
        <v>2929</v>
      </c>
      <c r="BX29" s="39" t="s">
        <v>273</v>
      </c>
      <c r="BY29" s="71">
        <v>980</v>
      </c>
      <c r="BZ29" s="71">
        <v>1070</v>
      </c>
      <c r="CA29" s="71">
        <v>1380</v>
      </c>
      <c r="CB29" s="71">
        <v>1680</v>
      </c>
      <c r="CC29" s="71">
        <v>1830</v>
      </c>
      <c r="CD29" s="25"/>
      <c r="CE29" s="200"/>
      <c r="CF29" s="200"/>
      <c r="CG29" s="200"/>
      <c r="CH29" s="200"/>
      <c r="CI29" s="200"/>
      <c r="CJ29" s="200"/>
      <c r="CK29" s="200"/>
      <c r="CL29" s="200"/>
      <c r="CM29" s="200"/>
      <c r="CN29" s="200"/>
      <c r="CO29" s="200"/>
      <c r="CP29" s="200"/>
      <c r="CQ29" s="20" t="s">
        <v>25</v>
      </c>
      <c r="CR29" s="236" t="s">
        <v>292</v>
      </c>
      <c r="CS29" s="236" t="s">
        <v>3107</v>
      </c>
      <c r="CT29" s="200"/>
      <c r="CU29" s="200"/>
      <c r="CV29" s="20" t="s">
        <v>25</v>
      </c>
      <c r="CW29" s="20" t="s">
        <v>8</v>
      </c>
      <c r="CX29" s="25"/>
      <c r="CY29" s="20" t="s">
        <v>25</v>
      </c>
      <c r="CZ29" s="20" t="s">
        <v>265</v>
      </c>
      <c r="DA29" s="37" t="s">
        <v>265</v>
      </c>
      <c r="DB29" s="25"/>
      <c r="DC29" s="20" t="s">
        <v>25</v>
      </c>
      <c r="DD29" s="20">
        <v>0</v>
      </c>
      <c r="DE29" s="735">
        <v>0</v>
      </c>
      <c r="DF29" s="179">
        <v>52537</v>
      </c>
      <c r="DG29" s="179">
        <v>51655</v>
      </c>
      <c r="DH29" s="878">
        <f t="shared" si="11"/>
        <v>-1.6788168338504293E-2</v>
      </c>
      <c r="DI29" s="606">
        <v>598.10218317952047</v>
      </c>
      <c r="DJ29" s="179">
        <f t="shared" si="5"/>
        <v>86.364841080166642</v>
      </c>
      <c r="DK29" s="37">
        <v>42</v>
      </c>
      <c r="DL29" s="236">
        <v>64654</v>
      </c>
      <c r="DM29" s="878">
        <v>0.11222267992702878</v>
      </c>
      <c r="DN29" s="878">
        <v>2.7E-2</v>
      </c>
      <c r="DO29" s="878">
        <v>4.0000000000000001E-3</v>
      </c>
      <c r="DP29" s="878">
        <v>4.0000000000000001E-3</v>
      </c>
      <c r="DQ29" s="878">
        <v>0.28000187511719482</v>
      </c>
      <c r="DR29" s="878">
        <v>0.30604386405491379</v>
      </c>
      <c r="DS29" s="878">
        <v>0.95599999999999996</v>
      </c>
      <c r="DT29" s="878">
        <v>5.0000000000000001E-3</v>
      </c>
      <c r="DU29" s="878">
        <v>0</v>
      </c>
      <c r="DV29" s="878">
        <v>5.0000000000000001E-3</v>
      </c>
      <c r="DW29" s="878">
        <v>0</v>
      </c>
      <c r="DX29" s="878">
        <v>7.0000000000000001E-3</v>
      </c>
      <c r="DY29" s="878">
        <v>2.7E-2</v>
      </c>
      <c r="DZ29" s="878">
        <v>1.7999999999999999E-2</v>
      </c>
      <c r="EA29" s="878">
        <v>0.95099999999999996</v>
      </c>
      <c r="EB29" s="25"/>
      <c r="EC29" s="25"/>
      <c r="ED29" s="25"/>
      <c r="EE29" s="25"/>
      <c r="EF29" s="25"/>
      <c r="EG29" s="20" t="str">
        <f>IF(OR(Sources!M53&lt;&gt;"Soft Debt",Sources!G53=0,Sources!G53=""),"N/A",Sources!C53)</f>
        <v>N/A</v>
      </c>
      <c r="EH29" s="25"/>
      <c r="EI29" s="20" t="s">
        <v>2233</v>
      </c>
      <c r="EJ29" s="25"/>
      <c r="EK29" s="25"/>
      <c r="EL29" s="25"/>
      <c r="EM29" s="25"/>
      <c r="EN29" s="25"/>
      <c r="EO29" s="25"/>
      <c r="EP29" s="25"/>
      <c r="EQ29" s="25"/>
      <c r="ER29" s="25"/>
      <c r="ES29" s="25"/>
      <c r="ET29" s="25"/>
      <c r="EU29" s="25"/>
      <c r="EV29" s="25"/>
      <c r="EW29" s="25"/>
      <c r="EX29" s="25"/>
    </row>
    <row r="30" spans="1:154" s="17" customFormat="1" x14ac:dyDescent="0.2">
      <c r="A30" s="25"/>
      <c r="B30" s="20">
        <v>39061024800</v>
      </c>
      <c r="C30" s="20">
        <v>248</v>
      </c>
      <c r="D30" s="20" t="s">
        <v>37</v>
      </c>
      <c r="E30" s="20" t="s">
        <v>2828</v>
      </c>
      <c r="F30" s="20" t="s">
        <v>8</v>
      </c>
      <c r="G30" s="861">
        <v>89.663004749629295</v>
      </c>
      <c r="H30" s="861">
        <v>83.360852351605701</v>
      </c>
      <c r="I30" s="861">
        <v>32.293272184819699</v>
      </c>
      <c r="J30" s="861">
        <v>60.679732928454399</v>
      </c>
      <c r="K30" s="982">
        <v>0</v>
      </c>
      <c r="L30" s="735">
        <v>3351</v>
      </c>
      <c r="M30" s="735">
        <v>3606</v>
      </c>
      <c r="N30" s="845">
        <f t="shared" si="0"/>
        <v>7.6096687555953446E-2</v>
      </c>
      <c r="O30" s="735">
        <v>0.85143093571962392</v>
      </c>
      <c r="P30" s="735">
        <f t="shared" si="1"/>
        <v>4235.2231387414085</v>
      </c>
      <c r="Q30" s="849">
        <v>38.4</v>
      </c>
      <c r="R30" s="71">
        <v>148750</v>
      </c>
      <c r="S30" s="845">
        <v>1.3528748590755355E-2</v>
      </c>
      <c r="T30" s="845">
        <v>2.1000000000000001E-2</v>
      </c>
      <c r="U30" s="845">
        <v>0</v>
      </c>
      <c r="V30" s="845">
        <v>7.8E-2</v>
      </c>
      <c r="W30" s="845">
        <v>0.25158562367864695</v>
      </c>
      <c r="X30" s="845">
        <v>0.31932773109243695</v>
      </c>
      <c r="Y30" s="845">
        <v>0.9484193011647255</v>
      </c>
      <c r="Z30" s="845">
        <v>1.3588463671658347E-2</v>
      </c>
      <c r="AA30" s="845">
        <v>0</v>
      </c>
      <c r="AB30" s="845">
        <v>1.3865779256794232E-2</v>
      </c>
      <c r="AC30" s="845">
        <v>0</v>
      </c>
      <c r="AD30" s="845">
        <v>2.7731558513588465E-3</v>
      </c>
      <c r="AE30" s="845">
        <v>2.1353300055463115E-2</v>
      </c>
      <c r="AF30" s="845">
        <v>4.714364947310039E-3</v>
      </c>
      <c r="AG30" s="845">
        <v>0.9484193011647255</v>
      </c>
      <c r="AH30" s="20" t="str">
        <f t="shared" si="2"/>
        <v>Yes</v>
      </c>
      <c r="AI30" s="25"/>
      <c r="AJ30" s="37">
        <v>45066</v>
      </c>
      <c r="AK30" s="37" t="s">
        <v>1556</v>
      </c>
      <c r="AL30" s="37">
        <v>39113</v>
      </c>
      <c r="AM30" s="37" t="s">
        <v>62</v>
      </c>
      <c r="AN30" s="37">
        <f t="shared" si="3"/>
        <v>19430</v>
      </c>
      <c r="AO30" s="37" t="str">
        <f t="shared" si="4"/>
        <v>Dayton-Kettering-Beavercreek, OH</v>
      </c>
      <c r="AP30" s="20" t="s">
        <v>6</v>
      </c>
      <c r="AQ30" s="25"/>
      <c r="AR30" s="20" t="s">
        <v>26</v>
      </c>
      <c r="AS30" s="24">
        <v>33050</v>
      </c>
      <c r="AT30" s="24">
        <v>37750</v>
      </c>
      <c r="AU30" s="24">
        <v>42450</v>
      </c>
      <c r="AV30" s="24">
        <v>47150</v>
      </c>
      <c r="AW30" s="24">
        <v>50950</v>
      </c>
      <c r="AX30" s="24">
        <v>54700</v>
      </c>
      <c r="AY30" s="24">
        <v>58500</v>
      </c>
      <c r="AZ30" s="24">
        <v>62250</v>
      </c>
      <c r="BA30" s="29">
        <f t="shared" si="6"/>
        <v>35400</v>
      </c>
      <c r="BB30" s="29">
        <f t="shared" si="7"/>
        <v>49050</v>
      </c>
      <c r="BC30" s="29">
        <f t="shared" si="8"/>
        <v>60375</v>
      </c>
      <c r="BD30" s="25"/>
      <c r="BE30" s="25"/>
      <c r="BF30" s="25"/>
      <c r="BG30" s="25"/>
      <c r="BH30" s="25"/>
      <c r="BI30" s="25"/>
      <c r="BJ30" s="25"/>
      <c r="BK30" s="25"/>
      <c r="BL30" s="25"/>
      <c r="BM30" s="25"/>
      <c r="BN30" s="20" t="s">
        <v>26</v>
      </c>
      <c r="BO30" s="71">
        <v>754</v>
      </c>
      <c r="BP30" s="24">
        <v>799</v>
      </c>
      <c r="BQ30" s="24">
        <v>980</v>
      </c>
      <c r="BR30" s="24">
        <v>1239</v>
      </c>
      <c r="BS30" s="24">
        <v>1408</v>
      </c>
      <c r="BT30" s="122"/>
      <c r="BU30" s="39">
        <v>44223</v>
      </c>
      <c r="BV30" s="39" t="s">
        <v>1261</v>
      </c>
      <c r="BW30" s="39" t="s">
        <v>2929</v>
      </c>
      <c r="BX30" s="39" t="s">
        <v>273</v>
      </c>
      <c r="BY30" s="71">
        <v>930</v>
      </c>
      <c r="BZ30" s="71">
        <v>1020</v>
      </c>
      <c r="CA30" s="71">
        <v>1310</v>
      </c>
      <c r="CB30" s="71">
        <v>1600</v>
      </c>
      <c r="CC30" s="71">
        <v>1740</v>
      </c>
      <c r="CD30" s="25"/>
      <c r="CE30" s="200"/>
      <c r="CF30" s="200"/>
      <c r="CG30" s="200"/>
      <c r="CH30" s="200"/>
      <c r="CI30" s="200"/>
      <c r="CJ30" s="200"/>
      <c r="CK30" s="200"/>
      <c r="CL30" s="200"/>
      <c r="CM30" s="200"/>
      <c r="CN30" s="200"/>
      <c r="CO30" s="200"/>
      <c r="CP30" s="200"/>
      <c r="CQ30" s="20" t="s">
        <v>26</v>
      </c>
      <c r="CR30" s="236" t="s">
        <v>292</v>
      </c>
      <c r="CS30" s="236" t="s">
        <v>3108</v>
      </c>
      <c r="CT30" s="200"/>
      <c r="CU30" s="200"/>
      <c r="CV30" s="20" t="s">
        <v>26</v>
      </c>
      <c r="CW30" s="20" t="s">
        <v>8</v>
      </c>
      <c r="CX30" s="25"/>
      <c r="CY30" s="20" t="s">
        <v>26</v>
      </c>
      <c r="CZ30" s="20" t="s">
        <v>265</v>
      </c>
      <c r="DA30" s="37" t="s">
        <v>265</v>
      </c>
      <c r="DB30" s="25"/>
      <c r="DC30" s="20" t="s">
        <v>26</v>
      </c>
      <c r="DD30" s="20">
        <v>1</v>
      </c>
      <c r="DE30" s="735">
        <v>36</v>
      </c>
      <c r="DF30" s="179">
        <v>38795</v>
      </c>
      <c r="DG30" s="179">
        <v>38258</v>
      </c>
      <c r="DH30" s="878">
        <f t="shared" si="11"/>
        <v>-1.3841989947158139E-2</v>
      </c>
      <c r="DI30" s="606">
        <v>411.43936757300406</v>
      </c>
      <c r="DJ30" s="179">
        <f t="shared" si="5"/>
        <v>92.985754439775775</v>
      </c>
      <c r="DK30" s="37">
        <v>40.799999999999997</v>
      </c>
      <c r="DL30" s="236">
        <v>73615</v>
      </c>
      <c r="DM30" s="878">
        <v>9.9700710811821927E-2</v>
      </c>
      <c r="DN30" s="878">
        <v>0.04</v>
      </c>
      <c r="DO30" s="878">
        <v>1.6E-2</v>
      </c>
      <c r="DP30" s="878">
        <v>6.8000000000000005E-2</v>
      </c>
      <c r="DQ30" s="878">
        <v>0.21409989594172738</v>
      </c>
      <c r="DR30" s="878">
        <v>0.30103280680437422</v>
      </c>
      <c r="DS30" s="878">
        <v>0.88600000000000001</v>
      </c>
      <c r="DT30" s="878">
        <v>1.7000000000000001E-2</v>
      </c>
      <c r="DU30" s="878">
        <v>3.0000000000000001E-3</v>
      </c>
      <c r="DV30" s="878">
        <v>3.0000000000000001E-3</v>
      </c>
      <c r="DW30" s="878">
        <v>0</v>
      </c>
      <c r="DX30" s="878">
        <v>2.8000000000000001E-2</v>
      </c>
      <c r="DY30" s="878">
        <v>6.2E-2</v>
      </c>
      <c r="DZ30" s="878">
        <v>0.107</v>
      </c>
      <c r="EA30" s="878">
        <v>0.85199999999999998</v>
      </c>
      <c r="EB30" s="25"/>
      <c r="EC30" s="25"/>
      <c r="ED30" s="25"/>
      <c r="EE30" s="25"/>
      <c r="EF30" s="25"/>
      <c r="EG30" s="20" t="str">
        <f>IF(OR(Sources!M54&lt;&gt;"Soft Debt",Sources!G54=0,Sources!G54=""),"N/A",Sources!C54)</f>
        <v>N/A</v>
      </c>
      <c r="EH30" s="25"/>
      <c r="EI30" s="20" t="s">
        <v>2234</v>
      </c>
      <c r="EJ30" s="25"/>
      <c r="EK30" s="25"/>
      <c r="EL30" s="25"/>
      <c r="EM30" s="25"/>
      <c r="EN30" s="25"/>
      <c r="EO30" s="25"/>
      <c r="EP30" s="25"/>
      <c r="EQ30" s="25"/>
      <c r="ER30" s="25"/>
      <c r="ES30" s="25"/>
      <c r="ET30" s="25"/>
      <c r="EU30" s="25"/>
      <c r="EV30" s="25"/>
      <c r="EW30" s="25"/>
      <c r="EX30" s="25"/>
    </row>
    <row r="31" spans="1:154" s="17" customFormat="1" x14ac:dyDescent="0.2">
      <c r="A31" s="25"/>
      <c r="B31" s="20">
        <v>39049002200</v>
      </c>
      <c r="C31" s="20">
        <v>22</v>
      </c>
      <c r="D31" s="20" t="s">
        <v>31</v>
      </c>
      <c r="E31" s="20" t="s">
        <v>2830</v>
      </c>
      <c r="F31" s="20" t="s">
        <v>8</v>
      </c>
      <c r="G31" s="861">
        <v>89.093266979230194</v>
      </c>
      <c r="H31" s="861">
        <v>99.948060190899</v>
      </c>
      <c r="I31" s="861">
        <v>28.3350546739705</v>
      </c>
      <c r="J31" s="861">
        <v>62.3283847653652</v>
      </c>
      <c r="K31" s="982">
        <v>0</v>
      </c>
      <c r="L31" s="735">
        <v>1874</v>
      </c>
      <c r="M31" s="735">
        <v>3307</v>
      </c>
      <c r="N31" s="845">
        <f t="shared" si="0"/>
        <v>0.76467449306296686</v>
      </c>
      <c r="O31" s="735">
        <v>0.40294547915897577</v>
      </c>
      <c r="P31" s="735">
        <f t="shared" si="1"/>
        <v>8207.0656479440859</v>
      </c>
      <c r="Q31" s="849">
        <v>29.5</v>
      </c>
      <c r="R31" s="71">
        <v>105938</v>
      </c>
      <c r="S31" s="845">
        <v>4.052010885999395E-2</v>
      </c>
      <c r="T31" s="845">
        <v>0</v>
      </c>
      <c r="U31" s="845">
        <v>0</v>
      </c>
      <c r="V31" s="845">
        <v>0.10099999999999999</v>
      </c>
      <c r="W31" s="845">
        <v>0.67696381288614293</v>
      </c>
      <c r="X31" s="845">
        <v>0.2503259452411995</v>
      </c>
      <c r="Y31" s="845">
        <v>0.76625340187481106</v>
      </c>
      <c r="Z31" s="845">
        <v>0.10069549440580587</v>
      </c>
      <c r="AA31" s="845">
        <v>0</v>
      </c>
      <c r="AB31" s="845">
        <v>9.4647716964015721E-2</v>
      </c>
      <c r="AC31" s="845">
        <v>0</v>
      </c>
      <c r="AD31" s="845">
        <v>1.0583610523132749E-2</v>
      </c>
      <c r="AE31" s="845">
        <v>2.7819776232234653E-2</v>
      </c>
      <c r="AF31" s="845">
        <v>1.4817054732385848E-2</v>
      </c>
      <c r="AG31" s="845">
        <v>0.76232234653764741</v>
      </c>
      <c r="AH31" s="20" t="str">
        <f t="shared" si="2"/>
        <v>No</v>
      </c>
      <c r="AI31" s="25"/>
      <c r="AJ31" s="37">
        <v>43511</v>
      </c>
      <c r="AK31" s="37" t="s">
        <v>955</v>
      </c>
      <c r="AL31" s="37">
        <v>39173</v>
      </c>
      <c r="AM31" s="37" t="s">
        <v>92</v>
      </c>
      <c r="AN31" s="37">
        <f t="shared" si="3"/>
        <v>45780</v>
      </c>
      <c r="AO31" s="37" t="str">
        <f t="shared" si="4"/>
        <v>Toledo, OH</v>
      </c>
      <c r="AP31" s="37" t="s">
        <v>6</v>
      </c>
      <c r="AQ31" s="25"/>
      <c r="AR31" s="20" t="s">
        <v>27</v>
      </c>
      <c r="AS31" s="24">
        <v>38150</v>
      </c>
      <c r="AT31" s="24">
        <v>43600</v>
      </c>
      <c r="AU31" s="24">
        <v>49050</v>
      </c>
      <c r="AV31" s="24">
        <v>54500</v>
      </c>
      <c r="AW31" s="24">
        <v>58900</v>
      </c>
      <c r="AX31" s="24">
        <v>63250</v>
      </c>
      <c r="AY31" s="24">
        <v>67600</v>
      </c>
      <c r="AZ31" s="24">
        <v>71950</v>
      </c>
      <c r="BA31" s="29">
        <f t="shared" si="6"/>
        <v>40875</v>
      </c>
      <c r="BB31" s="29">
        <f t="shared" si="7"/>
        <v>56700</v>
      </c>
      <c r="BC31" s="29">
        <f t="shared" si="8"/>
        <v>69775</v>
      </c>
      <c r="BD31" s="25"/>
      <c r="BE31" s="25"/>
      <c r="BF31" s="25"/>
      <c r="BG31" s="25"/>
      <c r="BH31" s="25"/>
      <c r="BI31" s="25"/>
      <c r="BJ31" s="25"/>
      <c r="BK31" s="25"/>
      <c r="BL31" s="25"/>
      <c r="BM31" s="25"/>
      <c r="BN31" s="20" t="s">
        <v>27</v>
      </c>
      <c r="BO31" s="71">
        <v>1111</v>
      </c>
      <c r="BP31" s="24">
        <v>1194</v>
      </c>
      <c r="BQ31" s="24">
        <v>1430</v>
      </c>
      <c r="BR31" s="24">
        <v>1715</v>
      </c>
      <c r="BS31" s="24">
        <v>1927</v>
      </c>
      <c r="BT31" s="122"/>
      <c r="BU31" s="39">
        <v>44224</v>
      </c>
      <c r="BV31" s="39" t="s">
        <v>1262</v>
      </c>
      <c r="BW31" s="39" t="s">
        <v>2929</v>
      </c>
      <c r="BX31" s="39" t="s">
        <v>273</v>
      </c>
      <c r="BY31" s="71">
        <v>1070</v>
      </c>
      <c r="BZ31" s="71">
        <v>1170</v>
      </c>
      <c r="CA31" s="71">
        <v>1500</v>
      </c>
      <c r="CB31" s="71">
        <v>1830</v>
      </c>
      <c r="CC31" s="71">
        <v>1990</v>
      </c>
      <c r="CD31" s="25"/>
      <c r="CE31" s="200"/>
      <c r="CF31" s="200"/>
      <c r="CG31" s="200"/>
      <c r="CH31" s="200"/>
      <c r="CI31" s="200"/>
      <c r="CJ31" s="200"/>
      <c r="CK31" s="200"/>
      <c r="CL31" s="200"/>
      <c r="CM31" s="200"/>
      <c r="CN31" s="200"/>
      <c r="CO31" s="200"/>
      <c r="CP31" s="200"/>
      <c r="CQ31" s="20" t="s">
        <v>27</v>
      </c>
      <c r="CR31" s="236" t="s">
        <v>2481</v>
      </c>
      <c r="CS31" s="236" t="s">
        <v>3111</v>
      </c>
      <c r="CT31" s="200"/>
      <c r="CU31" s="200"/>
      <c r="CV31" s="20" t="s">
        <v>27</v>
      </c>
      <c r="CW31" s="20" t="s">
        <v>8</v>
      </c>
      <c r="CX31" s="25"/>
      <c r="CY31" s="20" t="s">
        <v>27</v>
      </c>
      <c r="CZ31" s="20">
        <v>18140</v>
      </c>
      <c r="DA31" s="37" t="s">
        <v>2830</v>
      </c>
      <c r="DB31" s="25"/>
      <c r="DC31" s="20" t="s">
        <v>27</v>
      </c>
      <c r="DD31" s="20">
        <v>4</v>
      </c>
      <c r="DE31" s="735">
        <v>164</v>
      </c>
      <c r="DF31" s="179">
        <v>181821</v>
      </c>
      <c r="DG31" s="179">
        <v>221160</v>
      </c>
      <c r="DH31" s="878">
        <f t="shared" si="11"/>
        <v>0.21636114640223075</v>
      </c>
      <c r="DI31" s="606">
        <v>443.14927569300698</v>
      </c>
      <c r="DJ31" s="179">
        <f t="shared" si="5"/>
        <v>499.06433820555145</v>
      </c>
      <c r="DK31" s="37">
        <v>39.9</v>
      </c>
      <c r="DL31" s="236">
        <v>130088</v>
      </c>
      <c r="DM31" s="878">
        <v>5.0461653901410129E-2</v>
      </c>
      <c r="DN31" s="878">
        <v>0.03</v>
      </c>
      <c r="DO31" s="878">
        <v>3.0000000000000001E-3</v>
      </c>
      <c r="DP31" s="878">
        <v>4.2000000000000003E-2</v>
      </c>
      <c r="DQ31" s="878">
        <v>0.21812193151451123</v>
      </c>
      <c r="DR31" s="878">
        <v>0.34486295515413984</v>
      </c>
      <c r="DS31" s="878">
        <v>0.81399999999999995</v>
      </c>
      <c r="DT31" s="878">
        <v>4.2000000000000003E-2</v>
      </c>
      <c r="DU31" s="878">
        <v>1E-3</v>
      </c>
      <c r="DV31" s="878">
        <v>7.9000000000000001E-2</v>
      </c>
      <c r="DW31" s="878">
        <v>0</v>
      </c>
      <c r="DX31" s="878">
        <v>8.9999999999999993E-3</v>
      </c>
      <c r="DY31" s="878">
        <v>5.6000000000000001E-2</v>
      </c>
      <c r="DZ31" s="878">
        <v>3.3000000000000002E-2</v>
      </c>
      <c r="EA31" s="878">
        <v>0.80400000000000005</v>
      </c>
      <c r="EB31" s="25"/>
      <c r="EC31" s="25"/>
      <c r="ED31" s="25"/>
      <c r="EE31" s="25"/>
      <c r="EF31" s="25"/>
      <c r="EG31" s="20" t="str">
        <f>IF(OR(Sources!M55&lt;&gt;"Soft Debt",Sources!G55=0,Sources!G55=""),"N/A",Sources!C55)</f>
        <v>N/A</v>
      </c>
      <c r="EH31" s="25"/>
      <c r="EI31" s="20" t="s">
        <v>2235</v>
      </c>
      <c r="EJ31" s="25"/>
      <c r="EK31" s="25"/>
      <c r="EL31" s="25"/>
      <c r="EM31" s="25"/>
      <c r="EN31" s="25"/>
      <c r="EO31" s="25"/>
      <c r="EP31" s="25"/>
      <c r="EQ31" s="25"/>
      <c r="ER31" s="25"/>
      <c r="ES31" s="25"/>
      <c r="ET31" s="25"/>
      <c r="EU31" s="25"/>
      <c r="EV31" s="25"/>
      <c r="EW31" s="25"/>
      <c r="EX31" s="25"/>
    </row>
    <row r="32" spans="1:154" s="17" customFormat="1" x14ac:dyDescent="0.2">
      <c r="A32" s="25"/>
      <c r="B32" s="20">
        <v>39061024301</v>
      </c>
      <c r="C32" s="20">
        <v>243.01</v>
      </c>
      <c r="D32" s="20" t="s">
        <v>37</v>
      </c>
      <c r="E32" s="20" t="s">
        <v>2828</v>
      </c>
      <c r="F32" s="20" t="s">
        <v>8</v>
      </c>
      <c r="G32" s="861">
        <v>88.616164052117696</v>
      </c>
      <c r="H32" s="861">
        <v>77.801579406599501</v>
      </c>
      <c r="I32" s="861">
        <v>38.943139550501201</v>
      </c>
      <c r="J32" s="861">
        <v>45.553569805927303</v>
      </c>
      <c r="K32" s="982">
        <v>0</v>
      </c>
      <c r="L32" s="735">
        <v>3869</v>
      </c>
      <c r="M32" s="735">
        <v>3837</v>
      </c>
      <c r="N32" s="845">
        <f t="shared" si="0"/>
        <v>-8.2708710261049367E-3</v>
      </c>
      <c r="O32" s="735">
        <v>1.7541400991219223</v>
      </c>
      <c r="P32" s="735">
        <f t="shared" si="1"/>
        <v>2187.3965494094255</v>
      </c>
      <c r="Q32" s="849">
        <v>36.6</v>
      </c>
      <c r="R32" s="71">
        <v>106979</v>
      </c>
      <c r="S32" s="845">
        <v>6.0203283815480846E-2</v>
      </c>
      <c r="T32" s="845">
        <v>1.3999999999999999E-2</v>
      </c>
      <c r="U32" s="845">
        <v>0</v>
      </c>
      <c r="V32" s="845">
        <v>3.7999999999999999E-2</v>
      </c>
      <c r="W32" s="845">
        <v>0.35055096418732784</v>
      </c>
      <c r="X32" s="845">
        <v>0.19056974459724951</v>
      </c>
      <c r="Y32" s="845">
        <v>0.64138649986968987</v>
      </c>
      <c r="Z32" s="845">
        <v>8.0010424811050293E-2</v>
      </c>
      <c r="AA32" s="845">
        <v>0</v>
      </c>
      <c r="AB32" s="845">
        <v>0.18608287724784989</v>
      </c>
      <c r="AC32" s="845">
        <v>0</v>
      </c>
      <c r="AD32" s="845">
        <v>4.4305446963773783E-3</v>
      </c>
      <c r="AE32" s="845">
        <v>8.8089653375032578E-2</v>
      </c>
      <c r="AF32" s="845">
        <v>6.3330727130570752E-2</v>
      </c>
      <c r="AG32" s="845">
        <v>0.63747719572582751</v>
      </c>
      <c r="AH32" s="20" t="str">
        <f t="shared" si="2"/>
        <v>No</v>
      </c>
      <c r="AI32" s="25"/>
      <c r="AJ32" s="37">
        <v>43541</v>
      </c>
      <c r="AK32" s="37" t="s">
        <v>981</v>
      </c>
      <c r="AL32" s="37">
        <v>39173</v>
      </c>
      <c r="AM32" s="37" t="s">
        <v>92</v>
      </c>
      <c r="AN32" s="37">
        <f t="shared" si="3"/>
        <v>45780</v>
      </c>
      <c r="AO32" s="37" t="str">
        <f t="shared" si="4"/>
        <v>Toledo, OH</v>
      </c>
      <c r="AP32" s="37" t="s">
        <v>6</v>
      </c>
      <c r="AQ32" s="25"/>
      <c r="AR32" s="20" t="s">
        <v>28</v>
      </c>
      <c r="AS32" s="24">
        <v>33450</v>
      </c>
      <c r="AT32" s="24">
        <v>38200</v>
      </c>
      <c r="AU32" s="24">
        <v>43000</v>
      </c>
      <c r="AV32" s="24">
        <v>47750</v>
      </c>
      <c r="AW32" s="24">
        <v>51600</v>
      </c>
      <c r="AX32" s="24">
        <v>55400</v>
      </c>
      <c r="AY32" s="24">
        <v>59250</v>
      </c>
      <c r="AZ32" s="24">
        <v>63050</v>
      </c>
      <c r="BA32" s="29">
        <f t="shared" si="6"/>
        <v>35825</v>
      </c>
      <c r="BB32" s="29">
        <f t="shared" si="7"/>
        <v>49675</v>
      </c>
      <c r="BC32" s="29">
        <f t="shared" si="8"/>
        <v>61150</v>
      </c>
      <c r="BD32" s="25"/>
      <c r="BE32" s="25"/>
      <c r="BF32" s="25"/>
      <c r="BG32" s="25"/>
      <c r="BH32" s="25"/>
      <c r="BI32" s="25"/>
      <c r="BJ32" s="25"/>
      <c r="BK32" s="25"/>
      <c r="BL32" s="25"/>
      <c r="BM32" s="25"/>
      <c r="BN32" s="20" t="s">
        <v>28</v>
      </c>
      <c r="BO32" s="71">
        <v>854</v>
      </c>
      <c r="BP32" s="24">
        <v>886</v>
      </c>
      <c r="BQ32" s="24">
        <v>1106</v>
      </c>
      <c r="BR32" s="24">
        <v>1384</v>
      </c>
      <c r="BS32" s="24">
        <v>1557</v>
      </c>
      <c r="BT32" s="122"/>
      <c r="BU32" s="39">
        <v>44230</v>
      </c>
      <c r="BV32" s="39" t="s">
        <v>1263</v>
      </c>
      <c r="BW32" s="39" t="s">
        <v>2929</v>
      </c>
      <c r="BX32" s="39" t="s">
        <v>273</v>
      </c>
      <c r="BY32" s="71">
        <v>700</v>
      </c>
      <c r="BZ32" s="71">
        <v>800</v>
      </c>
      <c r="CA32" s="71">
        <v>1010</v>
      </c>
      <c r="CB32" s="71">
        <v>1240</v>
      </c>
      <c r="CC32" s="71">
        <v>1450</v>
      </c>
      <c r="CD32" s="25"/>
      <c r="CE32" s="200"/>
      <c r="CF32" s="200"/>
      <c r="CG32" s="200"/>
      <c r="CH32" s="200"/>
      <c r="CI32" s="200"/>
      <c r="CJ32" s="200"/>
      <c r="CK32" s="200"/>
      <c r="CL32" s="200"/>
      <c r="CM32" s="200"/>
      <c r="CN32" s="200"/>
      <c r="CO32" s="200"/>
      <c r="CP32" s="200"/>
      <c r="CQ32" s="20" t="s">
        <v>28</v>
      </c>
      <c r="CR32" s="236" t="s">
        <v>292</v>
      </c>
      <c r="CS32" s="236" t="s">
        <v>3108</v>
      </c>
      <c r="CT32" s="200"/>
      <c r="CU32" s="200"/>
      <c r="CV32" s="20" t="s">
        <v>28</v>
      </c>
      <c r="CW32" s="20" t="s">
        <v>8</v>
      </c>
      <c r="CX32" s="25"/>
      <c r="CY32" s="20" t="s">
        <v>28</v>
      </c>
      <c r="CZ32" s="20">
        <v>41780</v>
      </c>
      <c r="DA32" s="37" t="s">
        <v>2837</v>
      </c>
      <c r="DB32" s="25"/>
      <c r="DC32" s="20" t="s">
        <v>28</v>
      </c>
      <c r="DD32" s="20">
        <v>0</v>
      </c>
      <c r="DE32" s="735">
        <v>0</v>
      </c>
      <c r="DF32" s="179">
        <v>76416</v>
      </c>
      <c r="DG32" s="179">
        <v>74938</v>
      </c>
      <c r="DH32" s="878">
        <f t="shared" si="11"/>
        <v>-1.9341499162479063E-2</v>
      </c>
      <c r="DI32" s="606">
        <v>251.28808525688561</v>
      </c>
      <c r="DJ32" s="179">
        <f t="shared" si="5"/>
        <v>298.21549208508128</v>
      </c>
      <c r="DK32" s="37">
        <v>45.2</v>
      </c>
      <c r="DL32" s="236">
        <v>68431</v>
      </c>
      <c r="DM32" s="878">
        <v>0.12526810197377353</v>
      </c>
      <c r="DN32" s="878">
        <v>6.0999999999999999E-2</v>
      </c>
      <c r="DO32" s="878">
        <v>1.4999999999999999E-2</v>
      </c>
      <c r="DP32" s="878">
        <v>8.1000000000000003E-2</v>
      </c>
      <c r="DQ32" s="878">
        <v>0.28902309943341015</v>
      </c>
      <c r="DR32" s="878">
        <v>0.3712839293408014</v>
      </c>
      <c r="DS32" s="878">
        <v>0.82199999999999995</v>
      </c>
      <c r="DT32" s="878">
        <v>8.5000000000000006E-2</v>
      </c>
      <c r="DU32" s="878">
        <v>1E-3</v>
      </c>
      <c r="DV32" s="878">
        <v>7.0000000000000001E-3</v>
      </c>
      <c r="DW32" s="878">
        <v>0</v>
      </c>
      <c r="DX32" s="878">
        <v>1.4E-2</v>
      </c>
      <c r="DY32" s="878">
        <v>7.1999999999999995E-2</v>
      </c>
      <c r="DZ32" s="878">
        <v>4.3999999999999997E-2</v>
      </c>
      <c r="EA32" s="878">
        <v>0.80800000000000005</v>
      </c>
      <c r="EB32" s="25"/>
      <c r="EC32" s="25"/>
      <c r="ED32" s="25"/>
      <c r="EE32" s="25"/>
      <c r="EF32" s="25"/>
      <c r="EG32" s="25"/>
      <c r="EH32" s="25"/>
      <c r="EI32" s="20" t="s">
        <v>2237</v>
      </c>
      <c r="EJ32" s="25"/>
      <c r="EK32" s="25"/>
      <c r="EL32" s="25"/>
      <c r="EM32" s="25"/>
      <c r="EN32" s="25"/>
      <c r="EO32" s="25"/>
      <c r="EP32" s="25"/>
      <c r="EQ32" s="25"/>
      <c r="ER32" s="25"/>
      <c r="ES32" s="25"/>
      <c r="ET32" s="25"/>
      <c r="EU32" s="25"/>
      <c r="EV32" s="25"/>
      <c r="EW32" s="25"/>
      <c r="EX32" s="25"/>
    </row>
    <row r="33" spans="1:154" s="17" customFormat="1" x14ac:dyDescent="0.2">
      <c r="A33" s="25"/>
      <c r="B33" s="20">
        <v>39061000700</v>
      </c>
      <c r="C33" s="20">
        <v>7</v>
      </c>
      <c r="D33" s="20" t="s">
        <v>37</v>
      </c>
      <c r="E33" s="20" t="s">
        <v>2828</v>
      </c>
      <c r="F33" s="20" t="s">
        <v>8</v>
      </c>
      <c r="G33" s="861">
        <v>88.288979849154799</v>
      </c>
      <c r="H33" s="861">
        <v>85.475849851684302</v>
      </c>
      <c r="I33" s="861">
        <v>30.633730138263001</v>
      </c>
      <c r="J33" s="861">
        <v>39.014438407452403</v>
      </c>
      <c r="K33" s="982">
        <v>1</v>
      </c>
      <c r="L33" s="735">
        <v>2038</v>
      </c>
      <c r="M33" s="735">
        <v>3166</v>
      </c>
      <c r="N33" s="845">
        <f t="shared" si="0"/>
        <v>0.55348380765456329</v>
      </c>
      <c r="O33" s="735">
        <v>0.30273884153082081</v>
      </c>
      <c r="P33" s="735">
        <f t="shared" si="1"/>
        <v>10457.858608399545</v>
      </c>
      <c r="Q33" s="849">
        <v>30.7</v>
      </c>
      <c r="R33" s="71">
        <v>98452</v>
      </c>
      <c r="S33" s="845">
        <v>4.0338071456012294E-2</v>
      </c>
      <c r="T33" s="845">
        <v>3.4000000000000002E-2</v>
      </c>
      <c r="U33" s="845">
        <v>0</v>
      </c>
      <c r="V33" s="845">
        <v>1.9E-2</v>
      </c>
      <c r="W33" s="845">
        <v>0.92849035187287177</v>
      </c>
      <c r="X33" s="845">
        <v>0.20782396088019561</v>
      </c>
      <c r="Y33" s="845">
        <v>0.72109917877447882</v>
      </c>
      <c r="Z33" s="845">
        <v>0.12728995578016425</v>
      </c>
      <c r="AA33" s="845">
        <v>0</v>
      </c>
      <c r="AB33" s="845">
        <v>6.2855337965887562E-2</v>
      </c>
      <c r="AC33" s="845">
        <v>0</v>
      </c>
      <c r="AD33" s="845">
        <v>2.0214782059380921E-2</v>
      </c>
      <c r="AE33" s="845">
        <v>6.8540745420088436E-2</v>
      </c>
      <c r="AF33" s="845">
        <v>4.3272267845862286E-2</v>
      </c>
      <c r="AG33" s="845">
        <v>0.70025268477574221</v>
      </c>
      <c r="AH33" s="20" t="str">
        <f t="shared" si="2"/>
        <v>No</v>
      </c>
      <c r="AI33" s="25"/>
      <c r="AJ33" s="37">
        <v>44201</v>
      </c>
      <c r="AK33" s="37" t="s">
        <v>1252</v>
      </c>
      <c r="AL33" s="37">
        <v>39133</v>
      </c>
      <c r="AM33" s="37" t="s">
        <v>72</v>
      </c>
      <c r="AN33" s="37">
        <f t="shared" si="3"/>
        <v>10420</v>
      </c>
      <c r="AO33" s="37" t="str">
        <f t="shared" si="4"/>
        <v>Akron, OH</v>
      </c>
      <c r="AP33" s="37" t="s">
        <v>8</v>
      </c>
      <c r="AQ33" s="25"/>
      <c r="AR33" s="20" t="s">
        <v>29</v>
      </c>
      <c r="AS33" s="24">
        <v>38150</v>
      </c>
      <c r="AT33" s="24">
        <v>43600</v>
      </c>
      <c r="AU33" s="24">
        <v>49050</v>
      </c>
      <c r="AV33" s="24">
        <v>54500</v>
      </c>
      <c r="AW33" s="24">
        <v>58900</v>
      </c>
      <c r="AX33" s="24">
        <v>63250</v>
      </c>
      <c r="AY33" s="24">
        <v>67600</v>
      </c>
      <c r="AZ33" s="24">
        <v>71950</v>
      </c>
      <c r="BA33" s="29">
        <f t="shared" si="6"/>
        <v>40875</v>
      </c>
      <c r="BB33" s="29">
        <f t="shared" si="7"/>
        <v>56700</v>
      </c>
      <c r="BC33" s="29">
        <f t="shared" si="8"/>
        <v>69775</v>
      </c>
      <c r="BD33" s="25"/>
      <c r="BE33" s="25"/>
      <c r="BF33" s="25"/>
      <c r="BG33" s="25"/>
      <c r="BH33" s="25"/>
      <c r="BI33" s="25"/>
      <c r="BJ33" s="25"/>
      <c r="BK33" s="25"/>
      <c r="BL33" s="25"/>
      <c r="BM33" s="25"/>
      <c r="BN33" s="20" t="s">
        <v>29</v>
      </c>
      <c r="BO33" s="71">
        <v>1111</v>
      </c>
      <c r="BP33" s="24">
        <v>1194</v>
      </c>
      <c r="BQ33" s="24">
        <v>1430</v>
      </c>
      <c r="BR33" s="24">
        <v>1715</v>
      </c>
      <c r="BS33" s="24">
        <v>1927</v>
      </c>
      <c r="BT33" s="122"/>
      <c r="BU33" s="39">
        <v>44231</v>
      </c>
      <c r="BV33" s="39" t="s">
        <v>1264</v>
      </c>
      <c r="BW33" s="39" t="s">
        <v>2929</v>
      </c>
      <c r="BX33" s="39" t="s">
        <v>273</v>
      </c>
      <c r="BY33" s="71">
        <v>780</v>
      </c>
      <c r="BZ33" s="71">
        <v>850</v>
      </c>
      <c r="CA33" s="71">
        <v>1090</v>
      </c>
      <c r="CB33" s="71">
        <v>1340</v>
      </c>
      <c r="CC33" s="71">
        <v>1450</v>
      </c>
      <c r="CD33" s="25"/>
      <c r="CE33" s="200"/>
      <c r="CF33" s="200"/>
      <c r="CG33" s="200"/>
      <c r="CH33" s="200"/>
      <c r="CI33" s="200"/>
      <c r="CJ33" s="200"/>
      <c r="CK33" s="200"/>
      <c r="CL33" s="200"/>
      <c r="CM33" s="200"/>
      <c r="CN33" s="200"/>
      <c r="CO33" s="200"/>
      <c r="CP33" s="200"/>
      <c r="CQ33" s="20" t="s">
        <v>29</v>
      </c>
      <c r="CR33" s="236" t="s">
        <v>2481</v>
      </c>
      <c r="CS33" s="236" t="s">
        <v>3111</v>
      </c>
      <c r="CT33" s="200"/>
      <c r="CU33" s="200"/>
      <c r="CV33" s="20" t="s">
        <v>29</v>
      </c>
      <c r="CW33" s="20" t="s">
        <v>8</v>
      </c>
      <c r="CX33" s="25"/>
      <c r="CY33" s="20" t="s">
        <v>29</v>
      </c>
      <c r="CZ33" s="20">
        <v>18140</v>
      </c>
      <c r="DA33" s="37" t="s">
        <v>2830</v>
      </c>
      <c r="DB33" s="25"/>
      <c r="DC33" s="20" t="s">
        <v>29</v>
      </c>
      <c r="DD33" s="20">
        <v>3</v>
      </c>
      <c r="DE33" s="735">
        <v>351</v>
      </c>
      <c r="DF33" s="179">
        <v>148067</v>
      </c>
      <c r="DG33" s="179">
        <v>161289</v>
      </c>
      <c r="DH33" s="878">
        <f t="shared" si="11"/>
        <v>8.9297412657783307E-2</v>
      </c>
      <c r="DI33" s="606">
        <v>504.36521772294935</v>
      </c>
      <c r="DJ33" s="179">
        <f t="shared" si="5"/>
        <v>319.78612785427435</v>
      </c>
      <c r="DK33" s="37">
        <v>39.5</v>
      </c>
      <c r="DL33" s="236">
        <v>87069</v>
      </c>
      <c r="DM33" s="878">
        <v>8.1880659715832291E-2</v>
      </c>
      <c r="DN33" s="878">
        <v>3.5999999999999997E-2</v>
      </c>
      <c r="DO33" s="878">
        <v>6.0000000000000001E-3</v>
      </c>
      <c r="DP33" s="878">
        <v>5.2999999999999999E-2</v>
      </c>
      <c r="DQ33" s="878">
        <v>0.25775688157521798</v>
      </c>
      <c r="DR33" s="878">
        <v>0.40840879689521348</v>
      </c>
      <c r="DS33" s="878">
        <v>0.82599999999999996</v>
      </c>
      <c r="DT33" s="878">
        <v>8.8999999999999996E-2</v>
      </c>
      <c r="DU33" s="878">
        <v>1E-3</v>
      </c>
      <c r="DV33" s="878">
        <v>2.5999999999999999E-2</v>
      </c>
      <c r="DW33" s="878">
        <v>1E-3</v>
      </c>
      <c r="DX33" s="878">
        <v>1.2E-2</v>
      </c>
      <c r="DY33" s="878">
        <v>4.3999999999999997E-2</v>
      </c>
      <c r="DZ33" s="878">
        <v>2.7E-2</v>
      </c>
      <c r="EA33" s="878">
        <v>0.82</v>
      </c>
      <c r="EB33" s="25"/>
      <c r="EC33" s="25"/>
      <c r="ED33" s="25"/>
      <c r="EE33" s="25"/>
      <c r="EF33" s="25"/>
      <c r="EG33" s="25"/>
      <c r="EH33" s="25"/>
      <c r="EI33" s="20" t="s">
        <v>2238</v>
      </c>
      <c r="EJ33" s="25"/>
      <c r="EK33" s="25"/>
      <c r="EL33" s="25"/>
      <c r="EM33" s="25"/>
      <c r="EN33" s="25"/>
      <c r="EO33" s="25"/>
      <c r="EP33" s="25"/>
      <c r="EQ33" s="25"/>
      <c r="ER33" s="25"/>
      <c r="ES33" s="25"/>
      <c r="ET33" s="25"/>
      <c r="EU33" s="25"/>
      <c r="EV33" s="25"/>
      <c r="EW33" s="25"/>
      <c r="EX33" s="25"/>
    </row>
    <row r="34" spans="1:154" s="17" customFormat="1" x14ac:dyDescent="0.2">
      <c r="A34" s="25"/>
      <c r="B34" s="20">
        <v>39049006237</v>
      </c>
      <c r="C34" s="20">
        <v>62.37</v>
      </c>
      <c r="D34" s="20" t="s">
        <v>31</v>
      </c>
      <c r="E34" s="20" t="s">
        <v>2830</v>
      </c>
      <c r="F34" s="20" t="s">
        <v>8</v>
      </c>
      <c r="G34" s="861">
        <v>88.190213726497603</v>
      </c>
      <c r="H34" s="861">
        <v>80.217643124713902</v>
      </c>
      <c r="I34" s="861">
        <v>26.048079705884501</v>
      </c>
      <c r="J34" s="861">
        <v>46.886822902473398</v>
      </c>
      <c r="K34" s="982">
        <v>0</v>
      </c>
      <c r="L34" s="735" t="s">
        <v>2466</v>
      </c>
      <c r="M34" s="735">
        <v>6736</v>
      </c>
      <c r="N34" s="845" t="str">
        <f t="shared" si="0"/>
        <v/>
      </c>
      <c r="O34" s="735">
        <v>1.6999170702756625</v>
      </c>
      <c r="P34" s="735">
        <f t="shared" si="1"/>
        <v>3962.5462428632914</v>
      </c>
      <c r="Q34" s="849">
        <v>36.9</v>
      </c>
      <c r="R34" s="71">
        <v>106587</v>
      </c>
      <c r="S34" s="845">
        <v>2.2805701425356338E-2</v>
      </c>
      <c r="T34" s="845">
        <v>1.3000000000000001E-2</v>
      </c>
      <c r="U34" s="845">
        <v>0</v>
      </c>
      <c r="V34" s="845">
        <v>0</v>
      </c>
      <c r="W34" s="845">
        <v>0.59673444239063467</v>
      </c>
      <c r="X34" s="845">
        <v>0.25709860609189467</v>
      </c>
      <c r="Y34" s="845">
        <v>0.70338479809976251</v>
      </c>
      <c r="Z34" s="845">
        <v>3.5777909738717341E-2</v>
      </c>
      <c r="AA34" s="845">
        <v>0</v>
      </c>
      <c r="AB34" s="845">
        <v>0.20353325415676959</v>
      </c>
      <c r="AC34" s="845">
        <v>0</v>
      </c>
      <c r="AD34" s="845">
        <v>7.719714964370546E-3</v>
      </c>
      <c r="AE34" s="845">
        <v>4.9584323040380046E-2</v>
      </c>
      <c r="AF34" s="845">
        <v>2.9394299287410927E-2</v>
      </c>
      <c r="AG34" s="845">
        <v>0.70026722090261284</v>
      </c>
      <c r="AH34" s="20" t="str">
        <f t="shared" si="2"/>
        <v>No</v>
      </c>
      <c r="AI34" s="25"/>
      <c r="AJ34" s="37">
        <v>44224</v>
      </c>
      <c r="AK34" s="37" t="s">
        <v>1262</v>
      </c>
      <c r="AL34" s="37">
        <v>39133</v>
      </c>
      <c r="AM34" s="37" t="s">
        <v>72</v>
      </c>
      <c r="AN34" s="37">
        <f t="shared" si="3"/>
        <v>10420</v>
      </c>
      <c r="AO34" s="37" t="str">
        <f t="shared" si="4"/>
        <v>Akron, OH</v>
      </c>
      <c r="AP34" s="37" t="s">
        <v>8</v>
      </c>
      <c r="AQ34" s="25"/>
      <c r="AR34" s="20" t="s">
        <v>30</v>
      </c>
      <c r="AS34" s="24">
        <v>29850</v>
      </c>
      <c r="AT34" s="24">
        <v>34100</v>
      </c>
      <c r="AU34" s="24">
        <v>38350</v>
      </c>
      <c r="AV34" s="24">
        <v>42600</v>
      </c>
      <c r="AW34" s="24">
        <v>46050</v>
      </c>
      <c r="AX34" s="24">
        <v>49450</v>
      </c>
      <c r="AY34" s="24">
        <v>52850</v>
      </c>
      <c r="AZ34" s="24">
        <v>56250</v>
      </c>
      <c r="BA34" s="29">
        <f t="shared" si="6"/>
        <v>31975</v>
      </c>
      <c r="BB34" s="29">
        <f t="shared" si="7"/>
        <v>44325</v>
      </c>
      <c r="BC34" s="29">
        <f t="shared" si="8"/>
        <v>54550</v>
      </c>
      <c r="BD34" s="25"/>
      <c r="BE34" s="25"/>
      <c r="BF34" s="25"/>
      <c r="BG34" s="25"/>
      <c r="BH34" s="25"/>
      <c r="BI34" s="25"/>
      <c r="BJ34" s="25"/>
      <c r="BK34" s="25"/>
      <c r="BL34" s="25"/>
      <c r="BM34" s="25"/>
      <c r="BN34" s="20" t="s">
        <v>30</v>
      </c>
      <c r="BO34" s="71">
        <v>750</v>
      </c>
      <c r="BP34" s="24">
        <v>836</v>
      </c>
      <c r="BQ34" s="24">
        <v>992</v>
      </c>
      <c r="BR34" s="24">
        <v>1273</v>
      </c>
      <c r="BS34" s="24">
        <v>1415</v>
      </c>
      <c r="BT34" s="122"/>
      <c r="BU34" s="39">
        <v>44232</v>
      </c>
      <c r="BV34" s="39" t="s">
        <v>1265</v>
      </c>
      <c r="BW34" s="39" t="s">
        <v>2929</v>
      </c>
      <c r="BX34" s="39" t="s">
        <v>273</v>
      </c>
      <c r="BY34" s="71">
        <v>900</v>
      </c>
      <c r="BZ34" s="71">
        <v>980</v>
      </c>
      <c r="CA34" s="71">
        <v>1260</v>
      </c>
      <c r="CB34" s="71">
        <v>1540</v>
      </c>
      <c r="CC34" s="71">
        <v>1670</v>
      </c>
      <c r="CD34" s="25"/>
      <c r="CE34" s="200"/>
      <c r="CF34" s="200"/>
      <c r="CG34" s="200"/>
      <c r="CH34" s="200"/>
      <c r="CI34" s="200"/>
      <c r="CJ34" s="200"/>
      <c r="CK34" s="200"/>
      <c r="CL34" s="200"/>
      <c r="CM34" s="200"/>
      <c r="CN34" s="200"/>
      <c r="CO34" s="200"/>
      <c r="CP34" s="200"/>
      <c r="CQ34" s="20" t="s">
        <v>30</v>
      </c>
      <c r="CR34" s="236" t="s">
        <v>292</v>
      </c>
      <c r="CS34" s="236" t="s">
        <v>3107</v>
      </c>
      <c r="CT34" s="200"/>
      <c r="CU34" s="200"/>
      <c r="CV34" s="20" t="s">
        <v>30</v>
      </c>
      <c r="CW34" s="20" t="s">
        <v>8</v>
      </c>
      <c r="CX34" s="25"/>
      <c r="CY34" s="20" t="s">
        <v>30</v>
      </c>
      <c r="CZ34" s="20" t="s">
        <v>265</v>
      </c>
      <c r="DA34" s="37" t="s">
        <v>265</v>
      </c>
      <c r="DB34" s="25"/>
      <c r="DC34" s="20" t="s">
        <v>30</v>
      </c>
      <c r="DD34" s="20">
        <v>1</v>
      </c>
      <c r="DE34" s="735">
        <v>54</v>
      </c>
      <c r="DF34" s="179">
        <v>28875</v>
      </c>
      <c r="DG34" s="179">
        <v>28880</v>
      </c>
      <c r="DH34" s="878">
        <f t="shared" si="11"/>
        <v>1.7316017316017316E-4</v>
      </c>
      <c r="DI34" s="606">
        <v>406.36089483823923</v>
      </c>
      <c r="DJ34" s="179">
        <f t="shared" si="5"/>
        <v>71.0698307018354</v>
      </c>
      <c r="DK34" s="37">
        <v>40.799999999999997</v>
      </c>
      <c r="DL34" s="236">
        <v>60047</v>
      </c>
      <c r="DM34" s="878">
        <v>0.16041401723894305</v>
      </c>
      <c r="DN34" s="878">
        <v>4.2999999999999997E-2</v>
      </c>
      <c r="DO34" s="878">
        <v>0</v>
      </c>
      <c r="DP34" s="878">
        <v>3.0000000000000001E-3</v>
      </c>
      <c r="DQ34" s="878">
        <v>0.36957455951869361</v>
      </c>
      <c r="DR34" s="878">
        <v>0.30558139534883721</v>
      </c>
      <c r="DS34" s="878">
        <v>0.91300000000000003</v>
      </c>
      <c r="DT34" s="878">
        <v>2.9000000000000001E-2</v>
      </c>
      <c r="DU34" s="878">
        <v>0</v>
      </c>
      <c r="DV34" s="878">
        <v>4.0000000000000001E-3</v>
      </c>
      <c r="DW34" s="878">
        <v>1E-3</v>
      </c>
      <c r="DX34" s="878">
        <v>7.0000000000000001E-3</v>
      </c>
      <c r="DY34" s="878">
        <v>4.5999999999999999E-2</v>
      </c>
      <c r="DZ34" s="878">
        <v>2.4E-2</v>
      </c>
      <c r="EA34" s="878">
        <v>0.90900000000000003</v>
      </c>
      <c r="EB34" s="25"/>
      <c r="EC34" s="25"/>
      <c r="ED34" s="25"/>
      <c r="EE34" s="25"/>
      <c r="EF34" s="25"/>
      <c r="EG34" s="25"/>
      <c r="EH34" s="25"/>
      <c r="EI34" s="20" t="s">
        <v>2236</v>
      </c>
      <c r="EJ34" s="25"/>
      <c r="EK34" s="25"/>
      <c r="EL34" s="25"/>
      <c r="EM34" s="25"/>
      <c r="EN34" s="25"/>
      <c r="EO34" s="25"/>
      <c r="EP34" s="25"/>
      <c r="EQ34" s="25"/>
      <c r="ER34" s="25"/>
      <c r="ES34" s="25"/>
      <c r="ET34" s="25"/>
      <c r="EU34" s="25"/>
      <c r="EV34" s="25"/>
      <c r="EW34" s="25"/>
      <c r="EX34" s="25"/>
    </row>
    <row r="35" spans="1:154" s="17" customFormat="1" x14ac:dyDescent="0.2">
      <c r="A35" s="25"/>
      <c r="B35" s="20">
        <v>39049006340</v>
      </c>
      <c r="C35" s="20">
        <v>63.4</v>
      </c>
      <c r="D35" s="20" t="s">
        <v>31</v>
      </c>
      <c r="E35" s="20" t="s">
        <v>2830</v>
      </c>
      <c r="F35" s="20" t="s">
        <v>8</v>
      </c>
      <c r="G35" s="861">
        <v>88.081250512129799</v>
      </c>
      <c r="H35" s="861">
        <v>90.3455973211464</v>
      </c>
      <c r="I35" s="861">
        <v>32.0464957051204</v>
      </c>
      <c r="J35" s="861">
        <v>50.458592500556598</v>
      </c>
      <c r="K35" s="982">
        <v>0</v>
      </c>
      <c r="L35" s="735">
        <v>2971</v>
      </c>
      <c r="M35" s="735">
        <v>3548</v>
      </c>
      <c r="N35" s="845">
        <f t="shared" si="0"/>
        <v>0.19421070346684619</v>
      </c>
      <c r="O35" s="735">
        <v>1.2765375204753353</v>
      </c>
      <c r="P35" s="735">
        <f t="shared" si="1"/>
        <v>2779.3934319132713</v>
      </c>
      <c r="Q35" s="849">
        <v>46.3</v>
      </c>
      <c r="R35" s="71">
        <v>116974</v>
      </c>
      <c r="S35" s="845">
        <v>4.0304396843291998E-2</v>
      </c>
      <c r="T35" s="845">
        <v>1.4999999999999999E-2</v>
      </c>
      <c r="U35" s="845">
        <v>6.9999999999999993E-3</v>
      </c>
      <c r="V35" s="845">
        <v>0.14400000000000002</v>
      </c>
      <c r="W35" s="845">
        <v>0.26942675159235668</v>
      </c>
      <c r="X35" s="845">
        <v>0.18203309692671396</v>
      </c>
      <c r="Y35" s="845">
        <v>0.68996617812852312</v>
      </c>
      <c r="Z35" s="845">
        <v>3.4949267192784669E-2</v>
      </c>
      <c r="AA35" s="845">
        <v>0</v>
      </c>
      <c r="AB35" s="845">
        <v>0.12965050732807215</v>
      </c>
      <c r="AC35" s="845">
        <v>0</v>
      </c>
      <c r="AD35" s="845">
        <v>1.6065388951521983E-2</v>
      </c>
      <c r="AE35" s="845">
        <v>0.12936865839909809</v>
      </c>
      <c r="AF35" s="845">
        <v>9.216459977452085E-2</v>
      </c>
      <c r="AG35" s="845">
        <v>0.67192784667418259</v>
      </c>
      <c r="AH35" s="20" t="str">
        <f t="shared" si="2"/>
        <v>No</v>
      </c>
      <c r="AI35" s="25"/>
      <c r="AJ35" s="37">
        <v>44231</v>
      </c>
      <c r="AK35" s="37" t="s">
        <v>1264</v>
      </c>
      <c r="AL35" s="37">
        <v>39133</v>
      </c>
      <c r="AM35" s="37" t="s">
        <v>72</v>
      </c>
      <c r="AN35" s="37">
        <f t="shared" si="3"/>
        <v>10420</v>
      </c>
      <c r="AO35" s="37" t="str">
        <f t="shared" si="4"/>
        <v>Akron, OH</v>
      </c>
      <c r="AP35" s="37" t="s">
        <v>8</v>
      </c>
      <c r="AQ35" s="25"/>
      <c r="AR35" s="20" t="s">
        <v>31</v>
      </c>
      <c r="AS35" s="24">
        <v>38150</v>
      </c>
      <c r="AT35" s="24">
        <v>43600</v>
      </c>
      <c r="AU35" s="24">
        <v>49050</v>
      </c>
      <c r="AV35" s="24">
        <v>54500</v>
      </c>
      <c r="AW35" s="24">
        <v>58900</v>
      </c>
      <c r="AX35" s="24">
        <v>63250</v>
      </c>
      <c r="AY35" s="24">
        <v>67600</v>
      </c>
      <c r="AZ35" s="24">
        <v>71950</v>
      </c>
      <c r="BA35" s="29">
        <f t="shared" si="6"/>
        <v>40875</v>
      </c>
      <c r="BB35" s="29">
        <f t="shared" si="7"/>
        <v>56700</v>
      </c>
      <c r="BC35" s="29">
        <f t="shared" si="8"/>
        <v>69775</v>
      </c>
      <c r="BD35" s="25"/>
      <c r="BE35" s="25"/>
      <c r="BF35" s="25"/>
      <c r="BG35" s="25"/>
      <c r="BH35" s="25"/>
      <c r="BI35" s="25"/>
      <c r="BJ35" s="25"/>
      <c r="BK35" s="25"/>
      <c r="BL35" s="25"/>
      <c r="BM35" s="25"/>
      <c r="BN35" s="20" t="s">
        <v>31</v>
      </c>
      <c r="BO35" s="71">
        <v>1111</v>
      </c>
      <c r="BP35" s="24">
        <v>1194</v>
      </c>
      <c r="BQ35" s="24">
        <v>1430</v>
      </c>
      <c r="BR35" s="24">
        <v>1715</v>
      </c>
      <c r="BS35" s="24">
        <v>1927</v>
      </c>
      <c r="BT35" s="122"/>
      <c r="BU35" s="39">
        <v>44234</v>
      </c>
      <c r="BV35" s="39" t="s">
        <v>1267</v>
      </c>
      <c r="BW35" s="39" t="s">
        <v>2929</v>
      </c>
      <c r="BX35" s="39" t="s">
        <v>273</v>
      </c>
      <c r="BY35" s="71">
        <v>820</v>
      </c>
      <c r="BZ35" s="71">
        <v>900</v>
      </c>
      <c r="CA35" s="71">
        <v>1140</v>
      </c>
      <c r="CB35" s="71">
        <v>1410</v>
      </c>
      <c r="CC35" s="71">
        <v>1530</v>
      </c>
      <c r="CD35" s="25"/>
      <c r="CE35" s="200"/>
      <c r="CF35" s="200"/>
      <c r="CG35" s="200"/>
      <c r="CH35" s="200"/>
      <c r="CI35" s="200"/>
      <c r="CJ35" s="200"/>
      <c r="CK35" s="200"/>
      <c r="CL35" s="200"/>
      <c r="CM35" s="200"/>
      <c r="CN35" s="200"/>
      <c r="CO35" s="200"/>
      <c r="CP35" s="200"/>
      <c r="CQ35" s="20" t="s">
        <v>31</v>
      </c>
      <c r="CR35" s="236" t="s">
        <v>2481</v>
      </c>
      <c r="CS35" s="236" t="s">
        <v>3111</v>
      </c>
      <c r="CT35" s="200"/>
      <c r="CU35" s="200"/>
      <c r="CV35" s="20" t="s">
        <v>31</v>
      </c>
      <c r="CW35" s="20" t="s">
        <v>8</v>
      </c>
      <c r="CX35" s="25"/>
      <c r="CY35" s="20" t="s">
        <v>31</v>
      </c>
      <c r="CZ35" s="20">
        <v>18140</v>
      </c>
      <c r="DA35" s="37" t="s">
        <v>2830</v>
      </c>
      <c r="DB35" s="25"/>
      <c r="DC35" s="20" t="s">
        <v>31</v>
      </c>
      <c r="DD35" s="20">
        <v>73</v>
      </c>
      <c r="DE35" s="735">
        <v>7537</v>
      </c>
      <c r="DF35" s="179">
        <v>1197592</v>
      </c>
      <c r="DG35" s="179">
        <v>1321635</v>
      </c>
      <c r="DH35" s="878">
        <f t="shared" si="11"/>
        <v>0.10357701120247964</v>
      </c>
      <c r="DI35" s="606">
        <v>532.41653800487916</v>
      </c>
      <c r="DJ35" s="179">
        <f t="shared" si="5"/>
        <v>2482.3327332252934</v>
      </c>
      <c r="DK35" s="37">
        <v>34.700000000000003</v>
      </c>
      <c r="DL35" s="236">
        <v>73795</v>
      </c>
      <c r="DM35" s="878">
        <v>0.14536010351466974</v>
      </c>
      <c r="DN35" s="878">
        <v>4.4999999999999998E-2</v>
      </c>
      <c r="DO35" s="878">
        <v>8.0000000000000002E-3</v>
      </c>
      <c r="DP35" s="878">
        <v>3.9E-2</v>
      </c>
      <c r="DQ35" s="878">
        <v>0.47032789338628489</v>
      </c>
      <c r="DR35" s="878">
        <v>0.41029790107216446</v>
      </c>
      <c r="DS35" s="878">
        <v>0.60499999999999998</v>
      </c>
      <c r="DT35" s="878">
        <v>0.23</v>
      </c>
      <c r="DU35" s="878">
        <v>2E-3</v>
      </c>
      <c r="DV35" s="878">
        <v>5.3999999999999999E-2</v>
      </c>
      <c r="DW35" s="878">
        <v>0</v>
      </c>
      <c r="DX35" s="878">
        <v>0.03</v>
      </c>
      <c r="DY35" s="878">
        <v>7.8E-2</v>
      </c>
      <c r="DZ35" s="878">
        <v>7.0999999999999994E-2</v>
      </c>
      <c r="EA35" s="878">
        <v>0.59099999999999997</v>
      </c>
      <c r="EB35" s="25"/>
      <c r="EC35" s="25"/>
      <c r="ED35" s="25"/>
      <c r="EE35" s="25"/>
      <c r="EF35" s="25"/>
      <c r="EG35" s="25"/>
      <c r="EH35" s="25"/>
      <c r="EI35" s="25"/>
      <c r="EJ35" s="25"/>
      <c r="EK35" s="25"/>
      <c r="EL35" s="25"/>
      <c r="EM35" s="25"/>
      <c r="EN35" s="25"/>
      <c r="EO35" s="25"/>
      <c r="EP35" s="25"/>
      <c r="EQ35" s="25"/>
      <c r="ER35" s="25"/>
      <c r="ES35" s="25"/>
      <c r="ET35" s="25"/>
      <c r="EU35" s="25"/>
      <c r="EV35" s="25"/>
      <c r="EW35" s="25"/>
      <c r="EX35" s="25"/>
    </row>
    <row r="36" spans="1:154" s="17" customFormat="1" x14ac:dyDescent="0.2">
      <c r="A36" s="25"/>
      <c r="B36" s="20">
        <v>39049009100</v>
      </c>
      <c r="C36" s="20">
        <v>91</v>
      </c>
      <c r="D36" s="20" t="s">
        <v>31</v>
      </c>
      <c r="E36" s="20" t="s">
        <v>2830</v>
      </c>
      <c r="F36" s="20" t="s">
        <v>8</v>
      </c>
      <c r="G36" s="861">
        <v>87.438719109228103</v>
      </c>
      <c r="H36" s="861">
        <v>77.816621771241799</v>
      </c>
      <c r="I36" s="861">
        <v>25.691829994513402</v>
      </c>
      <c r="J36" s="861">
        <v>51.223366792370697</v>
      </c>
      <c r="K36" s="982">
        <v>0</v>
      </c>
      <c r="L36" s="735">
        <v>4813</v>
      </c>
      <c r="M36" s="735">
        <v>4798</v>
      </c>
      <c r="N36" s="845">
        <f t="shared" si="0"/>
        <v>-3.1165593185123624E-3</v>
      </c>
      <c r="O36" s="735">
        <v>0.80594192380288576</v>
      </c>
      <c r="P36" s="735">
        <f t="shared" si="1"/>
        <v>5953.2825608082858</v>
      </c>
      <c r="Q36" s="849">
        <v>38.9</v>
      </c>
      <c r="R36" s="71">
        <v>182653</v>
      </c>
      <c r="S36" s="845">
        <v>1.3380723395358561E-2</v>
      </c>
      <c r="T36" s="845">
        <v>4.0999999999999995E-2</v>
      </c>
      <c r="U36" s="845">
        <v>0</v>
      </c>
      <c r="V36" s="845">
        <v>0</v>
      </c>
      <c r="W36" s="845">
        <v>0.13477246207701282</v>
      </c>
      <c r="X36" s="845">
        <v>0.51515151515151514</v>
      </c>
      <c r="Y36" s="845">
        <v>0.8912046686119216</v>
      </c>
      <c r="Z36" s="845">
        <v>4.3559816590245937E-2</v>
      </c>
      <c r="AA36" s="845">
        <v>0</v>
      </c>
      <c r="AB36" s="845">
        <v>1.4797832430179242E-2</v>
      </c>
      <c r="AC36" s="845">
        <v>0</v>
      </c>
      <c r="AD36" s="845">
        <v>2.7094622759483117E-3</v>
      </c>
      <c r="AE36" s="845">
        <v>4.7728220091704875E-2</v>
      </c>
      <c r="AF36" s="845">
        <v>4.272613588995415E-2</v>
      </c>
      <c r="AG36" s="845">
        <v>0.88140892038349317</v>
      </c>
      <c r="AH36" s="20" t="str">
        <f t="shared" si="2"/>
        <v>No</v>
      </c>
      <c r="AI36" s="25"/>
      <c r="AJ36" s="37">
        <v>44234</v>
      </c>
      <c r="AK36" s="37" t="s">
        <v>1267</v>
      </c>
      <c r="AL36" s="37">
        <v>39133</v>
      </c>
      <c r="AM36" s="37" t="s">
        <v>72</v>
      </c>
      <c r="AN36" s="37">
        <f t="shared" si="3"/>
        <v>10420</v>
      </c>
      <c r="AO36" s="37" t="str">
        <f t="shared" si="4"/>
        <v>Akron, OH</v>
      </c>
      <c r="AP36" s="37" t="s">
        <v>8</v>
      </c>
      <c r="AQ36" s="25"/>
      <c r="AR36" s="20" t="s">
        <v>32</v>
      </c>
      <c r="AS36" s="24">
        <v>33200</v>
      </c>
      <c r="AT36" s="24">
        <v>37950</v>
      </c>
      <c r="AU36" s="24">
        <v>42700</v>
      </c>
      <c r="AV36" s="24">
        <v>47400</v>
      </c>
      <c r="AW36" s="24">
        <v>51200</v>
      </c>
      <c r="AX36" s="24">
        <v>54950</v>
      </c>
      <c r="AY36" s="24">
        <v>58800</v>
      </c>
      <c r="AZ36" s="24">
        <v>62550</v>
      </c>
      <c r="BA36" s="29">
        <f t="shared" si="6"/>
        <v>35575</v>
      </c>
      <c r="BB36" s="29">
        <f t="shared" si="7"/>
        <v>49300</v>
      </c>
      <c r="BC36" s="29">
        <f t="shared" si="8"/>
        <v>60675</v>
      </c>
      <c r="BD36" s="25"/>
      <c r="BE36" s="25"/>
      <c r="BF36" s="25"/>
      <c r="BG36" s="25"/>
      <c r="BH36" s="25"/>
      <c r="BI36" s="25"/>
      <c r="BJ36" s="25"/>
      <c r="BK36" s="25"/>
      <c r="BL36" s="25"/>
      <c r="BM36" s="25"/>
      <c r="BN36" s="20" t="s">
        <v>32</v>
      </c>
      <c r="BO36" s="71">
        <v>769</v>
      </c>
      <c r="BP36" s="24">
        <v>820</v>
      </c>
      <c r="BQ36" s="24">
        <v>1076</v>
      </c>
      <c r="BR36" s="24">
        <v>1380</v>
      </c>
      <c r="BS36" s="24">
        <v>1454</v>
      </c>
      <c r="BT36" s="122"/>
      <c r="BU36" s="39">
        <v>44236</v>
      </c>
      <c r="BV36" s="39" t="s">
        <v>1269</v>
      </c>
      <c r="BW36" s="39" t="s">
        <v>2929</v>
      </c>
      <c r="BX36" s="39" t="s">
        <v>273</v>
      </c>
      <c r="BY36" s="71">
        <v>1360</v>
      </c>
      <c r="BZ36" s="71">
        <v>1480</v>
      </c>
      <c r="CA36" s="71">
        <v>1900</v>
      </c>
      <c r="CB36" s="71">
        <v>2320</v>
      </c>
      <c r="CC36" s="71">
        <v>2520</v>
      </c>
      <c r="CD36" s="25"/>
      <c r="CE36" s="200"/>
      <c r="CF36" s="200"/>
      <c r="CG36" s="200"/>
      <c r="CH36" s="200"/>
      <c r="CI36" s="200"/>
      <c r="CJ36" s="200"/>
      <c r="CK36" s="200"/>
      <c r="CL36" s="200"/>
      <c r="CM36" s="200"/>
      <c r="CN36" s="200"/>
      <c r="CO36" s="200"/>
      <c r="CP36" s="200"/>
      <c r="CQ36" s="20" t="s">
        <v>32</v>
      </c>
      <c r="CR36" s="236" t="s">
        <v>2481</v>
      </c>
      <c r="CS36" s="236" t="s">
        <v>3108</v>
      </c>
      <c r="CT36" s="200"/>
      <c r="CU36" s="200"/>
      <c r="CV36" s="20" t="s">
        <v>32</v>
      </c>
      <c r="CW36" s="20" t="s">
        <v>8</v>
      </c>
      <c r="CX36" s="25"/>
      <c r="CY36" s="20" t="s">
        <v>32</v>
      </c>
      <c r="CZ36" s="20">
        <v>45780</v>
      </c>
      <c r="DA36" s="37" t="s">
        <v>2839</v>
      </c>
      <c r="DB36" s="25"/>
      <c r="DC36" s="20" t="s">
        <v>32</v>
      </c>
      <c r="DD36" s="20">
        <v>0</v>
      </c>
      <c r="DE36" s="735">
        <v>0</v>
      </c>
      <c r="DF36" s="179">
        <v>42541</v>
      </c>
      <c r="DG36" s="179">
        <v>42434</v>
      </c>
      <c r="DH36" s="878">
        <f t="shared" si="11"/>
        <v>-2.5152206107049669E-3</v>
      </c>
      <c r="DI36" s="606">
        <v>405.44990996116968</v>
      </c>
      <c r="DJ36" s="179">
        <f t="shared" si="5"/>
        <v>104.65904408281641</v>
      </c>
      <c r="DK36" s="37">
        <v>41.6</v>
      </c>
      <c r="DL36" s="236">
        <v>72866</v>
      </c>
      <c r="DM36" s="878">
        <v>8.677410126823687E-2</v>
      </c>
      <c r="DN36" s="878">
        <v>3.5999999999999997E-2</v>
      </c>
      <c r="DO36" s="878">
        <v>5.0000000000000001E-3</v>
      </c>
      <c r="DP36" s="878">
        <v>0.01</v>
      </c>
      <c r="DQ36" s="878">
        <v>0.18654108168947336</v>
      </c>
      <c r="DR36" s="878">
        <v>0.28389965068275641</v>
      </c>
      <c r="DS36" s="878">
        <v>0.90300000000000002</v>
      </c>
      <c r="DT36" s="878">
        <v>4.0000000000000001E-3</v>
      </c>
      <c r="DU36" s="878">
        <v>4.0000000000000001E-3</v>
      </c>
      <c r="DV36" s="878">
        <v>4.0000000000000001E-3</v>
      </c>
      <c r="DW36" s="878">
        <v>0</v>
      </c>
      <c r="DX36" s="878">
        <v>3.3000000000000002E-2</v>
      </c>
      <c r="DY36" s="878">
        <v>5.0999999999999997E-2</v>
      </c>
      <c r="DZ36" s="878">
        <v>9.0999999999999998E-2</v>
      </c>
      <c r="EA36" s="878">
        <v>0.877</v>
      </c>
      <c r="EB36" s="25"/>
      <c r="EC36" s="25"/>
      <c r="ED36" s="25"/>
      <c r="EN36" s="25"/>
      <c r="EP36" s="25"/>
      <c r="EQ36" s="25"/>
      <c r="ER36" s="25"/>
      <c r="ES36" s="25"/>
      <c r="ET36" s="25"/>
      <c r="EU36" s="25"/>
      <c r="EV36" s="25"/>
      <c r="EW36" s="25"/>
      <c r="EX36" s="25"/>
    </row>
    <row r="37" spans="1:154" s="17" customFormat="1" x14ac:dyDescent="0.2">
      <c r="A37" s="25"/>
      <c r="B37" s="20">
        <v>39049002100</v>
      </c>
      <c r="C37" s="20">
        <v>21</v>
      </c>
      <c r="D37" s="20" t="s">
        <v>31</v>
      </c>
      <c r="E37" s="20" t="s">
        <v>2830</v>
      </c>
      <c r="F37" s="20" t="s">
        <v>8</v>
      </c>
      <c r="G37" s="861">
        <v>87.300522854172002</v>
      </c>
      <c r="H37" s="861">
        <v>92.948381462263796</v>
      </c>
      <c r="I37" s="861">
        <v>36.792974058313803</v>
      </c>
      <c r="J37" s="861">
        <v>44.774960877784103</v>
      </c>
      <c r="K37" s="982">
        <v>0</v>
      </c>
      <c r="L37" s="735">
        <v>1609</v>
      </c>
      <c r="M37" s="735">
        <v>2223</v>
      </c>
      <c r="N37" s="845">
        <f t="shared" si="0"/>
        <v>0.38160348042262277</v>
      </c>
      <c r="O37" s="735">
        <v>0.20136540317939916</v>
      </c>
      <c r="P37" s="735">
        <f t="shared" si="1"/>
        <v>11039.632255097462</v>
      </c>
      <c r="Q37" s="849">
        <v>29</v>
      </c>
      <c r="R37" s="71">
        <v>81042</v>
      </c>
      <c r="S37" s="845">
        <v>0.10481331533963113</v>
      </c>
      <c r="T37" s="845">
        <v>2.1000000000000001E-2</v>
      </c>
      <c r="U37" s="845">
        <v>0</v>
      </c>
      <c r="V37" s="845">
        <v>5.0999999999999997E-2</v>
      </c>
      <c r="W37" s="845">
        <v>0.79127516778523488</v>
      </c>
      <c r="X37" s="845">
        <v>0.39525021204410515</v>
      </c>
      <c r="Y37" s="845">
        <v>0.8182636077372919</v>
      </c>
      <c r="Z37" s="845">
        <v>6.6576698155645528E-2</v>
      </c>
      <c r="AA37" s="845">
        <v>0</v>
      </c>
      <c r="AB37" s="845">
        <v>6.25281151596941E-2</v>
      </c>
      <c r="AC37" s="845">
        <v>0</v>
      </c>
      <c r="AD37" s="845">
        <v>0</v>
      </c>
      <c r="AE37" s="845">
        <v>5.2631578947368418E-2</v>
      </c>
      <c r="AF37" s="845">
        <v>5.8029689608636977E-2</v>
      </c>
      <c r="AG37" s="845">
        <v>0.78992352676563204</v>
      </c>
      <c r="AH37" s="20" t="str">
        <f t="shared" si="2"/>
        <v>No</v>
      </c>
      <c r="AI37" s="25"/>
      <c r="AJ37" s="37">
        <v>44236</v>
      </c>
      <c r="AK37" s="37" t="s">
        <v>1269</v>
      </c>
      <c r="AL37" s="37">
        <v>39133</v>
      </c>
      <c r="AM37" s="37" t="s">
        <v>72</v>
      </c>
      <c r="AN37" s="37">
        <f t="shared" si="3"/>
        <v>10420</v>
      </c>
      <c r="AO37" s="37" t="str">
        <f t="shared" si="4"/>
        <v>Akron, OH</v>
      </c>
      <c r="AP37" s="37" t="s">
        <v>8</v>
      </c>
      <c r="AQ37" s="25"/>
      <c r="AR37" s="20" t="s">
        <v>33</v>
      </c>
      <c r="AS37" s="24">
        <v>29850</v>
      </c>
      <c r="AT37" s="24">
        <v>34100</v>
      </c>
      <c r="AU37" s="24">
        <v>38350</v>
      </c>
      <c r="AV37" s="24">
        <v>42600</v>
      </c>
      <c r="AW37" s="24">
        <v>46050</v>
      </c>
      <c r="AX37" s="24">
        <v>49450</v>
      </c>
      <c r="AY37" s="24">
        <v>52850</v>
      </c>
      <c r="AZ37" s="24">
        <v>56250</v>
      </c>
      <c r="BA37" s="29">
        <f t="shared" si="6"/>
        <v>31975</v>
      </c>
      <c r="BB37" s="29">
        <f t="shared" si="7"/>
        <v>44325</v>
      </c>
      <c r="BC37" s="29">
        <f t="shared" si="8"/>
        <v>54550</v>
      </c>
      <c r="BD37" s="25"/>
      <c r="BE37" s="25"/>
      <c r="BF37" s="25"/>
      <c r="BG37" s="25"/>
      <c r="BH37" s="25"/>
      <c r="BI37" s="25"/>
      <c r="BJ37" s="25"/>
      <c r="BK37" s="25"/>
      <c r="BL37" s="25"/>
      <c r="BM37" s="25"/>
      <c r="BN37" s="20" t="s">
        <v>33</v>
      </c>
      <c r="BO37" s="71">
        <v>736</v>
      </c>
      <c r="BP37" s="24">
        <v>871</v>
      </c>
      <c r="BQ37" s="24">
        <v>973</v>
      </c>
      <c r="BR37" s="24">
        <v>1240</v>
      </c>
      <c r="BS37" s="24">
        <v>1632</v>
      </c>
      <c r="BT37" s="122"/>
      <c r="BU37" s="39">
        <v>44240</v>
      </c>
      <c r="BV37" s="39" t="s">
        <v>1270</v>
      </c>
      <c r="BW37" s="39" t="s">
        <v>2929</v>
      </c>
      <c r="BX37" s="39" t="s">
        <v>273</v>
      </c>
      <c r="BY37" s="71">
        <v>910</v>
      </c>
      <c r="BZ37" s="71">
        <v>990</v>
      </c>
      <c r="CA37" s="71">
        <v>1280</v>
      </c>
      <c r="CB37" s="71">
        <v>1560</v>
      </c>
      <c r="CC37" s="71">
        <v>1700</v>
      </c>
      <c r="CD37" s="25"/>
      <c r="CE37" s="200"/>
      <c r="CF37" s="200"/>
      <c r="CG37" s="200"/>
      <c r="CH37" s="200"/>
      <c r="CI37" s="200"/>
      <c r="CJ37" s="200"/>
      <c r="CK37" s="200"/>
      <c r="CL37" s="200"/>
      <c r="CM37" s="200"/>
      <c r="CN37" s="200"/>
      <c r="CO37" s="200"/>
      <c r="CP37" s="200"/>
      <c r="CQ37" s="20" t="s">
        <v>33</v>
      </c>
      <c r="CR37" s="236" t="s">
        <v>292</v>
      </c>
      <c r="CS37" s="236" t="s">
        <v>3110</v>
      </c>
      <c r="CT37" s="200"/>
      <c r="CU37" s="200"/>
      <c r="CV37" s="20" t="s">
        <v>33</v>
      </c>
      <c r="CW37" s="20" t="s">
        <v>6</v>
      </c>
      <c r="CX37" s="25"/>
      <c r="CY37" s="20" t="s">
        <v>33</v>
      </c>
      <c r="CZ37" s="20" t="s">
        <v>265</v>
      </c>
      <c r="DA37" s="37" t="s">
        <v>265</v>
      </c>
      <c r="DB37" s="25"/>
      <c r="DC37" s="20" t="s">
        <v>33</v>
      </c>
      <c r="DD37" s="20">
        <v>0</v>
      </c>
      <c r="DE37" s="735">
        <v>0</v>
      </c>
      <c r="DF37" s="179">
        <v>30763</v>
      </c>
      <c r="DG37" s="179">
        <v>29162</v>
      </c>
      <c r="DH37" s="878">
        <f t="shared" si="11"/>
        <v>-5.2043038715339857E-2</v>
      </c>
      <c r="DI37" s="606">
        <v>466.52950426092883</v>
      </c>
      <c r="DJ37" s="179">
        <f t="shared" si="5"/>
        <v>62.508372425872906</v>
      </c>
      <c r="DK37" s="37">
        <v>41.3</v>
      </c>
      <c r="DL37" s="236">
        <v>56455</v>
      </c>
      <c r="DM37" s="878">
        <v>0.14806106334444638</v>
      </c>
      <c r="DN37" s="878">
        <v>3.5999999999999997E-2</v>
      </c>
      <c r="DO37" s="878">
        <v>5.0000000000000001E-3</v>
      </c>
      <c r="DP37" s="878">
        <v>4.0999999999999995E-2</v>
      </c>
      <c r="DQ37" s="878">
        <v>0.23644405130473242</v>
      </c>
      <c r="DR37" s="878">
        <v>0.3056490834268612</v>
      </c>
      <c r="DS37" s="878">
        <v>0.92400000000000004</v>
      </c>
      <c r="DT37" s="878">
        <v>0.02</v>
      </c>
      <c r="DU37" s="878">
        <v>0</v>
      </c>
      <c r="DV37" s="878">
        <v>8.0000000000000002E-3</v>
      </c>
      <c r="DW37" s="878">
        <v>0</v>
      </c>
      <c r="DX37" s="878">
        <v>1.7000000000000001E-2</v>
      </c>
      <c r="DY37" s="878">
        <v>0.03</v>
      </c>
      <c r="DZ37" s="878">
        <v>0.01</v>
      </c>
      <c r="EA37" s="878">
        <v>0.92200000000000004</v>
      </c>
      <c r="EB37" s="25"/>
      <c r="EC37" s="25"/>
      <c r="ED37" s="25"/>
    </row>
    <row r="38" spans="1:154" s="17" customFormat="1" x14ac:dyDescent="0.2">
      <c r="A38" s="25"/>
      <c r="B38" s="20">
        <v>39035192300</v>
      </c>
      <c r="C38" s="20">
        <v>1923</v>
      </c>
      <c r="D38" s="20" t="s">
        <v>24</v>
      </c>
      <c r="E38" s="20" t="s">
        <v>2829</v>
      </c>
      <c r="F38" s="20" t="s">
        <v>8</v>
      </c>
      <c r="G38" s="861">
        <v>87.241655783033707</v>
      </c>
      <c r="H38" s="861">
        <v>75.268572265171699</v>
      </c>
      <c r="I38" s="861">
        <v>20.279780342579301</v>
      </c>
      <c r="J38" s="861">
        <v>50.432373400187799</v>
      </c>
      <c r="K38" s="982">
        <v>0</v>
      </c>
      <c r="L38" s="735">
        <v>1518</v>
      </c>
      <c r="M38" s="735">
        <v>1492</v>
      </c>
      <c r="N38" s="845">
        <f t="shared" si="0"/>
        <v>-1.7127799736495388E-2</v>
      </c>
      <c r="O38" s="735">
        <v>1.7949468501614088</v>
      </c>
      <c r="P38" s="735">
        <f t="shared" si="1"/>
        <v>831.22238403094411</v>
      </c>
      <c r="Q38" s="849">
        <v>46.3</v>
      </c>
      <c r="R38" s="71">
        <v>92639</v>
      </c>
      <c r="S38" s="845">
        <v>5.160857908847185E-2</v>
      </c>
      <c r="T38" s="845">
        <v>1.7000000000000001E-2</v>
      </c>
      <c r="U38" s="845">
        <v>0</v>
      </c>
      <c r="V38" s="845">
        <v>0.24399999999999999</v>
      </c>
      <c r="W38" s="845">
        <v>5.8419243986254296E-2</v>
      </c>
      <c r="X38" s="845">
        <v>0.14705882352941177</v>
      </c>
      <c r="Y38" s="845">
        <v>0.91756032171581769</v>
      </c>
      <c r="Z38" s="845">
        <v>1.5415549597855228E-2</v>
      </c>
      <c r="AA38" s="845">
        <v>0</v>
      </c>
      <c r="AB38" s="845">
        <v>2.8820375335120642E-2</v>
      </c>
      <c r="AC38" s="845">
        <v>0</v>
      </c>
      <c r="AD38" s="845">
        <v>0</v>
      </c>
      <c r="AE38" s="845">
        <v>3.8203753351206432E-2</v>
      </c>
      <c r="AF38" s="845">
        <v>1.7426273458445041E-2</v>
      </c>
      <c r="AG38" s="845">
        <v>0.91152815013404831</v>
      </c>
      <c r="AH38" s="20" t="str">
        <f t="shared" si="2"/>
        <v>Yes</v>
      </c>
      <c r="AI38" s="25"/>
      <c r="AJ38" s="37">
        <v>44240</v>
      </c>
      <c r="AK38" s="37" t="s">
        <v>1270</v>
      </c>
      <c r="AL38" s="37">
        <v>39133</v>
      </c>
      <c r="AM38" s="37" t="s">
        <v>72</v>
      </c>
      <c r="AN38" s="37">
        <f t="shared" si="3"/>
        <v>10420</v>
      </c>
      <c r="AO38" s="37" t="str">
        <f t="shared" si="4"/>
        <v>Akron, OH</v>
      </c>
      <c r="AP38" s="37" t="s">
        <v>8</v>
      </c>
      <c r="AQ38" s="25"/>
      <c r="AR38" s="20" t="s">
        <v>34</v>
      </c>
      <c r="AS38" s="24">
        <v>34800</v>
      </c>
      <c r="AT38" s="24">
        <v>39800</v>
      </c>
      <c r="AU38" s="24">
        <v>44750</v>
      </c>
      <c r="AV38" s="24">
        <v>49700</v>
      </c>
      <c r="AW38" s="24">
        <v>53700</v>
      </c>
      <c r="AX38" s="24">
        <v>57700</v>
      </c>
      <c r="AY38" s="24">
        <v>61650</v>
      </c>
      <c r="AZ38" s="24">
        <v>65650</v>
      </c>
      <c r="BA38" s="29">
        <f t="shared" si="6"/>
        <v>37300</v>
      </c>
      <c r="BB38" s="29">
        <f t="shared" si="7"/>
        <v>51700</v>
      </c>
      <c r="BC38" s="29">
        <f t="shared" si="8"/>
        <v>63650</v>
      </c>
      <c r="BD38" s="25"/>
      <c r="BE38" s="25"/>
      <c r="BF38" s="25"/>
      <c r="BG38" s="25"/>
      <c r="BH38" s="25"/>
      <c r="BI38" s="25"/>
      <c r="BJ38" s="25"/>
      <c r="BK38" s="25"/>
      <c r="BL38" s="25"/>
      <c r="BM38" s="25"/>
      <c r="BN38" s="20" t="s">
        <v>34</v>
      </c>
      <c r="BO38" s="71">
        <v>933</v>
      </c>
      <c r="BP38" s="24">
        <v>1058</v>
      </c>
      <c r="BQ38" s="24">
        <v>1279</v>
      </c>
      <c r="BR38" s="24">
        <v>1646</v>
      </c>
      <c r="BS38" s="24">
        <v>1760</v>
      </c>
      <c r="BT38" s="122"/>
      <c r="BU38" s="39">
        <v>44241</v>
      </c>
      <c r="BV38" s="39" t="s">
        <v>1271</v>
      </c>
      <c r="BW38" s="39" t="s">
        <v>2929</v>
      </c>
      <c r="BX38" s="39" t="s">
        <v>273</v>
      </c>
      <c r="BY38" s="71">
        <v>1160</v>
      </c>
      <c r="BZ38" s="71">
        <v>1270</v>
      </c>
      <c r="CA38" s="71">
        <v>1630</v>
      </c>
      <c r="CB38" s="71">
        <v>1990</v>
      </c>
      <c r="CC38" s="71">
        <v>2160</v>
      </c>
      <c r="CD38" s="25"/>
      <c r="CE38" s="200"/>
      <c r="CF38" s="200"/>
      <c r="CG38" s="200"/>
      <c r="CH38" s="200"/>
      <c r="CI38" s="200"/>
      <c r="CJ38" s="200"/>
      <c r="CK38" s="200"/>
      <c r="CL38" s="200"/>
      <c r="CM38" s="200"/>
      <c r="CN38" s="200"/>
      <c r="CO38" s="200"/>
      <c r="CP38" s="200"/>
      <c r="CQ38" s="20" t="s">
        <v>34</v>
      </c>
      <c r="CR38" s="236" t="s">
        <v>2481</v>
      </c>
      <c r="CS38" s="236" t="s">
        <v>3109</v>
      </c>
      <c r="CT38" s="200"/>
      <c r="CU38" s="200"/>
      <c r="CV38" s="20" t="s">
        <v>34</v>
      </c>
      <c r="CW38" s="20" t="s">
        <v>8</v>
      </c>
      <c r="CX38" s="25"/>
      <c r="CY38" s="20" t="s">
        <v>34</v>
      </c>
      <c r="CZ38" s="20">
        <v>17410</v>
      </c>
      <c r="DA38" s="37" t="s">
        <v>2829</v>
      </c>
      <c r="DB38" s="25"/>
      <c r="DC38" s="20" t="s">
        <v>34</v>
      </c>
      <c r="DD38" s="20">
        <v>0</v>
      </c>
      <c r="DE38" s="735">
        <v>0</v>
      </c>
      <c r="DF38" s="179">
        <v>93819</v>
      </c>
      <c r="DG38" s="179">
        <v>95479</v>
      </c>
      <c r="DH38" s="878">
        <f t="shared" si="11"/>
        <v>1.7693644144576259E-2</v>
      </c>
      <c r="DI38" s="606">
        <v>400.43998194261985</v>
      </c>
      <c r="DJ38" s="179">
        <f t="shared" si="5"/>
        <v>238.43523200857962</v>
      </c>
      <c r="DK38" s="37">
        <v>45</v>
      </c>
      <c r="DL38" s="236">
        <v>100783</v>
      </c>
      <c r="DM38" s="878">
        <v>5.8092164435744144E-2</v>
      </c>
      <c r="DN38" s="878">
        <v>0.03</v>
      </c>
      <c r="DO38" s="878">
        <v>2E-3</v>
      </c>
      <c r="DP38" s="878">
        <v>2.7999999999999997E-2</v>
      </c>
      <c r="DQ38" s="878">
        <v>0.13007558940062383</v>
      </c>
      <c r="DR38" s="878">
        <v>0.34651112551306978</v>
      </c>
      <c r="DS38" s="878">
        <v>0.93700000000000006</v>
      </c>
      <c r="DT38" s="878">
        <v>8.9999999999999993E-3</v>
      </c>
      <c r="DU38" s="878">
        <v>0</v>
      </c>
      <c r="DV38" s="878">
        <v>5.0000000000000001E-3</v>
      </c>
      <c r="DW38" s="878">
        <v>0</v>
      </c>
      <c r="DX38" s="878">
        <v>6.0000000000000001E-3</v>
      </c>
      <c r="DY38" s="878">
        <v>4.2000000000000003E-2</v>
      </c>
      <c r="DZ38" s="878">
        <v>1.9E-2</v>
      </c>
      <c r="EA38" s="878">
        <v>0.93200000000000005</v>
      </c>
      <c r="EB38" s="25"/>
      <c r="EC38" s="25"/>
      <c r="ED38" s="25"/>
    </row>
    <row r="39" spans="1:154" s="17" customFormat="1" x14ac:dyDescent="0.2">
      <c r="A39" s="25"/>
      <c r="B39" s="20">
        <v>39061023522</v>
      </c>
      <c r="C39" s="20">
        <v>235.22</v>
      </c>
      <c r="D39" s="20" t="s">
        <v>37</v>
      </c>
      <c r="E39" s="20" t="s">
        <v>2828</v>
      </c>
      <c r="F39" s="20" t="s">
        <v>8</v>
      </c>
      <c r="G39" s="861">
        <v>86.619888794059705</v>
      </c>
      <c r="H39" s="861">
        <v>83.899053339663297</v>
      </c>
      <c r="I39" s="861">
        <v>39.505151609922997</v>
      </c>
      <c r="J39" s="861">
        <v>50.838921017617601</v>
      </c>
      <c r="K39" s="982">
        <v>0</v>
      </c>
      <c r="L39" s="735">
        <v>6241</v>
      </c>
      <c r="M39" s="735">
        <v>5865</v>
      </c>
      <c r="N39" s="845">
        <f t="shared" si="0"/>
        <v>-6.0246755327671847E-2</v>
      </c>
      <c r="O39" s="735">
        <v>2.3049109673325874</v>
      </c>
      <c r="P39" s="735">
        <f t="shared" si="1"/>
        <v>2544.5668327863482</v>
      </c>
      <c r="Q39" s="849">
        <v>39</v>
      </c>
      <c r="R39" s="71">
        <v>98427</v>
      </c>
      <c r="S39" s="845">
        <v>6.7884217780840805E-2</v>
      </c>
      <c r="T39" s="845">
        <v>2.6000000000000002E-2</v>
      </c>
      <c r="U39" s="845">
        <v>0</v>
      </c>
      <c r="V39" s="845">
        <v>3.6000000000000004E-2</v>
      </c>
      <c r="W39" s="845">
        <v>0.40113851992409866</v>
      </c>
      <c r="X39" s="845">
        <v>0.54304635761589404</v>
      </c>
      <c r="Y39" s="845">
        <v>0.70366581415174767</v>
      </c>
      <c r="Z39" s="845">
        <v>0.10127877237851662</v>
      </c>
      <c r="AA39" s="845">
        <v>0</v>
      </c>
      <c r="AB39" s="845">
        <v>6.1551577152600172E-2</v>
      </c>
      <c r="AC39" s="845">
        <v>0</v>
      </c>
      <c r="AD39" s="845">
        <v>2.16538789428815E-2</v>
      </c>
      <c r="AE39" s="845">
        <v>0.11184995737425404</v>
      </c>
      <c r="AF39" s="845">
        <v>0.12190963341858482</v>
      </c>
      <c r="AG39" s="845">
        <v>0.69718670076726341</v>
      </c>
      <c r="AH39" s="20" t="str">
        <f t="shared" si="2"/>
        <v>No</v>
      </c>
      <c r="AI39" s="25"/>
      <c r="AJ39" s="37">
        <v>44241</v>
      </c>
      <c r="AK39" s="37" t="s">
        <v>1271</v>
      </c>
      <c r="AL39" s="37">
        <v>39133</v>
      </c>
      <c r="AM39" s="37" t="s">
        <v>72</v>
      </c>
      <c r="AN39" s="37">
        <f t="shared" si="3"/>
        <v>10420</v>
      </c>
      <c r="AO39" s="37" t="str">
        <f t="shared" si="4"/>
        <v>Akron, OH</v>
      </c>
      <c r="AP39" s="37" t="s">
        <v>8</v>
      </c>
      <c r="AQ39" s="25"/>
      <c r="AR39" s="20" t="s">
        <v>35</v>
      </c>
      <c r="AS39" s="24">
        <v>32850</v>
      </c>
      <c r="AT39" s="24">
        <v>37550</v>
      </c>
      <c r="AU39" s="24">
        <v>42250</v>
      </c>
      <c r="AV39" s="24">
        <v>46900</v>
      </c>
      <c r="AW39" s="24">
        <v>50700</v>
      </c>
      <c r="AX39" s="24">
        <v>54450</v>
      </c>
      <c r="AY39" s="24">
        <v>58200</v>
      </c>
      <c r="AZ39" s="24">
        <v>61950</v>
      </c>
      <c r="BA39" s="29">
        <f t="shared" si="6"/>
        <v>35200</v>
      </c>
      <c r="BB39" s="29">
        <f t="shared" si="7"/>
        <v>48800</v>
      </c>
      <c r="BC39" s="29">
        <f t="shared" si="8"/>
        <v>60075</v>
      </c>
      <c r="BD39" s="25"/>
      <c r="BE39" s="25"/>
      <c r="BF39" s="25"/>
      <c r="BG39" s="25"/>
      <c r="BH39" s="25"/>
      <c r="BI39" s="25"/>
      <c r="BJ39" s="25"/>
      <c r="BK39" s="25"/>
      <c r="BL39" s="25"/>
      <c r="BM39" s="25"/>
      <c r="BN39" s="20" t="s">
        <v>35</v>
      </c>
      <c r="BO39" s="71">
        <v>928</v>
      </c>
      <c r="BP39" s="24">
        <v>1009</v>
      </c>
      <c r="BQ39" s="24">
        <v>1273</v>
      </c>
      <c r="BR39" s="24">
        <v>1651</v>
      </c>
      <c r="BS39" s="24">
        <v>1817</v>
      </c>
      <c r="BT39" s="122"/>
      <c r="BU39" s="39">
        <v>44243</v>
      </c>
      <c r="BV39" s="39" t="s">
        <v>1272</v>
      </c>
      <c r="BW39" s="39" t="s">
        <v>2929</v>
      </c>
      <c r="BX39" s="39" t="s">
        <v>273</v>
      </c>
      <c r="BY39" s="71">
        <v>910</v>
      </c>
      <c r="BZ39" s="71">
        <v>990</v>
      </c>
      <c r="CA39" s="71">
        <v>1280</v>
      </c>
      <c r="CB39" s="71">
        <v>1560</v>
      </c>
      <c r="CC39" s="71">
        <v>1700</v>
      </c>
      <c r="CD39" s="25"/>
      <c r="CE39" s="200"/>
      <c r="CF39" s="200"/>
      <c r="CG39" s="200"/>
      <c r="CH39" s="200"/>
      <c r="CI39" s="200"/>
      <c r="CJ39" s="200"/>
      <c r="CK39" s="200"/>
      <c r="CL39" s="200"/>
      <c r="CM39" s="200"/>
      <c r="CN39" s="200"/>
      <c r="CO39" s="200"/>
      <c r="CP39" s="200"/>
      <c r="CQ39" s="20" t="s">
        <v>35</v>
      </c>
      <c r="CR39" s="236" t="s">
        <v>2481</v>
      </c>
      <c r="CS39" s="236" t="s">
        <v>3107</v>
      </c>
      <c r="CT39" s="200"/>
      <c r="CU39" s="200"/>
      <c r="CV39" s="20" t="s">
        <v>35</v>
      </c>
      <c r="CW39" s="20" t="s">
        <v>8</v>
      </c>
      <c r="CX39" s="25"/>
      <c r="CY39" s="20" t="s">
        <v>35</v>
      </c>
      <c r="CZ39" s="20">
        <v>19430</v>
      </c>
      <c r="DA39" s="37" t="s">
        <v>2833</v>
      </c>
      <c r="DB39" s="25"/>
      <c r="DC39" s="20" t="s">
        <v>35</v>
      </c>
      <c r="DD39" s="20">
        <v>4</v>
      </c>
      <c r="DE39" s="735">
        <v>385</v>
      </c>
      <c r="DF39" s="179">
        <v>163313</v>
      </c>
      <c r="DG39" s="179">
        <v>168531</v>
      </c>
      <c r="DH39" s="878">
        <f t="shared" si="11"/>
        <v>3.1950916338564596E-2</v>
      </c>
      <c r="DI39" s="606">
        <v>413.6322560183491</v>
      </c>
      <c r="DJ39" s="179">
        <f t="shared" si="5"/>
        <v>407.44162851874836</v>
      </c>
      <c r="DK39" s="37">
        <v>38.700000000000003</v>
      </c>
      <c r="DL39" s="236">
        <v>85218</v>
      </c>
      <c r="DM39" s="878">
        <v>9.7774220170392848E-2</v>
      </c>
      <c r="DN39" s="878">
        <v>0.04</v>
      </c>
      <c r="DO39" s="878">
        <v>0.01</v>
      </c>
      <c r="DP39" s="878">
        <v>4.2999999999999997E-2</v>
      </c>
      <c r="DQ39" s="878">
        <v>0.32423901123329085</v>
      </c>
      <c r="DR39" s="878">
        <v>0.36413912884501121</v>
      </c>
      <c r="DS39" s="878">
        <v>0.82899999999999996</v>
      </c>
      <c r="DT39" s="878">
        <v>5.8999999999999997E-2</v>
      </c>
      <c r="DU39" s="878">
        <v>2E-3</v>
      </c>
      <c r="DV39" s="878">
        <v>2.8000000000000001E-2</v>
      </c>
      <c r="DW39" s="878">
        <v>1E-3</v>
      </c>
      <c r="DX39" s="878">
        <v>1.0999999999999999E-2</v>
      </c>
      <c r="DY39" s="878">
        <v>7.0000000000000007E-2</v>
      </c>
      <c r="DZ39" s="878">
        <v>3.2000000000000001E-2</v>
      </c>
      <c r="EA39" s="878">
        <v>0.81699999999999995</v>
      </c>
      <c r="EB39" s="25"/>
      <c r="EC39" s="25"/>
      <c r="ED39" s="25"/>
    </row>
    <row r="40" spans="1:154" s="17" customFormat="1" x14ac:dyDescent="0.2">
      <c r="A40" s="25"/>
      <c r="B40" s="20">
        <v>39049006910</v>
      </c>
      <c r="C40" s="20">
        <v>69.099999999999994</v>
      </c>
      <c r="D40" s="20" t="s">
        <v>31</v>
      </c>
      <c r="E40" s="20" t="s">
        <v>2830</v>
      </c>
      <c r="F40" s="20" t="s">
        <v>8</v>
      </c>
      <c r="G40" s="861">
        <v>86.6076193730554</v>
      </c>
      <c r="H40" s="861">
        <v>80.011749582040807</v>
      </c>
      <c r="I40" s="861">
        <v>18.8367671632877</v>
      </c>
      <c r="J40" s="861">
        <v>44.597097282026198</v>
      </c>
      <c r="K40" s="982">
        <v>0</v>
      </c>
      <c r="L40" s="735">
        <v>1575</v>
      </c>
      <c r="M40" s="735">
        <v>1779</v>
      </c>
      <c r="N40" s="845">
        <f t="shared" si="0"/>
        <v>0.12952380952380951</v>
      </c>
      <c r="O40" s="735">
        <v>0.68650585426818811</v>
      </c>
      <c r="P40" s="735">
        <f t="shared" si="1"/>
        <v>2591.3835824406847</v>
      </c>
      <c r="Q40" s="849">
        <v>38.799999999999997</v>
      </c>
      <c r="R40" s="71">
        <v>179375</v>
      </c>
      <c r="S40" s="845">
        <v>1.0746606334841629E-2</v>
      </c>
      <c r="T40" s="845">
        <v>1.8000000000000002E-2</v>
      </c>
      <c r="U40" s="845">
        <v>2E-3</v>
      </c>
      <c r="V40" s="845">
        <v>0</v>
      </c>
      <c r="W40" s="845">
        <v>2.5039123630672927E-2</v>
      </c>
      <c r="X40" s="845">
        <v>0.125</v>
      </c>
      <c r="Y40" s="845">
        <v>0.91455874086565492</v>
      </c>
      <c r="Z40" s="845">
        <v>7.3074761101742554E-3</v>
      </c>
      <c r="AA40" s="845">
        <v>0</v>
      </c>
      <c r="AB40" s="845">
        <v>2.0798201236649803E-2</v>
      </c>
      <c r="AC40" s="845">
        <v>0</v>
      </c>
      <c r="AD40" s="845">
        <v>5.621135469364812E-3</v>
      </c>
      <c r="AE40" s="845">
        <v>5.1714446318156269E-2</v>
      </c>
      <c r="AF40" s="845">
        <v>1.6301292861157952E-2</v>
      </c>
      <c r="AG40" s="845">
        <v>0.91174817313097245</v>
      </c>
      <c r="AH40" s="20" t="str">
        <f t="shared" si="2"/>
        <v>Yes</v>
      </c>
      <c r="AI40" s="25"/>
      <c r="AJ40" s="37">
        <v>44243</v>
      </c>
      <c r="AK40" s="37" t="s">
        <v>1272</v>
      </c>
      <c r="AL40" s="37">
        <v>39133</v>
      </c>
      <c r="AM40" s="37" t="s">
        <v>72</v>
      </c>
      <c r="AN40" s="37">
        <f t="shared" si="3"/>
        <v>10420</v>
      </c>
      <c r="AO40" s="37" t="str">
        <f t="shared" si="4"/>
        <v>Akron, OH</v>
      </c>
      <c r="AP40" s="37" t="s">
        <v>8</v>
      </c>
      <c r="AQ40" s="25"/>
      <c r="AR40" s="20" t="s">
        <v>36</v>
      </c>
      <c r="AS40" s="24">
        <v>29850</v>
      </c>
      <c r="AT40" s="24">
        <v>34100</v>
      </c>
      <c r="AU40" s="24">
        <v>38350</v>
      </c>
      <c r="AV40" s="24">
        <v>42600</v>
      </c>
      <c r="AW40" s="24">
        <v>46050</v>
      </c>
      <c r="AX40" s="24">
        <v>49450</v>
      </c>
      <c r="AY40" s="24">
        <v>52850</v>
      </c>
      <c r="AZ40" s="24">
        <v>56250</v>
      </c>
      <c r="BA40" s="29">
        <f t="shared" si="6"/>
        <v>31975</v>
      </c>
      <c r="BB40" s="29">
        <f t="shared" si="7"/>
        <v>44325</v>
      </c>
      <c r="BC40" s="29">
        <f t="shared" si="8"/>
        <v>54550</v>
      </c>
      <c r="BD40" s="25"/>
      <c r="BE40" s="25"/>
      <c r="BF40" s="25"/>
      <c r="BG40" s="25"/>
      <c r="BH40" s="25"/>
      <c r="BI40" s="25"/>
      <c r="BJ40" s="25"/>
      <c r="BK40" s="25"/>
      <c r="BL40" s="25"/>
      <c r="BM40" s="25"/>
      <c r="BN40" s="20" t="s">
        <v>36</v>
      </c>
      <c r="BO40" s="71">
        <v>737</v>
      </c>
      <c r="BP40" s="24">
        <v>742</v>
      </c>
      <c r="BQ40" s="24">
        <v>973</v>
      </c>
      <c r="BR40" s="24">
        <v>1280</v>
      </c>
      <c r="BS40" s="24">
        <v>1574</v>
      </c>
      <c r="BT40" s="122"/>
      <c r="BU40" s="39">
        <v>44250</v>
      </c>
      <c r="BV40" s="39" t="s">
        <v>1273</v>
      </c>
      <c r="BW40" s="39" t="s">
        <v>2929</v>
      </c>
      <c r="BX40" s="39" t="s">
        <v>273</v>
      </c>
      <c r="BY40" s="71">
        <v>860</v>
      </c>
      <c r="BZ40" s="71">
        <v>930</v>
      </c>
      <c r="CA40" s="71">
        <v>1200</v>
      </c>
      <c r="CB40" s="71">
        <v>1460</v>
      </c>
      <c r="CC40" s="71">
        <v>1590</v>
      </c>
      <c r="CD40" s="25"/>
      <c r="CE40" s="200"/>
      <c r="CF40" s="200"/>
      <c r="CG40" s="200"/>
      <c r="CH40" s="200"/>
      <c r="CI40" s="200"/>
      <c r="CJ40" s="200"/>
      <c r="CK40" s="200"/>
      <c r="CL40" s="200"/>
      <c r="CM40" s="200"/>
      <c r="CN40" s="200"/>
      <c r="CO40" s="200"/>
      <c r="CP40" s="200"/>
      <c r="CQ40" s="20" t="s">
        <v>36</v>
      </c>
      <c r="CR40" s="236" t="s">
        <v>292</v>
      </c>
      <c r="CS40" s="236" t="s">
        <v>3110</v>
      </c>
      <c r="CT40" s="200"/>
      <c r="CU40" s="200"/>
      <c r="CV40" s="20" t="s">
        <v>36</v>
      </c>
      <c r="CW40" s="20" t="s">
        <v>6</v>
      </c>
      <c r="CX40" s="25"/>
      <c r="CY40" s="20" t="s">
        <v>36</v>
      </c>
      <c r="CZ40" s="20" t="s">
        <v>265</v>
      </c>
      <c r="DA40" s="37" t="s">
        <v>265</v>
      </c>
      <c r="DB40" s="25"/>
      <c r="DC40" s="20" t="s">
        <v>36</v>
      </c>
      <c r="DD40" s="20">
        <v>0</v>
      </c>
      <c r="DE40" s="735">
        <v>0</v>
      </c>
      <c r="DF40" s="179">
        <v>39794</v>
      </c>
      <c r="DG40" s="179">
        <v>38283</v>
      </c>
      <c r="DH40" s="878">
        <f t="shared" si="11"/>
        <v>-3.7970548323867918E-2</v>
      </c>
      <c r="DI40" s="606">
        <v>522.24159206661375</v>
      </c>
      <c r="DJ40" s="179">
        <f t="shared" si="5"/>
        <v>73.305153364952346</v>
      </c>
      <c r="DK40" s="37">
        <v>42.7</v>
      </c>
      <c r="DL40" s="236">
        <v>55756</v>
      </c>
      <c r="DM40" s="878">
        <v>0.15771244249378669</v>
      </c>
      <c r="DN40" s="878">
        <v>0.05</v>
      </c>
      <c r="DO40" s="878">
        <v>2.7000000000000003E-2</v>
      </c>
      <c r="DP40" s="878">
        <v>9.3000000000000013E-2</v>
      </c>
      <c r="DQ40" s="878">
        <v>0.28362159167846374</v>
      </c>
      <c r="DR40" s="878">
        <v>0.41319444444444442</v>
      </c>
      <c r="DS40" s="878">
        <v>0.94099999999999995</v>
      </c>
      <c r="DT40" s="878">
        <v>1.7000000000000001E-2</v>
      </c>
      <c r="DU40" s="878">
        <v>0</v>
      </c>
      <c r="DV40" s="878">
        <v>5.0000000000000001E-3</v>
      </c>
      <c r="DW40" s="878">
        <v>0</v>
      </c>
      <c r="DX40" s="878">
        <v>6.0000000000000001E-3</v>
      </c>
      <c r="DY40" s="878">
        <v>3.1E-2</v>
      </c>
      <c r="DZ40" s="878">
        <v>1.2999999999999999E-2</v>
      </c>
      <c r="EA40" s="878">
        <v>0.93400000000000005</v>
      </c>
      <c r="EB40" s="25"/>
      <c r="EC40" s="25"/>
      <c r="ED40" s="25"/>
    </row>
    <row r="41" spans="1:154" s="17" customFormat="1" x14ac:dyDescent="0.2">
      <c r="A41" s="25"/>
      <c r="B41" s="20">
        <v>39049006722</v>
      </c>
      <c r="C41" s="20">
        <v>67.22</v>
      </c>
      <c r="D41" s="20" t="s">
        <v>31</v>
      </c>
      <c r="E41" s="20" t="s">
        <v>2830</v>
      </c>
      <c r="F41" s="20" t="s">
        <v>8</v>
      </c>
      <c r="G41" s="861">
        <v>86.296540999208901</v>
      </c>
      <c r="H41" s="861">
        <v>68.698671811104802</v>
      </c>
      <c r="I41" s="861">
        <v>30.0371710688399</v>
      </c>
      <c r="J41" s="861">
        <v>43.900768870245699</v>
      </c>
      <c r="K41" s="982">
        <v>0</v>
      </c>
      <c r="L41" s="735">
        <v>3081</v>
      </c>
      <c r="M41" s="735">
        <v>2839</v>
      </c>
      <c r="N41" s="845">
        <f t="shared" si="0"/>
        <v>-7.8545926647192468E-2</v>
      </c>
      <c r="O41" s="735">
        <v>1.5140281860212865</v>
      </c>
      <c r="P41" s="735">
        <f t="shared" si="1"/>
        <v>1875.1302163406917</v>
      </c>
      <c r="Q41" s="849">
        <v>42.1</v>
      </c>
      <c r="R41" s="71">
        <v>94130</v>
      </c>
      <c r="S41" s="845">
        <v>5.5175038051750377E-2</v>
      </c>
      <c r="T41" s="845">
        <v>7.2999999999999995E-2</v>
      </c>
      <c r="U41" s="845">
        <v>0</v>
      </c>
      <c r="V41" s="845">
        <v>0</v>
      </c>
      <c r="W41" s="845">
        <v>0.26903553299492383</v>
      </c>
      <c r="X41" s="845">
        <v>0.37421383647798739</v>
      </c>
      <c r="Y41" s="845">
        <v>0.86791123635082779</v>
      </c>
      <c r="Z41" s="845">
        <v>4.6847481507573091E-2</v>
      </c>
      <c r="AA41" s="845">
        <v>0</v>
      </c>
      <c r="AB41" s="845">
        <v>1.2680521310320535E-2</v>
      </c>
      <c r="AC41" s="845">
        <v>3.522367030644593E-3</v>
      </c>
      <c r="AD41" s="845">
        <v>0</v>
      </c>
      <c r="AE41" s="845">
        <v>6.9038393800634021E-2</v>
      </c>
      <c r="AF41" s="845">
        <v>2.9940119760479042E-2</v>
      </c>
      <c r="AG41" s="845">
        <v>0.86791123635082779</v>
      </c>
      <c r="AH41" s="20" t="str">
        <f t="shared" si="2"/>
        <v>No</v>
      </c>
      <c r="AI41" s="25"/>
      <c r="AJ41" s="37">
        <v>44255</v>
      </c>
      <c r="AK41" s="37" t="s">
        <v>1277</v>
      </c>
      <c r="AL41" s="37">
        <v>39133</v>
      </c>
      <c r="AM41" s="37" t="s">
        <v>72</v>
      </c>
      <c r="AN41" s="37">
        <f t="shared" si="3"/>
        <v>10420</v>
      </c>
      <c r="AO41" s="37" t="str">
        <f t="shared" si="4"/>
        <v>Akron, OH</v>
      </c>
      <c r="AP41" s="37" t="s">
        <v>8</v>
      </c>
      <c r="AQ41" s="25"/>
      <c r="AR41" s="20" t="s">
        <v>37</v>
      </c>
      <c r="AS41" s="24">
        <v>39150</v>
      </c>
      <c r="AT41" s="24">
        <v>44750</v>
      </c>
      <c r="AU41" s="24">
        <v>50350</v>
      </c>
      <c r="AV41" s="24">
        <v>55900</v>
      </c>
      <c r="AW41" s="24">
        <v>60400</v>
      </c>
      <c r="AX41" s="24">
        <v>64850</v>
      </c>
      <c r="AY41" s="24">
        <v>69350</v>
      </c>
      <c r="AZ41" s="24">
        <v>73800</v>
      </c>
      <c r="BA41" s="29">
        <f t="shared" si="6"/>
        <v>41950</v>
      </c>
      <c r="BB41" s="29">
        <f t="shared" si="7"/>
        <v>58150</v>
      </c>
      <c r="BC41" s="29">
        <f t="shared" si="8"/>
        <v>71575</v>
      </c>
      <c r="BD41" s="25"/>
      <c r="BE41" s="25"/>
      <c r="BF41" s="25"/>
      <c r="BG41" s="25"/>
      <c r="BH41" s="25"/>
      <c r="BI41" s="25"/>
      <c r="BJ41" s="25"/>
      <c r="BK41" s="25"/>
      <c r="BL41" s="25"/>
      <c r="BM41" s="25"/>
      <c r="BN41" s="20" t="s">
        <v>37</v>
      </c>
      <c r="BO41" s="71">
        <v>958</v>
      </c>
      <c r="BP41" s="24">
        <v>1051</v>
      </c>
      <c r="BQ41" s="24">
        <v>1353</v>
      </c>
      <c r="BR41" s="24">
        <v>1785</v>
      </c>
      <c r="BS41" s="24">
        <v>1976</v>
      </c>
      <c r="BT41" s="122"/>
      <c r="BU41" s="39">
        <v>44255</v>
      </c>
      <c r="BV41" s="39" t="s">
        <v>1277</v>
      </c>
      <c r="BW41" s="39" t="s">
        <v>2929</v>
      </c>
      <c r="BX41" s="39" t="s">
        <v>273</v>
      </c>
      <c r="BY41" s="71">
        <v>900</v>
      </c>
      <c r="BZ41" s="71">
        <v>980</v>
      </c>
      <c r="CA41" s="71">
        <v>1260</v>
      </c>
      <c r="CB41" s="71">
        <v>1540</v>
      </c>
      <c r="CC41" s="71">
        <v>1670</v>
      </c>
      <c r="CD41" s="25"/>
      <c r="CE41" s="200"/>
      <c r="CF41" s="200"/>
      <c r="CG41" s="200"/>
      <c r="CH41" s="200"/>
      <c r="CI41" s="200"/>
      <c r="CJ41" s="200"/>
      <c r="CK41" s="200"/>
      <c r="CL41" s="200"/>
      <c r="CM41" s="200"/>
      <c r="CN41" s="200"/>
      <c r="CO41" s="200"/>
      <c r="CP41" s="200"/>
      <c r="CQ41" s="20" t="s">
        <v>37</v>
      </c>
      <c r="CR41" s="236" t="s">
        <v>2481</v>
      </c>
      <c r="CS41" s="236" t="s">
        <v>3107</v>
      </c>
      <c r="CT41" s="200"/>
      <c r="CU41" s="200"/>
      <c r="CV41" s="20" t="s">
        <v>37</v>
      </c>
      <c r="CW41" s="20" t="s">
        <v>8</v>
      </c>
      <c r="CX41" s="25"/>
      <c r="CY41" s="20" t="s">
        <v>37</v>
      </c>
      <c r="CZ41" s="20">
        <v>17140</v>
      </c>
      <c r="DA41" s="37" t="s">
        <v>2828</v>
      </c>
      <c r="DB41" s="25"/>
      <c r="DC41" s="20" t="s">
        <v>37</v>
      </c>
      <c r="DD41" s="20">
        <v>36</v>
      </c>
      <c r="DE41" s="735">
        <v>2696</v>
      </c>
      <c r="DF41" s="179">
        <v>803272</v>
      </c>
      <c r="DG41" s="179">
        <v>827878</v>
      </c>
      <c r="DH41" s="878">
        <f t="shared" si="11"/>
        <v>3.063221424374309E-2</v>
      </c>
      <c r="DI41" s="606">
        <v>405.45377600208366</v>
      </c>
      <c r="DJ41" s="179">
        <f t="shared" si="5"/>
        <v>2041.8554444434264</v>
      </c>
      <c r="DK41" s="37">
        <v>36.9</v>
      </c>
      <c r="DL41" s="236">
        <v>70816</v>
      </c>
      <c r="DM41" s="878">
        <v>0.14857191580648788</v>
      </c>
      <c r="DN41" s="878">
        <v>0.05</v>
      </c>
      <c r="DO41" s="878">
        <v>6.0000000000000001E-3</v>
      </c>
      <c r="DP41" s="878">
        <v>4.2000000000000003E-2</v>
      </c>
      <c r="DQ41" s="878">
        <v>0.41006755049250243</v>
      </c>
      <c r="DR41" s="878">
        <v>0.43148361007630626</v>
      </c>
      <c r="DS41" s="878">
        <v>0.64300000000000002</v>
      </c>
      <c r="DT41" s="878">
        <v>0.251</v>
      </c>
      <c r="DU41" s="878">
        <v>1E-3</v>
      </c>
      <c r="DV41" s="878">
        <v>2.7E-2</v>
      </c>
      <c r="DW41" s="878">
        <v>1E-3</v>
      </c>
      <c r="DX41" s="878">
        <v>1.6E-2</v>
      </c>
      <c r="DY41" s="878">
        <v>6.0999999999999999E-2</v>
      </c>
      <c r="DZ41" s="878">
        <v>4.4999999999999998E-2</v>
      </c>
      <c r="EA41" s="878">
        <v>0.629</v>
      </c>
      <c r="EB41" s="25"/>
      <c r="EC41" s="25"/>
      <c r="ED41" s="25"/>
    </row>
    <row r="42" spans="1:154" s="17" customFormat="1" x14ac:dyDescent="0.2">
      <c r="A42" s="25"/>
      <c r="B42" s="20">
        <v>39049007812</v>
      </c>
      <c r="C42" s="20">
        <v>78.12</v>
      </c>
      <c r="D42" s="20" t="s">
        <v>31</v>
      </c>
      <c r="E42" s="20" t="s">
        <v>2830</v>
      </c>
      <c r="F42" s="20" t="s">
        <v>8</v>
      </c>
      <c r="G42" s="861">
        <v>86.105901932715994</v>
      </c>
      <c r="H42" s="861">
        <v>78.664911179767003</v>
      </c>
      <c r="I42" s="861">
        <v>40.3738920829622</v>
      </c>
      <c r="J42" s="861">
        <v>55.992207440448702</v>
      </c>
      <c r="K42" s="982">
        <v>0</v>
      </c>
      <c r="L42" s="735">
        <v>4453</v>
      </c>
      <c r="M42" s="735">
        <v>4632</v>
      </c>
      <c r="N42" s="845">
        <f t="shared" si="0"/>
        <v>4.0197619582304063E-2</v>
      </c>
      <c r="O42" s="735">
        <v>1.6058876810828295</v>
      </c>
      <c r="P42" s="735">
        <f t="shared" si="1"/>
        <v>2884.3860343188521</v>
      </c>
      <c r="Q42" s="849">
        <v>31.8</v>
      </c>
      <c r="R42" s="71">
        <v>82816</v>
      </c>
      <c r="S42" s="845">
        <v>0.17923671058609722</v>
      </c>
      <c r="T42" s="845">
        <v>2.3E-2</v>
      </c>
      <c r="U42" s="845">
        <v>0</v>
      </c>
      <c r="V42" s="845">
        <v>0.157</v>
      </c>
      <c r="W42" s="845">
        <v>0.62298195631528963</v>
      </c>
      <c r="X42" s="845">
        <v>0.43597560975609756</v>
      </c>
      <c r="Y42" s="845">
        <v>0.78518998272884288</v>
      </c>
      <c r="Z42" s="845">
        <v>0.1196027633851468</v>
      </c>
      <c r="AA42" s="845">
        <v>4.9654576856649393E-3</v>
      </c>
      <c r="AB42" s="845">
        <v>6.0017271157167533E-2</v>
      </c>
      <c r="AC42" s="845">
        <v>0</v>
      </c>
      <c r="AD42" s="845">
        <v>9.4991364421416237E-3</v>
      </c>
      <c r="AE42" s="845">
        <v>2.072538860103627E-2</v>
      </c>
      <c r="AF42" s="845">
        <v>1.5759930915371329E-2</v>
      </c>
      <c r="AG42" s="845">
        <v>0.78518998272884288</v>
      </c>
      <c r="AH42" s="20" t="str">
        <f t="shared" si="2"/>
        <v>No</v>
      </c>
      <c r="AI42" s="25"/>
      <c r="AJ42" s="37">
        <v>44260</v>
      </c>
      <c r="AK42" s="37" t="s">
        <v>1279</v>
      </c>
      <c r="AL42" s="37">
        <v>39133</v>
      </c>
      <c r="AM42" s="37" t="s">
        <v>72</v>
      </c>
      <c r="AN42" s="37">
        <f t="shared" si="3"/>
        <v>10420</v>
      </c>
      <c r="AO42" s="37" t="str">
        <f t="shared" si="4"/>
        <v>Akron, OH</v>
      </c>
      <c r="AP42" s="37" t="s">
        <v>8</v>
      </c>
      <c r="AQ42" s="25"/>
      <c r="AR42" s="20" t="s">
        <v>38</v>
      </c>
      <c r="AS42" s="24">
        <v>32900</v>
      </c>
      <c r="AT42" s="24">
        <v>37600</v>
      </c>
      <c r="AU42" s="24">
        <v>42300</v>
      </c>
      <c r="AV42" s="24">
        <v>47000</v>
      </c>
      <c r="AW42" s="24">
        <v>50800</v>
      </c>
      <c r="AX42" s="24">
        <v>54550</v>
      </c>
      <c r="AY42" s="24">
        <v>58300</v>
      </c>
      <c r="AZ42" s="24">
        <v>62050</v>
      </c>
      <c r="BA42" s="29">
        <f t="shared" si="6"/>
        <v>35250</v>
      </c>
      <c r="BB42" s="29">
        <f t="shared" si="7"/>
        <v>48900</v>
      </c>
      <c r="BC42" s="29">
        <f t="shared" si="8"/>
        <v>60175</v>
      </c>
      <c r="BD42" s="25"/>
      <c r="BE42" s="25"/>
      <c r="BF42" s="25"/>
      <c r="BG42" s="25"/>
      <c r="BH42" s="25"/>
      <c r="BI42" s="25"/>
      <c r="BJ42" s="25"/>
      <c r="BK42" s="25"/>
      <c r="BL42" s="25"/>
      <c r="BM42" s="25"/>
      <c r="BN42" s="20" t="s">
        <v>38</v>
      </c>
      <c r="BO42" s="71">
        <v>777</v>
      </c>
      <c r="BP42" s="24">
        <v>859</v>
      </c>
      <c r="BQ42" s="24">
        <v>1127</v>
      </c>
      <c r="BR42" s="24">
        <v>1484</v>
      </c>
      <c r="BS42" s="24">
        <v>1693</v>
      </c>
      <c r="BT42" s="122"/>
      <c r="BU42" s="39">
        <v>44256</v>
      </c>
      <c r="BV42" s="39" t="s">
        <v>1278</v>
      </c>
      <c r="BW42" s="39" t="s">
        <v>2929</v>
      </c>
      <c r="BX42" s="39" t="s">
        <v>273</v>
      </c>
      <c r="BY42" s="71">
        <v>1040</v>
      </c>
      <c r="BZ42" s="71">
        <v>1180</v>
      </c>
      <c r="CA42" s="71">
        <v>1420</v>
      </c>
      <c r="CB42" s="71">
        <v>1830</v>
      </c>
      <c r="CC42" s="71">
        <v>1950</v>
      </c>
      <c r="CD42" s="25"/>
      <c r="CE42" s="200"/>
      <c r="CF42" s="200"/>
      <c r="CG42" s="200"/>
      <c r="CH42" s="200"/>
      <c r="CI42" s="200"/>
      <c r="CJ42" s="200"/>
      <c r="CK42" s="200"/>
      <c r="CL42" s="200"/>
      <c r="CM42" s="200"/>
      <c r="CN42" s="200"/>
      <c r="CO42" s="200"/>
      <c r="CP42" s="200"/>
      <c r="CQ42" s="20" t="s">
        <v>38</v>
      </c>
      <c r="CR42" s="236" t="s">
        <v>292</v>
      </c>
      <c r="CS42" s="236" t="s">
        <v>3108</v>
      </c>
      <c r="CT42" s="200"/>
      <c r="CU42" s="200"/>
      <c r="CV42" s="20" t="s">
        <v>38</v>
      </c>
      <c r="CW42" s="20" t="s">
        <v>8</v>
      </c>
      <c r="CX42" s="25"/>
      <c r="CY42" s="20" t="s">
        <v>38</v>
      </c>
      <c r="CZ42" s="20" t="s">
        <v>265</v>
      </c>
      <c r="DA42" s="37" t="s">
        <v>265</v>
      </c>
      <c r="DB42" s="25"/>
      <c r="DC42" s="20" t="s">
        <v>38</v>
      </c>
      <c r="DD42" s="20">
        <v>2</v>
      </c>
      <c r="DE42" s="735">
        <v>143</v>
      </c>
      <c r="DF42" s="179">
        <v>75290</v>
      </c>
      <c r="DG42" s="179">
        <v>74885</v>
      </c>
      <c r="DH42" s="878">
        <f t="shared" si="11"/>
        <v>-5.3792004250232438E-3</v>
      </c>
      <c r="DI42" s="606">
        <v>531.32369630839742</v>
      </c>
      <c r="DJ42" s="179">
        <f t="shared" si="5"/>
        <v>140.94044839388141</v>
      </c>
      <c r="DK42" s="37">
        <v>39.6</v>
      </c>
      <c r="DL42" s="236">
        <v>69699</v>
      </c>
      <c r="DM42" s="878">
        <v>0.10271270036991369</v>
      </c>
      <c r="DN42" s="878">
        <v>3.3000000000000002E-2</v>
      </c>
      <c r="DO42" s="878">
        <v>1.9E-2</v>
      </c>
      <c r="DP42" s="878">
        <v>3.7000000000000005E-2</v>
      </c>
      <c r="DQ42" s="878">
        <v>0.30808400278322473</v>
      </c>
      <c r="DR42" s="878">
        <v>0.35304383533518119</v>
      </c>
      <c r="DS42" s="878">
        <v>0.89900000000000002</v>
      </c>
      <c r="DT42" s="878">
        <v>1.7999999999999999E-2</v>
      </c>
      <c r="DU42" s="878">
        <v>1E-3</v>
      </c>
      <c r="DV42" s="878">
        <v>1.9E-2</v>
      </c>
      <c r="DW42" s="878">
        <v>0</v>
      </c>
      <c r="DX42" s="878">
        <v>2.1000000000000001E-2</v>
      </c>
      <c r="DY42" s="878">
        <v>4.2000000000000003E-2</v>
      </c>
      <c r="DZ42" s="878">
        <v>5.8999999999999997E-2</v>
      </c>
      <c r="EA42" s="878">
        <v>0.875</v>
      </c>
      <c r="EB42" s="25"/>
      <c r="EC42" s="25"/>
      <c r="ED42" s="25"/>
    </row>
    <row r="43" spans="1:154" s="17" customFormat="1" x14ac:dyDescent="0.2">
      <c r="A43" s="25"/>
      <c r="B43" s="20">
        <v>39049006500</v>
      </c>
      <c r="C43" s="20">
        <v>65</v>
      </c>
      <c r="D43" s="20" t="s">
        <v>31</v>
      </c>
      <c r="E43" s="20" t="s">
        <v>2830</v>
      </c>
      <c r="F43" s="20" t="s">
        <v>8</v>
      </c>
      <c r="G43" s="861">
        <v>85.746431339049295</v>
      </c>
      <c r="H43" s="861">
        <v>88.734884159414904</v>
      </c>
      <c r="I43" s="861">
        <v>24.589430956944099</v>
      </c>
      <c r="J43" s="861">
        <v>43.990604866223897</v>
      </c>
      <c r="K43" s="982">
        <v>0</v>
      </c>
      <c r="L43" s="735">
        <v>3612</v>
      </c>
      <c r="M43" s="735">
        <v>3731</v>
      </c>
      <c r="N43" s="845">
        <f t="shared" si="0"/>
        <v>3.294573643410853E-2</v>
      </c>
      <c r="O43" s="735">
        <v>0.93921550859938119</v>
      </c>
      <c r="P43" s="735">
        <f t="shared" si="1"/>
        <v>3972.4642170399297</v>
      </c>
      <c r="Q43" s="849">
        <v>37.200000000000003</v>
      </c>
      <c r="R43" s="71">
        <v>174327</v>
      </c>
      <c r="S43" s="845">
        <v>2.1441972661484857E-2</v>
      </c>
      <c r="T43" s="845">
        <v>6.7000000000000004E-2</v>
      </c>
      <c r="U43" s="845">
        <v>0</v>
      </c>
      <c r="V43" s="845">
        <v>0</v>
      </c>
      <c r="W43" s="845">
        <v>0.18439173680183626</v>
      </c>
      <c r="X43" s="845">
        <v>5.3941908713692949E-2</v>
      </c>
      <c r="Y43" s="845">
        <v>0.87912087912087911</v>
      </c>
      <c r="Z43" s="845">
        <v>2.197802197802198E-2</v>
      </c>
      <c r="AA43" s="845">
        <v>0</v>
      </c>
      <c r="AB43" s="845">
        <v>3.4575180916644334E-2</v>
      </c>
      <c r="AC43" s="845">
        <v>0</v>
      </c>
      <c r="AD43" s="845">
        <v>1.3133208255159476E-2</v>
      </c>
      <c r="AE43" s="845">
        <v>5.1192709729295093E-2</v>
      </c>
      <c r="AF43" s="845">
        <v>1.125703564727955E-2</v>
      </c>
      <c r="AG43" s="845">
        <v>0.87912087912087911</v>
      </c>
      <c r="AH43" s="20" t="str">
        <f t="shared" si="2"/>
        <v>No</v>
      </c>
      <c r="AI43" s="25"/>
      <c r="AJ43" s="37">
        <v>44266</v>
      </c>
      <c r="AK43" s="37" t="s">
        <v>1282</v>
      </c>
      <c r="AL43" s="37">
        <v>39133</v>
      </c>
      <c r="AM43" s="37" t="s">
        <v>72</v>
      </c>
      <c r="AN43" s="37">
        <f t="shared" si="3"/>
        <v>10420</v>
      </c>
      <c r="AO43" s="37" t="str">
        <f t="shared" si="4"/>
        <v>Akron, OH</v>
      </c>
      <c r="AP43" s="37" t="s">
        <v>8</v>
      </c>
      <c r="AQ43" s="25"/>
      <c r="AR43" s="20" t="s">
        <v>39</v>
      </c>
      <c r="AS43" s="24">
        <v>29850</v>
      </c>
      <c r="AT43" s="24">
        <v>34100</v>
      </c>
      <c r="AU43" s="24">
        <v>38350</v>
      </c>
      <c r="AV43" s="24">
        <v>42600</v>
      </c>
      <c r="AW43" s="24">
        <v>46050</v>
      </c>
      <c r="AX43" s="24">
        <v>49450</v>
      </c>
      <c r="AY43" s="24">
        <v>52850</v>
      </c>
      <c r="AZ43" s="24">
        <v>56250</v>
      </c>
      <c r="BA43" s="29">
        <f t="shared" si="6"/>
        <v>31975</v>
      </c>
      <c r="BB43" s="29">
        <f t="shared" si="7"/>
        <v>44325</v>
      </c>
      <c r="BC43" s="29">
        <f t="shared" si="8"/>
        <v>54550</v>
      </c>
      <c r="BD43" s="25"/>
      <c r="BE43" s="25"/>
      <c r="BF43" s="25"/>
      <c r="BG43" s="25"/>
      <c r="BH43" s="25"/>
      <c r="BI43" s="25"/>
      <c r="BJ43" s="25"/>
      <c r="BK43" s="25"/>
      <c r="BL43" s="25"/>
      <c r="BM43" s="25"/>
      <c r="BN43" s="20" t="s">
        <v>39</v>
      </c>
      <c r="BO43" s="71">
        <v>806</v>
      </c>
      <c r="BP43" s="24">
        <v>811</v>
      </c>
      <c r="BQ43" s="24">
        <v>973</v>
      </c>
      <c r="BR43" s="24">
        <v>1230</v>
      </c>
      <c r="BS43" s="24">
        <v>1373</v>
      </c>
      <c r="BT43" s="122"/>
      <c r="BU43" s="39">
        <v>44260</v>
      </c>
      <c r="BV43" s="39" t="s">
        <v>1279</v>
      </c>
      <c r="BW43" s="39" t="s">
        <v>2929</v>
      </c>
      <c r="BX43" s="39" t="s">
        <v>273</v>
      </c>
      <c r="BY43" s="71">
        <v>880</v>
      </c>
      <c r="BZ43" s="71">
        <v>960</v>
      </c>
      <c r="CA43" s="71">
        <v>1240</v>
      </c>
      <c r="CB43" s="71">
        <v>1510</v>
      </c>
      <c r="CC43" s="71">
        <v>1640</v>
      </c>
      <c r="CD43" s="25"/>
      <c r="CE43" s="200"/>
      <c r="CF43" s="200"/>
      <c r="CG43" s="200"/>
      <c r="CH43" s="200"/>
      <c r="CI43" s="200"/>
      <c r="CJ43" s="200"/>
      <c r="CK43" s="200"/>
      <c r="CL43" s="200"/>
      <c r="CM43" s="200"/>
      <c r="CN43" s="200"/>
      <c r="CO43" s="200"/>
      <c r="CP43" s="200"/>
      <c r="CQ43" s="20" t="s">
        <v>39</v>
      </c>
      <c r="CR43" s="236" t="s">
        <v>292</v>
      </c>
      <c r="CS43" s="236" t="s">
        <v>3108</v>
      </c>
      <c r="CT43" s="200"/>
      <c r="CU43" s="200"/>
      <c r="CV43" s="20" t="s">
        <v>39</v>
      </c>
      <c r="CW43" s="20" t="s">
        <v>8</v>
      </c>
      <c r="CX43" s="25"/>
      <c r="CY43" s="20" t="s">
        <v>39</v>
      </c>
      <c r="CZ43" s="20" t="s">
        <v>265</v>
      </c>
      <c r="DA43" s="37" t="s">
        <v>265</v>
      </c>
      <c r="DB43" s="25"/>
      <c r="DC43" s="20" t="s">
        <v>39</v>
      </c>
      <c r="DD43" s="20">
        <v>0</v>
      </c>
      <c r="DE43" s="735">
        <v>0</v>
      </c>
      <c r="DF43" s="179">
        <v>31826</v>
      </c>
      <c r="DG43" s="179">
        <v>30527</v>
      </c>
      <c r="DH43" s="878">
        <f t="shared" si="11"/>
        <v>-4.0815685288757619E-2</v>
      </c>
      <c r="DI43" s="606">
        <v>470.28521609699595</v>
      </c>
      <c r="DJ43" s="179">
        <f t="shared" ref="DJ43:DJ74" si="12">DG43/DI43</f>
        <v>64.911672651227533</v>
      </c>
      <c r="DK43" s="37">
        <v>35.299999999999997</v>
      </c>
      <c r="DL43" s="236">
        <v>58001</v>
      </c>
      <c r="DM43" s="878">
        <v>0.18189198729262265</v>
      </c>
      <c r="DN43" s="878">
        <v>4.1000000000000002E-2</v>
      </c>
      <c r="DO43" s="878">
        <v>1.1000000000000001E-2</v>
      </c>
      <c r="DP43" s="878">
        <v>2.4E-2</v>
      </c>
      <c r="DQ43" s="878">
        <v>0.26709930834258389</v>
      </c>
      <c r="DR43" s="878">
        <v>0.30051150895140666</v>
      </c>
      <c r="DS43" s="878">
        <v>0.93400000000000005</v>
      </c>
      <c r="DT43" s="878">
        <v>1.0999999999999999E-2</v>
      </c>
      <c r="DU43" s="878">
        <v>1E-3</v>
      </c>
      <c r="DV43" s="878">
        <v>8.9999999999999993E-3</v>
      </c>
      <c r="DW43" s="878">
        <v>1E-3</v>
      </c>
      <c r="DX43" s="878">
        <v>6.0000000000000001E-3</v>
      </c>
      <c r="DY43" s="878">
        <v>3.6999999999999998E-2</v>
      </c>
      <c r="DZ43" s="878">
        <v>2.3E-2</v>
      </c>
      <c r="EA43" s="878">
        <v>0.93</v>
      </c>
      <c r="EB43" s="25"/>
      <c r="EC43" s="25"/>
      <c r="ED43" s="25"/>
    </row>
    <row r="44" spans="1:154" s="17" customFormat="1" x14ac:dyDescent="0.2">
      <c r="A44" s="25"/>
      <c r="B44" s="20">
        <v>39081000600</v>
      </c>
      <c r="C44" s="20">
        <v>6</v>
      </c>
      <c r="D44" s="20" t="s">
        <v>47</v>
      </c>
      <c r="E44" s="20" t="s">
        <v>2840</v>
      </c>
      <c r="F44" s="20" t="s">
        <v>8</v>
      </c>
      <c r="G44" s="861">
        <v>85.566602691548596</v>
      </c>
      <c r="H44" s="861">
        <v>64.525876527018397</v>
      </c>
      <c r="I44" s="861">
        <v>38.713138767346997</v>
      </c>
      <c r="J44" s="861">
        <v>62.893248727232098</v>
      </c>
      <c r="K44" s="982">
        <v>0</v>
      </c>
      <c r="L44" s="735">
        <v>2266</v>
      </c>
      <c r="M44" s="735">
        <v>2425</v>
      </c>
      <c r="N44" s="845">
        <f t="shared" si="0"/>
        <v>7.0167696381288613E-2</v>
      </c>
      <c r="O44" s="735">
        <v>1.042193973624072</v>
      </c>
      <c r="P44" s="735">
        <f t="shared" si="1"/>
        <v>2326.822128482886</v>
      </c>
      <c r="Q44" s="849">
        <v>49.6</v>
      </c>
      <c r="R44" s="71">
        <v>56932</v>
      </c>
      <c r="S44" s="845">
        <v>9.202453987730061E-2</v>
      </c>
      <c r="T44" s="845">
        <v>4.0000000000000001E-3</v>
      </c>
      <c r="U44" s="845">
        <v>0</v>
      </c>
      <c r="V44" s="845">
        <v>0</v>
      </c>
      <c r="W44" s="845">
        <v>0.33604556550040682</v>
      </c>
      <c r="X44" s="845">
        <v>0.60290556900726389</v>
      </c>
      <c r="Y44" s="845">
        <v>0.87628865979381443</v>
      </c>
      <c r="Z44" s="845">
        <v>8.4536082474226809E-2</v>
      </c>
      <c r="AA44" s="845">
        <v>2.0618556701030928E-3</v>
      </c>
      <c r="AB44" s="845">
        <v>0</v>
      </c>
      <c r="AC44" s="845">
        <v>0</v>
      </c>
      <c r="AD44" s="845">
        <v>7.4226804123711338E-3</v>
      </c>
      <c r="AE44" s="845">
        <v>2.9690721649484535E-2</v>
      </c>
      <c r="AF44" s="845">
        <v>4.6185567010309278E-2</v>
      </c>
      <c r="AG44" s="845">
        <v>0.83752577319587629</v>
      </c>
      <c r="AH44" s="20" t="str">
        <f t="shared" si="2"/>
        <v>No</v>
      </c>
      <c r="AI44" s="25"/>
      <c r="AJ44" s="37">
        <v>44272</v>
      </c>
      <c r="AK44" s="37" t="s">
        <v>1284</v>
      </c>
      <c r="AL44" s="37">
        <v>39133</v>
      </c>
      <c r="AM44" s="37" t="s">
        <v>72</v>
      </c>
      <c r="AN44" s="37">
        <f t="shared" si="3"/>
        <v>10420</v>
      </c>
      <c r="AO44" s="37" t="str">
        <f t="shared" si="4"/>
        <v>Akron, OH</v>
      </c>
      <c r="AP44" s="37" t="s">
        <v>8</v>
      </c>
      <c r="AQ44" s="25"/>
      <c r="AR44" s="20" t="s">
        <v>40</v>
      </c>
      <c r="AS44" s="24">
        <v>29850</v>
      </c>
      <c r="AT44" s="24">
        <v>34100</v>
      </c>
      <c r="AU44" s="24">
        <v>38350</v>
      </c>
      <c r="AV44" s="24">
        <v>42600</v>
      </c>
      <c r="AW44" s="24">
        <v>46050</v>
      </c>
      <c r="AX44" s="24">
        <v>49450</v>
      </c>
      <c r="AY44" s="24">
        <v>52850</v>
      </c>
      <c r="AZ44" s="24">
        <v>56250</v>
      </c>
      <c r="BA44" s="29">
        <f t="shared" si="6"/>
        <v>31975</v>
      </c>
      <c r="BB44" s="29">
        <f t="shared" si="7"/>
        <v>44325</v>
      </c>
      <c r="BC44" s="29">
        <f t="shared" si="8"/>
        <v>54550</v>
      </c>
      <c r="BD44" s="25"/>
      <c r="BE44" s="25"/>
      <c r="BF44" s="25"/>
      <c r="BG44" s="25"/>
      <c r="BH44" s="25"/>
      <c r="BI44" s="25"/>
      <c r="BJ44" s="25"/>
      <c r="BK44" s="25"/>
      <c r="BL44" s="25"/>
      <c r="BM44" s="25"/>
      <c r="BN44" s="20" t="s">
        <v>40</v>
      </c>
      <c r="BO44" s="71">
        <v>744</v>
      </c>
      <c r="BP44" s="24">
        <v>749</v>
      </c>
      <c r="BQ44" s="24">
        <v>973</v>
      </c>
      <c r="BR44" s="24">
        <v>1283</v>
      </c>
      <c r="BS44" s="24">
        <v>1288</v>
      </c>
      <c r="BT44" s="122"/>
      <c r="BU44" s="39">
        <v>44262</v>
      </c>
      <c r="BV44" s="39" t="s">
        <v>1280</v>
      </c>
      <c r="BW44" s="39" t="s">
        <v>2929</v>
      </c>
      <c r="BX44" s="39" t="s">
        <v>273</v>
      </c>
      <c r="BY44" s="71">
        <v>730</v>
      </c>
      <c r="BZ44" s="71">
        <v>790</v>
      </c>
      <c r="CA44" s="71">
        <v>1020</v>
      </c>
      <c r="CB44" s="71">
        <v>1240</v>
      </c>
      <c r="CC44" s="71">
        <v>1350</v>
      </c>
      <c r="CD44" s="25"/>
      <c r="CE44" s="200"/>
      <c r="CF44" s="200"/>
      <c r="CG44" s="200"/>
      <c r="CH44" s="200"/>
      <c r="CI44" s="200"/>
      <c r="CJ44" s="200"/>
      <c r="CK44" s="200"/>
      <c r="CL44" s="200"/>
      <c r="CM44" s="200"/>
      <c r="CN44" s="200"/>
      <c r="CO44" s="200"/>
      <c r="CP44" s="200"/>
      <c r="CQ44" s="20" t="s">
        <v>40</v>
      </c>
      <c r="CR44" s="236" t="s">
        <v>292</v>
      </c>
      <c r="CS44" s="236" t="s">
        <v>3109</v>
      </c>
      <c r="CT44" s="200"/>
      <c r="CU44" s="200"/>
      <c r="CV44" s="20" t="s">
        <v>40</v>
      </c>
      <c r="CW44" s="20" t="s">
        <v>6</v>
      </c>
      <c r="CX44" s="25"/>
      <c r="CY44" s="20" t="s">
        <v>40</v>
      </c>
      <c r="CZ44" s="20" t="s">
        <v>265</v>
      </c>
      <c r="DA44" s="37" t="s">
        <v>265</v>
      </c>
      <c r="DB44" s="25"/>
      <c r="DC44" s="20" t="s">
        <v>40</v>
      </c>
      <c r="DD44" s="20">
        <v>0</v>
      </c>
      <c r="DE44" s="735">
        <v>0</v>
      </c>
      <c r="DF44" s="179">
        <v>15698</v>
      </c>
      <c r="DG44" s="179">
        <v>14408</v>
      </c>
      <c r="DH44" s="878">
        <f t="shared" si="11"/>
        <v>-8.2176073385144599E-2</v>
      </c>
      <c r="DI44" s="606">
        <v>402.33105124177581</v>
      </c>
      <c r="DJ44" s="179">
        <f t="shared" si="12"/>
        <v>35.811305032336897</v>
      </c>
      <c r="DK44" s="37">
        <v>46.1</v>
      </c>
      <c r="DL44" s="236">
        <v>53851</v>
      </c>
      <c r="DM44" s="878">
        <v>0.14564479638009051</v>
      </c>
      <c r="DN44" s="878">
        <v>4.4999999999999998E-2</v>
      </c>
      <c r="DO44" s="878">
        <v>6.0000000000000001E-3</v>
      </c>
      <c r="DP44" s="878">
        <v>6.6000000000000003E-2</v>
      </c>
      <c r="DQ44" s="878">
        <v>0.23323762877892248</v>
      </c>
      <c r="DR44" s="878">
        <v>0.33309196234612598</v>
      </c>
      <c r="DS44" s="878">
        <v>0.94699999999999995</v>
      </c>
      <c r="DT44" s="878">
        <v>2.9000000000000001E-2</v>
      </c>
      <c r="DU44" s="878">
        <v>1E-3</v>
      </c>
      <c r="DV44" s="878">
        <v>0</v>
      </c>
      <c r="DW44" s="878">
        <v>0</v>
      </c>
      <c r="DX44" s="878">
        <v>3.0000000000000001E-3</v>
      </c>
      <c r="DY44" s="878">
        <v>0.02</v>
      </c>
      <c r="DZ44" s="878">
        <v>1.0999999999999999E-2</v>
      </c>
      <c r="EA44" s="878">
        <v>0.94</v>
      </c>
      <c r="EB44" s="25"/>
      <c r="EC44" s="25"/>
      <c r="ED44" s="25"/>
    </row>
    <row r="45" spans="1:154" s="17" customFormat="1" x14ac:dyDescent="0.2">
      <c r="A45" s="25"/>
      <c r="B45" s="20">
        <v>39049006810</v>
      </c>
      <c r="C45" s="20">
        <v>68.099999999999994</v>
      </c>
      <c r="D45" s="20" t="s">
        <v>31</v>
      </c>
      <c r="E45" s="20" t="s">
        <v>2830</v>
      </c>
      <c r="F45" s="20" t="s">
        <v>8</v>
      </c>
      <c r="G45" s="861">
        <v>84.886611053100097</v>
      </c>
      <c r="H45" s="861">
        <v>82.333983109300405</v>
      </c>
      <c r="I45" s="861">
        <v>16.318952133442799</v>
      </c>
      <c r="J45" s="861">
        <v>59.046337391802602</v>
      </c>
      <c r="K45" s="982">
        <v>0</v>
      </c>
      <c r="L45" s="735">
        <v>2109</v>
      </c>
      <c r="M45" s="735">
        <v>2511</v>
      </c>
      <c r="N45" s="845">
        <f t="shared" si="0"/>
        <v>0.19061166429587481</v>
      </c>
      <c r="O45" s="735">
        <v>0.65397713350892572</v>
      </c>
      <c r="P45" s="735">
        <f t="shared" si="1"/>
        <v>3839.5837886979102</v>
      </c>
      <c r="Q45" s="849">
        <v>40.200000000000003</v>
      </c>
      <c r="R45" s="71">
        <v>128295</v>
      </c>
      <c r="S45" s="845">
        <v>1.1947431302270013E-2</v>
      </c>
      <c r="T45" s="845">
        <v>5.0000000000000001E-3</v>
      </c>
      <c r="U45" s="845">
        <v>1.9E-2</v>
      </c>
      <c r="V45" s="845">
        <v>0</v>
      </c>
      <c r="W45" s="845">
        <v>0.13308341143392691</v>
      </c>
      <c r="X45" s="845">
        <v>0.27464788732394368</v>
      </c>
      <c r="Y45" s="845">
        <v>0.90442054958183993</v>
      </c>
      <c r="Z45" s="845">
        <v>4.1019514137793707E-2</v>
      </c>
      <c r="AA45" s="845">
        <v>0</v>
      </c>
      <c r="AB45" s="845">
        <v>0</v>
      </c>
      <c r="AC45" s="845">
        <v>0</v>
      </c>
      <c r="AD45" s="845">
        <v>7.9649542015133405E-3</v>
      </c>
      <c r="AE45" s="845">
        <v>4.6594982078853049E-2</v>
      </c>
      <c r="AF45" s="845">
        <v>1.0354440461967344E-2</v>
      </c>
      <c r="AG45" s="845">
        <v>0.90203106332138594</v>
      </c>
      <c r="AH45" s="20" t="str">
        <f t="shared" si="2"/>
        <v>Yes</v>
      </c>
      <c r="AI45" s="25"/>
      <c r="AJ45" s="37">
        <v>44278</v>
      </c>
      <c r="AK45" s="37" t="s">
        <v>1289</v>
      </c>
      <c r="AL45" s="37">
        <v>39133</v>
      </c>
      <c r="AM45" s="37" t="s">
        <v>72</v>
      </c>
      <c r="AN45" s="37">
        <f t="shared" si="3"/>
        <v>10420</v>
      </c>
      <c r="AO45" s="37" t="str">
        <f t="shared" si="4"/>
        <v>Akron, OH</v>
      </c>
      <c r="AP45" s="37" t="s">
        <v>8</v>
      </c>
      <c r="AQ45" s="25"/>
      <c r="AR45" s="20" t="s">
        <v>41</v>
      </c>
      <c r="AS45" s="24">
        <v>33950</v>
      </c>
      <c r="AT45" s="24">
        <v>38800</v>
      </c>
      <c r="AU45" s="24">
        <v>43650</v>
      </c>
      <c r="AV45" s="24">
        <v>48500</v>
      </c>
      <c r="AW45" s="24">
        <v>52400</v>
      </c>
      <c r="AX45" s="24">
        <v>56300</v>
      </c>
      <c r="AY45" s="24">
        <v>60150</v>
      </c>
      <c r="AZ45" s="24">
        <v>64050</v>
      </c>
      <c r="BA45" s="29">
        <f t="shared" si="6"/>
        <v>36375</v>
      </c>
      <c r="BB45" s="29">
        <f t="shared" si="7"/>
        <v>50450</v>
      </c>
      <c r="BC45" s="29">
        <f t="shared" si="8"/>
        <v>62100</v>
      </c>
      <c r="BD45" s="25"/>
      <c r="BE45" s="25"/>
      <c r="BF45" s="25"/>
      <c r="BG45" s="25"/>
      <c r="BH45" s="25"/>
      <c r="BI45" s="25"/>
      <c r="BJ45" s="25"/>
      <c r="BK45" s="25"/>
      <c r="BL45" s="25"/>
      <c r="BM45" s="25"/>
      <c r="BN45" s="20" t="s">
        <v>41</v>
      </c>
      <c r="BO45" s="71">
        <v>761</v>
      </c>
      <c r="BP45" s="24">
        <v>766</v>
      </c>
      <c r="BQ45" s="24">
        <v>982</v>
      </c>
      <c r="BR45" s="24">
        <v>1303</v>
      </c>
      <c r="BS45" s="24">
        <v>1647</v>
      </c>
      <c r="BT45" s="122"/>
      <c r="BU45" s="39">
        <v>44264</v>
      </c>
      <c r="BV45" s="39" t="s">
        <v>1281</v>
      </c>
      <c r="BW45" s="39" t="s">
        <v>2929</v>
      </c>
      <c r="BX45" s="39" t="s">
        <v>273</v>
      </c>
      <c r="BY45" s="71">
        <v>1020</v>
      </c>
      <c r="BZ45" s="71">
        <v>1110</v>
      </c>
      <c r="CA45" s="71">
        <v>1430</v>
      </c>
      <c r="CB45" s="71">
        <v>1740</v>
      </c>
      <c r="CC45" s="71">
        <v>1900</v>
      </c>
      <c r="CD45" s="25"/>
      <c r="CE45" s="200"/>
      <c r="CF45" s="200"/>
      <c r="CG45" s="200"/>
      <c r="CH45" s="200"/>
      <c r="CI45" s="200"/>
      <c r="CJ45" s="200"/>
      <c r="CK45" s="200"/>
      <c r="CL45" s="200"/>
      <c r="CM45" s="200"/>
      <c r="CN45" s="200"/>
      <c r="CO45" s="200"/>
      <c r="CP45" s="200"/>
      <c r="CQ45" s="20" t="s">
        <v>41</v>
      </c>
      <c r="CR45" s="236" t="s">
        <v>292</v>
      </c>
      <c r="CS45" s="236" t="s">
        <v>3108</v>
      </c>
      <c r="CT45" s="200"/>
      <c r="CU45" s="200"/>
      <c r="CV45" s="20" t="s">
        <v>41</v>
      </c>
      <c r="CW45" s="20" t="s">
        <v>8</v>
      </c>
      <c r="CX45" s="25"/>
      <c r="CY45" s="20" t="s">
        <v>41</v>
      </c>
      <c r="CZ45" s="20" t="s">
        <v>265</v>
      </c>
      <c r="DA45" s="37" t="s">
        <v>265</v>
      </c>
      <c r="DB45" s="25"/>
      <c r="DC45" s="20" t="s">
        <v>41</v>
      </c>
      <c r="DD45" s="20">
        <v>0</v>
      </c>
      <c r="DE45" s="735">
        <v>0</v>
      </c>
      <c r="DF45" s="179">
        <v>28074</v>
      </c>
      <c r="DG45" s="179">
        <v>27581</v>
      </c>
      <c r="DH45" s="878">
        <f t="shared" si="11"/>
        <v>-1.7560732350217281E-2</v>
      </c>
      <c r="DI45" s="606">
        <v>416.01310826094874</v>
      </c>
      <c r="DJ45" s="179">
        <f t="shared" si="12"/>
        <v>66.298391690820281</v>
      </c>
      <c r="DK45" s="37">
        <v>41.7</v>
      </c>
      <c r="DL45" s="236">
        <v>79267</v>
      </c>
      <c r="DM45" s="878">
        <v>8.4295696947407128E-2</v>
      </c>
      <c r="DN45" s="878">
        <v>3.5999999999999997E-2</v>
      </c>
      <c r="DO45" s="878">
        <v>1E-3</v>
      </c>
      <c r="DP45" s="878">
        <v>3.2000000000000001E-2</v>
      </c>
      <c r="DQ45" s="878">
        <v>0.18457153037591306</v>
      </c>
      <c r="DR45" s="878">
        <v>0.26689189189189189</v>
      </c>
      <c r="DS45" s="878">
        <v>0.89700000000000002</v>
      </c>
      <c r="DT45" s="878">
        <v>6.0000000000000001E-3</v>
      </c>
      <c r="DU45" s="878">
        <v>5.0000000000000001E-3</v>
      </c>
      <c r="DV45" s="878">
        <v>1E-3</v>
      </c>
      <c r="DW45" s="878">
        <v>2E-3</v>
      </c>
      <c r="DX45" s="878">
        <v>4.3999999999999997E-2</v>
      </c>
      <c r="DY45" s="878">
        <v>4.3999999999999997E-2</v>
      </c>
      <c r="DZ45" s="878">
        <v>8.1000000000000003E-2</v>
      </c>
      <c r="EA45" s="878">
        <v>0.877</v>
      </c>
      <c r="EB45" s="25"/>
      <c r="EC45" s="25"/>
      <c r="ED45" s="25"/>
    </row>
    <row r="46" spans="1:154" s="17" customFormat="1" x14ac:dyDescent="0.2">
      <c r="A46" s="25"/>
      <c r="B46" s="20">
        <v>39061024100</v>
      </c>
      <c r="C46" s="20">
        <v>241</v>
      </c>
      <c r="D46" s="20" t="s">
        <v>37</v>
      </c>
      <c r="E46" s="20" t="s">
        <v>2828</v>
      </c>
      <c r="F46" s="20" t="s">
        <v>8</v>
      </c>
      <c r="G46" s="861">
        <v>84.857941515239901</v>
      </c>
      <c r="H46" s="861">
        <v>79.017064581820605</v>
      </c>
      <c r="I46" s="861">
        <v>22.089976334622602</v>
      </c>
      <c r="J46" s="861">
        <v>67.284489264428601</v>
      </c>
      <c r="K46" s="982">
        <v>0</v>
      </c>
      <c r="L46" s="735">
        <v>6679</v>
      </c>
      <c r="M46" s="735">
        <v>7296</v>
      </c>
      <c r="N46" s="845">
        <f t="shared" si="0"/>
        <v>9.2379098667465187E-2</v>
      </c>
      <c r="O46" s="735">
        <v>1.8713638032878848</v>
      </c>
      <c r="P46" s="735">
        <f t="shared" si="1"/>
        <v>3898.7608861416061</v>
      </c>
      <c r="Q46" s="849">
        <v>36.700000000000003</v>
      </c>
      <c r="R46" s="71">
        <v>158639</v>
      </c>
      <c r="S46" s="845">
        <v>2.4001109877913429E-2</v>
      </c>
      <c r="T46" s="845">
        <v>2.2000000000000002E-2</v>
      </c>
      <c r="U46" s="845">
        <v>0</v>
      </c>
      <c r="V46" s="845">
        <v>0.14099999999999999</v>
      </c>
      <c r="W46" s="845">
        <v>0.14594594594594595</v>
      </c>
      <c r="X46" s="845">
        <v>0.32010582010582012</v>
      </c>
      <c r="Y46" s="845">
        <v>0.88802083333333337</v>
      </c>
      <c r="Z46" s="845">
        <v>8.6348684210526324E-3</v>
      </c>
      <c r="AA46" s="845">
        <v>0</v>
      </c>
      <c r="AB46" s="845">
        <v>2.7138157894736843E-2</v>
      </c>
      <c r="AC46" s="845">
        <v>0</v>
      </c>
      <c r="AD46" s="845">
        <v>7.2642543859649123E-3</v>
      </c>
      <c r="AE46" s="845">
        <v>6.8941885964912283E-2</v>
      </c>
      <c r="AF46" s="845">
        <v>3.7006578947368418E-2</v>
      </c>
      <c r="AG46" s="845">
        <v>0.88802083333333337</v>
      </c>
      <c r="AH46" s="20" t="str">
        <f t="shared" si="2"/>
        <v>No</v>
      </c>
      <c r="AI46" s="25"/>
      <c r="AJ46" s="37">
        <v>44285</v>
      </c>
      <c r="AK46" s="37" t="s">
        <v>1292</v>
      </c>
      <c r="AL46" s="37">
        <v>39133</v>
      </c>
      <c r="AM46" s="37" t="s">
        <v>72</v>
      </c>
      <c r="AN46" s="37">
        <f t="shared" si="3"/>
        <v>10420</v>
      </c>
      <c r="AO46" s="37" t="str">
        <f t="shared" si="4"/>
        <v>Akron, OH</v>
      </c>
      <c r="AP46" s="37" t="s">
        <v>8</v>
      </c>
      <c r="AQ46" s="25"/>
      <c r="AR46" s="20" t="s">
        <v>42</v>
      </c>
      <c r="AS46" s="24">
        <v>29850</v>
      </c>
      <c r="AT46" s="24">
        <v>34100</v>
      </c>
      <c r="AU46" s="24">
        <v>38350</v>
      </c>
      <c r="AV46" s="24">
        <v>42600</v>
      </c>
      <c r="AW46" s="24">
        <v>46050</v>
      </c>
      <c r="AX46" s="24">
        <v>49450</v>
      </c>
      <c r="AY46" s="24">
        <v>52850</v>
      </c>
      <c r="AZ46" s="24">
        <v>56250</v>
      </c>
      <c r="BA46" s="29">
        <f t="shared" si="6"/>
        <v>31975</v>
      </c>
      <c r="BB46" s="29">
        <f t="shared" si="7"/>
        <v>44325</v>
      </c>
      <c r="BC46" s="29">
        <f t="shared" si="8"/>
        <v>54550</v>
      </c>
      <c r="BD46" s="25"/>
      <c r="BE46" s="25"/>
      <c r="BF46" s="25"/>
      <c r="BG46" s="25"/>
      <c r="BH46" s="25"/>
      <c r="BI46" s="25"/>
      <c r="BJ46" s="25"/>
      <c r="BK46" s="25"/>
      <c r="BL46" s="25"/>
      <c r="BM46" s="25"/>
      <c r="BN46" s="20" t="s">
        <v>42</v>
      </c>
      <c r="BO46" s="71">
        <v>736</v>
      </c>
      <c r="BP46" s="24">
        <v>845</v>
      </c>
      <c r="BQ46" s="24">
        <v>973</v>
      </c>
      <c r="BR46" s="24">
        <v>1167</v>
      </c>
      <c r="BS46" s="24">
        <v>1492</v>
      </c>
      <c r="BT46" s="122"/>
      <c r="BU46" s="39">
        <v>44266</v>
      </c>
      <c r="BV46" s="39" t="s">
        <v>1282</v>
      </c>
      <c r="BW46" s="39" t="s">
        <v>2929</v>
      </c>
      <c r="BX46" s="39" t="s">
        <v>273</v>
      </c>
      <c r="BY46" s="71">
        <v>860</v>
      </c>
      <c r="BZ46" s="71">
        <v>930</v>
      </c>
      <c r="CA46" s="71">
        <v>1200</v>
      </c>
      <c r="CB46" s="71">
        <v>1460</v>
      </c>
      <c r="CC46" s="71">
        <v>1590</v>
      </c>
      <c r="CD46" s="25"/>
      <c r="CE46" s="200"/>
      <c r="CF46" s="200"/>
      <c r="CG46" s="200"/>
      <c r="CH46" s="200"/>
      <c r="CI46" s="200"/>
      <c r="CJ46" s="200"/>
      <c r="CK46" s="200"/>
      <c r="CL46" s="200"/>
      <c r="CM46" s="200"/>
      <c r="CN46" s="200"/>
      <c r="CO46" s="200"/>
      <c r="CP46" s="200"/>
      <c r="CQ46" s="20" t="s">
        <v>42</v>
      </c>
      <c r="CR46" s="236" t="s">
        <v>292</v>
      </c>
      <c r="CS46" s="236" t="s">
        <v>3107</v>
      </c>
      <c r="CT46" s="200"/>
      <c r="CU46" s="200"/>
      <c r="CV46" s="20" t="s">
        <v>42</v>
      </c>
      <c r="CW46" s="20" t="s">
        <v>6</v>
      </c>
      <c r="CX46" s="25"/>
      <c r="CY46" s="20" t="s">
        <v>42</v>
      </c>
      <c r="CZ46" s="20" t="s">
        <v>265</v>
      </c>
      <c r="DA46" s="37" t="s">
        <v>265</v>
      </c>
      <c r="DB46" s="25"/>
      <c r="DC46" s="20" t="s">
        <v>42</v>
      </c>
      <c r="DD46" s="20">
        <v>1</v>
      </c>
      <c r="DE46" s="735">
        <v>50</v>
      </c>
      <c r="DF46" s="179">
        <v>43266</v>
      </c>
      <c r="DG46" s="179">
        <v>43403</v>
      </c>
      <c r="DH46" s="878">
        <f t="shared" si="11"/>
        <v>3.1664586511348401E-3</v>
      </c>
      <c r="DI46" s="606">
        <v>553.0836112602849</v>
      </c>
      <c r="DJ46" s="179">
        <f t="shared" si="12"/>
        <v>78.474572589666295</v>
      </c>
      <c r="DK46" s="37">
        <v>40.799999999999997</v>
      </c>
      <c r="DL46" s="236">
        <v>62008</v>
      </c>
      <c r="DM46" s="878">
        <v>0.14420289855072463</v>
      </c>
      <c r="DN46" s="878">
        <v>0.04</v>
      </c>
      <c r="DO46" s="878">
        <v>4.0000000000000001E-3</v>
      </c>
      <c r="DP46" s="878">
        <v>2.2000000000000002E-2</v>
      </c>
      <c r="DQ46" s="878">
        <v>0.26751516593315094</v>
      </c>
      <c r="DR46" s="878">
        <v>0.35126722987994663</v>
      </c>
      <c r="DS46" s="878">
        <v>0.95</v>
      </c>
      <c r="DT46" s="878">
        <v>1.2E-2</v>
      </c>
      <c r="DU46" s="878">
        <v>1E-3</v>
      </c>
      <c r="DV46" s="878">
        <v>1E-3</v>
      </c>
      <c r="DW46" s="878">
        <v>0</v>
      </c>
      <c r="DX46" s="878">
        <v>3.0000000000000001E-3</v>
      </c>
      <c r="DY46" s="878">
        <v>3.4000000000000002E-2</v>
      </c>
      <c r="DZ46" s="878">
        <v>1.0999999999999999E-2</v>
      </c>
      <c r="EA46" s="878">
        <v>0.94599999999999995</v>
      </c>
      <c r="EB46" s="25"/>
      <c r="EC46" s="25"/>
      <c r="ED46" s="25"/>
    </row>
    <row r="47" spans="1:154" s="17" customFormat="1" x14ac:dyDescent="0.2">
      <c r="A47" s="25"/>
      <c r="B47" s="20">
        <v>39049003200</v>
      </c>
      <c r="C47" s="20">
        <v>32</v>
      </c>
      <c r="D47" s="20" t="s">
        <v>31</v>
      </c>
      <c r="E47" s="20" t="s">
        <v>2830</v>
      </c>
      <c r="F47" s="20" t="s">
        <v>8</v>
      </c>
      <c r="G47" s="861">
        <v>84.834818359568899</v>
      </c>
      <c r="H47" s="861">
        <v>72.6885927461298</v>
      </c>
      <c r="I47" s="861">
        <v>32.604010017718501</v>
      </c>
      <c r="J47" s="861">
        <v>44.849679405177703</v>
      </c>
      <c r="K47" s="982">
        <v>0</v>
      </c>
      <c r="L47" s="735">
        <v>2464</v>
      </c>
      <c r="M47" s="735">
        <v>3052</v>
      </c>
      <c r="N47" s="845">
        <f t="shared" si="0"/>
        <v>0.23863636363636365</v>
      </c>
      <c r="O47" s="735">
        <v>0.58627296169324883</v>
      </c>
      <c r="P47" s="735">
        <f t="shared" si="1"/>
        <v>5205.766254656095</v>
      </c>
      <c r="Q47" s="849">
        <v>32.6</v>
      </c>
      <c r="R47" s="71">
        <v>98214</v>
      </c>
      <c r="S47" s="845">
        <v>5.320648343904158E-2</v>
      </c>
      <c r="T47" s="845">
        <v>5.0000000000000001E-3</v>
      </c>
      <c r="U47" s="845">
        <v>0.19399999999999998</v>
      </c>
      <c r="V47" s="845">
        <v>4.5999999999999999E-2</v>
      </c>
      <c r="W47" s="845">
        <v>0.81743421052631582</v>
      </c>
      <c r="X47" s="845">
        <v>0.28101945003353457</v>
      </c>
      <c r="Y47" s="845">
        <v>0.86336828309305369</v>
      </c>
      <c r="Z47" s="845">
        <v>4.5216251638269984E-2</v>
      </c>
      <c r="AA47" s="845">
        <v>2.2935779816513763E-3</v>
      </c>
      <c r="AB47" s="845">
        <v>1.5727391874180863E-2</v>
      </c>
      <c r="AC47" s="845">
        <v>0</v>
      </c>
      <c r="AD47" s="845">
        <v>1.0812581913499346E-2</v>
      </c>
      <c r="AE47" s="845">
        <v>6.2581913499344693E-2</v>
      </c>
      <c r="AF47" s="845">
        <v>9.4036697247706427E-2</v>
      </c>
      <c r="AG47" s="845">
        <v>0.81553079947575358</v>
      </c>
      <c r="AH47" s="20" t="str">
        <f t="shared" si="2"/>
        <v>No</v>
      </c>
      <c r="AI47" s="25"/>
      <c r="AJ47" s="37">
        <v>44288</v>
      </c>
      <c r="AK47" s="37" t="s">
        <v>1295</v>
      </c>
      <c r="AL47" s="37">
        <v>39133</v>
      </c>
      <c r="AM47" s="37" t="s">
        <v>72</v>
      </c>
      <c r="AN47" s="37">
        <f t="shared" si="3"/>
        <v>10420</v>
      </c>
      <c r="AO47" s="37" t="str">
        <f t="shared" si="4"/>
        <v>Akron, OH</v>
      </c>
      <c r="AP47" s="37" t="s">
        <v>8</v>
      </c>
      <c r="AQ47" s="25"/>
      <c r="AR47" s="20" t="s">
        <v>43</v>
      </c>
      <c r="AS47" s="24">
        <v>29850</v>
      </c>
      <c r="AT47" s="24">
        <v>34100</v>
      </c>
      <c r="AU47" s="24">
        <v>38350</v>
      </c>
      <c r="AV47" s="24">
        <v>42600</v>
      </c>
      <c r="AW47" s="24">
        <v>46050</v>
      </c>
      <c r="AX47" s="24">
        <v>49450</v>
      </c>
      <c r="AY47" s="24">
        <v>52850</v>
      </c>
      <c r="AZ47" s="24">
        <v>56250</v>
      </c>
      <c r="BA47" s="29">
        <f t="shared" si="6"/>
        <v>31975</v>
      </c>
      <c r="BB47" s="29">
        <f t="shared" si="7"/>
        <v>44325</v>
      </c>
      <c r="BC47" s="29">
        <f t="shared" si="8"/>
        <v>54550</v>
      </c>
      <c r="BD47" s="25"/>
      <c r="BE47" s="25"/>
      <c r="BF47" s="25"/>
      <c r="BG47" s="25"/>
      <c r="BH47" s="25"/>
      <c r="BI47" s="25"/>
      <c r="BJ47" s="25"/>
      <c r="BK47" s="25"/>
      <c r="BL47" s="25"/>
      <c r="BM47" s="25"/>
      <c r="BN47" s="20" t="s">
        <v>43</v>
      </c>
      <c r="BO47" s="71">
        <v>737</v>
      </c>
      <c r="BP47" s="24">
        <v>742</v>
      </c>
      <c r="BQ47" s="24">
        <v>973</v>
      </c>
      <c r="BR47" s="24">
        <v>1338</v>
      </c>
      <c r="BS47" s="24">
        <v>1383</v>
      </c>
      <c r="BT47" s="122"/>
      <c r="BU47" s="39">
        <v>44272</v>
      </c>
      <c r="BV47" s="39" t="s">
        <v>1284</v>
      </c>
      <c r="BW47" s="39" t="s">
        <v>2929</v>
      </c>
      <c r="BX47" s="39" t="s">
        <v>273</v>
      </c>
      <c r="BY47" s="71">
        <v>910</v>
      </c>
      <c r="BZ47" s="71">
        <v>990</v>
      </c>
      <c r="CA47" s="71">
        <v>1270</v>
      </c>
      <c r="CB47" s="71">
        <v>1550</v>
      </c>
      <c r="CC47" s="71">
        <v>1680</v>
      </c>
      <c r="CD47" s="25"/>
      <c r="CE47" s="200"/>
      <c r="CF47" s="200"/>
      <c r="CG47" s="200"/>
      <c r="CH47" s="200"/>
      <c r="CI47" s="200"/>
      <c r="CJ47" s="200"/>
      <c r="CK47" s="200"/>
      <c r="CL47" s="200"/>
      <c r="CM47" s="200"/>
      <c r="CN47" s="200"/>
      <c r="CO47" s="200"/>
      <c r="CP47" s="200"/>
      <c r="CQ47" s="20" t="s">
        <v>43</v>
      </c>
      <c r="CR47" s="236" t="s">
        <v>292</v>
      </c>
      <c r="CS47" s="236" t="s">
        <v>3110</v>
      </c>
      <c r="CT47" s="200"/>
      <c r="CU47" s="200"/>
      <c r="CV47" s="20" t="s">
        <v>43</v>
      </c>
      <c r="CW47" s="20" t="s">
        <v>6</v>
      </c>
      <c r="CX47" s="25"/>
      <c r="CY47" s="20" t="s">
        <v>43</v>
      </c>
      <c r="CZ47" s="20">
        <v>18140</v>
      </c>
      <c r="DA47" s="37" t="s">
        <v>2830</v>
      </c>
      <c r="DB47" s="25"/>
      <c r="DC47" s="20" t="s">
        <v>43</v>
      </c>
      <c r="DD47" s="20">
        <v>1</v>
      </c>
      <c r="DE47" s="735">
        <v>48</v>
      </c>
      <c r="DF47" s="179">
        <v>29111</v>
      </c>
      <c r="DG47" s="179">
        <v>27938</v>
      </c>
      <c r="DH47" s="878">
        <f t="shared" si="11"/>
        <v>-4.0294046923843224E-2</v>
      </c>
      <c r="DI47" s="606">
        <v>421.34935592426331</v>
      </c>
      <c r="DJ47" s="179">
        <f t="shared" si="12"/>
        <v>66.306022798387275</v>
      </c>
      <c r="DK47" s="37">
        <v>42.6</v>
      </c>
      <c r="DL47" s="236">
        <v>61366</v>
      </c>
      <c r="DM47" s="878">
        <v>0.17087554269175109</v>
      </c>
      <c r="DN47" s="878">
        <v>4.9000000000000002E-2</v>
      </c>
      <c r="DO47" s="878">
        <v>2E-3</v>
      </c>
      <c r="DP47" s="878">
        <v>1.6E-2</v>
      </c>
      <c r="DQ47" s="878">
        <v>0.21201902291396454</v>
      </c>
      <c r="DR47" s="878">
        <v>0.37805872756933118</v>
      </c>
      <c r="DS47" s="878">
        <v>0.94399999999999995</v>
      </c>
      <c r="DT47" s="878">
        <v>4.0000000000000001E-3</v>
      </c>
      <c r="DU47" s="878">
        <v>0</v>
      </c>
      <c r="DV47" s="878">
        <v>3.0000000000000001E-3</v>
      </c>
      <c r="DW47" s="878">
        <v>0</v>
      </c>
      <c r="DX47" s="878">
        <v>1.4E-2</v>
      </c>
      <c r="DY47" s="878">
        <v>3.4000000000000002E-2</v>
      </c>
      <c r="DZ47" s="878">
        <v>8.9999999999999993E-3</v>
      </c>
      <c r="EA47" s="878">
        <v>0.94199999999999995</v>
      </c>
      <c r="EB47" s="25"/>
      <c r="EC47" s="25"/>
      <c r="ED47" s="25"/>
    </row>
    <row r="48" spans="1:154" s="17" customFormat="1" x14ac:dyDescent="0.2">
      <c r="A48" s="25"/>
      <c r="B48" s="20">
        <v>39113010200</v>
      </c>
      <c r="C48" s="20">
        <v>102</v>
      </c>
      <c r="D48" s="20" t="s">
        <v>62</v>
      </c>
      <c r="E48" s="20" t="s">
        <v>2833</v>
      </c>
      <c r="F48" s="20" t="s">
        <v>8</v>
      </c>
      <c r="G48" s="861">
        <v>84.774852119770102</v>
      </c>
      <c r="H48" s="861">
        <v>87.498738809036695</v>
      </c>
      <c r="I48" s="861">
        <v>19.739524675420501</v>
      </c>
      <c r="J48" s="861">
        <v>54.774261990221099</v>
      </c>
      <c r="K48" s="982">
        <v>0</v>
      </c>
      <c r="L48" s="735">
        <v>7134</v>
      </c>
      <c r="M48" s="735">
        <v>7137</v>
      </c>
      <c r="N48" s="845">
        <f t="shared" si="0"/>
        <v>4.2052144659377626E-4</v>
      </c>
      <c r="O48" s="735">
        <v>1.2270199186358428</v>
      </c>
      <c r="P48" s="735">
        <f t="shared" si="1"/>
        <v>5816.5314935837905</v>
      </c>
      <c r="Q48" s="849">
        <v>37.4</v>
      </c>
      <c r="R48" s="71">
        <v>143802</v>
      </c>
      <c r="S48" s="845">
        <v>3.5582123541132937E-2</v>
      </c>
      <c r="T48" s="845">
        <v>0.03</v>
      </c>
      <c r="U48" s="845">
        <v>3.7999999999999999E-2</v>
      </c>
      <c r="V48" s="845">
        <v>0.10199999999999999</v>
      </c>
      <c r="W48" s="845">
        <v>0.22957639939485627</v>
      </c>
      <c r="X48" s="845">
        <v>0.17462932454695224</v>
      </c>
      <c r="Y48" s="845">
        <v>0.91831301667367238</v>
      </c>
      <c r="Z48" s="845">
        <v>5.6045957685301948E-3</v>
      </c>
      <c r="AA48" s="845">
        <v>0</v>
      </c>
      <c r="AB48" s="845">
        <v>2.5500910746812388E-2</v>
      </c>
      <c r="AC48" s="845">
        <v>0</v>
      </c>
      <c r="AD48" s="845">
        <v>4.9040212974639204E-3</v>
      </c>
      <c r="AE48" s="845">
        <v>4.5677455513521086E-2</v>
      </c>
      <c r="AF48" s="845">
        <v>9.9481574891410966E-3</v>
      </c>
      <c r="AG48" s="845">
        <v>0.91242819111671569</v>
      </c>
      <c r="AH48" s="20" t="str">
        <f t="shared" si="2"/>
        <v>Yes</v>
      </c>
      <c r="AI48" s="25"/>
      <c r="AJ48" s="37">
        <v>44312</v>
      </c>
      <c r="AK48" s="37" t="s">
        <v>1306</v>
      </c>
      <c r="AL48" s="37">
        <v>39133</v>
      </c>
      <c r="AM48" s="37" t="s">
        <v>72</v>
      </c>
      <c r="AN48" s="37">
        <f t="shared" si="3"/>
        <v>10420</v>
      </c>
      <c r="AO48" s="37" t="str">
        <f t="shared" si="4"/>
        <v>Akron, OH</v>
      </c>
      <c r="AP48" s="37" t="s">
        <v>8</v>
      </c>
      <c r="AQ48" s="25"/>
      <c r="AR48" s="20" t="s">
        <v>44</v>
      </c>
      <c r="AS48" s="24">
        <v>33800</v>
      </c>
      <c r="AT48" s="24">
        <v>38600</v>
      </c>
      <c r="AU48" s="24">
        <v>43450</v>
      </c>
      <c r="AV48" s="24">
        <v>48250</v>
      </c>
      <c r="AW48" s="24">
        <v>52150</v>
      </c>
      <c r="AX48" s="24">
        <v>56000</v>
      </c>
      <c r="AY48" s="24">
        <v>59850</v>
      </c>
      <c r="AZ48" s="24">
        <v>63700</v>
      </c>
      <c r="BA48" s="29">
        <f t="shared" si="6"/>
        <v>36200</v>
      </c>
      <c r="BB48" s="29">
        <f t="shared" si="7"/>
        <v>50200</v>
      </c>
      <c r="BC48" s="29">
        <f t="shared" si="8"/>
        <v>61775</v>
      </c>
      <c r="BD48" s="25"/>
      <c r="BE48" s="25"/>
      <c r="BF48" s="25"/>
      <c r="BG48" s="25"/>
      <c r="BH48" s="25"/>
      <c r="BI48" s="25"/>
      <c r="BJ48" s="25"/>
      <c r="BK48" s="25"/>
      <c r="BL48" s="25"/>
      <c r="BM48" s="25"/>
      <c r="BN48" s="20" t="s">
        <v>44</v>
      </c>
      <c r="BO48" s="71">
        <v>736</v>
      </c>
      <c r="BP48" s="24">
        <v>742</v>
      </c>
      <c r="BQ48" s="24">
        <v>973</v>
      </c>
      <c r="BR48" s="24">
        <v>1197</v>
      </c>
      <c r="BS48" s="24">
        <v>1288</v>
      </c>
      <c r="BT48" s="122"/>
      <c r="BU48" s="39">
        <v>44278</v>
      </c>
      <c r="BV48" s="39" t="s">
        <v>1289</v>
      </c>
      <c r="BW48" s="39" t="s">
        <v>2929</v>
      </c>
      <c r="BX48" s="39" t="s">
        <v>273</v>
      </c>
      <c r="BY48" s="71">
        <v>910</v>
      </c>
      <c r="BZ48" s="71">
        <v>990</v>
      </c>
      <c r="CA48" s="71">
        <v>1280</v>
      </c>
      <c r="CB48" s="71">
        <v>1560</v>
      </c>
      <c r="CC48" s="71">
        <v>1700</v>
      </c>
      <c r="CD48" s="25"/>
      <c r="CE48" s="200"/>
      <c r="CF48" s="200"/>
      <c r="CG48" s="200"/>
      <c r="CH48" s="200"/>
      <c r="CI48" s="200"/>
      <c r="CJ48" s="200"/>
      <c r="CK48" s="200"/>
      <c r="CL48" s="200"/>
      <c r="CM48" s="200"/>
      <c r="CN48" s="200"/>
      <c r="CO48" s="200"/>
      <c r="CP48" s="200"/>
      <c r="CQ48" s="20" t="s">
        <v>44</v>
      </c>
      <c r="CR48" s="236" t="s">
        <v>292</v>
      </c>
      <c r="CS48" s="236" t="s">
        <v>3109</v>
      </c>
      <c r="CT48" s="200"/>
      <c r="CU48" s="200"/>
      <c r="CV48" s="20" t="s">
        <v>44</v>
      </c>
      <c r="CW48" s="20" t="s">
        <v>6</v>
      </c>
      <c r="CX48" s="25"/>
      <c r="CY48" s="20" t="s">
        <v>44</v>
      </c>
      <c r="CZ48" s="20" t="s">
        <v>265</v>
      </c>
      <c r="DA48" s="37" t="s">
        <v>265</v>
      </c>
      <c r="DB48" s="25"/>
      <c r="DC48" s="20" t="s">
        <v>44</v>
      </c>
      <c r="DD48" s="20">
        <v>0</v>
      </c>
      <c r="DE48" s="735">
        <v>0</v>
      </c>
      <c r="DF48" s="179">
        <v>43176</v>
      </c>
      <c r="DG48" s="179">
        <v>44312</v>
      </c>
      <c r="DH48" s="878">
        <f t="shared" si="11"/>
        <v>2.6310913470446545E-2</v>
      </c>
      <c r="DI48" s="606">
        <v>422.6144126970529</v>
      </c>
      <c r="DJ48" s="179">
        <f t="shared" si="12"/>
        <v>104.85207950483372</v>
      </c>
      <c r="DK48" s="37">
        <v>32.5</v>
      </c>
      <c r="DL48" s="236">
        <v>74774</v>
      </c>
      <c r="DM48" s="878">
        <v>8.807706455766047E-2</v>
      </c>
      <c r="DN48" s="878">
        <v>0.02</v>
      </c>
      <c r="DO48" s="878">
        <v>4.0000000000000001E-3</v>
      </c>
      <c r="DP48" s="878">
        <v>0.08</v>
      </c>
      <c r="DQ48" s="878">
        <v>0.20493771574365902</v>
      </c>
      <c r="DR48" s="878">
        <v>0.21567191504943245</v>
      </c>
      <c r="DS48" s="878">
        <v>0.98099999999999998</v>
      </c>
      <c r="DT48" s="878">
        <v>2E-3</v>
      </c>
      <c r="DU48" s="878">
        <v>1E-3</v>
      </c>
      <c r="DV48" s="878">
        <v>2E-3</v>
      </c>
      <c r="DW48" s="878">
        <v>0</v>
      </c>
      <c r="DX48" s="878">
        <v>2E-3</v>
      </c>
      <c r="DY48" s="878">
        <v>1.2E-2</v>
      </c>
      <c r="DZ48" s="878">
        <v>1.0999999999999999E-2</v>
      </c>
      <c r="EA48" s="878">
        <v>0.97399999999999998</v>
      </c>
      <c r="EB48" s="25"/>
      <c r="EC48" s="25"/>
      <c r="ED48" s="25"/>
    </row>
    <row r="49" spans="1:134" s="17" customFormat="1" x14ac:dyDescent="0.2">
      <c r="A49" s="25"/>
      <c r="B49" s="20">
        <v>39049002000</v>
      </c>
      <c r="C49" s="20">
        <v>20</v>
      </c>
      <c r="D49" s="20" t="s">
        <v>31</v>
      </c>
      <c r="E49" s="20" t="s">
        <v>2830</v>
      </c>
      <c r="F49" s="20" t="s">
        <v>8</v>
      </c>
      <c r="G49" s="861">
        <v>84.160533603160502</v>
      </c>
      <c r="H49" s="861">
        <v>85.073178937515294</v>
      </c>
      <c r="I49" s="861">
        <v>26.017879639820499</v>
      </c>
      <c r="J49" s="861">
        <v>52.464444353340397</v>
      </c>
      <c r="K49" s="982">
        <v>0</v>
      </c>
      <c r="L49" s="735">
        <v>3412</v>
      </c>
      <c r="M49" s="735">
        <v>3155</v>
      </c>
      <c r="N49" s="845">
        <f t="shared" si="0"/>
        <v>-7.5322391559202811E-2</v>
      </c>
      <c r="O49" s="735">
        <v>0.26856648388242987</v>
      </c>
      <c r="P49" s="735">
        <f t="shared" si="1"/>
        <v>11747.556710692023</v>
      </c>
      <c r="Q49" s="849">
        <v>34.1</v>
      </c>
      <c r="R49" s="71">
        <v>112125</v>
      </c>
      <c r="S49" s="845">
        <v>0.11669316375198728</v>
      </c>
      <c r="T49" s="845">
        <v>3.2000000000000001E-2</v>
      </c>
      <c r="U49" s="845">
        <v>5.7000000000000002E-2</v>
      </c>
      <c r="V49" s="845">
        <v>6.8000000000000005E-2</v>
      </c>
      <c r="W49" s="845">
        <v>0.52507204610951008</v>
      </c>
      <c r="X49" s="845">
        <v>0.26783754116355651</v>
      </c>
      <c r="Y49" s="845">
        <v>0.78890649762282095</v>
      </c>
      <c r="Z49" s="845">
        <v>6.52931854199683E-2</v>
      </c>
      <c r="AA49" s="845">
        <v>0</v>
      </c>
      <c r="AB49" s="845">
        <v>2.5990491283676705E-2</v>
      </c>
      <c r="AC49" s="845">
        <v>0</v>
      </c>
      <c r="AD49" s="845">
        <v>6.6561014263074487E-3</v>
      </c>
      <c r="AE49" s="845">
        <v>0.11315372424722663</v>
      </c>
      <c r="AF49" s="845">
        <v>6.751188589540412E-2</v>
      </c>
      <c r="AG49" s="845">
        <v>0.78637083993660861</v>
      </c>
      <c r="AH49" s="20" t="str">
        <f t="shared" si="2"/>
        <v>No</v>
      </c>
      <c r="AI49" s="25"/>
      <c r="AJ49" s="37">
        <v>44411</v>
      </c>
      <c r="AK49" s="37" t="s">
        <v>1322</v>
      </c>
      <c r="AL49" s="37">
        <v>39133</v>
      </c>
      <c r="AM49" s="37" t="s">
        <v>72</v>
      </c>
      <c r="AN49" s="37">
        <f t="shared" si="3"/>
        <v>10420</v>
      </c>
      <c r="AO49" s="37" t="str">
        <f t="shared" si="4"/>
        <v>Akron, OH</v>
      </c>
      <c r="AP49" s="37" t="s">
        <v>8</v>
      </c>
      <c r="AQ49" s="25"/>
      <c r="AR49" s="20" t="s">
        <v>45</v>
      </c>
      <c r="AS49" s="24">
        <v>30500</v>
      </c>
      <c r="AT49" s="24">
        <v>34850</v>
      </c>
      <c r="AU49" s="24">
        <v>39200</v>
      </c>
      <c r="AV49" s="24">
        <v>43550</v>
      </c>
      <c r="AW49" s="24">
        <v>47050</v>
      </c>
      <c r="AX49" s="24">
        <v>50550</v>
      </c>
      <c r="AY49" s="24">
        <v>54050</v>
      </c>
      <c r="AZ49" s="24">
        <v>57500</v>
      </c>
      <c r="BA49" s="29">
        <f t="shared" si="6"/>
        <v>32675</v>
      </c>
      <c r="BB49" s="29">
        <f t="shared" si="7"/>
        <v>45300</v>
      </c>
      <c r="BC49" s="29">
        <f t="shared" si="8"/>
        <v>55775</v>
      </c>
      <c r="BD49" s="25"/>
      <c r="BE49" s="25"/>
      <c r="BF49" s="25"/>
      <c r="BG49" s="25"/>
      <c r="BH49" s="25"/>
      <c r="BI49" s="25"/>
      <c r="BJ49" s="25"/>
      <c r="BK49" s="25"/>
      <c r="BL49" s="25"/>
      <c r="BM49" s="25"/>
      <c r="BN49" s="20" t="s">
        <v>45</v>
      </c>
      <c r="BO49" s="71">
        <v>737</v>
      </c>
      <c r="BP49" s="24">
        <v>742</v>
      </c>
      <c r="BQ49" s="24">
        <v>973</v>
      </c>
      <c r="BR49" s="24">
        <v>1212</v>
      </c>
      <c r="BS49" s="24">
        <v>1521</v>
      </c>
      <c r="BT49" s="122"/>
      <c r="BU49" s="39">
        <v>44281</v>
      </c>
      <c r="BV49" s="39" t="s">
        <v>1291</v>
      </c>
      <c r="BW49" s="39" t="s">
        <v>2929</v>
      </c>
      <c r="BX49" s="39" t="s">
        <v>273</v>
      </c>
      <c r="BY49" s="71">
        <v>930</v>
      </c>
      <c r="BZ49" s="71">
        <v>1060</v>
      </c>
      <c r="CA49" s="71">
        <v>1280</v>
      </c>
      <c r="CB49" s="71">
        <v>1650</v>
      </c>
      <c r="CC49" s="71">
        <v>1760</v>
      </c>
      <c r="CD49" s="25"/>
      <c r="CE49" s="200"/>
      <c r="CF49" s="200"/>
      <c r="CG49" s="200"/>
      <c r="CH49" s="200"/>
      <c r="CI49" s="200"/>
      <c r="CJ49" s="200"/>
      <c r="CK49" s="200"/>
      <c r="CL49" s="200"/>
      <c r="CM49" s="200"/>
      <c r="CN49" s="200"/>
      <c r="CO49" s="200"/>
      <c r="CP49" s="200"/>
      <c r="CQ49" s="20" t="s">
        <v>45</v>
      </c>
      <c r="CR49" s="236" t="s">
        <v>292</v>
      </c>
      <c r="CS49" s="236" t="s">
        <v>3108</v>
      </c>
      <c r="CT49" s="200"/>
      <c r="CU49" s="200"/>
      <c r="CV49" s="20" t="s">
        <v>45</v>
      </c>
      <c r="CW49" s="20" t="s">
        <v>8</v>
      </c>
      <c r="CX49" s="25"/>
      <c r="CY49" s="20" t="s">
        <v>45</v>
      </c>
      <c r="CZ49" s="20" t="s">
        <v>265</v>
      </c>
      <c r="DA49" s="37" t="s">
        <v>265</v>
      </c>
      <c r="DB49" s="25"/>
      <c r="DC49" s="20" t="s">
        <v>45</v>
      </c>
      <c r="DD49" s="20">
        <v>1</v>
      </c>
      <c r="DE49" s="735">
        <v>72</v>
      </c>
      <c r="DF49" s="179">
        <v>59186</v>
      </c>
      <c r="DG49" s="179">
        <v>58412</v>
      </c>
      <c r="DH49" s="878">
        <f t="shared" si="11"/>
        <v>-1.3077416956712737E-2</v>
      </c>
      <c r="DI49" s="606">
        <v>492.24408833289976</v>
      </c>
      <c r="DJ49" s="179">
        <f t="shared" si="12"/>
        <v>118.66470595477531</v>
      </c>
      <c r="DK49" s="37">
        <v>40.4</v>
      </c>
      <c r="DL49" s="236">
        <v>65972</v>
      </c>
      <c r="DM49" s="878">
        <v>0.11955599425078359</v>
      </c>
      <c r="DN49" s="878">
        <v>4.1000000000000002E-2</v>
      </c>
      <c r="DO49" s="878">
        <v>2E-3</v>
      </c>
      <c r="DP49" s="878">
        <v>0.12300000000000001</v>
      </c>
      <c r="DQ49" s="878">
        <v>0.26416865824513486</v>
      </c>
      <c r="DR49" s="878">
        <v>0.335702746365105</v>
      </c>
      <c r="DS49" s="878">
        <v>0.91900000000000004</v>
      </c>
      <c r="DT49" s="878">
        <v>7.0000000000000001E-3</v>
      </c>
      <c r="DU49" s="878">
        <v>0</v>
      </c>
      <c r="DV49" s="878">
        <v>4.0000000000000001E-3</v>
      </c>
      <c r="DW49" s="878">
        <v>0</v>
      </c>
      <c r="DX49" s="878">
        <v>1.2999999999999999E-2</v>
      </c>
      <c r="DY49" s="878">
        <v>5.6000000000000001E-2</v>
      </c>
      <c r="DZ49" s="878">
        <v>7.1999999999999995E-2</v>
      </c>
      <c r="EA49" s="878">
        <v>0.88</v>
      </c>
      <c r="EB49" s="25"/>
      <c r="EC49" s="25"/>
      <c r="ED49" s="25"/>
    </row>
    <row r="50" spans="1:134" s="17" customFormat="1" x14ac:dyDescent="0.2">
      <c r="A50" s="25"/>
      <c r="B50" s="20">
        <v>39049006323</v>
      </c>
      <c r="C50" s="20">
        <v>63.23</v>
      </c>
      <c r="D50" s="20" t="s">
        <v>31</v>
      </c>
      <c r="E50" s="20" t="s">
        <v>2830</v>
      </c>
      <c r="F50" s="20" t="s">
        <v>8</v>
      </c>
      <c r="G50" s="861">
        <v>84.107030352078297</v>
      </c>
      <c r="H50" s="861">
        <v>87.8320879733335</v>
      </c>
      <c r="I50" s="861">
        <v>27.402421580790701</v>
      </c>
      <c r="J50" s="861">
        <v>46.225161138867797</v>
      </c>
      <c r="K50" s="982">
        <v>0</v>
      </c>
      <c r="L50" s="735">
        <v>3490</v>
      </c>
      <c r="M50" s="735">
        <v>3465</v>
      </c>
      <c r="N50" s="845">
        <f t="shared" si="0"/>
        <v>-7.1633237822349575E-3</v>
      </c>
      <c r="O50" s="735">
        <v>0.89815354403306513</v>
      </c>
      <c r="P50" s="735">
        <f t="shared" si="1"/>
        <v>3857.9149667892839</v>
      </c>
      <c r="Q50" s="849">
        <v>55.2</v>
      </c>
      <c r="R50" s="71">
        <v>122583</v>
      </c>
      <c r="S50" s="845">
        <v>5.1082251082251083E-2</v>
      </c>
      <c r="T50" s="845">
        <v>1.3999999999999999E-2</v>
      </c>
      <c r="U50" s="845">
        <v>0</v>
      </c>
      <c r="V50" s="845">
        <v>0</v>
      </c>
      <c r="W50" s="845">
        <v>0.18604651162790697</v>
      </c>
      <c r="X50" s="845">
        <v>0.36824324324324326</v>
      </c>
      <c r="Y50" s="845">
        <v>0.91370851370851369</v>
      </c>
      <c r="Z50" s="845">
        <v>1.4141414141414142E-2</v>
      </c>
      <c r="AA50" s="845">
        <v>5.1948051948051948E-3</v>
      </c>
      <c r="AB50" s="845">
        <v>3.8383838383838381E-2</v>
      </c>
      <c r="AC50" s="845">
        <v>0</v>
      </c>
      <c r="AD50" s="845">
        <v>0</v>
      </c>
      <c r="AE50" s="845">
        <v>2.8571428571428571E-2</v>
      </c>
      <c r="AF50" s="845">
        <v>3.2034632034632034E-2</v>
      </c>
      <c r="AG50" s="845">
        <v>0.89235209235209234</v>
      </c>
      <c r="AH50" s="20" t="str">
        <f t="shared" si="2"/>
        <v>No</v>
      </c>
      <c r="AI50" s="25"/>
      <c r="AJ50" s="37">
        <v>44412</v>
      </c>
      <c r="AK50" s="37" t="s">
        <v>1323</v>
      </c>
      <c r="AL50" s="37">
        <v>39133</v>
      </c>
      <c r="AM50" s="37" t="s">
        <v>72</v>
      </c>
      <c r="AN50" s="37">
        <f t="shared" si="3"/>
        <v>10420</v>
      </c>
      <c r="AO50" s="37" t="str">
        <f t="shared" si="4"/>
        <v>Akron, OH</v>
      </c>
      <c r="AP50" s="37" t="s">
        <v>8</v>
      </c>
      <c r="AQ50" s="25"/>
      <c r="AR50" s="20" t="s">
        <v>46</v>
      </c>
      <c r="AS50" s="24">
        <v>29850</v>
      </c>
      <c r="AT50" s="24">
        <v>34100</v>
      </c>
      <c r="AU50" s="24">
        <v>38350</v>
      </c>
      <c r="AV50" s="24">
        <v>42600</v>
      </c>
      <c r="AW50" s="24">
        <v>46050</v>
      </c>
      <c r="AX50" s="24">
        <v>49450</v>
      </c>
      <c r="AY50" s="24">
        <v>52850</v>
      </c>
      <c r="AZ50" s="24">
        <v>56250</v>
      </c>
      <c r="BA50" s="29">
        <f t="shared" si="6"/>
        <v>31975</v>
      </c>
      <c r="BB50" s="29">
        <f t="shared" si="7"/>
        <v>44325</v>
      </c>
      <c r="BC50" s="29">
        <f t="shared" si="8"/>
        <v>54550</v>
      </c>
      <c r="BD50" s="25"/>
      <c r="BE50" s="25"/>
      <c r="BF50" s="25"/>
      <c r="BG50" s="25"/>
      <c r="BH50" s="25"/>
      <c r="BI50" s="25"/>
      <c r="BJ50" s="25"/>
      <c r="BK50" s="25"/>
      <c r="BL50" s="25"/>
      <c r="BM50" s="25"/>
      <c r="BN50" s="20" t="s">
        <v>46</v>
      </c>
      <c r="BO50" s="71">
        <v>736</v>
      </c>
      <c r="BP50" s="24">
        <v>762</v>
      </c>
      <c r="BQ50" s="24">
        <v>973</v>
      </c>
      <c r="BR50" s="24">
        <v>1256</v>
      </c>
      <c r="BS50" s="24">
        <v>1344</v>
      </c>
      <c r="BT50" s="122"/>
      <c r="BU50" s="39">
        <v>44285</v>
      </c>
      <c r="BV50" s="39" t="s">
        <v>1292</v>
      </c>
      <c r="BW50" s="39" t="s">
        <v>2929</v>
      </c>
      <c r="BX50" s="39" t="s">
        <v>273</v>
      </c>
      <c r="BY50" s="71">
        <v>860</v>
      </c>
      <c r="BZ50" s="71">
        <v>930</v>
      </c>
      <c r="CA50" s="71">
        <v>1200</v>
      </c>
      <c r="CB50" s="71">
        <v>1460</v>
      </c>
      <c r="CC50" s="71">
        <v>1590</v>
      </c>
      <c r="CD50" s="25"/>
      <c r="CE50" s="200"/>
      <c r="CF50" s="200"/>
      <c r="CG50" s="200"/>
      <c r="CH50" s="200"/>
      <c r="CI50" s="200"/>
      <c r="CJ50" s="200"/>
      <c r="CK50" s="200"/>
      <c r="CL50" s="200"/>
      <c r="CM50" s="200"/>
      <c r="CN50" s="200"/>
      <c r="CO50" s="200"/>
      <c r="CP50" s="200"/>
      <c r="CQ50" s="20" t="s">
        <v>46</v>
      </c>
      <c r="CR50" s="236" t="s">
        <v>292</v>
      </c>
      <c r="CS50" s="236" t="s">
        <v>3110</v>
      </c>
      <c r="CT50" s="200"/>
      <c r="CU50" s="200"/>
      <c r="CV50" s="20" t="s">
        <v>46</v>
      </c>
      <c r="CW50" s="20" t="s">
        <v>6</v>
      </c>
      <c r="CX50" s="25"/>
      <c r="CY50" s="20" t="s">
        <v>46</v>
      </c>
      <c r="CZ50" s="20" t="s">
        <v>265</v>
      </c>
      <c r="DA50" s="37" t="s">
        <v>265</v>
      </c>
      <c r="DB50" s="25"/>
      <c r="DC50" s="20" t="s">
        <v>46</v>
      </c>
      <c r="DD50" s="20">
        <v>1</v>
      </c>
      <c r="DE50" s="735">
        <v>46</v>
      </c>
      <c r="DF50" s="179">
        <v>32952</v>
      </c>
      <c r="DG50" s="179">
        <v>32588</v>
      </c>
      <c r="DH50" s="878">
        <f t="shared" si="11"/>
        <v>-1.1046370478271426E-2</v>
      </c>
      <c r="DI50" s="606">
        <v>420.31039555621749</v>
      </c>
      <c r="DJ50" s="179">
        <f t="shared" si="12"/>
        <v>77.533176301468089</v>
      </c>
      <c r="DK50" s="37">
        <v>40.200000000000003</v>
      </c>
      <c r="DL50" s="236">
        <v>58409</v>
      </c>
      <c r="DM50" s="878">
        <v>0.17663951056590818</v>
      </c>
      <c r="DN50" s="878">
        <v>4.1000000000000002E-2</v>
      </c>
      <c r="DO50" s="878">
        <v>1.8000000000000002E-2</v>
      </c>
      <c r="DP50" s="878">
        <v>3.5000000000000003E-2</v>
      </c>
      <c r="DQ50" s="878">
        <v>0.26625631313131315</v>
      </c>
      <c r="DR50" s="878">
        <v>0.34795494961470064</v>
      </c>
      <c r="DS50" s="878">
        <v>0.96199999999999997</v>
      </c>
      <c r="DT50" s="878">
        <v>0.01</v>
      </c>
      <c r="DU50" s="878">
        <v>4.0000000000000001E-3</v>
      </c>
      <c r="DV50" s="878">
        <v>6.0000000000000001E-3</v>
      </c>
      <c r="DW50" s="878">
        <v>0</v>
      </c>
      <c r="DX50" s="878">
        <v>0</v>
      </c>
      <c r="DY50" s="878">
        <v>1.7999999999999999E-2</v>
      </c>
      <c r="DZ50" s="878">
        <v>0.01</v>
      </c>
      <c r="EA50" s="878">
        <v>0.95599999999999996</v>
      </c>
      <c r="EB50" s="25"/>
      <c r="EC50" s="25"/>
      <c r="ED50" s="25"/>
    </row>
    <row r="51" spans="1:134" s="17" customFormat="1" x14ac:dyDescent="0.2">
      <c r="A51" s="25"/>
      <c r="B51" s="20">
        <v>39061001000</v>
      </c>
      <c r="C51" s="20">
        <v>10</v>
      </c>
      <c r="D51" s="20" t="s">
        <v>37</v>
      </c>
      <c r="E51" s="20" t="s">
        <v>2828</v>
      </c>
      <c r="F51" s="20" t="s">
        <v>8</v>
      </c>
      <c r="G51" s="861">
        <v>84.041961990746998</v>
      </c>
      <c r="H51" s="861">
        <v>100</v>
      </c>
      <c r="I51" s="861">
        <v>79.250889816492602</v>
      </c>
      <c r="J51" s="861">
        <v>56.177168610522102</v>
      </c>
      <c r="K51" s="982">
        <v>0</v>
      </c>
      <c r="L51" s="735">
        <v>1452</v>
      </c>
      <c r="M51" s="735">
        <v>1867</v>
      </c>
      <c r="N51" s="845">
        <f t="shared" si="0"/>
        <v>0.28581267217630851</v>
      </c>
      <c r="O51" s="735">
        <v>9.5796964874869647E-2</v>
      </c>
      <c r="P51" s="735">
        <f t="shared" si="1"/>
        <v>19489.135197954158</v>
      </c>
      <c r="Q51" s="849">
        <v>28.5</v>
      </c>
      <c r="R51" s="71">
        <v>95474</v>
      </c>
      <c r="S51" s="845">
        <v>9.3513513513513516E-2</v>
      </c>
      <c r="T51" s="845">
        <v>3.9E-2</v>
      </c>
      <c r="U51" s="845">
        <v>0</v>
      </c>
      <c r="V51" s="845">
        <v>1.6E-2</v>
      </c>
      <c r="W51" s="845">
        <v>0.80408542246982362</v>
      </c>
      <c r="X51" s="845">
        <v>0.30600461893764436</v>
      </c>
      <c r="Y51" s="845">
        <v>0.71612212104981254</v>
      </c>
      <c r="Z51" s="845">
        <v>0.22603106588109267</v>
      </c>
      <c r="AA51" s="845">
        <v>0</v>
      </c>
      <c r="AB51" s="845">
        <v>9.1055168719871449E-3</v>
      </c>
      <c r="AC51" s="845">
        <v>0</v>
      </c>
      <c r="AD51" s="845">
        <v>1.0176754151044456E-2</v>
      </c>
      <c r="AE51" s="845">
        <v>3.8564542046063202E-2</v>
      </c>
      <c r="AF51" s="845">
        <v>4.9276914836636314E-2</v>
      </c>
      <c r="AG51" s="845">
        <v>0.70219603642206752</v>
      </c>
      <c r="AH51" s="20" t="str">
        <f t="shared" si="2"/>
        <v>No</v>
      </c>
      <c r="AI51" s="25"/>
      <c r="AJ51" s="37">
        <v>44429</v>
      </c>
      <c r="AK51" s="37" t="s">
        <v>1334</v>
      </c>
      <c r="AL51" s="37">
        <v>39133</v>
      </c>
      <c r="AM51" s="37" t="s">
        <v>72</v>
      </c>
      <c r="AN51" s="37">
        <f t="shared" si="3"/>
        <v>10420</v>
      </c>
      <c r="AO51" s="37" t="str">
        <f t="shared" si="4"/>
        <v>Akron, OH</v>
      </c>
      <c r="AP51" s="37" t="s">
        <v>8</v>
      </c>
      <c r="AQ51" s="25"/>
      <c r="AR51" s="20" t="s">
        <v>47</v>
      </c>
      <c r="AS51" s="24">
        <v>29850</v>
      </c>
      <c r="AT51" s="24">
        <v>34100</v>
      </c>
      <c r="AU51" s="24">
        <v>38350</v>
      </c>
      <c r="AV51" s="24">
        <v>42600</v>
      </c>
      <c r="AW51" s="24">
        <v>46050</v>
      </c>
      <c r="AX51" s="24">
        <v>49450</v>
      </c>
      <c r="AY51" s="24">
        <v>52850</v>
      </c>
      <c r="AZ51" s="24">
        <v>56250</v>
      </c>
      <c r="BA51" s="29">
        <f t="shared" si="6"/>
        <v>31975</v>
      </c>
      <c r="BB51" s="29">
        <f t="shared" si="7"/>
        <v>44325</v>
      </c>
      <c r="BC51" s="29">
        <f t="shared" si="8"/>
        <v>54550</v>
      </c>
      <c r="BD51" s="25"/>
      <c r="BE51" s="25"/>
      <c r="BF51" s="25"/>
      <c r="BG51" s="25"/>
      <c r="BH51" s="25"/>
      <c r="BI51" s="25"/>
      <c r="BJ51" s="25"/>
      <c r="BK51" s="25"/>
      <c r="BL51" s="25"/>
      <c r="BM51" s="25"/>
      <c r="BN51" s="20" t="s">
        <v>47</v>
      </c>
      <c r="BO51" s="71">
        <v>752</v>
      </c>
      <c r="BP51" s="24">
        <v>757</v>
      </c>
      <c r="BQ51" s="24">
        <v>973</v>
      </c>
      <c r="BR51" s="24">
        <v>1285</v>
      </c>
      <c r="BS51" s="24">
        <v>1482</v>
      </c>
      <c r="BT51" s="122"/>
      <c r="BU51" s="39">
        <v>44286</v>
      </c>
      <c r="BV51" s="39" t="s">
        <v>1293</v>
      </c>
      <c r="BW51" s="39" t="s">
        <v>2929</v>
      </c>
      <c r="BX51" s="39" t="s">
        <v>273</v>
      </c>
      <c r="BY51" s="71">
        <v>1050</v>
      </c>
      <c r="BZ51" s="71">
        <v>1140</v>
      </c>
      <c r="CA51" s="71">
        <v>1470</v>
      </c>
      <c r="CB51" s="71">
        <v>1790</v>
      </c>
      <c r="CC51" s="71">
        <v>1950</v>
      </c>
      <c r="CD51" s="25"/>
      <c r="CE51" s="200"/>
      <c r="CF51" s="200"/>
      <c r="CG51" s="200"/>
      <c r="CH51" s="200"/>
      <c r="CI51" s="200"/>
      <c r="CJ51" s="200"/>
      <c r="CK51" s="200"/>
      <c r="CL51" s="200"/>
      <c r="CM51" s="200"/>
      <c r="CN51" s="200"/>
      <c r="CO51" s="200"/>
      <c r="CP51" s="200"/>
      <c r="CQ51" s="20" t="s">
        <v>47</v>
      </c>
      <c r="CR51" s="236" t="s">
        <v>292</v>
      </c>
      <c r="CS51" s="236" t="s">
        <v>3109</v>
      </c>
      <c r="CT51" s="200"/>
      <c r="CU51" s="200"/>
      <c r="CV51" s="20" t="s">
        <v>47</v>
      </c>
      <c r="CW51" s="20" t="s">
        <v>6</v>
      </c>
      <c r="CX51" s="25"/>
      <c r="CY51" s="20" t="s">
        <v>47</v>
      </c>
      <c r="CZ51" s="20">
        <v>48260</v>
      </c>
      <c r="DA51" s="37" t="s">
        <v>2840</v>
      </c>
      <c r="DB51" s="25"/>
      <c r="DC51" s="20" t="s">
        <v>47</v>
      </c>
      <c r="DD51" s="20">
        <v>2</v>
      </c>
      <c r="DE51" s="735">
        <v>166</v>
      </c>
      <c r="DF51" s="179">
        <v>68510</v>
      </c>
      <c r="DG51" s="179">
        <v>64855</v>
      </c>
      <c r="DH51" s="878">
        <f t="shared" si="11"/>
        <v>-5.3349875930521089E-2</v>
      </c>
      <c r="DI51" s="606">
        <v>408.12430525018897</v>
      </c>
      <c r="DJ51" s="179">
        <f t="shared" si="12"/>
        <v>158.90991829129729</v>
      </c>
      <c r="DK51" s="37">
        <v>44.2</v>
      </c>
      <c r="DL51" s="236">
        <v>56983</v>
      </c>
      <c r="DM51" s="878">
        <v>0.1693147884962394</v>
      </c>
      <c r="DN51" s="878">
        <v>0.05</v>
      </c>
      <c r="DO51" s="878">
        <v>6.0000000000000001E-3</v>
      </c>
      <c r="DP51" s="878">
        <v>6.8000000000000005E-2</v>
      </c>
      <c r="DQ51" s="878">
        <v>0.28200685663729863</v>
      </c>
      <c r="DR51" s="878">
        <v>0.38091503267973859</v>
      </c>
      <c r="DS51" s="878">
        <v>0.89600000000000002</v>
      </c>
      <c r="DT51" s="878">
        <v>5.3999999999999999E-2</v>
      </c>
      <c r="DU51" s="878">
        <v>0</v>
      </c>
      <c r="DV51" s="878">
        <v>6.0000000000000001E-3</v>
      </c>
      <c r="DW51" s="878">
        <v>0</v>
      </c>
      <c r="DX51" s="878">
        <v>7.0000000000000001E-3</v>
      </c>
      <c r="DY51" s="878">
        <v>3.6999999999999998E-2</v>
      </c>
      <c r="DZ51" s="878">
        <v>1.7999999999999999E-2</v>
      </c>
      <c r="EA51" s="878">
        <v>0.88900000000000001</v>
      </c>
      <c r="EB51" s="25"/>
      <c r="EC51" s="25"/>
      <c r="ED51" s="25"/>
    </row>
    <row r="52" spans="1:134" s="17" customFormat="1" x14ac:dyDescent="0.2">
      <c r="A52" s="25"/>
      <c r="B52" s="20">
        <v>39035189105</v>
      </c>
      <c r="C52" s="20">
        <v>1891.05</v>
      </c>
      <c r="D52" s="20" t="s">
        <v>24</v>
      </c>
      <c r="E52" s="20" t="s">
        <v>2829</v>
      </c>
      <c r="F52" s="20" t="s">
        <v>8</v>
      </c>
      <c r="G52" s="861">
        <v>83.763877388875997</v>
      </c>
      <c r="H52" s="861">
        <v>72.901838650435806</v>
      </c>
      <c r="I52" s="861">
        <v>20.049819068246698</v>
      </c>
      <c r="J52" s="861">
        <v>53.380452993064097</v>
      </c>
      <c r="K52" s="982">
        <v>0</v>
      </c>
      <c r="L52" s="735">
        <v>4150</v>
      </c>
      <c r="M52" s="735">
        <v>3748</v>
      </c>
      <c r="N52" s="845">
        <f t="shared" si="0"/>
        <v>-9.6867469879518067E-2</v>
      </c>
      <c r="O52" s="735">
        <v>2.5802396444206073</v>
      </c>
      <c r="P52" s="735">
        <f t="shared" si="1"/>
        <v>1452.5782549324458</v>
      </c>
      <c r="Q52" s="849">
        <v>51.2</v>
      </c>
      <c r="R52" s="71">
        <v>105383</v>
      </c>
      <c r="S52" s="845">
        <v>3.5609103078982594E-2</v>
      </c>
      <c r="T52" s="845">
        <v>1.2E-2</v>
      </c>
      <c r="U52" s="845">
        <v>0</v>
      </c>
      <c r="V52" s="845">
        <v>9.6000000000000002E-2</v>
      </c>
      <c r="W52" s="845">
        <v>0.15328907664453834</v>
      </c>
      <c r="X52" s="845">
        <v>0.32677165354330706</v>
      </c>
      <c r="Y52" s="845">
        <v>0.85218783351120597</v>
      </c>
      <c r="Z52" s="845">
        <v>1.1472785485592316E-2</v>
      </c>
      <c r="AA52" s="845">
        <v>0</v>
      </c>
      <c r="AB52" s="845">
        <v>3.6819637139807897E-2</v>
      </c>
      <c r="AC52" s="845">
        <v>0</v>
      </c>
      <c r="AD52" s="845">
        <v>1.1472785485592316E-2</v>
      </c>
      <c r="AE52" s="845">
        <v>8.8046958377801493E-2</v>
      </c>
      <c r="AF52" s="845">
        <v>4.1889007470651017E-2</v>
      </c>
      <c r="AG52" s="845">
        <v>0.84925293489861264</v>
      </c>
      <c r="AH52" s="20" t="str">
        <f t="shared" si="2"/>
        <v>No</v>
      </c>
      <c r="AI52" s="25"/>
      <c r="AJ52" s="37">
        <v>44444</v>
      </c>
      <c r="AK52" s="37" t="s">
        <v>1346</v>
      </c>
      <c r="AL52" s="37">
        <v>39133</v>
      </c>
      <c r="AM52" s="37" t="s">
        <v>72</v>
      </c>
      <c r="AN52" s="37">
        <f t="shared" si="3"/>
        <v>10420</v>
      </c>
      <c r="AO52" s="37" t="str">
        <f t="shared" si="4"/>
        <v>Akron, OH</v>
      </c>
      <c r="AP52" s="37" t="s">
        <v>8</v>
      </c>
      <c r="AQ52" s="25"/>
      <c r="AR52" s="20" t="s">
        <v>114</v>
      </c>
      <c r="AS52" s="24">
        <v>33150</v>
      </c>
      <c r="AT52" s="24">
        <v>37850</v>
      </c>
      <c r="AU52" s="24">
        <v>42600</v>
      </c>
      <c r="AV52" s="24">
        <v>47300</v>
      </c>
      <c r="AW52" s="24">
        <v>51100</v>
      </c>
      <c r="AX52" s="24">
        <v>54900</v>
      </c>
      <c r="AY52" s="24">
        <v>58700</v>
      </c>
      <c r="AZ52" s="24">
        <v>62450</v>
      </c>
      <c r="BA52" s="29">
        <f t="shared" si="6"/>
        <v>35500</v>
      </c>
      <c r="BB52" s="29">
        <f t="shared" si="7"/>
        <v>49200</v>
      </c>
      <c r="BC52" s="29">
        <f t="shared" si="8"/>
        <v>60575</v>
      </c>
      <c r="BD52" s="25"/>
      <c r="BE52" s="25"/>
      <c r="BF52" s="25"/>
      <c r="BG52" s="25"/>
      <c r="BH52" s="25"/>
      <c r="BI52" s="25"/>
      <c r="BJ52" s="25"/>
      <c r="BK52" s="25"/>
      <c r="BL52" s="25"/>
      <c r="BM52" s="25"/>
      <c r="BN52" s="20" t="s">
        <v>114</v>
      </c>
      <c r="BO52" s="71">
        <v>824</v>
      </c>
      <c r="BP52" s="24">
        <v>862</v>
      </c>
      <c r="BQ52" s="24">
        <v>1078</v>
      </c>
      <c r="BR52" s="24">
        <v>1408</v>
      </c>
      <c r="BS52" s="24">
        <v>1427</v>
      </c>
      <c r="BT52" s="122"/>
      <c r="BU52" s="39">
        <v>44288</v>
      </c>
      <c r="BV52" s="39" t="s">
        <v>1295</v>
      </c>
      <c r="BW52" s="39" t="s">
        <v>2929</v>
      </c>
      <c r="BX52" s="39" t="s">
        <v>273</v>
      </c>
      <c r="BY52" s="71">
        <v>910</v>
      </c>
      <c r="BZ52" s="71">
        <v>990</v>
      </c>
      <c r="CA52" s="71">
        <v>1270</v>
      </c>
      <c r="CB52" s="71">
        <v>1550</v>
      </c>
      <c r="CC52" s="71">
        <v>1680</v>
      </c>
      <c r="CD52" s="25"/>
      <c r="CE52" s="200"/>
      <c r="CF52" s="200"/>
      <c r="CG52" s="200"/>
      <c r="CH52" s="200"/>
      <c r="CI52" s="200"/>
      <c r="CJ52" s="200"/>
      <c r="CK52" s="200"/>
      <c r="CL52" s="200"/>
      <c r="CM52" s="200"/>
      <c r="CN52" s="200"/>
      <c r="CO52" s="200"/>
      <c r="CP52" s="200"/>
      <c r="CQ52" s="20" t="s">
        <v>114</v>
      </c>
      <c r="CR52" s="236" t="s">
        <v>292</v>
      </c>
      <c r="CS52" s="236" t="s">
        <v>3111</v>
      </c>
      <c r="CT52" s="200"/>
      <c r="CU52" s="200"/>
      <c r="CV52" s="20" t="s">
        <v>114</v>
      </c>
      <c r="CW52" s="20" t="s">
        <v>8</v>
      </c>
      <c r="CX52" s="25"/>
      <c r="CY52" s="20" t="s">
        <v>114</v>
      </c>
      <c r="CZ52" s="20" t="s">
        <v>265</v>
      </c>
      <c r="DA52" s="37" t="s">
        <v>265</v>
      </c>
      <c r="DB52" s="25"/>
      <c r="DC52" s="20" t="s">
        <v>114</v>
      </c>
      <c r="DD52" s="20">
        <v>0</v>
      </c>
      <c r="DE52" s="735">
        <v>0</v>
      </c>
      <c r="DF52" s="179">
        <v>61063</v>
      </c>
      <c r="DG52" s="179">
        <v>62888</v>
      </c>
      <c r="DH52" s="878">
        <f t="shared" si="11"/>
        <v>2.9887165714098555E-2</v>
      </c>
      <c r="DI52" s="606">
        <v>525.49910084336261</v>
      </c>
      <c r="DJ52" s="179">
        <f t="shared" si="12"/>
        <v>119.67289743992397</v>
      </c>
      <c r="DK52" s="37">
        <v>39.4</v>
      </c>
      <c r="DL52" s="236">
        <v>73988</v>
      </c>
      <c r="DM52" s="878">
        <v>0.11040102792993846</v>
      </c>
      <c r="DN52" s="878">
        <v>2.5000000000000001E-2</v>
      </c>
      <c r="DO52" s="878">
        <v>6.0000000000000001E-3</v>
      </c>
      <c r="DP52" s="878">
        <v>5.7999999999999996E-2</v>
      </c>
      <c r="DQ52" s="878">
        <v>0.24949861318540645</v>
      </c>
      <c r="DR52" s="878">
        <v>0.39131178382076276</v>
      </c>
      <c r="DS52" s="878">
        <v>0.94</v>
      </c>
      <c r="DT52" s="878">
        <v>8.9999999999999993E-3</v>
      </c>
      <c r="DU52" s="878">
        <v>0</v>
      </c>
      <c r="DV52" s="878">
        <v>7.0000000000000001E-3</v>
      </c>
      <c r="DW52" s="878">
        <v>0</v>
      </c>
      <c r="DX52" s="878">
        <v>0.01</v>
      </c>
      <c r="DY52" s="878">
        <v>3.3000000000000002E-2</v>
      </c>
      <c r="DZ52" s="878">
        <v>0.02</v>
      </c>
      <c r="EA52" s="878">
        <v>0.93200000000000005</v>
      </c>
      <c r="EB52" s="25"/>
      <c r="EC52" s="25"/>
      <c r="ED52" s="25"/>
    </row>
    <row r="53" spans="1:134" s="17" customFormat="1" x14ac:dyDescent="0.2">
      <c r="A53" s="25"/>
      <c r="B53" s="20">
        <v>39049001901</v>
      </c>
      <c r="C53" s="20">
        <v>19.010000000000002</v>
      </c>
      <c r="D53" s="20" t="s">
        <v>31</v>
      </c>
      <c r="E53" s="20" t="s">
        <v>2830</v>
      </c>
      <c r="F53" s="20" t="s">
        <v>8</v>
      </c>
      <c r="G53" s="861">
        <v>83.637673891648802</v>
      </c>
      <c r="H53" s="861">
        <v>77.121776533836794</v>
      </c>
      <c r="I53" s="861">
        <v>41.304571705232</v>
      </c>
      <c r="J53" s="861">
        <v>43.845359692510499</v>
      </c>
      <c r="K53" s="982">
        <v>0</v>
      </c>
      <c r="L53" s="735">
        <v>2211</v>
      </c>
      <c r="M53" s="735">
        <v>3675</v>
      </c>
      <c r="N53" s="845">
        <f t="shared" si="0"/>
        <v>0.66214382632293078</v>
      </c>
      <c r="O53" s="735">
        <v>0.6655613565731775</v>
      </c>
      <c r="P53" s="735">
        <f t="shared" si="1"/>
        <v>5521.6547110272904</v>
      </c>
      <c r="Q53" s="849">
        <v>31.1</v>
      </c>
      <c r="R53" s="71">
        <v>59115</v>
      </c>
      <c r="S53" s="845">
        <v>0.27591836734693875</v>
      </c>
      <c r="T53" s="845">
        <v>3.2000000000000001E-2</v>
      </c>
      <c r="U53" s="845">
        <v>0</v>
      </c>
      <c r="V53" s="845">
        <v>0.04</v>
      </c>
      <c r="W53" s="845">
        <v>0.9438202247191011</v>
      </c>
      <c r="X53" s="845">
        <v>0.38186813186813184</v>
      </c>
      <c r="Y53" s="845">
        <v>0.81170068027210884</v>
      </c>
      <c r="Z53" s="845">
        <v>7.6190476190476197E-2</v>
      </c>
      <c r="AA53" s="845">
        <v>0</v>
      </c>
      <c r="AB53" s="845">
        <v>6.2857142857142861E-2</v>
      </c>
      <c r="AC53" s="845">
        <v>0</v>
      </c>
      <c r="AD53" s="845">
        <v>0</v>
      </c>
      <c r="AE53" s="845">
        <v>4.9251700680272112E-2</v>
      </c>
      <c r="AF53" s="845">
        <v>4.1360544217687076E-2</v>
      </c>
      <c r="AG53" s="845">
        <v>0.77034013605442175</v>
      </c>
      <c r="AH53" s="20" t="str">
        <f t="shared" si="2"/>
        <v>No</v>
      </c>
      <c r="AI53" s="25"/>
      <c r="AJ53" s="37">
        <v>44449</v>
      </c>
      <c r="AK53" s="37" t="s">
        <v>1349</v>
      </c>
      <c r="AL53" s="37">
        <v>39133</v>
      </c>
      <c r="AM53" s="37" t="s">
        <v>72</v>
      </c>
      <c r="AN53" s="37">
        <f t="shared" si="3"/>
        <v>10420</v>
      </c>
      <c r="AO53" s="37" t="str">
        <f t="shared" si="4"/>
        <v>Akron, OH</v>
      </c>
      <c r="AP53" s="37" t="s">
        <v>8</v>
      </c>
      <c r="AQ53" s="25"/>
      <c r="AR53" s="20" t="s">
        <v>48</v>
      </c>
      <c r="AS53" s="24">
        <v>34800</v>
      </c>
      <c r="AT53" s="24">
        <v>39800</v>
      </c>
      <c r="AU53" s="24">
        <v>44750</v>
      </c>
      <c r="AV53" s="24">
        <v>49700</v>
      </c>
      <c r="AW53" s="24">
        <v>53700</v>
      </c>
      <c r="AX53" s="24">
        <v>57700</v>
      </c>
      <c r="AY53" s="24">
        <v>61650</v>
      </c>
      <c r="AZ53" s="24">
        <v>65650</v>
      </c>
      <c r="BA53" s="29">
        <f t="shared" si="6"/>
        <v>37300</v>
      </c>
      <c r="BB53" s="29">
        <f t="shared" si="7"/>
        <v>51700</v>
      </c>
      <c r="BC53" s="29">
        <f t="shared" si="8"/>
        <v>63650</v>
      </c>
      <c r="BD53" s="25"/>
      <c r="BE53" s="25"/>
      <c r="BF53" s="25"/>
      <c r="BG53" s="25"/>
      <c r="BH53" s="25"/>
      <c r="BI53" s="25"/>
      <c r="BJ53" s="25"/>
      <c r="BK53" s="25"/>
      <c r="BL53" s="25"/>
      <c r="BM53" s="25"/>
      <c r="BN53" s="20" t="s">
        <v>48</v>
      </c>
      <c r="BO53" s="71">
        <v>933</v>
      </c>
      <c r="BP53" s="24">
        <v>1058</v>
      </c>
      <c r="BQ53" s="24">
        <v>1279</v>
      </c>
      <c r="BR53" s="24">
        <v>1646</v>
      </c>
      <c r="BS53" s="24">
        <v>1760</v>
      </c>
      <c r="BT53" s="122"/>
      <c r="BU53" s="39">
        <v>44301</v>
      </c>
      <c r="BV53" s="39" t="s">
        <v>1296</v>
      </c>
      <c r="BW53" s="39" t="s">
        <v>2929</v>
      </c>
      <c r="BX53" s="39" t="s">
        <v>273</v>
      </c>
      <c r="BY53" s="71">
        <v>920</v>
      </c>
      <c r="BZ53" s="71">
        <v>1000</v>
      </c>
      <c r="CA53" s="71">
        <v>1290</v>
      </c>
      <c r="CB53" s="71">
        <v>1570</v>
      </c>
      <c r="CC53" s="71">
        <v>1710</v>
      </c>
      <c r="CD53" s="25"/>
      <c r="CE53" s="200"/>
      <c r="CF53" s="200"/>
      <c r="CG53" s="200"/>
      <c r="CH53" s="200"/>
      <c r="CI53" s="200"/>
      <c r="CJ53" s="200"/>
      <c r="CK53" s="200"/>
      <c r="CL53" s="200"/>
      <c r="CM53" s="200"/>
      <c r="CN53" s="200"/>
      <c r="CO53" s="200"/>
      <c r="CP53" s="200"/>
      <c r="CQ53" s="20" t="s">
        <v>48</v>
      </c>
      <c r="CR53" s="236" t="s">
        <v>2481</v>
      </c>
      <c r="CS53" s="236" t="s">
        <v>3109</v>
      </c>
      <c r="CT53" s="200"/>
      <c r="CU53" s="200"/>
      <c r="CV53" s="20" t="s">
        <v>48</v>
      </c>
      <c r="CW53" s="20" t="s">
        <v>8</v>
      </c>
      <c r="CX53" s="25"/>
      <c r="CY53" s="20" t="s">
        <v>48</v>
      </c>
      <c r="CZ53" s="20">
        <v>17410</v>
      </c>
      <c r="DA53" s="37" t="s">
        <v>2829</v>
      </c>
      <c r="DB53" s="25"/>
      <c r="DC53" s="20" t="s">
        <v>48</v>
      </c>
      <c r="DD53" s="20">
        <v>1</v>
      </c>
      <c r="DE53" s="735">
        <v>57</v>
      </c>
      <c r="DF53" s="179">
        <v>229602</v>
      </c>
      <c r="DG53" s="179">
        <v>232101</v>
      </c>
      <c r="DH53" s="878">
        <f t="shared" si="11"/>
        <v>1.0884051532652154E-2</v>
      </c>
      <c r="DI53" s="606">
        <v>229.39472876576258</v>
      </c>
      <c r="DJ53" s="179">
        <f t="shared" si="12"/>
        <v>1011.7974429874578</v>
      </c>
      <c r="DK53" s="37">
        <v>44</v>
      </c>
      <c r="DL53" s="236">
        <v>77952</v>
      </c>
      <c r="DM53" s="878">
        <v>8.1791545310446315E-2</v>
      </c>
      <c r="DN53" s="878">
        <v>4.2999999999999997E-2</v>
      </c>
      <c r="DO53" s="878">
        <v>4.0000000000000001E-3</v>
      </c>
      <c r="DP53" s="878">
        <v>2.7999999999999997E-2</v>
      </c>
      <c r="DQ53" s="878">
        <v>0.24934459075548998</v>
      </c>
      <c r="DR53" s="878">
        <v>0.41888542416246904</v>
      </c>
      <c r="DS53" s="878">
        <v>0.86899999999999999</v>
      </c>
      <c r="DT53" s="878">
        <v>4.9000000000000002E-2</v>
      </c>
      <c r="DU53" s="878">
        <v>1E-3</v>
      </c>
      <c r="DV53" s="878">
        <v>1.4E-2</v>
      </c>
      <c r="DW53" s="878">
        <v>0</v>
      </c>
      <c r="DX53" s="878">
        <v>1.4999999999999999E-2</v>
      </c>
      <c r="DY53" s="878">
        <v>5.0999999999999997E-2</v>
      </c>
      <c r="DZ53" s="878">
        <v>5.0999999999999997E-2</v>
      </c>
      <c r="EA53" s="878">
        <v>0.85</v>
      </c>
      <c r="EB53" s="25"/>
      <c r="EC53" s="25"/>
      <c r="ED53" s="25"/>
    </row>
    <row r="54" spans="1:134" s="17" customFormat="1" x14ac:dyDescent="0.2">
      <c r="A54" s="25"/>
      <c r="B54" s="20">
        <v>39035181203</v>
      </c>
      <c r="C54" s="20">
        <v>1812.03</v>
      </c>
      <c r="D54" s="20" t="s">
        <v>24</v>
      </c>
      <c r="E54" s="20" t="s">
        <v>2829</v>
      </c>
      <c r="F54" s="20" t="s">
        <v>8</v>
      </c>
      <c r="G54" s="861">
        <v>83.593277453751895</v>
      </c>
      <c r="H54" s="861">
        <v>76.622452391524604</v>
      </c>
      <c r="I54" s="861">
        <v>26.913329044689501</v>
      </c>
      <c r="J54" s="861">
        <v>44.826979922495703</v>
      </c>
      <c r="K54" s="982">
        <v>0</v>
      </c>
      <c r="L54" s="735">
        <v>3124</v>
      </c>
      <c r="M54" s="735">
        <v>2781</v>
      </c>
      <c r="N54" s="845">
        <f t="shared" si="0"/>
        <v>-0.10979513444302176</v>
      </c>
      <c r="O54" s="735">
        <v>0.66314512926470537</v>
      </c>
      <c r="P54" s="735">
        <f t="shared" si="1"/>
        <v>4193.6521543686367</v>
      </c>
      <c r="Q54" s="849">
        <v>46</v>
      </c>
      <c r="R54" s="71">
        <v>97760</v>
      </c>
      <c r="S54" s="845">
        <v>4.3509528946422148E-2</v>
      </c>
      <c r="T54" s="845">
        <v>2.7999999999999997E-2</v>
      </c>
      <c r="U54" s="845">
        <v>6.9999999999999993E-3</v>
      </c>
      <c r="V54" s="845">
        <v>0.12300000000000001</v>
      </c>
      <c r="W54" s="845">
        <v>0.17127898279730741</v>
      </c>
      <c r="X54" s="845">
        <v>0.42358078602620086</v>
      </c>
      <c r="Y54" s="845">
        <v>0.97770586120100689</v>
      </c>
      <c r="Z54" s="845">
        <v>1.7979144192736426E-3</v>
      </c>
      <c r="AA54" s="845">
        <v>1.438331535418914E-3</v>
      </c>
      <c r="AB54" s="845">
        <v>8.2704063286587557E-3</v>
      </c>
      <c r="AC54" s="845">
        <v>0</v>
      </c>
      <c r="AD54" s="845">
        <v>0</v>
      </c>
      <c r="AE54" s="845">
        <v>1.0787486515641856E-2</v>
      </c>
      <c r="AF54" s="845">
        <v>0</v>
      </c>
      <c r="AG54" s="845">
        <v>0.97770586120100689</v>
      </c>
      <c r="AH54" s="20" t="str">
        <f t="shared" si="2"/>
        <v>Yes</v>
      </c>
      <c r="AI54" s="25"/>
      <c r="AJ54" s="37">
        <v>44470</v>
      </c>
      <c r="AK54" s="37" t="s">
        <v>1356</v>
      </c>
      <c r="AL54" s="37">
        <v>39133</v>
      </c>
      <c r="AM54" s="37" t="s">
        <v>72</v>
      </c>
      <c r="AN54" s="37">
        <f t="shared" si="3"/>
        <v>10420</v>
      </c>
      <c r="AO54" s="37" t="str">
        <f t="shared" si="4"/>
        <v>Akron, OH</v>
      </c>
      <c r="AP54" s="37" t="s">
        <v>8</v>
      </c>
      <c r="AQ54" s="25"/>
      <c r="AR54" s="20" t="s">
        <v>49</v>
      </c>
      <c r="AS54" s="24">
        <v>27250</v>
      </c>
      <c r="AT54" s="24">
        <v>31150</v>
      </c>
      <c r="AU54" s="24">
        <v>35050</v>
      </c>
      <c r="AV54" s="24">
        <v>38900</v>
      </c>
      <c r="AW54" s="24">
        <v>42050</v>
      </c>
      <c r="AX54" s="24">
        <v>45150</v>
      </c>
      <c r="AY54" s="24">
        <v>48250</v>
      </c>
      <c r="AZ54" s="24">
        <v>51350</v>
      </c>
      <c r="BA54" s="29">
        <f t="shared" si="6"/>
        <v>29200</v>
      </c>
      <c r="BB54" s="29">
        <f t="shared" si="7"/>
        <v>40475</v>
      </c>
      <c r="BC54" s="29">
        <f t="shared" si="8"/>
        <v>49800</v>
      </c>
      <c r="BD54" s="25"/>
      <c r="BE54" s="25"/>
      <c r="BF54" s="25"/>
      <c r="BG54" s="25"/>
      <c r="BH54" s="25"/>
      <c r="BI54" s="25"/>
      <c r="BJ54" s="25"/>
      <c r="BK54" s="25"/>
      <c r="BL54" s="25"/>
      <c r="BM54" s="25"/>
      <c r="BN54" s="20" t="s">
        <v>49</v>
      </c>
      <c r="BO54" s="71">
        <v>848</v>
      </c>
      <c r="BP54" s="24">
        <v>853</v>
      </c>
      <c r="BQ54" s="24">
        <v>973</v>
      </c>
      <c r="BR54" s="24">
        <v>1249</v>
      </c>
      <c r="BS54" s="24">
        <v>1410</v>
      </c>
      <c r="BT54" s="122"/>
      <c r="BU54" s="39">
        <v>44302</v>
      </c>
      <c r="BV54" s="39" t="s">
        <v>1297</v>
      </c>
      <c r="BW54" s="39" t="s">
        <v>2929</v>
      </c>
      <c r="BX54" s="39" t="s">
        <v>273</v>
      </c>
      <c r="BY54" s="71">
        <v>710</v>
      </c>
      <c r="BZ54" s="71">
        <v>770</v>
      </c>
      <c r="CA54" s="71">
        <v>990</v>
      </c>
      <c r="CB54" s="71">
        <v>1210</v>
      </c>
      <c r="CC54" s="71">
        <v>1310</v>
      </c>
      <c r="CD54" s="25"/>
      <c r="CE54" s="200"/>
      <c r="CF54" s="200"/>
      <c r="CG54" s="200"/>
      <c r="CH54" s="200"/>
      <c r="CI54" s="200"/>
      <c r="CJ54" s="200"/>
      <c r="CK54" s="200"/>
      <c r="CL54" s="200"/>
      <c r="CM54" s="200"/>
      <c r="CN54" s="200"/>
      <c r="CO54" s="200"/>
      <c r="CP54" s="200"/>
      <c r="CQ54" s="20" t="s">
        <v>49</v>
      </c>
      <c r="CR54" s="236" t="s">
        <v>292</v>
      </c>
      <c r="CS54" s="236" t="s">
        <v>3110</v>
      </c>
      <c r="CT54" s="200"/>
      <c r="CU54" s="200"/>
      <c r="CV54" s="20" t="s">
        <v>49</v>
      </c>
      <c r="CW54" s="20" t="s">
        <v>6</v>
      </c>
      <c r="CX54" s="25"/>
      <c r="CY54" s="20" t="s">
        <v>49</v>
      </c>
      <c r="CZ54" s="20">
        <v>26580</v>
      </c>
      <c r="DA54" s="37" t="s">
        <v>2834</v>
      </c>
      <c r="DB54" s="25"/>
      <c r="DC54" s="20" t="s">
        <v>49</v>
      </c>
      <c r="DD54" s="20">
        <v>3</v>
      </c>
      <c r="DE54" s="735">
        <v>153</v>
      </c>
      <c r="DF54" s="179">
        <v>62100</v>
      </c>
      <c r="DG54" s="179">
        <v>57385</v>
      </c>
      <c r="DH54" s="878">
        <f t="shared" si="11"/>
        <v>-7.5925925925925924E-2</v>
      </c>
      <c r="DI54" s="606">
        <v>453.39425515741078</v>
      </c>
      <c r="DJ54" s="179">
        <f t="shared" si="12"/>
        <v>126.56754986910212</v>
      </c>
      <c r="DK54" s="37">
        <v>41.9</v>
      </c>
      <c r="DL54" s="236">
        <v>54842</v>
      </c>
      <c r="DM54" s="878">
        <v>0.17521322150263652</v>
      </c>
      <c r="DN54" s="878">
        <v>0.03</v>
      </c>
      <c r="DO54" s="878">
        <v>2.5000000000000001E-2</v>
      </c>
      <c r="DP54" s="878">
        <v>3.2000000000000001E-2</v>
      </c>
      <c r="DQ54" s="878">
        <v>0.27492111461712815</v>
      </c>
      <c r="DR54" s="878">
        <v>0.35111542192046558</v>
      </c>
      <c r="DS54" s="878">
        <v>0.94</v>
      </c>
      <c r="DT54" s="878">
        <v>1.7000000000000001E-2</v>
      </c>
      <c r="DU54" s="878">
        <v>0</v>
      </c>
      <c r="DV54" s="878">
        <v>6.0000000000000001E-3</v>
      </c>
      <c r="DW54" s="878">
        <v>0</v>
      </c>
      <c r="DX54" s="878">
        <v>7.0000000000000001E-3</v>
      </c>
      <c r="DY54" s="878">
        <v>2.9000000000000001E-2</v>
      </c>
      <c r="DZ54" s="878">
        <v>1.0999999999999999E-2</v>
      </c>
      <c r="EA54" s="878">
        <v>0.93799999999999994</v>
      </c>
      <c r="EB54" s="25"/>
      <c r="EC54" s="25"/>
      <c r="ED54" s="25"/>
    </row>
    <row r="55" spans="1:134" s="17" customFormat="1" x14ac:dyDescent="0.2">
      <c r="A55" s="25"/>
      <c r="B55" s="20">
        <v>39103408002</v>
      </c>
      <c r="C55" s="20">
        <v>4080.02</v>
      </c>
      <c r="D55" s="20" t="s">
        <v>57</v>
      </c>
      <c r="E55" s="20" t="s">
        <v>2829</v>
      </c>
      <c r="F55" s="20" t="s">
        <v>8</v>
      </c>
      <c r="G55" s="861">
        <v>83.484957277480802</v>
      </c>
      <c r="H55" s="861">
        <v>63.5842452793134</v>
      </c>
      <c r="I55" s="861">
        <v>32.295056357034497</v>
      </c>
      <c r="J55" s="861">
        <v>66.187544046790094</v>
      </c>
      <c r="K55" s="982">
        <v>0</v>
      </c>
      <c r="L55" s="735">
        <v>1803</v>
      </c>
      <c r="M55" s="735">
        <v>1864</v>
      </c>
      <c r="N55" s="845">
        <f t="shared" si="0"/>
        <v>3.3832501386577923E-2</v>
      </c>
      <c r="O55" s="735">
        <v>2.708111660018393</v>
      </c>
      <c r="P55" s="735">
        <f t="shared" si="1"/>
        <v>688.30249044728828</v>
      </c>
      <c r="Q55" s="849">
        <v>58.3</v>
      </c>
      <c r="R55" s="71">
        <v>98214</v>
      </c>
      <c r="S55" s="845">
        <v>3.1903190319031903E-2</v>
      </c>
      <c r="T55" s="845">
        <v>1.3999999999999999E-2</v>
      </c>
      <c r="U55" s="845">
        <v>0</v>
      </c>
      <c r="V55" s="845">
        <v>0</v>
      </c>
      <c r="W55" s="845">
        <v>0.23942093541202672</v>
      </c>
      <c r="X55" s="845">
        <v>0.6</v>
      </c>
      <c r="Y55" s="845">
        <v>0.96244635193133043</v>
      </c>
      <c r="Z55" s="845">
        <v>0</v>
      </c>
      <c r="AA55" s="845">
        <v>0</v>
      </c>
      <c r="AB55" s="845">
        <v>2.7896995708154508E-2</v>
      </c>
      <c r="AC55" s="845">
        <v>0</v>
      </c>
      <c r="AD55" s="845">
        <v>3.7553648068669528E-3</v>
      </c>
      <c r="AE55" s="845">
        <v>5.9012875536480691E-3</v>
      </c>
      <c r="AF55" s="845">
        <v>3.7553648068669528E-3</v>
      </c>
      <c r="AG55" s="845">
        <v>0.96244635193133043</v>
      </c>
      <c r="AH55" s="20" t="str">
        <f t="shared" si="2"/>
        <v>Yes</v>
      </c>
      <c r="AI55" s="25"/>
      <c r="AJ55" s="37">
        <v>44491</v>
      </c>
      <c r="AK55" s="37" t="s">
        <v>1364</v>
      </c>
      <c r="AL55" s="37">
        <v>39133</v>
      </c>
      <c r="AM55" s="37" t="s">
        <v>72</v>
      </c>
      <c r="AN55" s="37">
        <f t="shared" si="3"/>
        <v>10420</v>
      </c>
      <c r="AO55" s="37" t="str">
        <f t="shared" si="4"/>
        <v>Akron, OH</v>
      </c>
      <c r="AP55" s="37" t="s">
        <v>8</v>
      </c>
      <c r="AQ55" s="25"/>
      <c r="AR55" s="20" t="s">
        <v>50</v>
      </c>
      <c r="AS55" s="24">
        <v>38150</v>
      </c>
      <c r="AT55" s="24">
        <v>43600</v>
      </c>
      <c r="AU55" s="24">
        <v>49050</v>
      </c>
      <c r="AV55" s="24">
        <v>54500</v>
      </c>
      <c r="AW55" s="24">
        <v>58900</v>
      </c>
      <c r="AX55" s="24">
        <v>63250</v>
      </c>
      <c r="AY55" s="24">
        <v>67600</v>
      </c>
      <c r="AZ55" s="24">
        <v>71950</v>
      </c>
      <c r="BA55" s="29">
        <f t="shared" si="6"/>
        <v>40875</v>
      </c>
      <c r="BB55" s="29">
        <f t="shared" si="7"/>
        <v>56700</v>
      </c>
      <c r="BC55" s="29">
        <f t="shared" si="8"/>
        <v>69775</v>
      </c>
      <c r="BD55" s="25"/>
      <c r="BE55" s="25"/>
      <c r="BF55" s="25"/>
      <c r="BG55" s="25"/>
      <c r="BH55" s="25"/>
      <c r="BI55" s="25"/>
      <c r="BJ55" s="25"/>
      <c r="BK55" s="25"/>
      <c r="BL55" s="25"/>
      <c r="BM55" s="25"/>
      <c r="BN55" s="20" t="s">
        <v>50</v>
      </c>
      <c r="BO55" s="71">
        <v>1111</v>
      </c>
      <c r="BP55" s="24">
        <v>1194</v>
      </c>
      <c r="BQ55" s="24">
        <v>1430</v>
      </c>
      <c r="BR55" s="24">
        <v>1715</v>
      </c>
      <c r="BS55" s="24">
        <v>1927</v>
      </c>
      <c r="BT55" s="122"/>
      <c r="BU55" s="39">
        <v>44303</v>
      </c>
      <c r="BV55" s="39" t="s">
        <v>1298</v>
      </c>
      <c r="BW55" s="39" t="s">
        <v>2929</v>
      </c>
      <c r="BX55" s="39" t="s">
        <v>273</v>
      </c>
      <c r="BY55" s="71">
        <v>800</v>
      </c>
      <c r="BZ55" s="71">
        <v>870</v>
      </c>
      <c r="CA55" s="71">
        <v>1120</v>
      </c>
      <c r="CB55" s="71">
        <v>1370</v>
      </c>
      <c r="CC55" s="71">
        <v>1480</v>
      </c>
      <c r="CD55" s="25"/>
      <c r="CE55" s="200"/>
      <c r="CF55" s="200"/>
      <c r="CG55" s="200"/>
      <c r="CH55" s="200"/>
      <c r="CI55" s="200"/>
      <c r="CJ55" s="200"/>
      <c r="CK55" s="200"/>
      <c r="CL55" s="200"/>
      <c r="CM55" s="200"/>
      <c r="CN55" s="200"/>
      <c r="CO55" s="200"/>
      <c r="CP55" s="200"/>
      <c r="CQ55" s="20" t="s">
        <v>50</v>
      </c>
      <c r="CR55" s="236" t="s">
        <v>2481</v>
      </c>
      <c r="CS55" s="236" t="s">
        <v>3111</v>
      </c>
      <c r="CT55" s="200"/>
      <c r="CU55" s="200"/>
      <c r="CV55" s="20" t="s">
        <v>50</v>
      </c>
      <c r="CW55" s="20" t="s">
        <v>8</v>
      </c>
      <c r="CX55" s="25"/>
      <c r="CY55" s="20" t="s">
        <v>50</v>
      </c>
      <c r="CZ55" s="20">
        <v>18140</v>
      </c>
      <c r="DA55" s="37" t="s">
        <v>2830</v>
      </c>
      <c r="DB55" s="25"/>
      <c r="DC55" s="20" t="s">
        <v>50</v>
      </c>
      <c r="DD55" s="20">
        <v>4</v>
      </c>
      <c r="DE55" s="735">
        <v>215</v>
      </c>
      <c r="DF55" s="179">
        <v>167911</v>
      </c>
      <c r="DG55" s="179">
        <v>180311</v>
      </c>
      <c r="DH55" s="878">
        <f t="shared" si="11"/>
        <v>7.3848646008897567E-2</v>
      </c>
      <c r="DI55" s="606">
        <v>682.43022976657608</v>
      </c>
      <c r="DJ55" s="179">
        <f t="shared" si="12"/>
        <v>264.21895182116276</v>
      </c>
      <c r="DK55" s="37">
        <v>40.200000000000003</v>
      </c>
      <c r="DL55" s="236">
        <v>81033</v>
      </c>
      <c r="DM55" s="878">
        <v>0.10134326750245236</v>
      </c>
      <c r="DN55" s="878">
        <v>3.2000000000000001E-2</v>
      </c>
      <c r="DO55" s="878">
        <v>5.0000000000000001E-3</v>
      </c>
      <c r="DP55" s="878">
        <v>4.7E-2</v>
      </c>
      <c r="DQ55" s="878">
        <v>0.26274796866993633</v>
      </c>
      <c r="DR55" s="878">
        <v>0.36730372764250291</v>
      </c>
      <c r="DS55" s="878">
        <v>0.87</v>
      </c>
      <c r="DT55" s="878">
        <v>0.04</v>
      </c>
      <c r="DU55" s="878">
        <v>0</v>
      </c>
      <c r="DV55" s="878">
        <v>3.1E-2</v>
      </c>
      <c r="DW55" s="878">
        <v>0</v>
      </c>
      <c r="DX55" s="878">
        <v>8.0000000000000002E-3</v>
      </c>
      <c r="DY55" s="878">
        <v>0.05</v>
      </c>
      <c r="DZ55" s="878">
        <v>2.3E-2</v>
      </c>
      <c r="EA55" s="878">
        <v>0.86199999999999999</v>
      </c>
      <c r="EB55" s="25"/>
      <c r="EC55" s="25"/>
      <c r="ED55" s="25"/>
    </row>
    <row r="56" spans="1:134" s="17" customFormat="1" x14ac:dyDescent="0.2">
      <c r="A56" s="25"/>
      <c r="B56" s="20">
        <v>39061002000</v>
      </c>
      <c r="C56" s="20">
        <v>20</v>
      </c>
      <c r="D56" s="20" t="s">
        <v>37</v>
      </c>
      <c r="E56" s="20" t="s">
        <v>2828</v>
      </c>
      <c r="F56" s="20" t="s">
        <v>8</v>
      </c>
      <c r="G56" s="861">
        <v>83.467577116390601</v>
      </c>
      <c r="H56" s="861">
        <v>91.363716587513693</v>
      </c>
      <c r="I56" s="861">
        <v>28.8879507175306</v>
      </c>
      <c r="J56" s="861">
        <v>51.989551512997998</v>
      </c>
      <c r="K56" s="982">
        <v>0</v>
      </c>
      <c r="L56" s="735">
        <v>1602</v>
      </c>
      <c r="M56" s="735">
        <v>1488</v>
      </c>
      <c r="N56" s="845">
        <f t="shared" si="0"/>
        <v>-7.116104868913857E-2</v>
      </c>
      <c r="O56" s="735">
        <v>0.20939401146517234</v>
      </c>
      <c r="P56" s="735">
        <f t="shared" si="1"/>
        <v>7106.220419524715</v>
      </c>
      <c r="Q56" s="849">
        <v>35.299999999999997</v>
      </c>
      <c r="R56" s="71">
        <v>88553</v>
      </c>
      <c r="S56" s="845">
        <v>7.6196898179366146E-2</v>
      </c>
      <c r="T56" s="845">
        <v>1.6E-2</v>
      </c>
      <c r="U56" s="845">
        <v>1.1000000000000001E-2</v>
      </c>
      <c r="V56" s="845">
        <v>0</v>
      </c>
      <c r="W56" s="845">
        <v>0.54797441364605548</v>
      </c>
      <c r="X56" s="845">
        <v>0.21595330739299612</v>
      </c>
      <c r="Y56" s="845">
        <v>0.80913978494623651</v>
      </c>
      <c r="Z56" s="845">
        <v>8.6021505376344093E-2</v>
      </c>
      <c r="AA56" s="845">
        <v>0</v>
      </c>
      <c r="AB56" s="845">
        <v>3.2258064516129031E-2</v>
      </c>
      <c r="AC56" s="845">
        <v>0</v>
      </c>
      <c r="AD56" s="845">
        <v>0</v>
      </c>
      <c r="AE56" s="845">
        <v>7.2580645161290328E-2</v>
      </c>
      <c r="AF56" s="845">
        <v>4.0322580645161289E-2</v>
      </c>
      <c r="AG56" s="845">
        <v>0.80913978494623651</v>
      </c>
      <c r="AH56" s="20" t="str">
        <f t="shared" si="2"/>
        <v>No</v>
      </c>
      <c r="AI56" s="25"/>
      <c r="AJ56" s="37">
        <v>44632</v>
      </c>
      <c r="AK56" s="37" t="s">
        <v>1402</v>
      </c>
      <c r="AL56" s="37">
        <v>39133</v>
      </c>
      <c r="AM56" s="37" t="s">
        <v>72</v>
      </c>
      <c r="AN56" s="37">
        <f t="shared" si="3"/>
        <v>10420</v>
      </c>
      <c r="AO56" s="37" t="str">
        <f t="shared" si="4"/>
        <v>Akron, OH</v>
      </c>
      <c r="AP56" s="37" t="s">
        <v>8</v>
      </c>
      <c r="AQ56" s="25"/>
      <c r="AR56" s="20" t="s">
        <v>51</v>
      </c>
      <c r="AS56" s="24">
        <v>32200</v>
      </c>
      <c r="AT56" s="24">
        <v>36800</v>
      </c>
      <c r="AU56" s="24">
        <v>41400</v>
      </c>
      <c r="AV56" s="24">
        <v>45950</v>
      </c>
      <c r="AW56" s="24">
        <v>49650</v>
      </c>
      <c r="AX56" s="24">
        <v>53350</v>
      </c>
      <c r="AY56" s="24">
        <v>57000</v>
      </c>
      <c r="AZ56" s="24">
        <v>60700</v>
      </c>
      <c r="BA56" s="29">
        <f t="shared" si="6"/>
        <v>34500</v>
      </c>
      <c r="BB56" s="29">
        <f t="shared" si="7"/>
        <v>47800</v>
      </c>
      <c r="BC56" s="29">
        <f t="shared" si="8"/>
        <v>58850</v>
      </c>
      <c r="BD56" s="25"/>
      <c r="BE56" s="25"/>
      <c r="BF56" s="25"/>
      <c r="BG56" s="25"/>
      <c r="BH56" s="25"/>
      <c r="BI56" s="25"/>
      <c r="BJ56" s="25"/>
      <c r="BK56" s="25"/>
      <c r="BL56" s="25"/>
      <c r="BM56" s="25"/>
      <c r="BN56" s="20" t="s">
        <v>51</v>
      </c>
      <c r="BO56" s="71">
        <v>777</v>
      </c>
      <c r="BP56" s="24">
        <v>783</v>
      </c>
      <c r="BQ56" s="24">
        <v>1027</v>
      </c>
      <c r="BR56" s="24">
        <v>1251</v>
      </c>
      <c r="BS56" s="24">
        <v>1360</v>
      </c>
      <c r="BT56" s="122"/>
      <c r="BU56" s="39">
        <v>44304</v>
      </c>
      <c r="BV56" s="39" t="s">
        <v>1299</v>
      </c>
      <c r="BW56" s="39" t="s">
        <v>2929</v>
      </c>
      <c r="BX56" s="39" t="s">
        <v>273</v>
      </c>
      <c r="BY56" s="71">
        <v>860</v>
      </c>
      <c r="BZ56" s="71">
        <v>930</v>
      </c>
      <c r="CA56" s="71">
        <v>1200</v>
      </c>
      <c r="CB56" s="71">
        <v>1460</v>
      </c>
      <c r="CC56" s="71">
        <v>1590</v>
      </c>
      <c r="CD56" s="25"/>
      <c r="CE56" s="200"/>
      <c r="CF56" s="200"/>
      <c r="CG56" s="200"/>
      <c r="CH56" s="200"/>
      <c r="CI56" s="200"/>
      <c r="CJ56" s="200"/>
      <c r="CK56" s="200"/>
      <c r="CL56" s="200"/>
      <c r="CM56" s="200"/>
      <c r="CN56" s="200"/>
      <c r="CO56" s="200"/>
      <c r="CP56" s="200"/>
      <c r="CQ56" s="20" t="s">
        <v>51</v>
      </c>
      <c r="CR56" s="236" t="s">
        <v>292</v>
      </c>
      <c r="CS56" s="236" t="s">
        <v>3111</v>
      </c>
      <c r="CT56" s="200"/>
      <c r="CU56" s="200"/>
      <c r="CV56" s="20" t="s">
        <v>51</v>
      </c>
      <c r="CW56" s="20" t="s">
        <v>8</v>
      </c>
      <c r="CX56" s="25"/>
      <c r="CY56" s="20" t="s">
        <v>51</v>
      </c>
      <c r="CZ56" s="20" t="s">
        <v>265</v>
      </c>
      <c r="DA56" s="37" t="s">
        <v>265</v>
      </c>
      <c r="DB56" s="25"/>
      <c r="DC56" s="20" t="s">
        <v>51</v>
      </c>
      <c r="DD56" s="20">
        <v>0</v>
      </c>
      <c r="DE56" s="735">
        <v>0</v>
      </c>
      <c r="DF56" s="179">
        <v>45564</v>
      </c>
      <c r="DG56" s="179">
        <v>46140</v>
      </c>
      <c r="DH56" s="878">
        <f t="shared" si="11"/>
        <v>1.2641559125625495E-2</v>
      </c>
      <c r="DI56" s="606">
        <v>458.50751839937988</v>
      </c>
      <c r="DJ56" s="179">
        <f t="shared" si="12"/>
        <v>100.63084714743994</v>
      </c>
      <c r="DK56" s="37">
        <v>42.1</v>
      </c>
      <c r="DL56" s="236">
        <v>69183</v>
      </c>
      <c r="DM56" s="878">
        <v>0.112948080670944</v>
      </c>
      <c r="DN56" s="878">
        <v>3.5999999999999997E-2</v>
      </c>
      <c r="DO56" s="878">
        <v>1.7000000000000001E-2</v>
      </c>
      <c r="DP56" s="878">
        <v>7.8E-2</v>
      </c>
      <c r="DQ56" s="878">
        <v>0.22318232948154207</v>
      </c>
      <c r="DR56" s="878">
        <v>0.32737686139747996</v>
      </c>
      <c r="DS56" s="878">
        <v>0.92700000000000005</v>
      </c>
      <c r="DT56" s="878">
        <v>1.7000000000000001E-2</v>
      </c>
      <c r="DU56" s="878">
        <v>1E-3</v>
      </c>
      <c r="DV56" s="878">
        <v>6.0000000000000001E-3</v>
      </c>
      <c r="DW56" s="878">
        <v>0</v>
      </c>
      <c r="DX56" s="878">
        <v>8.0000000000000002E-3</v>
      </c>
      <c r="DY56" s="878">
        <v>4.1000000000000002E-2</v>
      </c>
      <c r="DZ56" s="878">
        <v>2.3E-2</v>
      </c>
      <c r="EA56" s="878">
        <v>0.91900000000000004</v>
      </c>
      <c r="EB56" s="25"/>
      <c r="EC56" s="25"/>
      <c r="ED56" s="25"/>
    </row>
    <row r="57" spans="1:134" s="17" customFormat="1" x14ac:dyDescent="0.2">
      <c r="A57" s="25"/>
      <c r="B57" s="20">
        <v>39173020500</v>
      </c>
      <c r="C57" s="20">
        <v>205</v>
      </c>
      <c r="D57" s="20" t="s">
        <v>92</v>
      </c>
      <c r="E57" s="20" t="s">
        <v>2839</v>
      </c>
      <c r="F57" s="20" t="s">
        <v>8</v>
      </c>
      <c r="G57" s="861">
        <v>83.391492024592793</v>
      </c>
      <c r="H57" s="861">
        <v>67.9809357591555</v>
      </c>
      <c r="I57" s="861">
        <v>27.042929851303001</v>
      </c>
      <c r="J57" s="861">
        <v>56.552577994866702</v>
      </c>
      <c r="K57" s="982">
        <v>1</v>
      </c>
      <c r="L57" s="735">
        <v>2170</v>
      </c>
      <c r="M57" s="735">
        <v>2200</v>
      </c>
      <c r="N57" s="845">
        <f t="shared" si="0"/>
        <v>1.3824884792626729E-2</v>
      </c>
      <c r="O57" s="735">
        <v>0.99773044904055563</v>
      </c>
      <c r="P57" s="735">
        <f t="shared" si="1"/>
        <v>2205.0043697830201</v>
      </c>
      <c r="Q57" s="849">
        <v>38.200000000000003</v>
      </c>
      <c r="R57" s="71">
        <v>96061</v>
      </c>
      <c r="S57" s="845">
        <v>3.6818181818181819E-2</v>
      </c>
      <c r="T57" s="845">
        <v>9.0000000000000011E-3</v>
      </c>
      <c r="U57" s="845">
        <v>0</v>
      </c>
      <c r="V57" s="845">
        <v>0</v>
      </c>
      <c r="W57" s="845">
        <v>0.43980582524271844</v>
      </c>
      <c r="X57" s="845">
        <v>0.23620309050772628</v>
      </c>
      <c r="Y57" s="845">
        <v>0.85909090909090913</v>
      </c>
      <c r="Z57" s="845">
        <v>5.6818181818181816E-2</v>
      </c>
      <c r="AA57" s="845">
        <v>0</v>
      </c>
      <c r="AB57" s="845">
        <v>2.2727272727272726E-3</v>
      </c>
      <c r="AC57" s="845">
        <v>0</v>
      </c>
      <c r="AD57" s="845">
        <v>0</v>
      </c>
      <c r="AE57" s="845">
        <v>8.1818181818181818E-2</v>
      </c>
      <c r="AF57" s="845">
        <v>3.8181818181818185E-2</v>
      </c>
      <c r="AG57" s="845">
        <v>0.84363636363636363</v>
      </c>
      <c r="AH57" s="20" t="str">
        <f t="shared" si="2"/>
        <v>No</v>
      </c>
      <c r="AI57" s="25"/>
      <c r="AJ57" s="37">
        <v>44067</v>
      </c>
      <c r="AK57" s="37" t="s">
        <v>1183</v>
      </c>
      <c r="AL57" s="37">
        <v>39153</v>
      </c>
      <c r="AM57" s="37" t="s">
        <v>82</v>
      </c>
      <c r="AN57" s="37">
        <f t="shared" si="3"/>
        <v>10420</v>
      </c>
      <c r="AO57" s="37" t="str">
        <f t="shared" si="4"/>
        <v>Akron, OH</v>
      </c>
      <c r="AP57" s="37" t="s">
        <v>8</v>
      </c>
      <c r="AQ57" s="25"/>
      <c r="AR57" s="20" t="s">
        <v>52</v>
      </c>
      <c r="AS57" s="24">
        <v>34800</v>
      </c>
      <c r="AT57" s="24">
        <v>39800</v>
      </c>
      <c r="AU57" s="24">
        <v>44750</v>
      </c>
      <c r="AV57" s="24">
        <v>49700</v>
      </c>
      <c r="AW57" s="24">
        <v>53700</v>
      </c>
      <c r="AX57" s="24">
        <v>57700</v>
      </c>
      <c r="AY57" s="24">
        <v>61650</v>
      </c>
      <c r="AZ57" s="24">
        <v>65650</v>
      </c>
      <c r="BA57" s="29">
        <f t="shared" si="6"/>
        <v>37300</v>
      </c>
      <c r="BB57" s="29">
        <f t="shared" si="7"/>
        <v>51700</v>
      </c>
      <c r="BC57" s="29">
        <f t="shared" si="8"/>
        <v>63650</v>
      </c>
      <c r="BD57" s="25"/>
      <c r="BE57" s="25"/>
      <c r="BF57" s="25"/>
      <c r="BG57" s="25"/>
      <c r="BH57" s="25"/>
      <c r="BI57" s="25"/>
      <c r="BJ57" s="25"/>
      <c r="BK57" s="25"/>
      <c r="BL57" s="25"/>
      <c r="BM57" s="25"/>
      <c r="BN57" s="20" t="s">
        <v>52</v>
      </c>
      <c r="BO57" s="71">
        <v>933</v>
      </c>
      <c r="BP57" s="24">
        <v>1058</v>
      </c>
      <c r="BQ57" s="24">
        <v>1279</v>
      </c>
      <c r="BR57" s="24">
        <v>1646</v>
      </c>
      <c r="BS57" s="24">
        <v>1760</v>
      </c>
      <c r="BT57" s="122"/>
      <c r="BU57" s="39">
        <v>44305</v>
      </c>
      <c r="BV57" s="39" t="s">
        <v>1300</v>
      </c>
      <c r="BW57" s="39" t="s">
        <v>2929</v>
      </c>
      <c r="BX57" s="39" t="s">
        <v>273</v>
      </c>
      <c r="BY57" s="71">
        <v>910</v>
      </c>
      <c r="BZ57" s="71">
        <v>990</v>
      </c>
      <c r="CA57" s="71">
        <v>1270</v>
      </c>
      <c r="CB57" s="71">
        <v>1550</v>
      </c>
      <c r="CC57" s="71">
        <v>1680</v>
      </c>
      <c r="CD57" s="25"/>
      <c r="CE57" s="200"/>
      <c r="CF57" s="200"/>
      <c r="CG57" s="200"/>
      <c r="CH57" s="200"/>
      <c r="CI57" s="200"/>
      <c r="CJ57" s="200"/>
      <c r="CK57" s="200"/>
      <c r="CL57" s="200"/>
      <c r="CM57" s="200"/>
      <c r="CN57" s="200"/>
      <c r="CO57" s="200"/>
      <c r="CP57" s="200"/>
      <c r="CQ57" s="20" t="s">
        <v>52</v>
      </c>
      <c r="CR57" s="236" t="s">
        <v>2481</v>
      </c>
      <c r="CS57" s="236" t="s">
        <v>3109</v>
      </c>
      <c r="CT57" s="200"/>
      <c r="CU57" s="200"/>
      <c r="CV57" s="20" t="s">
        <v>52</v>
      </c>
      <c r="CW57" s="20" t="s">
        <v>8</v>
      </c>
      <c r="CX57" s="25"/>
      <c r="CY57" s="20" t="s">
        <v>52</v>
      </c>
      <c r="CZ57" s="20">
        <v>17410</v>
      </c>
      <c r="DA57" s="37" t="s">
        <v>2829</v>
      </c>
      <c r="DB57" s="25"/>
      <c r="DC57" s="20" t="s">
        <v>52</v>
      </c>
      <c r="DD57" s="20">
        <v>10</v>
      </c>
      <c r="DE57" s="735">
        <v>614</v>
      </c>
      <c r="DF57" s="179">
        <v>302465</v>
      </c>
      <c r="DG57" s="179">
        <v>314588</v>
      </c>
      <c r="DH57" s="878">
        <f t="shared" si="11"/>
        <v>4.0080670490800586E-2</v>
      </c>
      <c r="DI57" s="606">
        <v>490.53628975926074</v>
      </c>
      <c r="DJ57" s="179">
        <f t="shared" si="12"/>
        <v>641.31442783650027</v>
      </c>
      <c r="DK57" s="37">
        <v>42.1</v>
      </c>
      <c r="DL57" s="236">
        <v>70693</v>
      </c>
      <c r="DM57" s="878">
        <v>0.1278648974668275</v>
      </c>
      <c r="DN57" s="878">
        <v>4.3999999999999997E-2</v>
      </c>
      <c r="DO57" s="878">
        <v>8.0000000000000002E-3</v>
      </c>
      <c r="DP57" s="878">
        <v>7.5999999999999998E-2</v>
      </c>
      <c r="DQ57" s="878">
        <v>0.26295130943300282</v>
      </c>
      <c r="DR57" s="878">
        <v>0.41019520154710826</v>
      </c>
      <c r="DS57" s="878">
        <v>0.79500000000000004</v>
      </c>
      <c r="DT57" s="878">
        <v>7.4999999999999997E-2</v>
      </c>
      <c r="DU57" s="878">
        <v>2E-3</v>
      </c>
      <c r="DV57" s="878">
        <v>1.2999999999999999E-2</v>
      </c>
      <c r="DW57" s="878">
        <v>0</v>
      </c>
      <c r="DX57" s="878">
        <v>0.02</v>
      </c>
      <c r="DY57" s="878">
        <v>9.4E-2</v>
      </c>
      <c r="DZ57" s="878">
        <v>0.108</v>
      </c>
      <c r="EA57" s="878">
        <v>0.76100000000000001</v>
      </c>
      <c r="EB57" s="25"/>
      <c r="EC57" s="25"/>
      <c r="ED57" s="25"/>
    </row>
    <row r="58" spans="1:134" s="17" customFormat="1" x14ac:dyDescent="0.2">
      <c r="A58" s="25"/>
      <c r="B58" s="20">
        <v>39041011430</v>
      </c>
      <c r="C58" s="20">
        <v>114.3</v>
      </c>
      <c r="D58" s="20" t="s">
        <v>27</v>
      </c>
      <c r="E58" s="20" t="s">
        <v>2830</v>
      </c>
      <c r="F58" s="20" t="s">
        <v>8</v>
      </c>
      <c r="G58" s="861">
        <v>83.237701158933206</v>
      </c>
      <c r="H58" s="861">
        <v>77.297460073305203</v>
      </c>
      <c r="I58" s="861">
        <v>33.641700189034999</v>
      </c>
      <c r="J58" s="861">
        <v>46.293126798649702</v>
      </c>
      <c r="K58" s="982">
        <v>0</v>
      </c>
      <c r="L58" s="735">
        <v>2710</v>
      </c>
      <c r="M58" s="735">
        <v>3439</v>
      </c>
      <c r="N58" s="845">
        <f t="shared" si="0"/>
        <v>0.26900369003690039</v>
      </c>
      <c r="O58" s="735">
        <v>2.3226755276494302</v>
      </c>
      <c r="P58" s="735">
        <f t="shared" si="1"/>
        <v>1480.6200689944415</v>
      </c>
      <c r="Q58" s="849">
        <v>45.6</v>
      </c>
      <c r="R58" s="71">
        <v>117652</v>
      </c>
      <c r="S58" s="845">
        <v>2.8496656004652517E-2</v>
      </c>
      <c r="T58" s="845">
        <v>0</v>
      </c>
      <c r="U58" s="845">
        <v>0</v>
      </c>
      <c r="V58" s="845">
        <v>5.5999999999999994E-2</v>
      </c>
      <c r="W58" s="845">
        <v>0.34313725490196079</v>
      </c>
      <c r="X58" s="845">
        <v>0.46666666666666667</v>
      </c>
      <c r="Y58" s="845">
        <v>0.70921779587089273</v>
      </c>
      <c r="Z58" s="845">
        <v>1.4248328002326258E-2</v>
      </c>
      <c r="AA58" s="845">
        <v>6.6879906949694678E-3</v>
      </c>
      <c r="AB58" s="845">
        <v>0.22070369293399245</v>
      </c>
      <c r="AC58" s="845">
        <v>0</v>
      </c>
      <c r="AD58" s="845">
        <v>1.4539110206455364E-2</v>
      </c>
      <c r="AE58" s="845">
        <v>3.4603082291363767E-2</v>
      </c>
      <c r="AF58" s="845">
        <v>4.0709508578075024E-2</v>
      </c>
      <c r="AG58" s="845">
        <v>0.69322477464379184</v>
      </c>
      <c r="AH58" s="20" t="str">
        <f t="shared" si="2"/>
        <v>No</v>
      </c>
      <c r="AI58" s="25"/>
      <c r="AJ58" s="37">
        <v>44087</v>
      </c>
      <c r="AK58" s="37" t="s">
        <v>1196</v>
      </c>
      <c r="AL58" s="37">
        <v>39153</v>
      </c>
      <c r="AM58" s="37" t="s">
        <v>82</v>
      </c>
      <c r="AN58" s="37">
        <f t="shared" si="3"/>
        <v>10420</v>
      </c>
      <c r="AO58" s="37" t="str">
        <f t="shared" si="4"/>
        <v>Akron, OH</v>
      </c>
      <c r="AP58" s="37" t="s">
        <v>8</v>
      </c>
      <c r="AQ58" s="25"/>
      <c r="AR58" s="20" t="s">
        <v>53</v>
      </c>
      <c r="AS58" s="24">
        <v>33200</v>
      </c>
      <c r="AT58" s="24">
        <v>37950</v>
      </c>
      <c r="AU58" s="24">
        <v>42700</v>
      </c>
      <c r="AV58" s="24">
        <v>47400</v>
      </c>
      <c r="AW58" s="24">
        <v>51200</v>
      </c>
      <c r="AX58" s="24">
        <v>54950</v>
      </c>
      <c r="AY58" s="24">
        <v>58800</v>
      </c>
      <c r="AZ58" s="24">
        <v>62550</v>
      </c>
      <c r="BA58" s="29">
        <f t="shared" si="6"/>
        <v>35575</v>
      </c>
      <c r="BB58" s="29">
        <f t="shared" si="7"/>
        <v>49300</v>
      </c>
      <c r="BC58" s="29">
        <f t="shared" si="8"/>
        <v>60675</v>
      </c>
      <c r="BD58" s="25"/>
      <c r="BE58" s="25"/>
      <c r="BF58" s="25"/>
      <c r="BG58" s="25"/>
      <c r="BH58" s="25"/>
      <c r="BI58" s="25"/>
      <c r="BJ58" s="25"/>
      <c r="BK58" s="25"/>
      <c r="BL58" s="25"/>
      <c r="BM58" s="25"/>
      <c r="BN58" s="20" t="s">
        <v>53</v>
      </c>
      <c r="BO58" s="71">
        <v>769</v>
      </c>
      <c r="BP58" s="24">
        <v>820</v>
      </c>
      <c r="BQ58" s="24">
        <v>1076</v>
      </c>
      <c r="BR58" s="24">
        <v>1380</v>
      </c>
      <c r="BS58" s="24">
        <v>1454</v>
      </c>
      <c r="BT58" s="122"/>
      <c r="BU58" s="39">
        <v>44306</v>
      </c>
      <c r="BV58" s="39" t="s">
        <v>1301</v>
      </c>
      <c r="BW58" s="39" t="s">
        <v>2929</v>
      </c>
      <c r="BX58" s="39" t="s">
        <v>273</v>
      </c>
      <c r="BY58" s="71">
        <v>840</v>
      </c>
      <c r="BZ58" s="71">
        <v>920</v>
      </c>
      <c r="CA58" s="71">
        <v>1180</v>
      </c>
      <c r="CB58" s="71">
        <v>1440</v>
      </c>
      <c r="CC58" s="71">
        <v>1560</v>
      </c>
      <c r="CD58" s="25"/>
      <c r="CE58" s="200"/>
      <c r="CF58" s="200"/>
      <c r="CG58" s="200"/>
      <c r="CH58" s="200"/>
      <c r="CI58" s="200"/>
      <c r="CJ58" s="200"/>
      <c r="CK58" s="200"/>
      <c r="CL58" s="200"/>
      <c r="CM58" s="200"/>
      <c r="CN58" s="200"/>
      <c r="CO58" s="200"/>
      <c r="CP58" s="200"/>
      <c r="CQ58" s="20" t="s">
        <v>53</v>
      </c>
      <c r="CR58" s="236" t="s">
        <v>2481</v>
      </c>
      <c r="CS58" s="236" t="s">
        <v>3108</v>
      </c>
      <c r="CT58" s="200"/>
      <c r="CU58" s="200"/>
      <c r="CV58" s="20" t="s">
        <v>53</v>
      </c>
      <c r="CW58" s="20" t="s">
        <v>8</v>
      </c>
      <c r="CX58" s="25"/>
      <c r="CY58" s="20" t="s">
        <v>53</v>
      </c>
      <c r="CZ58" s="20">
        <v>45780</v>
      </c>
      <c r="DA58" s="37" t="s">
        <v>2839</v>
      </c>
      <c r="DB58" s="25"/>
      <c r="DC58" s="20" t="s">
        <v>53</v>
      </c>
      <c r="DD58" s="20">
        <v>14</v>
      </c>
      <c r="DE58" s="735">
        <v>996</v>
      </c>
      <c r="DF58" s="179">
        <v>438167</v>
      </c>
      <c r="DG58" s="179">
        <v>428748</v>
      </c>
      <c r="DH58" s="878">
        <f t="shared" si="11"/>
        <v>-2.1496370105462074E-2</v>
      </c>
      <c r="DI58" s="606">
        <v>339.66810295511357</v>
      </c>
      <c r="DJ58" s="179">
        <f t="shared" si="12"/>
        <v>1262.2557027577539</v>
      </c>
      <c r="DK58" s="37">
        <v>38.299999999999997</v>
      </c>
      <c r="DL58" s="236">
        <v>60095</v>
      </c>
      <c r="DM58" s="878">
        <v>0.17811878875696494</v>
      </c>
      <c r="DN58" s="878">
        <v>6.8000000000000005E-2</v>
      </c>
      <c r="DO58" s="878">
        <v>0.01</v>
      </c>
      <c r="DP58" s="878">
        <v>4.7E-2</v>
      </c>
      <c r="DQ58" s="878">
        <v>0.38342318799205033</v>
      </c>
      <c r="DR58" s="878">
        <v>0.39844499491688024</v>
      </c>
      <c r="DS58" s="878">
        <v>0.69199999999999995</v>
      </c>
      <c r="DT58" s="878">
        <v>0.19500000000000001</v>
      </c>
      <c r="DU58" s="878">
        <v>2E-3</v>
      </c>
      <c r="DV58" s="878">
        <v>1.7000000000000001E-2</v>
      </c>
      <c r="DW58" s="878">
        <v>1E-3</v>
      </c>
      <c r="DX58" s="878">
        <v>2.4E-2</v>
      </c>
      <c r="DY58" s="878">
        <v>7.0000000000000007E-2</v>
      </c>
      <c r="DZ58" s="878">
        <v>7.6999999999999999E-2</v>
      </c>
      <c r="EA58" s="878">
        <v>0.66700000000000004</v>
      </c>
      <c r="EB58" s="25"/>
      <c r="EC58" s="25"/>
      <c r="ED58" s="25"/>
    </row>
    <row r="59" spans="1:134" s="17" customFormat="1" x14ac:dyDescent="0.2">
      <c r="A59" s="25"/>
      <c r="B59" s="20">
        <v>39049007048</v>
      </c>
      <c r="C59" s="20">
        <v>70.48</v>
      </c>
      <c r="D59" s="20" t="s">
        <v>31</v>
      </c>
      <c r="E59" s="20" t="s">
        <v>2830</v>
      </c>
      <c r="F59" s="20" t="s">
        <v>8</v>
      </c>
      <c r="G59" s="861">
        <v>83.173873841678599</v>
      </c>
      <c r="H59" s="861">
        <v>90.1913850045337</v>
      </c>
      <c r="I59" s="861">
        <v>22.289757548629499</v>
      </c>
      <c r="J59" s="861">
        <v>49.454380266632697</v>
      </c>
      <c r="K59" s="982">
        <v>0</v>
      </c>
      <c r="L59" s="735">
        <v>6108</v>
      </c>
      <c r="M59" s="735">
        <v>5969</v>
      </c>
      <c r="N59" s="845">
        <f t="shared" si="0"/>
        <v>-2.2757039947609692E-2</v>
      </c>
      <c r="O59" s="735">
        <v>1.1044633714554002</v>
      </c>
      <c r="P59" s="735">
        <f t="shared" si="1"/>
        <v>5404.4345464661128</v>
      </c>
      <c r="Q59" s="849">
        <v>34.700000000000003</v>
      </c>
      <c r="R59" s="71">
        <v>101862</v>
      </c>
      <c r="S59" s="845">
        <v>6.7485695052170988E-2</v>
      </c>
      <c r="T59" s="845">
        <v>2.2000000000000002E-2</v>
      </c>
      <c r="U59" s="845">
        <v>0</v>
      </c>
      <c r="V59" s="845">
        <v>4.9000000000000002E-2</v>
      </c>
      <c r="W59" s="845">
        <v>0.33391153512575888</v>
      </c>
      <c r="X59" s="845">
        <v>0.30909090909090908</v>
      </c>
      <c r="Y59" s="845">
        <v>0.58301222985424694</v>
      </c>
      <c r="Z59" s="845">
        <v>9.3818059976545479E-2</v>
      </c>
      <c r="AA59" s="845">
        <v>0</v>
      </c>
      <c r="AB59" s="845">
        <v>8.5441447478639632E-2</v>
      </c>
      <c r="AC59" s="845">
        <v>0</v>
      </c>
      <c r="AD59" s="845">
        <v>3.4009046741497739E-2</v>
      </c>
      <c r="AE59" s="845">
        <v>0.20371921594907019</v>
      </c>
      <c r="AF59" s="845">
        <v>0.15831797621042051</v>
      </c>
      <c r="AG59" s="845">
        <v>0.55084603786228847</v>
      </c>
      <c r="AH59" s="20" t="str">
        <f t="shared" si="2"/>
        <v>No</v>
      </c>
      <c r="AI59" s="25"/>
      <c r="AJ59" s="37">
        <v>44203</v>
      </c>
      <c r="AK59" s="37" t="s">
        <v>1254</v>
      </c>
      <c r="AL59" s="37">
        <v>39153</v>
      </c>
      <c r="AM59" s="37" t="s">
        <v>82</v>
      </c>
      <c r="AN59" s="37">
        <f t="shared" si="3"/>
        <v>10420</v>
      </c>
      <c r="AO59" s="37" t="str">
        <f t="shared" si="4"/>
        <v>Akron, OH</v>
      </c>
      <c r="AP59" s="37" t="s">
        <v>8</v>
      </c>
      <c r="AQ59" s="25"/>
      <c r="AR59" s="20" t="s">
        <v>54</v>
      </c>
      <c r="AS59" s="24">
        <v>38150</v>
      </c>
      <c r="AT59" s="24">
        <v>43600</v>
      </c>
      <c r="AU59" s="24">
        <v>49050</v>
      </c>
      <c r="AV59" s="24">
        <v>54500</v>
      </c>
      <c r="AW59" s="24">
        <v>58900</v>
      </c>
      <c r="AX59" s="24">
        <v>63250</v>
      </c>
      <c r="AY59" s="24">
        <v>67600</v>
      </c>
      <c r="AZ59" s="24">
        <v>71950</v>
      </c>
      <c r="BA59" s="29">
        <f t="shared" si="6"/>
        <v>40875</v>
      </c>
      <c r="BB59" s="29">
        <f t="shared" si="7"/>
        <v>56700</v>
      </c>
      <c r="BC59" s="29">
        <f t="shared" si="8"/>
        <v>69775</v>
      </c>
      <c r="BD59" s="25"/>
      <c r="BE59" s="25"/>
      <c r="BF59" s="25"/>
      <c r="BG59" s="25"/>
      <c r="BH59" s="25"/>
      <c r="BI59" s="25"/>
      <c r="BJ59" s="25"/>
      <c r="BK59" s="25"/>
      <c r="BL59" s="25"/>
      <c r="BM59" s="25"/>
      <c r="BN59" s="20" t="s">
        <v>54</v>
      </c>
      <c r="BO59" s="71">
        <v>1111</v>
      </c>
      <c r="BP59" s="24">
        <v>1194</v>
      </c>
      <c r="BQ59" s="24">
        <v>1430</v>
      </c>
      <c r="BR59" s="24">
        <v>1715</v>
      </c>
      <c r="BS59" s="24">
        <v>1927</v>
      </c>
      <c r="BT59" s="122"/>
      <c r="BU59" s="39">
        <v>44307</v>
      </c>
      <c r="BV59" s="39" t="s">
        <v>1302</v>
      </c>
      <c r="BW59" s="39" t="s">
        <v>2929</v>
      </c>
      <c r="BX59" s="39" t="s">
        <v>273</v>
      </c>
      <c r="BY59" s="71">
        <v>800</v>
      </c>
      <c r="BZ59" s="71">
        <v>870</v>
      </c>
      <c r="CA59" s="71">
        <v>1120</v>
      </c>
      <c r="CB59" s="71">
        <v>1370</v>
      </c>
      <c r="CC59" s="71">
        <v>1480</v>
      </c>
      <c r="CD59" s="25"/>
      <c r="CE59" s="200"/>
      <c r="CF59" s="200"/>
      <c r="CG59" s="200"/>
      <c r="CH59" s="200"/>
      <c r="CI59" s="200"/>
      <c r="CJ59" s="200"/>
      <c r="CK59" s="200"/>
      <c r="CL59" s="200"/>
      <c r="CM59" s="200"/>
      <c r="CN59" s="200"/>
      <c r="CO59" s="200"/>
      <c r="CP59" s="200"/>
      <c r="CQ59" s="20" t="s">
        <v>54</v>
      </c>
      <c r="CR59" s="236" t="s">
        <v>2481</v>
      </c>
      <c r="CS59" s="236" t="s">
        <v>3111</v>
      </c>
      <c r="CT59" s="200"/>
      <c r="CU59" s="200"/>
      <c r="CV59" s="20" t="s">
        <v>54</v>
      </c>
      <c r="CW59" s="20" t="s">
        <v>8</v>
      </c>
      <c r="CX59" s="25"/>
      <c r="CY59" s="20" t="s">
        <v>54</v>
      </c>
      <c r="CZ59" s="20">
        <v>18140</v>
      </c>
      <c r="DA59" s="37" t="s">
        <v>2830</v>
      </c>
      <c r="DB59" s="25"/>
      <c r="DC59" s="20" t="s">
        <v>54</v>
      </c>
      <c r="DD59" s="20">
        <v>0</v>
      </c>
      <c r="DE59" s="735">
        <v>0</v>
      </c>
      <c r="DF59" s="179">
        <v>43326</v>
      </c>
      <c r="DG59" s="179">
        <v>44126</v>
      </c>
      <c r="DH59" s="878">
        <f t="shared" si="11"/>
        <v>1.8464663250703964E-2</v>
      </c>
      <c r="DI59" s="606">
        <v>466.68774861673018</v>
      </c>
      <c r="DJ59" s="179">
        <f t="shared" si="12"/>
        <v>94.551442866863681</v>
      </c>
      <c r="DK59" s="37">
        <v>41.5</v>
      </c>
      <c r="DL59" s="236">
        <v>83229</v>
      </c>
      <c r="DM59" s="878">
        <v>9.6857041143264003E-2</v>
      </c>
      <c r="DN59" s="878">
        <v>0.04</v>
      </c>
      <c r="DO59" s="878">
        <v>4.0000000000000001E-3</v>
      </c>
      <c r="DP59" s="878">
        <v>5.5999999999999994E-2</v>
      </c>
      <c r="DQ59" s="878">
        <v>0.24054423540134107</v>
      </c>
      <c r="DR59" s="878">
        <v>0.31935047361299052</v>
      </c>
      <c r="DS59" s="878">
        <v>0.875</v>
      </c>
      <c r="DT59" s="878">
        <v>4.7E-2</v>
      </c>
      <c r="DU59" s="878">
        <v>2E-3</v>
      </c>
      <c r="DV59" s="878">
        <v>8.9999999999999993E-3</v>
      </c>
      <c r="DW59" s="878">
        <v>0</v>
      </c>
      <c r="DX59" s="878">
        <v>6.0000000000000001E-3</v>
      </c>
      <c r="DY59" s="878">
        <v>6.0999999999999999E-2</v>
      </c>
      <c r="DZ59" s="878">
        <v>2.9000000000000001E-2</v>
      </c>
      <c r="EA59" s="878">
        <v>0.86499999999999999</v>
      </c>
      <c r="EB59" s="25"/>
      <c r="EC59" s="25"/>
      <c r="ED59" s="25"/>
    </row>
    <row r="60" spans="1:134" s="17" customFormat="1" x14ac:dyDescent="0.2">
      <c r="A60" s="25"/>
      <c r="B60" s="20">
        <v>39085206500</v>
      </c>
      <c r="C60" s="20">
        <v>2065</v>
      </c>
      <c r="D60" s="20" t="s">
        <v>48</v>
      </c>
      <c r="E60" s="20" t="s">
        <v>2829</v>
      </c>
      <c r="F60" s="20" t="s">
        <v>8</v>
      </c>
      <c r="G60" s="861">
        <v>83.115343196291903</v>
      </c>
      <c r="H60" s="861">
        <v>72.530416784098307</v>
      </c>
      <c r="I60" s="861">
        <v>34.1308547455019</v>
      </c>
      <c r="J60" s="861">
        <v>44.1759882512345</v>
      </c>
      <c r="K60" s="982">
        <v>0</v>
      </c>
      <c r="L60" s="735">
        <v>2936</v>
      </c>
      <c r="M60" s="735">
        <v>4066</v>
      </c>
      <c r="N60" s="845">
        <f t="shared" si="0"/>
        <v>0.38487738419618528</v>
      </c>
      <c r="O60" s="735">
        <v>6.705574412849332</v>
      </c>
      <c r="P60" s="735">
        <f t="shared" si="1"/>
        <v>606.36117797882673</v>
      </c>
      <c r="Q60" s="849">
        <v>43.9</v>
      </c>
      <c r="R60" s="71">
        <v>65341</v>
      </c>
      <c r="S60" s="845">
        <v>0.1019367991845056</v>
      </c>
      <c r="T60" s="845">
        <v>4.2000000000000003E-2</v>
      </c>
      <c r="U60" s="845">
        <v>0</v>
      </c>
      <c r="V60" s="845">
        <v>0.106</v>
      </c>
      <c r="W60" s="845">
        <v>0.29419191919191917</v>
      </c>
      <c r="X60" s="845">
        <v>0.56437768240343344</v>
      </c>
      <c r="Y60" s="845">
        <v>0.72626660108214458</v>
      </c>
      <c r="Z60" s="845">
        <v>4.4269552385636991E-2</v>
      </c>
      <c r="AA60" s="845">
        <v>0</v>
      </c>
      <c r="AB60" s="845">
        <v>4.9188391539596657E-2</v>
      </c>
      <c r="AC60" s="845">
        <v>5.6566650270536154E-3</v>
      </c>
      <c r="AD60" s="845">
        <v>4.6728971962616821E-2</v>
      </c>
      <c r="AE60" s="845">
        <v>0.12788981800295129</v>
      </c>
      <c r="AF60" s="845">
        <v>8.0914904082636505E-2</v>
      </c>
      <c r="AG60" s="845">
        <v>0.72626660108214458</v>
      </c>
      <c r="AH60" s="20" t="str">
        <f t="shared" si="2"/>
        <v>No</v>
      </c>
      <c r="AI60" s="25"/>
      <c r="AJ60" s="37">
        <v>44216</v>
      </c>
      <c r="AK60" s="37" t="s">
        <v>1258</v>
      </c>
      <c r="AL60" s="37">
        <v>39153</v>
      </c>
      <c r="AM60" s="37" t="s">
        <v>82</v>
      </c>
      <c r="AN60" s="37">
        <f t="shared" si="3"/>
        <v>10420</v>
      </c>
      <c r="AO60" s="37" t="str">
        <f t="shared" si="4"/>
        <v>Akron, OH</v>
      </c>
      <c r="AP60" s="37" t="s">
        <v>8</v>
      </c>
      <c r="AQ60" s="25"/>
      <c r="AR60" s="20" t="s">
        <v>55</v>
      </c>
      <c r="AS60" s="24">
        <v>29850</v>
      </c>
      <c r="AT60" s="24">
        <v>34100</v>
      </c>
      <c r="AU60" s="24">
        <v>38350</v>
      </c>
      <c r="AV60" s="24">
        <v>42600</v>
      </c>
      <c r="AW60" s="24">
        <v>46050</v>
      </c>
      <c r="AX60" s="24">
        <v>49450</v>
      </c>
      <c r="AY60" s="24">
        <v>52850</v>
      </c>
      <c r="AZ60" s="24">
        <v>56250</v>
      </c>
      <c r="BA60" s="29">
        <f t="shared" si="6"/>
        <v>31975</v>
      </c>
      <c r="BB60" s="29">
        <f t="shared" si="7"/>
        <v>44325</v>
      </c>
      <c r="BC60" s="29">
        <f t="shared" si="8"/>
        <v>54550</v>
      </c>
      <c r="BD60" s="25"/>
      <c r="BE60" s="25"/>
      <c r="BF60" s="25"/>
      <c r="BG60" s="25"/>
      <c r="BH60" s="25"/>
      <c r="BI60" s="25"/>
      <c r="BJ60" s="25"/>
      <c r="BK60" s="25"/>
      <c r="BL60" s="25"/>
      <c r="BM60" s="25"/>
      <c r="BN60" s="20" t="s">
        <v>55</v>
      </c>
      <c r="BO60" s="71">
        <v>735</v>
      </c>
      <c r="BP60" s="24">
        <v>771</v>
      </c>
      <c r="BQ60" s="24">
        <v>973</v>
      </c>
      <c r="BR60" s="24">
        <v>1270</v>
      </c>
      <c r="BS60" s="24">
        <v>1345</v>
      </c>
      <c r="BT60" s="122"/>
      <c r="BU60" s="39">
        <v>44308</v>
      </c>
      <c r="BV60" s="39" t="s">
        <v>1303</v>
      </c>
      <c r="BW60" s="39" t="s">
        <v>2929</v>
      </c>
      <c r="BX60" s="39" t="s">
        <v>273</v>
      </c>
      <c r="BY60" s="71">
        <v>800</v>
      </c>
      <c r="BZ60" s="71">
        <v>870</v>
      </c>
      <c r="CA60" s="71">
        <v>1120</v>
      </c>
      <c r="CB60" s="71">
        <v>1360</v>
      </c>
      <c r="CC60" s="71">
        <v>1480</v>
      </c>
      <c r="CD60" s="25"/>
      <c r="CE60" s="200"/>
      <c r="CF60" s="200"/>
      <c r="CG60" s="200"/>
      <c r="CH60" s="200"/>
      <c r="CI60" s="200"/>
      <c r="CJ60" s="200"/>
      <c r="CK60" s="200"/>
      <c r="CL60" s="200"/>
      <c r="CM60" s="200"/>
      <c r="CN60" s="200"/>
      <c r="CO60" s="200"/>
      <c r="CP60" s="200"/>
      <c r="CQ60" s="20" t="s">
        <v>55</v>
      </c>
      <c r="CR60" s="236" t="s">
        <v>2481</v>
      </c>
      <c r="CS60" s="236" t="s">
        <v>3109</v>
      </c>
      <c r="CT60" s="200"/>
      <c r="CU60" s="200"/>
      <c r="CV60" s="20" t="s">
        <v>55</v>
      </c>
      <c r="CW60" s="20" t="s">
        <v>6</v>
      </c>
      <c r="CX60" s="25"/>
      <c r="CY60" s="20" t="s">
        <v>55</v>
      </c>
      <c r="CZ60" s="20">
        <v>49660</v>
      </c>
      <c r="DA60" s="37" t="s">
        <v>2842</v>
      </c>
      <c r="DB60" s="25"/>
      <c r="DC60" s="20" t="s">
        <v>55</v>
      </c>
      <c r="DD60" s="20">
        <v>1</v>
      </c>
      <c r="DE60" s="735">
        <v>50</v>
      </c>
      <c r="DF60" s="179">
        <v>235809</v>
      </c>
      <c r="DG60" s="179">
        <v>227063</v>
      </c>
      <c r="DH60" s="878">
        <f t="shared" si="11"/>
        <v>-3.7089339253378796E-2</v>
      </c>
      <c r="DI60" s="606">
        <v>411.52048725042221</v>
      </c>
      <c r="DJ60" s="179">
        <f t="shared" si="12"/>
        <v>551.76596800106711</v>
      </c>
      <c r="DK60" s="37">
        <v>43.4</v>
      </c>
      <c r="DL60" s="236">
        <v>55576</v>
      </c>
      <c r="DM60" s="878">
        <v>0.18278874589637614</v>
      </c>
      <c r="DN60" s="878">
        <v>6.4000000000000001E-2</v>
      </c>
      <c r="DO60" s="878">
        <v>1.1000000000000001E-2</v>
      </c>
      <c r="DP60" s="878">
        <v>4.4999999999999998E-2</v>
      </c>
      <c r="DQ60" s="878">
        <v>0.29715857011915675</v>
      </c>
      <c r="DR60" s="878">
        <v>0.40934950990472274</v>
      </c>
      <c r="DS60" s="878">
        <v>0.76</v>
      </c>
      <c r="DT60" s="878">
        <v>0.14299999999999999</v>
      </c>
      <c r="DU60" s="878">
        <v>3.0000000000000001E-3</v>
      </c>
      <c r="DV60" s="878">
        <v>8.9999999999999993E-3</v>
      </c>
      <c r="DW60" s="878">
        <v>0</v>
      </c>
      <c r="DX60" s="878">
        <v>0.02</v>
      </c>
      <c r="DY60" s="878">
        <v>6.5000000000000002E-2</v>
      </c>
      <c r="DZ60" s="878">
        <v>6.5000000000000002E-2</v>
      </c>
      <c r="EA60" s="878">
        <v>0.74299999999999999</v>
      </c>
      <c r="EB60" s="25"/>
      <c r="EC60" s="25"/>
      <c r="ED60" s="25"/>
    </row>
    <row r="61" spans="1:134" s="17" customFormat="1" x14ac:dyDescent="0.2">
      <c r="A61" s="25"/>
      <c r="B61" s="20">
        <v>39049005700</v>
      </c>
      <c r="C61" s="20">
        <v>57</v>
      </c>
      <c r="D61" s="20" t="s">
        <v>31</v>
      </c>
      <c r="E61" s="20" t="s">
        <v>2830</v>
      </c>
      <c r="F61" s="20" t="s">
        <v>8</v>
      </c>
      <c r="G61" s="861">
        <v>83.027452329468403</v>
      </c>
      <c r="H61" s="861">
        <v>91.512004399880396</v>
      </c>
      <c r="I61" s="861">
        <v>28.831009283696901</v>
      </c>
      <c r="J61" s="861">
        <v>27.275816729647399</v>
      </c>
      <c r="K61" s="982">
        <v>0</v>
      </c>
      <c r="L61" s="735">
        <v>3292</v>
      </c>
      <c r="M61" s="735">
        <v>3916</v>
      </c>
      <c r="N61" s="845">
        <f t="shared" si="0"/>
        <v>0.18955042527339003</v>
      </c>
      <c r="O61" s="735">
        <v>0.79536002194234012</v>
      </c>
      <c r="P61" s="735">
        <f t="shared" si="1"/>
        <v>4923.5564926142233</v>
      </c>
      <c r="Q61" s="849">
        <v>34.4</v>
      </c>
      <c r="R61" s="71">
        <v>110885</v>
      </c>
      <c r="S61" s="845">
        <v>5.7456588355464758E-2</v>
      </c>
      <c r="T61" s="845">
        <v>1.3000000000000001E-2</v>
      </c>
      <c r="U61" s="845">
        <v>0</v>
      </c>
      <c r="V61" s="845">
        <v>3.4000000000000002E-2</v>
      </c>
      <c r="W61" s="845">
        <v>0.57263438471790318</v>
      </c>
      <c r="X61" s="845">
        <v>0.26454615981380913</v>
      </c>
      <c r="Y61" s="845">
        <v>0.93156281920326867</v>
      </c>
      <c r="Z61" s="845">
        <v>1.7620020429009193E-2</v>
      </c>
      <c r="AA61" s="845">
        <v>6.6394279877425941E-3</v>
      </c>
      <c r="AB61" s="845">
        <v>0</v>
      </c>
      <c r="AC61" s="845">
        <v>0</v>
      </c>
      <c r="AD61" s="845">
        <v>4.8518896833503579E-3</v>
      </c>
      <c r="AE61" s="845">
        <v>3.9325842696629212E-2</v>
      </c>
      <c r="AF61" s="845">
        <v>4.2390194075587334E-2</v>
      </c>
      <c r="AG61" s="845">
        <v>0.92007150153217565</v>
      </c>
      <c r="AH61" s="20" t="str">
        <f t="shared" si="2"/>
        <v>Yes</v>
      </c>
      <c r="AI61" s="25"/>
      <c r="AJ61" s="37">
        <v>44221</v>
      </c>
      <c r="AK61" s="37" t="s">
        <v>1260</v>
      </c>
      <c r="AL61" s="37">
        <v>39153</v>
      </c>
      <c r="AM61" s="37" t="s">
        <v>82</v>
      </c>
      <c r="AN61" s="37">
        <f t="shared" si="3"/>
        <v>10420</v>
      </c>
      <c r="AO61" s="37" t="str">
        <f t="shared" si="4"/>
        <v>Akron, OH</v>
      </c>
      <c r="AP61" s="37" t="s">
        <v>8</v>
      </c>
      <c r="AQ61" s="25"/>
      <c r="AR61" s="20" t="s">
        <v>56</v>
      </c>
      <c r="AS61" s="24">
        <v>29850</v>
      </c>
      <c r="AT61" s="24">
        <v>34100</v>
      </c>
      <c r="AU61" s="24">
        <v>38350</v>
      </c>
      <c r="AV61" s="24">
        <v>42600</v>
      </c>
      <c r="AW61" s="24">
        <v>46050</v>
      </c>
      <c r="AX61" s="24">
        <v>49450</v>
      </c>
      <c r="AY61" s="24">
        <v>52850</v>
      </c>
      <c r="AZ61" s="24">
        <v>56250</v>
      </c>
      <c r="BA61" s="29">
        <f t="shared" si="6"/>
        <v>31975</v>
      </c>
      <c r="BB61" s="29">
        <f t="shared" si="7"/>
        <v>44325</v>
      </c>
      <c r="BC61" s="29">
        <f t="shared" si="8"/>
        <v>54550</v>
      </c>
      <c r="BD61" s="25"/>
      <c r="BE61" s="25"/>
      <c r="BF61" s="25"/>
      <c r="BG61" s="25"/>
      <c r="BH61" s="25"/>
      <c r="BI61" s="25"/>
      <c r="BJ61" s="25"/>
      <c r="BK61" s="25"/>
      <c r="BL61" s="25"/>
      <c r="BM61" s="25"/>
      <c r="BN61" s="20" t="s">
        <v>56</v>
      </c>
      <c r="BO61" s="71">
        <v>806</v>
      </c>
      <c r="BP61" s="24">
        <v>811</v>
      </c>
      <c r="BQ61" s="24">
        <v>1064</v>
      </c>
      <c r="BR61" s="24">
        <v>1276</v>
      </c>
      <c r="BS61" s="24">
        <v>1409</v>
      </c>
      <c r="BT61" s="122"/>
      <c r="BU61" s="39">
        <v>44310</v>
      </c>
      <c r="BV61" s="39" t="s">
        <v>1304</v>
      </c>
      <c r="BW61" s="39" t="s">
        <v>2929</v>
      </c>
      <c r="BX61" s="39" t="s">
        <v>273</v>
      </c>
      <c r="BY61" s="71">
        <v>830</v>
      </c>
      <c r="BZ61" s="71">
        <v>910</v>
      </c>
      <c r="CA61" s="71">
        <v>1170</v>
      </c>
      <c r="CB61" s="71">
        <v>1430</v>
      </c>
      <c r="CC61" s="71">
        <v>1550</v>
      </c>
      <c r="CD61" s="25"/>
      <c r="CE61" s="200"/>
      <c r="CF61" s="200"/>
      <c r="CG61" s="200"/>
      <c r="CH61" s="200"/>
      <c r="CI61" s="200"/>
      <c r="CJ61" s="200"/>
      <c r="CK61" s="200"/>
      <c r="CL61" s="200"/>
      <c r="CM61" s="200"/>
      <c r="CN61" s="200"/>
      <c r="CO61" s="200"/>
      <c r="CP61" s="200"/>
      <c r="CQ61" s="20" t="s">
        <v>56</v>
      </c>
      <c r="CR61" s="236" t="s">
        <v>292</v>
      </c>
      <c r="CS61" s="236" t="s">
        <v>3111</v>
      </c>
      <c r="CT61" s="200"/>
      <c r="CU61" s="200"/>
      <c r="CV61" s="20" t="s">
        <v>56</v>
      </c>
      <c r="CW61" s="20" t="s">
        <v>8</v>
      </c>
      <c r="CX61" s="25"/>
      <c r="CY61" s="20" t="s">
        <v>56</v>
      </c>
      <c r="CZ61" s="20" t="s">
        <v>265</v>
      </c>
      <c r="DA61" s="37" t="s">
        <v>265</v>
      </c>
      <c r="DB61" s="25"/>
      <c r="DC61" s="20" t="s">
        <v>56</v>
      </c>
      <c r="DD61" s="20">
        <v>5</v>
      </c>
      <c r="DE61" s="735">
        <v>402</v>
      </c>
      <c r="DF61" s="179">
        <v>66171</v>
      </c>
      <c r="DG61" s="179">
        <v>65145</v>
      </c>
      <c r="DH61" s="878">
        <f t="shared" si="11"/>
        <v>-1.5505281769959651E-2</v>
      </c>
      <c r="DI61" s="606">
        <v>403.80699238036271</v>
      </c>
      <c r="DJ61" s="179">
        <f t="shared" si="12"/>
        <v>161.32707265910145</v>
      </c>
      <c r="DK61" s="37">
        <v>40.5</v>
      </c>
      <c r="DL61" s="236">
        <v>57306</v>
      </c>
      <c r="DM61" s="878">
        <v>0.15346792193190018</v>
      </c>
      <c r="DN61" s="878">
        <v>0.06</v>
      </c>
      <c r="DO61" s="878">
        <v>1.3000000000000001E-2</v>
      </c>
      <c r="DP61" s="878">
        <v>0.04</v>
      </c>
      <c r="DQ61" s="878">
        <v>0.32188876202903277</v>
      </c>
      <c r="DR61" s="878">
        <v>0.41905244489485688</v>
      </c>
      <c r="DS61" s="878">
        <v>0.876</v>
      </c>
      <c r="DT61" s="878">
        <v>5.1999999999999998E-2</v>
      </c>
      <c r="DU61" s="878">
        <v>1E-3</v>
      </c>
      <c r="DV61" s="878">
        <v>7.0000000000000001E-3</v>
      </c>
      <c r="DW61" s="878">
        <v>0</v>
      </c>
      <c r="DX61" s="878">
        <v>1.2E-2</v>
      </c>
      <c r="DY61" s="878">
        <v>5.1999999999999998E-2</v>
      </c>
      <c r="DZ61" s="878">
        <v>3.1E-2</v>
      </c>
      <c r="EA61" s="878">
        <v>0.86599999999999999</v>
      </c>
      <c r="EB61" s="25"/>
      <c r="EC61" s="25"/>
      <c r="ED61" s="25"/>
    </row>
    <row r="62" spans="1:134" s="17" customFormat="1" x14ac:dyDescent="0.2">
      <c r="A62" s="25"/>
      <c r="B62" s="20">
        <v>39049006398</v>
      </c>
      <c r="C62" s="20">
        <v>63.98</v>
      </c>
      <c r="D62" s="20" t="s">
        <v>31</v>
      </c>
      <c r="E62" s="20" t="s">
        <v>2830</v>
      </c>
      <c r="F62" s="20" t="s">
        <v>8</v>
      </c>
      <c r="G62" s="861">
        <v>83.001911998489504</v>
      </c>
      <c r="H62" s="861">
        <v>80.919287841382101</v>
      </c>
      <c r="I62" s="861">
        <v>21.938010156430099</v>
      </c>
      <c r="J62" s="861">
        <v>75.937353816306299</v>
      </c>
      <c r="K62" s="982">
        <v>0</v>
      </c>
      <c r="L62" s="735" t="s">
        <v>2466</v>
      </c>
      <c r="M62" s="735">
        <v>3665</v>
      </c>
      <c r="N62" s="845" t="str">
        <f t="shared" si="0"/>
        <v/>
      </c>
      <c r="O62" s="735">
        <v>2.5710500269439462</v>
      </c>
      <c r="P62" s="735">
        <f t="shared" si="1"/>
        <v>1425.4876262973253</v>
      </c>
      <c r="Q62" s="849">
        <v>44</v>
      </c>
      <c r="R62" s="71">
        <v>205461</v>
      </c>
      <c r="S62" s="845">
        <v>3.4350096180269303E-2</v>
      </c>
      <c r="T62" s="845">
        <v>4.0000000000000001E-3</v>
      </c>
      <c r="U62" s="845">
        <v>3.2000000000000001E-2</v>
      </c>
      <c r="V62" s="845">
        <v>0.17499999999999999</v>
      </c>
      <c r="W62" s="845">
        <v>0.15484363081617086</v>
      </c>
      <c r="X62" s="845">
        <v>0.41379310344827586</v>
      </c>
      <c r="Y62" s="845">
        <v>0.72223738062755793</v>
      </c>
      <c r="Z62" s="845">
        <v>2.1828103683492497E-2</v>
      </c>
      <c r="AA62" s="845">
        <v>0</v>
      </c>
      <c r="AB62" s="845">
        <v>0.23383356070941336</v>
      </c>
      <c r="AC62" s="845">
        <v>0</v>
      </c>
      <c r="AD62" s="845">
        <v>9.822646657571623E-3</v>
      </c>
      <c r="AE62" s="845">
        <v>1.227830832196453E-2</v>
      </c>
      <c r="AF62" s="845">
        <v>1.3642564802182811E-2</v>
      </c>
      <c r="AG62" s="845">
        <v>0.7184174624829468</v>
      </c>
      <c r="AH62" s="20" t="str">
        <f t="shared" si="2"/>
        <v>No</v>
      </c>
      <c r="AI62" s="25"/>
      <c r="AJ62" s="37">
        <v>44223</v>
      </c>
      <c r="AK62" s="37" t="s">
        <v>1261</v>
      </c>
      <c r="AL62" s="37">
        <v>39153</v>
      </c>
      <c r="AM62" s="37" t="s">
        <v>82</v>
      </c>
      <c r="AN62" s="37">
        <f t="shared" si="3"/>
        <v>10420</v>
      </c>
      <c r="AO62" s="37" t="str">
        <f t="shared" si="4"/>
        <v>Akron, OH</v>
      </c>
      <c r="AP62" s="37" t="s">
        <v>8</v>
      </c>
      <c r="AQ62" s="25"/>
      <c r="AR62" s="20" t="s">
        <v>57</v>
      </c>
      <c r="AS62" s="24">
        <v>34800</v>
      </c>
      <c r="AT62" s="24">
        <v>39800</v>
      </c>
      <c r="AU62" s="24">
        <v>44750</v>
      </c>
      <c r="AV62" s="24">
        <v>49700</v>
      </c>
      <c r="AW62" s="24">
        <v>53700</v>
      </c>
      <c r="AX62" s="24">
        <v>57700</v>
      </c>
      <c r="AY62" s="24">
        <v>61650</v>
      </c>
      <c r="AZ62" s="24">
        <v>65650</v>
      </c>
      <c r="BA62" s="29">
        <f t="shared" si="6"/>
        <v>37300</v>
      </c>
      <c r="BB62" s="29">
        <f t="shared" si="7"/>
        <v>51700</v>
      </c>
      <c r="BC62" s="29">
        <f t="shared" si="8"/>
        <v>63650</v>
      </c>
      <c r="BD62" s="25"/>
      <c r="BE62" s="25"/>
      <c r="BF62" s="25"/>
      <c r="BG62" s="25"/>
      <c r="BH62" s="25"/>
      <c r="BI62" s="25"/>
      <c r="BJ62" s="25"/>
      <c r="BK62" s="25"/>
      <c r="BL62" s="25"/>
      <c r="BM62" s="25"/>
      <c r="BN62" s="20" t="s">
        <v>57</v>
      </c>
      <c r="BO62" s="71">
        <v>933</v>
      </c>
      <c r="BP62" s="24">
        <v>1058</v>
      </c>
      <c r="BQ62" s="24">
        <v>1279</v>
      </c>
      <c r="BR62" s="24">
        <v>1646</v>
      </c>
      <c r="BS62" s="24">
        <v>1760</v>
      </c>
      <c r="BT62" s="122"/>
      <c r="BU62" s="39">
        <v>44311</v>
      </c>
      <c r="BV62" s="39" t="s">
        <v>1305</v>
      </c>
      <c r="BW62" s="39" t="s">
        <v>2929</v>
      </c>
      <c r="BX62" s="39" t="s">
        <v>273</v>
      </c>
      <c r="BY62" s="71">
        <v>760</v>
      </c>
      <c r="BZ62" s="71">
        <v>830</v>
      </c>
      <c r="CA62" s="71">
        <v>1070</v>
      </c>
      <c r="CB62" s="71">
        <v>1310</v>
      </c>
      <c r="CC62" s="71">
        <v>1420</v>
      </c>
      <c r="CD62" s="25"/>
      <c r="CE62" s="200"/>
      <c r="CF62" s="200"/>
      <c r="CG62" s="200"/>
      <c r="CH62" s="200"/>
      <c r="CI62" s="200"/>
      <c r="CJ62" s="200"/>
      <c r="CK62" s="200"/>
      <c r="CL62" s="200"/>
      <c r="CM62" s="200"/>
      <c r="CN62" s="200"/>
      <c r="CO62" s="200"/>
      <c r="CP62" s="200"/>
      <c r="CQ62" s="20" t="s">
        <v>57</v>
      </c>
      <c r="CR62" s="236" t="s">
        <v>2481</v>
      </c>
      <c r="CS62" s="236" t="s">
        <v>3109</v>
      </c>
      <c r="CT62" s="200"/>
      <c r="CU62" s="200"/>
      <c r="CV62" s="20" t="s">
        <v>57</v>
      </c>
      <c r="CW62" s="20" t="s">
        <v>8</v>
      </c>
      <c r="CX62" s="25"/>
      <c r="CY62" s="20" t="s">
        <v>57</v>
      </c>
      <c r="CZ62" s="20">
        <v>17410</v>
      </c>
      <c r="DA62" s="37" t="s">
        <v>2829</v>
      </c>
      <c r="DB62" s="25"/>
      <c r="DC62" s="20" t="s">
        <v>57</v>
      </c>
      <c r="DD62" s="20">
        <v>1</v>
      </c>
      <c r="DE62" s="735">
        <v>85</v>
      </c>
      <c r="DF62" s="179">
        <v>174091</v>
      </c>
      <c r="DG62" s="179">
        <v>183049</v>
      </c>
      <c r="DH62" s="878">
        <f t="shared" si="11"/>
        <v>5.1455847803734828E-2</v>
      </c>
      <c r="DI62" s="606">
        <v>421.45889194834956</v>
      </c>
      <c r="DJ62" s="179">
        <f t="shared" si="12"/>
        <v>434.32231113641552</v>
      </c>
      <c r="DK62" s="37">
        <v>43.1</v>
      </c>
      <c r="DL62" s="236">
        <v>92660</v>
      </c>
      <c r="DM62" s="878">
        <v>6.1347631065607193E-2</v>
      </c>
      <c r="DN62" s="878">
        <v>0.03</v>
      </c>
      <c r="DO62" s="878">
        <v>3.0000000000000001E-3</v>
      </c>
      <c r="DP62" s="878">
        <v>3.9E-2</v>
      </c>
      <c r="DQ62" s="878">
        <v>0.1997793103448276</v>
      </c>
      <c r="DR62" s="878">
        <v>0.37703673018503175</v>
      </c>
      <c r="DS62" s="878">
        <v>0.92700000000000005</v>
      </c>
      <c r="DT62" s="878">
        <v>1.2999999999999999E-2</v>
      </c>
      <c r="DU62" s="878">
        <v>1E-3</v>
      </c>
      <c r="DV62" s="878">
        <v>0.01</v>
      </c>
      <c r="DW62" s="878">
        <v>0</v>
      </c>
      <c r="DX62" s="878">
        <v>5.0000000000000001E-3</v>
      </c>
      <c r="DY62" s="878">
        <v>4.3999999999999997E-2</v>
      </c>
      <c r="DZ62" s="878">
        <v>2.5999999999999999E-2</v>
      </c>
      <c r="EA62" s="878">
        <v>0.91800000000000004</v>
      </c>
      <c r="EB62" s="25"/>
      <c r="EC62" s="25"/>
      <c r="ED62" s="25"/>
    </row>
    <row r="63" spans="1:134" s="17" customFormat="1" x14ac:dyDescent="0.2">
      <c r="A63" s="25"/>
      <c r="B63" s="20">
        <v>39061005200</v>
      </c>
      <c r="C63" s="20">
        <v>52</v>
      </c>
      <c r="D63" s="20" t="s">
        <v>37</v>
      </c>
      <c r="E63" s="20" t="s">
        <v>2828</v>
      </c>
      <c r="F63" s="20" t="s">
        <v>8</v>
      </c>
      <c r="G63" s="861">
        <v>82.951373360923</v>
      </c>
      <c r="H63" s="861">
        <v>91.097703043327499</v>
      </c>
      <c r="I63" s="861">
        <v>28.237477612846401</v>
      </c>
      <c r="J63" s="861">
        <v>54.4545328672408</v>
      </c>
      <c r="K63" s="982">
        <v>0</v>
      </c>
      <c r="L63" s="735">
        <v>3450</v>
      </c>
      <c r="M63" s="735">
        <v>3257</v>
      </c>
      <c r="N63" s="845">
        <f t="shared" si="0"/>
        <v>-5.5942028985507243E-2</v>
      </c>
      <c r="O63" s="735">
        <v>0.46610407026154266</v>
      </c>
      <c r="P63" s="735">
        <f t="shared" si="1"/>
        <v>6987.7098437960767</v>
      </c>
      <c r="Q63" s="849">
        <v>30.7</v>
      </c>
      <c r="R63" s="71">
        <v>90741</v>
      </c>
      <c r="S63" s="845">
        <v>4.9739023641387783E-2</v>
      </c>
      <c r="T63" s="845">
        <v>2.4E-2</v>
      </c>
      <c r="U63" s="845">
        <v>3.5000000000000003E-2</v>
      </c>
      <c r="V63" s="845">
        <v>3.1E-2</v>
      </c>
      <c r="W63" s="845">
        <v>0.45109321058688145</v>
      </c>
      <c r="X63" s="845">
        <v>0.25765306122448978</v>
      </c>
      <c r="Y63" s="845">
        <v>0.89008289837273569</v>
      </c>
      <c r="Z63" s="845">
        <v>3.7150752225974824E-2</v>
      </c>
      <c r="AA63" s="845">
        <v>0</v>
      </c>
      <c r="AB63" s="845">
        <v>8.5968682836966535E-3</v>
      </c>
      <c r="AC63" s="845">
        <v>0</v>
      </c>
      <c r="AD63" s="845">
        <v>1.1360147374884864E-2</v>
      </c>
      <c r="AE63" s="845">
        <v>5.2809333742708013E-2</v>
      </c>
      <c r="AF63" s="845">
        <v>7.6143690512741793E-2</v>
      </c>
      <c r="AG63" s="845">
        <v>0.82437826220448263</v>
      </c>
      <c r="AH63" s="20" t="str">
        <f t="shared" si="2"/>
        <v>No</v>
      </c>
      <c r="AI63" s="25"/>
      <c r="AJ63" s="37">
        <v>44224</v>
      </c>
      <c r="AK63" s="37" t="s">
        <v>1262</v>
      </c>
      <c r="AL63" s="37">
        <v>39153</v>
      </c>
      <c r="AM63" s="37" t="s">
        <v>82</v>
      </c>
      <c r="AN63" s="37">
        <f t="shared" si="3"/>
        <v>10420</v>
      </c>
      <c r="AO63" s="37" t="str">
        <f t="shared" si="4"/>
        <v>Akron, OH</v>
      </c>
      <c r="AP63" s="37" t="s">
        <v>8</v>
      </c>
      <c r="AQ63" s="25"/>
      <c r="AR63" s="20" t="s">
        <v>58</v>
      </c>
      <c r="AS63" s="24">
        <v>29850</v>
      </c>
      <c r="AT63" s="24">
        <v>34100</v>
      </c>
      <c r="AU63" s="24">
        <v>38350</v>
      </c>
      <c r="AV63" s="24">
        <v>42600</v>
      </c>
      <c r="AW63" s="24">
        <v>46050</v>
      </c>
      <c r="AX63" s="24">
        <v>49450</v>
      </c>
      <c r="AY63" s="24">
        <v>52850</v>
      </c>
      <c r="AZ63" s="24">
        <v>56250</v>
      </c>
      <c r="BA63" s="29">
        <f t="shared" si="6"/>
        <v>31975</v>
      </c>
      <c r="BB63" s="29">
        <f t="shared" si="7"/>
        <v>44325</v>
      </c>
      <c r="BC63" s="29">
        <f t="shared" si="8"/>
        <v>54550</v>
      </c>
      <c r="BD63" s="25"/>
      <c r="BE63" s="25"/>
      <c r="BF63" s="25"/>
      <c r="BG63" s="25"/>
      <c r="BH63" s="25"/>
      <c r="BI63" s="25"/>
      <c r="BJ63" s="25"/>
      <c r="BK63" s="25"/>
      <c r="BL63" s="25"/>
      <c r="BM63" s="25"/>
      <c r="BN63" s="20" t="s">
        <v>58</v>
      </c>
      <c r="BO63" s="71">
        <v>722</v>
      </c>
      <c r="BP63" s="24">
        <v>758</v>
      </c>
      <c r="BQ63" s="24">
        <v>973</v>
      </c>
      <c r="BR63" s="24">
        <v>1167</v>
      </c>
      <c r="BS63" s="24">
        <v>1552</v>
      </c>
      <c r="BT63" s="122"/>
      <c r="BU63" s="39">
        <v>44312</v>
      </c>
      <c r="BV63" s="39" t="s">
        <v>1306</v>
      </c>
      <c r="BW63" s="39" t="s">
        <v>2929</v>
      </c>
      <c r="BX63" s="39" t="s">
        <v>273</v>
      </c>
      <c r="BY63" s="71">
        <v>890</v>
      </c>
      <c r="BZ63" s="71">
        <v>970</v>
      </c>
      <c r="CA63" s="71">
        <v>1250</v>
      </c>
      <c r="CB63" s="71">
        <v>1530</v>
      </c>
      <c r="CC63" s="71">
        <v>1660</v>
      </c>
      <c r="CD63" s="25"/>
      <c r="CE63" s="200"/>
      <c r="CF63" s="200"/>
      <c r="CG63" s="200"/>
      <c r="CH63" s="200"/>
      <c r="CI63" s="200"/>
      <c r="CJ63" s="200"/>
      <c r="CK63" s="200"/>
      <c r="CL63" s="200"/>
      <c r="CM63" s="200"/>
      <c r="CN63" s="200"/>
      <c r="CO63" s="200"/>
      <c r="CP63" s="200"/>
      <c r="CQ63" s="20" t="s">
        <v>58</v>
      </c>
      <c r="CR63" s="236" t="s">
        <v>292</v>
      </c>
      <c r="CS63" s="236" t="s">
        <v>3110</v>
      </c>
      <c r="CT63" s="200"/>
      <c r="CU63" s="200"/>
      <c r="CV63" s="20" t="s">
        <v>58</v>
      </c>
      <c r="CW63" s="20" t="s">
        <v>6</v>
      </c>
      <c r="CX63" s="25"/>
      <c r="CY63" s="20" t="s">
        <v>58</v>
      </c>
      <c r="CZ63" s="20" t="s">
        <v>265</v>
      </c>
      <c r="DA63" s="37" t="s">
        <v>265</v>
      </c>
      <c r="DB63" s="25"/>
      <c r="DC63" s="20" t="s">
        <v>58</v>
      </c>
      <c r="DD63" s="20">
        <v>0</v>
      </c>
      <c r="DE63" s="735">
        <v>0</v>
      </c>
      <c r="DF63" s="179">
        <v>23564</v>
      </c>
      <c r="DG63" s="179">
        <v>22072</v>
      </c>
      <c r="DH63" s="878">
        <f t="shared" si="11"/>
        <v>-6.3316924121541329E-2</v>
      </c>
      <c r="DI63" s="606">
        <v>430.10153973255115</v>
      </c>
      <c r="DJ63" s="179">
        <f t="shared" si="12"/>
        <v>51.318114354403313</v>
      </c>
      <c r="DK63" s="37">
        <v>43.8</v>
      </c>
      <c r="DL63" s="236">
        <v>46701</v>
      </c>
      <c r="DM63" s="878">
        <v>0.22044226951664281</v>
      </c>
      <c r="DN63" s="878">
        <v>6.0999999999999999E-2</v>
      </c>
      <c r="DO63" s="878">
        <v>0.02</v>
      </c>
      <c r="DP63" s="878">
        <v>5.0000000000000001E-3</v>
      </c>
      <c r="DQ63" s="878">
        <v>0.24574647887323944</v>
      </c>
      <c r="DR63" s="878">
        <v>0.33287482806052271</v>
      </c>
      <c r="DS63" s="878">
        <v>0.96599999999999997</v>
      </c>
      <c r="DT63" s="878">
        <v>6.0000000000000001E-3</v>
      </c>
      <c r="DU63" s="878">
        <v>0</v>
      </c>
      <c r="DV63" s="878">
        <v>2E-3</v>
      </c>
      <c r="DW63" s="878">
        <v>0</v>
      </c>
      <c r="DX63" s="878">
        <v>3.0000000000000001E-3</v>
      </c>
      <c r="DY63" s="878">
        <v>2.1999999999999999E-2</v>
      </c>
      <c r="DZ63" s="878">
        <v>8.9999999999999993E-3</v>
      </c>
      <c r="EA63" s="878">
        <v>0.96</v>
      </c>
      <c r="EB63" s="25"/>
      <c r="EC63" s="25"/>
      <c r="ED63" s="25"/>
    </row>
    <row r="64" spans="1:134" s="17" customFormat="1" x14ac:dyDescent="0.2">
      <c r="A64" s="25"/>
      <c r="B64" s="20">
        <v>39049000120</v>
      </c>
      <c r="C64" s="20">
        <v>1.2</v>
      </c>
      <c r="D64" s="20" t="s">
        <v>31</v>
      </c>
      <c r="E64" s="20" t="s">
        <v>2830</v>
      </c>
      <c r="F64" s="20" t="s">
        <v>8</v>
      </c>
      <c r="G64" s="861">
        <v>82.729023801346401</v>
      </c>
      <c r="H64" s="861">
        <v>77.037421687565896</v>
      </c>
      <c r="I64" s="861">
        <v>23.309128546551701</v>
      </c>
      <c r="J64" s="861">
        <v>50.779813462519698</v>
      </c>
      <c r="K64" s="982">
        <v>0</v>
      </c>
      <c r="L64" s="735">
        <v>3128</v>
      </c>
      <c r="M64" s="735">
        <v>3307</v>
      </c>
      <c r="N64" s="845">
        <f t="shared" si="0"/>
        <v>5.7225063938618925E-2</v>
      </c>
      <c r="O64" s="735">
        <v>1.1125819415441256</v>
      </c>
      <c r="P64" s="735">
        <f t="shared" si="1"/>
        <v>2972.3653391410385</v>
      </c>
      <c r="Q64" s="849">
        <v>48</v>
      </c>
      <c r="R64" s="71">
        <v>120078</v>
      </c>
      <c r="S64" s="845">
        <v>3.2667876588021776E-2</v>
      </c>
      <c r="T64" s="845">
        <v>1.9E-2</v>
      </c>
      <c r="U64" s="845">
        <v>0</v>
      </c>
      <c r="V64" s="845">
        <v>0</v>
      </c>
      <c r="W64" s="845">
        <v>0.16538688718251623</v>
      </c>
      <c r="X64" s="845">
        <v>0.19642857142857142</v>
      </c>
      <c r="Y64" s="845">
        <v>0.91442394919866954</v>
      </c>
      <c r="Z64" s="845">
        <v>2.6912609615966133E-2</v>
      </c>
      <c r="AA64" s="845">
        <v>9.0716661626852129E-4</v>
      </c>
      <c r="AB64" s="845">
        <v>1.4514665860296341E-2</v>
      </c>
      <c r="AC64" s="845">
        <v>0</v>
      </c>
      <c r="AD64" s="845">
        <v>7.5597218022376775E-3</v>
      </c>
      <c r="AE64" s="845">
        <v>3.5681886906561835E-2</v>
      </c>
      <c r="AF64" s="845">
        <v>1.2700332627759298E-2</v>
      </c>
      <c r="AG64" s="845">
        <v>0.91442394919866954</v>
      </c>
      <c r="AH64" s="20" t="str">
        <f t="shared" si="2"/>
        <v>Yes</v>
      </c>
      <c r="AI64" s="25"/>
      <c r="AJ64" s="37">
        <v>44230</v>
      </c>
      <c r="AK64" s="37" t="s">
        <v>1263</v>
      </c>
      <c r="AL64" s="37">
        <v>39153</v>
      </c>
      <c r="AM64" s="37" t="s">
        <v>82</v>
      </c>
      <c r="AN64" s="37">
        <f t="shared" si="3"/>
        <v>10420</v>
      </c>
      <c r="AO64" s="37" t="str">
        <f t="shared" si="4"/>
        <v>Akron, OH</v>
      </c>
      <c r="AP64" s="37" t="s">
        <v>8</v>
      </c>
      <c r="AQ64" s="25"/>
      <c r="AR64" s="20" t="s">
        <v>59</v>
      </c>
      <c r="AS64" s="24">
        <v>35800</v>
      </c>
      <c r="AT64" s="24">
        <v>40950</v>
      </c>
      <c r="AU64" s="24">
        <v>46000</v>
      </c>
      <c r="AV64" s="24">
        <v>51150</v>
      </c>
      <c r="AW64" s="24">
        <v>55250</v>
      </c>
      <c r="AX64" s="24">
        <v>59350</v>
      </c>
      <c r="AY64" s="24">
        <v>63450</v>
      </c>
      <c r="AZ64" s="24">
        <v>67550</v>
      </c>
      <c r="BA64" s="29">
        <f t="shared" si="6"/>
        <v>38375</v>
      </c>
      <c r="BB64" s="29">
        <f t="shared" si="7"/>
        <v>53200</v>
      </c>
      <c r="BC64" s="29">
        <f t="shared" si="8"/>
        <v>65500</v>
      </c>
      <c r="BD64" s="25"/>
      <c r="BE64" s="25"/>
      <c r="BF64" s="25"/>
      <c r="BG64" s="25"/>
      <c r="BH64" s="25"/>
      <c r="BI64" s="25"/>
      <c r="BJ64" s="25"/>
      <c r="BK64" s="25"/>
      <c r="BL64" s="25"/>
      <c r="BM64" s="25"/>
      <c r="BN64" s="20" t="s">
        <v>59</v>
      </c>
      <c r="BO64" s="71">
        <v>747</v>
      </c>
      <c r="BP64" s="24">
        <v>788</v>
      </c>
      <c r="BQ64" s="24">
        <v>987</v>
      </c>
      <c r="BR64" s="24">
        <v>1287</v>
      </c>
      <c r="BS64" s="24">
        <v>1307</v>
      </c>
      <c r="BT64" s="122"/>
      <c r="BU64" s="39">
        <v>44313</v>
      </c>
      <c r="BV64" s="39" t="s">
        <v>1307</v>
      </c>
      <c r="BW64" s="39" t="s">
        <v>2929</v>
      </c>
      <c r="BX64" s="39" t="s">
        <v>273</v>
      </c>
      <c r="BY64" s="71">
        <v>920</v>
      </c>
      <c r="BZ64" s="71">
        <v>1000</v>
      </c>
      <c r="CA64" s="71">
        <v>1290</v>
      </c>
      <c r="CB64" s="71">
        <v>1570</v>
      </c>
      <c r="CC64" s="71">
        <v>1710</v>
      </c>
      <c r="CD64" s="25"/>
      <c r="CE64" s="200"/>
      <c r="CF64" s="200"/>
      <c r="CG64" s="200"/>
      <c r="CH64" s="200"/>
      <c r="CI64" s="200"/>
      <c r="CJ64" s="200"/>
      <c r="CK64" s="200"/>
      <c r="CL64" s="200"/>
      <c r="CM64" s="200"/>
      <c r="CN64" s="200"/>
      <c r="CO64" s="200"/>
      <c r="CP64" s="200"/>
      <c r="CQ64" s="20" t="s">
        <v>59</v>
      </c>
      <c r="CR64" s="236" t="s">
        <v>292</v>
      </c>
      <c r="CS64" s="236" t="s">
        <v>3108</v>
      </c>
      <c r="CT64" s="200"/>
      <c r="CU64" s="200"/>
      <c r="CV64" s="20" t="s">
        <v>59</v>
      </c>
      <c r="CW64" s="20" t="s">
        <v>8</v>
      </c>
      <c r="CX64" s="25"/>
      <c r="CY64" s="20" t="s">
        <v>59</v>
      </c>
      <c r="CZ64" s="20" t="s">
        <v>265</v>
      </c>
      <c r="DA64" s="37" t="s">
        <v>265</v>
      </c>
      <c r="DB64" s="25"/>
      <c r="DC64" s="20" t="s">
        <v>59</v>
      </c>
      <c r="DD64" s="20">
        <v>0</v>
      </c>
      <c r="DE64" s="735">
        <v>0</v>
      </c>
      <c r="DF64" s="179">
        <v>40789</v>
      </c>
      <c r="DG64" s="179">
        <v>42438</v>
      </c>
      <c r="DH64" s="878">
        <f t="shared" si="11"/>
        <v>4.042756625560813E-2</v>
      </c>
      <c r="DI64" s="606">
        <v>462.4469913107053</v>
      </c>
      <c r="DJ64" s="179">
        <f t="shared" si="12"/>
        <v>91.768355719471174</v>
      </c>
      <c r="DK64" s="37">
        <v>39.1</v>
      </c>
      <c r="DL64" s="236">
        <v>78036</v>
      </c>
      <c r="DM64" s="878">
        <v>6.1368112600278621E-2</v>
      </c>
      <c r="DN64" s="878">
        <v>1.7999999999999999E-2</v>
      </c>
      <c r="DO64" s="878">
        <v>0.01</v>
      </c>
      <c r="DP64" s="878">
        <v>3.9E-2</v>
      </c>
      <c r="DQ64" s="878">
        <v>0.20352623172379899</v>
      </c>
      <c r="DR64" s="878">
        <v>0.30123754904920014</v>
      </c>
      <c r="DS64" s="878">
        <v>0.95</v>
      </c>
      <c r="DT64" s="878">
        <v>7.0000000000000001E-3</v>
      </c>
      <c r="DU64" s="878">
        <v>1E-3</v>
      </c>
      <c r="DV64" s="878">
        <v>5.0000000000000001E-3</v>
      </c>
      <c r="DW64" s="878">
        <v>1E-3</v>
      </c>
      <c r="DX64" s="878">
        <v>0.01</v>
      </c>
      <c r="DY64" s="878">
        <v>2.7E-2</v>
      </c>
      <c r="DZ64" s="878">
        <v>2.1999999999999999E-2</v>
      </c>
      <c r="EA64" s="878">
        <v>0.94399999999999995</v>
      </c>
      <c r="EB64" s="25"/>
      <c r="EC64" s="25"/>
      <c r="ED64" s="25"/>
    </row>
    <row r="65" spans="1:134" s="17" customFormat="1" x14ac:dyDescent="0.2">
      <c r="A65" s="25"/>
      <c r="B65" s="20">
        <v>39049005810</v>
      </c>
      <c r="C65" s="20">
        <v>58.1</v>
      </c>
      <c r="D65" s="20" t="s">
        <v>31</v>
      </c>
      <c r="E65" s="20" t="s">
        <v>2830</v>
      </c>
      <c r="F65" s="20" t="s">
        <v>8</v>
      </c>
      <c r="G65" s="861">
        <v>82.602979923411198</v>
      </c>
      <c r="H65" s="861">
        <v>86.315144169056893</v>
      </c>
      <c r="I65" s="861">
        <v>30.026471297954899</v>
      </c>
      <c r="J65" s="861">
        <v>50.045088490348299</v>
      </c>
      <c r="K65" s="982">
        <v>0</v>
      </c>
      <c r="L65" s="735">
        <v>2579</v>
      </c>
      <c r="M65" s="735">
        <v>2874</v>
      </c>
      <c r="N65" s="845">
        <f t="shared" si="0"/>
        <v>0.11438542070569989</v>
      </c>
      <c r="O65" s="735">
        <v>0.35591167250570893</v>
      </c>
      <c r="P65" s="735">
        <f t="shared" si="1"/>
        <v>8075.0372129306888</v>
      </c>
      <c r="Q65" s="849">
        <v>33.6</v>
      </c>
      <c r="R65" s="71">
        <v>103735</v>
      </c>
      <c r="S65" s="845">
        <v>6.1238691718858734E-2</v>
      </c>
      <c r="T65" s="845">
        <v>2.3E-2</v>
      </c>
      <c r="U65" s="845">
        <v>0</v>
      </c>
      <c r="V65" s="845">
        <v>1.3000000000000001E-2</v>
      </c>
      <c r="W65" s="845">
        <v>0.49635036496350365</v>
      </c>
      <c r="X65" s="845">
        <v>0.22727272727272727</v>
      </c>
      <c r="Y65" s="845">
        <v>0.81315240083507312</v>
      </c>
      <c r="Z65" s="845">
        <v>0.11551844119693806</v>
      </c>
      <c r="AA65" s="845">
        <v>0</v>
      </c>
      <c r="AB65" s="845">
        <v>1.7397355601948505E-2</v>
      </c>
      <c r="AC65" s="845">
        <v>0</v>
      </c>
      <c r="AD65" s="845">
        <v>1.3917884481558803E-2</v>
      </c>
      <c r="AE65" s="845">
        <v>4.001391788448156E-2</v>
      </c>
      <c r="AF65" s="845">
        <v>2.5748086290883786E-2</v>
      </c>
      <c r="AG65" s="845">
        <v>0.81315240083507312</v>
      </c>
      <c r="AH65" s="20" t="str">
        <f t="shared" si="2"/>
        <v>No</v>
      </c>
      <c r="AI65" s="25"/>
      <c r="AJ65" s="37">
        <v>44232</v>
      </c>
      <c r="AK65" s="37" t="s">
        <v>1265</v>
      </c>
      <c r="AL65" s="37">
        <v>39153</v>
      </c>
      <c r="AM65" s="37" t="s">
        <v>82</v>
      </c>
      <c r="AN65" s="37">
        <f t="shared" si="3"/>
        <v>10420</v>
      </c>
      <c r="AO65" s="37" t="str">
        <f t="shared" si="4"/>
        <v>Akron, OH</v>
      </c>
      <c r="AP65" s="37" t="s">
        <v>8</v>
      </c>
      <c r="AQ65" s="25"/>
      <c r="AR65" s="20" t="s">
        <v>60</v>
      </c>
      <c r="AS65" s="24">
        <v>32850</v>
      </c>
      <c r="AT65" s="24">
        <v>37550</v>
      </c>
      <c r="AU65" s="24">
        <v>42250</v>
      </c>
      <c r="AV65" s="24">
        <v>46900</v>
      </c>
      <c r="AW65" s="24">
        <v>50700</v>
      </c>
      <c r="AX65" s="24">
        <v>54450</v>
      </c>
      <c r="AY65" s="24">
        <v>58200</v>
      </c>
      <c r="AZ65" s="24">
        <v>61950</v>
      </c>
      <c r="BA65" s="29">
        <f t="shared" si="6"/>
        <v>35200</v>
      </c>
      <c r="BB65" s="29">
        <f t="shared" si="7"/>
        <v>48800</v>
      </c>
      <c r="BC65" s="29">
        <f t="shared" si="8"/>
        <v>60075</v>
      </c>
      <c r="BD65" s="25"/>
      <c r="BE65" s="25"/>
      <c r="BF65" s="25"/>
      <c r="BG65" s="25"/>
      <c r="BH65" s="25"/>
      <c r="BI65" s="25"/>
      <c r="BJ65" s="25"/>
      <c r="BK65" s="25"/>
      <c r="BL65" s="25"/>
      <c r="BM65" s="25"/>
      <c r="BN65" s="20" t="s">
        <v>60</v>
      </c>
      <c r="BO65" s="71">
        <v>928</v>
      </c>
      <c r="BP65" s="24">
        <v>1009</v>
      </c>
      <c r="BQ65" s="24">
        <v>1273</v>
      </c>
      <c r="BR65" s="24">
        <v>1651</v>
      </c>
      <c r="BS65" s="24">
        <v>1817</v>
      </c>
      <c r="BT65" s="122"/>
      <c r="BU65" s="39">
        <v>44314</v>
      </c>
      <c r="BV65" s="39" t="s">
        <v>1308</v>
      </c>
      <c r="BW65" s="39" t="s">
        <v>2929</v>
      </c>
      <c r="BX65" s="39" t="s">
        <v>273</v>
      </c>
      <c r="BY65" s="71">
        <v>810</v>
      </c>
      <c r="BZ65" s="71">
        <v>890</v>
      </c>
      <c r="CA65" s="71">
        <v>1140</v>
      </c>
      <c r="CB65" s="71">
        <v>1390</v>
      </c>
      <c r="CC65" s="71">
        <v>1510</v>
      </c>
      <c r="CD65" s="25"/>
      <c r="CE65" s="200"/>
      <c r="CF65" s="200"/>
      <c r="CG65" s="200"/>
      <c r="CH65" s="200"/>
      <c r="CI65" s="200"/>
      <c r="CJ65" s="200"/>
      <c r="CK65" s="200"/>
      <c r="CL65" s="200"/>
      <c r="CM65" s="200"/>
      <c r="CN65" s="200"/>
      <c r="CO65" s="200"/>
      <c r="CP65" s="200"/>
      <c r="CQ65" s="20" t="s">
        <v>60</v>
      </c>
      <c r="CR65" s="236" t="s">
        <v>2481</v>
      </c>
      <c r="CS65" s="236" t="s">
        <v>3107</v>
      </c>
      <c r="CT65" s="200"/>
      <c r="CU65" s="200"/>
      <c r="CV65" s="20" t="s">
        <v>60</v>
      </c>
      <c r="CW65" s="20" t="s">
        <v>8</v>
      </c>
      <c r="CX65" s="25"/>
      <c r="CY65" s="20" t="s">
        <v>60</v>
      </c>
      <c r="CZ65" s="20">
        <v>19430</v>
      </c>
      <c r="DA65" s="37" t="s">
        <v>2833</v>
      </c>
      <c r="DB65" s="25"/>
      <c r="DC65" s="20" t="s">
        <v>60</v>
      </c>
      <c r="DD65" s="20">
        <v>1</v>
      </c>
      <c r="DE65" s="735">
        <v>65</v>
      </c>
      <c r="DF65" s="179">
        <v>103145</v>
      </c>
      <c r="DG65" s="179">
        <v>109549</v>
      </c>
      <c r="DH65" s="878">
        <f t="shared" si="11"/>
        <v>6.2087352755829175E-2</v>
      </c>
      <c r="DI65" s="606">
        <v>406.58118272210913</v>
      </c>
      <c r="DJ65" s="179">
        <f t="shared" si="12"/>
        <v>269.43942478241735</v>
      </c>
      <c r="DK65" s="37">
        <v>41.1</v>
      </c>
      <c r="DL65" s="236">
        <v>74175</v>
      </c>
      <c r="DM65" s="878">
        <v>8.6186224960342353E-2</v>
      </c>
      <c r="DN65" s="878">
        <v>3.5999999999999997E-2</v>
      </c>
      <c r="DO65" s="878">
        <v>3.0000000000000001E-3</v>
      </c>
      <c r="DP65" s="878">
        <v>3.2000000000000001E-2</v>
      </c>
      <c r="DQ65" s="878">
        <v>0.26596651855841302</v>
      </c>
      <c r="DR65" s="878">
        <v>0.3854201822477219</v>
      </c>
      <c r="DS65" s="878">
        <v>0.91200000000000003</v>
      </c>
      <c r="DT65" s="878">
        <v>2.1000000000000001E-2</v>
      </c>
      <c r="DU65" s="878">
        <v>1E-3</v>
      </c>
      <c r="DV65" s="878">
        <v>1.7000000000000001E-2</v>
      </c>
      <c r="DW65" s="878">
        <v>0</v>
      </c>
      <c r="DX65" s="878">
        <v>6.0000000000000001E-3</v>
      </c>
      <c r="DY65" s="878">
        <v>4.3999999999999997E-2</v>
      </c>
      <c r="DZ65" s="878">
        <v>2.1000000000000001E-2</v>
      </c>
      <c r="EA65" s="878">
        <v>0.90500000000000003</v>
      </c>
      <c r="EB65" s="25"/>
      <c r="EC65" s="25"/>
      <c r="ED65" s="25"/>
    </row>
    <row r="66" spans="1:134" s="17" customFormat="1" x14ac:dyDescent="0.2">
      <c r="A66" s="25"/>
      <c r="B66" s="20">
        <v>39061024402</v>
      </c>
      <c r="C66" s="20">
        <v>244.02</v>
      </c>
      <c r="D66" s="20" t="s">
        <v>37</v>
      </c>
      <c r="E66" s="20" t="s">
        <v>2828</v>
      </c>
      <c r="F66" s="20" t="s">
        <v>8</v>
      </c>
      <c r="G66" s="861">
        <v>82.567644839245304</v>
      </c>
      <c r="H66" s="861">
        <v>81.810987803714994</v>
      </c>
      <c r="I66" s="861">
        <v>25.6971295579526</v>
      </c>
      <c r="J66" s="861">
        <v>72.331985982341806</v>
      </c>
      <c r="K66" s="982">
        <v>0</v>
      </c>
      <c r="L66" s="735" t="s">
        <v>2466</v>
      </c>
      <c r="M66" s="735">
        <v>2985</v>
      </c>
      <c r="N66" s="845" t="str">
        <f t="shared" si="0"/>
        <v/>
      </c>
      <c r="O66" s="735">
        <v>10.803521410760453</v>
      </c>
      <c r="P66" s="735">
        <f t="shared" si="1"/>
        <v>276.29879985491579</v>
      </c>
      <c r="Q66" s="849">
        <v>47.6</v>
      </c>
      <c r="R66" s="71">
        <v>250000</v>
      </c>
      <c r="S66" s="845">
        <v>8.7542087542087539E-3</v>
      </c>
      <c r="T66" s="845">
        <v>9.0000000000000011E-3</v>
      </c>
      <c r="U66" s="845">
        <v>0</v>
      </c>
      <c r="V66" s="845">
        <v>0</v>
      </c>
      <c r="W66" s="845">
        <v>0.10239852398523985</v>
      </c>
      <c r="X66" s="845">
        <v>0.21621621621621623</v>
      </c>
      <c r="Y66" s="845">
        <v>0.84589614740368513</v>
      </c>
      <c r="Z66" s="845">
        <v>2.8475711892797319E-2</v>
      </c>
      <c r="AA66" s="845">
        <v>0</v>
      </c>
      <c r="AB66" s="845">
        <v>8.7102177554438859E-2</v>
      </c>
      <c r="AC66" s="845">
        <v>0</v>
      </c>
      <c r="AD66" s="845">
        <v>0</v>
      </c>
      <c r="AE66" s="845">
        <v>3.8525963149078725E-2</v>
      </c>
      <c r="AF66" s="845">
        <v>1.373534338358459E-2</v>
      </c>
      <c r="AG66" s="845">
        <v>0.83216080402010051</v>
      </c>
      <c r="AH66" s="20" t="str">
        <f t="shared" si="2"/>
        <v>No</v>
      </c>
      <c r="AI66" s="25"/>
      <c r="AJ66" s="37">
        <v>44236</v>
      </c>
      <c r="AK66" s="37" t="s">
        <v>1269</v>
      </c>
      <c r="AL66" s="37">
        <v>39153</v>
      </c>
      <c r="AM66" s="37" t="s">
        <v>82</v>
      </c>
      <c r="AN66" s="37">
        <f t="shared" si="3"/>
        <v>10420</v>
      </c>
      <c r="AO66" s="37" t="str">
        <f t="shared" si="4"/>
        <v>Akron, OH</v>
      </c>
      <c r="AP66" s="37" t="s">
        <v>8</v>
      </c>
      <c r="AQ66" s="25"/>
      <c r="AR66" s="20" t="s">
        <v>61</v>
      </c>
      <c r="AS66" s="24">
        <v>29850</v>
      </c>
      <c r="AT66" s="24">
        <v>34100</v>
      </c>
      <c r="AU66" s="24">
        <v>38350</v>
      </c>
      <c r="AV66" s="24">
        <v>42600</v>
      </c>
      <c r="AW66" s="24">
        <v>46050</v>
      </c>
      <c r="AX66" s="24">
        <v>49450</v>
      </c>
      <c r="AY66" s="24">
        <v>52850</v>
      </c>
      <c r="AZ66" s="24">
        <v>56250</v>
      </c>
      <c r="BA66" s="29">
        <f t="shared" si="6"/>
        <v>31975</v>
      </c>
      <c r="BB66" s="29">
        <f t="shared" si="7"/>
        <v>44325</v>
      </c>
      <c r="BC66" s="29">
        <f t="shared" si="8"/>
        <v>54550</v>
      </c>
      <c r="BD66" s="25"/>
      <c r="BE66" s="25"/>
      <c r="BF66" s="25"/>
      <c r="BG66" s="25"/>
      <c r="BH66" s="25"/>
      <c r="BI66" s="25"/>
      <c r="BJ66" s="25"/>
      <c r="BK66" s="25"/>
      <c r="BL66" s="25"/>
      <c r="BM66" s="25"/>
      <c r="BN66" s="20" t="s">
        <v>61</v>
      </c>
      <c r="BO66" s="71">
        <v>736</v>
      </c>
      <c r="BP66" s="24">
        <v>742</v>
      </c>
      <c r="BQ66" s="24">
        <v>973</v>
      </c>
      <c r="BR66" s="24">
        <v>1283</v>
      </c>
      <c r="BS66" s="24">
        <v>1288</v>
      </c>
      <c r="BT66" s="122"/>
      <c r="BU66" s="39">
        <v>44319</v>
      </c>
      <c r="BV66" s="39" t="s">
        <v>1309</v>
      </c>
      <c r="BW66" s="39" t="s">
        <v>2929</v>
      </c>
      <c r="BX66" s="39" t="s">
        <v>273</v>
      </c>
      <c r="BY66" s="71">
        <v>960</v>
      </c>
      <c r="BZ66" s="71">
        <v>1040</v>
      </c>
      <c r="CA66" s="71">
        <v>1340</v>
      </c>
      <c r="CB66" s="71">
        <v>1640</v>
      </c>
      <c r="CC66" s="71">
        <v>1780</v>
      </c>
      <c r="CD66" s="25"/>
      <c r="CE66" s="200"/>
      <c r="CF66" s="200"/>
      <c r="CG66" s="200"/>
      <c r="CH66" s="200"/>
      <c r="CI66" s="200"/>
      <c r="CJ66" s="200"/>
      <c r="CK66" s="200"/>
      <c r="CL66" s="200"/>
      <c r="CM66" s="200"/>
      <c r="CN66" s="200"/>
      <c r="CO66" s="200"/>
      <c r="CP66" s="200"/>
      <c r="CQ66" s="20" t="s">
        <v>61</v>
      </c>
      <c r="CR66" s="236" t="s">
        <v>292</v>
      </c>
      <c r="CS66" s="236" t="s">
        <v>3110</v>
      </c>
      <c r="CT66" s="200"/>
      <c r="CU66" s="200"/>
      <c r="CV66" s="20" t="s">
        <v>61</v>
      </c>
      <c r="CW66" s="20" t="s">
        <v>6</v>
      </c>
      <c r="CX66" s="25"/>
      <c r="CY66" s="20" t="s">
        <v>61</v>
      </c>
      <c r="CZ66" s="20" t="s">
        <v>265</v>
      </c>
      <c r="DA66" s="37" t="s">
        <v>265</v>
      </c>
      <c r="DB66" s="25"/>
      <c r="DC66" s="20" t="s">
        <v>61</v>
      </c>
      <c r="DD66" s="20">
        <v>0</v>
      </c>
      <c r="DE66" s="735">
        <v>0</v>
      </c>
      <c r="DF66" s="179">
        <v>14590</v>
      </c>
      <c r="DG66" s="179">
        <v>13308</v>
      </c>
      <c r="DH66" s="878">
        <f t="shared" si="11"/>
        <v>-8.7868403015764221E-2</v>
      </c>
      <c r="DI66" s="606">
        <v>455.58105631612341</v>
      </c>
      <c r="DJ66" s="179">
        <f t="shared" si="12"/>
        <v>29.211047771849636</v>
      </c>
      <c r="DK66" s="37">
        <v>46</v>
      </c>
      <c r="DL66" s="236">
        <v>58962</v>
      </c>
      <c r="DM66" s="878">
        <v>0.15133125995600394</v>
      </c>
      <c r="DN66" s="878">
        <v>0.06</v>
      </c>
      <c r="DO66" s="878">
        <v>9.0000000000000011E-3</v>
      </c>
      <c r="DP66" s="878">
        <v>9.1999999999999998E-2</v>
      </c>
      <c r="DQ66" s="878">
        <v>0.1762250453720508</v>
      </c>
      <c r="DR66" s="878">
        <v>0.33882595262615861</v>
      </c>
      <c r="DS66" s="878">
        <v>0.95399999999999996</v>
      </c>
      <c r="DT66" s="878">
        <v>5.0000000000000001E-3</v>
      </c>
      <c r="DU66" s="878">
        <v>0</v>
      </c>
      <c r="DV66" s="878">
        <v>5.0000000000000001E-3</v>
      </c>
      <c r="DW66" s="878">
        <v>0</v>
      </c>
      <c r="DX66" s="878">
        <v>3.0000000000000001E-3</v>
      </c>
      <c r="DY66" s="878">
        <v>3.2000000000000001E-2</v>
      </c>
      <c r="DZ66" s="878">
        <v>2E-3</v>
      </c>
      <c r="EA66" s="878">
        <v>0.95399999999999996</v>
      </c>
      <c r="EB66" s="25"/>
      <c r="EC66" s="25"/>
      <c r="ED66" s="25"/>
    </row>
    <row r="67" spans="1:134" s="17" customFormat="1" x14ac:dyDescent="0.2">
      <c r="A67" s="25"/>
      <c r="B67" s="20">
        <v>39165031908</v>
      </c>
      <c r="C67" s="20">
        <v>319.08</v>
      </c>
      <c r="D67" s="20" t="s">
        <v>88</v>
      </c>
      <c r="E67" s="20" t="s">
        <v>2828</v>
      </c>
      <c r="F67" s="20" t="s">
        <v>8</v>
      </c>
      <c r="G67" s="861">
        <v>82.456476606634297</v>
      </c>
      <c r="H67" s="861">
        <v>80.743106980758597</v>
      </c>
      <c r="I67" s="861">
        <v>20.695866428014501</v>
      </c>
      <c r="J67" s="861">
        <v>34.373917435854302</v>
      </c>
      <c r="K67" s="982">
        <v>0</v>
      </c>
      <c r="L67" s="735" t="s">
        <v>2466</v>
      </c>
      <c r="M67" s="735">
        <v>4804</v>
      </c>
      <c r="N67" s="845" t="str">
        <f t="shared" si="0"/>
        <v/>
      </c>
      <c r="O67" s="735">
        <v>2.037988120339286</v>
      </c>
      <c r="P67" s="735">
        <f t="shared" si="1"/>
        <v>2357.2266943343252</v>
      </c>
      <c r="Q67" s="849">
        <v>50.7</v>
      </c>
      <c r="R67" s="71">
        <v>160775</v>
      </c>
      <c r="S67" s="845">
        <v>2.6436303080766027E-2</v>
      </c>
      <c r="T67" s="845">
        <v>6.0000000000000001E-3</v>
      </c>
      <c r="U67" s="845">
        <v>0</v>
      </c>
      <c r="V67" s="845">
        <v>7.8E-2</v>
      </c>
      <c r="W67" s="845">
        <v>0.13302516692347202</v>
      </c>
      <c r="X67" s="845">
        <v>0.20463320463320464</v>
      </c>
      <c r="Y67" s="845">
        <v>0.75395503746877601</v>
      </c>
      <c r="Z67" s="845">
        <v>1.4571190674437969E-3</v>
      </c>
      <c r="AA67" s="845">
        <v>0</v>
      </c>
      <c r="AB67" s="845">
        <v>0.16028309741881766</v>
      </c>
      <c r="AC67" s="845">
        <v>0</v>
      </c>
      <c r="AD67" s="845">
        <v>0</v>
      </c>
      <c r="AE67" s="845">
        <v>8.4304746044962534E-2</v>
      </c>
      <c r="AF67" s="845">
        <v>6.0574521232306409E-2</v>
      </c>
      <c r="AG67" s="845">
        <v>0.75395503746877601</v>
      </c>
      <c r="AH67" s="20" t="str">
        <f t="shared" si="2"/>
        <v>No</v>
      </c>
      <c r="AI67" s="25"/>
      <c r="AJ67" s="37">
        <v>44240</v>
      </c>
      <c r="AK67" s="37" t="s">
        <v>1270</v>
      </c>
      <c r="AL67" s="37">
        <v>39153</v>
      </c>
      <c r="AM67" s="37" t="s">
        <v>82</v>
      </c>
      <c r="AN67" s="37">
        <f t="shared" si="3"/>
        <v>10420</v>
      </c>
      <c r="AO67" s="37" t="str">
        <f t="shared" si="4"/>
        <v>Akron, OH</v>
      </c>
      <c r="AP67" s="37" t="s">
        <v>8</v>
      </c>
      <c r="AQ67" s="25"/>
      <c r="AR67" s="20" t="s">
        <v>62</v>
      </c>
      <c r="AS67" s="24">
        <v>32850</v>
      </c>
      <c r="AT67" s="24">
        <v>37550</v>
      </c>
      <c r="AU67" s="24">
        <v>42250</v>
      </c>
      <c r="AV67" s="24">
        <v>46900</v>
      </c>
      <c r="AW67" s="24">
        <v>50700</v>
      </c>
      <c r="AX67" s="24">
        <v>54450</v>
      </c>
      <c r="AY67" s="24">
        <v>58200</v>
      </c>
      <c r="AZ67" s="24">
        <v>61950</v>
      </c>
      <c r="BA67" s="29">
        <f t="shared" si="6"/>
        <v>35200</v>
      </c>
      <c r="BB67" s="29">
        <f t="shared" si="7"/>
        <v>48800</v>
      </c>
      <c r="BC67" s="29">
        <f t="shared" si="8"/>
        <v>60075</v>
      </c>
      <c r="BD67" s="25"/>
      <c r="BE67" s="25"/>
      <c r="BF67" s="25"/>
      <c r="BG67" s="25"/>
      <c r="BH67" s="25"/>
      <c r="BI67" s="25"/>
      <c r="BJ67" s="25"/>
      <c r="BK67" s="25"/>
      <c r="BL67" s="25"/>
      <c r="BM67" s="25"/>
      <c r="BN67" s="20" t="s">
        <v>62</v>
      </c>
      <c r="BO67" s="71">
        <v>928</v>
      </c>
      <c r="BP67" s="24">
        <v>1009</v>
      </c>
      <c r="BQ67" s="24">
        <v>1273</v>
      </c>
      <c r="BR67" s="24">
        <v>1651</v>
      </c>
      <c r="BS67" s="24">
        <v>1817</v>
      </c>
      <c r="BT67" s="122"/>
      <c r="BU67" s="39">
        <v>44320</v>
      </c>
      <c r="BV67" s="39" t="s">
        <v>1310</v>
      </c>
      <c r="BW67" s="39" t="s">
        <v>2929</v>
      </c>
      <c r="BX67" s="39" t="s">
        <v>273</v>
      </c>
      <c r="BY67" s="71">
        <v>820</v>
      </c>
      <c r="BZ67" s="71">
        <v>890</v>
      </c>
      <c r="CA67" s="71">
        <v>1150</v>
      </c>
      <c r="CB67" s="71">
        <v>1400</v>
      </c>
      <c r="CC67" s="71">
        <v>1520</v>
      </c>
      <c r="CD67" s="25"/>
      <c r="CE67" s="200"/>
      <c r="CF67" s="200"/>
      <c r="CG67" s="200"/>
      <c r="CH67" s="200"/>
      <c r="CI67" s="200"/>
      <c r="CJ67" s="200"/>
      <c r="CK67" s="200"/>
      <c r="CL67" s="200"/>
      <c r="CM67" s="200"/>
      <c r="CN67" s="200"/>
      <c r="CO67" s="200"/>
      <c r="CP67" s="200"/>
      <c r="CQ67" s="20" t="s">
        <v>62</v>
      </c>
      <c r="CR67" s="236" t="s">
        <v>2481</v>
      </c>
      <c r="CS67" s="236" t="s">
        <v>3107</v>
      </c>
      <c r="CT67" s="200"/>
      <c r="CU67" s="200"/>
      <c r="CV67" s="20" t="s">
        <v>62</v>
      </c>
      <c r="CW67" s="20" t="s">
        <v>8</v>
      </c>
      <c r="CX67" s="25"/>
      <c r="CY67" s="20" t="s">
        <v>62</v>
      </c>
      <c r="CZ67" s="20">
        <v>19430</v>
      </c>
      <c r="DA67" s="37" t="s">
        <v>2833</v>
      </c>
      <c r="DB67" s="25"/>
      <c r="DC67" s="20" t="s">
        <v>62</v>
      </c>
      <c r="DD67" s="20">
        <v>32</v>
      </c>
      <c r="DE67" s="735">
        <v>2499</v>
      </c>
      <c r="DF67" s="179">
        <v>534801</v>
      </c>
      <c r="DG67" s="179">
        <v>535528</v>
      </c>
      <c r="DH67" s="878">
        <f t="shared" si="11"/>
        <v>1.3593841447566478E-3</v>
      </c>
      <c r="DI67" s="606">
        <v>461.35242644028972</v>
      </c>
      <c r="DJ67" s="179">
        <f t="shared" si="12"/>
        <v>1160.7785486944013</v>
      </c>
      <c r="DK67" s="37">
        <v>38.799999999999997</v>
      </c>
      <c r="DL67" s="236">
        <v>64403</v>
      </c>
      <c r="DM67" s="878">
        <v>0.14898581041572992</v>
      </c>
      <c r="DN67" s="878">
        <v>5.8000000000000003E-2</v>
      </c>
      <c r="DO67" s="878">
        <v>1.4999999999999999E-2</v>
      </c>
      <c r="DP67" s="878">
        <v>4.2000000000000003E-2</v>
      </c>
      <c r="DQ67" s="878">
        <v>0.37674723765908175</v>
      </c>
      <c r="DR67" s="878">
        <v>0.40518752594916269</v>
      </c>
      <c r="DS67" s="878">
        <v>0.69199999999999995</v>
      </c>
      <c r="DT67" s="878">
        <v>0.20499999999999999</v>
      </c>
      <c r="DU67" s="878">
        <v>2E-3</v>
      </c>
      <c r="DV67" s="878">
        <v>2.1999999999999999E-2</v>
      </c>
      <c r="DW67" s="878">
        <v>0</v>
      </c>
      <c r="DX67" s="878">
        <v>1.6E-2</v>
      </c>
      <c r="DY67" s="878">
        <v>6.4000000000000001E-2</v>
      </c>
      <c r="DZ67" s="878">
        <v>4.1000000000000002E-2</v>
      </c>
      <c r="EA67" s="878">
        <v>0.68300000000000005</v>
      </c>
      <c r="EB67" s="25"/>
      <c r="EC67" s="25"/>
      <c r="ED67" s="25"/>
    </row>
    <row r="68" spans="1:134" s="17" customFormat="1" x14ac:dyDescent="0.2">
      <c r="A68" s="25"/>
      <c r="B68" s="20">
        <v>39061026800</v>
      </c>
      <c r="C68" s="20">
        <v>268</v>
      </c>
      <c r="D68" s="20" t="s">
        <v>37</v>
      </c>
      <c r="E68" s="20" t="s">
        <v>2828</v>
      </c>
      <c r="F68" s="20" t="s">
        <v>8</v>
      </c>
      <c r="G68" s="861">
        <v>82.384329724151399</v>
      </c>
      <c r="H68" s="861">
        <v>86.442201557858596</v>
      </c>
      <c r="I68" s="861">
        <v>34.1132517714301</v>
      </c>
      <c r="J68" s="861">
        <v>47.833728096046997</v>
      </c>
      <c r="K68" s="982">
        <v>0</v>
      </c>
      <c r="L68" s="735">
        <v>1555</v>
      </c>
      <c r="M68" s="735">
        <v>1592</v>
      </c>
      <c r="N68" s="845">
        <f t="shared" si="0"/>
        <v>2.3794212218649517E-2</v>
      </c>
      <c r="O68" s="735">
        <v>0.2373987732322061</v>
      </c>
      <c r="P68" s="735">
        <f t="shared" si="1"/>
        <v>6706.0161193117128</v>
      </c>
      <c r="Q68" s="849">
        <v>33.299999999999997</v>
      </c>
      <c r="R68" s="71">
        <v>110000</v>
      </c>
      <c r="S68" s="845">
        <v>6.78391959798995E-2</v>
      </c>
      <c r="T68" s="845">
        <v>2.6000000000000002E-2</v>
      </c>
      <c r="U68" s="845">
        <v>0</v>
      </c>
      <c r="V68" s="845">
        <v>4.5999999999999999E-2</v>
      </c>
      <c r="W68" s="845">
        <v>0.65447154471544711</v>
      </c>
      <c r="X68" s="845">
        <v>0.25465838509316768</v>
      </c>
      <c r="Y68" s="845">
        <v>0.87185929648241201</v>
      </c>
      <c r="Z68" s="845">
        <v>9.4221105527638183E-3</v>
      </c>
      <c r="AA68" s="845">
        <v>0</v>
      </c>
      <c r="AB68" s="845">
        <v>1.1306532663316583E-2</v>
      </c>
      <c r="AC68" s="845">
        <v>0</v>
      </c>
      <c r="AD68" s="845">
        <v>0</v>
      </c>
      <c r="AE68" s="845">
        <v>0.10741206030150753</v>
      </c>
      <c r="AF68" s="845">
        <v>3.8316582914572864E-2</v>
      </c>
      <c r="AG68" s="845">
        <v>0.85678391959798994</v>
      </c>
      <c r="AH68" s="20" t="str">
        <f t="shared" si="2"/>
        <v>No</v>
      </c>
      <c r="AI68" s="25"/>
      <c r="AJ68" s="37">
        <v>44250</v>
      </c>
      <c r="AK68" s="37" t="s">
        <v>1273</v>
      </c>
      <c r="AL68" s="37">
        <v>39153</v>
      </c>
      <c r="AM68" s="37" t="s">
        <v>82</v>
      </c>
      <c r="AN68" s="37">
        <f t="shared" si="3"/>
        <v>10420</v>
      </c>
      <c r="AO68" s="37" t="str">
        <f t="shared" si="4"/>
        <v>Akron, OH</v>
      </c>
      <c r="AP68" s="37" t="s">
        <v>8</v>
      </c>
      <c r="AQ68" s="25"/>
      <c r="AR68" s="20" t="s">
        <v>63</v>
      </c>
      <c r="AS68" s="24">
        <v>29850</v>
      </c>
      <c r="AT68" s="24">
        <v>34100</v>
      </c>
      <c r="AU68" s="24">
        <v>38350</v>
      </c>
      <c r="AV68" s="24">
        <v>42600</v>
      </c>
      <c r="AW68" s="24">
        <v>46050</v>
      </c>
      <c r="AX68" s="24">
        <v>49450</v>
      </c>
      <c r="AY68" s="24">
        <v>52850</v>
      </c>
      <c r="AZ68" s="24">
        <v>56250</v>
      </c>
      <c r="BA68" s="29">
        <f t="shared" si="6"/>
        <v>31975</v>
      </c>
      <c r="BB68" s="29">
        <f t="shared" si="7"/>
        <v>44325</v>
      </c>
      <c r="BC68" s="29">
        <f t="shared" si="8"/>
        <v>54550</v>
      </c>
      <c r="BD68" s="25"/>
      <c r="BE68" s="25"/>
      <c r="BF68" s="25"/>
      <c r="BG68" s="25"/>
      <c r="BH68" s="25"/>
      <c r="BI68" s="25"/>
      <c r="BJ68" s="25"/>
      <c r="BK68" s="25"/>
      <c r="BL68" s="25"/>
      <c r="BM68" s="25"/>
      <c r="BN68" s="20" t="s">
        <v>63</v>
      </c>
      <c r="BO68" s="71">
        <v>736</v>
      </c>
      <c r="BP68" s="24">
        <v>875</v>
      </c>
      <c r="BQ68" s="24">
        <v>973</v>
      </c>
      <c r="BR68" s="24">
        <v>1193</v>
      </c>
      <c r="BS68" s="24">
        <v>1462</v>
      </c>
      <c r="BT68" s="122"/>
      <c r="BU68" s="39">
        <v>44321</v>
      </c>
      <c r="BV68" s="39" t="s">
        <v>1311</v>
      </c>
      <c r="BW68" s="39" t="s">
        <v>2929</v>
      </c>
      <c r="BX68" s="39" t="s">
        <v>273</v>
      </c>
      <c r="BY68" s="71">
        <v>1210</v>
      </c>
      <c r="BZ68" s="71">
        <v>1320</v>
      </c>
      <c r="CA68" s="71">
        <v>1700</v>
      </c>
      <c r="CB68" s="71">
        <v>2070</v>
      </c>
      <c r="CC68" s="71">
        <v>2250</v>
      </c>
      <c r="CD68" s="25"/>
      <c r="CE68" s="200"/>
      <c r="CF68" s="200"/>
      <c r="CG68" s="200"/>
      <c r="CH68" s="200"/>
      <c r="CI68" s="200"/>
      <c r="CJ68" s="200"/>
      <c r="CK68" s="200"/>
      <c r="CL68" s="200"/>
      <c r="CM68" s="200"/>
      <c r="CN68" s="200"/>
      <c r="CO68" s="200"/>
      <c r="CP68" s="200"/>
      <c r="CQ68" s="20" t="s">
        <v>63</v>
      </c>
      <c r="CR68" s="236" t="s">
        <v>292</v>
      </c>
      <c r="CS68" s="236" t="s">
        <v>3110</v>
      </c>
      <c r="CT68" s="200"/>
      <c r="CU68" s="200"/>
      <c r="CV68" s="20" t="s">
        <v>63</v>
      </c>
      <c r="CW68" s="20" t="s">
        <v>6</v>
      </c>
      <c r="CX68" s="25"/>
      <c r="CY68" s="20" t="s">
        <v>63</v>
      </c>
      <c r="CZ68" s="20" t="s">
        <v>265</v>
      </c>
      <c r="DA68" s="37" t="s">
        <v>265</v>
      </c>
      <c r="DB68" s="25"/>
      <c r="DC68" s="20" t="s">
        <v>63</v>
      </c>
      <c r="DD68" s="20">
        <v>0</v>
      </c>
      <c r="DE68" s="735">
        <v>0</v>
      </c>
      <c r="DF68" s="179">
        <v>14977</v>
      </c>
      <c r="DG68" s="179">
        <v>13758</v>
      </c>
      <c r="DH68" s="878">
        <f t="shared" si="11"/>
        <v>-8.1391466915937766E-2</v>
      </c>
      <c r="DI68" s="606">
        <v>416.42595803267994</v>
      </c>
      <c r="DJ68" s="179">
        <f t="shared" si="12"/>
        <v>33.038286241801266</v>
      </c>
      <c r="DK68" s="37">
        <v>44.4</v>
      </c>
      <c r="DL68" s="236">
        <v>55971</v>
      </c>
      <c r="DM68" s="878">
        <v>0.14286768504169434</v>
      </c>
      <c r="DN68" s="878">
        <v>0.03</v>
      </c>
      <c r="DO68" s="878">
        <v>1.9E-2</v>
      </c>
      <c r="DP68" s="878">
        <v>3.0000000000000001E-3</v>
      </c>
      <c r="DQ68" s="878">
        <v>0.22829753239836675</v>
      </c>
      <c r="DR68" s="878">
        <v>0.36314152410575429</v>
      </c>
      <c r="DS68" s="878">
        <v>0.91200000000000003</v>
      </c>
      <c r="DT68" s="878">
        <v>0.03</v>
      </c>
      <c r="DU68" s="878">
        <v>1E-3</v>
      </c>
      <c r="DV68" s="878">
        <v>2E-3</v>
      </c>
      <c r="DW68" s="878">
        <v>0</v>
      </c>
      <c r="DX68" s="878">
        <v>7.0000000000000001E-3</v>
      </c>
      <c r="DY68" s="878">
        <v>4.8000000000000001E-2</v>
      </c>
      <c r="DZ68" s="878">
        <v>1.0999999999999999E-2</v>
      </c>
      <c r="EA68" s="878">
        <v>0.90700000000000003</v>
      </c>
      <c r="EB68" s="25"/>
      <c r="EC68" s="25"/>
      <c r="ED68" s="25"/>
    </row>
    <row r="69" spans="1:134" s="17" customFormat="1" x14ac:dyDescent="0.2">
      <c r="A69" s="25"/>
      <c r="B69" s="20">
        <v>39035179102</v>
      </c>
      <c r="C69" s="20">
        <v>1791.02</v>
      </c>
      <c r="D69" s="20" t="s">
        <v>24</v>
      </c>
      <c r="E69" s="20" t="s">
        <v>2829</v>
      </c>
      <c r="F69" s="20" t="s">
        <v>8</v>
      </c>
      <c r="G69" s="861">
        <v>82.187122155386504</v>
      </c>
      <c r="H69" s="861">
        <v>80.263521084513201</v>
      </c>
      <c r="I69" s="861">
        <v>16.527093087723099</v>
      </c>
      <c r="J69" s="861">
        <v>32.637950899267999</v>
      </c>
      <c r="K69" s="982">
        <v>0</v>
      </c>
      <c r="L69" s="735">
        <v>2800</v>
      </c>
      <c r="M69" s="735">
        <v>2641</v>
      </c>
      <c r="N69" s="845">
        <f t="shared" si="0"/>
        <v>-5.6785714285714287E-2</v>
      </c>
      <c r="O69" s="735">
        <v>3.8930255938510854</v>
      </c>
      <c r="P69" s="735">
        <f t="shared" si="1"/>
        <v>678.39266306683896</v>
      </c>
      <c r="Q69" s="849">
        <v>47.4</v>
      </c>
      <c r="R69" s="71">
        <v>250000</v>
      </c>
      <c r="S69" s="845">
        <v>8.7585681645087586E-3</v>
      </c>
      <c r="T69" s="845">
        <v>0</v>
      </c>
      <c r="U69" s="845">
        <v>2.5000000000000001E-2</v>
      </c>
      <c r="V69" s="845">
        <v>1</v>
      </c>
      <c r="W69" s="845">
        <v>0</v>
      </c>
      <c r="X69" s="845"/>
      <c r="Y69" s="845">
        <v>0.76334721696327146</v>
      </c>
      <c r="Z69" s="845">
        <v>6.134040136312003E-2</v>
      </c>
      <c r="AA69" s="845">
        <v>2.2718667171525938E-3</v>
      </c>
      <c r="AB69" s="845">
        <v>7.2699734948883002E-2</v>
      </c>
      <c r="AC69" s="845">
        <v>0</v>
      </c>
      <c r="AD69" s="845">
        <v>0</v>
      </c>
      <c r="AE69" s="845">
        <v>0.10034078000757289</v>
      </c>
      <c r="AF69" s="845">
        <v>1.0602044680045438E-2</v>
      </c>
      <c r="AG69" s="845">
        <v>0.75274517228322602</v>
      </c>
      <c r="AH69" s="20" t="str">
        <f t="shared" si="2"/>
        <v>No</v>
      </c>
      <c r="AI69" s="25"/>
      <c r="AJ69" s="37">
        <v>44260</v>
      </c>
      <c r="AK69" s="37" t="s">
        <v>1279</v>
      </c>
      <c r="AL69" s="37">
        <v>39153</v>
      </c>
      <c r="AM69" s="37" t="s">
        <v>82</v>
      </c>
      <c r="AN69" s="37">
        <f t="shared" si="3"/>
        <v>10420</v>
      </c>
      <c r="AO69" s="37" t="str">
        <f t="shared" si="4"/>
        <v>Akron, OH</v>
      </c>
      <c r="AP69" s="37" t="s">
        <v>8</v>
      </c>
      <c r="AQ69" s="25"/>
      <c r="AR69" s="20" t="s">
        <v>64</v>
      </c>
      <c r="AS69" s="24">
        <v>38150</v>
      </c>
      <c r="AT69" s="24">
        <v>43600</v>
      </c>
      <c r="AU69" s="24">
        <v>49050</v>
      </c>
      <c r="AV69" s="24">
        <v>54500</v>
      </c>
      <c r="AW69" s="24">
        <v>58900</v>
      </c>
      <c r="AX69" s="24">
        <v>63250</v>
      </c>
      <c r="AY69" s="24">
        <v>67600</v>
      </c>
      <c r="AZ69" s="24">
        <v>71950</v>
      </c>
      <c r="BA69" s="29">
        <f t="shared" si="6"/>
        <v>40875</v>
      </c>
      <c r="BB69" s="29">
        <f t="shared" si="7"/>
        <v>56700</v>
      </c>
      <c r="BC69" s="29">
        <f t="shared" si="8"/>
        <v>69775</v>
      </c>
      <c r="BD69" s="25"/>
      <c r="BE69" s="25"/>
      <c r="BF69" s="25"/>
      <c r="BG69" s="25"/>
      <c r="BH69" s="25"/>
      <c r="BI69" s="25"/>
      <c r="BJ69" s="25"/>
      <c r="BK69" s="25"/>
      <c r="BL69" s="25"/>
      <c r="BM69" s="25"/>
      <c r="BN69" s="20" t="s">
        <v>64</v>
      </c>
      <c r="BO69" s="71">
        <v>1111</v>
      </c>
      <c r="BP69" s="24">
        <v>1194</v>
      </c>
      <c r="BQ69" s="24">
        <v>1430</v>
      </c>
      <c r="BR69" s="24">
        <v>1715</v>
      </c>
      <c r="BS69" s="24">
        <v>1927</v>
      </c>
      <c r="BT69" s="122"/>
      <c r="BU69" s="39">
        <v>44325</v>
      </c>
      <c r="BV69" s="39" t="s">
        <v>1312</v>
      </c>
      <c r="BW69" s="39" t="s">
        <v>2929</v>
      </c>
      <c r="BX69" s="39" t="s">
        <v>273</v>
      </c>
      <c r="BY69" s="71">
        <v>830</v>
      </c>
      <c r="BZ69" s="71">
        <v>900</v>
      </c>
      <c r="CA69" s="71">
        <v>1160</v>
      </c>
      <c r="CB69" s="71">
        <v>1420</v>
      </c>
      <c r="CC69" s="71">
        <v>1540</v>
      </c>
      <c r="CD69" s="25"/>
      <c r="CE69" s="200"/>
      <c r="CF69" s="200"/>
      <c r="CG69" s="200"/>
      <c r="CH69" s="200"/>
      <c r="CI69" s="200"/>
      <c r="CJ69" s="200"/>
      <c r="CK69" s="200"/>
      <c r="CL69" s="200"/>
      <c r="CM69" s="200"/>
      <c r="CN69" s="200"/>
      <c r="CO69" s="200"/>
      <c r="CP69" s="200"/>
      <c r="CQ69" s="20" t="s">
        <v>64</v>
      </c>
      <c r="CR69" s="236" t="s">
        <v>292</v>
      </c>
      <c r="CS69" s="236" t="s">
        <v>3111</v>
      </c>
      <c r="CT69" s="200"/>
      <c r="CU69" s="200"/>
      <c r="CV69" s="20" t="s">
        <v>64</v>
      </c>
      <c r="CW69" s="20" t="s">
        <v>8</v>
      </c>
      <c r="CX69" s="25"/>
      <c r="CY69" s="20" t="s">
        <v>64</v>
      </c>
      <c r="CZ69" s="20">
        <v>18140</v>
      </c>
      <c r="DA69" s="37" t="s">
        <v>2830</v>
      </c>
      <c r="DB69" s="25"/>
      <c r="DC69" s="20" t="s">
        <v>64</v>
      </c>
      <c r="DD69" s="20">
        <v>2</v>
      </c>
      <c r="DE69" s="735">
        <v>90</v>
      </c>
      <c r="DF69" s="179">
        <v>34991</v>
      </c>
      <c r="DG69" s="179">
        <v>35214</v>
      </c>
      <c r="DH69" s="878">
        <f t="shared" si="11"/>
        <v>6.3730673601783312E-3</v>
      </c>
      <c r="DI69" s="606">
        <v>406.13354167096929</v>
      </c>
      <c r="DJ69" s="179">
        <f t="shared" si="12"/>
        <v>86.705470952036663</v>
      </c>
      <c r="DK69" s="37">
        <v>43.3</v>
      </c>
      <c r="DL69" s="236">
        <v>71047</v>
      </c>
      <c r="DM69" s="878">
        <v>0.1087056523489161</v>
      </c>
      <c r="DN69" s="878">
        <v>0.03</v>
      </c>
      <c r="DO69" s="878">
        <v>3.0000000000000001E-3</v>
      </c>
      <c r="DP69" s="878">
        <v>2.5000000000000001E-2</v>
      </c>
      <c r="DQ69" s="878">
        <v>0.18231838798423675</v>
      </c>
      <c r="DR69" s="878">
        <v>0.32463295269168024</v>
      </c>
      <c r="DS69" s="878">
        <v>0.95</v>
      </c>
      <c r="DT69" s="878">
        <v>5.0000000000000001E-3</v>
      </c>
      <c r="DU69" s="878">
        <v>1E-3</v>
      </c>
      <c r="DV69" s="878">
        <v>3.0000000000000001E-3</v>
      </c>
      <c r="DW69" s="878">
        <v>0</v>
      </c>
      <c r="DX69" s="878">
        <v>8.9999999999999993E-3</v>
      </c>
      <c r="DY69" s="878">
        <v>3.1E-2</v>
      </c>
      <c r="DZ69" s="878">
        <v>1.7999999999999999E-2</v>
      </c>
      <c r="EA69" s="878">
        <v>0.94699999999999995</v>
      </c>
      <c r="EB69" s="25"/>
      <c r="EC69" s="25"/>
      <c r="ED69" s="25"/>
    </row>
    <row r="70" spans="1:134" s="17" customFormat="1" x14ac:dyDescent="0.2">
      <c r="A70" s="25"/>
      <c r="B70" s="20">
        <v>39035141400</v>
      </c>
      <c r="C70" s="20">
        <v>1414</v>
      </c>
      <c r="D70" s="20" t="s">
        <v>24</v>
      </c>
      <c r="E70" s="20" t="s">
        <v>2829</v>
      </c>
      <c r="F70" s="20" t="s">
        <v>8</v>
      </c>
      <c r="G70" s="861">
        <v>82.185962452319899</v>
      </c>
      <c r="H70" s="861">
        <v>81.423469248019202</v>
      </c>
      <c r="I70" s="861">
        <v>23.842845005590402</v>
      </c>
      <c r="J70" s="861">
        <v>49.542163051980502</v>
      </c>
      <c r="K70" s="982">
        <v>0</v>
      </c>
      <c r="L70" s="735">
        <v>2677</v>
      </c>
      <c r="M70" s="735">
        <v>2566</v>
      </c>
      <c r="N70" s="845">
        <f t="shared" si="0"/>
        <v>-4.1464325737766157E-2</v>
      </c>
      <c r="O70" s="735">
        <v>0.58263858207441732</v>
      </c>
      <c r="P70" s="735">
        <f t="shared" si="1"/>
        <v>4404.1024383659142</v>
      </c>
      <c r="Q70" s="849">
        <v>43.1</v>
      </c>
      <c r="R70" s="71">
        <v>163512</v>
      </c>
      <c r="S70" s="845">
        <v>2.4239934264585046E-2</v>
      </c>
      <c r="T70" s="845">
        <v>4.4999999999999998E-2</v>
      </c>
      <c r="U70" s="845">
        <v>0</v>
      </c>
      <c r="V70" s="845">
        <v>0</v>
      </c>
      <c r="W70" s="845">
        <v>7.1357779980178393E-2</v>
      </c>
      <c r="X70" s="845">
        <v>0.80555555555555558</v>
      </c>
      <c r="Y70" s="845">
        <v>0.83826968043647698</v>
      </c>
      <c r="Z70" s="845">
        <v>6.66406858924396E-2</v>
      </c>
      <c r="AA70" s="845">
        <v>0</v>
      </c>
      <c r="AB70" s="845">
        <v>7.7942322681215899E-3</v>
      </c>
      <c r="AC70" s="845">
        <v>0</v>
      </c>
      <c r="AD70" s="845">
        <v>2.7669524551831644E-2</v>
      </c>
      <c r="AE70" s="845">
        <v>5.9625876851130161E-2</v>
      </c>
      <c r="AF70" s="845">
        <v>4.6765393608729541E-2</v>
      </c>
      <c r="AG70" s="845">
        <v>0.83047544816835539</v>
      </c>
      <c r="AH70" s="20" t="str">
        <f t="shared" si="2"/>
        <v>No</v>
      </c>
      <c r="AI70" s="25"/>
      <c r="AJ70" s="37">
        <v>44262</v>
      </c>
      <c r="AK70" s="37" t="s">
        <v>1280</v>
      </c>
      <c r="AL70" s="37">
        <v>39153</v>
      </c>
      <c r="AM70" s="37" t="s">
        <v>82</v>
      </c>
      <c r="AN70" s="37">
        <f t="shared" si="3"/>
        <v>10420</v>
      </c>
      <c r="AO70" s="37" t="str">
        <f t="shared" si="4"/>
        <v>Akron, OH</v>
      </c>
      <c r="AP70" s="37" t="s">
        <v>8</v>
      </c>
      <c r="AQ70" s="25"/>
      <c r="AR70" s="20" t="s">
        <v>65</v>
      </c>
      <c r="AS70" s="24">
        <v>29850</v>
      </c>
      <c r="AT70" s="24">
        <v>34100</v>
      </c>
      <c r="AU70" s="24">
        <v>38350</v>
      </c>
      <c r="AV70" s="24">
        <v>42600</v>
      </c>
      <c r="AW70" s="24">
        <v>46050</v>
      </c>
      <c r="AX70" s="24">
        <v>49450</v>
      </c>
      <c r="AY70" s="24">
        <v>52850</v>
      </c>
      <c r="AZ70" s="24">
        <v>56250</v>
      </c>
      <c r="BA70" s="29">
        <f t="shared" si="6"/>
        <v>31975</v>
      </c>
      <c r="BB70" s="29">
        <f t="shared" si="7"/>
        <v>44325</v>
      </c>
      <c r="BC70" s="29">
        <f t="shared" si="8"/>
        <v>54550</v>
      </c>
      <c r="BD70" s="25"/>
      <c r="BE70" s="25"/>
      <c r="BF70" s="25"/>
      <c r="BG70" s="25"/>
      <c r="BH70" s="25"/>
      <c r="BI70" s="25"/>
      <c r="BJ70" s="25"/>
      <c r="BK70" s="25"/>
      <c r="BL70" s="25"/>
      <c r="BM70" s="25"/>
      <c r="BN70" s="37" t="s">
        <v>65</v>
      </c>
      <c r="BO70" s="236">
        <v>815</v>
      </c>
      <c r="BP70" s="308">
        <v>820</v>
      </c>
      <c r="BQ70" s="308">
        <v>973</v>
      </c>
      <c r="BR70" s="308">
        <v>1324</v>
      </c>
      <c r="BS70" s="308">
        <v>1438</v>
      </c>
      <c r="BT70" s="122"/>
      <c r="BU70" s="39">
        <v>44333</v>
      </c>
      <c r="BV70" s="39" t="s">
        <v>1313</v>
      </c>
      <c r="BW70" s="39" t="s">
        <v>2929</v>
      </c>
      <c r="BX70" s="39" t="s">
        <v>273</v>
      </c>
      <c r="BY70" s="71">
        <v>940</v>
      </c>
      <c r="BZ70" s="71">
        <v>1030</v>
      </c>
      <c r="CA70" s="71">
        <v>1320</v>
      </c>
      <c r="CB70" s="71">
        <v>1610</v>
      </c>
      <c r="CC70" s="71">
        <v>1750</v>
      </c>
      <c r="CD70" s="25"/>
      <c r="CE70" s="200"/>
      <c r="CF70" s="200"/>
      <c r="CG70" s="200"/>
      <c r="CH70" s="200"/>
      <c r="CI70" s="200"/>
      <c r="CJ70" s="200"/>
      <c r="CK70" s="200"/>
      <c r="CL70" s="200"/>
      <c r="CM70" s="200"/>
      <c r="CN70" s="200"/>
      <c r="CO70" s="200"/>
      <c r="CP70" s="200"/>
      <c r="CQ70" s="20" t="s">
        <v>65</v>
      </c>
      <c r="CR70" s="236" t="s">
        <v>292</v>
      </c>
      <c r="CS70" s="236" t="s">
        <v>3110</v>
      </c>
      <c r="CT70" s="200"/>
      <c r="CU70" s="200"/>
      <c r="CV70" s="20" t="s">
        <v>65</v>
      </c>
      <c r="CW70" s="20" t="s">
        <v>6</v>
      </c>
      <c r="CX70" s="25"/>
      <c r="CY70" s="20" t="s">
        <v>65</v>
      </c>
      <c r="CZ70" s="20" t="s">
        <v>265</v>
      </c>
      <c r="DA70" s="37" t="s">
        <v>265</v>
      </c>
      <c r="DB70" s="25"/>
      <c r="DC70" s="20" t="s">
        <v>65</v>
      </c>
      <c r="DD70" s="20">
        <v>4</v>
      </c>
      <c r="DE70" s="735">
        <v>149</v>
      </c>
      <c r="DF70" s="179">
        <v>85947</v>
      </c>
      <c r="DG70" s="179">
        <v>86382</v>
      </c>
      <c r="DH70" s="878">
        <f t="shared" si="11"/>
        <v>5.0612586826765333E-3</v>
      </c>
      <c r="DI70" s="606">
        <v>664.54583801158844</v>
      </c>
      <c r="DJ70" s="179">
        <f t="shared" si="12"/>
        <v>129.98651870045066</v>
      </c>
      <c r="DK70" s="37">
        <v>40.5</v>
      </c>
      <c r="DL70" s="236">
        <v>59203</v>
      </c>
      <c r="DM70" s="878">
        <v>0.15638418079096045</v>
      </c>
      <c r="DN70" s="878">
        <v>4.5999999999999999E-2</v>
      </c>
      <c r="DO70" s="878">
        <v>8.0000000000000002E-3</v>
      </c>
      <c r="DP70" s="878">
        <v>4.4999999999999998E-2</v>
      </c>
      <c r="DQ70" s="878">
        <v>0.31264784043454136</v>
      </c>
      <c r="DR70" s="878">
        <v>0.44610498785727631</v>
      </c>
      <c r="DS70" s="878">
        <v>0.91</v>
      </c>
      <c r="DT70" s="878">
        <v>3.1E-2</v>
      </c>
      <c r="DU70" s="878">
        <v>1E-3</v>
      </c>
      <c r="DV70" s="878">
        <v>5.0000000000000001E-3</v>
      </c>
      <c r="DW70" s="878">
        <v>0</v>
      </c>
      <c r="DX70" s="878">
        <v>6.0000000000000001E-3</v>
      </c>
      <c r="DY70" s="878">
        <v>4.7E-2</v>
      </c>
      <c r="DZ70" s="878">
        <v>1.2999999999999999E-2</v>
      </c>
      <c r="EA70" s="878">
        <v>0.90600000000000003</v>
      </c>
      <c r="EB70" s="25"/>
      <c r="EC70" s="25"/>
      <c r="ED70" s="25"/>
    </row>
    <row r="71" spans="1:134" s="17" customFormat="1" x14ac:dyDescent="0.2">
      <c r="A71" s="25"/>
      <c r="B71" s="20">
        <v>39049005200</v>
      </c>
      <c r="C71" s="20">
        <v>52</v>
      </c>
      <c r="D71" s="20" t="s">
        <v>31</v>
      </c>
      <c r="E71" s="20" t="s">
        <v>2830</v>
      </c>
      <c r="F71" s="20" t="s">
        <v>8</v>
      </c>
      <c r="G71" s="861">
        <v>82.165079752396593</v>
      </c>
      <c r="H71" s="861">
        <v>93.481932780497601</v>
      </c>
      <c r="I71" s="861">
        <v>27.4800430526189</v>
      </c>
      <c r="J71" s="861">
        <v>41.814090673537002</v>
      </c>
      <c r="K71" s="982">
        <v>0</v>
      </c>
      <c r="L71" s="735">
        <v>2805</v>
      </c>
      <c r="M71" s="735">
        <v>3133</v>
      </c>
      <c r="N71" s="845">
        <f t="shared" si="0"/>
        <v>0.11693404634581105</v>
      </c>
      <c r="O71" s="735">
        <v>0.42125869064317828</v>
      </c>
      <c r="P71" s="735">
        <f t="shared" si="1"/>
        <v>7437.235289357548</v>
      </c>
      <c r="Q71" s="849">
        <v>33.9</v>
      </c>
      <c r="R71" s="71">
        <v>101048</v>
      </c>
      <c r="S71" s="845">
        <v>7.1816150654324923E-2</v>
      </c>
      <c r="T71" s="845">
        <v>1.9E-2</v>
      </c>
      <c r="U71" s="845">
        <v>0</v>
      </c>
      <c r="V71" s="845">
        <v>0.10800000000000001</v>
      </c>
      <c r="W71" s="845">
        <v>0.58080808080808077</v>
      </c>
      <c r="X71" s="845">
        <v>0.15913043478260869</v>
      </c>
      <c r="Y71" s="845">
        <v>0.82796042132141712</v>
      </c>
      <c r="Z71" s="845">
        <v>5.202681136291095E-2</v>
      </c>
      <c r="AA71" s="845">
        <v>2.8726460261729973E-3</v>
      </c>
      <c r="AB71" s="845">
        <v>1.9470156399616981E-2</v>
      </c>
      <c r="AC71" s="845">
        <v>0</v>
      </c>
      <c r="AD71" s="845">
        <v>1.6278327481646985E-2</v>
      </c>
      <c r="AE71" s="845">
        <v>8.1391637408234921E-2</v>
      </c>
      <c r="AF71" s="845">
        <v>6.3198212575805934E-2</v>
      </c>
      <c r="AG71" s="845">
        <v>0.81742738589211617</v>
      </c>
      <c r="AH71" s="20" t="str">
        <f t="shared" si="2"/>
        <v>No</v>
      </c>
      <c r="AI71" s="25"/>
      <c r="AJ71" s="37">
        <v>44264</v>
      </c>
      <c r="AK71" s="37" t="s">
        <v>1281</v>
      </c>
      <c r="AL71" s="37">
        <v>39153</v>
      </c>
      <c r="AM71" s="37" t="s">
        <v>82</v>
      </c>
      <c r="AN71" s="37">
        <f t="shared" si="3"/>
        <v>10420</v>
      </c>
      <c r="AO71" s="37" t="str">
        <f t="shared" si="4"/>
        <v>Akron, OH</v>
      </c>
      <c r="AP71" s="37" t="s">
        <v>8</v>
      </c>
      <c r="AQ71" s="25"/>
      <c r="AR71" s="20" t="s">
        <v>66</v>
      </c>
      <c r="AS71" s="24">
        <v>29850</v>
      </c>
      <c r="AT71" s="24">
        <v>34100</v>
      </c>
      <c r="AU71" s="24">
        <v>38350</v>
      </c>
      <c r="AV71" s="24">
        <v>42600</v>
      </c>
      <c r="AW71" s="24">
        <v>46050</v>
      </c>
      <c r="AX71" s="24">
        <v>49450</v>
      </c>
      <c r="AY71" s="24">
        <v>52850</v>
      </c>
      <c r="AZ71" s="24">
        <v>56250</v>
      </c>
      <c r="BA71" s="29">
        <f t="shared" si="6"/>
        <v>31975</v>
      </c>
      <c r="BB71" s="29">
        <f t="shared" si="7"/>
        <v>44325</v>
      </c>
      <c r="BC71" s="29">
        <f t="shared" si="8"/>
        <v>54550</v>
      </c>
      <c r="BD71" s="25"/>
      <c r="BE71" s="25"/>
      <c r="BF71" s="25"/>
      <c r="BG71" s="25"/>
      <c r="BH71" s="25"/>
      <c r="BI71" s="25"/>
      <c r="BJ71" s="25"/>
      <c r="BK71" s="25"/>
      <c r="BL71" s="25"/>
      <c r="BM71" s="25"/>
      <c r="BN71" s="20" t="s">
        <v>66</v>
      </c>
      <c r="BO71" s="71">
        <v>744</v>
      </c>
      <c r="BP71" s="24">
        <v>749</v>
      </c>
      <c r="BQ71" s="24">
        <v>983</v>
      </c>
      <c r="BR71" s="24">
        <v>1210</v>
      </c>
      <c r="BS71" s="24">
        <v>1386</v>
      </c>
      <c r="BT71" s="122"/>
      <c r="BU71" s="39">
        <v>44411</v>
      </c>
      <c r="BV71" s="39" t="s">
        <v>1322</v>
      </c>
      <c r="BW71" s="39" t="s">
        <v>2929</v>
      </c>
      <c r="BX71" s="39" t="s">
        <v>273</v>
      </c>
      <c r="BY71" s="71">
        <v>980</v>
      </c>
      <c r="BZ71" s="71">
        <v>1070</v>
      </c>
      <c r="CA71" s="71">
        <v>1380</v>
      </c>
      <c r="CB71" s="71">
        <v>1680</v>
      </c>
      <c r="CC71" s="71">
        <v>1830</v>
      </c>
      <c r="CD71" s="25"/>
      <c r="CE71" s="200"/>
      <c r="CF71" s="200"/>
      <c r="CG71" s="200"/>
      <c r="CH71" s="200"/>
      <c r="CI71" s="200"/>
      <c r="CJ71" s="200"/>
      <c r="CK71" s="200"/>
      <c r="CL71" s="200"/>
      <c r="CM71" s="200"/>
      <c r="CN71" s="200"/>
      <c r="CO71" s="200"/>
      <c r="CP71" s="200"/>
      <c r="CQ71" s="20" t="s">
        <v>66</v>
      </c>
      <c r="CR71" s="236" t="s">
        <v>292</v>
      </c>
      <c r="CS71" s="236" t="s">
        <v>3110</v>
      </c>
      <c r="CT71" s="200"/>
      <c r="CU71" s="200"/>
      <c r="CV71" s="20" t="s">
        <v>66</v>
      </c>
      <c r="CW71" s="20" t="s">
        <v>6</v>
      </c>
      <c r="CX71" s="25"/>
      <c r="CY71" s="20" t="s">
        <v>66</v>
      </c>
      <c r="CZ71" s="20" t="s">
        <v>265</v>
      </c>
      <c r="DA71" s="37" t="s">
        <v>265</v>
      </c>
      <c r="DB71" s="25"/>
      <c r="DC71" s="20" t="s">
        <v>66</v>
      </c>
      <c r="DD71" s="20">
        <v>0</v>
      </c>
      <c r="DE71" s="735">
        <v>0</v>
      </c>
      <c r="DF71" s="179">
        <v>14561</v>
      </c>
      <c r="DG71" s="179">
        <v>14252</v>
      </c>
      <c r="DH71" s="878">
        <f t="shared" si="11"/>
        <v>-2.1221069981457317E-2</v>
      </c>
      <c r="DI71" s="606">
        <v>397.96930689384516</v>
      </c>
      <c r="DJ71" s="179">
        <f t="shared" si="12"/>
        <v>35.811806973851873</v>
      </c>
      <c r="DK71" s="37">
        <v>51.3</v>
      </c>
      <c r="DL71" s="236">
        <v>55360</v>
      </c>
      <c r="DM71" s="878">
        <v>0.11675972997749813</v>
      </c>
      <c r="DN71" s="878">
        <v>2.9000000000000001E-2</v>
      </c>
      <c r="DO71" s="878">
        <v>3.0000000000000001E-3</v>
      </c>
      <c r="DP71" s="878">
        <v>6.0000000000000001E-3</v>
      </c>
      <c r="DQ71" s="878">
        <v>0.18094615216917376</v>
      </c>
      <c r="DR71" s="878">
        <v>0.18433734939759036</v>
      </c>
      <c r="DS71" s="878">
        <v>0.93600000000000005</v>
      </c>
      <c r="DT71" s="878">
        <v>0.04</v>
      </c>
      <c r="DU71" s="878">
        <v>1E-3</v>
      </c>
      <c r="DV71" s="878">
        <v>0</v>
      </c>
      <c r="DW71" s="878">
        <v>0</v>
      </c>
      <c r="DX71" s="878">
        <v>1.2999999999999999E-2</v>
      </c>
      <c r="DY71" s="878">
        <v>0.01</v>
      </c>
      <c r="DZ71" s="878">
        <v>1.2999999999999999E-2</v>
      </c>
      <c r="EA71" s="878">
        <v>0.93500000000000005</v>
      </c>
      <c r="EB71" s="25"/>
      <c r="EC71" s="25"/>
      <c r="ED71" s="25"/>
    </row>
    <row r="72" spans="1:134" s="17" customFormat="1" x14ac:dyDescent="0.2">
      <c r="A72" s="25"/>
      <c r="B72" s="20">
        <v>39049006950</v>
      </c>
      <c r="C72" s="20">
        <v>69.5</v>
      </c>
      <c r="D72" s="20" t="s">
        <v>31</v>
      </c>
      <c r="E72" s="20" t="s">
        <v>2830</v>
      </c>
      <c r="F72" s="20" t="s">
        <v>8</v>
      </c>
      <c r="G72" s="861">
        <v>81.820093045495696</v>
      </c>
      <c r="H72" s="861">
        <v>77.195754979650204</v>
      </c>
      <c r="I72" s="861">
        <v>19.396483667646301</v>
      </c>
      <c r="J72" s="861">
        <v>48.063811860683302</v>
      </c>
      <c r="K72" s="982">
        <v>0</v>
      </c>
      <c r="L72" s="735">
        <v>2620</v>
      </c>
      <c r="M72" s="735">
        <v>2760</v>
      </c>
      <c r="N72" s="845">
        <f t="shared" si="0"/>
        <v>5.3435114503816793E-2</v>
      </c>
      <c r="O72" s="735">
        <v>1.5932528740450473</v>
      </c>
      <c r="P72" s="735">
        <f t="shared" si="1"/>
        <v>1732.3050502289345</v>
      </c>
      <c r="Q72" s="849">
        <v>58.7</v>
      </c>
      <c r="R72" s="71">
        <v>119167</v>
      </c>
      <c r="S72" s="845">
        <v>2.6831036983321246E-2</v>
      </c>
      <c r="T72" s="845">
        <v>2.7999999999999997E-2</v>
      </c>
      <c r="U72" s="845">
        <v>0</v>
      </c>
      <c r="V72" s="845">
        <v>0</v>
      </c>
      <c r="W72" s="845">
        <v>3.4455128205128208E-2</v>
      </c>
      <c r="X72" s="845">
        <v>0.23255813953488372</v>
      </c>
      <c r="Y72" s="845">
        <v>0.92427536231884055</v>
      </c>
      <c r="Z72" s="845">
        <v>3.6231884057971015E-4</v>
      </c>
      <c r="AA72" s="845">
        <v>0</v>
      </c>
      <c r="AB72" s="845">
        <v>2.355072463768116E-2</v>
      </c>
      <c r="AC72" s="845">
        <v>0</v>
      </c>
      <c r="AD72" s="845">
        <v>3.6231884057971015E-3</v>
      </c>
      <c r="AE72" s="845">
        <v>4.8188405797101451E-2</v>
      </c>
      <c r="AF72" s="845">
        <v>1.9927536231884056E-2</v>
      </c>
      <c r="AG72" s="845">
        <v>0.922463768115942</v>
      </c>
      <c r="AH72" s="20" t="str">
        <f t="shared" si="2"/>
        <v>Yes</v>
      </c>
      <c r="AI72" s="25"/>
      <c r="AJ72" s="37">
        <v>44278</v>
      </c>
      <c r="AK72" s="37" t="s">
        <v>1289</v>
      </c>
      <c r="AL72" s="37">
        <v>39153</v>
      </c>
      <c r="AM72" s="37" t="s">
        <v>82</v>
      </c>
      <c r="AN72" s="37">
        <f t="shared" si="3"/>
        <v>10420</v>
      </c>
      <c r="AO72" s="37" t="str">
        <f t="shared" si="4"/>
        <v>Akron, OH</v>
      </c>
      <c r="AP72" s="37" t="s">
        <v>8</v>
      </c>
      <c r="AQ72" s="25"/>
      <c r="AR72" s="20" t="s">
        <v>67</v>
      </c>
      <c r="AS72" s="24">
        <v>36750</v>
      </c>
      <c r="AT72" s="24">
        <v>42000</v>
      </c>
      <c r="AU72" s="24">
        <v>47250</v>
      </c>
      <c r="AV72" s="24">
        <v>52450</v>
      </c>
      <c r="AW72" s="24">
        <v>56650</v>
      </c>
      <c r="AX72" s="24">
        <v>60850</v>
      </c>
      <c r="AY72" s="24">
        <v>65050</v>
      </c>
      <c r="AZ72" s="24">
        <v>69250</v>
      </c>
      <c r="BA72" s="29">
        <f t="shared" si="6"/>
        <v>39375</v>
      </c>
      <c r="BB72" s="29">
        <f t="shared" si="7"/>
        <v>54550</v>
      </c>
      <c r="BC72" s="29">
        <f t="shared" si="8"/>
        <v>67150</v>
      </c>
      <c r="BD72" s="25"/>
      <c r="BE72" s="25"/>
      <c r="BF72" s="25"/>
      <c r="BG72" s="25"/>
      <c r="BH72" s="25"/>
      <c r="BI72" s="25"/>
      <c r="BJ72" s="25"/>
      <c r="BK72" s="25"/>
      <c r="BL72" s="25"/>
      <c r="BM72" s="25"/>
      <c r="BN72" s="20" t="s">
        <v>67</v>
      </c>
      <c r="BO72" s="71">
        <v>807</v>
      </c>
      <c r="BP72" s="24">
        <v>843</v>
      </c>
      <c r="BQ72" s="24">
        <v>1106</v>
      </c>
      <c r="BR72" s="24">
        <v>1326</v>
      </c>
      <c r="BS72" s="24">
        <v>1696</v>
      </c>
      <c r="BT72" s="122"/>
      <c r="BU72" s="39">
        <v>44412</v>
      </c>
      <c r="BV72" s="39" t="s">
        <v>1323</v>
      </c>
      <c r="BW72" s="39" t="s">
        <v>2929</v>
      </c>
      <c r="BX72" s="39" t="s">
        <v>273</v>
      </c>
      <c r="BY72" s="71">
        <v>740</v>
      </c>
      <c r="BZ72" s="71">
        <v>800</v>
      </c>
      <c r="CA72" s="71">
        <v>1020</v>
      </c>
      <c r="CB72" s="71">
        <v>1260</v>
      </c>
      <c r="CC72" s="71">
        <v>1370</v>
      </c>
      <c r="CD72" s="25"/>
      <c r="CE72" s="200"/>
      <c r="CF72" s="200"/>
      <c r="CG72" s="200"/>
      <c r="CH72" s="200"/>
      <c r="CI72" s="200"/>
      <c r="CJ72" s="200"/>
      <c r="CK72" s="200"/>
      <c r="CL72" s="200"/>
      <c r="CM72" s="200"/>
      <c r="CN72" s="200"/>
      <c r="CO72" s="200"/>
      <c r="CP72" s="200"/>
      <c r="CQ72" s="20" t="s">
        <v>67</v>
      </c>
      <c r="CR72" s="236" t="s">
        <v>292</v>
      </c>
      <c r="CS72" s="236" t="s">
        <v>3108</v>
      </c>
      <c r="CT72" s="200"/>
      <c r="CU72" s="200"/>
      <c r="CV72" s="20" t="s">
        <v>67</v>
      </c>
      <c r="CW72" s="20" t="s">
        <v>8</v>
      </c>
      <c r="CX72" s="25"/>
      <c r="CY72" s="20" t="s">
        <v>67</v>
      </c>
      <c r="CZ72" s="20">
        <v>41780</v>
      </c>
      <c r="DA72" s="37" t="s">
        <v>2837</v>
      </c>
      <c r="DB72" s="25"/>
      <c r="DC72" s="20" t="s">
        <v>67</v>
      </c>
      <c r="DD72" s="20">
        <v>0</v>
      </c>
      <c r="DE72" s="735">
        <v>0</v>
      </c>
      <c r="DF72" s="179">
        <v>41304</v>
      </c>
      <c r="DG72" s="179">
        <v>40161</v>
      </c>
      <c r="DH72" s="878">
        <f t="shared" si="11"/>
        <v>-2.7672864613596745E-2</v>
      </c>
      <c r="DI72" s="606">
        <v>254.68469428610621</v>
      </c>
      <c r="DJ72" s="179">
        <f t="shared" si="12"/>
        <v>157.68909911360504</v>
      </c>
      <c r="DK72" s="37">
        <v>50.3</v>
      </c>
      <c r="DL72" s="236">
        <v>75728</v>
      </c>
      <c r="DM72" s="878">
        <v>8.3522985889849799E-2</v>
      </c>
      <c r="DN72" s="878">
        <v>2.9000000000000001E-2</v>
      </c>
      <c r="DO72" s="878">
        <v>8.0000000000000002E-3</v>
      </c>
      <c r="DP72" s="878">
        <v>4.2000000000000003E-2</v>
      </c>
      <c r="DQ72" s="878">
        <v>0.16405947708805482</v>
      </c>
      <c r="DR72" s="878">
        <v>0.34905660377358488</v>
      </c>
      <c r="DS72" s="878">
        <v>0.92700000000000005</v>
      </c>
      <c r="DT72" s="878">
        <v>1.0999999999999999E-2</v>
      </c>
      <c r="DU72" s="878">
        <v>2E-3</v>
      </c>
      <c r="DV72" s="878">
        <v>3.0000000000000001E-3</v>
      </c>
      <c r="DW72" s="878">
        <v>0</v>
      </c>
      <c r="DX72" s="878">
        <v>1.9E-2</v>
      </c>
      <c r="DY72" s="878">
        <v>3.6999999999999998E-2</v>
      </c>
      <c r="DZ72" s="878">
        <v>5.1999999999999998E-2</v>
      </c>
      <c r="EA72" s="878">
        <v>0.90900000000000003</v>
      </c>
      <c r="EB72" s="25"/>
      <c r="EC72" s="25"/>
      <c r="ED72" s="25"/>
    </row>
    <row r="73" spans="1:134" s="17" customFormat="1" x14ac:dyDescent="0.2">
      <c r="A73" s="25"/>
      <c r="B73" s="20">
        <v>39049006410</v>
      </c>
      <c r="C73" s="20">
        <v>64.099999999999994</v>
      </c>
      <c r="D73" s="20" t="s">
        <v>31</v>
      </c>
      <c r="E73" s="20" t="s">
        <v>2830</v>
      </c>
      <c r="F73" s="20" t="s">
        <v>8</v>
      </c>
      <c r="G73" s="861">
        <v>81.805072307510699</v>
      </c>
      <c r="H73" s="861">
        <v>77.042585155375804</v>
      </c>
      <c r="I73" s="861">
        <v>26.4439570492485</v>
      </c>
      <c r="J73" s="861">
        <v>55.084582610236197</v>
      </c>
      <c r="K73" s="982">
        <v>0</v>
      </c>
      <c r="L73" s="735">
        <v>2817</v>
      </c>
      <c r="M73" s="735">
        <v>3136</v>
      </c>
      <c r="N73" s="845">
        <f t="shared" si="0"/>
        <v>0.11324103656372027</v>
      </c>
      <c r="O73" s="735">
        <v>0.84352665232891744</v>
      </c>
      <c r="P73" s="735">
        <f t="shared" si="1"/>
        <v>3717.7248535558724</v>
      </c>
      <c r="Q73" s="849">
        <v>37.4</v>
      </c>
      <c r="R73" s="71">
        <v>149146</v>
      </c>
      <c r="S73" s="845">
        <v>2.1683673469387755E-2</v>
      </c>
      <c r="T73" s="845">
        <v>3.7999999999999999E-2</v>
      </c>
      <c r="U73" s="845">
        <v>0</v>
      </c>
      <c r="V73" s="845">
        <v>0</v>
      </c>
      <c r="W73" s="845">
        <v>0.16512215669755687</v>
      </c>
      <c r="X73" s="845">
        <v>0.21938775510204081</v>
      </c>
      <c r="Y73" s="845">
        <v>0.92315051020408168</v>
      </c>
      <c r="Z73" s="845">
        <v>3.8265306122448979E-3</v>
      </c>
      <c r="AA73" s="845">
        <v>0</v>
      </c>
      <c r="AB73" s="845">
        <v>3.3801020408163268E-2</v>
      </c>
      <c r="AC73" s="845">
        <v>0</v>
      </c>
      <c r="AD73" s="845">
        <v>9.2474489795918366E-3</v>
      </c>
      <c r="AE73" s="845">
        <v>2.9974489795918366E-2</v>
      </c>
      <c r="AF73" s="845">
        <v>9.5663265306122451E-3</v>
      </c>
      <c r="AG73" s="845">
        <v>0.92315051020408168</v>
      </c>
      <c r="AH73" s="20" t="str">
        <f t="shared" si="2"/>
        <v>Yes</v>
      </c>
      <c r="AI73" s="25"/>
      <c r="AJ73" s="37">
        <v>44281</v>
      </c>
      <c r="AK73" s="37" t="s">
        <v>1291</v>
      </c>
      <c r="AL73" s="37">
        <v>39153</v>
      </c>
      <c r="AM73" s="37" t="s">
        <v>82</v>
      </c>
      <c r="AN73" s="37">
        <f t="shared" si="3"/>
        <v>10420</v>
      </c>
      <c r="AO73" s="37" t="str">
        <f t="shared" si="4"/>
        <v>Akron, OH</v>
      </c>
      <c r="AP73" s="37" t="s">
        <v>8</v>
      </c>
      <c r="AQ73" s="25"/>
      <c r="AR73" s="20" t="s">
        <v>68</v>
      </c>
      <c r="AS73" s="24">
        <v>31700</v>
      </c>
      <c r="AT73" s="24">
        <v>36200</v>
      </c>
      <c r="AU73" s="24">
        <v>40750</v>
      </c>
      <c r="AV73" s="24">
        <v>45250</v>
      </c>
      <c r="AW73" s="24">
        <v>48900</v>
      </c>
      <c r="AX73" s="24">
        <v>52500</v>
      </c>
      <c r="AY73" s="24">
        <v>56150</v>
      </c>
      <c r="AZ73" s="24">
        <v>59750</v>
      </c>
      <c r="BA73" s="29">
        <f t="shared" si="6"/>
        <v>33950</v>
      </c>
      <c r="BB73" s="29">
        <f t="shared" si="7"/>
        <v>47075</v>
      </c>
      <c r="BC73" s="29">
        <f t="shared" si="8"/>
        <v>57950</v>
      </c>
      <c r="BD73" s="25"/>
      <c r="BE73" s="25"/>
      <c r="BF73" s="25"/>
      <c r="BG73" s="25"/>
      <c r="BH73" s="25"/>
      <c r="BI73" s="25"/>
      <c r="BJ73" s="25"/>
      <c r="BK73" s="25"/>
      <c r="BL73" s="25"/>
      <c r="BM73" s="25"/>
      <c r="BN73" s="20" t="s">
        <v>68</v>
      </c>
      <c r="BO73" s="71">
        <v>736</v>
      </c>
      <c r="BP73" s="24">
        <v>780</v>
      </c>
      <c r="BQ73" s="24">
        <v>973</v>
      </c>
      <c r="BR73" s="24">
        <v>1343</v>
      </c>
      <c r="BS73" s="24">
        <v>1530</v>
      </c>
      <c r="BT73" s="122"/>
      <c r="BU73" s="39">
        <v>44429</v>
      </c>
      <c r="BV73" s="39" t="s">
        <v>1334</v>
      </c>
      <c r="BW73" s="39" t="s">
        <v>2929</v>
      </c>
      <c r="BX73" s="39" t="s">
        <v>273</v>
      </c>
      <c r="BY73" s="71">
        <v>790</v>
      </c>
      <c r="BZ73" s="71">
        <v>820</v>
      </c>
      <c r="CA73" s="71">
        <v>1040</v>
      </c>
      <c r="CB73" s="71">
        <v>1360</v>
      </c>
      <c r="CC73" s="71">
        <v>1440</v>
      </c>
      <c r="CD73" s="25"/>
      <c r="CE73" s="200"/>
      <c r="CF73" s="200"/>
      <c r="CG73" s="200"/>
      <c r="CH73" s="200"/>
      <c r="CI73" s="200"/>
      <c r="CJ73" s="200"/>
      <c r="CK73" s="200"/>
      <c r="CL73" s="200"/>
      <c r="CM73" s="200"/>
      <c r="CN73" s="200"/>
      <c r="CO73" s="200"/>
      <c r="CP73" s="200"/>
      <c r="CQ73" s="20" t="s">
        <v>68</v>
      </c>
      <c r="CR73" s="236" t="s">
        <v>292</v>
      </c>
      <c r="CS73" s="236" t="s">
        <v>3108</v>
      </c>
      <c r="CT73" s="200"/>
      <c r="CU73" s="200"/>
      <c r="CV73" s="20" t="s">
        <v>68</v>
      </c>
      <c r="CW73" s="20" t="s">
        <v>8</v>
      </c>
      <c r="CX73" s="25"/>
      <c r="CY73" s="20" t="s">
        <v>68</v>
      </c>
      <c r="CZ73" s="20" t="s">
        <v>265</v>
      </c>
      <c r="DA73" s="37" t="s">
        <v>265</v>
      </c>
      <c r="DB73" s="25"/>
      <c r="DC73" s="20" t="s">
        <v>68</v>
      </c>
      <c r="DD73" s="20">
        <v>0</v>
      </c>
      <c r="DE73" s="735">
        <v>0</v>
      </c>
      <c r="DF73" s="179">
        <v>19293</v>
      </c>
      <c r="DG73" s="179">
        <v>18800</v>
      </c>
      <c r="DH73" s="878">
        <f t="shared" si="11"/>
        <v>-2.5553309490488778E-2</v>
      </c>
      <c r="DI73" s="606">
        <v>416.43577004683624</v>
      </c>
      <c r="DJ73" s="179">
        <f t="shared" si="12"/>
        <v>45.145017196494855</v>
      </c>
      <c r="DK73" s="37">
        <v>41.7</v>
      </c>
      <c r="DL73" s="236">
        <v>68167</v>
      </c>
      <c r="DM73" s="878">
        <v>9.5953072866214614E-2</v>
      </c>
      <c r="DN73" s="878">
        <v>3.9E-2</v>
      </c>
      <c r="DO73" s="878">
        <v>1.4999999999999999E-2</v>
      </c>
      <c r="DP73" s="878">
        <v>7.400000000000001E-2</v>
      </c>
      <c r="DQ73" s="878">
        <v>0.19832957709134297</v>
      </c>
      <c r="DR73" s="878">
        <v>0.35628342245989303</v>
      </c>
      <c r="DS73" s="878">
        <v>0.92200000000000004</v>
      </c>
      <c r="DT73" s="878">
        <v>8.0000000000000002E-3</v>
      </c>
      <c r="DU73" s="878">
        <v>4.0000000000000001E-3</v>
      </c>
      <c r="DV73" s="878">
        <v>3.0000000000000001E-3</v>
      </c>
      <c r="DW73" s="878">
        <v>0</v>
      </c>
      <c r="DX73" s="878">
        <v>1.4E-2</v>
      </c>
      <c r="DY73" s="878">
        <v>4.9000000000000002E-2</v>
      </c>
      <c r="DZ73" s="878">
        <v>5.5E-2</v>
      </c>
      <c r="EA73" s="878">
        <v>0.90700000000000003</v>
      </c>
      <c r="EB73" s="25"/>
      <c r="EC73" s="25"/>
      <c r="ED73" s="25"/>
    </row>
    <row r="74" spans="1:134" s="17" customFormat="1" x14ac:dyDescent="0.2">
      <c r="A74" s="25"/>
      <c r="B74" s="20">
        <v>39017011120</v>
      </c>
      <c r="C74" s="20">
        <v>111.2</v>
      </c>
      <c r="D74" s="20" t="s">
        <v>15</v>
      </c>
      <c r="E74" s="20" t="s">
        <v>2828</v>
      </c>
      <c r="F74" s="20" t="s">
        <v>8</v>
      </c>
      <c r="G74" s="861">
        <v>81.638237858398199</v>
      </c>
      <c r="H74" s="861">
        <v>67.012791096095498</v>
      </c>
      <c r="I74" s="861">
        <v>20.455971819359899</v>
      </c>
      <c r="J74" s="861">
        <v>71.110188890468706</v>
      </c>
      <c r="K74" s="982">
        <v>1</v>
      </c>
      <c r="L74" s="735">
        <v>7544</v>
      </c>
      <c r="M74" s="735">
        <v>7986</v>
      </c>
      <c r="N74" s="845">
        <f t="shared" si="0"/>
        <v>5.8589607635206785E-2</v>
      </c>
      <c r="O74" s="735">
        <v>4.7485955447108212</v>
      </c>
      <c r="P74" s="735">
        <f t="shared" si="1"/>
        <v>1681.7604120643905</v>
      </c>
      <c r="Q74" s="849">
        <v>36.700000000000003</v>
      </c>
      <c r="R74" s="71">
        <v>127198</v>
      </c>
      <c r="S74" s="845">
        <v>4.2950162784873527E-2</v>
      </c>
      <c r="T74" s="845">
        <v>4.0000000000000001E-3</v>
      </c>
      <c r="U74" s="845">
        <v>0</v>
      </c>
      <c r="V74" s="845">
        <v>0.17199999999999999</v>
      </c>
      <c r="W74" s="845">
        <v>0.21629313411597295</v>
      </c>
      <c r="X74" s="845">
        <v>0.34210526315789475</v>
      </c>
      <c r="Y74" s="845">
        <v>0.8130478337089907</v>
      </c>
      <c r="Z74" s="845">
        <v>5.6098171800651138E-2</v>
      </c>
      <c r="AA74" s="845">
        <v>0</v>
      </c>
      <c r="AB74" s="845">
        <v>2.053593789130979E-2</v>
      </c>
      <c r="AC74" s="845">
        <v>0</v>
      </c>
      <c r="AD74" s="845">
        <v>4.2073628850488355E-2</v>
      </c>
      <c r="AE74" s="845">
        <v>6.8244427748559974E-2</v>
      </c>
      <c r="AF74" s="845">
        <v>4.1447533183070373E-2</v>
      </c>
      <c r="AG74" s="845">
        <v>0.81079388930628604</v>
      </c>
      <c r="AH74" s="20" t="str">
        <f t="shared" si="2"/>
        <v>No</v>
      </c>
      <c r="AI74" s="25"/>
      <c r="AJ74" s="37">
        <v>44286</v>
      </c>
      <c r="AK74" s="37" t="s">
        <v>1293</v>
      </c>
      <c r="AL74" s="37">
        <v>39153</v>
      </c>
      <c r="AM74" s="37" t="s">
        <v>82</v>
      </c>
      <c r="AN74" s="37">
        <f t="shared" si="3"/>
        <v>10420</v>
      </c>
      <c r="AO74" s="37" t="str">
        <f t="shared" si="4"/>
        <v>Akron, OH</v>
      </c>
      <c r="AP74" s="37" t="s">
        <v>8</v>
      </c>
      <c r="AQ74" s="25"/>
      <c r="AR74" s="20" t="s">
        <v>69</v>
      </c>
      <c r="AS74" s="24">
        <v>29850</v>
      </c>
      <c r="AT74" s="24">
        <v>34100</v>
      </c>
      <c r="AU74" s="24">
        <v>38350</v>
      </c>
      <c r="AV74" s="24">
        <v>42600</v>
      </c>
      <c r="AW74" s="24">
        <v>46050</v>
      </c>
      <c r="AX74" s="24">
        <v>49450</v>
      </c>
      <c r="AY74" s="24">
        <v>52850</v>
      </c>
      <c r="AZ74" s="24">
        <v>56250</v>
      </c>
      <c r="BA74" s="29">
        <f t="shared" si="6"/>
        <v>31975</v>
      </c>
      <c r="BB74" s="29">
        <f t="shared" si="7"/>
        <v>44325</v>
      </c>
      <c r="BC74" s="29">
        <f t="shared" si="8"/>
        <v>54550</v>
      </c>
      <c r="BD74" s="25"/>
      <c r="BE74" s="25"/>
      <c r="BF74" s="25"/>
      <c r="BG74" s="25"/>
      <c r="BH74" s="25"/>
      <c r="BI74" s="25"/>
      <c r="BJ74" s="25"/>
      <c r="BK74" s="25"/>
      <c r="BL74" s="25"/>
      <c r="BM74" s="25"/>
      <c r="BN74" s="20" t="s">
        <v>69</v>
      </c>
      <c r="BO74" s="71">
        <v>786</v>
      </c>
      <c r="BP74" s="24">
        <v>790</v>
      </c>
      <c r="BQ74" s="24">
        <v>973</v>
      </c>
      <c r="BR74" s="24">
        <v>1202</v>
      </c>
      <c r="BS74" s="24">
        <v>1429</v>
      </c>
      <c r="BT74" s="122"/>
      <c r="BU74" s="39">
        <v>44444</v>
      </c>
      <c r="BV74" s="39" t="s">
        <v>1346</v>
      </c>
      <c r="BW74" s="39" t="s">
        <v>2929</v>
      </c>
      <c r="BX74" s="39" t="s">
        <v>273</v>
      </c>
      <c r="BY74" s="71">
        <v>730</v>
      </c>
      <c r="BZ74" s="71">
        <v>770</v>
      </c>
      <c r="CA74" s="71">
        <v>970</v>
      </c>
      <c r="CB74" s="71">
        <v>1260</v>
      </c>
      <c r="CC74" s="71">
        <v>1340</v>
      </c>
      <c r="CD74" s="25"/>
      <c r="CE74" s="200"/>
      <c r="CF74" s="200"/>
      <c r="CG74" s="200"/>
      <c r="CH74" s="200"/>
      <c r="CI74" s="200"/>
      <c r="CJ74" s="200"/>
      <c r="CK74" s="200"/>
      <c r="CL74" s="200"/>
      <c r="CM74" s="200"/>
      <c r="CN74" s="200"/>
      <c r="CO74" s="200"/>
      <c r="CP74" s="200"/>
      <c r="CQ74" s="20" t="s">
        <v>69</v>
      </c>
      <c r="CR74" s="236" t="s">
        <v>292</v>
      </c>
      <c r="CS74" s="236" t="s">
        <v>3110</v>
      </c>
      <c r="CT74" s="200"/>
      <c r="CU74" s="200"/>
      <c r="CV74" s="20" t="s">
        <v>69</v>
      </c>
      <c r="CW74" s="20" t="s">
        <v>6</v>
      </c>
      <c r="CX74" s="25"/>
      <c r="CY74" s="20" t="s">
        <v>69</v>
      </c>
      <c r="CZ74" s="20">
        <v>18140</v>
      </c>
      <c r="DA74" s="37" t="s">
        <v>2830</v>
      </c>
      <c r="DB74" s="25"/>
      <c r="DC74" s="20" t="s">
        <v>69</v>
      </c>
      <c r="DD74" s="20">
        <v>2</v>
      </c>
      <c r="DE74" s="735">
        <v>72</v>
      </c>
      <c r="DF74" s="179">
        <v>36000</v>
      </c>
      <c r="DG74" s="179">
        <v>35474</v>
      </c>
      <c r="DH74" s="878">
        <f t="shared" si="11"/>
        <v>-1.4611111111111111E-2</v>
      </c>
      <c r="DI74" s="606">
        <v>407.9401545978526</v>
      </c>
      <c r="DJ74" s="179">
        <f t="shared" si="12"/>
        <v>86.958833545009242</v>
      </c>
      <c r="DK74" s="37">
        <v>41.1</v>
      </c>
      <c r="DL74" s="236">
        <v>64737</v>
      </c>
      <c r="DM74" s="878">
        <v>0.1469823026560311</v>
      </c>
      <c r="DN74" s="878">
        <v>0.04</v>
      </c>
      <c r="DO74" s="878">
        <v>6.0000000000000001E-3</v>
      </c>
      <c r="DP74" s="878">
        <v>1.8000000000000002E-2</v>
      </c>
      <c r="DQ74" s="878">
        <v>0.23477414038504757</v>
      </c>
      <c r="DR74" s="878">
        <v>0.36470963624760688</v>
      </c>
      <c r="DS74" s="878">
        <v>0.96099999999999997</v>
      </c>
      <c r="DT74" s="878">
        <v>2E-3</v>
      </c>
      <c r="DU74" s="878">
        <v>1E-3</v>
      </c>
      <c r="DV74" s="878">
        <v>1E-3</v>
      </c>
      <c r="DW74" s="878">
        <v>0</v>
      </c>
      <c r="DX74" s="878">
        <v>3.0000000000000001E-3</v>
      </c>
      <c r="DY74" s="878">
        <v>3.2000000000000001E-2</v>
      </c>
      <c r="DZ74" s="878">
        <v>8.0000000000000002E-3</v>
      </c>
      <c r="EA74" s="878">
        <v>0.95799999999999996</v>
      </c>
      <c r="EB74" s="25"/>
      <c r="EC74" s="25"/>
      <c r="ED74" s="25"/>
    </row>
    <row r="75" spans="1:134" s="17" customFormat="1" x14ac:dyDescent="0.2">
      <c r="A75" s="25"/>
      <c r="B75" s="20">
        <v>39061005000</v>
      </c>
      <c r="C75" s="20">
        <v>50</v>
      </c>
      <c r="D75" s="20" t="s">
        <v>37</v>
      </c>
      <c r="E75" s="20" t="s">
        <v>2828</v>
      </c>
      <c r="F75" s="20" t="s">
        <v>8</v>
      </c>
      <c r="G75" s="861">
        <v>81.582045849867797</v>
      </c>
      <c r="H75" s="861">
        <v>83.294307507021003</v>
      </c>
      <c r="I75" s="861">
        <v>31.249724960694099</v>
      </c>
      <c r="J75" s="861">
        <v>54.214481266832699</v>
      </c>
      <c r="K75" s="982">
        <v>0</v>
      </c>
      <c r="L75" s="735">
        <v>4944</v>
      </c>
      <c r="M75" s="735">
        <v>5066</v>
      </c>
      <c r="N75" s="845">
        <f t="shared" ref="N75:N138" si="13">IF(OR(L75="",M75=""),"",(M75-L75)/L75)</f>
        <v>2.4676375404530743E-2</v>
      </c>
      <c r="O75" s="735">
        <v>0.63863961136099578</v>
      </c>
      <c r="P75" s="735">
        <f t="shared" ref="P75:P138" si="14">M75/O75</f>
        <v>7932.4863504847744</v>
      </c>
      <c r="Q75" s="849">
        <v>31.1</v>
      </c>
      <c r="R75" s="71">
        <v>125077</v>
      </c>
      <c r="S75" s="845">
        <v>7.1242745647388431E-2</v>
      </c>
      <c r="T75" s="845">
        <v>1.7000000000000001E-2</v>
      </c>
      <c r="U75" s="845">
        <v>3.6000000000000004E-2</v>
      </c>
      <c r="V75" s="845">
        <v>0</v>
      </c>
      <c r="W75" s="845">
        <v>0.43955094991364424</v>
      </c>
      <c r="X75" s="845">
        <v>0.35952848722986247</v>
      </c>
      <c r="Y75" s="845">
        <v>0.83379392025266486</v>
      </c>
      <c r="Z75" s="845">
        <v>4.0465850769838135E-2</v>
      </c>
      <c r="AA75" s="845">
        <v>0</v>
      </c>
      <c r="AB75" s="845">
        <v>2.0134228187919462E-2</v>
      </c>
      <c r="AC75" s="845">
        <v>0</v>
      </c>
      <c r="AD75" s="845">
        <v>0</v>
      </c>
      <c r="AE75" s="845">
        <v>0.10560600078957758</v>
      </c>
      <c r="AF75" s="845">
        <v>9.2380576391630484E-2</v>
      </c>
      <c r="AG75" s="845">
        <v>0.81958152388472172</v>
      </c>
      <c r="AH75" s="20" t="str">
        <f t="shared" ref="AH75:AH138" si="15">IF(AG75&gt;=0.9,"Yes","No")</f>
        <v>No</v>
      </c>
      <c r="AI75" s="25"/>
      <c r="AJ75" s="37">
        <v>44301</v>
      </c>
      <c r="AK75" s="37" t="s">
        <v>1296</v>
      </c>
      <c r="AL75" s="37">
        <v>39153</v>
      </c>
      <c r="AM75" s="37" t="s">
        <v>82</v>
      </c>
      <c r="AN75" s="37">
        <f t="shared" ref="AN75:AN138" si="16">VLOOKUP(AM75,$CY$11:$DA$98,2,FALSE)</f>
        <v>10420</v>
      </c>
      <c r="AO75" s="37" t="str">
        <f t="shared" ref="AO75:AO138" si="17">VLOOKUP(AM75,$CY$11:$DA$98,3,FALSE)</f>
        <v>Akron, OH</v>
      </c>
      <c r="AP75" s="37" t="s">
        <v>8</v>
      </c>
      <c r="AQ75" s="25"/>
      <c r="AR75" s="20" t="s">
        <v>70</v>
      </c>
      <c r="AS75" s="24">
        <v>38150</v>
      </c>
      <c r="AT75" s="24">
        <v>43600</v>
      </c>
      <c r="AU75" s="24">
        <v>49050</v>
      </c>
      <c r="AV75" s="24">
        <v>54500</v>
      </c>
      <c r="AW75" s="24">
        <v>58900</v>
      </c>
      <c r="AX75" s="24">
        <v>63250</v>
      </c>
      <c r="AY75" s="24">
        <v>67600</v>
      </c>
      <c r="AZ75" s="24">
        <v>71950</v>
      </c>
      <c r="BA75" s="29">
        <f t="shared" si="6"/>
        <v>40875</v>
      </c>
      <c r="BB75" s="29">
        <f t="shared" si="7"/>
        <v>56700</v>
      </c>
      <c r="BC75" s="29">
        <f t="shared" si="8"/>
        <v>69775</v>
      </c>
      <c r="BD75" s="25"/>
      <c r="BE75" s="25"/>
      <c r="BF75" s="25"/>
      <c r="BG75" s="25"/>
      <c r="BH75" s="25"/>
      <c r="BI75" s="25"/>
      <c r="BJ75" s="25"/>
      <c r="BK75" s="25"/>
      <c r="BL75" s="25"/>
      <c r="BM75" s="25"/>
      <c r="BN75" s="20" t="s">
        <v>70</v>
      </c>
      <c r="BO75" s="71">
        <v>1111</v>
      </c>
      <c r="BP75" s="24">
        <v>1194</v>
      </c>
      <c r="BQ75" s="24">
        <v>1430</v>
      </c>
      <c r="BR75" s="24">
        <v>1715</v>
      </c>
      <c r="BS75" s="24">
        <v>1927</v>
      </c>
      <c r="BT75" s="122"/>
      <c r="BU75" s="39">
        <v>44449</v>
      </c>
      <c r="BV75" s="39" t="s">
        <v>1349</v>
      </c>
      <c r="BW75" s="39" t="s">
        <v>2929</v>
      </c>
      <c r="BX75" s="39" t="s">
        <v>273</v>
      </c>
      <c r="BY75" s="71">
        <v>720</v>
      </c>
      <c r="BZ75" s="71">
        <v>760</v>
      </c>
      <c r="CA75" s="71">
        <v>970</v>
      </c>
      <c r="CB75" s="71">
        <v>1230</v>
      </c>
      <c r="CC75" s="71">
        <v>1320</v>
      </c>
      <c r="CD75" s="25"/>
      <c r="CE75" s="200"/>
      <c r="CF75" s="200"/>
      <c r="CG75" s="200"/>
      <c r="CH75" s="200"/>
      <c r="CI75" s="200"/>
      <c r="CJ75" s="200"/>
      <c r="CK75" s="200"/>
      <c r="CL75" s="200"/>
      <c r="CM75" s="200"/>
      <c r="CN75" s="200"/>
      <c r="CO75" s="200"/>
      <c r="CP75" s="200"/>
      <c r="CQ75" s="20" t="s">
        <v>70</v>
      </c>
      <c r="CR75" s="236" t="s">
        <v>2481</v>
      </c>
      <c r="CS75" s="236" t="s">
        <v>3111</v>
      </c>
      <c r="CT75" s="200"/>
      <c r="CU75" s="200"/>
      <c r="CV75" s="20" t="s">
        <v>70</v>
      </c>
      <c r="CW75" s="20" t="s">
        <v>8</v>
      </c>
      <c r="CX75" s="25"/>
      <c r="CY75" s="20" t="s">
        <v>70</v>
      </c>
      <c r="CZ75" s="20">
        <v>18140</v>
      </c>
      <c r="DA75" s="37" t="s">
        <v>2830</v>
      </c>
      <c r="DB75" s="25"/>
      <c r="DC75" s="20" t="s">
        <v>70</v>
      </c>
      <c r="DD75" s="20">
        <v>0</v>
      </c>
      <c r="DE75" s="735">
        <v>0</v>
      </c>
      <c r="DF75" s="179">
        <v>56279</v>
      </c>
      <c r="DG75" s="179">
        <v>59407</v>
      </c>
      <c r="DH75" s="878">
        <f t="shared" si="11"/>
        <v>5.5580234190372967E-2</v>
      </c>
      <c r="DI75" s="606">
        <v>501.2651455762861</v>
      </c>
      <c r="DJ75" s="179">
        <f t="shared" ref="DJ75:DJ99" si="18">DG75/DI75</f>
        <v>118.5141247586683</v>
      </c>
      <c r="DK75" s="37">
        <v>39.5</v>
      </c>
      <c r="DL75" s="236">
        <v>72927</v>
      </c>
      <c r="DM75" s="878">
        <v>0.12097900829145272</v>
      </c>
      <c r="DN75" s="878">
        <v>4.2000000000000003E-2</v>
      </c>
      <c r="DO75" s="878">
        <v>4.0000000000000001E-3</v>
      </c>
      <c r="DP75" s="878">
        <v>2.1000000000000001E-2</v>
      </c>
      <c r="DQ75" s="878">
        <v>0.27895572576125538</v>
      </c>
      <c r="DR75" s="878">
        <v>0.34371337686254816</v>
      </c>
      <c r="DS75" s="878">
        <v>0.92</v>
      </c>
      <c r="DT75" s="878">
        <v>0.03</v>
      </c>
      <c r="DU75" s="878">
        <v>1E-3</v>
      </c>
      <c r="DV75" s="878">
        <v>3.0000000000000001E-3</v>
      </c>
      <c r="DW75" s="878">
        <v>0</v>
      </c>
      <c r="DX75" s="878">
        <v>4.0000000000000001E-3</v>
      </c>
      <c r="DY75" s="878">
        <v>4.2000000000000003E-2</v>
      </c>
      <c r="DZ75" s="878">
        <v>1.7999999999999999E-2</v>
      </c>
      <c r="EA75" s="878">
        <v>0.91400000000000003</v>
      </c>
      <c r="EB75" s="25"/>
      <c r="EC75" s="25"/>
      <c r="ED75" s="25"/>
    </row>
    <row r="76" spans="1:134" s="17" customFormat="1" x14ac:dyDescent="0.2">
      <c r="A76" s="25"/>
      <c r="B76" s="20">
        <v>39049000220</v>
      </c>
      <c r="C76" s="20">
        <v>2.2000000000000002</v>
      </c>
      <c r="D76" s="20" t="s">
        <v>31</v>
      </c>
      <c r="E76" s="20" t="s">
        <v>2830</v>
      </c>
      <c r="F76" s="20" t="s">
        <v>8</v>
      </c>
      <c r="G76" s="861">
        <v>81.566138787699401</v>
      </c>
      <c r="H76" s="861">
        <v>82.934536068635495</v>
      </c>
      <c r="I76" s="861">
        <v>26.369047577591498</v>
      </c>
      <c r="J76" s="861">
        <v>52.926376943877003</v>
      </c>
      <c r="K76" s="982">
        <v>0</v>
      </c>
      <c r="L76" s="735">
        <v>3913</v>
      </c>
      <c r="M76" s="735">
        <v>4183</v>
      </c>
      <c r="N76" s="845">
        <f t="shared" si="13"/>
        <v>6.9000766675185274E-2</v>
      </c>
      <c r="O76" s="735">
        <v>0.75108761792732714</v>
      </c>
      <c r="P76" s="735">
        <f t="shared" si="14"/>
        <v>5569.2570349425387</v>
      </c>
      <c r="Q76" s="849">
        <v>46</v>
      </c>
      <c r="R76" s="71">
        <v>123581</v>
      </c>
      <c r="S76" s="845">
        <v>2.0320344250537893E-2</v>
      </c>
      <c r="T76" s="845">
        <v>6.4000000000000001E-2</v>
      </c>
      <c r="U76" s="845">
        <v>5.0000000000000001E-3</v>
      </c>
      <c r="V76" s="845">
        <v>5.5E-2</v>
      </c>
      <c r="W76" s="845">
        <v>0.20608782435129741</v>
      </c>
      <c r="X76" s="845">
        <v>0.41646489104116224</v>
      </c>
      <c r="Y76" s="845">
        <v>0.88811857518527371</v>
      </c>
      <c r="Z76" s="845">
        <v>3.3468802295003584E-3</v>
      </c>
      <c r="AA76" s="845">
        <v>0</v>
      </c>
      <c r="AB76" s="845">
        <v>3.2034425053789145E-2</v>
      </c>
      <c r="AC76" s="845">
        <v>0</v>
      </c>
      <c r="AD76" s="845">
        <v>1.7690652641644752E-2</v>
      </c>
      <c r="AE76" s="845">
        <v>5.8809466889792016E-2</v>
      </c>
      <c r="AF76" s="845">
        <v>3.8250059765718381E-2</v>
      </c>
      <c r="AG76" s="845">
        <v>0.87449199139373657</v>
      </c>
      <c r="AH76" s="20" t="str">
        <f t="shared" si="15"/>
        <v>No</v>
      </c>
      <c r="AI76" s="25"/>
      <c r="AJ76" s="37">
        <v>44302</v>
      </c>
      <c r="AK76" s="37" t="s">
        <v>1297</v>
      </c>
      <c r="AL76" s="37">
        <v>39153</v>
      </c>
      <c r="AM76" s="37" t="s">
        <v>82</v>
      </c>
      <c r="AN76" s="37">
        <f t="shared" si="16"/>
        <v>10420</v>
      </c>
      <c r="AO76" s="37" t="str">
        <f t="shared" si="17"/>
        <v>Akron, OH</v>
      </c>
      <c r="AP76" s="37" t="s">
        <v>8</v>
      </c>
      <c r="AQ76" s="25"/>
      <c r="AR76" s="20" t="s">
        <v>71</v>
      </c>
      <c r="AS76" s="24">
        <v>29850</v>
      </c>
      <c r="AT76" s="24">
        <v>34100</v>
      </c>
      <c r="AU76" s="24">
        <v>38350</v>
      </c>
      <c r="AV76" s="24">
        <v>42600</v>
      </c>
      <c r="AW76" s="24">
        <v>46050</v>
      </c>
      <c r="AX76" s="24">
        <v>49450</v>
      </c>
      <c r="AY76" s="24">
        <v>52850</v>
      </c>
      <c r="AZ76" s="24">
        <v>56250</v>
      </c>
      <c r="BA76" s="29">
        <f t="shared" ref="BA76:BA98" si="19">SUM(AS76,AT76)/2</f>
        <v>31975</v>
      </c>
      <c r="BB76" s="29">
        <f t="shared" ref="BB76:BB98" si="20">SUM(AV76,AW76)/2</f>
        <v>44325</v>
      </c>
      <c r="BC76" s="29">
        <f t="shared" ref="BC76:BC98" si="21">SUM(AY76,AZ76)/2</f>
        <v>54550</v>
      </c>
      <c r="BD76" s="25"/>
      <c r="BE76" s="25"/>
      <c r="BF76" s="25"/>
      <c r="BG76" s="25"/>
      <c r="BH76" s="25"/>
      <c r="BI76" s="25"/>
      <c r="BJ76" s="25"/>
      <c r="BK76" s="25"/>
      <c r="BL76" s="25"/>
      <c r="BM76" s="25"/>
      <c r="BN76" s="20" t="s">
        <v>71</v>
      </c>
      <c r="BO76" s="71">
        <v>738</v>
      </c>
      <c r="BP76" s="24">
        <v>744</v>
      </c>
      <c r="BQ76" s="24">
        <v>976</v>
      </c>
      <c r="BR76" s="24">
        <v>1214</v>
      </c>
      <c r="BS76" s="24">
        <v>1446</v>
      </c>
      <c r="BT76" s="122"/>
      <c r="BU76" s="39">
        <v>44470</v>
      </c>
      <c r="BV76" s="39" t="s">
        <v>1356</v>
      </c>
      <c r="BW76" s="39" t="s">
        <v>2929</v>
      </c>
      <c r="BX76" s="39" t="s">
        <v>273</v>
      </c>
      <c r="BY76" s="71">
        <v>730</v>
      </c>
      <c r="BZ76" s="71">
        <v>770</v>
      </c>
      <c r="CA76" s="71">
        <v>970</v>
      </c>
      <c r="CB76" s="71">
        <v>1270</v>
      </c>
      <c r="CC76" s="71">
        <v>1340</v>
      </c>
      <c r="CD76" s="25"/>
      <c r="CE76" s="200"/>
      <c r="CF76" s="200"/>
      <c r="CG76" s="200"/>
      <c r="CH76" s="200"/>
      <c r="CI76" s="200"/>
      <c r="CJ76" s="200"/>
      <c r="CK76" s="200"/>
      <c r="CL76" s="200"/>
      <c r="CM76" s="200"/>
      <c r="CN76" s="200"/>
      <c r="CO76" s="200"/>
      <c r="CP76" s="200"/>
      <c r="CQ76" s="20" t="s">
        <v>71</v>
      </c>
      <c r="CR76" s="236" t="s">
        <v>292</v>
      </c>
      <c r="CS76" s="236" t="s">
        <v>3110</v>
      </c>
      <c r="CT76" s="200"/>
      <c r="CU76" s="200"/>
      <c r="CV76" s="20" t="s">
        <v>71</v>
      </c>
      <c r="CW76" s="20" t="s">
        <v>6</v>
      </c>
      <c r="CX76" s="25"/>
      <c r="CY76" s="20" t="s">
        <v>71</v>
      </c>
      <c r="CZ76" s="20" t="s">
        <v>265</v>
      </c>
      <c r="DA76" s="37" t="s">
        <v>265</v>
      </c>
      <c r="DB76" s="25"/>
      <c r="DC76" s="20" t="s">
        <v>71</v>
      </c>
      <c r="DD76" s="20">
        <v>1</v>
      </c>
      <c r="DE76" s="735">
        <v>56</v>
      </c>
      <c r="DF76" s="179">
        <v>28504</v>
      </c>
      <c r="DG76" s="179">
        <v>27080</v>
      </c>
      <c r="DH76" s="878">
        <f t="shared" ref="DH76:DH99" si="22">(DG76-DF76)/DF76</f>
        <v>-4.9957900645523433E-2</v>
      </c>
      <c r="DI76" s="606">
        <v>440.28197218249011</v>
      </c>
      <c r="DJ76" s="179">
        <f t="shared" si="18"/>
        <v>61.506038654645977</v>
      </c>
      <c r="DK76" s="37">
        <v>41.1</v>
      </c>
      <c r="DL76" s="236">
        <v>49552</v>
      </c>
      <c r="DM76" s="878">
        <v>0.19920453266293947</v>
      </c>
      <c r="DN76" s="878">
        <v>5.3999999999999999E-2</v>
      </c>
      <c r="DO76" s="878">
        <v>6.0000000000000001E-3</v>
      </c>
      <c r="DP76" s="878">
        <v>4.8000000000000001E-2</v>
      </c>
      <c r="DQ76" s="878">
        <v>0.34208579881656803</v>
      </c>
      <c r="DR76" s="878">
        <v>0.38513513513513514</v>
      </c>
      <c r="DS76" s="878">
        <v>0.95199999999999996</v>
      </c>
      <c r="DT76" s="878">
        <v>1.0999999999999999E-2</v>
      </c>
      <c r="DU76" s="878">
        <v>1E-3</v>
      </c>
      <c r="DV76" s="878">
        <v>3.0000000000000001E-3</v>
      </c>
      <c r="DW76" s="878">
        <v>5.0000000000000001E-3</v>
      </c>
      <c r="DX76" s="878">
        <v>0</v>
      </c>
      <c r="DY76" s="878">
        <v>2.8000000000000001E-2</v>
      </c>
      <c r="DZ76" s="878">
        <v>6.0000000000000001E-3</v>
      </c>
      <c r="EA76" s="878">
        <v>0.94599999999999995</v>
      </c>
      <c r="EB76" s="25"/>
      <c r="EC76" s="25"/>
      <c r="ED76" s="25"/>
    </row>
    <row r="77" spans="1:134" s="17" customFormat="1" x14ac:dyDescent="0.2">
      <c r="A77" s="25"/>
      <c r="B77" s="20">
        <v>39049006430</v>
      </c>
      <c r="C77" s="20">
        <v>64.3</v>
      </c>
      <c r="D77" s="20" t="s">
        <v>31</v>
      </c>
      <c r="E77" s="20" t="s">
        <v>2830</v>
      </c>
      <c r="F77" s="20" t="s">
        <v>8</v>
      </c>
      <c r="G77" s="861">
        <v>81.554494130415506</v>
      </c>
      <c r="H77" s="861">
        <v>80.614018987125306</v>
      </c>
      <c r="I77" s="861">
        <v>31.8876289870792</v>
      </c>
      <c r="J77" s="861">
        <v>39.096429475424301</v>
      </c>
      <c r="K77" s="982">
        <v>0</v>
      </c>
      <c r="L77" s="735">
        <v>4649</v>
      </c>
      <c r="M77" s="735">
        <v>4986</v>
      </c>
      <c r="N77" s="845">
        <f t="shared" si="13"/>
        <v>7.2488707248870729E-2</v>
      </c>
      <c r="O77" s="735">
        <v>0.99707793639253428</v>
      </c>
      <c r="P77" s="735">
        <f t="shared" si="14"/>
        <v>5000.6121066518999</v>
      </c>
      <c r="Q77" s="849">
        <v>38.1</v>
      </c>
      <c r="R77" s="71">
        <v>117917</v>
      </c>
      <c r="S77" s="845">
        <v>5.8445470978108052E-2</v>
      </c>
      <c r="T77" s="845">
        <v>2.2000000000000002E-2</v>
      </c>
      <c r="U77" s="845">
        <v>0</v>
      </c>
      <c r="V77" s="845">
        <v>0</v>
      </c>
      <c r="W77" s="845">
        <v>0.38652482269503546</v>
      </c>
      <c r="X77" s="845">
        <v>0.45871559633027525</v>
      </c>
      <c r="Y77" s="845">
        <v>0.78279181708784595</v>
      </c>
      <c r="Z77" s="845">
        <v>2.7878058563979142E-2</v>
      </c>
      <c r="AA77" s="845">
        <v>0</v>
      </c>
      <c r="AB77" s="845">
        <v>0.13517849979943844</v>
      </c>
      <c r="AC77" s="845">
        <v>0</v>
      </c>
      <c r="AD77" s="845">
        <v>7.8219013237063786E-3</v>
      </c>
      <c r="AE77" s="845">
        <v>4.6329723225030081E-2</v>
      </c>
      <c r="AF77" s="845">
        <v>3.6301644604893706E-2</v>
      </c>
      <c r="AG77" s="845">
        <v>0.77958283192940236</v>
      </c>
      <c r="AH77" s="20" t="str">
        <f t="shared" si="15"/>
        <v>No</v>
      </c>
      <c r="AI77" s="25"/>
      <c r="AJ77" s="37">
        <v>44303</v>
      </c>
      <c r="AK77" s="37" t="s">
        <v>1298</v>
      </c>
      <c r="AL77" s="37">
        <v>39153</v>
      </c>
      <c r="AM77" s="37" t="s">
        <v>82</v>
      </c>
      <c r="AN77" s="37">
        <f t="shared" si="16"/>
        <v>10420</v>
      </c>
      <c r="AO77" s="37" t="str">
        <f t="shared" si="17"/>
        <v>Akron, OH</v>
      </c>
      <c r="AP77" s="37" t="s">
        <v>8</v>
      </c>
      <c r="AQ77" s="25"/>
      <c r="AR77" s="20" t="s">
        <v>72</v>
      </c>
      <c r="AS77" s="24">
        <v>35150</v>
      </c>
      <c r="AT77" s="24">
        <v>40150</v>
      </c>
      <c r="AU77" s="24">
        <v>45150</v>
      </c>
      <c r="AV77" s="24">
        <v>50150</v>
      </c>
      <c r="AW77" s="24">
        <v>54200</v>
      </c>
      <c r="AX77" s="24">
        <v>58200</v>
      </c>
      <c r="AY77" s="24">
        <v>62200</v>
      </c>
      <c r="AZ77" s="24">
        <v>66200</v>
      </c>
      <c r="BA77" s="29">
        <f t="shared" si="19"/>
        <v>37650</v>
      </c>
      <c r="BB77" s="29">
        <f t="shared" si="20"/>
        <v>52175</v>
      </c>
      <c r="BC77" s="29">
        <f t="shared" si="21"/>
        <v>64200</v>
      </c>
      <c r="BD77" s="25"/>
      <c r="BE77" s="25"/>
      <c r="BF77" s="25"/>
      <c r="BG77" s="25"/>
      <c r="BH77" s="25"/>
      <c r="BI77" s="25"/>
      <c r="BJ77" s="25"/>
      <c r="BK77" s="25"/>
      <c r="BL77" s="25"/>
      <c r="BM77" s="25"/>
      <c r="BN77" s="20" t="s">
        <v>72</v>
      </c>
      <c r="BO77" s="71">
        <v>904</v>
      </c>
      <c r="BP77" s="24">
        <v>985</v>
      </c>
      <c r="BQ77" s="24">
        <v>1268</v>
      </c>
      <c r="BR77" s="24">
        <v>1547</v>
      </c>
      <c r="BS77" s="24">
        <v>1681</v>
      </c>
      <c r="BT77" s="122"/>
      <c r="BU77" s="39">
        <v>44491</v>
      </c>
      <c r="BV77" s="39" t="s">
        <v>1364</v>
      </c>
      <c r="BW77" s="39" t="s">
        <v>2929</v>
      </c>
      <c r="BX77" s="39" t="s">
        <v>273</v>
      </c>
      <c r="BY77" s="71">
        <v>770</v>
      </c>
      <c r="BZ77" s="71">
        <v>820</v>
      </c>
      <c r="CA77" s="71">
        <v>1030</v>
      </c>
      <c r="CB77" s="71">
        <v>1340</v>
      </c>
      <c r="CC77" s="71">
        <v>1420</v>
      </c>
      <c r="CD77" s="25"/>
      <c r="CE77" s="200"/>
      <c r="CF77" s="200"/>
      <c r="CG77" s="200"/>
      <c r="CH77" s="200"/>
      <c r="CI77" s="200"/>
      <c r="CJ77" s="200"/>
      <c r="CK77" s="200"/>
      <c r="CL77" s="200"/>
      <c r="CM77" s="200"/>
      <c r="CN77" s="200"/>
      <c r="CO77" s="200"/>
      <c r="CP77" s="200"/>
      <c r="CQ77" s="20" t="s">
        <v>72</v>
      </c>
      <c r="CR77" s="236" t="s">
        <v>2481</v>
      </c>
      <c r="CS77" s="236" t="s">
        <v>3109</v>
      </c>
      <c r="CT77" s="200"/>
      <c r="CU77" s="200"/>
      <c r="CV77" s="20" t="s">
        <v>72</v>
      </c>
      <c r="CW77" s="20" t="s">
        <v>8</v>
      </c>
      <c r="CX77" s="25"/>
      <c r="CY77" s="20" t="s">
        <v>72</v>
      </c>
      <c r="CZ77" s="20">
        <v>10420</v>
      </c>
      <c r="DA77" s="37" t="s">
        <v>2843</v>
      </c>
      <c r="DB77" s="25"/>
      <c r="DC77" s="20" t="s">
        <v>72</v>
      </c>
      <c r="DD77" s="20">
        <v>0</v>
      </c>
      <c r="DE77" s="735">
        <v>0</v>
      </c>
      <c r="DF77" s="179">
        <v>161553</v>
      </c>
      <c r="DG77" s="179">
        <v>161421</v>
      </c>
      <c r="DH77" s="878">
        <f t="shared" si="22"/>
        <v>-8.1706932090397583E-4</v>
      </c>
      <c r="DI77" s="606">
        <v>487.45416093821376</v>
      </c>
      <c r="DJ77" s="179">
        <f t="shared" si="18"/>
        <v>331.15113775890114</v>
      </c>
      <c r="DK77" s="37">
        <v>39.299999999999997</v>
      </c>
      <c r="DL77" s="236">
        <v>72822</v>
      </c>
      <c r="DM77" s="878">
        <v>0.11399222618051094</v>
      </c>
      <c r="DN77" s="878">
        <v>5.2999999999999999E-2</v>
      </c>
      <c r="DO77" s="878">
        <v>8.0000000000000002E-3</v>
      </c>
      <c r="DP77" s="878">
        <v>0.03</v>
      </c>
      <c r="DQ77" s="878">
        <v>0.29857496902106567</v>
      </c>
      <c r="DR77" s="878">
        <v>0.50581033409421039</v>
      </c>
      <c r="DS77" s="878">
        <v>0.875</v>
      </c>
      <c r="DT77" s="878">
        <v>4.7E-2</v>
      </c>
      <c r="DU77" s="878">
        <v>1E-3</v>
      </c>
      <c r="DV77" s="878">
        <v>1.7999999999999999E-2</v>
      </c>
      <c r="DW77" s="878">
        <v>0</v>
      </c>
      <c r="DX77" s="878">
        <v>0.01</v>
      </c>
      <c r="DY77" s="878">
        <v>4.9000000000000002E-2</v>
      </c>
      <c r="DZ77" s="878">
        <v>2.1999999999999999E-2</v>
      </c>
      <c r="EA77" s="878">
        <v>0.86799999999999999</v>
      </c>
      <c r="EB77" s="25"/>
      <c r="EC77" s="25"/>
      <c r="ED77" s="25"/>
    </row>
    <row r="78" spans="1:134" s="17" customFormat="1" x14ac:dyDescent="0.2">
      <c r="A78" s="25"/>
      <c r="B78" s="20">
        <v>39061023902</v>
      </c>
      <c r="C78" s="20">
        <v>239.02</v>
      </c>
      <c r="D78" s="20" t="s">
        <v>37</v>
      </c>
      <c r="E78" s="20" t="s">
        <v>2828</v>
      </c>
      <c r="F78" s="20" t="s">
        <v>8</v>
      </c>
      <c r="G78" s="861">
        <v>81.425196820344098</v>
      </c>
      <c r="H78" s="861">
        <v>74.883386939183893</v>
      </c>
      <c r="I78" s="861">
        <v>19.4187235171417</v>
      </c>
      <c r="J78" s="861">
        <v>42.338012167048902</v>
      </c>
      <c r="K78" s="982">
        <v>0</v>
      </c>
      <c r="L78" s="735">
        <v>4957</v>
      </c>
      <c r="M78" s="735">
        <v>5164</v>
      </c>
      <c r="N78" s="845">
        <f t="shared" si="13"/>
        <v>4.1759128505144238E-2</v>
      </c>
      <c r="O78" s="735">
        <v>1.9949574208663068</v>
      </c>
      <c r="P78" s="735">
        <f t="shared" si="14"/>
        <v>2588.5264246680222</v>
      </c>
      <c r="Q78" s="849">
        <v>45.2</v>
      </c>
      <c r="R78" s="71">
        <v>139867</v>
      </c>
      <c r="S78" s="845">
        <v>4.4850168684262753E-2</v>
      </c>
      <c r="T78" s="845">
        <v>4.7E-2</v>
      </c>
      <c r="U78" s="845">
        <v>1.7000000000000001E-2</v>
      </c>
      <c r="V78" s="845">
        <v>0</v>
      </c>
      <c r="W78" s="845">
        <v>0.12022414671421294</v>
      </c>
      <c r="X78" s="845">
        <v>0.23305084745762711</v>
      </c>
      <c r="Y78" s="845">
        <v>0.87412858249419056</v>
      </c>
      <c r="Z78" s="845">
        <v>1.8783888458559255E-2</v>
      </c>
      <c r="AA78" s="845">
        <v>5.8094500387296665E-4</v>
      </c>
      <c r="AB78" s="845">
        <v>3.0596436870642913E-2</v>
      </c>
      <c r="AC78" s="845">
        <v>0</v>
      </c>
      <c r="AD78" s="845">
        <v>9.6824167312161112E-3</v>
      </c>
      <c r="AE78" s="845">
        <v>6.6227730441518209E-2</v>
      </c>
      <c r="AF78" s="845">
        <v>5.1510457010069712E-2</v>
      </c>
      <c r="AG78" s="845">
        <v>0.82591014717273437</v>
      </c>
      <c r="AH78" s="20" t="str">
        <f t="shared" si="15"/>
        <v>No</v>
      </c>
      <c r="AI78" s="25"/>
      <c r="AJ78" s="37">
        <v>44304</v>
      </c>
      <c r="AK78" s="37" t="s">
        <v>1299</v>
      </c>
      <c r="AL78" s="37">
        <v>39153</v>
      </c>
      <c r="AM78" s="37" t="s">
        <v>82</v>
      </c>
      <c r="AN78" s="37">
        <f t="shared" si="16"/>
        <v>10420</v>
      </c>
      <c r="AO78" s="37" t="str">
        <f t="shared" si="17"/>
        <v>Akron, OH</v>
      </c>
      <c r="AP78" s="37" t="s">
        <v>8</v>
      </c>
      <c r="AQ78" s="25"/>
      <c r="AR78" s="20" t="s">
        <v>73</v>
      </c>
      <c r="AS78" s="24">
        <v>31950</v>
      </c>
      <c r="AT78" s="24">
        <v>36500</v>
      </c>
      <c r="AU78" s="24">
        <v>41050</v>
      </c>
      <c r="AV78" s="24">
        <v>45600</v>
      </c>
      <c r="AW78" s="24">
        <v>49250</v>
      </c>
      <c r="AX78" s="24">
        <v>52900</v>
      </c>
      <c r="AY78" s="24">
        <v>56550</v>
      </c>
      <c r="AZ78" s="24">
        <v>60200</v>
      </c>
      <c r="BA78" s="29">
        <f t="shared" si="19"/>
        <v>34225</v>
      </c>
      <c r="BB78" s="29">
        <f t="shared" si="20"/>
        <v>47425</v>
      </c>
      <c r="BC78" s="29">
        <f t="shared" si="21"/>
        <v>58375</v>
      </c>
      <c r="BD78" s="25"/>
      <c r="BE78" s="25"/>
      <c r="BF78" s="25"/>
      <c r="BG78" s="25"/>
      <c r="BH78" s="25"/>
      <c r="BI78" s="25"/>
      <c r="BJ78" s="25"/>
      <c r="BK78" s="25"/>
      <c r="BL78" s="25"/>
      <c r="BM78" s="25"/>
      <c r="BN78" s="20" t="s">
        <v>73</v>
      </c>
      <c r="BO78" s="71">
        <v>736</v>
      </c>
      <c r="BP78" s="24">
        <v>742</v>
      </c>
      <c r="BQ78" s="24">
        <v>973</v>
      </c>
      <c r="BR78" s="24">
        <v>1298</v>
      </c>
      <c r="BS78" s="24">
        <v>1424</v>
      </c>
      <c r="BT78" s="122"/>
      <c r="BU78" s="39">
        <v>44601</v>
      </c>
      <c r="BV78" s="39" t="s">
        <v>1379</v>
      </c>
      <c r="BW78" s="39" t="s">
        <v>2929</v>
      </c>
      <c r="BX78" s="39" t="s">
        <v>273</v>
      </c>
      <c r="BY78" s="71">
        <v>700</v>
      </c>
      <c r="BZ78" s="71">
        <v>790</v>
      </c>
      <c r="CA78" s="71">
        <v>1010</v>
      </c>
      <c r="CB78" s="71">
        <v>1280</v>
      </c>
      <c r="CC78" s="71">
        <v>1350</v>
      </c>
      <c r="CD78" s="25"/>
      <c r="CE78" s="200"/>
      <c r="CF78" s="200"/>
      <c r="CG78" s="200"/>
      <c r="CH78" s="200"/>
      <c r="CI78" s="200"/>
      <c r="CJ78" s="200"/>
      <c r="CK78" s="200"/>
      <c r="CL78" s="200"/>
      <c r="CM78" s="200"/>
      <c r="CN78" s="200"/>
      <c r="CO78" s="200"/>
      <c r="CP78" s="200"/>
      <c r="CQ78" s="20" t="s">
        <v>73</v>
      </c>
      <c r="CR78" s="236" t="s">
        <v>292</v>
      </c>
      <c r="CS78" s="236" t="s">
        <v>3107</v>
      </c>
      <c r="CT78" s="200"/>
      <c r="CU78" s="200"/>
      <c r="CV78" s="20" t="s">
        <v>73</v>
      </c>
      <c r="CW78" s="20" t="s">
        <v>8</v>
      </c>
      <c r="CX78" s="25"/>
      <c r="CY78" s="20" t="s">
        <v>73</v>
      </c>
      <c r="CZ78" s="20" t="s">
        <v>265</v>
      </c>
      <c r="DA78" s="37" t="s">
        <v>265</v>
      </c>
      <c r="DB78" s="25"/>
      <c r="DC78" s="20" t="s">
        <v>73</v>
      </c>
      <c r="DD78" s="20">
        <v>0</v>
      </c>
      <c r="DE78" s="735">
        <v>0</v>
      </c>
      <c r="DF78" s="179">
        <v>41887</v>
      </c>
      <c r="DG78" s="179">
        <v>40802</v>
      </c>
      <c r="DH78" s="878">
        <f t="shared" si="22"/>
        <v>-2.5903024804832048E-2</v>
      </c>
      <c r="DI78" s="606">
        <v>424.22632473011623</v>
      </c>
      <c r="DJ78" s="179">
        <f t="shared" si="18"/>
        <v>96.179792769714055</v>
      </c>
      <c r="DK78" s="37">
        <v>43.2</v>
      </c>
      <c r="DL78" s="236">
        <v>71237</v>
      </c>
      <c r="DM78" s="878">
        <v>0.11248919085855466</v>
      </c>
      <c r="DN78" s="878">
        <v>3.5000000000000003E-2</v>
      </c>
      <c r="DO78" s="878">
        <v>8.0000000000000002E-3</v>
      </c>
      <c r="DP78" s="878">
        <v>5.2000000000000005E-2</v>
      </c>
      <c r="DQ78" s="878">
        <v>0.20624776012423846</v>
      </c>
      <c r="DR78" s="878">
        <v>0.31219229655372138</v>
      </c>
      <c r="DS78" s="878">
        <v>0.95699999999999996</v>
      </c>
      <c r="DT78" s="878">
        <v>8.0000000000000002E-3</v>
      </c>
      <c r="DU78" s="878">
        <v>0</v>
      </c>
      <c r="DV78" s="878">
        <v>2E-3</v>
      </c>
      <c r="DW78" s="878">
        <v>0</v>
      </c>
      <c r="DX78" s="878">
        <v>4.0000000000000001E-3</v>
      </c>
      <c r="DY78" s="878">
        <v>2.8000000000000001E-2</v>
      </c>
      <c r="DZ78" s="878">
        <v>1.0999999999999999E-2</v>
      </c>
      <c r="EA78" s="878">
        <v>0.95299999999999996</v>
      </c>
      <c r="EB78" s="25"/>
      <c r="EC78" s="25"/>
      <c r="ED78" s="25"/>
    </row>
    <row r="79" spans="1:134" s="17" customFormat="1" x14ac:dyDescent="0.2">
      <c r="A79" s="25"/>
      <c r="B79" s="20">
        <v>39049006310</v>
      </c>
      <c r="C79" s="20">
        <v>63.1</v>
      </c>
      <c r="D79" s="20" t="s">
        <v>31</v>
      </c>
      <c r="E79" s="20" t="s">
        <v>2830</v>
      </c>
      <c r="F79" s="20" t="s">
        <v>8</v>
      </c>
      <c r="G79" s="861">
        <v>81.396782001393504</v>
      </c>
      <c r="H79" s="861">
        <v>76.987210037741306</v>
      </c>
      <c r="I79" s="861">
        <v>21.119323940128002</v>
      </c>
      <c r="J79" s="861">
        <v>55.888778370920299</v>
      </c>
      <c r="K79" s="982">
        <v>0</v>
      </c>
      <c r="L79" s="735">
        <v>4570</v>
      </c>
      <c r="M79" s="735">
        <v>4394</v>
      </c>
      <c r="N79" s="845">
        <f t="shared" si="13"/>
        <v>-3.8512035010940922E-2</v>
      </c>
      <c r="O79" s="735">
        <v>1.6170850297841715</v>
      </c>
      <c r="P79" s="735">
        <f t="shared" si="14"/>
        <v>2717.2349747041176</v>
      </c>
      <c r="Q79" s="849">
        <v>42.3</v>
      </c>
      <c r="R79" s="71">
        <v>205625</v>
      </c>
      <c r="S79" s="845">
        <v>1.4337733272644515E-2</v>
      </c>
      <c r="T79" s="845">
        <v>1.1000000000000001E-2</v>
      </c>
      <c r="U79" s="845">
        <v>2.1000000000000001E-2</v>
      </c>
      <c r="V79" s="845">
        <v>0.72499999999999998</v>
      </c>
      <c r="W79" s="845">
        <v>9.1027308192457735E-3</v>
      </c>
      <c r="X79" s="845">
        <v>0</v>
      </c>
      <c r="Y79" s="845">
        <v>0.85389167045971781</v>
      </c>
      <c r="Z79" s="845">
        <v>1.137915339098771E-3</v>
      </c>
      <c r="AA79" s="845">
        <v>0</v>
      </c>
      <c r="AB79" s="845">
        <v>8.3522985889849799E-2</v>
      </c>
      <c r="AC79" s="845">
        <v>0</v>
      </c>
      <c r="AD79" s="845">
        <v>7.2826581702321348E-3</v>
      </c>
      <c r="AE79" s="845">
        <v>5.41647701411015E-2</v>
      </c>
      <c r="AF79" s="845">
        <v>1.9344560764679108E-2</v>
      </c>
      <c r="AG79" s="845">
        <v>0.85366408739189803</v>
      </c>
      <c r="AH79" s="20" t="str">
        <f t="shared" si="15"/>
        <v>No</v>
      </c>
      <c r="AI79" s="25"/>
      <c r="AJ79" s="37">
        <v>44305</v>
      </c>
      <c r="AK79" s="37" t="s">
        <v>1300</v>
      </c>
      <c r="AL79" s="37">
        <v>39153</v>
      </c>
      <c r="AM79" s="37" t="s">
        <v>82</v>
      </c>
      <c r="AN79" s="37">
        <f t="shared" si="16"/>
        <v>10420</v>
      </c>
      <c r="AO79" s="37" t="str">
        <f t="shared" si="17"/>
        <v>Akron, OH</v>
      </c>
      <c r="AP79" s="37" t="s">
        <v>8</v>
      </c>
      <c r="AQ79" s="25"/>
      <c r="AR79" s="20" t="s">
        <v>74</v>
      </c>
      <c r="AS79" s="24">
        <v>37800</v>
      </c>
      <c r="AT79" s="24">
        <v>43200</v>
      </c>
      <c r="AU79" s="24">
        <v>48600</v>
      </c>
      <c r="AV79" s="24">
        <v>53950</v>
      </c>
      <c r="AW79" s="24">
        <v>58300</v>
      </c>
      <c r="AX79" s="24">
        <v>62600</v>
      </c>
      <c r="AY79" s="24">
        <v>66900</v>
      </c>
      <c r="AZ79" s="24">
        <v>71250</v>
      </c>
      <c r="BA79" s="29">
        <f t="shared" si="19"/>
        <v>40500</v>
      </c>
      <c r="BB79" s="29">
        <f t="shared" si="20"/>
        <v>56125</v>
      </c>
      <c r="BC79" s="29">
        <f t="shared" si="21"/>
        <v>69075</v>
      </c>
      <c r="BD79" s="25"/>
      <c r="BE79" s="25"/>
      <c r="BF79" s="25"/>
      <c r="BG79" s="25"/>
      <c r="BH79" s="25"/>
      <c r="BI79" s="25"/>
      <c r="BJ79" s="25"/>
      <c r="BK79" s="25"/>
      <c r="BL79" s="25"/>
      <c r="BM79" s="25"/>
      <c r="BN79" s="20" t="s">
        <v>74</v>
      </c>
      <c r="BO79" s="71">
        <v>797</v>
      </c>
      <c r="BP79" s="24">
        <v>808</v>
      </c>
      <c r="BQ79" s="24">
        <v>1053</v>
      </c>
      <c r="BR79" s="24">
        <v>1263</v>
      </c>
      <c r="BS79" s="24">
        <v>1394</v>
      </c>
      <c r="BT79" s="122"/>
      <c r="BU79" s="39">
        <v>44614</v>
      </c>
      <c r="BV79" s="39" t="s">
        <v>1388</v>
      </c>
      <c r="BW79" s="39" t="s">
        <v>2929</v>
      </c>
      <c r="BX79" s="39" t="s">
        <v>273</v>
      </c>
      <c r="BY79" s="71">
        <v>810</v>
      </c>
      <c r="BZ79" s="71">
        <v>910</v>
      </c>
      <c r="CA79" s="71">
        <v>1170</v>
      </c>
      <c r="CB79" s="71">
        <v>1480</v>
      </c>
      <c r="CC79" s="71">
        <v>1560</v>
      </c>
      <c r="CD79" s="25"/>
      <c r="CE79" s="200"/>
      <c r="CF79" s="200"/>
      <c r="CG79" s="200"/>
      <c r="CH79" s="200"/>
      <c r="CI79" s="200"/>
      <c r="CJ79" s="200"/>
      <c r="CK79" s="200"/>
      <c r="CL79" s="200"/>
      <c r="CM79" s="200"/>
      <c r="CN79" s="200"/>
      <c r="CO79" s="200"/>
      <c r="CP79" s="200"/>
      <c r="CQ79" s="20" t="s">
        <v>74</v>
      </c>
      <c r="CR79" s="236" t="s">
        <v>292</v>
      </c>
      <c r="CS79" s="236" t="s">
        <v>3108</v>
      </c>
      <c r="CT79" s="200"/>
      <c r="CU79" s="200"/>
      <c r="CV79" s="20" t="s">
        <v>74</v>
      </c>
      <c r="CW79" s="20" t="s">
        <v>8</v>
      </c>
      <c r="CX79" s="25"/>
      <c r="CY79" s="20" t="s">
        <v>74</v>
      </c>
      <c r="CZ79" s="20" t="s">
        <v>265</v>
      </c>
      <c r="DA79" s="37" t="s">
        <v>265</v>
      </c>
      <c r="DB79" s="25"/>
      <c r="DC79" s="20" t="s">
        <v>74</v>
      </c>
      <c r="DD79" s="20">
        <v>0</v>
      </c>
      <c r="DE79" s="735">
        <v>0</v>
      </c>
      <c r="DF79" s="179">
        <v>34256</v>
      </c>
      <c r="DG79" s="179">
        <v>34352</v>
      </c>
      <c r="DH79" s="878">
        <f t="shared" si="22"/>
        <v>2.8024287716020553E-3</v>
      </c>
      <c r="DI79" s="606">
        <v>482.54435500091932</v>
      </c>
      <c r="DJ79" s="179">
        <f t="shared" si="18"/>
        <v>71.189310669554004</v>
      </c>
      <c r="DK79" s="37">
        <v>40</v>
      </c>
      <c r="DL79" s="236">
        <v>82785</v>
      </c>
      <c r="DM79" s="878">
        <v>7.1397052334304115E-2</v>
      </c>
      <c r="DN79" s="878">
        <v>2.1000000000000001E-2</v>
      </c>
      <c r="DO79" s="878">
        <v>1E-3</v>
      </c>
      <c r="DP79" s="878">
        <v>3.5000000000000003E-2</v>
      </c>
      <c r="DQ79" s="878">
        <v>0.14218477188187961</v>
      </c>
      <c r="DR79" s="878">
        <v>0.28617191671115855</v>
      </c>
      <c r="DS79" s="878">
        <v>0.92</v>
      </c>
      <c r="DT79" s="878">
        <v>8.9999999999999993E-3</v>
      </c>
      <c r="DU79" s="878">
        <v>4.0000000000000001E-3</v>
      </c>
      <c r="DV79" s="878">
        <v>2E-3</v>
      </c>
      <c r="DW79" s="878">
        <v>1E-3</v>
      </c>
      <c r="DX79" s="878">
        <v>3.5999999999999997E-2</v>
      </c>
      <c r="DY79" s="878">
        <v>2.8000000000000001E-2</v>
      </c>
      <c r="DZ79" s="878">
        <v>6.6000000000000003E-2</v>
      </c>
      <c r="EA79" s="878">
        <v>0.91</v>
      </c>
      <c r="EB79" s="25"/>
      <c r="EC79" s="25"/>
      <c r="ED79" s="25"/>
    </row>
    <row r="80" spans="1:134" s="17" customFormat="1" x14ac:dyDescent="0.2">
      <c r="A80" s="25"/>
      <c r="B80" s="20">
        <v>39049007041</v>
      </c>
      <c r="C80" s="20">
        <v>70.41</v>
      </c>
      <c r="D80" s="20" t="s">
        <v>31</v>
      </c>
      <c r="E80" s="20" t="s">
        <v>2830</v>
      </c>
      <c r="F80" s="20" t="s">
        <v>8</v>
      </c>
      <c r="G80" s="861">
        <v>81.351740448929903</v>
      </c>
      <c r="H80" s="861">
        <v>74.646064396560504</v>
      </c>
      <c r="I80" s="861">
        <v>39.706504197432302</v>
      </c>
      <c r="J80" s="861">
        <v>52.3175723350206</v>
      </c>
      <c r="K80" s="982">
        <v>0</v>
      </c>
      <c r="L80" s="735">
        <v>2066</v>
      </c>
      <c r="M80" s="735">
        <v>2135</v>
      </c>
      <c r="N80" s="845">
        <f t="shared" si="13"/>
        <v>3.3397870280735723E-2</v>
      </c>
      <c r="O80" s="735">
        <v>1.4571692377383154</v>
      </c>
      <c r="P80" s="735">
        <f t="shared" si="14"/>
        <v>1465.1695525179707</v>
      </c>
      <c r="Q80" s="849">
        <v>35.6</v>
      </c>
      <c r="R80" s="71">
        <v>82031</v>
      </c>
      <c r="S80" s="845">
        <v>4.9408131755018014E-2</v>
      </c>
      <c r="T80" s="845">
        <v>1.3000000000000001E-2</v>
      </c>
      <c r="U80" s="845">
        <v>0</v>
      </c>
      <c r="V80" s="845">
        <v>8.5000000000000006E-2</v>
      </c>
      <c r="W80" s="845">
        <v>0.53798767967145789</v>
      </c>
      <c r="X80" s="845">
        <v>0.37404580152671757</v>
      </c>
      <c r="Y80" s="845">
        <v>0.72974238875878217</v>
      </c>
      <c r="Z80" s="845">
        <v>7.2599531615925056E-2</v>
      </c>
      <c r="AA80" s="845">
        <v>0</v>
      </c>
      <c r="AB80" s="845">
        <v>9.5081967213114751E-2</v>
      </c>
      <c r="AC80" s="845">
        <v>0</v>
      </c>
      <c r="AD80" s="845">
        <v>2.9976580796252927E-2</v>
      </c>
      <c r="AE80" s="845">
        <v>7.2599531615925056E-2</v>
      </c>
      <c r="AF80" s="845">
        <v>6.1358313817330208E-2</v>
      </c>
      <c r="AG80" s="845">
        <v>0.72646370023419204</v>
      </c>
      <c r="AH80" s="20" t="str">
        <f t="shared" si="15"/>
        <v>No</v>
      </c>
      <c r="AI80" s="25"/>
      <c r="AJ80" s="37">
        <v>44306</v>
      </c>
      <c r="AK80" s="37" t="s">
        <v>1301</v>
      </c>
      <c r="AL80" s="37">
        <v>39153</v>
      </c>
      <c r="AM80" s="37" t="s">
        <v>82</v>
      </c>
      <c r="AN80" s="37">
        <f t="shared" si="16"/>
        <v>10420</v>
      </c>
      <c r="AO80" s="37" t="str">
        <f t="shared" si="17"/>
        <v>Akron, OH</v>
      </c>
      <c r="AP80" s="37" t="s">
        <v>8</v>
      </c>
      <c r="AQ80" s="25"/>
      <c r="AR80" s="20" t="s">
        <v>75</v>
      </c>
      <c r="AS80" s="24">
        <v>29850</v>
      </c>
      <c r="AT80" s="24">
        <v>34100</v>
      </c>
      <c r="AU80" s="24">
        <v>38350</v>
      </c>
      <c r="AV80" s="24">
        <v>42600</v>
      </c>
      <c r="AW80" s="24">
        <v>46050</v>
      </c>
      <c r="AX80" s="24">
        <v>49450</v>
      </c>
      <c r="AY80" s="24">
        <v>52850</v>
      </c>
      <c r="AZ80" s="24">
        <v>56250</v>
      </c>
      <c r="BA80" s="29">
        <f t="shared" si="19"/>
        <v>31975</v>
      </c>
      <c r="BB80" s="29">
        <f t="shared" si="20"/>
        <v>44325</v>
      </c>
      <c r="BC80" s="29">
        <f t="shared" si="21"/>
        <v>54550</v>
      </c>
      <c r="BD80" s="25"/>
      <c r="BE80" s="25"/>
      <c r="BF80" s="25"/>
      <c r="BG80" s="25"/>
      <c r="BH80" s="25"/>
      <c r="BI80" s="25"/>
      <c r="BJ80" s="25"/>
      <c r="BK80" s="25"/>
      <c r="BL80" s="25"/>
      <c r="BM80" s="25"/>
      <c r="BN80" s="20" t="s">
        <v>75</v>
      </c>
      <c r="BO80" s="71">
        <v>671</v>
      </c>
      <c r="BP80" s="24">
        <v>773</v>
      </c>
      <c r="BQ80" s="24">
        <v>973</v>
      </c>
      <c r="BR80" s="24">
        <v>1315</v>
      </c>
      <c r="BS80" s="24">
        <v>1530</v>
      </c>
      <c r="BT80" s="122"/>
      <c r="BU80" s="39">
        <v>44632</v>
      </c>
      <c r="BV80" s="39" t="s">
        <v>1402</v>
      </c>
      <c r="BW80" s="39" t="s">
        <v>2929</v>
      </c>
      <c r="BX80" s="39" t="s">
        <v>273</v>
      </c>
      <c r="BY80" s="71">
        <v>830</v>
      </c>
      <c r="BZ80" s="71">
        <v>930</v>
      </c>
      <c r="CA80" s="71">
        <v>1200</v>
      </c>
      <c r="CB80" s="71">
        <v>1510</v>
      </c>
      <c r="CC80" s="71">
        <v>1600</v>
      </c>
      <c r="CD80" s="25"/>
      <c r="CE80" s="200"/>
      <c r="CF80" s="200"/>
      <c r="CG80" s="200"/>
      <c r="CH80" s="200"/>
      <c r="CI80" s="200"/>
      <c r="CJ80" s="200"/>
      <c r="CK80" s="200"/>
      <c r="CL80" s="200"/>
      <c r="CM80" s="200"/>
      <c r="CN80" s="200"/>
      <c r="CO80" s="200"/>
      <c r="CP80" s="200"/>
      <c r="CQ80" s="20" t="s">
        <v>75</v>
      </c>
      <c r="CR80" s="236" t="s">
        <v>292</v>
      </c>
      <c r="CS80" s="236" t="s">
        <v>3109</v>
      </c>
      <c r="CT80" s="200"/>
      <c r="CU80" s="200"/>
      <c r="CV80" s="20" t="s">
        <v>75</v>
      </c>
      <c r="CW80" s="20" t="s">
        <v>8</v>
      </c>
      <c r="CX80" s="25"/>
      <c r="CY80" s="20" t="s">
        <v>75</v>
      </c>
      <c r="CZ80" s="20">
        <v>31900</v>
      </c>
      <c r="DA80" s="37" t="s">
        <v>2836</v>
      </c>
      <c r="DB80" s="25"/>
      <c r="DC80" s="20" t="s">
        <v>75</v>
      </c>
      <c r="DD80" s="20">
        <v>1</v>
      </c>
      <c r="DE80" s="735">
        <v>48</v>
      </c>
      <c r="DF80" s="179">
        <v>122813</v>
      </c>
      <c r="DG80" s="179">
        <v>125138</v>
      </c>
      <c r="DH80" s="878">
        <f t="shared" si="22"/>
        <v>1.8931220636251862E-2</v>
      </c>
      <c r="DI80" s="606">
        <v>495.22682789458833</v>
      </c>
      <c r="DJ80" s="179">
        <f t="shared" si="18"/>
        <v>252.688249003013</v>
      </c>
      <c r="DK80" s="37">
        <v>40.9</v>
      </c>
      <c r="DL80" s="236">
        <v>57649</v>
      </c>
      <c r="DM80" s="878">
        <v>0.13940350162866449</v>
      </c>
      <c r="DN80" s="878">
        <v>4.8000000000000001E-2</v>
      </c>
      <c r="DO80" s="878">
        <v>1.4999999999999999E-2</v>
      </c>
      <c r="DP80" s="878">
        <v>5.0999999999999997E-2</v>
      </c>
      <c r="DQ80" s="878">
        <v>0.31533114963649439</v>
      </c>
      <c r="DR80" s="878">
        <v>0.39612363820623259</v>
      </c>
      <c r="DS80" s="878">
        <v>0.85</v>
      </c>
      <c r="DT80" s="878">
        <v>7.3999999999999996E-2</v>
      </c>
      <c r="DU80" s="878">
        <v>1E-3</v>
      </c>
      <c r="DV80" s="878">
        <v>8.9999999999999993E-3</v>
      </c>
      <c r="DW80" s="878">
        <v>1E-3</v>
      </c>
      <c r="DX80" s="878">
        <v>1.0999999999999999E-2</v>
      </c>
      <c r="DY80" s="878">
        <v>5.3999999999999999E-2</v>
      </c>
      <c r="DZ80" s="878">
        <v>2.1999999999999999E-2</v>
      </c>
      <c r="EA80" s="878">
        <v>0.84199999999999997</v>
      </c>
      <c r="EB80" s="25"/>
      <c r="EC80" s="25"/>
      <c r="ED80" s="25"/>
    </row>
    <row r="81" spans="1:134" s="17" customFormat="1" x14ac:dyDescent="0.2">
      <c r="A81" s="25"/>
      <c r="B81" s="20">
        <v>39061004800</v>
      </c>
      <c r="C81" s="20">
        <v>48</v>
      </c>
      <c r="D81" s="20" t="s">
        <v>37</v>
      </c>
      <c r="E81" s="20" t="s">
        <v>2828</v>
      </c>
      <c r="F81" s="20" t="s">
        <v>8</v>
      </c>
      <c r="G81" s="861">
        <v>81.3376985619349</v>
      </c>
      <c r="H81" s="861">
        <v>89.983540157238494</v>
      </c>
      <c r="I81" s="861">
        <v>15.609937222704501</v>
      </c>
      <c r="J81" s="861">
        <v>57.154683240751297</v>
      </c>
      <c r="K81" s="982">
        <v>0</v>
      </c>
      <c r="L81" s="735">
        <v>3327</v>
      </c>
      <c r="M81" s="735">
        <v>3467</v>
      </c>
      <c r="N81" s="845">
        <f t="shared" si="13"/>
        <v>4.2079951908626387E-2</v>
      </c>
      <c r="O81" s="735">
        <v>1.015262189755767</v>
      </c>
      <c r="P81" s="735">
        <f t="shared" si="14"/>
        <v>3414.8814315975137</v>
      </c>
      <c r="Q81" s="849">
        <v>38.4</v>
      </c>
      <c r="R81" s="71">
        <v>200817</v>
      </c>
      <c r="S81" s="845">
        <v>2.2786270550908566E-2</v>
      </c>
      <c r="T81" s="845">
        <v>1.1000000000000001E-2</v>
      </c>
      <c r="U81" s="845">
        <v>0</v>
      </c>
      <c r="V81" s="845">
        <v>2.8999999999999998E-2</v>
      </c>
      <c r="W81" s="845">
        <v>0.26052819414703782</v>
      </c>
      <c r="X81" s="845">
        <v>0.22191780821917809</v>
      </c>
      <c r="Y81" s="845">
        <v>0.84482261321026819</v>
      </c>
      <c r="Z81" s="845">
        <v>7.2108451110470149E-3</v>
      </c>
      <c r="AA81" s="845">
        <v>0</v>
      </c>
      <c r="AB81" s="845">
        <v>5.3937121430631667E-2</v>
      </c>
      <c r="AC81" s="845">
        <v>0</v>
      </c>
      <c r="AD81" s="845">
        <v>2.3940005768676088E-2</v>
      </c>
      <c r="AE81" s="845">
        <v>7.0089414479376985E-2</v>
      </c>
      <c r="AF81" s="845">
        <v>5.2494952408422266E-2</v>
      </c>
      <c r="AG81" s="845">
        <v>0.84482261321026819</v>
      </c>
      <c r="AH81" s="20" t="str">
        <f t="shared" si="15"/>
        <v>No</v>
      </c>
      <c r="AI81" s="25"/>
      <c r="AJ81" s="37">
        <v>44307</v>
      </c>
      <c r="AK81" s="37" t="s">
        <v>1302</v>
      </c>
      <c r="AL81" s="37">
        <v>39153</v>
      </c>
      <c r="AM81" s="37" t="s">
        <v>82</v>
      </c>
      <c r="AN81" s="37">
        <f t="shared" si="16"/>
        <v>10420</v>
      </c>
      <c r="AO81" s="37" t="str">
        <f t="shared" si="17"/>
        <v>Akron, OH</v>
      </c>
      <c r="AP81" s="37" t="s">
        <v>8</v>
      </c>
      <c r="AQ81" s="25"/>
      <c r="AR81" s="20" t="s">
        <v>76</v>
      </c>
      <c r="AS81" s="24">
        <v>29850</v>
      </c>
      <c r="AT81" s="24">
        <v>34100</v>
      </c>
      <c r="AU81" s="24">
        <v>38350</v>
      </c>
      <c r="AV81" s="24">
        <v>42600</v>
      </c>
      <c r="AW81" s="24">
        <v>46050</v>
      </c>
      <c r="AX81" s="24">
        <v>49450</v>
      </c>
      <c r="AY81" s="24">
        <v>52850</v>
      </c>
      <c r="AZ81" s="24">
        <v>56250</v>
      </c>
      <c r="BA81" s="29">
        <f t="shared" si="19"/>
        <v>31975</v>
      </c>
      <c r="BB81" s="29">
        <f t="shared" si="20"/>
        <v>44325</v>
      </c>
      <c r="BC81" s="29">
        <f t="shared" si="21"/>
        <v>54550</v>
      </c>
      <c r="BD81" s="25"/>
      <c r="BE81" s="25"/>
      <c r="BF81" s="25"/>
      <c r="BG81" s="25"/>
      <c r="BH81" s="25"/>
      <c r="BI81" s="25"/>
      <c r="BJ81" s="25"/>
      <c r="BK81" s="25"/>
      <c r="BL81" s="25"/>
      <c r="BM81" s="25"/>
      <c r="BN81" s="20" t="s">
        <v>76</v>
      </c>
      <c r="BO81" s="71">
        <v>785</v>
      </c>
      <c r="BP81" s="24">
        <v>882</v>
      </c>
      <c r="BQ81" s="24">
        <v>1057</v>
      </c>
      <c r="BR81" s="24">
        <v>1335</v>
      </c>
      <c r="BS81" s="24">
        <v>1399</v>
      </c>
      <c r="BT81" s="122"/>
      <c r="BU81" s="39">
        <v>44645</v>
      </c>
      <c r="BV81" s="39" t="s">
        <v>1412</v>
      </c>
      <c r="BW81" s="39" t="s">
        <v>2929</v>
      </c>
      <c r="BX81" s="39" t="s">
        <v>273</v>
      </c>
      <c r="BY81" s="71">
        <v>900</v>
      </c>
      <c r="BZ81" s="71">
        <v>1020</v>
      </c>
      <c r="CA81" s="71">
        <v>1300</v>
      </c>
      <c r="CB81" s="71">
        <v>1590</v>
      </c>
      <c r="CC81" s="71">
        <v>1860</v>
      </c>
      <c r="CD81" s="25"/>
      <c r="CE81" s="200"/>
      <c r="CF81" s="200"/>
      <c r="CG81" s="200"/>
      <c r="CH81" s="200"/>
      <c r="CI81" s="200"/>
      <c r="CJ81" s="200"/>
      <c r="CK81" s="200"/>
      <c r="CL81" s="200"/>
      <c r="CM81" s="200"/>
      <c r="CN81" s="200"/>
      <c r="CO81" s="200"/>
      <c r="CP81" s="200"/>
      <c r="CQ81" s="20" t="s">
        <v>76</v>
      </c>
      <c r="CR81" s="236" t="s">
        <v>292</v>
      </c>
      <c r="CS81" s="236" t="s">
        <v>3110</v>
      </c>
      <c r="CT81" s="200"/>
      <c r="CU81" s="200"/>
      <c r="CV81" s="20" t="s">
        <v>76</v>
      </c>
      <c r="CW81" s="20" t="s">
        <v>6</v>
      </c>
      <c r="CX81" s="25"/>
      <c r="CY81" s="20" t="s">
        <v>76</v>
      </c>
      <c r="CZ81" s="20" t="s">
        <v>265</v>
      </c>
      <c r="DA81" s="37" t="s">
        <v>265</v>
      </c>
      <c r="DB81" s="25"/>
      <c r="DC81" s="20" t="s">
        <v>76</v>
      </c>
      <c r="DD81" s="20">
        <v>3</v>
      </c>
      <c r="DE81" s="735">
        <v>130</v>
      </c>
      <c r="DF81" s="179">
        <v>77552</v>
      </c>
      <c r="DG81" s="179">
        <v>76748</v>
      </c>
      <c r="DH81" s="878">
        <f t="shared" si="22"/>
        <v>-1.0367237466474107E-2</v>
      </c>
      <c r="DI81" s="606">
        <v>689.16574871843716</v>
      </c>
      <c r="DJ81" s="179">
        <f t="shared" si="18"/>
        <v>111.36363079958558</v>
      </c>
      <c r="DK81" s="37">
        <v>41</v>
      </c>
      <c r="DL81" s="236">
        <v>59819</v>
      </c>
      <c r="DM81" s="878">
        <v>0.16802349979018044</v>
      </c>
      <c r="DN81" s="878">
        <v>4.4999999999999998E-2</v>
      </c>
      <c r="DO81" s="878">
        <v>4.0000000000000001E-3</v>
      </c>
      <c r="DP81" s="878">
        <v>1.3999999999999999E-2</v>
      </c>
      <c r="DQ81" s="878">
        <v>0.29392775833361651</v>
      </c>
      <c r="DR81" s="878">
        <v>0.43791907514450867</v>
      </c>
      <c r="DS81" s="878">
        <v>0.89100000000000001</v>
      </c>
      <c r="DT81" s="878">
        <v>5.3999999999999999E-2</v>
      </c>
      <c r="DU81" s="878">
        <v>2E-3</v>
      </c>
      <c r="DV81" s="878">
        <v>5.0000000000000001E-3</v>
      </c>
      <c r="DW81" s="878">
        <v>0</v>
      </c>
      <c r="DX81" s="878">
        <v>8.9999999999999993E-3</v>
      </c>
      <c r="DY81" s="878">
        <v>0.04</v>
      </c>
      <c r="DZ81" s="878">
        <v>1.4E-2</v>
      </c>
      <c r="EA81" s="878">
        <v>0.88700000000000001</v>
      </c>
      <c r="EB81" s="25"/>
      <c r="EC81" s="25"/>
      <c r="ED81" s="25"/>
    </row>
    <row r="82" spans="1:134" s="17" customFormat="1" x14ac:dyDescent="0.2">
      <c r="A82" s="25"/>
      <c r="B82" s="20">
        <v>39035183200</v>
      </c>
      <c r="C82" s="20">
        <v>1832</v>
      </c>
      <c r="D82" s="20" t="s">
        <v>24</v>
      </c>
      <c r="E82" s="20" t="s">
        <v>2829</v>
      </c>
      <c r="F82" s="20" t="s">
        <v>8</v>
      </c>
      <c r="G82" s="861">
        <v>81.330283835376207</v>
      </c>
      <c r="H82" s="861">
        <v>84.924492384870305</v>
      </c>
      <c r="I82" s="861">
        <v>17.355714518170899</v>
      </c>
      <c r="J82" s="861">
        <v>49.6064391006514</v>
      </c>
      <c r="K82" s="982">
        <v>0</v>
      </c>
      <c r="L82" s="735">
        <v>2406</v>
      </c>
      <c r="M82" s="735">
        <v>2753</v>
      </c>
      <c r="N82" s="845">
        <f t="shared" si="13"/>
        <v>0.14422277639235245</v>
      </c>
      <c r="O82" s="735">
        <v>1.102734405989223</v>
      </c>
      <c r="P82" s="735">
        <f t="shared" si="14"/>
        <v>2496.5213609440107</v>
      </c>
      <c r="Q82" s="849">
        <v>44.6</v>
      </c>
      <c r="R82" s="71">
        <v>250000</v>
      </c>
      <c r="S82" s="845">
        <v>2.2884126407555393E-2</v>
      </c>
      <c r="T82" s="845">
        <v>2.8999999999999998E-2</v>
      </c>
      <c r="U82" s="845">
        <v>6.9999999999999993E-3</v>
      </c>
      <c r="V82" s="845">
        <v>0</v>
      </c>
      <c r="W82" s="845">
        <v>9.8577235772357719E-2</v>
      </c>
      <c r="X82" s="845">
        <v>0.55670103092783507</v>
      </c>
      <c r="Y82" s="845">
        <v>0.87286596440247</v>
      </c>
      <c r="Z82" s="845">
        <v>2.6153287322920452E-2</v>
      </c>
      <c r="AA82" s="845">
        <v>0</v>
      </c>
      <c r="AB82" s="845">
        <v>3.5597529967308389E-2</v>
      </c>
      <c r="AC82" s="845">
        <v>0</v>
      </c>
      <c r="AD82" s="845">
        <v>1.452960406828914E-3</v>
      </c>
      <c r="AE82" s="845">
        <v>6.3930257900472215E-2</v>
      </c>
      <c r="AF82" s="845">
        <v>7.6280421358517984E-3</v>
      </c>
      <c r="AG82" s="845">
        <v>0.87286596440247</v>
      </c>
      <c r="AH82" s="20" t="str">
        <f t="shared" si="15"/>
        <v>No</v>
      </c>
      <c r="AI82" s="25"/>
      <c r="AJ82" s="37">
        <v>44308</v>
      </c>
      <c r="AK82" s="37" t="s">
        <v>1303</v>
      </c>
      <c r="AL82" s="37">
        <v>39153</v>
      </c>
      <c r="AM82" s="37" t="s">
        <v>82</v>
      </c>
      <c r="AN82" s="37">
        <f t="shared" si="16"/>
        <v>10420</v>
      </c>
      <c r="AO82" s="37" t="str">
        <f t="shared" si="17"/>
        <v>Akron, OH</v>
      </c>
      <c r="AP82" s="37" t="s">
        <v>8</v>
      </c>
      <c r="AQ82" s="25"/>
      <c r="AR82" s="20" t="s">
        <v>77</v>
      </c>
      <c r="AS82" s="24">
        <v>30650</v>
      </c>
      <c r="AT82" s="24">
        <v>35000</v>
      </c>
      <c r="AU82" s="24">
        <v>39400</v>
      </c>
      <c r="AV82" s="24">
        <v>43750</v>
      </c>
      <c r="AW82" s="24">
        <v>47250</v>
      </c>
      <c r="AX82" s="24">
        <v>50750</v>
      </c>
      <c r="AY82" s="24">
        <v>54250</v>
      </c>
      <c r="AZ82" s="24">
        <v>57750</v>
      </c>
      <c r="BA82" s="29">
        <f t="shared" si="19"/>
        <v>32825</v>
      </c>
      <c r="BB82" s="29">
        <f t="shared" si="20"/>
        <v>45500</v>
      </c>
      <c r="BC82" s="29">
        <f t="shared" si="21"/>
        <v>56000</v>
      </c>
      <c r="BD82" s="25"/>
      <c r="BE82" s="25"/>
      <c r="BF82" s="25"/>
      <c r="BG82" s="25"/>
      <c r="BH82" s="25"/>
      <c r="BI82" s="25"/>
      <c r="BJ82" s="25"/>
      <c r="BK82" s="25"/>
      <c r="BL82" s="25"/>
      <c r="BM82" s="25"/>
      <c r="BN82" s="20" t="s">
        <v>77</v>
      </c>
      <c r="BO82" s="71">
        <v>671</v>
      </c>
      <c r="BP82" s="24">
        <v>799</v>
      </c>
      <c r="BQ82" s="24">
        <v>973</v>
      </c>
      <c r="BR82" s="24">
        <v>1214</v>
      </c>
      <c r="BS82" s="24">
        <v>1313</v>
      </c>
      <c r="BT82" s="122"/>
      <c r="BU82" s="39">
        <v>44685</v>
      </c>
      <c r="BV82" s="39" t="s">
        <v>1441</v>
      </c>
      <c r="BW82" s="39" t="s">
        <v>2929</v>
      </c>
      <c r="BX82" s="39" t="s">
        <v>273</v>
      </c>
      <c r="BY82" s="71">
        <v>1070</v>
      </c>
      <c r="BZ82" s="71">
        <v>1190</v>
      </c>
      <c r="CA82" s="71">
        <v>1530</v>
      </c>
      <c r="CB82" s="71">
        <v>1890</v>
      </c>
      <c r="CC82" s="71">
        <v>2030</v>
      </c>
      <c r="CD82" s="25"/>
      <c r="CE82" s="200"/>
      <c r="CF82" s="200"/>
      <c r="CG82" s="200"/>
      <c r="CH82" s="200"/>
      <c r="CI82" s="200"/>
      <c r="CJ82" s="200"/>
      <c r="CK82" s="200"/>
      <c r="CL82" s="200"/>
      <c r="CM82" s="200"/>
      <c r="CN82" s="200"/>
      <c r="CO82" s="200"/>
      <c r="CP82" s="200"/>
      <c r="CQ82" s="20" t="s">
        <v>77</v>
      </c>
      <c r="CR82" s="236" t="s">
        <v>292</v>
      </c>
      <c r="CS82" s="236" t="s">
        <v>3108</v>
      </c>
      <c r="CT82" s="200"/>
      <c r="CU82" s="200"/>
      <c r="CV82" s="20" t="s">
        <v>77</v>
      </c>
      <c r="CW82" s="20" t="s">
        <v>8</v>
      </c>
      <c r="CX82" s="25"/>
      <c r="CY82" s="20" t="s">
        <v>77</v>
      </c>
      <c r="CZ82" s="20" t="s">
        <v>265</v>
      </c>
      <c r="DA82" s="37" t="s">
        <v>265</v>
      </c>
      <c r="DB82" s="25"/>
      <c r="DC82" s="20" t="s">
        <v>77</v>
      </c>
      <c r="DD82" s="20">
        <v>1</v>
      </c>
      <c r="DE82" s="735">
        <v>40</v>
      </c>
      <c r="DF82" s="179">
        <v>60498</v>
      </c>
      <c r="DG82" s="179">
        <v>58770</v>
      </c>
      <c r="DH82" s="878">
        <f t="shared" si="22"/>
        <v>-2.8562927700089259E-2</v>
      </c>
      <c r="DI82" s="606">
        <v>408.2462123735387</v>
      </c>
      <c r="DJ82" s="179">
        <f t="shared" si="18"/>
        <v>143.95724496330757</v>
      </c>
      <c r="DK82" s="37">
        <v>42.5</v>
      </c>
      <c r="DL82" s="236">
        <v>62500</v>
      </c>
      <c r="DM82" s="878">
        <v>0.13241985432777981</v>
      </c>
      <c r="DN82" s="878">
        <v>3.9E-2</v>
      </c>
      <c r="DO82" s="878">
        <v>1.4999999999999999E-2</v>
      </c>
      <c r="DP82" s="878">
        <v>1.9E-2</v>
      </c>
      <c r="DQ82" s="878">
        <v>0.25703418943235729</v>
      </c>
      <c r="DR82" s="878">
        <v>0.3535401750198886</v>
      </c>
      <c r="DS82" s="878">
        <v>0.85699999999999998</v>
      </c>
      <c r="DT82" s="878">
        <v>3.2000000000000001E-2</v>
      </c>
      <c r="DU82" s="878">
        <v>2E-3</v>
      </c>
      <c r="DV82" s="878">
        <v>4.0000000000000001E-3</v>
      </c>
      <c r="DW82" s="878">
        <v>0</v>
      </c>
      <c r="DX82" s="878">
        <v>3.2000000000000001E-2</v>
      </c>
      <c r="DY82" s="878">
        <v>7.2999999999999995E-2</v>
      </c>
      <c r="DZ82" s="878">
        <v>0.106</v>
      </c>
      <c r="EA82" s="878">
        <v>0.82499999999999996</v>
      </c>
      <c r="EB82" s="25"/>
      <c r="EC82" s="25"/>
      <c r="ED82" s="25"/>
    </row>
    <row r="83" spans="1:134" s="17" customFormat="1" x14ac:dyDescent="0.2">
      <c r="A83" s="25"/>
      <c r="B83" s="20">
        <v>39035183300</v>
      </c>
      <c r="C83" s="20">
        <v>1833</v>
      </c>
      <c r="D83" s="20" t="s">
        <v>24</v>
      </c>
      <c r="E83" s="20" t="s">
        <v>2829</v>
      </c>
      <c r="F83" s="20" t="s">
        <v>8</v>
      </c>
      <c r="G83" s="861">
        <v>81.297913290851298</v>
      </c>
      <c r="H83" s="861">
        <v>81.583340561765098</v>
      </c>
      <c r="I83" s="861">
        <v>28.394647823753299</v>
      </c>
      <c r="J83" s="861">
        <v>46.057643718644698</v>
      </c>
      <c r="K83" s="982">
        <v>0</v>
      </c>
      <c r="L83" s="735">
        <v>4374</v>
      </c>
      <c r="M83" s="735">
        <v>4513</v>
      </c>
      <c r="N83" s="845">
        <f t="shared" si="13"/>
        <v>3.1778692272519435E-2</v>
      </c>
      <c r="O83" s="735">
        <v>1.4860917643363236</v>
      </c>
      <c r="P83" s="735">
        <f t="shared" si="14"/>
        <v>3036.8245812972855</v>
      </c>
      <c r="Q83" s="849">
        <v>40.6</v>
      </c>
      <c r="R83" s="71">
        <v>170357</v>
      </c>
      <c r="S83" s="845">
        <v>1.4784946236559141E-2</v>
      </c>
      <c r="T83" s="845">
        <v>3.5000000000000003E-2</v>
      </c>
      <c r="U83" s="845">
        <v>0</v>
      </c>
      <c r="V83" s="845">
        <v>0</v>
      </c>
      <c r="W83" s="845">
        <v>9.4372801875732715E-2</v>
      </c>
      <c r="X83" s="845">
        <v>0.56521739130434778</v>
      </c>
      <c r="Y83" s="845">
        <v>0.77066253046753819</v>
      </c>
      <c r="Z83" s="845">
        <v>8.9297584755151788E-2</v>
      </c>
      <c r="AA83" s="845">
        <v>1.7726567693330379E-3</v>
      </c>
      <c r="AB83" s="845">
        <v>5.5395524041657436E-2</v>
      </c>
      <c r="AC83" s="845">
        <v>0</v>
      </c>
      <c r="AD83" s="845">
        <v>5.9384001772656771E-2</v>
      </c>
      <c r="AE83" s="845">
        <v>2.3487702193662752E-2</v>
      </c>
      <c r="AF83" s="845">
        <v>7.2900509638821179E-2</v>
      </c>
      <c r="AG83" s="845">
        <v>0.75603811212054062</v>
      </c>
      <c r="AH83" s="20" t="str">
        <f t="shared" si="15"/>
        <v>No</v>
      </c>
      <c r="AI83" s="25"/>
      <c r="AJ83" s="37">
        <v>44310</v>
      </c>
      <c r="AK83" s="37" t="s">
        <v>1304</v>
      </c>
      <c r="AL83" s="37">
        <v>39153</v>
      </c>
      <c r="AM83" s="37" t="s">
        <v>82</v>
      </c>
      <c r="AN83" s="37">
        <f t="shared" si="16"/>
        <v>10420</v>
      </c>
      <c r="AO83" s="37" t="str">
        <f t="shared" si="17"/>
        <v>Akron, OH</v>
      </c>
      <c r="AP83" s="37" t="s">
        <v>8</v>
      </c>
      <c r="AQ83" s="25"/>
      <c r="AR83" s="20" t="s">
        <v>78</v>
      </c>
      <c r="AS83" s="24">
        <v>29850</v>
      </c>
      <c r="AT83" s="24">
        <v>34100</v>
      </c>
      <c r="AU83" s="24">
        <v>38350</v>
      </c>
      <c r="AV83" s="24">
        <v>42600</v>
      </c>
      <c r="AW83" s="24">
        <v>46050</v>
      </c>
      <c r="AX83" s="24">
        <v>49450</v>
      </c>
      <c r="AY83" s="24">
        <v>52850</v>
      </c>
      <c r="AZ83" s="24">
        <v>56250</v>
      </c>
      <c r="BA83" s="29">
        <f t="shared" si="19"/>
        <v>31975</v>
      </c>
      <c r="BB83" s="29">
        <f t="shared" si="20"/>
        <v>44325</v>
      </c>
      <c r="BC83" s="29">
        <f t="shared" si="21"/>
        <v>54550</v>
      </c>
      <c r="BD83" s="25"/>
      <c r="BE83" s="25"/>
      <c r="BF83" s="25"/>
      <c r="BG83" s="25"/>
      <c r="BH83" s="25"/>
      <c r="BI83" s="25"/>
      <c r="BJ83" s="25"/>
      <c r="BK83" s="25"/>
      <c r="BL83" s="25"/>
      <c r="BM83" s="25"/>
      <c r="BN83" s="20" t="s">
        <v>78</v>
      </c>
      <c r="BO83" s="71">
        <v>671</v>
      </c>
      <c r="BP83" s="24">
        <v>808</v>
      </c>
      <c r="BQ83" s="24">
        <v>973</v>
      </c>
      <c r="BR83" s="24">
        <v>1328</v>
      </c>
      <c r="BS83" s="24">
        <v>1466</v>
      </c>
      <c r="BT83" s="122"/>
      <c r="BU83" s="39">
        <v>44720</v>
      </c>
      <c r="BV83" s="39" t="s">
        <v>1462</v>
      </c>
      <c r="BW83" s="39" t="s">
        <v>2929</v>
      </c>
      <c r="BX83" s="39" t="s">
        <v>273</v>
      </c>
      <c r="BY83" s="71">
        <v>840</v>
      </c>
      <c r="BZ83" s="71">
        <v>940</v>
      </c>
      <c r="CA83" s="71">
        <v>1210</v>
      </c>
      <c r="CB83" s="71">
        <v>1520</v>
      </c>
      <c r="CC83" s="71">
        <v>1620</v>
      </c>
      <c r="CD83" s="25"/>
      <c r="CE83" s="200"/>
      <c r="CF83" s="200"/>
      <c r="CG83" s="200"/>
      <c r="CH83" s="200"/>
      <c r="CI83" s="200"/>
      <c r="CJ83" s="200"/>
      <c r="CK83" s="200"/>
      <c r="CL83" s="200"/>
      <c r="CM83" s="200"/>
      <c r="CN83" s="200"/>
      <c r="CO83" s="200"/>
      <c r="CP83" s="200"/>
      <c r="CQ83" s="20" t="s">
        <v>78</v>
      </c>
      <c r="CR83" s="236" t="s">
        <v>292</v>
      </c>
      <c r="CS83" s="236" t="s">
        <v>3110</v>
      </c>
      <c r="CT83" s="200"/>
      <c r="CU83" s="200"/>
      <c r="CV83" s="20" t="s">
        <v>78</v>
      </c>
      <c r="CW83" s="20" t="s">
        <v>6</v>
      </c>
      <c r="CX83" s="25"/>
      <c r="CY83" s="20" t="s">
        <v>78</v>
      </c>
      <c r="CZ83" s="20" t="s">
        <v>265</v>
      </c>
      <c r="DA83" s="37" t="s">
        <v>265</v>
      </c>
      <c r="DB83" s="25"/>
      <c r="DC83" s="20" t="s">
        <v>78</v>
      </c>
      <c r="DD83" s="20">
        <v>1</v>
      </c>
      <c r="DE83" s="735">
        <v>57</v>
      </c>
      <c r="DF83" s="179">
        <v>78520</v>
      </c>
      <c r="DG83" s="179">
        <v>73118</v>
      </c>
      <c r="DH83" s="878">
        <f t="shared" si="22"/>
        <v>-6.8797758532857869E-2</v>
      </c>
      <c r="DI83" s="606">
        <v>610.15469024682125</v>
      </c>
      <c r="DJ83" s="179">
        <f t="shared" si="18"/>
        <v>119.83518469787084</v>
      </c>
      <c r="DK83" s="37">
        <v>40.6</v>
      </c>
      <c r="DL83" s="236">
        <v>49571</v>
      </c>
      <c r="DM83" s="878">
        <v>0.22365745381641128</v>
      </c>
      <c r="DN83" s="878">
        <v>6.6000000000000003E-2</v>
      </c>
      <c r="DO83" s="878">
        <v>2.7000000000000003E-2</v>
      </c>
      <c r="DP83" s="878">
        <v>3.4000000000000002E-2</v>
      </c>
      <c r="DQ83" s="878">
        <v>0.30984390823061075</v>
      </c>
      <c r="DR83" s="878">
        <v>0.41282542544798828</v>
      </c>
      <c r="DS83" s="878">
        <v>0.93100000000000005</v>
      </c>
      <c r="DT83" s="878">
        <v>2.4E-2</v>
      </c>
      <c r="DU83" s="878">
        <v>1E-3</v>
      </c>
      <c r="DV83" s="878">
        <v>5.0000000000000001E-3</v>
      </c>
      <c r="DW83" s="878">
        <v>0</v>
      </c>
      <c r="DX83" s="878">
        <v>3.0000000000000001E-3</v>
      </c>
      <c r="DY83" s="878">
        <v>3.5000000000000003E-2</v>
      </c>
      <c r="DZ83" s="878">
        <v>1.4999999999999999E-2</v>
      </c>
      <c r="EA83" s="878">
        <v>0.92300000000000004</v>
      </c>
      <c r="EB83" s="25"/>
      <c r="EC83" s="25"/>
      <c r="ED83" s="25"/>
    </row>
    <row r="84" spans="1:134" s="17" customFormat="1" x14ac:dyDescent="0.2">
      <c r="A84" s="25"/>
      <c r="B84" s="20">
        <v>39049006391</v>
      </c>
      <c r="C84" s="20">
        <v>63.91</v>
      </c>
      <c r="D84" s="20" t="s">
        <v>31</v>
      </c>
      <c r="E84" s="20" t="s">
        <v>2830</v>
      </c>
      <c r="F84" s="20" t="s">
        <v>8</v>
      </c>
      <c r="G84" s="861">
        <v>80.994941672141593</v>
      </c>
      <c r="H84" s="861">
        <v>82.097770460370597</v>
      </c>
      <c r="I84" s="861">
        <v>13.7491152396264</v>
      </c>
      <c r="J84" s="861">
        <v>47.104539140799602</v>
      </c>
      <c r="K84" s="982">
        <v>0</v>
      </c>
      <c r="L84" s="735">
        <v>4827</v>
      </c>
      <c r="M84" s="735">
        <v>5431</v>
      </c>
      <c r="N84" s="845">
        <f t="shared" si="13"/>
        <v>0.12512948000828672</v>
      </c>
      <c r="O84" s="735">
        <v>2.5178320220165027</v>
      </c>
      <c r="P84" s="735">
        <f t="shared" si="14"/>
        <v>2157.0144284885114</v>
      </c>
      <c r="Q84" s="849">
        <v>40.9</v>
      </c>
      <c r="R84" s="71">
        <v>196736</v>
      </c>
      <c r="S84" s="845">
        <v>7.7333824341741849E-3</v>
      </c>
      <c r="T84" s="845">
        <v>3.1E-2</v>
      </c>
      <c r="U84" s="845">
        <v>0</v>
      </c>
      <c r="V84" s="845">
        <v>0</v>
      </c>
      <c r="W84" s="845">
        <v>1.6741071428571428E-2</v>
      </c>
      <c r="X84" s="845">
        <v>0</v>
      </c>
      <c r="Y84" s="845">
        <v>0.81605597495857118</v>
      </c>
      <c r="Z84" s="845">
        <v>4.2717731541152645E-2</v>
      </c>
      <c r="AA84" s="845">
        <v>0</v>
      </c>
      <c r="AB84" s="845">
        <v>7.0521082673540778E-2</v>
      </c>
      <c r="AC84" s="845">
        <v>0</v>
      </c>
      <c r="AD84" s="845">
        <v>3.4984349106978456E-3</v>
      </c>
      <c r="AE84" s="845">
        <v>6.7206775916037562E-2</v>
      </c>
      <c r="AF84" s="845">
        <v>3.1301786043085991E-2</v>
      </c>
      <c r="AG84" s="845">
        <v>0.81605597495857118</v>
      </c>
      <c r="AH84" s="20" t="str">
        <f t="shared" si="15"/>
        <v>No</v>
      </c>
      <c r="AI84" s="25"/>
      <c r="AJ84" s="37">
        <v>44311</v>
      </c>
      <c r="AK84" s="37" t="s">
        <v>1305</v>
      </c>
      <c r="AL84" s="37">
        <v>39153</v>
      </c>
      <c r="AM84" s="37" t="s">
        <v>82</v>
      </c>
      <c r="AN84" s="37">
        <f t="shared" si="16"/>
        <v>10420</v>
      </c>
      <c r="AO84" s="37" t="str">
        <f t="shared" si="17"/>
        <v>Akron, OH</v>
      </c>
      <c r="AP84" s="37" t="s">
        <v>8</v>
      </c>
      <c r="AQ84" s="25"/>
      <c r="AR84" s="20" t="s">
        <v>79</v>
      </c>
      <c r="AS84" s="24">
        <v>29850</v>
      </c>
      <c r="AT84" s="24">
        <v>34100</v>
      </c>
      <c r="AU84" s="24">
        <v>38350</v>
      </c>
      <c r="AV84" s="24">
        <v>42600</v>
      </c>
      <c r="AW84" s="24">
        <v>46050</v>
      </c>
      <c r="AX84" s="24">
        <v>49450</v>
      </c>
      <c r="AY84" s="24">
        <v>52850</v>
      </c>
      <c r="AZ84" s="24">
        <v>56250</v>
      </c>
      <c r="BA84" s="29">
        <f t="shared" si="19"/>
        <v>31975</v>
      </c>
      <c r="BB84" s="29">
        <f t="shared" si="20"/>
        <v>44325</v>
      </c>
      <c r="BC84" s="29">
        <f t="shared" si="21"/>
        <v>54550</v>
      </c>
      <c r="BD84" s="25"/>
      <c r="BE84" s="25"/>
      <c r="BF84" s="25"/>
      <c r="BG84" s="25"/>
      <c r="BH84" s="25"/>
      <c r="BI84" s="25"/>
      <c r="BJ84" s="25"/>
      <c r="BK84" s="25"/>
      <c r="BL84" s="25"/>
      <c r="BM84" s="25"/>
      <c r="BN84" s="20" t="s">
        <v>79</v>
      </c>
      <c r="BO84" s="71">
        <v>762</v>
      </c>
      <c r="BP84" s="24">
        <v>767</v>
      </c>
      <c r="BQ84" s="24">
        <v>1007</v>
      </c>
      <c r="BR84" s="24">
        <v>1226</v>
      </c>
      <c r="BS84" s="24">
        <v>1333</v>
      </c>
      <c r="BT84" s="122"/>
      <c r="BU84" s="39">
        <v>44638</v>
      </c>
      <c r="BV84" s="39" t="s">
        <v>1406</v>
      </c>
      <c r="BW84" s="39" t="s">
        <v>2942</v>
      </c>
      <c r="BX84" s="39" t="s">
        <v>2943</v>
      </c>
      <c r="BY84" s="71">
        <v>770</v>
      </c>
      <c r="BZ84" s="71">
        <v>800</v>
      </c>
      <c r="CA84" s="71">
        <v>1040</v>
      </c>
      <c r="CB84" s="71">
        <v>1280</v>
      </c>
      <c r="CC84" s="71">
        <v>1400</v>
      </c>
      <c r="CD84" s="25"/>
      <c r="CE84" s="200"/>
      <c r="CF84" s="200"/>
      <c r="CG84" s="200"/>
      <c r="CH84" s="200"/>
      <c r="CI84" s="200"/>
      <c r="CJ84" s="200"/>
      <c r="CK84" s="200"/>
      <c r="CL84" s="200"/>
      <c r="CM84" s="200"/>
      <c r="CN84" s="200"/>
      <c r="CO84" s="200"/>
      <c r="CP84" s="200"/>
      <c r="CQ84" s="20" t="s">
        <v>79</v>
      </c>
      <c r="CR84" s="236" t="s">
        <v>292</v>
      </c>
      <c r="CS84" s="236" t="s">
        <v>3108</v>
      </c>
      <c r="CT84" s="200"/>
      <c r="CU84" s="200"/>
      <c r="CV84" s="20" t="s">
        <v>79</v>
      </c>
      <c r="CW84" s="20" t="s">
        <v>8</v>
      </c>
      <c r="CX84" s="25"/>
      <c r="CY84" s="20" t="s">
        <v>79</v>
      </c>
      <c r="CZ84" s="20" t="s">
        <v>265</v>
      </c>
      <c r="DA84" s="37" t="s">
        <v>265</v>
      </c>
      <c r="DB84" s="25"/>
      <c r="DC84" s="20" t="s">
        <v>79</v>
      </c>
      <c r="DD84" s="20">
        <v>1</v>
      </c>
      <c r="DE84" s="735">
        <v>68</v>
      </c>
      <c r="DF84" s="179">
        <v>56100</v>
      </c>
      <c r="DG84" s="179">
        <v>54861</v>
      </c>
      <c r="DH84" s="878">
        <f t="shared" si="22"/>
        <v>-2.2085561497326205E-2</v>
      </c>
      <c r="DI84" s="606">
        <v>551.02636127545782</v>
      </c>
      <c r="DJ84" s="179">
        <f t="shared" si="18"/>
        <v>99.561479913617077</v>
      </c>
      <c r="DK84" s="37">
        <v>40.5</v>
      </c>
      <c r="DL84" s="236">
        <v>65020</v>
      </c>
      <c r="DM84" s="878">
        <v>0.11911996615254433</v>
      </c>
      <c r="DN84" s="878">
        <v>3.9E-2</v>
      </c>
      <c r="DO84" s="878">
        <v>1.1000000000000001E-2</v>
      </c>
      <c r="DP84" s="878">
        <v>7.2000000000000008E-2</v>
      </c>
      <c r="DQ84" s="878">
        <v>0.26580388252862119</v>
      </c>
      <c r="DR84" s="878">
        <v>0.34542049710589035</v>
      </c>
      <c r="DS84" s="878">
        <v>0.90500000000000003</v>
      </c>
      <c r="DT84" s="878">
        <v>2.7E-2</v>
      </c>
      <c r="DU84" s="878">
        <v>3.0000000000000001E-3</v>
      </c>
      <c r="DV84" s="878">
        <v>6.0000000000000001E-3</v>
      </c>
      <c r="DW84" s="878">
        <v>0</v>
      </c>
      <c r="DX84" s="878">
        <v>1.7999999999999999E-2</v>
      </c>
      <c r="DY84" s="878">
        <v>4.2000000000000003E-2</v>
      </c>
      <c r="DZ84" s="878">
        <v>5.5E-2</v>
      </c>
      <c r="EA84" s="878">
        <v>0.88300000000000001</v>
      </c>
      <c r="EB84" s="25"/>
      <c r="EC84" s="25"/>
      <c r="ED84" s="25"/>
    </row>
    <row r="85" spans="1:134" s="17" customFormat="1" x14ac:dyDescent="0.2">
      <c r="A85" s="25"/>
      <c r="B85" s="20">
        <v>39035103500</v>
      </c>
      <c r="C85" s="20">
        <v>1035</v>
      </c>
      <c r="D85" s="20" t="s">
        <v>24</v>
      </c>
      <c r="E85" s="20" t="s">
        <v>2829</v>
      </c>
      <c r="F85" s="20" t="s">
        <v>8</v>
      </c>
      <c r="G85" s="861">
        <v>80.868378712843807</v>
      </c>
      <c r="H85" s="861">
        <v>85.634499478875298</v>
      </c>
      <c r="I85" s="861">
        <v>60.0993156207781</v>
      </c>
      <c r="J85" s="861">
        <v>65.941029320855506</v>
      </c>
      <c r="K85" s="982">
        <v>1</v>
      </c>
      <c r="L85" s="735">
        <v>2121</v>
      </c>
      <c r="M85" s="735">
        <v>1417</v>
      </c>
      <c r="N85" s="845">
        <f t="shared" si="13"/>
        <v>-0.33191890617633191</v>
      </c>
      <c r="O85" s="735">
        <v>0.31962424723254812</v>
      </c>
      <c r="P85" s="735">
        <f t="shared" si="14"/>
        <v>4433.3307384187201</v>
      </c>
      <c r="Q85" s="849">
        <v>34.5</v>
      </c>
      <c r="R85" s="71">
        <v>67404</v>
      </c>
      <c r="S85" s="845">
        <v>0.10938602681721948</v>
      </c>
      <c r="T85" s="845">
        <v>3.7999999999999999E-2</v>
      </c>
      <c r="U85" s="845">
        <v>3.7000000000000005E-2</v>
      </c>
      <c r="V85" s="845">
        <v>0.10099999999999999</v>
      </c>
      <c r="W85" s="845">
        <v>0.54927726675427069</v>
      </c>
      <c r="X85" s="845">
        <v>0.37559808612440193</v>
      </c>
      <c r="Y85" s="845">
        <v>0.68948482709950598</v>
      </c>
      <c r="Z85" s="845">
        <v>0.11997177134791814</v>
      </c>
      <c r="AA85" s="845">
        <v>0</v>
      </c>
      <c r="AB85" s="845">
        <v>6.3514467184191958E-3</v>
      </c>
      <c r="AC85" s="845">
        <v>0</v>
      </c>
      <c r="AD85" s="845">
        <v>9.6683133380381092E-2</v>
      </c>
      <c r="AE85" s="845">
        <v>8.7508821453775587E-2</v>
      </c>
      <c r="AF85" s="845">
        <v>0.16866619618913198</v>
      </c>
      <c r="AG85" s="845">
        <v>0.65137614678899081</v>
      </c>
      <c r="AH85" s="20" t="str">
        <f t="shared" si="15"/>
        <v>No</v>
      </c>
      <c r="AI85" s="25"/>
      <c r="AJ85" s="37">
        <v>44312</v>
      </c>
      <c r="AK85" s="37" t="s">
        <v>1306</v>
      </c>
      <c r="AL85" s="37">
        <v>39153</v>
      </c>
      <c r="AM85" s="37" t="s">
        <v>82</v>
      </c>
      <c r="AN85" s="37">
        <f t="shared" si="16"/>
        <v>10420</v>
      </c>
      <c r="AO85" s="37" t="str">
        <f t="shared" si="17"/>
        <v>Akron, OH</v>
      </c>
      <c r="AP85" s="37" t="s">
        <v>8</v>
      </c>
      <c r="AQ85" s="25"/>
      <c r="AR85" s="20" t="s">
        <v>80</v>
      </c>
      <c r="AS85" s="24">
        <v>33850</v>
      </c>
      <c r="AT85" s="24">
        <v>38650</v>
      </c>
      <c r="AU85" s="24">
        <v>43500</v>
      </c>
      <c r="AV85" s="24">
        <v>48300</v>
      </c>
      <c r="AW85" s="24">
        <v>52200</v>
      </c>
      <c r="AX85" s="24">
        <v>56050</v>
      </c>
      <c r="AY85" s="24">
        <v>59900</v>
      </c>
      <c r="AZ85" s="24">
        <v>63800</v>
      </c>
      <c r="BA85" s="29">
        <f t="shared" si="19"/>
        <v>36250</v>
      </c>
      <c r="BB85" s="29">
        <f t="shared" si="20"/>
        <v>50250</v>
      </c>
      <c r="BC85" s="29">
        <f t="shared" si="21"/>
        <v>61850</v>
      </c>
      <c r="BD85" s="25"/>
      <c r="BE85" s="25"/>
      <c r="BF85" s="25"/>
      <c r="BG85" s="25"/>
      <c r="BH85" s="25"/>
      <c r="BI85" s="25"/>
      <c r="BJ85" s="25"/>
      <c r="BK85" s="25"/>
      <c r="BL85" s="25"/>
      <c r="BM85" s="25"/>
      <c r="BN85" s="20" t="s">
        <v>80</v>
      </c>
      <c r="BO85" s="71">
        <v>720</v>
      </c>
      <c r="BP85" s="24">
        <v>787</v>
      </c>
      <c r="BQ85" s="24">
        <v>1033</v>
      </c>
      <c r="BR85" s="24">
        <v>1384</v>
      </c>
      <c r="BS85" s="24">
        <v>1448</v>
      </c>
      <c r="BT85" s="122"/>
      <c r="BU85" s="39">
        <v>44691</v>
      </c>
      <c r="BV85" s="39" t="s">
        <v>1446</v>
      </c>
      <c r="BW85" s="39" t="s">
        <v>2942</v>
      </c>
      <c r="BX85" s="39" t="s">
        <v>2943</v>
      </c>
      <c r="BY85" s="71">
        <v>740</v>
      </c>
      <c r="BZ85" s="71">
        <v>850</v>
      </c>
      <c r="CA85" s="71">
        <v>1080</v>
      </c>
      <c r="CB85" s="71">
        <v>1320</v>
      </c>
      <c r="CC85" s="71">
        <v>1550</v>
      </c>
      <c r="CD85" s="25"/>
      <c r="CE85" s="200"/>
      <c r="CF85" s="200"/>
      <c r="CG85" s="200"/>
      <c r="CH85" s="200"/>
      <c r="CI85" s="200"/>
      <c r="CJ85" s="200"/>
      <c r="CK85" s="200"/>
      <c r="CL85" s="200"/>
      <c r="CM85" s="200"/>
      <c r="CN85" s="200"/>
      <c r="CO85" s="200"/>
      <c r="CP85" s="200"/>
      <c r="CQ85" s="20" t="s">
        <v>80</v>
      </c>
      <c r="CR85" s="236" t="s">
        <v>292</v>
      </c>
      <c r="CS85" s="236" t="s">
        <v>3108</v>
      </c>
      <c r="CT85" s="200"/>
      <c r="CU85" s="200"/>
      <c r="CV85" s="20" t="s">
        <v>80</v>
      </c>
      <c r="CW85" s="20" t="s">
        <v>8</v>
      </c>
      <c r="CX85" s="25"/>
      <c r="CY85" s="20" t="s">
        <v>80</v>
      </c>
      <c r="CZ85" s="20" t="s">
        <v>265</v>
      </c>
      <c r="DA85" s="37" t="s">
        <v>265</v>
      </c>
      <c r="DB85" s="25"/>
      <c r="DC85" s="20" t="s">
        <v>80</v>
      </c>
      <c r="DD85" s="20">
        <v>1</v>
      </c>
      <c r="DE85" s="735">
        <v>34</v>
      </c>
      <c r="DF85" s="179">
        <v>49165</v>
      </c>
      <c r="DG85" s="179">
        <v>48007</v>
      </c>
      <c r="DH85" s="878">
        <f t="shared" si="22"/>
        <v>-2.3553340791213261E-2</v>
      </c>
      <c r="DI85" s="606">
        <v>407.6907588583486</v>
      </c>
      <c r="DJ85" s="179">
        <f t="shared" si="18"/>
        <v>117.75346621648578</v>
      </c>
      <c r="DK85" s="37">
        <v>40.1</v>
      </c>
      <c r="DL85" s="236">
        <v>72822</v>
      </c>
      <c r="DM85" s="878">
        <v>0.1110478720040473</v>
      </c>
      <c r="DN85" s="878">
        <v>4.5999999999999999E-2</v>
      </c>
      <c r="DO85" s="878">
        <v>4.0000000000000001E-3</v>
      </c>
      <c r="DP85" s="878">
        <v>4.2999999999999997E-2</v>
      </c>
      <c r="DQ85" s="878">
        <v>0.26253593101245609</v>
      </c>
      <c r="DR85" s="878">
        <v>0.34164639091646393</v>
      </c>
      <c r="DS85" s="878">
        <v>0.92700000000000005</v>
      </c>
      <c r="DT85" s="878">
        <v>2.1000000000000001E-2</v>
      </c>
      <c r="DU85" s="878">
        <v>1E-3</v>
      </c>
      <c r="DV85" s="878">
        <v>8.0000000000000002E-3</v>
      </c>
      <c r="DW85" s="878">
        <v>0</v>
      </c>
      <c r="DX85" s="878">
        <v>7.0000000000000001E-3</v>
      </c>
      <c r="DY85" s="878">
        <v>3.5000000000000003E-2</v>
      </c>
      <c r="DZ85" s="878">
        <v>1.7000000000000001E-2</v>
      </c>
      <c r="EA85" s="878">
        <v>0.91800000000000004</v>
      </c>
      <c r="EB85" s="25"/>
      <c r="EC85" s="25"/>
      <c r="ED85" s="25"/>
    </row>
    <row r="86" spans="1:134" s="17" customFormat="1" x14ac:dyDescent="0.2">
      <c r="A86" s="25"/>
      <c r="B86" s="20">
        <v>39049006330</v>
      </c>
      <c r="C86" s="20">
        <v>63.3</v>
      </c>
      <c r="D86" s="20" t="s">
        <v>31</v>
      </c>
      <c r="E86" s="20" t="s">
        <v>2830</v>
      </c>
      <c r="F86" s="20" t="s">
        <v>8</v>
      </c>
      <c r="G86" s="861">
        <v>80.783541151145798</v>
      </c>
      <c r="H86" s="861">
        <v>81.205425025361293</v>
      </c>
      <c r="I86" s="861">
        <v>18.318924381250199</v>
      </c>
      <c r="J86" s="861">
        <v>37.642708305688799</v>
      </c>
      <c r="K86" s="982">
        <v>0</v>
      </c>
      <c r="L86" s="735">
        <v>4825</v>
      </c>
      <c r="M86" s="735">
        <v>4637</v>
      </c>
      <c r="N86" s="845">
        <f t="shared" si="13"/>
        <v>-3.8963730569948188E-2</v>
      </c>
      <c r="O86" s="735">
        <v>1.0989170139472184</v>
      </c>
      <c r="P86" s="735">
        <f t="shared" si="14"/>
        <v>4219.6088887042361</v>
      </c>
      <c r="Q86" s="849">
        <v>38.4</v>
      </c>
      <c r="R86" s="71">
        <v>134485</v>
      </c>
      <c r="S86" s="845">
        <v>3.8311688311688311E-2</v>
      </c>
      <c r="T86" s="845">
        <v>2.7000000000000003E-2</v>
      </c>
      <c r="U86" s="845">
        <v>0</v>
      </c>
      <c r="V86" s="845">
        <v>0.20100000000000001</v>
      </c>
      <c r="W86" s="845">
        <v>0.17612234829797729</v>
      </c>
      <c r="X86" s="845">
        <v>0.20728291316526612</v>
      </c>
      <c r="Y86" s="845">
        <v>0.88074185896053481</v>
      </c>
      <c r="Z86" s="845">
        <v>0</v>
      </c>
      <c r="AA86" s="845">
        <v>0</v>
      </c>
      <c r="AB86" s="845">
        <v>4.2700021565667455E-2</v>
      </c>
      <c r="AC86" s="845">
        <v>0</v>
      </c>
      <c r="AD86" s="845">
        <v>0</v>
      </c>
      <c r="AE86" s="845">
        <v>7.6558119473797717E-2</v>
      </c>
      <c r="AF86" s="845">
        <v>1.8977787362518869E-2</v>
      </c>
      <c r="AG86" s="845">
        <v>0.86176407159801593</v>
      </c>
      <c r="AH86" s="20" t="str">
        <f t="shared" si="15"/>
        <v>No</v>
      </c>
      <c r="AI86" s="25"/>
      <c r="AJ86" s="37">
        <v>44313</v>
      </c>
      <c r="AK86" s="37" t="s">
        <v>1307</v>
      </c>
      <c r="AL86" s="37">
        <v>39153</v>
      </c>
      <c r="AM86" s="37" t="s">
        <v>82</v>
      </c>
      <c r="AN86" s="37">
        <f t="shared" si="16"/>
        <v>10420</v>
      </c>
      <c r="AO86" s="37" t="str">
        <f t="shared" si="17"/>
        <v>Akron, OH</v>
      </c>
      <c r="AP86" s="37" t="s">
        <v>8</v>
      </c>
      <c r="AQ86" s="25"/>
      <c r="AR86" s="20" t="s">
        <v>81</v>
      </c>
      <c r="AS86" s="24">
        <v>30300</v>
      </c>
      <c r="AT86" s="24">
        <v>34600</v>
      </c>
      <c r="AU86" s="24">
        <v>38950</v>
      </c>
      <c r="AV86" s="24">
        <v>43250</v>
      </c>
      <c r="AW86" s="24">
        <v>46750</v>
      </c>
      <c r="AX86" s="24">
        <v>50200</v>
      </c>
      <c r="AY86" s="24">
        <v>53650</v>
      </c>
      <c r="AZ86" s="24">
        <v>57100</v>
      </c>
      <c r="BA86" s="29">
        <f t="shared" si="19"/>
        <v>32450</v>
      </c>
      <c r="BB86" s="29">
        <f t="shared" si="20"/>
        <v>45000</v>
      </c>
      <c r="BC86" s="29">
        <f t="shared" si="21"/>
        <v>55375</v>
      </c>
      <c r="BD86" s="25"/>
      <c r="BE86" s="25"/>
      <c r="BF86" s="25"/>
      <c r="BG86" s="25"/>
      <c r="BH86" s="25"/>
      <c r="BI86" s="25"/>
      <c r="BJ86" s="25"/>
      <c r="BK86" s="25"/>
      <c r="BL86" s="25"/>
      <c r="BM86" s="25"/>
      <c r="BN86" s="20" t="s">
        <v>81</v>
      </c>
      <c r="BO86" s="71">
        <v>749</v>
      </c>
      <c r="BP86" s="24">
        <v>846</v>
      </c>
      <c r="BQ86" s="24">
        <v>1086</v>
      </c>
      <c r="BR86" s="24">
        <v>1371</v>
      </c>
      <c r="BS86" s="24">
        <v>1451</v>
      </c>
      <c r="BT86" s="122"/>
      <c r="BU86" s="39">
        <v>44838</v>
      </c>
      <c r="BV86" s="39" t="s">
        <v>1487</v>
      </c>
      <c r="BW86" s="39" t="s">
        <v>2942</v>
      </c>
      <c r="BX86" s="39" t="s">
        <v>2943</v>
      </c>
      <c r="BY86" s="71">
        <v>680</v>
      </c>
      <c r="BZ86" s="71">
        <v>780</v>
      </c>
      <c r="CA86" s="71">
        <v>970</v>
      </c>
      <c r="CB86" s="71">
        <v>1280</v>
      </c>
      <c r="CC86" s="71">
        <v>1470</v>
      </c>
      <c r="CD86" s="25"/>
      <c r="CE86" s="200"/>
      <c r="CF86" s="200"/>
      <c r="CG86" s="200"/>
      <c r="CH86" s="200"/>
      <c r="CI86" s="200"/>
      <c r="CJ86" s="200"/>
      <c r="CK86" s="200"/>
      <c r="CL86" s="200"/>
      <c r="CM86" s="200"/>
      <c r="CN86" s="200"/>
      <c r="CO86" s="200"/>
      <c r="CP86" s="200"/>
      <c r="CQ86" s="20" t="s">
        <v>81</v>
      </c>
      <c r="CR86" s="236" t="s">
        <v>2481</v>
      </c>
      <c r="CS86" s="236" t="s">
        <v>3109</v>
      </c>
      <c r="CT86" s="200"/>
      <c r="CU86" s="200"/>
      <c r="CV86" s="20" t="s">
        <v>81</v>
      </c>
      <c r="CW86" s="20" t="s">
        <v>8</v>
      </c>
      <c r="CX86" s="25"/>
      <c r="CY86" s="20" t="s">
        <v>81</v>
      </c>
      <c r="CZ86" s="20">
        <v>15940</v>
      </c>
      <c r="DA86" s="37" t="s">
        <v>2844</v>
      </c>
      <c r="DB86" s="25"/>
      <c r="DC86" s="20" t="s">
        <v>81</v>
      </c>
      <c r="DD86" s="20">
        <v>9</v>
      </c>
      <c r="DE86" s="735">
        <v>1082</v>
      </c>
      <c r="DF86" s="179">
        <v>375090</v>
      </c>
      <c r="DG86" s="179">
        <v>373764</v>
      </c>
      <c r="DH86" s="878">
        <f t="shared" si="22"/>
        <v>-3.5351515636247301E-3</v>
      </c>
      <c r="DI86" s="606">
        <v>574.93983823732697</v>
      </c>
      <c r="DJ86" s="179">
        <f t="shared" si="18"/>
        <v>650.0923664394179</v>
      </c>
      <c r="DK86" s="37">
        <v>41.9</v>
      </c>
      <c r="DL86" s="236">
        <v>65740</v>
      </c>
      <c r="DM86" s="878">
        <v>0.12743562930803218</v>
      </c>
      <c r="DN86" s="878">
        <v>3.9E-2</v>
      </c>
      <c r="DO86" s="878">
        <v>5.0000000000000001E-3</v>
      </c>
      <c r="DP86" s="878">
        <v>2.8999999999999998E-2</v>
      </c>
      <c r="DQ86" s="878">
        <v>0.3142965642418547</v>
      </c>
      <c r="DR86" s="878">
        <v>0.37275501218488255</v>
      </c>
      <c r="DS86" s="878">
        <v>0.85299999999999998</v>
      </c>
      <c r="DT86" s="878">
        <v>7.4999999999999997E-2</v>
      </c>
      <c r="DU86" s="878">
        <v>1E-3</v>
      </c>
      <c r="DV86" s="878">
        <v>8.9999999999999993E-3</v>
      </c>
      <c r="DW86" s="878">
        <v>0</v>
      </c>
      <c r="DX86" s="878">
        <v>6.0000000000000001E-3</v>
      </c>
      <c r="DY86" s="878">
        <v>5.6000000000000001E-2</v>
      </c>
      <c r="DZ86" s="878">
        <v>2.9000000000000001E-2</v>
      </c>
      <c r="EA86" s="878">
        <v>0.84299999999999997</v>
      </c>
      <c r="EB86" s="25"/>
      <c r="EC86" s="25"/>
      <c r="ED86" s="25"/>
    </row>
    <row r="87" spans="1:134" s="17" customFormat="1" x14ac:dyDescent="0.2">
      <c r="A87" s="25"/>
      <c r="B87" s="20">
        <v>39041011421</v>
      </c>
      <c r="C87" s="20">
        <v>114.21</v>
      </c>
      <c r="D87" s="20" t="s">
        <v>27</v>
      </c>
      <c r="E87" s="20" t="s">
        <v>2830</v>
      </c>
      <c r="F87" s="20" t="s">
        <v>8</v>
      </c>
      <c r="G87" s="861">
        <v>80.778121159658696</v>
      </c>
      <c r="H87" s="861">
        <v>75.910172782908901</v>
      </c>
      <c r="I87" s="861">
        <v>15.272752478091</v>
      </c>
      <c r="J87" s="861">
        <v>44.405604214987903</v>
      </c>
      <c r="K87" s="982">
        <v>0</v>
      </c>
      <c r="L87" s="735">
        <v>6602</v>
      </c>
      <c r="M87" s="735">
        <v>6931</v>
      </c>
      <c r="N87" s="845">
        <f t="shared" si="13"/>
        <v>4.9833383823083915E-2</v>
      </c>
      <c r="O87" s="735">
        <v>3.5950558861831996</v>
      </c>
      <c r="P87" s="735">
        <f t="shared" si="14"/>
        <v>1927.9255231157217</v>
      </c>
      <c r="Q87" s="849">
        <v>42.7</v>
      </c>
      <c r="R87" s="71">
        <v>181334</v>
      </c>
      <c r="S87" s="845">
        <v>6.3482902900014425E-3</v>
      </c>
      <c r="T87" s="845">
        <v>0.04</v>
      </c>
      <c r="U87" s="845">
        <v>0</v>
      </c>
      <c r="V87" s="845">
        <v>0</v>
      </c>
      <c r="W87" s="845">
        <v>4.1966935142009325E-2</v>
      </c>
      <c r="X87" s="845">
        <v>0.18181818181818182</v>
      </c>
      <c r="Y87" s="845">
        <v>0.81229259847063917</v>
      </c>
      <c r="Z87" s="845">
        <v>2.4238926561823689E-2</v>
      </c>
      <c r="AA87" s="845">
        <v>2.5970278459096813E-3</v>
      </c>
      <c r="AB87" s="845">
        <v>0.11138363872457077</v>
      </c>
      <c r="AC87" s="845">
        <v>0</v>
      </c>
      <c r="AD87" s="845">
        <v>1.8034915596595008E-2</v>
      </c>
      <c r="AE87" s="845">
        <v>3.1452892800461693E-2</v>
      </c>
      <c r="AF87" s="845">
        <v>1.9910546818640889E-2</v>
      </c>
      <c r="AG87" s="845">
        <v>0.80926273265041115</v>
      </c>
      <c r="AH87" s="20" t="str">
        <f t="shared" si="15"/>
        <v>No</v>
      </c>
      <c r="AI87" s="25"/>
      <c r="AJ87" s="37">
        <v>44314</v>
      </c>
      <c r="AK87" s="37" t="s">
        <v>1308</v>
      </c>
      <c r="AL87" s="37">
        <v>39153</v>
      </c>
      <c r="AM87" s="37" t="s">
        <v>82</v>
      </c>
      <c r="AN87" s="37">
        <f t="shared" si="16"/>
        <v>10420</v>
      </c>
      <c r="AO87" s="37" t="str">
        <f t="shared" si="17"/>
        <v>Akron, OH</v>
      </c>
      <c r="AP87" s="37" t="s">
        <v>8</v>
      </c>
      <c r="AQ87" s="25"/>
      <c r="AR87" s="20" t="s">
        <v>82</v>
      </c>
      <c r="AS87" s="24">
        <v>35150</v>
      </c>
      <c r="AT87" s="24">
        <v>40150</v>
      </c>
      <c r="AU87" s="24">
        <v>45150</v>
      </c>
      <c r="AV87" s="24">
        <v>50150</v>
      </c>
      <c r="AW87" s="24">
        <v>54200</v>
      </c>
      <c r="AX87" s="24">
        <v>58200</v>
      </c>
      <c r="AY87" s="24">
        <v>62200</v>
      </c>
      <c r="AZ87" s="24">
        <v>66200</v>
      </c>
      <c r="BA87" s="29">
        <f t="shared" si="19"/>
        <v>37650</v>
      </c>
      <c r="BB87" s="29">
        <f t="shared" si="20"/>
        <v>52175</v>
      </c>
      <c r="BC87" s="29">
        <f t="shared" si="21"/>
        <v>64200</v>
      </c>
      <c r="BD87" s="25"/>
      <c r="BE87" s="25"/>
      <c r="BF87" s="25"/>
      <c r="BG87" s="25"/>
      <c r="BH87" s="25"/>
      <c r="BI87" s="25"/>
      <c r="BJ87" s="25"/>
      <c r="BK87" s="25"/>
      <c r="BL87" s="25"/>
      <c r="BM87" s="25"/>
      <c r="BN87" s="20" t="s">
        <v>82</v>
      </c>
      <c r="BO87" s="71">
        <v>904</v>
      </c>
      <c r="BP87" s="24">
        <v>985</v>
      </c>
      <c r="BQ87" s="24">
        <v>1268</v>
      </c>
      <c r="BR87" s="24">
        <v>1547</v>
      </c>
      <c r="BS87" s="24">
        <v>1681</v>
      </c>
      <c r="BT87" s="122"/>
      <c r="BU87" s="39">
        <v>44840</v>
      </c>
      <c r="BV87" s="39" t="s">
        <v>1489</v>
      </c>
      <c r="BW87" s="39" t="s">
        <v>2942</v>
      </c>
      <c r="BX87" s="39" t="s">
        <v>2943</v>
      </c>
      <c r="BY87" s="71">
        <v>780</v>
      </c>
      <c r="BZ87" s="71">
        <v>900</v>
      </c>
      <c r="CA87" s="71">
        <v>1120</v>
      </c>
      <c r="CB87" s="71">
        <v>1470</v>
      </c>
      <c r="CC87" s="71">
        <v>1690</v>
      </c>
      <c r="CD87" s="25"/>
      <c r="CE87" s="200"/>
      <c r="CF87" s="200"/>
      <c r="CG87" s="200"/>
      <c r="CH87" s="200"/>
      <c r="CI87" s="200"/>
      <c r="CJ87" s="200"/>
      <c r="CK87" s="200"/>
      <c r="CL87" s="200"/>
      <c r="CM87" s="200"/>
      <c r="CN87" s="200"/>
      <c r="CO87" s="200"/>
      <c r="CP87" s="200"/>
      <c r="CQ87" s="20" t="s">
        <v>82</v>
      </c>
      <c r="CR87" s="236" t="s">
        <v>2481</v>
      </c>
      <c r="CS87" s="236" t="s">
        <v>3109</v>
      </c>
      <c r="CT87" s="200"/>
      <c r="CU87" s="200"/>
      <c r="CV87" s="20" t="s">
        <v>82</v>
      </c>
      <c r="CW87" s="20" t="s">
        <v>8</v>
      </c>
      <c r="CX87" s="25"/>
      <c r="CY87" s="20" t="s">
        <v>82</v>
      </c>
      <c r="CZ87" s="20">
        <v>10420</v>
      </c>
      <c r="DA87" s="37" t="s">
        <v>2843</v>
      </c>
      <c r="DB87" s="25"/>
      <c r="DC87" s="20" t="s">
        <v>82</v>
      </c>
      <c r="DD87" s="20">
        <v>12</v>
      </c>
      <c r="DE87" s="735">
        <v>1415</v>
      </c>
      <c r="DF87" s="179">
        <v>541464</v>
      </c>
      <c r="DG87" s="179">
        <v>538087</v>
      </c>
      <c r="DH87" s="878">
        <f t="shared" si="22"/>
        <v>-6.2367950593206567E-3</v>
      </c>
      <c r="DI87" s="606">
        <v>412.68565978088606</v>
      </c>
      <c r="DJ87" s="179">
        <f t="shared" si="18"/>
        <v>1303.8664834772678</v>
      </c>
      <c r="DK87" s="37">
        <v>41.2</v>
      </c>
      <c r="DL87" s="236">
        <v>71016</v>
      </c>
      <c r="DM87" s="878">
        <v>0.12649193998030592</v>
      </c>
      <c r="DN87" s="878">
        <v>5.1999999999999998E-2</v>
      </c>
      <c r="DO87" s="878">
        <v>0.01</v>
      </c>
      <c r="DP87" s="878">
        <v>3.5000000000000003E-2</v>
      </c>
      <c r="DQ87" s="878">
        <v>0.32710683520476858</v>
      </c>
      <c r="DR87" s="878">
        <v>0.41153825660699062</v>
      </c>
      <c r="DS87" s="878">
        <v>0.75</v>
      </c>
      <c r="DT87" s="878">
        <v>0.14000000000000001</v>
      </c>
      <c r="DU87" s="878">
        <v>1E-3</v>
      </c>
      <c r="DV87" s="878">
        <v>4.1000000000000002E-2</v>
      </c>
      <c r="DW87" s="878">
        <v>0</v>
      </c>
      <c r="DX87" s="878">
        <v>8.0000000000000002E-3</v>
      </c>
      <c r="DY87" s="878">
        <v>0.06</v>
      </c>
      <c r="DZ87" s="878">
        <v>2.5999999999999999E-2</v>
      </c>
      <c r="EA87" s="878">
        <v>0.74199999999999999</v>
      </c>
      <c r="EB87" s="25"/>
      <c r="EC87" s="25"/>
      <c r="ED87" s="25"/>
    </row>
    <row r="88" spans="1:134" s="17" customFormat="1" x14ac:dyDescent="0.2">
      <c r="A88" s="25"/>
      <c r="B88" s="20">
        <v>39113110100</v>
      </c>
      <c r="C88" s="20">
        <v>1101</v>
      </c>
      <c r="D88" s="20" t="s">
        <v>62</v>
      </c>
      <c r="E88" s="20" t="s">
        <v>2833</v>
      </c>
      <c r="F88" s="20" t="s">
        <v>8</v>
      </c>
      <c r="G88" s="861">
        <v>80.454825302404799</v>
      </c>
      <c r="H88" s="861">
        <v>78.726875822234703</v>
      </c>
      <c r="I88" s="861">
        <v>27.927044922294002</v>
      </c>
      <c r="J88" s="861">
        <v>52.379464260880702</v>
      </c>
      <c r="K88" s="982">
        <v>0</v>
      </c>
      <c r="L88" s="735">
        <v>1269</v>
      </c>
      <c r="M88" s="735">
        <v>1609</v>
      </c>
      <c r="N88" s="845">
        <f t="shared" si="13"/>
        <v>0.26792750197005516</v>
      </c>
      <c r="O88" s="735">
        <v>16.316977609599917</v>
      </c>
      <c r="P88" s="735">
        <f t="shared" si="14"/>
        <v>98.608948207011224</v>
      </c>
      <c r="Q88" s="849">
        <v>44.4</v>
      </c>
      <c r="R88" s="71">
        <v>114821</v>
      </c>
      <c r="S88" s="845">
        <v>4.3722673329169267E-3</v>
      </c>
      <c r="T88" s="845">
        <v>1.4999999999999999E-2</v>
      </c>
      <c r="U88" s="845">
        <v>0</v>
      </c>
      <c r="V88" s="845" t="s">
        <v>2466</v>
      </c>
      <c r="W88" s="845">
        <v>0</v>
      </c>
      <c r="X88" s="845"/>
      <c r="Y88" s="845">
        <v>0.9192044748290864</v>
      </c>
      <c r="Z88" s="845">
        <v>2.4860161591050343E-2</v>
      </c>
      <c r="AA88" s="845">
        <v>0</v>
      </c>
      <c r="AB88" s="845">
        <v>3.6047234307022995E-2</v>
      </c>
      <c r="AC88" s="845">
        <v>0</v>
      </c>
      <c r="AD88" s="845">
        <v>0</v>
      </c>
      <c r="AE88" s="845">
        <v>1.9888129272840272E-2</v>
      </c>
      <c r="AF88" s="845">
        <v>0</v>
      </c>
      <c r="AG88" s="845">
        <v>0.9192044748290864</v>
      </c>
      <c r="AH88" s="20" t="str">
        <f t="shared" si="15"/>
        <v>Yes</v>
      </c>
      <c r="AI88" s="25"/>
      <c r="AJ88" s="37">
        <v>44319</v>
      </c>
      <c r="AK88" s="37" t="s">
        <v>1309</v>
      </c>
      <c r="AL88" s="37">
        <v>39153</v>
      </c>
      <c r="AM88" s="37" t="s">
        <v>82</v>
      </c>
      <c r="AN88" s="37">
        <f t="shared" si="16"/>
        <v>10420</v>
      </c>
      <c r="AO88" s="37" t="str">
        <f t="shared" si="17"/>
        <v>Akron, OH</v>
      </c>
      <c r="AP88" s="37" t="s">
        <v>8</v>
      </c>
      <c r="AQ88" s="25"/>
      <c r="AR88" s="20" t="s">
        <v>83</v>
      </c>
      <c r="AS88" s="24">
        <v>29850</v>
      </c>
      <c r="AT88" s="24">
        <v>34100</v>
      </c>
      <c r="AU88" s="24">
        <v>38350</v>
      </c>
      <c r="AV88" s="24">
        <v>42600</v>
      </c>
      <c r="AW88" s="24">
        <v>46050</v>
      </c>
      <c r="AX88" s="24">
        <v>49450</v>
      </c>
      <c r="AY88" s="24">
        <v>52850</v>
      </c>
      <c r="AZ88" s="24">
        <v>56250</v>
      </c>
      <c r="BA88" s="29">
        <f t="shared" si="19"/>
        <v>31975</v>
      </c>
      <c r="BB88" s="29">
        <f t="shared" si="20"/>
        <v>44325</v>
      </c>
      <c r="BC88" s="29">
        <f t="shared" si="21"/>
        <v>54550</v>
      </c>
      <c r="BD88" s="25"/>
      <c r="BE88" s="25"/>
      <c r="BF88" s="25"/>
      <c r="BG88" s="25"/>
      <c r="BH88" s="25"/>
      <c r="BI88" s="25"/>
      <c r="BJ88" s="25"/>
      <c r="BK88" s="25"/>
      <c r="BL88" s="25"/>
      <c r="BM88" s="25"/>
      <c r="BN88" s="20" t="s">
        <v>83</v>
      </c>
      <c r="BO88" s="71">
        <v>735</v>
      </c>
      <c r="BP88" s="24">
        <v>771</v>
      </c>
      <c r="BQ88" s="24">
        <v>973</v>
      </c>
      <c r="BR88" s="24">
        <v>1270</v>
      </c>
      <c r="BS88" s="24">
        <v>1345</v>
      </c>
      <c r="BT88" s="122"/>
      <c r="BU88" s="39">
        <v>44842</v>
      </c>
      <c r="BV88" s="39" t="s">
        <v>1491</v>
      </c>
      <c r="BW88" s="39" t="s">
        <v>2942</v>
      </c>
      <c r="BX88" s="39" t="s">
        <v>2943</v>
      </c>
      <c r="BY88" s="71">
        <v>690</v>
      </c>
      <c r="BZ88" s="71">
        <v>780</v>
      </c>
      <c r="CA88" s="71">
        <v>970</v>
      </c>
      <c r="CB88" s="71">
        <v>1270</v>
      </c>
      <c r="CC88" s="71">
        <v>1450</v>
      </c>
      <c r="CD88" s="25"/>
      <c r="CE88" s="200"/>
      <c r="CF88" s="200"/>
      <c r="CG88" s="200"/>
      <c r="CH88" s="200"/>
      <c r="CI88" s="200"/>
      <c r="CJ88" s="200"/>
      <c r="CK88" s="200"/>
      <c r="CL88" s="200"/>
      <c r="CM88" s="200"/>
      <c r="CN88" s="200"/>
      <c r="CO88" s="200"/>
      <c r="CP88" s="200"/>
      <c r="CQ88" s="20" t="s">
        <v>83</v>
      </c>
      <c r="CR88" s="236" t="s">
        <v>2481</v>
      </c>
      <c r="CS88" s="236" t="s">
        <v>3109</v>
      </c>
      <c r="CT88" s="200"/>
      <c r="CU88" s="200"/>
      <c r="CV88" s="20" t="s">
        <v>83</v>
      </c>
      <c r="CW88" s="20" t="s">
        <v>6</v>
      </c>
      <c r="CX88" s="25"/>
      <c r="CY88" s="20" t="s">
        <v>83</v>
      </c>
      <c r="CZ88" s="20">
        <v>49660</v>
      </c>
      <c r="DA88" s="37" t="s">
        <v>2842</v>
      </c>
      <c r="DB88" s="25"/>
      <c r="DC88" s="20" t="s">
        <v>83</v>
      </c>
      <c r="DD88" s="20">
        <v>2</v>
      </c>
      <c r="DE88" s="735">
        <v>85</v>
      </c>
      <c r="DF88" s="179">
        <v>207596</v>
      </c>
      <c r="DG88" s="179">
        <v>201367</v>
      </c>
      <c r="DH88" s="878">
        <f t="shared" si="22"/>
        <v>-3.0005395094317811E-2</v>
      </c>
      <c r="DI88" s="606">
        <v>617.59219890781662</v>
      </c>
      <c r="DJ88" s="179">
        <f t="shared" si="18"/>
        <v>326.05172208474829</v>
      </c>
      <c r="DK88" s="37">
        <v>43.8</v>
      </c>
      <c r="DL88" s="236">
        <v>55088</v>
      </c>
      <c r="DM88" s="878">
        <v>0.16789371544966736</v>
      </c>
      <c r="DN88" s="878">
        <v>4.4999999999999998E-2</v>
      </c>
      <c r="DO88" s="878">
        <v>1.1000000000000001E-2</v>
      </c>
      <c r="DP88" s="878">
        <v>6.0999999999999999E-2</v>
      </c>
      <c r="DQ88" s="878">
        <v>0.28499448540082428</v>
      </c>
      <c r="DR88" s="878">
        <v>0.40121394818315137</v>
      </c>
      <c r="DS88" s="878">
        <v>0.86</v>
      </c>
      <c r="DT88" s="878">
        <v>0.08</v>
      </c>
      <c r="DU88" s="878">
        <v>1E-3</v>
      </c>
      <c r="DV88" s="878">
        <v>6.0000000000000001E-3</v>
      </c>
      <c r="DW88" s="878">
        <v>1E-3</v>
      </c>
      <c r="DX88" s="878">
        <v>4.0000000000000001E-3</v>
      </c>
      <c r="DY88" s="878">
        <v>4.9000000000000002E-2</v>
      </c>
      <c r="DZ88" s="878">
        <v>2.1999999999999999E-2</v>
      </c>
      <c r="EA88" s="878">
        <v>0.85099999999999998</v>
      </c>
      <c r="EB88" s="25"/>
      <c r="EC88" s="25"/>
      <c r="ED88" s="25"/>
    </row>
    <row r="89" spans="1:134" s="17" customFormat="1" x14ac:dyDescent="0.2">
      <c r="A89" s="25"/>
      <c r="B89" s="20">
        <v>39061022602</v>
      </c>
      <c r="C89" s="20">
        <v>226.02</v>
      </c>
      <c r="D89" s="20" t="s">
        <v>37</v>
      </c>
      <c r="E89" s="20" t="s">
        <v>2828</v>
      </c>
      <c r="F89" s="20" t="s">
        <v>8</v>
      </c>
      <c r="G89" s="861">
        <v>80.314885126645905</v>
      </c>
      <c r="H89" s="861">
        <v>72.341891623898306</v>
      </c>
      <c r="I89" s="861">
        <v>24.125591522622301</v>
      </c>
      <c r="J89" s="861">
        <v>44.616665347204602</v>
      </c>
      <c r="K89" s="982">
        <v>0</v>
      </c>
      <c r="L89" s="735">
        <v>2624</v>
      </c>
      <c r="M89" s="735">
        <v>2722</v>
      </c>
      <c r="N89" s="845">
        <f t="shared" si="13"/>
        <v>3.7347560975609755E-2</v>
      </c>
      <c r="O89" s="735">
        <v>0.67532665236829992</v>
      </c>
      <c r="P89" s="735">
        <f t="shared" si="14"/>
        <v>4030.6420462663968</v>
      </c>
      <c r="Q89" s="849">
        <v>38.5</v>
      </c>
      <c r="R89" s="71">
        <v>102545</v>
      </c>
      <c r="S89" s="845">
        <v>1.8001469507714914E-2</v>
      </c>
      <c r="T89" s="845">
        <v>2.4E-2</v>
      </c>
      <c r="U89" s="845">
        <v>0</v>
      </c>
      <c r="V89" s="845">
        <v>0</v>
      </c>
      <c r="W89" s="845">
        <v>0.17295308187672492</v>
      </c>
      <c r="X89" s="845">
        <v>0.27659574468085107</v>
      </c>
      <c r="Y89" s="845">
        <v>0.63703159441587065</v>
      </c>
      <c r="Z89" s="845">
        <v>0.21822189566495223</v>
      </c>
      <c r="AA89" s="845">
        <v>0</v>
      </c>
      <c r="AB89" s="845">
        <v>2.828802351212344E-2</v>
      </c>
      <c r="AC89" s="845">
        <v>0</v>
      </c>
      <c r="AD89" s="845">
        <v>1.3960323291697281E-2</v>
      </c>
      <c r="AE89" s="845">
        <v>0.10249816311535635</v>
      </c>
      <c r="AF89" s="845">
        <v>1.2123438648052902E-2</v>
      </c>
      <c r="AG89" s="845">
        <v>0.63519470977222625</v>
      </c>
      <c r="AH89" s="20" t="str">
        <f t="shared" si="15"/>
        <v>No</v>
      </c>
      <c r="AI89" s="25"/>
      <c r="AJ89" s="37">
        <v>44320</v>
      </c>
      <c r="AK89" s="37" t="s">
        <v>1310</v>
      </c>
      <c r="AL89" s="37">
        <v>39153</v>
      </c>
      <c r="AM89" s="37" t="s">
        <v>82</v>
      </c>
      <c r="AN89" s="37">
        <f t="shared" si="16"/>
        <v>10420</v>
      </c>
      <c r="AO89" s="37" t="str">
        <f t="shared" si="17"/>
        <v>Akron, OH</v>
      </c>
      <c r="AP89" s="37" t="s">
        <v>8</v>
      </c>
      <c r="AQ89" s="25"/>
      <c r="AR89" s="20" t="s">
        <v>84</v>
      </c>
      <c r="AS89" s="24">
        <v>30550</v>
      </c>
      <c r="AT89" s="24">
        <v>34950</v>
      </c>
      <c r="AU89" s="24">
        <v>39300</v>
      </c>
      <c r="AV89" s="24">
        <v>43650</v>
      </c>
      <c r="AW89" s="24">
        <v>47150</v>
      </c>
      <c r="AX89" s="24">
        <v>50650</v>
      </c>
      <c r="AY89" s="24">
        <v>54150</v>
      </c>
      <c r="AZ89" s="24">
        <v>57650</v>
      </c>
      <c r="BA89" s="29">
        <f t="shared" si="19"/>
        <v>32750</v>
      </c>
      <c r="BB89" s="29">
        <f t="shared" si="20"/>
        <v>45400</v>
      </c>
      <c r="BC89" s="29">
        <f t="shared" si="21"/>
        <v>55900</v>
      </c>
      <c r="BD89" s="25"/>
      <c r="BE89" s="25"/>
      <c r="BF89" s="25"/>
      <c r="BG89" s="25"/>
      <c r="BH89" s="25"/>
      <c r="BI89" s="25"/>
      <c r="BJ89" s="25"/>
      <c r="BK89" s="25"/>
      <c r="BL89" s="25"/>
      <c r="BM89" s="25"/>
      <c r="BN89" s="20" t="s">
        <v>84</v>
      </c>
      <c r="BO89" s="71">
        <v>775</v>
      </c>
      <c r="BP89" s="24">
        <v>780</v>
      </c>
      <c r="BQ89" s="24">
        <v>1023</v>
      </c>
      <c r="BR89" s="24">
        <v>1316</v>
      </c>
      <c r="BS89" s="24">
        <v>1484</v>
      </c>
      <c r="BT89" s="122"/>
      <c r="BU89" s="39">
        <v>44866</v>
      </c>
      <c r="BV89" s="39" t="s">
        <v>1508</v>
      </c>
      <c r="BW89" s="39" t="s">
        <v>2942</v>
      </c>
      <c r="BX89" s="39" t="s">
        <v>2943</v>
      </c>
      <c r="BY89" s="71">
        <v>680</v>
      </c>
      <c r="BZ89" s="71">
        <v>780</v>
      </c>
      <c r="CA89" s="71">
        <v>970</v>
      </c>
      <c r="CB89" s="71">
        <v>1280</v>
      </c>
      <c r="CC89" s="71">
        <v>1470</v>
      </c>
      <c r="CD89" s="25"/>
      <c r="CE89" s="200"/>
      <c r="CF89" s="200"/>
      <c r="CG89" s="200"/>
      <c r="CH89" s="200"/>
      <c r="CI89" s="200"/>
      <c r="CJ89" s="200"/>
      <c r="CK89" s="200"/>
      <c r="CL89" s="200"/>
      <c r="CM89" s="200"/>
      <c r="CN89" s="200"/>
      <c r="CO89" s="200"/>
      <c r="CP89" s="200"/>
      <c r="CQ89" s="20" t="s">
        <v>84</v>
      </c>
      <c r="CR89" s="236" t="s">
        <v>292</v>
      </c>
      <c r="CS89" s="236" t="s">
        <v>3109</v>
      </c>
      <c r="CT89" s="200"/>
      <c r="CU89" s="200"/>
      <c r="CV89" s="20" t="s">
        <v>84</v>
      </c>
      <c r="CW89" s="20" t="s">
        <v>6</v>
      </c>
      <c r="CX89" s="25"/>
      <c r="CY89" s="20" t="s">
        <v>84</v>
      </c>
      <c r="CZ89" s="20" t="s">
        <v>265</v>
      </c>
      <c r="DA89" s="37" t="s">
        <v>265</v>
      </c>
      <c r="DB89" s="25"/>
      <c r="DC89" s="20" t="s">
        <v>84</v>
      </c>
      <c r="DD89" s="20">
        <v>0</v>
      </c>
      <c r="DE89" s="735">
        <v>0</v>
      </c>
      <c r="DF89" s="179">
        <v>92616</v>
      </c>
      <c r="DG89" s="179">
        <v>92585</v>
      </c>
      <c r="DH89" s="878">
        <f t="shared" si="22"/>
        <v>-3.347153839509372E-4</v>
      </c>
      <c r="DI89" s="606">
        <v>567.60772851578849</v>
      </c>
      <c r="DJ89" s="179">
        <f t="shared" si="18"/>
        <v>163.11441044345236</v>
      </c>
      <c r="DK89" s="37">
        <v>41.2</v>
      </c>
      <c r="DL89" s="236">
        <v>64494</v>
      </c>
      <c r="DM89" s="878">
        <v>0.12972878275246635</v>
      </c>
      <c r="DN89" s="878">
        <v>5.2999999999999999E-2</v>
      </c>
      <c r="DO89" s="878">
        <v>8.0000000000000002E-3</v>
      </c>
      <c r="DP89" s="878">
        <v>3.9E-2</v>
      </c>
      <c r="DQ89" s="878">
        <v>0.31321635586329899</v>
      </c>
      <c r="DR89" s="878">
        <v>0.40043543795009212</v>
      </c>
      <c r="DS89" s="878">
        <v>0.94399999999999995</v>
      </c>
      <c r="DT89" s="878">
        <v>7.0000000000000001E-3</v>
      </c>
      <c r="DU89" s="878">
        <v>0</v>
      </c>
      <c r="DV89" s="878">
        <v>4.0000000000000001E-3</v>
      </c>
      <c r="DW89" s="878">
        <v>0</v>
      </c>
      <c r="DX89" s="878">
        <v>1.9E-2</v>
      </c>
      <c r="DY89" s="878">
        <v>2.5999999999999999E-2</v>
      </c>
      <c r="DZ89" s="878">
        <v>4.3999999999999997E-2</v>
      </c>
      <c r="EA89" s="878">
        <v>0.92500000000000004</v>
      </c>
      <c r="EB89" s="25"/>
      <c r="EC89" s="25"/>
      <c r="ED89" s="25"/>
    </row>
    <row r="90" spans="1:134" s="17" customFormat="1" x14ac:dyDescent="0.2">
      <c r="A90" s="25"/>
      <c r="B90" s="20">
        <v>39049006710</v>
      </c>
      <c r="C90" s="20">
        <v>67.099999999999994</v>
      </c>
      <c r="D90" s="20" t="s">
        <v>31</v>
      </c>
      <c r="E90" s="20" t="s">
        <v>2830</v>
      </c>
      <c r="F90" s="20" t="s">
        <v>8</v>
      </c>
      <c r="G90" s="861">
        <v>80.110866535344499</v>
      </c>
      <c r="H90" s="861">
        <v>76.992880643509807</v>
      </c>
      <c r="I90" s="861">
        <v>27.263472506019699</v>
      </c>
      <c r="J90" s="861">
        <v>37.927300090106499</v>
      </c>
      <c r="K90" s="982">
        <v>0</v>
      </c>
      <c r="L90" s="735">
        <v>2850</v>
      </c>
      <c r="M90" s="735">
        <v>2844</v>
      </c>
      <c r="N90" s="845">
        <f t="shared" si="13"/>
        <v>-2.1052631578947368E-3</v>
      </c>
      <c r="O90" s="735">
        <v>0.66505749325621422</v>
      </c>
      <c r="P90" s="735">
        <f t="shared" si="14"/>
        <v>4276.3220155228673</v>
      </c>
      <c r="Q90" s="849">
        <v>45.7</v>
      </c>
      <c r="R90" s="71">
        <v>107656</v>
      </c>
      <c r="S90" s="845">
        <v>6.2808750882145381E-2</v>
      </c>
      <c r="T90" s="845">
        <v>9.6000000000000002E-2</v>
      </c>
      <c r="U90" s="845">
        <v>0.03</v>
      </c>
      <c r="V90" s="845">
        <v>0</v>
      </c>
      <c r="W90" s="845">
        <v>0.30118577075098812</v>
      </c>
      <c r="X90" s="845">
        <v>0.35695538057742782</v>
      </c>
      <c r="Y90" s="845">
        <v>0.9391701828410689</v>
      </c>
      <c r="Z90" s="845">
        <v>2.6371308016877638E-2</v>
      </c>
      <c r="AA90" s="845">
        <v>0</v>
      </c>
      <c r="AB90" s="845">
        <v>0</v>
      </c>
      <c r="AC90" s="845">
        <v>0</v>
      </c>
      <c r="AD90" s="845">
        <v>0</v>
      </c>
      <c r="AE90" s="845">
        <v>3.4458509142053444E-2</v>
      </c>
      <c r="AF90" s="845">
        <v>1.7932489451476793E-2</v>
      </c>
      <c r="AG90" s="845">
        <v>0.9391701828410689</v>
      </c>
      <c r="AH90" s="20" t="str">
        <f t="shared" si="15"/>
        <v>Yes</v>
      </c>
      <c r="AI90" s="25"/>
      <c r="AJ90" s="37">
        <v>44321</v>
      </c>
      <c r="AK90" s="37" t="s">
        <v>1311</v>
      </c>
      <c r="AL90" s="37">
        <v>39153</v>
      </c>
      <c r="AM90" s="37" t="s">
        <v>82</v>
      </c>
      <c r="AN90" s="37">
        <f t="shared" si="16"/>
        <v>10420</v>
      </c>
      <c r="AO90" s="37" t="str">
        <f t="shared" si="17"/>
        <v>Akron, OH</v>
      </c>
      <c r="AP90" s="37" t="s">
        <v>8</v>
      </c>
      <c r="AQ90" s="25"/>
      <c r="AR90" s="20" t="s">
        <v>85</v>
      </c>
      <c r="AS90" s="24">
        <v>44900</v>
      </c>
      <c r="AT90" s="24">
        <v>51300</v>
      </c>
      <c r="AU90" s="24">
        <v>57700</v>
      </c>
      <c r="AV90" s="24">
        <v>64100</v>
      </c>
      <c r="AW90" s="24">
        <v>69250</v>
      </c>
      <c r="AX90" s="24">
        <v>74400</v>
      </c>
      <c r="AY90" s="24">
        <v>79500</v>
      </c>
      <c r="AZ90" s="24">
        <v>84650</v>
      </c>
      <c r="BA90" s="29">
        <f t="shared" si="19"/>
        <v>48100</v>
      </c>
      <c r="BB90" s="29">
        <f t="shared" si="20"/>
        <v>66675</v>
      </c>
      <c r="BC90" s="29">
        <f t="shared" si="21"/>
        <v>82075</v>
      </c>
      <c r="BD90" s="25"/>
      <c r="BE90" s="25"/>
      <c r="BF90" s="25"/>
      <c r="BG90" s="25"/>
      <c r="BH90" s="25"/>
      <c r="BI90" s="25"/>
      <c r="BJ90" s="25"/>
      <c r="BK90" s="25"/>
      <c r="BL90" s="25"/>
      <c r="BM90" s="25"/>
      <c r="BN90" s="20" t="s">
        <v>85</v>
      </c>
      <c r="BO90" s="71">
        <v>1113</v>
      </c>
      <c r="BP90" s="24">
        <v>1125</v>
      </c>
      <c r="BQ90" s="24">
        <v>1433</v>
      </c>
      <c r="BR90" s="24">
        <v>1718</v>
      </c>
      <c r="BS90" s="24">
        <v>1897</v>
      </c>
      <c r="BT90" s="122"/>
      <c r="BU90" s="39">
        <v>44874</v>
      </c>
      <c r="BV90" s="39" t="s">
        <v>1511</v>
      </c>
      <c r="BW90" s="39" t="s">
        <v>2942</v>
      </c>
      <c r="BX90" s="39" t="s">
        <v>2943</v>
      </c>
      <c r="BY90" s="71">
        <v>680</v>
      </c>
      <c r="BZ90" s="71">
        <v>780</v>
      </c>
      <c r="CA90" s="71">
        <v>970</v>
      </c>
      <c r="CB90" s="71">
        <v>1280</v>
      </c>
      <c r="CC90" s="71">
        <v>1470</v>
      </c>
      <c r="CD90" s="25"/>
      <c r="CE90" s="200"/>
      <c r="CF90" s="200"/>
      <c r="CG90" s="200"/>
      <c r="CH90" s="200"/>
      <c r="CI90" s="200"/>
      <c r="CJ90" s="200"/>
      <c r="CK90" s="200"/>
      <c r="CL90" s="200"/>
      <c r="CM90" s="200"/>
      <c r="CN90" s="200"/>
      <c r="CO90" s="200"/>
      <c r="CP90" s="200"/>
      <c r="CQ90" s="20" t="s">
        <v>85</v>
      </c>
      <c r="CR90" s="236" t="s">
        <v>2481</v>
      </c>
      <c r="CS90" s="236" t="s">
        <v>3111</v>
      </c>
      <c r="CT90" s="200"/>
      <c r="CU90" s="200"/>
      <c r="CV90" s="20" t="s">
        <v>85</v>
      </c>
      <c r="CW90" s="20" t="s">
        <v>8</v>
      </c>
      <c r="CX90" s="25"/>
      <c r="CY90" s="20" t="s">
        <v>85</v>
      </c>
      <c r="CZ90" s="20">
        <v>18140</v>
      </c>
      <c r="DA90" s="37" t="s">
        <v>2830</v>
      </c>
      <c r="DB90" s="25"/>
      <c r="DC90" s="20" t="s">
        <v>85</v>
      </c>
      <c r="DD90" s="20">
        <v>0</v>
      </c>
      <c r="DE90" s="735">
        <v>0</v>
      </c>
      <c r="DF90" s="179">
        <v>53090</v>
      </c>
      <c r="DG90" s="179">
        <v>65293</v>
      </c>
      <c r="DH90" s="878">
        <f t="shared" si="22"/>
        <v>0.229854963269919</v>
      </c>
      <c r="DI90" s="606">
        <v>431.71294983280831</v>
      </c>
      <c r="DJ90" s="179">
        <f t="shared" si="18"/>
        <v>151.24169896985106</v>
      </c>
      <c r="DK90" s="37">
        <v>38.1</v>
      </c>
      <c r="DL90" s="236">
        <v>109506</v>
      </c>
      <c r="DM90" s="878">
        <v>5.0639991051311145E-2</v>
      </c>
      <c r="DN90" s="878">
        <v>2.4E-2</v>
      </c>
      <c r="DO90" s="878">
        <v>0</v>
      </c>
      <c r="DP90" s="878">
        <v>0.01</v>
      </c>
      <c r="DQ90" s="878">
        <v>0.20634177484571187</v>
      </c>
      <c r="DR90" s="878">
        <v>0.28981023102310233</v>
      </c>
      <c r="DS90" s="878">
        <v>0.86599999999999999</v>
      </c>
      <c r="DT90" s="878">
        <v>2.4E-2</v>
      </c>
      <c r="DU90" s="878">
        <v>1E-3</v>
      </c>
      <c r="DV90" s="878">
        <v>4.8000000000000001E-2</v>
      </c>
      <c r="DW90" s="878">
        <v>0</v>
      </c>
      <c r="DX90" s="878">
        <v>1.0999999999999999E-2</v>
      </c>
      <c r="DY90" s="878">
        <v>0.05</v>
      </c>
      <c r="DZ90" s="878">
        <v>2.9000000000000001E-2</v>
      </c>
      <c r="EA90" s="878">
        <v>0.85899999999999999</v>
      </c>
      <c r="EB90" s="25"/>
      <c r="EC90" s="25"/>
      <c r="ED90" s="25"/>
    </row>
    <row r="91" spans="1:134" s="17" customFormat="1" x14ac:dyDescent="0.2">
      <c r="A91" s="25"/>
      <c r="B91" s="20">
        <v>39049007426</v>
      </c>
      <c r="C91" s="20">
        <v>74.260000000000005</v>
      </c>
      <c r="D91" s="20" t="s">
        <v>31</v>
      </c>
      <c r="E91" s="20" t="s">
        <v>2830</v>
      </c>
      <c r="F91" s="20" t="s">
        <v>8</v>
      </c>
      <c r="G91" s="861">
        <v>79.936726911627105</v>
      </c>
      <c r="H91" s="861">
        <v>86.174895987360998</v>
      </c>
      <c r="I91" s="861">
        <v>30.393761066764601</v>
      </c>
      <c r="J91" s="861">
        <v>40.031389783002098</v>
      </c>
      <c r="K91" s="982">
        <v>0</v>
      </c>
      <c r="L91" s="735">
        <v>2815</v>
      </c>
      <c r="M91" s="735">
        <v>3682</v>
      </c>
      <c r="N91" s="845">
        <f t="shared" si="13"/>
        <v>0.30799289520426287</v>
      </c>
      <c r="O91" s="735">
        <v>1.054650787566743</v>
      </c>
      <c r="P91" s="735">
        <f t="shared" si="14"/>
        <v>3491.2030061580799</v>
      </c>
      <c r="Q91" s="849">
        <v>36.4</v>
      </c>
      <c r="R91" s="71">
        <v>104189</v>
      </c>
      <c r="S91" s="845">
        <v>6.0021727322107553E-2</v>
      </c>
      <c r="T91" s="845">
        <v>0</v>
      </c>
      <c r="U91" s="845">
        <v>5.4000000000000006E-2</v>
      </c>
      <c r="V91" s="845">
        <v>0</v>
      </c>
      <c r="W91" s="845">
        <v>0.4372267332916927</v>
      </c>
      <c r="X91" s="845">
        <v>0.32</v>
      </c>
      <c r="Y91" s="845">
        <v>0.88946224877783808</v>
      </c>
      <c r="Z91" s="845">
        <v>4.2096686583378597E-2</v>
      </c>
      <c r="AA91" s="845">
        <v>1.9011406844106464E-3</v>
      </c>
      <c r="AB91" s="845">
        <v>8.1477457903313417E-3</v>
      </c>
      <c r="AC91" s="845">
        <v>2.7159152634437804E-3</v>
      </c>
      <c r="AD91" s="845">
        <v>0</v>
      </c>
      <c r="AE91" s="845">
        <v>5.5676262900597503E-2</v>
      </c>
      <c r="AF91" s="845">
        <v>1.5480717001629549E-2</v>
      </c>
      <c r="AG91" s="845">
        <v>0.88674633351439436</v>
      </c>
      <c r="AH91" s="20" t="str">
        <f t="shared" si="15"/>
        <v>No</v>
      </c>
      <c r="AI91" s="25"/>
      <c r="AJ91" s="37">
        <v>44325</v>
      </c>
      <c r="AK91" s="37" t="s">
        <v>1312</v>
      </c>
      <c r="AL91" s="37">
        <v>39153</v>
      </c>
      <c r="AM91" s="37" t="s">
        <v>82</v>
      </c>
      <c r="AN91" s="37">
        <f t="shared" si="16"/>
        <v>10420</v>
      </c>
      <c r="AO91" s="37" t="str">
        <f t="shared" si="17"/>
        <v>Akron, OH</v>
      </c>
      <c r="AP91" s="37" t="s">
        <v>8</v>
      </c>
      <c r="AQ91" s="25"/>
      <c r="AR91" s="20" t="s">
        <v>86</v>
      </c>
      <c r="AS91" s="24">
        <v>30350</v>
      </c>
      <c r="AT91" s="24">
        <v>34700</v>
      </c>
      <c r="AU91" s="24">
        <v>39050</v>
      </c>
      <c r="AV91" s="24">
        <v>43350</v>
      </c>
      <c r="AW91" s="24">
        <v>46850</v>
      </c>
      <c r="AX91" s="24">
        <v>50300</v>
      </c>
      <c r="AY91" s="24">
        <v>53800</v>
      </c>
      <c r="AZ91" s="24">
        <v>57250</v>
      </c>
      <c r="BA91" s="29">
        <f t="shared" si="19"/>
        <v>32525</v>
      </c>
      <c r="BB91" s="29">
        <f t="shared" si="20"/>
        <v>45100</v>
      </c>
      <c r="BC91" s="29">
        <f t="shared" si="21"/>
        <v>55525</v>
      </c>
      <c r="BD91" s="25"/>
      <c r="BE91" s="25"/>
      <c r="BF91" s="25"/>
      <c r="BG91" s="25"/>
      <c r="BH91" s="25"/>
      <c r="BI91" s="25"/>
      <c r="BJ91" s="25"/>
      <c r="BK91" s="25"/>
      <c r="BL91" s="25"/>
      <c r="BM91" s="25"/>
      <c r="BN91" s="20" t="s">
        <v>86</v>
      </c>
      <c r="BO91" s="71">
        <v>724</v>
      </c>
      <c r="BP91" s="24">
        <v>762</v>
      </c>
      <c r="BQ91" s="24">
        <v>973</v>
      </c>
      <c r="BR91" s="24">
        <v>1218</v>
      </c>
      <c r="BS91" s="24">
        <v>1323</v>
      </c>
      <c r="BT91" s="122"/>
      <c r="BU91" s="39">
        <v>44003</v>
      </c>
      <c r="BV91" s="39" t="s">
        <v>1148</v>
      </c>
      <c r="BW91" s="39" t="s">
        <v>2919</v>
      </c>
      <c r="BX91" s="39" t="s">
        <v>2854</v>
      </c>
      <c r="BY91" s="71">
        <v>750</v>
      </c>
      <c r="BZ91" s="71">
        <v>880</v>
      </c>
      <c r="CA91" s="71">
        <v>1090</v>
      </c>
      <c r="CB91" s="71">
        <v>1320</v>
      </c>
      <c r="CC91" s="71">
        <v>1500</v>
      </c>
      <c r="CD91" s="25"/>
      <c r="CE91" s="200"/>
      <c r="CF91" s="200"/>
      <c r="CG91" s="200"/>
      <c r="CH91" s="200"/>
      <c r="CI91" s="200"/>
      <c r="CJ91" s="200"/>
      <c r="CK91" s="200"/>
      <c r="CL91" s="200"/>
      <c r="CM91" s="200"/>
      <c r="CN91" s="200"/>
      <c r="CO91" s="200"/>
      <c r="CP91" s="200"/>
      <c r="CQ91" s="20" t="s">
        <v>86</v>
      </c>
      <c r="CR91" s="236" t="s">
        <v>292</v>
      </c>
      <c r="CS91" s="236" t="s">
        <v>3108</v>
      </c>
      <c r="CT91" s="200"/>
      <c r="CU91" s="200"/>
      <c r="CV91" s="20" t="s">
        <v>86</v>
      </c>
      <c r="CW91" s="20" t="s">
        <v>8</v>
      </c>
      <c r="CX91" s="25"/>
      <c r="CY91" s="20" t="s">
        <v>86</v>
      </c>
      <c r="CZ91" s="20" t="s">
        <v>265</v>
      </c>
      <c r="DA91" s="37" t="s">
        <v>265</v>
      </c>
      <c r="DB91" s="25"/>
      <c r="DC91" s="20" t="s">
        <v>86</v>
      </c>
      <c r="DD91" s="20">
        <v>0</v>
      </c>
      <c r="DE91" s="735">
        <v>0</v>
      </c>
      <c r="DF91" s="179">
        <v>28612</v>
      </c>
      <c r="DG91" s="179">
        <v>28824</v>
      </c>
      <c r="DH91" s="878">
        <f t="shared" si="22"/>
        <v>7.4094785404725293E-3</v>
      </c>
      <c r="DI91" s="606">
        <v>409.14969991889268</v>
      </c>
      <c r="DJ91" s="179">
        <f t="shared" si="18"/>
        <v>70.448542442323415</v>
      </c>
      <c r="DK91" s="37">
        <v>41.4</v>
      </c>
      <c r="DL91" s="236">
        <v>65344</v>
      </c>
      <c r="DM91" s="878">
        <v>9.5167860654586323E-2</v>
      </c>
      <c r="DN91" s="878">
        <v>3.6999999999999998E-2</v>
      </c>
      <c r="DO91" s="878">
        <v>3.0000000000000001E-3</v>
      </c>
      <c r="DP91" s="878">
        <v>1.2E-2</v>
      </c>
      <c r="DQ91" s="878">
        <v>0.19388893657196807</v>
      </c>
      <c r="DR91" s="878">
        <v>0.32757857459052681</v>
      </c>
      <c r="DS91" s="878">
        <v>0.93899999999999995</v>
      </c>
      <c r="DT91" s="878">
        <v>7.0000000000000001E-3</v>
      </c>
      <c r="DU91" s="878">
        <v>1E-3</v>
      </c>
      <c r="DV91" s="878">
        <v>4.0000000000000001E-3</v>
      </c>
      <c r="DW91" s="878">
        <v>0</v>
      </c>
      <c r="DX91" s="878">
        <v>0.01</v>
      </c>
      <c r="DY91" s="878">
        <v>3.9E-2</v>
      </c>
      <c r="DZ91" s="878">
        <v>3.9E-2</v>
      </c>
      <c r="EA91" s="878">
        <v>0.92400000000000004</v>
      </c>
      <c r="EB91" s="25"/>
      <c r="EC91" s="25"/>
      <c r="ED91" s="25"/>
    </row>
    <row r="92" spans="1:134" s="17" customFormat="1" x14ac:dyDescent="0.2">
      <c r="A92" s="25"/>
      <c r="B92" s="20">
        <v>39061024001</v>
      </c>
      <c r="C92" s="20">
        <v>240.01</v>
      </c>
      <c r="D92" s="20" t="s">
        <v>37</v>
      </c>
      <c r="E92" s="20" t="s">
        <v>2828</v>
      </c>
      <c r="F92" s="20" t="s">
        <v>8</v>
      </c>
      <c r="G92" s="861">
        <v>79.741749646984204</v>
      </c>
      <c r="H92" s="861">
        <v>62.476514024970797</v>
      </c>
      <c r="I92" s="861">
        <v>42.858914045801797</v>
      </c>
      <c r="J92" s="861">
        <v>33.223036942461803</v>
      </c>
      <c r="K92" s="982">
        <v>0</v>
      </c>
      <c r="L92" s="735">
        <v>5071</v>
      </c>
      <c r="M92" s="735">
        <v>5629</v>
      </c>
      <c r="N92" s="845">
        <f t="shared" si="13"/>
        <v>0.11003746795503845</v>
      </c>
      <c r="O92" s="735">
        <v>1.5087837604011241</v>
      </c>
      <c r="P92" s="735">
        <f t="shared" si="14"/>
        <v>3730.8195831213602</v>
      </c>
      <c r="Q92" s="849">
        <v>46.8</v>
      </c>
      <c r="R92" s="71">
        <v>92000</v>
      </c>
      <c r="S92" s="845">
        <v>8.3621159789129249E-2</v>
      </c>
      <c r="T92" s="845">
        <v>9.0999999999999998E-2</v>
      </c>
      <c r="U92" s="845">
        <v>0</v>
      </c>
      <c r="V92" s="845">
        <v>4.4000000000000004E-2</v>
      </c>
      <c r="W92" s="845">
        <v>0.37461180124223603</v>
      </c>
      <c r="X92" s="845">
        <v>0.31191709844559584</v>
      </c>
      <c r="Y92" s="845">
        <v>0.6764967134482146</v>
      </c>
      <c r="Z92" s="845">
        <v>9.8418902114052229E-2</v>
      </c>
      <c r="AA92" s="845">
        <v>0</v>
      </c>
      <c r="AB92" s="845">
        <v>5.4894297388523715E-2</v>
      </c>
      <c r="AC92" s="845">
        <v>0</v>
      </c>
      <c r="AD92" s="845">
        <v>7.9410197193107129E-2</v>
      </c>
      <c r="AE92" s="845">
        <v>9.077988985610233E-2</v>
      </c>
      <c r="AF92" s="845">
        <v>0.12844199680227394</v>
      </c>
      <c r="AG92" s="845">
        <v>0.6764967134482146</v>
      </c>
      <c r="AH92" s="20" t="str">
        <f t="shared" si="15"/>
        <v>No</v>
      </c>
      <c r="AI92" s="25"/>
      <c r="AJ92" s="37">
        <v>44333</v>
      </c>
      <c r="AK92" s="37" t="s">
        <v>1313</v>
      </c>
      <c r="AL92" s="37">
        <v>39153</v>
      </c>
      <c r="AM92" s="37" t="s">
        <v>82</v>
      </c>
      <c r="AN92" s="37">
        <f t="shared" si="16"/>
        <v>10420</v>
      </c>
      <c r="AO92" s="37" t="str">
        <f t="shared" si="17"/>
        <v>Akron, OH</v>
      </c>
      <c r="AP92" s="37" t="s">
        <v>8</v>
      </c>
      <c r="AQ92" s="25"/>
      <c r="AR92" s="20" t="s">
        <v>87</v>
      </c>
      <c r="AS92" s="24">
        <v>29850</v>
      </c>
      <c r="AT92" s="24">
        <v>34100</v>
      </c>
      <c r="AU92" s="24">
        <v>38350</v>
      </c>
      <c r="AV92" s="24">
        <v>42600</v>
      </c>
      <c r="AW92" s="24">
        <v>46050</v>
      </c>
      <c r="AX92" s="24">
        <v>49450</v>
      </c>
      <c r="AY92" s="24">
        <v>52850</v>
      </c>
      <c r="AZ92" s="24">
        <v>56250</v>
      </c>
      <c r="BA92" s="29">
        <f t="shared" si="19"/>
        <v>31975</v>
      </c>
      <c r="BB92" s="29">
        <f t="shared" si="20"/>
        <v>44325</v>
      </c>
      <c r="BC92" s="29">
        <f t="shared" si="21"/>
        <v>54550</v>
      </c>
      <c r="BD92" s="25"/>
      <c r="BE92" s="25"/>
      <c r="BF92" s="25"/>
      <c r="BG92" s="25"/>
      <c r="BH92" s="25"/>
      <c r="BI92" s="25"/>
      <c r="BJ92" s="25"/>
      <c r="BK92" s="25"/>
      <c r="BL92" s="25"/>
      <c r="BM92" s="25"/>
      <c r="BN92" s="20" t="s">
        <v>87</v>
      </c>
      <c r="BO92" s="71">
        <v>736</v>
      </c>
      <c r="BP92" s="24">
        <v>792</v>
      </c>
      <c r="BQ92" s="24">
        <v>973</v>
      </c>
      <c r="BR92" s="24">
        <v>1167</v>
      </c>
      <c r="BS92" s="24">
        <v>1372</v>
      </c>
      <c r="BT92" s="122"/>
      <c r="BU92" s="39">
        <v>44004</v>
      </c>
      <c r="BV92" s="39" t="s">
        <v>1149</v>
      </c>
      <c r="BW92" s="39" t="s">
        <v>2919</v>
      </c>
      <c r="BX92" s="39" t="s">
        <v>2854</v>
      </c>
      <c r="BY92" s="71">
        <v>690</v>
      </c>
      <c r="BZ92" s="71">
        <v>810</v>
      </c>
      <c r="CA92" s="71">
        <v>1000</v>
      </c>
      <c r="CB92" s="71">
        <v>1210</v>
      </c>
      <c r="CC92" s="71">
        <v>1380</v>
      </c>
      <c r="CD92" s="25"/>
      <c r="CE92" s="200"/>
      <c r="CF92" s="200"/>
      <c r="CG92" s="200"/>
      <c r="CH92" s="200"/>
      <c r="CI92" s="200"/>
      <c r="CJ92" s="200"/>
      <c r="CK92" s="200"/>
      <c r="CL92" s="200"/>
      <c r="CM92" s="200"/>
      <c r="CN92" s="200"/>
      <c r="CO92" s="200"/>
      <c r="CP92" s="200"/>
      <c r="CQ92" s="20" t="s">
        <v>87</v>
      </c>
      <c r="CR92" s="236" t="s">
        <v>292</v>
      </c>
      <c r="CS92" s="236" t="s">
        <v>3110</v>
      </c>
      <c r="CT92" s="200"/>
      <c r="CU92" s="200"/>
      <c r="CV92" s="20" t="s">
        <v>87</v>
      </c>
      <c r="CW92" s="20" t="s">
        <v>6</v>
      </c>
      <c r="CX92" s="25"/>
      <c r="CY92" s="20" t="s">
        <v>87</v>
      </c>
      <c r="CZ92" s="20" t="s">
        <v>265</v>
      </c>
      <c r="DA92" s="37" t="s">
        <v>265</v>
      </c>
      <c r="DB92" s="25"/>
      <c r="DC92" s="20" t="s">
        <v>87</v>
      </c>
      <c r="DD92" s="20">
        <v>0</v>
      </c>
      <c r="DE92" s="735">
        <v>0</v>
      </c>
      <c r="DF92" s="179">
        <v>13319</v>
      </c>
      <c r="DG92" s="179">
        <v>12686</v>
      </c>
      <c r="DH92" s="878">
        <f t="shared" si="22"/>
        <v>-4.752609054733839E-2</v>
      </c>
      <c r="DI92" s="606">
        <v>412.36025905925879</v>
      </c>
      <c r="DJ92" s="179">
        <f t="shared" si="18"/>
        <v>30.764361311008248</v>
      </c>
      <c r="DK92" s="37">
        <v>43.5</v>
      </c>
      <c r="DL92" s="236">
        <v>53813</v>
      </c>
      <c r="DM92" s="878">
        <v>0.16717495987158909</v>
      </c>
      <c r="DN92" s="878">
        <v>3.5999999999999997E-2</v>
      </c>
      <c r="DO92" s="878">
        <v>1.7000000000000001E-2</v>
      </c>
      <c r="DP92" s="878">
        <v>2.6000000000000002E-2</v>
      </c>
      <c r="DQ92" s="878">
        <v>0.24837227116047492</v>
      </c>
      <c r="DR92" s="878">
        <v>0.25289128758673862</v>
      </c>
      <c r="DS92" s="878">
        <v>0.96199999999999997</v>
      </c>
      <c r="DT92" s="878">
        <v>6.0000000000000001E-3</v>
      </c>
      <c r="DU92" s="878">
        <v>0</v>
      </c>
      <c r="DV92" s="878">
        <v>0</v>
      </c>
      <c r="DW92" s="878">
        <v>0</v>
      </c>
      <c r="DX92" s="878">
        <v>0</v>
      </c>
      <c r="DY92" s="878">
        <v>3.2000000000000001E-2</v>
      </c>
      <c r="DZ92" s="878">
        <v>1E-3</v>
      </c>
      <c r="EA92" s="878">
        <v>0.96099999999999997</v>
      </c>
      <c r="EB92" s="25"/>
      <c r="EC92" s="25"/>
      <c r="ED92" s="25"/>
    </row>
    <row r="93" spans="1:134" s="17" customFormat="1" x14ac:dyDescent="0.2">
      <c r="A93" s="25"/>
      <c r="B93" s="20">
        <v>39061023901</v>
      </c>
      <c r="C93" s="20">
        <v>239.01</v>
      </c>
      <c r="D93" s="20" t="s">
        <v>37</v>
      </c>
      <c r="E93" s="20" t="s">
        <v>2828</v>
      </c>
      <c r="F93" s="20" t="s">
        <v>8</v>
      </c>
      <c r="G93" s="861">
        <v>79.738370498076904</v>
      </c>
      <c r="H93" s="861">
        <v>80.267279290637305</v>
      </c>
      <c r="I93" s="861">
        <v>40.4791215083564</v>
      </c>
      <c r="J93" s="861">
        <v>40.930828182389298</v>
      </c>
      <c r="K93" s="982">
        <v>0</v>
      </c>
      <c r="L93" s="735">
        <v>4804</v>
      </c>
      <c r="M93" s="735">
        <v>4324</v>
      </c>
      <c r="N93" s="845">
        <f t="shared" si="13"/>
        <v>-9.9916736053288921E-2</v>
      </c>
      <c r="O93" s="735">
        <v>1.8012881920141326</v>
      </c>
      <c r="P93" s="735">
        <f t="shared" si="14"/>
        <v>2400.5042719816347</v>
      </c>
      <c r="Q93" s="849">
        <v>45.5</v>
      </c>
      <c r="R93" s="71">
        <v>106324</v>
      </c>
      <c r="S93" s="845">
        <v>3.4936587700406793E-2</v>
      </c>
      <c r="T93" s="845">
        <v>4.4999999999999998E-2</v>
      </c>
      <c r="U93" s="845">
        <v>0</v>
      </c>
      <c r="V93" s="845">
        <v>0</v>
      </c>
      <c r="W93" s="845">
        <v>0.29144942648592281</v>
      </c>
      <c r="X93" s="845">
        <v>0.45617173524150267</v>
      </c>
      <c r="Y93" s="845">
        <v>0.75439407955596671</v>
      </c>
      <c r="Z93" s="845">
        <v>0.10476410730804811</v>
      </c>
      <c r="AA93" s="845">
        <v>2.7752081406105457E-3</v>
      </c>
      <c r="AB93" s="845">
        <v>8.6493987049028678E-2</v>
      </c>
      <c r="AC93" s="845">
        <v>0</v>
      </c>
      <c r="AD93" s="845">
        <v>6.4754856614246065E-3</v>
      </c>
      <c r="AE93" s="845">
        <v>4.5097132284921369E-2</v>
      </c>
      <c r="AF93" s="845">
        <v>3.7465309898242372E-2</v>
      </c>
      <c r="AG93" s="845">
        <v>0.73751156336725254</v>
      </c>
      <c r="AH93" s="20" t="str">
        <f t="shared" si="15"/>
        <v>No</v>
      </c>
      <c r="AI93" s="25"/>
      <c r="AJ93" s="37">
        <v>44614</v>
      </c>
      <c r="AK93" s="37" t="s">
        <v>1388</v>
      </c>
      <c r="AL93" s="37">
        <v>39153</v>
      </c>
      <c r="AM93" s="37" t="s">
        <v>82</v>
      </c>
      <c r="AN93" s="37">
        <f t="shared" si="16"/>
        <v>10420</v>
      </c>
      <c r="AO93" s="37" t="str">
        <f t="shared" si="17"/>
        <v>Akron, OH</v>
      </c>
      <c r="AP93" s="37" t="s">
        <v>8</v>
      </c>
      <c r="AQ93" s="25"/>
      <c r="AR93" s="20" t="s">
        <v>88</v>
      </c>
      <c r="AS93" s="24">
        <v>39150</v>
      </c>
      <c r="AT93" s="24">
        <v>44750</v>
      </c>
      <c r="AU93" s="24">
        <v>50350</v>
      </c>
      <c r="AV93" s="24">
        <v>55900</v>
      </c>
      <c r="AW93" s="24">
        <v>60400</v>
      </c>
      <c r="AX93" s="24">
        <v>64850</v>
      </c>
      <c r="AY93" s="24">
        <v>69350</v>
      </c>
      <c r="AZ93" s="24">
        <v>73800</v>
      </c>
      <c r="BA93" s="29">
        <f t="shared" si="19"/>
        <v>41950</v>
      </c>
      <c r="BB93" s="29">
        <f t="shared" si="20"/>
        <v>58150</v>
      </c>
      <c r="BC93" s="29">
        <f t="shared" si="21"/>
        <v>71575</v>
      </c>
      <c r="BD93" s="25"/>
      <c r="BE93" s="25"/>
      <c r="BF93" s="25"/>
      <c r="BG93" s="25"/>
      <c r="BH93" s="25"/>
      <c r="BI93" s="25"/>
      <c r="BJ93" s="25"/>
      <c r="BK93" s="25"/>
      <c r="BL93" s="25"/>
      <c r="BM93" s="25"/>
      <c r="BN93" s="20" t="s">
        <v>88</v>
      </c>
      <c r="BO93" s="71">
        <v>958</v>
      </c>
      <c r="BP93" s="24">
        <v>1051</v>
      </c>
      <c r="BQ93" s="24">
        <v>1353</v>
      </c>
      <c r="BR93" s="24">
        <v>1785</v>
      </c>
      <c r="BS93" s="24">
        <v>1976</v>
      </c>
      <c r="BT93" s="122"/>
      <c r="BU93" s="39">
        <v>44010</v>
      </c>
      <c r="BV93" s="39" t="s">
        <v>1150</v>
      </c>
      <c r="BW93" s="39" t="s">
        <v>2919</v>
      </c>
      <c r="BX93" s="39" t="s">
        <v>2854</v>
      </c>
      <c r="BY93" s="71">
        <v>740</v>
      </c>
      <c r="BZ93" s="71">
        <v>870</v>
      </c>
      <c r="CA93" s="71">
        <v>1080</v>
      </c>
      <c r="CB93" s="71">
        <v>1310</v>
      </c>
      <c r="CC93" s="71">
        <v>1480</v>
      </c>
      <c r="CD93" s="25"/>
      <c r="CE93" s="200"/>
      <c r="CF93" s="200"/>
      <c r="CG93" s="200"/>
      <c r="CH93" s="200"/>
      <c r="CI93" s="200"/>
      <c r="CJ93" s="200"/>
      <c r="CK93" s="200"/>
      <c r="CL93" s="200"/>
      <c r="CM93" s="200"/>
      <c r="CN93" s="200"/>
      <c r="CO93" s="200"/>
      <c r="CP93" s="200"/>
      <c r="CQ93" s="20" t="s">
        <v>88</v>
      </c>
      <c r="CR93" s="236" t="s">
        <v>2481</v>
      </c>
      <c r="CS93" s="236" t="s">
        <v>3107</v>
      </c>
      <c r="CT93" s="200"/>
      <c r="CU93" s="200"/>
      <c r="CV93" s="20" t="s">
        <v>88</v>
      </c>
      <c r="CW93" s="20" t="s">
        <v>8</v>
      </c>
      <c r="CX93" s="25"/>
      <c r="CY93" s="20" t="s">
        <v>88</v>
      </c>
      <c r="CZ93" s="20">
        <v>17140</v>
      </c>
      <c r="DA93" s="37" t="s">
        <v>2828</v>
      </c>
      <c r="DB93" s="25"/>
      <c r="DC93" s="20" t="s">
        <v>88</v>
      </c>
      <c r="DD93" s="20">
        <v>3</v>
      </c>
      <c r="DE93" s="735">
        <v>252</v>
      </c>
      <c r="DF93" s="179">
        <v>217623</v>
      </c>
      <c r="DG93" s="179">
        <v>246364</v>
      </c>
      <c r="DH93" s="878">
        <f t="shared" si="22"/>
        <v>0.13206784209389633</v>
      </c>
      <c r="DI93" s="606">
        <v>401.41469336706723</v>
      </c>
      <c r="DJ93" s="179">
        <f t="shared" si="18"/>
        <v>613.73936746933271</v>
      </c>
      <c r="DK93" s="37">
        <v>39.799999999999997</v>
      </c>
      <c r="DL93" s="236">
        <v>107843</v>
      </c>
      <c r="DM93" s="878">
        <v>5.420587230283281E-2</v>
      </c>
      <c r="DN93" s="878">
        <v>3.1E-2</v>
      </c>
      <c r="DO93" s="878">
        <v>4.0000000000000001E-3</v>
      </c>
      <c r="DP93" s="878">
        <v>6.0999999999999999E-2</v>
      </c>
      <c r="DQ93" s="878">
        <v>0.20403597377281588</v>
      </c>
      <c r="DR93" s="878">
        <v>0.34399088046900445</v>
      </c>
      <c r="DS93" s="878">
        <v>0.83699999999999997</v>
      </c>
      <c r="DT93" s="878">
        <v>3.4000000000000002E-2</v>
      </c>
      <c r="DU93" s="878">
        <v>1E-3</v>
      </c>
      <c r="DV93" s="878">
        <v>6.8000000000000005E-2</v>
      </c>
      <c r="DW93" s="878">
        <v>0</v>
      </c>
      <c r="DX93" s="878">
        <v>1.7000000000000001E-2</v>
      </c>
      <c r="DY93" s="878">
        <v>4.2999999999999997E-2</v>
      </c>
      <c r="DZ93" s="878">
        <v>3.3000000000000002E-2</v>
      </c>
      <c r="EA93" s="878">
        <v>0.82699999999999996</v>
      </c>
      <c r="EB93" s="25"/>
      <c r="EC93" s="25"/>
      <c r="ED93" s="25"/>
    </row>
    <row r="94" spans="1:134" s="17" customFormat="1" x14ac:dyDescent="0.2">
      <c r="A94" s="25"/>
      <c r="B94" s="20">
        <v>39165030504</v>
      </c>
      <c r="C94" s="20">
        <v>305.04000000000002</v>
      </c>
      <c r="D94" s="20" t="s">
        <v>88</v>
      </c>
      <c r="E94" s="20" t="s">
        <v>2828</v>
      </c>
      <c r="F94" s="20" t="s">
        <v>8</v>
      </c>
      <c r="G94" s="861">
        <v>79.627774622990401</v>
      </c>
      <c r="H94" s="861">
        <v>71.442746975366305</v>
      </c>
      <c r="I94" s="861">
        <v>20.590208402318101</v>
      </c>
      <c r="J94" s="861">
        <v>55.700345684384999</v>
      </c>
      <c r="K94" s="982">
        <v>0</v>
      </c>
      <c r="L94" s="735">
        <v>4936</v>
      </c>
      <c r="M94" s="735">
        <v>5630</v>
      </c>
      <c r="N94" s="845">
        <f t="shared" si="13"/>
        <v>0.14059967585089142</v>
      </c>
      <c r="O94" s="735">
        <v>3.1558059932560849</v>
      </c>
      <c r="P94" s="735">
        <f t="shared" si="14"/>
        <v>1784.0133430354192</v>
      </c>
      <c r="Q94" s="849">
        <v>35.799999999999997</v>
      </c>
      <c r="R94" s="71">
        <v>151458</v>
      </c>
      <c r="S94" s="845">
        <v>2.7580071174377226E-2</v>
      </c>
      <c r="T94" s="845">
        <v>1.1000000000000001E-2</v>
      </c>
      <c r="U94" s="845">
        <v>0</v>
      </c>
      <c r="V94" s="845">
        <v>0</v>
      </c>
      <c r="W94" s="845">
        <v>7.8787878787878782E-2</v>
      </c>
      <c r="X94" s="845">
        <v>0.16783216783216784</v>
      </c>
      <c r="Y94" s="845">
        <v>0.88685612788632329</v>
      </c>
      <c r="Z94" s="845">
        <v>5.0976909413854354E-2</v>
      </c>
      <c r="AA94" s="845">
        <v>5.3285968028419183E-4</v>
      </c>
      <c r="AB94" s="845">
        <v>2.7531083481349913E-2</v>
      </c>
      <c r="AC94" s="845">
        <v>0</v>
      </c>
      <c r="AD94" s="845">
        <v>0</v>
      </c>
      <c r="AE94" s="845">
        <v>3.4103019538188277E-2</v>
      </c>
      <c r="AF94" s="845">
        <v>1.7584369449378329E-2</v>
      </c>
      <c r="AG94" s="845">
        <v>0.87744227353463589</v>
      </c>
      <c r="AH94" s="20" t="str">
        <f t="shared" si="15"/>
        <v>No</v>
      </c>
      <c r="AI94" s="25"/>
      <c r="AJ94" s="37">
        <v>44645</v>
      </c>
      <c r="AK94" s="37" t="s">
        <v>1412</v>
      </c>
      <c r="AL94" s="37">
        <v>39153</v>
      </c>
      <c r="AM94" s="37" t="s">
        <v>82</v>
      </c>
      <c r="AN94" s="37">
        <f t="shared" si="16"/>
        <v>10420</v>
      </c>
      <c r="AO94" s="37" t="str">
        <f t="shared" si="17"/>
        <v>Akron, OH</v>
      </c>
      <c r="AP94" s="37" t="s">
        <v>8</v>
      </c>
      <c r="AQ94" s="25"/>
      <c r="AR94" s="20" t="s">
        <v>89</v>
      </c>
      <c r="AS94" s="24">
        <v>29850</v>
      </c>
      <c r="AT94" s="24">
        <v>34100</v>
      </c>
      <c r="AU94" s="24">
        <v>38350</v>
      </c>
      <c r="AV94" s="24">
        <v>42600</v>
      </c>
      <c r="AW94" s="24">
        <v>46050</v>
      </c>
      <c r="AX94" s="24">
        <v>49450</v>
      </c>
      <c r="AY94" s="24">
        <v>52850</v>
      </c>
      <c r="AZ94" s="24">
        <v>56250</v>
      </c>
      <c r="BA94" s="29">
        <f t="shared" si="19"/>
        <v>31975</v>
      </c>
      <c r="BB94" s="29">
        <f t="shared" si="20"/>
        <v>44325</v>
      </c>
      <c r="BC94" s="29">
        <f t="shared" si="21"/>
        <v>54550</v>
      </c>
      <c r="BD94" s="25"/>
      <c r="BE94" s="25"/>
      <c r="BF94" s="25"/>
      <c r="BG94" s="25"/>
      <c r="BH94" s="25"/>
      <c r="BI94" s="25"/>
      <c r="BJ94" s="25"/>
      <c r="BK94" s="25"/>
      <c r="BL94" s="25"/>
      <c r="BM94" s="25"/>
      <c r="BN94" s="20" t="s">
        <v>89</v>
      </c>
      <c r="BO94" s="71">
        <v>756</v>
      </c>
      <c r="BP94" s="24">
        <v>760</v>
      </c>
      <c r="BQ94" s="24">
        <v>973</v>
      </c>
      <c r="BR94" s="24">
        <v>1313</v>
      </c>
      <c r="BS94" s="24">
        <v>1449</v>
      </c>
      <c r="BT94" s="122"/>
      <c r="BU94" s="39">
        <v>44030</v>
      </c>
      <c r="BV94" s="39" t="s">
        <v>1160</v>
      </c>
      <c r="BW94" s="39" t="s">
        <v>2919</v>
      </c>
      <c r="BX94" s="39" t="s">
        <v>2854</v>
      </c>
      <c r="BY94" s="71">
        <v>670</v>
      </c>
      <c r="BZ94" s="71">
        <v>790</v>
      </c>
      <c r="CA94" s="71">
        <v>970</v>
      </c>
      <c r="CB94" s="71">
        <v>1180</v>
      </c>
      <c r="CC94" s="71">
        <v>1340</v>
      </c>
      <c r="CD94" s="25"/>
      <c r="CE94" s="200"/>
      <c r="CF94" s="200"/>
      <c r="CG94" s="200"/>
      <c r="CH94" s="200"/>
      <c r="CI94" s="200"/>
      <c r="CJ94" s="200"/>
      <c r="CK94" s="200"/>
      <c r="CL94" s="200"/>
      <c r="CM94" s="200"/>
      <c r="CN94" s="200"/>
      <c r="CO94" s="200"/>
      <c r="CP94" s="200"/>
      <c r="CQ94" s="20" t="s">
        <v>89</v>
      </c>
      <c r="CR94" s="236" t="s">
        <v>292</v>
      </c>
      <c r="CS94" s="236" t="s">
        <v>3110</v>
      </c>
      <c r="CT94" s="200"/>
      <c r="CU94" s="200"/>
      <c r="CV94" s="20" t="s">
        <v>89</v>
      </c>
      <c r="CW94" s="20" t="s">
        <v>6</v>
      </c>
      <c r="CX94" s="25"/>
      <c r="CY94" s="20" t="s">
        <v>89</v>
      </c>
      <c r="CZ94" s="20" t="s">
        <v>265</v>
      </c>
      <c r="DA94" s="37" t="s">
        <v>265</v>
      </c>
      <c r="DB94" s="25"/>
      <c r="DC94" s="20" t="s">
        <v>89</v>
      </c>
      <c r="DD94" s="20">
        <v>1</v>
      </c>
      <c r="DE94" s="735">
        <v>110</v>
      </c>
      <c r="DF94" s="179">
        <v>61473</v>
      </c>
      <c r="DG94" s="179">
        <v>59318</v>
      </c>
      <c r="DH94" s="878">
        <f t="shared" si="22"/>
        <v>-3.5056040863468516E-2</v>
      </c>
      <c r="DI94" s="606">
        <v>632.16242718581441</v>
      </c>
      <c r="DJ94" s="179">
        <f t="shared" si="18"/>
        <v>93.833479259539075</v>
      </c>
      <c r="DK94" s="37">
        <v>44.1</v>
      </c>
      <c r="DL94" s="236">
        <v>61355</v>
      </c>
      <c r="DM94" s="878">
        <v>0.12887501084222397</v>
      </c>
      <c r="DN94" s="878">
        <v>4.5999999999999999E-2</v>
      </c>
      <c r="DO94" s="878">
        <v>1.3999999999999999E-2</v>
      </c>
      <c r="DP94" s="878">
        <v>4.4999999999999998E-2</v>
      </c>
      <c r="DQ94" s="878">
        <v>0.2518583999678547</v>
      </c>
      <c r="DR94" s="878">
        <v>0.41767708998085512</v>
      </c>
      <c r="DS94" s="878">
        <v>0.94399999999999995</v>
      </c>
      <c r="DT94" s="878">
        <v>1.2E-2</v>
      </c>
      <c r="DU94" s="878">
        <v>2E-3</v>
      </c>
      <c r="DV94" s="878">
        <v>7.0000000000000001E-3</v>
      </c>
      <c r="DW94" s="878">
        <v>0</v>
      </c>
      <c r="DX94" s="878">
        <v>7.0000000000000001E-3</v>
      </c>
      <c r="DY94" s="878">
        <v>2.9000000000000001E-2</v>
      </c>
      <c r="DZ94" s="878">
        <v>1.2E-2</v>
      </c>
      <c r="EA94" s="878">
        <v>0.93799999999999994</v>
      </c>
      <c r="EB94" s="25"/>
      <c r="EC94" s="25"/>
      <c r="ED94" s="25"/>
    </row>
    <row r="95" spans="1:134" s="17" customFormat="1" x14ac:dyDescent="0.2">
      <c r="A95" s="25"/>
      <c r="B95" s="20">
        <v>39061025001</v>
      </c>
      <c r="C95" s="20">
        <v>250.01</v>
      </c>
      <c r="D95" s="20" t="s">
        <v>37</v>
      </c>
      <c r="E95" s="20" t="s">
        <v>2828</v>
      </c>
      <c r="F95" s="20" t="s">
        <v>8</v>
      </c>
      <c r="G95" s="861">
        <v>79.481304446747899</v>
      </c>
      <c r="H95" s="861">
        <v>69.325631341521103</v>
      </c>
      <c r="I95" s="861">
        <v>22.948173409334</v>
      </c>
      <c r="J95" s="861">
        <v>49.688083861355899</v>
      </c>
      <c r="K95" s="982">
        <v>0</v>
      </c>
      <c r="L95" s="735">
        <v>6155</v>
      </c>
      <c r="M95" s="735">
        <v>6915</v>
      </c>
      <c r="N95" s="845">
        <f t="shared" si="13"/>
        <v>0.12347684809098294</v>
      </c>
      <c r="O95" s="735">
        <v>2.2873572187943365</v>
      </c>
      <c r="P95" s="735">
        <f t="shared" si="14"/>
        <v>3023.1395180350924</v>
      </c>
      <c r="Q95" s="849">
        <v>41.7</v>
      </c>
      <c r="R95" s="71">
        <v>103782</v>
      </c>
      <c r="S95" s="845">
        <v>3.9430773791876671E-2</v>
      </c>
      <c r="T95" s="845">
        <v>4.2999999999999997E-2</v>
      </c>
      <c r="U95" s="845">
        <v>0</v>
      </c>
      <c r="V95" s="845">
        <v>0</v>
      </c>
      <c r="W95" s="845">
        <v>8.7642097543087646E-2</v>
      </c>
      <c r="X95" s="845">
        <v>0.43514644351464438</v>
      </c>
      <c r="Y95" s="845">
        <v>0.85639913232104126</v>
      </c>
      <c r="Z95" s="845">
        <v>5.5676066522053508E-2</v>
      </c>
      <c r="AA95" s="845">
        <v>0</v>
      </c>
      <c r="AB95" s="845">
        <v>4.2660882140274768E-2</v>
      </c>
      <c r="AC95" s="845">
        <v>6.9414316702819953E-3</v>
      </c>
      <c r="AD95" s="845">
        <v>8.0983369486623286E-3</v>
      </c>
      <c r="AE95" s="845">
        <v>3.0224150397686188E-2</v>
      </c>
      <c r="AF95" s="845">
        <v>3.8611713665943598E-2</v>
      </c>
      <c r="AG95" s="845">
        <v>0.85191612436731745</v>
      </c>
      <c r="AH95" s="20" t="str">
        <f t="shared" si="15"/>
        <v>No</v>
      </c>
      <c r="AI95" s="25"/>
      <c r="AJ95" s="37">
        <v>44685</v>
      </c>
      <c r="AK95" s="37" t="s">
        <v>1441</v>
      </c>
      <c r="AL95" s="37">
        <v>39153</v>
      </c>
      <c r="AM95" s="37" t="s">
        <v>82</v>
      </c>
      <c r="AN95" s="37">
        <f t="shared" si="16"/>
        <v>10420</v>
      </c>
      <c r="AO95" s="37" t="str">
        <f t="shared" si="17"/>
        <v>Akron, OH</v>
      </c>
      <c r="AP95" s="37" t="s">
        <v>8</v>
      </c>
      <c r="AQ95" s="25"/>
      <c r="AR95" s="20" t="s">
        <v>90</v>
      </c>
      <c r="AS95" s="24">
        <v>31350</v>
      </c>
      <c r="AT95" s="24">
        <v>35800</v>
      </c>
      <c r="AU95" s="24">
        <v>40300</v>
      </c>
      <c r="AV95" s="24">
        <v>44750</v>
      </c>
      <c r="AW95" s="24">
        <v>48350</v>
      </c>
      <c r="AX95" s="24">
        <v>51950</v>
      </c>
      <c r="AY95" s="24">
        <v>55500</v>
      </c>
      <c r="AZ95" s="24">
        <v>59100</v>
      </c>
      <c r="BA95" s="29">
        <f t="shared" si="19"/>
        <v>33575</v>
      </c>
      <c r="BB95" s="29">
        <f t="shared" si="20"/>
        <v>46550</v>
      </c>
      <c r="BC95" s="29">
        <f t="shared" si="21"/>
        <v>57300</v>
      </c>
      <c r="BD95" s="25"/>
      <c r="BE95" s="25"/>
      <c r="BF95" s="25"/>
      <c r="BG95" s="25"/>
      <c r="BH95" s="25"/>
      <c r="BI95" s="25"/>
      <c r="BJ95" s="25"/>
      <c r="BK95" s="25"/>
      <c r="BL95" s="25"/>
      <c r="BM95" s="25"/>
      <c r="BN95" s="20" t="s">
        <v>90</v>
      </c>
      <c r="BO95" s="71">
        <v>718</v>
      </c>
      <c r="BP95" s="24">
        <v>816</v>
      </c>
      <c r="BQ95" s="24">
        <v>1041</v>
      </c>
      <c r="BR95" s="24">
        <v>1269</v>
      </c>
      <c r="BS95" s="24">
        <v>1491</v>
      </c>
      <c r="BT95" s="122"/>
      <c r="BU95" s="39">
        <v>44032</v>
      </c>
      <c r="BV95" s="39" t="s">
        <v>1161</v>
      </c>
      <c r="BW95" s="39" t="s">
        <v>2919</v>
      </c>
      <c r="BX95" s="39" t="s">
        <v>2854</v>
      </c>
      <c r="BY95" s="71">
        <v>780</v>
      </c>
      <c r="BZ95" s="71">
        <v>910</v>
      </c>
      <c r="CA95" s="71">
        <v>1130</v>
      </c>
      <c r="CB95" s="71">
        <v>1370</v>
      </c>
      <c r="CC95" s="71">
        <v>1560</v>
      </c>
      <c r="CD95" s="25"/>
      <c r="CE95" s="200"/>
      <c r="CF95" s="200"/>
      <c r="CG95" s="200"/>
      <c r="CH95" s="200"/>
      <c r="CI95" s="200"/>
      <c r="CJ95" s="200"/>
      <c r="CK95" s="200"/>
      <c r="CL95" s="200"/>
      <c r="CM95" s="200"/>
      <c r="CN95" s="200"/>
      <c r="CO95" s="200"/>
      <c r="CP95" s="200"/>
      <c r="CQ95" s="20" t="s">
        <v>90</v>
      </c>
      <c r="CR95" s="236" t="s">
        <v>292</v>
      </c>
      <c r="CS95" s="236" t="s">
        <v>3109</v>
      </c>
      <c r="CT95" s="200"/>
      <c r="CU95" s="200"/>
      <c r="CV95" s="20" t="s">
        <v>90</v>
      </c>
      <c r="CW95" s="20" t="s">
        <v>8</v>
      </c>
      <c r="CX95" s="25"/>
      <c r="CY95" s="20" t="s">
        <v>90</v>
      </c>
      <c r="CZ95" s="20" t="s">
        <v>265</v>
      </c>
      <c r="DA95" s="37" t="s">
        <v>265</v>
      </c>
      <c r="DB95" s="25"/>
      <c r="DC95" s="20" t="s">
        <v>90</v>
      </c>
      <c r="DD95" s="20">
        <v>2</v>
      </c>
      <c r="DE95" s="735">
        <v>88</v>
      </c>
      <c r="DF95" s="179">
        <v>114978</v>
      </c>
      <c r="DG95" s="179">
        <v>116618</v>
      </c>
      <c r="DH95" s="878">
        <f t="shared" si="22"/>
        <v>1.4263598253578945E-2</v>
      </c>
      <c r="DI95" s="606">
        <v>555.0174178212734</v>
      </c>
      <c r="DJ95" s="179">
        <f t="shared" si="18"/>
        <v>210.11592835732105</v>
      </c>
      <c r="DK95" s="37">
        <v>38.9</v>
      </c>
      <c r="DL95" s="236">
        <v>71769</v>
      </c>
      <c r="DM95" s="878">
        <v>8.7346473454046683E-2</v>
      </c>
      <c r="DN95" s="878">
        <v>3.3000000000000002E-2</v>
      </c>
      <c r="DO95" s="878">
        <v>0.01</v>
      </c>
      <c r="DP95" s="878">
        <v>2.7999999999999997E-2</v>
      </c>
      <c r="DQ95" s="878">
        <v>0.23940984793627806</v>
      </c>
      <c r="DR95" s="878">
        <v>0.29546313799621926</v>
      </c>
      <c r="DS95" s="878">
        <v>0.93200000000000005</v>
      </c>
      <c r="DT95" s="878">
        <v>1.2E-2</v>
      </c>
      <c r="DU95" s="878">
        <v>1E-3</v>
      </c>
      <c r="DV95" s="878">
        <v>1.2E-2</v>
      </c>
      <c r="DW95" s="878">
        <v>0</v>
      </c>
      <c r="DX95" s="878">
        <v>1.0999999999999999E-2</v>
      </c>
      <c r="DY95" s="878">
        <v>3.3000000000000002E-2</v>
      </c>
      <c r="DZ95" s="878">
        <v>2.4E-2</v>
      </c>
      <c r="EA95" s="878">
        <v>0.92500000000000004</v>
      </c>
      <c r="EB95" s="25"/>
      <c r="EC95" s="25"/>
      <c r="ED95" s="25"/>
    </row>
    <row r="96" spans="1:134" s="17" customFormat="1" x14ac:dyDescent="0.2">
      <c r="A96" s="25"/>
      <c r="B96" s="20">
        <v>39061024002</v>
      </c>
      <c r="C96" s="20">
        <v>240.02</v>
      </c>
      <c r="D96" s="20" t="s">
        <v>37</v>
      </c>
      <c r="E96" s="20" t="s">
        <v>2828</v>
      </c>
      <c r="F96" s="20" t="s">
        <v>8</v>
      </c>
      <c r="G96" s="861">
        <v>79.3924708285207</v>
      </c>
      <c r="H96" s="861">
        <v>66.337606331045507</v>
      </c>
      <c r="I96" s="861">
        <v>37.460368399856797</v>
      </c>
      <c r="J96" s="861">
        <v>23.599443434256901</v>
      </c>
      <c r="K96" s="982">
        <v>0</v>
      </c>
      <c r="L96" s="735">
        <v>2615</v>
      </c>
      <c r="M96" s="735">
        <v>3116</v>
      </c>
      <c r="N96" s="845">
        <f t="shared" si="13"/>
        <v>0.19158699808795412</v>
      </c>
      <c r="O96" s="735">
        <v>1.0738250068646069</v>
      </c>
      <c r="P96" s="735">
        <f t="shared" si="14"/>
        <v>2901.7763416575754</v>
      </c>
      <c r="Q96" s="849">
        <v>51.7</v>
      </c>
      <c r="R96" s="71">
        <v>106705</v>
      </c>
      <c r="S96" s="845">
        <v>2.4877365101611773E-2</v>
      </c>
      <c r="T96" s="845">
        <v>3.7000000000000005E-2</v>
      </c>
      <c r="U96" s="845">
        <v>0</v>
      </c>
      <c r="V96" s="845">
        <v>0.29299999999999998</v>
      </c>
      <c r="W96" s="845">
        <v>0.22452229299363058</v>
      </c>
      <c r="X96" s="845">
        <v>0.72340425531914898</v>
      </c>
      <c r="Y96" s="845">
        <v>0.81514762516046213</v>
      </c>
      <c r="Z96" s="845">
        <v>4.6213093709884467E-2</v>
      </c>
      <c r="AA96" s="845">
        <v>2.2464698331193839E-3</v>
      </c>
      <c r="AB96" s="845">
        <v>0.1113607188703466</v>
      </c>
      <c r="AC96" s="845">
        <v>0</v>
      </c>
      <c r="AD96" s="845">
        <v>0</v>
      </c>
      <c r="AE96" s="845">
        <v>2.5032092426187421E-2</v>
      </c>
      <c r="AF96" s="845">
        <v>2.5032092426187421E-2</v>
      </c>
      <c r="AG96" s="845">
        <v>0.79396662387676509</v>
      </c>
      <c r="AH96" s="20" t="str">
        <f t="shared" si="15"/>
        <v>No</v>
      </c>
      <c r="AI96" s="25"/>
      <c r="AJ96" s="37">
        <v>44720</v>
      </c>
      <c r="AK96" s="37" t="s">
        <v>1462</v>
      </c>
      <c r="AL96" s="37">
        <v>39153</v>
      </c>
      <c r="AM96" s="37" t="s">
        <v>82</v>
      </c>
      <c r="AN96" s="37">
        <f t="shared" si="16"/>
        <v>10420</v>
      </c>
      <c r="AO96" s="37" t="str">
        <f t="shared" si="17"/>
        <v>Akron, OH</v>
      </c>
      <c r="AP96" s="37" t="s">
        <v>8</v>
      </c>
      <c r="AQ96" s="25"/>
      <c r="AR96" s="20" t="s">
        <v>91</v>
      </c>
      <c r="AS96" s="24">
        <v>29850</v>
      </c>
      <c r="AT96" s="24">
        <v>34100</v>
      </c>
      <c r="AU96" s="24">
        <v>38350</v>
      </c>
      <c r="AV96" s="24">
        <v>42600</v>
      </c>
      <c r="AW96" s="24">
        <v>46050</v>
      </c>
      <c r="AX96" s="24">
        <v>49450</v>
      </c>
      <c r="AY96" s="24">
        <v>52850</v>
      </c>
      <c r="AZ96" s="24">
        <v>56250</v>
      </c>
      <c r="BA96" s="29">
        <f t="shared" si="19"/>
        <v>31975</v>
      </c>
      <c r="BB96" s="29">
        <f t="shared" si="20"/>
        <v>44325</v>
      </c>
      <c r="BC96" s="29">
        <f t="shared" si="21"/>
        <v>54550</v>
      </c>
      <c r="BD96" s="25"/>
      <c r="BE96" s="25"/>
      <c r="BF96" s="25"/>
      <c r="BG96" s="25"/>
      <c r="BH96" s="25"/>
      <c r="BI96" s="25"/>
      <c r="BJ96" s="25"/>
      <c r="BK96" s="25"/>
      <c r="BL96" s="25"/>
      <c r="BM96" s="25"/>
      <c r="BN96" s="20" t="s">
        <v>91</v>
      </c>
      <c r="BO96" s="71">
        <v>736</v>
      </c>
      <c r="BP96" s="24">
        <v>761</v>
      </c>
      <c r="BQ96" s="24">
        <v>973</v>
      </c>
      <c r="BR96" s="24">
        <v>1208</v>
      </c>
      <c r="BS96" s="24">
        <v>1288</v>
      </c>
      <c r="BT96" s="122"/>
      <c r="BU96" s="39">
        <v>44047</v>
      </c>
      <c r="BV96" s="39" t="s">
        <v>1169</v>
      </c>
      <c r="BW96" s="39" t="s">
        <v>2919</v>
      </c>
      <c r="BX96" s="39" t="s">
        <v>2854</v>
      </c>
      <c r="BY96" s="71">
        <v>800</v>
      </c>
      <c r="BZ96" s="71">
        <v>940</v>
      </c>
      <c r="CA96" s="71">
        <v>1160</v>
      </c>
      <c r="CB96" s="71">
        <v>1410</v>
      </c>
      <c r="CC96" s="71">
        <v>1600</v>
      </c>
      <c r="CD96" s="25"/>
      <c r="CE96" s="200"/>
      <c r="CF96" s="200"/>
      <c r="CG96" s="200"/>
      <c r="CH96" s="200"/>
      <c r="CI96" s="200"/>
      <c r="CJ96" s="200"/>
      <c r="CK96" s="200"/>
      <c r="CL96" s="200"/>
      <c r="CM96" s="200"/>
      <c r="CN96" s="200"/>
      <c r="CO96" s="200"/>
      <c r="CP96" s="200"/>
      <c r="CQ96" s="20" t="s">
        <v>91</v>
      </c>
      <c r="CR96" s="236" t="s">
        <v>292</v>
      </c>
      <c r="CS96" s="236" t="s">
        <v>3108</v>
      </c>
      <c r="CT96" s="200"/>
      <c r="CU96" s="200"/>
      <c r="CV96" s="20" t="s">
        <v>91</v>
      </c>
      <c r="CW96" s="20" t="s">
        <v>8</v>
      </c>
      <c r="CX96" s="25"/>
      <c r="CY96" s="20" t="s">
        <v>91</v>
      </c>
      <c r="CZ96" s="20" t="s">
        <v>265</v>
      </c>
      <c r="DA96" s="37" t="s">
        <v>265</v>
      </c>
      <c r="DB96" s="25"/>
      <c r="DC96" s="20" t="s">
        <v>91</v>
      </c>
      <c r="DD96" s="20">
        <v>2</v>
      </c>
      <c r="DE96" s="735">
        <v>74</v>
      </c>
      <c r="DF96" s="179">
        <v>37493</v>
      </c>
      <c r="DG96" s="179">
        <v>36862</v>
      </c>
      <c r="DH96" s="878">
        <f t="shared" si="22"/>
        <v>-1.6829808230869762E-2</v>
      </c>
      <c r="DI96" s="606">
        <v>420.66014001894399</v>
      </c>
      <c r="DJ96" s="179">
        <f t="shared" si="18"/>
        <v>87.628934841175962</v>
      </c>
      <c r="DK96" s="37">
        <v>41.8</v>
      </c>
      <c r="DL96" s="236">
        <v>61834</v>
      </c>
      <c r="DM96" s="878">
        <v>0.11939044204157095</v>
      </c>
      <c r="DN96" s="878">
        <v>3.5000000000000003E-2</v>
      </c>
      <c r="DO96" s="878">
        <v>6.0000000000000001E-3</v>
      </c>
      <c r="DP96" s="878">
        <v>3.3000000000000002E-2</v>
      </c>
      <c r="DQ96" s="878">
        <v>0.24386929796182466</v>
      </c>
      <c r="DR96" s="878">
        <v>0.37834969487927833</v>
      </c>
      <c r="DS96" s="878">
        <v>0.92400000000000004</v>
      </c>
      <c r="DT96" s="878">
        <v>1.0999999999999999E-2</v>
      </c>
      <c r="DU96" s="878">
        <v>3.0000000000000001E-3</v>
      </c>
      <c r="DV96" s="878">
        <v>6.0000000000000001E-3</v>
      </c>
      <c r="DW96" s="878">
        <v>0</v>
      </c>
      <c r="DX96" s="878">
        <v>2.1999999999999999E-2</v>
      </c>
      <c r="DY96" s="878">
        <v>3.4000000000000002E-2</v>
      </c>
      <c r="DZ96" s="878">
        <v>5.1999999999999998E-2</v>
      </c>
      <c r="EA96" s="878">
        <v>0.91</v>
      </c>
      <c r="EB96" s="25"/>
      <c r="EC96" s="25"/>
      <c r="ED96" s="25"/>
    </row>
    <row r="97" spans="1:134" s="17" customFormat="1" x14ac:dyDescent="0.2">
      <c r="A97" s="25"/>
      <c r="B97" s="20">
        <v>39113040203</v>
      </c>
      <c r="C97" s="20">
        <v>402.03</v>
      </c>
      <c r="D97" s="20" t="s">
        <v>62</v>
      </c>
      <c r="E97" s="20" t="s">
        <v>2833</v>
      </c>
      <c r="F97" s="20" t="s">
        <v>8</v>
      </c>
      <c r="G97" s="861">
        <v>79.3209175290676</v>
      </c>
      <c r="H97" s="861">
        <v>75.471911275042203</v>
      </c>
      <c r="I97" s="861">
        <v>21.235708301155</v>
      </c>
      <c r="J97" s="861">
        <v>50.934029089528899</v>
      </c>
      <c r="K97" s="982">
        <v>0</v>
      </c>
      <c r="L97" s="735">
        <v>2530</v>
      </c>
      <c r="M97" s="735">
        <v>2730</v>
      </c>
      <c r="N97" s="845">
        <f t="shared" si="13"/>
        <v>7.9051383399209488E-2</v>
      </c>
      <c r="O97" s="735">
        <v>1.3360895313144894</v>
      </c>
      <c r="P97" s="735">
        <f t="shared" si="14"/>
        <v>2043.2762446047573</v>
      </c>
      <c r="Q97" s="849">
        <v>51.3</v>
      </c>
      <c r="R97" s="71">
        <v>92875</v>
      </c>
      <c r="S97" s="845">
        <v>2.9834254143646408E-2</v>
      </c>
      <c r="T97" s="845">
        <v>6.9999999999999993E-3</v>
      </c>
      <c r="U97" s="845">
        <v>0</v>
      </c>
      <c r="V97" s="845">
        <v>0</v>
      </c>
      <c r="W97" s="845">
        <v>0.11729769858945806</v>
      </c>
      <c r="X97" s="845">
        <v>0</v>
      </c>
      <c r="Y97" s="845">
        <v>0.80842490842490844</v>
      </c>
      <c r="Z97" s="845">
        <v>4.2857142857142858E-2</v>
      </c>
      <c r="AA97" s="845">
        <v>0</v>
      </c>
      <c r="AB97" s="845">
        <v>2.490842490842491E-2</v>
      </c>
      <c r="AC97" s="845">
        <v>0</v>
      </c>
      <c r="AD97" s="845">
        <v>0</v>
      </c>
      <c r="AE97" s="845">
        <v>0.12380952380952381</v>
      </c>
      <c r="AF97" s="845">
        <v>9.2673992673992678E-2</v>
      </c>
      <c r="AG97" s="845">
        <v>0.79450549450549446</v>
      </c>
      <c r="AH97" s="20" t="str">
        <f t="shared" si="15"/>
        <v>No</v>
      </c>
      <c r="AI97" s="25"/>
      <c r="AJ97" s="20">
        <v>43903</v>
      </c>
      <c r="AK97" s="20" t="s">
        <v>1094</v>
      </c>
      <c r="AL97" s="20">
        <v>39019</v>
      </c>
      <c r="AM97" s="20" t="s">
        <v>16</v>
      </c>
      <c r="AN97" s="37">
        <f t="shared" si="16"/>
        <v>15940</v>
      </c>
      <c r="AO97" s="37" t="str">
        <f t="shared" si="17"/>
        <v>Canton-Massillon, OH</v>
      </c>
      <c r="AP97" s="20" t="s">
        <v>8</v>
      </c>
      <c r="AQ97" s="25"/>
      <c r="AR97" s="20" t="s">
        <v>92</v>
      </c>
      <c r="AS97" s="24">
        <v>33200</v>
      </c>
      <c r="AT97" s="24">
        <v>37950</v>
      </c>
      <c r="AU97" s="24">
        <v>42700</v>
      </c>
      <c r="AV97" s="24">
        <v>47400</v>
      </c>
      <c r="AW97" s="24">
        <v>51200</v>
      </c>
      <c r="AX97" s="24">
        <v>54950</v>
      </c>
      <c r="AY97" s="24">
        <v>58800</v>
      </c>
      <c r="AZ97" s="24">
        <v>62550</v>
      </c>
      <c r="BA97" s="29">
        <f t="shared" si="19"/>
        <v>35575</v>
      </c>
      <c r="BB97" s="29">
        <f t="shared" si="20"/>
        <v>49300</v>
      </c>
      <c r="BC97" s="29">
        <f t="shared" si="21"/>
        <v>60675</v>
      </c>
      <c r="BD97" s="25"/>
      <c r="BE97" s="25"/>
      <c r="BF97" s="25"/>
      <c r="BG97" s="25"/>
      <c r="BH97" s="25"/>
      <c r="BI97" s="25"/>
      <c r="BJ97" s="25"/>
      <c r="BK97" s="25"/>
      <c r="BL97" s="25"/>
      <c r="BM97" s="25"/>
      <c r="BN97" s="20" t="s">
        <v>92</v>
      </c>
      <c r="BO97" s="71">
        <v>769</v>
      </c>
      <c r="BP97" s="24">
        <v>820</v>
      </c>
      <c r="BQ97" s="24">
        <v>1076</v>
      </c>
      <c r="BR97" s="24">
        <v>1380</v>
      </c>
      <c r="BS97" s="24">
        <v>1454</v>
      </c>
      <c r="BT97" s="122"/>
      <c r="BU97" s="39">
        <v>44048</v>
      </c>
      <c r="BV97" s="39" t="s">
        <v>1170</v>
      </c>
      <c r="BW97" s="39" t="s">
        <v>2919</v>
      </c>
      <c r="BX97" s="39" t="s">
        <v>2854</v>
      </c>
      <c r="BY97" s="71">
        <v>670</v>
      </c>
      <c r="BZ97" s="71">
        <v>790</v>
      </c>
      <c r="CA97" s="71">
        <v>970</v>
      </c>
      <c r="CB97" s="71">
        <v>1180</v>
      </c>
      <c r="CC97" s="71">
        <v>1340</v>
      </c>
      <c r="CD97" s="25"/>
      <c r="CE97" s="200"/>
      <c r="CF97" s="200"/>
      <c r="CG97" s="200"/>
      <c r="CH97" s="200"/>
      <c r="CI97" s="200"/>
      <c r="CJ97" s="200"/>
      <c r="CK97" s="200"/>
      <c r="CL97" s="200"/>
      <c r="CM97" s="200"/>
      <c r="CN97" s="200"/>
      <c r="CO97" s="200"/>
      <c r="CP97" s="200"/>
      <c r="CQ97" s="20" t="s">
        <v>92</v>
      </c>
      <c r="CR97" s="236" t="s">
        <v>2481</v>
      </c>
      <c r="CS97" s="236" t="s">
        <v>3108</v>
      </c>
      <c r="CT97" s="200"/>
      <c r="CU97" s="200"/>
      <c r="CV97" s="20" t="s">
        <v>92</v>
      </c>
      <c r="CW97" s="20" t="s">
        <v>8</v>
      </c>
      <c r="CX97" s="25"/>
      <c r="CY97" s="20" t="s">
        <v>92</v>
      </c>
      <c r="CZ97" s="20">
        <v>45780</v>
      </c>
      <c r="DA97" s="37" t="s">
        <v>2839</v>
      </c>
      <c r="DB97" s="25"/>
      <c r="DC97" s="20" t="s">
        <v>92</v>
      </c>
      <c r="DD97" s="20">
        <v>4</v>
      </c>
      <c r="DE97" s="735">
        <v>272</v>
      </c>
      <c r="DF97" s="179">
        <v>128139</v>
      </c>
      <c r="DG97" s="179">
        <v>131795</v>
      </c>
      <c r="DH97" s="878">
        <f t="shared" si="22"/>
        <v>2.8531516556239707E-2</v>
      </c>
      <c r="DI97" s="606">
        <v>617.16677610539307</v>
      </c>
      <c r="DJ97" s="179">
        <f t="shared" si="18"/>
        <v>213.5484363427455</v>
      </c>
      <c r="DK97" s="37">
        <v>35.700000000000003</v>
      </c>
      <c r="DL97" s="236">
        <v>73124</v>
      </c>
      <c r="DM97" s="878">
        <v>0.12039860250913133</v>
      </c>
      <c r="DN97" s="878">
        <v>4.5999999999999999E-2</v>
      </c>
      <c r="DO97" s="878">
        <v>6.9999999999999993E-3</v>
      </c>
      <c r="DP97" s="878">
        <v>2.8999999999999998E-2</v>
      </c>
      <c r="DQ97" s="878">
        <v>0.35443902799320481</v>
      </c>
      <c r="DR97" s="878">
        <v>0.36540765824433447</v>
      </c>
      <c r="DS97" s="878">
        <v>0.879</v>
      </c>
      <c r="DT97" s="878">
        <v>0.02</v>
      </c>
      <c r="DU97" s="878">
        <v>2E-3</v>
      </c>
      <c r="DV97" s="878">
        <v>0.02</v>
      </c>
      <c r="DW97" s="878">
        <v>1E-3</v>
      </c>
      <c r="DX97" s="878">
        <v>1.6E-2</v>
      </c>
      <c r="DY97" s="878">
        <v>6.2E-2</v>
      </c>
      <c r="DZ97" s="878">
        <v>6.4000000000000001E-2</v>
      </c>
      <c r="EA97" s="878">
        <v>0.86099999999999999</v>
      </c>
      <c r="EB97" s="25"/>
      <c r="EC97" s="25"/>
      <c r="ED97" s="25"/>
    </row>
    <row r="98" spans="1:134" s="17" customFormat="1" x14ac:dyDescent="0.2">
      <c r="A98" s="25"/>
      <c r="B98" s="20">
        <v>39061023701</v>
      </c>
      <c r="C98" s="20">
        <v>237.01</v>
      </c>
      <c r="D98" s="20" t="s">
        <v>37</v>
      </c>
      <c r="E98" s="20" t="s">
        <v>2828</v>
      </c>
      <c r="F98" s="20" t="s">
        <v>8</v>
      </c>
      <c r="G98" s="861">
        <v>79.290648847438504</v>
      </c>
      <c r="H98" s="861">
        <v>70.065616872264897</v>
      </c>
      <c r="I98" s="861">
        <v>32.204639441597202</v>
      </c>
      <c r="J98" s="861">
        <v>43.1958697152903</v>
      </c>
      <c r="K98" s="982">
        <v>0</v>
      </c>
      <c r="L98" s="735">
        <v>2795</v>
      </c>
      <c r="M98" s="735">
        <v>2892</v>
      </c>
      <c r="N98" s="845">
        <f t="shared" si="13"/>
        <v>3.4704830053667264E-2</v>
      </c>
      <c r="O98" s="735">
        <v>0.45965500590657155</v>
      </c>
      <c r="P98" s="735">
        <f t="shared" si="14"/>
        <v>6291.6751973496866</v>
      </c>
      <c r="Q98" s="849">
        <v>42.3</v>
      </c>
      <c r="R98" s="71">
        <v>71400</v>
      </c>
      <c r="S98" s="845">
        <v>0.14702741189035243</v>
      </c>
      <c r="T98" s="845">
        <v>3.7000000000000005E-2</v>
      </c>
      <c r="U98" s="845">
        <v>0</v>
      </c>
      <c r="V98" s="845">
        <v>0.105</v>
      </c>
      <c r="W98" s="845">
        <v>0.29441260744985676</v>
      </c>
      <c r="X98" s="845">
        <v>0.44768856447688565</v>
      </c>
      <c r="Y98" s="845">
        <v>0.93222683264177042</v>
      </c>
      <c r="Z98" s="845">
        <v>2.9391424619640387E-2</v>
      </c>
      <c r="AA98" s="845">
        <v>0</v>
      </c>
      <c r="AB98" s="845">
        <v>1.1065006915629323E-2</v>
      </c>
      <c r="AC98" s="845">
        <v>5.8782849239280774E-3</v>
      </c>
      <c r="AD98" s="845">
        <v>0</v>
      </c>
      <c r="AE98" s="845">
        <v>2.1438450899031812E-2</v>
      </c>
      <c r="AF98" s="845">
        <v>3.8035961272475795E-3</v>
      </c>
      <c r="AG98" s="845">
        <v>0.93222683264177042</v>
      </c>
      <c r="AH98" s="20" t="str">
        <f t="shared" si="15"/>
        <v>Yes</v>
      </c>
      <c r="AI98" s="25"/>
      <c r="AJ98" s="20">
        <v>43908</v>
      </c>
      <c r="AK98" s="20" t="s">
        <v>1098</v>
      </c>
      <c r="AL98" s="20">
        <v>39019</v>
      </c>
      <c r="AM98" s="20" t="s">
        <v>16</v>
      </c>
      <c r="AN98" s="37">
        <f t="shared" si="16"/>
        <v>15940</v>
      </c>
      <c r="AO98" s="37" t="str">
        <f t="shared" si="17"/>
        <v>Canton-Massillon, OH</v>
      </c>
      <c r="AP98" s="20" t="s">
        <v>8</v>
      </c>
      <c r="AQ98" s="25"/>
      <c r="AR98" s="20" t="s">
        <v>93</v>
      </c>
      <c r="AS98" s="24">
        <v>31750</v>
      </c>
      <c r="AT98" s="24">
        <v>36300</v>
      </c>
      <c r="AU98" s="24">
        <v>40850</v>
      </c>
      <c r="AV98" s="24">
        <v>45350</v>
      </c>
      <c r="AW98" s="24">
        <v>49000</v>
      </c>
      <c r="AX98" s="24">
        <v>52650</v>
      </c>
      <c r="AY98" s="24">
        <v>56250</v>
      </c>
      <c r="AZ98" s="24">
        <v>59900</v>
      </c>
      <c r="BA98" s="29">
        <f t="shared" si="19"/>
        <v>34025</v>
      </c>
      <c r="BB98" s="29">
        <f t="shared" si="20"/>
        <v>47175</v>
      </c>
      <c r="BC98" s="29">
        <f t="shared" si="21"/>
        <v>58075</v>
      </c>
      <c r="BD98" s="25"/>
      <c r="BE98" s="25"/>
      <c r="BF98" s="25"/>
      <c r="BG98" s="25"/>
      <c r="BH98" s="25"/>
      <c r="BI98" s="25"/>
      <c r="BJ98" s="25"/>
      <c r="BK98" s="25"/>
      <c r="BL98" s="25"/>
      <c r="BM98" s="25"/>
      <c r="BN98" s="20" t="s">
        <v>93</v>
      </c>
      <c r="BO98" s="71">
        <v>736</v>
      </c>
      <c r="BP98" s="24">
        <v>800</v>
      </c>
      <c r="BQ98" s="24">
        <v>973</v>
      </c>
      <c r="BR98" s="24">
        <v>1242</v>
      </c>
      <c r="BS98" s="24">
        <v>1422</v>
      </c>
      <c r="BT98" s="122"/>
      <c r="BU98" s="39">
        <v>44068</v>
      </c>
      <c r="BV98" s="39" t="s">
        <v>1184</v>
      </c>
      <c r="BW98" s="39" t="s">
        <v>2919</v>
      </c>
      <c r="BX98" s="39" t="s">
        <v>2854</v>
      </c>
      <c r="BY98" s="71">
        <v>680</v>
      </c>
      <c r="BZ98" s="71">
        <v>800</v>
      </c>
      <c r="CA98" s="71">
        <v>980</v>
      </c>
      <c r="CB98" s="71">
        <v>1190</v>
      </c>
      <c r="CC98" s="71">
        <v>1360</v>
      </c>
      <c r="CD98" s="25"/>
      <c r="CE98" s="200"/>
      <c r="CF98" s="200"/>
      <c r="CG98" s="200"/>
      <c r="CH98" s="200"/>
      <c r="CI98" s="200"/>
      <c r="CJ98" s="200"/>
      <c r="CK98" s="200"/>
      <c r="CL98" s="200"/>
      <c r="CM98" s="200"/>
      <c r="CN98" s="200"/>
      <c r="CO98" s="200"/>
      <c r="CP98" s="200"/>
      <c r="CQ98" s="20" t="s">
        <v>93</v>
      </c>
      <c r="CR98" s="236" t="s">
        <v>292</v>
      </c>
      <c r="CS98" s="236" t="s">
        <v>3108</v>
      </c>
      <c r="CT98" s="200"/>
      <c r="CU98" s="200"/>
      <c r="CV98" s="20" t="s">
        <v>93</v>
      </c>
      <c r="CW98" s="20" t="s">
        <v>8</v>
      </c>
      <c r="CX98" s="25"/>
      <c r="CY98" s="20" t="s">
        <v>93</v>
      </c>
      <c r="CZ98" s="20" t="s">
        <v>265</v>
      </c>
      <c r="DA98" s="37" t="s">
        <v>265</v>
      </c>
      <c r="DB98" s="25"/>
      <c r="DC98" s="20" t="s">
        <v>93</v>
      </c>
      <c r="DD98" s="20">
        <v>1</v>
      </c>
      <c r="DE98" s="735">
        <v>50</v>
      </c>
      <c r="DF98" s="179">
        <v>22535</v>
      </c>
      <c r="DG98" s="179">
        <v>21699</v>
      </c>
      <c r="DH98" s="878">
        <f t="shared" si="22"/>
        <v>-3.7097847792323051E-2</v>
      </c>
      <c r="DI98" s="606">
        <v>406.87918215964322</v>
      </c>
      <c r="DJ98" s="179">
        <f t="shared" si="18"/>
        <v>53.330327407820477</v>
      </c>
      <c r="DK98" s="37">
        <v>41.6</v>
      </c>
      <c r="DL98" s="236">
        <v>71878</v>
      </c>
      <c r="DM98" s="878">
        <v>7.4850299401197598E-2</v>
      </c>
      <c r="DN98" s="878">
        <v>2.5000000000000001E-2</v>
      </c>
      <c r="DO98" s="878">
        <v>6.0000000000000001E-3</v>
      </c>
      <c r="DP98" s="878">
        <v>2.7000000000000003E-2</v>
      </c>
      <c r="DQ98" s="878">
        <v>0.26246690203000883</v>
      </c>
      <c r="DR98" s="878">
        <v>0.21521647751155948</v>
      </c>
      <c r="DS98" s="878">
        <v>0.95</v>
      </c>
      <c r="DT98" s="878">
        <v>2E-3</v>
      </c>
      <c r="DU98" s="878">
        <v>0</v>
      </c>
      <c r="DV98" s="878">
        <v>1E-3</v>
      </c>
      <c r="DW98" s="878">
        <v>0</v>
      </c>
      <c r="DX98" s="878">
        <v>7.0000000000000001E-3</v>
      </c>
      <c r="DY98" s="878">
        <v>3.9E-2</v>
      </c>
      <c r="DZ98" s="878">
        <v>3.1E-2</v>
      </c>
      <c r="EA98" s="878">
        <v>0.94299999999999995</v>
      </c>
      <c r="EB98" s="25"/>
      <c r="EC98" s="25"/>
      <c r="ED98" s="25"/>
    </row>
    <row r="99" spans="1:134" s="17" customFormat="1" x14ac:dyDescent="0.2">
      <c r="A99" s="25"/>
      <c r="B99" s="20">
        <v>39035194500</v>
      </c>
      <c r="C99" s="20">
        <v>1945</v>
      </c>
      <c r="D99" s="20" t="s">
        <v>24</v>
      </c>
      <c r="E99" s="20" t="s">
        <v>2829</v>
      </c>
      <c r="F99" s="20" t="s">
        <v>8</v>
      </c>
      <c r="G99" s="861">
        <v>79.202387334904401</v>
      </c>
      <c r="H99" s="861">
        <v>78.485539522816595</v>
      </c>
      <c r="I99" s="861">
        <v>23.329608045249099</v>
      </c>
      <c r="J99" s="861">
        <v>59.9171761193126</v>
      </c>
      <c r="K99" s="982">
        <v>0</v>
      </c>
      <c r="L99" s="735">
        <v>2250</v>
      </c>
      <c r="M99" s="735">
        <v>2192</v>
      </c>
      <c r="N99" s="845">
        <f t="shared" si="13"/>
        <v>-2.5777777777777778E-2</v>
      </c>
      <c r="O99" s="735">
        <v>8.9818640132676126</v>
      </c>
      <c r="P99" s="735">
        <f t="shared" si="14"/>
        <v>244.04733769761759</v>
      </c>
      <c r="Q99" s="849">
        <v>51.7</v>
      </c>
      <c r="R99" s="71">
        <v>175833</v>
      </c>
      <c r="S99" s="845">
        <v>6.4014631915866482E-2</v>
      </c>
      <c r="T99" s="845">
        <v>4.4000000000000004E-2</v>
      </c>
      <c r="U99" s="845">
        <v>0</v>
      </c>
      <c r="V99" s="845">
        <v>0</v>
      </c>
      <c r="W99" s="845">
        <v>5.6900726392251813E-2</v>
      </c>
      <c r="X99" s="845">
        <v>0</v>
      </c>
      <c r="Y99" s="845">
        <v>0.92153284671532842</v>
      </c>
      <c r="Z99" s="845">
        <v>4.5620437956204378E-4</v>
      </c>
      <c r="AA99" s="845">
        <v>0</v>
      </c>
      <c r="AB99" s="845">
        <v>4.242700729927007E-2</v>
      </c>
      <c r="AC99" s="845">
        <v>0</v>
      </c>
      <c r="AD99" s="845">
        <v>1.5054744525547446E-2</v>
      </c>
      <c r="AE99" s="845">
        <v>2.052919708029197E-2</v>
      </c>
      <c r="AF99" s="845">
        <v>1.4598540145985401E-2</v>
      </c>
      <c r="AG99" s="845">
        <v>0.91560218978102192</v>
      </c>
      <c r="AH99" s="20" t="str">
        <f t="shared" si="15"/>
        <v>Yes</v>
      </c>
      <c r="AI99" s="25"/>
      <c r="AJ99" s="20">
        <v>43945</v>
      </c>
      <c r="AK99" s="20" t="s">
        <v>1122</v>
      </c>
      <c r="AL99" s="20">
        <v>39019</v>
      </c>
      <c r="AM99" s="20" t="s">
        <v>16</v>
      </c>
      <c r="AN99" s="37">
        <f t="shared" si="16"/>
        <v>15940</v>
      </c>
      <c r="AO99" s="37" t="str">
        <f t="shared" si="17"/>
        <v>Canton-Massillon, OH</v>
      </c>
      <c r="AP99" s="20" t="s">
        <v>8</v>
      </c>
      <c r="AQ99" s="25"/>
      <c r="AR99" s="25"/>
      <c r="AS99" s="25"/>
      <c r="AT99" s="25"/>
      <c r="AU99" s="36"/>
      <c r="AV99" s="36"/>
      <c r="AW99" s="36"/>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39">
        <v>44076</v>
      </c>
      <c r="BV99" s="39" t="s">
        <v>1188</v>
      </c>
      <c r="BW99" s="39" t="s">
        <v>2919</v>
      </c>
      <c r="BX99" s="39" t="s">
        <v>2854</v>
      </c>
      <c r="BY99" s="71">
        <v>710</v>
      </c>
      <c r="BZ99" s="71">
        <v>820</v>
      </c>
      <c r="CA99" s="71">
        <v>1020</v>
      </c>
      <c r="CB99" s="71">
        <v>1240</v>
      </c>
      <c r="CC99" s="71">
        <v>1400</v>
      </c>
      <c r="CD99" s="25"/>
      <c r="CE99" s="200"/>
      <c r="CF99" s="200"/>
      <c r="CG99" s="200"/>
      <c r="CH99" s="200"/>
      <c r="CI99" s="200"/>
      <c r="CJ99" s="200"/>
      <c r="CK99" s="200"/>
      <c r="CL99" s="200"/>
      <c r="CM99" s="200"/>
      <c r="CN99" s="200"/>
      <c r="CO99" s="200"/>
      <c r="CP99" s="200"/>
      <c r="CQ99" s="200"/>
      <c r="CR99" s="200"/>
      <c r="CS99" s="200"/>
      <c r="CT99" s="200"/>
      <c r="CU99" s="200"/>
      <c r="CV99" s="25"/>
      <c r="CW99" s="25"/>
      <c r="CX99" s="25"/>
      <c r="CY99" s="25"/>
      <c r="CZ99" s="25"/>
      <c r="DA99" s="25"/>
      <c r="DB99" s="25"/>
      <c r="DC99" s="37" t="s">
        <v>3003</v>
      </c>
      <c r="DD99" s="20"/>
      <c r="DE99" s="20"/>
      <c r="DF99" s="179">
        <v>11560380</v>
      </c>
      <c r="DG99" s="179">
        <v>11780046</v>
      </c>
      <c r="DH99" s="878">
        <f t="shared" si="22"/>
        <v>1.9001624514073067E-2</v>
      </c>
      <c r="DI99" s="37">
        <v>40861</v>
      </c>
      <c r="DJ99" s="179">
        <f t="shared" si="18"/>
        <v>288.29558747950369</v>
      </c>
      <c r="DK99" s="37">
        <v>39.6</v>
      </c>
      <c r="DL99" s="236">
        <v>69680</v>
      </c>
      <c r="DM99" s="881">
        <v>0.13238334360874307</v>
      </c>
      <c r="DN99" s="881">
        <v>4.8359935013382691E-2</v>
      </c>
      <c r="DO99" s="881">
        <v>8.9999999999999993E-3</v>
      </c>
      <c r="DP99" s="881">
        <v>4.2999999999999997E-2</v>
      </c>
      <c r="DQ99" s="881">
        <v>0.33005064010861418</v>
      </c>
      <c r="DR99" s="881">
        <v>0.39807327840662782</v>
      </c>
      <c r="DS99" s="881">
        <v>0.77819662164307335</v>
      </c>
      <c r="DT99" s="881">
        <v>0.12278950353844119</v>
      </c>
      <c r="DU99" s="881">
        <v>1.4559365897212964E-3</v>
      </c>
      <c r="DV99" s="881">
        <v>2.4458053898940631E-2</v>
      </c>
      <c r="DW99" s="881">
        <v>3.5899690035166246E-4</v>
      </c>
      <c r="DX99" s="881">
        <v>1.5833299802055101E-2</v>
      </c>
      <c r="DY99" s="881">
        <v>5.6907587627416732E-2</v>
      </c>
      <c r="DZ99" s="881">
        <v>4.563301365716229E-2</v>
      </c>
      <c r="EA99" s="881">
        <v>0.76494616404723714</v>
      </c>
      <c r="EB99" s="25"/>
      <c r="EC99" s="25"/>
      <c r="ED99" s="25"/>
    </row>
    <row r="100" spans="1:134" s="17" customFormat="1" x14ac:dyDescent="0.2">
      <c r="A100" s="25"/>
      <c r="B100" s="20">
        <v>39049006239</v>
      </c>
      <c r="C100" s="20">
        <v>62.39</v>
      </c>
      <c r="D100" s="20" t="s">
        <v>31</v>
      </c>
      <c r="E100" s="20" t="s">
        <v>2830</v>
      </c>
      <c r="F100" s="20" t="s">
        <v>8</v>
      </c>
      <c r="G100" s="861">
        <v>79.112148442563395</v>
      </c>
      <c r="H100" s="861">
        <v>82.835494292454598</v>
      </c>
      <c r="I100" s="861">
        <v>28.538807327886001</v>
      </c>
      <c r="J100" s="861">
        <v>52.833007970438601</v>
      </c>
      <c r="K100" s="982">
        <v>0</v>
      </c>
      <c r="L100" s="735" t="s">
        <v>2466</v>
      </c>
      <c r="M100" s="735">
        <v>6294</v>
      </c>
      <c r="N100" s="845" t="str">
        <f t="shared" si="13"/>
        <v/>
      </c>
      <c r="O100" s="735">
        <v>2.4003326409093053</v>
      </c>
      <c r="P100" s="735">
        <f t="shared" si="14"/>
        <v>2622.1365708778085</v>
      </c>
      <c r="Q100" s="849">
        <v>35.6</v>
      </c>
      <c r="R100" s="71">
        <v>101674</v>
      </c>
      <c r="S100" s="845">
        <v>5.1318716237686683E-2</v>
      </c>
      <c r="T100" s="845">
        <v>1.3999999999999999E-2</v>
      </c>
      <c r="U100" s="845">
        <v>0</v>
      </c>
      <c r="V100" s="845">
        <v>0</v>
      </c>
      <c r="W100" s="845">
        <v>0.63586559532505482</v>
      </c>
      <c r="X100" s="845">
        <v>0.3061458931648478</v>
      </c>
      <c r="Y100" s="845">
        <v>0.46186844613918016</v>
      </c>
      <c r="Z100" s="845">
        <v>8.6272640610104867E-2</v>
      </c>
      <c r="AA100" s="845">
        <v>4.1309183349221481E-3</v>
      </c>
      <c r="AB100" s="845">
        <v>0.36463298379408959</v>
      </c>
      <c r="AC100" s="845">
        <v>0</v>
      </c>
      <c r="AD100" s="845">
        <v>0</v>
      </c>
      <c r="AE100" s="845">
        <v>8.3095011121703213E-2</v>
      </c>
      <c r="AF100" s="845">
        <v>6.9431204321576109E-2</v>
      </c>
      <c r="AG100" s="845">
        <v>0.45916746107403877</v>
      </c>
      <c r="AH100" s="20" t="str">
        <f t="shared" si="15"/>
        <v>No</v>
      </c>
      <c r="AI100" s="25"/>
      <c r="AJ100" s="37">
        <v>43986</v>
      </c>
      <c r="AK100" s="37" t="s">
        <v>1145</v>
      </c>
      <c r="AL100" s="37">
        <v>39019</v>
      </c>
      <c r="AM100" s="37" t="s">
        <v>16</v>
      </c>
      <c r="AN100" s="37">
        <f t="shared" si="16"/>
        <v>15940</v>
      </c>
      <c r="AO100" s="37" t="str">
        <f t="shared" si="17"/>
        <v>Canton-Massillon, OH</v>
      </c>
      <c r="AP100" s="20" t="s">
        <v>8</v>
      </c>
      <c r="AQ100" s="25"/>
      <c r="AR100" s="25"/>
      <c r="AS100" s="25"/>
      <c r="AT100" s="25"/>
      <c r="AU100" s="36"/>
      <c r="AV100" s="36"/>
      <c r="AW100" s="36"/>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39">
        <v>44082</v>
      </c>
      <c r="BV100" s="39" t="s">
        <v>1192</v>
      </c>
      <c r="BW100" s="39" t="s">
        <v>2919</v>
      </c>
      <c r="BX100" s="39" t="s">
        <v>2854</v>
      </c>
      <c r="BY100" s="71">
        <v>720</v>
      </c>
      <c r="BZ100" s="71">
        <v>830</v>
      </c>
      <c r="CA100" s="71">
        <v>1020</v>
      </c>
      <c r="CB100" s="71">
        <v>1280</v>
      </c>
      <c r="CC100" s="71">
        <v>1450</v>
      </c>
      <c r="CD100" s="25"/>
      <c r="CE100" s="200"/>
      <c r="CF100" s="200"/>
      <c r="CG100" s="200"/>
      <c r="CH100" s="200"/>
      <c r="CI100" s="200"/>
      <c r="CJ100" s="200"/>
      <c r="CK100" s="200"/>
      <c r="CL100" s="200"/>
      <c r="CM100" s="200"/>
      <c r="CN100" s="200"/>
      <c r="CO100" s="200"/>
      <c r="CP100" s="200"/>
      <c r="CQ100" s="200"/>
      <c r="CR100" s="200"/>
      <c r="CS100" s="200"/>
      <c r="CT100" s="200"/>
      <c r="CU100" s="200"/>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row>
    <row r="101" spans="1:134" s="17" customFormat="1" x14ac:dyDescent="0.2">
      <c r="A101" s="25"/>
      <c r="B101" s="20">
        <v>39049006386</v>
      </c>
      <c r="C101" s="20">
        <v>63.86</v>
      </c>
      <c r="D101" s="20" t="s">
        <v>31</v>
      </c>
      <c r="E101" s="20" t="s">
        <v>2830</v>
      </c>
      <c r="F101" s="20" t="s">
        <v>8</v>
      </c>
      <c r="G101" s="861">
        <v>79.103110571386395</v>
      </c>
      <c r="H101" s="861">
        <v>63.262846109177602</v>
      </c>
      <c r="I101" s="861">
        <v>37.022508672323802</v>
      </c>
      <c r="J101" s="861">
        <v>54.785730433565703</v>
      </c>
      <c r="K101" s="982">
        <v>1</v>
      </c>
      <c r="L101" s="735">
        <v>4065</v>
      </c>
      <c r="M101" s="735">
        <v>5360</v>
      </c>
      <c r="N101" s="845">
        <f t="shared" si="13"/>
        <v>0.31857318573185733</v>
      </c>
      <c r="O101" s="735">
        <v>1.6726478331207475</v>
      </c>
      <c r="P101" s="735">
        <f t="shared" si="14"/>
        <v>3204.5000112184789</v>
      </c>
      <c r="Q101" s="849">
        <v>37.9</v>
      </c>
      <c r="R101" s="71">
        <v>83765</v>
      </c>
      <c r="S101" s="845">
        <v>0.12249905624764063</v>
      </c>
      <c r="T101" s="845">
        <v>2.3E-2</v>
      </c>
      <c r="U101" s="845">
        <v>0</v>
      </c>
      <c r="V101" s="845">
        <v>2.3E-2</v>
      </c>
      <c r="W101" s="845">
        <v>0.72349272349272353</v>
      </c>
      <c r="X101" s="845">
        <v>0.33189655172413796</v>
      </c>
      <c r="Y101" s="845">
        <v>0.65111940298507465</v>
      </c>
      <c r="Z101" s="845">
        <v>8.6567164179104483E-2</v>
      </c>
      <c r="AA101" s="845">
        <v>1.66044776119403E-2</v>
      </c>
      <c r="AB101" s="845">
        <v>0.19832089552238805</v>
      </c>
      <c r="AC101" s="845">
        <v>0</v>
      </c>
      <c r="AD101" s="845">
        <v>9.5149253731343277E-3</v>
      </c>
      <c r="AE101" s="845">
        <v>3.7873134328358211E-2</v>
      </c>
      <c r="AF101" s="845">
        <v>3.8059701492537311E-2</v>
      </c>
      <c r="AG101" s="845">
        <v>0.63731343283582087</v>
      </c>
      <c r="AH101" s="20" t="str">
        <f t="shared" si="15"/>
        <v>No</v>
      </c>
      <c r="AI101" s="25"/>
      <c r="AJ101" s="20">
        <v>43988</v>
      </c>
      <c r="AK101" s="20" t="s">
        <v>1146</v>
      </c>
      <c r="AL101" s="20">
        <v>39019</v>
      </c>
      <c r="AM101" s="20" t="s">
        <v>16</v>
      </c>
      <c r="AN101" s="37">
        <f t="shared" si="16"/>
        <v>15940</v>
      </c>
      <c r="AO101" s="37" t="str">
        <f t="shared" si="17"/>
        <v>Canton-Massillon, OH</v>
      </c>
      <c r="AP101" s="20" t="s">
        <v>8</v>
      </c>
      <c r="AQ101" s="25"/>
      <c r="AR101" s="25"/>
      <c r="AS101" s="25"/>
      <c r="AT101" s="25"/>
      <c r="AU101" s="36"/>
      <c r="AV101" s="36"/>
      <c r="AW101" s="36"/>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39">
        <v>44084</v>
      </c>
      <c r="BV101" s="39" t="s">
        <v>1193</v>
      </c>
      <c r="BW101" s="39" t="s">
        <v>2919</v>
      </c>
      <c r="BX101" s="39" t="s">
        <v>2854</v>
      </c>
      <c r="BY101" s="71">
        <v>790</v>
      </c>
      <c r="BZ101" s="71">
        <v>930</v>
      </c>
      <c r="CA101" s="71">
        <v>1150</v>
      </c>
      <c r="CB101" s="71">
        <v>1390</v>
      </c>
      <c r="CC101" s="71">
        <v>1580</v>
      </c>
      <c r="CD101" s="25"/>
      <c r="CE101" s="200"/>
      <c r="CF101" s="200"/>
      <c r="CG101" s="200"/>
      <c r="CH101" s="200"/>
      <c r="CI101" s="200"/>
      <c r="CJ101" s="200"/>
      <c r="CK101" s="200"/>
      <c r="CL101" s="200"/>
      <c r="CM101" s="200"/>
      <c r="CN101" s="200"/>
      <c r="CO101" s="200"/>
      <c r="CP101" s="200"/>
      <c r="CQ101" s="200"/>
      <c r="CR101" s="200"/>
      <c r="CS101" s="200"/>
      <c r="CT101" s="200"/>
      <c r="CU101" s="200"/>
      <c r="ED101" s="25"/>
    </row>
    <row r="102" spans="1:134" s="17" customFormat="1" x14ac:dyDescent="0.2">
      <c r="A102" s="25"/>
      <c r="B102" s="20">
        <v>39035131103</v>
      </c>
      <c r="C102" s="20">
        <v>1311.03</v>
      </c>
      <c r="D102" s="20" t="s">
        <v>24</v>
      </c>
      <c r="E102" s="20" t="s">
        <v>2829</v>
      </c>
      <c r="F102" s="20" t="s">
        <v>8</v>
      </c>
      <c r="G102" s="861">
        <v>79.091102142906493</v>
      </c>
      <c r="H102" s="861">
        <v>80.058907463366793</v>
      </c>
      <c r="I102" s="861">
        <v>29.5425246862116</v>
      </c>
      <c r="J102" s="861">
        <v>47.975321611027098</v>
      </c>
      <c r="K102" s="982">
        <v>0</v>
      </c>
      <c r="L102" s="735">
        <v>4084</v>
      </c>
      <c r="M102" s="735">
        <v>5302</v>
      </c>
      <c r="N102" s="845">
        <f t="shared" si="13"/>
        <v>0.2982370225269344</v>
      </c>
      <c r="O102" s="735">
        <v>1.2770842411319023</v>
      </c>
      <c r="P102" s="735">
        <f t="shared" si="14"/>
        <v>4151.6446834397893</v>
      </c>
      <c r="Q102" s="849">
        <v>42.4</v>
      </c>
      <c r="R102" s="71">
        <v>124009</v>
      </c>
      <c r="S102" s="845">
        <v>2.7929798075108512E-2</v>
      </c>
      <c r="T102" s="845">
        <v>7.9000000000000001E-2</v>
      </c>
      <c r="U102" s="845">
        <v>0</v>
      </c>
      <c r="V102" s="845">
        <v>0.13900000000000001</v>
      </c>
      <c r="W102" s="845">
        <v>0.10250934329951948</v>
      </c>
      <c r="X102" s="845">
        <v>9.375E-2</v>
      </c>
      <c r="Y102" s="845">
        <v>0.79253112033195017</v>
      </c>
      <c r="Z102" s="845">
        <v>2.8291210863824971E-2</v>
      </c>
      <c r="AA102" s="845">
        <v>0</v>
      </c>
      <c r="AB102" s="845">
        <v>8.6571105243304414E-2</v>
      </c>
      <c r="AC102" s="845">
        <v>0</v>
      </c>
      <c r="AD102" s="845">
        <v>8.1101471142964923E-3</v>
      </c>
      <c r="AE102" s="845">
        <v>8.4496416446623909E-2</v>
      </c>
      <c r="AF102" s="845">
        <v>2.1124104111655977E-2</v>
      </c>
      <c r="AG102" s="845">
        <v>0.79026782346284419</v>
      </c>
      <c r="AH102" s="20" t="str">
        <f t="shared" si="15"/>
        <v>No</v>
      </c>
      <c r="AI102" s="25"/>
      <c r="AJ102" s="20">
        <v>44427</v>
      </c>
      <c r="AK102" s="20" t="s">
        <v>1332</v>
      </c>
      <c r="AL102" s="20">
        <v>39019</v>
      </c>
      <c r="AM102" s="20" t="s">
        <v>16</v>
      </c>
      <c r="AN102" s="37">
        <f t="shared" si="16"/>
        <v>15940</v>
      </c>
      <c r="AO102" s="37" t="str">
        <f t="shared" si="17"/>
        <v>Canton-Massillon, OH</v>
      </c>
      <c r="AP102" s="20" t="s">
        <v>8</v>
      </c>
      <c r="AQ102" s="25"/>
      <c r="AR102" s="25"/>
      <c r="AS102" s="25"/>
      <c r="AT102" s="25"/>
      <c r="AU102" s="36"/>
      <c r="AV102" s="36"/>
      <c r="AW102" s="36"/>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39">
        <v>44085</v>
      </c>
      <c r="BV102" s="39" t="s">
        <v>1194</v>
      </c>
      <c r="BW102" s="39" t="s">
        <v>2919</v>
      </c>
      <c r="BX102" s="39" t="s">
        <v>2854</v>
      </c>
      <c r="BY102" s="71">
        <v>880</v>
      </c>
      <c r="BZ102" s="71">
        <v>1030</v>
      </c>
      <c r="CA102" s="71">
        <v>1270</v>
      </c>
      <c r="CB102" s="71">
        <v>1540</v>
      </c>
      <c r="CC102" s="71">
        <v>1750</v>
      </c>
      <c r="CD102" s="25"/>
      <c r="CE102" s="200"/>
      <c r="CF102" s="200"/>
      <c r="CG102" s="200"/>
      <c r="CH102" s="200"/>
      <c r="CI102" s="200"/>
      <c r="CJ102" s="200"/>
      <c r="CK102" s="200"/>
      <c r="CL102" s="200"/>
      <c r="CM102" s="200"/>
      <c r="CN102" s="200"/>
      <c r="CO102" s="200"/>
      <c r="CP102" s="200"/>
      <c r="CQ102" s="200"/>
      <c r="CR102" s="200"/>
      <c r="CS102" s="200"/>
      <c r="CT102" s="200"/>
      <c r="CU102" s="200"/>
    </row>
    <row r="103" spans="1:134" s="17" customFormat="1" x14ac:dyDescent="0.2">
      <c r="A103" s="25"/>
      <c r="B103" s="20">
        <v>39035135106</v>
      </c>
      <c r="C103" s="20">
        <v>1351.06</v>
      </c>
      <c r="D103" s="20" t="s">
        <v>24</v>
      </c>
      <c r="E103" s="20" t="s">
        <v>2829</v>
      </c>
      <c r="F103" s="20" t="s">
        <v>8</v>
      </c>
      <c r="G103" s="861">
        <v>78.974892376846498</v>
      </c>
      <c r="H103" s="861">
        <v>83.265346010784995</v>
      </c>
      <c r="I103" s="861">
        <v>22.779947773867999</v>
      </c>
      <c r="J103" s="861">
        <v>71.012315436143197</v>
      </c>
      <c r="K103" s="982">
        <v>0</v>
      </c>
      <c r="L103" s="735">
        <v>1265</v>
      </c>
      <c r="M103" s="735">
        <v>1764</v>
      </c>
      <c r="N103" s="845">
        <f t="shared" si="13"/>
        <v>0.39446640316205533</v>
      </c>
      <c r="O103" s="735">
        <v>8.3030682330043604</v>
      </c>
      <c r="P103" s="735">
        <f t="shared" si="14"/>
        <v>212.45158422138113</v>
      </c>
      <c r="Q103" s="849">
        <v>45.5</v>
      </c>
      <c r="R103" s="71">
        <v>166429</v>
      </c>
      <c r="S103" s="845">
        <v>1.984126984126984E-2</v>
      </c>
      <c r="T103" s="845">
        <v>4.2999999999999997E-2</v>
      </c>
      <c r="U103" s="845">
        <v>0</v>
      </c>
      <c r="V103" s="845">
        <v>0</v>
      </c>
      <c r="W103" s="845">
        <v>3.5483870967741936E-2</v>
      </c>
      <c r="X103" s="845">
        <v>1</v>
      </c>
      <c r="Y103" s="845">
        <v>0.92233560090702948</v>
      </c>
      <c r="Z103" s="845">
        <v>0</v>
      </c>
      <c r="AA103" s="845">
        <v>0</v>
      </c>
      <c r="AB103" s="845">
        <v>1.8140589569160998E-2</v>
      </c>
      <c r="AC103" s="845">
        <v>0</v>
      </c>
      <c r="AD103" s="845">
        <v>0</v>
      </c>
      <c r="AE103" s="845">
        <v>5.9523809523809521E-2</v>
      </c>
      <c r="AF103" s="845">
        <v>6.8027210884353739E-3</v>
      </c>
      <c r="AG103" s="845">
        <v>0.91836734693877553</v>
      </c>
      <c r="AH103" s="20" t="str">
        <f t="shared" si="15"/>
        <v>Yes</v>
      </c>
      <c r="AI103" s="25"/>
      <c r="AJ103" s="20">
        <v>44607</v>
      </c>
      <c r="AK103" s="20" t="s">
        <v>1381</v>
      </c>
      <c r="AL103" s="20">
        <v>39019</v>
      </c>
      <c r="AM103" s="20" t="s">
        <v>16</v>
      </c>
      <c r="AN103" s="37">
        <f t="shared" si="16"/>
        <v>15940</v>
      </c>
      <c r="AO103" s="37" t="str">
        <f t="shared" si="17"/>
        <v>Canton-Massillon, OH</v>
      </c>
      <c r="AP103" s="20" t="s">
        <v>8</v>
      </c>
      <c r="AQ103" s="25"/>
      <c r="AR103" s="25"/>
      <c r="AS103" s="25"/>
      <c r="AT103" s="25"/>
      <c r="AU103" s="36"/>
      <c r="AV103" s="36"/>
      <c r="AW103" s="36"/>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39">
        <v>44093</v>
      </c>
      <c r="BV103" s="39" t="s">
        <v>1200</v>
      </c>
      <c r="BW103" s="39" t="s">
        <v>2919</v>
      </c>
      <c r="BX103" s="39" t="s">
        <v>2854</v>
      </c>
      <c r="BY103" s="71">
        <v>670</v>
      </c>
      <c r="BZ103" s="71">
        <v>790</v>
      </c>
      <c r="CA103" s="71">
        <v>970</v>
      </c>
      <c r="CB103" s="71">
        <v>1180</v>
      </c>
      <c r="CC103" s="71">
        <v>1340</v>
      </c>
      <c r="CD103" s="25"/>
      <c r="CE103" s="200"/>
      <c r="CF103" s="200"/>
      <c r="CG103" s="200"/>
      <c r="CH103" s="200"/>
      <c r="CI103" s="200"/>
      <c r="CJ103" s="200"/>
      <c r="CK103" s="200"/>
      <c r="CL103" s="200"/>
      <c r="CM103" s="200"/>
      <c r="CN103" s="200"/>
      <c r="CO103" s="200"/>
      <c r="CP103" s="200"/>
      <c r="CQ103" s="200"/>
      <c r="CR103" s="200"/>
      <c r="CS103" s="200"/>
      <c r="CT103" s="200"/>
      <c r="CU103" s="200"/>
    </row>
    <row r="104" spans="1:134" s="17" customFormat="1" x14ac:dyDescent="0.2">
      <c r="A104" s="25"/>
      <c r="B104" s="20">
        <v>39049007922</v>
      </c>
      <c r="C104" s="20">
        <v>79.22</v>
      </c>
      <c r="D104" s="20" t="s">
        <v>31</v>
      </c>
      <c r="E104" s="20" t="s">
        <v>2830</v>
      </c>
      <c r="F104" s="20" t="s">
        <v>8</v>
      </c>
      <c r="G104" s="861">
        <v>78.887682020338403</v>
      </c>
      <c r="H104" s="861">
        <v>80.013669780668096</v>
      </c>
      <c r="I104" s="861">
        <v>24.109005946209201</v>
      </c>
      <c r="J104" s="861">
        <v>49.895707725311603</v>
      </c>
      <c r="K104" s="982">
        <v>0</v>
      </c>
      <c r="L104" s="735">
        <v>4536</v>
      </c>
      <c r="M104" s="735">
        <v>6794</v>
      </c>
      <c r="N104" s="845">
        <f t="shared" si="13"/>
        <v>0.49779541446208114</v>
      </c>
      <c r="O104" s="735">
        <v>3.0552611301370032</v>
      </c>
      <c r="P104" s="735">
        <f t="shared" si="14"/>
        <v>2223.7051795619659</v>
      </c>
      <c r="Q104" s="849">
        <v>31.6</v>
      </c>
      <c r="R104" s="71">
        <v>118738</v>
      </c>
      <c r="S104" s="845">
        <v>6.9415603678433704E-2</v>
      </c>
      <c r="T104" s="845">
        <v>0.02</v>
      </c>
      <c r="U104" s="845">
        <v>0</v>
      </c>
      <c r="V104" s="845">
        <v>0</v>
      </c>
      <c r="W104" s="845">
        <v>0.55286266245170357</v>
      </c>
      <c r="X104" s="845">
        <v>0.198856416772554</v>
      </c>
      <c r="Y104" s="845">
        <v>0.78422137179864582</v>
      </c>
      <c r="Z104" s="845">
        <v>3.0320871357079775E-2</v>
      </c>
      <c r="AA104" s="845">
        <v>1.6190756549896968E-3</v>
      </c>
      <c r="AB104" s="845">
        <v>9.3759199293494258E-2</v>
      </c>
      <c r="AC104" s="845">
        <v>0</v>
      </c>
      <c r="AD104" s="845">
        <v>2.0900794818957905E-2</v>
      </c>
      <c r="AE104" s="845">
        <v>6.9178687076832501E-2</v>
      </c>
      <c r="AF104" s="845">
        <v>6.6529290550485717E-2</v>
      </c>
      <c r="AG104" s="845">
        <v>0.74639387695025017</v>
      </c>
      <c r="AH104" s="20" t="str">
        <f t="shared" si="15"/>
        <v>No</v>
      </c>
      <c r="AI104" s="25"/>
      <c r="AJ104" s="37">
        <v>44615</v>
      </c>
      <c r="AK104" s="37" t="s">
        <v>1389</v>
      </c>
      <c r="AL104" s="37">
        <v>39019</v>
      </c>
      <c r="AM104" s="37" t="s">
        <v>16</v>
      </c>
      <c r="AN104" s="37">
        <f t="shared" si="16"/>
        <v>15940</v>
      </c>
      <c r="AO104" s="37" t="str">
        <f t="shared" si="17"/>
        <v>Canton-Massillon, OH</v>
      </c>
      <c r="AP104" s="20" t="s">
        <v>8</v>
      </c>
      <c r="AQ104" s="25"/>
      <c r="AR104" s="25"/>
      <c r="AS104" s="25"/>
      <c r="AT104" s="25"/>
      <c r="AU104" s="36"/>
      <c r="AV104" s="36"/>
      <c r="AW104" s="36"/>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39">
        <v>44428</v>
      </c>
      <c r="BV104" s="39" t="s">
        <v>1333</v>
      </c>
      <c r="BW104" s="39" t="s">
        <v>2919</v>
      </c>
      <c r="BX104" s="39" t="s">
        <v>2854</v>
      </c>
      <c r="BY104" s="71">
        <v>730</v>
      </c>
      <c r="BZ104" s="71">
        <v>770</v>
      </c>
      <c r="CA104" s="71">
        <v>970</v>
      </c>
      <c r="CB104" s="71">
        <v>1270</v>
      </c>
      <c r="CC104" s="71">
        <v>1340</v>
      </c>
      <c r="CD104" s="25"/>
      <c r="CE104" s="200"/>
      <c r="CF104" s="200"/>
      <c r="CG104" s="200"/>
      <c r="CH104" s="200"/>
      <c r="CI104" s="200"/>
      <c r="CJ104" s="200"/>
      <c r="CK104" s="200"/>
      <c r="CL104" s="200"/>
      <c r="CM104" s="200"/>
      <c r="CN104" s="200"/>
      <c r="CO104" s="200"/>
      <c r="CP104" s="200"/>
      <c r="CQ104" s="200"/>
      <c r="CR104" s="200"/>
      <c r="CS104" s="200"/>
      <c r="CT104" s="200"/>
      <c r="CU104" s="200"/>
    </row>
    <row r="105" spans="1:134" s="17" customFormat="1" x14ac:dyDescent="0.2">
      <c r="A105" s="25"/>
      <c r="B105" s="20">
        <v>39061005100</v>
      </c>
      <c r="C105" s="20">
        <v>51</v>
      </c>
      <c r="D105" s="20" t="s">
        <v>37</v>
      </c>
      <c r="E105" s="20" t="s">
        <v>2828</v>
      </c>
      <c r="F105" s="20" t="s">
        <v>8</v>
      </c>
      <c r="G105" s="861">
        <v>78.621062214684898</v>
      </c>
      <c r="H105" s="861">
        <v>86.823300536729704</v>
      </c>
      <c r="I105" s="861">
        <v>23.126515261183702</v>
      </c>
      <c r="J105" s="861">
        <v>47.848907872190601</v>
      </c>
      <c r="K105" s="982">
        <v>0</v>
      </c>
      <c r="L105" s="735">
        <v>2485</v>
      </c>
      <c r="M105" s="735">
        <v>2415</v>
      </c>
      <c r="N105" s="845">
        <f t="shared" si="13"/>
        <v>-2.8169014084507043E-2</v>
      </c>
      <c r="O105" s="735">
        <v>0.48378639081860497</v>
      </c>
      <c r="P105" s="735">
        <f t="shared" si="14"/>
        <v>4991.8725409237504</v>
      </c>
      <c r="Q105" s="849">
        <v>35</v>
      </c>
      <c r="R105" s="71">
        <v>139524</v>
      </c>
      <c r="S105" s="845">
        <v>6.1877076411960136E-2</v>
      </c>
      <c r="T105" s="845">
        <v>2.5000000000000001E-2</v>
      </c>
      <c r="U105" s="845">
        <v>0</v>
      </c>
      <c r="V105" s="845">
        <v>0</v>
      </c>
      <c r="W105" s="845">
        <v>0.37213403880070545</v>
      </c>
      <c r="X105" s="845">
        <v>0.25118483412322273</v>
      </c>
      <c r="Y105" s="845">
        <v>0.86418219461697721</v>
      </c>
      <c r="Z105" s="845">
        <v>7.1635610766045549E-2</v>
      </c>
      <c r="AA105" s="845">
        <v>0</v>
      </c>
      <c r="AB105" s="845">
        <v>2.236024844720497E-2</v>
      </c>
      <c r="AC105" s="845">
        <v>0</v>
      </c>
      <c r="AD105" s="845">
        <v>0</v>
      </c>
      <c r="AE105" s="845">
        <v>4.1821946169772257E-2</v>
      </c>
      <c r="AF105" s="845">
        <v>1.5320910973084885E-2</v>
      </c>
      <c r="AG105" s="845">
        <v>0.85258799171842647</v>
      </c>
      <c r="AH105" s="20" t="str">
        <f t="shared" si="15"/>
        <v>No</v>
      </c>
      <c r="AI105" s="25"/>
      <c r="AJ105" s="20">
        <v>44620</v>
      </c>
      <c r="AK105" s="20" t="s">
        <v>1392</v>
      </c>
      <c r="AL105" s="20">
        <v>39019</v>
      </c>
      <c r="AM105" s="20" t="s">
        <v>16</v>
      </c>
      <c r="AN105" s="37">
        <f t="shared" si="16"/>
        <v>15940</v>
      </c>
      <c r="AO105" s="37" t="str">
        <f t="shared" si="17"/>
        <v>Canton-Massillon, OH</v>
      </c>
      <c r="AP105" s="20" t="s">
        <v>8</v>
      </c>
      <c r="AQ105" s="25"/>
      <c r="AR105" s="25"/>
      <c r="AS105" s="25"/>
      <c r="AT105" s="25"/>
      <c r="AU105" s="36"/>
      <c r="AV105" s="36"/>
      <c r="AW105" s="36"/>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39">
        <v>43728</v>
      </c>
      <c r="BV105" s="39" t="s">
        <v>1033</v>
      </c>
      <c r="BW105" s="39" t="s">
        <v>2867</v>
      </c>
      <c r="BX105" s="39" t="s">
        <v>2868</v>
      </c>
      <c r="BY105" s="71">
        <v>750</v>
      </c>
      <c r="BZ105" s="71">
        <v>870</v>
      </c>
      <c r="CA105" s="71">
        <v>970</v>
      </c>
      <c r="CB105" s="71">
        <v>1190</v>
      </c>
      <c r="CC105" s="71">
        <v>1460</v>
      </c>
      <c r="CD105" s="25"/>
      <c r="CE105" s="200"/>
      <c r="CF105" s="200"/>
      <c r="CG105" s="200"/>
      <c r="CH105" s="200"/>
      <c r="CI105" s="200"/>
      <c r="CJ105" s="200"/>
      <c r="CK105" s="200"/>
      <c r="CL105" s="200"/>
      <c r="CM105" s="200"/>
      <c r="CN105" s="200"/>
      <c r="CO105" s="200"/>
      <c r="CP105" s="200"/>
      <c r="CQ105" s="200"/>
      <c r="CR105" s="200"/>
      <c r="CS105" s="200"/>
      <c r="CT105" s="200"/>
      <c r="CU105" s="200"/>
    </row>
    <row r="106" spans="1:134" s="17" customFormat="1" x14ac:dyDescent="0.2">
      <c r="A106" s="25"/>
      <c r="B106" s="20">
        <v>39049004002</v>
      </c>
      <c r="C106" s="20">
        <v>40.020000000000003</v>
      </c>
      <c r="D106" s="20" t="s">
        <v>31</v>
      </c>
      <c r="E106" s="20" t="s">
        <v>2830</v>
      </c>
      <c r="F106" s="20" t="s">
        <v>8</v>
      </c>
      <c r="G106" s="861">
        <v>78.575032902844299</v>
      </c>
      <c r="H106" s="861">
        <v>76.847430401074405</v>
      </c>
      <c r="I106" s="861">
        <v>44.947564094118803</v>
      </c>
      <c r="J106" s="861">
        <v>59.422145849949203</v>
      </c>
      <c r="K106" s="982">
        <v>2</v>
      </c>
      <c r="L106" s="735" t="s">
        <v>2466</v>
      </c>
      <c r="M106" s="735">
        <v>2893</v>
      </c>
      <c r="N106" s="845" t="str">
        <f t="shared" si="13"/>
        <v/>
      </c>
      <c r="O106" s="735">
        <v>0.49014394896198965</v>
      </c>
      <c r="P106" s="735">
        <f t="shared" si="14"/>
        <v>5902.3476799554455</v>
      </c>
      <c r="Q106" s="849">
        <v>39.700000000000003</v>
      </c>
      <c r="R106" s="71">
        <v>63676</v>
      </c>
      <c r="S106" s="845">
        <v>0.13709389503748662</v>
      </c>
      <c r="T106" s="845">
        <v>4.8000000000000001E-2</v>
      </c>
      <c r="U106" s="845">
        <v>0</v>
      </c>
      <c r="V106" s="845">
        <v>4.2999999999999997E-2</v>
      </c>
      <c r="W106" s="845">
        <v>0.82799999999999996</v>
      </c>
      <c r="X106" s="845">
        <v>0.39023081052066561</v>
      </c>
      <c r="Y106" s="845">
        <v>0.58831662633944004</v>
      </c>
      <c r="Z106" s="845">
        <v>0.19357068786726581</v>
      </c>
      <c r="AA106" s="845">
        <v>1.7283097131005876E-3</v>
      </c>
      <c r="AB106" s="845">
        <v>0.13307984790874525</v>
      </c>
      <c r="AC106" s="845">
        <v>0</v>
      </c>
      <c r="AD106" s="845">
        <v>0</v>
      </c>
      <c r="AE106" s="845">
        <v>8.330452817144833E-2</v>
      </c>
      <c r="AF106" s="845">
        <v>3.3183546491531282E-2</v>
      </c>
      <c r="AG106" s="845">
        <v>0.57310750086415485</v>
      </c>
      <c r="AH106" s="20" t="str">
        <f t="shared" si="15"/>
        <v>No</v>
      </c>
      <c r="AI106" s="25"/>
      <c r="AJ106" s="20">
        <v>44621</v>
      </c>
      <c r="AK106" s="20" t="s">
        <v>1393</v>
      </c>
      <c r="AL106" s="20">
        <v>39019</v>
      </c>
      <c r="AM106" s="20" t="s">
        <v>16</v>
      </c>
      <c r="AN106" s="37">
        <f t="shared" si="16"/>
        <v>15940</v>
      </c>
      <c r="AO106" s="37" t="str">
        <f t="shared" si="17"/>
        <v>Canton-Massillon, OH</v>
      </c>
      <c r="AP106" s="20" t="s">
        <v>8</v>
      </c>
      <c r="AQ106" s="25"/>
      <c r="AR106" s="25"/>
      <c r="AS106" s="25"/>
      <c r="AT106" s="25"/>
      <c r="AU106" s="36"/>
      <c r="AV106" s="36"/>
      <c r="AW106" s="36"/>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39">
        <v>45701</v>
      </c>
      <c r="BV106" s="39" t="s">
        <v>1832</v>
      </c>
      <c r="BW106" s="39" t="s">
        <v>2867</v>
      </c>
      <c r="BX106" s="39" t="s">
        <v>2868</v>
      </c>
      <c r="BY106" s="71">
        <v>1040</v>
      </c>
      <c r="BZ106" s="71">
        <v>1050</v>
      </c>
      <c r="CA106" s="71">
        <v>1260</v>
      </c>
      <c r="CB106" s="71">
        <v>1540</v>
      </c>
      <c r="CC106" s="71">
        <v>1720</v>
      </c>
      <c r="CD106" s="25"/>
      <c r="CE106" s="200"/>
      <c r="CF106" s="200"/>
      <c r="CG106" s="200"/>
      <c r="CH106" s="200"/>
      <c r="CI106" s="200"/>
      <c r="CJ106" s="200"/>
      <c r="CK106" s="200"/>
      <c r="CL106" s="200"/>
      <c r="CM106" s="200"/>
      <c r="CN106" s="200"/>
      <c r="CO106" s="200"/>
      <c r="CP106" s="200"/>
      <c r="CQ106" s="200"/>
      <c r="CR106" s="200"/>
      <c r="CS106" s="200"/>
      <c r="CT106" s="200"/>
      <c r="CU106" s="200"/>
    </row>
    <row r="107" spans="1:134" s="17" customFormat="1" x14ac:dyDescent="0.2">
      <c r="A107" s="25"/>
      <c r="B107" s="20">
        <v>39049007212</v>
      </c>
      <c r="C107" s="20">
        <v>72.12</v>
      </c>
      <c r="D107" s="20" t="s">
        <v>31</v>
      </c>
      <c r="E107" s="20" t="s">
        <v>2830</v>
      </c>
      <c r="F107" s="20" t="s">
        <v>8</v>
      </c>
      <c r="G107" s="861">
        <v>78.528752573360293</v>
      </c>
      <c r="H107" s="861">
        <v>69.341859361030203</v>
      </c>
      <c r="I107" s="861">
        <v>23.1709720707786</v>
      </c>
      <c r="J107" s="861">
        <v>40.810115951181203</v>
      </c>
      <c r="K107" s="982">
        <v>0</v>
      </c>
      <c r="L107" s="735" t="s">
        <v>2466</v>
      </c>
      <c r="M107" s="735">
        <v>5289</v>
      </c>
      <c r="N107" s="845" t="str">
        <f t="shared" si="13"/>
        <v/>
      </c>
      <c r="O107" s="735">
        <v>2.6496832064607432</v>
      </c>
      <c r="P107" s="735">
        <f t="shared" si="14"/>
        <v>1996.0876783699237</v>
      </c>
      <c r="Q107" s="849">
        <v>40.299999999999997</v>
      </c>
      <c r="R107" s="71">
        <v>186701</v>
      </c>
      <c r="S107" s="845">
        <v>2.3104831010120296E-2</v>
      </c>
      <c r="T107" s="845">
        <v>4.0999999999999995E-2</v>
      </c>
      <c r="U107" s="845">
        <v>0</v>
      </c>
      <c r="V107" s="845">
        <v>0</v>
      </c>
      <c r="W107" s="845">
        <v>0.31764097258147955</v>
      </c>
      <c r="X107" s="845">
        <v>0.40716612377850164</v>
      </c>
      <c r="Y107" s="845">
        <v>0.73756853847608239</v>
      </c>
      <c r="Z107" s="845">
        <v>3.5545471733787103E-2</v>
      </c>
      <c r="AA107" s="845">
        <v>0</v>
      </c>
      <c r="AB107" s="845">
        <v>6.0313858952543015E-2</v>
      </c>
      <c r="AC107" s="845">
        <v>0</v>
      </c>
      <c r="AD107" s="845">
        <v>4.3864624692758557E-2</v>
      </c>
      <c r="AE107" s="845">
        <v>0.12270750614482889</v>
      </c>
      <c r="AF107" s="845">
        <v>8.886367933446776E-2</v>
      </c>
      <c r="AG107" s="845">
        <v>0.72074116089998108</v>
      </c>
      <c r="AH107" s="20" t="str">
        <f t="shared" si="15"/>
        <v>No</v>
      </c>
      <c r="AI107" s="25"/>
      <c r="AJ107" s="37">
        <v>44625</v>
      </c>
      <c r="AK107" s="37" t="s">
        <v>1396</v>
      </c>
      <c r="AL107" s="37">
        <v>39019</v>
      </c>
      <c r="AM107" s="37" t="s">
        <v>16</v>
      </c>
      <c r="AN107" s="37">
        <f t="shared" si="16"/>
        <v>15940</v>
      </c>
      <c r="AO107" s="37" t="str">
        <f t="shared" si="17"/>
        <v>Canton-Massillon, OH</v>
      </c>
      <c r="AP107" s="20" t="s">
        <v>8</v>
      </c>
      <c r="AQ107" s="25"/>
      <c r="AR107" s="25"/>
      <c r="AS107" s="25"/>
      <c r="AT107" s="25"/>
      <c r="AU107" s="36"/>
      <c r="AV107" s="36"/>
      <c r="AW107" s="36"/>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39">
        <v>45710</v>
      </c>
      <c r="BV107" s="39" t="s">
        <v>1833</v>
      </c>
      <c r="BW107" s="39" t="s">
        <v>2867</v>
      </c>
      <c r="BX107" s="39" t="s">
        <v>2868</v>
      </c>
      <c r="BY107" s="71">
        <v>820</v>
      </c>
      <c r="BZ107" s="71">
        <v>840</v>
      </c>
      <c r="CA107" s="71">
        <v>1030</v>
      </c>
      <c r="CB107" s="71">
        <v>1250</v>
      </c>
      <c r="CC107" s="71">
        <v>1480</v>
      </c>
      <c r="CD107" s="25"/>
      <c r="CE107" s="200"/>
      <c r="CF107" s="200"/>
      <c r="CG107" s="200"/>
      <c r="CH107" s="200"/>
      <c r="CI107" s="200"/>
      <c r="CJ107" s="200"/>
      <c r="CK107" s="200"/>
      <c r="CL107" s="200"/>
      <c r="CM107" s="200"/>
      <c r="CN107" s="200"/>
      <c r="CO107" s="200"/>
      <c r="CP107" s="200"/>
      <c r="CQ107" s="200"/>
      <c r="CR107" s="200"/>
      <c r="CS107" s="200"/>
      <c r="CT107" s="200"/>
      <c r="CU107" s="200"/>
    </row>
    <row r="108" spans="1:134" s="17" customFormat="1" x14ac:dyDescent="0.2">
      <c r="A108" s="25"/>
      <c r="B108" s="20">
        <v>39049010501</v>
      </c>
      <c r="C108" s="20">
        <v>105.01</v>
      </c>
      <c r="D108" s="20" t="s">
        <v>31</v>
      </c>
      <c r="E108" s="20" t="s">
        <v>2830</v>
      </c>
      <c r="F108" s="20" t="s">
        <v>8</v>
      </c>
      <c r="G108" s="861">
        <v>78.428654474568901</v>
      </c>
      <c r="H108" s="861">
        <v>76.7499631865997</v>
      </c>
      <c r="I108" s="861">
        <v>24.291392683241199</v>
      </c>
      <c r="J108" s="861">
        <v>52.817074185681498</v>
      </c>
      <c r="K108" s="982">
        <v>0</v>
      </c>
      <c r="L108" s="735" t="s">
        <v>2466</v>
      </c>
      <c r="M108" s="735">
        <v>4998</v>
      </c>
      <c r="N108" s="845" t="str">
        <f t="shared" si="13"/>
        <v/>
      </c>
      <c r="O108" s="735">
        <v>1.065702189652137</v>
      </c>
      <c r="P108" s="735">
        <f t="shared" si="14"/>
        <v>4689.8655633159869</v>
      </c>
      <c r="Q108" s="849">
        <v>41.2</v>
      </c>
      <c r="R108" s="71">
        <v>147703</v>
      </c>
      <c r="S108" s="845">
        <v>3.0388978930307943E-3</v>
      </c>
      <c r="T108" s="845">
        <v>6.9999999999999993E-3</v>
      </c>
      <c r="U108" s="845">
        <v>0</v>
      </c>
      <c r="V108" s="845">
        <v>5.5999999999999994E-2</v>
      </c>
      <c r="W108" s="845">
        <v>0.32332439678284181</v>
      </c>
      <c r="X108" s="845">
        <v>0.27694859038142622</v>
      </c>
      <c r="Y108" s="845">
        <v>0.74129651860744294</v>
      </c>
      <c r="Z108" s="845">
        <v>6.0024009603841532E-4</v>
      </c>
      <c r="AA108" s="845">
        <v>1.4005602240896359E-3</v>
      </c>
      <c r="AB108" s="845">
        <v>0.21428571428571427</v>
      </c>
      <c r="AC108" s="845">
        <v>0</v>
      </c>
      <c r="AD108" s="845">
        <v>0</v>
      </c>
      <c r="AE108" s="845">
        <v>4.2416966786714687E-2</v>
      </c>
      <c r="AF108" s="845">
        <v>3.8815526210484196E-2</v>
      </c>
      <c r="AG108" s="845">
        <v>0.72889155662264904</v>
      </c>
      <c r="AH108" s="20" t="str">
        <f t="shared" si="15"/>
        <v>No</v>
      </c>
      <c r="AI108" s="25"/>
      <c r="AJ108" s="20">
        <v>44639</v>
      </c>
      <c r="AK108" s="20" t="s">
        <v>1407</v>
      </c>
      <c r="AL108" s="20">
        <v>39019</v>
      </c>
      <c r="AM108" s="20" t="s">
        <v>16</v>
      </c>
      <c r="AN108" s="37">
        <f t="shared" si="16"/>
        <v>15940</v>
      </c>
      <c r="AO108" s="37" t="str">
        <f t="shared" si="17"/>
        <v>Canton-Massillon, OH</v>
      </c>
      <c r="AP108" s="20" t="s">
        <v>8</v>
      </c>
      <c r="AQ108" s="25"/>
      <c r="AR108" s="25"/>
      <c r="AS108" s="25"/>
      <c r="AT108" s="25"/>
      <c r="AU108" s="36"/>
      <c r="AV108" s="36"/>
      <c r="AW108" s="36"/>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39">
        <v>45711</v>
      </c>
      <c r="BV108" s="39" t="s">
        <v>1834</v>
      </c>
      <c r="BW108" s="39" t="s">
        <v>2867</v>
      </c>
      <c r="BX108" s="39" t="s">
        <v>2868</v>
      </c>
      <c r="BY108" s="71">
        <v>960</v>
      </c>
      <c r="BZ108" s="71">
        <v>990</v>
      </c>
      <c r="CA108" s="71">
        <v>1170</v>
      </c>
      <c r="CB108" s="71">
        <v>1440</v>
      </c>
      <c r="CC108" s="71">
        <v>1630</v>
      </c>
      <c r="CD108" s="25"/>
      <c r="CE108" s="200"/>
      <c r="CF108" s="200"/>
      <c r="CG108" s="200"/>
      <c r="CH108" s="200"/>
      <c r="CI108" s="200"/>
      <c r="CJ108" s="200"/>
      <c r="CK108" s="200"/>
      <c r="CL108" s="200"/>
      <c r="CM108" s="200"/>
      <c r="CN108" s="200"/>
      <c r="CO108" s="200"/>
      <c r="CP108" s="200"/>
      <c r="CQ108" s="200"/>
      <c r="CR108" s="200"/>
      <c r="CS108" s="200"/>
      <c r="CT108" s="200"/>
      <c r="CU108" s="200"/>
    </row>
    <row r="109" spans="1:134" s="17" customFormat="1" x14ac:dyDescent="0.2">
      <c r="A109" s="25"/>
      <c r="B109" s="20">
        <v>39085203500</v>
      </c>
      <c r="C109" s="20">
        <v>2035</v>
      </c>
      <c r="D109" s="20" t="s">
        <v>48</v>
      </c>
      <c r="E109" s="20" t="s">
        <v>2829</v>
      </c>
      <c r="F109" s="20" t="s">
        <v>8</v>
      </c>
      <c r="G109" s="861">
        <v>78.381242798421596</v>
      </c>
      <c r="H109" s="861">
        <v>72.321207260779502</v>
      </c>
      <c r="I109" s="861">
        <v>20.2736403232974</v>
      </c>
      <c r="J109" s="861">
        <v>28.201911069449199</v>
      </c>
      <c r="K109" s="982">
        <v>0</v>
      </c>
      <c r="L109" s="735">
        <v>6922</v>
      </c>
      <c r="M109" s="735">
        <v>6546</v>
      </c>
      <c r="N109" s="845">
        <f t="shared" si="13"/>
        <v>-5.4319560820572092E-2</v>
      </c>
      <c r="O109" s="735">
        <v>3.3704540828953844</v>
      </c>
      <c r="P109" s="735">
        <f t="shared" si="14"/>
        <v>1942.1715409861531</v>
      </c>
      <c r="Q109" s="849">
        <v>50.1</v>
      </c>
      <c r="R109" s="71">
        <v>97706</v>
      </c>
      <c r="S109" s="845">
        <v>4.7051634586006724E-2</v>
      </c>
      <c r="T109" s="845">
        <v>6.9999999999999993E-3</v>
      </c>
      <c r="U109" s="845">
        <v>0</v>
      </c>
      <c r="V109" s="845">
        <v>0</v>
      </c>
      <c r="W109" s="845">
        <v>1.7273061374494671E-2</v>
      </c>
      <c r="X109" s="845">
        <v>0</v>
      </c>
      <c r="Y109" s="845">
        <v>0.88863428047662696</v>
      </c>
      <c r="Z109" s="845">
        <v>3.9718912312862818E-3</v>
      </c>
      <c r="AA109" s="845">
        <v>0</v>
      </c>
      <c r="AB109" s="845">
        <v>5.2398411243507484E-2</v>
      </c>
      <c r="AC109" s="845">
        <v>0</v>
      </c>
      <c r="AD109" s="845">
        <v>0</v>
      </c>
      <c r="AE109" s="845">
        <v>5.4995417048579284E-2</v>
      </c>
      <c r="AF109" s="845">
        <v>2.5970058050717995E-3</v>
      </c>
      <c r="AG109" s="845">
        <v>0.88863428047662696</v>
      </c>
      <c r="AH109" s="20" t="str">
        <f t="shared" si="15"/>
        <v>No</v>
      </c>
      <c r="AI109" s="25"/>
      <c r="AJ109" s="20">
        <v>44643</v>
      </c>
      <c r="AK109" s="20" t="s">
        <v>1410</v>
      </c>
      <c r="AL109" s="20">
        <v>39019</v>
      </c>
      <c r="AM109" s="20" t="s">
        <v>16</v>
      </c>
      <c r="AN109" s="37">
        <f t="shared" si="16"/>
        <v>15940</v>
      </c>
      <c r="AO109" s="37" t="str">
        <f t="shared" si="17"/>
        <v>Canton-Massillon, OH</v>
      </c>
      <c r="AP109" s="20" t="s">
        <v>8</v>
      </c>
      <c r="AQ109" s="25"/>
      <c r="AR109" s="25"/>
      <c r="AS109" s="25"/>
      <c r="AT109" s="25"/>
      <c r="AU109" s="36"/>
      <c r="AV109" s="36"/>
      <c r="AW109" s="36"/>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39">
        <v>45716</v>
      </c>
      <c r="BV109" s="39" t="s">
        <v>1837</v>
      </c>
      <c r="BW109" s="39" t="s">
        <v>2867</v>
      </c>
      <c r="BX109" s="39" t="s">
        <v>2868</v>
      </c>
      <c r="BY109" s="71">
        <v>800</v>
      </c>
      <c r="BZ109" s="71">
        <v>810</v>
      </c>
      <c r="CA109" s="71">
        <v>970</v>
      </c>
      <c r="CB109" s="71">
        <v>1190</v>
      </c>
      <c r="CC109" s="71">
        <v>1390</v>
      </c>
      <c r="CD109" s="25"/>
      <c r="CE109" s="200"/>
      <c r="CF109" s="200"/>
      <c r="CG109" s="200"/>
      <c r="CH109" s="200"/>
      <c r="CI109" s="200"/>
      <c r="CJ109" s="200"/>
      <c r="CK109" s="200"/>
      <c r="CL109" s="200"/>
      <c r="CM109" s="200"/>
      <c r="CN109" s="200"/>
      <c r="CO109" s="200"/>
      <c r="CP109" s="200"/>
      <c r="CQ109" s="200"/>
      <c r="CR109" s="200"/>
      <c r="CS109" s="200"/>
      <c r="CT109" s="200"/>
      <c r="CU109" s="200"/>
    </row>
    <row r="110" spans="1:134" s="17" customFormat="1" x14ac:dyDescent="0.2">
      <c r="A110" s="25"/>
      <c r="B110" s="20">
        <v>39049006395</v>
      </c>
      <c r="C110" s="20">
        <v>63.95</v>
      </c>
      <c r="D110" s="20" t="s">
        <v>31</v>
      </c>
      <c r="E110" s="20" t="s">
        <v>2830</v>
      </c>
      <c r="F110" s="20" t="s">
        <v>8</v>
      </c>
      <c r="G110" s="861">
        <v>78.377993313348995</v>
      </c>
      <c r="H110" s="861">
        <v>78.396880139319407</v>
      </c>
      <c r="I110" s="861">
        <v>36.057756102966799</v>
      </c>
      <c r="J110" s="861">
        <v>42.636478220035002</v>
      </c>
      <c r="K110" s="982">
        <v>0</v>
      </c>
      <c r="L110" s="735">
        <v>3328</v>
      </c>
      <c r="M110" s="735">
        <v>3890</v>
      </c>
      <c r="N110" s="845">
        <f t="shared" si="13"/>
        <v>0.16887019230769232</v>
      </c>
      <c r="O110" s="735">
        <v>0.69799239348631603</v>
      </c>
      <c r="P110" s="735">
        <f t="shared" si="14"/>
        <v>5573.1266361948719</v>
      </c>
      <c r="Q110" s="849">
        <v>34.200000000000003</v>
      </c>
      <c r="R110" s="71">
        <v>72136</v>
      </c>
      <c r="S110" s="845">
        <v>8.7146529562982009E-2</v>
      </c>
      <c r="T110" s="845">
        <v>3.5000000000000003E-2</v>
      </c>
      <c r="U110" s="845">
        <v>2.3E-2</v>
      </c>
      <c r="V110" s="845">
        <v>1.2E-2</v>
      </c>
      <c r="W110" s="845">
        <v>0.50687529634898054</v>
      </c>
      <c r="X110" s="845">
        <v>0.36856875584658561</v>
      </c>
      <c r="Y110" s="845">
        <v>0.79434447300771205</v>
      </c>
      <c r="Z110" s="845">
        <v>6.0154241645244216E-2</v>
      </c>
      <c r="AA110" s="845">
        <v>0</v>
      </c>
      <c r="AB110" s="845">
        <v>9.7429305912596395E-2</v>
      </c>
      <c r="AC110" s="845">
        <v>0</v>
      </c>
      <c r="AD110" s="845">
        <v>1.2853470437017995E-2</v>
      </c>
      <c r="AE110" s="845">
        <v>3.5218508997429308E-2</v>
      </c>
      <c r="AF110" s="845">
        <v>8.9974293059125968E-3</v>
      </c>
      <c r="AG110" s="845">
        <v>0.79100257069408741</v>
      </c>
      <c r="AH110" s="20" t="str">
        <f t="shared" si="15"/>
        <v>No</v>
      </c>
      <c r="AI110" s="25"/>
      <c r="AJ110" s="20">
        <v>44644</v>
      </c>
      <c r="AK110" s="20" t="s">
        <v>1411</v>
      </c>
      <c r="AL110" s="20">
        <v>39019</v>
      </c>
      <c r="AM110" s="20" t="s">
        <v>16</v>
      </c>
      <c r="AN110" s="37">
        <f t="shared" si="16"/>
        <v>15940</v>
      </c>
      <c r="AO110" s="37" t="str">
        <f t="shared" si="17"/>
        <v>Canton-Massillon, OH</v>
      </c>
      <c r="AP110" s="20" t="s">
        <v>8</v>
      </c>
      <c r="AQ110" s="25"/>
      <c r="AR110" s="25"/>
      <c r="AS110" s="25"/>
      <c r="AT110" s="25"/>
      <c r="AU110" s="36"/>
      <c r="AV110" s="36"/>
      <c r="AW110" s="36"/>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39">
        <v>45719</v>
      </c>
      <c r="BV110" s="39" t="s">
        <v>1838</v>
      </c>
      <c r="BW110" s="39" t="s">
        <v>2867</v>
      </c>
      <c r="BX110" s="39" t="s">
        <v>2868</v>
      </c>
      <c r="BY110" s="71">
        <v>800</v>
      </c>
      <c r="BZ110" s="71">
        <v>810</v>
      </c>
      <c r="CA110" s="71">
        <v>970</v>
      </c>
      <c r="CB110" s="71">
        <v>1190</v>
      </c>
      <c r="CC110" s="71">
        <v>1390</v>
      </c>
      <c r="CD110" s="25"/>
      <c r="CE110" s="200"/>
      <c r="CF110" s="200"/>
      <c r="CG110" s="200"/>
      <c r="CH110" s="200"/>
      <c r="CI110" s="200"/>
      <c r="CJ110" s="200"/>
      <c r="CK110" s="200"/>
      <c r="CL110" s="200"/>
      <c r="CM110" s="200"/>
      <c r="CN110" s="200"/>
      <c r="CO110" s="200"/>
      <c r="CP110" s="200"/>
      <c r="CQ110" s="200"/>
      <c r="CR110" s="200"/>
      <c r="CS110" s="200"/>
      <c r="CT110" s="200"/>
      <c r="CU110" s="200"/>
    </row>
    <row r="111" spans="1:134" s="17" customFormat="1" x14ac:dyDescent="0.2">
      <c r="A111" s="25"/>
      <c r="B111" s="20">
        <v>39085203400</v>
      </c>
      <c r="C111" s="20">
        <v>2034</v>
      </c>
      <c r="D111" s="20" t="s">
        <v>48</v>
      </c>
      <c r="E111" s="20" t="s">
        <v>2829</v>
      </c>
      <c r="F111" s="20" t="s">
        <v>8</v>
      </c>
      <c r="G111" s="861">
        <v>78.368963371191398</v>
      </c>
      <c r="H111" s="861">
        <v>78.089283407098605</v>
      </c>
      <c r="I111" s="861">
        <v>17.625679926577199</v>
      </c>
      <c r="J111" s="861">
        <v>45.245665747249902</v>
      </c>
      <c r="K111" s="982">
        <v>0</v>
      </c>
      <c r="L111" s="735">
        <v>4232</v>
      </c>
      <c r="M111" s="735">
        <v>4090</v>
      </c>
      <c r="N111" s="845">
        <f t="shared" si="13"/>
        <v>-3.3553875236294897E-2</v>
      </c>
      <c r="O111" s="735">
        <v>2.3577189317676059</v>
      </c>
      <c r="P111" s="735">
        <f t="shared" si="14"/>
        <v>1734.7275558981432</v>
      </c>
      <c r="Q111" s="849">
        <v>47.6</v>
      </c>
      <c r="R111" s="71">
        <v>90921</v>
      </c>
      <c r="S111" s="845">
        <v>4.6587761269201715E-2</v>
      </c>
      <c r="T111" s="845">
        <v>5.4000000000000006E-2</v>
      </c>
      <c r="U111" s="845">
        <v>0</v>
      </c>
      <c r="V111" s="845">
        <v>6.7000000000000004E-2</v>
      </c>
      <c r="W111" s="845">
        <v>0.2153846153846154</v>
      </c>
      <c r="X111" s="845">
        <v>0.10969387755102041</v>
      </c>
      <c r="Y111" s="845">
        <v>0.90440097799510999</v>
      </c>
      <c r="Z111" s="845">
        <v>2.958435207823961E-2</v>
      </c>
      <c r="AA111" s="845">
        <v>0</v>
      </c>
      <c r="AB111" s="845">
        <v>1.5647921760391197E-2</v>
      </c>
      <c r="AC111" s="845">
        <v>0</v>
      </c>
      <c r="AD111" s="845">
        <v>6.1124694376528121E-3</v>
      </c>
      <c r="AE111" s="845">
        <v>4.4254278728606357E-2</v>
      </c>
      <c r="AF111" s="845">
        <v>8.2151589242053791E-2</v>
      </c>
      <c r="AG111" s="845">
        <v>0.84400977995110027</v>
      </c>
      <c r="AH111" s="20" t="str">
        <f t="shared" si="15"/>
        <v>No</v>
      </c>
      <c r="AI111" s="25"/>
      <c r="AJ111" s="20">
        <v>44651</v>
      </c>
      <c r="AK111" s="20" t="s">
        <v>1415</v>
      </c>
      <c r="AL111" s="20">
        <v>39019</v>
      </c>
      <c r="AM111" s="20" t="s">
        <v>16</v>
      </c>
      <c r="AN111" s="37">
        <f t="shared" si="16"/>
        <v>15940</v>
      </c>
      <c r="AO111" s="37" t="str">
        <f t="shared" si="17"/>
        <v>Canton-Massillon, OH</v>
      </c>
      <c r="AP111" s="20" t="s">
        <v>8</v>
      </c>
      <c r="AQ111" s="25"/>
      <c r="AR111" s="25"/>
      <c r="AS111" s="25"/>
      <c r="AT111" s="25"/>
      <c r="AU111" s="36"/>
      <c r="AV111" s="36"/>
      <c r="AW111" s="36"/>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39">
        <v>45723</v>
      </c>
      <c r="BV111" s="39" t="s">
        <v>1841</v>
      </c>
      <c r="BW111" s="39" t="s">
        <v>2867</v>
      </c>
      <c r="BX111" s="39" t="s">
        <v>2868</v>
      </c>
      <c r="BY111" s="71">
        <v>790</v>
      </c>
      <c r="BZ111" s="71">
        <v>800</v>
      </c>
      <c r="CA111" s="71">
        <v>970</v>
      </c>
      <c r="CB111" s="71">
        <v>1190</v>
      </c>
      <c r="CC111" s="71">
        <v>1390</v>
      </c>
      <c r="CD111" s="25"/>
      <c r="CE111" s="200"/>
      <c r="CF111" s="200"/>
      <c r="CG111" s="200"/>
      <c r="CH111" s="200"/>
      <c r="CI111" s="200"/>
      <c r="CJ111" s="200"/>
      <c r="CK111" s="200"/>
      <c r="CL111" s="200"/>
      <c r="CM111" s="200"/>
      <c r="CN111" s="200"/>
      <c r="CO111" s="200"/>
      <c r="CP111" s="200"/>
      <c r="CQ111" s="200"/>
      <c r="CR111" s="200"/>
      <c r="CS111" s="200"/>
      <c r="CT111" s="200"/>
      <c r="CU111" s="200"/>
    </row>
    <row r="112" spans="1:134" s="17" customFormat="1" x14ac:dyDescent="0.2">
      <c r="A112" s="25"/>
      <c r="B112" s="20">
        <v>39049007193</v>
      </c>
      <c r="C112" s="20">
        <v>71.930000000000007</v>
      </c>
      <c r="D112" s="20" t="s">
        <v>31</v>
      </c>
      <c r="E112" s="20" t="s">
        <v>2830</v>
      </c>
      <c r="F112" s="20" t="s">
        <v>8</v>
      </c>
      <c r="G112" s="861">
        <v>78.279308789411402</v>
      </c>
      <c r="H112" s="861">
        <v>69.465226246187996</v>
      </c>
      <c r="I112" s="861">
        <v>28.704327081908399</v>
      </c>
      <c r="J112" s="861">
        <v>52.609376069830702</v>
      </c>
      <c r="K112" s="982">
        <v>0</v>
      </c>
      <c r="L112" s="735">
        <v>6243</v>
      </c>
      <c r="M112" s="735">
        <v>6532</v>
      </c>
      <c r="N112" s="845">
        <f t="shared" si="13"/>
        <v>4.6291846868492713E-2</v>
      </c>
      <c r="O112" s="735">
        <v>1.7470257807476963</v>
      </c>
      <c r="P112" s="735">
        <f t="shared" si="14"/>
        <v>3738.9259345700202</v>
      </c>
      <c r="Q112" s="849">
        <v>43.8</v>
      </c>
      <c r="R112" s="71">
        <v>131659</v>
      </c>
      <c r="S112" s="845">
        <v>3.6910669975186106E-2</v>
      </c>
      <c r="T112" s="845">
        <v>5.0000000000000001E-3</v>
      </c>
      <c r="U112" s="845">
        <v>0</v>
      </c>
      <c r="V112" s="845">
        <v>0</v>
      </c>
      <c r="W112" s="845">
        <v>0.14910453977509372</v>
      </c>
      <c r="X112" s="845">
        <v>0.41620111731843573</v>
      </c>
      <c r="Y112" s="845">
        <v>0.88334353949785671</v>
      </c>
      <c r="Z112" s="845">
        <v>7.0728720146968765E-2</v>
      </c>
      <c r="AA112" s="845">
        <v>3.5211267605633804E-3</v>
      </c>
      <c r="AB112" s="845">
        <v>3.0618493570116348E-3</v>
      </c>
      <c r="AC112" s="845">
        <v>0</v>
      </c>
      <c r="AD112" s="845">
        <v>8.5731781996325786E-3</v>
      </c>
      <c r="AE112" s="845">
        <v>3.0771586037966932E-2</v>
      </c>
      <c r="AF112" s="845">
        <v>3.9957134109001834E-2</v>
      </c>
      <c r="AG112" s="845">
        <v>0.88273116962645437</v>
      </c>
      <c r="AH112" s="20" t="str">
        <f t="shared" si="15"/>
        <v>No</v>
      </c>
      <c r="AI112" s="25"/>
      <c r="AJ112" s="37">
        <v>44656</v>
      </c>
      <c r="AK112" s="37" t="s">
        <v>1419</v>
      </c>
      <c r="AL112" s="37">
        <v>39019</v>
      </c>
      <c r="AM112" s="37" t="s">
        <v>16</v>
      </c>
      <c r="AN112" s="37">
        <f t="shared" si="16"/>
        <v>15940</v>
      </c>
      <c r="AO112" s="37" t="str">
        <f t="shared" si="17"/>
        <v>Canton-Massillon, OH</v>
      </c>
      <c r="AP112" s="20" t="s">
        <v>8</v>
      </c>
      <c r="AQ112" s="25"/>
      <c r="AR112" s="25"/>
      <c r="AS112" s="25"/>
      <c r="AT112" s="25"/>
      <c r="AU112" s="36"/>
      <c r="AV112" s="36"/>
      <c r="AW112" s="36"/>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39">
        <v>45735</v>
      </c>
      <c r="BV112" s="39" t="s">
        <v>1847</v>
      </c>
      <c r="BW112" s="39" t="s">
        <v>2867</v>
      </c>
      <c r="BX112" s="39" t="s">
        <v>2868</v>
      </c>
      <c r="BY112" s="71">
        <v>880</v>
      </c>
      <c r="BZ112" s="71">
        <v>890</v>
      </c>
      <c r="CA112" s="71">
        <v>1070</v>
      </c>
      <c r="CB112" s="71">
        <v>1310</v>
      </c>
      <c r="CC112" s="71">
        <v>1490</v>
      </c>
      <c r="CD112" s="25"/>
      <c r="CE112" s="200"/>
      <c r="CF112" s="200"/>
      <c r="CG112" s="200"/>
      <c r="CH112" s="200"/>
      <c r="CI112" s="200"/>
      <c r="CJ112" s="200"/>
      <c r="CK112" s="200"/>
      <c r="CL112" s="200"/>
      <c r="CM112" s="200"/>
      <c r="CN112" s="200"/>
      <c r="CO112" s="200"/>
      <c r="CP112" s="200"/>
      <c r="CQ112" s="200"/>
      <c r="CR112" s="200"/>
      <c r="CS112" s="200"/>
      <c r="CT112" s="200"/>
      <c r="CU112" s="200"/>
    </row>
    <row r="113" spans="1:99" s="17" customFormat="1" x14ac:dyDescent="0.2">
      <c r="A113" s="25"/>
      <c r="B113" s="20">
        <v>39035172201</v>
      </c>
      <c r="C113" s="20">
        <v>1722.01</v>
      </c>
      <c r="D113" s="20" t="s">
        <v>24</v>
      </c>
      <c r="E113" s="20" t="s">
        <v>2829</v>
      </c>
      <c r="F113" s="20" t="s">
        <v>8</v>
      </c>
      <c r="G113" s="861">
        <v>78.239479323874505</v>
      </c>
      <c r="H113" s="861">
        <v>67.173350451043106</v>
      </c>
      <c r="I113" s="861">
        <v>24.367290451858501</v>
      </c>
      <c r="J113" s="861">
        <v>52.528754452204304</v>
      </c>
      <c r="K113" s="982">
        <v>0</v>
      </c>
      <c r="L113" s="735">
        <v>3937</v>
      </c>
      <c r="M113" s="735">
        <v>3911</v>
      </c>
      <c r="N113" s="845">
        <f t="shared" si="13"/>
        <v>-6.6040132080264161E-3</v>
      </c>
      <c r="O113" s="735">
        <v>0.89354541477026317</v>
      </c>
      <c r="P113" s="735">
        <f t="shared" si="14"/>
        <v>4376.9459675483258</v>
      </c>
      <c r="Q113" s="849">
        <v>39</v>
      </c>
      <c r="R113" s="71">
        <v>85781</v>
      </c>
      <c r="S113" s="845">
        <v>1.8713150474237376E-2</v>
      </c>
      <c r="T113" s="845">
        <v>6.0000000000000001E-3</v>
      </c>
      <c r="U113" s="845">
        <v>0.03</v>
      </c>
      <c r="V113" s="845">
        <v>0</v>
      </c>
      <c r="W113" s="845">
        <v>0.30598802395209579</v>
      </c>
      <c r="X113" s="845">
        <v>0.35812133072407043</v>
      </c>
      <c r="Y113" s="845">
        <v>0.77882894400409097</v>
      </c>
      <c r="Z113" s="845">
        <v>5.9575556123753516E-2</v>
      </c>
      <c r="AA113" s="845">
        <v>0</v>
      </c>
      <c r="AB113" s="845">
        <v>5.5484530810534387E-2</v>
      </c>
      <c r="AC113" s="845">
        <v>0</v>
      </c>
      <c r="AD113" s="845">
        <v>9.2048069547430323E-3</v>
      </c>
      <c r="AE113" s="845">
        <v>9.6906162106878038E-2</v>
      </c>
      <c r="AF113" s="845">
        <v>2.1222193812324215E-2</v>
      </c>
      <c r="AG113" s="845">
        <v>0.77678343134748151</v>
      </c>
      <c r="AH113" s="20" t="str">
        <f t="shared" si="15"/>
        <v>No</v>
      </c>
      <c r="AI113" s="25"/>
      <c r="AJ113" s="20">
        <v>44657</v>
      </c>
      <c r="AK113" s="20" t="s">
        <v>1420</v>
      </c>
      <c r="AL113" s="20">
        <v>39019</v>
      </c>
      <c r="AM113" s="20" t="s">
        <v>16</v>
      </c>
      <c r="AN113" s="37">
        <f t="shared" si="16"/>
        <v>15940</v>
      </c>
      <c r="AO113" s="37" t="str">
        <f t="shared" si="17"/>
        <v>Canton-Massillon, OH</v>
      </c>
      <c r="AP113" s="20" t="s">
        <v>8</v>
      </c>
      <c r="AQ113" s="25"/>
      <c r="AR113" s="25"/>
      <c r="AS113" s="25"/>
      <c r="AT113" s="25"/>
      <c r="AU113" s="36"/>
      <c r="AV113" s="36"/>
      <c r="AW113" s="36"/>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39">
        <v>45739</v>
      </c>
      <c r="BV113" s="39" t="s">
        <v>1848</v>
      </c>
      <c r="BW113" s="39" t="s">
        <v>2867</v>
      </c>
      <c r="BX113" s="39" t="s">
        <v>2868</v>
      </c>
      <c r="BY113" s="71">
        <v>820</v>
      </c>
      <c r="BZ113" s="71">
        <v>830</v>
      </c>
      <c r="CA113" s="71">
        <v>1010</v>
      </c>
      <c r="CB113" s="71">
        <v>1270</v>
      </c>
      <c r="CC113" s="71">
        <v>1400</v>
      </c>
      <c r="CD113" s="25"/>
      <c r="CE113" s="200"/>
      <c r="CF113" s="200"/>
      <c r="CG113" s="200"/>
      <c r="CH113" s="200"/>
      <c r="CI113" s="200"/>
      <c r="CJ113" s="200"/>
      <c r="CK113" s="200"/>
      <c r="CL113" s="200"/>
      <c r="CM113" s="200"/>
      <c r="CN113" s="200"/>
      <c r="CO113" s="200"/>
      <c r="CP113" s="200"/>
      <c r="CQ113" s="200"/>
      <c r="CR113" s="200"/>
      <c r="CS113" s="200"/>
      <c r="CT113" s="200"/>
      <c r="CU113" s="200"/>
    </row>
    <row r="114" spans="1:99" s="17" customFormat="1" x14ac:dyDescent="0.2">
      <c r="A114" s="25"/>
      <c r="B114" s="20">
        <v>39061024903</v>
      </c>
      <c r="C114" s="20">
        <v>249.03</v>
      </c>
      <c r="D114" s="20" t="s">
        <v>37</v>
      </c>
      <c r="E114" s="20" t="s">
        <v>2828</v>
      </c>
      <c r="F114" s="20" t="s">
        <v>8</v>
      </c>
      <c r="G114" s="861">
        <v>78.2240751873384</v>
      </c>
      <c r="H114" s="861">
        <v>74.223095850883794</v>
      </c>
      <c r="I114" s="861">
        <v>26.653563511703499</v>
      </c>
      <c r="J114" s="861">
        <v>57.7825242947685</v>
      </c>
      <c r="K114" s="982">
        <v>0</v>
      </c>
      <c r="L114" s="735" t="s">
        <v>2466</v>
      </c>
      <c r="M114" s="735">
        <v>4640</v>
      </c>
      <c r="N114" s="845" t="str">
        <f t="shared" si="13"/>
        <v/>
      </c>
      <c r="O114" s="735">
        <v>2.658936530793572</v>
      </c>
      <c r="P114" s="735">
        <f t="shared" si="14"/>
        <v>1745.0585774663716</v>
      </c>
      <c r="Q114" s="849">
        <v>40.1</v>
      </c>
      <c r="R114" s="71">
        <v>175300</v>
      </c>
      <c r="S114" s="845">
        <v>2.5215517241379309E-2</v>
      </c>
      <c r="T114" s="845">
        <v>0.02</v>
      </c>
      <c r="U114" s="845">
        <v>0</v>
      </c>
      <c r="V114" s="845" t="s">
        <v>2466</v>
      </c>
      <c r="W114" s="845">
        <v>0</v>
      </c>
      <c r="X114" s="845"/>
      <c r="Y114" s="845">
        <v>0.89094827586206893</v>
      </c>
      <c r="Z114" s="845">
        <v>1.9396551724137931E-3</v>
      </c>
      <c r="AA114" s="845">
        <v>0</v>
      </c>
      <c r="AB114" s="845">
        <v>2.5431034482758619E-2</v>
      </c>
      <c r="AC114" s="845">
        <v>4.3103448275862068E-3</v>
      </c>
      <c r="AD114" s="845">
        <v>2.1551724137931034E-3</v>
      </c>
      <c r="AE114" s="845">
        <v>7.5215517241379315E-2</v>
      </c>
      <c r="AF114" s="845">
        <v>2.2629310344827586E-2</v>
      </c>
      <c r="AG114" s="845">
        <v>0.89094827586206893</v>
      </c>
      <c r="AH114" s="20" t="str">
        <f t="shared" si="15"/>
        <v>No</v>
      </c>
      <c r="AI114" s="25"/>
      <c r="AJ114" s="37">
        <v>44675</v>
      </c>
      <c r="AK114" s="37" t="s">
        <v>1433</v>
      </c>
      <c r="AL114" s="37">
        <v>39019</v>
      </c>
      <c r="AM114" s="37" t="s">
        <v>16</v>
      </c>
      <c r="AN114" s="37">
        <f t="shared" si="16"/>
        <v>15940</v>
      </c>
      <c r="AO114" s="37" t="str">
        <f t="shared" si="17"/>
        <v>Canton-Massillon, OH</v>
      </c>
      <c r="AP114" s="20" t="s">
        <v>8</v>
      </c>
      <c r="AQ114" s="25"/>
      <c r="AR114" s="25"/>
      <c r="AS114" s="25"/>
      <c r="AT114" s="25"/>
      <c r="AU114" s="36"/>
      <c r="AV114" s="36"/>
      <c r="AW114" s="36"/>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39">
        <v>45740</v>
      </c>
      <c r="BV114" s="39" t="s">
        <v>1849</v>
      </c>
      <c r="BW114" s="39" t="s">
        <v>2867</v>
      </c>
      <c r="BX114" s="39" t="s">
        <v>2868</v>
      </c>
      <c r="BY114" s="71">
        <v>790</v>
      </c>
      <c r="BZ114" s="71">
        <v>820</v>
      </c>
      <c r="CA114" s="71">
        <v>970</v>
      </c>
      <c r="CB114" s="71">
        <v>1190</v>
      </c>
      <c r="CC114" s="71">
        <v>1390</v>
      </c>
      <c r="CD114" s="25"/>
      <c r="CE114" s="200"/>
      <c r="CF114" s="200"/>
      <c r="CG114" s="200"/>
      <c r="CH114" s="200"/>
      <c r="CI114" s="200"/>
      <c r="CJ114" s="200"/>
      <c r="CK114" s="200"/>
      <c r="CL114" s="200"/>
      <c r="CM114" s="200"/>
      <c r="CN114" s="200"/>
      <c r="CO114" s="200"/>
      <c r="CP114" s="200"/>
      <c r="CQ114" s="200"/>
      <c r="CR114" s="200"/>
      <c r="CS114" s="200"/>
      <c r="CT114" s="200"/>
      <c r="CU114" s="200"/>
    </row>
    <row r="115" spans="1:99" s="17" customFormat="1" x14ac:dyDescent="0.2">
      <c r="A115" s="25"/>
      <c r="B115" s="20">
        <v>39041012400</v>
      </c>
      <c r="C115" s="20">
        <v>124</v>
      </c>
      <c r="D115" s="20" t="s">
        <v>27</v>
      </c>
      <c r="E115" s="20" t="s">
        <v>2830</v>
      </c>
      <c r="F115" s="20" t="s">
        <v>8</v>
      </c>
      <c r="G115" s="861">
        <v>78.153932948785197</v>
      </c>
      <c r="H115" s="861">
        <v>81.408484072549399</v>
      </c>
      <c r="I115" s="861">
        <v>26.0812257262202</v>
      </c>
      <c r="J115" s="861">
        <v>53.309360296348302</v>
      </c>
      <c r="K115" s="982">
        <v>0</v>
      </c>
      <c r="L115" s="735">
        <v>5617</v>
      </c>
      <c r="M115" s="735">
        <v>10552</v>
      </c>
      <c r="N115" s="845">
        <f t="shared" si="13"/>
        <v>0.8785828734199751</v>
      </c>
      <c r="O115" s="735">
        <v>3.72974916861684</v>
      </c>
      <c r="P115" s="735">
        <f t="shared" si="14"/>
        <v>2829.1446751399531</v>
      </c>
      <c r="Q115" s="849">
        <v>32.6</v>
      </c>
      <c r="R115" s="71">
        <v>97553</v>
      </c>
      <c r="S115" s="845">
        <v>8.0932524639878697E-2</v>
      </c>
      <c r="T115" s="845">
        <v>8.5999999999999993E-2</v>
      </c>
      <c r="U115" s="845">
        <v>0</v>
      </c>
      <c r="V115" s="845">
        <v>4.2999999999999997E-2</v>
      </c>
      <c r="W115" s="845">
        <v>0.71567010309278356</v>
      </c>
      <c r="X115" s="845">
        <v>0.24719101123595505</v>
      </c>
      <c r="Y115" s="845">
        <v>0.66527672479150868</v>
      </c>
      <c r="Z115" s="845">
        <v>0.10670962850644428</v>
      </c>
      <c r="AA115" s="845">
        <v>4.7384382107657316E-4</v>
      </c>
      <c r="AB115" s="845">
        <v>0.17153146322971949</v>
      </c>
      <c r="AC115" s="845">
        <v>0</v>
      </c>
      <c r="AD115" s="845">
        <v>2.2460197119029569E-2</v>
      </c>
      <c r="AE115" s="845">
        <v>3.3548142532221381E-2</v>
      </c>
      <c r="AF115" s="845">
        <v>4.5204700530705078E-2</v>
      </c>
      <c r="AG115" s="845">
        <v>0.64528051554207733</v>
      </c>
      <c r="AH115" s="20" t="str">
        <f t="shared" si="15"/>
        <v>No</v>
      </c>
      <c r="AI115" s="25"/>
      <c r="AJ115" s="37">
        <v>44688</v>
      </c>
      <c r="AK115" s="37" t="s">
        <v>1443</v>
      </c>
      <c r="AL115" s="37">
        <v>39019</v>
      </c>
      <c r="AM115" s="37" t="s">
        <v>16</v>
      </c>
      <c r="AN115" s="37">
        <f t="shared" si="16"/>
        <v>15940</v>
      </c>
      <c r="AO115" s="37" t="str">
        <f t="shared" si="17"/>
        <v>Canton-Massillon, OH</v>
      </c>
      <c r="AP115" s="20" t="s">
        <v>8</v>
      </c>
      <c r="AQ115" s="25"/>
      <c r="AR115" s="25"/>
      <c r="AS115" s="25"/>
      <c r="AT115" s="25"/>
      <c r="AU115" s="36"/>
      <c r="AV115" s="36"/>
      <c r="AW115" s="36"/>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39">
        <v>45742</v>
      </c>
      <c r="BV115" s="39" t="s">
        <v>1851</v>
      </c>
      <c r="BW115" s="39" t="s">
        <v>2867</v>
      </c>
      <c r="BX115" s="39" t="s">
        <v>2868</v>
      </c>
      <c r="BY115" s="71">
        <v>1070</v>
      </c>
      <c r="BZ115" s="71">
        <v>1070</v>
      </c>
      <c r="CA115" s="71">
        <v>1370</v>
      </c>
      <c r="CB115" s="71">
        <v>1840</v>
      </c>
      <c r="CC115" s="71">
        <v>2030</v>
      </c>
      <c r="CD115" s="25"/>
      <c r="CE115" s="200"/>
      <c r="CF115" s="200"/>
      <c r="CG115" s="200"/>
      <c r="CH115" s="200"/>
      <c r="CI115" s="200"/>
      <c r="CJ115" s="200"/>
      <c r="CK115" s="200"/>
      <c r="CL115" s="200"/>
      <c r="CM115" s="200"/>
      <c r="CN115" s="200"/>
      <c r="CO115" s="200"/>
      <c r="CP115" s="200"/>
      <c r="CQ115" s="200"/>
      <c r="CR115" s="200"/>
      <c r="CS115" s="200"/>
      <c r="CT115" s="200"/>
      <c r="CU115" s="200"/>
    </row>
    <row r="116" spans="1:99" s="17" customFormat="1" x14ac:dyDescent="0.2">
      <c r="A116" s="25"/>
      <c r="B116" s="20">
        <v>39095007102</v>
      </c>
      <c r="C116" s="20">
        <v>71.02</v>
      </c>
      <c r="D116" s="20" t="s">
        <v>53</v>
      </c>
      <c r="E116" s="20" t="s">
        <v>2839</v>
      </c>
      <c r="F116" s="20" t="s">
        <v>8</v>
      </c>
      <c r="G116" s="861">
        <v>78.133968046588507</v>
      </c>
      <c r="H116" s="861">
        <v>68.235572367300506</v>
      </c>
      <c r="I116" s="861">
        <v>25.082034685179899</v>
      </c>
      <c r="J116" s="861">
        <v>37.868413365694998</v>
      </c>
      <c r="K116" s="982">
        <v>0</v>
      </c>
      <c r="L116" s="735">
        <v>3648</v>
      </c>
      <c r="M116" s="735">
        <v>3520</v>
      </c>
      <c r="N116" s="845">
        <f t="shared" si="13"/>
        <v>-3.5087719298245612E-2</v>
      </c>
      <c r="O116" s="735">
        <v>2.1516890284102503</v>
      </c>
      <c r="P116" s="735">
        <f t="shared" si="14"/>
        <v>1635.9241291483045</v>
      </c>
      <c r="Q116" s="849">
        <v>45.6</v>
      </c>
      <c r="R116" s="71">
        <v>86211</v>
      </c>
      <c r="S116" s="845">
        <v>6.3926940639269403E-2</v>
      </c>
      <c r="T116" s="845">
        <v>2.3E-2</v>
      </c>
      <c r="U116" s="845">
        <v>0</v>
      </c>
      <c r="V116" s="845">
        <v>5.7999999999999996E-2</v>
      </c>
      <c r="W116" s="845">
        <v>0.22601416613007083</v>
      </c>
      <c r="X116" s="845">
        <v>0.23361823361823361</v>
      </c>
      <c r="Y116" s="845">
        <v>0.93011363636363631</v>
      </c>
      <c r="Z116" s="845">
        <v>4.261363636363636E-3</v>
      </c>
      <c r="AA116" s="845">
        <v>1.1363636363636364E-2</v>
      </c>
      <c r="AB116" s="845">
        <v>0</v>
      </c>
      <c r="AC116" s="845">
        <v>0</v>
      </c>
      <c r="AD116" s="845">
        <v>8.2386363636363629E-3</v>
      </c>
      <c r="AE116" s="845">
        <v>4.6022727272727271E-2</v>
      </c>
      <c r="AF116" s="845">
        <v>7.0738636363636365E-2</v>
      </c>
      <c r="AG116" s="845">
        <v>0.88607954545454548</v>
      </c>
      <c r="AH116" s="20" t="str">
        <f t="shared" si="15"/>
        <v>No</v>
      </c>
      <c r="AI116" s="25"/>
      <c r="AJ116" s="37">
        <v>44695</v>
      </c>
      <c r="AK116" s="37" t="s">
        <v>1448</v>
      </c>
      <c r="AL116" s="37">
        <v>39019</v>
      </c>
      <c r="AM116" s="37" t="s">
        <v>16</v>
      </c>
      <c r="AN116" s="37">
        <f t="shared" si="16"/>
        <v>15940</v>
      </c>
      <c r="AO116" s="37" t="str">
        <f t="shared" si="17"/>
        <v>Canton-Massillon, OH</v>
      </c>
      <c r="AP116" s="20" t="s">
        <v>8</v>
      </c>
      <c r="AQ116" s="25"/>
      <c r="AR116" s="25"/>
      <c r="AS116" s="25"/>
      <c r="AT116" s="25"/>
      <c r="AU116" s="36"/>
      <c r="AV116" s="36"/>
      <c r="AW116" s="36"/>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39">
        <v>45761</v>
      </c>
      <c r="BV116" s="39" t="s">
        <v>1858</v>
      </c>
      <c r="BW116" s="39" t="s">
        <v>2867</v>
      </c>
      <c r="BX116" s="39" t="s">
        <v>2868</v>
      </c>
      <c r="BY116" s="71">
        <v>800</v>
      </c>
      <c r="BZ116" s="71">
        <v>810</v>
      </c>
      <c r="CA116" s="71">
        <v>970</v>
      </c>
      <c r="CB116" s="71">
        <v>1190</v>
      </c>
      <c r="CC116" s="71">
        <v>1390</v>
      </c>
      <c r="CD116" s="25"/>
      <c r="CE116" s="200"/>
      <c r="CF116" s="200"/>
      <c r="CG116" s="200"/>
      <c r="CH116" s="200"/>
      <c r="CI116" s="200"/>
      <c r="CJ116" s="200"/>
      <c r="CK116" s="200"/>
      <c r="CL116" s="200"/>
      <c r="CM116" s="200"/>
      <c r="CN116" s="200"/>
      <c r="CO116" s="200"/>
      <c r="CP116" s="200"/>
      <c r="CQ116" s="200"/>
      <c r="CR116" s="200"/>
      <c r="CS116" s="200"/>
      <c r="CT116" s="200"/>
      <c r="CU116" s="200"/>
    </row>
    <row r="117" spans="1:99" s="17" customFormat="1" x14ac:dyDescent="0.2">
      <c r="A117" s="25"/>
      <c r="B117" s="20">
        <v>39035181204</v>
      </c>
      <c r="C117" s="20">
        <v>1812.04</v>
      </c>
      <c r="D117" s="20" t="s">
        <v>24</v>
      </c>
      <c r="E117" s="20" t="s">
        <v>2829</v>
      </c>
      <c r="F117" s="20" t="s">
        <v>8</v>
      </c>
      <c r="G117" s="861">
        <v>78.004009911912107</v>
      </c>
      <c r="H117" s="861">
        <v>69.372529863009007</v>
      </c>
      <c r="I117" s="861">
        <v>31.474646759188602</v>
      </c>
      <c r="J117" s="861">
        <v>55.341263975056101</v>
      </c>
      <c r="K117" s="982">
        <v>0</v>
      </c>
      <c r="L117" s="735">
        <v>5055</v>
      </c>
      <c r="M117" s="735">
        <v>5177</v>
      </c>
      <c r="N117" s="845">
        <f t="shared" si="13"/>
        <v>2.4134520276953512E-2</v>
      </c>
      <c r="O117" s="735">
        <v>1.021023220064126</v>
      </c>
      <c r="P117" s="735">
        <f t="shared" si="14"/>
        <v>5070.4037854054441</v>
      </c>
      <c r="Q117" s="849">
        <v>41.2</v>
      </c>
      <c r="R117" s="71">
        <v>79837</v>
      </c>
      <c r="S117" s="845">
        <v>4.2881977979524824E-2</v>
      </c>
      <c r="T117" s="845">
        <v>1.6E-2</v>
      </c>
      <c r="U117" s="845">
        <v>0</v>
      </c>
      <c r="V117" s="845">
        <v>0.02</v>
      </c>
      <c r="W117" s="845">
        <v>0.42220543806646527</v>
      </c>
      <c r="X117" s="845">
        <v>0.43291592128801432</v>
      </c>
      <c r="Y117" s="845">
        <v>0.8914429206103921</v>
      </c>
      <c r="Z117" s="845">
        <v>4.2302491790612323E-2</v>
      </c>
      <c r="AA117" s="845">
        <v>2.3179447556499902E-3</v>
      </c>
      <c r="AB117" s="845">
        <v>2.3952095808383235E-2</v>
      </c>
      <c r="AC117" s="845">
        <v>0</v>
      </c>
      <c r="AD117" s="845">
        <v>1.1589723778249952E-2</v>
      </c>
      <c r="AE117" s="845">
        <v>2.839482325671238E-2</v>
      </c>
      <c r="AF117" s="845">
        <v>2.820166119374155E-2</v>
      </c>
      <c r="AG117" s="845">
        <v>0.8794668727062005</v>
      </c>
      <c r="AH117" s="20" t="str">
        <f t="shared" si="15"/>
        <v>No</v>
      </c>
      <c r="AI117" s="25"/>
      <c r="AJ117" s="37">
        <v>44730</v>
      </c>
      <c r="AK117" s="37" t="s">
        <v>1464</v>
      </c>
      <c r="AL117" s="37">
        <v>39019</v>
      </c>
      <c r="AM117" s="37" t="s">
        <v>16</v>
      </c>
      <c r="AN117" s="37">
        <f t="shared" si="16"/>
        <v>15940</v>
      </c>
      <c r="AO117" s="37" t="str">
        <f t="shared" si="17"/>
        <v>Canton-Massillon, OH</v>
      </c>
      <c r="AP117" s="20" t="s">
        <v>8</v>
      </c>
      <c r="AQ117" s="25"/>
      <c r="AR117" s="25"/>
      <c r="AS117" s="25"/>
      <c r="AT117" s="25"/>
      <c r="AU117" s="36"/>
      <c r="AV117" s="36"/>
      <c r="AW117" s="36"/>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39">
        <v>45766</v>
      </c>
      <c r="BV117" s="39" t="s">
        <v>1860</v>
      </c>
      <c r="BW117" s="39" t="s">
        <v>2867</v>
      </c>
      <c r="BX117" s="39" t="s">
        <v>2868</v>
      </c>
      <c r="BY117" s="71">
        <v>860</v>
      </c>
      <c r="BZ117" s="71">
        <v>880</v>
      </c>
      <c r="CA117" s="71">
        <v>1070</v>
      </c>
      <c r="CB117" s="71">
        <v>1310</v>
      </c>
      <c r="CC117" s="71">
        <v>1500</v>
      </c>
      <c r="CD117" s="25"/>
      <c r="CE117" s="200"/>
      <c r="CF117" s="200"/>
      <c r="CG117" s="200"/>
      <c r="CH117" s="200"/>
      <c r="CI117" s="200"/>
      <c r="CJ117" s="200"/>
      <c r="CK117" s="200"/>
      <c r="CL117" s="200"/>
      <c r="CM117" s="200"/>
      <c r="CN117" s="200"/>
      <c r="CO117" s="200"/>
      <c r="CP117" s="200"/>
      <c r="CQ117" s="200"/>
      <c r="CR117" s="200"/>
      <c r="CS117" s="200"/>
      <c r="CT117" s="200"/>
      <c r="CU117" s="200"/>
    </row>
    <row r="118" spans="1:99" s="17" customFormat="1" x14ac:dyDescent="0.2">
      <c r="A118" s="25"/>
      <c r="B118" s="20">
        <v>39061003200</v>
      </c>
      <c r="C118" s="20">
        <v>32</v>
      </c>
      <c r="D118" s="20" t="s">
        <v>37</v>
      </c>
      <c r="E118" s="20" t="s">
        <v>2828</v>
      </c>
      <c r="F118" s="20" t="s">
        <v>6</v>
      </c>
      <c r="G118" s="861">
        <v>77.958090527414299</v>
      </c>
      <c r="H118" s="861">
        <v>59.756017386963102</v>
      </c>
      <c r="I118" s="861">
        <v>61.934531459296203</v>
      </c>
      <c r="J118" s="861">
        <v>52.700427736982199</v>
      </c>
      <c r="K118" s="982">
        <v>0</v>
      </c>
      <c r="L118" s="735">
        <v>1515</v>
      </c>
      <c r="M118" s="735">
        <v>1603</v>
      </c>
      <c r="N118" s="845">
        <f t="shared" si="13"/>
        <v>5.8085808580858087E-2</v>
      </c>
      <c r="O118" s="735">
        <v>0.31488677374661772</v>
      </c>
      <c r="P118" s="735">
        <f t="shared" si="14"/>
        <v>5090.7187397140342</v>
      </c>
      <c r="Q118" s="849">
        <v>24.4</v>
      </c>
      <c r="R118" s="71">
        <v>33788</v>
      </c>
      <c r="S118" s="845">
        <v>0.49085173501577289</v>
      </c>
      <c r="T118" s="845">
        <v>3.6000000000000004E-2</v>
      </c>
      <c r="U118" s="845">
        <v>0</v>
      </c>
      <c r="V118" s="845">
        <v>5.5E-2</v>
      </c>
      <c r="W118" s="845">
        <v>0.87950138504155129</v>
      </c>
      <c r="X118" s="845">
        <v>0.57165354330708662</v>
      </c>
      <c r="Y118" s="845">
        <v>0.62570180910792261</v>
      </c>
      <c r="Z118" s="845">
        <v>0.12351840299438553</v>
      </c>
      <c r="AA118" s="845">
        <v>0</v>
      </c>
      <c r="AB118" s="845">
        <v>0.1372426699937617</v>
      </c>
      <c r="AC118" s="845">
        <v>1.1852776044915784E-2</v>
      </c>
      <c r="AD118" s="845">
        <v>0</v>
      </c>
      <c r="AE118" s="845">
        <v>0.10168434185901434</v>
      </c>
      <c r="AF118" s="845">
        <v>5.5520898315658138E-2</v>
      </c>
      <c r="AG118" s="845">
        <v>0.61759201497192762</v>
      </c>
      <c r="AH118" s="20" t="str">
        <f t="shared" si="15"/>
        <v>No</v>
      </c>
      <c r="AI118" s="25"/>
      <c r="AJ118" s="37">
        <v>44201</v>
      </c>
      <c r="AK118" s="37" t="s">
        <v>1252</v>
      </c>
      <c r="AL118" s="37">
        <v>39151</v>
      </c>
      <c r="AM118" s="37" t="s">
        <v>81</v>
      </c>
      <c r="AN118" s="37">
        <f t="shared" si="16"/>
        <v>15940</v>
      </c>
      <c r="AO118" s="37" t="str">
        <f t="shared" si="17"/>
        <v>Canton-Massillon, OH</v>
      </c>
      <c r="AP118" s="37" t="s">
        <v>8</v>
      </c>
      <c r="AQ118" s="25"/>
      <c r="AR118" s="25"/>
      <c r="AS118" s="25"/>
      <c r="AT118" s="25"/>
      <c r="AU118" s="36"/>
      <c r="AV118" s="36"/>
      <c r="AW118" s="36"/>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39">
        <v>45776</v>
      </c>
      <c r="BV118" s="39" t="s">
        <v>1869</v>
      </c>
      <c r="BW118" s="39" t="s">
        <v>2867</v>
      </c>
      <c r="BX118" s="39" t="s">
        <v>2868</v>
      </c>
      <c r="BY118" s="71">
        <v>850</v>
      </c>
      <c r="BZ118" s="71">
        <v>870</v>
      </c>
      <c r="CA118" s="71">
        <v>1070</v>
      </c>
      <c r="CB118" s="71">
        <v>1310</v>
      </c>
      <c r="CC118" s="71">
        <v>1580</v>
      </c>
      <c r="CD118" s="25"/>
      <c r="CE118" s="200"/>
      <c r="CF118" s="200"/>
      <c r="CG118" s="200"/>
      <c r="CH118" s="200"/>
      <c r="CI118" s="200"/>
      <c r="CJ118" s="200"/>
      <c r="CK118" s="200"/>
      <c r="CL118" s="200"/>
      <c r="CM118" s="200"/>
      <c r="CN118" s="200"/>
      <c r="CO118" s="200"/>
      <c r="CP118" s="200"/>
      <c r="CQ118" s="200"/>
      <c r="CR118" s="200"/>
      <c r="CS118" s="200"/>
      <c r="CT118" s="200"/>
      <c r="CU118" s="200"/>
    </row>
    <row r="119" spans="1:99" s="17" customFormat="1" x14ac:dyDescent="0.2">
      <c r="A119" s="25"/>
      <c r="B119" s="20">
        <v>39037530100</v>
      </c>
      <c r="C119" s="20">
        <v>5301</v>
      </c>
      <c r="D119" s="20" t="s">
        <v>25</v>
      </c>
      <c r="E119" s="20" t="s">
        <v>265</v>
      </c>
      <c r="F119" s="20" t="s">
        <v>8</v>
      </c>
      <c r="G119" s="861">
        <v>77.909815437474194</v>
      </c>
      <c r="H119" s="861">
        <v>66.885702551042996</v>
      </c>
      <c r="I119" s="861">
        <v>25.1515459612956</v>
      </c>
      <c r="J119" s="861">
        <v>60.388271570565102</v>
      </c>
      <c r="K119" s="982">
        <v>0</v>
      </c>
      <c r="L119" s="735">
        <v>4455</v>
      </c>
      <c r="M119" s="735">
        <v>4469</v>
      </c>
      <c r="N119" s="845">
        <f t="shared" si="13"/>
        <v>3.1425364758698093E-3</v>
      </c>
      <c r="O119" s="735">
        <v>31.823129875295066</v>
      </c>
      <c r="P119" s="735">
        <f t="shared" si="14"/>
        <v>140.43244701299398</v>
      </c>
      <c r="Q119" s="849">
        <v>44.2</v>
      </c>
      <c r="R119" s="71">
        <v>84618</v>
      </c>
      <c r="S119" s="845">
        <v>5.7714417107381004E-2</v>
      </c>
      <c r="T119" s="845">
        <v>4.0000000000000001E-3</v>
      </c>
      <c r="U119" s="845">
        <v>3.0000000000000001E-3</v>
      </c>
      <c r="V119" s="845">
        <v>0.04</v>
      </c>
      <c r="W119" s="845">
        <v>0.22665947112790069</v>
      </c>
      <c r="X119" s="845">
        <v>0.33095238095238094</v>
      </c>
      <c r="Y119" s="845">
        <v>0.9688968449317521</v>
      </c>
      <c r="Z119" s="845">
        <v>1.1188185276348177E-3</v>
      </c>
      <c r="AA119" s="845">
        <v>0</v>
      </c>
      <c r="AB119" s="845">
        <v>0</v>
      </c>
      <c r="AC119" s="845">
        <v>0</v>
      </c>
      <c r="AD119" s="845">
        <v>6.7129111658089063E-4</v>
      </c>
      <c r="AE119" s="845">
        <v>2.9313045424032222E-2</v>
      </c>
      <c r="AF119" s="845">
        <v>6.4891474602819426E-3</v>
      </c>
      <c r="AG119" s="845">
        <v>0.96397404341015891</v>
      </c>
      <c r="AH119" s="20" t="str">
        <f t="shared" si="15"/>
        <v>Yes</v>
      </c>
      <c r="AI119" s="25"/>
      <c r="AJ119" s="37">
        <v>44216</v>
      </c>
      <c r="AK119" s="37" t="s">
        <v>1258</v>
      </c>
      <c r="AL119" s="37">
        <v>39151</v>
      </c>
      <c r="AM119" s="37" t="s">
        <v>81</v>
      </c>
      <c r="AN119" s="37">
        <f t="shared" si="16"/>
        <v>15940</v>
      </c>
      <c r="AO119" s="37" t="str">
        <f t="shared" si="17"/>
        <v>Canton-Massillon, OH</v>
      </c>
      <c r="AP119" s="37" t="s">
        <v>8</v>
      </c>
      <c r="AQ119" s="25"/>
      <c r="AR119" s="25"/>
      <c r="AS119" s="25"/>
      <c r="AT119" s="25"/>
      <c r="AU119" s="36"/>
      <c r="AV119" s="36"/>
      <c r="AW119" s="36"/>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39">
        <v>45778</v>
      </c>
      <c r="BV119" s="39" t="s">
        <v>1870</v>
      </c>
      <c r="BW119" s="39" t="s">
        <v>2867</v>
      </c>
      <c r="BX119" s="39" t="s">
        <v>2868</v>
      </c>
      <c r="BY119" s="71">
        <v>960</v>
      </c>
      <c r="BZ119" s="71">
        <v>990</v>
      </c>
      <c r="CA119" s="71">
        <v>1170</v>
      </c>
      <c r="CB119" s="71">
        <v>1440</v>
      </c>
      <c r="CC119" s="71">
        <v>1710</v>
      </c>
      <c r="CD119" s="25"/>
      <c r="CE119" s="200"/>
      <c r="CF119" s="200"/>
      <c r="CG119" s="200"/>
      <c r="CH119" s="200"/>
      <c r="CI119" s="200"/>
      <c r="CJ119" s="200"/>
      <c r="CK119" s="200"/>
      <c r="CL119" s="200"/>
      <c r="CM119" s="200"/>
      <c r="CN119" s="200"/>
      <c r="CO119" s="200"/>
      <c r="CP119" s="200"/>
      <c r="CQ119" s="200"/>
      <c r="CR119" s="200"/>
      <c r="CS119" s="200"/>
      <c r="CT119" s="200"/>
      <c r="CU119" s="200"/>
    </row>
    <row r="120" spans="1:99" s="17" customFormat="1" x14ac:dyDescent="0.2">
      <c r="A120" s="25"/>
      <c r="B120" s="20">
        <v>39049006392</v>
      </c>
      <c r="C120" s="20">
        <v>63.92</v>
      </c>
      <c r="D120" s="20" t="s">
        <v>31</v>
      </c>
      <c r="E120" s="20" t="s">
        <v>2830</v>
      </c>
      <c r="F120" s="20" t="s">
        <v>8</v>
      </c>
      <c r="G120" s="861">
        <v>77.845748746296906</v>
      </c>
      <c r="H120" s="861">
        <v>72.936739752991699</v>
      </c>
      <c r="I120" s="861">
        <v>17.0410974532404</v>
      </c>
      <c r="J120" s="861">
        <v>46.947518392875303</v>
      </c>
      <c r="K120" s="982">
        <v>0</v>
      </c>
      <c r="L120" s="735">
        <v>4363</v>
      </c>
      <c r="M120" s="735">
        <v>4524</v>
      </c>
      <c r="N120" s="845">
        <f t="shared" si="13"/>
        <v>3.6901214760485905E-2</v>
      </c>
      <c r="O120" s="735">
        <v>1.5928046094389214</v>
      </c>
      <c r="P120" s="735">
        <f t="shared" si="14"/>
        <v>2840.2730461670476</v>
      </c>
      <c r="Q120" s="849">
        <v>42.7</v>
      </c>
      <c r="R120" s="71">
        <v>177125</v>
      </c>
      <c r="S120" s="845">
        <v>2.3430592396109638E-2</v>
      </c>
      <c r="T120" s="845">
        <v>1.9E-2</v>
      </c>
      <c r="U120" s="845">
        <v>0</v>
      </c>
      <c r="V120" s="845">
        <v>0</v>
      </c>
      <c r="W120" s="845">
        <v>5.5241682360326429E-2</v>
      </c>
      <c r="X120" s="845">
        <v>9.0909090909090912E-2</v>
      </c>
      <c r="Y120" s="845">
        <v>0.91445623342175064</v>
      </c>
      <c r="Z120" s="845">
        <v>1.3262599469496021E-3</v>
      </c>
      <c r="AA120" s="845">
        <v>0</v>
      </c>
      <c r="AB120" s="845">
        <v>6.4544650751547306E-2</v>
      </c>
      <c r="AC120" s="845">
        <v>0</v>
      </c>
      <c r="AD120" s="845">
        <v>0</v>
      </c>
      <c r="AE120" s="845">
        <v>1.967285587975243E-2</v>
      </c>
      <c r="AF120" s="845">
        <v>0</v>
      </c>
      <c r="AG120" s="845">
        <v>0.91445623342175064</v>
      </c>
      <c r="AH120" s="20" t="str">
        <f t="shared" si="15"/>
        <v>Yes</v>
      </c>
      <c r="AI120" s="25"/>
      <c r="AJ120" s="37">
        <v>44260</v>
      </c>
      <c r="AK120" s="37" t="s">
        <v>1279</v>
      </c>
      <c r="AL120" s="37">
        <v>39151</v>
      </c>
      <c r="AM120" s="37" t="s">
        <v>81</v>
      </c>
      <c r="AN120" s="37">
        <f t="shared" si="16"/>
        <v>15940</v>
      </c>
      <c r="AO120" s="37" t="str">
        <f t="shared" si="17"/>
        <v>Canton-Massillon, OH</v>
      </c>
      <c r="AP120" s="37" t="s">
        <v>8</v>
      </c>
      <c r="AQ120" s="25"/>
      <c r="AR120" s="25"/>
      <c r="AS120" s="25"/>
      <c r="AT120" s="25"/>
      <c r="AU120" s="36"/>
      <c r="AV120" s="36"/>
      <c r="AW120" s="36"/>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39">
        <v>45780</v>
      </c>
      <c r="BV120" s="39" t="s">
        <v>1872</v>
      </c>
      <c r="BW120" s="39" t="s">
        <v>2867</v>
      </c>
      <c r="BX120" s="39" t="s">
        <v>2868</v>
      </c>
      <c r="BY120" s="71">
        <v>880</v>
      </c>
      <c r="BZ120" s="71">
        <v>880</v>
      </c>
      <c r="CA120" s="71">
        <v>1060</v>
      </c>
      <c r="CB120" s="71">
        <v>1300</v>
      </c>
      <c r="CC120" s="71">
        <v>1450</v>
      </c>
      <c r="CD120" s="25"/>
      <c r="CE120" s="200"/>
      <c r="CF120" s="200"/>
      <c r="CG120" s="200"/>
      <c r="CH120" s="200"/>
      <c r="CI120" s="200"/>
      <c r="CJ120" s="200"/>
      <c r="CK120" s="200"/>
      <c r="CL120" s="200"/>
      <c r="CM120" s="200"/>
      <c r="CN120" s="200"/>
      <c r="CO120" s="200"/>
      <c r="CP120" s="200"/>
      <c r="CQ120" s="200"/>
      <c r="CR120" s="200"/>
      <c r="CS120" s="200"/>
      <c r="CT120" s="200"/>
      <c r="CU120" s="200"/>
    </row>
    <row r="121" spans="1:99" s="17" customFormat="1" x14ac:dyDescent="0.2">
      <c r="A121" s="25"/>
      <c r="B121" s="20">
        <v>39057220201</v>
      </c>
      <c r="C121" s="20">
        <v>2202.0100000000002</v>
      </c>
      <c r="D121" s="20" t="s">
        <v>35</v>
      </c>
      <c r="E121" s="20" t="s">
        <v>2833</v>
      </c>
      <c r="F121" s="20" t="s">
        <v>8</v>
      </c>
      <c r="G121" s="861">
        <v>77.839617429499299</v>
      </c>
      <c r="H121" s="861">
        <v>61.941723342366998</v>
      </c>
      <c r="I121" s="861">
        <v>25.472702853917902</v>
      </c>
      <c r="J121" s="861">
        <v>55.542561660700102</v>
      </c>
      <c r="K121" s="982">
        <v>0</v>
      </c>
      <c r="L121" s="735" t="s">
        <v>2466</v>
      </c>
      <c r="M121" s="735">
        <v>4265</v>
      </c>
      <c r="N121" s="845" t="str">
        <f t="shared" si="13"/>
        <v/>
      </c>
      <c r="O121" s="735">
        <v>2.1521967527487993</v>
      </c>
      <c r="P121" s="735">
        <f t="shared" si="14"/>
        <v>1981.6961411881673</v>
      </c>
      <c r="Q121" s="849">
        <v>39.299999999999997</v>
      </c>
      <c r="R121" s="71">
        <v>119441</v>
      </c>
      <c r="S121" s="845">
        <v>3.2421969513670455E-2</v>
      </c>
      <c r="T121" s="845">
        <v>2E-3</v>
      </c>
      <c r="U121" s="845">
        <v>0</v>
      </c>
      <c r="V121" s="845">
        <v>8.5999999999999993E-2</v>
      </c>
      <c r="W121" s="845">
        <v>0.38420742486741311</v>
      </c>
      <c r="X121" s="845">
        <v>0.26687116564417179</v>
      </c>
      <c r="Y121" s="845">
        <v>0.87643610785463066</v>
      </c>
      <c r="Z121" s="845">
        <v>1.8757327080890972E-2</v>
      </c>
      <c r="AA121" s="845">
        <v>0</v>
      </c>
      <c r="AB121" s="845">
        <v>4.3141852286049241E-2</v>
      </c>
      <c r="AC121" s="845">
        <v>0</v>
      </c>
      <c r="AD121" s="845">
        <v>2.8135990621336458E-3</v>
      </c>
      <c r="AE121" s="845">
        <v>5.8851113716295429E-2</v>
      </c>
      <c r="AF121" s="845">
        <v>1.9226260257913248E-2</v>
      </c>
      <c r="AG121" s="845">
        <v>0.87127784290738575</v>
      </c>
      <c r="AH121" s="20" t="str">
        <f t="shared" si="15"/>
        <v>No</v>
      </c>
      <c r="AI121" s="25"/>
      <c r="AJ121" s="37">
        <v>44601</v>
      </c>
      <c r="AK121" s="37" t="s">
        <v>1379</v>
      </c>
      <c r="AL121" s="37">
        <v>39151</v>
      </c>
      <c r="AM121" s="37" t="s">
        <v>81</v>
      </c>
      <c r="AN121" s="37">
        <f t="shared" si="16"/>
        <v>15940</v>
      </c>
      <c r="AO121" s="37" t="str">
        <f t="shared" si="17"/>
        <v>Canton-Massillon, OH</v>
      </c>
      <c r="AP121" s="37" t="s">
        <v>8</v>
      </c>
      <c r="AQ121" s="25"/>
      <c r="AR121" s="25"/>
      <c r="AS121" s="25"/>
      <c r="AT121" s="25"/>
      <c r="AU121" s="36"/>
      <c r="AV121" s="36"/>
      <c r="AW121" s="36"/>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39">
        <v>45782</v>
      </c>
      <c r="BV121" s="39" t="s">
        <v>1873</v>
      </c>
      <c r="BW121" s="39" t="s">
        <v>2867</v>
      </c>
      <c r="BX121" s="39" t="s">
        <v>2868</v>
      </c>
      <c r="BY121" s="71">
        <v>800</v>
      </c>
      <c r="BZ121" s="71">
        <v>810</v>
      </c>
      <c r="CA121" s="71">
        <v>970</v>
      </c>
      <c r="CB121" s="71">
        <v>1190</v>
      </c>
      <c r="CC121" s="71">
        <v>1390</v>
      </c>
      <c r="CD121" s="25"/>
      <c r="CE121" s="200"/>
      <c r="CF121" s="200"/>
      <c r="CG121" s="200"/>
      <c r="CH121" s="200"/>
      <c r="CI121" s="200"/>
      <c r="CJ121" s="200"/>
      <c r="CK121" s="200"/>
      <c r="CL121" s="200"/>
      <c r="CM121" s="200"/>
      <c r="CN121" s="200"/>
      <c r="CO121" s="200"/>
      <c r="CP121" s="200"/>
      <c r="CQ121" s="200"/>
      <c r="CR121" s="200"/>
      <c r="CS121" s="200"/>
      <c r="CT121" s="200"/>
      <c r="CU121" s="200"/>
    </row>
    <row r="122" spans="1:99" s="17" customFormat="1" x14ac:dyDescent="0.2">
      <c r="A122" s="25"/>
      <c r="B122" s="20">
        <v>39049007492</v>
      </c>
      <c r="C122" s="20">
        <v>74.92</v>
      </c>
      <c r="D122" s="20" t="s">
        <v>31</v>
      </c>
      <c r="E122" s="20" t="s">
        <v>2830</v>
      </c>
      <c r="F122" s="20" t="s">
        <v>8</v>
      </c>
      <c r="G122" s="861">
        <v>77.609333426138903</v>
      </c>
      <c r="H122" s="861">
        <v>78.556552319523007</v>
      </c>
      <c r="I122" s="861">
        <v>31.788609056541599</v>
      </c>
      <c r="J122" s="861">
        <v>42.429883346452698</v>
      </c>
      <c r="K122" s="982">
        <v>0</v>
      </c>
      <c r="L122" s="735">
        <v>6064</v>
      </c>
      <c r="M122" s="735">
        <v>6442</v>
      </c>
      <c r="N122" s="845">
        <f t="shared" si="13"/>
        <v>6.2335092348284958E-2</v>
      </c>
      <c r="O122" s="735">
        <v>2.3879877965926264</v>
      </c>
      <c r="P122" s="735">
        <f t="shared" si="14"/>
        <v>2697.6687272824279</v>
      </c>
      <c r="Q122" s="849">
        <v>40.299999999999997</v>
      </c>
      <c r="R122" s="71">
        <v>110439</v>
      </c>
      <c r="S122" s="845">
        <v>9.069400630914827E-2</v>
      </c>
      <c r="T122" s="845">
        <v>5.0000000000000001E-3</v>
      </c>
      <c r="U122" s="845">
        <v>0</v>
      </c>
      <c r="V122" s="845">
        <v>0</v>
      </c>
      <c r="W122" s="845">
        <v>0.33773584905660375</v>
      </c>
      <c r="X122" s="845">
        <v>0.58435754189944134</v>
      </c>
      <c r="Y122" s="845">
        <v>0.6567836075752872</v>
      </c>
      <c r="Z122" s="845">
        <v>0.19978267618751941</v>
      </c>
      <c r="AA122" s="845">
        <v>0</v>
      </c>
      <c r="AB122" s="845">
        <v>6.8922694815274757E-2</v>
      </c>
      <c r="AC122" s="845">
        <v>0</v>
      </c>
      <c r="AD122" s="845">
        <v>0</v>
      </c>
      <c r="AE122" s="845">
        <v>7.4511021421918663E-2</v>
      </c>
      <c r="AF122" s="845">
        <v>1.2418503570319777E-2</v>
      </c>
      <c r="AG122" s="845">
        <v>0.6567836075752872</v>
      </c>
      <c r="AH122" s="20" t="str">
        <f t="shared" si="15"/>
        <v>No</v>
      </c>
      <c r="AI122" s="25"/>
      <c r="AJ122" s="37">
        <v>44608</v>
      </c>
      <c r="AK122" s="37" t="s">
        <v>1382</v>
      </c>
      <c r="AL122" s="37">
        <v>39151</v>
      </c>
      <c r="AM122" s="37" t="s">
        <v>81</v>
      </c>
      <c r="AN122" s="37">
        <f t="shared" si="16"/>
        <v>15940</v>
      </c>
      <c r="AO122" s="37" t="str">
        <f t="shared" si="17"/>
        <v>Canton-Massillon, OH</v>
      </c>
      <c r="AP122" s="37" t="s">
        <v>8</v>
      </c>
      <c r="AQ122" s="25"/>
      <c r="AR122" s="25"/>
      <c r="AS122" s="25"/>
      <c r="AT122" s="25"/>
      <c r="AU122" s="36"/>
      <c r="AV122" s="36"/>
      <c r="AW122" s="36"/>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39">
        <v>43331</v>
      </c>
      <c r="BV122" s="39" t="s">
        <v>883</v>
      </c>
      <c r="BW122" s="39" t="s">
        <v>2911</v>
      </c>
      <c r="BX122" s="39" t="s">
        <v>2912</v>
      </c>
      <c r="BY122" s="71">
        <v>830</v>
      </c>
      <c r="BZ122" s="71">
        <v>840</v>
      </c>
      <c r="CA122" s="71">
        <v>1100</v>
      </c>
      <c r="CB122" s="71">
        <v>1350</v>
      </c>
      <c r="CC122" s="71">
        <v>1470</v>
      </c>
      <c r="CD122" s="25"/>
      <c r="CE122" s="200"/>
      <c r="CF122" s="200"/>
      <c r="CG122" s="200"/>
      <c r="CH122" s="200"/>
      <c r="CI122" s="200"/>
      <c r="CJ122" s="200"/>
      <c r="CK122" s="200"/>
      <c r="CL122" s="200"/>
      <c r="CM122" s="200"/>
      <c r="CN122" s="200"/>
      <c r="CO122" s="200"/>
      <c r="CP122" s="200"/>
      <c r="CQ122" s="200"/>
      <c r="CR122" s="200"/>
      <c r="CS122" s="200"/>
      <c r="CT122" s="200"/>
      <c r="CU122" s="200"/>
    </row>
    <row r="123" spans="1:99" s="17" customFormat="1" x14ac:dyDescent="0.2">
      <c r="A123" s="25"/>
      <c r="B123" s="20">
        <v>39049007397</v>
      </c>
      <c r="C123" s="20">
        <v>73.97</v>
      </c>
      <c r="D123" s="20" t="s">
        <v>31</v>
      </c>
      <c r="E123" s="20" t="s">
        <v>2830</v>
      </c>
      <c r="F123" s="20" t="s">
        <v>8</v>
      </c>
      <c r="G123" s="861">
        <v>77.5154033919098</v>
      </c>
      <c r="H123" s="861">
        <v>87.3988548097185</v>
      </c>
      <c r="I123" s="861">
        <v>20.856751795350601</v>
      </c>
      <c r="J123" s="861">
        <v>55.073581394622799</v>
      </c>
      <c r="K123" s="982">
        <v>0</v>
      </c>
      <c r="L123" s="735" t="s">
        <v>2466</v>
      </c>
      <c r="M123" s="735">
        <v>3378</v>
      </c>
      <c r="N123" s="845" t="str">
        <f t="shared" si="13"/>
        <v/>
      </c>
      <c r="O123" s="735">
        <v>1.272190396271742</v>
      </c>
      <c r="P123" s="735">
        <f t="shared" si="14"/>
        <v>2655.2629306898598</v>
      </c>
      <c r="Q123" s="849">
        <v>31.5</v>
      </c>
      <c r="R123" s="71">
        <v>88696</v>
      </c>
      <c r="S123" s="845">
        <v>4.6477205447010068E-2</v>
      </c>
      <c r="T123" s="845">
        <v>1.8000000000000002E-2</v>
      </c>
      <c r="U123" s="845">
        <v>0</v>
      </c>
      <c r="V123" s="845">
        <v>0</v>
      </c>
      <c r="W123" s="845">
        <v>0.47499999999999998</v>
      </c>
      <c r="X123" s="845">
        <v>0.15350877192982457</v>
      </c>
      <c r="Y123" s="845">
        <v>0.33510953226761397</v>
      </c>
      <c r="Z123" s="845">
        <v>0.32978093546477205</v>
      </c>
      <c r="AA123" s="845">
        <v>0</v>
      </c>
      <c r="AB123" s="845">
        <v>0.15985790408525755</v>
      </c>
      <c r="AC123" s="845">
        <v>0</v>
      </c>
      <c r="AD123" s="845">
        <v>5.3285968028419185E-3</v>
      </c>
      <c r="AE123" s="845">
        <v>0.16992303137951451</v>
      </c>
      <c r="AF123" s="845">
        <v>0.10805210183540556</v>
      </c>
      <c r="AG123" s="845">
        <v>0.3330373001776199</v>
      </c>
      <c r="AH123" s="20" t="str">
        <f t="shared" si="15"/>
        <v>No</v>
      </c>
      <c r="AI123" s="25"/>
      <c r="AJ123" s="37">
        <v>44612</v>
      </c>
      <c r="AK123" s="37" t="s">
        <v>1386</v>
      </c>
      <c r="AL123" s="37">
        <v>39151</v>
      </c>
      <c r="AM123" s="37" t="s">
        <v>81</v>
      </c>
      <c r="AN123" s="37">
        <f t="shared" si="16"/>
        <v>15940</v>
      </c>
      <c r="AO123" s="37" t="str">
        <f t="shared" si="17"/>
        <v>Canton-Massillon, OH</v>
      </c>
      <c r="AP123" s="37" t="s">
        <v>8</v>
      </c>
      <c r="AQ123" s="25"/>
      <c r="AR123" s="25"/>
      <c r="AS123" s="25"/>
      <c r="AT123" s="25"/>
      <c r="AU123" s="36"/>
      <c r="AV123" s="36"/>
      <c r="AW123" s="36"/>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39">
        <v>45306</v>
      </c>
      <c r="BV123" s="39" t="s">
        <v>1660</v>
      </c>
      <c r="BW123" s="39" t="s">
        <v>2911</v>
      </c>
      <c r="BX123" s="39" t="s">
        <v>2912</v>
      </c>
      <c r="BY123" s="71">
        <v>730</v>
      </c>
      <c r="BZ123" s="71">
        <v>800</v>
      </c>
      <c r="CA123" s="71">
        <v>1050</v>
      </c>
      <c r="CB123" s="71">
        <v>1410</v>
      </c>
      <c r="CC123" s="71">
        <v>1470</v>
      </c>
      <c r="CD123" s="25"/>
      <c r="CE123" s="200"/>
      <c r="CF123" s="200"/>
      <c r="CG123" s="200"/>
      <c r="CH123" s="200"/>
      <c r="CI123" s="200"/>
      <c r="CJ123" s="200"/>
      <c r="CK123" s="200"/>
      <c r="CL123" s="200"/>
      <c r="CM123" s="200"/>
      <c r="CN123" s="200"/>
      <c r="CO123" s="200"/>
      <c r="CP123" s="200"/>
      <c r="CQ123" s="200"/>
      <c r="CR123" s="200"/>
      <c r="CS123" s="200"/>
      <c r="CT123" s="200"/>
      <c r="CU123" s="200"/>
    </row>
    <row r="124" spans="1:99" s="17" customFormat="1" x14ac:dyDescent="0.2">
      <c r="A124" s="25"/>
      <c r="B124" s="20">
        <v>39035184104</v>
      </c>
      <c r="C124" s="20">
        <v>1841.04</v>
      </c>
      <c r="D124" s="20" t="s">
        <v>24</v>
      </c>
      <c r="E124" s="20" t="s">
        <v>2829</v>
      </c>
      <c r="F124" s="20" t="s">
        <v>8</v>
      </c>
      <c r="G124" s="861">
        <v>77.484161173287006</v>
      </c>
      <c r="H124" s="861">
        <v>61.4047947913919</v>
      </c>
      <c r="I124" s="861">
        <v>33.332057521330697</v>
      </c>
      <c r="J124" s="861">
        <v>30.293629472246899</v>
      </c>
      <c r="K124" s="982">
        <v>0</v>
      </c>
      <c r="L124" s="735">
        <v>1811</v>
      </c>
      <c r="M124" s="735">
        <v>1625</v>
      </c>
      <c r="N124" s="845">
        <f t="shared" si="13"/>
        <v>-0.10270568746548868</v>
      </c>
      <c r="O124" s="735">
        <v>6.2922505076673891</v>
      </c>
      <c r="P124" s="735">
        <f t="shared" si="14"/>
        <v>258.25418076090023</v>
      </c>
      <c r="Q124" s="849">
        <v>52.1</v>
      </c>
      <c r="R124" s="71">
        <v>121563</v>
      </c>
      <c r="S124" s="845">
        <v>7.5163398692810454E-2</v>
      </c>
      <c r="T124" s="845">
        <v>4.0000000000000001E-3</v>
      </c>
      <c r="U124" s="845">
        <v>0</v>
      </c>
      <c r="V124" s="845">
        <v>0.111</v>
      </c>
      <c r="W124" s="845">
        <v>0.19767441860465115</v>
      </c>
      <c r="X124" s="845">
        <v>0.625</v>
      </c>
      <c r="Y124" s="845">
        <v>0.7083076923076923</v>
      </c>
      <c r="Z124" s="845">
        <v>9.7230769230769232E-2</v>
      </c>
      <c r="AA124" s="845">
        <v>2.4615384615384616E-3</v>
      </c>
      <c r="AB124" s="845">
        <v>0.1076923076923077</v>
      </c>
      <c r="AC124" s="845">
        <v>0</v>
      </c>
      <c r="AD124" s="845">
        <v>1.4769230769230769E-2</v>
      </c>
      <c r="AE124" s="845">
        <v>6.9538461538461535E-2</v>
      </c>
      <c r="AF124" s="845">
        <v>4.5538461538461542E-2</v>
      </c>
      <c r="AG124" s="845">
        <v>0.6892307692307692</v>
      </c>
      <c r="AH124" s="20" t="str">
        <f t="shared" si="15"/>
        <v>No</v>
      </c>
      <c r="AI124" s="25"/>
      <c r="AJ124" s="37">
        <v>44613</v>
      </c>
      <c r="AK124" s="37" t="s">
        <v>1387</v>
      </c>
      <c r="AL124" s="37">
        <v>39151</v>
      </c>
      <c r="AM124" s="37" t="s">
        <v>81</v>
      </c>
      <c r="AN124" s="37">
        <f t="shared" si="16"/>
        <v>15940</v>
      </c>
      <c r="AO124" s="37" t="str">
        <f t="shared" si="17"/>
        <v>Canton-Massillon, OH</v>
      </c>
      <c r="AP124" s="37" t="s">
        <v>8</v>
      </c>
      <c r="AQ124" s="25"/>
      <c r="AR124" s="25"/>
      <c r="AS124" s="25"/>
      <c r="AT124" s="25"/>
      <c r="AU124" s="36"/>
      <c r="AV124" s="36"/>
      <c r="AW124" s="36"/>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39">
        <v>45334</v>
      </c>
      <c r="BV124" s="39" t="s">
        <v>1686</v>
      </c>
      <c r="BW124" s="39" t="s">
        <v>2911</v>
      </c>
      <c r="BX124" s="39" t="s">
        <v>2912</v>
      </c>
      <c r="BY124" s="71">
        <v>850</v>
      </c>
      <c r="BZ124" s="71">
        <v>920</v>
      </c>
      <c r="CA124" s="71">
        <v>1210</v>
      </c>
      <c r="CB124" s="71">
        <v>1620</v>
      </c>
      <c r="CC124" s="71">
        <v>1700</v>
      </c>
      <c r="CD124" s="25"/>
      <c r="CE124" s="200"/>
      <c r="CF124" s="200"/>
      <c r="CG124" s="200"/>
      <c r="CH124" s="200"/>
      <c r="CI124" s="200"/>
      <c r="CJ124" s="200"/>
      <c r="CK124" s="200"/>
      <c r="CL124" s="200"/>
      <c r="CM124" s="200"/>
      <c r="CN124" s="200"/>
      <c r="CO124" s="200"/>
      <c r="CP124" s="200"/>
      <c r="CQ124" s="200"/>
      <c r="CR124" s="200"/>
      <c r="CS124" s="200"/>
      <c r="CT124" s="200"/>
      <c r="CU124" s="200"/>
    </row>
    <row r="125" spans="1:99" s="17" customFormat="1" x14ac:dyDescent="0.2">
      <c r="A125" s="25"/>
      <c r="B125" s="20">
        <v>39093013101</v>
      </c>
      <c r="C125" s="20">
        <v>131.01</v>
      </c>
      <c r="D125" s="20" t="s">
        <v>52</v>
      </c>
      <c r="E125" s="20" t="s">
        <v>2829</v>
      </c>
      <c r="F125" s="20" t="s">
        <v>8</v>
      </c>
      <c r="G125" s="861">
        <v>77.3394601522523</v>
      </c>
      <c r="H125" s="861">
        <v>52.913621834174897</v>
      </c>
      <c r="I125" s="861">
        <v>24.3974755168671</v>
      </c>
      <c r="J125" s="861">
        <v>50.9151443967557</v>
      </c>
      <c r="K125" s="982">
        <v>0</v>
      </c>
      <c r="L125" s="735" t="s">
        <v>2466</v>
      </c>
      <c r="M125" s="735">
        <v>4857</v>
      </c>
      <c r="N125" s="845" t="str">
        <f t="shared" si="13"/>
        <v/>
      </c>
      <c r="O125" s="735">
        <v>6.4785698958285955</v>
      </c>
      <c r="P125" s="735">
        <f t="shared" si="14"/>
        <v>749.70249269477085</v>
      </c>
      <c r="Q125" s="849">
        <v>48.3</v>
      </c>
      <c r="R125" s="71">
        <v>121375</v>
      </c>
      <c r="S125" s="845">
        <v>2.602308499475341E-2</v>
      </c>
      <c r="T125" s="845">
        <v>6.9999999999999993E-3</v>
      </c>
      <c r="U125" s="845">
        <v>0</v>
      </c>
      <c r="V125" s="845">
        <v>0.13</v>
      </c>
      <c r="W125" s="845">
        <v>0.15897693079237712</v>
      </c>
      <c r="X125" s="845">
        <v>0.45741324921135645</v>
      </c>
      <c r="Y125" s="845">
        <v>0.94605723697755817</v>
      </c>
      <c r="Z125" s="845">
        <v>1.441218859378217E-3</v>
      </c>
      <c r="AA125" s="845">
        <v>0</v>
      </c>
      <c r="AB125" s="845">
        <v>3.3353922174181594E-2</v>
      </c>
      <c r="AC125" s="845">
        <v>0</v>
      </c>
      <c r="AD125" s="845">
        <v>3.5001029442042414E-3</v>
      </c>
      <c r="AE125" s="845">
        <v>1.5647519044677784E-2</v>
      </c>
      <c r="AF125" s="845">
        <v>1.1941527691990941E-2</v>
      </c>
      <c r="AG125" s="845">
        <v>0.93761581222977142</v>
      </c>
      <c r="AH125" s="20" t="str">
        <f t="shared" si="15"/>
        <v>Yes</v>
      </c>
      <c r="AI125" s="25"/>
      <c r="AJ125" s="37">
        <v>44614</v>
      </c>
      <c r="AK125" s="37" t="s">
        <v>1388</v>
      </c>
      <c r="AL125" s="37">
        <v>39151</v>
      </c>
      <c r="AM125" s="37" t="s">
        <v>81</v>
      </c>
      <c r="AN125" s="37">
        <f t="shared" si="16"/>
        <v>15940</v>
      </c>
      <c r="AO125" s="37" t="str">
        <f t="shared" si="17"/>
        <v>Canton-Massillon, OH</v>
      </c>
      <c r="AP125" s="37" t="s">
        <v>8</v>
      </c>
      <c r="AQ125" s="25"/>
      <c r="AR125" s="25"/>
      <c r="AS125" s="25"/>
      <c r="AT125" s="25"/>
      <c r="AU125" s="36"/>
      <c r="AV125" s="36"/>
      <c r="AW125" s="36"/>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39">
        <v>45819</v>
      </c>
      <c r="BV125" s="39" t="s">
        <v>1893</v>
      </c>
      <c r="BW125" s="39" t="s">
        <v>2911</v>
      </c>
      <c r="BX125" s="39" t="s">
        <v>2912</v>
      </c>
      <c r="BY125" s="71">
        <v>920</v>
      </c>
      <c r="BZ125" s="71">
        <v>920</v>
      </c>
      <c r="CA125" s="71">
        <v>1210</v>
      </c>
      <c r="CB125" s="71">
        <v>1680</v>
      </c>
      <c r="CC125" s="71">
        <v>2020</v>
      </c>
      <c r="CD125" s="25"/>
      <c r="CE125" s="200"/>
      <c r="CF125" s="200"/>
      <c r="CG125" s="200"/>
      <c r="CH125" s="200"/>
      <c r="CI125" s="200"/>
      <c r="CJ125" s="200"/>
      <c r="CK125" s="200"/>
      <c r="CL125" s="200"/>
      <c r="CM125" s="200"/>
      <c r="CN125" s="200"/>
      <c r="CO125" s="200"/>
      <c r="CP125" s="200"/>
      <c r="CQ125" s="200"/>
      <c r="CR125" s="200"/>
      <c r="CS125" s="200"/>
      <c r="CT125" s="200"/>
      <c r="CU125" s="200"/>
    </row>
    <row r="126" spans="1:99" s="17" customFormat="1" x14ac:dyDescent="0.2">
      <c r="A126" s="25"/>
      <c r="B126" s="20">
        <v>39113003404</v>
      </c>
      <c r="C126" s="20">
        <v>34.04</v>
      </c>
      <c r="D126" s="20" t="s">
        <v>62</v>
      </c>
      <c r="E126" s="20" t="s">
        <v>2833</v>
      </c>
      <c r="F126" s="20" t="s">
        <v>6</v>
      </c>
      <c r="G126" s="861">
        <v>77.088393380753104</v>
      </c>
      <c r="H126" s="861">
        <v>64.683507367386397</v>
      </c>
      <c r="I126" s="861">
        <v>46.5187214453981</v>
      </c>
      <c r="J126" s="861">
        <v>65.442759916926803</v>
      </c>
      <c r="K126" s="982">
        <v>0</v>
      </c>
      <c r="L126" s="735">
        <v>1913</v>
      </c>
      <c r="M126" s="735">
        <v>2075</v>
      </c>
      <c r="N126" s="845">
        <f t="shared" si="13"/>
        <v>8.4683742812336649E-2</v>
      </c>
      <c r="O126" s="735">
        <v>1.2514323859193315</v>
      </c>
      <c r="P126" s="735">
        <f t="shared" si="14"/>
        <v>1658.0999687615217</v>
      </c>
      <c r="Q126" s="849">
        <v>35.200000000000003</v>
      </c>
      <c r="R126" s="71">
        <v>59895</v>
      </c>
      <c r="S126" s="845">
        <v>0.26057365094798252</v>
      </c>
      <c r="T126" s="845">
        <v>8.199999999999999E-2</v>
      </c>
      <c r="U126" s="845">
        <v>4.0000000000000001E-3</v>
      </c>
      <c r="V126" s="845">
        <v>0.13600000000000001</v>
      </c>
      <c r="W126" s="845">
        <v>0.48051948051948051</v>
      </c>
      <c r="X126" s="845">
        <v>0.27252252252252251</v>
      </c>
      <c r="Y126" s="845">
        <v>0.87903614457831325</v>
      </c>
      <c r="Z126" s="845">
        <v>5.6867469879518073E-2</v>
      </c>
      <c r="AA126" s="845">
        <v>1.2048192771084338E-2</v>
      </c>
      <c r="AB126" s="845">
        <v>2.4096385542168677E-3</v>
      </c>
      <c r="AC126" s="845">
        <v>0</v>
      </c>
      <c r="AD126" s="845">
        <v>4.3373493975903616E-3</v>
      </c>
      <c r="AE126" s="845">
        <v>4.5301204819277109E-2</v>
      </c>
      <c r="AF126" s="845">
        <v>3.180722891566265E-2</v>
      </c>
      <c r="AG126" s="845">
        <v>0.87421686746987948</v>
      </c>
      <c r="AH126" s="20" t="str">
        <f t="shared" si="15"/>
        <v>No</v>
      </c>
      <c r="AI126" s="25"/>
      <c r="AJ126" s="37">
        <v>44618</v>
      </c>
      <c r="AK126" s="37" t="s">
        <v>1390</v>
      </c>
      <c r="AL126" s="37">
        <v>39151</v>
      </c>
      <c r="AM126" s="37" t="s">
        <v>81</v>
      </c>
      <c r="AN126" s="37">
        <f t="shared" si="16"/>
        <v>15940</v>
      </c>
      <c r="AO126" s="37" t="str">
        <f t="shared" si="17"/>
        <v>Canton-Massillon, OH</v>
      </c>
      <c r="AP126" s="37" t="s">
        <v>8</v>
      </c>
      <c r="AQ126" s="25"/>
      <c r="AR126" s="25"/>
      <c r="AS126" s="25"/>
      <c r="AT126" s="25"/>
      <c r="AU126" s="36"/>
      <c r="AV126" s="36"/>
      <c r="AW126" s="36"/>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39">
        <v>45822</v>
      </c>
      <c r="BV126" s="39" t="s">
        <v>1896</v>
      </c>
      <c r="BW126" s="39" t="s">
        <v>2911</v>
      </c>
      <c r="BX126" s="39" t="s">
        <v>2912</v>
      </c>
      <c r="BY126" s="71">
        <v>790</v>
      </c>
      <c r="BZ126" s="71">
        <v>830</v>
      </c>
      <c r="CA126" s="71">
        <v>1040</v>
      </c>
      <c r="CB126" s="71">
        <v>1360</v>
      </c>
      <c r="CC126" s="71">
        <v>1380</v>
      </c>
      <c r="CD126" s="25"/>
      <c r="CE126" s="200"/>
      <c r="CF126" s="200"/>
      <c r="CG126" s="200"/>
      <c r="CH126" s="200"/>
      <c r="CI126" s="200"/>
      <c r="CJ126" s="200"/>
      <c r="CK126" s="200"/>
      <c r="CL126" s="200"/>
      <c r="CM126" s="200"/>
      <c r="CN126" s="200"/>
      <c r="CO126" s="200"/>
      <c r="CP126" s="200"/>
      <c r="CQ126" s="200"/>
      <c r="CR126" s="200"/>
      <c r="CS126" s="200"/>
      <c r="CT126" s="200"/>
      <c r="CU126" s="200"/>
    </row>
    <row r="127" spans="1:99" s="17" customFormat="1" x14ac:dyDescent="0.2">
      <c r="A127" s="25"/>
      <c r="B127" s="20">
        <v>39011041000</v>
      </c>
      <c r="C127" s="20">
        <v>410</v>
      </c>
      <c r="D127" s="20" t="s">
        <v>12</v>
      </c>
      <c r="E127" s="20" t="s">
        <v>265</v>
      </c>
      <c r="F127" s="20" t="s">
        <v>8</v>
      </c>
      <c r="G127" s="861">
        <v>77.007144142066096</v>
      </c>
      <c r="H127" s="861">
        <v>60.9243595058201</v>
      </c>
      <c r="I127" s="861">
        <v>20.2792143129276</v>
      </c>
      <c r="J127" s="861">
        <v>40.249270662645401</v>
      </c>
      <c r="K127" s="982">
        <v>0</v>
      </c>
      <c r="L127" s="735">
        <v>3660</v>
      </c>
      <c r="M127" s="735">
        <v>3979</v>
      </c>
      <c r="N127" s="845">
        <f t="shared" si="13"/>
        <v>8.7158469945355185E-2</v>
      </c>
      <c r="O127" s="735">
        <v>20.305232984254896</v>
      </c>
      <c r="P127" s="735">
        <f t="shared" si="14"/>
        <v>195.95933733365189</v>
      </c>
      <c r="Q127" s="849">
        <v>36.5</v>
      </c>
      <c r="R127" s="71">
        <v>100217</v>
      </c>
      <c r="S127" s="845">
        <v>3.2390745501285345E-2</v>
      </c>
      <c r="T127" s="845">
        <v>0.01</v>
      </c>
      <c r="U127" s="845">
        <v>0</v>
      </c>
      <c r="V127" s="845">
        <v>0.128</v>
      </c>
      <c r="W127" s="845">
        <v>0.13943661971830987</v>
      </c>
      <c r="X127" s="845">
        <v>0.10101010101010101</v>
      </c>
      <c r="Y127" s="845">
        <v>0.99195777833626542</v>
      </c>
      <c r="Z127" s="845">
        <v>1.0052777079668257E-3</v>
      </c>
      <c r="AA127" s="845">
        <v>0</v>
      </c>
      <c r="AB127" s="845">
        <v>0</v>
      </c>
      <c r="AC127" s="845">
        <v>0</v>
      </c>
      <c r="AD127" s="845">
        <v>2.0105554159336515E-3</v>
      </c>
      <c r="AE127" s="845">
        <v>5.0263885398341293E-3</v>
      </c>
      <c r="AF127" s="845">
        <v>5.2777079668258359E-3</v>
      </c>
      <c r="AG127" s="845">
        <v>0.99095250062829854</v>
      </c>
      <c r="AH127" s="20" t="str">
        <f t="shared" si="15"/>
        <v>Yes</v>
      </c>
      <c r="AI127" s="25"/>
      <c r="AJ127" s="37">
        <v>44624</v>
      </c>
      <c r="AK127" s="37" t="s">
        <v>1395</v>
      </c>
      <c r="AL127" s="37">
        <v>39151</v>
      </c>
      <c r="AM127" s="37" t="s">
        <v>81</v>
      </c>
      <c r="AN127" s="37">
        <f t="shared" si="16"/>
        <v>15940</v>
      </c>
      <c r="AO127" s="37" t="str">
        <f t="shared" si="17"/>
        <v>Canton-Massillon, OH</v>
      </c>
      <c r="AP127" s="37" t="s">
        <v>8</v>
      </c>
      <c r="AQ127" s="25"/>
      <c r="AR127" s="25"/>
      <c r="AS127" s="25"/>
      <c r="AT127" s="25"/>
      <c r="AU127" s="36"/>
      <c r="AV127" s="36"/>
      <c r="AW127" s="36"/>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39">
        <v>45845</v>
      </c>
      <c r="BV127" s="39" t="s">
        <v>1911</v>
      </c>
      <c r="BW127" s="39" t="s">
        <v>2911</v>
      </c>
      <c r="BX127" s="39" t="s">
        <v>2912</v>
      </c>
      <c r="BY127" s="71">
        <v>680</v>
      </c>
      <c r="BZ127" s="71">
        <v>740</v>
      </c>
      <c r="CA127" s="71">
        <v>970</v>
      </c>
      <c r="CB127" s="71">
        <v>1300</v>
      </c>
      <c r="CC127" s="71">
        <v>1360</v>
      </c>
      <c r="CD127" s="25"/>
      <c r="CE127" s="200"/>
      <c r="CF127" s="200"/>
      <c r="CG127" s="200"/>
      <c r="CH127" s="200"/>
      <c r="CI127" s="200"/>
      <c r="CJ127" s="200"/>
      <c r="CK127" s="200"/>
      <c r="CL127" s="200"/>
      <c r="CM127" s="200"/>
      <c r="CN127" s="200"/>
      <c r="CO127" s="200"/>
      <c r="CP127" s="200"/>
      <c r="CQ127" s="200"/>
      <c r="CR127" s="200"/>
      <c r="CS127" s="200"/>
      <c r="CT127" s="200"/>
      <c r="CU127" s="200"/>
    </row>
    <row r="128" spans="1:99" s="17" customFormat="1" x14ac:dyDescent="0.2">
      <c r="A128" s="25"/>
      <c r="B128" s="20">
        <v>39035197100</v>
      </c>
      <c r="C128" s="20">
        <v>1971</v>
      </c>
      <c r="D128" s="20" t="s">
        <v>24</v>
      </c>
      <c r="E128" s="20" t="s">
        <v>2829</v>
      </c>
      <c r="F128" s="20" t="s">
        <v>8</v>
      </c>
      <c r="G128" s="861">
        <v>76.914166023184194</v>
      </c>
      <c r="H128" s="861">
        <v>70.396686871338204</v>
      </c>
      <c r="I128" s="861">
        <v>30.920052037036999</v>
      </c>
      <c r="J128" s="861">
        <v>65.338684054495602</v>
      </c>
      <c r="K128" s="982">
        <v>0</v>
      </c>
      <c r="L128" s="735" t="s">
        <v>2466</v>
      </c>
      <c r="M128" s="735">
        <v>4083</v>
      </c>
      <c r="N128" s="845" t="str">
        <f t="shared" si="13"/>
        <v/>
      </c>
      <c r="O128" s="735">
        <v>4.1356830784833223</v>
      </c>
      <c r="P128" s="735">
        <f t="shared" si="14"/>
        <v>987.26133567694876</v>
      </c>
      <c r="Q128" s="849">
        <v>46.2</v>
      </c>
      <c r="R128" s="71">
        <v>134342</v>
      </c>
      <c r="S128" s="845">
        <v>0.13862356110702914</v>
      </c>
      <c r="T128" s="845">
        <v>9.1999999999999998E-2</v>
      </c>
      <c r="U128" s="845">
        <v>0</v>
      </c>
      <c r="V128" s="845">
        <v>0.05</v>
      </c>
      <c r="W128" s="845">
        <v>0.17328519855595667</v>
      </c>
      <c r="X128" s="845">
        <v>0.39583333333333331</v>
      </c>
      <c r="Y128" s="845">
        <v>0.60004898359049719</v>
      </c>
      <c r="Z128" s="845">
        <v>0.22312025471467059</v>
      </c>
      <c r="AA128" s="845">
        <v>0</v>
      </c>
      <c r="AB128" s="845">
        <v>8.4251775655155528E-2</v>
      </c>
      <c r="AC128" s="845">
        <v>0</v>
      </c>
      <c r="AD128" s="845">
        <v>2.9145236345824149E-2</v>
      </c>
      <c r="AE128" s="845">
        <v>6.3433749693852556E-2</v>
      </c>
      <c r="AF128" s="845">
        <v>4.0901298065148174E-2</v>
      </c>
      <c r="AG128" s="845">
        <v>0.59490570658829289</v>
      </c>
      <c r="AH128" s="20" t="str">
        <f t="shared" si="15"/>
        <v>No</v>
      </c>
      <c r="AI128" s="25"/>
      <c r="AJ128" s="37">
        <v>44626</v>
      </c>
      <c r="AK128" s="37" t="s">
        <v>1397</v>
      </c>
      <c r="AL128" s="37">
        <v>39151</v>
      </c>
      <c r="AM128" s="37" t="s">
        <v>81</v>
      </c>
      <c r="AN128" s="37">
        <f t="shared" si="16"/>
        <v>15940</v>
      </c>
      <c r="AO128" s="37" t="str">
        <f t="shared" si="17"/>
        <v>Canton-Massillon, OH</v>
      </c>
      <c r="AP128" s="37" t="s">
        <v>8</v>
      </c>
      <c r="AQ128" s="25"/>
      <c r="AR128" s="25"/>
      <c r="AS128" s="25"/>
      <c r="AT128" s="25"/>
      <c r="AU128" s="36"/>
      <c r="AV128" s="36"/>
      <c r="AW128" s="36"/>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39">
        <v>45862</v>
      </c>
      <c r="BV128" s="39" t="s">
        <v>1925</v>
      </c>
      <c r="BW128" s="39" t="s">
        <v>2911</v>
      </c>
      <c r="BX128" s="39" t="s">
        <v>2912</v>
      </c>
      <c r="BY128" s="71">
        <v>740</v>
      </c>
      <c r="BZ128" s="71">
        <v>780</v>
      </c>
      <c r="CA128" s="71">
        <v>970</v>
      </c>
      <c r="CB128" s="71">
        <v>1270</v>
      </c>
      <c r="CC128" s="71">
        <v>1340</v>
      </c>
      <c r="CD128" s="25"/>
      <c r="CE128" s="200"/>
      <c r="CF128" s="200"/>
      <c r="CG128" s="200"/>
      <c r="CH128" s="200"/>
      <c r="CI128" s="200"/>
      <c r="CJ128" s="200"/>
      <c r="CK128" s="200"/>
      <c r="CL128" s="200"/>
      <c r="CM128" s="200"/>
      <c r="CN128" s="200"/>
      <c r="CO128" s="200"/>
      <c r="CP128" s="200"/>
      <c r="CQ128" s="200"/>
      <c r="CR128" s="200"/>
      <c r="CS128" s="200"/>
      <c r="CT128" s="200"/>
      <c r="CU128" s="200"/>
    </row>
    <row r="129" spans="1:99" s="17" customFormat="1" x14ac:dyDescent="0.2">
      <c r="A129" s="25"/>
      <c r="B129" s="20">
        <v>39049009440</v>
      </c>
      <c r="C129" s="20">
        <v>94.4</v>
      </c>
      <c r="D129" s="20" t="s">
        <v>31</v>
      </c>
      <c r="E129" s="20" t="s">
        <v>2830</v>
      </c>
      <c r="F129" s="20" t="s">
        <v>8</v>
      </c>
      <c r="G129" s="861">
        <v>76.748360436896405</v>
      </c>
      <c r="H129" s="861">
        <v>67.942408388670898</v>
      </c>
      <c r="I129" s="861">
        <v>38.891894314522702</v>
      </c>
      <c r="J129" s="861">
        <v>85.958174115045097</v>
      </c>
      <c r="K129" s="982">
        <v>0</v>
      </c>
      <c r="L129" s="735">
        <v>4637</v>
      </c>
      <c r="M129" s="735">
        <v>4853</v>
      </c>
      <c r="N129" s="845">
        <f t="shared" si="13"/>
        <v>4.6581841708000865E-2</v>
      </c>
      <c r="O129" s="735">
        <v>3.43201652767433</v>
      </c>
      <c r="P129" s="735">
        <f t="shared" si="14"/>
        <v>1414.0374793849214</v>
      </c>
      <c r="Q129" s="849">
        <v>41.6</v>
      </c>
      <c r="R129" s="71">
        <v>94355</v>
      </c>
      <c r="S129" s="845">
        <v>6.7612687813021696E-2</v>
      </c>
      <c r="T129" s="845">
        <v>3.0000000000000001E-3</v>
      </c>
      <c r="U129" s="845">
        <v>0</v>
      </c>
      <c r="V129" s="845">
        <v>0</v>
      </c>
      <c r="W129" s="845">
        <v>0.3361838588989845</v>
      </c>
      <c r="X129" s="845">
        <v>0.33704292527821939</v>
      </c>
      <c r="Y129" s="845">
        <v>0.7253245415207088</v>
      </c>
      <c r="Z129" s="845">
        <v>0.15104059344735216</v>
      </c>
      <c r="AA129" s="845">
        <v>0</v>
      </c>
      <c r="AB129" s="845">
        <v>1.2363486503193901E-2</v>
      </c>
      <c r="AC129" s="845">
        <v>0</v>
      </c>
      <c r="AD129" s="845">
        <v>7.0471873068205237E-2</v>
      </c>
      <c r="AE129" s="845">
        <v>4.079950546053987E-2</v>
      </c>
      <c r="AF129" s="845">
        <v>0.10941685555326602</v>
      </c>
      <c r="AG129" s="845">
        <v>0.69709458067174945</v>
      </c>
      <c r="AH129" s="20" t="str">
        <f t="shared" si="15"/>
        <v>No</v>
      </c>
      <c r="AI129" s="25"/>
      <c r="AJ129" s="37">
        <v>44630</v>
      </c>
      <c r="AK129" s="37" t="s">
        <v>1401</v>
      </c>
      <c r="AL129" s="37">
        <v>39151</v>
      </c>
      <c r="AM129" s="37" t="s">
        <v>81</v>
      </c>
      <c r="AN129" s="37">
        <f t="shared" si="16"/>
        <v>15940</v>
      </c>
      <c r="AO129" s="37" t="str">
        <f t="shared" si="17"/>
        <v>Canton-Massillon, OH</v>
      </c>
      <c r="AP129" s="37" t="s">
        <v>8</v>
      </c>
      <c r="AQ129" s="25"/>
      <c r="AR129" s="25"/>
      <c r="AS129" s="25"/>
      <c r="AT129" s="25"/>
      <c r="AU129" s="36"/>
      <c r="AV129" s="36"/>
      <c r="AW129" s="36"/>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39">
        <v>45865</v>
      </c>
      <c r="BV129" s="39" t="s">
        <v>1928</v>
      </c>
      <c r="BW129" s="39" t="s">
        <v>2911</v>
      </c>
      <c r="BX129" s="39" t="s">
        <v>2912</v>
      </c>
      <c r="BY129" s="71">
        <v>730</v>
      </c>
      <c r="BZ129" s="71">
        <v>740</v>
      </c>
      <c r="CA129" s="71">
        <v>970</v>
      </c>
      <c r="CB129" s="71">
        <v>1340</v>
      </c>
      <c r="CC129" s="71">
        <v>1560</v>
      </c>
      <c r="CD129" s="25"/>
      <c r="CE129" s="200"/>
      <c r="CF129" s="200"/>
      <c r="CG129" s="200"/>
      <c r="CH129" s="200"/>
      <c r="CI129" s="200"/>
      <c r="CJ129" s="200"/>
      <c r="CK129" s="200"/>
      <c r="CL129" s="200"/>
      <c r="CM129" s="200"/>
      <c r="CN129" s="200"/>
      <c r="CO129" s="200"/>
      <c r="CP129" s="200"/>
      <c r="CQ129" s="200"/>
      <c r="CR129" s="200"/>
      <c r="CS129" s="200"/>
      <c r="CT129" s="200"/>
      <c r="CU129" s="200"/>
    </row>
    <row r="130" spans="1:99" s="17" customFormat="1" x14ac:dyDescent="0.2">
      <c r="A130" s="25"/>
      <c r="B130" s="20">
        <v>39049006384</v>
      </c>
      <c r="C130" s="20">
        <v>63.84</v>
      </c>
      <c r="D130" s="20" t="s">
        <v>31</v>
      </c>
      <c r="E130" s="20" t="s">
        <v>2830</v>
      </c>
      <c r="F130" s="20" t="s">
        <v>8</v>
      </c>
      <c r="G130" s="861">
        <v>76.713375521393701</v>
      </c>
      <c r="H130" s="861">
        <v>77.0105388800323</v>
      </c>
      <c r="I130" s="861">
        <v>25.164954309985699</v>
      </c>
      <c r="J130" s="861">
        <v>42.763872471149</v>
      </c>
      <c r="K130" s="982">
        <v>0</v>
      </c>
      <c r="L130" s="735">
        <v>6696</v>
      </c>
      <c r="M130" s="735">
        <v>5871</v>
      </c>
      <c r="N130" s="845">
        <f t="shared" si="13"/>
        <v>-0.1232078853046595</v>
      </c>
      <c r="O130" s="735">
        <v>0.94944876021071778</v>
      </c>
      <c r="P130" s="735">
        <f t="shared" si="14"/>
        <v>6183.5880418623201</v>
      </c>
      <c r="Q130" s="849">
        <v>36.299999999999997</v>
      </c>
      <c r="R130" s="71">
        <v>101457</v>
      </c>
      <c r="S130" s="845">
        <v>3.0999829671265543E-2</v>
      </c>
      <c r="T130" s="845">
        <v>1.8000000000000002E-2</v>
      </c>
      <c r="U130" s="845">
        <v>0</v>
      </c>
      <c r="V130" s="845">
        <v>0</v>
      </c>
      <c r="W130" s="845">
        <v>0.48818582298758512</v>
      </c>
      <c r="X130" s="845">
        <v>0.35849056603773582</v>
      </c>
      <c r="Y130" s="845">
        <v>0.7574518821325158</v>
      </c>
      <c r="Z130" s="845">
        <v>5.2631578947368418E-2</v>
      </c>
      <c r="AA130" s="845">
        <v>0</v>
      </c>
      <c r="AB130" s="845">
        <v>5.5867824902060978E-2</v>
      </c>
      <c r="AC130" s="845">
        <v>0</v>
      </c>
      <c r="AD130" s="845">
        <v>1.0730710270822688E-2</v>
      </c>
      <c r="AE130" s="845">
        <v>0.12331800374723216</v>
      </c>
      <c r="AF130" s="845">
        <v>5.0246976664963382E-2</v>
      </c>
      <c r="AG130" s="845">
        <v>0.74672117186169307</v>
      </c>
      <c r="AH130" s="20" t="str">
        <f t="shared" si="15"/>
        <v>No</v>
      </c>
      <c r="AI130" s="25"/>
      <c r="AJ130" s="37">
        <v>44632</v>
      </c>
      <c r="AK130" s="37" t="s">
        <v>1402</v>
      </c>
      <c r="AL130" s="37">
        <v>39151</v>
      </c>
      <c r="AM130" s="37" t="s">
        <v>81</v>
      </c>
      <c r="AN130" s="37">
        <f t="shared" si="16"/>
        <v>15940</v>
      </c>
      <c r="AO130" s="37" t="str">
        <f t="shared" si="17"/>
        <v>Canton-Massillon, OH</v>
      </c>
      <c r="AP130" s="37" t="s">
        <v>8</v>
      </c>
      <c r="AQ130" s="25"/>
      <c r="AR130" s="25"/>
      <c r="AS130" s="25"/>
      <c r="AT130" s="25"/>
      <c r="AU130" s="36"/>
      <c r="AV130" s="36"/>
      <c r="AW130" s="36"/>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39">
        <v>45869</v>
      </c>
      <c r="BV130" s="39" t="s">
        <v>1932</v>
      </c>
      <c r="BW130" s="39" t="s">
        <v>2911</v>
      </c>
      <c r="BX130" s="39" t="s">
        <v>2912</v>
      </c>
      <c r="BY130" s="71">
        <v>730</v>
      </c>
      <c r="BZ130" s="71">
        <v>740</v>
      </c>
      <c r="CA130" s="71">
        <v>970</v>
      </c>
      <c r="CB130" s="71">
        <v>1350</v>
      </c>
      <c r="CC130" s="71">
        <v>1600</v>
      </c>
      <c r="CD130" s="25"/>
      <c r="CE130" s="200"/>
      <c r="CF130" s="200"/>
      <c r="CG130" s="200"/>
      <c r="CH130" s="200"/>
      <c r="CI130" s="200"/>
      <c r="CJ130" s="200"/>
      <c r="CK130" s="200"/>
      <c r="CL130" s="200"/>
      <c r="CM130" s="200"/>
      <c r="CN130" s="200"/>
      <c r="CO130" s="200"/>
      <c r="CP130" s="200"/>
      <c r="CQ130" s="200"/>
      <c r="CR130" s="200"/>
      <c r="CS130" s="200"/>
      <c r="CT130" s="200"/>
      <c r="CU130" s="200"/>
    </row>
    <row r="131" spans="1:99" s="17" customFormat="1" x14ac:dyDescent="0.2">
      <c r="A131" s="25"/>
      <c r="B131" s="20">
        <v>39107967900</v>
      </c>
      <c r="C131" s="20">
        <v>9679</v>
      </c>
      <c r="D131" s="20" t="s">
        <v>59</v>
      </c>
      <c r="E131" s="20" t="s">
        <v>265</v>
      </c>
      <c r="F131" s="20" t="s">
        <v>8</v>
      </c>
      <c r="G131" s="861">
        <v>76.582980451621097</v>
      </c>
      <c r="H131" s="861">
        <v>64.251548103164794</v>
      </c>
      <c r="I131" s="861">
        <v>11.965021437114901</v>
      </c>
      <c r="J131" s="861">
        <v>62.656272107618101</v>
      </c>
      <c r="K131" s="982">
        <v>0</v>
      </c>
      <c r="L131" s="735">
        <v>6617</v>
      </c>
      <c r="M131" s="735">
        <v>7411</v>
      </c>
      <c r="N131" s="845">
        <f t="shared" si="13"/>
        <v>0.11999395496448542</v>
      </c>
      <c r="O131" s="735">
        <v>76.95618147065548</v>
      </c>
      <c r="P131" s="735">
        <f t="shared" si="14"/>
        <v>96.301555747356346</v>
      </c>
      <c r="Q131" s="849">
        <v>33</v>
      </c>
      <c r="R131" s="71">
        <v>106786</v>
      </c>
      <c r="S131" s="845">
        <v>1.8251681075888569E-2</v>
      </c>
      <c r="T131" s="845">
        <v>1E-3</v>
      </c>
      <c r="U131" s="845">
        <v>1.3999999999999999E-2</v>
      </c>
      <c r="V131" s="845">
        <v>0.128</v>
      </c>
      <c r="W131" s="845">
        <v>0.10519698239731769</v>
      </c>
      <c r="X131" s="845">
        <v>0.17131474103585656</v>
      </c>
      <c r="Y131" s="845">
        <v>0.98407772230468227</v>
      </c>
      <c r="Z131" s="845">
        <v>0</v>
      </c>
      <c r="AA131" s="845">
        <v>0</v>
      </c>
      <c r="AB131" s="845">
        <v>5.397382269599244E-3</v>
      </c>
      <c r="AC131" s="845">
        <v>0</v>
      </c>
      <c r="AD131" s="845">
        <v>2.4288220213196598E-3</v>
      </c>
      <c r="AE131" s="845">
        <v>8.0960734043988673E-3</v>
      </c>
      <c r="AF131" s="845">
        <v>1.4572932127917959E-2</v>
      </c>
      <c r="AG131" s="845">
        <v>0.97584671434354342</v>
      </c>
      <c r="AH131" s="20" t="str">
        <f t="shared" si="15"/>
        <v>Yes</v>
      </c>
      <c r="AI131" s="25"/>
      <c r="AJ131" s="37">
        <v>44634</v>
      </c>
      <c r="AK131" s="37" t="s">
        <v>1404</v>
      </c>
      <c r="AL131" s="37">
        <v>39151</v>
      </c>
      <c r="AM131" s="37" t="s">
        <v>81</v>
      </c>
      <c r="AN131" s="37">
        <f t="shared" si="16"/>
        <v>15940</v>
      </c>
      <c r="AO131" s="37" t="str">
        <f t="shared" si="17"/>
        <v>Canton-Massillon, OH</v>
      </c>
      <c r="AP131" s="37" t="s">
        <v>8</v>
      </c>
      <c r="AQ131" s="25"/>
      <c r="AR131" s="25"/>
      <c r="AS131" s="25"/>
      <c r="AT131" s="25"/>
      <c r="AU131" s="36"/>
      <c r="AV131" s="36"/>
      <c r="AW131" s="36"/>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39">
        <v>45870</v>
      </c>
      <c r="BV131" s="39" t="s">
        <v>1933</v>
      </c>
      <c r="BW131" s="39" t="s">
        <v>2911</v>
      </c>
      <c r="BX131" s="39" t="s">
        <v>2912</v>
      </c>
      <c r="BY131" s="71">
        <v>790</v>
      </c>
      <c r="BZ131" s="71">
        <v>800</v>
      </c>
      <c r="CA131" s="71">
        <v>1050</v>
      </c>
      <c r="CB131" s="71">
        <v>1410</v>
      </c>
      <c r="CC131" s="71">
        <v>1650</v>
      </c>
      <c r="CD131" s="25"/>
      <c r="CE131" s="200"/>
      <c r="CF131" s="200"/>
      <c r="CG131" s="200"/>
      <c r="CH131" s="200"/>
      <c r="CI131" s="200"/>
      <c r="CJ131" s="200"/>
      <c r="CK131" s="200"/>
      <c r="CL131" s="200"/>
      <c r="CM131" s="200"/>
      <c r="CN131" s="200"/>
      <c r="CO131" s="200"/>
      <c r="CP131" s="200"/>
      <c r="CQ131" s="200"/>
      <c r="CR131" s="200"/>
      <c r="CS131" s="200"/>
      <c r="CT131" s="200"/>
      <c r="CU131" s="200"/>
    </row>
    <row r="132" spans="1:99" s="17" customFormat="1" x14ac:dyDescent="0.2">
      <c r="A132" s="25"/>
      <c r="B132" s="20">
        <v>39035189111</v>
      </c>
      <c r="C132" s="20">
        <v>1891.11</v>
      </c>
      <c r="D132" s="20" t="s">
        <v>24</v>
      </c>
      <c r="E132" s="20" t="s">
        <v>2829</v>
      </c>
      <c r="F132" s="20" t="s">
        <v>8</v>
      </c>
      <c r="G132" s="861">
        <v>76.573406810835607</v>
      </c>
      <c r="H132" s="861">
        <v>62.023164019054498</v>
      </c>
      <c r="I132" s="861">
        <v>29.838976266862101</v>
      </c>
      <c r="J132" s="861">
        <v>59.060924737666603</v>
      </c>
      <c r="K132" s="982">
        <v>0</v>
      </c>
      <c r="L132" s="735">
        <v>6841</v>
      </c>
      <c r="M132" s="735">
        <v>7056</v>
      </c>
      <c r="N132" s="845">
        <f t="shared" si="13"/>
        <v>3.1428153778687323E-2</v>
      </c>
      <c r="O132" s="735">
        <v>2.752537732692526</v>
      </c>
      <c r="P132" s="735">
        <f t="shared" si="14"/>
        <v>2563.4525972865908</v>
      </c>
      <c r="Q132" s="849">
        <v>47.9</v>
      </c>
      <c r="R132" s="71">
        <v>115240</v>
      </c>
      <c r="S132" s="845">
        <v>9.2153687619608418E-2</v>
      </c>
      <c r="T132" s="845">
        <v>2.2000000000000002E-2</v>
      </c>
      <c r="U132" s="845">
        <v>5.5999999999999994E-2</v>
      </c>
      <c r="V132" s="845">
        <v>7.0999999999999994E-2</v>
      </c>
      <c r="W132" s="845">
        <v>0.4480750566159819</v>
      </c>
      <c r="X132" s="845">
        <v>0.39350180505415161</v>
      </c>
      <c r="Y132" s="845">
        <v>0.81079931972789121</v>
      </c>
      <c r="Z132" s="845">
        <v>2.5368480725623584E-2</v>
      </c>
      <c r="AA132" s="845">
        <v>0</v>
      </c>
      <c r="AB132" s="845">
        <v>8.3475056689342408E-2</v>
      </c>
      <c r="AC132" s="845">
        <v>0</v>
      </c>
      <c r="AD132" s="845">
        <v>3.1179138321995466E-3</v>
      </c>
      <c r="AE132" s="845">
        <v>7.7239229024943304E-2</v>
      </c>
      <c r="AF132" s="845">
        <v>5.1303854875283446E-2</v>
      </c>
      <c r="AG132" s="845">
        <v>0.81079931972789121</v>
      </c>
      <c r="AH132" s="20" t="str">
        <f t="shared" si="15"/>
        <v>No</v>
      </c>
      <c r="AI132" s="25"/>
      <c r="AJ132" s="37">
        <v>44640</v>
      </c>
      <c r="AK132" s="37" t="s">
        <v>1408</v>
      </c>
      <c r="AL132" s="37">
        <v>39151</v>
      </c>
      <c r="AM132" s="37" t="s">
        <v>81</v>
      </c>
      <c r="AN132" s="37">
        <f t="shared" si="16"/>
        <v>15940</v>
      </c>
      <c r="AO132" s="37" t="str">
        <f t="shared" si="17"/>
        <v>Canton-Massillon, OH</v>
      </c>
      <c r="AP132" s="37" t="s">
        <v>8</v>
      </c>
      <c r="AQ132" s="25"/>
      <c r="AR132" s="25"/>
      <c r="AS132" s="25"/>
      <c r="AT132" s="25"/>
      <c r="AU132" s="36"/>
      <c r="AV132" s="36"/>
      <c r="AW132" s="36"/>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39">
        <v>45871</v>
      </c>
      <c r="BV132" s="39" t="s">
        <v>1934</v>
      </c>
      <c r="BW132" s="39" t="s">
        <v>2911</v>
      </c>
      <c r="BX132" s="39" t="s">
        <v>2912</v>
      </c>
      <c r="BY132" s="71">
        <v>740</v>
      </c>
      <c r="BZ132" s="71">
        <v>760</v>
      </c>
      <c r="CA132" s="71">
        <v>990</v>
      </c>
      <c r="CB132" s="71">
        <v>1370</v>
      </c>
      <c r="CC132" s="71">
        <v>1600</v>
      </c>
      <c r="CD132" s="25"/>
      <c r="CE132" s="200"/>
      <c r="CF132" s="200"/>
      <c r="CG132" s="200"/>
      <c r="CH132" s="200"/>
      <c r="CI132" s="200"/>
      <c r="CJ132" s="200"/>
      <c r="CK132" s="200"/>
      <c r="CL132" s="200"/>
      <c r="CM132" s="200"/>
      <c r="CN132" s="200"/>
      <c r="CO132" s="200"/>
      <c r="CP132" s="200"/>
      <c r="CQ132" s="200"/>
      <c r="CR132" s="200"/>
      <c r="CS132" s="200"/>
      <c r="CT132" s="200"/>
      <c r="CU132" s="200"/>
    </row>
    <row r="133" spans="1:99" s="17" customFormat="1" x14ac:dyDescent="0.2">
      <c r="A133" s="25"/>
      <c r="B133" s="20">
        <v>39153532202</v>
      </c>
      <c r="C133" s="20">
        <v>5322.02</v>
      </c>
      <c r="D133" s="20" t="s">
        <v>82</v>
      </c>
      <c r="E133" s="20" t="s">
        <v>2843</v>
      </c>
      <c r="F133" s="20" t="s">
        <v>8</v>
      </c>
      <c r="G133" s="861">
        <v>76.5415256336764</v>
      </c>
      <c r="H133" s="861">
        <v>74.309607909125702</v>
      </c>
      <c r="I133" s="861">
        <v>22.636279270784001</v>
      </c>
      <c r="J133" s="861">
        <v>33.660851585029697</v>
      </c>
      <c r="K133" s="982">
        <v>0</v>
      </c>
      <c r="L133" s="735">
        <v>6393</v>
      </c>
      <c r="M133" s="735">
        <v>6569</v>
      </c>
      <c r="N133" s="845">
        <f t="shared" si="13"/>
        <v>2.7530111058970748E-2</v>
      </c>
      <c r="O133" s="735">
        <v>3.5219937747127341</v>
      </c>
      <c r="P133" s="735">
        <f t="shared" si="14"/>
        <v>1865.1367436149969</v>
      </c>
      <c r="Q133" s="849">
        <v>40.4</v>
      </c>
      <c r="R133" s="71">
        <v>93565</v>
      </c>
      <c r="S133" s="845">
        <v>7.9788935081547815E-2</v>
      </c>
      <c r="T133" s="845">
        <v>1.4999999999999999E-2</v>
      </c>
      <c r="U133" s="845">
        <v>6.0000000000000001E-3</v>
      </c>
      <c r="V133" s="845">
        <v>7.0000000000000007E-2</v>
      </c>
      <c r="W133" s="845">
        <v>0.23585526315789473</v>
      </c>
      <c r="X133" s="845">
        <v>0.2914923291492329</v>
      </c>
      <c r="Y133" s="845">
        <v>0.73725072309331707</v>
      </c>
      <c r="Z133" s="845">
        <v>0.11797838331557314</v>
      </c>
      <c r="AA133" s="845">
        <v>0</v>
      </c>
      <c r="AB133" s="845">
        <v>4.3537829197746993E-2</v>
      </c>
      <c r="AC133" s="845">
        <v>0</v>
      </c>
      <c r="AD133" s="845">
        <v>3.1359415436139446E-2</v>
      </c>
      <c r="AE133" s="845">
        <v>6.9873648957223325E-2</v>
      </c>
      <c r="AF133" s="845">
        <v>3.1816105952199726E-2</v>
      </c>
      <c r="AG133" s="845">
        <v>0.73725072309331707</v>
      </c>
      <c r="AH133" s="20" t="str">
        <f t="shared" si="15"/>
        <v>No</v>
      </c>
      <c r="AI133" s="25"/>
      <c r="AJ133" s="37">
        <v>44641</v>
      </c>
      <c r="AK133" s="37" t="s">
        <v>1409</v>
      </c>
      <c r="AL133" s="37">
        <v>39151</v>
      </c>
      <c r="AM133" s="37" t="s">
        <v>81</v>
      </c>
      <c r="AN133" s="37">
        <f t="shared" si="16"/>
        <v>15940</v>
      </c>
      <c r="AO133" s="37" t="str">
        <f t="shared" si="17"/>
        <v>Canton-Massillon, OH</v>
      </c>
      <c r="AP133" s="37" t="s">
        <v>8</v>
      </c>
      <c r="AQ133" s="25"/>
      <c r="AR133" s="25"/>
      <c r="AS133" s="25"/>
      <c r="AT133" s="25"/>
      <c r="AU133" s="36"/>
      <c r="AV133" s="36"/>
      <c r="AW133" s="36"/>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39">
        <v>45884</v>
      </c>
      <c r="BV133" s="39" t="s">
        <v>1946</v>
      </c>
      <c r="BW133" s="39" t="s">
        <v>2911</v>
      </c>
      <c r="BX133" s="39" t="s">
        <v>2912</v>
      </c>
      <c r="BY133" s="71">
        <v>780</v>
      </c>
      <c r="BZ133" s="71">
        <v>780</v>
      </c>
      <c r="CA133" s="71">
        <v>1030</v>
      </c>
      <c r="CB133" s="71">
        <v>1430</v>
      </c>
      <c r="CC133" s="71">
        <v>1720</v>
      </c>
      <c r="CD133" s="25"/>
      <c r="CE133" s="200"/>
      <c r="CF133" s="200"/>
      <c r="CG133" s="200"/>
      <c r="CH133" s="200"/>
      <c r="CI133" s="200"/>
      <c r="CJ133" s="200"/>
      <c r="CK133" s="200"/>
      <c r="CL133" s="200"/>
      <c r="CM133" s="200"/>
      <c r="CN133" s="200"/>
      <c r="CO133" s="200"/>
      <c r="CP133" s="200"/>
      <c r="CQ133" s="200"/>
      <c r="CR133" s="200"/>
      <c r="CS133" s="200"/>
      <c r="CT133" s="200"/>
      <c r="CU133" s="200"/>
    </row>
    <row r="134" spans="1:99" s="17" customFormat="1" x14ac:dyDescent="0.2">
      <c r="A134" s="25"/>
      <c r="B134" s="20">
        <v>39035170201</v>
      </c>
      <c r="C134" s="20">
        <v>1702.01</v>
      </c>
      <c r="D134" s="20" t="s">
        <v>24</v>
      </c>
      <c r="E134" s="20" t="s">
        <v>2829</v>
      </c>
      <c r="F134" s="20" t="s">
        <v>8</v>
      </c>
      <c r="G134" s="861">
        <v>76.532827310912197</v>
      </c>
      <c r="H134" s="861">
        <v>69.825555908840101</v>
      </c>
      <c r="I134" s="861">
        <v>25.970841954197802</v>
      </c>
      <c r="J134" s="861">
        <v>43.469880294348101</v>
      </c>
      <c r="K134" s="982">
        <v>0</v>
      </c>
      <c r="L134" s="735">
        <v>2032</v>
      </c>
      <c r="M134" s="735">
        <v>2122</v>
      </c>
      <c r="N134" s="845">
        <f t="shared" si="13"/>
        <v>4.4291338582677163E-2</v>
      </c>
      <c r="O134" s="735">
        <v>1.6877270529245789</v>
      </c>
      <c r="P134" s="735">
        <f t="shared" si="14"/>
        <v>1257.3123102594645</v>
      </c>
      <c r="Q134" s="849">
        <v>63.5</v>
      </c>
      <c r="R134" s="71">
        <v>116071</v>
      </c>
      <c r="S134" s="845">
        <v>2.5943396226415096E-2</v>
      </c>
      <c r="T134" s="845">
        <v>0.02</v>
      </c>
      <c r="U134" s="845">
        <v>4.4999999999999998E-2</v>
      </c>
      <c r="V134" s="845">
        <v>0</v>
      </c>
      <c r="W134" s="845">
        <v>9.7517730496453903E-2</v>
      </c>
      <c r="X134" s="845">
        <v>0.29090909090909089</v>
      </c>
      <c r="Y134" s="845">
        <v>0.85626767200754006</v>
      </c>
      <c r="Z134" s="845">
        <v>7.3044297832233748E-2</v>
      </c>
      <c r="AA134" s="845">
        <v>3.770028275212064E-3</v>
      </c>
      <c r="AB134" s="845">
        <v>0</v>
      </c>
      <c r="AC134" s="845">
        <v>0</v>
      </c>
      <c r="AD134" s="845">
        <v>1.0838831291234684E-2</v>
      </c>
      <c r="AE134" s="845">
        <v>5.6079170593779454E-2</v>
      </c>
      <c r="AF134" s="845">
        <v>3.581526861451461E-2</v>
      </c>
      <c r="AG134" s="845">
        <v>0.85296889726672953</v>
      </c>
      <c r="AH134" s="20" t="str">
        <f t="shared" si="15"/>
        <v>No</v>
      </c>
      <c r="AI134" s="25"/>
      <c r="AJ134" s="37">
        <v>44643</v>
      </c>
      <c r="AK134" s="37" t="s">
        <v>1410</v>
      </c>
      <c r="AL134" s="37">
        <v>39151</v>
      </c>
      <c r="AM134" s="37" t="s">
        <v>81</v>
      </c>
      <c r="AN134" s="37">
        <f t="shared" si="16"/>
        <v>15940</v>
      </c>
      <c r="AO134" s="37" t="str">
        <f t="shared" si="17"/>
        <v>Canton-Massillon, OH</v>
      </c>
      <c r="AP134" s="37" t="s">
        <v>8</v>
      </c>
      <c r="AQ134" s="25"/>
      <c r="AR134" s="25"/>
      <c r="AS134" s="25"/>
      <c r="AT134" s="25"/>
      <c r="AU134" s="36"/>
      <c r="AV134" s="36"/>
      <c r="AW134" s="36"/>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39">
        <v>45885</v>
      </c>
      <c r="BV134" s="39" t="s">
        <v>1947</v>
      </c>
      <c r="BW134" s="39" t="s">
        <v>2911</v>
      </c>
      <c r="BX134" s="39" t="s">
        <v>2912</v>
      </c>
      <c r="BY134" s="71">
        <v>750</v>
      </c>
      <c r="BZ134" s="71">
        <v>750</v>
      </c>
      <c r="CA134" s="71">
        <v>990</v>
      </c>
      <c r="CB134" s="71">
        <v>1380</v>
      </c>
      <c r="CC134" s="71">
        <v>1650</v>
      </c>
      <c r="CD134" s="25"/>
      <c r="CE134" s="200"/>
      <c r="CF134" s="200"/>
      <c r="CG134" s="200"/>
      <c r="CH134" s="200"/>
      <c r="CI134" s="200"/>
      <c r="CJ134" s="200"/>
      <c r="CK134" s="200"/>
      <c r="CL134" s="200"/>
      <c r="CM134" s="200"/>
      <c r="CN134" s="200"/>
      <c r="CO134" s="200"/>
      <c r="CP134" s="200"/>
      <c r="CQ134" s="200"/>
      <c r="CR134" s="200"/>
      <c r="CS134" s="200"/>
      <c r="CT134" s="200"/>
      <c r="CU134" s="200"/>
    </row>
    <row r="135" spans="1:99" s="17" customFormat="1" x14ac:dyDescent="0.2">
      <c r="A135" s="25"/>
      <c r="B135" s="20">
        <v>39049007305</v>
      </c>
      <c r="C135" s="20">
        <v>73.05</v>
      </c>
      <c r="D135" s="20" t="s">
        <v>31</v>
      </c>
      <c r="E135" s="20" t="s">
        <v>2830</v>
      </c>
      <c r="F135" s="20" t="s">
        <v>8</v>
      </c>
      <c r="G135" s="861">
        <v>76.501668574855799</v>
      </c>
      <c r="H135" s="861">
        <v>70.641117364048597</v>
      </c>
      <c r="I135" s="861">
        <v>40.055904801434899</v>
      </c>
      <c r="J135" s="861">
        <v>35.807452030337302</v>
      </c>
      <c r="K135" s="982">
        <v>0</v>
      </c>
      <c r="L135" s="735" t="s">
        <v>2466</v>
      </c>
      <c r="M135" s="735">
        <v>5149</v>
      </c>
      <c r="N135" s="845" t="str">
        <f t="shared" si="13"/>
        <v/>
      </c>
      <c r="O135" s="735">
        <v>1.2809726759710878</v>
      </c>
      <c r="P135" s="735">
        <f t="shared" si="14"/>
        <v>4019.6017421656666</v>
      </c>
      <c r="Q135" s="849">
        <v>39.6</v>
      </c>
      <c r="R135" s="71">
        <v>87458</v>
      </c>
      <c r="S135" s="845">
        <v>4.3985986765278318E-2</v>
      </c>
      <c r="T135" s="845">
        <v>2.3E-2</v>
      </c>
      <c r="U135" s="845">
        <v>0</v>
      </c>
      <c r="V135" s="845">
        <v>0.11199999999999999</v>
      </c>
      <c r="W135" s="845">
        <v>0.34250635055038103</v>
      </c>
      <c r="X135" s="845">
        <v>0.67614338689740416</v>
      </c>
      <c r="Y135" s="845">
        <v>0.7628665760341814</v>
      </c>
      <c r="Z135" s="845">
        <v>0.12837444163915324</v>
      </c>
      <c r="AA135" s="845">
        <v>0</v>
      </c>
      <c r="AB135" s="845">
        <v>4.7776267236356577E-2</v>
      </c>
      <c r="AC135" s="845">
        <v>0</v>
      </c>
      <c r="AD135" s="845">
        <v>2.4664983491940181E-2</v>
      </c>
      <c r="AE135" s="845">
        <v>3.6317731598368617E-2</v>
      </c>
      <c r="AF135" s="845">
        <v>4.7582054767916097E-2</v>
      </c>
      <c r="AG135" s="845">
        <v>0.76267236356574097</v>
      </c>
      <c r="AH135" s="20" t="str">
        <f t="shared" si="15"/>
        <v>No</v>
      </c>
      <c r="AI135" s="25"/>
      <c r="AJ135" s="37">
        <v>44645</v>
      </c>
      <c r="AK135" s="37" t="s">
        <v>1412</v>
      </c>
      <c r="AL135" s="37">
        <v>39151</v>
      </c>
      <c r="AM135" s="37" t="s">
        <v>81</v>
      </c>
      <c r="AN135" s="37">
        <f t="shared" si="16"/>
        <v>15940</v>
      </c>
      <c r="AO135" s="37" t="str">
        <f t="shared" si="17"/>
        <v>Canton-Massillon, OH</v>
      </c>
      <c r="AP135" s="37" t="s">
        <v>8</v>
      </c>
      <c r="AQ135" s="25"/>
      <c r="AR135" s="25"/>
      <c r="AS135" s="25"/>
      <c r="AT135" s="25"/>
      <c r="AU135" s="36"/>
      <c r="AV135" s="36"/>
      <c r="AW135" s="36"/>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39">
        <v>45888</v>
      </c>
      <c r="BV135" s="39" t="s">
        <v>1950</v>
      </c>
      <c r="BW135" s="39" t="s">
        <v>2911</v>
      </c>
      <c r="BX135" s="39" t="s">
        <v>2912</v>
      </c>
      <c r="BY135" s="71">
        <v>780</v>
      </c>
      <c r="BZ135" s="71">
        <v>780</v>
      </c>
      <c r="CA135" s="71">
        <v>1030</v>
      </c>
      <c r="CB135" s="71">
        <v>1430</v>
      </c>
      <c r="CC135" s="71">
        <v>1720</v>
      </c>
      <c r="CD135" s="25"/>
      <c r="CE135" s="200"/>
      <c r="CF135" s="200"/>
      <c r="CG135" s="200"/>
      <c r="CH135" s="200"/>
      <c r="CI135" s="200"/>
      <c r="CJ135" s="200"/>
      <c r="CK135" s="200"/>
      <c r="CL135" s="200"/>
      <c r="CM135" s="200"/>
      <c r="CN135" s="200"/>
      <c r="CO135" s="200"/>
      <c r="CP135" s="200"/>
      <c r="CQ135" s="200"/>
      <c r="CR135" s="200"/>
      <c r="CS135" s="200"/>
      <c r="CT135" s="200"/>
      <c r="CU135" s="200"/>
    </row>
    <row r="136" spans="1:99" s="17" customFormat="1" x14ac:dyDescent="0.2">
      <c r="A136" s="25"/>
      <c r="B136" s="20">
        <v>39061004703</v>
      </c>
      <c r="C136" s="20">
        <v>47.03</v>
      </c>
      <c r="D136" s="20" t="s">
        <v>37</v>
      </c>
      <c r="E136" s="20" t="s">
        <v>2828</v>
      </c>
      <c r="F136" s="20" t="s">
        <v>8</v>
      </c>
      <c r="G136" s="861">
        <v>76.487882572542901</v>
      </c>
      <c r="H136" s="861">
        <v>77.682653015208601</v>
      </c>
      <c r="I136" s="861">
        <v>27.7222284857849</v>
      </c>
      <c r="J136" s="861">
        <v>52.763644372514399</v>
      </c>
      <c r="K136" s="982">
        <v>0</v>
      </c>
      <c r="L136" s="735" t="s">
        <v>2466</v>
      </c>
      <c r="M136" s="735">
        <v>3847</v>
      </c>
      <c r="N136" s="845" t="str">
        <f t="shared" si="13"/>
        <v/>
      </c>
      <c r="O136" s="735">
        <v>4.9533682994397994</v>
      </c>
      <c r="P136" s="735">
        <f t="shared" si="14"/>
        <v>776.64323899256112</v>
      </c>
      <c r="Q136" s="849">
        <v>36.1</v>
      </c>
      <c r="R136" s="71">
        <v>107984</v>
      </c>
      <c r="S136" s="845">
        <v>3.067325188458539E-2</v>
      </c>
      <c r="T136" s="845">
        <v>1.1000000000000001E-2</v>
      </c>
      <c r="U136" s="845">
        <v>0</v>
      </c>
      <c r="V136" s="845">
        <v>3.7999999999999999E-2</v>
      </c>
      <c r="W136" s="845">
        <v>0.34983498349834985</v>
      </c>
      <c r="X136" s="845">
        <v>0.22012578616352202</v>
      </c>
      <c r="Y136" s="845">
        <v>0.88120613465037689</v>
      </c>
      <c r="Z136" s="845">
        <v>2.1055367819079802E-2</v>
      </c>
      <c r="AA136" s="845">
        <v>0</v>
      </c>
      <c r="AB136" s="845">
        <v>3.6391993761372499E-3</v>
      </c>
      <c r="AC136" s="845">
        <v>0</v>
      </c>
      <c r="AD136" s="845">
        <v>2.0795425006498568E-3</v>
      </c>
      <c r="AE136" s="845">
        <v>9.2019755653756169E-2</v>
      </c>
      <c r="AF136" s="845">
        <v>5.0688848453340263E-2</v>
      </c>
      <c r="AG136" s="845">
        <v>0.87132830777229009</v>
      </c>
      <c r="AH136" s="20" t="str">
        <f t="shared" si="15"/>
        <v>No</v>
      </c>
      <c r="AI136" s="25"/>
      <c r="AJ136" s="37">
        <v>44646</v>
      </c>
      <c r="AK136" s="37" t="s">
        <v>1413</v>
      </c>
      <c r="AL136" s="37">
        <v>39151</v>
      </c>
      <c r="AM136" s="37" t="s">
        <v>81</v>
      </c>
      <c r="AN136" s="37">
        <f t="shared" si="16"/>
        <v>15940</v>
      </c>
      <c r="AO136" s="37" t="str">
        <f t="shared" si="17"/>
        <v>Canton-Massillon, OH</v>
      </c>
      <c r="AP136" s="37" t="s">
        <v>8</v>
      </c>
      <c r="AQ136" s="25"/>
      <c r="AR136" s="25"/>
      <c r="AS136" s="25"/>
      <c r="AT136" s="25"/>
      <c r="AU136" s="36"/>
      <c r="AV136" s="36"/>
      <c r="AW136" s="36"/>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39">
        <v>45101</v>
      </c>
      <c r="BV136" s="39" t="s">
        <v>1561</v>
      </c>
      <c r="BW136" s="39" t="s">
        <v>2863</v>
      </c>
      <c r="BX136" s="39" t="s">
        <v>309</v>
      </c>
      <c r="BY136" s="71">
        <v>770</v>
      </c>
      <c r="BZ136" s="71">
        <v>770</v>
      </c>
      <c r="CA136" s="71">
        <v>970</v>
      </c>
      <c r="CB136" s="71">
        <v>1310</v>
      </c>
      <c r="CC136" s="71">
        <v>1640</v>
      </c>
      <c r="CD136" s="25"/>
      <c r="CE136" s="200"/>
      <c r="CF136" s="200"/>
      <c r="CG136" s="200"/>
      <c r="CH136" s="200"/>
      <c r="CI136" s="200"/>
      <c r="CJ136" s="200"/>
      <c r="CK136" s="200"/>
      <c r="CL136" s="200"/>
      <c r="CM136" s="200"/>
      <c r="CN136" s="200"/>
      <c r="CO136" s="200"/>
      <c r="CP136" s="200"/>
      <c r="CQ136" s="200"/>
      <c r="CR136" s="200"/>
      <c r="CS136" s="200"/>
      <c r="CT136" s="200"/>
      <c r="CU136" s="200"/>
    </row>
    <row r="137" spans="1:99" s="17" customFormat="1" x14ac:dyDescent="0.2">
      <c r="A137" s="25"/>
      <c r="B137" s="20">
        <v>39041011762</v>
      </c>
      <c r="C137" s="20">
        <v>117.62</v>
      </c>
      <c r="D137" s="20" t="s">
        <v>27</v>
      </c>
      <c r="E137" s="20" t="s">
        <v>2830</v>
      </c>
      <c r="F137" s="20" t="s">
        <v>8</v>
      </c>
      <c r="G137" s="861">
        <v>76.463153562823294</v>
      </c>
      <c r="H137" s="861">
        <v>74.386588050977807</v>
      </c>
      <c r="I137" s="861">
        <v>23.6382391288927</v>
      </c>
      <c r="J137" s="861">
        <v>53.430356311182003</v>
      </c>
      <c r="K137" s="982">
        <v>0</v>
      </c>
      <c r="L137" s="735">
        <v>5399</v>
      </c>
      <c r="M137" s="735">
        <v>6685</v>
      </c>
      <c r="N137" s="845">
        <f t="shared" si="13"/>
        <v>0.23819225782552325</v>
      </c>
      <c r="O137" s="735">
        <v>3.1151552274886698</v>
      </c>
      <c r="P137" s="735">
        <f t="shared" si="14"/>
        <v>2145.9604776707115</v>
      </c>
      <c r="Q137" s="849">
        <v>46.3</v>
      </c>
      <c r="R137" s="71">
        <v>141322</v>
      </c>
      <c r="S137" s="845">
        <v>3.4854151084517573E-2</v>
      </c>
      <c r="T137" s="845">
        <v>3.1E-2</v>
      </c>
      <c r="U137" s="845">
        <v>0</v>
      </c>
      <c r="V137" s="845">
        <v>8.1000000000000003E-2</v>
      </c>
      <c r="W137" s="845">
        <v>0.18470075307174</v>
      </c>
      <c r="X137" s="845">
        <v>0.34334763948497854</v>
      </c>
      <c r="Y137" s="845">
        <v>0.92640239341810027</v>
      </c>
      <c r="Z137" s="845">
        <v>1.9596110695587136E-2</v>
      </c>
      <c r="AA137" s="845">
        <v>2.243829468960359E-3</v>
      </c>
      <c r="AB137" s="845">
        <v>2.662677636499626E-2</v>
      </c>
      <c r="AC137" s="845">
        <v>0</v>
      </c>
      <c r="AD137" s="845">
        <v>2.5430067314884067E-3</v>
      </c>
      <c r="AE137" s="845">
        <v>2.2587883320867613E-2</v>
      </c>
      <c r="AF137" s="845">
        <v>5.5347793567688854E-3</v>
      </c>
      <c r="AG137" s="845">
        <v>0.92640239341810027</v>
      </c>
      <c r="AH137" s="20" t="str">
        <f t="shared" si="15"/>
        <v>Yes</v>
      </c>
      <c r="AI137" s="25"/>
      <c r="AJ137" s="37">
        <v>44647</v>
      </c>
      <c r="AK137" s="37" t="s">
        <v>1414</v>
      </c>
      <c r="AL137" s="37">
        <v>39151</v>
      </c>
      <c r="AM137" s="37" t="s">
        <v>81</v>
      </c>
      <c r="AN137" s="37">
        <f t="shared" si="16"/>
        <v>15940</v>
      </c>
      <c r="AO137" s="37" t="str">
        <f t="shared" si="17"/>
        <v>Canton-Massillon, OH</v>
      </c>
      <c r="AP137" s="37" t="s">
        <v>8</v>
      </c>
      <c r="AQ137" s="25"/>
      <c r="AR137" s="25"/>
      <c r="AS137" s="25"/>
      <c r="AT137" s="25"/>
      <c r="AU137" s="36"/>
      <c r="AV137" s="36"/>
      <c r="AW137" s="36"/>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39">
        <v>45115</v>
      </c>
      <c r="BV137" s="39" t="s">
        <v>1570</v>
      </c>
      <c r="BW137" s="39" t="s">
        <v>2863</v>
      </c>
      <c r="BX137" s="39" t="s">
        <v>309</v>
      </c>
      <c r="BY137" s="71">
        <v>800</v>
      </c>
      <c r="BZ137" s="71">
        <v>810</v>
      </c>
      <c r="CA137" s="71">
        <v>1020</v>
      </c>
      <c r="CB137" s="71">
        <v>1350</v>
      </c>
      <c r="CC137" s="71">
        <v>1630</v>
      </c>
      <c r="CD137" s="25"/>
      <c r="CE137" s="200"/>
      <c r="CF137" s="200"/>
      <c r="CG137" s="200"/>
      <c r="CH137" s="200"/>
      <c r="CI137" s="200"/>
      <c r="CJ137" s="200"/>
      <c r="CK137" s="200"/>
      <c r="CL137" s="200"/>
      <c r="CM137" s="200"/>
      <c r="CN137" s="200"/>
      <c r="CO137" s="200"/>
      <c r="CP137" s="200"/>
      <c r="CQ137" s="200"/>
      <c r="CR137" s="200"/>
      <c r="CS137" s="200"/>
      <c r="CT137" s="200"/>
      <c r="CU137" s="200"/>
    </row>
    <row r="138" spans="1:99" s="17" customFormat="1" x14ac:dyDescent="0.2">
      <c r="A138" s="25"/>
      <c r="B138" s="20">
        <v>39061022601</v>
      </c>
      <c r="C138" s="20">
        <v>226.01</v>
      </c>
      <c r="D138" s="20" t="s">
        <v>37</v>
      </c>
      <c r="E138" s="20" t="s">
        <v>2828</v>
      </c>
      <c r="F138" s="20" t="s">
        <v>8</v>
      </c>
      <c r="G138" s="861">
        <v>76.431722597121905</v>
      </c>
      <c r="H138" s="861">
        <v>80.581185865890006</v>
      </c>
      <c r="I138" s="861">
        <v>16.508823982440902</v>
      </c>
      <c r="J138" s="861">
        <v>46.6423064905646</v>
      </c>
      <c r="K138" s="982">
        <v>0</v>
      </c>
      <c r="L138" s="735">
        <v>5774</v>
      </c>
      <c r="M138" s="735">
        <v>6045</v>
      </c>
      <c r="N138" s="845">
        <f t="shared" si="13"/>
        <v>4.6934534118462073E-2</v>
      </c>
      <c r="O138" s="735">
        <v>2.3755132219506598</v>
      </c>
      <c r="P138" s="735">
        <f t="shared" si="14"/>
        <v>2544.7132620192829</v>
      </c>
      <c r="Q138" s="849">
        <v>39.6</v>
      </c>
      <c r="R138" s="71">
        <v>181875</v>
      </c>
      <c r="S138" s="845">
        <v>4.9627791563275434E-3</v>
      </c>
      <c r="T138" s="845">
        <v>6.9999999999999993E-3</v>
      </c>
      <c r="U138" s="845">
        <v>1E-3</v>
      </c>
      <c r="V138" s="845">
        <v>0</v>
      </c>
      <c r="W138" s="845">
        <v>6.7946824224519947E-2</v>
      </c>
      <c r="X138" s="845">
        <v>0</v>
      </c>
      <c r="Y138" s="845">
        <v>0.85773366418527708</v>
      </c>
      <c r="Z138" s="845">
        <v>6.8155500413564926E-2</v>
      </c>
      <c r="AA138" s="845">
        <v>0</v>
      </c>
      <c r="AB138" s="845">
        <v>2.7956989247311829E-2</v>
      </c>
      <c r="AC138" s="845">
        <v>0</v>
      </c>
      <c r="AD138" s="845">
        <v>7.4441687344913151E-3</v>
      </c>
      <c r="AE138" s="845">
        <v>3.870967741935484E-2</v>
      </c>
      <c r="AF138" s="845">
        <v>1.4061207609594707E-2</v>
      </c>
      <c r="AG138" s="845">
        <v>0.84846980976013231</v>
      </c>
      <c r="AH138" s="20" t="str">
        <f t="shared" si="15"/>
        <v>No</v>
      </c>
      <c r="AI138" s="25"/>
      <c r="AJ138" s="37">
        <v>44652</v>
      </c>
      <c r="AK138" s="37" t="s">
        <v>1416</v>
      </c>
      <c r="AL138" s="37">
        <v>39151</v>
      </c>
      <c r="AM138" s="37" t="s">
        <v>81</v>
      </c>
      <c r="AN138" s="37">
        <f t="shared" si="16"/>
        <v>15940</v>
      </c>
      <c r="AO138" s="37" t="str">
        <f t="shared" si="17"/>
        <v>Canton-Massillon, OH</v>
      </c>
      <c r="AP138" s="37" t="s">
        <v>8</v>
      </c>
      <c r="AQ138" s="25"/>
      <c r="AR138" s="25"/>
      <c r="AS138" s="25"/>
      <c r="AT138" s="25"/>
      <c r="AU138" s="36"/>
      <c r="AV138" s="36"/>
      <c r="AW138" s="36"/>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39">
        <v>45119</v>
      </c>
      <c r="BV138" s="39" t="s">
        <v>1572</v>
      </c>
      <c r="BW138" s="39" t="s">
        <v>2863</v>
      </c>
      <c r="BX138" s="39" t="s">
        <v>309</v>
      </c>
      <c r="BY138" s="71">
        <v>830</v>
      </c>
      <c r="BZ138" s="71">
        <v>850</v>
      </c>
      <c r="CA138" s="71">
        <v>1070</v>
      </c>
      <c r="CB138" s="71">
        <v>1440</v>
      </c>
      <c r="CC138" s="71">
        <v>1750</v>
      </c>
      <c r="CD138" s="25"/>
      <c r="CE138" s="200"/>
      <c r="CF138" s="200"/>
      <c r="CG138" s="200"/>
      <c r="CH138" s="200"/>
      <c r="CI138" s="200"/>
      <c r="CJ138" s="200"/>
      <c r="CK138" s="200"/>
      <c r="CL138" s="200"/>
      <c r="CM138" s="200"/>
      <c r="CN138" s="200"/>
      <c r="CO138" s="200"/>
      <c r="CP138" s="200"/>
      <c r="CQ138" s="200"/>
      <c r="CR138" s="200"/>
      <c r="CS138" s="200"/>
      <c r="CT138" s="200"/>
      <c r="CU138" s="200"/>
    </row>
    <row r="139" spans="1:99" s="17" customFormat="1" x14ac:dyDescent="0.2">
      <c r="A139" s="25"/>
      <c r="B139" s="20">
        <v>39165032009</v>
      </c>
      <c r="C139" s="20">
        <v>320.08999999999997</v>
      </c>
      <c r="D139" s="20" t="s">
        <v>88</v>
      </c>
      <c r="E139" s="20" t="s">
        <v>2828</v>
      </c>
      <c r="F139" s="20" t="s">
        <v>8</v>
      </c>
      <c r="G139" s="861">
        <v>76.426492439838</v>
      </c>
      <c r="H139" s="861">
        <v>73.654122510830902</v>
      </c>
      <c r="I139" s="861">
        <v>16.398468738984199</v>
      </c>
      <c r="J139" s="861">
        <v>51.3507889820307</v>
      </c>
      <c r="K139" s="982">
        <v>0</v>
      </c>
      <c r="L139" s="735" t="s">
        <v>2466</v>
      </c>
      <c r="M139" s="735">
        <v>8104</v>
      </c>
      <c r="N139" s="845" t="str">
        <f t="shared" ref="N139:N202" si="23">IF(OR(L139="",M139=""),"",(M139-L139)/L139)</f>
        <v/>
      </c>
      <c r="O139" s="735">
        <v>2.6586917420250242</v>
      </c>
      <c r="P139" s="735">
        <f t="shared" ref="P139:P202" si="24">M139/O139</f>
        <v>3048.1156848320788</v>
      </c>
      <c r="Q139" s="849">
        <v>37.299999999999997</v>
      </c>
      <c r="R139" s="71">
        <v>140495</v>
      </c>
      <c r="S139" s="845">
        <v>1.0787757150025088E-2</v>
      </c>
      <c r="T139" s="845">
        <v>1.4999999999999999E-2</v>
      </c>
      <c r="U139" s="845">
        <v>0</v>
      </c>
      <c r="V139" s="845">
        <v>8.4000000000000005E-2</v>
      </c>
      <c r="W139" s="845">
        <v>0.48430066603235017</v>
      </c>
      <c r="X139" s="845">
        <v>0.18664047151277013</v>
      </c>
      <c r="Y139" s="845">
        <v>0.57268015794669302</v>
      </c>
      <c r="Z139" s="845">
        <v>2.6283316880552812E-2</v>
      </c>
      <c r="AA139" s="845">
        <v>1.2339585389930898E-3</v>
      </c>
      <c r="AB139" s="845">
        <v>0.31169792694965448</v>
      </c>
      <c r="AC139" s="845">
        <v>0</v>
      </c>
      <c r="AD139" s="845">
        <v>1.0612043435340572E-2</v>
      </c>
      <c r="AE139" s="845">
        <v>7.7492596248766046E-2</v>
      </c>
      <c r="AF139" s="845">
        <v>2.5789733464955576E-2</v>
      </c>
      <c r="AG139" s="845">
        <v>0.57268015794669302</v>
      </c>
      <c r="AH139" s="20" t="str">
        <f t="shared" ref="AH139:AH202" si="25">IF(AG139&gt;=0.9,"Yes","No")</f>
        <v>No</v>
      </c>
      <c r="AI139" s="25"/>
      <c r="AJ139" s="37">
        <v>44657</v>
      </c>
      <c r="AK139" s="37" t="s">
        <v>1420</v>
      </c>
      <c r="AL139" s="37">
        <v>39151</v>
      </c>
      <c r="AM139" s="37" t="s">
        <v>81</v>
      </c>
      <c r="AN139" s="37">
        <f t="shared" ref="AN139:AN202" si="26">VLOOKUP(AM139,$CY$11:$DA$98,2,FALSE)</f>
        <v>15940</v>
      </c>
      <c r="AO139" s="37" t="str">
        <f t="shared" ref="AO139:AO202" si="27">VLOOKUP(AM139,$CY$11:$DA$98,3,FALSE)</f>
        <v>Canton-Massillon, OH</v>
      </c>
      <c r="AP139" s="37" t="s">
        <v>8</v>
      </c>
      <c r="AQ139" s="25"/>
      <c r="AR139" s="25"/>
      <c r="AS139" s="25"/>
      <c r="AT139" s="25"/>
      <c r="AU139" s="36"/>
      <c r="AV139" s="36"/>
      <c r="AW139" s="36"/>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39">
        <v>45131</v>
      </c>
      <c r="BV139" s="39" t="s">
        <v>1578</v>
      </c>
      <c r="BW139" s="39" t="s">
        <v>2863</v>
      </c>
      <c r="BX139" s="39" t="s">
        <v>309</v>
      </c>
      <c r="BY139" s="71">
        <v>800</v>
      </c>
      <c r="BZ139" s="71">
        <v>810</v>
      </c>
      <c r="CA139" s="71">
        <v>1040</v>
      </c>
      <c r="CB139" s="71">
        <v>1400</v>
      </c>
      <c r="CC139" s="71">
        <v>1700</v>
      </c>
      <c r="CD139" s="25"/>
      <c r="CE139" s="200"/>
      <c r="CF139" s="200"/>
      <c r="CG139" s="200"/>
      <c r="CH139" s="200"/>
      <c r="CI139" s="200"/>
      <c r="CJ139" s="200"/>
      <c r="CK139" s="200"/>
      <c r="CL139" s="200"/>
      <c r="CM139" s="200"/>
      <c r="CN139" s="200"/>
      <c r="CO139" s="200"/>
      <c r="CP139" s="200"/>
      <c r="CQ139" s="200"/>
      <c r="CR139" s="200"/>
      <c r="CS139" s="200"/>
      <c r="CT139" s="200"/>
      <c r="CU139" s="200"/>
    </row>
    <row r="140" spans="1:99" s="17" customFormat="1" x14ac:dyDescent="0.2">
      <c r="A140" s="25"/>
      <c r="B140" s="20">
        <v>39035160100</v>
      </c>
      <c r="C140" s="20">
        <v>1601</v>
      </c>
      <c r="D140" s="20" t="s">
        <v>24</v>
      </c>
      <c r="E140" s="20" t="s">
        <v>2829</v>
      </c>
      <c r="F140" s="20" t="s">
        <v>8</v>
      </c>
      <c r="G140" s="861">
        <v>76.4176904588562</v>
      </c>
      <c r="H140" s="861">
        <v>76.655274950011602</v>
      </c>
      <c r="I140" s="861">
        <v>28.628950365118001</v>
      </c>
      <c r="J140" s="861">
        <v>35.183366353179998</v>
      </c>
      <c r="K140" s="982">
        <v>0</v>
      </c>
      <c r="L140" s="735">
        <v>1967</v>
      </c>
      <c r="M140" s="735">
        <v>1729</v>
      </c>
      <c r="N140" s="845">
        <f t="shared" si="23"/>
        <v>-0.12099644128113879</v>
      </c>
      <c r="O140" s="735">
        <v>0.42517067771403788</v>
      </c>
      <c r="P140" s="735">
        <f t="shared" si="24"/>
        <v>4066.6021685599262</v>
      </c>
      <c r="Q140" s="849">
        <v>37.6</v>
      </c>
      <c r="R140" s="71">
        <v>128929</v>
      </c>
      <c r="S140" s="845">
        <v>2.6604973973395025E-2</v>
      </c>
      <c r="T140" s="845">
        <v>1.6E-2</v>
      </c>
      <c r="U140" s="845">
        <v>0</v>
      </c>
      <c r="V140" s="845">
        <v>2.1000000000000001E-2</v>
      </c>
      <c r="W140" s="845">
        <v>0.2766233766233766</v>
      </c>
      <c r="X140" s="845">
        <v>9.8591549295774641E-2</v>
      </c>
      <c r="Y140" s="845">
        <v>0.86234817813765186</v>
      </c>
      <c r="Z140" s="845">
        <v>2.2556390977443608E-2</v>
      </c>
      <c r="AA140" s="845">
        <v>0</v>
      </c>
      <c r="AB140" s="845">
        <v>2.4291497975708502E-2</v>
      </c>
      <c r="AC140" s="845">
        <v>0</v>
      </c>
      <c r="AD140" s="845">
        <v>1.2724117987275883E-2</v>
      </c>
      <c r="AE140" s="845">
        <v>7.807981492192019E-2</v>
      </c>
      <c r="AF140" s="845">
        <v>2.8918449971081551E-2</v>
      </c>
      <c r="AG140" s="845">
        <v>0.8594563331405437</v>
      </c>
      <c r="AH140" s="20" t="str">
        <f t="shared" si="25"/>
        <v>No</v>
      </c>
      <c r="AI140" s="25"/>
      <c r="AJ140" s="37">
        <v>44662</v>
      </c>
      <c r="AK140" s="37" t="s">
        <v>1424</v>
      </c>
      <c r="AL140" s="37">
        <v>39151</v>
      </c>
      <c r="AM140" s="37" t="s">
        <v>81</v>
      </c>
      <c r="AN140" s="37">
        <f t="shared" si="26"/>
        <v>15940</v>
      </c>
      <c r="AO140" s="37" t="str">
        <f t="shared" si="27"/>
        <v>Canton-Massillon, OH</v>
      </c>
      <c r="AP140" s="37" t="s">
        <v>8</v>
      </c>
      <c r="AQ140" s="25"/>
      <c r="AR140" s="25"/>
      <c r="AS140" s="25"/>
      <c r="AT140" s="25"/>
      <c r="AU140" s="36"/>
      <c r="AV140" s="36"/>
      <c r="AW140" s="36"/>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39">
        <v>45133</v>
      </c>
      <c r="BV140" s="39" t="s">
        <v>1580</v>
      </c>
      <c r="BW140" s="39" t="s">
        <v>2863</v>
      </c>
      <c r="BX140" s="39" t="s">
        <v>309</v>
      </c>
      <c r="BY140" s="71">
        <v>740</v>
      </c>
      <c r="BZ140" s="71">
        <v>840</v>
      </c>
      <c r="CA140" s="71">
        <v>970</v>
      </c>
      <c r="CB140" s="71">
        <v>1170</v>
      </c>
      <c r="CC140" s="71">
        <v>1490</v>
      </c>
      <c r="CD140" s="25"/>
      <c r="CE140" s="200"/>
      <c r="CF140" s="200"/>
      <c r="CG140" s="200"/>
      <c r="CH140" s="200"/>
      <c r="CI140" s="200"/>
      <c r="CJ140" s="200"/>
      <c r="CK140" s="200"/>
      <c r="CL140" s="200"/>
      <c r="CM140" s="200"/>
      <c r="CN140" s="200"/>
      <c r="CO140" s="200"/>
      <c r="CP140" s="200"/>
      <c r="CQ140" s="200"/>
      <c r="CR140" s="200"/>
      <c r="CS140" s="200"/>
      <c r="CT140" s="200"/>
      <c r="CU140" s="200"/>
    </row>
    <row r="141" spans="1:99" s="17" customFormat="1" x14ac:dyDescent="0.2">
      <c r="A141" s="25"/>
      <c r="B141" s="20">
        <v>39041011564</v>
      </c>
      <c r="C141" s="20">
        <v>115.64</v>
      </c>
      <c r="D141" s="20" t="s">
        <v>27</v>
      </c>
      <c r="E141" s="20" t="s">
        <v>2830</v>
      </c>
      <c r="F141" s="20" t="s">
        <v>8</v>
      </c>
      <c r="G141" s="861">
        <v>76.413230622803496</v>
      </c>
      <c r="H141" s="861">
        <v>83.926274982342605</v>
      </c>
      <c r="I141" s="861">
        <v>14.202111536863001</v>
      </c>
      <c r="J141" s="861">
        <v>52.696112384887101</v>
      </c>
      <c r="K141" s="982">
        <v>0</v>
      </c>
      <c r="L141" s="735" t="s">
        <v>2466</v>
      </c>
      <c r="M141" s="735">
        <v>5619</v>
      </c>
      <c r="N141" s="845" t="str">
        <f t="shared" si="23"/>
        <v/>
      </c>
      <c r="O141" s="735">
        <v>3.0975454941374232</v>
      </c>
      <c r="P141" s="735">
        <f t="shared" si="24"/>
        <v>1814.0169403919374</v>
      </c>
      <c r="Q141" s="849">
        <v>35</v>
      </c>
      <c r="R141" s="71">
        <v>191894</v>
      </c>
      <c r="S141" s="845">
        <v>0</v>
      </c>
      <c r="T141" s="845">
        <v>1.2E-2</v>
      </c>
      <c r="U141" s="845">
        <v>0</v>
      </c>
      <c r="V141" s="845">
        <v>0</v>
      </c>
      <c r="W141" s="845">
        <v>1.5281173594132029E-2</v>
      </c>
      <c r="X141" s="845">
        <v>1</v>
      </c>
      <c r="Y141" s="845">
        <v>0.85371062466631076</v>
      </c>
      <c r="Z141" s="845">
        <v>7.2966720056949633E-3</v>
      </c>
      <c r="AA141" s="845">
        <v>0</v>
      </c>
      <c r="AB141" s="845">
        <v>7.4212493326214629E-2</v>
      </c>
      <c r="AC141" s="845">
        <v>0</v>
      </c>
      <c r="AD141" s="845">
        <v>2.3135789286349885E-3</v>
      </c>
      <c r="AE141" s="845">
        <v>6.2466631073144686E-2</v>
      </c>
      <c r="AF141" s="845">
        <v>3.1678234561309838E-2</v>
      </c>
      <c r="AG141" s="845">
        <v>0.85371062466631076</v>
      </c>
      <c r="AH141" s="20" t="str">
        <f t="shared" si="25"/>
        <v>No</v>
      </c>
      <c r="AI141" s="25"/>
      <c r="AJ141" s="37">
        <v>44666</v>
      </c>
      <c r="AK141" s="37" t="s">
        <v>1427</v>
      </c>
      <c r="AL141" s="37">
        <v>39151</v>
      </c>
      <c r="AM141" s="37" t="s">
        <v>81</v>
      </c>
      <c r="AN141" s="37">
        <f t="shared" si="26"/>
        <v>15940</v>
      </c>
      <c r="AO141" s="37" t="str">
        <f t="shared" si="27"/>
        <v>Canton-Massillon, OH</v>
      </c>
      <c r="AP141" s="37" t="s">
        <v>8</v>
      </c>
      <c r="AQ141" s="25"/>
      <c r="AR141" s="25"/>
      <c r="AS141" s="25"/>
      <c r="AT141" s="25"/>
      <c r="AU141" s="36"/>
      <c r="AV141" s="36"/>
      <c r="AW141" s="36"/>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39">
        <v>45142</v>
      </c>
      <c r="BV141" s="39" t="s">
        <v>1583</v>
      </c>
      <c r="BW141" s="39" t="s">
        <v>2863</v>
      </c>
      <c r="BX141" s="39" t="s">
        <v>309</v>
      </c>
      <c r="BY141" s="71">
        <v>740</v>
      </c>
      <c r="BZ141" s="71">
        <v>840</v>
      </c>
      <c r="CA141" s="71">
        <v>980</v>
      </c>
      <c r="CB141" s="71">
        <v>1190</v>
      </c>
      <c r="CC141" s="71">
        <v>1520</v>
      </c>
      <c r="CD141" s="25"/>
      <c r="CE141" s="200"/>
      <c r="CF141" s="200"/>
      <c r="CG141" s="200"/>
      <c r="CH141" s="200"/>
      <c r="CI141" s="200"/>
      <c r="CJ141" s="200"/>
      <c r="CK141" s="200"/>
      <c r="CL141" s="200"/>
      <c r="CM141" s="200"/>
      <c r="CN141" s="200"/>
      <c r="CO141" s="200"/>
      <c r="CP141" s="200"/>
      <c r="CQ141" s="200"/>
      <c r="CR141" s="200"/>
      <c r="CS141" s="200"/>
      <c r="CT141" s="200"/>
      <c r="CU141" s="200"/>
    </row>
    <row r="142" spans="1:99" s="17" customFormat="1" x14ac:dyDescent="0.2">
      <c r="A142" s="25"/>
      <c r="B142" s="20">
        <v>39035189107</v>
      </c>
      <c r="C142" s="20">
        <v>1891.07</v>
      </c>
      <c r="D142" s="20" t="s">
        <v>24</v>
      </c>
      <c r="E142" s="20" t="s">
        <v>2829</v>
      </c>
      <c r="F142" s="20" t="s">
        <v>8</v>
      </c>
      <c r="G142" s="861">
        <v>76.227907646088696</v>
      </c>
      <c r="H142" s="861">
        <v>67.654285762055693</v>
      </c>
      <c r="I142" s="861">
        <v>23.3643150351825</v>
      </c>
      <c r="J142" s="861">
        <v>47.092323456626502</v>
      </c>
      <c r="K142" s="982">
        <v>0</v>
      </c>
      <c r="L142" s="735">
        <v>4795</v>
      </c>
      <c r="M142" s="735">
        <v>5146</v>
      </c>
      <c r="N142" s="845">
        <f t="shared" si="23"/>
        <v>7.3201251303441087E-2</v>
      </c>
      <c r="O142" s="735">
        <v>2.2300256814692481</v>
      </c>
      <c r="P142" s="735">
        <f t="shared" si="24"/>
        <v>2307.5967432848433</v>
      </c>
      <c r="Q142" s="849">
        <v>50.7</v>
      </c>
      <c r="R142" s="71">
        <v>111587</v>
      </c>
      <c r="S142" s="845">
        <v>4.4111776447105788E-2</v>
      </c>
      <c r="T142" s="845">
        <v>1.2E-2</v>
      </c>
      <c r="U142" s="845">
        <v>0</v>
      </c>
      <c r="V142" s="845">
        <v>0.307</v>
      </c>
      <c r="W142" s="845">
        <v>5.7196436943272387E-2</v>
      </c>
      <c r="X142" s="845">
        <v>0</v>
      </c>
      <c r="Y142" s="845">
        <v>0.90594636610959967</v>
      </c>
      <c r="Z142" s="845">
        <v>1.9626894675476098E-2</v>
      </c>
      <c r="AA142" s="845">
        <v>0</v>
      </c>
      <c r="AB142" s="845">
        <v>6.2184220753983679E-2</v>
      </c>
      <c r="AC142" s="845">
        <v>0</v>
      </c>
      <c r="AD142" s="845">
        <v>1.165954139137194E-3</v>
      </c>
      <c r="AE142" s="845">
        <v>1.1076564321803343E-2</v>
      </c>
      <c r="AF142" s="845">
        <v>1.4380101049358725E-2</v>
      </c>
      <c r="AG142" s="845">
        <v>0.9034201321414691</v>
      </c>
      <c r="AH142" s="20" t="str">
        <f t="shared" si="25"/>
        <v>Yes</v>
      </c>
      <c r="AI142" s="25"/>
      <c r="AJ142" s="37">
        <v>44669</v>
      </c>
      <c r="AK142" s="37" t="s">
        <v>1429</v>
      </c>
      <c r="AL142" s="37">
        <v>39151</v>
      </c>
      <c r="AM142" s="37" t="s">
        <v>81</v>
      </c>
      <c r="AN142" s="37">
        <f t="shared" si="26"/>
        <v>15940</v>
      </c>
      <c r="AO142" s="37" t="str">
        <f t="shared" si="27"/>
        <v>Canton-Massillon, OH</v>
      </c>
      <c r="AP142" s="37" t="s">
        <v>8</v>
      </c>
      <c r="AQ142" s="25"/>
      <c r="AR142" s="25"/>
      <c r="AS142" s="25"/>
      <c r="AT142" s="25"/>
      <c r="AU142" s="36"/>
      <c r="AV142" s="36"/>
      <c r="AW142" s="36"/>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39">
        <v>45144</v>
      </c>
      <c r="BV142" s="39" t="s">
        <v>1584</v>
      </c>
      <c r="BW142" s="39" t="s">
        <v>2863</v>
      </c>
      <c r="BX142" s="39" t="s">
        <v>309</v>
      </c>
      <c r="BY142" s="71">
        <v>740</v>
      </c>
      <c r="BZ142" s="71">
        <v>780</v>
      </c>
      <c r="CA142" s="71">
        <v>970</v>
      </c>
      <c r="CB142" s="71">
        <v>1230</v>
      </c>
      <c r="CC142" s="71">
        <v>1400</v>
      </c>
      <c r="CD142" s="25"/>
      <c r="CE142" s="200"/>
      <c r="CF142" s="200"/>
      <c r="CG142" s="200"/>
      <c r="CH142" s="200"/>
      <c r="CI142" s="200"/>
      <c r="CJ142" s="200"/>
      <c r="CK142" s="200"/>
      <c r="CL142" s="200"/>
      <c r="CM142" s="200"/>
      <c r="CN142" s="200"/>
      <c r="CO142" s="200"/>
      <c r="CP142" s="200"/>
      <c r="CQ142" s="200"/>
      <c r="CR142" s="200"/>
      <c r="CS142" s="200"/>
      <c r="CT142" s="200"/>
      <c r="CU142" s="200"/>
    </row>
    <row r="143" spans="1:99" s="17" customFormat="1" x14ac:dyDescent="0.2">
      <c r="A143" s="25"/>
      <c r="B143" s="20">
        <v>39061023521</v>
      </c>
      <c r="C143" s="20">
        <v>235.21</v>
      </c>
      <c r="D143" s="20" t="s">
        <v>37</v>
      </c>
      <c r="E143" s="20" t="s">
        <v>2828</v>
      </c>
      <c r="F143" s="20" t="s">
        <v>8</v>
      </c>
      <c r="G143" s="861">
        <v>76.190421272495996</v>
      </c>
      <c r="H143" s="861">
        <v>77.628823375703107</v>
      </c>
      <c r="I143" s="861">
        <v>30.625200896296001</v>
      </c>
      <c r="J143" s="861">
        <v>54.950037271338502</v>
      </c>
      <c r="K143" s="982">
        <v>0</v>
      </c>
      <c r="L143" s="735">
        <v>2297</v>
      </c>
      <c r="M143" s="735">
        <v>2764</v>
      </c>
      <c r="N143" s="845">
        <f t="shared" si="23"/>
        <v>0.20330866347409665</v>
      </c>
      <c r="O143" s="735">
        <v>2.4566688068695419</v>
      </c>
      <c r="P143" s="735">
        <f t="shared" si="24"/>
        <v>1125.1007837405975</v>
      </c>
      <c r="Q143" s="849">
        <v>38.200000000000003</v>
      </c>
      <c r="R143" s="71">
        <v>102111</v>
      </c>
      <c r="S143" s="845">
        <v>7.6031860970311366E-2</v>
      </c>
      <c r="T143" s="845">
        <v>2.5000000000000001E-2</v>
      </c>
      <c r="U143" s="845">
        <v>0</v>
      </c>
      <c r="V143" s="845">
        <v>0.13</v>
      </c>
      <c r="W143" s="845">
        <v>0.23132969034608378</v>
      </c>
      <c r="X143" s="845">
        <v>0.57874015748031493</v>
      </c>
      <c r="Y143" s="845">
        <v>0.70188133140376263</v>
      </c>
      <c r="Z143" s="845">
        <v>6.0419681620839362E-2</v>
      </c>
      <c r="AA143" s="845">
        <v>0</v>
      </c>
      <c r="AB143" s="845">
        <v>0.17800289435600578</v>
      </c>
      <c r="AC143" s="845">
        <v>3.3646888567293774E-2</v>
      </c>
      <c r="AD143" s="845">
        <v>5.4269175108538348E-3</v>
      </c>
      <c r="AE143" s="845">
        <v>2.0622286541244574E-2</v>
      </c>
      <c r="AF143" s="845">
        <v>2.0622286541244574E-2</v>
      </c>
      <c r="AG143" s="845">
        <v>0.68885672937771347</v>
      </c>
      <c r="AH143" s="20" t="str">
        <f t="shared" si="25"/>
        <v>No</v>
      </c>
      <c r="AI143" s="25"/>
      <c r="AJ143" s="37">
        <v>44670</v>
      </c>
      <c r="AK143" s="37" t="s">
        <v>1430</v>
      </c>
      <c r="AL143" s="37">
        <v>39151</v>
      </c>
      <c r="AM143" s="37" t="s">
        <v>81</v>
      </c>
      <c r="AN143" s="37">
        <f t="shared" si="26"/>
        <v>15940</v>
      </c>
      <c r="AO143" s="37" t="str">
        <f t="shared" si="27"/>
        <v>Canton-Massillon, OH</v>
      </c>
      <c r="AP143" s="37" t="s">
        <v>8</v>
      </c>
      <c r="AQ143" s="25"/>
      <c r="AR143" s="25"/>
      <c r="AS143" s="25"/>
      <c r="AT143" s="25"/>
      <c r="AU143" s="36"/>
      <c r="AV143" s="36"/>
      <c r="AW143" s="36"/>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39">
        <v>45148</v>
      </c>
      <c r="BV143" s="39" t="s">
        <v>1587</v>
      </c>
      <c r="BW143" s="39" t="s">
        <v>2863</v>
      </c>
      <c r="BX143" s="39" t="s">
        <v>309</v>
      </c>
      <c r="BY143" s="71">
        <v>740</v>
      </c>
      <c r="BZ143" s="71">
        <v>790</v>
      </c>
      <c r="CA143" s="71">
        <v>970</v>
      </c>
      <c r="CB143" s="71">
        <v>1280</v>
      </c>
      <c r="CC143" s="71">
        <v>1600</v>
      </c>
      <c r="CD143" s="25"/>
      <c r="CE143" s="200"/>
      <c r="CF143" s="200"/>
      <c r="CG143" s="200"/>
      <c r="CH143" s="200"/>
      <c r="CI143" s="200"/>
      <c r="CJ143" s="200"/>
      <c r="CK143" s="200"/>
      <c r="CL143" s="200"/>
      <c r="CM143" s="200"/>
      <c r="CN143" s="200"/>
      <c r="CO143" s="200"/>
      <c r="CP143" s="200"/>
      <c r="CQ143" s="200"/>
      <c r="CR143" s="200"/>
      <c r="CS143" s="200"/>
      <c r="CT143" s="200"/>
      <c r="CU143" s="200"/>
    </row>
    <row r="144" spans="1:99" s="17" customFormat="1" x14ac:dyDescent="0.2">
      <c r="A144" s="25"/>
      <c r="B144" s="20">
        <v>39173020100</v>
      </c>
      <c r="C144" s="20">
        <v>201</v>
      </c>
      <c r="D144" s="20" t="s">
        <v>92</v>
      </c>
      <c r="E144" s="20" t="s">
        <v>2839</v>
      </c>
      <c r="F144" s="20" t="s">
        <v>8</v>
      </c>
      <c r="G144" s="861">
        <v>76.128154051228904</v>
      </c>
      <c r="H144" s="861">
        <v>53.114039641555898</v>
      </c>
      <c r="I144" s="861">
        <v>22.684790012171</v>
      </c>
      <c r="J144" s="861">
        <v>69.329907878398501</v>
      </c>
      <c r="K144" s="982">
        <v>1</v>
      </c>
      <c r="L144" s="735">
        <v>5285</v>
      </c>
      <c r="M144" s="735">
        <v>5195</v>
      </c>
      <c r="N144" s="845">
        <f t="shared" si="23"/>
        <v>-1.7029328287606435E-2</v>
      </c>
      <c r="O144" s="735">
        <v>8.4912938075225384</v>
      </c>
      <c r="P144" s="735">
        <f t="shared" si="24"/>
        <v>611.80311478536851</v>
      </c>
      <c r="Q144" s="849">
        <v>43.4</v>
      </c>
      <c r="R144" s="71">
        <v>76332</v>
      </c>
      <c r="S144" s="845">
        <v>0.13511420828494</v>
      </c>
      <c r="T144" s="845">
        <v>1E-3</v>
      </c>
      <c r="U144" s="845">
        <v>1.1000000000000001E-2</v>
      </c>
      <c r="V144" s="845">
        <v>0</v>
      </c>
      <c r="W144" s="845">
        <v>0.18416370106761565</v>
      </c>
      <c r="X144" s="845">
        <v>0.48550724637681159</v>
      </c>
      <c r="Y144" s="845">
        <v>0.87430221366698746</v>
      </c>
      <c r="Z144" s="845">
        <v>0</v>
      </c>
      <c r="AA144" s="845">
        <v>0</v>
      </c>
      <c r="AB144" s="845">
        <v>2.001924927815207E-2</v>
      </c>
      <c r="AC144" s="845">
        <v>0</v>
      </c>
      <c r="AD144" s="845">
        <v>4.3695861405197302E-2</v>
      </c>
      <c r="AE144" s="845">
        <v>6.1982675649663137E-2</v>
      </c>
      <c r="AF144" s="845">
        <v>7.7382098171318581E-2</v>
      </c>
      <c r="AG144" s="845">
        <v>0.84100096246390765</v>
      </c>
      <c r="AH144" s="20" t="str">
        <f t="shared" si="25"/>
        <v>No</v>
      </c>
      <c r="AI144" s="25"/>
      <c r="AJ144" s="37">
        <v>44685</v>
      </c>
      <c r="AK144" s="37" t="s">
        <v>1441</v>
      </c>
      <c r="AL144" s="37">
        <v>39151</v>
      </c>
      <c r="AM144" s="37" t="s">
        <v>81</v>
      </c>
      <c r="AN144" s="37">
        <f t="shared" si="26"/>
        <v>15940</v>
      </c>
      <c r="AO144" s="37" t="str">
        <f t="shared" si="27"/>
        <v>Canton-Massillon, OH</v>
      </c>
      <c r="AP144" s="37" t="s">
        <v>8</v>
      </c>
      <c r="AQ144" s="25"/>
      <c r="AR144" s="25"/>
      <c r="AS144" s="25"/>
      <c r="AT144" s="25"/>
      <c r="AU144" s="36"/>
      <c r="AV144" s="36"/>
      <c r="AW144" s="36"/>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39">
        <v>45154</v>
      </c>
      <c r="BV144" s="39" t="s">
        <v>1591</v>
      </c>
      <c r="BW144" s="39" t="s">
        <v>2863</v>
      </c>
      <c r="BX144" s="39" t="s">
        <v>309</v>
      </c>
      <c r="BY144" s="71">
        <v>790</v>
      </c>
      <c r="BZ144" s="71">
        <v>800</v>
      </c>
      <c r="CA144" s="71">
        <v>1000</v>
      </c>
      <c r="CB144" s="71">
        <v>1340</v>
      </c>
      <c r="CC144" s="71">
        <v>1670</v>
      </c>
      <c r="CD144" s="25"/>
      <c r="CE144" s="200"/>
      <c r="CF144" s="200"/>
      <c r="CG144" s="200"/>
      <c r="CH144" s="200"/>
      <c r="CI144" s="200"/>
      <c r="CJ144" s="200"/>
      <c r="CK144" s="200"/>
      <c r="CL144" s="200"/>
      <c r="CM144" s="200"/>
      <c r="CN144" s="200"/>
      <c r="CO144" s="200"/>
      <c r="CP144" s="200"/>
      <c r="CQ144" s="200"/>
      <c r="CR144" s="200"/>
      <c r="CS144" s="200"/>
      <c r="CT144" s="200"/>
      <c r="CU144" s="200"/>
    </row>
    <row r="145" spans="1:99" s="17" customFormat="1" x14ac:dyDescent="0.2">
      <c r="A145" s="25"/>
      <c r="B145" s="20">
        <v>39113050107</v>
      </c>
      <c r="C145" s="20">
        <v>501.07</v>
      </c>
      <c r="D145" s="20" t="s">
        <v>62</v>
      </c>
      <c r="E145" s="20" t="s">
        <v>2833</v>
      </c>
      <c r="F145" s="20" t="s">
        <v>8</v>
      </c>
      <c r="G145" s="861">
        <v>76.109568811366699</v>
      </c>
      <c r="H145" s="861">
        <v>74.529037088213201</v>
      </c>
      <c r="I145" s="861">
        <v>57.5666169870155</v>
      </c>
      <c r="J145" s="861">
        <v>36.522876886808199</v>
      </c>
      <c r="K145" s="982">
        <v>0</v>
      </c>
      <c r="L145" s="735" t="s">
        <v>2466</v>
      </c>
      <c r="M145" s="735">
        <v>3441</v>
      </c>
      <c r="N145" s="845" t="str">
        <f t="shared" si="23"/>
        <v/>
      </c>
      <c r="O145" s="735">
        <v>1.8956469263482449</v>
      </c>
      <c r="P145" s="735">
        <f t="shared" si="24"/>
        <v>1815.2114469062587</v>
      </c>
      <c r="Q145" s="849">
        <v>32.6</v>
      </c>
      <c r="R145" s="71">
        <v>85313</v>
      </c>
      <c r="S145" s="845">
        <v>6.3353676256902067E-2</v>
      </c>
      <c r="T145" s="845">
        <v>3.2000000000000001E-2</v>
      </c>
      <c r="U145" s="845">
        <v>0</v>
      </c>
      <c r="V145" s="845">
        <v>0</v>
      </c>
      <c r="W145" s="845">
        <v>0.69103773584905659</v>
      </c>
      <c r="X145" s="845">
        <v>0.35665529010238906</v>
      </c>
      <c r="Y145" s="845">
        <v>0.71461784365010173</v>
      </c>
      <c r="Z145" s="845">
        <v>6.3934902644580058E-2</v>
      </c>
      <c r="AA145" s="845">
        <v>0</v>
      </c>
      <c r="AB145" s="845">
        <v>0.11043301365882011</v>
      </c>
      <c r="AC145" s="845">
        <v>0</v>
      </c>
      <c r="AD145" s="845">
        <v>1.2786980528916013E-2</v>
      </c>
      <c r="AE145" s="845">
        <v>9.82272595175821E-2</v>
      </c>
      <c r="AF145" s="845">
        <v>4.7369950595757049E-2</v>
      </c>
      <c r="AG145" s="845">
        <v>0.68003487358326065</v>
      </c>
      <c r="AH145" s="20" t="str">
        <f t="shared" si="25"/>
        <v>No</v>
      </c>
      <c r="AI145" s="25"/>
      <c r="AJ145" s="37">
        <v>44688</v>
      </c>
      <c r="AK145" s="37" t="s">
        <v>1443</v>
      </c>
      <c r="AL145" s="37">
        <v>39151</v>
      </c>
      <c r="AM145" s="37" t="s">
        <v>81</v>
      </c>
      <c r="AN145" s="37">
        <f t="shared" si="26"/>
        <v>15940</v>
      </c>
      <c r="AO145" s="37" t="str">
        <f t="shared" si="27"/>
        <v>Canton-Massillon, OH</v>
      </c>
      <c r="AP145" s="37" t="s">
        <v>8</v>
      </c>
      <c r="AQ145" s="25"/>
      <c r="AR145" s="25"/>
      <c r="AS145" s="25"/>
      <c r="AT145" s="25"/>
      <c r="AU145" s="36"/>
      <c r="AV145" s="36"/>
      <c r="AW145" s="36"/>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39">
        <v>45167</v>
      </c>
      <c r="BV145" s="39" t="s">
        <v>1601</v>
      </c>
      <c r="BW145" s="39" t="s">
        <v>2863</v>
      </c>
      <c r="BX145" s="39" t="s">
        <v>309</v>
      </c>
      <c r="BY145" s="71">
        <v>770</v>
      </c>
      <c r="BZ145" s="71">
        <v>770</v>
      </c>
      <c r="CA145" s="71">
        <v>970</v>
      </c>
      <c r="CB145" s="71">
        <v>1310</v>
      </c>
      <c r="CC145" s="71">
        <v>1640</v>
      </c>
      <c r="CD145" s="25"/>
      <c r="CE145" s="200"/>
      <c r="CF145" s="200"/>
      <c r="CG145" s="200"/>
      <c r="CH145" s="200"/>
      <c r="CI145" s="200"/>
      <c r="CJ145" s="200"/>
      <c r="CK145" s="200"/>
      <c r="CL145" s="200"/>
      <c r="CM145" s="200"/>
      <c r="CN145" s="200"/>
      <c r="CO145" s="200"/>
      <c r="CP145" s="200"/>
      <c r="CQ145" s="200"/>
      <c r="CR145" s="200"/>
      <c r="CS145" s="200"/>
      <c r="CT145" s="200"/>
      <c r="CU145" s="200"/>
    </row>
    <row r="146" spans="1:99" s="17" customFormat="1" x14ac:dyDescent="0.2">
      <c r="A146" s="25"/>
      <c r="B146" s="20">
        <v>39057210605</v>
      </c>
      <c r="C146" s="20">
        <v>2106.0500000000002</v>
      </c>
      <c r="D146" s="20" t="s">
        <v>35</v>
      </c>
      <c r="E146" s="20" t="s">
        <v>2833</v>
      </c>
      <c r="F146" s="20" t="s">
        <v>8</v>
      </c>
      <c r="G146" s="861">
        <v>75.858805472026603</v>
      </c>
      <c r="H146" s="861">
        <v>71.306647721023594</v>
      </c>
      <c r="I146" s="861">
        <v>16.215099384830399</v>
      </c>
      <c r="J146" s="861">
        <v>52.683700829106797</v>
      </c>
      <c r="K146" s="982">
        <v>0</v>
      </c>
      <c r="L146" s="735" t="s">
        <v>2466</v>
      </c>
      <c r="M146" s="735">
        <v>2712</v>
      </c>
      <c r="N146" s="845" t="str">
        <f t="shared" si="23"/>
        <v/>
      </c>
      <c r="O146" s="735">
        <v>2.6394240860047811</v>
      </c>
      <c r="P146" s="735">
        <f t="shared" si="24"/>
        <v>1027.496874935727</v>
      </c>
      <c r="Q146" s="849">
        <v>55</v>
      </c>
      <c r="R146" s="71">
        <v>152375</v>
      </c>
      <c r="S146" s="845">
        <v>1.2536873156342183E-2</v>
      </c>
      <c r="T146" s="845">
        <v>1.9E-2</v>
      </c>
      <c r="U146" s="845">
        <v>0</v>
      </c>
      <c r="V146" s="845">
        <v>0.1</v>
      </c>
      <c r="W146" s="845">
        <v>7.03125E-2</v>
      </c>
      <c r="X146" s="845">
        <v>0.5679012345679012</v>
      </c>
      <c r="Y146" s="845">
        <v>0.86946902654867253</v>
      </c>
      <c r="Z146" s="845">
        <v>0</v>
      </c>
      <c r="AA146" s="845">
        <v>0</v>
      </c>
      <c r="AB146" s="845">
        <v>3.1710914454277289E-2</v>
      </c>
      <c r="AC146" s="845">
        <v>0</v>
      </c>
      <c r="AD146" s="845">
        <v>2.2123893805309734E-2</v>
      </c>
      <c r="AE146" s="845">
        <v>7.6696165191740412E-2</v>
      </c>
      <c r="AF146" s="845">
        <v>2.6917404129793512E-2</v>
      </c>
      <c r="AG146" s="845">
        <v>0.86467551622418881</v>
      </c>
      <c r="AH146" s="20" t="str">
        <f t="shared" si="25"/>
        <v>No</v>
      </c>
      <c r="AI146" s="25"/>
      <c r="AJ146" s="37">
        <v>44689</v>
      </c>
      <c r="AK146" s="37" t="s">
        <v>1444</v>
      </c>
      <c r="AL146" s="37">
        <v>39151</v>
      </c>
      <c r="AM146" s="37" t="s">
        <v>81</v>
      </c>
      <c r="AN146" s="37">
        <f t="shared" si="26"/>
        <v>15940</v>
      </c>
      <c r="AO146" s="37" t="str">
        <f t="shared" si="27"/>
        <v>Canton-Massillon, OH</v>
      </c>
      <c r="AP146" s="37" t="s">
        <v>8</v>
      </c>
      <c r="AQ146" s="25"/>
      <c r="AR146" s="25"/>
      <c r="AS146" s="25"/>
      <c r="AT146" s="25"/>
      <c r="AU146" s="36"/>
      <c r="AV146" s="36"/>
      <c r="AW146" s="36"/>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39">
        <v>45168</v>
      </c>
      <c r="BV146" s="39" t="s">
        <v>1602</v>
      </c>
      <c r="BW146" s="39" t="s">
        <v>2863</v>
      </c>
      <c r="BX146" s="39" t="s">
        <v>309</v>
      </c>
      <c r="BY146" s="71">
        <v>850</v>
      </c>
      <c r="BZ146" s="71">
        <v>850</v>
      </c>
      <c r="CA146" s="71">
        <v>1070</v>
      </c>
      <c r="CB146" s="71">
        <v>1440</v>
      </c>
      <c r="CC146" s="71">
        <v>1790</v>
      </c>
      <c r="CD146" s="25"/>
      <c r="CE146" s="200"/>
      <c r="CF146" s="200"/>
      <c r="CG146" s="200"/>
      <c r="CH146" s="200"/>
      <c r="CI146" s="200"/>
      <c r="CJ146" s="200"/>
      <c r="CK146" s="200"/>
      <c r="CL146" s="200"/>
      <c r="CM146" s="200"/>
      <c r="CN146" s="200"/>
      <c r="CO146" s="200"/>
      <c r="CP146" s="200"/>
      <c r="CQ146" s="200"/>
      <c r="CR146" s="200"/>
      <c r="CS146" s="200"/>
      <c r="CT146" s="200"/>
      <c r="CU146" s="200"/>
    </row>
    <row r="147" spans="1:99" s="17" customFormat="1" x14ac:dyDescent="0.2">
      <c r="A147" s="25"/>
      <c r="B147" s="20">
        <v>39041011520</v>
      </c>
      <c r="C147" s="20">
        <v>115.2</v>
      </c>
      <c r="D147" s="20" t="s">
        <v>27</v>
      </c>
      <c r="E147" s="20" t="s">
        <v>2830</v>
      </c>
      <c r="F147" s="20" t="s">
        <v>8</v>
      </c>
      <c r="G147" s="861">
        <v>75.846454600519706</v>
      </c>
      <c r="H147" s="861">
        <v>80.186099072271205</v>
      </c>
      <c r="I147" s="861">
        <v>27.267303374507001</v>
      </c>
      <c r="J147" s="861">
        <v>52.371126552969301</v>
      </c>
      <c r="K147" s="982">
        <v>0</v>
      </c>
      <c r="L147" s="735">
        <v>3662</v>
      </c>
      <c r="M147" s="735">
        <v>4299</v>
      </c>
      <c r="N147" s="845">
        <f t="shared" si="23"/>
        <v>0.17394866193336975</v>
      </c>
      <c r="O147" s="735">
        <v>2.1288935569669469</v>
      </c>
      <c r="P147" s="735">
        <f t="shared" si="24"/>
        <v>2019.3588288767346</v>
      </c>
      <c r="Q147" s="849">
        <v>46</v>
      </c>
      <c r="R147" s="71">
        <v>129286</v>
      </c>
      <c r="S147" s="845">
        <v>4.6522447080716449E-2</v>
      </c>
      <c r="T147" s="845">
        <v>1.8000000000000002E-2</v>
      </c>
      <c r="U147" s="845">
        <v>0</v>
      </c>
      <c r="V147" s="845">
        <v>4.2000000000000003E-2</v>
      </c>
      <c r="W147" s="845">
        <v>0.36574585635359114</v>
      </c>
      <c r="X147" s="845">
        <v>0.33232628398791542</v>
      </c>
      <c r="Y147" s="845">
        <v>0.77692486624796464</v>
      </c>
      <c r="Z147" s="845">
        <v>4.0707141195626892E-2</v>
      </c>
      <c r="AA147" s="845">
        <v>0</v>
      </c>
      <c r="AB147" s="845">
        <v>7.769248662479647E-2</v>
      </c>
      <c r="AC147" s="845">
        <v>0</v>
      </c>
      <c r="AD147" s="845">
        <v>2.0935101186322401E-3</v>
      </c>
      <c r="AE147" s="845">
        <v>0.10258199581297976</v>
      </c>
      <c r="AF147" s="845">
        <v>9.5371016515468712E-2</v>
      </c>
      <c r="AG147" s="845">
        <v>0.77250523377529656</v>
      </c>
      <c r="AH147" s="20" t="str">
        <f t="shared" si="25"/>
        <v>No</v>
      </c>
      <c r="AI147" s="25"/>
      <c r="AJ147" s="37">
        <v>44702</v>
      </c>
      <c r="AK147" s="37" t="s">
        <v>1451</v>
      </c>
      <c r="AL147" s="37">
        <v>39151</v>
      </c>
      <c r="AM147" s="37" t="s">
        <v>81</v>
      </c>
      <c r="AN147" s="37">
        <f t="shared" si="26"/>
        <v>15940</v>
      </c>
      <c r="AO147" s="37" t="str">
        <f t="shared" si="27"/>
        <v>Canton-Massillon, OH</v>
      </c>
      <c r="AP147" s="37" t="s">
        <v>8</v>
      </c>
      <c r="AQ147" s="25"/>
      <c r="AR147" s="25"/>
      <c r="AS147" s="25"/>
      <c r="AT147" s="25"/>
      <c r="AU147" s="36"/>
      <c r="AV147" s="36"/>
      <c r="AW147" s="36"/>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39">
        <v>45171</v>
      </c>
      <c r="BV147" s="39" t="s">
        <v>1604</v>
      </c>
      <c r="BW147" s="39" t="s">
        <v>2863</v>
      </c>
      <c r="BX147" s="39" t="s">
        <v>309</v>
      </c>
      <c r="BY147" s="71">
        <v>880</v>
      </c>
      <c r="BZ147" s="71">
        <v>910</v>
      </c>
      <c r="CA147" s="71">
        <v>1120</v>
      </c>
      <c r="CB147" s="71">
        <v>1480</v>
      </c>
      <c r="CC147" s="71">
        <v>1850</v>
      </c>
      <c r="CD147" s="25"/>
      <c r="CE147" s="200"/>
      <c r="CF147" s="200"/>
      <c r="CG147" s="200"/>
      <c r="CH147" s="200"/>
      <c r="CI147" s="200"/>
      <c r="CJ147" s="200"/>
      <c r="CK147" s="200"/>
      <c r="CL147" s="200"/>
      <c r="CM147" s="200"/>
      <c r="CN147" s="200"/>
      <c r="CO147" s="200"/>
      <c r="CP147" s="200"/>
      <c r="CQ147" s="200"/>
      <c r="CR147" s="200"/>
      <c r="CS147" s="200"/>
      <c r="CT147" s="200"/>
      <c r="CU147" s="200"/>
    </row>
    <row r="148" spans="1:99" s="17" customFormat="1" x14ac:dyDescent="0.2">
      <c r="A148" s="25"/>
      <c r="B148" s="20">
        <v>39103405000</v>
      </c>
      <c r="C148" s="20">
        <v>4050</v>
      </c>
      <c r="D148" s="20" t="s">
        <v>57</v>
      </c>
      <c r="E148" s="20" t="s">
        <v>2829</v>
      </c>
      <c r="F148" s="20" t="s">
        <v>8</v>
      </c>
      <c r="G148" s="861">
        <v>75.806915478350703</v>
      </c>
      <c r="H148" s="861">
        <v>81.328568759637903</v>
      </c>
      <c r="I148" s="861">
        <v>20.017448939391699</v>
      </c>
      <c r="J148" s="861">
        <v>58.966631559759101</v>
      </c>
      <c r="K148" s="982">
        <v>0</v>
      </c>
      <c r="L148" s="735">
        <v>4525</v>
      </c>
      <c r="M148" s="735">
        <v>4589</v>
      </c>
      <c r="N148" s="845">
        <f t="shared" si="23"/>
        <v>1.4143646408839779E-2</v>
      </c>
      <c r="O148" s="735">
        <v>23.247578538111515</v>
      </c>
      <c r="P148" s="735">
        <f t="shared" si="24"/>
        <v>197.39690275599693</v>
      </c>
      <c r="Q148" s="849">
        <v>48.3</v>
      </c>
      <c r="R148" s="71">
        <v>118563</v>
      </c>
      <c r="S148" s="845">
        <v>7.1257354543473525E-2</v>
      </c>
      <c r="T148" s="845">
        <v>2.5000000000000001E-2</v>
      </c>
      <c r="U148" s="845">
        <v>0</v>
      </c>
      <c r="V148" s="845">
        <v>0</v>
      </c>
      <c r="W148" s="845">
        <v>6.7176406335335878E-2</v>
      </c>
      <c r="X148" s="845">
        <v>0</v>
      </c>
      <c r="Y148" s="845">
        <v>0.92939638265417301</v>
      </c>
      <c r="Z148" s="845">
        <v>0</v>
      </c>
      <c r="AA148" s="845">
        <v>0</v>
      </c>
      <c r="AB148" s="845">
        <v>0</v>
      </c>
      <c r="AC148" s="845">
        <v>0</v>
      </c>
      <c r="AD148" s="845">
        <v>0</v>
      </c>
      <c r="AE148" s="845">
        <v>7.0603617345826972E-2</v>
      </c>
      <c r="AF148" s="845">
        <v>6.1015471780344298E-3</v>
      </c>
      <c r="AG148" s="845">
        <v>0.92503813466986273</v>
      </c>
      <c r="AH148" s="20" t="str">
        <f t="shared" si="25"/>
        <v>Yes</v>
      </c>
      <c r="AI148" s="25"/>
      <c r="AJ148" s="37">
        <v>44703</v>
      </c>
      <c r="AK148" s="37" t="s">
        <v>1452</v>
      </c>
      <c r="AL148" s="37">
        <v>39151</v>
      </c>
      <c r="AM148" s="37" t="s">
        <v>81</v>
      </c>
      <c r="AN148" s="37">
        <f t="shared" si="26"/>
        <v>15940</v>
      </c>
      <c r="AO148" s="37" t="str">
        <f t="shared" si="27"/>
        <v>Canton-Massillon, OH</v>
      </c>
      <c r="AP148" s="37" t="s">
        <v>8</v>
      </c>
      <c r="AQ148" s="25"/>
      <c r="AR148" s="25"/>
      <c r="AS148" s="25"/>
      <c r="AT148" s="25"/>
      <c r="AU148" s="36"/>
      <c r="AV148" s="36"/>
      <c r="AW148" s="36"/>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39">
        <v>45697</v>
      </c>
      <c r="BV148" s="39" t="s">
        <v>1829</v>
      </c>
      <c r="BW148" s="39" t="s">
        <v>2863</v>
      </c>
      <c r="BX148" s="39" t="s">
        <v>309</v>
      </c>
      <c r="BY148" s="71">
        <v>750</v>
      </c>
      <c r="BZ148" s="71">
        <v>780</v>
      </c>
      <c r="CA148" s="71">
        <v>970</v>
      </c>
      <c r="CB148" s="71">
        <v>1240</v>
      </c>
      <c r="CC148" s="71">
        <v>1400</v>
      </c>
      <c r="CD148" s="25"/>
      <c r="CE148" s="200"/>
      <c r="CF148" s="200"/>
      <c r="CG148" s="200"/>
      <c r="CH148" s="200"/>
      <c r="CI148" s="200"/>
      <c r="CJ148" s="200"/>
      <c r="CK148" s="200"/>
      <c r="CL148" s="200"/>
      <c r="CM148" s="200"/>
      <c r="CN148" s="200"/>
      <c r="CO148" s="200"/>
      <c r="CP148" s="200"/>
      <c r="CQ148" s="200"/>
      <c r="CR148" s="200"/>
      <c r="CS148" s="200"/>
      <c r="CT148" s="200"/>
      <c r="CU148" s="200"/>
    </row>
    <row r="149" spans="1:99" s="17" customFormat="1" x14ac:dyDescent="0.2">
      <c r="A149" s="25"/>
      <c r="B149" s="20">
        <v>39061026104</v>
      </c>
      <c r="C149" s="20">
        <v>261.04000000000002</v>
      </c>
      <c r="D149" s="20" t="s">
        <v>37</v>
      </c>
      <c r="E149" s="20" t="s">
        <v>2828</v>
      </c>
      <c r="F149" s="20" t="s">
        <v>8</v>
      </c>
      <c r="G149" s="861">
        <v>75.8067487399844</v>
      </c>
      <c r="H149" s="861">
        <v>74.5840184484817</v>
      </c>
      <c r="I149" s="861">
        <v>27.113409186620299</v>
      </c>
      <c r="J149" s="861">
        <v>65.038175679744299</v>
      </c>
      <c r="K149" s="982">
        <v>0</v>
      </c>
      <c r="L149" s="735" t="s">
        <v>2466</v>
      </c>
      <c r="M149" s="735">
        <v>3917</v>
      </c>
      <c r="N149" s="845" t="str">
        <f t="shared" si="23"/>
        <v/>
      </c>
      <c r="O149" s="735">
        <v>1.5932528740450473</v>
      </c>
      <c r="P149" s="735">
        <f t="shared" si="24"/>
        <v>2458.4923484589626</v>
      </c>
      <c r="Q149" s="849">
        <v>44.8</v>
      </c>
      <c r="R149" s="71">
        <v>74607</v>
      </c>
      <c r="S149" s="845">
        <v>6.0760786316058205E-2</v>
      </c>
      <c r="T149" s="845">
        <v>4.0000000000000001E-3</v>
      </c>
      <c r="U149" s="845">
        <v>0</v>
      </c>
      <c r="V149" s="845">
        <v>0</v>
      </c>
      <c r="W149" s="845">
        <v>0.21873247335950646</v>
      </c>
      <c r="X149" s="845">
        <v>0.53846153846153844</v>
      </c>
      <c r="Y149" s="845">
        <v>0.96630074036252234</v>
      </c>
      <c r="Z149" s="845">
        <v>0</v>
      </c>
      <c r="AA149" s="845">
        <v>0</v>
      </c>
      <c r="AB149" s="845">
        <v>0</v>
      </c>
      <c r="AC149" s="845">
        <v>0</v>
      </c>
      <c r="AD149" s="845">
        <v>1.1233086545825888E-2</v>
      </c>
      <c r="AE149" s="845">
        <v>2.2466173091651775E-2</v>
      </c>
      <c r="AF149" s="845">
        <v>3.8294613224406433E-3</v>
      </c>
      <c r="AG149" s="845">
        <v>0.96630074036252234</v>
      </c>
      <c r="AH149" s="20" t="str">
        <f t="shared" si="25"/>
        <v>Yes</v>
      </c>
      <c r="AI149" s="25"/>
      <c r="AJ149" s="37">
        <v>44704</v>
      </c>
      <c r="AK149" s="37" t="s">
        <v>1453</v>
      </c>
      <c r="AL149" s="37">
        <v>39151</v>
      </c>
      <c r="AM149" s="37" t="s">
        <v>81</v>
      </c>
      <c r="AN149" s="37">
        <f t="shared" si="26"/>
        <v>15940</v>
      </c>
      <c r="AO149" s="37" t="str">
        <f t="shared" si="27"/>
        <v>Canton-Massillon, OH</v>
      </c>
      <c r="AP149" s="37" t="s">
        <v>8</v>
      </c>
      <c r="AQ149" s="25"/>
      <c r="AR149" s="25"/>
      <c r="AS149" s="25"/>
      <c r="AT149" s="25"/>
      <c r="AU149" s="36"/>
      <c r="AV149" s="36"/>
      <c r="AW149" s="36"/>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39">
        <v>43903</v>
      </c>
      <c r="BV149" s="39" t="s">
        <v>1094</v>
      </c>
      <c r="BW149" s="39" t="s">
        <v>2913</v>
      </c>
      <c r="BX149" s="39" t="s">
        <v>269</v>
      </c>
      <c r="BY149" s="71">
        <v>810</v>
      </c>
      <c r="BZ149" s="71">
        <v>860</v>
      </c>
      <c r="CA149" s="71">
        <v>1110</v>
      </c>
      <c r="CB149" s="71">
        <v>1430</v>
      </c>
      <c r="CC149" s="71">
        <v>1580</v>
      </c>
      <c r="CD149" s="25"/>
      <c r="CE149" s="200"/>
      <c r="CF149" s="200"/>
      <c r="CG149" s="200"/>
      <c r="CH149" s="200"/>
      <c r="CI149" s="200"/>
      <c r="CJ149" s="200"/>
      <c r="CK149" s="200"/>
      <c r="CL149" s="200"/>
      <c r="CM149" s="200"/>
      <c r="CN149" s="200"/>
      <c r="CO149" s="200"/>
      <c r="CP149" s="200"/>
      <c r="CQ149" s="200"/>
      <c r="CR149" s="200"/>
      <c r="CS149" s="200"/>
      <c r="CT149" s="200"/>
      <c r="CU149" s="200"/>
    </row>
    <row r="150" spans="1:99" s="17" customFormat="1" x14ac:dyDescent="0.2">
      <c r="A150" s="25"/>
      <c r="B150" s="20">
        <v>39035189108</v>
      </c>
      <c r="C150" s="20">
        <v>1891.08</v>
      </c>
      <c r="D150" s="20" t="s">
        <v>24</v>
      </c>
      <c r="E150" s="20" t="s">
        <v>2829</v>
      </c>
      <c r="F150" s="20" t="s">
        <v>8</v>
      </c>
      <c r="G150" s="861">
        <v>75.791256124358299</v>
      </c>
      <c r="H150" s="861">
        <v>61.764458598872501</v>
      </c>
      <c r="I150" s="861">
        <v>25.451105772636598</v>
      </c>
      <c r="J150" s="861">
        <v>39.976990925394297</v>
      </c>
      <c r="K150" s="982">
        <v>0</v>
      </c>
      <c r="L150" s="735">
        <v>5218</v>
      </c>
      <c r="M150" s="735">
        <v>5043</v>
      </c>
      <c r="N150" s="845">
        <f t="shared" si="23"/>
        <v>-3.3537753928708315E-2</v>
      </c>
      <c r="O150" s="735">
        <v>2.8048128761486866</v>
      </c>
      <c r="P150" s="735">
        <f t="shared" si="24"/>
        <v>1797.9809073482963</v>
      </c>
      <c r="Q150" s="849">
        <v>52.7</v>
      </c>
      <c r="R150" s="71">
        <v>130250</v>
      </c>
      <c r="S150" s="845">
        <v>4.6633207862818903E-2</v>
      </c>
      <c r="T150" s="845">
        <v>6.9999999999999993E-3</v>
      </c>
      <c r="U150" s="845">
        <v>3.7000000000000005E-2</v>
      </c>
      <c r="V150" s="845">
        <v>8.5999999999999993E-2</v>
      </c>
      <c r="W150" s="845">
        <v>0.15297029702970297</v>
      </c>
      <c r="X150" s="845">
        <v>0.7346278317152104</v>
      </c>
      <c r="Y150" s="845">
        <v>0.83561372199087847</v>
      </c>
      <c r="Z150" s="845">
        <v>2.4191949236565535E-2</v>
      </c>
      <c r="AA150" s="845">
        <v>9.914733293674401E-4</v>
      </c>
      <c r="AB150" s="845">
        <v>0.11045012889153281</v>
      </c>
      <c r="AC150" s="845">
        <v>0</v>
      </c>
      <c r="AD150" s="845">
        <v>2.3795359904818562E-3</v>
      </c>
      <c r="AE150" s="845">
        <v>2.6373190561173904E-2</v>
      </c>
      <c r="AF150" s="845">
        <v>1.5070394606385089E-2</v>
      </c>
      <c r="AG150" s="845">
        <v>0.82887170335117988</v>
      </c>
      <c r="AH150" s="20" t="str">
        <f t="shared" si="25"/>
        <v>No</v>
      </c>
      <c r="AI150" s="25"/>
      <c r="AJ150" s="37">
        <v>44705</v>
      </c>
      <c r="AK150" s="37" t="s">
        <v>1454</v>
      </c>
      <c r="AL150" s="37">
        <v>39151</v>
      </c>
      <c r="AM150" s="37" t="s">
        <v>81</v>
      </c>
      <c r="AN150" s="37">
        <f t="shared" si="26"/>
        <v>15940</v>
      </c>
      <c r="AO150" s="37" t="str">
        <f t="shared" si="27"/>
        <v>Canton-Massillon, OH</v>
      </c>
      <c r="AP150" s="37" t="s">
        <v>8</v>
      </c>
      <c r="AQ150" s="25"/>
      <c r="AR150" s="25"/>
      <c r="AS150" s="25"/>
      <c r="AT150" s="25"/>
      <c r="AU150" s="36"/>
      <c r="AV150" s="36"/>
      <c r="AW150" s="36"/>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39">
        <v>43908</v>
      </c>
      <c r="BV150" s="39" t="s">
        <v>1098</v>
      </c>
      <c r="BW150" s="39" t="s">
        <v>2913</v>
      </c>
      <c r="BX150" s="39" t="s">
        <v>269</v>
      </c>
      <c r="BY150" s="71">
        <v>740</v>
      </c>
      <c r="BZ150" s="71">
        <v>760</v>
      </c>
      <c r="CA150" s="71">
        <v>970</v>
      </c>
      <c r="CB150" s="71">
        <v>1280</v>
      </c>
      <c r="CC150" s="71">
        <v>1460</v>
      </c>
      <c r="CD150" s="25"/>
      <c r="CE150" s="200"/>
      <c r="CF150" s="200"/>
      <c r="CG150" s="200"/>
      <c r="CH150" s="200"/>
      <c r="CI150" s="200"/>
      <c r="CJ150" s="200"/>
      <c r="CK150" s="200"/>
      <c r="CL150" s="200"/>
      <c r="CM150" s="200"/>
      <c r="CN150" s="200"/>
      <c r="CO150" s="200"/>
      <c r="CP150" s="200"/>
      <c r="CQ150" s="200"/>
      <c r="CR150" s="200"/>
      <c r="CS150" s="200"/>
      <c r="CT150" s="200"/>
      <c r="CU150" s="200"/>
    </row>
    <row r="151" spans="1:99" s="17" customFormat="1" x14ac:dyDescent="0.2">
      <c r="A151" s="25"/>
      <c r="B151" s="20">
        <v>39089757401</v>
      </c>
      <c r="C151" s="20">
        <v>7574.01</v>
      </c>
      <c r="D151" s="20" t="s">
        <v>50</v>
      </c>
      <c r="E151" s="20" t="s">
        <v>2830</v>
      </c>
      <c r="F151" s="20" t="s">
        <v>8</v>
      </c>
      <c r="G151" s="861">
        <v>75.755736658595296</v>
      </c>
      <c r="H151" s="861">
        <v>56.900747628881703</v>
      </c>
      <c r="I151" s="861">
        <v>24.9284295330642</v>
      </c>
      <c r="J151" s="861">
        <v>60.393037265046999</v>
      </c>
      <c r="K151" s="982">
        <v>0</v>
      </c>
      <c r="L151" s="735" t="s">
        <v>2466</v>
      </c>
      <c r="M151" s="735">
        <v>4641</v>
      </c>
      <c r="N151" s="845" t="str">
        <f t="shared" si="23"/>
        <v/>
      </c>
      <c r="O151" s="735">
        <v>7.8430298276543056</v>
      </c>
      <c r="P151" s="735">
        <f t="shared" si="24"/>
        <v>591.73560498724135</v>
      </c>
      <c r="Q151" s="849">
        <v>36.799999999999997</v>
      </c>
      <c r="R151" s="71">
        <v>107031</v>
      </c>
      <c r="S151" s="845">
        <v>0.10256410256410256</v>
      </c>
      <c r="T151" s="845">
        <v>2.2000000000000002E-2</v>
      </c>
      <c r="U151" s="845">
        <v>0</v>
      </c>
      <c r="V151" s="845">
        <v>0</v>
      </c>
      <c r="W151" s="845">
        <v>0.16312916919345058</v>
      </c>
      <c r="X151" s="845">
        <v>0.43122676579925651</v>
      </c>
      <c r="Y151" s="845">
        <v>0.75673346261581553</v>
      </c>
      <c r="Z151" s="845">
        <v>7.326007326007326E-3</v>
      </c>
      <c r="AA151" s="845">
        <v>0</v>
      </c>
      <c r="AB151" s="845">
        <v>0.15470803706097824</v>
      </c>
      <c r="AC151" s="845">
        <v>0</v>
      </c>
      <c r="AD151" s="845">
        <v>4.7403576815341518E-3</v>
      </c>
      <c r="AE151" s="845">
        <v>7.6492135315664733E-2</v>
      </c>
      <c r="AF151" s="845">
        <v>4.5679810385692736E-2</v>
      </c>
      <c r="AG151" s="845">
        <v>0.75673346261581553</v>
      </c>
      <c r="AH151" s="20" t="str">
        <f t="shared" si="25"/>
        <v>No</v>
      </c>
      <c r="AI151" s="25"/>
      <c r="AJ151" s="37">
        <v>44706</v>
      </c>
      <c r="AK151" s="37" t="s">
        <v>1455</v>
      </c>
      <c r="AL151" s="37">
        <v>39151</v>
      </c>
      <c r="AM151" s="37" t="s">
        <v>81</v>
      </c>
      <c r="AN151" s="37">
        <f t="shared" si="26"/>
        <v>15940</v>
      </c>
      <c r="AO151" s="37" t="str">
        <f t="shared" si="27"/>
        <v>Canton-Massillon, OH</v>
      </c>
      <c r="AP151" s="37" t="s">
        <v>8</v>
      </c>
      <c r="AQ151" s="25"/>
      <c r="AR151" s="25"/>
      <c r="AS151" s="25"/>
      <c r="AT151" s="25"/>
      <c r="AU151" s="36"/>
      <c r="AV151" s="36"/>
      <c r="AW151" s="36"/>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39">
        <v>43945</v>
      </c>
      <c r="BV151" s="39" t="s">
        <v>1122</v>
      </c>
      <c r="BW151" s="39" t="s">
        <v>2913</v>
      </c>
      <c r="BX151" s="39" t="s">
        <v>269</v>
      </c>
      <c r="BY151" s="71">
        <v>760</v>
      </c>
      <c r="BZ151" s="71">
        <v>840</v>
      </c>
      <c r="CA151" s="71">
        <v>1060</v>
      </c>
      <c r="CB151" s="71">
        <v>1340</v>
      </c>
      <c r="CC151" s="71">
        <v>1430</v>
      </c>
      <c r="CD151" s="25"/>
      <c r="CE151" s="200"/>
      <c r="CF151" s="200"/>
      <c r="CG151" s="200"/>
      <c r="CH151" s="200"/>
      <c r="CI151" s="200"/>
      <c r="CJ151" s="200"/>
      <c r="CK151" s="200"/>
      <c r="CL151" s="200"/>
      <c r="CM151" s="200"/>
      <c r="CN151" s="200"/>
      <c r="CO151" s="200"/>
      <c r="CP151" s="200"/>
      <c r="CQ151" s="200"/>
      <c r="CR151" s="200"/>
      <c r="CS151" s="200"/>
      <c r="CT151" s="200"/>
      <c r="CU151" s="200"/>
    </row>
    <row r="152" spans="1:99" s="17" customFormat="1" x14ac:dyDescent="0.2">
      <c r="A152" s="25"/>
      <c r="B152" s="20">
        <v>39049007306</v>
      </c>
      <c r="C152" s="20">
        <v>73.06</v>
      </c>
      <c r="D152" s="20" t="s">
        <v>31</v>
      </c>
      <c r="E152" s="20" t="s">
        <v>2830</v>
      </c>
      <c r="F152" s="20" t="s">
        <v>8</v>
      </c>
      <c r="G152" s="861">
        <v>75.755615445527297</v>
      </c>
      <c r="H152" s="861">
        <v>75.079027030534903</v>
      </c>
      <c r="I152" s="861">
        <v>25.507047305433598</v>
      </c>
      <c r="J152" s="861">
        <v>62.306498354956403</v>
      </c>
      <c r="K152" s="982">
        <v>0</v>
      </c>
      <c r="L152" s="735" t="s">
        <v>2466</v>
      </c>
      <c r="M152" s="735">
        <v>4247</v>
      </c>
      <c r="N152" s="845" t="str">
        <f t="shared" si="23"/>
        <v/>
      </c>
      <c r="O152" s="735">
        <v>2.5282034982006154</v>
      </c>
      <c r="P152" s="735">
        <f t="shared" si="24"/>
        <v>1679.8489532281299</v>
      </c>
      <c r="Q152" s="849">
        <v>43.4</v>
      </c>
      <c r="R152" s="71">
        <v>181080</v>
      </c>
      <c r="S152" s="845">
        <v>3.5319048740287263E-3</v>
      </c>
      <c r="T152" s="845">
        <v>0</v>
      </c>
      <c r="U152" s="845">
        <v>0</v>
      </c>
      <c r="V152" s="845">
        <v>0</v>
      </c>
      <c r="W152" s="845">
        <v>1.1695906432748537E-2</v>
      </c>
      <c r="X152" s="845">
        <v>1</v>
      </c>
      <c r="Y152" s="845">
        <v>0.80127148575465035</v>
      </c>
      <c r="Z152" s="845">
        <v>9.8186955497998593E-2</v>
      </c>
      <c r="AA152" s="845">
        <v>0</v>
      </c>
      <c r="AB152" s="845">
        <v>4.7798445961855431E-2</v>
      </c>
      <c r="AC152" s="845">
        <v>0</v>
      </c>
      <c r="AD152" s="845">
        <v>3.2964445490934777E-3</v>
      </c>
      <c r="AE152" s="845">
        <v>4.9446668236402168E-2</v>
      </c>
      <c r="AF152" s="845">
        <v>4.0028255238992227E-2</v>
      </c>
      <c r="AG152" s="845">
        <v>0.78455380268424768</v>
      </c>
      <c r="AH152" s="20" t="str">
        <f t="shared" si="25"/>
        <v>No</v>
      </c>
      <c r="AI152" s="25"/>
      <c r="AJ152" s="37">
        <v>44707</v>
      </c>
      <c r="AK152" s="37" t="s">
        <v>1456</v>
      </c>
      <c r="AL152" s="37">
        <v>39151</v>
      </c>
      <c r="AM152" s="37" t="s">
        <v>81</v>
      </c>
      <c r="AN152" s="37">
        <f t="shared" si="26"/>
        <v>15940</v>
      </c>
      <c r="AO152" s="37" t="str">
        <f t="shared" si="27"/>
        <v>Canton-Massillon, OH</v>
      </c>
      <c r="AP152" s="37" t="s">
        <v>8</v>
      </c>
      <c r="AQ152" s="25"/>
      <c r="AR152" s="25"/>
      <c r="AS152" s="25"/>
      <c r="AT152" s="25"/>
      <c r="AU152" s="36"/>
      <c r="AV152" s="36"/>
      <c r="AW152" s="36"/>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39">
        <v>43986</v>
      </c>
      <c r="BV152" s="39" t="s">
        <v>1145</v>
      </c>
      <c r="BW152" s="39" t="s">
        <v>2913</v>
      </c>
      <c r="BX152" s="39" t="s">
        <v>269</v>
      </c>
      <c r="BY152" s="71">
        <v>790</v>
      </c>
      <c r="BZ152" s="71">
        <v>790</v>
      </c>
      <c r="CA152" s="71">
        <v>1030</v>
      </c>
      <c r="CB152" s="71">
        <v>1360</v>
      </c>
      <c r="CC152" s="71">
        <v>1360</v>
      </c>
      <c r="CD152" s="25"/>
      <c r="CE152" s="200"/>
      <c r="CF152" s="200"/>
      <c r="CG152" s="200"/>
      <c r="CH152" s="200"/>
      <c r="CI152" s="200"/>
      <c r="CJ152" s="200"/>
      <c r="CK152" s="200"/>
      <c r="CL152" s="200"/>
      <c r="CM152" s="200"/>
      <c r="CN152" s="200"/>
      <c r="CO152" s="200"/>
      <c r="CP152" s="200"/>
      <c r="CQ152" s="200"/>
      <c r="CR152" s="200"/>
      <c r="CS152" s="200"/>
      <c r="CT152" s="200"/>
      <c r="CU152" s="200"/>
    </row>
    <row r="153" spans="1:99" s="17" customFormat="1" x14ac:dyDescent="0.2">
      <c r="A153" s="25"/>
      <c r="B153" s="20">
        <v>39049007213</v>
      </c>
      <c r="C153" s="20">
        <v>72.13</v>
      </c>
      <c r="D153" s="20" t="s">
        <v>31</v>
      </c>
      <c r="E153" s="20" t="s">
        <v>2830</v>
      </c>
      <c r="F153" s="20" t="s">
        <v>8</v>
      </c>
      <c r="G153" s="861">
        <v>75.701183730645695</v>
      </c>
      <c r="H153" s="861">
        <v>69.586865139188902</v>
      </c>
      <c r="I153" s="861">
        <v>14.888772285169299</v>
      </c>
      <c r="J153" s="861">
        <v>48.266614633459596</v>
      </c>
      <c r="K153" s="982">
        <v>0</v>
      </c>
      <c r="L153" s="735" t="s">
        <v>2466</v>
      </c>
      <c r="M153" s="735">
        <v>5866</v>
      </c>
      <c r="N153" s="845" t="str">
        <f t="shared" si="23"/>
        <v/>
      </c>
      <c r="O153" s="735">
        <v>10.187208928924388</v>
      </c>
      <c r="P153" s="735">
        <f t="shared" si="24"/>
        <v>575.82013296544403</v>
      </c>
      <c r="Q153" s="849">
        <v>40.200000000000003</v>
      </c>
      <c r="R153" s="71">
        <v>197857</v>
      </c>
      <c r="S153" s="845">
        <v>2.0627344016365495E-2</v>
      </c>
      <c r="T153" s="845">
        <v>0.01</v>
      </c>
      <c r="U153" s="845">
        <v>0</v>
      </c>
      <c r="V153" s="845">
        <v>0</v>
      </c>
      <c r="W153" s="845">
        <v>0.13370901639344263</v>
      </c>
      <c r="X153" s="845">
        <v>0.27203065134099619</v>
      </c>
      <c r="Y153" s="845">
        <v>0.73695874531196726</v>
      </c>
      <c r="Z153" s="845">
        <v>2.7957722468462325E-2</v>
      </c>
      <c r="AA153" s="845">
        <v>0</v>
      </c>
      <c r="AB153" s="845">
        <v>0.10705762018411183</v>
      </c>
      <c r="AC153" s="845">
        <v>0</v>
      </c>
      <c r="AD153" s="845">
        <v>1.1933174224343676E-3</v>
      </c>
      <c r="AE153" s="845">
        <v>0.12683259461302421</v>
      </c>
      <c r="AF153" s="845">
        <v>8.3532219570405727E-2</v>
      </c>
      <c r="AG153" s="845">
        <v>0.73525400613706104</v>
      </c>
      <c r="AH153" s="20" t="str">
        <f t="shared" si="25"/>
        <v>No</v>
      </c>
      <c r="AI153" s="25"/>
      <c r="AJ153" s="37">
        <v>44708</v>
      </c>
      <c r="AK153" s="37" t="s">
        <v>1457</v>
      </c>
      <c r="AL153" s="37">
        <v>39151</v>
      </c>
      <c r="AM153" s="37" t="s">
        <v>81</v>
      </c>
      <c r="AN153" s="37">
        <f t="shared" si="26"/>
        <v>15940</v>
      </c>
      <c r="AO153" s="37" t="str">
        <f t="shared" si="27"/>
        <v>Canton-Massillon, OH</v>
      </c>
      <c r="AP153" s="37" t="s">
        <v>8</v>
      </c>
      <c r="AQ153" s="25"/>
      <c r="AR153" s="25"/>
      <c r="AS153" s="25"/>
      <c r="AT153" s="25"/>
      <c r="AU153" s="36"/>
      <c r="AV153" s="36"/>
      <c r="AW153" s="36"/>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39">
        <v>43988</v>
      </c>
      <c r="BV153" s="39" t="s">
        <v>1146</v>
      </c>
      <c r="BW153" s="39" t="s">
        <v>2913</v>
      </c>
      <c r="BX153" s="39" t="s">
        <v>269</v>
      </c>
      <c r="BY153" s="71">
        <v>830</v>
      </c>
      <c r="BZ153" s="71">
        <v>850</v>
      </c>
      <c r="CA153" s="71">
        <v>1100</v>
      </c>
      <c r="CB153" s="71">
        <v>1440</v>
      </c>
      <c r="CC153" s="71">
        <v>1460</v>
      </c>
      <c r="CD153" s="25"/>
      <c r="CE153" s="200"/>
      <c r="CF153" s="200"/>
      <c r="CG153" s="200"/>
      <c r="CH153" s="200"/>
      <c r="CI153" s="200"/>
      <c r="CJ153" s="200"/>
      <c r="CK153" s="200"/>
      <c r="CL153" s="200"/>
      <c r="CM153" s="200"/>
      <c r="CN153" s="200"/>
      <c r="CO153" s="200"/>
      <c r="CP153" s="200"/>
      <c r="CQ153" s="200"/>
      <c r="CR153" s="200"/>
      <c r="CS153" s="200"/>
      <c r="CT153" s="200"/>
      <c r="CU153" s="200"/>
    </row>
    <row r="154" spans="1:99" s="17" customFormat="1" x14ac:dyDescent="0.2">
      <c r="A154" s="25"/>
      <c r="B154" s="20">
        <v>39061023100</v>
      </c>
      <c r="C154" s="20">
        <v>231</v>
      </c>
      <c r="D154" s="20" t="s">
        <v>37</v>
      </c>
      <c r="E154" s="20" t="s">
        <v>2828</v>
      </c>
      <c r="F154" s="20" t="s">
        <v>8</v>
      </c>
      <c r="G154" s="861">
        <v>75.656389082952003</v>
      </c>
      <c r="H154" s="861">
        <v>75.706450749644205</v>
      </c>
      <c r="I154" s="861">
        <v>14.0468275383554</v>
      </c>
      <c r="J154" s="861">
        <v>41.394401908225703</v>
      </c>
      <c r="K154" s="982">
        <v>0</v>
      </c>
      <c r="L154" s="735">
        <v>2768</v>
      </c>
      <c r="M154" s="735">
        <v>2656</v>
      </c>
      <c r="N154" s="845">
        <f t="shared" si="23"/>
        <v>-4.046242774566474E-2</v>
      </c>
      <c r="O154" s="735">
        <v>4.7612512012651678</v>
      </c>
      <c r="P154" s="735">
        <f t="shared" si="24"/>
        <v>557.83656180422554</v>
      </c>
      <c r="Q154" s="849">
        <v>47.4</v>
      </c>
      <c r="R154" s="71">
        <v>154896</v>
      </c>
      <c r="S154" s="845">
        <v>2.2264150943396226E-2</v>
      </c>
      <c r="T154" s="845">
        <v>2.4E-2</v>
      </c>
      <c r="U154" s="845">
        <v>4.0000000000000001E-3</v>
      </c>
      <c r="V154" s="845">
        <v>0</v>
      </c>
      <c r="W154" s="845">
        <v>2.2988505747126436E-2</v>
      </c>
      <c r="X154" s="845">
        <v>0.22727272727272727</v>
      </c>
      <c r="Y154" s="845">
        <v>0.8456325301204819</v>
      </c>
      <c r="Z154" s="845">
        <v>4.1039156626506021E-2</v>
      </c>
      <c r="AA154" s="845">
        <v>0</v>
      </c>
      <c r="AB154" s="845">
        <v>1.8448795180722892E-2</v>
      </c>
      <c r="AC154" s="845">
        <v>2.2590361445783132E-3</v>
      </c>
      <c r="AD154" s="845">
        <v>5.2710843373493972E-3</v>
      </c>
      <c r="AE154" s="845">
        <v>8.7349397590361449E-2</v>
      </c>
      <c r="AF154" s="845">
        <v>3.3885542168674697E-2</v>
      </c>
      <c r="AG154" s="845">
        <v>0.83433734939759041</v>
      </c>
      <c r="AH154" s="20" t="str">
        <f t="shared" si="25"/>
        <v>No</v>
      </c>
      <c r="AI154" s="25"/>
      <c r="AJ154" s="37">
        <v>44709</v>
      </c>
      <c r="AK154" s="37" t="s">
        <v>1458</v>
      </c>
      <c r="AL154" s="37">
        <v>39151</v>
      </c>
      <c r="AM154" s="37" t="s">
        <v>81</v>
      </c>
      <c r="AN154" s="37">
        <f t="shared" si="26"/>
        <v>15940</v>
      </c>
      <c r="AO154" s="37" t="str">
        <f t="shared" si="27"/>
        <v>Canton-Massillon, OH</v>
      </c>
      <c r="AP154" s="37" t="s">
        <v>8</v>
      </c>
      <c r="AQ154" s="25"/>
      <c r="AR154" s="25"/>
      <c r="AS154" s="25"/>
      <c r="AT154" s="25"/>
      <c r="AU154" s="36"/>
      <c r="AV154" s="36"/>
      <c r="AW154" s="36"/>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39">
        <v>44427</v>
      </c>
      <c r="BV154" s="39" t="s">
        <v>1332</v>
      </c>
      <c r="BW154" s="39" t="s">
        <v>2913</v>
      </c>
      <c r="BX154" s="39" t="s">
        <v>269</v>
      </c>
      <c r="BY154" s="71">
        <v>860</v>
      </c>
      <c r="BZ154" s="71">
        <v>970</v>
      </c>
      <c r="CA154" s="71">
        <v>1210</v>
      </c>
      <c r="CB154" s="71">
        <v>1520</v>
      </c>
      <c r="CC154" s="71">
        <v>1610</v>
      </c>
      <c r="CD154" s="25"/>
      <c r="CE154" s="200"/>
      <c r="CF154" s="200"/>
      <c r="CG154" s="200"/>
      <c r="CH154" s="200"/>
      <c r="CI154" s="200"/>
      <c r="CJ154" s="200"/>
      <c r="CK154" s="200"/>
      <c r="CL154" s="200"/>
      <c r="CM154" s="200"/>
      <c r="CN154" s="200"/>
      <c r="CO154" s="200"/>
      <c r="CP154" s="200"/>
      <c r="CQ154" s="200"/>
      <c r="CR154" s="200"/>
      <c r="CS154" s="200"/>
      <c r="CT154" s="200"/>
      <c r="CU154" s="200"/>
    </row>
    <row r="155" spans="1:99" s="17" customFormat="1" x14ac:dyDescent="0.2">
      <c r="A155" s="25"/>
      <c r="B155" s="20">
        <v>39049000500</v>
      </c>
      <c r="C155" s="20">
        <v>5</v>
      </c>
      <c r="D155" s="20" t="s">
        <v>31</v>
      </c>
      <c r="E155" s="20" t="s">
        <v>2830</v>
      </c>
      <c r="F155" s="20" t="s">
        <v>8</v>
      </c>
      <c r="G155" s="861">
        <v>75.631192399784695</v>
      </c>
      <c r="H155" s="861">
        <v>82.201151318850705</v>
      </c>
      <c r="I155" s="861">
        <v>28.795677946528301</v>
      </c>
      <c r="J155" s="861">
        <v>44.238339201097602</v>
      </c>
      <c r="K155" s="982">
        <v>0</v>
      </c>
      <c r="L155" s="735">
        <v>4611</v>
      </c>
      <c r="M155" s="735">
        <v>4168</v>
      </c>
      <c r="N155" s="845">
        <f t="shared" si="23"/>
        <v>-9.60746042073303E-2</v>
      </c>
      <c r="O155" s="735">
        <v>0.48736980495250232</v>
      </c>
      <c r="P155" s="735">
        <f t="shared" si="24"/>
        <v>8552.0275520683954</v>
      </c>
      <c r="Q155" s="849">
        <v>34.799999999999997</v>
      </c>
      <c r="R155" s="71">
        <v>86990</v>
      </c>
      <c r="S155" s="845">
        <v>0.17706333973128599</v>
      </c>
      <c r="T155" s="845">
        <v>6.9999999999999993E-3</v>
      </c>
      <c r="U155" s="845">
        <v>0</v>
      </c>
      <c r="V155" s="845">
        <v>0</v>
      </c>
      <c r="W155" s="845">
        <v>0.51204534718941896</v>
      </c>
      <c r="X155" s="845">
        <v>0.40682656826568264</v>
      </c>
      <c r="Y155" s="845">
        <v>0.81214011516314777</v>
      </c>
      <c r="Z155" s="845">
        <v>1.9913627639155471E-2</v>
      </c>
      <c r="AA155" s="845">
        <v>0</v>
      </c>
      <c r="AB155" s="845">
        <v>7.365642994241843E-2</v>
      </c>
      <c r="AC155" s="845">
        <v>0</v>
      </c>
      <c r="AD155" s="845">
        <v>2.4472168905950095E-2</v>
      </c>
      <c r="AE155" s="845">
        <v>6.981765834932821E-2</v>
      </c>
      <c r="AF155" s="845">
        <v>3.2869481765834936E-2</v>
      </c>
      <c r="AG155" s="845">
        <v>0.803742802303263</v>
      </c>
      <c r="AH155" s="20" t="str">
        <f t="shared" si="25"/>
        <v>No</v>
      </c>
      <c r="AI155" s="25"/>
      <c r="AJ155" s="37">
        <v>44710</v>
      </c>
      <c r="AK155" s="37" t="s">
        <v>1459</v>
      </c>
      <c r="AL155" s="37">
        <v>39151</v>
      </c>
      <c r="AM155" s="37" t="s">
        <v>81</v>
      </c>
      <c r="AN155" s="37">
        <f t="shared" si="26"/>
        <v>15940</v>
      </c>
      <c r="AO155" s="37" t="str">
        <f t="shared" si="27"/>
        <v>Canton-Massillon, OH</v>
      </c>
      <c r="AP155" s="37" t="s">
        <v>8</v>
      </c>
      <c r="AQ155" s="25"/>
      <c r="AR155" s="25"/>
      <c r="AS155" s="25"/>
      <c r="AT155" s="25"/>
      <c r="AU155" s="36"/>
      <c r="AV155" s="36"/>
      <c r="AW155" s="36"/>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39">
        <v>44607</v>
      </c>
      <c r="BV155" s="39" t="s">
        <v>1381</v>
      </c>
      <c r="BW155" s="39" t="s">
        <v>2913</v>
      </c>
      <c r="BX155" s="39" t="s">
        <v>269</v>
      </c>
      <c r="BY155" s="71">
        <v>810</v>
      </c>
      <c r="BZ155" s="71">
        <v>910</v>
      </c>
      <c r="CA155" s="71">
        <v>1150</v>
      </c>
      <c r="CB155" s="71">
        <v>1440</v>
      </c>
      <c r="CC155" s="71">
        <v>1530</v>
      </c>
      <c r="CD155" s="25"/>
      <c r="CE155" s="200"/>
      <c r="CF155" s="200"/>
      <c r="CG155" s="200"/>
      <c r="CH155" s="200"/>
      <c r="CI155" s="200"/>
      <c r="CJ155" s="200"/>
      <c r="CK155" s="200"/>
      <c r="CL155" s="200"/>
      <c r="CM155" s="200"/>
      <c r="CN155" s="200"/>
      <c r="CO155" s="200"/>
      <c r="CP155" s="200"/>
      <c r="CQ155" s="200"/>
      <c r="CR155" s="200"/>
      <c r="CS155" s="200"/>
      <c r="CT155" s="200"/>
      <c r="CU155" s="200"/>
    </row>
    <row r="156" spans="1:99" s="17" customFormat="1" x14ac:dyDescent="0.2">
      <c r="A156" s="25"/>
      <c r="B156" s="20">
        <v>39041011710</v>
      </c>
      <c r="C156" s="20">
        <v>117.1</v>
      </c>
      <c r="D156" s="20" t="s">
        <v>27</v>
      </c>
      <c r="E156" s="20" t="s">
        <v>2830</v>
      </c>
      <c r="F156" s="20" t="s">
        <v>8</v>
      </c>
      <c r="G156" s="861">
        <v>75.562302758440197</v>
      </c>
      <c r="H156" s="861">
        <v>66.213177814960105</v>
      </c>
      <c r="I156" s="861">
        <v>36.570118308016703</v>
      </c>
      <c r="J156" s="861">
        <v>25.199076684413299</v>
      </c>
      <c r="K156" s="982">
        <v>0</v>
      </c>
      <c r="L156" s="735">
        <v>6121</v>
      </c>
      <c r="M156" s="735">
        <v>6266</v>
      </c>
      <c r="N156" s="845">
        <f t="shared" si="23"/>
        <v>2.3688939715732722E-2</v>
      </c>
      <c r="O156" s="735">
        <v>2.2199244767961503</v>
      </c>
      <c r="P156" s="735">
        <f t="shared" si="24"/>
        <v>2822.618546484629</v>
      </c>
      <c r="Q156" s="849">
        <v>46.7</v>
      </c>
      <c r="R156" s="71">
        <v>117712</v>
      </c>
      <c r="S156" s="845">
        <v>4.5278762487914924E-2</v>
      </c>
      <c r="T156" s="845">
        <v>0</v>
      </c>
      <c r="U156" s="845">
        <v>8.0000000000000002E-3</v>
      </c>
      <c r="V156" s="845">
        <v>3.7000000000000005E-2</v>
      </c>
      <c r="W156" s="845">
        <v>0.16567104739147751</v>
      </c>
      <c r="X156" s="845">
        <v>0.62019230769230771</v>
      </c>
      <c r="Y156" s="845">
        <v>0.81966166613469515</v>
      </c>
      <c r="Z156" s="845">
        <v>6.3198212575805934E-2</v>
      </c>
      <c r="AA156" s="845">
        <v>0</v>
      </c>
      <c r="AB156" s="845">
        <v>3.1279923396105969E-2</v>
      </c>
      <c r="AC156" s="845">
        <v>3.6706032556654963E-3</v>
      </c>
      <c r="AD156" s="845">
        <v>2.6332588573252474E-2</v>
      </c>
      <c r="AE156" s="845">
        <v>5.5857006064474947E-2</v>
      </c>
      <c r="AF156" s="845">
        <v>3.4471752314075968E-2</v>
      </c>
      <c r="AG156" s="845">
        <v>0.81966166613469515</v>
      </c>
      <c r="AH156" s="20" t="str">
        <f t="shared" si="25"/>
        <v>No</v>
      </c>
      <c r="AI156" s="25"/>
      <c r="AJ156" s="37">
        <v>44714</v>
      </c>
      <c r="AK156" s="37" t="s">
        <v>1460</v>
      </c>
      <c r="AL156" s="37">
        <v>39151</v>
      </c>
      <c r="AM156" s="37" t="s">
        <v>81</v>
      </c>
      <c r="AN156" s="37">
        <f t="shared" si="26"/>
        <v>15940</v>
      </c>
      <c r="AO156" s="37" t="str">
        <f t="shared" si="27"/>
        <v>Canton-Massillon, OH</v>
      </c>
      <c r="AP156" s="37" t="s">
        <v>8</v>
      </c>
      <c r="AQ156" s="25"/>
      <c r="AR156" s="25"/>
      <c r="AS156" s="25"/>
      <c r="AT156" s="25"/>
      <c r="AU156" s="36"/>
      <c r="AV156" s="36"/>
      <c r="AW156" s="36"/>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39">
        <v>44608</v>
      </c>
      <c r="BV156" s="39" t="s">
        <v>1382</v>
      </c>
      <c r="BW156" s="39" t="s">
        <v>2913</v>
      </c>
      <c r="BX156" s="39" t="s">
        <v>269</v>
      </c>
      <c r="BY156" s="71">
        <v>920</v>
      </c>
      <c r="BZ156" s="71">
        <v>1010</v>
      </c>
      <c r="CA156" s="71">
        <v>1300</v>
      </c>
      <c r="CB156" s="71">
        <v>1650</v>
      </c>
      <c r="CC156" s="71">
        <v>1770</v>
      </c>
      <c r="CD156" s="25"/>
      <c r="CE156" s="200"/>
      <c r="CF156" s="200"/>
      <c r="CG156" s="200"/>
      <c r="CH156" s="200"/>
      <c r="CI156" s="200"/>
      <c r="CJ156" s="200"/>
      <c r="CK156" s="200"/>
      <c r="CL156" s="200"/>
      <c r="CM156" s="200"/>
      <c r="CN156" s="200"/>
      <c r="CO156" s="200"/>
      <c r="CP156" s="200"/>
      <c r="CQ156" s="200"/>
      <c r="CR156" s="200"/>
      <c r="CS156" s="200"/>
      <c r="CT156" s="200"/>
      <c r="CU156" s="200"/>
    </row>
    <row r="157" spans="1:99" s="17" customFormat="1" x14ac:dyDescent="0.2">
      <c r="A157" s="25"/>
      <c r="B157" s="20">
        <v>39045031300</v>
      </c>
      <c r="C157" s="20">
        <v>313</v>
      </c>
      <c r="D157" s="20" t="s">
        <v>29</v>
      </c>
      <c r="E157" s="20" t="s">
        <v>2830</v>
      </c>
      <c r="F157" s="20" t="s">
        <v>6</v>
      </c>
      <c r="G157" s="861">
        <v>75.554459176033205</v>
      </c>
      <c r="H157" s="861">
        <v>58.599741504964697</v>
      </c>
      <c r="I157" s="861">
        <v>27.755900785698401</v>
      </c>
      <c r="J157" s="861">
        <v>64.4719141828147</v>
      </c>
      <c r="K157" s="982">
        <v>1</v>
      </c>
      <c r="L157" s="735">
        <v>3159</v>
      </c>
      <c r="M157" s="735">
        <v>3238</v>
      </c>
      <c r="N157" s="845">
        <f t="shared" si="23"/>
        <v>2.5007913896802784E-2</v>
      </c>
      <c r="O157" s="735">
        <v>4.1530430037379595</v>
      </c>
      <c r="P157" s="735">
        <f t="shared" si="24"/>
        <v>779.66926831377089</v>
      </c>
      <c r="Q157" s="849">
        <v>47.4</v>
      </c>
      <c r="R157" s="71">
        <v>49167</v>
      </c>
      <c r="S157" s="845">
        <v>0.24845929289652935</v>
      </c>
      <c r="T157" s="845">
        <v>4.0000000000000001E-3</v>
      </c>
      <c r="U157" s="845">
        <v>0</v>
      </c>
      <c r="V157" s="845">
        <v>3.9E-2</v>
      </c>
      <c r="W157" s="845">
        <v>0.39562043795620438</v>
      </c>
      <c r="X157" s="845">
        <v>0.2011070110701107</v>
      </c>
      <c r="Y157" s="845">
        <v>0.95429277331686224</v>
      </c>
      <c r="Z157" s="845">
        <v>1.3897467572575664E-2</v>
      </c>
      <c r="AA157" s="845">
        <v>0</v>
      </c>
      <c r="AB157" s="845">
        <v>2.1618282890673254E-3</v>
      </c>
      <c r="AC157" s="845">
        <v>0</v>
      </c>
      <c r="AD157" s="845">
        <v>1.5441630636195182E-3</v>
      </c>
      <c r="AE157" s="845">
        <v>2.8103767757875233E-2</v>
      </c>
      <c r="AF157" s="845">
        <v>3.2736256948733784E-2</v>
      </c>
      <c r="AG157" s="845">
        <v>0.94842495367510804</v>
      </c>
      <c r="AH157" s="20" t="str">
        <f t="shared" si="25"/>
        <v>Yes</v>
      </c>
      <c r="AI157" s="25"/>
      <c r="AJ157" s="37">
        <v>44718</v>
      </c>
      <c r="AK157" s="37" t="s">
        <v>1461</v>
      </c>
      <c r="AL157" s="37">
        <v>39151</v>
      </c>
      <c r="AM157" s="37" t="s">
        <v>81</v>
      </c>
      <c r="AN157" s="37">
        <f t="shared" si="26"/>
        <v>15940</v>
      </c>
      <c r="AO157" s="37" t="str">
        <f t="shared" si="27"/>
        <v>Canton-Massillon, OH</v>
      </c>
      <c r="AP157" s="37" t="s">
        <v>8</v>
      </c>
      <c r="AQ157" s="25"/>
      <c r="AR157" s="25"/>
      <c r="AS157" s="25"/>
      <c r="AT157" s="25"/>
      <c r="AU157" s="36"/>
      <c r="AV157" s="36"/>
      <c r="AW157" s="36"/>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39">
        <v>44612</v>
      </c>
      <c r="BV157" s="39" t="s">
        <v>1386</v>
      </c>
      <c r="BW157" s="39" t="s">
        <v>2913</v>
      </c>
      <c r="BX157" s="39" t="s">
        <v>269</v>
      </c>
      <c r="BY157" s="71">
        <v>730</v>
      </c>
      <c r="BZ157" s="71">
        <v>740</v>
      </c>
      <c r="CA157" s="71">
        <v>970</v>
      </c>
      <c r="CB157" s="71">
        <v>1250</v>
      </c>
      <c r="CC157" s="71">
        <v>1400</v>
      </c>
      <c r="CD157" s="25"/>
      <c r="CE157" s="200"/>
      <c r="CF157" s="200"/>
      <c r="CG157" s="200"/>
      <c r="CH157" s="200"/>
      <c r="CI157" s="200"/>
      <c r="CJ157" s="200"/>
      <c r="CK157" s="200"/>
      <c r="CL157" s="200"/>
      <c r="CM157" s="200"/>
      <c r="CN157" s="200"/>
      <c r="CO157" s="200"/>
      <c r="CP157" s="200"/>
      <c r="CQ157" s="200"/>
      <c r="CR157" s="200"/>
      <c r="CS157" s="200"/>
      <c r="CT157" s="200"/>
      <c r="CU157" s="200"/>
    </row>
    <row r="158" spans="1:99" s="17" customFormat="1" x14ac:dyDescent="0.2">
      <c r="A158" s="25"/>
      <c r="B158" s="20">
        <v>39041011563</v>
      </c>
      <c r="C158" s="20">
        <v>115.63</v>
      </c>
      <c r="D158" s="20" t="s">
        <v>27</v>
      </c>
      <c r="E158" s="20" t="s">
        <v>2830</v>
      </c>
      <c r="F158" s="20" t="s">
        <v>8</v>
      </c>
      <c r="G158" s="861">
        <v>75.514770861640997</v>
      </c>
      <c r="H158" s="861">
        <v>70.625707943187706</v>
      </c>
      <c r="I158" s="861">
        <v>14.223243780009399</v>
      </c>
      <c r="J158" s="861">
        <v>66.222978308242304</v>
      </c>
      <c r="K158" s="982">
        <v>0</v>
      </c>
      <c r="L158" s="735" t="s">
        <v>2466</v>
      </c>
      <c r="M158" s="735">
        <v>7471</v>
      </c>
      <c r="N158" s="845" t="str">
        <f t="shared" si="23"/>
        <v/>
      </c>
      <c r="O158" s="735">
        <v>4.0940458217007025</v>
      </c>
      <c r="P158" s="735">
        <f t="shared" si="24"/>
        <v>1824.8452326545971</v>
      </c>
      <c r="Q158" s="849">
        <v>40.1</v>
      </c>
      <c r="R158" s="71">
        <v>181563</v>
      </c>
      <c r="S158" s="845">
        <v>1.5135135135135135E-2</v>
      </c>
      <c r="T158" s="845">
        <v>1.2E-2</v>
      </c>
      <c r="U158" s="845">
        <v>0</v>
      </c>
      <c r="V158" s="845">
        <v>0</v>
      </c>
      <c r="W158" s="845">
        <v>7.4841437632135313E-2</v>
      </c>
      <c r="X158" s="845">
        <v>0.10734463276836158</v>
      </c>
      <c r="Y158" s="845">
        <v>0.5756926783563111</v>
      </c>
      <c r="Z158" s="845">
        <v>8.4995315218846207E-2</v>
      </c>
      <c r="AA158" s="845">
        <v>0</v>
      </c>
      <c r="AB158" s="845">
        <v>0.25056886628296077</v>
      </c>
      <c r="AC158" s="845">
        <v>0</v>
      </c>
      <c r="AD158" s="845">
        <v>2.0077633516262885E-3</v>
      </c>
      <c r="AE158" s="845">
        <v>8.6735376790255655E-2</v>
      </c>
      <c r="AF158" s="845">
        <v>2.0479186186588141E-2</v>
      </c>
      <c r="AG158" s="845">
        <v>0.56605541426850492</v>
      </c>
      <c r="AH158" s="20" t="str">
        <f t="shared" si="25"/>
        <v>No</v>
      </c>
      <c r="AI158" s="25"/>
      <c r="AJ158" s="37">
        <v>44720</v>
      </c>
      <c r="AK158" s="37" t="s">
        <v>1462</v>
      </c>
      <c r="AL158" s="37">
        <v>39151</v>
      </c>
      <c r="AM158" s="37" t="s">
        <v>81</v>
      </c>
      <c r="AN158" s="37">
        <f t="shared" si="26"/>
        <v>15940</v>
      </c>
      <c r="AO158" s="37" t="str">
        <f t="shared" si="27"/>
        <v>Canton-Massillon, OH</v>
      </c>
      <c r="AP158" s="37" t="s">
        <v>8</v>
      </c>
      <c r="AQ158" s="25"/>
      <c r="AR158" s="25"/>
      <c r="AS158" s="25"/>
      <c r="AT158" s="25"/>
      <c r="AU158" s="36"/>
      <c r="AV158" s="36"/>
      <c r="AW158" s="36"/>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39">
        <v>44613</v>
      </c>
      <c r="BV158" s="39" t="s">
        <v>1387</v>
      </c>
      <c r="BW158" s="39" t="s">
        <v>2913</v>
      </c>
      <c r="BX158" s="39" t="s">
        <v>269</v>
      </c>
      <c r="BY158" s="71">
        <v>760</v>
      </c>
      <c r="BZ158" s="71">
        <v>860</v>
      </c>
      <c r="CA158" s="71">
        <v>1100</v>
      </c>
      <c r="CB158" s="71">
        <v>1390</v>
      </c>
      <c r="CC158" s="71">
        <v>1470</v>
      </c>
      <c r="CD158" s="25"/>
      <c r="CE158" s="200"/>
      <c r="CF158" s="200"/>
      <c r="CG158" s="200"/>
      <c r="CH158" s="200"/>
      <c r="CI158" s="200"/>
      <c r="CJ158" s="200"/>
      <c r="CK158" s="200"/>
      <c r="CL158" s="200"/>
      <c r="CM158" s="200"/>
      <c r="CN158" s="200"/>
      <c r="CO158" s="200"/>
      <c r="CP158" s="200"/>
      <c r="CQ158" s="200"/>
      <c r="CR158" s="200"/>
      <c r="CS158" s="200"/>
      <c r="CT158" s="200"/>
      <c r="CU158" s="200"/>
    </row>
    <row r="159" spans="1:99" s="17" customFormat="1" x14ac:dyDescent="0.2">
      <c r="A159" s="25"/>
      <c r="B159" s="20">
        <v>39049010402</v>
      </c>
      <c r="C159" s="20">
        <v>104.02</v>
      </c>
      <c r="D159" s="20" t="s">
        <v>31</v>
      </c>
      <c r="E159" s="20" t="s">
        <v>2830</v>
      </c>
      <c r="F159" s="20" t="s">
        <v>8</v>
      </c>
      <c r="G159" s="861">
        <v>75.457342805286999</v>
      </c>
      <c r="H159" s="861">
        <v>67.784469719166694</v>
      </c>
      <c r="I159" s="861">
        <v>23.7673635103762</v>
      </c>
      <c r="J159" s="861">
        <v>45.581909883116197</v>
      </c>
      <c r="K159" s="982">
        <v>0</v>
      </c>
      <c r="L159" s="735" t="s">
        <v>2466</v>
      </c>
      <c r="M159" s="735">
        <v>5660</v>
      </c>
      <c r="N159" s="845" t="str">
        <f t="shared" si="23"/>
        <v/>
      </c>
      <c r="O159" s="735">
        <v>1.359314734460306</v>
      </c>
      <c r="P159" s="735">
        <f t="shared" si="24"/>
        <v>4163.8627585738723</v>
      </c>
      <c r="Q159" s="849">
        <v>41.1</v>
      </c>
      <c r="R159" s="71">
        <v>166750</v>
      </c>
      <c r="S159" s="845">
        <v>2.8089887640449437E-2</v>
      </c>
      <c r="T159" s="845">
        <v>1.6E-2</v>
      </c>
      <c r="U159" s="845">
        <v>2.4E-2</v>
      </c>
      <c r="V159" s="845">
        <v>0.122</v>
      </c>
      <c r="W159" s="845">
        <v>0.26332970620239393</v>
      </c>
      <c r="X159" s="845">
        <v>0.41528925619834711</v>
      </c>
      <c r="Y159" s="845">
        <v>0.72296819787985867</v>
      </c>
      <c r="Z159" s="845">
        <v>1.342756183745583E-2</v>
      </c>
      <c r="AA159" s="845">
        <v>0</v>
      </c>
      <c r="AB159" s="845">
        <v>0.21749116607773852</v>
      </c>
      <c r="AC159" s="845">
        <v>0</v>
      </c>
      <c r="AD159" s="845">
        <v>1.254416961130742E-2</v>
      </c>
      <c r="AE159" s="845">
        <v>3.3568904593639579E-2</v>
      </c>
      <c r="AF159" s="845">
        <v>3.8515901060070669E-2</v>
      </c>
      <c r="AG159" s="845">
        <v>0.70600706713780914</v>
      </c>
      <c r="AH159" s="20" t="str">
        <f t="shared" si="25"/>
        <v>No</v>
      </c>
      <c r="AI159" s="25"/>
      <c r="AJ159" s="37">
        <v>44721</v>
      </c>
      <c r="AK159" s="37" t="s">
        <v>1463</v>
      </c>
      <c r="AL159" s="37">
        <v>39151</v>
      </c>
      <c r="AM159" s="37" t="s">
        <v>81</v>
      </c>
      <c r="AN159" s="37">
        <f t="shared" si="26"/>
        <v>15940</v>
      </c>
      <c r="AO159" s="37" t="str">
        <f t="shared" si="27"/>
        <v>Canton-Massillon, OH</v>
      </c>
      <c r="AP159" s="37" t="s">
        <v>8</v>
      </c>
      <c r="AQ159" s="25"/>
      <c r="AR159" s="25"/>
      <c r="AS159" s="25"/>
      <c r="AT159" s="25"/>
      <c r="AU159" s="36"/>
      <c r="AV159" s="36"/>
      <c r="AW159" s="36"/>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39">
        <v>44615</v>
      </c>
      <c r="BV159" s="39" t="s">
        <v>1389</v>
      </c>
      <c r="BW159" s="39" t="s">
        <v>2913</v>
      </c>
      <c r="BX159" s="39" t="s">
        <v>269</v>
      </c>
      <c r="BY159" s="71">
        <v>670</v>
      </c>
      <c r="BZ159" s="71">
        <v>760</v>
      </c>
      <c r="CA159" s="71">
        <v>970</v>
      </c>
      <c r="CB159" s="71">
        <v>1230</v>
      </c>
      <c r="CC159" s="71">
        <v>1300</v>
      </c>
      <c r="CD159" s="25"/>
      <c r="CE159" s="200"/>
      <c r="CF159" s="200"/>
      <c r="CG159" s="200"/>
      <c r="CH159" s="200"/>
      <c r="CI159" s="200"/>
      <c r="CJ159" s="200"/>
      <c r="CK159" s="200"/>
      <c r="CL159" s="200"/>
      <c r="CM159" s="200"/>
      <c r="CN159" s="200"/>
      <c r="CO159" s="200"/>
      <c r="CP159" s="200"/>
      <c r="CQ159" s="200"/>
      <c r="CR159" s="200"/>
      <c r="CS159" s="200"/>
      <c r="CT159" s="200"/>
      <c r="CU159" s="200"/>
    </row>
    <row r="160" spans="1:99" s="17" customFormat="1" x14ac:dyDescent="0.2">
      <c r="A160" s="25"/>
      <c r="B160" s="20">
        <v>39045030901</v>
      </c>
      <c r="C160" s="20">
        <v>309.01</v>
      </c>
      <c r="D160" s="20" t="s">
        <v>29</v>
      </c>
      <c r="E160" s="20" t="s">
        <v>2830</v>
      </c>
      <c r="F160" s="20" t="s">
        <v>8</v>
      </c>
      <c r="G160" s="861">
        <v>75.4130994521867</v>
      </c>
      <c r="H160" s="861">
        <v>64.381947727213898</v>
      </c>
      <c r="I160" s="861">
        <v>25.5417011960933</v>
      </c>
      <c r="J160" s="861">
        <v>69.365498708434004</v>
      </c>
      <c r="K160" s="982">
        <v>0</v>
      </c>
      <c r="L160" s="735" t="s">
        <v>2466</v>
      </c>
      <c r="M160" s="735">
        <v>5912</v>
      </c>
      <c r="N160" s="845" t="str">
        <f t="shared" si="23"/>
        <v/>
      </c>
      <c r="O160" s="735">
        <v>11.543220559417936</v>
      </c>
      <c r="P160" s="735">
        <f t="shared" si="24"/>
        <v>512.16209285514265</v>
      </c>
      <c r="Q160" s="849">
        <v>36.4</v>
      </c>
      <c r="R160" s="71">
        <v>95559</v>
      </c>
      <c r="S160" s="845">
        <v>2.0974172300225344E-2</v>
      </c>
      <c r="T160" s="845">
        <v>6.0000000000000001E-3</v>
      </c>
      <c r="U160" s="845">
        <v>0</v>
      </c>
      <c r="V160" s="845">
        <v>0</v>
      </c>
      <c r="W160" s="845">
        <v>0.15634517766497463</v>
      </c>
      <c r="X160" s="845">
        <v>0.61038961038961037</v>
      </c>
      <c r="Y160" s="845">
        <v>0.95703653585926929</v>
      </c>
      <c r="Z160" s="845">
        <v>2.2665764546684709E-2</v>
      </c>
      <c r="AA160" s="845">
        <v>6.2584573748308524E-3</v>
      </c>
      <c r="AB160" s="845">
        <v>6.0893098782138022E-3</v>
      </c>
      <c r="AC160" s="845">
        <v>0</v>
      </c>
      <c r="AD160" s="845">
        <v>3.3829499323410016E-4</v>
      </c>
      <c r="AE160" s="845">
        <v>7.6116373477672535E-3</v>
      </c>
      <c r="AF160" s="845">
        <v>8.6265223274695543E-3</v>
      </c>
      <c r="AG160" s="845">
        <v>0.95399188092016241</v>
      </c>
      <c r="AH160" s="20" t="str">
        <f t="shared" si="25"/>
        <v>Yes</v>
      </c>
      <c r="AI160" s="25"/>
      <c r="AJ160" s="37">
        <v>44730</v>
      </c>
      <c r="AK160" s="37" t="s">
        <v>1464</v>
      </c>
      <c r="AL160" s="37">
        <v>39151</v>
      </c>
      <c r="AM160" s="37" t="s">
        <v>81</v>
      </c>
      <c r="AN160" s="37">
        <f t="shared" si="26"/>
        <v>15940</v>
      </c>
      <c r="AO160" s="37" t="str">
        <f t="shared" si="27"/>
        <v>Canton-Massillon, OH</v>
      </c>
      <c r="AP160" s="37" t="s">
        <v>8</v>
      </c>
      <c r="AQ160" s="25"/>
      <c r="AR160" s="25"/>
      <c r="AS160" s="25"/>
      <c r="AT160" s="25"/>
      <c r="AU160" s="36"/>
      <c r="AV160" s="36"/>
      <c r="AW160" s="36"/>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39">
        <v>44618</v>
      </c>
      <c r="BV160" s="39" t="s">
        <v>1390</v>
      </c>
      <c r="BW160" s="39" t="s">
        <v>2913</v>
      </c>
      <c r="BX160" s="39" t="s">
        <v>269</v>
      </c>
      <c r="BY160" s="71">
        <v>680</v>
      </c>
      <c r="BZ160" s="71">
        <v>770</v>
      </c>
      <c r="CA160" s="71">
        <v>980</v>
      </c>
      <c r="CB160" s="71">
        <v>1200</v>
      </c>
      <c r="CC160" s="71">
        <v>1400</v>
      </c>
      <c r="CD160" s="25"/>
      <c r="CE160" s="200"/>
      <c r="CF160" s="200"/>
      <c r="CG160" s="200"/>
      <c r="CH160" s="200"/>
      <c r="CI160" s="200"/>
      <c r="CJ160" s="200"/>
      <c r="CK160" s="200"/>
      <c r="CL160" s="200"/>
      <c r="CM160" s="200"/>
      <c r="CN160" s="200"/>
      <c r="CO160" s="200"/>
      <c r="CP160" s="200"/>
      <c r="CQ160" s="200"/>
      <c r="CR160" s="200"/>
      <c r="CS160" s="200"/>
      <c r="CT160" s="200"/>
      <c r="CU160" s="200"/>
    </row>
    <row r="161" spans="1:99" s="17" customFormat="1" x14ac:dyDescent="0.2">
      <c r="A161" s="25"/>
      <c r="B161" s="20">
        <v>39049003700</v>
      </c>
      <c r="C161" s="20">
        <v>37</v>
      </c>
      <c r="D161" s="20" t="s">
        <v>31</v>
      </c>
      <c r="E161" s="20" t="s">
        <v>2830</v>
      </c>
      <c r="F161" s="20" t="s">
        <v>6</v>
      </c>
      <c r="G161" s="861">
        <v>75.232385669090803</v>
      </c>
      <c r="H161" s="861">
        <v>81.042768302587604</v>
      </c>
      <c r="I161" s="861">
        <v>55.975706602499699</v>
      </c>
      <c r="J161" s="861">
        <v>55.812843599256702</v>
      </c>
      <c r="K161" s="982">
        <v>0</v>
      </c>
      <c r="L161" s="735">
        <v>3113</v>
      </c>
      <c r="M161" s="735">
        <v>3144</v>
      </c>
      <c r="N161" s="845">
        <f t="shared" si="23"/>
        <v>9.958239640218438E-3</v>
      </c>
      <c r="O161" s="735">
        <v>0.80734694955800401</v>
      </c>
      <c r="P161" s="735">
        <f t="shared" si="24"/>
        <v>3894.2365506195779</v>
      </c>
      <c r="Q161" s="849">
        <v>39</v>
      </c>
      <c r="R161" s="71">
        <v>75471</v>
      </c>
      <c r="S161" s="845">
        <v>0.26630434782608697</v>
      </c>
      <c r="T161" s="845">
        <v>3.5000000000000003E-2</v>
      </c>
      <c r="U161" s="845">
        <v>0</v>
      </c>
      <c r="V161" s="845">
        <v>2.2000000000000002E-2</v>
      </c>
      <c r="W161" s="845">
        <v>0.6123778501628665</v>
      </c>
      <c r="X161" s="845">
        <v>0.4553191489361702</v>
      </c>
      <c r="Y161" s="845">
        <v>0.59064885496183206</v>
      </c>
      <c r="Z161" s="845">
        <v>0.30184478371501272</v>
      </c>
      <c r="AA161" s="845">
        <v>3.1806615776081423E-3</v>
      </c>
      <c r="AB161" s="845">
        <v>2.1946564885496182E-2</v>
      </c>
      <c r="AC161" s="845">
        <v>0</v>
      </c>
      <c r="AD161" s="845">
        <v>1.0814249363867684E-2</v>
      </c>
      <c r="AE161" s="845">
        <v>7.15648854961832E-2</v>
      </c>
      <c r="AF161" s="845">
        <v>1.3358778625954198E-2</v>
      </c>
      <c r="AG161" s="845">
        <v>0.58555979643765899</v>
      </c>
      <c r="AH161" s="20" t="str">
        <f t="shared" si="25"/>
        <v>No</v>
      </c>
      <c r="AI161" s="25"/>
      <c r="AJ161" s="37">
        <v>45101</v>
      </c>
      <c r="AK161" s="37" t="s">
        <v>1561</v>
      </c>
      <c r="AL161" s="37">
        <v>39015</v>
      </c>
      <c r="AM161" s="37" t="s">
        <v>14</v>
      </c>
      <c r="AN161" s="37">
        <f t="shared" si="26"/>
        <v>17140</v>
      </c>
      <c r="AO161" s="37" t="str">
        <f t="shared" si="27"/>
        <v>Cincinnati, OH-KY-IN</v>
      </c>
      <c r="AP161" s="20" t="s">
        <v>8</v>
      </c>
      <c r="AQ161" s="25"/>
      <c r="AR161" s="25"/>
      <c r="AS161" s="25"/>
      <c r="AT161" s="25"/>
      <c r="AU161" s="36"/>
      <c r="AV161" s="36"/>
      <c r="AW161" s="36"/>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39">
        <v>44620</v>
      </c>
      <c r="BV161" s="39" t="s">
        <v>1392</v>
      </c>
      <c r="BW161" s="39" t="s">
        <v>2913</v>
      </c>
      <c r="BX161" s="39" t="s">
        <v>269</v>
      </c>
      <c r="BY161" s="71">
        <v>720</v>
      </c>
      <c r="BZ161" s="71">
        <v>810</v>
      </c>
      <c r="CA161" s="71">
        <v>1040</v>
      </c>
      <c r="CB161" s="71">
        <v>1310</v>
      </c>
      <c r="CC161" s="71">
        <v>1390</v>
      </c>
      <c r="CD161" s="25"/>
      <c r="CE161" s="200"/>
      <c r="CF161" s="200"/>
      <c r="CG161" s="200"/>
      <c r="CH161" s="200"/>
      <c r="CI161" s="200"/>
      <c r="CJ161" s="200"/>
      <c r="CK161" s="200"/>
      <c r="CL161" s="200"/>
      <c r="CM161" s="200"/>
      <c r="CN161" s="200"/>
      <c r="CO161" s="200"/>
      <c r="CP161" s="200"/>
      <c r="CQ161" s="200"/>
      <c r="CR161" s="200"/>
      <c r="CS161" s="200"/>
      <c r="CT161" s="200"/>
      <c r="CU161" s="200"/>
    </row>
    <row r="162" spans="1:99" s="17" customFormat="1" x14ac:dyDescent="0.2">
      <c r="A162" s="25"/>
      <c r="B162" s="20">
        <v>39035155102</v>
      </c>
      <c r="C162" s="20">
        <v>1551.02</v>
      </c>
      <c r="D162" s="20" t="s">
        <v>24</v>
      </c>
      <c r="E162" s="20" t="s">
        <v>2829</v>
      </c>
      <c r="F162" s="20" t="s">
        <v>8</v>
      </c>
      <c r="G162" s="861">
        <v>75.212858937673403</v>
      </c>
      <c r="H162" s="861">
        <v>61.742316260236997</v>
      </c>
      <c r="I162" s="861">
        <v>18.894157996891401</v>
      </c>
      <c r="J162" s="861">
        <v>44.573221930279701</v>
      </c>
      <c r="K162" s="982">
        <v>0</v>
      </c>
      <c r="L162" s="735">
        <v>3085</v>
      </c>
      <c r="M162" s="735">
        <v>3135</v>
      </c>
      <c r="N162" s="845">
        <f t="shared" si="23"/>
        <v>1.6207455429497569E-2</v>
      </c>
      <c r="O162" s="735">
        <v>1.202632934094821</v>
      </c>
      <c r="P162" s="735">
        <f t="shared" si="24"/>
        <v>2606.7804324347753</v>
      </c>
      <c r="Q162" s="849">
        <v>43.9</v>
      </c>
      <c r="R162" s="71">
        <v>101250</v>
      </c>
      <c r="S162" s="845">
        <v>3.6526754245434154E-2</v>
      </c>
      <c r="T162" s="845">
        <v>3.2000000000000001E-2</v>
      </c>
      <c r="U162" s="845">
        <v>6.0000000000000001E-3</v>
      </c>
      <c r="V162" s="845">
        <v>0</v>
      </c>
      <c r="W162" s="845">
        <v>2.3519870235198703E-2</v>
      </c>
      <c r="X162" s="845">
        <v>0.31034482758620691</v>
      </c>
      <c r="Y162" s="845">
        <v>0.81690590111642747</v>
      </c>
      <c r="Z162" s="845">
        <v>3.3811802232854862E-2</v>
      </c>
      <c r="AA162" s="845">
        <v>0</v>
      </c>
      <c r="AB162" s="845">
        <v>3.3811802232854862E-2</v>
      </c>
      <c r="AC162" s="845">
        <v>0</v>
      </c>
      <c r="AD162" s="845">
        <v>9.8883572567783091E-3</v>
      </c>
      <c r="AE162" s="845">
        <v>0.10558213716108453</v>
      </c>
      <c r="AF162" s="845">
        <v>2.7113237639553429E-2</v>
      </c>
      <c r="AG162" s="845">
        <v>0.81690590111642747</v>
      </c>
      <c r="AH162" s="20" t="str">
        <f t="shared" si="25"/>
        <v>No</v>
      </c>
      <c r="AI162" s="25"/>
      <c r="AJ162" s="20">
        <v>45106</v>
      </c>
      <c r="AK162" s="20" t="s">
        <v>1565</v>
      </c>
      <c r="AL162" s="20">
        <v>39015</v>
      </c>
      <c r="AM162" s="20" t="s">
        <v>14</v>
      </c>
      <c r="AN162" s="37">
        <f t="shared" si="26"/>
        <v>17140</v>
      </c>
      <c r="AO162" s="37" t="str">
        <f t="shared" si="27"/>
        <v>Cincinnati, OH-KY-IN</v>
      </c>
      <c r="AP162" s="20" t="s">
        <v>8</v>
      </c>
      <c r="AQ162" s="25"/>
      <c r="AR162" s="25"/>
      <c r="AS162" s="25"/>
      <c r="AT162" s="25"/>
      <c r="AU162" s="36"/>
      <c r="AV162" s="36"/>
      <c r="AW162" s="36"/>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39">
        <v>44621</v>
      </c>
      <c r="BV162" s="39" t="s">
        <v>1393</v>
      </c>
      <c r="BW162" s="39" t="s">
        <v>2913</v>
      </c>
      <c r="BX162" s="39" t="s">
        <v>269</v>
      </c>
      <c r="BY162" s="71">
        <v>730</v>
      </c>
      <c r="BZ162" s="71">
        <v>740</v>
      </c>
      <c r="CA162" s="71">
        <v>970</v>
      </c>
      <c r="CB162" s="71">
        <v>1250</v>
      </c>
      <c r="CC162" s="71">
        <v>1400</v>
      </c>
      <c r="CD162" s="25"/>
      <c r="CE162" s="200"/>
      <c r="CF162" s="200"/>
      <c r="CG162" s="200"/>
      <c r="CH162" s="200"/>
      <c r="CI162" s="200"/>
      <c r="CJ162" s="200"/>
      <c r="CK162" s="200"/>
      <c r="CL162" s="200"/>
      <c r="CM162" s="200"/>
      <c r="CN162" s="200"/>
      <c r="CO162" s="200"/>
      <c r="CP162" s="200"/>
      <c r="CQ162" s="200"/>
      <c r="CR162" s="200"/>
      <c r="CS162" s="200"/>
      <c r="CT162" s="200"/>
      <c r="CU162" s="200"/>
    </row>
    <row r="163" spans="1:99" s="17" customFormat="1" x14ac:dyDescent="0.2">
      <c r="A163" s="25"/>
      <c r="B163" s="20">
        <v>39153533200</v>
      </c>
      <c r="C163" s="20">
        <v>5332</v>
      </c>
      <c r="D163" s="20" t="s">
        <v>82</v>
      </c>
      <c r="E163" s="20" t="s">
        <v>2843</v>
      </c>
      <c r="F163" s="20" t="s">
        <v>8</v>
      </c>
      <c r="G163" s="861">
        <v>75.202379104407598</v>
      </c>
      <c r="H163" s="861">
        <v>75.815235622924703</v>
      </c>
      <c r="I163" s="861">
        <v>28.229310453003901</v>
      </c>
      <c r="J163" s="861">
        <v>36.186880209578803</v>
      </c>
      <c r="K163" s="982">
        <v>0</v>
      </c>
      <c r="L163" s="735">
        <v>5398</v>
      </c>
      <c r="M163" s="735">
        <v>5856</v>
      </c>
      <c r="N163" s="845">
        <f t="shared" si="23"/>
        <v>8.4846239347906638E-2</v>
      </c>
      <c r="O163" s="735">
        <v>6.3845300818774806</v>
      </c>
      <c r="P163" s="735">
        <f t="shared" si="24"/>
        <v>917.21707391156076</v>
      </c>
      <c r="Q163" s="849">
        <v>44.2</v>
      </c>
      <c r="R163" s="71">
        <v>143250</v>
      </c>
      <c r="S163" s="845">
        <v>3.3299180327868855E-2</v>
      </c>
      <c r="T163" s="845">
        <v>2.4E-2</v>
      </c>
      <c r="U163" s="845">
        <v>0</v>
      </c>
      <c r="V163" s="845">
        <v>0</v>
      </c>
      <c r="W163" s="845">
        <v>7.799711121810303E-2</v>
      </c>
      <c r="X163" s="845">
        <v>0.46296296296296297</v>
      </c>
      <c r="Y163" s="845">
        <v>0.94484289617486339</v>
      </c>
      <c r="Z163" s="845">
        <v>2.0321038251366118E-2</v>
      </c>
      <c r="AA163" s="845">
        <v>0</v>
      </c>
      <c r="AB163" s="845">
        <v>1.2636612021857924E-2</v>
      </c>
      <c r="AC163" s="845">
        <v>0</v>
      </c>
      <c r="AD163" s="845">
        <v>0</v>
      </c>
      <c r="AE163" s="845">
        <v>2.2199453551912569E-2</v>
      </c>
      <c r="AF163" s="845">
        <v>1.6051912568306011E-2</v>
      </c>
      <c r="AG163" s="845">
        <v>0.93954918032786883</v>
      </c>
      <c r="AH163" s="20" t="str">
        <f t="shared" si="25"/>
        <v>Yes</v>
      </c>
      <c r="AI163" s="25"/>
      <c r="AJ163" s="20">
        <v>45107</v>
      </c>
      <c r="AK163" s="20" t="s">
        <v>1566</v>
      </c>
      <c r="AL163" s="20">
        <v>39015</v>
      </c>
      <c r="AM163" s="20" t="s">
        <v>14</v>
      </c>
      <c r="AN163" s="37">
        <f t="shared" si="26"/>
        <v>17140</v>
      </c>
      <c r="AO163" s="37" t="str">
        <f t="shared" si="27"/>
        <v>Cincinnati, OH-KY-IN</v>
      </c>
      <c r="AP163" s="20" t="s">
        <v>8</v>
      </c>
      <c r="AQ163" s="25"/>
      <c r="AR163" s="25"/>
      <c r="AS163" s="25"/>
      <c r="AT163" s="25"/>
      <c r="AU163" s="36"/>
      <c r="AV163" s="36"/>
      <c r="AW163" s="36"/>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39">
        <v>44624</v>
      </c>
      <c r="BV163" s="39" t="s">
        <v>1395</v>
      </c>
      <c r="BW163" s="39" t="s">
        <v>2913</v>
      </c>
      <c r="BX163" s="39" t="s">
        <v>269</v>
      </c>
      <c r="BY163" s="71">
        <v>790</v>
      </c>
      <c r="BZ163" s="71">
        <v>820</v>
      </c>
      <c r="CA163" s="71">
        <v>1070</v>
      </c>
      <c r="CB163" s="71">
        <v>1350</v>
      </c>
      <c r="CC163" s="71">
        <v>1470</v>
      </c>
      <c r="CD163" s="25"/>
      <c r="CE163" s="200"/>
      <c r="CF163" s="200"/>
      <c r="CG163" s="200"/>
      <c r="CH163" s="200"/>
      <c r="CI163" s="200"/>
      <c r="CJ163" s="200"/>
      <c r="CK163" s="200"/>
      <c r="CL163" s="200"/>
      <c r="CM163" s="200"/>
      <c r="CN163" s="200"/>
      <c r="CO163" s="200"/>
      <c r="CP163" s="200"/>
      <c r="CQ163" s="200"/>
      <c r="CR163" s="200"/>
      <c r="CS163" s="200"/>
      <c r="CT163" s="200"/>
      <c r="CU163" s="200"/>
    </row>
    <row r="164" spans="1:99" s="17" customFormat="1" x14ac:dyDescent="0.2">
      <c r="A164" s="25"/>
      <c r="B164" s="20">
        <v>39035161900</v>
      </c>
      <c r="C164" s="20">
        <v>1619</v>
      </c>
      <c r="D164" s="20" t="s">
        <v>24</v>
      </c>
      <c r="E164" s="20" t="s">
        <v>2829</v>
      </c>
      <c r="F164" s="20" t="s">
        <v>8</v>
      </c>
      <c r="G164" s="861">
        <v>75.186395825368507</v>
      </c>
      <c r="H164" s="861">
        <v>68.431701345034696</v>
      </c>
      <c r="I164" s="861">
        <v>46.144800399597102</v>
      </c>
      <c r="J164" s="861">
        <v>44.364694659603998</v>
      </c>
      <c r="K164" s="982">
        <v>0</v>
      </c>
      <c r="L164" s="735" t="s">
        <v>2466</v>
      </c>
      <c r="M164" s="735">
        <v>2549</v>
      </c>
      <c r="N164" s="845" t="str">
        <f t="shared" si="23"/>
        <v/>
      </c>
      <c r="O164" s="735">
        <v>0.34857804810540233</v>
      </c>
      <c r="P164" s="735">
        <f t="shared" si="24"/>
        <v>7312.5660489935344</v>
      </c>
      <c r="Q164" s="849">
        <v>30.2</v>
      </c>
      <c r="R164" s="71">
        <v>63887</v>
      </c>
      <c r="S164" s="845">
        <v>0.13060582218725414</v>
      </c>
      <c r="T164" s="845">
        <v>0.02</v>
      </c>
      <c r="U164" s="845">
        <v>0</v>
      </c>
      <c r="V164" s="845">
        <v>2.7999999999999997E-2</v>
      </c>
      <c r="W164" s="845">
        <v>0.75346992729676143</v>
      </c>
      <c r="X164" s="845">
        <v>0.3719298245614035</v>
      </c>
      <c r="Y164" s="845">
        <v>0.93173793644566494</v>
      </c>
      <c r="Z164" s="845">
        <v>2.7461749705766966E-2</v>
      </c>
      <c r="AA164" s="845">
        <v>0</v>
      </c>
      <c r="AB164" s="845">
        <v>2.9030992546096507E-2</v>
      </c>
      <c r="AC164" s="845">
        <v>0</v>
      </c>
      <c r="AD164" s="845">
        <v>5.8846606512357787E-3</v>
      </c>
      <c r="AE164" s="845">
        <v>5.8846606512357787E-3</v>
      </c>
      <c r="AF164" s="845">
        <v>3.2169478226755588E-2</v>
      </c>
      <c r="AG164" s="845">
        <v>0.9062377402903099</v>
      </c>
      <c r="AH164" s="20" t="str">
        <f t="shared" si="25"/>
        <v>Yes</v>
      </c>
      <c r="AI164" s="25"/>
      <c r="AJ164" s="20">
        <v>45115</v>
      </c>
      <c r="AK164" s="20" t="s">
        <v>1570</v>
      </c>
      <c r="AL164" s="20">
        <v>39015</v>
      </c>
      <c r="AM164" s="20" t="s">
        <v>14</v>
      </c>
      <c r="AN164" s="37">
        <f t="shared" si="26"/>
        <v>17140</v>
      </c>
      <c r="AO164" s="37" t="str">
        <f t="shared" si="27"/>
        <v>Cincinnati, OH-KY-IN</v>
      </c>
      <c r="AP164" s="20" t="s">
        <v>8</v>
      </c>
      <c r="AQ164" s="25"/>
      <c r="AR164" s="25"/>
      <c r="AS164" s="25"/>
      <c r="AT164" s="25"/>
      <c r="AU164" s="36"/>
      <c r="AV164" s="36"/>
      <c r="AW164" s="36"/>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39">
        <v>44625</v>
      </c>
      <c r="BV164" s="39" t="s">
        <v>1396</v>
      </c>
      <c r="BW164" s="39" t="s">
        <v>2913</v>
      </c>
      <c r="BX164" s="39" t="s">
        <v>269</v>
      </c>
      <c r="BY164" s="71">
        <v>900</v>
      </c>
      <c r="BZ164" s="71">
        <v>1010</v>
      </c>
      <c r="CA164" s="71">
        <v>1270</v>
      </c>
      <c r="CB164" s="71">
        <v>1590</v>
      </c>
      <c r="CC164" s="71">
        <v>1680</v>
      </c>
      <c r="CD164" s="25"/>
      <c r="CE164" s="200"/>
      <c r="CF164" s="200"/>
      <c r="CG164" s="200"/>
      <c r="CH164" s="200"/>
      <c r="CI164" s="200"/>
      <c r="CJ164" s="200"/>
      <c r="CK164" s="200"/>
      <c r="CL164" s="200"/>
      <c r="CM164" s="200"/>
      <c r="CN164" s="200"/>
      <c r="CO164" s="200"/>
      <c r="CP164" s="200"/>
      <c r="CQ164" s="200"/>
      <c r="CR164" s="200"/>
      <c r="CS164" s="200"/>
      <c r="CT164" s="200"/>
      <c r="CU164" s="200"/>
    </row>
    <row r="165" spans="1:99" s="17" customFormat="1" x14ac:dyDescent="0.2">
      <c r="A165" s="25"/>
      <c r="B165" s="20">
        <v>39061002300</v>
      </c>
      <c r="C165" s="20">
        <v>23</v>
      </c>
      <c r="D165" s="20" t="s">
        <v>37</v>
      </c>
      <c r="E165" s="20" t="s">
        <v>2828</v>
      </c>
      <c r="F165" s="20" t="s">
        <v>6</v>
      </c>
      <c r="G165" s="861">
        <v>75.149311849862102</v>
      </c>
      <c r="H165" s="861">
        <v>69.937605906789898</v>
      </c>
      <c r="I165" s="861">
        <v>62.781215388484497</v>
      </c>
      <c r="J165" s="861">
        <v>87.407937327562195</v>
      </c>
      <c r="K165" s="982">
        <v>0</v>
      </c>
      <c r="L165" s="735">
        <v>1228</v>
      </c>
      <c r="M165" s="735">
        <v>1506</v>
      </c>
      <c r="N165" s="845">
        <f t="shared" si="23"/>
        <v>0.2263843648208469</v>
      </c>
      <c r="O165" s="735">
        <v>0.25303861337031391</v>
      </c>
      <c r="P165" s="735">
        <f t="shared" si="24"/>
        <v>5951.6608154820115</v>
      </c>
      <c r="Q165" s="849">
        <v>29.1</v>
      </c>
      <c r="R165" s="71">
        <v>54931</v>
      </c>
      <c r="S165" s="845">
        <v>0.30476848652384242</v>
      </c>
      <c r="T165" s="845">
        <v>0.109</v>
      </c>
      <c r="U165" s="845">
        <v>0.10400000000000001</v>
      </c>
      <c r="V165" s="845">
        <v>2.3E-2</v>
      </c>
      <c r="W165" s="845">
        <v>0.7813664596273292</v>
      </c>
      <c r="X165" s="845">
        <v>0.36724960254372019</v>
      </c>
      <c r="Y165" s="845">
        <v>0.29349269588313415</v>
      </c>
      <c r="Z165" s="845">
        <v>0.51195219123505975</v>
      </c>
      <c r="AA165" s="845">
        <v>1.7928286852589643E-2</v>
      </c>
      <c r="AB165" s="845">
        <v>0.14143426294820718</v>
      </c>
      <c r="AC165" s="845">
        <v>0</v>
      </c>
      <c r="AD165" s="845">
        <v>9.2961487383798145E-3</v>
      </c>
      <c r="AE165" s="845">
        <v>2.5896414342629483E-2</v>
      </c>
      <c r="AF165" s="845">
        <v>3.51925630810093E-2</v>
      </c>
      <c r="AG165" s="845">
        <v>0.28884462151394424</v>
      </c>
      <c r="AH165" s="20" t="str">
        <f t="shared" si="25"/>
        <v>No</v>
      </c>
      <c r="AI165" s="25"/>
      <c r="AJ165" s="20">
        <v>45118</v>
      </c>
      <c r="AK165" s="20" t="s">
        <v>1571</v>
      </c>
      <c r="AL165" s="20">
        <v>39015</v>
      </c>
      <c r="AM165" s="20" t="s">
        <v>14</v>
      </c>
      <c r="AN165" s="37">
        <f t="shared" si="26"/>
        <v>17140</v>
      </c>
      <c r="AO165" s="37" t="str">
        <f t="shared" si="27"/>
        <v>Cincinnati, OH-KY-IN</v>
      </c>
      <c r="AP165" s="20" t="s">
        <v>8</v>
      </c>
      <c r="AQ165" s="25"/>
      <c r="AR165" s="25"/>
      <c r="AS165" s="25"/>
      <c r="AT165" s="25"/>
      <c r="AU165" s="36"/>
      <c r="AV165" s="36"/>
      <c r="AW165" s="36"/>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39">
        <v>44626</v>
      </c>
      <c r="BV165" s="39" t="s">
        <v>1397</v>
      </c>
      <c r="BW165" s="39" t="s">
        <v>2913</v>
      </c>
      <c r="BX165" s="39" t="s">
        <v>269</v>
      </c>
      <c r="BY165" s="71">
        <v>810</v>
      </c>
      <c r="BZ165" s="71">
        <v>920</v>
      </c>
      <c r="CA165" s="71">
        <v>1180</v>
      </c>
      <c r="CB165" s="71">
        <v>1490</v>
      </c>
      <c r="CC165" s="71">
        <v>1580</v>
      </c>
      <c r="CD165" s="25"/>
      <c r="CE165" s="200"/>
      <c r="CF165" s="200"/>
      <c r="CG165" s="200"/>
      <c r="CH165" s="200"/>
      <c r="CI165" s="200"/>
      <c r="CJ165" s="200"/>
      <c r="CK165" s="200"/>
      <c r="CL165" s="200"/>
      <c r="CM165" s="200"/>
      <c r="CN165" s="200"/>
      <c r="CO165" s="200"/>
      <c r="CP165" s="200"/>
      <c r="CQ165" s="200"/>
      <c r="CR165" s="200"/>
      <c r="CS165" s="200"/>
      <c r="CT165" s="200"/>
      <c r="CU165" s="200"/>
    </row>
    <row r="166" spans="1:99" s="17" customFormat="1" x14ac:dyDescent="0.2">
      <c r="A166" s="25"/>
      <c r="B166" s="20">
        <v>39061027500</v>
      </c>
      <c r="C166" s="20">
        <v>275</v>
      </c>
      <c r="D166" s="20" t="s">
        <v>37</v>
      </c>
      <c r="E166" s="20" t="s">
        <v>2828</v>
      </c>
      <c r="F166" s="20" t="s">
        <v>8</v>
      </c>
      <c r="G166" s="861">
        <v>75.097769571877606</v>
      </c>
      <c r="H166" s="861">
        <v>71.063488641811901</v>
      </c>
      <c r="I166" s="861">
        <v>22.312777965957402</v>
      </c>
      <c r="J166" s="861">
        <v>53.373404617668598</v>
      </c>
      <c r="K166" s="982">
        <v>0</v>
      </c>
      <c r="L166" s="735" t="s">
        <v>2466</v>
      </c>
      <c r="M166" s="735">
        <v>2751</v>
      </c>
      <c r="N166" s="845" t="str">
        <f t="shared" si="23"/>
        <v/>
      </c>
      <c r="O166" s="735">
        <v>8.5838451976522787</v>
      </c>
      <c r="P166" s="735">
        <f t="shared" si="24"/>
        <v>320.48574230490681</v>
      </c>
      <c r="Q166" s="849">
        <v>44.9</v>
      </c>
      <c r="R166" s="71">
        <v>226250</v>
      </c>
      <c r="S166" s="845">
        <v>1.4186977082575483E-2</v>
      </c>
      <c r="T166" s="845">
        <v>5.0999999999999997E-2</v>
      </c>
      <c r="U166" s="845">
        <v>0</v>
      </c>
      <c r="V166" s="845">
        <v>0.13500000000000001</v>
      </c>
      <c r="W166" s="845">
        <v>3.3057851239669422E-2</v>
      </c>
      <c r="X166" s="845">
        <v>0.53125</v>
      </c>
      <c r="Y166" s="845">
        <v>0.93311523082515446</v>
      </c>
      <c r="Z166" s="845">
        <v>1.4540167211922936E-3</v>
      </c>
      <c r="AA166" s="845">
        <v>2.5445292620865142E-3</v>
      </c>
      <c r="AB166" s="845">
        <v>2.5808796801163214E-2</v>
      </c>
      <c r="AC166" s="845">
        <v>0</v>
      </c>
      <c r="AD166" s="845">
        <v>1.5267175572519083E-2</v>
      </c>
      <c r="AE166" s="845">
        <v>2.1810250817884406E-2</v>
      </c>
      <c r="AF166" s="845">
        <v>4.6892039258451472E-2</v>
      </c>
      <c r="AG166" s="845">
        <v>0.90912395492548159</v>
      </c>
      <c r="AH166" s="20" t="str">
        <f t="shared" si="25"/>
        <v>Yes</v>
      </c>
      <c r="AI166" s="25"/>
      <c r="AJ166" s="20">
        <v>45119</v>
      </c>
      <c r="AK166" s="20" t="s">
        <v>1572</v>
      </c>
      <c r="AL166" s="20">
        <v>39015</v>
      </c>
      <c r="AM166" s="20" t="s">
        <v>14</v>
      </c>
      <c r="AN166" s="37">
        <f t="shared" si="26"/>
        <v>17140</v>
      </c>
      <c r="AO166" s="37" t="str">
        <f t="shared" si="27"/>
        <v>Cincinnati, OH-KY-IN</v>
      </c>
      <c r="AP166" s="20" t="s">
        <v>8</v>
      </c>
      <c r="AQ166" s="25"/>
      <c r="AR166" s="25"/>
      <c r="AS166" s="25"/>
      <c r="AT166" s="25"/>
      <c r="AU166" s="36"/>
      <c r="AV166" s="36"/>
      <c r="AW166" s="36"/>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39">
        <v>44630</v>
      </c>
      <c r="BV166" s="39" t="s">
        <v>1401</v>
      </c>
      <c r="BW166" s="39" t="s">
        <v>2913</v>
      </c>
      <c r="BX166" s="39" t="s">
        <v>269</v>
      </c>
      <c r="BY166" s="71">
        <v>840</v>
      </c>
      <c r="BZ166" s="71">
        <v>940</v>
      </c>
      <c r="CA166" s="71">
        <v>1210</v>
      </c>
      <c r="CB166" s="71">
        <v>1520</v>
      </c>
      <c r="CC166" s="71">
        <v>1620</v>
      </c>
      <c r="CD166" s="25"/>
      <c r="CE166" s="200"/>
      <c r="CF166" s="200"/>
      <c r="CG166" s="200"/>
      <c r="CH166" s="200"/>
      <c r="CI166" s="200"/>
      <c r="CJ166" s="200"/>
      <c r="CK166" s="200"/>
      <c r="CL166" s="200"/>
      <c r="CM166" s="200"/>
      <c r="CN166" s="200"/>
      <c r="CO166" s="200"/>
      <c r="CP166" s="200"/>
      <c r="CQ166" s="200"/>
      <c r="CR166" s="200"/>
      <c r="CS166" s="200"/>
      <c r="CT166" s="200"/>
      <c r="CU166" s="200"/>
    </row>
    <row r="167" spans="1:99" s="17" customFormat="1" x14ac:dyDescent="0.2">
      <c r="A167" s="25"/>
      <c r="B167" s="20">
        <v>39041011900</v>
      </c>
      <c r="C167" s="20">
        <v>119</v>
      </c>
      <c r="D167" s="20" t="s">
        <v>27</v>
      </c>
      <c r="E167" s="20" t="s">
        <v>2830</v>
      </c>
      <c r="F167" s="20" t="s">
        <v>8</v>
      </c>
      <c r="G167" s="861">
        <v>75.095520174747904</v>
      </c>
      <c r="H167" s="861">
        <v>75.001461958470898</v>
      </c>
      <c r="I167" s="861">
        <v>20.948010175866301</v>
      </c>
      <c r="J167" s="861">
        <v>54.878533428415203</v>
      </c>
      <c r="K167" s="982">
        <v>0</v>
      </c>
      <c r="L167" s="735">
        <v>5213</v>
      </c>
      <c r="M167" s="735">
        <v>5586</v>
      </c>
      <c r="N167" s="845">
        <f t="shared" si="23"/>
        <v>7.1551889507001726E-2</v>
      </c>
      <c r="O167" s="735">
        <v>3.4143033189445804</v>
      </c>
      <c r="P167" s="735">
        <f t="shared" si="24"/>
        <v>1636.0585098006841</v>
      </c>
      <c r="Q167" s="849">
        <v>47.2</v>
      </c>
      <c r="R167" s="71">
        <v>160967</v>
      </c>
      <c r="S167" s="845">
        <v>5.0125313283208017E-3</v>
      </c>
      <c r="T167" s="845">
        <v>0.01</v>
      </c>
      <c r="U167" s="845">
        <v>0</v>
      </c>
      <c r="V167" s="845">
        <v>0.18600000000000003</v>
      </c>
      <c r="W167" s="845">
        <v>0.19886611426079373</v>
      </c>
      <c r="X167" s="845">
        <v>0.19736842105263158</v>
      </c>
      <c r="Y167" s="845">
        <v>0.78338703902613682</v>
      </c>
      <c r="Z167" s="845">
        <v>1.2531328320802004E-2</v>
      </c>
      <c r="AA167" s="845">
        <v>0</v>
      </c>
      <c r="AB167" s="845">
        <v>0.15503043322592194</v>
      </c>
      <c r="AC167" s="845">
        <v>0</v>
      </c>
      <c r="AD167" s="845">
        <v>4.47547440028643E-3</v>
      </c>
      <c r="AE167" s="845">
        <v>4.4575725026852843E-2</v>
      </c>
      <c r="AF167" s="845">
        <v>2.3988542785535267E-2</v>
      </c>
      <c r="AG167" s="845">
        <v>0.78338703902613682</v>
      </c>
      <c r="AH167" s="20" t="str">
        <f t="shared" si="25"/>
        <v>No</v>
      </c>
      <c r="AI167" s="25"/>
      <c r="AJ167" s="37">
        <v>45120</v>
      </c>
      <c r="AK167" s="37" t="s">
        <v>1573</v>
      </c>
      <c r="AL167" s="37">
        <v>39015</v>
      </c>
      <c r="AM167" s="37" t="s">
        <v>14</v>
      </c>
      <c r="AN167" s="37">
        <f t="shared" si="26"/>
        <v>17140</v>
      </c>
      <c r="AO167" s="37" t="str">
        <f t="shared" si="27"/>
        <v>Cincinnati, OH-KY-IN</v>
      </c>
      <c r="AP167" s="20" t="s">
        <v>8</v>
      </c>
      <c r="AQ167" s="25"/>
      <c r="AR167" s="25"/>
      <c r="AS167" s="25"/>
      <c r="AT167" s="25"/>
      <c r="AU167" s="36"/>
      <c r="AV167" s="36"/>
      <c r="AW167" s="36"/>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39">
        <v>44634</v>
      </c>
      <c r="BV167" s="39" t="s">
        <v>1404</v>
      </c>
      <c r="BW167" s="39" t="s">
        <v>2913</v>
      </c>
      <c r="BX167" s="39" t="s">
        <v>269</v>
      </c>
      <c r="BY167" s="71">
        <v>690</v>
      </c>
      <c r="BZ167" s="71">
        <v>770</v>
      </c>
      <c r="CA167" s="71">
        <v>970</v>
      </c>
      <c r="CB167" s="71">
        <v>1220</v>
      </c>
      <c r="CC167" s="71">
        <v>1290</v>
      </c>
      <c r="CD167" s="25"/>
      <c r="CE167" s="200"/>
      <c r="CF167" s="200"/>
      <c r="CG167" s="200"/>
      <c r="CH167" s="200"/>
      <c r="CI167" s="200"/>
      <c r="CJ167" s="200"/>
      <c r="CK167" s="200"/>
      <c r="CL167" s="200"/>
      <c r="CM167" s="200"/>
      <c r="CN167" s="200"/>
      <c r="CO167" s="200"/>
      <c r="CP167" s="200"/>
      <c r="CQ167" s="200"/>
      <c r="CR167" s="200"/>
      <c r="CS167" s="200"/>
      <c r="CT167" s="200"/>
      <c r="CU167" s="200"/>
    </row>
    <row r="168" spans="1:99" s="17" customFormat="1" x14ac:dyDescent="0.2">
      <c r="A168" s="25"/>
      <c r="B168" s="20">
        <v>39035161400</v>
      </c>
      <c r="C168" s="20">
        <v>1614</v>
      </c>
      <c r="D168" s="20" t="s">
        <v>24</v>
      </c>
      <c r="E168" s="20" t="s">
        <v>2829</v>
      </c>
      <c r="F168" s="20" t="s">
        <v>8</v>
      </c>
      <c r="G168" s="861">
        <v>75.083772429606398</v>
      </c>
      <c r="H168" s="861">
        <v>75.073794172072795</v>
      </c>
      <c r="I168" s="861">
        <v>35.937069982902301</v>
      </c>
      <c r="J168" s="861">
        <v>54.891924199902</v>
      </c>
      <c r="K168" s="982">
        <v>0</v>
      </c>
      <c r="L168" s="735">
        <v>3317</v>
      </c>
      <c r="M168" s="735">
        <v>3009</v>
      </c>
      <c r="N168" s="845">
        <f t="shared" si="23"/>
        <v>-9.2854989448296649E-2</v>
      </c>
      <c r="O168" s="735">
        <v>0.36009547549621762</v>
      </c>
      <c r="P168" s="735">
        <f t="shared" si="24"/>
        <v>8356.1172098970346</v>
      </c>
      <c r="Q168" s="849">
        <v>35.4</v>
      </c>
      <c r="R168" s="71">
        <v>80489</v>
      </c>
      <c r="S168" s="845">
        <v>5.6497175141242938E-2</v>
      </c>
      <c r="T168" s="845">
        <v>2.7999999999999997E-2</v>
      </c>
      <c r="U168" s="845">
        <v>3.7000000000000005E-2</v>
      </c>
      <c r="V168" s="845">
        <v>2.7999999999999997E-2</v>
      </c>
      <c r="W168" s="845">
        <v>0.54186202277294038</v>
      </c>
      <c r="X168" s="845">
        <v>0.34239802224969096</v>
      </c>
      <c r="Y168" s="845">
        <v>0.87138584247258222</v>
      </c>
      <c r="Z168" s="845">
        <v>7.6437354602858096E-2</v>
      </c>
      <c r="AA168" s="845">
        <v>0</v>
      </c>
      <c r="AB168" s="845">
        <v>6.3143901628447989E-3</v>
      </c>
      <c r="AC168" s="845">
        <v>0</v>
      </c>
      <c r="AD168" s="845">
        <v>2.6586905948820204E-3</v>
      </c>
      <c r="AE168" s="845">
        <v>4.3203722166832832E-2</v>
      </c>
      <c r="AF168" s="845">
        <v>1.8943170488534396E-2</v>
      </c>
      <c r="AG168" s="845">
        <v>0.86540378863409773</v>
      </c>
      <c r="AH168" s="20" t="str">
        <f t="shared" si="25"/>
        <v>No</v>
      </c>
      <c r="AI168" s="25"/>
      <c r="AJ168" s="20">
        <v>45121</v>
      </c>
      <c r="AK168" s="20" t="s">
        <v>1574</v>
      </c>
      <c r="AL168" s="20">
        <v>39015</v>
      </c>
      <c r="AM168" s="20" t="s">
        <v>14</v>
      </c>
      <c r="AN168" s="37">
        <f t="shared" si="26"/>
        <v>17140</v>
      </c>
      <c r="AO168" s="37" t="str">
        <f t="shared" si="27"/>
        <v>Cincinnati, OH-KY-IN</v>
      </c>
      <c r="AP168" s="20" t="s">
        <v>8</v>
      </c>
      <c r="AQ168" s="25"/>
      <c r="AR168" s="25"/>
      <c r="AS168" s="25"/>
      <c r="AT168" s="25"/>
      <c r="AU168" s="36"/>
      <c r="AV168" s="36"/>
      <c r="AW168" s="36"/>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39">
        <v>44639</v>
      </c>
      <c r="BV168" s="39" t="s">
        <v>1407</v>
      </c>
      <c r="BW168" s="39" t="s">
        <v>2913</v>
      </c>
      <c r="BX168" s="39" t="s">
        <v>269</v>
      </c>
      <c r="BY168" s="71">
        <v>720</v>
      </c>
      <c r="BZ168" s="71">
        <v>750</v>
      </c>
      <c r="CA168" s="71">
        <v>970</v>
      </c>
      <c r="CB168" s="71">
        <v>1260</v>
      </c>
      <c r="CC168" s="71">
        <v>1320</v>
      </c>
      <c r="CD168" s="25"/>
      <c r="CE168" s="200"/>
      <c r="CF168" s="200"/>
      <c r="CG168" s="200"/>
      <c r="CH168" s="200"/>
      <c r="CI168" s="200"/>
      <c r="CJ168" s="200"/>
      <c r="CK168" s="200"/>
      <c r="CL168" s="200"/>
      <c r="CM168" s="200"/>
      <c r="CN168" s="200"/>
      <c r="CO168" s="200"/>
      <c r="CP168" s="200"/>
      <c r="CQ168" s="200"/>
      <c r="CR168" s="200"/>
      <c r="CS168" s="200"/>
      <c r="CT168" s="200"/>
      <c r="CU168" s="200"/>
    </row>
    <row r="169" spans="1:99" s="17" customFormat="1" x14ac:dyDescent="0.2">
      <c r="A169" s="25"/>
      <c r="B169" s="20">
        <v>39057210101</v>
      </c>
      <c r="C169" s="20">
        <v>2101.0100000000002</v>
      </c>
      <c r="D169" s="20" t="s">
        <v>35</v>
      </c>
      <c r="E169" s="20" t="s">
        <v>2833</v>
      </c>
      <c r="F169" s="20" t="s">
        <v>8</v>
      </c>
      <c r="G169" s="861">
        <v>75.053164063552202</v>
      </c>
      <c r="H169" s="861">
        <v>77.649405041945599</v>
      </c>
      <c r="I169" s="861">
        <v>21.858534620830302</v>
      </c>
      <c r="J169" s="861">
        <v>55.5959988695733</v>
      </c>
      <c r="K169" s="982">
        <v>0</v>
      </c>
      <c r="L169" s="735" t="s">
        <v>2466</v>
      </c>
      <c r="M169" s="735">
        <v>4017</v>
      </c>
      <c r="N169" s="845" t="str">
        <f t="shared" si="23"/>
        <v/>
      </c>
      <c r="O169" s="735">
        <v>1.6134946658114195</v>
      </c>
      <c r="P169" s="735">
        <f t="shared" si="24"/>
        <v>2489.6270716704648</v>
      </c>
      <c r="Q169" s="849">
        <v>36.299999999999997</v>
      </c>
      <c r="R169" s="71">
        <v>113500</v>
      </c>
      <c r="S169" s="845">
        <v>4.4207317073170729E-2</v>
      </c>
      <c r="T169" s="845">
        <v>5.5999999999999994E-2</v>
      </c>
      <c r="U169" s="845">
        <v>0</v>
      </c>
      <c r="V169" s="845">
        <v>0.10199999999999999</v>
      </c>
      <c r="W169" s="845">
        <v>0.63195876288659791</v>
      </c>
      <c r="X169" s="845">
        <v>0.17047308319738988</v>
      </c>
      <c r="Y169" s="845">
        <v>0.68259895444361463</v>
      </c>
      <c r="Z169" s="845">
        <v>2.5889967637540454E-2</v>
      </c>
      <c r="AA169" s="845">
        <v>1.8919591735125717E-2</v>
      </c>
      <c r="AB169" s="845">
        <v>0.15608663181478716</v>
      </c>
      <c r="AC169" s="845">
        <v>0</v>
      </c>
      <c r="AD169" s="845">
        <v>2.1906895693303459E-2</v>
      </c>
      <c r="AE169" s="845">
        <v>9.4597958675628577E-2</v>
      </c>
      <c r="AF169" s="845">
        <v>6.8707991038088126E-2</v>
      </c>
      <c r="AG169" s="845">
        <v>0.67537963654468514</v>
      </c>
      <c r="AH169" s="20" t="str">
        <f t="shared" si="25"/>
        <v>No</v>
      </c>
      <c r="AI169" s="25"/>
      <c r="AJ169" s="20">
        <v>45130</v>
      </c>
      <c r="AK169" s="20" t="s">
        <v>1577</v>
      </c>
      <c r="AL169" s="20">
        <v>39015</v>
      </c>
      <c r="AM169" s="20" t="s">
        <v>14</v>
      </c>
      <c r="AN169" s="37">
        <f t="shared" si="26"/>
        <v>17140</v>
      </c>
      <c r="AO169" s="37" t="str">
        <f t="shared" si="27"/>
        <v>Cincinnati, OH-KY-IN</v>
      </c>
      <c r="AP169" s="20" t="s">
        <v>8</v>
      </c>
      <c r="AQ169" s="25"/>
      <c r="AR169" s="25"/>
      <c r="AS169" s="25"/>
      <c r="AT169" s="25"/>
      <c r="AU169" s="36"/>
      <c r="AV169" s="36"/>
      <c r="AW169" s="36"/>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39">
        <v>44640</v>
      </c>
      <c r="BV169" s="39" t="s">
        <v>1408</v>
      </c>
      <c r="BW169" s="39" t="s">
        <v>2913</v>
      </c>
      <c r="BX169" s="39" t="s">
        <v>269</v>
      </c>
      <c r="BY169" s="71">
        <v>950</v>
      </c>
      <c r="BZ169" s="71">
        <v>1070</v>
      </c>
      <c r="CA169" s="71">
        <v>1380</v>
      </c>
      <c r="CB169" s="71">
        <v>1740</v>
      </c>
      <c r="CC169" s="71">
        <v>1840</v>
      </c>
      <c r="CD169" s="25"/>
      <c r="CE169" s="200"/>
      <c r="CF169" s="200"/>
      <c r="CG169" s="200"/>
      <c r="CH169" s="200"/>
      <c r="CI169" s="200"/>
      <c r="CJ169" s="200"/>
      <c r="CK169" s="200"/>
      <c r="CL169" s="200"/>
      <c r="CM169" s="200"/>
      <c r="CN169" s="200"/>
      <c r="CO169" s="200"/>
      <c r="CP169" s="200"/>
      <c r="CQ169" s="200"/>
      <c r="CR169" s="200"/>
      <c r="CS169" s="200"/>
      <c r="CT169" s="200"/>
      <c r="CU169" s="200"/>
    </row>
    <row r="170" spans="1:99" s="17" customFormat="1" x14ac:dyDescent="0.2">
      <c r="A170" s="25"/>
      <c r="B170" s="20">
        <v>39049000210</v>
      </c>
      <c r="C170" s="20">
        <v>2.1</v>
      </c>
      <c r="D170" s="20" t="s">
        <v>31</v>
      </c>
      <c r="E170" s="20" t="s">
        <v>2830</v>
      </c>
      <c r="F170" s="20" t="s">
        <v>8</v>
      </c>
      <c r="G170" s="861">
        <v>75.031217747098395</v>
      </c>
      <c r="H170" s="861">
        <v>83.982362190654598</v>
      </c>
      <c r="I170" s="861">
        <v>26.395201934777699</v>
      </c>
      <c r="J170" s="861">
        <v>52.889733896193398</v>
      </c>
      <c r="K170" s="982">
        <v>0</v>
      </c>
      <c r="L170" s="735">
        <v>3289</v>
      </c>
      <c r="M170" s="735">
        <v>3116</v>
      </c>
      <c r="N170" s="845">
        <f t="shared" si="23"/>
        <v>-5.2599574338704776E-2</v>
      </c>
      <c r="O170" s="735">
        <v>0.658947812698646</v>
      </c>
      <c r="P170" s="735">
        <f t="shared" si="24"/>
        <v>4728.7508053767951</v>
      </c>
      <c r="Q170" s="849">
        <v>44.5</v>
      </c>
      <c r="R170" s="71">
        <v>123068</v>
      </c>
      <c r="S170" s="845">
        <v>2.8562259306803596E-2</v>
      </c>
      <c r="T170" s="845">
        <v>0.02</v>
      </c>
      <c r="U170" s="845">
        <v>2.3E-2</v>
      </c>
      <c r="V170" s="845">
        <v>0</v>
      </c>
      <c r="W170" s="845">
        <v>0.24051446945337621</v>
      </c>
      <c r="X170" s="845">
        <v>0.49197860962566847</v>
      </c>
      <c r="Y170" s="845">
        <v>0.86007702182284984</v>
      </c>
      <c r="Z170" s="845">
        <v>2.4711168164313221E-2</v>
      </c>
      <c r="AA170" s="845">
        <v>0</v>
      </c>
      <c r="AB170" s="845">
        <v>5.2952503209242621E-2</v>
      </c>
      <c r="AC170" s="845">
        <v>0</v>
      </c>
      <c r="AD170" s="845">
        <v>2.5673940949935813E-3</v>
      </c>
      <c r="AE170" s="845">
        <v>5.9691912708600768E-2</v>
      </c>
      <c r="AF170" s="845">
        <v>2.7278562259306804E-2</v>
      </c>
      <c r="AG170" s="845">
        <v>0.84980744544287545</v>
      </c>
      <c r="AH170" s="20" t="str">
        <f t="shared" si="25"/>
        <v>No</v>
      </c>
      <c r="AI170" s="25"/>
      <c r="AJ170" s="20">
        <v>45131</v>
      </c>
      <c r="AK170" s="20" t="s">
        <v>1578</v>
      </c>
      <c r="AL170" s="20">
        <v>39015</v>
      </c>
      <c r="AM170" s="20" t="s">
        <v>14</v>
      </c>
      <c r="AN170" s="37">
        <f t="shared" si="26"/>
        <v>17140</v>
      </c>
      <c r="AO170" s="37" t="str">
        <f t="shared" si="27"/>
        <v>Cincinnati, OH-KY-IN</v>
      </c>
      <c r="AP170" s="20" t="s">
        <v>8</v>
      </c>
      <c r="AQ170" s="25"/>
      <c r="AR170" s="25"/>
      <c r="AS170" s="25"/>
      <c r="AT170" s="25"/>
      <c r="AU170" s="36"/>
      <c r="AV170" s="36"/>
      <c r="AW170" s="36"/>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39">
        <v>44641</v>
      </c>
      <c r="BV170" s="39" t="s">
        <v>1409</v>
      </c>
      <c r="BW170" s="39" t="s">
        <v>2913</v>
      </c>
      <c r="BX170" s="39" t="s">
        <v>269</v>
      </c>
      <c r="BY170" s="71">
        <v>720</v>
      </c>
      <c r="BZ170" s="71">
        <v>810</v>
      </c>
      <c r="CA170" s="71">
        <v>1040</v>
      </c>
      <c r="CB170" s="71">
        <v>1310</v>
      </c>
      <c r="CC170" s="71">
        <v>1390</v>
      </c>
      <c r="CD170" s="25"/>
      <c r="CE170" s="200"/>
      <c r="CF170" s="200"/>
      <c r="CG170" s="200"/>
      <c r="CH170" s="200"/>
      <c r="CI170" s="200"/>
      <c r="CJ170" s="200"/>
      <c r="CK170" s="200"/>
      <c r="CL170" s="200"/>
      <c r="CM170" s="200"/>
      <c r="CN170" s="200"/>
      <c r="CO170" s="200"/>
      <c r="CP170" s="200"/>
      <c r="CQ170" s="200"/>
      <c r="CR170" s="200"/>
      <c r="CS170" s="200"/>
      <c r="CT170" s="200"/>
      <c r="CU170" s="200"/>
    </row>
    <row r="171" spans="1:99" s="17" customFormat="1" x14ac:dyDescent="0.2">
      <c r="A171" s="25"/>
      <c r="B171" s="20">
        <v>39049006236</v>
      </c>
      <c r="C171" s="20">
        <v>62.36</v>
      </c>
      <c r="D171" s="20" t="s">
        <v>31</v>
      </c>
      <c r="E171" s="20" t="s">
        <v>2830</v>
      </c>
      <c r="F171" s="20" t="s">
        <v>8</v>
      </c>
      <c r="G171" s="861">
        <v>74.929473307077501</v>
      </c>
      <c r="H171" s="861">
        <v>74.528968827956703</v>
      </c>
      <c r="I171" s="861">
        <v>22.526599021934999</v>
      </c>
      <c r="J171" s="861">
        <v>39.837231373337303</v>
      </c>
      <c r="K171" s="982">
        <v>0</v>
      </c>
      <c r="L171" s="735">
        <v>6158</v>
      </c>
      <c r="M171" s="735">
        <v>6191</v>
      </c>
      <c r="N171" s="845">
        <f t="shared" si="23"/>
        <v>5.3588827541409551E-3</v>
      </c>
      <c r="O171" s="735">
        <v>2.5144115429935314</v>
      </c>
      <c r="P171" s="735">
        <f t="shared" si="24"/>
        <v>2462.2063230863582</v>
      </c>
      <c r="Q171" s="849">
        <v>43.1</v>
      </c>
      <c r="R171" s="71">
        <v>191071</v>
      </c>
      <c r="S171" s="845">
        <v>1.5021805847197546E-2</v>
      </c>
      <c r="T171" s="845">
        <v>3.7000000000000005E-2</v>
      </c>
      <c r="U171" s="845">
        <v>0</v>
      </c>
      <c r="V171" s="845">
        <v>0</v>
      </c>
      <c r="W171" s="845">
        <v>4.1365046535677356E-3</v>
      </c>
      <c r="X171" s="845">
        <v>0</v>
      </c>
      <c r="Y171" s="845">
        <v>0.80697787110321439</v>
      </c>
      <c r="Z171" s="845">
        <v>0</v>
      </c>
      <c r="AA171" s="845">
        <v>1.3245033112582781E-2</v>
      </c>
      <c r="AB171" s="845">
        <v>8.0277822645776126E-2</v>
      </c>
      <c r="AC171" s="845">
        <v>0</v>
      </c>
      <c r="AD171" s="845">
        <v>9.643030205136488E-2</v>
      </c>
      <c r="AE171" s="845">
        <v>3.068971087061864E-3</v>
      </c>
      <c r="AF171" s="845">
        <v>0.10434501696010337</v>
      </c>
      <c r="AG171" s="845">
        <v>0.79486351154902279</v>
      </c>
      <c r="AH171" s="20" t="str">
        <f t="shared" si="25"/>
        <v>No</v>
      </c>
      <c r="AI171" s="25"/>
      <c r="AJ171" s="37">
        <v>45133</v>
      </c>
      <c r="AK171" s="37" t="s">
        <v>1580</v>
      </c>
      <c r="AL171" s="37">
        <v>39015</v>
      </c>
      <c r="AM171" s="37" t="s">
        <v>14</v>
      </c>
      <c r="AN171" s="37">
        <f t="shared" si="26"/>
        <v>17140</v>
      </c>
      <c r="AO171" s="37" t="str">
        <f t="shared" si="27"/>
        <v>Cincinnati, OH-KY-IN</v>
      </c>
      <c r="AP171" s="20" t="s">
        <v>8</v>
      </c>
      <c r="AQ171" s="25"/>
      <c r="AR171" s="25"/>
      <c r="AS171" s="25"/>
      <c r="AT171" s="25"/>
      <c r="AU171" s="36"/>
      <c r="AV171" s="36"/>
      <c r="AW171" s="36"/>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39">
        <v>44643</v>
      </c>
      <c r="BV171" s="39" t="s">
        <v>1410</v>
      </c>
      <c r="BW171" s="39" t="s">
        <v>2913</v>
      </c>
      <c r="BX171" s="39" t="s">
        <v>269</v>
      </c>
      <c r="BY171" s="71">
        <v>750</v>
      </c>
      <c r="BZ171" s="71">
        <v>820</v>
      </c>
      <c r="CA171" s="71">
        <v>1060</v>
      </c>
      <c r="CB171" s="71">
        <v>1340</v>
      </c>
      <c r="CC171" s="71">
        <v>1450</v>
      </c>
      <c r="CD171" s="25"/>
      <c r="CE171" s="200"/>
      <c r="CF171" s="200"/>
      <c r="CG171" s="200"/>
      <c r="CH171" s="200"/>
      <c r="CI171" s="200"/>
      <c r="CJ171" s="200"/>
      <c r="CK171" s="200"/>
      <c r="CL171" s="200"/>
      <c r="CM171" s="200"/>
      <c r="CN171" s="200"/>
      <c r="CO171" s="200"/>
      <c r="CP171" s="200"/>
      <c r="CQ171" s="200"/>
      <c r="CR171" s="200"/>
      <c r="CS171" s="200"/>
      <c r="CT171" s="200"/>
      <c r="CU171" s="200"/>
    </row>
    <row r="172" spans="1:99" s="17" customFormat="1" x14ac:dyDescent="0.2">
      <c r="A172" s="25"/>
      <c r="B172" s="20">
        <v>39101001000</v>
      </c>
      <c r="C172" s="20">
        <v>10</v>
      </c>
      <c r="D172" s="20" t="s">
        <v>56</v>
      </c>
      <c r="E172" s="20" t="s">
        <v>265</v>
      </c>
      <c r="F172" s="20" t="s">
        <v>8</v>
      </c>
      <c r="G172" s="861">
        <v>74.924907713778296</v>
      </c>
      <c r="H172" s="861">
        <v>55.492362529110501</v>
      </c>
      <c r="I172" s="861">
        <v>22.720228933108</v>
      </c>
      <c r="J172" s="861">
        <v>56.273977121223702</v>
      </c>
      <c r="K172" s="982">
        <v>3</v>
      </c>
      <c r="L172" s="735">
        <v>3078</v>
      </c>
      <c r="M172" s="735">
        <v>3467</v>
      </c>
      <c r="N172" s="845">
        <f t="shared" si="23"/>
        <v>0.12638076673164392</v>
      </c>
      <c r="O172" s="735">
        <v>2.6885490219489849</v>
      </c>
      <c r="P172" s="735">
        <f t="shared" si="24"/>
        <v>1289.5431594126931</v>
      </c>
      <c r="Q172" s="849">
        <v>41.9</v>
      </c>
      <c r="R172" s="71">
        <v>65841</v>
      </c>
      <c r="S172" s="845">
        <v>7.7034883720930231E-2</v>
      </c>
      <c r="T172" s="845">
        <v>6.0000000000000001E-3</v>
      </c>
      <c r="U172" s="845">
        <v>0</v>
      </c>
      <c r="V172" s="845">
        <v>0</v>
      </c>
      <c r="W172" s="845">
        <v>0.4312220089571337</v>
      </c>
      <c r="X172" s="845">
        <v>0.25222551928783382</v>
      </c>
      <c r="Y172" s="845">
        <v>0.90856648399192386</v>
      </c>
      <c r="Z172" s="845">
        <v>2.8843380444188061E-3</v>
      </c>
      <c r="AA172" s="845">
        <v>0</v>
      </c>
      <c r="AB172" s="845">
        <v>1.471012402653591E-2</v>
      </c>
      <c r="AC172" s="845">
        <v>0</v>
      </c>
      <c r="AD172" s="845">
        <v>1.3844822613210269E-2</v>
      </c>
      <c r="AE172" s="845">
        <v>5.9994231323911164E-2</v>
      </c>
      <c r="AF172" s="845">
        <v>3.4612056533025667E-2</v>
      </c>
      <c r="AG172" s="845">
        <v>0.9065474473608307</v>
      </c>
      <c r="AH172" s="20" t="str">
        <f t="shared" si="25"/>
        <v>Yes</v>
      </c>
      <c r="AI172" s="25"/>
      <c r="AJ172" s="37">
        <v>45142</v>
      </c>
      <c r="AK172" s="37" t="s">
        <v>1583</v>
      </c>
      <c r="AL172" s="37">
        <v>39015</v>
      </c>
      <c r="AM172" s="37" t="s">
        <v>14</v>
      </c>
      <c r="AN172" s="37">
        <f t="shared" si="26"/>
        <v>17140</v>
      </c>
      <c r="AO172" s="37" t="str">
        <f t="shared" si="27"/>
        <v>Cincinnati, OH-KY-IN</v>
      </c>
      <c r="AP172" s="20" t="s">
        <v>8</v>
      </c>
      <c r="AQ172" s="25"/>
      <c r="AR172" s="25"/>
      <c r="AS172" s="25"/>
      <c r="AT172" s="25"/>
      <c r="AU172" s="36"/>
      <c r="AV172" s="36"/>
      <c r="AW172" s="36"/>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39">
        <v>44644</v>
      </c>
      <c r="BV172" s="39" t="s">
        <v>1411</v>
      </c>
      <c r="BW172" s="39" t="s">
        <v>2913</v>
      </c>
      <c r="BX172" s="39" t="s">
        <v>269</v>
      </c>
      <c r="BY172" s="71">
        <v>680</v>
      </c>
      <c r="BZ172" s="71">
        <v>770</v>
      </c>
      <c r="CA172" s="71">
        <v>990</v>
      </c>
      <c r="CB172" s="71">
        <v>1250</v>
      </c>
      <c r="CC172" s="71">
        <v>1320</v>
      </c>
      <c r="CD172" s="25"/>
      <c r="CE172" s="200"/>
      <c r="CF172" s="200"/>
      <c r="CG172" s="200"/>
      <c r="CH172" s="200"/>
      <c r="CI172" s="200"/>
      <c r="CJ172" s="200"/>
      <c r="CK172" s="200"/>
      <c r="CL172" s="200"/>
      <c r="CM172" s="200"/>
      <c r="CN172" s="200"/>
      <c r="CO172" s="200"/>
      <c r="CP172" s="200"/>
      <c r="CQ172" s="200"/>
      <c r="CR172" s="200"/>
      <c r="CS172" s="200"/>
      <c r="CT172" s="200"/>
      <c r="CU172" s="200"/>
    </row>
    <row r="173" spans="1:99" s="17" customFormat="1" x14ac:dyDescent="0.2">
      <c r="A173" s="25"/>
      <c r="B173" s="20">
        <v>39049007494</v>
      </c>
      <c r="C173" s="20">
        <v>74.94</v>
      </c>
      <c r="D173" s="20" t="s">
        <v>31</v>
      </c>
      <c r="E173" s="20" t="s">
        <v>2830</v>
      </c>
      <c r="F173" s="20" t="s">
        <v>8</v>
      </c>
      <c r="G173" s="861">
        <v>74.912463277953606</v>
      </c>
      <c r="H173" s="861">
        <v>76.002462852073705</v>
      </c>
      <c r="I173" s="861">
        <v>46.901758183325299</v>
      </c>
      <c r="J173" s="861">
        <v>54.515878886485602</v>
      </c>
      <c r="K173" s="982">
        <v>0</v>
      </c>
      <c r="L173" s="735">
        <v>4119</v>
      </c>
      <c r="M173" s="735">
        <v>4280</v>
      </c>
      <c r="N173" s="845">
        <f t="shared" si="23"/>
        <v>3.9087157076960428E-2</v>
      </c>
      <c r="O173" s="735">
        <v>1.1059734169976556</v>
      </c>
      <c r="P173" s="735">
        <f t="shared" si="24"/>
        <v>3869.8940989185389</v>
      </c>
      <c r="Q173" s="849">
        <v>34.5</v>
      </c>
      <c r="R173" s="71">
        <v>105375</v>
      </c>
      <c r="S173" s="845">
        <v>5.2570093457943924E-2</v>
      </c>
      <c r="T173" s="845">
        <v>0.01</v>
      </c>
      <c r="U173" s="845">
        <v>0</v>
      </c>
      <c r="V173" s="845">
        <v>2.7999999999999997E-2</v>
      </c>
      <c r="W173" s="845">
        <v>0.25049180327868853</v>
      </c>
      <c r="X173" s="845">
        <v>7.8534031413612565E-2</v>
      </c>
      <c r="Y173" s="845">
        <v>0.62009345794392523</v>
      </c>
      <c r="Z173" s="845">
        <v>0.2163551401869159</v>
      </c>
      <c r="AA173" s="845">
        <v>0</v>
      </c>
      <c r="AB173" s="845">
        <v>5.4906542056074766E-2</v>
      </c>
      <c r="AC173" s="845">
        <v>0</v>
      </c>
      <c r="AD173" s="845">
        <v>4.1121495327102804E-2</v>
      </c>
      <c r="AE173" s="845">
        <v>6.7523364485981313E-2</v>
      </c>
      <c r="AF173" s="845">
        <v>5.3738317757009348E-3</v>
      </c>
      <c r="AG173" s="845">
        <v>0.62009345794392523</v>
      </c>
      <c r="AH173" s="20" t="str">
        <f t="shared" si="25"/>
        <v>No</v>
      </c>
      <c r="AI173" s="25"/>
      <c r="AJ173" s="20">
        <v>45144</v>
      </c>
      <c r="AK173" s="20" t="s">
        <v>1584</v>
      </c>
      <c r="AL173" s="20">
        <v>39015</v>
      </c>
      <c r="AM173" s="20" t="s">
        <v>14</v>
      </c>
      <c r="AN173" s="37">
        <f t="shared" si="26"/>
        <v>17140</v>
      </c>
      <c r="AO173" s="37" t="str">
        <f t="shared" si="27"/>
        <v>Cincinnati, OH-KY-IN</v>
      </c>
      <c r="AP173" s="20" t="s">
        <v>8</v>
      </c>
      <c r="AQ173" s="25"/>
      <c r="AR173" s="25"/>
      <c r="AS173" s="25"/>
      <c r="AT173" s="25"/>
      <c r="AU173" s="36"/>
      <c r="AV173" s="36"/>
      <c r="AW173" s="36"/>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39">
        <v>44646</v>
      </c>
      <c r="BV173" s="39" t="s">
        <v>1413</v>
      </c>
      <c r="BW173" s="39" t="s">
        <v>2913</v>
      </c>
      <c r="BX173" s="39" t="s">
        <v>269</v>
      </c>
      <c r="BY173" s="71">
        <v>740</v>
      </c>
      <c r="BZ173" s="71">
        <v>840</v>
      </c>
      <c r="CA173" s="71">
        <v>1080</v>
      </c>
      <c r="CB173" s="71">
        <v>1360</v>
      </c>
      <c r="CC173" s="71">
        <v>1440</v>
      </c>
      <c r="CD173" s="25"/>
      <c r="CE173" s="200"/>
      <c r="CF173" s="200"/>
      <c r="CG173" s="200"/>
      <c r="CH173" s="200"/>
      <c r="CI173" s="200"/>
      <c r="CJ173" s="200"/>
      <c r="CK173" s="200"/>
      <c r="CL173" s="200"/>
      <c r="CM173" s="200"/>
      <c r="CN173" s="200"/>
      <c r="CO173" s="200"/>
      <c r="CP173" s="200"/>
      <c r="CQ173" s="200"/>
      <c r="CR173" s="200"/>
      <c r="CS173" s="200"/>
      <c r="CT173" s="200"/>
      <c r="CU173" s="200"/>
    </row>
    <row r="174" spans="1:99" s="17" customFormat="1" x14ac:dyDescent="0.2">
      <c r="A174" s="25"/>
      <c r="B174" s="20">
        <v>39049007425</v>
      </c>
      <c r="C174" s="20">
        <v>74.25</v>
      </c>
      <c r="D174" s="20" t="s">
        <v>31</v>
      </c>
      <c r="E174" s="20" t="s">
        <v>2830</v>
      </c>
      <c r="F174" s="20" t="s">
        <v>8</v>
      </c>
      <c r="G174" s="861">
        <v>74.909748650942902</v>
      </c>
      <c r="H174" s="861">
        <v>65.012405366072898</v>
      </c>
      <c r="I174" s="861">
        <v>26.3035165863025</v>
      </c>
      <c r="J174" s="861">
        <v>63.018004229515199</v>
      </c>
      <c r="K174" s="982">
        <v>0</v>
      </c>
      <c r="L174" s="735">
        <v>2822</v>
      </c>
      <c r="M174" s="735">
        <v>2410</v>
      </c>
      <c r="N174" s="845">
        <f t="shared" si="23"/>
        <v>-0.14599574769666904</v>
      </c>
      <c r="O174" s="735">
        <v>0.96301832057445247</v>
      </c>
      <c r="P174" s="735">
        <f t="shared" si="24"/>
        <v>2502.5484443145433</v>
      </c>
      <c r="Q174" s="849">
        <v>43.1</v>
      </c>
      <c r="R174" s="71">
        <v>101473</v>
      </c>
      <c r="S174" s="845">
        <v>9.86869970351546E-2</v>
      </c>
      <c r="T174" s="845">
        <v>2.5000000000000001E-2</v>
      </c>
      <c r="U174" s="845">
        <v>0</v>
      </c>
      <c r="V174" s="845">
        <v>0</v>
      </c>
      <c r="W174" s="845">
        <v>0.32564330079858028</v>
      </c>
      <c r="X174" s="845">
        <v>0.43869209809264303</v>
      </c>
      <c r="Y174" s="845">
        <v>0.82282157676348544</v>
      </c>
      <c r="Z174" s="845">
        <v>0.12697095435684647</v>
      </c>
      <c r="AA174" s="845">
        <v>0</v>
      </c>
      <c r="AB174" s="845">
        <v>2.9045643153526972E-3</v>
      </c>
      <c r="AC174" s="845">
        <v>0</v>
      </c>
      <c r="AD174" s="845">
        <v>2.1576763485477178E-2</v>
      </c>
      <c r="AE174" s="845">
        <v>2.5726141078838173E-2</v>
      </c>
      <c r="AF174" s="845">
        <v>2.0746887966804978E-2</v>
      </c>
      <c r="AG174" s="845">
        <v>0.81286307053941909</v>
      </c>
      <c r="AH174" s="20" t="str">
        <f t="shared" si="25"/>
        <v>No</v>
      </c>
      <c r="AI174" s="25"/>
      <c r="AJ174" s="20">
        <v>45148</v>
      </c>
      <c r="AK174" s="20" t="s">
        <v>1587</v>
      </c>
      <c r="AL174" s="20">
        <v>39015</v>
      </c>
      <c r="AM174" s="20" t="s">
        <v>14</v>
      </c>
      <c r="AN174" s="37">
        <f t="shared" si="26"/>
        <v>17140</v>
      </c>
      <c r="AO174" s="37" t="str">
        <f t="shared" si="27"/>
        <v>Cincinnati, OH-KY-IN</v>
      </c>
      <c r="AP174" s="20" t="s">
        <v>8</v>
      </c>
      <c r="AQ174" s="25"/>
      <c r="AR174" s="25"/>
      <c r="AS174" s="25"/>
      <c r="AT174" s="25"/>
      <c r="AU174" s="36"/>
      <c r="AV174" s="36"/>
      <c r="AW174" s="36"/>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39">
        <v>44647</v>
      </c>
      <c r="BV174" s="39" t="s">
        <v>1414</v>
      </c>
      <c r="BW174" s="39" t="s">
        <v>2913</v>
      </c>
      <c r="BX174" s="39" t="s">
        <v>269</v>
      </c>
      <c r="BY174" s="71">
        <v>810</v>
      </c>
      <c r="BZ174" s="71">
        <v>920</v>
      </c>
      <c r="CA174" s="71">
        <v>1180</v>
      </c>
      <c r="CB174" s="71">
        <v>1490</v>
      </c>
      <c r="CC174" s="71">
        <v>1580</v>
      </c>
      <c r="CD174" s="25"/>
      <c r="CE174" s="200"/>
      <c r="CF174" s="200"/>
      <c r="CG174" s="200"/>
      <c r="CH174" s="200"/>
      <c r="CI174" s="200"/>
      <c r="CJ174" s="200"/>
      <c r="CK174" s="200"/>
      <c r="CL174" s="200"/>
      <c r="CM174" s="200"/>
      <c r="CN174" s="200"/>
      <c r="CO174" s="200"/>
      <c r="CP174" s="200"/>
      <c r="CQ174" s="200"/>
      <c r="CR174" s="200"/>
      <c r="CS174" s="200"/>
      <c r="CT174" s="200"/>
      <c r="CU174" s="200"/>
    </row>
    <row r="175" spans="1:99" s="17" customFormat="1" x14ac:dyDescent="0.2">
      <c r="A175" s="25"/>
      <c r="B175" s="20">
        <v>39049009756</v>
      </c>
      <c r="C175" s="20">
        <v>97.56</v>
      </c>
      <c r="D175" s="20" t="s">
        <v>31</v>
      </c>
      <c r="E175" s="20" t="s">
        <v>2830</v>
      </c>
      <c r="F175" s="20" t="s">
        <v>8</v>
      </c>
      <c r="G175" s="861">
        <v>74.888717835076804</v>
      </c>
      <c r="H175" s="861">
        <v>71.784050972507899</v>
      </c>
      <c r="I175" s="861">
        <v>39.544204366372803</v>
      </c>
      <c r="J175" s="861">
        <v>43.044191109371901</v>
      </c>
      <c r="K175" s="982">
        <v>0</v>
      </c>
      <c r="L175" s="735" t="s">
        <v>2466</v>
      </c>
      <c r="M175" s="735">
        <v>2645</v>
      </c>
      <c r="N175" s="845" t="str">
        <f t="shared" si="23"/>
        <v/>
      </c>
      <c r="O175" s="735">
        <v>1.3346285207463753</v>
      </c>
      <c r="P175" s="735">
        <f t="shared" si="24"/>
        <v>1981.8248740262309</v>
      </c>
      <c r="Q175" s="849">
        <v>29.7</v>
      </c>
      <c r="R175" s="71">
        <v>70636</v>
      </c>
      <c r="S175" s="845">
        <v>0.16294896030245748</v>
      </c>
      <c r="T175" s="845">
        <v>2.7999999999999997E-2</v>
      </c>
      <c r="U175" s="845">
        <v>0.11800000000000001</v>
      </c>
      <c r="V175" s="845">
        <v>0</v>
      </c>
      <c r="W175" s="845">
        <v>0.61210571184995732</v>
      </c>
      <c r="X175" s="845">
        <v>0.36211699164345401</v>
      </c>
      <c r="Y175" s="845">
        <v>0.73345935727788281</v>
      </c>
      <c r="Z175" s="845">
        <v>0.10472589792060491</v>
      </c>
      <c r="AA175" s="845">
        <v>0</v>
      </c>
      <c r="AB175" s="845">
        <v>0</v>
      </c>
      <c r="AC175" s="845">
        <v>0</v>
      </c>
      <c r="AD175" s="845">
        <v>0.10775047258979206</v>
      </c>
      <c r="AE175" s="845">
        <v>5.4064272211720228E-2</v>
      </c>
      <c r="AF175" s="845">
        <v>0.14896030245746691</v>
      </c>
      <c r="AG175" s="845">
        <v>0.73345935727788281</v>
      </c>
      <c r="AH175" s="20" t="str">
        <f t="shared" si="25"/>
        <v>No</v>
      </c>
      <c r="AI175" s="25"/>
      <c r="AJ175" s="20">
        <v>45154</v>
      </c>
      <c r="AK175" s="20" t="s">
        <v>1591</v>
      </c>
      <c r="AL175" s="20">
        <v>39015</v>
      </c>
      <c r="AM175" s="20" t="s">
        <v>14</v>
      </c>
      <c r="AN175" s="37">
        <f t="shared" si="26"/>
        <v>17140</v>
      </c>
      <c r="AO175" s="37" t="str">
        <f t="shared" si="27"/>
        <v>Cincinnati, OH-KY-IN</v>
      </c>
      <c r="AP175" s="20" t="s">
        <v>8</v>
      </c>
      <c r="AQ175" s="25"/>
      <c r="AR175" s="25"/>
      <c r="AS175" s="25"/>
      <c r="AT175" s="25"/>
      <c r="AU175" s="36"/>
      <c r="AV175" s="36"/>
      <c r="AW175" s="36"/>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39">
        <v>44651</v>
      </c>
      <c r="BV175" s="39" t="s">
        <v>1415</v>
      </c>
      <c r="BW175" s="39" t="s">
        <v>2913</v>
      </c>
      <c r="BX175" s="39" t="s">
        <v>269</v>
      </c>
      <c r="BY175" s="71">
        <v>730</v>
      </c>
      <c r="BZ175" s="71">
        <v>810</v>
      </c>
      <c r="CA175" s="71">
        <v>1030</v>
      </c>
      <c r="CB175" s="71">
        <v>1300</v>
      </c>
      <c r="CC175" s="71">
        <v>1390</v>
      </c>
      <c r="CD175" s="25"/>
      <c r="CE175" s="200"/>
      <c r="CF175" s="200"/>
      <c r="CG175" s="200"/>
      <c r="CH175" s="200"/>
      <c r="CI175" s="200"/>
      <c r="CJ175" s="200"/>
      <c r="CK175" s="200"/>
      <c r="CL175" s="200"/>
      <c r="CM175" s="200"/>
      <c r="CN175" s="200"/>
      <c r="CO175" s="200"/>
      <c r="CP175" s="200"/>
      <c r="CQ175" s="200"/>
      <c r="CR175" s="200"/>
      <c r="CS175" s="200"/>
      <c r="CT175" s="200"/>
      <c r="CU175" s="200"/>
    </row>
    <row r="176" spans="1:99" s="17" customFormat="1" x14ac:dyDescent="0.2">
      <c r="A176" s="25"/>
      <c r="B176" s="20">
        <v>39049009751</v>
      </c>
      <c r="C176" s="20">
        <v>97.51</v>
      </c>
      <c r="D176" s="20" t="s">
        <v>31</v>
      </c>
      <c r="E176" s="20" t="s">
        <v>2830</v>
      </c>
      <c r="F176" s="20" t="s">
        <v>8</v>
      </c>
      <c r="G176" s="861">
        <v>74.862454892846998</v>
      </c>
      <c r="H176" s="861">
        <v>67.956350283992194</v>
      </c>
      <c r="I176" s="861">
        <v>27.106424955963401</v>
      </c>
      <c r="J176" s="861">
        <v>69.686225945469303</v>
      </c>
      <c r="K176" s="982">
        <v>0</v>
      </c>
      <c r="L176" s="735">
        <v>5619</v>
      </c>
      <c r="M176" s="735">
        <v>6359</v>
      </c>
      <c r="N176" s="845">
        <f t="shared" si="23"/>
        <v>0.13169603132229935</v>
      </c>
      <c r="O176" s="735">
        <v>10.497353595959172</v>
      </c>
      <c r="P176" s="735">
        <f t="shared" si="24"/>
        <v>605.77172540399317</v>
      </c>
      <c r="Q176" s="849">
        <v>45.8</v>
      </c>
      <c r="R176" s="71">
        <v>127368</v>
      </c>
      <c r="S176" s="845">
        <v>1.8536121673003801E-2</v>
      </c>
      <c r="T176" s="845">
        <v>8.0000000000000002E-3</v>
      </c>
      <c r="U176" s="845">
        <v>0</v>
      </c>
      <c r="V176" s="845">
        <v>9.8000000000000004E-2</v>
      </c>
      <c r="W176" s="845">
        <v>0.16732909379968203</v>
      </c>
      <c r="X176" s="845">
        <v>0.64845605700712594</v>
      </c>
      <c r="Y176" s="845">
        <v>0.8949520364837239</v>
      </c>
      <c r="Z176" s="845">
        <v>4.8749803428211986E-3</v>
      </c>
      <c r="AA176" s="845">
        <v>0</v>
      </c>
      <c r="AB176" s="845">
        <v>1.4624941028463595E-2</v>
      </c>
      <c r="AC176" s="845">
        <v>0</v>
      </c>
      <c r="AD176" s="845">
        <v>1.3524139015568485E-2</v>
      </c>
      <c r="AE176" s="845">
        <v>7.2023903129422862E-2</v>
      </c>
      <c r="AF176" s="845">
        <v>1.383865387639566E-2</v>
      </c>
      <c r="AG176" s="845">
        <v>0.89479477905331029</v>
      </c>
      <c r="AH176" s="20" t="str">
        <f t="shared" si="25"/>
        <v>No</v>
      </c>
      <c r="AI176" s="25"/>
      <c r="AJ176" s="37">
        <v>45167</v>
      </c>
      <c r="AK176" s="37" t="s">
        <v>1601</v>
      </c>
      <c r="AL176" s="37">
        <v>39015</v>
      </c>
      <c r="AM176" s="37" t="s">
        <v>14</v>
      </c>
      <c r="AN176" s="37">
        <f t="shared" si="26"/>
        <v>17140</v>
      </c>
      <c r="AO176" s="37" t="str">
        <f t="shared" si="27"/>
        <v>Cincinnati, OH-KY-IN</v>
      </c>
      <c r="AP176" s="20" t="s">
        <v>8</v>
      </c>
      <c r="AQ176" s="25"/>
      <c r="AR176" s="25"/>
      <c r="AS176" s="25"/>
      <c r="AT176" s="25"/>
      <c r="AU176" s="36"/>
      <c r="AV176" s="36"/>
      <c r="AW176" s="36"/>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39">
        <v>44652</v>
      </c>
      <c r="BV176" s="39" t="s">
        <v>1416</v>
      </c>
      <c r="BW176" s="39" t="s">
        <v>2913</v>
      </c>
      <c r="BX176" s="39" t="s">
        <v>269</v>
      </c>
      <c r="BY176" s="71">
        <v>720</v>
      </c>
      <c r="BZ176" s="71">
        <v>810</v>
      </c>
      <c r="CA176" s="71">
        <v>1040</v>
      </c>
      <c r="CB176" s="71">
        <v>1310</v>
      </c>
      <c r="CC176" s="71">
        <v>1390</v>
      </c>
      <c r="CD176" s="25"/>
      <c r="CE176" s="200"/>
      <c r="CF176" s="200"/>
      <c r="CG176" s="200"/>
      <c r="CH176" s="200"/>
      <c r="CI176" s="200"/>
      <c r="CJ176" s="200"/>
      <c r="CK176" s="200"/>
      <c r="CL176" s="200"/>
      <c r="CM176" s="200"/>
      <c r="CN176" s="200"/>
      <c r="CO176" s="200"/>
      <c r="CP176" s="200"/>
      <c r="CQ176" s="200"/>
      <c r="CR176" s="200"/>
      <c r="CS176" s="200"/>
      <c r="CT176" s="200"/>
      <c r="CU176" s="200"/>
    </row>
    <row r="177" spans="1:99" s="17" customFormat="1" x14ac:dyDescent="0.2">
      <c r="A177" s="25"/>
      <c r="B177" s="20">
        <v>39153532502</v>
      </c>
      <c r="C177" s="20">
        <v>5325.02</v>
      </c>
      <c r="D177" s="20" t="s">
        <v>82</v>
      </c>
      <c r="E177" s="20" t="s">
        <v>2843</v>
      </c>
      <c r="F177" s="20" t="s">
        <v>8</v>
      </c>
      <c r="G177" s="861">
        <v>74.854143630524504</v>
      </c>
      <c r="H177" s="861">
        <v>69.278685351706997</v>
      </c>
      <c r="I177" s="861">
        <v>32.827770833117903</v>
      </c>
      <c r="J177" s="861">
        <v>43.875949547003898</v>
      </c>
      <c r="K177" s="982">
        <v>0</v>
      </c>
      <c r="L177" s="735">
        <v>2973</v>
      </c>
      <c r="M177" s="735">
        <v>3295</v>
      </c>
      <c r="N177" s="845">
        <f t="shared" si="23"/>
        <v>0.10830810628994282</v>
      </c>
      <c r="O177" s="735">
        <v>13.096667073116409</v>
      </c>
      <c r="P177" s="735">
        <f t="shared" si="24"/>
        <v>251.59072774810488</v>
      </c>
      <c r="Q177" s="849">
        <v>55.8</v>
      </c>
      <c r="R177" s="71">
        <v>79766</v>
      </c>
      <c r="S177" s="845">
        <v>4.708040354631611E-2</v>
      </c>
      <c r="T177" s="845">
        <v>6.0000000000000001E-3</v>
      </c>
      <c r="U177" s="845">
        <v>0</v>
      </c>
      <c r="V177" s="845">
        <v>0.16500000000000001</v>
      </c>
      <c r="W177" s="845">
        <v>7.5668623613829089E-2</v>
      </c>
      <c r="X177" s="845">
        <v>0.25862068965517243</v>
      </c>
      <c r="Y177" s="845">
        <v>0.89135053110773899</v>
      </c>
      <c r="Z177" s="845">
        <v>2.9438543247344462E-2</v>
      </c>
      <c r="AA177" s="845">
        <v>3.0349013657056146E-4</v>
      </c>
      <c r="AB177" s="845">
        <v>3.9453717754172985E-3</v>
      </c>
      <c r="AC177" s="845">
        <v>0</v>
      </c>
      <c r="AD177" s="845">
        <v>0</v>
      </c>
      <c r="AE177" s="845">
        <v>7.4962063732928685E-2</v>
      </c>
      <c r="AF177" s="845">
        <v>5.766312594840668E-3</v>
      </c>
      <c r="AG177" s="845">
        <v>0.88558421851289837</v>
      </c>
      <c r="AH177" s="20" t="str">
        <f t="shared" si="25"/>
        <v>No</v>
      </c>
      <c r="AI177" s="25"/>
      <c r="AJ177" s="37">
        <v>45168</v>
      </c>
      <c r="AK177" s="37" t="s">
        <v>1602</v>
      </c>
      <c r="AL177" s="37">
        <v>39015</v>
      </c>
      <c r="AM177" s="37" t="s">
        <v>14</v>
      </c>
      <c r="AN177" s="37">
        <f t="shared" si="26"/>
        <v>17140</v>
      </c>
      <c r="AO177" s="37" t="str">
        <f t="shared" si="27"/>
        <v>Cincinnati, OH-KY-IN</v>
      </c>
      <c r="AP177" s="20" t="s">
        <v>8</v>
      </c>
      <c r="AQ177" s="25"/>
      <c r="AR177" s="25"/>
      <c r="AS177" s="25"/>
      <c r="AT177" s="25"/>
      <c r="AU177" s="36"/>
      <c r="AV177" s="36"/>
      <c r="AW177" s="36"/>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39">
        <v>44656</v>
      </c>
      <c r="BV177" s="39" t="s">
        <v>1419</v>
      </c>
      <c r="BW177" s="39" t="s">
        <v>2913</v>
      </c>
      <c r="BX177" s="39" t="s">
        <v>269</v>
      </c>
      <c r="BY177" s="71">
        <v>740</v>
      </c>
      <c r="BZ177" s="71">
        <v>740</v>
      </c>
      <c r="CA177" s="71">
        <v>970</v>
      </c>
      <c r="CB177" s="71">
        <v>1250</v>
      </c>
      <c r="CC177" s="71">
        <v>1410</v>
      </c>
      <c r="CD177" s="25"/>
      <c r="CE177" s="200"/>
      <c r="CF177" s="200"/>
      <c r="CG177" s="200"/>
      <c r="CH177" s="200"/>
      <c r="CI177" s="200"/>
      <c r="CJ177" s="200"/>
      <c r="CK177" s="200"/>
      <c r="CL177" s="200"/>
      <c r="CM177" s="200"/>
      <c r="CN177" s="200"/>
      <c r="CO177" s="200"/>
      <c r="CP177" s="200"/>
      <c r="CQ177" s="200"/>
      <c r="CR177" s="200"/>
      <c r="CS177" s="200"/>
      <c r="CT177" s="200"/>
      <c r="CU177" s="200"/>
    </row>
    <row r="178" spans="1:99" s="17" customFormat="1" x14ac:dyDescent="0.2">
      <c r="A178" s="25"/>
      <c r="B178" s="20">
        <v>39049007020</v>
      </c>
      <c r="C178" s="20">
        <v>70.2</v>
      </c>
      <c r="D178" s="20" t="s">
        <v>31</v>
      </c>
      <c r="E178" s="20" t="s">
        <v>2830</v>
      </c>
      <c r="F178" s="20" t="s">
        <v>8</v>
      </c>
      <c r="G178" s="861">
        <v>74.853790680906698</v>
      </c>
      <c r="H178" s="861">
        <v>72.796922017028606</v>
      </c>
      <c r="I178" s="861">
        <v>28.5735191444763</v>
      </c>
      <c r="J178" s="861">
        <v>47.845597584716799</v>
      </c>
      <c r="K178" s="982">
        <v>0</v>
      </c>
      <c r="L178" s="735">
        <v>6201</v>
      </c>
      <c r="M178" s="735">
        <v>6518</v>
      </c>
      <c r="N178" s="845">
        <f t="shared" si="23"/>
        <v>5.1120786969843575E-2</v>
      </c>
      <c r="O178" s="735">
        <v>1.7112858483354196</v>
      </c>
      <c r="P178" s="735">
        <f t="shared" si="24"/>
        <v>3808.8318245254623</v>
      </c>
      <c r="Q178" s="849">
        <v>37</v>
      </c>
      <c r="R178" s="71">
        <v>88276</v>
      </c>
      <c r="S178" s="845">
        <v>2.8664394174155561E-2</v>
      </c>
      <c r="T178" s="845">
        <v>8.0000000000000002E-3</v>
      </c>
      <c r="U178" s="845">
        <v>0</v>
      </c>
      <c r="V178" s="845">
        <v>0</v>
      </c>
      <c r="W178" s="845">
        <v>0.23944687045123728</v>
      </c>
      <c r="X178" s="845">
        <v>0.50455927051671734</v>
      </c>
      <c r="Y178" s="845">
        <v>0.86299478367597426</v>
      </c>
      <c r="Z178" s="845">
        <v>2.2399509051856399E-2</v>
      </c>
      <c r="AA178" s="845">
        <v>0</v>
      </c>
      <c r="AB178" s="845">
        <v>2.1632402577477755E-2</v>
      </c>
      <c r="AC178" s="845">
        <v>0</v>
      </c>
      <c r="AD178" s="845">
        <v>0</v>
      </c>
      <c r="AE178" s="845">
        <v>9.2973304694691616E-2</v>
      </c>
      <c r="AF178" s="845">
        <v>8.8984351027922674E-3</v>
      </c>
      <c r="AG178" s="845">
        <v>0.85609082540656645</v>
      </c>
      <c r="AH178" s="20" t="str">
        <f t="shared" si="25"/>
        <v>No</v>
      </c>
      <c r="AI178" s="25"/>
      <c r="AJ178" s="37">
        <v>45171</v>
      </c>
      <c r="AK178" s="37" t="s">
        <v>1604</v>
      </c>
      <c r="AL178" s="37">
        <v>39015</v>
      </c>
      <c r="AM178" s="37" t="s">
        <v>14</v>
      </c>
      <c r="AN178" s="37">
        <f t="shared" si="26"/>
        <v>17140</v>
      </c>
      <c r="AO178" s="37" t="str">
        <f t="shared" si="27"/>
        <v>Cincinnati, OH-KY-IN</v>
      </c>
      <c r="AP178" s="20" t="s">
        <v>8</v>
      </c>
      <c r="AQ178" s="25"/>
      <c r="AR178" s="25"/>
      <c r="AS178" s="25"/>
      <c r="AT178" s="25"/>
      <c r="AU178" s="36"/>
      <c r="AV178" s="36"/>
      <c r="AW178" s="36"/>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39">
        <v>44657</v>
      </c>
      <c r="BV178" s="39" t="s">
        <v>1420</v>
      </c>
      <c r="BW178" s="39" t="s">
        <v>2913</v>
      </c>
      <c r="BX178" s="39" t="s">
        <v>269</v>
      </c>
      <c r="BY178" s="71">
        <v>710</v>
      </c>
      <c r="BZ178" s="71">
        <v>800</v>
      </c>
      <c r="CA178" s="71">
        <v>1020</v>
      </c>
      <c r="CB178" s="71">
        <v>1290</v>
      </c>
      <c r="CC178" s="71">
        <v>1370</v>
      </c>
      <c r="CD178" s="25"/>
      <c r="CE178" s="200"/>
      <c r="CF178" s="200"/>
      <c r="CG178" s="200"/>
      <c r="CH178" s="200"/>
      <c r="CI178" s="200"/>
      <c r="CJ178" s="200"/>
      <c r="CK178" s="200"/>
      <c r="CL178" s="200"/>
      <c r="CM178" s="200"/>
      <c r="CN178" s="200"/>
      <c r="CO178" s="200"/>
      <c r="CP178" s="200"/>
      <c r="CQ178" s="200"/>
      <c r="CR178" s="200"/>
      <c r="CS178" s="200"/>
      <c r="CT178" s="200"/>
      <c r="CU178" s="200"/>
    </row>
    <row r="179" spans="1:99" s="17" customFormat="1" x14ac:dyDescent="0.2">
      <c r="A179" s="25"/>
      <c r="B179" s="20">
        <v>39049001820</v>
      </c>
      <c r="C179" s="20">
        <v>18.2</v>
      </c>
      <c r="D179" s="20" t="s">
        <v>31</v>
      </c>
      <c r="E179" s="20" t="s">
        <v>2830</v>
      </c>
      <c r="F179" s="20" t="s">
        <v>8</v>
      </c>
      <c r="G179" s="861">
        <v>74.835474451992894</v>
      </c>
      <c r="H179" s="861">
        <v>97.380951838828096</v>
      </c>
      <c r="I179" s="861">
        <v>41.433656652780599</v>
      </c>
      <c r="J179" s="861">
        <v>51.348175334684498</v>
      </c>
      <c r="K179" s="982">
        <v>0</v>
      </c>
      <c r="L179" s="735">
        <v>2663</v>
      </c>
      <c r="M179" s="735">
        <v>2236</v>
      </c>
      <c r="N179" s="845">
        <f t="shared" si="23"/>
        <v>-0.16034547502816374</v>
      </c>
      <c r="O179" s="735">
        <v>0.33898881489459814</v>
      </c>
      <c r="P179" s="735">
        <f t="shared" si="24"/>
        <v>6596.0878405242956</v>
      </c>
      <c r="Q179" s="849">
        <v>29.5</v>
      </c>
      <c r="R179" s="71">
        <v>63198</v>
      </c>
      <c r="S179" s="845">
        <v>0.14049217002237135</v>
      </c>
      <c r="T179" s="845">
        <v>3.7999999999999999E-2</v>
      </c>
      <c r="U179" s="845">
        <v>0</v>
      </c>
      <c r="V179" s="845">
        <v>5.9000000000000004E-2</v>
      </c>
      <c r="W179" s="845">
        <v>0.7578125</v>
      </c>
      <c r="X179" s="845">
        <v>0.42164948453608248</v>
      </c>
      <c r="Y179" s="845">
        <v>0.83184257602862255</v>
      </c>
      <c r="Z179" s="845">
        <v>4.1592128801431129E-2</v>
      </c>
      <c r="AA179" s="845">
        <v>1.7889087656529517E-3</v>
      </c>
      <c r="AB179" s="845">
        <v>2.7728085867620753E-2</v>
      </c>
      <c r="AC179" s="845">
        <v>0</v>
      </c>
      <c r="AD179" s="845">
        <v>8.4973166368515207E-3</v>
      </c>
      <c r="AE179" s="845">
        <v>8.8550983899821106E-2</v>
      </c>
      <c r="AF179" s="845">
        <v>8.5420393559928448E-2</v>
      </c>
      <c r="AG179" s="845">
        <v>0.78398926654740608</v>
      </c>
      <c r="AH179" s="20" t="str">
        <f t="shared" si="25"/>
        <v>No</v>
      </c>
      <c r="AI179" s="25"/>
      <c r="AJ179" s="20">
        <v>45176</v>
      </c>
      <c r="AK179" s="20" t="s">
        <v>1607</v>
      </c>
      <c r="AL179" s="20">
        <v>39015</v>
      </c>
      <c r="AM179" s="20" t="s">
        <v>14</v>
      </c>
      <c r="AN179" s="37">
        <f t="shared" si="26"/>
        <v>17140</v>
      </c>
      <c r="AO179" s="37" t="str">
        <f t="shared" si="27"/>
        <v>Cincinnati, OH-KY-IN</v>
      </c>
      <c r="AP179" s="20" t="s">
        <v>8</v>
      </c>
      <c r="AQ179" s="25"/>
      <c r="AR179" s="25"/>
      <c r="AS179" s="25"/>
      <c r="AT179" s="25"/>
      <c r="AU179" s="36"/>
      <c r="AV179" s="36"/>
      <c r="AW179" s="36"/>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39">
        <v>44662</v>
      </c>
      <c r="BV179" s="39" t="s">
        <v>1424</v>
      </c>
      <c r="BW179" s="39" t="s">
        <v>2913</v>
      </c>
      <c r="BX179" s="39" t="s">
        <v>269</v>
      </c>
      <c r="BY179" s="71">
        <v>700</v>
      </c>
      <c r="BZ179" s="71">
        <v>790</v>
      </c>
      <c r="CA179" s="71">
        <v>1020</v>
      </c>
      <c r="CB179" s="71">
        <v>1280</v>
      </c>
      <c r="CC179" s="71">
        <v>1370</v>
      </c>
      <c r="CD179" s="25"/>
      <c r="CE179" s="200"/>
      <c r="CF179" s="200"/>
      <c r="CG179" s="200"/>
      <c r="CH179" s="200"/>
      <c r="CI179" s="200"/>
      <c r="CJ179" s="200"/>
      <c r="CK179" s="200"/>
      <c r="CL179" s="200"/>
      <c r="CM179" s="200"/>
      <c r="CN179" s="200"/>
      <c r="CO179" s="200"/>
      <c r="CP179" s="200"/>
      <c r="CQ179" s="200"/>
      <c r="CR179" s="200"/>
      <c r="CS179" s="200"/>
      <c r="CT179" s="200"/>
      <c r="CU179" s="200"/>
    </row>
    <row r="180" spans="1:99" s="17" customFormat="1" x14ac:dyDescent="0.2">
      <c r="A180" s="25"/>
      <c r="B180" s="20">
        <v>39035141700</v>
      </c>
      <c r="C180" s="20">
        <v>1417</v>
      </c>
      <c r="D180" s="20" t="s">
        <v>24</v>
      </c>
      <c r="E180" s="20" t="s">
        <v>2829</v>
      </c>
      <c r="F180" s="20" t="s">
        <v>8</v>
      </c>
      <c r="G180" s="861">
        <v>74.806499539214201</v>
      </c>
      <c r="H180" s="861">
        <v>77.850153982415094</v>
      </c>
      <c r="I180" s="861">
        <v>19.328385901698301</v>
      </c>
      <c r="J180" s="861">
        <v>54.183706607962698</v>
      </c>
      <c r="K180" s="982">
        <v>0</v>
      </c>
      <c r="L180" s="735">
        <v>1479</v>
      </c>
      <c r="M180" s="735">
        <v>1430</v>
      </c>
      <c r="N180" s="845">
        <f t="shared" si="23"/>
        <v>-3.3130493576741041E-2</v>
      </c>
      <c r="O180" s="735">
        <v>0.30141991655706868</v>
      </c>
      <c r="P180" s="735">
        <f t="shared" si="24"/>
        <v>4744.2120492036365</v>
      </c>
      <c r="Q180" s="849">
        <v>42</v>
      </c>
      <c r="R180" s="71">
        <v>110972</v>
      </c>
      <c r="S180" s="845">
        <v>2.7272727272727271E-2</v>
      </c>
      <c r="T180" s="845">
        <v>2.3E-2</v>
      </c>
      <c r="U180" s="845">
        <v>0</v>
      </c>
      <c r="V180" s="845">
        <v>0</v>
      </c>
      <c r="W180" s="845">
        <v>7.9812206572769953E-2</v>
      </c>
      <c r="X180" s="845">
        <v>0.27450980392156865</v>
      </c>
      <c r="Y180" s="845">
        <v>0.85034965034965038</v>
      </c>
      <c r="Z180" s="845">
        <v>5.1048951048951047E-2</v>
      </c>
      <c r="AA180" s="845">
        <v>0</v>
      </c>
      <c r="AB180" s="845">
        <v>2.1678321678321677E-2</v>
      </c>
      <c r="AC180" s="845">
        <v>0</v>
      </c>
      <c r="AD180" s="845">
        <v>6.2937062937062941E-3</v>
      </c>
      <c r="AE180" s="845">
        <v>7.0629370629370636E-2</v>
      </c>
      <c r="AF180" s="845">
        <v>6.2937062937062943E-2</v>
      </c>
      <c r="AG180" s="845">
        <v>0.82937062937062933</v>
      </c>
      <c r="AH180" s="20" t="str">
        <f t="shared" si="25"/>
        <v>No</v>
      </c>
      <c r="AI180" s="25"/>
      <c r="AJ180" s="37">
        <v>45697</v>
      </c>
      <c r="AK180" s="37" t="s">
        <v>1829</v>
      </c>
      <c r="AL180" s="37">
        <v>39015</v>
      </c>
      <c r="AM180" s="37" t="s">
        <v>14</v>
      </c>
      <c r="AN180" s="37">
        <f t="shared" si="26"/>
        <v>17140</v>
      </c>
      <c r="AO180" s="37" t="str">
        <f t="shared" si="27"/>
        <v>Cincinnati, OH-KY-IN</v>
      </c>
      <c r="AP180" s="20" t="s">
        <v>8</v>
      </c>
      <c r="AQ180" s="25"/>
      <c r="AR180" s="25"/>
      <c r="AS180" s="25"/>
      <c r="AT180" s="25"/>
      <c r="AU180" s="36"/>
      <c r="AV180" s="36"/>
      <c r="AW180" s="36"/>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39">
        <v>44666</v>
      </c>
      <c r="BV180" s="39" t="s">
        <v>1427</v>
      </c>
      <c r="BW180" s="39" t="s">
        <v>2913</v>
      </c>
      <c r="BX180" s="39" t="s">
        <v>269</v>
      </c>
      <c r="BY180" s="71">
        <v>730</v>
      </c>
      <c r="BZ180" s="71">
        <v>820</v>
      </c>
      <c r="CA180" s="71">
        <v>1050</v>
      </c>
      <c r="CB180" s="71">
        <v>1320</v>
      </c>
      <c r="CC180" s="71">
        <v>1430</v>
      </c>
      <c r="CD180" s="25"/>
      <c r="CE180" s="200"/>
      <c r="CF180" s="200"/>
      <c r="CG180" s="200"/>
      <c r="CH180" s="200"/>
      <c r="CI180" s="200"/>
      <c r="CJ180" s="200"/>
      <c r="CK180" s="200"/>
      <c r="CL180" s="200"/>
      <c r="CM180" s="200"/>
      <c r="CN180" s="200"/>
      <c r="CO180" s="200"/>
      <c r="CP180" s="200"/>
      <c r="CQ180" s="200"/>
      <c r="CR180" s="200"/>
      <c r="CS180" s="200"/>
      <c r="CT180" s="200"/>
      <c r="CU180" s="200"/>
    </row>
    <row r="181" spans="1:99" s="17" customFormat="1" x14ac:dyDescent="0.2">
      <c r="A181" s="25"/>
      <c r="B181" s="20">
        <v>39041011540</v>
      </c>
      <c r="C181" s="20">
        <v>115.4</v>
      </c>
      <c r="D181" s="20" t="s">
        <v>27</v>
      </c>
      <c r="E181" s="20" t="s">
        <v>2830</v>
      </c>
      <c r="F181" s="20" t="s">
        <v>8</v>
      </c>
      <c r="G181" s="861">
        <v>74.7459831185637</v>
      </c>
      <c r="H181" s="861">
        <v>60.951338277476403</v>
      </c>
      <c r="I181" s="861">
        <v>21.162509480177601</v>
      </c>
      <c r="J181" s="861">
        <v>46.827767162803902</v>
      </c>
      <c r="K181" s="982">
        <v>0</v>
      </c>
      <c r="L181" s="735">
        <v>5685</v>
      </c>
      <c r="M181" s="735">
        <v>6707</v>
      </c>
      <c r="N181" s="845">
        <f t="shared" si="23"/>
        <v>0.17977132805628848</v>
      </c>
      <c r="O181" s="735">
        <v>3.7732250438786767</v>
      </c>
      <c r="P181" s="735">
        <f t="shared" si="24"/>
        <v>1777.5245107314238</v>
      </c>
      <c r="Q181" s="849">
        <v>40.4</v>
      </c>
      <c r="R181" s="71">
        <v>171953</v>
      </c>
      <c r="S181" s="845">
        <v>4.1373107480137908E-2</v>
      </c>
      <c r="T181" s="845">
        <v>5.9000000000000004E-2</v>
      </c>
      <c r="U181" s="845">
        <v>0</v>
      </c>
      <c r="V181" s="845">
        <v>0.63500000000000001</v>
      </c>
      <c r="W181" s="845">
        <v>1.17442366246194E-2</v>
      </c>
      <c r="X181" s="845">
        <v>0</v>
      </c>
      <c r="Y181" s="845">
        <v>0.74444610108841514</v>
      </c>
      <c r="Z181" s="845">
        <v>0.11331444759206799</v>
      </c>
      <c r="AA181" s="845">
        <v>0</v>
      </c>
      <c r="AB181" s="845">
        <v>0.13403906366482779</v>
      </c>
      <c r="AC181" s="845">
        <v>0</v>
      </c>
      <c r="AD181" s="845">
        <v>0</v>
      </c>
      <c r="AE181" s="845">
        <v>8.200387654689131E-3</v>
      </c>
      <c r="AF181" s="845">
        <v>1.0735052929774861E-2</v>
      </c>
      <c r="AG181" s="845">
        <v>0.74206053377068737</v>
      </c>
      <c r="AH181" s="20" t="str">
        <f t="shared" si="25"/>
        <v>No</v>
      </c>
      <c r="AI181" s="25"/>
      <c r="AJ181" s="20">
        <v>45003</v>
      </c>
      <c r="AK181" s="20" t="s">
        <v>1530</v>
      </c>
      <c r="AL181" s="20">
        <v>39017</v>
      </c>
      <c r="AM181" s="20" t="s">
        <v>15</v>
      </c>
      <c r="AN181" s="37">
        <f t="shared" si="26"/>
        <v>17140</v>
      </c>
      <c r="AO181" s="37" t="str">
        <f t="shared" si="27"/>
        <v>Cincinnati, OH-KY-IN</v>
      </c>
      <c r="AP181" s="20" t="s">
        <v>8</v>
      </c>
      <c r="AQ181" s="25"/>
      <c r="AR181" s="25"/>
      <c r="AS181" s="25"/>
      <c r="AT181" s="25"/>
      <c r="AU181" s="36"/>
      <c r="AV181" s="36"/>
      <c r="AW181" s="36"/>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39">
        <v>44669</v>
      </c>
      <c r="BV181" s="39" t="s">
        <v>1429</v>
      </c>
      <c r="BW181" s="39" t="s">
        <v>2913</v>
      </c>
      <c r="BX181" s="39" t="s">
        <v>269</v>
      </c>
      <c r="BY181" s="71">
        <v>700</v>
      </c>
      <c r="BZ181" s="71">
        <v>790</v>
      </c>
      <c r="CA181" s="71">
        <v>1010</v>
      </c>
      <c r="CB181" s="71">
        <v>1270</v>
      </c>
      <c r="CC181" s="71">
        <v>1350</v>
      </c>
      <c r="CD181" s="25"/>
      <c r="CE181" s="200"/>
      <c r="CF181" s="200"/>
      <c r="CG181" s="200"/>
      <c r="CH181" s="200"/>
      <c r="CI181" s="200"/>
      <c r="CJ181" s="200"/>
      <c r="CK181" s="200"/>
      <c r="CL181" s="200"/>
      <c r="CM181" s="200"/>
      <c r="CN181" s="200"/>
      <c r="CO181" s="200"/>
      <c r="CP181" s="200"/>
      <c r="CQ181" s="200"/>
      <c r="CR181" s="200"/>
      <c r="CS181" s="200"/>
      <c r="CT181" s="200"/>
      <c r="CU181" s="200"/>
    </row>
    <row r="182" spans="1:99" s="17" customFormat="1" x14ac:dyDescent="0.2">
      <c r="A182" s="25"/>
      <c r="B182" s="20">
        <v>39085201300</v>
      </c>
      <c r="C182" s="20">
        <v>2013</v>
      </c>
      <c r="D182" s="20" t="s">
        <v>48</v>
      </c>
      <c r="E182" s="20" t="s">
        <v>2829</v>
      </c>
      <c r="F182" s="20" t="s">
        <v>8</v>
      </c>
      <c r="G182" s="861">
        <v>74.744951495496196</v>
      </c>
      <c r="H182" s="861">
        <v>56.0481055979362</v>
      </c>
      <c r="I182" s="861">
        <v>39.673179105597697</v>
      </c>
      <c r="J182" s="861">
        <v>50.4158269121722</v>
      </c>
      <c r="K182" s="982">
        <v>0</v>
      </c>
      <c r="L182" s="735">
        <v>3765</v>
      </c>
      <c r="M182" s="735">
        <v>3666</v>
      </c>
      <c r="N182" s="845">
        <f t="shared" si="23"/>
        <v>-2.6294820717131476E-2</v>
      </c>
      <c r="O182" s="735">
        <v>1.3539382619019051</v>
      </c>
      <c r="P182" s="735">
        <f t="shared" si="24"/>
        <v>2707.656695402266</v>
      </c>
      <c r="Q182" s="849">
        <v>57</v>
      </c>
      <c r="R182" s="71">
        <v>69048</v>
      </c>
      <c r="S182" s="845">
        <v>0.10358565737051793</v>
      </c>
      <c r="T182" s="845">
        <v>3.7000000000000005E-2</v>
      </c>
      <c r="U182" s="845">
        <v>1.4999999999999999E-2</v>
      </c>
      <c r="V182" s="845">
        <v>0.06</v>
      </c>
      <c r="W182" s="845">
        <v>0.41422805247225025</v>
      </c>
      <c r="X182" s="845">
        <v>0.65895249695493296</v>
      </c>
      <c r="Y182" s="845">
        <v>0.86906710310965629</v>
      </c>
      <c r="Z182" s="845">
        <v>9.7926895799236219E-2</v>
      </c>
      <c r="AA182" s="845">
        <v>0</v>
      </c>
      <c r="AB182" s="845">
        <v>8.4560829241680305E-3</v>
      </c>
      <c r="AC182" s="845">
        <v>0</v>
      </c>
      <c r="AD182" s="845">
        <v>1.1456628477905073E-2</v>
      </c>
      <c r="AE182" s="845">
        <v>1.3093289689034371E-2</v>
      </c>
      <c r="AF182" s="845">
        <v>3.2733224222585926E-3</v>
      </c>
      <c r="AG182" s="845">
        <v>0.86579378068739776</v>
      </c>
      <c r="AH182" s="20" t="str">
        <f t="shared" si="25"/>
        <v>No</v>
      </c>
      <c r="AI182" s="25"/>
      <c r="AJ182" s="37">
        <v>45011</v>
      </c>
      <c r="AK182" s="37" t="s">
        <v>1532</v>
      </c>
      <c r="AL182" s="37">
        <v>39017</v>
      </c>
      <c r="AM182" s="37" t="s">
        <v>15</v>
      </c>
      <c r="AN182" s="37">
        <f t="shared" si="26"/>
        <v>17140</v>
      </c>
      <c r="AO182" s="37" t="str">
        <f t="shared" si="27"/>
        <v>Cincinnati, OH-KY-IN</v>
      </c>
      <c r="AP182" s="20" t="s">
        <v>8</v>
      </c>
      <c r="AQ182" s="25"/>
      <c r="AR182" s="25"/>
      <c r="AS182" s="25"/>
      <c r="AT182" s="25"/>
      <c r="AU182" s="36"/>
      <c r="AV182" s="36"/>
      <c r="AW182" s="36"/>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39">
        <v>44670</v>
      </c>
      <c r="BV182" s="39" t="s">
        <v>1430</v>
      </c>
      <c r="BW182" s="39" t="s">
        <v>2913</v>
      </c>
      <c r="BX182" s="39" t="s">
        <v>269</v>
      </c>
      <c r="BY182" s="71">
        <v>710</v>
      </c>
      <c r="BZ182" s="71">
        <v>800</v>
      </c>
      <c r="CA182" s="71">
        <v>1030</v>
      </c>
      <c r="CB182" s="71">
        <v>1290</v>
      </c>
      <c r="CC182" s="71">
        <v>1370</v>
      </c>
      <c r="CD182" s="25"/>
      <c r="CE182" s="200"/>
      <c r="CF182" s="200"/>
      <c r="CG182" s="200"/>
      <c r="CH182" s="200"/>
      <c r="CI182" s="200"/>
      <c r="CJ182" s="200"/>
      <c r="CK182" s="200"/>
      <c r="CL182" s="200"/>
      <c r="CM182" s="200"/>
      <c r="CN182" s="200"/>
      <c r="CO182" s="200"/>
      <c r="CP182" s="200"/>
      <c r="CQ182" s="200"/>
      <c r="CR182" s="200"/>
      <c r="CS182" s="200"/>
      <c r="CT182" s="200"/>
      <c r="CU182" s="200"/>
    </row>
    <row r="183" spans="1:99" s="17" customFormat="1" x14ac:dyDescent="0.2">
      <c r="A183" s="25"/>
      <c r="B183" s="20">
        <v>39107967700</v>
      </c>
      <c r="C183" s="20">
        <v>9677</v>
      </c>
      <c r="D183" s="20" t="s">
        <v>59</v>
      </c>
      <c r="E183" s="20" t="s">
        <v>265</v>
      </c>
      <c r="F183" s="20" t="s">
        <v>8</v>
      </c>
      <c r="G183" s="861">
        <v>74.621019218496102</v>
      </c>
      <c r="H183" s="861">
        <v>62.343570569542102</v>
      </c>
      <c r="I183" s="861">
        <v>22.996265574274101</v>
      </c>
      <c r="J183" s="861">
        <v>44.041807084855101</v>
      </c>
      <c r="K183" s="982">
        <v>0</v>
      </c>
      <c r="L183" s="735">
        <v>6226</v>
      </c>
      <c r="M183" s="735">
        <v>6486</v>
      </c>
      <c r="N183" s="845">
        <f t="shared" si="23"/>
        <v>4.1760359781561195E-2</v>
      </c>
      <c r="O183" s="735">
        <v>30.173716125669785</v>
      </c>
      <c r="P183" s="735">
        <f t="shared" si="24"/>
        <v>214.95529330847467</v>
      </c>
      <c r="Q183" s="849">
        <v>35.4</v>
      </c>
      <c r="R183" s="71">
        <v>76025</v>
      </c>
      <c r="S183" s="845">
        <v>3.5958631662688943E-2</v>
      </c>
      <c r="T183" s="845">
        <v>1.1000000000000001E-2</v>
      </c>
      <c r="U183" s="845">
        <v>0</v>
      </c>
      <c r="V183" s="845">
        <v>0</v>
      </c>
      <c r="W183" s="845">
        <v>0.24325481798715204</v>
      </c>
      <c r="X183" s="845">
        <v>0.25176056338028169</v>
      </c>
      <c r="Y183" s="845">
        <v>0.93694110391612706</v>
      </c>
      <c r="Z183" s="845">
        <v>2.7752081406105457E-3</v>
      </c>
      <c r="AA183" s="845">
        <v>0</v>
      </c>
      <c r="AB183" s="845">
        <v>4.6253469010175763E-3</v>
      </c>
      <c r="AC183" s="845">
        <v>3.2377428307123032E-3</v>
      </c>
      <c r="AD183" s="845">
        <v>3.5460992907801421E-2</v>
      </c>
      <c r="AE183" s="845">
        <v>1.6959605303731112E-2</v>
      </c>
      <c r="AF183" s="845">
        <v>3.8390379278445887E-2</v>
      </c>
      <c r="AG183" s="845">
        <v>0.93694110391612706</v>
      </c>
      <c r="AH183" s="20" t="str">
        <f t="shared" si="25"/>
        <v>Yes</v>
      </c>
      <c r="AI183" s="25"/>
      <c r="AJ183" s="37">
        <v>45013</v>
      </c>
      <c r="AK183" s="37" t="s">
        <v>1533</v>
      </c>
      <c r="AL183" s="37">
        <v>39017</v>
      </c>
      <c r="AM183" s="37" t="s">
        <v>15</v>
      </c>
      <c r="AN183" s="37">
        <f t="shared" si="26"/>
        <v>17140</v>
      </c>
      <c r="AO183" s="37" t="str">
        <f t="shared" si="27"/>
        <v>Cincinnati, OH-KY-IN</v>
      </c>
      <c r="AP183" s="20" t="s">
        <v>8</v>
      </c>
      <c r="AQ183" s="25"/>
      <c r="AR183" s="25"/>
      <c r="AS183" s="25"/>
      <c r="AT183" s="25"/>
      <c r="AU183" s="36"/>
      <c r="AV183" s="36"/>
      <c r="AW183" s="36"/>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39">
        <v>44675</v>
      </c>
      <c r="BV183" s="39" t="s">
        <v>1433</v>
      </c>
      <c r="BW183" s="39" t="s">
        <v>2913</v>
      </c>
      <c r="BX183" s="39" t="s">
        <v>269</v>
      </c>
      <c r="BY183" s="71">
        <v>970</v>
      </c>
      <c r="BZ183" s="71">
        <v>1080</v>
      </c>
      <c r="CA183" s="71">
        <v>1390</v>
      </c>
      <c r="CB183" s="71">
        <v>1760</v>
      </c>
      <c r="CC183" s="71">
        <v>1870</v>
      </c>
      <c r="CD183" s="25"/>
      <c r="CE183" s="200"/>
      <c r="CF183" s="200"/>
      <c r="CG183" s="200"/>
      <c r="CH183" s="200"/>
      <c r="CI183" s="200"/>
      <c r="CJ183" s="200"/>
      <c r="CK183" s="200"/>
      <c r="CL183" s="200"/>
      <c r="CM183" s="200"/>
      <c r="CN183" s="200"/>
      <c r="CO183" s="200"/>
      <c r="CP183" s="200"/>
      <c r="CQ183" s="200"/>
      <c r="CR183" s="200"/>
      <c r="CS183" s="200"/>
      <c r="CT183" s="200"/>
      <c r="CU183" s="200"/>
    </row>
    <row r="184" spans="1:99" s="17" customFormat="1" x14ac:dyDescent="0.2">
      <c r="A184" s="25"/>
      <c r="B184" s="20">
        <v>39113020300</v>
      </c>
      <c r="C184" s="20">
        <v>203</v>
      </c>
      <c r="D184" s="20" t="s">
        <v>62</v>
      </c>
      <c r="E184" s="20" t="s">
        <v>2833</v>
      </c>
      <c r="F184" s="20" t="s">
        <v>8</v>
      </c>
      <c r="G184" s="861">
        <v>74.599595841418605</v>
      </c>
      <c r="H184" s="861">
        <v>72.169547392175204</v>
      </c>
      <c r="I184" s="861">
        <v>39.844976011532999</v>
      </c>
      <c r="J184" s="861">
        <v>33.744838675696599</v>
      </c>
      <c r="K184" s="982">
        <v>0</v>
      </c>
      <c r="L184" s="735">
        <v>2657</v>
      </c>
      <c r="M184" s="735">
        <v>2392</v>
      </c>
      <c r="N184" s="845">
        <f t="shared" si="23"/>
        <v>-9.9736544975536315E-2</v>
      </c>
      <c r="O184" s="735">
        <v>1.1660308355624074</v>
      </c>
      <c r="P184" s="735">
        <f t="shared" si="24"/>
        <v>2051.4037253965716</v>
      </c>
      <c r="Q184" s="849">
        <v>57.2</v>
      </c>
      <c r="R184" s="71">
        <v>103240</v>
      </c>
      <c r="S184" s="845">
        <v>7.1070234113712369E-2</v>
      </c>
      <c r="T184" s="845">
        <v>3.7999999999999999E-2</v>
      </c>
      <c r="U184" s="845">
        <v>0</v>
      </c>
      <c r="V184" s="845">
        <v>0</v>
      </c>
      <c r="W184" s="845">
        <v>0.13193812556869883</v>
      </c>
      <c r="X184" s="845">
        <v>0.28275862068965518</v>
      </c>
      <c r="Y184" s="845">
        <v>0.92391304347826086</v>
      </c>
      <c r="Z184" s="845">
        <v>2.25752508361204E-2</v>
      </c>
      <c r="AA184" s="845">
        <v>0</v>
      </c>
      <c r="AB184" s="845">
        <v>1.0033444816053512E-2</v>
      </c>
      <c r="AC184" s="845">
        <v>0</v>
      </c>
      <c r="AD184" s="845">
        <v>0</v>
      </c>
      <c r="AE184" s="845">
        <v>4.3478260869565216E-2</v>
      </c>
      <c r="AF184" s="845">
        <v>8.7792642140468221E-3</v>
      </c>
      <c r="AG184" s="845">
        <v>0.91764214046822745</v>
      </c>
      <c r="AH184" s="20" t="str">
        <f t="shared" si="25"/>
        <v>Yes</v>
      </c>
      <c r="AI184" s="25"/>
      <c r="AJ184" s="20">
        <v>45014</v>
      </c>
      <c r="AK184" s="20" t="s">
        <v>1534</v>
      </c>
      <c r="AL184" s="20">
        <v>39017</v>
      </c>
      <c r="AM184" s="20" t="s">
        <v>15</v>
      </c>
      <c r="AN184" s="37">
        <f t="shared" si="26"/>
        <v>17140</v>
      </c>
      <c r="AO184" s="37" t="str">
        <f t="shared" si="27"/>
        <v>Cincinnati, OH-KY-IN</v>
      </c>
      <c r="AP184" s="20" t="s">
        <v>8</v>
      </c>
      <c r="AQ184" s="25"/>
      <c r="AR184" s="25"/>
      <c r="AS184" s="25"/>
      <c r="AT184" s="25"/>
      <c r="AU184" s="36"/>
      <c r="AV184" s="36"/>
      <c r="AW184" s="36"/>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39">
        <v>44688</v>
      </c>
      <c r="BV184" s="39" t="s">
        <v>1443</v>
      </c>
      <c r="BW184" s="39" t="s">
        <v>2913</v>
      </c>
      <c r="BX184" s="39" t="s">
        <v>269</v>
      </c>
      <c r="BY184" s="71">
        <v>700</v>
      </c>
      <c r="BZ184" s="71">
        <v>790</v>
      </c>
      <c r="CA184" s="71">
        <v>1020</v>
      </c>
      <c r="CB184" s="71">
        <v>1290</v>
      </c>
      <c r="CC184" s="71">
        <v>1360</v>
      </c>
      <c r="CD184" s="25"/>
      <c r="CE184" s="200"/>
      <c r="CF184" s="200"/>
      <c r="CG184" s="200"/>
      <c r="CH184" s="200"/>
      <c r="CI184" s="200"/>
      <c r="CJ184" s="200"/>
      <c r="CK184" s="200"/>
      <c r="CL184" s="200"/>
      <c r="CM184" s="200"/>
      <c r="CN184" s="200"/>
      <c r="CO184" s="200"/>
      <c r="CP184" s="200"/>
      <c r="CQ184" s="200"/>
      <c r="CR184" s="200"/>
      <c r="CS184" s="200"/>
      <c r="CT184" s="200"/>
      <c r="CU184" s="200"/>
    </row>
    <row r="185" spans="1:99" s="17" customFormat="1" x14ac:dyDescent="0.2">
      <c r="A185" s="25"/>
      <c r="B185" s="20">
        <v>39035141200</v>
      </c>
      <c r="C185" s="20">
        <v>1412</v>
      </c>
      <c r="D185" s="20" t="s">
        <v>24</v>
      </c>
      <c r="E185" s="20" t="s">
        <v>2829</v>
      </c>
      <c r="F185" s="20" t="s">
        <v>8</v>
      </c>
      <c r="G185" s="861">
        <v>74.493807570225101</v>
      </c>
      <c r="H185" s="861">
        <v>74.222821328188402</v>
      </c>
      <c r="I185" s="861">
        <v>39.1120794018412</v>
      </c>
      <c r="J185" s="861">
        <v>47.2351828109054</v>
      </c>
      <c r="K185" s="982">
        <v>0</v>
      </c>
      <c r="L185" s="735">
        <v>3122</v>
      </c>
      <c r="M185" s="735">
        <v>2935</v>
      </c>
      <c r="N185" s="845">
        <f t="shared" si="23"/>
        <v>-5.9897501601537478E-2</v>
      </c>
      <c r="O185" s="735">
        <v>0.52034794862436651</v>
      </c>
      <c r="P185" s="735">
        <f t="shared" si="24"/>
        <v>5640.4565594218275</v>
      </c>
      <c r="Q185" s="849">
        <v>36.700000000000003</v>
      </c>
      <c r="R185" s="71">
        <v>80444</v>
      </c>
      <c r="S185" s="845">
        <v>8.1431005110732535E-2</v>
      </c>
      <c r="T185" s="845">
        <v>0.04</v>
      </c>
      <c r="U185" s="845">
        <v>0</v>
      </c>
      <c r="V185" s="845">
        <v>8.199999999999999E-2</v>
      </c>
      <c r="W185" s="845">
        <v>0.41584158415841582</v>
      </c>
      <c r="X185" s="845">
        <v>0.35079365079365077</v>
      </c>
      <c r="Y185" s="845">
        <v>0.75536626916524707</v>
      </c>
      <c r="Z185" s="845">
        <v>5.8943781942078367E-2</v>
      </c>
      <c r="AA185" s="845">
        <v>1.7035775127768314E-3</v>
      </c>
      <c r="AB185" s="845">
        <v>9.9148211243611589E-2</v>
      </c>
      <c r="AC185" s="845">
        <v>0</v>
      </c>
      <c r="AD185" s="845">
        <v>3.6797274275979557E-2</v>
      </c>
      <c r="AE185" s="845">
        <v>4.8040885860306644E-2</v>
      </c>
      <c r="AF185" s="845">
        <v>2.4190800681431004E-2</v>
      </c>
      <c r="AG185" s="845">
        <v>0.75127768313458265</v>
      </c>
      <c r="AH185" s="20" t="str">
        <f t="shared" si="25"/>
        <v>No</v>
      </c>
      <c r="AI185" s="25"/>
      <c r="AJ185" s="37">
        <v>45015</v>
      </c>
      <c r="AK185" s="37" t="s">
        <v>1535</v>
      </c>
      <c r="AL185" s="37">
        <v>39017</v>
      </c>
      <c r="AM185" s="37" t="s">
        <v>15</v>
      </c>
      <c r="AN185" s="37">
        <f t="shared" si="26"/>
        <v>17140</v>
      </c>
      <c r="AO185" s="37" t="str">
        <f t="shared" si="27"/>
        <v>Cincinnati, OH-KY-IN</v>
      </c>
      <c r="AP185" s="20" t="s">
        <v>8</v>
      </c>
      <c r="AQ185" s="25"/>
      <c r="AR185" s="25"/>
      <c r="AS185" s="25"/>
      <c r="AT185" s="25"/>
      <c r="AU185" s="36"/>
      <c r="AV185" s="36"/>
      <c r="AW185" s="36"/>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39">
        <v>44689</v>
      </c>
      <c r="BV185" s="39" t="s">
        <v>1444</v>
      </c>
      <c r="BW185" s="39" t="s">
        <v>2913</v>
      </c>
      <c r="BX185" s="39" t="s">
        <v>269</v>
      </c>
      <c r="BY185" s="71">
        <v>850</v>
      </c>
      <c r="BZ185" s="71">
        <v>910</v>
      </c>
      <c r="CA185" s="71">
        <v>1180</v>
      </c>
      <c r="CB185" s="71">
        <v>1480</v>
      </c>
      <c r="CC185" s="71">
        <v>1580</v>
      </c>
      <c r="CD185" s="25"/>
      <c r="CE185" s="200"/>
      <c r="CF185" s="200"/>
      <c r="CG185" s="200"/>
      <c r="CH185" s="200"/>
      <c r="CI185" s="200"/>
      <c r="CJ185" s="200"/>
      <c r="CK185" s="200"/>
      <c r="CL185" s="200"/>
      <c r="CM185" s="200"/>
      <c r="CN185" s="200"/>
      <c r="CO185" s="200"/>
      <c r="CP185" s="200"/>
      <c r="CQ185" s="200"/>
      <c r="CR185" s="200"/>
      <c r="CS185" s="200"/>
      <c r="CT185" s="200"/>
      <c r="CU185" s="200"/>
    </row>
    <row r="186" spans="1:99" s="17" customFormat="1" x14ac:dyDescent="0.2">
      <c r="A186" s="25"/>
      <c r="B186" s="20">
        <v>39061024401</v>
      </c>
      <c r="C186" s="20">
        <v>244.01</v>
      </c>
      <c r="D186" s="20" t="s">
        <v>37</v>
      </c>
      <c r="E186" s="20" t="s">
        <v>2828</v>
      </c>
      <c r="F186" s="20" t="s">
        <v>8</v>
      </c>
      <c r="G186" s="861">
        <v>74.421100812583504</v>
      </c>
      <c r="H186" s="861">
        <v>65.230288354599097</v>
      </c>
      <c r="I186" s="861">
        <v>31.002684212752801</v>
      </c>
      <c r="J186" s="861">
        <v>56.630094436494602</v>
      </c>
      <c r="K186" s="982">
        <v>0</v>
      </c>
      <c r="L186" s="735" t="s">
        <v>2466</v>
      </c>
      <c r="M186" s="735">
        <v>5097</v>
      </c>
      <c r="N186" s="845" t="str">
        <f t="shared" si="23"/>
        <v/>
      </c>
      <c r="O186" s="735">
        <v>8.7264813736924847</v>
      </c>
      <c r="P186" s="735">
        <f t="shared" si="24"/>
        <v>584.08421237978052</v>
      </c>
      <c r="Q186" s="849">
        <v>50.8</v>
      </c>
      <c r="R186" s="71">
        <v>161370</v>
      </c>
      <c r="S186" s="845">
        <v>9.7115950559152439E-2</v>
      </c>
      <c r="T186" s="845">
        <v>7.5999999999999998E-2</v>
      </c>
      <c r="U186" s="845">
        <v>0</v>
      </c>
      <c r="V186" s="845">
        <v>0</v>
      </c>
      <c r="W186" s="845">
        <v>0.20298646756882874</v>
      </c>
      <c r="X186" s="845">
        <v>0.51724137931034486</v>
      </c>
      <c r="Y186" s="845">
        <v>0.79164214243672748</v>
      </c>
      <c r="Z186" s="845">
        <v>0.14243672748675693</v>
      </c>
      <c r="AA186" s="845">
        <v>4.904845987835982E-3</v>
      </c>
      <c r="AB186" s="845">
        <v>3.609966647047283E-2</v>
      </c>
      <c r="AC186" s="845">
        <v>0</v>
      </c>
      <c r="AD186" s="845">
        <v>1.0202079654698843E-2</v>
      </c>
      <c r="AE186" s="845">
        <v>1.4714537963507945E-2</v>
      </c>
      <c r="AF186" s="845">
        <v>1.6872670198155779E-2</v>
      </c>
      <c r="AG186" s="845">
        <v>0.7849715518932705</v>
      </c>
      <c r="AH186" s="20" t="str">
        <f t="shared" si="25"/>
        <v>No</v>
      </c>
      <c r="AI186" s="25"/>
      <c r="AJ186" s="37">
        <v>45042</v>
      </c>
      <c r="AK186" s="37" t="s">
        <v>1544</v>
      </c>
      <c r="AL186" s="37">
        <v>39017</v>
      </c>
      <c r="AM186" s="37" t="s">
        <v>15</v>
      </c>
      <c r="AN186" s="37">
        <f t="shared" si="26"/>
        <v>17140</v>
      </c>
      <c r="AO186" s="37" t="str">
        <f t="shared" si="27"/>
        <v>Cincinnati, OH-KY-IN</v>
      </c>
      <c r="AP186" s="20" t="s">
        <v>8</v>
      </c>
      <c r="AQ186" s="25"/>
      <c r="AR186" s="25"/>
      <c r="AS186" s="25"/>
      <c r="AT186" s="25"/>
      <c r="AU186" s="36"/>
      <c r="AV186" s="36"/>
      <c r="AW186" s="36"/>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39">
        <v>44695</v>
      </c>
      <c r="BV186" s="39" t="s">
        <v>1448</v>
      </c>
      <c r="BW186" s="39" t="s">
        <v>2913</v>
      </c>
      <c r="BX186" s="39" t="s">
        <v>269</v>
      </c>
      <c r="BY186" s="71">
        <v>720</v>
      </c>
      <c r="BZ186" s="71">
        <v>750</v>
      </c>
      <c r="CA186" s="71">
        <v>970</v>
      </c>
      <c r="CB186" s="71">
        <v>1270</v>
      </c>
      <c r="CC186" s="71">
        <v>1290</v>
      </c>
      <c r="CD186" s="25"/>
      <c r="CE186" s="200"/>
      <c r="CF186" s="200"/>
      <c r="CG186" s="200"/>
      <c r="CH186" s="200"/>
      <c r="CI186" s="200"/>
      <c r="CJ186" s="200"/>
      <c r="CK186" s="200"/>
      <c r="CL186" s="200"/>
      <c r="CM186" s="200"/>
      <c r="CN186" s="200"/>
      <c r="CO186" s="200"/>
      <c r="CP186" s="200"/>
      <c r="CQ186" s="200"/>
      <c r="CR186" s="200"/>
      <c r="CS186" s="200"/>
      <c r="CT186" s="200"/>
      <c r="CU186" s="200"/>
    </row>
    <row r="187" spans="1:99" s="17" customFormat="1" x14ac:dyDescent="0.2">
      <c r="A187" s="25"/>
      <c r="B187" s="20">
        <v>39081001000</v>
      </c>
      <c r="C187" s="20">
        <v>10</v>
      </c>
      <c r="D187" s="20" t="s">
        <v>47</v>
      </c>
      <c r="E187" s="20" t="s">
        <v>2840</v>
      </c>
      <c r="F187" s="20" t="s">
        <v>8</v>
      </c>
      <c r="G187" s="861">
        <v>74.416033557234897</v>
      </c>
      <c r="H187" s="861">
        <v>60.163445145846403</v>
      </c>
      <c r="I187" s="861">
        <v>23.197954409481099</v>
      </c>
      <c r="J187" s="861">
        <v>49.881925985931098</v>
      </c>
      <c r="K187" s="982">
        <v>0</v>
      </c>
      <c r="L187" s="735">
        <v>2670</v>
      </c>
      <c r="M187" s="735">
        <v>2478</v>
      </c>
      <c r="N187" s="845">
        <f t="shared" si="23"/>
        <v>-7.1910112359550568E-2</v>
      </c>
      <c r="O187" s="735">
        <v>2.3679591332177972</v>
      </c>
      <c r="P187" s="735">
        <f t="shared" si="24"/>
        <v>1046.4707626236225</v>
      </c>
      <c r="Q187" s="849">
        <v>52.2</v>
      </c>
      <c r="R187" s="71">
        <v>75400</v>
      </c>
      <c r="S187" s="845">
        <v>9.7953852851545495E-2</v>
      </c>
      <c r="T187" s="845">
        <v>8.0000000000000002E-3</v>
      </c>
      <c r="U187" s="845">
        <v>0</v>
      </c>
      <c r="V187" s="845">
        <v>6.5000000000000002E-2</v>
      </c>
      <c r="W187" s="845">
        <v>0.31535648994515542</v>
      </c>
      <c r="X187" s="845">
        <v>0.23768115942028986</v>
      </c>
      <c r="Y187" s="845">
        <v>0.82849071832122678</v>
      </c>
      <c r="Z187" s="845">
        <v>7.6271186440677971E-2</v>
      </c>
      <c r="AA187" s="845">
        <v>0</v>
      </c>
      <c r="AB187" s="845">
        <v>2.2598870056497175E-2</v>
      </c>
      <c r="AC187" s="845">
        <v>0</v>
      </c>
      <c r="AD187" s="845">
        <v>6.8603712671509278E-3</v>
      </c>
      <c r="AE187" s="845">
        <v>6.5778853914447141E-2</v>
      </c>
      <c r="AF187" s="845">
        <v>3.3494753833736887E-2</v>
      </c>
      <c r="AG187" s="845">
        <v>0.82849071832122678</v>
      </c>
      <c r="AH187" s="20" t="str">
        <f t="shared" si="25"/>
        <v>No</v>
      </c>
      <c r="AI187" s="25"/>
      <c r="AJ187" s="37">
        <v>45044</v>
      </c>
      <c r="AK187" s="37" t="s">
        <v>1545</v>
      </c>
      <c r="AL187" s="37">
        <v>39017</v>
      </c>
      <c r="AM187" s="37" t="s">
        <v>15</v>
      </c>
      <c r="AN187" s="37">
        <f t="shared" si="26"/>
        <v>17140</v>
      </c>
      <c r="AO187" s="37" t="str">
        <f t="shared" si="27"/>
        <v>Cincinnati, OH-KY-IN</v>
      </c>
      <c r="AP187" s="20" t="s">
        <v>8</v>
      </c>
      <c r="AQ187" s="25"/>
      <c r="AR187" s="25"/>
      <c r="AS187" s="25"/>
      <c r="AT187" s="25"/>
      <c r="AU187" s="36"/>
      <c r="AV187" s="36"/>
      <c r="AW187" s="36"/>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39">
        <v>44702</v>
      </c>
      <c r="BV187" s="39" t="s">
        <v>1451</v>
      </c>
      <c r="BW187" s="39" t="s">
        <v>2913</v>
      </c>
      <c r="BX187" s="39" t="s">
        <v>269</v>
      </c>
      <c r="BY187" s="71">
        <v>670</v>
      </c>
      <c r="BZ187" s="71">
        <v>760</v>
      </c>
      <c r="CA187" s="71">
        <v>970</v>
      </c>
      <c r="CB187" s="71">
        <v>1230</v>
      </c>
      <c r="CC187" s="71">
        <v>1300</v>
      </c>
      <c r="CD187" s="25"/>
      <c r="CE187" s="200"/>
      <c r="CF187" s="200"/>
      <c r="CG187" s="200"/>
      <c r="CH187" s="200"/>
      <c r="CI187" s="200"/>
      <c r="CJ187" s="200"/>
      <c r="CK187" s="200"/>
      <c r="CL187" s="200"/>
      <c r="CM187" s="200"/>
      <c r="CN187" s="200"/>
      <c r="CO187" s="200"/>
      <c r="CP187" s="200"/>
      <c r="CQ187" s="200"/>
      <c r="CR187" s="200"/>
      <c r="CS187" s="200"/>
      <c r="CT187" s="200"/>
      <c r="CU187" s="200"/>
    </row>
    <row r="188" spans="1:99" s="17" customFormat="1" x14ac:dyDescent="0.2">
      <c r="A188" s="25"/>
      <c r="B188" s="20">
        <v>39035183502</v>
      </c>
      <c r="C188" s="20">
        <v>1835.02</v>
      </c>
      <c r="D188" s="20" t="s">
        <v>24</v>
      </c>
      <c r="E188" s="20" t="s">
        <v>2829</v>
      </c>
      <c r="F188" s="20" t="s">
        <v>8</v>
      </c>
      <c r="G188" s="861">
        <v>74.380255886893394</v>
      </c>
      <c r="H188" s="861">
        <v>65.952776893855201</v>
      </c>
      <c r="I188" s="861">
        <v>33.409390880049799</v>
      </c>
      <c r="J188" s="861">
        <v>37.2301356325749</v>
      </c>
      <c r="K188" s="982">
        <v>0</v>
      </c>
      <c r="L188" s="735">
        <v>3669</v>
      </c>
      <c r="M188" s="735">
        <v>3506</v>
      </c>
      <c r="N188" s="845">
        <f t="shared" si="23"/>
        <v>-4.4426274189152355E-2</v>
      </c>
      <c r="O188" s="735">
        <v>0.61800824251660369</v>
      </c>
      <c r="P188" s="735">
        <f t="shared" si="24"/>
        <v>5673.0634946277532</v>
      </c>
      <c r="Q188" s="849">
        <v>47.6</v>
      </c>
      <c r="R188" s="71">
        <v>112658</v>
      </c>
      <c r="S188" s="845">
        <v>8.0496249278707438E-2</v>
      </c>
      <c r="T188" s="845">
        <v>2.8999999999999998E-2</v>
      </c>
      <c r="U188" s="845">
        <v>9.0000000000000011E-3</v>
      </c>
      <c r="V188" s="845">
        <v>0.111</v>
      </c>
      <c r="W188" s="845">
        <v>0.31432114073155609</v>
      </c>
      <c r="X188" s="845">
        <v>0.31163708086785008</v>
      </c>
      <c r="Y188" s="845">
        <v>0.71163719338277243</v>
      </c>
      <c r="Z188" s="845">
        <v>0.16600114090131204</v>
      </c>
      <c r="AA188" s="845">
        <v>0</v>
      </c>
      <c r="AB188" s="845">
        <v>2.9948659440958356E-2</v>
      </c>
      <c r="AC188" s="845">
        <v>0</v>
      </c>
      <c r="AD188" s="845">
        <v>3.56531660011409E-2</v>
      </c>
      <c r="AE188" s="845">
        <v>5.6759840273816316E-2</v>
      </c>
      <c r="AF188" s="845">
        <v>1.2264689104392471E-2</v>
      </c>
      <c r="AG188" s="845">
        <v>0.69937250427837994</v>
      </c>
      <c r="AH188" s="20" t="str">
        <f t="shared" si="25"/>
        <v>No</v>
      </c>
      <c r="AI188" s="25"/>
      <c r="AJ188" s="20">
        <v>45050</v>
      </c>
      <c r="AK188" s="20" t="s">
        <v>1546</v>
      </c>
      <c r="AL188" s="20">
        <v>39017</v>
      </c>
      <c r="AM188" s="20" t="s">
        <v>15</v>
      </c>
      <c r="AN188" s="37">
        <f t="shared" si="26"/>
        <v>17140</v>
      </c>
      <c r="AO188" s="37" t="str">
        <f t="shared" si="27"/>
        <v>Cincinnati, OH-KY-IN</v>
      </c>
      <c r="AP188" s="20" t="s">
        <v>8</v>
      </c>
      <c r="AQ188" s="25"/>
      <c r="AR188" s="25"/>
      <c r="AS188" s="25"/>
      <c r="AT188" s="25"/>
      <c r="AU188" s="36"/>
      <c r="AV188" s="36"/>
      <c r="AW188" s="36"/>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39">
        <v>44703</v>
      </c>
      <c r="BV188" s="39" t="s">
        <v>1452</v>
      </c>
      <c r="BW188" s="39" t="s">
        <v>2913</v>
      </c>
      <c r="BX188" s="39" t="s">
        <v>269</v>
      </c>
      <c r="BY188" s="71">
        <v>710</v>
      </c>
      <c r="BZ188" s="71">
        <v>800</v>
      </c>
      <c r="CA188" s="71">
        <v>1030</v>
      </c>
      <c r="CB188" s="71">
        <v>1300</v>
      </c>
      <c r="CC188" s="71">
        <v>1380</v>
      </c>
      <c r="CD188" s="25"/>
      <c r="CE188" s="200"/>
      <c r="CF188" s="200"/>
      <c r="CG188" s="200"/>
      <c r="CH188" s="200"/>
      <c r="CI188" s="200"/>
      <c r="CJ188" s="200"/>
      <c r="CK188" s="200"/>
      <c r="CL188" s="200"/>
      <c r="CM188" s="200"/>
      <c r="CN188" s="200"/>
      <c r="CO188" s="200"/>
      <c r="CP188" s="200"/>
      <c r="CQ188" s="200"/>
      <c r="CR188" s="200"/>
      <c r="CS188" s="200"/>
      <c r="CT188" s="200"/>
      <c r="CU188" s="200"/>
    </row>
    <row r="189" spans="1:99" s="17" customFormat="1" x14ac:dyDescent="0.2">
      <c r="A189" s="25"/>
      <c r="B189" s="20">
        <v>39035131104</v>
      </c>
      <c r="C189" s="20">
        <v>1311.04</v>
      </c>
      <c r="D189" s="20" t="s">
        <v>24</v>
      </c>
      <c r="E189" s="20" t="s">
        <v>2829</v>
      </c>
      <c r="F189" s="20" t="s">
        <v>8</v>
      </c>
      <c r="G189" s="861">
        <v>74.340008768635997</v>
      </c>
      <c r="H189" s="861">
        <v>47.107114193143303</v>
      </c>
      <c r="I189" s="861">
        <v>47.6424727852608</v>
      </c>
      <c r="J189" s="861">
        <v>39.430878492545801</v>
      </c>
      <c r="K189" s="982">
        <v>0</v>
      </c>
      <c r="L189" s="735">
        <v>4361</v>
      </c>
      <c r="M189" s="735">
        <v>4741</v>
      </c>
      <c r="N189" s="845">
        <f t="shared" si="23"/>
        <v>8.7135977986700294E-2</v>
      </c>
      <c r="O189" s="735">
        <v>0.94569353061624672</v>
      </c>
      <c r="P189" s="735">
        <f t="shared" si="24"/>
        <v>5013.2520171842561</v>
      </c>
      <c r="Q189" s="849">
        <v>63.3</v>
      </c>
      <c r="R189" s="71">
        <v>72199</v>
      </c>
      <c r="S189" s="845">
        <v>3.7900188323917137E-2</v>
      </c>
      <c r="T189" s="845">
        <v>8.199999999999999E-2</v>
      </c>
      <c r="U189" s="845">
        <v>0</v>
      </c>
      <c r="V189" s="845">
        <v>0.14899999999999999</v>
      </c>
      <c r="W189" s="845">
        <v>0.7337953526294333</v>
      </c>
      <c r="X189" s="845">
        <v>0.47111111111111109</v>
      </c>
      <c r="Y189" s="845">
        <v>0.75089643535119177</v>
      </c>
      <c r="Z189" s="845">
        <v>9.3862054418898971E-2</v>
      </c>
      <c r="AA189" s="845">
        <v>0</v>
      </c>
      <c r="AB189" s="845">
        <v>0.13583632145117064</v>
      </c>
      <c r="AC189" s="845">
        <v>0</v>
      </c>
      <c r="AD189" s="845">
        <v>0</v>
      </c>
      <c r="AE189" s="845">
        <v>1.9405188778738664E-2</v>
      </c>
      <c r="AF189" s="845">
        <v>0</v>
      </c>
      <c r="AG189" s="845">
        <v>0.75089643535119177</v>
      </c>
      <c r="AH189" s="20" t="str">
        <f t="shared" si="25"/>
        <v>No</v>
      </c>
      <c r="AI189" s="25"/>
      <c r="AJ189" s="20">
        <v>45053</v>
      </c>
      <c r="AK189" s="20" t="s">
        <v>1549</v>
      </c>
      <c r="AL189" s="20">
        <v>39017</v>
      </c>
      <c r="AM189" s="20" t="s">
        <v>15</v>
      </c>
      <c r="AN189" s="37">
        <f t="shared" si="26"/>
        <v>17140</v>
      </c>
      <c r="AO189" s="37" t="str">
        <f t="shared" si="27"/>
        <v>Cincinnati, OH-KY-IN</v>
      </c>
      <c r="AP189" s="20" t="s">
        <v>8</v>
      </c>
      <c r="AQ189" s="25"/>
      <c r="AR189" s="25"/>
      <c r="AS189" s="25"/>
      <c r="AT189" s="25"/>
      <c r="AU189" s="36"/>
      <c r="AV189" s="36"/>
      <c r="AW189" s="36"/>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39">
        <v>44704</v>
      </c>
      <c r="BV189" s="39" t="s">
        <v>1453</v>
      </c>
      <c r="BW189" s="39" t="s">
        <v>2913</v>
      </c>
      <c r="BX189" s="39" t="s">
        <v>269</v>
      </c>
      <c r="BY189" s="71">
        <v>730</v>
      </c>
      <c r="BZ189" s="71">
        <v>830</v>
      </c>
      <c r="CA189" s="71">
        <v>1060</v>
      </c>
      <c r="CB189" s="71">
        <v>1340</v>
      </c>
      <c r="CC189" s="71">
        <v>1420</v>
      </c>
      <c r="CD189" s="25"/>
      <c r="CE189" s="200"/>
      <c r="CF189" s="200"/>
      <c r="CG189" s="200"/>
      <c r="CH189" s="200"/>
      <c r="CI189" s="200"/>
      <c r="CJ189" s="200"/>
      <c r="CK189" s="200"/>
      <c r="CL189" s="200"/>
      <c r="CM189" s="200"/>
      <c r="CN189" s="200"/>
      <c r="CO189" s="200"/>
      <c r="CP189" s="200"/>
      <c r="CQ189" s="200"/>
      <c r="CR189" s="200"/>
      <c r="CS189" s="200"/>
      <c r="CT189" s="200"/>
      <c r="CU189" s="200"/>
    </row>
    <row r="190" spans="1:99" s="17" customFormat="1" x14ac:dyDescent="0.2">
      <c r="A190" s="25"/>
      <c r="B190" s="20">
        <v>39035179101</v>
      </c>
      <c r="C190" s="20">
        <v>1791.01</v>
      </c>
      <c r="D190" s="20" t="s">
        <v>24</v>
      </c>
      <c r="E190" s="20" t="s">
        <v>2829</v>
      </c>
      <c r="F190" s="20" t="s">
        <v>8</v>
      </c>
      <c r="G190" s="861">
        <v>74.307242999492502</v>
      </c>
      <c r="H190" s="861">
        <v>69.731950897232807</v>
      </c>
      <c r="I190" s="861">
        <v>19.956566735555999</v>
      </c>
      <c r="J190" s="861">
        <v>35.185408944240201</v>
      </c>
      <c r="K190" s="982">
        <v>0</v>
      </c>
      <c r="L190" s="735">
        <v>3279</v>
      </c>
      <c r="M190" s="735">
        <v>4166</v>
      </c>
      <c r="N190" s="845">
        <f t="shared" si="23"/>
        <v>0.27050930161634645</v>
      </c>
      <c r="O190" s="735">
        <v>3.227769257983196</v>
      </c>
      <c r="P190" s="735">
        <f t="shared" si="24"/>
        <v>1290.6746632202073</v>
      </c>
      <c r="Q190" s="849">
        <v>47.6</v>
      </c>
      <c r="R190" s="71">
        <v>163125</v>
      </c>
      <c r="S190" s="845">
        <v>3.1351082358795718E-2</v>
      </c>
      <c r="T190" s="845">
        <v>2.4E-2</v>
      </c>
      <c r="U190" s="845">
        <v>0</v>
      </c>
      <c r="V190" s="845">
        <v>0</v>
      </c>
      <c r="W190" s="845">
        <v>6.7168863779033264E-2</v>
      </c>
      <c r="X190" s="845">
        <v>0</v>
      </c>
      <c r="Y190" s="845">
        <v>0.72083533365338459</v>
      </c>
      <c r="Z190" s="845">
        <v>3.768602976476236E-2</v>
      </c>
      <c r="AA190" s="845">
        <v>0</v>
      </c>
      <c r="AB190" s="845">
        <v>0.13754200672107536</v>
      </c>
      <c r="AC190" s="845">
        <v>3.840614498319731E-3</v>
      </c>
      <c r="AD190" s="845">
        <v>1.6322611617858859E-2</v>
      </c>
      <c r="AE190" s="845">
        <v>8.3773403744599143E-2</v>
      </c>
      <c r="AF190" s="845">
        <v>4.2486797887662027E-2</v>
      </c>
      <c r="AG190" s="845">
        <v>0.71579452712433989</v>
      </c>
      <c r="AH190" s="20" t="str">
        <f t="shared" si="25"/>
        <v>No</v>
      </c>
      <c r="AI190" s="25"/>
      <c r="AJ190" s="20">
        <v>45055</v>
      </c>
      <c r="AK190" s="20" t="s">
        <v>1551</v>
      </c>
      <c r="AL190" s="20">
        <v>39017</v>
      </c>
      <c r="AM190" s="20" t="s">
        <v>15</v>
      </c>
      <c r="AN190" s="37">
        <f t="shared" si="26"/>
        <v>17140</v>
      </c>
      <c r="AO190" s="37" t="str">
        <f t="shared" si="27"/>
        <v>Cincinnati, OH-KY-IN</v>
      </c>
      <c r="AP190" s="20" t="s">
        <v>8</v>
      </c>
      <c r="AQ190" s="25"/>
      <c r="AR190" s="25"/>
      <c r="AS190" s="25"/>
      <c r="AT190" s="25"/>
      <c r="AU190" s="36"/>
      <c r="AV190" s="36"/>
      <c r="AW190" s="36"/>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39">
        <v>44705</v>
      </c>
      <c r="BV190" s="39" t="s">
        <v>1454</v>
      </c>
      <c r="BW190" s="39" t="s">
        <v>2913</v>
      </c>
      <c r="BX190" s="39" t="s">
        <v>269</v>
      </c>
      <c r="BY190" s="71">
        <v>760</v>
      </c>
      <c r="BZ190" s="71">
        <v>860</v>
      </c>
      <c r="CA190" s="71">
        <v>1100</v>
      </c>
      <c r="CB190" s="71">
        <v>1390</v>
      </c>
      <c r="CC190" s="71">
        <v>1470</v>
      </c>
      <c r="CD190" s="25"/>
      <c r="CE190" s="200"/>
      <c r="CF190" s="200"/>
      <c r="CG190" s="200"/>
      <c r="CH190" s="200"/>
      <c r="CI190" s="200"/>
      <c r="CJ190" s="200"/>
      <c r="CK190" s="200"/>
      <c r="CL190" s="200"/>
      <c r="CM190" s="200"/>
      <c r="CN190" s="200"/>
      <c r="CO190" s="200"/>
      <c r="CP190" s="200"/>
      <c r="CQ190" s="200"/>
      <c r="CR190" s="200"/>
      <c r="CS190" s="200"/>
      <c r="CT190" s="200"/>
      <c r="CU190" s="200"/>
    </row>
    <row r="191" spans="1:99" s="17" customFormat="1" x14ac:dyDescent="0.2">
      <c r="A191" s="25"/>
      <c r="B191" s="20">
        <v>39035141601</v>
      </c>
      <c r="C191" s="20">
        <v>1416.01</v>
      </c>
      <c r="D191" s="20" t="s">
        <v>24</v>
      </c>
      <c r="E191" s="20" t="s">
        <v>2829</v>
      </c>
      <c r="F191" s="20" t="s">
        <v>8</v>
      </c>
      <c r="G191" s="861">
        <v>74.2826230235937</v>
      </c>
      <c r="H191" s="861">
        <v>79.347389991392106</v>
      </c>
      <c r="I191" s="861">
        <v>29.570715918898401</v>
      </c>
      <c r="J191" s="861">
        <v>50.629010673422798</v>
      </c>
      <c r="K191" s="982">
        <v>0</v>
      </c>
      <c r="L191" s="735">
        <v>1658</v>
      </c>
      <c r="M191" s="735">
        <v>1442</v>
      </c>
      <c r="N191" s="845">
        <f t="shared" si="23"/>
        <v>-0.13027744270205066</v>
      </c>
      <c r="O191" s="735">
        <v>0.36283525641359027</v>
      </c>
      <c r="P191" s="735">
        <f t="shared" si="24"/>
        <v>3974.2554630807062</v>
      </c>
      <c r="Q191" s="849">
        <v>39.6</v>
      </c>
      <c r="R191" s="71">
        <v>114191</v>
      </c>
      <c r="S191" s="845">
        <v>4.2302357836338421E-2</v>
      </c>
      <c r="T191" s="845">
        <v>1.3999999999999999E-2</v>
      </c>
      <c r="U191" s="845">
        <v>2.4E-2</v>
      </c>
      <c r="V191" s="845">
        <v>0.14099999999999999</v>
      </c>
      <c r="W191" s="845">
        <v>0.21502209131075112</v>
      </c>
      <c r="X191" s="845">
        <v>0.39726027397260272</v>
      </c>
      <c r="Y191" s="845">
        <v>0.82454923717059636</v>
      </c>
      <c r="Z191" s="845">
        <v>7.9750346740638009E-2</v>
      </c>
      <c r="AA191" s="845">
        <v>0</v>
      </c>
      <c r="AB191" s="845">
        <v>2.9126213592233011E-2</v>
      </c>
      <c r="AC191" s="845">
        <v>0</v>
      </c>
      <c r="AD191" s="845">
        <v>0</v>
      </c>
      <c r="AE191" s="845">
        <v>6.6574202496532592E-2</v>
      </c>
      <c r="AF191" s="845">
        <v>1.5256588072122053E-2</v>
      </c>
      <c r="AG191" s="845">
        <v>0.82108183079056862</v>
      </c>
      <c r="AH191" s="20" t="str">
        <f t="shared" si="25"/>
        <v>No</v>
      </c>
      <c r="AI191" s="25"/>
      <c r="AJ191" s="20">
        <v>45056</v>
      </c>
      <c r="AK191" s="20" t="s">
        <v>1552</v>
      </c>
      <c r="AL191" s="20">
        <v>39017</v>
      </c>
      <c r="AM191" s="20" t="s">
        <v>15</v>
      </c>
      <c r="AN191" s="37">
        <f t="shared" si="26"/>
        <v>17140</v>
      </c>
      <c r="AO191" s="37" t="str">
        <f t="shared" si="27"/>
        <v>Cincinnati, OH-KY-IN</v>
      </c>
      <c r="AP191" s="20" t="s">
        <v>8</v>
      </c>
      <c r="AQ191" s="25"/>
      <c r="AR191" s="25"/>
      <c r="AS191" s="25"/>
      <c r="AT191" s="25"/>
      <c r="AU191" s="36"/>
      <c r="AV191" s="36"/>
      <c r="AW191" s="36"/>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39">
        <v>44706</v>
      </c>
      <c r="BV191" s="39" t="s">
        <v>1455</v>
      </c>
      <c r="BW191" s="39" t="s">
        <v>2913</v>
      </c>
      <c r="BX191" s="39" t="s">
        <v>269</v>
      </c>
      <c r="BY191" s="71">
        <v>750</v>
      </c>
      <c r="BZ191" s="71">
        <v>850</v>
      </c>
      <c r="CA191" s="71">
        <v>1090</v>
      </c>
      <c r="CB191" s="71">
        <v>1380</v>
      </c>
      <c r="CC191" s="71">
        <v>1460</v>
      </c>
      <c r="CD191" s="25"/>
      <c r="CE191" s="200"/>
      <c r="CF191" s="200"/>
      <c r="CG191" s="200"/>
      <c r="CH191" s="200"/>
      <c r="CI191" s="200"/>
      <c r="CJ191" s="200"/>
      <c r="CK191" s="200"/>
      <c r="CL191" s="200"/>
      <c r="CM191" s="200"/>
      <c r="CN191" s="200"/>
      <c r="CO191" s="200"/>
      <c r="CP191" s="200"/>
      <c r="CQ191" s="200"/>
      <c r="CR191" s="200"/>
      <c r="CS191" s="200"/>
      <c r="CT191" s="200"/>
      <c r="CU191" s="200"/>
    </row>
    <row r="192" spans="1:99" s="17" customFormat="1" x14ac:dyDescent="0.2">
      <c r="A192" s="25"/>
      <c r="B192" s="20">
        <v>39061023001</v>
      </c>
      <c r="C192" s="20">
        <v>230.01</v>
      </c>
      <c r="D192" s="20" t="s">
        <v>37</v>
      </c>
      <c r="E192" s="20" t="s">
        <v>2828</v>
      </c>
      <c r="F192" s="20" t="s">
        <v>8</v>
      </c>
      <c r="G192" s="861">
        <v>74.272520666238904</v>
      </c>
      <c r="H192" s="861">
        <v>63.856551829977001</v>
      </c>
      <c r="I192" s="861">
        <v>39.1892445273932</v>
      </c>
      <c r="J192" s="861">
        <v>33.613288316332003</v>
      </c>
      <c r="K192" s="982">
        <v>0</v>
      </c>
      <c r="L192" s="735">
        <v>4499</v>
      </c>
      <c r="M192" s="735">
        <v>4637</v>
      </c>
      <c r="N192" s="845">
        <f t="shared" si="23"/>
        <v>3.0673482996221382E-2</v>
      </c>
      <c r="O192" s="735">
        <v>6.7710388060430136</v>
      </c>
      <c r="P192" s="735">
        <f t="shared" si="24"/>
        <v>684.82844845927809</v>
      </c>
      <c r="Q192" s="849">
        <v>43.6</v>
      </c>
      <c r="R192" s="71">
        <v>52158</v>
      </c>
      <c r="S192" s="845">
        <v>5.4468652734548685E-2</v>
      </c>
      <c r="T192" s="845">
        <v>1.2E-2</v>
      </c>
      <c r="U192" s="845">
        <v>0</v>
      </c>
      <c r="V192" s="845">
        <v>0</v>
      </c>
      <c r="W192" s="845">
        <v>0.71669218989280248</v>
      </c>
      <c r="X192" s="845">
        <v>0.40918803418803418</v>
      </c>
      <c r="Y192" s="845">
        <v>0.6612033642441234</v>
      </c>
      <c r="Z192" s="845">
        <v>0.17770109984904034</v>
      </c>
      <c r="AA192" s="845">
        <v>0</v>
      </c>
      <c r="AB192" s="845">
        <v>6.6853569117964196E-2</v>
      </c>
      <c r="AC192" s="845">
        <v>0</v>
      </c>
      <c r="AD192" s="845">
        <v>3.9249514772482209E-2</v>
      </c>
      <c r="AE192" s="845">
        <v>5.4992452016389907E-2</v>
      </c>
      <c r="AF192" s="845">
        <v>5.4345481992667671E-2</v>
      </c>
      <c r="AG192" s="845">
        <v>0.65171447056286391</v>
      </c>
      <c r="AH192" s="20" t="str">
        <f t="shared" si="25"/>
        <v>No</v>
      </c>
      <c r="AI192" s="25"/>
      <c r="AJ192" s="20">
        <v>45062</v>
      </c>
      <c r="AK192" s="20" t="s">
        <v>1553</v>
      </c>
      <c r="AL192" s="20">
        <v>39017</v>
      </c>
      <c r="AM192" s="20" t="s">
        <v>15</v>
      </c>
      <c r="AN192" s="37">
        <f t="shared" si="26"/>
        <v>17140</v>
      </c>
      <c r="AO192" s="37" t="str">
        <f t="shared" si="27"/>
        <v>Cincinnati, OH-KY-IN</v>
      </c>
      <c r="AP192" s="20" t="s">
        <v>8</v>
      </c>
      <c r="AQ192" s="25"/>
      <c r="AR192" s="25"/>
      <c r="AS192" s="25"/>
      <c r="AT192" s="25"/>
      <c r="AU192" s="36"/>
      <c r="AV192" s="36"/>
      <c r="AW192" s="36"/>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39">
        <v>44707</v>
      </c>
      <c r="BV192" s="39" t="s">
        <v>1456</v>
      </c>
      <c r="BW192" s="39" t="s">
        <v>2913</v>
      </c>
      <c r="BX192" s="39" t="s">
        <v>269</v>
      </c>
      <c r="BY192" s="71">
        <v>700</v>
      </c>
      <c r="BZ192" s="71">
        <v>790</v>
      </c>
      <c r="CA192" s="71">
        <v>1020</v>
      </c>
      <c r="CB192" s="71">
        <v>1290</v>
      </c>
      <c r="CC192" s="71">
        <v>1360</v>
      </c>
      <c r="CD192" s="25"/>
      <c r="CE192" s="200"/>
      <c r="CF192" s="200"/>
      <c r="CG192" s="200"/>
      <c r="CH192" s="200"/>
      <c r="CI192" s="200"/>
      <c r="CJ192" s="200"/>
      <c r="CK192" s="200"/>
      <c r="CL192" s="200"/>
      <c r="CM192" s="200"/>
      <c r="CN192" s="200"/>
      <c r="CO192" s="200"/>
      <c r="CP192" s="200"/>
      <c r="CQ192" s="200"/>
      <c r="CR192" s="200"/>
      <c r="CS192" s="200"/>
      <c r="CT192" s="200"/>
      <c r="CU192" s="200"/>
    </row>
    <row r="193" spans="1:99" s="17" customFormat="1" x14ac:dyDescent="0.2">
      <c r="A193" s="25"/>
      <c r="B193" s="20">
        <v>39049007958</v>
      </c>
      <c r="C193" s="20">
        <v>79.58</v>
      </c>
      <c r="D193" s="20" t="s">
        <v>31</v>
      </c>
      <c r="E193" s="20" t="s">
        <v>2830</v>
      </c>
      <c r="F193" s="20" t="s">
        <v>8</v>
      </c>
      <c r="G193" s="861">
        <v>74.199267568509001</v>
      </c>
      <c r="H193" s="861">
        <v>77.982973871138796</v>
      </c>
      <c r="I193" s="861">
        <v>30.087587907966999</v>
      </c>
      <c r="J193" s="861">
        <v>50.217390786987899</v>
      </c>
      <c r="K193" s="982">
        <v>0</v>
      </c>
      <c r="L193" s="735" t="s">
        <v>2466</v>
      </c>
      <c r="M193" s="735">
        <v>3378</v>
      </c>
      <c r="N193" s="845" t="str">
        <f t="shared" si="23"/>
        <v/>
      </c>
      <c r="O193" s="735">
        <v>1.5212648987797863</v>
      </c>
      <c r="P193" s="735">
        <f t="shared" si="24"/>
        <v>2220.520569895164</v>
      </c>
      <c r="Q193" s="849">
        <v>47</v>
      </c>
      <c r="R193" s="71">
        <v>137764</v>
      </c>
      <c r="S193" s="845">
        <v>1.0733452593917709E-2</v>
      </c>
      <c r="T193" s="845">
        <v>2.5000000000000001E-2</v>
      </c>
      <c r="U193" s="845">
        <v>6.9999999999999993E-3</v>
      </c>
      <c r="V193" s="845">
        <v>0</v>
      </c>
      <c r="W193" s="845">
        <v>0.11688311688311688</v>
      </c>
      <c r="X193" s="845">
        <v>0.86928104575163401</v>
      </c>
      <c r="Y193" s="845">
        <v>0.83510953226761397</v>
      </c>
      <c r="Z193" s="845">
        <v>0</v>
      </c>
      <c r="AA193" s="845">
        <v>0</v>
      </c>
      <c r="AB193" s="845">
        <v>0.12729425695677915</v>
      </c>
      <c r="AC193" s="845">
        <v>0</v>
      </c>
      <c r="AD193" s="845">
        <v>0</v>
      </c>
      <c r="AE193" s="845">
        <v>3.7596210775606868E-2</v>
      </c>
      <c r="AF193" s="845">
        <v>0</v>
      </c>
      <c r="AG193" s="845">
        <v>0.83510953226761397</v>
      </c>
      <c r="AH193" s="20" t="str">
        <f t="shared" si="25"/>
        <v>No</v>
      </c>
      <c r="AI193" s="25"/>
      <c r="AJ193" s="20">
        <v>45064</v>
      </c>
      <c r="AK193" s="20" t="s">
        <v>1554</v>
      </c>
      <c r="AL193" s="20">
        <v>39017</v>
      </c>
      <c r="AM193" s="20" t="s">
        <v>15</v>
      </c>
      <c r="AN193" s="37">
        <f t="shared" si="26"/>
        <v>17140</v>
      </c>
      <c r="AO193" s="37" t="str">
        <f t="shared" si="27"/>
        <v>Cincinnati, OH-KY-IN</v>
      </c>
      <c r="AP193" s="20" t="s">
        <v>8</v>
      </c>
      <c r="AQ193" s="25"/>
      <c r="AR193" s="25"/>
      <c r="AS193" s="25"/>
      <c r="AT193" s="25"/>
      <c r="AU193" s="36"/>
      <c r="AV193" s="36"/>
      <c r="AW193" s="36"/>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39">
        <v>44708</v>
      </c>
      <c r="BV193" s="39" t="s">
        <v>1457</v>
      </c>
      <c r="BW193" s="39" t="s">
        <v>2913</v>
      </c>
      <c r="BX193" s="39" t="s">
        <v>269</v>
      </c>
      <c r="BY193" s="71">
        <v>790</v>
      </c>
      <c r="BZ193" s="71">
        <v>890</v>
      </c>
      <c r="CA193" s="71">
        <v>1140</v>
      </c>
      <c r="CB193" s="71">
        <v>1440</v>
      </c>
      <c r="CC193" s="71">
        <v>1520</v>
      </c>
      <c r="CD193" s="25"/>
      <c r="CE193" s="200"/>
      <c r="CF193" s="200"/>
      <c r="CG193" s="200"/>
      <c r="CH193" s="200"/>
      <c r="CI193" s="200"/>
      <c r="CJ193" s="200"/>
      <c r="CK193" s="200"/>
      <c r="CL193" s="200"/>
      <c r="CM193" s="200"/>
      <c r="CN193" s="200"/>
      <c r="CO193" s="200"/>
      <c r="CP193" s="200"/>
      <c r="CQ193" s="200"/>
      <c r="CR193" s="200"/>
      <c r="CS193" s="200"/>
      <c r="CT193" s="200"/>
      <c r="CU193" s="200"/>
    </row>
    <row r="194" spans="1:99" s="17" customFormat="1" x14ac:dyDescent="0.2">
      <c r="A194" s="25"/>
      <c r="B194" s="20">
        <v>39165030700</v>
      </c>
      <c r="C194" s="20">
        <v>307</v>
      </c>
      <c r="D194" s="20" t="s">
        <v>88</v>
      </c>
      <c r="E194" s="20" t="s">
        <v>2828</v>
      </c>
      <c r="F194" s="20" t="s">
        <v>8</v>
      </c>
      <c r="G194" s="861">
        <v>74.161726848485401</v>
      </c>
      <c r="H194" s="861">
        <v>73.5500569195775</v>
      </c>
      <c r="I194" s="861">
        <v>35.426890071338498</v>
      </c>
      <c r="J194" s="861">
        <v>64.011152617884903</v>
      </c>
      <c r="K194" s="982">
        <v>0</v>
      </c>
      <c r="L194" s="735">
        <v>6908</v>
      </c>
      <c r="M194" s="735">
        <v>7260</v>
      </c>
      <c r="N194" s="845">
        <f t="shared" si="23"/>
        <v>5.0955414012738856E-2</v>
      </c>
      <c r="O194" s="735">
        <v>10.917364404425779</v>
      </c>
      <c r="P194" s="735">
        <f t="shared" si="24"/>
        <v>664.99566480137605</v>
      </c>
      <c r="Q194" s="849">
        <v>43.7</v>
      </c>
      <c r="R194" s="71">
        <v>104439</v>
      </c>
      <c r="S194" s="845">
        <v>5.4091539528432729E-2</v>
      </c>
      <c r="T194" s="845">
        <v>6.2E-2</v>
      </c>
      <c r="U194" s="845">
        <v>0</v>
      </c>
      <c r="V194" s="845">
        <v>0.25900000000000001</v>
      </c>
      <c r="W194" s="845">
        <v>0.15084985835694051</v>
      </c>
      <c r="X194" s="845">
        <v>0.47652582159624413</v>
      </c>
      <c r="Y194" s="845">
        <v>0.91584022038567492</v>
      </c>
      <c r="Z194" s="845">
        <v>5.2341597796143249E-3</v>
      </c>
      <c r="AA194" s="845">
        <v>0</v>
      </c>
      <c r="AB194" s="845">
        <v>2.3002754820936638E-2</v>
      </c>
      <c r="AC194" s="845">
        <v>0</v>
      </c>
      <c r="AD194" s="845">
        <v>1.1707988980716254E-2</v>
      </c>
      <c r="AE194" s="845">
        <v>4.4214876033057848E-2</v>
      </c>
      <c r="AF194" s="845">
        <v>1.5977961432506887E-2</v>
      </c>
      <c r="AG194" s="845">
        <v>0.90964187327823687</v>
      </c>
      <c r="AH194" s="20" t="str">
        <f t="shared" si="25"/>
        <v>Yes</v>
      </c>
      <c r="AI194" s="25"/>
      <c r="AJ194" s="20">
        <v>45067</v>
      </c>
      <c r="AK194" s="20" t="s">
        <v>1557</v>
      </c>
      <c r="AL194" s="20">
        <v>39017</v>
      </c>
      <c r="AM194" s="20" t="s">
        <v>15</v>
      </c>
      <c r="AN194" s="37">
        <f t="shared" si="26"/>
        <v>17140</v>
      </c>
      <c r="AO194" s="37" t="str">
        <f t="shared" si="27"/>
        <v>Cincinnati, OH-KY-IN</v>
      </c>
      <c r="AP194" s="20" t="s">
        <v>8</v>
      </c>
      <c r="AQ194" s="25"/>
      <c r="AR194" s="25"/>
      <c r="AS194" s="25"/>
      <c r="AT194" s="25"/>
      <c r="AU194" s="36"/>
      <c r="AV194" s="36"/>
      <c r="AW194" s="36"/>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39">
        <v>44709</v>
      </c>
      <c r="BV194" s="39" t="s">
        <v>1458</v>
      </c>
      <c r="BW194" s="39" t="s">
        <v>2913</v>
      </c>
      <c r="BX194" s="39" t="s">
        <v>269</v>
      </c>
      <c r="BY194" s="71">
        <v>710</v>
      </c>
      <c r="BZ194" s="71">
        <v>800</v>
      </c>
      <c r="CA194" s="71">
        <v>1030</v>
      </c>
      <c r="CB194" s="71">
        <v>1300</v>
      </c>
      <c r="CC194" s="71">
        <v>1380</v>
      </c>
      <c r="CD194" s="25"/>
      <c r="CE194" s="200"/>
      <c r="CF194" s="200"/>
      <c r="CG194" s="200"/>
      <c r="CH194" s="200"/>
      <c r="CI194" s="200"/>
      <c r="CJ194" s="200"/>
      <c r="CK194" s="200"/>
      <c r="CL194" s="200"/>
      <c r="CM194" s="200"/>
      <c r="CN194" s="200"/>
      <c r="CO194" s="200"/>
      <c r="CP194" s="200"/>
      <c r="CQ194" s="200"/>
      <c r="CR194" s="200"/>
      <c r="CS194" s="200"/>
      <c r="CT194" s="200"/>
      <c r="CU194" s="200"/>
    </row>
    <row r="195" spans="1:99" s="17" customFormat="1" x14ac:dyDescent="0.2">
      <c r="A195" s="25"/>
      <c r="B195" s="20">
        <v>39049007047</v>
      </c>
      <c r="C195" s="20">
        <v>70.47</v>
      </c>
      <c r="D195" s="20" t="s">
        <v>31</v>
      </c>
      <c r="E195" s="20" t="s">
        <v>2830</v>
      </c>
      <c r="F195" s="20" t="s">
        <v>8</v>
      </c>
      <c r="G195" s="861">
        <v>74.136286137747206</v>
      </c>
      <c r="H195" s="861">
        <v>86.074275251722099</v>
      </c>
      <c r="I195" s="861">
        <v>32.510255379691998</v>
      </c>
      <c r="J195" s="861">
        <v>48.078719181024603</v>
      </c>
      <c r="K195" s="982">
        <v>0</v>
      </c>
      <c r="L195" s="735">
        <v>3873</v>
      </c>
      <c r="M195" s="735">
        <v>4350</v>
      </c>
      <c r="N195" s="845">
        <f t="shared" si="23"/>
        <v>0.12316034082106894</v>
      </c>
      <c r="O195" s="735">
        <v>0.90059834290127305</v>
      </c>
      <c r="P195" s="735">
        <f t="shared" si="24"/>
        <v>4830.1221452245809</v>
      </c>
      <c r="Q195" s="849">
        <v>32.299999999999997</v>
      </c>
      <c r="R195" s="71">
        <v>85000</v>
      </c>
      <c r="S195" s="845">
        <v>7.4942528735632188E-2</v>
      </c>
      <c r="T195" s="845">
        <v>0</v>
      </c>
      <c r="U195" s="845">
        <v>0</v>
      </c>
      <c r="V195" s="845">
        <v>1.9E-2</v>
      </c>
      <c r="W195" s="845">
        <v>0.54055555555555557</v>
      </c>
      <c r="X195" s="845">
        <v>0.44295991778006166</v>
      </c>
      <c r="Y195" s="845">
        <v>0.6</v>
      </c>
      <c r="Z195" s="845">
        <v>0.28850574712643678</v>
      </c>
      <c r="AA195" s="845">
        <v>0</v>
      </c>
      <c r="AB195" s="845">
        <v>2.3678160919540229E-2</v>
      </c>
      <c r="AC195" s="845">
        <v>0</v>
      </c>
      <c r="AD195" s="845">
        <v>5.5172413793103448E-2</v>
      </c>
      <c r="AE195" s="845">
        <v>3.2643678160919537E-2</v>
      </c>
      <c r="AF195" s="845">
        <v>6.137931034482759E-2</v>
      </c>
      <c r="AG195" s="845">
        <v>0.59195402298850575</v>
      </c>
      <c r="AH195" s="20" t="str">
        <f t="shared" si="25"/>
        <v>No</v>
      </c>
      <c r="AI195" s="25"/>
      <c r="AJ195" s="20">
        <v>45069</v>
      </c>
      <c r="AK195" s="20" t="s">
        <v>1559</v>
      </c>
      <c r="AL195" s="20">
        <v>39017</v>
      </c>
      <c r="AM195" s="20" t="s">
        <v>15</v>
      </c>
      <c r="AN195" s="37">
        <f t="shared" si="26"/>
        <v>17140</v>
      </c>
      <c r="AO195" s="37" t="str">
        <f t="shared" si="27"/>
        <v>Cincinnati, OH-KY-IN</v>
      </c>
      <c r="AP195" s="20" t="s">
        <v>8</v>
      </c>
      <c r="AQ195" s="25"/>
      <c r="AR195" s="25"/>
      <c r="AS195" s="25"/>
      <c r="AT195" s="25"/>
      <c r="AU195" s="36"/>
      <c r="AV195" s="36"/>
      <c r="AW195" s="36"/>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39">
        <v>44710</v>
      </c>
      <c r="BV195" s="39" t="s">
        <v>1459</v>
      </c>
      <c r="BW195" s="39" t="s">
        <v>2913</v>
      </c>
      <c r="BX195" s="39" t="s">
        <v>269</v>
      </c>
      <c r="BY195" s="71">
        <v>790</v>
      </c>
      <c r="BZ195" s="71">
        <v>900</v>
      </c>
      <c r="CA195" s="71">
        <v>1150</v>
      </c>
      <c r="CB195" s="71">
        <v>1450</v>
      </c>
      <c r="CC195" s="71">
        <v>1540</v>
      </c>
      <c r="CD195" s="25"/>
      <c r="CE195" s="200"/>
      <c r="CF195" s="200"/>
      <c r="CG195" s="200"/>
      <c r="CH195" s="200"/>
      <c r="CI195" s="200"/>
      <c r="CJ195" s="200"/>
      <c r="CK195" s="200"/>
      <c r="CL195" s="200"/>
      <c r="CM195" s="200"/>
      <c r="CN195" s="200"/>
      <c r="CO195" s="200"/>
      <c r="CP195" s="200"/>
      <c r="CQ195" s="200"/>
      <c r="CR195" s="200"/>
      <c r="CS195" s="200"/>
      <c r="CT195" s="200"/>
      <c r="CU195" s="200"/>
    </row>
    <row r="196" spans="1:99" s="17" customFormat="1" x14ac:dyDescent="0.2">
      <c r="A196" s="25"/>
      <c r="B196" s="20">
        <v>39035181201</v>
      </c>
      <c r="C196" s="20">
        <v>1812.01</v>
      </c>
      <c r="D196" s="20" t="s">
        <v>24</v>
      </c>
      <c r="E196" s="20" t="s">
        <v>2829</v>
      </c>
      <c r="F196" s="20" t="s">
        <v>8</v>
      </c>
      <c r="G196" s="861">
        <v>74.123149709399897</v>
      </c>
      <c r="H196" s="861">
        <v>65.300662467082205</v>
      </c>
      <c r="I196" s="861">
        <v>30.779824177352001</v>
      </c>
      <c r="J196" s="861">
        <v>60.009328436395201</v>
      </c>
      <c r="K196" s="982">
        <v>0</v>
      </c>
      <c r="L196" s="735">
        <v>5854</v>
      </c>
      <c r="M196" s="735">
        <v>6346</v>
      </c>
      <c r="N196" s="845">
        <f t="shared" si="23"/>
        <v>8.4045097369320129E-2</v>
      </c>
      <c r="O196" s="735">
        <v>1.489626915700397</v>
      </c>
      <c r="P196" s="735">
        <f t="shared" si="24"/>
        <v>4260.127105058531</v>
      </c>
      <c r="Q196" s="849">
        <v>45</v>
      </c>
      <c r="R196" s="71">
        <v>95406</v>
      </c>
      <c r="S196" s="845">
        <v>6.6849668981107696E-2</v>
      </c>
      <c r="T196" s="845">
        <v>2.2000000000000002E-2</v>
      </c>
      <c r="U196" s="845">
        <v>0</v>
      </c>
      <c r="V196" s="845">
        <v>6.8000000000000005E-2</v>
      </c>
      <c r="W196" s="845">
        <v>0.22807650667629015</v>
      </c>
      <c r="X196" s="845">
        <v>0.29272151898734178</v>
      </c>
      <c r="Y196" s="845">
        <v>0.86905137094232587</v>
      </c>
      <c r="Z196" s="845">
        <v>2.3952095808383235E-2</v>
      </c>
      <c r="AA196" s="845">
        <v>2.2061140876142452E-3</v>
      </c>
      <c r="AB196" s="845">
        <v>4.9164828238260322E-2</v>
      </c>
      <c r="AC196" s="845">
        <v>0</v>
      </c>
      <c r="AD196" s="845">
        <v>0</v>
      </c>
      <c r="AE196" s="845">
        <v>5.5625590923416325E-2</v>
      </c>
      <c r="AF196" s="845">
        <v>3.8134257800189093E-2</v>
      </c>
      <c r="AG196" s="845">
        <v>0.86369366530097702</v>
      </c>
      <c r="AH196" s="20" t="str">
        <f t="shared" si="25"/>
        <v>No</v>
      </c>
      <c r="AI196" s="25"/>
      <c r="AJ196" s="20">
        <v>45241</v>
      </c>
      <c r="AK196" s="20" t="s">
        <v>1642</v>
      </c>
      <c r="AL196" s="20">
        <v>39017</v>
      </c>
      <c r="AM196" s="20" t="s">
        <v>15</v>
      </c>
      <c r="AN196" s="37">
        <f t="shared" si="26"/>
        <v>17140</v>
      </c>
      <c r="AO196" s="37" t="str">
        <f t="shared" si="27"/>
        <v>Cincinnati, OH-KY-IN</v>
      </c>
      <c r="AP196" s="20" t="s">
        <v>8</v>
      </c>
      <c r="AQ196" s="25"/>
      <c r="AR196" s="25"/>
      <c r="AS196" s="25"/>
      <c r="AT196" s="25"/>
      <c r="AU196" s="36"/>
      <c r="AV196" s="36"/>
      <c r="AW196" s="36"/>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39">
        <v>44714</v>
      </c>
      <c r="BV196" s="39" t="s">
        <v>1460</v>
      </c>
      <c r="BW196" s="39" t="s">
        <v>2913</v>
      </c>
      <c r="BX196" s="39" t="s">
        <v>269</v>
      </c>
      <c r="BY196" s="71">
        <v>760</v>
      </c>
      <c r="BZ196" s="71">
        <v>860</v>
      </c>
      <c r="CA196" s="71">
        <v>1100</v>
      </c>
      <c r="CB196" s="71">
        <v>1390</v>
      </c>
      <c r="CC196" s="71">
        <v>1470</v>
      </c>
      <c r="CD196" s="25"/>
      <c r="CE196" s="200"/>
      <c r="CF196" s="200"/>
      <c r="CG196" s="200"/>
      <c r="CH196" s="200"/>
      <c r="CI196" s="200"/>
      <c r="CJ196" s="200"/>
      <c r="CK196" s="200"/>
      <c r="CL196" s="200"/>
      <c r="CM196" s="200"/>
      <c r="CN196" s="200"/>
      <c r="CO196" s="200"/>
      <c r="CP196" s="200"/>
      <c r="CQ196" s="200"/>
      <c r="CR196" s="200"/>
      <c r="CS196" s="200"/>
      <c r="CT196" s="200"/>
      <c r="CU196" s="200"/>
    </row>
    <row r="197" spans="1:99" s="17" customFormat="1" x14ac:dyDescent="0.2">
      <c r="A197" s="25"/>
      <c r="B197" s="20">
        <v>39049004001</v>
      </c>
      <c r="C197" s="20">
        <v>40.01</v>
      </c>
      <c r="D197" s="20" t="s">
        <v>31</v>
      </c>
      <c r="E197" s="20" t="s">
        <v>2830</v>
      </c>
      <c r="F197" s="20" t="s">
        <v>6</v>
      </c>
      <c r="G197" s="861">
        <v>73.937186574122194</v>
      </c>
      <c r="H197" s="861">
        <v>91.836132752116498</v>
      </c>
      <c r="I197" s="861">
        <v>35.570626674438202</v>
      </c>
      <c r="J197" s="861">
        <v>28.549540506233701</v>
      </c>
      <c r="K197" s="982">
        <v>1</v>
      </c>
      <c r="L197" s="735" t="s">
        <v>2466</v>
      </c>
      <c r="M197" s="735">
        <v>1443</v>
      </c>
      <c r="N197" s="845" t="str">
        <f t="shared" si="23"/>
        <v/>
      </c>
      <c r="O197" s="735">
        <v>0.299572803830362</v>
      </c>
      <c r="P197" s="735">
        <f t="shared" si="24"/>
        <v>4816.8591459227464</v>
      </c>
      <c r="Q197" s="849">
        <v>30.1</v>
      </c>
      <c r="R197" s="71">
        <v>32758</v>
      </c>
      <c r="S197" s="845">
        <v>0.25433125433125431</v>
      </c>
      <c r="T197" s="845">
        <v>6.6000000000000003E-2</v>
      </c>
      <c r="U197" s="845">
        <v>0</v>
      </c>
      <c r="V197" s="845">
        <v>0.02</v>
      </c>
      <c r="W197" s="845">
        <v>0.81176470588235294</v>
      </c>
      <c r="X197" s="845">
        <v>0.45930880713489408</v>
      </c>
      <c r="Y197" s="845">
        <v>0.67359667359667363</v>
      </c>
      <c r="Z197" s="845">
        <v>0.11503811503811504</v>
      </c>
      <c r="AA197" s="845">
        <v>5.544005544005544E-3</v>
      </c>
      <c r="AB197" s="845">
        <v>3.6036036036036036E-2</v>
      </c>
      <c r="AC197" s="845">
        <v>0</v>
      </c>
      <c r="AD197" s="845">
        <v>4.851004851004851E-2</v>
      </c>
      <c r="AE197" s="845">
        <v>0.12127512127512127</v>
      </c>
      <c r="AF197" s="845">
        <v>0.12820512820512819</v>
      </c>
      <c r="AG197" s="845">
        <v>0.62231462231462231</v>
      </c>
      <c r="AH197" s="20" t="str">
        <f t="shared" si="25"/>
        <v>No</v>
      </c>
      <c r="AI197" s="25"/>
      <c r="AJ197" s="37">
        <v>45246</v>
      </c>
      <c r="AK197" s="37" t="s">
        <v>1647</v>
      </c>
      <c r="AL197" s="37">
        <v>39017</v>
      </c>
      <c r="AM197" s="37" t="s">
        <v>15</v>
      </c>
      <c r="AN197" s="37">
        <f t="shared" si="26"/>
        <v>17140</v>
      </c>
      <c r="AO197" s="37" t="str">
        <f t="shared" si="27"/>
        <v>Cincinnati, OH-KY-IN</v>
      </c>
      <c r="AP197" s="20" t="s">
        <v>8</v>
      </c>
      <c r="AQ197" s="25"/>
      <c r="AR197" s="25"/>
      <c r="AS197" s="25"/>
      <c r="AT197" s="25"/>
      <c r="AU197" s="36"/>
      <c r="AV197" s="36"/>
      <c r="AW197" s="36"/>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39">
        <v>44718</v>
      </c>
      <c r="BV197" s="39" t="s">
        <v>1461</v>
      </c>
      <c r="BW197" s="39" t="s">
        <v>2913</v>
      </c>
      <c r="BX197" s="39" t="s">
        <v>269</v>
      </c>
      <c r="BY197" s="71">
        <v>740</v>
      </c>
      <c r="BZ197" s="71">
        <v>840</v>
      </c>
      <c r="CA197" s="71">
        <v>1080</v>
      </c>
      <c r="CB197" s="71">
        <v>1360</v>
      </c>
      <c r="CC197" s="71">
        <v>1440</v>
      </c>
      <c r="CD197" s="25"/>
      <c r="CE197" s="200"/>
      <c r="CF197" s="200"/>
      <c r="CG197" s="200"/>
      <c r="CH197" s="200"/>
      <c r="CI197" s="200"/>
      <c r="CJ197" s="200"/>
      <c r="CK197" s="200"/>
      <c r="CL197" s="200"/>
      <c r="CM197" s="200"/>
      <c r="CN197" s="200"/>
      <c r="CO197" s="200"/>
      <c r="CP197" s="200"/>
      <c r="CQ197" s="200"/>
      <c r="CR197" s="200"/>
      <c r="CS197" s="200"/>
      <c r="CT197" s="200"/>
      <c r="CU197" s="200"/>
    </row>
    <row r="198" spans="1:99" s="17" customFormat="1" x14ac:dyDescent="0.2">
      <c r="A198" s="25"/>
      <c r="B198" s="20">
        <v>39049007427</v>
      </c>
      <c r="C198" s="20">
        <v>74.27</v>
      </c>
      <c r="D198" s="20" t="s">
        <v>31</v>
      </c>
      <c r="E198" s="20" t="s">
        <v>2830</v>
      </c>
      <c r="F198" s="20" t="s">
        <v>8</v>
      </c>
      <c r="G198" s="861">
        <v>73.884900436788001</v>
      </c>
      <c r="H198" s="861">
        <v>80.719274485487603</v>
      </c>
      <c r="I198" s="861">
        <v>25.829354688188999</v>
      </c>
      <c r="J198" s="861">
        <v>41.1757588620126</v>
      </c>
      <c r="K198" s="982">
        <v>0</v>
      </c>
      <c r="L198" s="735">
        <v>6089</v>
      </c>
      <c r="M198" s="735">
        <v>5822</v>
      </c>
      <c r="N198" s="845">
        <f t="shared" si="23"/>
        <v>-4.3849564788963707E-2</v>
      </c>
      <c r="O198" s="735">
        <v>2.7762378414934115</v>
      </c>
      <c r="P198" s="735">
        <f t="shared" si="24"/>
        <v>2097.0825744771901</v>
      </c>
      <c r="Q198" s="849">
        <v>38.200000000000003</v>
      </c>
      <c r="R198" s="71">
        <v>102402</v>
      </c>
      <c r="S198" s="845">
        <v>8.8457574716592241E-2</v>
      </c>
      <c r="T198" s="845">
        <v>0.06</v>
      </c>
      <c r="U198" s="845">
        <v>0</v>
      </c>
      <c r="V198" s="845">
        <v>9.6999999999999989E-2</v>
      </c>
      <c r="W198" s="845">
        <v>0.37063227953410982</v>
      </c>
      <c r="X198" s="845">
        <v>0.2772166105499439</v>
      </c>
      <c r="Y198" s="845">
        <v>0.62968052215733428</v>
      </c>
      <c r="Z198" s="845">
        <v>0.2279285468911027</v>
      </c>
      <c r="AA198" s="845">
        <v>0</v>
      </c>
      <c r="AB198" s="845">
        <v>3.6757128134661629E-2</v>
      </c>
      <c r="AC198" s="845">
        <v>3.7787701820680177E-3</v>
      </c>
      <c r="AD198" s="845">
        <v>0</v>
      </c>
      <c r="AE198" s="845">
        <v>0.10185503263483339</v>
      </c>
      <c r="AF198" s="845">
        <v>1.4428031604259704E-2</v>
      </c>
      <c r="AG198" s="845">
        <v>0.62968052215733428</v>
      </c>
      <c r="AH198" s="20" t="str">
        <f t="shared" si="25"/>
        <v>No</v>
      </c>
      <c r="AI198" s="25"/>
      <c r="AJ198" s="37">
        <v>45327</v>
      </c>
      <c r="AK198" s="37" t="s">
        <v>1680</v>
      </c>
      <c r="AL198" s="37">
        <v>39017</v>
      </c>
      <c r="AM198" s="37" t="s">
        <v>15</v>
      </c>
      <c r="AN198" s="37">
        <f t="shared" si="26"/>
        <v>17140</v>
      </c>
      <c r="AO198" s="37" t="str">
        <f t="shared" si="27"/>
        <v>Cincinnati, OH-KY-IN</v>
      </c>
      <c r="AP198" s="20" t="s">
        <v>8</v>
      </c>
      <c r="AQ198" s="25"/>
      <c r="AR198" s="25"/>
      <c r="AS198" s="25"/>
      <c r="AT198" s="25"/>
      <c r="AU198" s="36"/>
      <c r="AV198" s="36"/>
      <c r="AW198" s="36"/>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39">
        <v>44721</v>
      </c>
      <c r="BV198" s="39" t="s">
        <v>1463</v>
      </c>
      <c r="BW198" s="39" t="s">
        <v>2913</v>
      </c>
      <c r="BX198" s="39" t="s">
        <v>269</v>
      </c>
      <c r="BY198" s="71">
        <v>730</v>
      </c>
      <c r="BZ198" s="71">
        <v>830</v>
      </c>
      <c r="CA198" s="71">
        <v>1060</v>
      </c>
      <c r="CB198" s="71">
        <v>1340</v>
      </c>
      <c r="CC198" s="71">
        <v>1420</v>
      </c>
      <c r="CD198" s="25"/>
      <c r="CE198" s="200"/>
      <c r="CF198" s="200"/>
      <c r="CG198" s="200"/>
      <c r="CH198" s="200"/>
      <c r="CI198" s="200"/>
      <c r="CJ198" s="200"/>
      <c r="CK198" s="200"/>
      <c r="CL198" s="200"/>
      <c r="CM198" s="200"/>
      <c r="CN198" s="200"/>
      <c r="CO198" s="200"/>
      <c r="CP198" s="200"/>
      <c r="CQ198" s="200"/>
      <c r="CR198" s="200"/>
      <c r="CS198" s="200"/>
      <c r="CT198" s="200"/>
      <c r="CU198" s="200"/>
    </row>
    <row r="199" spans="1:99" s="17" customFormat="1" x14ac:dyDescent="0.2">
      <c r="A199" s="25"/>
      <c r="B199" s="20">
        <v>39061007400</v>
      </c>
      <c r="C199" s="20">
        <v>74</v>
      </c>
      <c r="D199" s="20" t="s">
        <v>37</v>
      </c>
      <c r="E199" s="20" t="s">
        <v>2828</v>
      </c>
      <c r="F199" s="20" t="s">
        <v>8</v>
      </c>
      <c r="G199" s="861">
        <v>73.705002735895903</v>
      </c>
      <c r="H199" s="861">
        <v>82.522126243462594</v>
      </c>
      <c r="I199" s="861">
        <v>53.0558994882226</v>
      </c>
      <c r="J199" s="861">
        <v>62.172218879253798</v>
      </c>
      <c r="K199" s="982">
        <v>0</v>
      </c>
      <c r="L199" s="735">
        <v>1546</v>
      </c>
      <c r="M199" s="735">
        <v>2118</v>
      </c>
      <c r="N199" s="845">
        <f t="shared" si="23"/>
        <v>0.36998706338939197</v>
      </c>
      <c r="O199" s="735">
        <v>0.2900210225289413</v>
      </c>
      <c r="P199" s="735">
        <f t="shared" si="24"/>
        <v>7302.9188764709088</v>
      </c>
      <c r="Q199" s="849">
        <v>38.1</v>
      </c>
      <c r="R199" s="71">
        <v>86797</v>
      </c>
      <c r="S199" s="845">
        <v>0.17374881964117092</v>
      </c>
      <c r="T199" s="845">
        <v>6.3E-2</v>
      </c>
      <c r="U199" s="845">
        <v>2.5000000000000001E-2</v>
      </c>
      <c r="V199" s="845">
        <v>9.0000000000000011E-3</v>
      </c>
      <c r="W199" s="845">
        <v>0.5410484668644906</v>
      </c>
      <c r="X199" s="845">
        <v>0.2906764168190128</v>
      </c>
      <c r="Y199" s="845">
        <v>0.75590179414542025</v>
      </c>
      <c r="Z199" s="845">
        <v>0.1647780925401322</v>
      </c>
      <c r="AA199" s="845">
        <v>0</v>
      </c>
      <c r="AB199" s="845">
        <v>4.24929178470255E-3</v>
      </c>
      <c r="AC199" s="845">
        <v>0</v>
      </c>
      <c r="AD199" s="845">
        <v>3.3050047214353163E-3</v>
      </c>
      <c r="AE199" s="845">
        <v>7.1765816808309721E-2</v>
      </c>
      <c r="AF199" s="845">
        <v>4.7214353163361665E-2</v>
      </c>
      <c r="AG199" s="845">
        <v>0.73276676109537298</v>
      </c>
      <c r="AH199" s="20" t="str">
        <f t="shared" si="25"/>
        <v>No</v>
      </c>
      <c r="AI199" s="25"/>
      <c r="AJ199" s="20">
        <v>45102</v>
      </c>
      <c r="AK199" s="20" t="s">
        <v>1562</v>
      </c>
      <c r="AL199" s="20">
        <v>39025</v>
      </c>
      <c r="AM199" s="20" t="s">
        <v>19</v>
      </c>
      <c r="AN199" s="37">
        <f t="shared" si="26"/>
        <v>17140</v>
      </c>
      <c r="AO199" s="37" t="str">
        <f t="shared" si="27"/>
        <v>Cincinnati, OH-KY-IN</v>
      </c>
      <c r="AP199" s="20" t="s">
        <v>8</v>
      </c>
      <c r="AQ199" s="25"/>
      <c r="AR199" s="25"/>
      <c r="AS199" s="25"/>
      <c r="AT199" s="25"/>
      <c r="AU199" s="36"/>
      <c r="AV199" s="36"/>
      <c r="AW199" s="36"/>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39">
        <v>44730</v>
      </c>
      <c r="BV199" s="39" t="s">
        <v>1464</v>
      </c>
      <c r="BW199" s="39" t="s">
        <v>2913</v>
      </c>
      <c r="BX199" s="39" t="s">
        <v>269</v>
      </c>
      <c r="BY199" s="71">
        <v>740</v>
      </c>
      <c r="BZ199" s="71">
        <v>830</v>
      </c>
      <c r="CA199" s="71">
        <v>1070</v>
      </c>
      <c r="CB199" s="71">
        <v>1350</v>
      </c>
      <c r="CC199" s="71">
        <v>1430</v>
      </c>
      <c r="CD199" s="25"/>
      <c r="CE199" s="200"/>
      <c r="CF199" s="200"/>
      <c r="CG199" s="200"/>
      <c r="CH199" s="200"/>
      <c r="CI199" s="200"/>
      <c r="CJ199" s="200"/>
      <c r="CK199" s="200"/>
      <c r="CL199" s="200"/>
      <c r="CM199" s="200"/>
      <c r="CN199" s="200"/>
      <c r="CO199" s="200"/>
      <c r="CP199" s="200"/>
      <c r="CQ199" s="200"/>
      <c r="CR199" s="200"/>
      <c r="CS199" s="200"/>
      <c r="CT199" s="200"/>
      <c r="CU199" s="200"/>
    </row>
    <row r="200" spans="1:99" s="17" customFormat="1" x14ac:dyDescent="0.2">
      <c r="A200" s="25"/>
      <c r="B200" s="20">
        <v>39085205100</v>
      </c>
      <c r="C200" s="20">
        <v>2051</v>
      </c>
      <c r="D200" s="20" t="s">
        <v>48</v>
      </c>
      <c r="E200" s="20" t="s">
        <v>2829</v>
      </c>
      <c r="F200" s="20" t="s">
        <v>8</v>
      </c>
      <c r="G200" s="861">
        <v>73.642253971159306</v>
      </c>
      <c r="H200" s="861">
        <v>62.698790297276098</v>
      </c>
      <c r="I200" s="861">
        <v>19.700646752723401</v>
      </c>
      <c r="J200" s="861">
        <v>56.2020191443549</v>
      </c>
      <c r="K200" s="982">
        <v>0</v>
      </c>
      <c r="L200" s="735">
        <v>6397</v>
      </c>
      <c r="M200" s="735">
        <v>7438</v>
      </c>
      <c r="N200" s="845">
        <f t="shared" si="23"/>
        <v>0.16273253087384712</v>
      </c>
      <c r="O200" s="735">
        <v>13.424499852240634</v>
      </c>
      <c r="P200" s="735">
        <f t="shared" si="24"/>
        <v>554.0616098825127</v>
      </c>
      <c r="Q200" s="849">
        <v>48</v>
      </c>
      <c r="R200" s="71">
        <v>134800</v>
      </c>
      <c r="S200" s="845">
        <v>1.4310787093290131E-2</v>
      </c>
      <c r="T200" s="845">
        <v>2.7999999999999997E-2</v>
      </c>
      <c r="U200" s="845">
        <v>0</v>
      </c>
      <c r="V200" s="845">
        <v>0</v>
      </c>
      <c r="W200" s="845">
        <v>2.9840388619014575E-2</v>
      </c>
      <c r="X200" s="845">
        <v>0.40697674418604651</v>
      </c>
      <c r="Y200" s="845">
        <v>0.94662543694541545</v>
      </c>
      <c r="Z200" s="845">
        <v>6.7222371605270238E-3</v>
      </c>
      <c r="AA200" s="845">
        <v>0</v>
      </c>
      <c r="AB200" s="845">
        <v>1.3041140091422425E-2</v>
      </c>
      <c r="AC200" s="845">
        <v>0</v>
      </c>
      <c r="AD200" s="845">
        <v>1.0755579456843238E-3</v>
      </c>
      <c r="AE200" s="845">
        <v>3.2535627856950793E-2</v>
      </c>
      <c r="AF200" s="845">
        <v>8.0666845926324286E-3</v>
      </c>
      <c r="AG200" s="845">
        <v>0.94662543694541545</v>
      </c>
      <c r="AH200" s="20" t="str">
        <f t="shared" si="25"/>
        <v>Yes</v>
      </c>
      <c r="AI200" s="25"/>
      <c r="AJ200" s="20">
        <v>45103</v>
      </c>
      <c r="AK200" s="20" t="s">
        <v>1563</v>
      </c>
      <c r="AL200" s="20">
        <v>39025</v>
      </c>
      <c r="AM200" s="20" t="s">
        <v>19</v>
      </c>
      <c r="AN200" s="37">
        <f t="shared" si="26"/>
        <v>17140</v>
      </c>
      <c r="AO200" s="37" t="str">
        <f t="shared" si="27"/>
        <v>Cincinnati, OH-KY-IN</v>
      </c>
      <c r="AP200" s="20" t="s">
        <v>8</v>
      </c>
      <c r="AQ200" s="25"/>
      <c r="AR200" s="25"/>
      <c r="AS200" s="25"/>
      <c r="AT200" s="25"/>
      <c r="AU200" s="36"/>
      <c r="AV200" s="36"/>
      <c r="AW200" s="36"/>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39">
        <v>43009</v>
      </c>
      <c r="BV200" s="39" t="s">
        <v>736</v>
      </c>
      <c r="BW200" s="39" t="s">
        <v>2961</v>
      </c>
      <c r="BX200" s="39" t="s">
        <v>2962</v>
      </c>
      <c r="BY200" s="71">
        <v>910</v>
      </c>
      <c r="BZ200" s="71">
        <v>1010</v>
      </c>
      <c r="CA200" s="71">
        <v>1290</v>
      </c>
      <c r="CB200" s="71">
        <v>1640</v>
      </c>
      <c r="CC200" s="71">
        <v>1810</v>
      </c>
      <c r="CD200" s="25"/>
      <c r="CE200" s="200"/>
      <c r="CF200" s="200"/>
      <c r="CG200" s="200"/>
      <c r="CH200" s="200"/>
      <c r="CI200" s="200"/>
      <c r="CJ200" s="200"/>
      <c r="CK200" s="200"/>
      <c r="CL200" s="200"/>
      <c r="CM200" s="200"/>
      <c r="CN200" s="200"/>
      <c r="CO200" s="200"/>
      <c r="CP200" s="200"/>
      <c r="CQ200" s="200"/>
      <c r="CR200" s="200"/>
      <c r="CS200" s="200"/>
      <c r="CT200" s="200"/>
      <c r="CU200" s="200"/>
    </row>
    <row r="201" spans="1:99" s="17" customFormat="1" x14ac:dyDescent="0.2">
      <c r="A201" s="25"/>
      <c r="B201" s="20">
        <v>39113020602</v>
      </c>
      <c r="C201" s="20">
        <v>206.02</v>
      </c>
      <c r="D201" s="20" t="s">
        <v>62</v>
      </c>
      <c r="E201" s="20" t="s">
        <v>2833</v>
      </c>
      <c r="F201" s="20" t="s">
        <v>8</v>
      </c>
      <c r="G201" s="861">
        <v>73.508833371792903</v>
      </c>
      <c r="H201" s="861">
        <v>72.202035867837296</v>
      </c>
      <c r="I201" s="861">
        <v>17.456343697545901</v>
      </c>
      <c r="J201" s="861">
        <v>45.692637493748798</v>
      </c>
      <c r="K201" s="982">
        <v>0</v>
      </c>
      <c r="L201" s="735">
        <v>1669</v>
      </c>
      <c r="M201" s="735">
        <v>1774</v>
      </c>
      <c r="N201" s="845">
        <f t="shared" si="23"/>
        <v>6.291192330736968E-2</v>
      </c>
      <c r="O201" s="735">
        <v>0.62556889498616275</v>
      </c>
      <c r="P201" s="735">
        <f t="shared" si="24"/>
        <v>2835.8187470929802</v>
      </c>
      <c r="Q201" s="849">
        <v>38.799999999999997</v>
      </c>
      <c r="R201" s="71">
        <v>97500</v>
      </c>
      <c r="S201" s="845">
        <v>3.3821871476888386E-2</v>
      </c>
      <c r="T201" s="845">
        <v>1.4999999999999999E-2</v>
      </c>
      <c r="U201" s="845">
        <v>0</v>
      </c>
      <c r="V201" s="845">
        <v>0</v>
      </c>
      <c r="W201" s="845">
        <v>1.7663043478260868E-2</v>
      </c>
      <c r="X201" s="845">
        <v>1</v>
      </c>
      <c r="Y201" s="845">
        <v>0.92390078917700114</v>
      </c>
      <c r="Z201" s="845">
        <v>0</v>
      </c>
      <c r="AA201" s="845">
        <v>5.6369785794813977E-4</v>
      </c>
      <c r="AB201" s="845">
        <v>3.9458850056369784E-3</v>
      </c>
      <c r="AC201" s="845">
        <v>0</v>
      </c>
      <c r="AD201" s="845">
        <v>0</v>
      </c>
      <c r="AE201" s="845">
        <v>7.158962795941376E-2</v>
      </c>
      <c r="AF201" s="845">
        <v>1.7474633596392335E-2</v>
      </c>
      <c r="AG201" s="845">
        <v>0.92390078917700114</v>
      </c>
      <c r="AH201" s="20" t="str">
        <f t="shared" si="25"/>
        <v>Yes</v>
      </c>
      <c r="AI201" s="25"/>
      <c r="AJ201" s="37">
        <v>45106</v>
      </c>
      <c r="AK201" s="37" t="s">
        <v>1565</v>
      </c>
      <c r="AL201" s="37">
        <v>39025</v>
      </c>
      <c r="AM201" s="37" t="s">
        <v>19</v>
      </c>
      <c r="AN201" s="37">
        <f t="shared" si="26"/>
        <v>17140</v>
      </c>
      <c r="AO201" s="37" t="str">
        <f t="shared" si="27"/>
        <v>Cincinnati, OH-KY-IN</v>
      </c>
      <c r="AP201" s="20" t="s">
        <v>8</v>
      </c>
      <c r="AQ201" s="25"/>
      <c r="AR201" s="25"/>
      <c r="AS201" s="25"/>
      <c r="AT201" s="25"/>
      <c r="AU201" s="36"/>
      <c r="AV201" s="36"/>
      <c r="AW201" s="36"/>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39">
        <v>43047</v>
      </c>
      <c r="BV201" s="39" t="s">
        <v>765</v>
      </c>
      <c r="BW201" s="39" t="s">
        <v>2961</v>
      </c>
      <c r="BX201" s="39" t="s">
        <v>2962</v>
      </c>
      <c r="BY201" s="71">
        <v>740</v>
      </c>
      <c r="BZ201" s="71">
        <v>820</v>
      </c>
      <c r="CA201" s="71">
        <v>1050</v>
      </c>
      <c r="CB201" s="71">
        <v>1340</v>
      </c>
      <c r="CC201" s="71">
        <v>1480</v>
      </c>
      <c r="CD201" s="25"/>
      <c r="CE201" s="200"/>
      <c r="CF201" s="200"/>
      <c r="CG201" s="200"/>
      <c r="CH201" s="200"/>
      <c r="CI201" s="200"/>
      <c r="CJ201" s="200"/>
      <c r="CK201" s="200"/>
      <c r="CL201" s="200"/>
      <c r="CM201" s="200"/>
      <c r="CN201" s="200"/>
      <c r="CO201" s="200"/>
      <c r="CP201" s="200"/>
      <c r="CQ201" s="200"/>
      <c r="CR201" s="200"/>
      <c r="CS201" s="200"/>
      <c r="CT201" s="200"/>
      <c r="CU201" s="200"/>
    </row>
    <row r="202" spans="1:99" s="17" customFormat="1" x14ac:dyDescent="0.2">
      <c r="A202" s="25"/>
      <c r="B202" s="20">
        <v>39041011530</v>
      </c>
      <c r="C202" s="20">
        <v>115.3</v>
      </c>
      <c r="D202" s="20" t="s">
        <v>27</v>
      </c>
      <c r="E202" s="20" t="s">
        <v>2830</v>
      </c>
      <c r="F202" s="20" t="s">
        <v>8</v>
      </c>
      <c r="G202" s="861">
        <v>73.426331069381007</v>
      </c>
      <c r="H202" s="861">
        <v>79.3893763366043</v>
      </c>
      <c r="I202" s="861">
        <v>15.3768742779412</v>
      </c>
      <c r="J202" s="861">
        <v>48.226127669270802</v>
      </c>
      <c r="K202" s="982">
        <v>0</v>
      </c>
      <c r="L202" s="735">
        <v>3735</v>
      </c>
      <c r="M202" s="735">
        <v>5025</v>
      </c>
      <c r="N202" s="845">
        <f t="shared" si="23"/>
        <v>0.34538152610441769</v>
      </c>
      <c r="O202" s="735">
        <v>0.90008559923466214</v>
      </c>
      <c r="P202" s="735">
        <f t="shared" si="24"/>
        <v>5582.8023515460418</v>
      </c>
      <c r="Q202" s="849">
        <v>32.4</v>
      </c>
      <c r="R202" s="71">
        <v>147719</v>
      </c>
      <c r="S202" s="845">
        <v>1.6915422885572139E-2</v>
      </c>
      <c r="T202" s="845">
        <v>0.03</v>
      </c>
      <c r="U202" s="845">
        <v>0</v>
      </c>
      <c r="V202" s="845">
        <v>9.6000000000000002E-2</v>
      </c>
      <c r="W202" s="845">
        <v>0.27714856762158563</v>
      </c>
      <c r="X202" s="845">
        <v>0.25</v>
      </c>
      <c r="Y202" s="845">
        <v>0.75323383084577111</v>
      </c>
      <c r="Z202" s="845">
        <v>3.2835820895522387E-2</v>
      </c>
      <c r="AA202" s="845">
        <v>0</v>
      </c>
      <c r="AB202" s="845">
        <v>0.17134328358208956</v>
      </c>
      <c r="AC202" s="845">
        <v>0</v>
      </c>
      <c r="AD202" s="845">
        <v>0</v>
      </c>
      <c r="AE202" s="845">
        <v>4.2587064676616916E-2</v>
      </c>
      <c r="AF202" s="845">
        <v>9.3532338308457714E-3</v>
      </c>
      <c r="AG202" s="845">
        <v>0.74407960199004974</v>
      </c>
      <c r="AH202" s="20" t="str">
        <f t="shared" si="25"/>
        <v>No</v>
      </c>
      <c r="AI202" s="25"/>
      <c r="AJ202" s="20">
        <v>45107</v>
      </c>
      <c r="AK202" s="20" t="s">
        <v>1566</v>
      </c>
      <c r="AL202" s="20">
        <v>39025</v>
      </c>
      <c r="AM202" s="20" t="s">
        <v>19</v>
      </c>
      <c r="AN202" s="37">
        <f t="shared" si="26"/>
        <v>17140</v>
      </c>
      <c r="AO202" s="37" t="str">
        <f t="shared" si="27"/>
        <v>Cincinnati, OH-KY-IN</v>
      </c>
      <c r="AP202" s="20" t="s">
        <v>8</v>
      </c>
      <c r="AQ202" s="25"/>
      <c r="AR202" s="25"/>
      <c r="AS202" s="25"/>
      <c r="AT202" s="25"/>
      <c r="AU202" s="36"/>
      <c r="AV202" s="36"/>
      <c r="AW202" s="36"/>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39">
        <v>43070</v>
      </c>
      <c r="BV202" s="39" t="s">
        <v>778</v>
      </c>
      <c r="BW202" s="39" t="s">
        <v>2961</v>
      </c>
      <c r="BX202" s="39" t="s">
        <v>2962</v>
      </c>
      <c r="BY202" s="71">
        <v>890</v>
      </c>
      <c r="BZ202" s="71">
        <v>920</v>
      </c>
      <c r="CA202" s="71">
        <v>1200</v>
      </c>
      <c r="CB202" s="71">
        <v>1470</v>
      </c>
      <c r="CC202" s="71">
        <v>1600</v>
      </c>
      <c r="CD202" s="25"/>
      <c r="CE202" s="200"/>
      <c r="CF202" s="200"/>
      <c r="CG202" s="200"/>
      <c r="CH202" s="200"/>
      <c r="CI202" s="200"/>
      <c r="CJ202" s="200"/>
      <c r="CK202" s="200"/>
      <c r="CL202" s="200"/>
      <c r="CM202" s="200"/>
      <c r="CN202" s="200"/>
      <c r="CO202" s="200"/>
      <c r="CP202" s="200"/>
      <c r="CQ202" s="200"/>
      <c r="CR202" s="200"/>
      <c r="CS202" s="200"/>
      <c r="CT202" s="200"/>
      <c r="CU202" s="200"/>
    </row>
    <row r="203" spans="1:99" s="17" customFormat="1" x14ac:dyDescent="0.2">
      <c r="A203" s="25"/>
      <c r="B203" s="20">
        <v>39095009205</v>
      </c>
      <c r="C203" s="20">
        <v>92.05</v>
      </c>
      <c r="D203" s="20" t="s">
        <v>53</v>
      </c>
      <c r="E203" s="20" t="s">
        <v>2839</v>
      </c>
      <c r="F203" s="20" t="s">
        <v>8</v>
      </c>
      <c r="G203" s="861">
        <v>73.367399465711102</v>
      </c>
      <c r="H203" s="861">
        <v>75.339566783710595</v>
      </c>
      <c r="I203" s="861">
        <v>18.6825416732691</v>
      </c>
      <c r="J203" s="861">
        <v>59.644727095832302</v>
      </c>
      <c r="K203" s="982">
        <v>0</v>
      </c>
      <c r="L203" s="735" t="s">
        <v>2466</v>
      </c>
      <c r="M203" s="735">
        <v>5239</v>
      </c>
      <c r="N203" s="845" t="str">
        <f t="shared" ref="N203:N266" si="28">IF(OR(L203="",M203=""),"",(M203-L203)/L203)</f>
        <v/>
      </c>
      <c r="O203" s="735">
        <v>1.461836440631382</v>
      </c>
      <c r="P203" s="735">
        <f t="shared" ref="P203:P266" si="29">M203/O203</f>
        <v>3583.8482708347474</v>
      </c>
      <c r="Q203" s="849">
        <v>41.5</v>
      </c>
      <c r="R203" s="71">
        <v>149075</v>
      </c>
      <c r="S203" s="845">
        <v>4.9246039320481008E-2</v>
      </c>
      <c r="T203" s="845">
        <v>0.08</v>
      </c>
      <c r="U203" s="845">
        <v>0</v>
      </c>
      <c r="V203" s="845">
        <v>0</v>
      </c>
      <c r="W203" s="845">
        <v>8.3646112600536199E-2</v>
      </c>
      <c r="X203" s="845">
        <v>0.17948717948717949</v>
      </c>
      <c r="Y203" s="845">
        <v>0.91009734682191257</v>
      </c>
      <c r="Z203" s="845">
        <v>1.4697461347585417E-2</v>
      </c>
      <c r="AA203" s="845">
        <v>1.908761213972132E-4</v>
      </c>
      <c r="AB203" s="845">
        <v>3.1494560030540179E-2</v>
      </c>
      <c r="AC203" s="845">
        <v>0</v>
      </c>
      <c r="AD203" s="845">
        <v>0</v>
      </c>
      <c r="AE203" s="845">
        <v>4.3519755678564614E-2</v>
      </c>
      <c r="AF203" s="845">
        <v>2.3286886810460011E-2</v>
      </c>
      <c r="AG203" s="845">
        <v>0.88852834510402745</v>
      </c>
      <c r="AH203" s="20" t="str">
        <f t="shared" ref="AH203:AH266" si="30">IF(AG203&gt;=0.9,"Yes","No")</f>
        <v>No</v>
      </c>
      <c r="AI203" s="25"/>
      <c r="AJ203" s="20">
        <v>45112</v>
      </c>
      <c r="AK203" s="20" t="s">
        <v>1568</v>
      </c>
      <c r="AL203" s="20">
        <v>39025</v>
      </c>
      <c r="AM203" s="20" t="s">
        <v>19</v>
      </c>
      <c r="AN203" s="37">
        <f t="shared" ref="AN203:AN266" si="31">VLOOKUP(AM203,$CY$11:$DA$98,2,FALSE)</f>
        <v>17140</v>
      </c>
      <c r="AO203" s="37" t="str">
        <f t="shared" ref="AO203:AO266" si="32">VLOOKUP(AM203,$CY$11:$DA$98,3,FALSE)</f>
        <v>Cincinnati, OH-KY-IN</v>
      </c>
      <c r="AP203" s="20" t="s">
        <v>8</v>
      </c>
      <c r="AQ203" s="25"/>
      <c r="AR203" s="25"/>
      <c r="AS203" s="25"/>
      <c r="AT203" s="25"/>
      <c r="AU203" s="36"/>
      <c r="AV203" s="36"/>
      <c r="AW203" s="36"/>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39">
        <v>43072</v>
      </c>
      <c r="BV203" s="39" t="s">
        <v>780</v>
      </c>
      <c r="BW203" s="39" t="s">
        <v>2961</v>
      </c>
      <c r="BX203" s="39" t="s">
        <v>2962</v>
      </c>
      <c r="BY203" s="71">
        <v>690</v>
      </c>
      <c r="BZ203" s="71">
        <v>760</v>
      </c>
      <c r="CA203" s="71">
        <v>970</v>
      </c>
      <c r="CB203" s="71">
        <v>1240</v>
      </c>
      <c r="CC203" s="71">
        <v>1370</v>
      </c>
      <c r="CD203" s="25"/>
      <c r="CE203" s="200"/>
      <c r="CF203" s="200"/>
      <c r="CG203" s="200"/>
      <c r="CH203" s="200"/>
      <c r="CI203" s="200"/>
      <c r="CJ203" s="200"/>
      <c r="CK203" s="200"/>
      <c r="CL203" s="200"/>
      <c r="CM203" s="200"/>
      <c r="CN203" s="200"/>
      <c r="CO203" s="200"/>
      <c r="CP203" s="200"/>
      <c r="CQ203" s="200"/>
      <c r="CR203" s="200"/>
      <c r="CS203" s="200"/>
      <c r="CT203" s="200"/>
      <c r="CU203" s="200"/>
    </row>
    <row r="204" spans="1:99" s="17" customFormat="1" x14ac:dyDescent="0.2">
      <c r="A204" s="25"/>
      <c r="B204" s="20">
        <v>39035192800</v>
      </c>
      <c r="C204" s="20">
        <v>1928</v>
      </c>
      <c r="D204" s="20" t="s">
        <v>24</v>
      </c>
      <c r="E204" s="20" t="s">
        <v>2829</v>
      </c>
      <c r="F204" s="20" t="s">
        <v>8</v>
      </c>
      <c r="G204" s="861">
        <v>73.341109738868795</v>
      </c>
      <c r="H204" s="861">
        <v>78.775973190418398</v>
      </c>
      <c r="I204" s="861">
        <v>41.939750521616098</v>
      </c>
      <c r="J204" s="861">
        <v>51.361038159003897</v>
      </c>
      <c r="K204" s="982">
        <v>0</v>
      </c>
      <c r="L204" s="735">
        <v>1169</v>
      </c>
      <c r="M204" s="735">
        <v>1433</v>
      </c>
      <c r="N204" s="845">
        <f t="shared" si="28"/>
        <v>0.22583404619332764</v>
      </c>
      <c r="O204" s="735">
        <v>1.0332035848612449</v>
      </c>
      <c r="P204" s="735">
        <f t="shared" si="29"/>
        <v>1386.9483429951961</v>
      </c>
      <c r="Q204" s="849">
        <v>61.2</v>
      </c>
      <c r="R204" s="71">
        <v>159250</v>
      </c>
      <c r="S204" s="845">
        <v>5.1639916259595256E-2</v>
      </c>
      <c r="T204" s="845">
        <v>3.0000000000000001E-3</v>
      </c>
      <c r="U204" s="845">
        <v>3.2000000000000001E-2</v>
      </c>
      <c r="V204" s="845">
        <v>0</v>
      </c>
      <c r="W204" s="845">
        <v>0.18168812589413447</v>
      </c>
      <c r="X204" s="845">
        <v>0.2283464566929134</v>
      </c>
      <c r="Y204" s="845">
        <v>0.72505233775296585</v>
      </c>
      <c r="Z204" s="845">
        <v>0.14584787159804605</v>
      </c>
      <c r="AA204" s="845">
        <v>0</v>
      </c>
      <c r="AB204" s="845">
        <v>2.7913468248429867E-2</v>
      </c>
      <c r="AC204" s="845">
        <v>0</v>
      </c>
      <c r="AD204" s="845">
        <v>6.2805303558967204E-3</v>
      </c>
      <c r="AE204" s="845">
        <v>9.4905792044661555E-2</v>
      </c>
      <c r="AF204" s="845">
        <v>3.3496161898115842E-2</v>
      </c>
      <c r="AG204" s="845">
        <v>0.70202372644801114</v>
      </c>
      <c r="AH204" s="20" t="str">
        <f t="shared" si="30"/>
        <v>No</v>
      </c>
      <c r="AI204" s="25"/>
      <c r="AJ204" s="20">
        <v>45118</v>
      </c>
      <c r="AK204" s="20" t="s">
        <v>1571</v>
      </c>
      <c r="AL204" s="20">
        <v>39025</v>
      </c>
      <c r="AM204" s="20" t="s">
        <v>19</v>
      </c>
      <c r="AN204" s="37">
        <f t="shared" si="31"/>
        <v>17140</v>
      </c>
      <c r="AO204" s="37" t="str">
        <f t="shared" si="32"/>
        <v>Cincinnati, OH-KY-IN</v>
      </c>
      <c r="AP204" s="20" t="s">
        <v>8</v>
      </c>
      <c r="AQ204" s="25"/>
      <c r="AR204" s="25"/>
      <c r="AS204" s="25"/>
      <c r="AT204" s="25"/>
      <c r="AU204" s="36"/>
      <c r="AV204" s="36"/>
      <c r="AW204" s="36"/>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39">
        <v>43318</v>
      </c>
      <c r="BV204" s="39" t="s">
        <v>873</v>
      </c>
      <c r="BW204" s="39" t="s">
        <v>2961</v>
      </c>
      <c r="BX204" s="39" t="s">
        <v>2962</v>
      </c>
      <c r="BY204" s="71">
        <v>890</v>
      </c>
      <c r="BZ204" s="71">
        <v>920</v>
      </c>
      <c r="CA204" s="71">
        <v>1200</v>
      </c>
      <c r="CB204" s="71">
        <v>1470</v>
      </c>
      <c r="CC204" s="71">
        <v>1600</v>
      </c>
      <c r="CD204" s="25"/>
      <c r="CE204" s="200"/>
      <c r="CF204" s="200"/>
      <c r="CG204" s="200"/>
      <c r="CH204" s="200"/>
      <c r="CI204" s="200"/>
      <c r="CJ204" s="200"/>
      <c r="CK204" s="200"/>
      <c r="CL204" s="200"/>
      <c r="CM204" s="200"/>
      <c r="CN204" s="200"/>
      <c r="CO204" s="200"/>
      <c r="CP204" s="200"/>
      <c r="CQ204" s="200"/>
      <c r="CR204" s="200"/>
      <c r="CS204" s="200"/>
      <c r="CT204" s="200"/>
      <c r="CU204" s="200"/>
    </row>
    <row r="205" spans="1:99" s="17" customFormat="1" x14ac:dyDescent="0.2">
      <c r="A205" s="25"/>
      <c r="B205" s="20">
        <v>39035173107</v>
      </c>
      <c r="C205" s="20">
        <v>1731.07</v>
      </c>
      <c r="D205" s="20" t="s">
        <v>24</v>
      </c>
      <c r="E205" s="20" t="s">
        <v>2829</v>
      </c>
      <c r="F205" s="20" t="s">
        <v>8</v>
      </c>
      <c r="G205" s="861">
        <v>73.224482392647602</v>
      </c>
      <c r="H205" s="861">
        <v>62.441627872182501</v>
      </c>
      <c r="I205" s="861">
        <v>29.288551360014399</v>
      </c>
      <c r="J205" s="861">
        <v>48.242752990585302</v>
      </c>
      <c r="K205" s="982">
        <v>0</v>
      </c>
      <c r="L205" s="735">
        <v>2532</v>
      </c>
      <c r="M205" s="735">
        <v>2728</v>
      </c>
      <c r="N205" s="845">
        <f t="shared" si="28"/>
        <v>7.7409162717219593E-2</v>
      </c>
      <c r="O205" s="735">
        <v>2.3823653769592017</v>
      </c>
      <c r="P205" s="735">
        <f t="shared" si="29"/>
        <v>1145.0804424810601</v>
      </c>
      <c r="Q205" s="849">
        <v>54.3</v>
      </c>
      <c r="R205" s="71">
        <v>79904</v>
      </c>
      <c r="S205" s="845">
        <v>3.5326086956521736E-2</v>
      </c>
      <c r="T205" s="845">
        <v>4.0000000000000001E-3</v>
      </c>
      <c r="U205" s="845">
        <v>0</v>
      </c>
      <c r="V205" s="845">
        <v>0</v>
      </c>
      <c r="W205" s="845">
        <v>0.20971867007672634</v>
      </c>
      <c r="X205" s="845">
        <v>0.50813008130081305</v>
      </c>
      <c r="Y205" s="845">
        <v>0.90689149560117299</v>
      </c>
      <c r="Z205" s="845">
        <v>4.8020527859237536E-2</v>
      </c>
      <c r="AA205" s="845">
        <v>0</v>
      </c>
      <c r="AB205" s="845">
        <v>1.2463343108504398E-2</v>
      </c>
      <c r="AC205" s="845">
        <v>0</v>
      </c>
      <c r="AD205" s="845">
        <v>2.1994134897360706E-3</v>
      </c>
      <c r="AE205" s="845">
        <v>3.0425219941348974E-2</v>
      </c>
      <c r="AF205" s="845">
        <v>2.6392961876832845E-2</v>
      </c>
      <c r="AG205" s="845">
        <v>0.8973607038123167</v>
      </c>
      <c r="AH205" s="20" t="str">
        <f t="shared" si="30"/>
        <v>No</v>
      </c>
      <c r="AI205" s="25"/>
      <c r="AJ205" s="20">
        <v>45120</v>
      </c>
      <c r="AK205" s="20" t="s">
        <v>1573</v>
      </c>
      <c r="AL205" s="20">
        <v>39025</v>
      </c>
      <c r="AM205" s="20" t="s">
        <v>19</v>
      </c>
      <c r="AN205" s="37">
        <f t="shared" si="31"/>
        <v>17140</v>
      </c>
      <c r="AO205" s="37" t="str">
        <f t="shared" si="32"/>
        <v>Cincinnati, OH-KY-IN</v>
      </c>
      <c r="AP205" s="20" t="s">
        <v>8</v>
      </c>
      <c r="AQ205" s="25"/>
      <c r="AR205" s="25"/>
      <c r="AS205" s="25"/>
      <c r="AT205" s="25"/>
      <c r="AU205" s="36"/>
      <c r="AV205" s="36"/>
      <c r="AW205" s="36"/>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39">
        <v>43343</v>
      </c>
      <c r="BV205" s="39" t="s">
        <v>893</v>
      </c>
      <c r="BW205" s="39" t="s">
        <v>2961</v>
      </c>
      <c r="BX205" s="39" t="s">
        <v>2962</v>
      </c>
      <c r="BY205" s="71">
        <v>720</v>
      </c>
      <c r="BZ205" s="71">
        <v>750</v>
      </c>
      <c r="CA205" s="71">
        <v>970</v>
      </c>
      <c r="CB205" s="71">
        <v>1200</v>
      </c>
      <c r="CC205" s="71">
        <v>1310</v>
      </c>
      <c r="CD205" s="25"/>
      <c r="CE205" s="200"/>
      <c r="CF205" s="200"/>
      <c r="CG205" s="200"/>
      <c r="CH205" s="200"/>
      <c r="CI205" s="200"/>
      <c r="CJ205" s="200"/>
      <c r="CK205" s="200"/>
      <c r="CL205" s="200"/>
      <c r="CM205" s="200"/>
      <c r="CN205" s="200"/>
      <c r="CO205" s="200"/>
      <c r="CP205" s="200"/>
      <c r="CQ205" s="200"/>
      <c r="CR205" s="200"/>
      <c r="CS205" s="200"/>
      <c r="CT205" s="200"/>
      <c r="CU205" s="200"/>
    </row>
    <row r="206" spans="1:99" s="17" customFormat="1" x14ac:dyDescent="0.2">
      <c r="A206" s="25"/>
      <c r="B206" s="20">
        <v>39035181100</v>
      </c>
      <c r="C206" s="20">
        <v>1811</v>
      </c>
      <c r="D206" s="20" t="s">
        <v>24</v>
      </c>
      <c r="E206" s="20" t="s">
        <v>2829</v>
      </c>
      <c r="F206" s="20" t="s">
        <v>8</v>
      </c>
      <c r="G206" s="861">
        <v>73.208891615903298</v>
      </c>
      <c r="H206" s="861">
        <v>70.1559242867162</v>
      </c>
      <c r="I206" s="861">
        <v>33.515188865282497</v>
      </c>
      <c r="J206" s="861">
        <v>35.759487272491498</v>
      </c>
      <c r="K206" s="982">
        <v>0</v>
      </c>
      <c r="L206" s="735">
        <v>6112</v>
      </c>
      <c r="M206" s="735">
        <v>7186</v>
      </c>
      <c r="N206" s="845">
        <f t="shared" si="28"/>
        <v>0.17571989528795812</v>
      </c>
      <c r="O206" s="735">
        <v>1.5566816636853209</v>
      </c>
      <c r="P206" s="735">
        <f t="shared" si="29"/>
        <v>4616.2296169068459</v>
      </c>
      <c r="Q206" s="849">
        <v>42.2</v>
      </c>
      <c r="R206" s="71">
        <v>118681</v>
      </c>
      <c r="S206" s="845">
        <v>3.9710679336264362E-2</v>
      </c>
      <c r="T206" s="845">
        <v>2.7999999999999997E-2</v>
      </c>
      <c r="U206" s="845">
        <v>0</v>
      </c>
      <c r="V206" s="845">
        <v>9.1999999999999998E-2</v>
      </c>
      <c r="W206" s="845">
        <v>0.27660994327660993</v>
      </c>
      <c r="X206" s="845">
        <v>0.29915560916767192</v>
      </c>
      <c r="Y206" s="845">
        <v>0.94990258836626773</v>
      </c>
      <c r="Z206" s="845">
        <v>9.0453659894238793E-3</v>
      </c>
      <c r="AA206" s="845">
        <v>0</v>
      </c>
      <c r="AB206" s="845">
        <v>4.4531032563317561E-3</v>
      </c>
      <c r="AC206" s="845">
        <v>0</v>
      </c>
      <c r="AD206" s="845">
        <v>0</v>
      </c>
      <c r="AE206" s="845">
        <v>3.6598942387976618E-2</v>
      </c>
      <c r="AF206" s="845">
        <v>1.0993598664069022E-2</v>
      </c>
      <c r="AG206" s="845">
        <v>0.94739771778458115</v>
      </c>
      <c r="AH206" s="20" t="str">
        <f t="shared" si="30"/>
        <v>Yes</v>
      </c>
      <c r="AI206" s="25"/>
      <c r="AJ206" s="20">
        <v>45121</v>
      </c>
      <c r="AK206" s="20" t="s">
        <v>1574</v>
      </c>
      <c r="AL206" s="20">
        <v>39025</v>
      </c>
      <c r="AM206" s="20" t="s">
        <v>19</v>
      </c>
      <c r="AN206" s="37">
        <f t="shared" si="31"/>
        <v>17140</v>
      </c>
      <c r="AO206" s="37" t="str">
        <f t="shared" si="32"/>
        <v>Cincinnati, OH-KY-IN</v>
      </c>
      <c r="AP206" s="20" t="s">
        <v>8</v>
      </c>
      <c r="AQ206" s="25"/>
      <c r="AR206" s="25"/>
      <c r="AS206" s="25"/>
      <c r="AT206" s="25"/>
      <c r="AU206" s="36"/>
      <c r="AV206" s="36"/>
      <c r="AW206" s="36"/>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39">
        <v>43357</v>
      </c>
      <c r="BV206" s="39" t="s">
        <v>902</v>
      </c>
      <c r="BW206" s="39" t="s">
        <v>2961</v>
      </c>
      <c r="BX206" s="39" t="s">
        <v>2962</v>
      </c>
      <c r="BY206" s="71">
        <v>730</v>
      </c>
      <c r="BZ206" s="71">
        <v>750</v>
      </c>
      <c r="CA206" s="71">
        <v>970</v>
      </c>
      <c r="CB206" s="71">
        <v>1200</v>
      </c>
      <c r="CC206" s="71">
        <v>1300</v>
      </c>
      <c r="CD206" s="25"/>
      <c r="CE206" s="200"/>
      <c r="CF206" s="200"/>
      <c r="CG206" s="200"/>
      <c r="CH206" s="200"/>
      <c r="CI206" s="200"/>
      <c r="CJ206" s="200"/>
      <c r="CK206" s="200"/>
      <c r="CL206" s="200"/>
      <c r="CM206" s="200"/>
      <c r="CN206" s="200"/>
      <c r="CO206" s="200"/>
      <c r="CP206" s="200"/>
      <c r="CQ206" s="200"/>
      <c r="CR206" s="200"/>
      <c r="CS206" s="200"/>
      <c r="CT206" s="200"/>
      <c r="CU206" s="200"/>
    </row>
    <row r="207" spans="1:99" s="17" customFormat="1" x14ac:dyDescent="0.2">
      <c r="A207" s="25"/>
      <c r="B207" s="20">
        <v>39049008900</v>
      </c>
      <c r="C207" s="20">
        <v>89</v>
      </c>
      <c r="D207" s="20" t="s">
        <v>31</v>
      </c>
      <c r="E207" s="20" t="s">
        <v>2830</v>
      </c>
      <c r="F207" s="20" t="s">
        <v>8</v>
      </c>
      <c r="G207" s="861">
        <v>73.166075774425906</v>
      </c>
      <c r="H207" s="861">
        <v>78.739643490333194</v>
      </c>
      <c r="I207" s="861">
        <v>28.757608895682399</v>
      </c>
      <c r="J207" s="861">
        <v>64.135571224104297</v>
      </c>
      <c r="K207" s="982">
        <v>0</v>
      </c>
      <c r="L207" s="735">
        <v>5359</v>
      </c>
      <c r="M207" s="735">
        <v>5142</v>
      </c>
      <c r="N207" s="845">
        <f t="shared" si="28"/>
        <v>-4.0492629221869754E-2</v>
      </c>
      <c r="O207" s="735">
        <v>0.60076337570522675</v>
      </c>
      <c r="P207" s="735">
        <f t="shared" si="29"/>
        <v>8559.1103052243925</v>
      </c>
      <c r="Q207" s="849">
        <v>29.4</v>
      </c>
      <c r="R207" s="71">
        <v>105035</v>
      </c>
      <c r="S207" s="845">
        <v>4.874446085672083E-2</v>
      </c>
      <c r="T207" s="845">
        <v>4.2000000000000003E-2</v>
      </c>
      <c r="U207" s="845">
        <v>0</v>
      </c>
      <c r="V207" s="845">
        <v>0</v>
      </c>
      <c r="W207" s="845">
        <v>0.29798578199052134</v>
      </c>
      <c r="X207" s="845">
        <v>0.42942345924453279</v>
      </c>
      <c r="Y207" s="845">
        <v>0.79871645274212366</v>
      </c>
      <c r="Z207" s="845">
        <v>5.8343057176196034E-2</v>
      </c>
      <c r="AA207" s="845">
        <v>2.7226760015558148E-3</v>
      </c>
      <c r="AB207" s="845">
        <v>3.5783741734733567E-2</v>
      </c>
      <c r="AC207" s="845">
        <v>0</v>
      </c>
      <c r="AD207" s="845">
        <v>1.0696227148969272E-2</v>
      </c>
      <c r="AE207" s="845">
        <v>9.3737845196421629E-2</v>
      </c>
      <c r="AF207" s="845">
        <v>6.0287825748735903E-2</v>
      </c>
      <c r="AG207" s="845">
        <v>0.77810190587320105</v>
      </c>
      <c r="AH207" s="20" t="str">
        <f t="shared" si="30"/>
        <v>No</v>
      </c>
      <c r="AI207" s="25"/>
      <c r="AJ207" s="37">
        <v>45122</v>
      </c>
      <c r="AK207" s="37" t="s">
        <v>1575</v>
      </c>
      <c r="AL207" s="37">
        <v>39025</v>
      </c>
      <c r="AM207" s="37" t="s">
        <v>19</v>
      </c>
      <c r="AN207" s="37">
        <f t="shared" si="31"/>
        <v>17140</v>
      </c>
      <c r="AO207" s="37" t="str">
        <f t="shared" si="32"/>
        <v>Cincinnati, OH-KY-IN</v>
      </c>
      <c r="AP207" s="20" t="s">
        <v>8</v>
      </c>
      <c r="AQ207" s="25"/>
      <c r="AR207" s="25"/>
      <c r="AS207" s="25"/>
      <c r="AT207" s="25"/>
      <c r="AU207" s="36"/>
      <c r="AV207" s="36"/>
      <c r="AW207" s="36"/>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39">
        <v>45389</v>
      </c>
      <c r="BV207" s="39" t="s">
        <v>1730</v>
      </c>
      <c r="BW207" s="39" t="s">
        <v>2961</v>
      </c>
      <c r="BX207" s="39" t="s">
        <v>2962</v>
      </c>
      <c r="BY207" s="71">
        <v>750</v>
      </c>
      <c r="BZ207" s="71">
        <v>830</v>
      </c>
      <c r="CA207" s="71">
        <v>1060</v>
      </c>
      <c r="CB207" s="71">
        <v>1350</v>
      </c>
      <c r="CC207" s="71">
        <v>1490</v>
      </c>
      <c r="CD207" s="25"/>
      <c r="CE207" s="200"/>
      <c r="CF207" s="200"/>
      <c r="CG207" s="200"/>
      <c r="CH207" s="200"/>
      <c r="CI207" s="200"/>
      <c r="CJ207" s="200"/>
      <c r="CK207" s="200"/>
      <c r="CL207" s="200"/>
      <c r="CM207" s="200"/>
      <c r="CN207" s="200"/>
      <c r="CO207" s="200"/>
      <c r="CP207" s="200"/>
      <c r="CQ207" s="200"/>
      <c r="CR207" s="200"/>
      <c r="CS207" s="200"/>
      <c r="CT207" s="200"/>
      <c r="CU207" s="200"/>
    </row>
    <row r="208" spans="1:99" s="17" customFormat="1" x14ac:dyDescent="0.2">
      <c r="A208" s="25"/>
      <c r="B208" s="20">
        <v>39035130104</v>
      </c>
      <c r="C208" s="20">
        <v>1301.04</v>
      </c>
      <c r="D208" s="20" t="s">
        <v>24</v>
      </c>
      <c r="E208" s="20" t="s">
        <v>2829</v>
      </c>
      <c r="F208" s="20" t="s">
        <v>8</v>
      </c>
      <c r="G208" s="861">
        <v>73.165588919239497</v>
      </c>
      <c r="H208" s="861">
        <v>68.287659336091906</v>
      </c>
      <c r="I208" s="861">
        <v>25.552147127934699</v>
      </c>
      <c r="J208" s="861">
        <v>55.122552101334897</v>
      </c>
      <c r="K208" s="982">
        <v>0</v>
      </c>
      <c r="L208" s="735">
        <v>4240</v>
      </c>
      <c r="M208" s="735">
        <v>4489</v>
      </c>
      <c r="N208" s="845">
        <f t="shared" si="28"/>
        <v>5.8726415094339623E-2</v>
      </c>
      <c r="O208" s="735">
        <v>1.576246232265522</v>
      </c>
      <c r="P208" s="735">
        <f t="shared" si="29"/>
        <v>2847.9053006509066</v>
      </c>
      <c r="Q208" s="849">
        <v>40.799999999999997</v>
      </c>
      <c r="R208" s="71">
        <v>147024</v>
      </c>
      <c r="S208" s="845">
        <v>1.7821341055914458E-2</v>
      </c>
      <c r="T208" s="845">
        <v>3.7999999999999999E-2</v>
      </c>
      <c r="U208" s="845">
        <v>2.3E-2</v>
      </c>
      <c r="V208" s="845">
        <v>0</v>
      </c>
      <c r="W208" s="845">
        <v>3.6601307189542485E-2</v>
      </c>
      <c r="X208" s="845">
        <v>0.8928571428571429</v>
      </c>
      <c r="Y208" s="845">
        <v>0.97148585431053691</v>
      </c>
      <c r="Z208" s="845">
        <v>0</v>
      </c>
      <c r="AA208" s="845">
        <v>0</v>
      </c>
      <c r="AB208" s="845">
        <v>1.3366005791935842E-3</v>
      </c>
      <c r="AC208" s="845">
        <v>0</v>
      </c>
      <c r="AD208" s="845">
        <v>0</v>
      </c>
      <c r="AE208" s="845">
        <v>2.7177545110269548E-2</v>
      </c>
      <c r="AF208" s="845">
        <v>1.871240810871018E-2</v>
      </c>
      <c r="AG208" s="845">
        <v>0.96948095344174645</v>
      </c>
      <c r="AH208" s="20" t="str">
        <f t="shared" si="30"/>
        <v>Yes</v>
      </c>
      <c r="AI208" s="25"/>
      <c r="AJ208" s="20">
        <v>45130</v>
      </c>
      <c r="AK208" s="20" t="s">
        <v>1577</v>
      </c>
      <c r="AL208" s="20">
        <v>39025</v>
      </c>
      <c r="AM208" s="20" t="s">
        <v>19</v>
      </c>
      <c r="AN208" s="37">
        <f t="shared" si="31"/>
        <v>17140</v>
      </c>
      <c r="AO208" s="37" t="str">
        <f t="shared" si="32"/>
        <v>Cincinnati, OH-KY-IN</v>
      </c>
      <c r="AP208" s="20" t="s">
        <v>8</v>
      </c>
      <c r="AQ208" s="25"/>
      <c r="AR208" s="25"/>
      <c r="AS208" s="25"/>
      <c r="AT208" s="25"/>
      <c r="AU208" s="36"/>
      <c r="AV208" s="36"/>
      <c r="AW208" s="36"/>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39">
        <v>45001</v>
      </c>
      <c r="BV208" s="39" t="s">
        <v>1528</v>
      </c>
      <c r="BW208" s="39" t="s">
        <v>2871</v>
      </c>
      <c r="BX208" s="39" t="s">
        <v>304</v>
      </c>
      <c r="BY208" s="71">
        <v>740</v>
      </c>
      <c r="BZ208" s="71">
        <v>810</v>
      </c>
      <c r="CA208" s="71">
        <v>1040</v>
      </c>
      <c r="CB208" s="71">
        <v>1370</v>
      </c>
      <c r="CC208" s="71">
        <v>1520</v>
      </c>
      <c r="CD208" s="25"/>
      <c r="CE208" s="200"/>
      <c r="CF208" s="200"/>
      <c r="CG208" s="200"/>
      <c r="CH208" s="200"/>
      <c r="CI208" s="200"/>
      <c r="CJ208" s="200"/>
      <c r="CK208" s="200"/>
      <c r="CL208" s="200"/>
      <c r="CM208" s="200"/>
      <c r="CN208" s="200"/>
      <c r="CO208" s="200"/>
      <c r="CP208" s="200"/>
      <c r="CQ208" s="200"/>
      <c r="CR208" s="200"/>
      <c r="CS208" s="200"/>
      <c r="CT208" s="200"/>
      <c r="CU208" s="200"/>
    </row>
    <row r="209" spans="1:99" s="17" customFormat="1" x14ac:dyDescent="0.2">
      <c r="A209" s="25"/>
      <c r="B209" s="20">
        <v>39035160300</v>
      </c>
      <c r="C209" s="20">
        <v>1603</v>
      </c>
      <c r="D209" s="20" t="s">
        <v>24</v>
      </c>
      <c r="E209" s="20" t="s">
        <v>2829</v>
      </c>
      <c r="F209" s="20" t="s">
        <v>8</v>
      </c>
      <c r="G209" s="861">
        <v>73.140287997484194</v>
      </c>
      <c r="H209" s="861">
        <v>80.610199517885206</v>
      </c>
      <c r="I209" s="861">
        <v>28.5035042846187</v>
      </c>
      <c r="J209" s="861">
        <v>55.1183334606595</v>
      </c>
      <c r="K209" s="982">
        <v>0</v>
      </c>
      <c r="L209" s="735">
        <v>1971</v>
      </c>
      <c r="M209" s="735">
        <v>1812</v>
      </c>
      <c r="N209" s="845">
        <f t="shared" si="28"/>
        <v>-8.0669710806697104E-2</v>
      </c>
      <c r="O209" s="735">
        <v>0.20829130370023205</v>
      </c>
      <c r="P209" s="735">
        <f t="shared" si="29"/>
        <v>8699.3550273600849</v>
      </c>
      <c r="Q209" s="849">
        <v>37.200000000000003</v>
      </c>
      <c r="R209" s="71">
        <v>86500</v>
      </c>
      <c r="S209" s="845">
        <v>0.12153163152053274</v>
      </c>
      <c r="T209" s="845">
        <v>4.7E-2</v>
      </c>
      <c r="U209" s="845">
        <v>0</v>
      </c>
      <c r="V209" s="845">
        <v>2.4E-2</v>
      </c>
      <c r="W209" s="845">
        <v>0.26195652173913042</v>
      </c>
      <c r="X209" s="845">
        <v>0.26141078838174275</v>
      </c>
      <c r="Y209" s="845">
        <v>0.88079470198675491</v>
      </c>
      <c r="Z209" s="845">
        <v>2.2075055187637971E-2</v>
      </c>
      <c r="AA209" s="845">
        <v>4.9668874172185433E-3</v>
      </c>
      <c r="AB209" s="845">
        <v>4.194260485651214E-2</v>
      </c>
      <c r="AC209" s="845">
        <v>0</v>
      </c>
      <c r="AD209" s="845">
        <v>0</v>
      </c>
      <c r="AE209" s="845">
        <v>5.0220750551876379E-2</v>
      </c>
      <c r="AF209" s="845">
        <v>1.8211920529801324E-2</v>
      </c>
      <c r="AG209" s="845">
        <v>0.8769315673289183</v>
      </c>
      <c r="AH209" s="20" t="str">
        <f t="shared" si="30"/>
        <v>No</v>
      </c>
      <c r="AI209" s="25"/>
      <c r="AJ209" s="20">
        <v>45140</v>
      </c>
      <c r="AK209" s="20" t="s">
        <v>1582</v>
      </c>
      <c r="AL209" s="20">
        <v>39025</v>
      </c>
      <c r="AM209" s="20" t="s">
        <v>19</v>
      </c>
      <c r="AN209" s="37">
        <f t="shared" si="31"/>
        <v>17140</v>
      </c>
      <c r="AO209" s="37" t="str">
        <f t="shared" si="32"/>
        <v>Cincinnati, OH-KY-IN</v>
      </c>
      <c r="AP209" s="20" t="s">
        <v>8</v>
      </c>
      <c r="AQ209" s="25"/>
      <c r="AR209" s="25"/>
      <c r="AS209" s="25"/>
      <c r="AT209" s="25"/>
      <c r="AU209" s="36"/>
      <c r="AV209" s="36"/>
      <c r="AW209" s="36"/>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39">
        <v>45002</v>
      </c>
      <c r="BV209" s="39" t="s">
        <v>1529</v>
      </c>
      <c r="BW209" s="39" t="s">
        <v>2871</v>
      </c>
      <c r="BX209" s="39" t="s">
        <v>304</v>
      </c>
      <c r="BY209" s="71">
        <v>930</v>
      </c>
      <c r="BZ209" s="71">
        <v>1030</v>
      </c>
      <c r="CA209" s="71">
        <v>1320</v>
      </c>
      <c r="CB209" s="71">
        <v>1740</v>
      </c>
      <c r="CC209" s="71">
        <v>1930</v>
      </c>
      <c r="CD209" s="25"/>
      <c r="CE209" s="200"/>
      <c r="CF209" s="200"/>
      <c r="CG209" s="200"/>
      <c r="CH209" s="200"/>
      <c r="CI209" s="200"/>
      <c r="CJ209" s="200"/>
      <c r="CK209" s="200"/>
      <c r="CL209" s="200"/>
      <c r="CM209" s="200"/>
      <c r="CN209" s="200"/>
      <c r="CO209" s="200"/>
      <c r="CP209" s="200"/>
      <c r="CQ209" s="200"/>
      <c r="CR209" s="200"/>
      <c r="CS209" s="200"/>
      <c r="CT209" s="200"/>
      <c r="CU209" s="200"/>
    </row>
    <row r="210" spans="1:99" s="17" customFormat="1" x14ac:dyDescent="0.2">
      <c r="A210" s="25"/>
      <c r="B210" s="20">
        <v>39061024322</v>
      </c>
      <c r="C210" s="20">
        <v>243.22</v>
      </c>
      <c r="D210" s="20" t="s">
        <v>37</v>
      </c>
      <c r="E210" s="20" t="s">
        <v>2828</v>
      </c>
      <c r="F210" s="20" t="s">
        <v>8</v>
      </c>
      <c r="G210" s="861">
        <v>73.068152320103906</v>
      </c>
      <c r="H210" s="861">
        <v>72.874067793580195</v>
      </c>
      <c r="I210" s="861">
        <v>21.363469671380301</v>
      </c>
      <c r="J210" s="861">
        <v>60.416574226511798</v>
      </c>
      <c r="K210" s="982">
        <v>0</v>
      </c>
      <c r="L210" s="735">
        <v>8163</v>
      </c>
      <c r="M210" s="735">
        <v>9174</v>
      </c>
      <c r="N210" s="845">
        <f t="shared" si="28"/>
        <v>0.12385152517456817</v>
      </c>
      <c r="O210" s="735">
        <v>4.8025011975827185</v>
      </c>
      <c r="P210" s="735">
        <f t="shared" si="29"/>
        <v>1910.2545991279758</v>
      </c>
      <c r="Q210" s="849">
        <v>37.799999999999997</v>
      </c>
      <c r="R210" s="71">
        <v>180202</v>
      </c>
      <c r="S210" s="845">
        <v>3.6381514257620449E-2</v>
      </c>
      <c r="T210" s="845">
        <v>1.4999999999999999E-2</v>
      </c>
      <c r="U210" s="845">
        <v>3.7999999999999999E-2</v>
      </c>
      <c r="V210" s="845">
        <v>0</v>
      </c>
      <c r="W210" s="845">
        <v>0.18927229244960711</v>
      </c>
      <c r="X210" s="845">
        <v>0.32490974729241878</v>
      </c>
      <c r="Y210" s="845">
        <v>0.8371484630477436</v>
      </c>
      <c r="Z210" s="845">
        <v>1.6241552212775234E-2</v>
      </c>
      <c r="AA210" s="845">
        <v>4.3601482450403311E-4</v>
      </c>
      <c r="AB210" s="845">
        <v>9.5160235448005226E-2</v>
      </c>
      <c r="AC210" s="845">
        <v>0</v>
      </c>
      <c r="AD210" s="845">
        <v>1.1554392849356878E-2</v>
      </c>
      <c r="AE210" s="845">
        <v>3.9459341617614996E-2</v>
      </c>
      <c r="AF210" s="845">
        <v>7.6193590582079793E-2</v>
      </c>
      <c r="AG210" s="845">
        <v>0.8060824068018313</v>
      </c>
      <c r="AH210" s="20" t="str">
        <f t="shared" si="30"/>
        <v>No</v>
      </c>
      <c r="AI210" s="25"/>
      <c r="AJ210" s="20">
        <v>45147</v>
      </c>
      <c r="AK210" s="20" t="s">
        <v>1586</v>
      </c>
      <c r="AL210" s="20">
        <v>39025</v>
      </c>
      <c r="AM210" s="20" t="s">
        <v>19</v>
      </c>
      <c r="AN210" s="37">
        <f t="shared" si="31"/>
        <v>17140</v>
      </c>
      <c r="AO210" s="37" t="str">
        <f t="shared" si="32"/>
        <v>Cincinnati, OH-KY-IN</v>
      </c>
      <c r="AP210" s="20" t="s">
        <v>8</v>
      </c>
      <c r="AQ210" s="25"/>
      <c r="AR210" s="25"/>
      <c r="AS210" s="25"/>
      <c r="AT210" s="25"/>
      <c r="AU210" s="36"/>
      <c r="AV210" s="36"/>
      <c r="AW210" s="36"/>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39">
        <v>45003</v>
      </c>
      <c r="BV210" s="39" t="s">
        <v>1530</v>
      </c>
      <c r="BW210" s="39" t="s">
        <v>2871</v>
      </c>
      <c r="BX210" s="39" t="s">
        <v>304</v>
      </c>
      <c r="BY210" s="71">
        <v>740</v>
      </c>
      <c r="BZ210" s="71">
        <v>770</v>
      </c>
      <c r="CA210" s="71">
        <v>1000</v>
      </c>
      <c r="CB210" s="71">
        <v>1330</v>
      </c>
      <c r="CC210" s="71">
        <v>1460</v>
      </c>
      <c r="CD210" s="25"/>
      <c r="CE210" s="200"/>
      <c r="CF210" s="200"/>
      <c r="CG210" s="200"/>
      <c r="CH210" s="200"/>
      <c r="CI210" s="200"/>
      <c r="CJ210" s="200"/>
      <c r="CK210" s="200"/>
      <c r="CL210" s="200"/>
      <c r="CM210" s="200"/>
      <c r="CN210" s="200"/>
      <c r="CO210" s="200"/>
      <c r="CP210" s="200"/>
      <c r="CQ210" s="200"/>
      <c r="CR210" s="200"/>
      <c r="CS210" s="200"/>
      <c r="CT210" s="200"/>
      <c r="CU210" s="200"/>
    </row>
    <row r="211" spans="1:99" s="17" customFormat="1" x14ac:dyDescent="0.2">
      <c r="A211" s="25"/>
      <c r="B211" s="20">
        <v>39095007600</v>
      </c>
      <c r="C211" s="20">
        <v>76</v>
      </c>
      <c r="D211" s="20" t="s">
        <v>53</v>
      </c>
      <c r="E211" s="20" t="s">
        <v>2839</v>
      </c>
      <c r="F211" s="20" t="s">
        <v>8</v>
      </c>
      <c r="G211" s="861">
        <v>73.067470415083903</v>
      </c>
      <c r="H211" s="861">
        <v>69.178781439879401</v>
      </c>
      <c r="I211" s="861">
        <v>19.697148601654401</v>
      </c>
      <c r="J211" s="861">
        <v>50.950633339498701</v>
      </c>
      <c r="K211" s="982">
        <v>0</v>
      </c>
      <c r="L211" s="735">
        <v>4556</v>
      </c>
      <c r="M211" s="735">
        <v>4822</v>
      </c>
      <c r="N211" s="845">
        <f t="shared" si="28"/>
        <v>5.8384547848990345E-2</v>
      </c>
      <c r="O211" s="735">
        <v>1.9156060913345274</v>
      </c>
      <c r="P211" s="735">
        <f t="shared" si="29"/>
        <v>2517.2189740954009</v>
      </c>
      <c r="Q211" s="849">
        <v>41.2</v>
      </c>
      <c r="R211" s="71">
        <v>179688</v>
      </c>
      <c r="S211" s="845">
        <v>2.5448477263245724E-2</v>
      </c>
      <c r="T211" s="845">
        <v>5.0999999999999997E-2</v>
      </c>
      <c r="U211" s="845">
        <v>1.6E-2</v>
      </c>
      <c r="V211" s="845">
        <v>0.11599999999999999</v>
      </c>
      <c r="W211" s="845">
        <v>0.10091743119266056</v>
      </c>
      <c r="X211" s="845">
        <v>0.25</v>
      </c>
      <c r="Y211" s="845">
        <v>0.82496889257569472</v>
      </c>
      <c r="Z211" s="845">
        <v>2.6337619245126502E-2</v>
      </c>
      <c r="AA211" s="845">
        <v>0</v>
      </c>
      <c r="AB211" s="845">
        <v>7.7561177934467027E-2</v>
      </c>
      <c r="AC211" s="845">
        <v>0</v>
      </c>
      <c r="AD211" s="845">
        <v>2.8618830360846122E-2</v>
      </c>
      <c r="AE211" s="845">
        <v>4.2513479883865612E-2</v>
      </c>
      <c r="AF211" s="845">
        <v>2.13604313562837E-2</v>
      </c>
      <c r="AG211" s="845">
        <v>0.816051430941518</v>
      </c>
      <c r="AH211" s="20" t="str">
        <f t="shared" si="30"/>
        <v>No</v>
      </c>
      <c r="AI211" s="25"/>
      <c r="AJ211" s="37">
        <v>45150</v>
      </c>
      <c r="AK211" s="37" t="s">
        <v>1588</v>
      </c>
      <c r="AL211" s="37">
        <v>39025</v>
      </c>
      <c r="AM211" s="37" t="s">
        <v>19</v>
      </c>
      <c r="AN211" s="37">
        <f t="shared" si="31"/>
        <v>17140</v>
      </c>
      <c r="AO211" s="37" t="str">
        <f t="shared" si="32"/>
        <v>Cincinnati, OH-KY-IN</v>
      </c>
      <c r="AP211" s="20" t="s">
        <v>8</v>
      </c>
      <c r="AQ211" s="25"/>
      <c r="AR211" s="25"/>
      <c r="AS211" s="25"/>
      <c r="AT211" s="25"/>
      <c r="AU211" s="36"/>
      <c r="AV211" s="36"/>
      <c r="AW211" s="36"/>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39">
        <v>45005</v>
      </c>
      <c r="BV211" s="39" t="s">
        <v>1531</v>
      </c>
      <c r="BW211" s="39" t="s">
        <v>2871</v>
      </c>
      <c r="BX211" s="39" t="s">
        <v>304</v>
      </c>
      <c r="BY211" s="71">
        <v>910</v>
      </c>
      <c r="BZ211" s="71">
        <v>1000</v>
      </c>
      <c r="CA211" s="71">
        <v>1290</v>
      </c>
      <c r="CB211" s="71">
        <v>1700</v>
      </c>
      <c r="CC211" s="71">
        <v>1880</v>
      </c>
      <c r="CD211" s="25"/>
      <c r="CE211" s="200"/>
      <c r="CF211" s="200"/>
      <c r="CG211" s="200"/>
      <c r="CH211" s="200"/>
      <c r="CI211" s="200"/>
      <c r="CJ211" s="200"/>
      <c r="CK211" s="200"/>
      <c r="CL211" s="200"/>
      <c r="CM211" s="200"/>
      <c r="CN211" s="200"/>
      <c r="CO211" s="200"/>
      <c r="CP211" s="200"/>
      <c r="CQ211" s="200"/>
      <c r="CR211" s="200"/>
      <c r="CS211" s="200"/>
      <c r="CT211" s="200"/>
      <c r="CU211" s="200"/>
    </row>
    <row r="212" spans="1:99" s="17" customFormat="1" x14ac:dyDescent="0.2">
      <c r="A212" s="25"/>
      <c r="B212" s="20">
        <v>39049001902</v>
      </c>
      <c r="C212" s="20">
        <v>19.02</v>
      </c>
      <c r="D212" s="20" t="s">
        <v>31</v>
      </c>
      <c r="E212" s="20" t="s">
        <v>2830</v>
      </c>
      <c r="F212" s="20" t="s">
        <v>8</v>
      </c>
      <c r="G212" s="861">
        <v>73.063093310759697</v>
      </c>
      <c r="H212" s="861">
        <v>92.740478626090706</v>
      </c>
      <c r="I212" s="861">
        <v>32.883904856283401</v>
      </c>
      <c r="J212" s="861">
        <v>29.1084083157692</v>
      </c>
      <c r="K212" s="982">
        <v>0</v>
      </c>
      <c r="L212" s="735">
        <v>3421</v>
      </c>
      <c r="M212" s="735">
        <v>4213</v>
      </c>
      <c r="N212" s="845">
        <f t="shared" si="28"/>
        <v>0.23151125401929259</v>
      </c>
      <c r="O212" s="735">
        <v>0.42821740984749157</v>
      </c>
      <c r="P212" s="735">
        <f t="shared" si="29"/>
        <v>9838.4603314013984</v>
      </c>
      <c r="Q212" s="849">
        <v>30.8</v>
      </c>
      <c r="R212" s="71">
        <v>60850</v>
      </c>
      <c r="S212" s="845">
        <v>6.3849988131972471E-2</v>
      </c>
      <c r="T212" s="845">
        <v>0.05</v>
      </c>
      <c r="U212" s="845">
        <v>0</v>
      </c>
      <c r="V212" s="845">
        <v>3.7000000000000005E-2</v>
      </c>
      <c r="W212" s="845">
        <v>0.88018112156043193</v>
      </c>
      <c r="X212" s="845">
        <v>0.30985358132172536</v>
      </c>
      <c r="Y212" s="845">
        <v>0.88179444576311417</v>
      </c>
      <c r="Z212" s="845">
        <v>3.3942558746736295E-2</v>
      </c>
      <c r="AA212" s="845">
        <v>1.4241633040588653E-3</v>
      </c>
      <c r="AB212" s="845">
        <v>3.7265606456206982E-2</v>
      </c>
      <c r="AC212" s="845">
        <v>0</v>
      </c>
      <c r="AD212" s="845">
        <v>0</v>
      </c>
      <c r="AE212" s="845">
        <v>4.557322572988369E-2</v>
      </c>
      <c r="AF212" s="845">
        <v>3.3942558746736295E-2</v>
      </c>
      <c r="AG212" s="845">
        <v>0.87182530263470215</v>
      </c>
      <c r="AH212" s="20" t="str">
        <f t="shared" si="30"/>
        <v>No</v>
      </c>
      <c r="AI212" s="25"/>
      <c r="AJ212" s="20">
        <v>45153</v>
      </c>
      <c r="AK212" s="20" t="s">
        <v>1590</v>
      </c>
      <c r="AL212" s="20">
        <v>39025</v>
      </c>
      <c r="AM212" s="20" t="s">
        <v>19</v>
      </c>
      <c r="AN212" s="37">
        <f t="shared" si="31"/>
        <v>17140</v>
      </c>
      <c r="AO212" s="37" t="str">
        <f t="shared" si="32"/>
        <v>Cincinnati, OH-KY-IN</v>
      </c>
      <c r="AP212" s="20" t="s">
        <v>8</v>
      </c>
      <c r="AQ212" s="25"/>
      <c r="AR212" s="25"/>
      <c r="AS212" s="25"/>
      <c r="AT212" s="25"/>
      <c r="AU212" s="36"/>
      <c r="AV212" s="36"/>
      <c r="AW212" s="36"/>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39">
        <v>45011</v>
      </c>
      <c r="BV212" s="39" t="s">
        <v>1532</v>
      </c>
      <c r="BW212" s="39" t="s">
        <v>2871</v>
      </c>
      <c r="BX212" s="39" t="s">
        <v>304</v>
      </c>
      <c r="BY212" s="71">
        <v>910</v>
      </c>
      <c r="BZ212" s="71">
        <v>1000</v>
      </c>
      <c r="CA212" s="71">
        <v>1290</v>
      </c>
      <c r="CB212" s="71">
        <v>1700</v>
      </c>
      <c r="CC212" s="71">
        <v>1880</v>
      </c>
      <c r="CD212" s="25"/>
      <c r="CE212" s="200"/>
      <c r="CF212" s="200"/>
      <c r="CG212" s="200"/>
      <c r="CH212" s="200"/>
      <c r="CI212" s="200"/>
      <c r="CJ212" s="200"/>
      <c r="CK212" s="200"/>
      <c r="CL212" s="200"/>
      <c r="CM212" s="200"/>
      <c r="CN212" s="200"/>
      <c r="CO212" s="200"/>
      <c r="CP212" s="200"/>
      <c r="CQ212" s="200"/>
      <c r="CR212" s="200"/>
      <c r="CS212" s="200"/>
      <c r="CT212" s="200"/>
      <c r="CU212" s="200"/>
    </row>
    <row r="213" spans="1:99" s="17" customFormat="1" x14ac:dyDescent="0.2">
      <c r="A213" s="25"/>
      <c r="B213" s="20">
        <v>39049010401</v>
      </c>
      <c r="C213" s="20">
        <v>104.01</v>
      </c>
      <c r="D213" s="20" t="s">
        <v>31</v>
      </c>
      <c r="E213" s="20" t="s">
        <v>2830</v>
      </c>
      <c r="F213" s="20" t="s">
        <v>8</v>
      </c>
      <c r="G213" s="861">
        <v>73.057855819632593</v>
      </c>
      <c r="H213" s="861">
        <v>70.0830363681591</v>
      </c>
      <c r="I213" s="861">
        <v>16.447776122891302</v>
      </c>
      <c r="J213" s="861">
        <v>61.842903404144202</v>
      </c>
      <c r="K213" s="982">
        <v>0</v>
      </c>
      <c r="L213" s="735" t="s">
        <v>2466</v>
      </c>
      <c r="M213" s="735">
        <v>2388</v>
      </c>
      <c r="N213" s="845" t="str">
        <f t="shared" si="28"/>
        <v/>
      </c>
      <c r="O213" s="735">
        <v>0.99104122914294002</v>
      </c>
      <c r="P213" s="735">
        <f t="shared" si="29"/>
        <v>2409.5869372308157</v>
      </c>
      <c r="Q213" s="849">
        <v>40.200000000000003</v>
      </c>
      <c r="R213" s="71">
        <v>208375</v>
      </c>
      <c r="S213" s="845">
        <v>2.1356783919597989E-2</v>
      </c>
      <c r="T213" s="845">
        <v>0.10099999999999999</v>
      </c>
      <c r="U213" s="845">
        <v>0</v>
      </c>
      <c r="V213" s="845">
        <v>0</v>
      </c>
      <c r="W213" s="845">
        <v>4.1436464088397788E-2</v>
      </c>
      <c r="X213" s="845">
        <v>0</v>
      </c>
      <c r="Y213" s="845">
        <v>0.57872696817420433</v>
      </c>
      <c r="Z213" s="845">
        <v>3.5594639865996647E-2</v>
      </c>
      <c r="AA213" s="845">
        <v>0</v>
      </c>
      <c r="AB213" s="845">
        <v>0.29313232830820768</v>
      </c>
      <c r="AC213" s="845">
        <v>0</v>
      </c>
      <c r="AD213" s="845">
        <v>2.1775544388609715E-2</v>
      </c>
      <c r="AE213" s="845">
        <v>7.0770519262981571E-2</v>
      </c>
      <c r="AF213" s="845">
        <v>8.835845896147404E-2</v>
      </c>
      <c r="AG213" s="845">
        <v>0.50837520938023451</v>
      </c>
      <c r="AH213" s="20" t="str">
        <f t="shared" si="30"/>
        <v>No</v>
      </c>
      <c r="AI213" s="25"/>
      <c r="AJ213" s="20">
        <v>45156</v>
      </c>
      <c r="AK213" s="20" t="s">
        <v>1593</v>
      </c>
      <c r="AL213" s="20">
        <v>39025</v>
      </c>
      <c r="AM213" s="20" t="s">
        <v>19</v>
      </c>
      <c r="AN213" s="37">
        <f t="shared" si="31"/>
        <v>17140</v>
      </c>
      <c r="AO213" s="37" t="str">
        <f t="shared" si="32"/>
        <v>Cincinnati, OH-KY-IN</v>
      </c>
      <c r="AP213" s="20" t="s">
        <v>8</v>
      </c>
      <c r="AQ213" s="25"/>
      <c r="AR213" s="25"/>
      <c r="AS213" s="25"/>
      <c r="AT213" s="25"/>
      <c r="AU213" s="36"/>
      <c r="AV213" s="36"/>
      <c r="AW213" s="36"/>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39">
        <v>45013</v>
      </c>
      <c r="BV213" s="39" t="s">
        <v>1533</v>
      </c>
      <c r="BW213" s="39" t="s">
        <v>2871</v>
      </c>
      <c r="BX213" s="39" t="s">
        <v>304</v>
      </c>
      <c r="BY213" s="71">
        <v>890</v>
      </c>
      <c r="BZ213" s="71">
        <v>980</v>
      </c>
      <c r="CA213" s="71">
        <v>1260</v>
      </c>
      <c r="CB213" s="71">
        <v>1660</v>
      </c>
      <c r="CC213" s="71">
        <v>1840</v>
      </c>
      <c r="CD213" s="25"/>
      <c r="CE213" s="200"/>
      <c r="CF213" s="200"/>
      <c r="CG213" s="200"/>
      <c r="CH213" s="200"/>
      <c r="CI213" s="200"/>
      <c r="CJ213" s="200"/>
      <c r="CK213" s="200"/>
      <c r="CL213" s="200"/>
      <c r="CM213" s="200"/>
      <c r="CN213" s="200"/>
      <c r="CO213" s="200"/>
      <c r="CP213" s="200"/>
      <c r="CQ213" s="200"/>
      <c r="CR213" s="200"/>
      <c r="CS213" s="200"/>
      <c r="CT213" s="200"/>
      <c r="CU213" s="200"/>
    </row>
    <row r="214" spans="1:99" s="17" customFormat="1" x14ac:dyDescent="0.2">
      <c r="A214" s="25"/>
      <c r="B214" s="20">
        <v>39049006396</v>
      </c>
      <c r="C214" s="20">
        <v>63.96</v>
      </c>
      <c r="D214" s="20" t="s">
        <v>31</v>
      </c>
      <c r="E214" s="20" t="s">
        <v>2830</v>
      </c>
      <c r="F214" s="20" t="s">
        <v>8</v>
      </c>
      <c r="G214" s="861">
        <v>73.016157915981495</v>
      </c>
      <c r="H214" s="861">
        <v>75.403118175360206</v>
      </c>
      <c r="I214" s="861">
        <v>34.3303988612669</v>
      </c>
      <c r="J214" s="861">
        <v>50.762415673510702</v>
      </c>
      <c r="K214" s="982">
        <v>0</v>
      </c>
      <c r="L214" s="735">
        <v>4920</v>
      </c>
      <c r="M214" s="735">
        <v>5327</v>
      </c>
      <c r="N214" s="845">
        <f t="shared" si="28"/>
        <v>8.2723577235772353E-2</v>
      </c>
      <c r="O214" s="735">
        <v>3.2747829873242162</v>
      </c>
      <c r="P214" s="735">
        <f t="shared" si="29"/>
        <v>1626.6726743785316</v>
      </c>
      <c r="Q214" s="849">
        <v>37.6</v>
      </c>
      <c r="R214" s="71">
        <v>83233</v>
      </c>
      <c r="S214" s="845">
        <v>7.2463768115942032E-2</v>
      </c>
      <c r="T214" s="845">
        <v>0</v>
      </c>
      <c r="U214" s="845">
        <v>8.0000000000000002E-3</v>
      </c>
      <c r="V214" s="845">
        <v>3.9E-2</v>
      </c>
      <c r="W214" s="845">
        <v>0.5444104134762634</v>
      </c>
      <c r="X214" s="845">
        <v>0.30872011251758086</v>
      </c>
      <c r="Y214" s="845">
        <v>0.64370189600150174</v>
      </c>
      <c r="Z214" s="845">
        <v>9.6677304298854891E-2</v>
      </c>
      <c r="AA214" s="845">
        <v>0</v>
      </c>
      <c r="AB214" s="845">
        <v>0.17908766660409237</v>
      </c>
      <c r="AC214" s="845">
        <v>0</v>
      </c>
      <c r="AD214" s="845">
        <v>0</v>
      </c>
      <c r="AE214" s="845">
        <v>8.0533133095550963E-2</v>
      </c>
      <c r="AF214" s="845">
        <v>5.0872911582504225E-2</v>
      </c>
      <c r="AG214" s="845">
        <v>0.63750703960953636</v>
      </c>
      <c r="AH214" s="20" t="str">
        <f t="shared" si="30"/>
        <v>No</v>
      </c>
      <c r="AI214" s="25"/>
      <c r="AJ214" s="20">
        <v>45157</v>
      </c>
      <c r="AK214" s="20" t="s">
        <v>1594</v>
      </c>
      <c r="AL214" s="20">
        <v>39025</v>
      </c>
      <c r="AM214" s="20" t="s">
        <v>19</v>
      </c>
      <c r="AN214" s="37">
        <f t="shared" si="31"/>
        <v>17140</v>
      </c>
      <c r="AO214" s="37" t="str">
        <f t="shared" si="32"/>
        <v>Cincinnati, OH-KY-IN</v>
      </c>
      <c r="AP214" s="20" t="s">
        <v>8</v>
      </c>
      <c r="AQ214" s="25"/>
      <c r="AR214" s="25"/>
      <c r="AS214" s="25"/>
      <c r="AT214" s="25"/>
      <c r="AU214" s="36"/>
      <c r="AV214" s="36"/>
      <c r="AW214" s="36"/>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39">
        <v>45014</v>
      </c>
      <c r="BV214" s="39" t="s">
        <v>1534</v>
      </c>
      <c r="BW214" s="39" t="s">
        <v>2871</v>
      </c>
      <c r="BX214" s="39" t="s">
        <v>304</v>
      </c>
      <c r="BY214" s="71">
        <v>1040</v>
      </c>
      <c r="BZ214" s="71">
        <v>1140</v>
      </c>
      <c r="CA214" s="71">
        <v>1470</v>
      </c>
      <c r="CB214" s="71">
        <v>1940</v>
      </c>
      <c r="CC214" s="71">
        <v>2150</v>
      </c>
      <c r="CD214" s="25"/>
      <c r="CE214" s="200"/>
      <c r="CF214" s="200"/>
      <c r="CG214" s="200"/>
      <c r="CH214" s="200"/>
      <c r="CI214" s="200"/>
      <c r="CJ214" s="200"/>
      <c r="CK214" s="200"/>
      <c r="CL214" s="200"/>
      <c r="CM214" s="200"/>
      <c r="CN214" s="200"/>
      <c r="CO214" s="200"/>
      <c r="CP214" s="200"/>
      <c r="CQ214" s="200"/>
      <c r="CR214" s="200"/>
      <c r="CS214" s="200"/>
      <c r="CT214" s="200"/>
      <c r="CU214" s="200"/>
    </row>
    <row r="215" spans="1:99" s="17" customFormat="1" x14ac:dyDescent="0.2">
      <c r="A215" s="25"/>
      <c r="B215" s="20">
        <v>39035197800</v>
      </c>
      <c r="C215" s="20">
        <v>1978</v>
      </c>
      <c r="D215" s="20" t="s">
        <v>24</v>
      </c>
      <c r="E215" s="20" t="s">
        <v>2829</v>
      </c>
      <c r="F215" s="20" t="s">
        <v>8</v>
      </c>
      <c r="G215" s="861">
        <v>72.971369790190906</v>
      </c>
      <c r="H215" s="861">
        <v>80.314055906165393</v>
      </c>
      <c r="I215" s="861">
        <v>45.352498181888002</v>
      </c>
      <c r="J215" s="861">
        <v>56.658739987042097</v>
      </c>
      <c r="K215" s="982">
        <v>0</v>
      </c>
      <c r="L215" s="735" t="s">
        <v>2466</v>
      </c>
      <c r="M215" s="735">
        <v>3181</v>
      </c>
      <c r="N215" s="845" t="str">
        <f t="shared" si="28"/>
        <v/>
      </c>
      <c r="O215" s="735">
        <v>0.75995445399940464</v>
      </c>
      <c r="P215" s="735">
        <f t="shared" si="29"/>
        <v>4185.7771650121704</v>
      </c>
      <c r="Q215" s="849">
        <v>32.4</v>
      </c>
      <c r="R215" s="71">
        <v>84185</v>
      </c>
      <c r="S215" s="845">
        <v>0.10154039610185477</v>
      </c>
      <c r="T215" s="845">
        <v>9.0000000000000011E-3</v>
      </c>
      <c r="U215" s="845">
        <v>0</v>
      </c>
      <c r="V215" s="845">
        <v>8.3000000000000004E-2</v>
      </c>
      <c r="W215" s="845">
        <v>0.72024136039495334</v>
      </c>
      <c r="X215" s="845">
        <v>0.34653465346534651</v>
      </c>
      <c r="Y215" s="845">
        <v>0.80446400502986481</v>
      </c>
      <c r="Z215" s="845">
        <v>2.0119459289531592E-2</v>
      </c>
      <c r="AA215" s="845">
        <v>2.2005658597925182E-3</v>
      </c>
      <c r="AB215" s="845">
        <v>4.0238918579063185E-2</v>
      </c>
      <c r="AC215" s="845">
        <v>0</v>
      </c>
      <c r="AD215" s="845">
        <v>5.4699779943414018E-2</v>
      </c>
      <c r="AE215" s="845">
        <v>7.8277271298333853E-2</v>
      </c>
      <c r="AF215" s="845">
        <v>8.865136749449859E-2</v>
      </c>
      <c r="AG215" s="845">
        <v>0.79377554228230118</v>
      </c>
      <c r="AH215" s="20" t="str">
        <f t="shared" si="30"/>
        <v>No</v>
      </c>
      <c r="AI215" s="25"/>
      <c r="AJ215" s="20">
        <v>45158</v>
      </c>
      <c r="AK215" s="20" t="s">
        <v>1595</v>
      </c>
      <c r="AL215" s="20">
        <v>39025</v>
      </c>
      <c r="AM215" s="20" t="s">
        <v>19</v>
      </c>
      <c r="AN215" s="37">
        <f t="shared" si="31"/>
        <v>17140</v>
      </c>
      <c r="AO215" s="37" t="str">
        <f t="shared" si="32"/>
        <v>Cincinnati, OH-KY-IN</v>
      </c>
      <c r="AP215" s="20" t="s">
        <v>8</v>
      </c>
      <c r="AQ215" s="25"/>
      <c r="AR215" s="25"/>
      <c r="AS215" s="25"/>
      <c r="AT215" s="25"/>
      <c r="AU215" s="36"/>
      <c r="AV215" s="36"/>
      <c r="AW215" s="36"/>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39">
        <v>45015</v>
      </c>
      <c r="BV215" s="39" t="s">
        <v>1535</v>
      </c>
      <c r="BW215" s="39" t="s">
        <v>2871</v>
      </c>
      <c r="BX215" s="39" t="s">
        <v>304</v>
      </c>
      <c r="BY215" s="71">
        <v>990</v>
      </c>
      <c r="BZ215" s="71">
        <v>1090</v>
      </c>
      <c r="CA215" s="71">
        <v>1400</v>
      </c>
      <c r="CB215" s="71">
        <v>1850</v>
      </c>
      <c r="CC215" s="71">
        <v>2040</v>
      </c>
      <c r="CD215" s="25"/>
      <c r="CE215" s="200"/>
      <c r="CF215" s="200"/>
      <c r="CG215" s="200"/>
      <c r="CH215" s="200"/>
      <c r="CI215" s="200"/>
      <c r="CJ215" s="200"/>
      <c r="CK215" s="200"/>
      <c r="CL215" s="200"/>
      <c r="CM215" s="200"/>
      <c r="CN215" s="200"/>
      <c r="CO215" s="200"/>
      <c r="CP215" s="200"/>
      <c r="CQ215" s="200"/>
      <c r="CR215" s="200"/>
      <c r="CS215" s="200"/>
      <c r="CT215" s="200"/>
      <c r="CU215" s="200"/>
    </row>
    <row r="216" spans="1:99" s="17" customFormat="1" x14ac:dyDescent="0.2">
      <c r="A216" s="25"/>
      <c r="B216" s="20">
        <v>39165031906</v>
      </c>
      <c r="C216" s="20">
        <v>319.06</v>
      </c>
      <c r="D216" s="20" t="s">
        <v>88</v>
      </c>
      <c r="E216" s="20" t="s">
        <v>2828</v>
      </c>
      <c r="F216" s="20" t="s">
        <v>8</v>
      </c>
      <c r="G216" s="861">
        <v>72.916278406012694</v>
      </c>
      <c r="H216" s="861">
        <v>60.786938766838503</v>
      </c>
      <c r="I216" s="861">
        <v>21.212145666204901</v>
      </c>
      <c r="J216" s="861">
        <v>56.266237246181703</v>
      </c>
      <c r="K216" s="982">
        <v>0</v>
      </c>
      <c r="L216" s="735" t="s">
        <v>2466</v>
      </c>
      <c r="M216" s="735">
        <v>4352</v>
      </c>
      <c r="N216" s="845" t="str">
        <f t="shared" si="28"/>
        <v/>
      </c>
      <c r="O216" s="735">
        <v>2.7904309568432732</v>
      </c>
      <c r="P216" s="735">
        <f t="shared" si="29"/>
        <v>1559.615725064662</v>
      </c>
      <c r="Q216" s="849">
        <v>48.1</v>
      </c>
      <c r="R216" s="71">
        <v>108346</v>
      </c>
      <c r="S216" s="845">
        <v>8.2261029411764705E-2</v>
      </c>
      <c r="T216" s="845">
        <v>9.0000000000000011E-3</v>
      </c>
      <c r="U216" s="845">
        <v>0</v>
      </c>
      <c r="V216" s="845">
        <v>0</v>
      </c>
      <c r="W216" s="845">
        <v>5.2572706935123045E-2</v>
      </c>
      <c r="X216" s="845">
        <v>0.20212765957446807</v>
      </c>
      <c r="Y216" s="845">
        <v>0.68313419117647056</v>
      </c>
      <c r="Z216" s="845">
        <v>8.8694852941176475E-2</v>
      </c>
      <c r="AA216" s="845">
        <v>0</v>
      </c>
      <c r="AB216" s="845">
        <v>0.13625919117647059</v>
      </c>
      <c r="AC216" s="845">
        <v>0</v>
      </c>
      <c r="AD216" s="845">
        <v>2.9871323529411766E-2</v>
      </c>
      <c r="AE216" s="845">
        <v>6.204044117647059E-2</v>
      </c>
      <c r="AF216" s="845">
        <v>4.2738970588235295E-2</v>
      </c>
      <c r="AG216" s="845">
        <v>0.67922794117647056</v>
      </c>
      <c r="AH216" s="20" t="str">
        <f t="shared" si="30"/>
        <v>No</v>
      </c>
      <c r="AI216" s="25"/>
      <c r="AJ216" s="20">
        <v>45160</v>
      </c>
      <c r="AK216" s="20" t="s">
        <v>1597</v>
      </c>
      <c r="AL216" s="20">
        <v>39025</v>
      </c>
      <c r="AM216" s="20" t="s">
        <v>19</v>
      </c>
      <c r="AN216" s="37">
        <f t="shared" si="31"/>
        <v>17140</v>
      </c>
      <c r="AO216" s="37" t="str">
        <f t="shared" si="32"/>
        <v>Cincinnati, OH-KY-IN</v>
      </c>
      <c r="AP216" s="20" t="s">
        <v>8</v>
      </c>
      <c r="AQ216" s="25"/>
      <c r="AR216" s="25"/>
      <c r="AS216" s="25"/>
      <c r="AT216" s="25"/>
      <c r="AU216" s="36"/>
      <c r="AV216" s="36"/>
      <c r="AW216" s="36"/>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39">
        <v>45030</v>
      </c>
      <c r="BV216" s="39" t="s">
        <v>1536</v>
      </c>
      <c r="BW216" s="39" t="s">
        <v>2871</v>
      </c>
      <c r="BX216" s="39" t="s">
        <v>304</v>
      </c>
      <c r="BY216" s="71">
        <v>990</v>
      </c>
      <c r="BZ216" s="71">
        <v>1090</v>
      </c>
      <c r="CA216" s="71">
        <v>1400</v>
      </c>
      <c r="CB216" s="71">
        <v>1850</v>
      </c>
      <c r="CC216" s="71">
        <v>2040</v>
      </c>
      <c r="CD216" s="25"/>
      <c r="CE216" s="200"/>
      <c r="CF216" s="200"/>
      <c r="CG216" s="200"/>
      <c r="CH216" s="200"/>
      <c r="CI216" s="200"/>
      <c r="CJ216" s="200"/>
      <c r="CK216" s="200"/>
      <c r="CL216" s="200"/>
      <c r="CM216" s="200"/>
      <c r="CN216" s="200"/>
      <c r="CO216" s="200"/>
      <c r="CP216" s="200"/>
      <c r="CQ216" s="200"/>
      <c r="CR216" s="200"/>
      <c r="CS216" s="200"/>
      <c r="CT216" s="200"/>
      <c r="CU216" s="200"/>
    </row>
    <row r="217" spans="1:99" s="17" customFormat="1" x14ac:dyDescent="0.2">
      <c r="A217" s="25"/>
      <c r="B217" s="20">
        <v>39017011109</v>
      </c>
      <c r="C217" s="20">
        <v>111.09</v>
      </c>
      <c r="D217" s="20" t="s">
        <v>15</v>
      </c>
      <c r="E217" s="20" t="s">
        <v>2828</v>
      </c>
      <c r="F217" s="20" t="s">
        <v>8</v>
      </c>
      <c r="G217" s="861">
        <v>72.857878182781405</v>
      </c>
      <c r="H217" s="861">
        <v>67.627591427809307</v>
      </c>
      <c r="I217" s="861">
        <v>27.299133494168601</v>
      </c>
      <c r="J217" s="861">
        <v>44.599188205775</v>
      </c>
      <c r="K217" s="982">
        <v>0</v>
      </c>
      <c r="L217" s="735">
        <v>4226</v>
      </c>
      <c r="M217" s="735">
        <v>4502</v>
      </c>
      <c r="N217" s="845">
        <f t="shared" si="28"/>
        <v>6.5309985802177006E-2</v>
      </c>
      <c r="O217" s="735">
        <v>3.6774029823634984</v>
      </c>
      <c r="P217" s="735">
        <f t="shared" si="29"/>
        <v>1224.2335206642288</v>
      </c>
      <c r="Q217" s="849">
        <v>36.1</v>
      </c>
      <c r="R217" s="71">
        <v>95694</v>
      </c>
      <c r="S217" s="845">
        <v>7.3967125721901381E-2</v>
      </c>
      <c r="T217" s="845">
        <v>0.02</v>
      </c>
      <c r="U217" s="845">
        <v>6.0000000000000001E-3</v>
      </c>
      <c r="V217" s="845">
        <v>8.4000000000000005E-2</v>
      </c>
      <c r="W217" s="845">
        <v>0.19724517906336089</v>
      </c>
      <c r="X217" s="845">
        <v>0.65642458100558654</v>
      </c>
      <c r="Y217" s="845">
        <v>0.8123056419369169</v>
      </c>
      <c r="Z217" s="845">
        <v>6.0861839182585517E-2</v>
      </c>
      <c r="AA217" s="845">
        <v>0</v>
      </c>
      <c r="AB217" s="845">
        <v>7.4411372723234115E-2</v>
      </c>
      <c r="AC217" s="845">
        <v>0</v>
      </c>
      <c r="AD217" s="845">
        <v>2.8431808085295423E-2</v>
      </c>
      <c r="AE217" s="845">
        <v>2.3989338071968014E-2</v>
      </c>
      <c r="AF217" s="845">
        <v>2.8431808085295423E-2</v>
      </c>
      <c r="AG217" s="845">
        <v>0.8123056419369169</v>
      </c>
      <c r="AH217" s="20" t="str">
        <f t="shared" si="30"/>
        <v>No</v>
      </c>
      <c r="AI217" s="25"/>
      <c r="AJ217" s="20">
        <v>45162</v>
      </c>
      <c r="AK217" s="20" t="s">
        <v>1598</v>
      </c>
      <c r="AL217" s="20">
        <v>39025</v>
      </c>
      <c r="AM217" s="20" t="s">
        <v>19</v>
      </c>
      <c r="AN217" s="37">
        <f t="shared" si="31"/>
        <v>17140</v>
      </c>
      <c r="AO217" s="37" t="str">
        <f t="shared" si="32"/>
        <v>Cincinnati, OH-KY-IN</v>
      </c>
      <c r="AP217" s="20" t="s">
        <v>8</v>
      </c>
      <c r="AQ217" s="25"/>
      <c r="AR217" s="25"/>
      <c r="AS217" s="25"/>
      <c r="AT217" s="25"/>
      <c r="AU217" s="36"/>
      <c r="AV217" s="36"/>
      <c r="AW217" s="36"/>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39">
        <v>45032</v>
      </c>
      <c r="BV217" s="39" t="s">
        <v>1537</v>
      </c>
      <c r="BW217" s="39" t="s">
        <v>2871</v>
      </c>
      <c r="BX217" s="39" t="s">
        <v>304</v>
      </c>
      <c r="BY217" s="71">
        <v>850</v>
      </c>
      <c r="BZ217" s="71">
        <v>930</v>
      </c>
      <c r="CA217" s="71">
        <v>1200</v>
      </c>
      <c r="CB217" s="71">
        <v>1580</v>
      </c>
      <c r="CC217" s="71">
        <v>1750</v>
      </c>
      <c r="CD217" s="25"/>
      <c r="CE217" s="200"/>
      <c r="CF217" s="200"/>
      <c r="CG217" s="200"/>
      <c r="CH217" s="200"/>
      <c r="CI217" s="200"/>
      <c r="CJ217" s="200"/>
      <c r="CK217" s="200"/>
      <c r="CL217" s="200"/>
      <c r="CM217" s="200"/>
      <c r="CN217" s="200"/>
      <c r="CO217" s="200"/>
      <c r="CP217" s="200"/>
      <c r="CQ217" s="200"/>
      <c r="CR217" s="200"/>
      <c r="CS217" s="200"/>
      <c r="CT217" s="200"/>
      <c r="CU217" s="200"/>
    </row>
    <row r="218" spans="1:99" s="17" customFormat="1" x14ac:dyDescent="0.2">
      <c r="A218" s="25"/>
      <c r="B218" s="20">
        <v>39035161100</v>
      </c>
      <c r="C218" s="20">
        <v>1611</v>
      </c>
      <c r="D218" s="20" t="s">
        <v>24</v>
      </c>
      <c r="E218" s="20" t="s">
        <v>2829</v>
      </c>
      <c r="F218" s="20" t="s">
        <v>8</v>
      </c>
      <c r="G218" s="861">
        <v>72.850202038754006</v>
      </c>
      <c r="H218" s="861">
        <v>74.590819315737804</v>
      </c>
      <c r="I218" s="861">
        <v>30.465770321098201</v>
      </c>
      <c r="J218" s="861">
        <v>46.090072651139501</v>
      </c>
      <c r="K218" s="982">
        <v>0</v>
      </c>
      <c r="L218" s="735">
        <v>3715</v>
      </c>
      <c r="M218" s="735">
        <v>3557</v>
      </c>
      <c r="N218" s="845">
        <f t="shared" si="28"/>
        <v>-4.2530282637954241E-2</v>
      </c>
      <c r="O218" s="735">
        <v>0.35020817141898003</v>
      </c>
      <c r="P218" s="735">
        <f t="shared" si="29"/>
        <v>10156.816117647058</v>
      </c>
      <c r="Q218" s="849">
        <v>33</v>
      </c>
      <c r="R218" s="71">
        <v>86319</v>
      </c>
      <c r="S218" s="845">
        <v>4.4419454596570145E-2</v>
      </c>
      <c r="T218" s="845">
        <v>3.5000000000000003E-2</v>
      </c>
      <c r="U218" s="845">
        <v>0</v>
      </c>
      <c r="V218" s="845">
        <v>0.10400000000000001</v>
      </c>
      <c r="W218" s="845">
        <v>0.35399361022364217</v>
      </c>
      <c r="X218" s="845">
        <v>0.21660649819494585</v>
      </c>
      <c r="Y218" s="845">
        <v>0.96176553275231935</v>
      </c>
      <c r="Z218" s="845">
        <v>0</v>
      </c>
      <c r="AA218" s="845">
        <v>0</v>
      </c>
      <c r="AB218" s="845">
        <v>1.6868147315153219E-3</v>
      </c>
      <c r="AC218" s="845">
        <v>0</v>
      </c>
      <c r="AD218" s="845">
        <v>0</v>
      </c>
      <c r="AE218" s="845">
        <v>3.6547652516165305E-2</v>
      </c>
      <c r="AF218" s="845">
        <v>1.208883890919314E-2</v>
      </c>
      <c r="AG218" s="845">
        <v>0.96176553275231935</v>
      </c>
      <c r="AH218" s="20" t="str">
        <f t="shared" si="30"/>
        <v>Yes</v>
      </c>
      <c r="AI218" s="25"/>
      <c r="AJ218" s="20">
        <v>45176</v>
      </c>
      <c r="AK218" s="20" t="s">
        <v>1607</v>
      </c>
      <c r="AL218" s="20">
        <v>39025</v>
      </c>
      <c r="AM218" s="20" t="s">
        <v>19</v>
      </c>
      <c r="AN218" s="37">
        <f t="shared" si="31"/>
        <v>17140</v>
      </c>
      <c r="AO218" s="37" t="str">
        <f t="shared" si="32"/>
        <v>Cincinnati, OH-KY-IN</v>
      </c>
      <c r="AP218" s="20" t="s">
        <v>8</v>
      </c>
      <c r="AQ218" s="25"/>
      <c r="AR218" s="25"/>
      <c r="AS218" s="25"/>
      <c r="AT218" s="25"/>
      <c r="AU218" s="36"/>
      <c r="AV218" s="36"/>
      <c r="AW218" s="36"/>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39">
        <v>45033</v>
      </c>
      <c r="BV218" s="39" t="s">
        <v>1538</v>
      </c>
      <c r="BW218" s="39" t="s">
        <v>2871</v>
      </c>
      <c r="BX218" s="39" t="s">
        <v>304</v>
      </c>
      <c r="BY218" s="71">
        <v>930</v>
      </c>
      <c r="BZ218" s="71">
        <v>1030</v>
      </c>
      <c r="CA218" s="71">
        <v>1320</v>
      </c>
      <c r="CB218" s="71">
        <v>1740</v>
      </c>
      <c r="CC218" s="71">
        <v>1930</v>
      </c>
      <c r="CD218" s="25"/>
      <c r="CE218" s="200"/>
      <c r="CF218" s="200"/>
      <c r="CG218" s="200"/>
      <c r="CH218" s="200"/>
      <c r="CI218" s="200"/>
      <c r="CJ218" s="200"/>
      <c r="CK218" s="200"/>
      <c r="CL218" s="200"/>
      <c r="CM218" s="200"/>
      <c r="CN218" s="200"/>
      <c r="CO218" s="200"/>
      <c r="CP218" s="200"/>
      <c r="CQ218" s="200"/>
      <c r="CR218" s="200"/>
      <c r="CS218" s="200"/>
      <c r="CT218" s="200"/>
      <c r="CU218" s="200"/>
    </row>
    <row r="219" spans="1:99" s="17" customFormat="1" x14ac:dyDescent="0.2">
      <c r="A219" s="25"/>
      <c r="B219" s="20">
        <v>39041011423</v>
      </c>
      <c r="C219" s="20">
        <v>114.23</v>
      </c>
      <c r="D219" s="20" t="s">
        <v>27</v>
      </c>
      <c r="E219" s="20" t="s">
        <v>2830</v>
      </c>
      <c r="F219" s="20" t="s">
        <v>8</v>
      </c>
      <c r="G219" s="861">
        <v>72.798510805438497</v>
      </c>
      <c r="H219" s="861">
        <v>70.155203983607095</v>
      </c>
      <c r="I219" s="861">
        <v>14.2763912026954</v>
      </c>
      <c r="J219" s="861">
        <v>61.568357072879003</v>
      </c>
      <c r="K219" s="982">
        <v>0</v>
      </c>
      <c r="L219" s="735">
        <v>6953</v>
      </c>
      <c r="M219" s="735">
        <v>7600</v>
      </c>
      <c r="N219" s="845">
        <f t="shared" si="28"/>
        <v>9.3053358262620456E-2</v>
      </c>
      <c r="O219" s="735">
        <v>5.6015291900316875</v>
      </c>
      <c r="P219" s="735">
        <f t="shared" si="29"/>
        <v>1356.7723637903612</v>
      </c>
      <c r="Q219" s="849">
        <v>44.6</v>
      </c>
      <c r="R219" s="71">
        <v>246039</v>
      </c>
      <c r="S219" s="845">
        <v>1.118421052631579E-2</v>
      </c>
      <c r="T219" s="845">
        <v>2.3E-2</v>
      </c>
      <c r="U219" s="845">
        <v>0</v>
      </c>
      <c r="V219" s="845">
        <v>0</v>
      </c>
      <c r="W219" s="845">
        <v>4.0687919463087245E-2</v>
      </c>
      <c r="X219" s="845">
        <v>0.50515463917525771</v>
      </c>
      <c r="Y219" s="845">
        <v>0.86355263157894735</v>
      </c>
      <c r="Z219" s="845">
        <v>6.4473684210526313E-3</v>
      </c>
      <c r="AA219" s="845">
        <v>0</v>
      </c>
      <c r="AB219" s="845">
        <v>5.118421052631579E-2</v>
      </c>
      <c r="AC219" s="845">
        <v>0</v>
      </c>
      <c r="AD219" s="845">
        <v>3.7368421052631579E-2</v>
      </c>
      <c r="AE219" s="845">
        <v>4.1447368421052629E-2</v>
      </c>
      <c r="AF219" s="845">
        <v>7.7631578947368425E-3</v>
      </c>
      <c r="AG219" s="845">
        <v>0.85776315789473689</v>
      </c>
      <c r="AH219" s="20" t="str">
        <f t="shared" si="30"/>
        <v>No</v>
      </c>
      <c r="AI219" s="25"/>
      <c r="AJ219" s="20">
        <v>45244</v>
      </c>
      <c r="AK219" s="20" t="s">
        <v>1645</v>
      </c>
      <c r="AL219" s="20">
        <v>39025</v>
      </c>
      <c r="AM219" s="20" t="s">
        <v>19</v>
      </c>
      <c r="AN219" s="37">
        <f t="shared" si="31"/>
        <v>17140</v>
      </c>
      <c r="AO219" s="37" t="str">
        <f t="shared" si="32"/>
        <v>Cincinnati, OH-KY-IN</v>
      </c>
      <c r="AP219" s="20" t="s">
        <v>8</v>
      </c>
      <c r="AQ219" s="25"/>
      <c r="AR219" s="25"/>
      <c r="AS219" s="25"/>
      <c r="AT219" s="25"/>
      <c r="AU219" s="36"/>
      <c r="AV219" s="36"/>
      <c r="AW219" s="36"/>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39">
        <v>45034</v>
      </c>
      <c r="BV219" s="39" t="s">
        <v>1539</v>
      </c>
      <c r="BW219" s="39" t="s">
        <v>2871</v>
      </c>
      <c r="BX219" s="39" t="s">
        <v>304</v>
      </c>
      <c r="BY219" s="71">
        <v>1350</v>
      </c>
      <c r="BZ219" s="71">
        <v>1480</v>
      </c>
      <c r="CA219" s="71">
        <v>1910</v>
      </c>
      <c r="CB219" s="71">
        <v>2520</v>
      </c>
      <c r="CC219" s="71">
        <v>2780</v>
      </c>
      <c r="CD219" s="25"/>
      <c r="CE219" s="200"/>
      <c r="CF219" s="200"/>
      <c r="CG219" s="200"/>
      <c r="CH219" s="200"/>
      <c r="CI219" s="200"/>
      <c r="CJ219" s="200"/>
      <c r="CK219" s="200"/>
      <c r="CL219" s="200"/>
      <c r="CM219" s="200"/>
      <c r="CN219" s="200"/>
      <c r="CO219" s="200"/>
      <c r="CP219" s="200"/>
      <c r="CQ219" s="200"/>
      <c r="CR219" s="200"/>
      <c r="CS219" s="200"/>
      <c r="CT219" s="200"/>
      <c r="CU219" s="200"/>
    </row>
    <row r="220" spans="1:99" s="17" customFormat="1" x14ac:dyDescent="0.2">
      <c r="A220" s="25"/>
      <c r="B220" s="20">
        <v>39103408301</v>
      </c>
      <c r="C220" s="20">
        <v>4083.01</v>
      </c>
      <c r="D220" s="20" t="s">
        <v>57</v>
      </c>
      <c r="E220" s="20" t="s">
        <v>2829</v>
      </c>
      <c r="F220" s="20" t="s">
        <v>8</v>
      </c>
      <c r="G220" s="861">
        <v>72.768186974656302</v>
      </c>
      <c r="H220" s="861">
        <v>76.815168279419296</v>
      </c>
      <c r="I220" s="861">
        <v>17.102420702645301</v>
      </c>
      <c r="J220" s="861">
        <v>42.435013182272698</v>
      </c>
      <c r="K220" s="982">
        <v>0</v>
      </c>
      <c r="L220" s="735">
        <v>3636</v>
      </c>
      <c r="M220" s="735">
        <v>3748</v>
      </c>
      <c r="N220" s="845">
        <f t="shared" si="28"/>
        <v>3.0803080308030802E-2</v>
      </c>
      <c r="O220" s="735">
        <v>2.9307524504427165</v>
      </c>
      <c r="P220" s="735">
        <f t="shared" si="29"/>
        <v>1278.8524665172015</v>
      </c>
      <c r="Q220" s="849">
        <v>39.9</v>
      </c>
      <c r="R220" s="71">
        <v>121500</v>
      </c>
      <c r="S220" s="845">
        <v>4.3926247288503251E-2</v>
      </c>
      <c r="T220" s="845">
        <v>2.6000000000000002E-2</v>
      </c>
      <c r="U220" s="845">
        <v>0</v>
      </c>
      <c r="V220" s="845">
        <v>3.9E-2</v>
      </c>
      <c r="W220" s="845">
        <v>0.31799450549450547</v>
      </c>
      <c r="X220" s="845">
        <v>0.20950323974082075</v>
      </c>
      <c r="Y220" s="845">
        <v>0.94210245464247599</v>
      </c>
      <c r="Z220" s="845">
        <v>2.6680896478121665E-3</v>
      </c>
      <c r="AA220" s="845">
        <v>0</v>
      </c>
      <c r="AB220" s="845">
        <v>2.6414087513340449E-2</v>
      </c>
      <c r="AC220" s="845">
        <v>0</v>
      </c>
      <c r="AD220" s="845">
        <v>0</v>
      </c>
      <c r="AE220" s="845">
        <v>2.8815368196371399E-2</v>
      </c>
      <c r="AF220" s="845">
        <v>1.2540021344717182E-2</v>
      </c>
      <c r="AG220" s="845">
        <v>0.93863393810032014</v>
      </c>
      <c r="AH220" s="20" t="str">
        <f t="shared" si="30"/>
        <v>Yes</v>
      </c>
      <c r="AI220" s="25"/>
      <c r="AJ220" s="37">
        <v>45245</v>
      </c>
      <c r="AK220" s="37" t="s">
        <v>1646</v>
      </c>
      <c r="AL220" s="37">
        <v>39025</v>
      </c>
      <c r="AM220" s="37" t="s">
        <v>19</v>
      </c>
      <c r="AN220" s="37">
        <f t="shared" si="31"/>
        <v>17140</v>
      </c>
      <c r="AO220" s="37" t="str">
        <f t="shared" si="32"/>
        <v>Cincinnati, OH-KY-IN</v>
      </c>
      <c r="AP220" s="20" t="s">
        <v>8</v>
      </c>
      <c r="AQ220" s="25"/>
      <c r="AR220" s="25"/>
      <c r="AS220" s="25"/>
      <c r="AT220" s="25"/>
      <c r="AU220" s="36"/>
      <c r="AV220" s="36"/>
      <c r="AW220" s="36"/>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39">
        <v>45036</v>
      </c>
      <c r="BV220" s="39" t="s">
        <v>1540</v>
      </c>
      <c r="BW220" s="39" t="s">
        <v>2871</v>
      </c>
      <c r="BX220" s="39" t="s">
        <v>304</v>
      </c>
      <c r="BY220" s="71">
        <v>960</v>
      </c>
      <c r="BZ220" s="71">
        <v>1060</v>
      </c>
      <c r="CA220" s="71">
        <v>1360</v>
      </c>
      <c r="CB220" s="71">
        <v>1790</v>
      </c>
      <c r="CC220" s="71">
        <v>1990</v>
      </c>
      <c r="CD220" s="25"/>
      <c r="CE220" s="200"/>
      <c r="CF220" s="200"/>
      <c r="CG220" s="200"/>
      <c r="CH220" s="200"/>
      <c r="CI220" s="200"/>
      <c r="CJ220" s="200"/>
      <c r="CK220" s="200"/>
      <c r="CL220" s="200"/>
      <c r="CM220" s="200"/>
      <c r="CN220" s="200"/>
      <c r="CO220" s="200"/>
      <c r="CP220" s="200"/>
      <c r="CQ220" s="200"/>
      <c r="CR220" s="200"/>
      <c r="CS220" s="200"/>
      <c r="CT220" s="200"/>
      <c r="CU220" s="200"/>
    </row>
    <row r="221" spans="1:99" s="17" customFormat="1" x14ac:dyDescent="0.2">
      <c r="A221" s="25"/>
      <c r="B221" s="20">
        <v>39113040101</v>
      </c>
      <c r="C221" s="20">
        <v>401.01</v>
      </c>
      <c r="D221" s="20" t="s">
        <v>62</v>
      </c>
      <c r="E221" s="20" t="s">
        <v>2833</v>
      </c>
      <c r="F221" s="20" t="s">
        <v>8</v>
      </c>
      <c r="G221" s="861">
        <v>72.651935617143394</v>
      </c>
      <c r="H221" s="861">
        <v>79.595410876812096</v>
      </c>
      <c r="I221" s="861">
        <v>24.801317149481399</v>
      </c>
      <c r="J221" s="861">
        <v>42.822476837507303</v>
      </c>
      <c r="K221" s="982">
        <v>0</v>
      </c>
      <c r="L221" s="735">
        <v>1751</v>
      </c>
      <c r="M221" s="735">
        <v>1752</v>
      </c>
      <c r="N221" s="845">
        <f t="shared" si="28"/>
        <v>5.7110222729868647E-4</v>
      </c>
      <c r="O221" s="735">
        <v>0.96215113512625361</v>
      </c>
      <c r="P221" s="735">
        <f t="shared" si="29"/>
        <v>1820.9197453891713</v>
      </c>
      <c r="Q221" s="849">
        <v>52.2</v>
      </c>
      <c r="R221" s="71">
        <v>109500</v>
      </c>
      <c r="S221" s="845">
        <v>5.1369863013698627E-2</v>
      </c>
      <c r="T221" s="845">
        <v>1.4999999999999999E-2</v>
      </c>
      <c r="U221" s="845">
        <v>0</v>
      </c>
      <c r="V221" s="845">
        <v>0</v>
      </c>
      <c r="W221" s="845">
        <v>4.8029556650246302E-2</v>
      </c>
      <c r="X221" s="845">
        <v>0.30769230769230771</v>
      </c>
      <c r="Y221" s="845">
        <v>0.87671232876712324</v>
      </c>
      <c r="Z221" s="845">
        <v>2.7397260273972601E-2</v>
      </c>
      <c r="AA221" s="845">
        <v>0</v>
      </c>
      <c r="AB221" s="845">
        <v>4.2237442922374427E-2</v>
      </c>
      <c r="AC221" s="845">
        <v>0</v>
      </c>
      <c r="AD221" s="845">
        <v>1.8264840182648401E-2</v>
      </c>
      <c r="AE221" s="845">
        <v>3.5388127853881277E-2</v>
      </c>
      <c r="AF221" s="845">
        <v>3.1392694063926939E-2</v>
      </c>
      <c r="AG221" s="845">
        <v>0.87671232876712324</v>
      </c>
      <c r="AH221" s="20" t="str">
        <f t="shared" si="30"/>
        <v>No</v>
      </c>
      <c r="AI221" s="25"/>
      <c r="AJ221" s="37">
        <v>45255</v>
      </c>
      <c r="AK221" s="37" t="s">
        <v>1653</v>
      </c>
      <c r="AL221" s="37">
        <v>39025</v>
      </c>
      <c r="AM221" s="37" t="s">
        <v>19</v>
      </c>
      <c r="AN221" s="37">
        <f t="shared" si="31"/>
        <v>17140</v>
      </c>
      <c r="AO221" s="37" t="str">
        <f t="shared" si="32"/>
        <v>Cincinnati, OH-KY-IN</v>
      </c>
      <c r="AP221" s="20" t="s">
        <v>8</v>
      </c>
      <c r="AQ221" s="25"/>
      <c r="AR221" s="25"/>
      <c r="AS221" s="25"/>
      <c r="AT221" s="25"/>
      <c r="AU221" s="36"/>
      <c r="AV221" s="36"/>
      <c r="AW221" s="36"/>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39">
        <v>45039</v>
      </c>
      <c r="BV221" s="39" t="s">
        <v>1541</v>
      </c>
      <c r="BW221" s="39" t="s">
        <v>2871</v>
      </c>
      <c r="BX221" s="39" t="s">
        <v>304</v>
      </c>
      <c r="BY221" s="71">
        <v>1400</v>
      </c>
      <c r="BZ221" s="71">
        <v>1540</v>
      </c>
      <c r="CA221" s="71">
        <v>1980</v>
      </c>
      <c r="CB221" s="71">
        <v>2610</v>
      </c>
      <c r="CC221" s="71">
        <v>2890</v>
      </c>
      <c r="CD221" s="25"/>
      <c r="CE221" s="200"/>
      <c r="CF221" s="200"/>
      <c r="CG221" s="200"/>
      <c r="CH221" s="200"/>
      <c r="CI221" s="200"/>
      <c r="CJ221" s="200"/>
      <c r="CK221" s="200"/>
      <c r="CL221" s="200"/>
      <c r="CM221" s="200"/>
      <c r="CN221" s="200"/>
      <c r="CO221" s="200"/>
      <c r="CP221" s="200"/>
      <c r="CQ221" s="200"/>
      <c r="CR221" s="200"/>
      <c r="CS221" s="200"/>
      <c r="CT221" s="200"/>
      <c r="CU221" s="200"/>
    </row>
    <row r="222" spans="1:99" s="17" customFormat="1" x14ac:dyDescent="0.2">
      <c r="A222" s="25"/>
      <c r="B222" s="20">
        <v>39035155101</v>
      </c>
      <c r="C222" s="20">
        <v>1551.01</v>
      </c>
      <c r="D222" s="20" t="s">
        <v>24</v>
      </c>
      <c r="E222" s="20" t="s">
        <v>2829</v>
      </c>
      <c r="F222" s="20" t="s">
        <v>8</v>
      </c>
      <c r="G222" s="861">
        <v>72.578453511996699</v>
      </c>
      <c r="H222" s="861">
        <v>68.561983631299199</v>
      </c>
      <c r="I222" s="861">
        <v>31.1375597269809</v>
      </c>
      <c r="J222" s="861">
        <v>39.793572285842302</v>
      </c>
      <c r="K222" s="982">
        <v>0</v>
      </c>
      <c r="L222" s="735">
        <v>5239</v>
      </c>
      <c r="M222" s="735">
        <v>5484</v>
      </c>
      <c r="N222" s="845">
        <f t="shared" si="28"/>
        <v>4.6764649742317234E-2</v>
      </c>
      <c r="O222" s="735">
        <v>3.9468528679847878</v>
      </c>
      <c r="P222" s="735">
        <f t="shared" si="29"/>
        <v>1389.4614730850253</v>
      </c>
      <c r="Q222" s="849">
        <v>45.1</v>
      </c>
      <c r="R222" s="71">
        <v>125707</v>
      </c>
      <c r="S222" s="845">
        <v>9.5063985374771488E-3</v>
      </c>
      <c r="T222" s="845">
        <v>4.0999999999999995E-2</v>
      </c>
      <c r="U222" s="845">
        <v>0</v>
      </c>
      <c r="V222" s="845">
        <v>0</v>
      </c>
      <c r="W222" s="845">
        <v>5.47153024911032E-2</v>
      </c>
      <c r="X222" s="845">
        <v>1</v>
      </c>
      <c r="Y222" s="845">
        <v>0.86816192560175054</v>
      </c>
      <c r="Z222" s="845">
        <v>1.8417213712618525E-2</v>
      </c>
      <c r="AA222" s="845">
        <v>0</v>
      </c>
      <c r="AB222" s="845">
        <v>7.8774617067833702E-2</v>
      </c>
      <c r="AC222" s="845">
        <v>0</v>
      </c>
      <c r="AD222" s="845">
        <v>2.552881108679796E-3</v>
      </c>
      <c r="AE222" s="845">
        <v>3.2093362509117436E-2</v>
      </c>
      <c r="AF222" s="845">
        <v>2.9175784099197666E-3</v>
      </c>
      <c r="AG222" s="845">
        <v>0.86797957695113059</v>
      </c>
      <c r="AH222" s="20" t="str">
        <f t="shared" si="30"/>
        <v>No</v>
      </c>
      <c r="AI222" s="25"/>
      <c r="AJ222" s="37">
        <v>45001</v>
      </c>
      <c r="AK222" s="37" t="s">
        <v>1528</v>
      </c>
      <c r="AL222" s="37">
        <v>39061</v>
      </c>
      <c r="AM222" s="37" t="s">
        <v>37</v>
      </c>
      <c r="AN222" s="37">
        <f t="shared" si="31"/>
        <v>17140</v>
      </c>
      <c r="AO222" s="37" t="str">
        <f t="shared" si="32"/>
        <v>Cincinnati, OH-KY-IN</v>
      </c>
      <c r="AP222" s="20" t="s">
        <v>8</v>
      </c>
      <c r="AQ222" s="25"/>
      <c r="AR222" s="25"/>
      <c r="AS222" s="25"/>
      <c r="AT222" s="25"/>
      <c r="AU222" s="36"/>
      <c r="AV222" s="36"/>
      <c r="AW222" s="36"/>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39">
        <v>45040</v>
      </c>
      <c r="BV222" s="39" t="s">
        <v>1542</v>
      </c>
      <c r="BW222" s="39" t="s">
        <v>2871</v>
      </c>
      <c r="BX222" s="39" t="s">
        <v>304</v>
      </c>
      <c r="BY222" s="71">
        <v>1440</v>
      </c>
      <c r="BZ222" s="71">
        <v>1580</v>
      </c>
      <c r="CA222" s="71">
        <v>2030</v>
      </c>
      <c r="CB222" s="71">
        <v>2680</v>
      </c>
      <c r="CC222" s="71">
        <v>2960</v>
      </c>
      <c r="CD222" s="25"/>
      <c r="CE222" s="200"/>
      <c r="CF222" s="200"/>
      <c r="CG222" s="200"/>
      <c r="CH222" s="200"/>
      <c r="CI222" s="200"/>
      <c r="CJ222" s="200"/>
      <c r="CK222" s="200"/>
      <c r="CL222" s="200"/>
      <c r="CM222" s="200"/>
      <c r="CN222" s="200"/>
      <c r="CO222" s="200"/>
      <c r="CP222" s="200"/>
      <c r="CQ222" s="200"/>
      <c r="CR222" s="200"/>
      <c r="CS222" s="200"/>
      <c r="CT222" s="200"/>
      <c r="CU222" s="200"/>
    </row>
    <row r="223" spans="1:99" s="17" customFormat="1" x14ac:dyDescent="0.2">
      <c r="A223" s="25"/>
      <c r="B223" s="20">
        <v>39095010100</v>
      </c>
      <c r="C223" s="20">
        <v>101</v>
      </c>
      <c r="D223" s="20" t="s">
        <v>53</v>
      </c>
      <c r="E223" s="20" t="s">
        <v>2839</v>
      </c>
      <c r="F223" s="20" t="s">
        <v>8</v>
      </c>
      <c r="G223" s="861">
        <v>72.500890483999797</v>
      </c>
      <c r="H223" s="861">
        <v>57.971365203700003</v>
      </c>
      <c r="I223" s="861">
        <v>26.6088675735447</v>
      </c>
      <c r="J223" s="861">
        <v>47.9471529625513</v>
      </c>
      <c r="K223" s="982">
        <v>0</v>
      </c>
      <c r="L223" s="735">
        <v>4043</v>
      </c>
      <c r="M223" s="735">
        <v>4169</v>
      </c>
      <c r="N223" s="845">
        <f t="shared" si="28"/>
        <v>3.1164976502597082E-2</v>
      </c>
      <c r="O223" s="735">
        <v>2.5622974771108122</v>
      </c>
      <c r="P223" s="735">
        <f t="shared" si="29"/>
        <v>1627.0554208642739</v>
      </c>
      <c r="Q223" s="849">
        <v>38.5</v>
      </c>
      <c r="R223" s="71">
        <v>63571</v>
      </c>
      <c r="S223" s="845">
        <v>0.13007922310247891</v>
      </c>
      <c r="T223" s="845">
        <v>8.0000000000000002E-3</v>
      </c>
      <c r="U223" s="845">
        <v>0</v>
      </c>
      <c r="V223" s="845">
        <v>6.2E-2</v>
      </c>
      <c r="W223" s="845">
        <v>0.35653753026634383</v>
      </c>
      <c r="X223" s="845">
        <v>0.27504244482173174</v>
      </c>
      <c r="Y223" s="845">
        <v>0.88006716238906213</v>
      </c>
      <c r="Z223" s="845">
        <v>2.8304149676181337E-2</v>
      </c>
      <c r="AA223" s="845">
        <v>0</v>
      </c>
      <c r="AB223" s="845">
        <v>1.1513552410650036E-2</v>
      </c>
      <c r="AC223" s="845">
        <v>2.1587910769968817E-3</v>
      </c>
      <c r="AD223" s="845">
        <v>1.1033821060206284E-2</v>
      </c>
      <c r="AE223" s="845">
        <v>6.692252338690334E-2</v>
      </c>
      <c r="AF223" s="845">
        <v>4.3175821539937632E-2</v>
      </c>
      <c r="AG223" s="845">
        <v>0.86591508755097146</v>
      </c>
      <c r="AH223" s="20" t="str">
        <f t="shared" si="30"/>
        <v>No</v>
      </c>
      <c r="AI223" s="25"/>
      <c r="AJ223" s="20">
        <v>45002</v>
      </c>
      <c r="AK223" s="20" t="s">
        <v>1529</v>
      </c>
      <c r="AL223" s="20">
        <v>39061</v>
      </c>
      <c r="AM223" s="20" t="s">
        <v>37</v>
      </c>
      <c r="AN223" s="37">
        <f t="shared" si="31"/>
        <v>17140</v>
      </c>
      <c r="AO223" s="37" t="str">
        <f t="shared" si="32"/>
        <v>Cincinnati, OH-KY-IN</v>
      </c>
      <c r="AP223" s="20" t="s">
        <v>8</v>
      </c>
      <c r="AQ223" s="25"/>
      <c r="AR223" s="25"/>
      <c r="AS223" s="25"/>
      <c r="AT223" s="25"/>
      <c r="AU223" s="36"/>
      <c r="AV223" s="36"/>
      <c r="AW223" s="36"/>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39">
        <v>45041</v>
      </c>
      <c r="BV223" s="39" t="s">
        <v>1543</v>
      </c>
      <c r="BW223" s="39" t="s">
        <v>2871</v>
      </c>
      <c r="BX223" s="39" t="s">
        <v>304</v>
      </c>
      <c r="BY223" s="71">
        <v>930</v>
      </c>
      <c r="BZ223" s="71">
        <v>1030</v>
      </c>
      <c r="CA223" s="71">
        <v>1320</v>
      </c>
      <c r="CB223" s="71">
        <v>1740</v>
      </c>
      <c r="CC223" s="71">
        <v>1930</v>
      </c>
      <c r="CD223" s="25"/>
      <c r="CE223" s="200"/>
      <c r="CF223" s="200"/>
      <c r="CG223" s="200"/>
      <c r="CH223" s="200"/>
      <c r="CI223" s="200"/>
      <c r="CJ223" s="200"/>
      <c r="CK223" s="200"/>
      <c r="CL223" s="200"/>
      <c r="CM223" s="200"/>
      <c r="CN223" s="200"/>
      <c r="CO223" s="200"/>
      <c r="CP223" s="200"/>
      <c r="CQ223" s="200"/>
      <c r="CR223" s="200"/>
      <c r="CS223" s="200"/>
      <c r="CT223" s="200"/>
      <c r="CU223" s="200"/>
    </row>
    <row r="224" spans="1:99" s="17" customFormat="1" x14ac:dyDescent="0.2">
      <c r="A224" s="25"/>
      <c r="B224" s="20">
        <v>39085201102</v>
      </c>
      <c r="C224" s="20">
        <v>2011.02</v>
      </c>
      <c r="D224" s="20" t="s">
        <v>48</v>
      </c>
      <c r="E224" s="20" t="s">
        <v>2829</v>
      </c>
      <c r="F224" s="20" t="s">
        <v>8</v>
      </c>
      <c r="G224" s="861">
        <v>72.4553901632829</v>
      </c>
      <c r="H224" s="861">
        <v>76.088290372687993</v>
      </c>
      <c r="I224" s="861">
        <v>28.8036926406295</v>
      </c>
      <c r="J224" s="861">
        <v>61.319746809551802</v>
      </c>
      <c r="K224" s="982">
        <v>0</v>
      </c>
      <c r="L224" s="735" t="s">
        <v>2466</v>
      </c>
      <c r="M224" s="735">
        <v>2916</v>
      </c>
      <c r="N224" s="845" t="str">
        <f t="shared" si="28"/>
        <v/>
      </c>
      <c r="O224" s="735">
        <v>6.6770121195652905</v>
      </c>
      <c r="P224" s="735">
        <f t="shared" si="29"/>
        <v>436.72228652324918</v>
      </c>
      <c r="Q224" s="849">
        <v>55.4</v>
      </c>
      <c r="R224" s="71">
        <v>110000</v>
      </c>
      <c r="S224" s="845">
        <v>3.9455307262569829E-2</v>
      </c>
      <c r="T224" s="845">
        <v>1.1000000000000001E-2</v>
      </c>
      <c r="U224" s="845">
        <v>0</v>
      </c>
      <c r="V224" s="845">
        <v>0</v>
      </c>
      <c r="W224" s="845">
        <v>0.14098360655737704</v>
      </c>
      <c r="X224" s="845">
        <v>0.59302325581395354</v>
      </c>
      <c r="Y224" s="845">
        <v>0.98765432098765427</v>
      </c>
      <c r="Z224" s="845">
        <v>8.9163237311385458E-3</v>
      </c>
      <c r="AA224" s="845">
        <v>0</v>
      </c>
      <c r="AB224" s="845">
        <v>0</v>
      </c>
      <c r="AC224" s="845">
        <v>0</v>
      </c>
      <c r="AD224" s="845">
        <v>0</v>
      </c>
      <c r="AE224" s="845">
        <v>3.4293552812071329E-3</v>
      </c>
      <c r="AF224" s="845">
        <v>3.4293552812071328E-4</v>
      </c>
      <c r="AG224" s="845">
        <v>0.98731138545953356</v>
      </c>
      <c r="AH224" s="20" t="str">
        <f t="shared" si="30"/>
        <v>Yes</v>
      </c>
      <c r="AI224" s="25"/>
      <c r="AJ224" s="20">
        <v>45013</v>
      </c>
      <c r="AK224" s="20" t="s">
        <v>1533</v>
      </c>
      <c r="AL224" s="20">
        <v>39061</v>
      </c>
      <c r="AM224" s="20" t="s">
        <v>37</v>
      </c>
      <c r="AN224" s="37">
        <f t="shared" si="31"/>
        <v>17140</v>
      </c>
      <c r="AO224" s="37" t="str">
        <f t="shared" si="32"/>
        <v>Cincinnati, OH-KY-IN</v>
      </c>
      <c r="AP224" s="20" t="s">
        <v>8</v>
      </c>
      <c r="AQ224" s="25"/>
      <c r="AR224" s="25"/>
      <c r="AS224" s="25"/>
      <c r="AT224" s="25"/>
      <c r="AU224" s="36"/>
      <c r="AV224" s="36"/>
      <c r="AW224" s="36"/>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39">
        <v>45042</v>
      </c>
      <c r="BV224" s="39" t="s">
        <v>1544</v>
      </c>
      <c r="BW224" s="39" t="s">
        <v>2871</v>
      </c>
      <c r="BX224" s="39" t="s">
        <v>304</v>
      </c>
      <c r="BY224" s="71">
        <v>900</v>
      </c>
      <c r="BZ224" s="71">
        <v>990</v>
      </c>
      <c r="CA224" s="71">
        <v>1270</v>
      </c>
      <c r="CB224" s="71">
        <v>1670</v>
      </c>
      <c r="CC224" s="71">
        <v>1850</v>
      </c>
      <c r="CD224" s="25"/>
      <c r="CE224" s="200"/>
      <c r="CF224" s="200"/>
      <c r="CG224" s="200"/>
      <c r="CH224" s="200"/>
      <c r="CI224" s="200"/>
      <c r="CJ224" s="200"/>
      <c r="CK224" s="200"/>
      <c r="CL224" s="200"/>
      <c r="CM224" s="200"/>
      <c r="CN224" s="200"/>
      <c r="CO224" s="200"/>
      <c r="CP224" s="200"/>
      <c r="CQ224" s="200"/>
      <c r="CR224" s="200"/>
      <c r="CS224" s="200"/>
      <c r="CT224" s="200"/>
      <c r="CU224" s="200"/>
    </row>
    <row r="225" spans="1:99" s="17" customFormat="1" x14ac:dyDescent="0.2">
      <c r="A225" s="25"/>
      <c r="B225" s="20">
        <v>39061025401</v>
      </c>
      <c r="C225" s="20">
        <v>254.01</v>
      </c>
      <c r="D225" s="20" t="s">
        <v>37</v>
      </c>
      <c r="E225" s="20" t="s">
        <v>2828</v>
      </c>
      <c r="F225" s="20" t="s">
        <v>8</v>
      </c>
      <c r="G225" s="861">
        <v>72.319575378501298</v>
      </c>
      <c r="H225" s="861">
        <v>69.065714302544606</v>
      </c>
      <c r="I225" s="861">
        <v>50.273924574733698</v>
      </c>
      <c r="J225" s="861">
        <v>37.917995194564398</v>
      </c>
      <c r="K225" s="982">
        <v>0</v>
      </c>
      <c r="L225" s="735">
        <v>1698</v>
      </c>
      <c r="M225" s="735">
        <v>1613</v>
      </c>
      <c r="N225" s="845">
        <f t="shared" si="28"/>
        <v>-5.0058892815076562E-2</v>
      </c>
      <c r="O225" s="735">
        <v>0.40367945936246019</v>
      </c>
      <c r="P225" s="735">
        <f t="shared" si="29"/>
        <v>3995.7445507567963</v>
      </c>
      <c r="Q225" s="849">
        <v>38</v>
      </c>
      <c r="R225" s="71">
        <v>68500</v>
      </c>
      <c r="S225" s="845">
        <v>0.10229386236825791</v>
      </c>
      <c r="T225" s="845">
        <v>7.5999999999999998E-2</v>
      </c>
      <c r="U225" s="845">
        <v>1.8000000000000002E-2</v>
      </c>
      <c r="V225" s="845">
        <v>0</v>
      </c>
      <c r="W225" s="845">
        <v>0.59183673469387754</v>
      </c>
      <c r="X225" s="845">
        <v>0.40732758620689657</v>
      </c>
      <c r="Y225" s="845">
        <v>0.7978921264724117</v>
      </c>
      <c r="Z225" s="845">
        <v>8.2455052696838185E-2</v>
      </c>
      <c r="AA225" s="845">
        <v>0</v>
      </c>
      <c r="AB225" s="845">
        <v>1.735895846249225E-2</v>
      </c>
      <c r="AC225" s="845">
        <v>0</v>
      </c>
      <c r="AD225" s="845">
        <v>9.9194048357098569E-3</v>
      </c>
      <c r="AE225" s="845">
        <v>9.237445753254804E-2</v>
      </c>
      <c r="AF225" s="845">
        <v>0.10229386236825791</v>
      </c>
      <c r="AG225" s="845">
        <v>0.7960322380657161</v>
      </c>
      <c r="AH225" s="20" t="str">
        <f t="shared" si="30"/>
        <v>No</v>
      </c>
      <c r="AI225" s="25"/>
      <c r="AJ225" s="20">
        <v>45030</v>
      </c>
      <c r="AK225" s="20" t="s">
        <v>1536</v>
      </c>
      <c r="AL225" s="20">
        <v>39061</v>
      </c>
      <c r="AM225" s="20" t="s">
        <v>37</v>
      </c>
      <c r="AN225" s="37">
        <f t="shared" si="31"/>
        <v>17140</v>
      </c>
      <c r="AO225" s="37" t="str">
        <f t="shared" si="32"/>
        <v>Cincinnati, OH-KY-IN</v>
      </c>
      <c r="AP225" s="20" t="s">
        <v>8</v>
      </c>
      <c r="AQ225" s="25"/>
      <c r="AR225" s="25"/>
      <c r="AS225" s="25"/>
      <c r="AT225" s="25"/>
      <c r="AU225" s="36"/>
      <c r="AV225" s="36"/>
      <c r="AW225" s="36"/>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39">
        <v>45044</v>
      </c>
      <c r="BV225" s="39" t="s">
        <v>1545</v>
      </c>
      <c r="BW225" s="39" t="s">
        <v>2871</v>
      </c>
      <c r="BX225" s="39" t="s">
        <v>304</v>
      </c>
      <c r="BY225" s="71">
        <v>870</v>
      </c>
      <c r="BZ225" s="71">
        <v>960</v>
      </c>
      <c r="CA225" s="71">
        <v>1230</v>
      </c>
      <c r="CB225" s="71">
        <v>1620</v>
      </c>
      <c r="CC225" s="71">
        <v>1800</v>
      </c>
      <c r="CD225" s="25"/>
      <c r="CE225" s="200"/>
      <c r="CF225" s="200"/>
      <c r="CG225" s="200"/>
      <c r="CH225" s="200"/>
      <c r="CI225" s="200"/>
      <c r="CJ225" s="200"/>
      <c r="CK225" s="200"/>
      <c r="CL225" s="200"/>
      <c r="CM225" s="200"/>
      <c r="CN225" s="200"/>
      <c r="CO225" s="200"/>
      <c r="CP225" s="200"/>
      <c r="CQ225" s="200"/>
      <c r="CR225" s="200"/>
      <c r="CS225" s="200"/>
      <c r="CT225" s="200"/>
      <c r="CU225" s="200"/>
    </row>
    <row r="226" spans="1:99" s="17" customFormat="1" x14ac:dyDescent="0.2">
      <c r="A226" s="25"/>
      <c r="B226" s="20">
        <v>39085201500</v>
      </c>
      <c r="C226" s="20">
        <v>2015</v>
      </c>
      <c r="D226" s="20" t="s">
        <v>48</v>
      </c>
      <c r="E226" s="20" t="s">
        <v>2829</v>
      </c>
      <c r="F226" s="20" t="s">
        <v>8</v>
      </c>
      <c r="G226" s="861">
        <v>72.309366365492295</v>
      </c>
      <c r="H226" s="861">
        <v>65.883587733618</v>
      </c>
      <c r="I226" s="861">
        <v>24.238295277816601</v>
      </c>
      <c r="J226" s="861">
        <v>36.464470150469602</v>
      </c>
      <c r="K226" s="982">
        <v>0</v>
      </c>
      <c r="L226" s="735">
        <v>1842</v>
      </c>
      <c r="M226" s="735">
        <v>2637</v>
      </c>
      <c r="N226" s="845">
        <f t="shared" si="28"/>
        <v>0.43159609120521175</v>
      </c>
      <c r="O226" s="735">
        <v>3.0515387192260124</v>
      </c>
      <c r="P226" s="735">
        <f t="shared" si="29"/>
        <v>864.15419977657848</v>
      </c>
      <c r="Q226" s="849">
        <v>40.5</v>
      </c>
      <c r="R226" s="71">
        <v>89761</v>
      </c>
      <c r="S226" s="845">
        <v>6.8638604474781956E-2</v>
      </c>
      <c r="T226" s="845">
        <v>3.7999999999999999E-2</v>
      </c>
      <c r="U226" s="845">
        <v>9.0000000000000011E-3</v>
      </c>
      <c r="V226" s="845">
        <v>0</v>
      </c>
      <c r="W226" s="845">
        <v>0.27241079199303742</v>
      </c>
      <c r="X226" s="845">
        <v>0.34824281150159747</v>
      </c>
      <c r="Y226" s="845">
        <v>0.90405764125900645</v>
      </c>
      <c r="Z226" s="845">
        <v>0</v>
      </c>
      <c r="AA226" s="845">
        <v>0</v>
      </c>
      <c r="AB226" s="845">
        <v>0</v>
      </c>
      <c r="AC226" s="845">
        <v>0</v>
      </c>
      <c r="AD226" s="845">
        <v>9.1012514220705342E-3</v>
      </c>
      <c r="AE226" s="845">
        <v>8.6841107318923014E-2</v>
      </c>
      <c r="AF226" s="845">
        <v>5.5365946150929088E-2</v>
      </c>
      <c r="AG226" s="845">
        <v>0.89571482745544184</v>
      </c>
      <c r="AH226" s="20" t="str">
        <f t="shared" si="30"/>
        <v>No</v>
      </c>
      <c r="AI226" s="25"/>
      <c r="AJ226" s="37">
        <v>45033</v>
      </c>
      <c r="AK226" s="37" t="s">
        <v>1538</v>
      </c>
      <c r="AL226" s="37">
        <v>39061</v>
      </c>
      <c r="AM226" s="37" t="s">
        <v>37</v>
      </c>
      <c r="AN226" s="37">
        <f t="shared" si="31"/>
        <v>17140</v>
      </c>
      <c r="AO226" s="37" t="str">
        <f t="shared" si="32"/>
        <v>Cincinnati, OH-KY-IN</v>
      </c>
      <c r="AP226" s="20" t="s">
        <v>8</v>
      </c>
      <c r="AQ226" s="25"/>
      <c r="AR226" s="25"/>
      <c r="AS226" s="25"/>
      <c r="AT226" s="25"/>
      <c r="AU226" s="36"/>
      <c r="AV226" s="36"/>
      <c r="AW226" s="36"/>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39">
        <v>45050</v>
      </c>
      <c r="BV226" s="39" t="s">
        <v>1546</v>
      </c>
      <c r="BW226" s="39" t="s">
        <v>2871</v>
      </c>
      <c r="BX226" s="39" t="s">
        <v>304</v>
      </c>
      <c r="BY226" s="71">
        <v>1270</v>
      </c>
      <c r="BZ226" s="71">
        <v>1400</v>
      </c>
      <c r="CA226" s="71">
        <v>1800</v>
      </c>
      <c r="CB226" s="71">
        <v>2370</v>
      </c>
      <c r="CC226" s="71">
        <v>2630</v>
      </c>
      <c r="CD226" s="25"/>
      <c r="CE226" s="200"/>
      <c r="CF226" s="200"/>
      <c r="CG226" s="200"/>
      <c r="CH226" s="200"/>
      <c r="CI226" s="200"/>
      <c r="CJ226" s="200"/>
      <c r="CK226" s="200"/>
      <c r="CL226" s="200"/>
      <c r="CM226" s="200"/>
      <c r="CN226" s="200"/>
      <c r="CO226" s="200"/>
      <c r="CP226" s="200"/>
      <c r="CQ226" s="200"/>
      <c r="CR226" s="200"/>
      <c r="CS226" s="200"/>
      <c r="CT226" s="200"/>
      <c r="CU226" s="200"/>
    </row>
    <row r="227" spans="1:99" s="17" customFormat="1" x14ac:dyDescent="0.2">
      <c r="A227" s="25"/>
      <c r="B227" s="20">
        <v>39049005820</v>
      </c>
      <c r="C227" s="20">
        <v>58.2</v>
      </c>
      <c r="D227" s="20" t="s">
        <v>31</v>
      </c>
      <c r="E227" s="20" t="s">
        <v>2830</v>
      </c>
      <c r="F227" s="20" t="s">
        <v>8</v>
      </c>
      <c r="G227" s="861">
        <v>72.300408610909102</v>
      </c>
      <c r="H227" s="861">
        <v>87.004978801221199</v>
      </c>
      <c r="I227" s="861">
        <v>43.0949383005795</v>
      </c>
      <c r="J227" s="861">
        <v>51.8127030929532</v>
      </c>
      <c r="K227" s="982">
        <v>1</v>
      </c>
      <c r="L227" s="735">
        <v>2024</v>
      </c>
      <c r="M227" s="735">
        <v>2197</v>
      </c>
      <c r="N227" s="845">
        <f t="shared" si="28"/>
        <v>8.5474308300395263E-2</v>
      </c>
      <c r="O227" s="735">
        <v>0.29435540536130106</v>
      </c>
      <c r="P227" s="735">
        <f t="shared" si="29"/>
        <v>7463.7664536967932</v>
      </c>
      <c r="Q227" s="849">
        <v>36.200000000000003</v>
      </c>
      <c r="R227" s="71">
        <v>89680</v>
      </c>
      <c r="S227" s="845">
        <v>9.2736409319323893E-2</v>
      </c>
      <c r="T227" s="845">
        <v>4.8000000000000001E-2</v>
      </c>
      <c r="U227" s="845">
        <v>4.4999999999999998E-2</v>
      </c>
      <c r="V227" s="845">
        <v>0</v>
      </c>
      <c r="W227" s="845">
        <v>0.44530577088716622</v>
      </c>
      <c r="X227" s="845">
        <v>0.53578336557059958</v>
      </c>
      <c r="Y227" s="845">
        <v>0.71597633136094674</v>
      </c>
      <c r="Z227" s="845">
        <v>0.11242603550295859</v>
      </c>
      <c r="AA227" s="845">
        <v>0</v>
      </c>
      <c r="AB227" s="845">
        <v>0</v>
      </c>
      <c r="AC227" s="845">
        <v>0</v>
      </c>
      <c r="AD227" s="845">
        <v>3.0040964952207556E-2</v>
      </c>
      <c r="AE227" s="845">
        <v>0.14155666818388712</v>
      </c>
      <c r="AF227" s="845">
        <v>0.12562585343650431</v>
      </c>
      <c r="AG227" s="845">
        <v>0.69276285844333185</v>
      </c>
      <c r="AH227" s="20" t="str">
        <f t="shared" si="30"/>
        <v>No</v>
      </c>
      <c r="AI227" s="25"/>
      <c r="AJ227" s="20">
        <v>45041</v>
      </c>
      <c r="AK227" s="20" t="s">
        <v>1543</v>
      </c>
      <c r="AL227" s="20">
        <v>39061</v>
      </c>
      <c r="AM227" s="20" t="s">
        <v>37</v>
      </c>
      <c r="AN227" s="37">
        <f t="shared" si="31"/>
        <v>17140</v>
      </c>
      <c r="AO227" s="37" t="str">
        <f t="shared" si="32"/>
        <v>Cincinnati, OH-KY-IN</v>
      </c>
      <c r="AP227" s="20" t="s">
        <v>8</v>
      </c>
      <c r="AQ227" s="25"/>
      <c r="AR227" s="25"/>
      <c r="AS227" s="25"/>
      <c r="AT227" s="25"/>
      <c r="AU227" s="36"/>
      <c r="AV227" s="36"/>
      <c r="AW227" s="36"/>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39">
        <v>45051</v>
      </c>
      <c r="BV227" s="39" t="s">
        <v>1547</v>
      </c>
      <c r="BW227" s="39" t="s">
        <v>2871</v>
      </c>
      <c r="BX227" s="39" t="s">
        <v>304</v>
      </c>
      <c r="BY227" s="71">
        <v>850</v>
      </c>
      <c r="BZ227" s="71">
        <v>930</v>
      </c>
      <c r="CA227" s="71">
        <v>1200</v>
      </c>
      <c r="CB227" s="71">
        <v>1580</v>
      </c>
      <c r="CC227" s="71">
        <v>1750</v>
      </c>
      <c r="CD227" s="25"/>
      <c r="CE227" s="200"/>
      <c r="CF227" s="200"/>
      <c r="CG227" s="200"/>
      <c r="CH227" s="200"/>
      <c r="CI227" s="200"/>
      <c r="CJ227" s="200"/>
      <c r="CK227" s="200"/>
      <c r="CL227" s="200"/>
      <c r="CM227" s="200"/>
      <c r="CN227" s="200"/>
      <c r="CO227" s="200"/>
      <c r="CP227" s="200"/>
      <c r="CQ227" s="200"/>
      <c r="CR227" s="200"/>
      <c r="CS227" s="200"/>
      <c r="CT227" s="200"/>
      <c r="CU227" s="200"/>
    </row>
    <row r="228" spans="1:99" s="17" customFormat="1" x14ac:dyDescent="0.2">
      <c r="A228" s="25"/>
      <c r="B228" s="20">
        <v>39035174206</v>
      </c>
      <c r="C228" s="20">
        <v>1742.06</v>
      </c>
      <c r="D228" s="20" t="s">
        <v>24</v>
      </c>
      <c r="E228" s="20" t="s">
        <v>2829</v>
      </c>
      <c r="F228" s="20" t="s">
        <v>8</v>
      </c>
      <c r="G228" s="861">
        <v>72.220818230407005</v>
      </c>
      <c r="H228" s="861">
        <v>76.7993412040625</v>
      </c>
      <c r="I228" s="861">
        <v>66.479938804770597</v>
      </c>
      <c r="J228" s="861">
        <v>29.6680183511459</v>
      </c>
      <c r="K228" s="982">
        <v>0</v>
      </c>
      <c r="L228" s="735">
        <v>2002</v>
      </c>
      <c r="M228" s="735">
        <v>2856</v>
      </c>
      <c r="N228" s="845">
        <f t="shared" si="28"/>
        <v>0.42657342657342656</v>
      </c>
      <c r="O228" s="735">
        <v>0.58672238460585058</v>
      </c>
      <c r="P228" s="735">
        <f t="shared" si="29"/>
        <v>4867.7195125572189</v>
      </c>
      <c r="Q228" s="849">
        <v>35</v>
      </c>
      <c r="R228" s="71">
        <v>61635</v>
      </c>
      <c r="S228" s="845">
        <v>0.10504201680672269</v>
      </c>
      <c r="T228" s="845">
        <v>1.7000000000000001E-2</v>
      </c>
      <c r="U228" s="845">
        <v>0</v>
      </c>
      <c r="V228" s="845">
        <v>3.5000000000000003E-2</v>
      </c>
      <c r="W228" s="845">
        <v>0.45553539019963701</v>
      </c>
      <c r="X228" s="845">
        <v>0.3605577689243028</v>
      </c>
      <c r="Y228" s="845">
        <v>0.68172268907563027</v>
      </c>
      <c r="Z228" s="845">
        <v>7.42296918767507E-2</v>
      </c>
      <c r="AA228" s="845">
        <v>0</v>
      </c>
      <c r="AB228" s="845">
        <v>2.7310924369747899E-2</v>
      </c>
      <c r="AC228" s="845">
        <v>0</v>
      </c>
      <c r="AD228" s="845">
        <v>8.2282913165266106E-2</v>
      </c>
      <c r="AE228" s="845">
        <v>0.13445378151260504</v>
      </c>
      <c r="AF228" s="845">
        <v>0.21708683473389356</v>
      </c>
      <c r="AG228" s="845">
        <v>0.65196078431372551</v>
      </c>
      <c r="AH228" s="20" t="str">
        <f t="shared" si="30"/>
        <v>No</v>
      </c>
      <c r="AI228" s="25"/>
      <c r="AJ228" s="20">
        <v>45051</v>
      </c>
      <c r="AK228" s="20" t="s">
        <v>1547</v>
      </c>
      <c r="AL228" s="20">
        <v>39061</v>
      </c>
      <c r="AM228" s="20" t="s">
        <v>37</v>
      </c>
      <c r="AN228" s="37">
        <f t="shared" si="31"/>
        <v>17140</v>
      </c>
      <c r="AO228" s="37" t="str">
        <f t="shared" si="32"/>
        <v>Cincinnati, OH-KY-IN</v>
      </c>
      <c r="AP228" s="20" t="s">
        <v>8</v>
      </c>
      <c r="AQ228" s="25"/>
      <c r="AR228" s="25"/>
      <c r="AS228" s="25"/>
      <c r="AT228" s="25"/>
      <c r="AU228" s="36"/>
      <c r="AV228" s="36"/>
      <c r="AW228" s="36"/>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39">
        <v>45052</v>
      </c>
      <c r="BV228" s="39" t="s">
        <v>1548</v>
      </c>
      <c r="BW228" s="39" t="s">
        <v>2871</v>
      </c>
      <c r="BX228" s="39" t="s">
        <v>304</v>
      </c>
      <c r="BY228" s="71">
        <v>960</v>
      </c>
      <c r="BZ228" s="71">
        <v>1050</v>
      </c>
      <c r="CA228" s="71">
        <v>1350</v>
      </c>
      <c r="CB228" s="71">
        <v>1780</v>
      </c>
      <c r="CC228" s="71">
        <v>1970</v>
      </c>
      <c r="CD228" s="25"/>
      <c r="CE228" s="200"/>
      <c r="CF228" s="200"/>
      <c r="CG228" s="200"/>
      <c r="CH228" s="200"/>
      <c r="CI228" s="200"/>
      <c r="CJ228" s="200"/>
      <c r="CK228" s="200"/>
      <c r="CL228" s="200"/>
      <c r="CM228" s="200"/>
      <c r="CN228" s="200"/>
      <c r="CO228" s="200"/>
      <c r="CP228" s="200"/>
      <c r="CQ228" s="200"/>
      <c r="CR228" s="200"/>
      <c r="CS228" s="200"/>
      <c r="CT228" s="200"/>
      <c r="CU228" s="200"/>
    </row>
    <row r="229" spans="1:99" s="17" customFormat="1" x14ac:dyDescent="0.2">
      <c r="A229" s="25"/>
      <c r="B229" s="20">
        <v>39049007043</v>
      </c>
      <c r="C229" s="20">
        <v>70.430000000000007</v>
      </c>
      <c r="D229" s="20" t="s">
        <v>31</v>
      </c>
      <c r="E229" s="20" t="s">
        <v>2830</v>
      </c>
      <c r="F229" s="20" t="s">
        <v>8</v>
      </c>
      <c r="G229" s="861">
        <v>72.212393339084301</v>
      </c>
      <c r="H229" s="861">
        <v>74.921625831982695</v>
      </c>
      <c r="I229" s="861">
        <v>42.560827462146598</v>
      </c>
      <c r="J229" s="861">
        <v>52.061847726693699</v>
      </c>
      <c r="K229" s="982">
        <v>0</v>
      </c>
      <c r="L229" s="735">
        <v>4648</v>
      </c>
      <c r="M229" s="735">
        <v>6102</v>
      </c>
      <c r="N229" s="845">
        <f t="shared" si="28"/>
        <v>0.31282271944922546</v>
      </c>
      <c r="O229" s="735">
        <v>1.0047945741341646</v>
      </c>
      <c r="P229" s="735">
        <f t="shared" si="29"/>
        <v>6072.8831117127766</v>
      </c>
      <c r="Q229" s="849">
        <v>29</v>
      </c>
      <c r="R229" s="71">
        <v>69671</v>
      </c>
      <c r="S229" s="845">
        <v>0.15634218289085547</v>
      </c>
      <c r="T229" s="845">
        <v>0.05</v>
      </c>
      <c r="U229" s="845">
        <v>2.3E-2</v>
      </c>
      <c r="V229" s="845">
        <v>1.4999999999999999E-2</v>
      </c>
      <c r="W229" s="845">
        <v>0.74413065668594758</v>
      </c>
      <c r="X229" s="845">
        <v>0.46730681298582533</v>
      </c>
      <c r="Y229" s="845">
        <v>0.56751884627990823</v>
      </c>
      <c r="Z229" s="845">
        <v>0.23500491642084562</v>
      </c>
      <c r="AA229" s="845">
        <v>2.6220911176663389E-3</v>
      </c>
      <c r="AB229" s="845">
        <v>3.3267781055391674E-2</v>
      </c>
      <c r="AC229" s="845">
        <v>0</v>
      </c>
      <c r="AD229" s="845">
        <v>4.3100622746640449E-2</v>
      </c>
      <c r="AE229" s="845">
        <v>0.11848574237954769</v>
      </c>
      <c r="AF229" s="845">
        <v>0.14634546050475253</v>
      </c>
      <c r="AG229" s="845">
        <v>0.56030809570632578</v>
      </c>
      <c r="AH229" s="20" t="str">
        <f t="shared" si="30"/>
        <v>No</v>
      </c>
      <c r="AI229" s="25"/>
      <c r="AJ229" s="37">
        <v>45052</v>
      </c>
      <c r="AK229" s="37" t="s">
        <v>1548</v>
      </c>
      <c r="AL229" s="37">
        <v>39061</v>
      </c>
      <c r="AM229" s="37" t="s">
        <v>37</v>
      </c>
      <c r="AN229" s="37">
        <f t="shared" si="31"/>
        <v>17140</v>
      </c>
      <c r="AO229" s="37" t="str">
        <f t="shared" si="32"/>
        <v>Cincinnati, OH-KY-IN</v>
      </c>
      <c r="AP229" s="20" t="s">
        <v>8</v>
      </c>
      <c r="AQ229" s="25"/>
      <c r="AR229" s="25"/>
      <c r="AS229" s="25"/>
      <c r="AT229" s="25"/>
      <c r="AU229" s="36"/>
      <c r="AV229" s="36"/>
      <c r="AW229" s="36"/>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39">
        <v>45053</v>
      </c>
      <c r="BV229" s="39" t="s">
        <v>1549</v>
      </c>
      <c r="BW229" s="39" t="s">
        <v>2871</v>
      </c>
      <c r="BX229" s="39" t="s">
        <v>304</v>
      </c>
      <c r="BY229" s="71">
        <v>900</v>
      </c>
      <c r="BZ229" s="71">
        <v>990</v>
      </c>
      <c r="CA229" s="71">
        <v>1280</v>
      </c>
      <c r="CB229" s="71">
        <v>1690</v>
      </c>
      <c r="CC229" s="71">
        <v>1850</v>
      </c>
      <c r="CD229" s="25"/>
      <c r="CE229" s="200"/>
      <c r="CF229" s="200"/>
      <c r="CG229" s="200"/>
      <c r="CH229" s="200"/>
      <c r="CI229" s="200"/>
      <c r="CJ229" s="200"/>
      <c r="CK229" s="200"/>
      <c r="CL229" s="200"/>
      <c r="CM229" s="200"/>
      <c r="CN229" s="200"/>
      <c r="CO229" s="200"/>
      <c r="CP229" s="200"/>
      <c r="CQ229" s="200"/>
      <c r="CR229" s="200"/>
      <c r="CS229" s="200"/>
      <c r="CT229" s="200"/>
      <c r="CU229" s="200"/>
    </row>
    <row r="230" spans="1:99" s="17" customFormat="1" x14ac:dyDescent="0.2">
      <c r="A230" s="25"/>
      <c r="B230" s="20">
        <v>39113020800</v>
      </c>
      <c r="C230" s="20">
        <v>208</v>
      </c>
      <c r="D230" s="20" t="s">
        <v>62</v>
      </c>
      <c r="E230" s="20" t="s">
        <v>2833</v>
      </c>
      <c r="F230" s="20" t="s">
        <v>8</v>
      </c>
      <c r="G230" s="861">
        <v>72.1855477190269</v>
      </c>
      <c r="H230" s="861">
        <v>70.857542875409194</v>
      </c>
      <c r="I230" s="861">
        <v>33.478294566393799</v>
      </c>
      <c r="J230" s="861">
        <v>57.199558135666599</v>
      </c>
      <c r="K230" s="982">
        <v>0</v>
      </c>
      <c r="L230" s="735">
        <v>2441</v>
      </c>
      <c r="M230" s="735">
        <v>2615</v>
      </c>
      <c r="N230" s="845">
        <f t="shared" si="28"/>
        <v>7.1282261368291688E-2</v>
      </c>
      <c r="O230" s="735">
        <v>0.60728386895953745</v>
      </c>
      <c r="P230" s="735">
        <f t="shared" si="29"/>
        <v>4306.0587209080541</v>
      </c>
      <c r="Q230" s="849">
        <v>40</v>
      </c>
      <c r="R230" s="71">
        <v>77866</v>
      </c>
      <c r="S230" s="845">
        <v>2.5522041763341066E-2</v>
      </c>
      <c r="T230" s="845">
        <v>3.5000000000000003E-2</v>
      </c>
      <c r="U230" s="845">
        <v>4.0999999999999995E-2</v>
      </c>
      <c r="V230" s="845">
        <v>1.7000000000000001E-2</v>
      </c>
      <c r="W230" s="845">
        <v>0.4055032585083273</v>
      </c>
      <c r="X230" s="845">
        <v>0.52500000000000002</v>
      </c>
      <c r="Y230" s="845">
        <v>0.87418738049713196</v>
      </c>
      <c r="Z230" s="845">
        <v>0</v>
      </c>
      <c r="AA230" s="845">
        <v>0</v>
      </c>
      <c r="AB230" s="845">
        <v>4.5124282982791586E-2</v>
      </c>
      <c r="AC230" s="845">
        <v>0</v>
      </c>
      <c r="AD230" s="845">
        <v>1.9120458891013384E-3</v>
      </c>
      <c r="AE230" s="845">
        <v>7.8776290630975146E-2</v>
      </c>
      <c r="AF230" s="845">
        <v>1.7208413001912046E-2</v>
      </c>
      <c r="AG230" s="845">
        <v>0.87418738049713196</v>
      </c>
      <c r="AH230" s="20" t="str">
        <f t="shared" si="30"/>
        <v>No</v>
      </c>
      <c r="AI230" s="25"/>
      <c r="AJ230" s="20">
        <v>45069</v>
      </c>
      <c r="AK230" s="20" t="s">
        <v>1559</v>
      </c>
      <c r="AL230" s="20">
        <v>39061</v>
      </c>
      <c r="AM230" s="20" t="s">
        <v>37</v>
      </c>
      <c r="AN230" s="37">
        <f t="shared" si="31"/>
        <v>17140</v>
      </c>
      <c r="AO230" s="37" t="str">
        <f t="shared" si="32"/>
        <v>Cincinnati, OH-KY-IN</v>
      </c>
      <c r="AP230" s="20" t="s">
        <v>8</v>
      </c>
      <c r="AQ230" s="25"/>
      <c r="AR230" s="25"/>
      <c r="AS230" s="25"/>
      <c r="AT230" s="25"/>
      <c r="AU230" s="36"/>
      <c r="AV230" s="36"/>
      <c r="AW230" s="36"/>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39">
        <v>45054</v>
      </c>
      <c r="BV230" s="39" t="s">
        <v>1550</v>
      </c>
      <c r="BW230" s="39" t="s">
        <v>2871</v>
      </c>
      <c r="BX230" s="39" t="s">
        <v>304</v>
      </c>
      <c r="BY230" s="71">
        <v>1030</v>
      </c>
      <c r="BZ230" s="71">
        <v>1130</v>
      </c>
      <c r="CA230" s="71">
        <v>1440</v>
      </c>
      <c r="CB230" s="71">
        <v>1900</v>
      </c>
      <c r="CC230" s="71">
        <v>2140</v>
      </c>
      <c r="CD230" s="25"/>
      <c r="CE230" s="200"/>
      <c r="CF230" s="200"/>
      <c r="CG230" s="200"/>
      <c r="CH230" s="200"/>
      <c r="CI230" s="200"/>
      <c r="CJ230" s="200"/>
      <c r="CK230" s="200"/>
      <c r="CL230" s="200"/>
      <c r="CM230" s="200"/>
      <c r="CN230" s="200"/>
      <c r="CO230" s="200"/>
      <c r="CP230" s="200"/>
      <c r="CQ230" s="200"/>
      <c r="CR230" s="200"/>
      <c r="CS230" s="200"/>
      <c r="CT230" s="200"/>
      <c r="CU230" s="200"/>
    </row>
    <row r="231" spans="1:99" s="17" customFormat="1" x14ac:dyDescent="0.2">
      <c r="A231" s="25"/>
      <c r="B231" s="20">
        <v>39049000410</v>
      </c>
      <c r="C231" s="20">
        <v>4.0999999999999996</v>
      </c>
      <c r="D231" s="20" t="s">
        <v>31</v>
      </c>
      <c r="E231" s="20" t="s">
        <v>2830</v>
      </c>
      <c r="F231" s="20" t="s">
        <v>8</v>
      </c>
      <c r="G231" s="861">
        <v>72.149521303141796</v>
      </c>
      <c r="H231" s="861">
        <v>84.121086734701393</v>
      </c>
      <c r="I231" s="861">
        <v>23.860540627151</v>
      </c>
      <c r="J231" s="861">
        <v>37.0763025705294</v>
      </c>
      <c r="K231" s="982">
        <v>0</v>
      </c>
      <c r="L231" s="735">
        <v>2472</v>
      </c>
      <c r="M231" s="735">
        <v>2470</v>
      </c>
      <c r="N231" s="845">
        <f t="shared" si="28"/>
        <v>-8.090614886731392E-4</v>
      </c>
      <c r="O231" s="735">
        <v>0.29902029164141608</v>
      </c>
      <c r="P231" s="735">
        <f t="shared" si="29"/>
        <v>8260.3089791712664</v>
      </c>
      <c r="Q231" s="849">
        <v>32.9</v>
      </c>
      <c r="R231" s="71">
        <v>84527</v>
      </c>
      <c r="S231" s="845">
        <v>6.6176470588235295E-2</v>
      </c>
      <c r="T231" s="845">
        <v>4.5999999999999999E-2</v>
      </c>
      <c r="U231" s="845">
        <v>0</v>
      </c>
      <c r="V231" s="845">
        <v>0.01</v>
      </c>
      <c r="W231" s="845">
        <v>0.71094402673350043</v>
      </c>
      <c r="X231" s="845">
        <v>0.23384253819036427</v>
      </c>
      <c r="Y231" s="845">
        <v>0.86234817813765186</v>
      </c>
      <c r="Z231" s="845">
        <v>3.643724696356275E-2</v>
      </c>
      <c r="AA231" s="845">
        <v>2.4291497975708503E-3</v>
      </c>
      <c r="AB231" s="845">
        <v>3.5222672064777326E-2</v>
      </c>
      <c r="AC231" s="845">
        <v>0</v>
      </c>
      <c r="AD231" s="845">
        <v>4.8582995951417006E-3</v>
      </c>
      <c r="AE231" s="845">
        <v>5.8704453441295545E-2</v>
      </c>
      <c r="AF231" s="845">
        <v>1.9838056680161944E-2</v>
      </c>
      <c r="AG231" s="845">
        <v>0.86234817813765186</v>
      </c>
      <c r="AH231" s="20" t="str">
        <f t="shared" si="30"/>
        <v>No</v>
      </c>
      <c r="AI231" s="25"/>
      <c r="AJ231" s="20">
        <v>45111</v>
      </c>
      <c r="AK231" s="20" t="s">
        <v>1567</v>
      </c>
      <c r="AL231" s="20">
        <v>39061</v>
      </c>
      <c r="AM231" s="20" t="s">
        <v>37</v>
      </c>
      <c r="AN231" s="37">
        <f t="shared" si="31"/>
        <v>17140</v>
      </c>
      <c r="AO231" s="37" t="str">
        <f t="shared" si="32"/>
        <v>Cincinnati, OH-KY-IN</v>
      </c>
      <c r="AP231" s="20" t="s">
        <v>8</v>
      </c>
      <c r="AQ231" s="25"/>
      <c r="AR231" s="25"/>
      <c r="AS231" s="25"/>
      <c r="AT231" s="25"/>
      <c r="AU231" s="36"/>
      <c r="AV231" s="36"/>
      <c r="AW231" s="36"/>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39">
        <v>45055</v>
      </c>
      <c r="BV231" s="39" t="s">
        <v>1551</v>
      </c>
      <c r="BW231" s="39" t="s">
        <v>2871</v>
      </c>
      <c r="BX231" s="39" t="s">
        <v>304</v>
      </c>
      <c r="BY231" s="71">
        <v>910</v>
      </c>
      <c r="BZ231" s="71">
        <v>1000</v>
      </c>
      <c r="CA231" s="71">
        <v>1290</v>
      </c>
      <c r="CB231" s="71">
        <v>1700</v>
      </c>
      <c r="CC231" s="71">
        <v>1880</v>
      </c>
      <c r="CD231" s="25"/>
      <c r="CE231" s="200"/>
      <c r="CF231" s="200"/>
      <c r="CG231" s="200"/>
      <c r="CH231" s="200"/>
      <c r="CI231" s="200"/>
      <c r="CJ231" s="200"/>
      <c r="CK231" s="200"/>
      <c r="CL231" s="200"/>
      <c r="CM231" s="200"/>
      <c r="CN231" s="200"/>
      <c r="CO231" s="200"/>
      <c r="CP231" s="200"/>
      <c r="CQ231" s="200"/>
      <c r="CR231" s="200"/>
      <c r="CS231" s="200"/>
      <c r="CT231" s="200"/>
      <c r="CU231" s="200"/>
    </row>
    <row r="232" spans="1:99" s="17" customFormat="1" x14ac:dyDescent="0.2">
      <c r="A232" s="25"/>
      <c r="B232" s="20">
        <v>39035137103</v>
      </c>
      <c r="C232" s="20">
        <v>1371.03</v>
      </c>
      <c r="D232" s="20" t="s">
        <v>24</v>
      </c>
      <c r="E232" s="20" t="s">
        <v>2829</v>
      </c>
      <c r="F232" s="20" t="s">
        <v>8</v>
      </c>
      <c r="G232" s="861">
        <v>72.135505011677907</v>
      </c>
      <c r="H232" s="861">
        <v>68.367964911915095</v>
      </c>
      <c r="I232" s="861">
        <v>20.109820952383298</v>
      </c>
      <c r="J232" s="861">
        <v>47.755237594272103</v>
      </c>
      <c r="K232" s="982">
        <v>0</v>
      </c>
      <c r="L232" s="735">
        <v>4121</v>
      </c>
      <c r="M232" s="735">
        <v>4426</v>
      </c>
      <c r="N232" s="845">
        <f t="shared" si="28"/>
        <v>7.4011162339238046E-2</v>
      </c>
      <c r="O232" s="735">
        <v>1.2046368042979163</v>
      </c>
      <c r="P232" s="735">
        <f t="shared" si="29"/>
        <v>3674.1364569045782</v>
      </c>
      <c r="Q232" s="849">
        <v>50.7</v>
      </c>
      <c r="R232" s="71">
        <v>80096</v>
      </c>
      <c r="S232" s="845">
        <v>4.4997715851987211E-2</v>
      </c>
      <c r="T232" s="845">
        <v>0.04</v>
      </c>
      <c r="U232" s="845">
        <v>2.5000000000000001E-2</v>
      </c>
      <c r="V232" s="845">
        <v>0</v>
      </c>
      <c r="W232" s="845">
        <v>0.24846796657381615</v>
      </c>
      <c r="X232" s="845">
        <v>9.417040358744394E-2</v>
      </c>
      <c r="Y232" s="845">
        <v>0.66787166741979209</v>
      </c>
      <c r="Z232" s="845">
        <v>3.8409399005874381E-2</v>
      </c>
      <c r="AA232" s="845">
        <v>3.8409399005874378E-3</v>
      </c>
      <c r="AB232" s="845">
        <v>0.11409850881156801</v>
      </c>
      <c r="AC232" s="845">
        <v>0</v>
      </c>
      <c r="AD232" s="845">
        <v>0.10167193854496159</v>
      </c>
      <c r="AE232" s="845">
        <v>7.4107546317216444E-2</v>
      </c>
      <c r="AF232" s="845">
        <v>0.1412110257568911</v>
      </c>
      <c r="AG232" s="845">
        <v>0.64392227745142339</v>
      </c>
      <c r="AH232" s="20" t="str">
        <f t="shared" si="30"/>
        <v>No</v>
      </c>
      <c r="AI232" s="25"/>
      <c r="AJ232" s="20">
        <v>45140</v>
      </c>
      <c r="AK232" s="20" t="s">
        <v>1582</v>
      </c>
      <c r="AL232" s="20">
        <v>39061</v>
      </c>
      <c r="AM232" s="20" t="s">
        <v>37</v>
      </c>
      <c r="AN232" s="37">
        <f t="shared" si="31"/>
        <v>17140</v>
      </c>
      <c r="AO232" s="37" t="str">
        <f t="shared" si="32"/>
        <v>Cincinnati, OH-KY-IN</v>
      </c>
      <c r="AP232" s="20" t="s">
        <v>8</v>
      </c>
      <c r="AQ232" s="25"/>
      <c r="AR232" s="25"/>
      <c r="AS232" s="25"/>
      <c r="AT232" s="25"/>
      <c r="AU232" s="36"/>
      <c r="AV232" s="36"/>
      <c r="AW232" s="36"/>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39">
        <v>45056</v>
      </c>
      <c r="BV232" s="39" t="s">
        <v>1552</v>
      </c>
      <c r="BW232" s="39" t="s">
        <v>2871</v>
      </c>
      <c r="BX232" s="39" t="s">
        <v>304</v>
      </c>
      <c r="BY232" s="71">
        <v>930</v>
      </c>
      <c r="BZ232" s="71">
        <v>1030</v>
      </c>
      <c r="CA232" s="71">
        <v>1320</v>
      </c>
      <c r="CB232" s="71">
        <v>1740</v>
      </c>
      <c r="CC232" s="71">
        <v>1930</v>
      </c>
      <c r="CD232" s="25"/>
      <c r="CE232" s="200"/>
      <c r="CF232" s="200"/>
      <c r="CG232" s="200"/>
      <c r="CH232" s="200"/>
      <c r="CI232" s="200"/>
      <c r="CJ232" s="200"/>
      <c r="CK232" s="200"/>
      <c r="CL232" s="200"/>
      <c r="CM232" s="200"/>
      <c r="CN232" s="200"/>
      <c r="CO232" s="200"/>
      <c r="CP232" s="200"/>
      <c r="CQ232" s="200"/>
      <c r="CR232" s="200"/>
      <c r="CS232" s="200"/>
      <c r="CT232" s="200"/>
      <c r="CU232" s="200"/>
    </row>
    <row r="233" spans="1:99" s="17" customFormat="1" x14ac:dyDescent="0.2">
      <c r="A233" s="25"/>
      <c r="B233" s="20">
        <v>39049004301</v>
      </c>
      <c r="C233" s="20">
        <v>43.01</v>
      </c>
      <c r="D233" s="20" t="s">
        <v>31</v>
      </c>
      <c r="E233" s="20" t="s">
        <v>2830</v>
      </c>
      <c r="F233" s="20" t="s">
        <v>8</v>
      </c>
      <c r="G233" s="861">
        <v>72.064002270388201</v>
      </c>
      <c r="H233" s="861">
        <v>83.352111519390107</v>
      </c>
      <c r="I233" s="861">
        <v>52.809890908481002</v>
      </c>
      <c r="J233" s="861">
        <v>38.098231486302502</v>
      </c>
      <c r="K233" s="982">
        <v>0</v>
      </c>
      <c r="L233" s="735" t="s">
        <v>2466</v>
      </c>
      <c r="M233" s="735">
        <v>2821</v>
      </c>
      <c r="N233" s="845" t="str">
        <f t="shared" si="28"/>
        <v/>
      </c>
      <c r="O233" s="735">
        <v>1.0072830025462935</v>
      </c>
      <c r="P233" s="735">
        <f t="shared" si="29"/>
        <v>2800.6031997649538</v>
      </c>
      <c r="Q233" s="849">
        <v>31.4</v>
      </c>
      <c r="R233" s="71">
        <v>82717</v>
      </c>
      <c r="S233" s="845">
        <v>0.10457284650833037</v>
      </c>
      <c r="T233" s="845">
        <v>4.2000000000000003E-2</v>
      </c>
      <c r="U233" s="845">
        <v>0</v>
      </c>
      <c r="V233" s="845">
        <v>7.5999999999999998E-2</v>
      </c>
      <c r="W233" s="845">
        <v>0.76502436383324313</v>
      </c>
      <c r="X233" s="845">
        <v>0.3354564755838641</v>
      </c>
      <c r="Y233" s="845">
        <v>0.85182559376107758</v>
      </c>
      <c r="Z233" s="845">
        <v>3.0131159163417229E-2</v>
      </c>
      <c r="AA233" s="845">
        <v>0</v>
      </c>
      <c r="AB233" s="845">
        <v>4.0765685926976249E-2</v>
      </c>
      <c r="AC233" s="845">
        <v>0</v>
      </c>
      <c r="AD233" s="845">
        <v>3.8284296348812481E-2</v>
      </c>
      <c r="AE233" s="845">
        <v>3.8993264799716411E-2</v>
      </c>
      <c r="AF233" s="845">
        <v>7.6568592697624963E-2</v>
      </c>
      <c r="AG233" s="845">
        <v>0.84190003544842251</v>
      </c>
      <c r="AH233" s="20" t="str">
        <f t="shared" si="30"/>
        <v>No</v>
      </c>
      <c r="AI233" s="25"/>
      <c r="AJ233" s="20">
        <v>45150</v>
      </c>
      <c r="AK233" s="20" t="s">
        <v>1588</v>
      </c>
      <c r="AL233" s="20">
        <v>39061</v>
      </c>
      <c r="AM233" s="20" t="s">
        <v>37</v>
      </c>
      <c r="AN233" s="37">
        <f t="shared" si="31"/>
        <v>17140</v>
      </c>
      <c r="AO233" s="37" t="str">
        <f t="shared" si="32"/>
        <v>Cincinnati, OH-KY-IN</v>
      </c>
      <c r="AP233" s="20" t="s">
        <v>8</v>
      </c>
      <c r="AQ233" s="25"/>
      <c r="AR233" s="25"/>
      <c r="AS233" s="25"/>
      <c r="AT233" s="25"/>
      <c r="AU233" s="36"/>
      <c r="AV233" s="36"/>
      <c r="AW233" s="36"/>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39">
        <v>45062</v>
      </c>
      <c r="BV233" s="39" t="s">
        <v>1553</v>
      </c>
      <c r="BW233" s="39" t="s">
        <v>2871</v>
      </c>
      <c r="BX233" s="39" t="s">
        <v>304</v>
      </c>
      <c r="BY233" s="71">
        <v>830</v>
      </c>
      <c r="BZ233" s="71">
        <v>930</v>
      </c>
      <c r="CA233" s="71">
        <v>1210</v>
      </c>
      <c r="CB233" s="71">
        <v>1610</v>
      </c>
      <c r="CC233" s="71">
        <v>1770</v>
      </c>
      <c r="CD233" s="25"/>
      <c r="CE233" s="200"/>
      <c r="CF233" s="200"/>
      <c r="CG233" s="200"/>
      <c r="CH233" s="200"/>
      <c r="CI233" s="200"/>
      <c r="CJ233" s="200"/>
      <c r="CK233" s="200"/>
      <c r="CL233" s="200"/>
      <c r="CM233" s="200"/>
      <c r="CN233" s="200"/>
      <c r="CO233" s="200"/>
      <c r="CP233" s="200"/>
      <c r="CQ233" s="200"/>
      <c r="CR233" s="200"/>
      <c r="CS233" s="200"/>
      <c r="CT233" s="200"/>
      <c r="CU233" s="200"/>
    </row>
    <row r="234" spans="1:99" s="17" customFormat="1" x14ac:dyDescent="0.2">
      <c r="A234" s="25"/>
      <c r="B234" s="20">
        <v>39153532901</v>
      </c>
      <c r="C234" s="20">
        <v>5329.01</v>
      </c>
      <c r="D234" s="20" t="s">
        <v>82</v>
      </c>
      <c r="E234" s="20" t="s">
        <v>2843</v>
      </c>
      <c r="F234" s="20" t="s">
        <v>8</v>
      </c>
      <c r="G234" s="861">
        <v>72.001813989249001</v>
      </c>
      <c r="H234" s="861">
        <v>73.843110761527996</v>
      </c>
      <c r="I234" s="861">
        <v>30.211992634003199</v>
      </c>
      <c r="J234" s="861">
        <v>42.422704121442102</v>
      </c>
      <c r="K234" s="982">
        <v>0</v>
      </c>
      <c r="L234" s="735">
        <v>1486</v>
      </c>
      <c r="M234" s="735">
        <v>1563</v>
      </c>
      <c r="N234" s="845">
        <f t="shared" si="28"/>
        <v>5.1816958277254375E-2</v>
      </c>
      <c r="O234" s="735">
        <v>9.8450679760070408</v>
      </c>
      <c r="P234" s="735">
        <f t="shared" si="29"/>
        <v>158.75969610459927</v>
      </c>
      <c r="Q234" s="849">
        <v>56.4</v>
      </c>
      <c r="R234" s="71">
        <v>105231</v>
      </c>
      <c r="S234" s="845">
        <v>4.0307101727447218E-2</v>
      </c>
      <c r="T234" s="845">
        <v>0.03</v>
      </c>
      <c r="U234" s="845">
        <v>0</v>
      </c>
      <c r="V234" s="845">
        <v>0</v>
      </c>
      <c r="W234" s="845">
        <v>3.6927621861152143E-2</v>
      </c>
      <c r="X234" s="845">
        <v>0.28000000000000003</v>
      </c>
      <c r="Y234" s="845">
        <v>0.95329494561740247</v>
      </c>
      <c r="Z234" s="845">
        <v>4.4785668586052466E-3</v>
      </c>
      <c r="AA234" s="845">
        <v>0</v>
      </c>
      <c r="AB234" s="845">
        <v>0</v>
      </c>
      <c r="AC234" s="845">
        <v>0</v>
      </c>
      <c r="AD234" s="845">
        <v>6.3979526551503517E-4</v>
      </c>
      <c r="AE234" s="845">
        <v>4.158669225847729E-2</v>
      </c>
      <c r="AF234" s="845">
        <v>5.1183621241202813E-3</v>
      </c>
      <c r="AG234" s="845">
        <v>0.95329494561740247</v>
      </c>
      <c r="AH234" s="20" t="str">
        <f t="shared" si="30"/>
        <v>Yes</v>
      </c>
      <c r="AI234" s="25"/>
      <c r="AJ234" s="20">
        <v>45203</v>
      </c>
      <c r="AK234" s="20" t="s">
        <v>1610</v>
      </c>
      <c r="AL234" s="20">
        <v>39061</v>
      </c>
      <c r="AM234" s="20" t="s">
        <v>37</v>
      </c>
      <c r="AN234" s="37">
        <f t="shared" si="31"/>
        <v>17140</v>
      </c>
      <c r="AO234" s="37" t="str">
        <f t="shared" si="32"/>
        <v>Cincinnati, OH-KY-IN</v>
      </c>
      <c r="AP234" s="20" t="s">
        <v>8</v>
      </c>
      <c r="AQ234" s="25"/>
      <c r="AR234" s="25"/>
      <c r="AS234" s="25"/>
      <c r="AT234" s="25"/>
      <c r="AU234" s="36"/>
      <c r="AV234" s="36"/>
      <c r="AW234" s="36"/>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39">
        <v>45064</v>
      </c>
      <c r="BV234" s="39" t="s">
        <v>1554</v>
      </c>
      <c r="BW234" s="39" t="s">
        <v>2871</v>
      </c>
      <c r="BX234" s="39" t="s">
        <v>304</v>
      </c>
      <c r="BY234" s="71">
        <v>850</v>
      </c>
      <c r="BZ234" s="71">
        <v>900</v>
      </c>
      <c r="CA234" s="71">
        <v>1170</v>
      </c>
      <c r="CB234" s="71">
        <v>1550</v>
      </c>
      <c r="CC234" s="71">
        <v>1710</v>
      </c>
      <c r="CD234" s="25"/>
      <c r="CE234" s="200"/>
      <c r="CF234" s="200"/>
      <c r="CG234" s="200"/>
      <c r="CH234" s="200"/>
      <c r="CI234" s="200"/>
      <c r="CJ234" s="200"/>
      <c r="CK234" s="200"/>
      <c r="CL234" s="200"/>
      <c r="CM234" s="200"/>
      <c r="CN234" s="200"/>
      <c r="CO234" s="200"/>
      <c r="CP234" s="200"/>
      <c r="CQ234" s="200"/>
      <c r="CR234" s="200"/>
      <c r="CS234" s="200"/>
      <c r="CT234" s="200"/>
      <c r="CU234" s="200"/>
    </row>
    <row r="235" spans="1:99" s="17" customFormat="1" x14ac:dyDescent="0.2">
      <c r="A235" s="25"/>
      <c r="B235" s="20">
        <v>39049006393</v>
      </c>
      <c r="C235" s="20">
        <v>63.93</v>
      </c>
      <c r="D235" s="20" t="s">
        <v>31</v>
      </c>
      <c r="E235" s="20" t="s">
        <v>2830</v>
      </c>
      <c r="F235" s="20" t="s">
        <v>8</v>
      </c>
      <c r="G235" s="861">
        <v>71.922358217724707</v>
      </c>
      <c r="H235" s="861">
        <v>74.848404748043095</v>
      </c>
      <c r="I235" s="861">
        <v>16.295591643287999</v>
      </c>
      <c r="J235" s="861">
        <v>45.303826342921703</v>
      </c>
      <c r="K235" s="982">
        <v>0</v>
      </c>
      <c r="L235" s="735">
        <v>5896</v>
      </c>
      <c r="M235" s="735">
        <v>5463</v>
      </c>
      <c r="N235" s="845">
        <f t="shared" si="28"/>
        <v>-7.3439620081411125E-2</v>
      </c>
      <c r="O235" s="735">
        <v>0.9338594994553856</v>
      </c>
      <c r="P235" s="735">
        <f t="shared" si="29"/>
        <v>5849.9163987580023</v>
      </c>
      <c r="Q235" s="849">
        <v>39.700000000000003</v>
      </c>
      <c r="R235" s="71">
        <v>112667</v>
      </c>
      <c r="S235" s="845">
        <v>9.9907493061979647E-3</v>
      </c>
      <c r="T235" s="845">
        <v>1.6E-2</v>
      </c>
      <c r="U235" s="845">
        <v>0</v>
      </c>
      <c r="V235" s="845">
        <v>0</v>
      </c>
      <c r="W235" s="845">
        <v>0.18614931237721022</v>
      </c>
      <c r="X235" s="845">
        <v>0.17150395778364116</v>
      </c>
      <c r="Y235" s="845">
        <v>0.80139117700896945</v>
      </c>
      <c r="Z235" s="845">
        <v>3.2582829946915616E-2</v>
      </c>
      <c r="AA235" s="845">
        <v>1.281347245103423E-3</v>
      </c>
      <c r="AB235" s="845">
        <v>8.0358777228628955E-2</v>
      </c>
      <c r="AC235" s="845">
        <v>0</v>
      </c>
      <c r="AD235" s="845">
        <v>5.8575874061870771E-3</v>
      </c>
      <c r="AE235" s="845">
        <v>7.8528281164195496E-2</v>
      </c>
      <c r="AF235" s="845">
        <v>3.7525169320885961E-2</v>
      </c>
      <c r="AG235" s="845">
        <v>0.79718103606077251</v>
      </c>
      <c r="AH235" s="20" t="str">
        <f t="shared" si="30"/>
        <v>No</v>
      </c>
      <c r="AI235" s="25"/>
      <c r="AJ235" s="37">
        <v>45204</v>
      </c>
      <c r="AK235" s="37" t="s">
        <v>1611</v>
      </c>
      <c r="AL235" s="37">
        <v>39061</v>
      </c>
      <c r="AM235" s="37" t="s">
        <v>37</v>
      </c>
      <c r="AN235" s="37">
        <f t="shared" si="31"/>
        <v>17140</v>
      </c>
      <c r="AO235" s="37" t="str">
        <f t="shared" si="32"/>
        <v>Cincinnati, OH-KY-IN</v>
      </c>
      <c r="AP235" s="20" t="s">
        <v>8</v>
      </c>
      <c r="AQ235" s="25"/>
      <c r="AR235" s="25"/>
      <c r="AS235" s="25"/>
      <c r="AT235" s="25"/>
      <c r="AU235" s="36"/>
      <c r="AV235" s="36"/>
      <c r="AW235" s="36"/>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39">
        <v>45065</v>
      </c>
      <c r="BV235" s="39" t="s">
        <v>1555</v>
      </c>
      <c r="BW235" s="39" t="s">
        <v>2871</v>
      </c>
      <c r="BX235" s="39" t="s">
        <v>304</v>
      </c>
      <c r="BY235" s="71">
        <v>1250</v>
      </c>
      <c r="BZ235" s="71">
        <v>1380</v>
      </c>
      <c r="CA235" s="71">
        <v>1770</v>
      </c>
      <c r="CB235" s="71">
        <v>2340</v>
      </c>
      <c r="CC235" s="71">
        <v>2590</v>
      </c>
      <c r="CD235" s="25"/>
      <c r="CE235" s="200"/>
      <c r="CF235" s="200"/>
      <c r="CG235" s="200"/>
      <c r="CH235" s="200"/>
      <c r="CI235" s="200"/>
      <c r="CJ235" s="200"/>
      <c r="CK235" s="200"/>
      <c r="CL235" s="200"/>
      <c r="CM235" s="200"/>
      <c r="CN235" s="200"/>
      <c r="CO235" s="200"/>
      <c r="CP235" s="200"/>
      <c r="CQ235" s="200"/>
      <c r="CR235" s="200"/>
      <c r="CS235" s="200"/>
      <c r="CT235" s="200"/>
      <c r="CU235" s="200"/>
    </row>
    <row r="236" spans="1:99" s="17" customFormat="1" x14ac:dyDescent="0.2">
      <c r="A236" s="25"/>
      <c r="B236" s="20">
        <v>39159050602</v>
      </c>
      <c r="C236" s="20">
        <v>506.02</v>
      </c>
      <c r="D236" s="20" t="s">
        <v>85</v>
      </c>
      <c r="E236" s="20" t="s">
        <v>2830</v>
      </c>
      <c r="F236" s="20" t="s">
        <v>8</v>
      </c>
      <c r="G236" s="861">
        <v>71.921893996236804</v>
      </c>
      <c r="H236" s="861">
        <v>69.958998544397204</v>
      </c>
      <c r="I236" s="861">
        <v>22.1014657329514</v>
      </c>
      <c r="J236" s="861">
        <v>43.5774725667833</v>
      </c>
      <c r="K236" s="982">
        <v>0</v>
      </c>
      <c r="L236" s="735">
        <v>4012</v>
      </c>
      <c r="M236" s="735">
        <v>4487</v>
      </c>
      <c r="N236" s="845">
        <f t="shared" si="28"/>
        <v>0.11839481555333999</v>
      </c>
      <c r="O236" s="735">
        <v>35.950584344574466</v>
      </c>
      <c r="P236" s="735">
        <f t="shared" si="29"/>
        <v>124.81021050989293</v>
      </c>
      <c r="Q236" s="849">
        <v>36.799999999999997</v>
      </c>
      <c r="R236" s="71">
        <v>99394</v>
      </c>
      <c r="S236" s="845">
        <v>5.1036327167372407E-2</v>
      </c>
      <c r="T236" s="845">
        <v>1.6E-2</v>
      </c>
      <c r="U236" s="845">
        <v>0</v>
      </c>
      <c r="V236" s="845">
        <v>0</v>
      </c>
      <c r="W236" s="845">
        <v>0.26865671641791045</v>
      </c>
      <c r="X236" s="845">
        <v>0.3247863247863248</v>
      </c>
      <c r="Y236" s="845">
        <v>0.88611544461778469</v>
      </c>
      <c r="Z236" s="845">
        <v>5.5716514374860712E-3</v>
      </c>
      <c r="AA236" s="845">
        <v>0</v>
      </c>
      <c r="AB236" s="845">
        <v>4.3458881212391352E-2</v>
      </c>
      <c r="AC236" s="845">
        <v>0</v>
      </c>
      <c r="AD236" s="845">
        <v>7.5774459549810564E-3</v>
      </c>
      <c r="AE236" s="845">
        <v>5.7276576777356807E-2</v>
      </c>
      <c r="AF236" s="845">
        <v>3.8778694004903053E-2</v>
      </c>
      <c r="AG236" s="845">
        <v>0.88210385558279469</v>
      </c>
      <c r="AH236" s="20" t="str">
        <f t="shared" si="30"/>
        <v>No</v>
      </c>
      <c r="AI236" s="25"/>
      <c r="AJ236" s="37">
        <v>45205</v>
      </c>
      <c r="AK236" s="37" t="s">
        <v>1612</v>
      </c>
      <c r="AL236" s="37">
        <v>39061</v>
      </c>
      <c r="AM236" s="37" t="s">
        <v>37</v>
      </c>
      <c r="AN236" s="37">
        <f t="shared" si="31"/>
        <v>17140</v>
      </c>
      <c r="AO236" s="37" t="str">
        <f t="shared" si="32"/>
        <v>Cincinnati, OH-KY-IN</v>
      </c>
      <c r="AP236" s="20" t="s">
        <v>8</v>
      </c>
      <c r="AQ236" s="25"/>
      <c r="AR236" s="25"/>
      <c r="AS236" s="25"/>
      <c r="AT236" s="25"/>
      <c r="AU236" s="36"/>
      <c r="AV236" s="36"/>
      <c r="AW236" s="36"/>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39">
        <v>45066</v>
      </c>
      <c r="BV236" s="39" t="s">
        <v>1556</v>
      </c>
      <c r="BW236" s="39" t="s">
        <v>2871</v>
      </c>
      <c r="BX236" s="39" t="s">
        <v>304</v>
      </c>
      <c r="BY236" s="71">
        <v>1400</v>
      </c>
      <c r="BZ236" s="71">
        <v>1530</v>
      </c>
      <c r="CA236" s="71">
        <v>1970</v>
      </c>
      <c r="CB236" s="71">
        <v>2590</v>
      </c>
      <c r="CC236" s="71">
        <v>2870</v>
      </c>
      <c r="CD236" s="25"/>
      <c r="CE236" s="200"/>
      <c r="CF236" s="200"/>
      <c r="CG236" s="200"/>
      <c r="CH236" s="200"/>
      <c r="CI236" s="200"/>
      <c r="CJ236" s="200"/>
      <c r="CK236" s="200"/>
      <c r="CL236" s="200"/>
      <c r="CM236" s="200"/>
      <c r="CN236" s="200"/>
      <c r="CO236" s="200"/>
      <c r="CP236" s="200"/>
      <c r="CQ236" s="200"/>
      <c r="CR236" s="200"/>
      <c r="CS236" s="200"/>
      <c r="CT236" s="200"/>
      <c r="CU236" s="200"/>
    </row>
    <row r="237" spans="1:99" s="17" customFormat="1" x14ac:dyDescent="0.2">
      <c r="A237" s="25"/>
      <c r="B237" s="20">
        <v>39061024323</v>
      </c>
      <c r="C237" s="20">
        <v>243.23</v>
      </c>
      <c r="D237" s="20" t="s">
        <v>37</v>
      </c>
      <c r="E237" s="20" t="s">
        <v>2828</v>
      </c>
      <c r="F237" s="20" t="s">
        <v>8</v>
      </c>
      <c r="G237" s="861">
        <v>71.905710069667506</v>
      </c>
      <c r="H237" s="861">
        <v>79.308610759136002</v>
      </c>
      <c r="I237" s="861">
        <v>21.087919661193698</v>
      </c>
      <c r="J237" s="861">
        <v>65.784514505015295</v>
      </c>
      <c r="K237" s="982">
        <v>0</v>
      </c>
      <c r="L237" s="735" t="s">
        <v>2466</v>
      </c>
      <c r="M237" s="735">
        <v>3924</v>
      </c>
      <c r="N237" s="845" t="str">
        <f t="shared" si="28"/>
        <v/>
      </c>
      <c r="O237" s="735">
        <v>1.2642193172075991</v>
      </c>
      <c r="P237" s="735">
        <f t="shared" si="29"/>
        <v>3103.8918220829837</v>
      </c>
      <c r="Q237" s="849">
        <v>43.1</v>
      </c>
      <c r="R237" s="71">
        <v>157930</v>
      </c>
      <c r="S237" s="845">
        <v>1.7329255861365953E-2</v>
      </c>
      <c r="T237" s="845">
        <v>3.2000000000000001E-2</v>
      </c>
      <c r="U237" s="845">
        <v>0</v>
      </c>
      <c r="V237" s="845">
        <v>0</v>
      </c>
      <c r="W237" s="845">
        <v>0.18745692625775329</v>
      </c>
      <c r="X237" s="845">
        <v>0.27941176470588236</v>
      </c>
      <c r="Y237" s="845">
        <v>0.63888888888888884</v>
      </c>
      <c r="Z237" s="845">
        <v>1.1977573904179408E-2</v>
      </c>
      <c r="AA237" s="845">
        <v>4.0774719673802246E-3</v>
      </c>
      <c r="AB237" s="845">
        <v>0.16004077471967379</v>
      </c>
      <c r="AC237" s="845">
        <v>0</v>
      </c>
      <c r="AD237" s="845">
        <v>0.13455657492354739</v>
      </c>
      <c r="AE237" s="845">
        <v>5.0458715596330278E-2</v>
      </c>
      <c r="AF237" s="845">
        <v>6.6258919469928651E-2</v>
      </c>
      <c r="AG237" s="845">
        <v>0.63888888888888884</v>
      </c>
      <c r="AH237" s="20" t="str">
        <f t="shared" si="30"/>
        <v>No</v>
      </c>
      <c r="AI237" s="25"/>
      <c r="AJ237" s="20">
        <v>45206</v>
      </c>
      <c r="AK237" s="20" t="s">
        <v>1613</v>
      </c>
      <c r="AL237" s="20">
        <v>39061</v>
      </c>
      <c r="AM237" s="20" t="s">
        <v>37</v>
      </c>
      <c r="AN237" s="37">
        <f t="shared" si="31"/>
        <v>17140</v>
      </c>
      <c r="AO237" s="37" t="str">
        <f t="shared" si="32"/>
        <v>Cincinnati, OH-KY-IN</v>
      </c>
      <c r="AP237" s="20" t="s">
        <v>8</v>
      </c>
      <c r="AQ237" s="25"/>
      <c r="AR237" s="25"/>
      <c r="AS237" s="25"/>
      <c r="AT237" s="25"/>
      <c r="AU237" s="36"/>
      <c r="AV237" s="36"/>
      <c r="AW237" s="36"/>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39">
        <v>45067</v>
      </c>
      <c r="BV237" s="39" t="s">
        <v>1557</v>
      </c>
      <c r="BW237" s="39" t="s">
        <v>2871</v>
      </c>
      <c r="BX237" s="39" t="s">
        <v>304</v>
      </c>
      <c r="BY237" s="71">
        <v>1210</v>
      </c>
      <c r="BZ237" s="71">
        <v>1330</v>
      </c>
      <c r="CA237" s="71">
        <v>1710</v>
      </c>
      <c r="CB237" s="71">
        <v>2260</v>
      </c>
      <c r="CC237" s="71">
        <v>2500</v>
      </c>
      <c r="CD237" s="25"/>
      <c r="CE237" s="200"/>
      <c r="CF237" s="200"/>
      <c r="CG237" s="200"/>
      <c r="CH237" s="200"/>
      <c r="CI237" s="200"/>
      <c r="CJ237" s="200"/>
      <c r="CK237" s="200"/>
      <c r="CL237" s="200"/>
      <c r="CM237" s="200"/>
      <c r="CN237" s="200"/>
      <c r="CO237" s="200"/>
      <c r="CP237" s="200"/>
      <c r="CQ237" s="200"/>
      <c r="CR237" s="200"/>
      <c r="CS237" s="200"/>
      <c r="CT237" s="200"/>
      <c r="CU237" s="200"/>
    </row>
    <row r="238" spans="1:99" s="17" customFormat="1" x14ac:dyDescent="0.2">
      <c r="A238" s="25"/>
      <c r="B238" s="20">
        <v>39041012100</v>
      </c>
      <c r="C238" s="20">
        <v>121</v>
      </c>
      <c r="D238" s="20" t="s">
        <v>27</v>
      </c>
      <c r="E238" s="20" t="s">
        <v>2830</v>
      </c>
      <c r="F238" s="20" t="s">
        <v>8</v>
      </c>
      <c r="G238" s="861">
        <v>71.878176529991705</v>
      </c>
      <c r="H238" s="861">
        <v>73.608754733466995</v>
      </c>
      <c r="I238" s="861">
        <v>19.755229361414301</v>
      </c>
      <c r="J238" s="861">
        <v>59.634328985900197</v>
      </c>
      <c r="K238" s="982">
        <v>0</v>
      </c>
      <c r="L238" s="735">
        <v>7184</v>
      </c>
      <c r="M238" s="735">
        <v>10702</v>
      </c>
      <c r="N238" s="845">
        <f t="shared" si="28"/>
        <v>0.48969933184855235</v>
      </c>
      <c r="O238" s="735">
        <v>14.592300193995872</v>
      </c>
      <c r="P238" s="735">
        <f t="shared" si="29"/>
        <v>733.40048229020329</v>
      </c>
      <c r="Q238" s="849">
        <v>37</v>
      </c>
      <c r="R238" s="71">
        <v>190461</v>
      </c>
      <c r="S238" s="845">
        <v>3.174751826184679E-2</v>
      </c>
      <c r="T238" s="845">
        <v>0.04</v>
      </c>
      <c r="U238" s="845">
        <v>5.0000000000000001E-3</v>
      </c>
      <c r="V238" s="845">
        <v>0</v>
      </c>
      <c r="W238" s="845">
        <v>0.12083214591051582</v>
      </c>
      <c r="X238" s="845">
        <v>0.23349056603773585</v>
      </c>
      <c r="Y238" s="845">
        <v>0.79443094748645116</v>
      </c>
      <c r="Z238" s="845">
        <v>0</v>
      </c>
      <c r="AA238" s="845">
        <v>0</v>
      </c>
      <c r="AB238" s="845">
        <v>0.14941132498598392</v>
      </c>
      <c r="AC238" s="845">
        <v>0</v>
      </c>
      <c r="AD238" s="845">
        <v>5.1392263128387222E-3</v>
      </c>
      <c r="AE238" s="845">
        <v>5.1018501214726217E-2</v>
      </c>
      <c r="AF238" s="845">
        <v>2.0183143337693887E-2</v>
      </c>
      <c r="AG238" s="845">
        <v>0.79041300691459537</v>
      </c>
      <c r="AH238" s="20" t="str">
        <f t="shared" si="30"/>
        <v>No</v>
      </c>
      <c r="AI238" s="25"/>
      <c r="AJ238" s="37">
        <v>45207</v>
      </c>
      <c r="AK238" s="37" t="s">
        <v>1614</v>
      </c>
      <c r="AL238" s="37">
        <v>39061</v>
      </c>
      <c r="AM238" s="37" t="s">
        <v>37</v>
      </c>
      <c r="AN238" s="37">
        <f t="shared" si="31"/>
        <v>17140</v>
      </c>
      <c r="AO238" s="37" t="str">
        <f t="shared" si="32"/>
        <v>Cincinnati, OH-KY-IN</v>
      </c>
      <c r="AP238" s="20" t="s">
        <v>8</v>
      </c>
      <c r="AQ238" s="25"/>
      <c r="AR238" s="25"/>
      <c r="AS238" s="25"/>
      <c r="AT238" s="25"/>
      <c r="AU238" s="36"/>
      <c r="AV238" s="36"/>
      <c r="AW238" s="36"/>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39">
        <v>45068</v>
      </c>
      <c r="BV238" s="39" t="s">
        <v>1558</v>
      </c>
      <c r="BW238" s="39" t="s">
        <v>2871</v>
      </c>
      <c r="BX238" s="39" t="s">
        <v>304</v>
      </c>
      <c r="BY238" s="71">
        <v>1160</v>
      </c>
      <c r="BZ238" s="71">
        <v>1270</v>
      </c>
      <c r="CA238" s="71">
        <v>1630</v>
      </c>
      <c r="CB238" s="71">
        <v>2150</v>
      </c>
      <c r="CC238" s="71">
        <v>2380</v>
      </c>
      <c r="CD238" s="25"/>
      <c r="CE238" s="200"/>
      <c r="CF238" s="200"/>
      <c r="CG238" s="200"/>
      <c r="CH238" s="200"/>
      <c r="CI238" s="200"/>
      <c r="CJ238" s="200"/>
      <c r="CK238" s="200"/>
      <c r="CL238" s="200"/>
      <c r="CM238" s="200"/>
      <c r="CN238" s="200"/>
      <c r="CO238" s="200"/>
      <c r="CP238" s="200"/>
      <c r="CQ238" s="200"/>
      <c r="CR238" s="200"/>
      <c r="CS238" s="200"/>
      <c r="CT238" s="200"/>
      <c r="CU238" s="200"/>
    </row>
    <row r="239" spans="1:99" s="17" customFormat="1" x14ac:dyDescent="0.2">
      <c r="A239" s="25"/>
      <c r="B239" s="20">
        <v>39089755601</v>
      </c>
      <c r="C239" s="20">
        <v>7556.01</v>
      </c>
      <c r="D239" s="20" t="s">
        <v>50</v>
      </c>
      <c r="E239" s="20" t="s">
        <v>2830</v>
      </c>
      <c r="F239" s="20" t="s">
        <v>8</v>
      </c>
      <c r="G239" s="861">
        <v>71.832092724770405</v>
      </c>
      <c r="H239" s="861">
        <v>76.796009059756699</v>
      </c>
      <c r="I239" s="861">
        <v>25.792155826515799</v>
      </c>
      <c r="J239" s="861">
        <v>79.164784782454504</v>
      </c>
      <c r="K239" s="982">
        <v>0</v>
      </c>
      <c r="L239" s="735" t="s">
        <v>2466</v>
      </c>
      <c r="M239" s="735">
        <v>2609</v>
      </c>
      <c r="N239" s="845" t="str">
        <f t="shared" si="28"/>
        <v/>
      </c>
      <c r="O239" s="735">
        <v>27.53223257075107</v>
      </c>
      <c r="P239" s="735">
        <f t="shared" si="29"/>
        <v>94.761657751346945</v>
      </c>
      <c r="Q239" s="849">
        <v>53.3</v>
      </c>
      <c r="R239" s="71">
        <v>135170</v>
      </c>
      <c r="S239" s="845">
        <v>5.0118389897395421E-2</v>
      </c>
      <c r="T239" s="845">
        <v>2.6000000000000002E-2</v>
      </c>
      <c r="U239" s="845">
        <v>0</v>
      </c>
      <c r="V239" s="845">
        <v>0</v>
      </c>
      <c r="W239" s="845">
        <v>8.7160262417994377E-2</v>
      </c>
      <c r="X239" s="845">
        <v>0.61290322580645162</v>
      </c>
      <c r="Y239" s="845">
        <v>0.95553852050594101</v>
      </c>
      <c r="Z239" s="845">
        <v>0</v>
      </c>
      <c r="AA239" s="845">
        <v>0</v>
      </c>
      <c r="AB239" s="845">
        <v>1.1498658489842852E-2</v>
      </c>
      <c r="AC239" s="845">
        <v>0</v>
      </c>
      <c r="AD239" s="845">
        <v>9.9655040245304714E-3</v>
      </c>
      <c r="AE239" s="845">
        <v>2.2997316979685704E-2</v>
      </c>
      <c r="AF239" s="845">
        <v>0</v>
      </c>
      <c r="AG239" s="845">
        <v>0.95553852050594101</v>
      </c>
      <c r="AH239" s="20" t="str">
        <f t="shared" si="30"/>
        <v>Yes</v>
      </c>
      <c r="AI239" s="25"/>
      <c r="AJ239" s="37">
        <v>45208</v>
      </c>
      <c r="AK239" s="37" t="s">
        <v>1615</v>
      </c>
      <c r="AL239" s="37">
        <v>39061</v>
      </c>
      <c r="AM239" s="37" t="s">
        <v>37</v>
      </c>
      <c r="AN239" s="37">
        <f t="shared" si="31"/>
        <v>17140</v>
      </c>
      <c r="AO239" s="37" t="str">
        <f t="shared" si="32"/>
        <v>Cincinnati, OH-KY-IN</v>
      </c>
      <c r="AP239" s="20" t="s">
        <v>8</v>
      </c>
      <c r="AQ239" s="25"/>
      <c r="AR239" s="25"/>
      <c r="AS239" s="25"/>
      <c r="AT239" s="25"/>
      <c r="AU239" s="36"/>
      <c r="AV239" s="36"/>
      <c r="AW239" s="36"/>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39">
        <v>45069</v>
      </c>
      <c r="BV239" s="39" t="s">
        <v>1559</v>
      </c>
      <c r="BW239" s="39" t="s">
        <v>2871</v>
      </c>
      <c r="BX239" s="39" t="s">
        <v>304</v>
      </c>
      <c r="BY239" s="71">
        <v>1330</v>
      </c>
      <c r="BZ239" s="71">
        <v>1460</v>
      </c>
      <c r="CA239" s="71">
        <v>1880</v>
      </c>
      <c r="CB239" s="71">
        <v>2480</v>
      </c>
      <c r="CC239" s="71">
        <v>2750</v>
      </c>
      <c r="CD239" s="25"/>
      <c r="CE239" s="200"/>
      <c r="CF239" s="200"/>
      <c r="CG239" s="200"/>
      <c r="CH239" s="200"/>
      <c r="CI239" s="200"/>
      <c r="CJ239" s="200"/>
      <c r="CK239" s="200"/>
      <c r="CL239" s="200"/>
      <c r="CM239" s="200"/>
      <c r="CN239" s="200"/>
      <c r="CO239" s="200"/>
      <c r="CP239" s="200"/>
      <c r="CQ239" s="200"/>
      <c r="CR239" s="200"/>
      <c r="CS239" s="200"/>
      <c r="CT239" s="200"/>
      <c r="CU239" s="200"/>
    </row>
    <row r="240" spans="1:99" s="17" customFormat="1" x14ac:dyDescent="0.2">
      <c r="A240" s="25"/>
      <c r="B240" s="20">
        <v>39035185203</v>
      </c>
      <c r="C240" s="20">
        <v>1852.03</v>
      </c>
      <c r="D240" s="20" t="s">
        <v>24</v>
      </c>
      <c r="E240" s="20" t="s">
        <v>2829</v>
      </c>
      <c r="F240" s="20" t="s">
        <v>8</v>
      </c>
      <c r="G240" s="861">
        <v>71.713224348617103</v>
      </c>
      <c r="H240" s="861">
        <v>75.160813127642598</v>
      </c>
      <c r="I240" s="861">
        <v>23.686911439097599</v>
      </c>
      <c r="J240" s="861">
        <v>37.773310968212897</v>
      </c>
      <c r="K240" s="982">
        <v>0</v>
      </c>
      <c r="L240" s="735">
        <v>3696</v>
      </c>
      <c r="M240" s="735">
        <v>3655</v>
      </c>
      <c r="N240" s="845">
        <f t="shared" si="28"/>
        <v>-1.1093073593073594E-2</v>
      </c>
      <c r="O240" s="735">
        <v>0.97169326387370947</v>
      </c>
      <c r="P240" s="735">
        <f t="shared" si="29"/>
        <v>3761.4750826090308</v>
      </c>
      <c r="Q240" s="849">
        <v>37.299999999999997</v>
      </c>
      <c r="R240" s="71">
        <v>92448</v>
      </c>
      <c r="S240" s="845">
        <v>5.266538214515093E-2</v>
      </c>
      <c r="T240" s="845">
        <v>5.7999999999999996E-2</v>
      </c>
      <c r="U240" s="845">
        <v>0</v>
      </c>
      <c r="V240" s="845">
        <v>0</v>
      </c>
      <c r="W240" s="845">
        <v>0.1106899166034875</v>
      </c>
      <c r="X240" s="845">
        <v>0.21917808219178081</v>
      </c>
      <c r="Y240" s="845">
        <v>0.53077975376196995</v>
      </c>
      <c r="Z240" s="845">
        <v>0.37482900136798908</v>
      </c>
      <c r="AA240" s="845">
        <v>8.2079343365253077E-4</v>
      </c>
      <c r="AB240" s="845">
        <v>3.9124487004103967E-2</v>
      </c>
      <c r="AC240" s="845">
        <v>0</v>
      </c>
      <c r="AD240" s="845">
        <v>2.106703146374829E-2</v>
      </c>
      <c r="AE240" s="845">
        <v>3.3378932968536251E-2</v>
      </c>
      <c r="AF240" s="845">
        <v>3.3105335157318741E-2</v>
      </c>
      <c r="AG240" s="845">
        <v>0.51627906976744187</v>
      </c>
      <c r="AH240" s="20" t="str">
        <f t="shared" si="30"/>
        <v>No</v>
      </c>
      <c r="AI240" s="25"/>
      <c r="AJ240" s="20">
        <v>45209</v>
      </c>
      <c r="AK240" s="20" t="s">
        <v>1616</v>
      </c>
      <c r="AL240" s="20">
        <v>39061</v>
      </c>
      <c r="AM240" s="20" t="s">
        <v>37</v>
      </c>
      <c r="AN240" s="37">
        <f t="shared" si="31"/>
        <v>17140</v>
      </c>
      <c r="AO240" s="37" t="str">
        <f t="shared" si="32"/>
        <v>Cincinnati, OH-KY-IN</v>
      </c>
      <c r="AP240" s="20" t="s">
        <v>8</v>
      </c>
      <c r="AQ240" s="25"/>
      <c r="AR240" s="25"/>
      <c r="AS240" s="25"/>
      <c r="AT240" s="25"/>
      <c r="AU240" s="36"/>
      <c r="AV240" s="36"/>
      <c r="AW240" s="36"/>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39">
        <v>45070</v>
      </c>
      <c r="BV240" s="39" t="s">
        <v>1560</v>
      </c>
      <c r="BW240" s="39" t="s">
        <v>2871</v>
      </c>
      <c r="BX240" s="39" t="s">
        <v>304</v>
      </c>
      <c r="BY240" s="71">
        <v>1040</v>
      </c>
      <c r="BZ240" s="71">
        <v>1050</v>
      </c>
      <c r="CA240" s="71">
        <v>1380</v>
      </c>
      <c r="CB240" s="71">
        <v>1840</v>
      </c>
      <c r="CC240" s="71">
        <v>2020</v>
      </c>
      <c r="CD240" s="25"/>
      <c r="CE240" s="200"/>
      <c r="CF240" s="200"/>
      <c r="CG240" s="200"/>
      <c r="CH240" s="200"/>
      <c r="CI240" s="200"/>
      <c r="CJ240" s="200"/>
      <c r="CK240" s="200"/>
      <c r="CL240" s="200"/>
      <c r="CM240" s="200"/>
      <c r="CN240" s="200"/>
      <c r="CO240" s="200"/>
      <c r="CP240" s="200"/>
      <c r="CQ240" s="200"/>
      <c r="CR240" s="200"/>
      <c r="CS240" s="200"/>
      <c r="CT240" s="200"/>
      <c r="CU240" s="200"/>
    </row>
    <row r="241" spans="1:99" s="17" customFormat="1" x14ac:dyDescent="0.2">
      <c r="A241" s="25"/>
      <c r="B241" s="20">
        <v>39095001301</v>
      </c>
      <c r="C241" s="20">
        <v>13.01</v>
      </c>
      <c r="D241" s="20" t="s">
        <v>53</v>
      </c>
      <c r="E241" s="20" t="s">
        <v>2839</v>
      </c>
      <c r="F241" s="20" t="s">
        <v>8</v>
      </c>
      <c r="G241" s="861">
        <v>71.708079875443602</v>
      </c>
      <c r="H241" s="861">
        <v>78.137661751203893</v>
      </c>
      <c r="I241" s="861">
        <v>14.8683287827809</v>
      </c>
      <c r="J241" s="861">
        <v>62.087802858217202</v>
      </c>
      <c r="K241" s="982">
        <v>0</v>
      </c>
      <c r="L241" s="735">
        <v>2617</v>
      </c>
      <c r="M241" s="735">
        <v>2575</v>
      </c>
      <c r="N241" s="845">
        <f t="shared" si="28"/>
        <v>-1.6048910966755828E-2</v>
      </c>
      <c r="O241" s="735">
        <v>0.52674025596202445</v>
      </c>
      <c r="P241" s="735">
        <f t="shared" si="29"/>
        <v>4888.5574452575074</v>
      </c>
      <c r="Q241" s="849">
        <v>42.4</v>
      </c>
      <c r="R241" s="71">
        <v>133101</v>
      </c>
      <c r="S241" s="845">
        <v>5.2815533980582523E-2</v>
      </c>
      <c r="T241" s="845">
        <v>6.0000000000000001E-3</v>
      </c>
      <c r="U241" s="845">
        <v>0</v>
      </c>
      <c r="V241" s="845">
        <v>0</v>
      </c>
      <c r="W241" s="845">
        <v>0.11436170212765957</v>
      </c>
      <c r="X241" s="845">
        <v>0.31782945736434109</v>
      </c>
      <c r="Y241" s="845">
        <v>0.89631067961165045</v>
      </c>
      <c r="Z241" s="845">
        <v>7.184466019417475E-2</v>
      </c>
      <c r="AA241" s="845">
        <v>0</v>
      </c>
      <c r="AB241" s="845">
        <v>1.0097087378640776E-2</v>
      </c>
      <c r="AC241" s="845">
        <v>0</v>
      </c>
      <c r="AD241" s="845">
        <v>0</v>
      </c>
      <c r="AE241" s="845">
        <v>2.174757281553398E-2</v>
      </c>
      <c r="AF241" s="845">
        <v>2.6796116504854368E-2</v>
      </c>
      <c r="AG241" s="845">
        <v>0.88038834951456313</v>
      </c>
      <c r="AH241" s="20" t="str">
        <f t="shared" si="30"/>
        <v>No</v>
      </c>
      <c r="AI241" s="25"/>
      <c r="AJ241" s="20">
        <v>45211</v>
      </c>
      <c r="AK241" s="20" t="s">
        <v>1617</v>
      </c>
      <c r="AL241" s="20">
        <v>39061</v>
      </c>
      <c r="AM241" s="20" t="s">
        <v>37</v>
      </c>
      <c r="AN241" s="37">
        <f t="shared" si="31"/>
        <v>17140</v>
      </c>
      <c r="AO241" s="37" t="str">
        <f t="shared" si="32"/>
        <v>Cincinnati, OH-KY-IN</v>
      </c>
      <c r="AP241" s="20" t="s">
        <v>8</v>
      </c>
      <c r="AQ241" s="25"/>
      <c r="AR241" s="25"/>
      <c r="AS241" s="25"/>
      <c r="AT241" s="25"/>
      <c r="AU241" s="36"/>
      <c r="AV241" s="36"/>
      <c r="AW241" s="36"/>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39">
        <v>45102</v>
      </c>
      <c r="BV241" s="39" t="s">
        <v>1562</v>
      </c>
      <c r="BW241" s="39" t="s">
        <v>2871</v>
      </c>
      <c r="BX241" s="39" t="s">
        <v>304</v>
      </c>
      <c r="BY241" s="71">
        <v>840</v>
      </c>
      <c r="BZ241" s="71">
        <v>920</v>
      </c>
      <c r="CA241" s="71">
        <v>1190</v>
      </c>
      <c r="CB241" s="71">
        <v>1570</v>
      </c>
      <c r="CC241" s="71">
        <v>1740</v>
      </c>
      <c r="CD241" s="25"/>
      <c r="CE241" s="200"/>
      <c r="CF241" s="200"/>
      <c r="CG241" s="200"/>
      <c r="CH241" s="200"/>
      <c r="CI241" s="200"/>
      <c r="CJ241" s="200"/>
      <c r="CK241" s="200"/>
      <c r="CL241" s="200"/>
      <c r="CM241" s="200"/>
      <c r="CN241" s="200"/>
      <c r="CO241" s="200"/>
      <c r="CP241" s="200"/>
      <c r="CQ241" s="200"/>
      <c r="CR241" s="200"/>
      <c r="CS241" s="200"/>
      <c r="CT241" s="200"/>
      <c r="CU241" s="200"/>
    </row>
    <row r="242" spans="1:99" s="17" customFormat="1" x14ac:dyDescent="0.2">
      <c r="A242" s="25"/>
      <c r="B242" s="20">
        <v>39041011765</v>
      </c>
      <c r="C242" s="20">
        <v>117.65</v>
      </c>
      <c r="D242" s="20" t="s">
        <v>27</v>
      </c>
      <c r="E242" s="20" t="s">
        <v>2830</v>
      </c>
      <c r="F242" s="20" t="s">
        <v>8</v>
      </c>
      <c r="G242" s="861">
        <v>71.657572125777307</v>
      </c>
      <c r="H242" s="861">
        <v>66.336815668311701</v>
      </c>
      <c r="I242" s="861">
        <v>21.110634456185601</v>
      </c>
      <c r="J242" s="861">
        <v>56.733057383419599</v>
      </c>
      <c r="K242" s="982">
        <v>0</v>
      </c>
      <c r="L242" s="735" t="s">
        <v>2466</v>
      </c>
      <c r="M242" s="735">
        <v>2493</v>
      </c>
      <c r="N242" s="845" t="str">
        <f t="shared" si="28"/>
        <v/>
      </c>
      <c r="O242" s="735">
        <v>1.0506233559504643</v>
      </c>
      <c r="P242" s="735">
        <f t="shared" si="29"/>
        <v>2372.8770028576655</v>
      </c>
      <c r="Q242" s="849">
        <v>41.3</v>
      </c>
      <c r="R242" s="71">
        <v>171014</v>
      </c>
      <c r="S242" s="845">
        <v>1.2434817488969114E-2</v>
      </c>
      <c r="T242" s="845">
        <v>0.03</v>
      </c>
      <c r="U242" s="845">
        <v>0</v>
      </c>
      <c r="V242" s="845">
        <v>0</v>
      </c>
      <c r="W242" s="845">
        <v>0.12071005917159763</v>
      </c>
      <c r="X242" s="845">
        <v>0.52941176470588236</v>
      </c>
      <c r="Y242" s="845">
        <v>0.84636983553951062</v>
      </c>
      <c r="Z242" s="845">
        <v>1.4841556357801846E-2</v>
      </c>
      <c r="AA242" s="845">
        <v>0</v>
      </c>
      <c r="AB242" s="845">
        <v>5.5354993983152828E-2</v>
      </c>
      <c r="AC242" s="845">
        <v>0</v>
      </c>
      <c r="AD242" s="845">
        <v>0</v>
      </c>
      <c r="AE242" s="845">
        <v>8.3433614119534691E-2</v>
      </c>
      <c r="AF242" s="845">
        <v>2.4869634977938228E-2</v>
      </c>
      <c r="AG242" s="845">
        <v>0.82150020056157236</v>
      </c>
      <c r="AH242" s="20" t="str">
        <f t="shared" si="30"/>
        <v>No</v>
      </c>
      <c r="AI242" s="25"/>
      <c r="AJ242" s="20">
        <v>45212</v>
      </c>
      <c r="AK242" s="20" t="s">
        <v>1618</v>
      </c>
      <c r="AL242" s="20">
        <v>39061</v>
      </c>
      <c r="AM242" s="20" t="s">
        <v>37</v>
      </c>
      <c r="AN242" s="37">
        <f t="shared" si="31"/>
        <v>17140</v>
      </c>
      <c r="AO242" s="37" t="str">
        <f t="shared" si="32"/>
        <v>Cincinnati, OH-KY-IN</v>
      </c>
      <c r="AP242" s="20" t="s">
        <v>8</v>
      </c>
      <c r="AQ242" s="25"/>
      <c r="AR242" s="25"/>
      <c r="AS242" s="25"/>
      <c r="AT242" s="25"/>
      <c r="AU242" s="36"/>
      <c r="AV242" s="36"/>
      <c r="AW242" s="36"/>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39">
        <v>45103</v>
      </c>
      <c r="BV242" s="39" t="s">
        <v>1563</v>
      </c>
      <c r="BW242" s="39" t="s">
        <v>2871</v>
      </c>
      <c r="BX242" s="39" t="s">
        <v>304</v>
      </c>
      <c r="BY242" s="71">
        <v>940</v>
      </c>
      <c r="BZ242" s="71">
        <v>1030</v>
      </c>
      <c r="CA242" s="71">
        <v>1330</v>
      </c>
      <c r="CB242" s="71">
        <v>1750</v>
      </c>
      <c r="CC242" s="71">
        <v>1940</v>
      </c>
      <c r="CD242" s="25"/>
      <c r="CE242" s="200"/>
      <c r="CF242" s="200"/>
      <c r="CG242" s="200"/>
      <c r="CH242" s="200"/>
      <c r="CI242" s="200"/>
      <c r="CJ242" s="200"/>
      <c r="CK242" s="200"/>
      <c r="CL242" s="200"/>
      <c r="CM242" s="200"/>
      <c r="CN242" s="200"/>
      <c r="CO242" s="200"/>
      <c r="CP242" s="200"/>
      <c r="CQ242" s="200"/>
      <c r="CR242" s="200"/>
      <c r="CS242" s="200"/>
      <c r="CT242" s="200"/>
      <c r="CU242" s="200"/>
    </row>
    <row r="243" spans="1:99" s="17" customFormat="1" x14ac:dyDescent="0.2">
      <c r="A243" s="25"/>
      <c r="B243" s="20">
        <v>39049007957</v>
      </c>
      <c r="C243" s="20">
        <v>79.569999999999993</v>
      </c>
      <c r="D243" s="20" t="s">
        <v>31</v>
      </c>
      <c r="E243" s="20" t="s">
        <v>2830</v>
      </c>
      <c r="F243" s="20" t="s">
        <v>8</v>
      </c>
      <c r="G243" s="861">
        <v>71.611261520935201</v>
      </c>
      <c r="H243" s="861">
        <v>69.2293470745158</v>
      </c>
      <c r="I243" s="861">
        <v>27.248869170285399</v>
      </c>
      <c r="J243" s="861">
        <v>33.230482015354298</v>
      </c>
      <c r="K243" s="982">
        <v>0</v>
      </c>
      <c r="L243" s="735" t="s">
        <v>2466</v>
      </c>
      <c r="M243" s="735">
        <v>5620</v>
      </c>
      <c r="N243" s="845" t="str">
        <f t="shared" si="28"/>
        <v/>
      </c>
      <c r="O243" s="735">
        <v>1.6547736197908647</v>
      </c>
      <c r="P243" s="735">
        <f t="shared" si="29"/>
        <v>3396.2349488688806</v>
      </c>
      <c r="Q243" s="849">
        <v>37.700000000000003</v>
      </c>
      <c r="R243" s="71">
        <v>80212</v>
      </c>
      <c r="S243" s="845">
        <v>4.5111430625449318E-2</v>
      </c>
      <c r="T243" s="845">
        <v>3.3000000000000002E-2</v>
      </c>
      <c r="U243" s="845">
        <v>0</v>
      </c>
      <c r="V243" s="845">
        <v>0</v>
      </c>
      <c r="W243" s="845">
        <v>0.43951165371809103</v>
      </c>
      <c r="X243" s="845">
        <v>0.29208754208754206</v>
      </c>
      <c r="Y243" s="845">
        <v>0.82366548042704624</v>
      </c>
      <c r="Z243" s="845">
        <v>7.0640569395017797E-2</v>
      </c>
      <c r="AA243" s="845">
        <v>0</v>
      </c>
      <c r="AB243" s="845">
        <v>7.5266903914590746E-2</v>
      </c>
      <c r="AC243" s="845">
        <v>0</v>
      </c>
      <c r="AD243" s="845">
        <v>1.6192170818505339E-2</v>
      </c>
      <c r="AE243" s="845">
        <v>1.4234875444839857E-2</v>
      </c>
      <c r="AF243" s="845">
        <v>4.1992882562277581E-2</v>
      </c>
      <c r="AG243" s="845">
        <v>0.79786476868327405</v>
      </c>
      <c r="AH243" s="20" t="str">
        <f t="shared" si="30"/>
        <v>No</v>
      </c>
      <c r="AI243" s="25"/>
      <c r="AJ243" s="20">
        <v>45213</v>
      </c>
      <c r="AK243" s="20" t="s">
        <v>1619</v>
      </c>
      <c r="AL243" s="20">
        <v>39061</v>
      </c>
      <c r="AM243" s="20" t="s">
        <v>37</v>
      </c>
      <c r="AN243" s="37">
        <f t="shared" si="31"/>
        <v>17140</v>
      </c>
      <c r="AO243" s="37" t="str">
        <f t="shared" si="32"/>
        <v>Cincinnati, OH-KY-IN</v>
      </c>
      <c r="AP243" s="20" t="s">
        <v>8</v>
      </c>
      <c r="AQ243" s="25"/>
      <c r="AR243" s="25"/>
      <c r="AS243" s="25"/>
      <c r="AT243" s="25"/>
      <c r="AU243" s="36"/>
      <c r="AV243" s="36"/>
      <c r="AW243" s="36"/>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39">
        <v>45106</v>
      </c>
      <c r="BV243" s="39" t="s">
        <v>1565</v>
      </c>
      <c r="BW243" s="39" t="s">
        <v>2871</v>
      </c>
      <c r="BX243" s="39" t="s">
        <v>304</v>
      </c>
      <c r="BY243" s="71">
        <v>730</v>
      </c>
      <c r="BZ243" s="71">
        <v>800</v>
      </c>
      <c r="CA243" s="71">
        <v>1020</v>
      </c>
      <c r="CB243" s="71">
        <v>1350</v>
      </c>
      <c r="CC243" s="71">
        <v>1510</v>
      </c>
      <c r="CD243" s="25"/>
      <c r="CE243" s="200"/>
      <c r="CF243" s="200"/>
      <c r="CG243" s="200"/>
      <c r="CH243" s="200"/>
      <c r="CI243" s="200"/>
      <c r="CJ243" s="200"/>
      <c r="CK243" s="200"/>
      <c r="CL243" s="200"/>
      <c r="CM243" s="200"/>
      <c r="CN243" s="200"/>
      <c r="CO243" s="200"/>
      <c r="CP243" s="200"/>
      <c r="CQ243" s="200"/>
      <c r="CR243" s="200"/>
      <c r="CS243" s="200"/>
      <c r="CT243" s="200"/>
      <c r="CU243" s="200"/>
    </row>
    <row r="244" spans="1:99" s="17" customFormat="1" x14ac:dyDescent="0.2">
      <c r="A244" s="25"/>
      <c r="B244" s="20">
        <v>39061025103</v>
      </c>
      <c r="C244" s="20">
        <v>251.03</v>
      </c>
      <c r="D244" s="20" t="s">
        <v>37</v>
      </c>
      <c r="E244" s="20" t="s">
        <v>2828</v>
      </c>
      <c r="F244" s="20" t="s">
        <v>8</v>
      </c>
      <c r="G244" s="861">
        <v>71.5476398887904</v>
      </c>
      <c r="H244" s="861">
        <v>66.127898363209098</v>
      </c>
      <c r="I244" s="861">
        <v>34.254181235725099</v>
      </c>
      <c r="J244" s="861">
        <v>33.523721409611497</v>
      </c>
      <c r="K244" s="982">
        <v>0</v>
      </c>
      <c r="L244" s="735">
        <v>6716</v>
      </c>
      <c r="M244" s="735">
        <v>6886</v>
      </c>
      <c r="N244" s="845">
        <f t="shared" si="28"/>
        <v>2.531268612269208E-2</v>
      </c>
      <c r="O244" s="735">
        <v>2.4018886326084332</v>
      </c>
      <c r="P244" s="735">
        <f t="shared" si="29"/>
        <v>2866.9106079751314</v>
      </c>
      <c r="Q244" s="849">
        <v>49</v>
      </c>
      <c r="R244" s="71">
        <v>94453</v>
      </c>
      <c r="S244" s="845">
        <v>3.7259791697227519E-2</v>
      </c>
      <c r="T244" s="845">
        <v>0.06</v>
      </c>
      <c r="U244" s="845">
        <v>0</v>
      </c>
      <c r="V244" s="845">
        <v>0</v>
      </c>
      <c r="W244" s="845">
        <v>0.343989343989344</v>
      </c>
      <c r="X244" s="845">
        <v>0.52371732817037753</v>
      </c>
      <c r="Y244" s="845">
        <v>0.86639558524542548</v>
      </c>
      <c r="Z244" s="845">
        <v>5.0682544292767938E-2</v>
      </c>
      <c r="AA244" s="845">
        <v>0</v>
      </c>
      <c r="AB244" s="845">
        <v>2.9334882370026141E-2</v>
      </c>
      <c r="AC244" s="845">
        <v>0</v>
      </c>
      <c r="AD244" s="845">
        <v>1.2489108335753703E-2</v>
      </c>
      <c r="AE244" s="845">
        <v>4.1097879756026724E-2</v>
      </c>
      <c r="AF244" s="845">
        <v>2.5994772001161778E-2</v>
      </c>
      <c r="AG244" s="845">
        <v>0.85927969793784487</v>
      </c>
      <c r="AH244" s="20" t="str">
        <f t="shared" si="30"/>
        <v>No</v>
      </c>
      <c r="AI244" s="25"/>
      <c r="AJ244" s="20">
        <v>45214</v>
      </c>
      <c r="AK244" s="20" t="s">
        <v>1620</v>
      </c>
      <c r="AL244" s="20">
        <v>39061</v>
      </c>
      <c r="AM244" s="20" t="s">
        <v>37</v>
      </c>
      <c r="AN244" s="37">
        <f t="shared" si="31"/>
        <v>17140</v>
      </c>
      <c r="AO244" s="37" t="str">
        <f t="shared" si="32"/>
        <v>Cincinnati, OH-KY-IN</v>
      </c>
      <c r="AP244" s="20" t="s">
        <v>8</v>
      </c>
      <c r="AQ244" s="25"/>
      <c r="AR244" s="25"/>
      <c r="AS244" s="25"/>
      <c r="AT244" s="25"/>
      <c r="AU244" s="36"/>
      <c r="AV244" s="36"/>
      <c r="AW244" s="36"/>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39">
        <v>45107</v>
      </c>
      <c r="BV244" s="39" t="s">
        <v>1566</v>
      </c>
      <c r="BW244" s="39" t="s">
        <v>2871</v>
      </c>
      <c r="BX244" s="39" t="s">
        <v>304</v>
      </c>
      <c r="BY244" s="71">
        <v>790</v>
      </c>
      <c r="BZ244" s="71">
        <v>850</v>
      </c>
      <c r="CA244" s="71">
        <v>1060</v>
      </c>
      <c r="CB244" s="71">
        <v>1390</v>
      </c>
      <c r="CC244" s="71">
        <v>1690</v>
      </c>
      <c r="CD244" s="25"/>
      <c r="CE244" s="200"/>
      <c r="CF244" s="200"/>
      <c r="CG244" s="200"/>
      <c r="CH244" s="200"/>
      <c r="CI244" s="200"/>
      <c r="CJ244" s="200"/>
      <c r="CK244" s="200"/>
      <c r="CL244" s="200"/>
      <c r="CM244" s="200"/>
      <c r="CN244" s="200"/>
      <c r="CO244" s="200"/>
      <c r="CP244" s="200"/>
      <c r="CQ244" s="200"/>
      <c r="CR244" s="200"/>
      <c r="CS244" s="200"/>
      <c r="CT244" s="200"/>
      <c r="CU244" s="200"/>
    </row>
    <row r="245" spans="1:99" s="17" customFormat="1" x14ac:dyDescent="0.2">
      <c r="A245" s="25"/>
      <c r="B245" s="20">
        <v>39165030503</v>
      </c>
      <c r="C245" s="20">
        <v>305.02999999999997</v>
      </c>
      <c r="D245" s="20" t="s">
        <v>88</v>
      </c>
      <c r="E245" s="20" t="s">
        <v>2828</v>
      </c>
      <c r="F245" s="20" t="s">
        <v>8</v>
      </c>
      <c r="G245" s="861">
        <v>71.517284642684103</v>
      </c>
      <c r="H245" s="861">
        <v>74.513887730853995</v>
      </c>
      <c r="I245" s="861">
        <v>15.841025150161901</v>
      </c>
      <c r="J245" s="861">
        <v>33.019923073224298</v>
      </c>
      <c r="K245" s="982">
        <v>0</v>
      </c>
      <c r="L245" s="735">
        <v>5432</v>
      </c>
      <c r="M245" s="735">
        <v>5346</v>
      </c>
      <c r="N245" s="845">
        <f t="shared" si="28"/>
        <v>-1.5832106038291605E-2</v>
      </c>
      <c r="O245" s="735">
        <v>2.823744623290954</v>
      </c>
      <c r="P245" s="735">
        <f t="shared" si="29"/>
        <v>1893.230696538508</v>
      </c>
      <c r="Q245" s="849">
        <v>42.9</v>
      </c>
      <c r="R245" s="71">
        <v>86005</v>
      </c>
      <c r="S245" s="845">
        <v>2.7931892098718193E-2</v>
      </c>
      <c r="T245" s="845">
        <v>3.3000000000000002E-2</v>
      </c>
      <c r="U245" s="845">
        <v>0</v>
      </c>
      <c r="V245" s="845">
        <v>0</v>
      </c>
      <c r="W245" s="845">
        <v>0.14163903363334912</v>
      </c>
      <c r="X245" s="845">
        <v>0.20735785953177258</v>
      </c>
      <c r="Y245" s="845">
        <v>0.92723531612420507</v>
      </c>
      <c r="Z245" s="845">
        <v>1.1597456041900486E-2</v>
      </c>
      <c r="AA245" s="845">
        <v>0</v>
      </c>
      <c r="AB245" s="845">
        <v>1.2158623269734381E-2</v>
      </c>
      <c r="AC245" s="845">
        <v>0</v>
      </c>
      <c r="AD245" s="845">
        <v>2.4317246539468762E-2</v>
      </c>
      <c r="AE245" s="845">
        <v>2.4691358024691357E-2</v>
      </c>
      <c r="AF245" s="845">
        <v>3.6475869809203143E-2</v>
      </c>
      <c r="AG245" s="845">
        <v>0.91488963711185933</v>
      </c>
      <c r="AH245" s="20" t="str">
        <f t="shared" si="30"/>
        <v>Yes</v>
      </c>
      <c r="AI245" s="25"/>
      <c r="AJ245" s="20">
        <v>45215</v>
      </c>
      <c r="AK245" s="20" t="s">
        <v>1621</v>
      </c>
      <c r="AL245" s="20">
        <v>39061</v>
      </c>
      <c r="AM245" s="20" t="s">
        <v>37</v>
      </c>
      <c r="AN245" s="37">
        <f t="shared" si="31"/>
        <v>17140</v>
      </c>
      <c r="AO245" s="37" t="str">
        <f t="shared" si="32"/>
        <v>Cincinnati, OH-KY-IN</v>
      </c>
      <c r="AP245" s="20" t="s">
        <v>8</v>
      </c>
      <c r="AQ245" s="25"/>
      <c r="AR245" s="25"/>
      <c r="AS245" s="25"/>
      <c r="AT245" s="25"/>
      <c r="AU245" s="36"/>
      <c r="AV245" s="36"/>
      <c r="AW245" s="36"/>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39">
        <v>45111</v>
      </c>
      <c r="BV245" s="39" t="s">
        <v>1567</v>
      </c>
      <c r="BW245" s="39" t="s">
        <v>2871</v>
      </c>
      <c r="BX245" s="39" t="s">
        <v>304</v>
      </c>
      <c r="BY245" s="71">
        <v>1260</v>
      </c>
      <c r="BZ245" s="71">
        <v>1390</v>
      </c>
      <c r="CA245" s="71">
        <v>1780</v>
      </c>
      <c r="CB245" s="71">
        <v>2350</v>
      </c>
      <c r="CC245" s="71">
        <v>2600</v>
      </c>
      <c r="CD245" s="25"/>
      <c r="CE245" s="200"/>
      <c r="CF245" s="200"/>
      <c r="CG245" s="200"/>
      <c r="CH245" s="200"/>
      <c r="CI245" s="200"/>
      <c r="CJ245" s="200"/>
      <c r="CK245" s="200"/>
      <c r="CL245" s="200"/>
      <c r="CM245" s="200"/>
      <c r="CN245" s="200"/>
      <c r="CO245" s="200"/>
      <c r="CP245" s="200"/>
      <c r="CQ245" s="200"/>
      <c r="CR245" s="200"/>
      <c r="CS245" s="200"/>
      <c r="CT245" s="200"/>
      <c r="CU245" s="200"/>
    </row>
    <row r="246" spans="1:99" s="17" customFormat="1" x14ac:dyDescent="0.2">
      <c r="A246" s="25"/>
      <c r="B246" s="20">
        <v>39035187103</v>
      </c>
      <c r="C246" s="20">
        <v>1871.03</v>
      </c>
      <c r="D246" s="20" t="s">
        <v>24</v>
      </c>
      <c r="E246" s="20" t="s">
        <v>2829</v>
      </c>
      <c r="F246" s="20" t="s">
        <v>8</v>
      </c>
      <c r="G246" s="861">
        <v>71.468536710186001</v>
      </c>
      <c r="H246" s="861">
        <v>57.152828910874398</v>
      </c>
      <c r="I246" s="861">
        <v>36.183510970704297</v>
      </c>
      <c r="J246" s="861">
        <v>54.079704433862503</v>
      </c>
      <c r="K246" s="982">
        <v>0</v>
      </c>
      <c r="L246" s="735">
        <v>2993</v>
      </c>
      <c r="M246" s="735">
        <v>3039</v>
      </c>
      <c r="N246" s="845">
        <f t="shared" si="28"/>
        <v>1.5369194787838289E-2</v>
      </c>
      <c r="O246" s="735">
        <v>0.36150436227292182</v>
      </c>
      <c r="P246" s="735">
        <f t="shared" si="29"/>
        <v>8406.5375612415774</v>
      </c>
      <c r="Q246" s="849">
        <v>35.4</v>
      </c>
      <c r="R246" s="71">
        <v>107552</v>
      </c>
      <c r="S246" s="845">
        <v>0.10858835143139191</v>
      </c>
      <c r="T246" s="845">
        <v>8.8000000000000009E-2</v>
      </c>
      <c r="U246" s="845">
        <v>0</v>
      </c>
      <c r="V246" s="845">
        <v>0</v>
      </c>
      <c r="W246" s="845">
        <v>0.28766025641025639</v>
      </c>
      <c r="X246" s="845">
        <v>0.37047353760445684</v>
      </c>
      <c r="Y246" s="845">
        <v>0.42250740375123397</v>
      </c>
      <c r="Z246" s="845">
        <v>0.55873642645607102</v>
      </c>
      <c r="AA246" s="845">
        <v>0</v>
      </c>
      <c r="AB246" s="845">
        <v>3.290556103981573E-3</v>
      </c>
      <c r="AC246" s="845">
        <v>0</v>
      </c>
      <c r="AD246" s="845">
        <v>5.2648897663705166E-3</v>
      </c>
      <c r="AE246" s="845">
        <v>1.0200723922342876E-2</v>
      </c>
      <c r="AF246" s="845">
        <v>9.5426127015465611E-3</v>
      </c>
      <c r="AG246" s="845">
        <v>0.41592629154327082</v>
      </c>
      <c r="AH246" s="20" t="str">
        <f t="shared" si="30"/>
        <v>No</v>
      </c>
      <c r="AI246" s="25"/>
      <c r="AJ246" s="20">
        <v>45216</v>
      </c>
      <c r="AK246" s="20" t="s">
        <v>1622</v>
      </c>
      <c r="AL246" s="20">
        <v>39061</v>
      </c>
      <c r="AM246" s="20" t="s">
        <v>37</v>
      </c>
      <c r="AN246" s="37">
        <f t="shared" si="31"/>
        <v>17140</v>
      </c>
      <c r="AO246" s="37" t="str">
        <f t="shared" si="32"/>
        <v>Cincinnati, OH-KY-IN</v>
      </c>
      <c r="AP246" s="20" t="s">
        <v>8</v>
      </c>
      <c r="AQ246" s="25"/>
      <c r="AR246" s="25"/>
      <c r="AS246" s="25"/>
      <c r="AT246" s="25"/>
      <c r="AU246" s="36"/>
      <c r="AV246" s="36"/>
      <c r="AW246" s="36"/>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39">
        <v>45112</v>
      </c>
      <c r="BV246" s="39" t="s">
        <v>1568</v>
      </c>
      <c r="BW246" s="39" t="s">
        <v>2871</v>
      </c>
      <c r="BX246" s="39" t="s">
        <v>304</v>
      </c>
      <c r="BY246" s="71">
        <v>700</v>
      </c>
      <c r="BZ246" s="71">
        <v>760</v>
      </c>
      <c r="CA246" s="71">
        <v>980</v>
      </c>
      <c r="CB246" s="71">
        <v>1290</v>
      </c>
      <c r="CC246" s="71">
        <v>1460</v>
      </c>
      <c r="CD246" s="25"/>
      <c r="CE246" s="200"/>
      <c r="CF246" s="200"/>
      <c r="CG246" s="200"/>
      <c r="CH246" s="200"/>
      <c r="CI246" s="200"/>
      <c r="CJ246" s="200"/>
      <c r="CK246" s="200"/>
      <c r="CL246" s="200"/>
      <c r="CM246" s="200"/>
      <c r="CN246" s="200"/>
      <c r="CO246" s="200"/>
      <c r="CP246" s="200"/>
      <c r="CQ246" s="200"/>
      <c r="CR246" s="200"/>
      <c r="CS246" s="200"/>
      <c r="CT246" s="200"/>
      <c r="CU246" s="200"/>
    </row>
    <row r="247" spans="1:99" s="17" customFormat="1" x14ac:dyDescent="0.2">
      <c r="A247" s="25"/>
      <c r="B247" s="20">
        <v>39049006394</v>
      </c>
      <c r="C247" s="20">
        <v>63.94</v>
      </c>
      <c r="D247" s="20" t="s">
        <v>31</v>
      </c>
      <c r="E247" s="20" t="s">
        <v>2830</v>
      </c>
      <c r="F247" s="20" t="s">
        <v>8</v>
      </c>
      <c r="G247" s="861">
        <v>71.461459805578897</v>
      </c>
      <c r="H247" s="861">
        <v>65.275422649237598</v>
      </c>
      <c r="I247" s="861">
        <v>28.088618255660801</v>
      </c>
      <c r="J247" s="861">
        <v>49.711561575508</v>
      </c>
      <c r="K247" s="982">
        <v>0</v>
      </c>
      <c r="L247" s="735">
        <v>2789</v>
      </c>
      <c r="M247" s="735">
        <v>2754</v>
      </c>
      <c r="N247" s="845">
        <f t="shared" si="28"/>
        <v>-1.254930082466834E-2</v>
      </c>
      <c r="O247" s="735">
        <v>0.39535702733399808</v>
      </c>
      <c r="P247" s="735">
        <f t="shared" si="29"/>
        <v>6965.8556939558775</v>
      </c>
      <c r="Q247" s="849">
        <v>36.1</v>
      </c>
      <c r="R247" s="71">
        <v>97188</v>
      </c>
      <c r="S247" s="845">
        <v>5.3013798111837325E-2</v>
      </c>
      <c r="T247" s="845">
        <v>0.01</v>
      </c>
      <c r="U247" s="845">
        <v>0</v>
      </c>
      <c r="V247" s="845">
        <v>0</v>
      </c>
      <c r="W247" s="845">
        <v>8.4269662921348312E-2</v>
      </c>
      <c r="X247" s="845">
        <v>0.25714285714285712</v>
      </c>
      <c r="Y247" s="845">
        <v>0.88634713144517063</v>
      </c>
      <c r="Z247" s="845">
        <v>3.8126361655773419E-2</v>
      </c>
      <c r="AA247" s="845">
        <v>0</v>
      </c>
      <c r="AB247" s="845">
        <v>2.5780682643427741E-2</v>
      </c>
      <c r="AC247" s="845">
        <v>0</v>
      </c>
      <c r="AD247" s="845">
        <v>3.9941902687000725E-3</v>
      </c>
      <c r="AE247" s="845">
        <v>4.5751633986928102E-2</v>
      </c>
      <c r="AF247" s="845">
        <v>3.8852578068264344E-2</v>
      </c>
      <c r="AG247" s="845">
        <v>0.87327523602033408</v>
      </c>
      <c r="AH247" s="20" t="str">
        <f t="shared" si="30"/>
        <v>No</v>
      </c>
      <c r="AI247" s="25"/>
      <c r="AJ247" s="37">
        <v>45217</v>
      </c>
      <c r="AK247" s="37" t="s">
        <v>1623</v>
      </c>
      <c r="AL247" s="37">
        <v>39061</v>
      </c>
      <c r="AM247" s="37" t="s">
        <v>37</v>
      </c>
      <c r="AN247" s="37">
        <f t="shared" si="31"/>
        <v>17140</v>
      </c>
      <c r="AO247" s="37" t="str">
        <f t="shared" si="32"/>
        <v>Cincinnati, OH-KY-IN</v>
      </c>
      <c r="AP247" s="20" t="s">
        <v>8</v>
      </c>
      <c r="AQ247" s="25"/>
      <c r="AR247" s="25"/>
      <c r="AS247" s="25"/>
      <c r="AT247" s="25"/>
      <c r="AU247" s="36"/>
      <c r="AV247" s="36"/>
      <c r="AW247" s="36"/>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39">
        <v>45113</v>
      </c>
      <c r="BV247" s="39" t="s">
        <v>1569</v>
      </c>
      <c r="BW247" s="39" t="s">
        <v>2871</v>
      </c>
      <c r="BX247" s="39" t="s">
        <v>304</v>
      </c>
      <c r="BY247" s="71">
        <v>900</v>
      </c>
      <c r="BZ247" s="71">
        <v>970</v>
      </c>
      <c r="CA247" s="71">
        <v>1210</v>
      </c>
      <c r="CB247" s="71">
        <v>1590</v>
      </c>
      <c r="CC247" s="71">
        <v>1920</v>
      </c>
      <c r="CD247" s="25"/>
      <c r="CE247" s="200"/>
      <c r="CF247" s="200"/>
      <c r="CG247" s="200"/>
      <c r="CH247" s="200"/>
      <c r="CI247" s="200"/>
      <c r="CJ247" s="200"/>
      <c r="CK247" s="200"/>
      <c r="CL247" s="200"/>
      <c r="CM247" s="200"/>
      <c r="CN247" s="200"/>
      <c r="CO247" s="200"/>
      <c r="CP247" s="200"/>
      <c r="CQ247" s="200"/>
      <c r="CR247" s="200"/>
      <c r="CS247" s="200"/>
      <c r="CT247" s="200"/>
      <c r="CU247" s="200"/>
    </row>
    <row r="248" spans="1:99" s="17" customFormat="1" x14ac:dyDescent="0.2">
      <c r="A248" s="25"/>
      <c r="B248" s="20">
        <v>39077916300</v>
      </c>
      <c r="C248" s="20">
        <v>9163</v>
      </c>
      <c r="D248" s="20" t="s">
        <v>45</v>
      </c>
      <c r="E248" s="20" t="s">
        <v>265</v>
      </c>
      <c r="F248" s="20" t="s">
        <v>8</v>
      </c>
      <c r="G248" s="861">
        <v>71.458242572545601</v>
      </c>
      <c r="H248" s="861">
        <v>55.917292530493697</v>
      </c>
      <c r="I248" s="861">
        <v>27.996030438866399</v>
      </c>
      <c r="J248" s="861">
        <v>52.646552458916801</v>
      </c>
      <c r="K248" s="982">
        <v>0</v>
      </c>
      <c r="L248" s="735">
        <v>3374</v>
      </c>
      <c r="M248" s="735">
        <v>3706</v>
      </c>
      <c r="N248" s="845">
        <f t="shared" si="28"/>
        <v>9.8399525785417899E-2</v>
      </c>
      <c r="O248" s="735">
        <v>10.915293738549249</v>
      </c>
      <c r="P248" s="735">
        <f t="shared" si="29"/>
        <v>339.52361601700369</v>
      </c>
      <c r="Q248" s="849">
        <v>44.3</v>
      </c>
      <c r="R248" s="71">
        <v>58107</v>
      </c>
      <c r="S248" s="845">
        <v>0.13617376775271511</v>
      </c>
      <c r="T248" s="845">
        <v>9.0000000000000011E-3</v>
      </c>
      <c r="U248" s="845">
        <v>1.3000000000000001E-2</v>
      </c>
      <c r="V248" s="845">
        <v>6.5000000000000002E-2</v>
      </c>
      <c r="W248" s="845">
        <v>0.29137822529893015</v>
      </c>
      <c r="X248" s="845">
        <v>0.36933045356371491</v>
      </c>
      <c r="Y248" s="845">
        <v>0.87317862924986511</v>
      </c>
      <c r="Z248" s="845">
        <v>2.2935779816513763E-2</v>
      </c>
      <c r="AA248" s="845">
        <v>4.5871559633027525E-3</v>
      </c>
      <c r="AB248" s="845">
        <v>0</v>
      </c>
      <c r="AC248" s="845">
        <v>0</v>
      </c>
      <c r="AD248" s="845">
        <v>3.3459255261737722E-2</v>
      </c>
      <c r="AE248" s="845">
        <v>6.5839179708580678E-2</v>
      </c>
      <c r="AF248" s="845">
        <v>0.13572584997301673</v>
      </c>
      <c r="AG248" s="845">
        <v>0.82838640043173228</v>
      </c>
      <c r="AH248" s="20" t="str">
        <f t="shared" si="30"/>
        <v>No</v>
      </c>
      <c r="AI248" s="25"/>
      <c r="AJ248" s="20">
        <v>45218</v>
      </c>
      <c r="AK248" s="20" t="s">
        <v>1624</v>
      </c>
      <c r="AL248" s="20">
        <v>39061</v>
      </c>
      <c r="AM248" s="20" t="s">
        <v>37</v>
      </c>
      <c r="AN248" s="37">
        <f t="shared" si="31"/>
        <v>17140</v>
      </c>
      <c r="AO248" s="37" t="str">
        <f t="shared" si="32"/>
        <v>Cincinnati, OH-KY-IN</v>
      </c>
      <c r="AP248" s="20" t="s">
        <v>8</v>
      </c>
      <c r="AQ248" s="25"/>
      <c r="AR248" s="25"/>
      <c r="AS248" s="25"/>
      <c r="AT248" s="25"/>
      <c r="AU248" s="36"/>
      <c r="AV248" s="36"/>
      <c r="AW248" s="36"/>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39">
        <v>45118</v>
      </c>
      <c r="BV248" s="39" t="s">
        <v>1571</v>
      </c>
      <c r="BW248" s="39" t="s">
        <v>2871</v>
      </c>
      <c r="BX248" s="39" t="s">
        <v>304</v>
      </c>
      <c r="BY248" s="71">
        <v>1070</v>
      </c>
      <c r="BZ248" s="71">
        <v>1080</v>
      </c>
      <c r="CA248" s="71">
        <v>1360</v>
      </c>
      <c r="CB248" s="71">
        <v>1830</v>
      </c>
      <c r="CC248" s="71">
        <v>2260</v>
      </c>
      <c r="CD248" s="25"/>
      <c r="CE248" s="200"/>
      <c r="CF248" s="200"/>
      <c r="CG248" s="200"/>
      <c r="CH248" s="200"/>
      <c r="CI248" s="200"/>
      <c r="CJ248" s="200"/>
      <c r="CK248" s="200"/>
      <c r="CL248" s="200"/>
      <c r="CM248" s="200"/>
      <c r="CN248" s="200"/>
      <c r="CO248" s="200"/>
      <c r="CP248" s="200"/>
      <c r="CQ248" s="200"/>
      <c r="CR248" s="200"/>
      <c r="CS248" s="200"/>
      <c r="CT248" s="200"/>
      <c r="CU248" s="200"/>
    </row>
    <row r="249" spans="1:99" s="17" customFormat="1" x14ac:dyDescent="0.2">
      <c r="A249" s="25"/>
      <c r="B249" s="20">
        <v>39085201400</v>
      </c>
      <c r="C249" s="20">
        <v>2014</v>
      </c>
      <c r="D249" s="20" t="s">
        <v>48</v>
      </c>
      <c r="E249" s="20" t="s">
        <v>2829</v>
      </c>
      <c r="F249" s="20" t="s">
        <v>8</v>
      </c>
      <c r="G249" s="861">
        <v>71.447429981400902</v>
      </c>
      <c r="H249" s="861">
        <v>70.721828027413196</v>
      </c>
      <c r="I249" s="861">
        <v>30.982341327115499</v>
      </c>
      <c r="J249" s="861">
        <v>52.310461786771299</v>
      </c>
      <c r="K249" s="982">
        <v>0</v>
      </c>
      <c r="L249" s="735">
        <v>3706</v>
      </c>
      <c r="M249" s="735">
        <v>3891</v>
      </c>
      <c r="N249" s="845">
        <f t="shared" si="28"/>
        <v>4.9919050188882895E-2</v>
      </c>
      <c r="O249" s="735">
        <v>1.246408810733884</v>
      </c>
      <c r="P249" s="735">
        <f t="shared" si="29"/>
        <v>3121.7686897679937</v>
      </c>
      <c r="Q249" s="849">
        <v>45.1</v>
      </c>
      <c r="R249" s="71">
        <v>76769</v>
      </c>
      <c r="S249" s="845">
        <v>4.3433564636340273E-2</v>
      </c>
      <c r="T249" s="845">
        <v>3.9E-2</v>
      </c>
      <c r="U249" s="845">
        <v>8.0000000000000002E-3</v>
      </c>
      <c r="V249" s="845">
        <v>0</v>
      </c>
      <c r="W249" s="845">
        <v>0.4101917255297679</v>
      </c>
      <c r="X249" s="845">
        <v>0.35916359163591638</v>
      </c>
      <c r="Y249" s="845">
        <v>0.93909020817270628</v>
      </c>
      <c r="Z249" s="845">
        <v>2.1845283988691854E-2</v>
      </c>
      <c r="AA249" s="845">
        <v>0</v>
      </c>
      <c r="AB249" s="845">
        <v>0</v>
      </c>
      <c r="AC249" s="845">
        <v>0</v>
      </c>
      <c r="AD249" s="845">
        <v>0</v>
      </c>
      <c r="AE249" s="845">
        <v>3.9064507838601902E-2</v>
      </c>
      <c r="AF249" s="845">
        <v>1.156515034695451E-2</v>
      </c>
      <c r="AG249" s="845">
        <v>0.93266512464662044</v>
      </c>
      <c r="AH249" s="20" t="str">
        <f t="shared" si="30"/>
        <v>Yes</v>
      </c>
      <c r="AI249" s="25"/>
      <c r="AJ249" s="20">
        <v>45219</v>
      </c>
      <c r="AK249" s="20" t="s">
        <v>1625</v>
      </c>
      <c r="AL249" s="20">
        <v>39061</v>
      </c>
      <c r="AM249" s="20" t="s">
        <v>37</v>
      </c>
      <c r="AN249" s="37">
        <f t="shared" si="31"/>
        <v>17140</v>
      </c>
      <c r="AO249" s="37" t="str">
        <f t="shared" si="32"/>
        <v>Cincinnati, OH-KY-IN</v>
      </c>
      <c r="AP249" s="20" t="s">
        <v>8</v>
      </c>
      <c r="AQ249" s="25"/>
      <c r="AR249" s="25"/>
      <c r="AS249" s="25"/>
      <c r="AT249" s="25"/>
      <c r="AU249" s="36"/>
      <c r="AV249" s="36"/>
      <c r="AW249" s="36"/>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39">
        <v>45120</v>
      </c>
      <c r="BV249" s="39" t="s">
        <v>1573</v>
      </c>
      <c r="BW249" s="39" t="s">
        <v>2871</v>
      </c>
      <c r="BX249" s="39" t="s">
        <v>304</v>
      </c>
      <c r="BY249" s="71">
        <v>700</v>
      </c>
      <c r="BZ249" s="71">
        <v>760</v>
      </c>
      <c r="CA249" s="71">
        <v>980</v>
      </c>
      <c r="CB249" s="71">
        <v>1290</v>
      </c>
      <c r="CC249" s="71">
        <v>1460</v>
      </c>
      <c r="CD249" s="25"/>
      <c r="CE249" s="200"/>
      <c r="CF249" s="200"/>
      <c r="CG249" s="200"/>
      <c r="CH249" s="200"/>
      <c r="CI249" s="200"/>
      <c r="CJ249" s="200"/>
      <c r="CK249" s="200"/>
      <c r="CL249" s="200"/>
      <c r="CM249" s="200"/>
      <c r="CN249" s="200"/>
      <c r="CO249" s="200"/>
      <c r="CP249" s="200"/>
      <c r="CQ249" s="200"/>
      <c r="CR249" s="200"/>
      <c r="CS249" s="200"/>
      <c r="CT249" s="200"/>
      <c r="CU249" s="200"/>
    </row>
    <row r="250" spans="1:99" s="17" customFormat="1" x14ac:dyDescent="0.2">
      <c r="A250" s="25"/>
      <c r="B250" s="20">
        <v>39035107101</v>
      </c>
      <c r="C250" s="20">
        <v>1071.01</v>
      </c>
      <c r="D250" s="20" t="s">
        <v>24</v>
      </c>
      <c r="E250" s="20" t="s">
        <v>2829</v>
      </c>
      <c r="F250" s="20" t="s">
        <v>8</v>
      </c>
      <c r="G250" s="861">
        <v>71.421877277254694</v>
      </c>
      <c r="H250" s="861">
        <v>87.303181541480001</v>
      </c>
      <c r="I250" s="861">
        <v>41.950162247104402</v>
      </c>
      <c r="J250" s="861">
        <v>35.801161325481203</v>
      </c>
      <c r="K250" s="982">
        <v>0</v>
      </c>
      <c r="L250" s="735">
        <v>4628</v>
      </c>
      <c r="M250" s="735">
        <v>4160</v>
      </c>
      <c r="N250" s="845">
        <f t="shared" si="28"/>
        <v>-0.10112359550561797</v>
      </c>
      <c r="O250" s="735">
        <v>1.5410105492723671</v>
      </c>
      <c r="P250" s="735">
        <f t="shared" si="29"/>
        <v>2699.5272692742205</v>
      </c>
      <c r="Q250" s="849">
        <v>30</v>
      </c>
      <c r="R250" s="71">
        <v>84143</v>
      </c>
      <c r="S250" s="845">
        <v>9.2766653044544345E-2</v>
      </c>
      <c r="T250" s="845">
        <v>2.3E-2</v>
      </c>
      <c r="U250" s="845">
        <v>0</v>
      </c>
      <c r="V250" s="845">
        <v>3.3000000000000002E-2</v>
      </c>
      <c r="W250" s="845">
        <v>0.89618406285072949</v>
      </c>
      <c r="X250" s="845">
        <v>0.26174076393237322</v>
      </c>
      <c r="Y250" s="845">
        <v>0.73076923076923073</v>
      </c>
      <c r="Z250" s="845">
        <v>0.16250000000000001</v>
      </c>
      <c r="AA250" s="845">
        <v>0</v>
      </c>
      <c r="AB250" s="845">
        <v>1.8749999999999999E-2</v>
      </c>
      <c r="AC250" s="845">
        <v>0</v>
      </c>
      <c r="AD250" s="845">
        <v>2.1634615384615384E-2</v>
      </c>
      <c r="AE250" s="845">
        <v>6.6346153846153846E-2</v>
      </c>
      <c r="AF250" s="845">
        <v>4.6634615384615385E-2</v>
      </c>
      <c r="AG250" s="845">
        <v>0.72379807692307696</v>
      </c>
      <c r="AH250" s="20" t="str">
        <f t="shared" si="30"/>
        <v>No</v>
      </c>
      <c r="AI250" s="25"/>
      <c r="AJ250" s="37">
        <v>45220</v>
      </c>
      <c r="AK250" s="37" t="s">
        <v>1626</v>
      </c>
      <c r="AL250" s="37">
        <v>39061</v>
      </c>
      <c r="AM250" s="37" t="s">
        <v>37</v>
      </c>
      <c r="AN250" s="37">
        <f t="shared" si="31"/>
        <v>17140</v>
      </c>
      <c r="AO250" s="37" t="str">
        <f t="shared" si="32"/>
        <v>Cincinnati, OH-KY-IN</v>
      </c>
      <c r="AP250" s="20" t="s">
        <v>8</v>
      </c>
      <c r="AQ250" s="25"/>
      <c r="AR250" s="25"/>
      <c r="AS250" s="25"/>
      <c r="AT250" s="25"/>
      <c r="AU250" s="36"/>
      <c r="AV250" s="36"/>
      <c r="AW250" s="36"/>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39">
        <v>45121</v>
      </c>
      <c r="BV250" s="39" t="s">
        <v>1574</v>
      </c>
      <c r="BW250" s="39" t="s">
        <v>2871</v>
      </c>
      <c r="BX250" s="39" t="s">
        <v>304</v>
      </c>
      <c r="BY250" s="71">
        <v>770</v>
      </c>
      <c r="BZ250" s="71">
        <v>770</v>
      </c>
      <c r="CA250" s="71">
        <v>980</v>
      </c>
      <c r="CB250" s="71">
        <v>1310</v>
      </c>
      <c r="CC250" s="71">
        <v>1630</v>
      </c>
      <c r="CD250" s="25"/>
      <c r="CE250" s="200"/>
      <c r="CF250" s="200"/>
      <c r="CG250" s="200"/>
      <c r="CH250" s="200"/>
      <c r="CI250" s="200"/>
      <c r="CJ250" s="200"/>
      <c r="CK250" s="200"/>
      <c r="CL250" s="200"/>
      <c r="CM250" s="200"/>
      <c r="CN250" s="200"/>
      <c r="CO250" s="200"/>
      <c r="CP250" s="200"/>
      <c r="CQ250" s="200"/>
      <c r="CR250" s="200"/>
      <c r="CS250" s="200"/>
      <c r="CT250" s="200"/>
      <c r="CU250" s="200"/>
    </row>
    <row r="251" spans="1:99" s="17" customFormat="1" x14ac:dyDescent="0.2">
      <c r="A251" s="25"/>
      <c r="B251" s="20">
        <v>39045030602</v>
      </c>
      <c r="C251" s="20">
        <v>306.02</v>
      </c>
      <c r="D251" s="20" t="s">
        <v>29</v>
      </c>
      <c r="E251" s="20" t="s">
        <v>2830</v>
      </c>
      <c r="F251" s="20" t="s">
        <v>8</v>
      </c>
      <c r="G251" s="861">
        <v>71.387918256621603</v>
      </c>
      <c r="H251" s="861">
        <v>63.627114578337903</v>
      </c>
      <c r="I251" s="861">
        <v>14.993950403722</v>
      </c>
      <c r="J251" s="861">
        <v>63.406428165615601</v>
      </c>
      <c r="K251" s="982">
        <v>0</v>
      </c>
      <c r="L251" s="735" t="s">
        <v>2466</v>
      </c>
      <c r="M251" s="735">
        <v>4136</v>
      </c>
      <c r="N251" s="845" t="str">
        <f t="shared" si="28"/>
        <v/>
      </c>
      <c r="O251" s="735">
        <v>1.7883004876033968</v>
      </c>
      <c r="P251" s="735">
        <f t="shared" si="29"/>
        <v>2312.8104189821524</v>
      </c>
      <c r="Q251" s="849">
        <v>36.200000000000003</v>
      </c>
      <c r="R251" s="71">
        <v>151676</v>
      </c>
      <c r="S251" s="845">
        <v>4.2794970986460346E-2</v>
      </c>
      <c r="T251" s="845">
        <v>8.0000000000000002E-3</v>
      </c>
      <c r="U251" s="845">
        <v>0</v>
      </c>
      <c r="V251" s="845">
        <v>0</v>
      </c>
      <c r="W251" s="845">
        <v>4.542177361211247E-2</v>
      </c>
      <c r="X251" s="845">
        <v>0.5714285714285714</v>
      </c>
      <c r="Y251" s="845">
        <v>0.71518375241779497</v>
      </c>
      <c r="Z251" s="845">
        <v>0.18375241779497098</v>
      </c>
      <c r="AA251" s="845">
        <v>7.2533849129593814E-4</v>
      </c>
      <c r="AB251" s="845">
        <v>4.3520309477756286E-2</v>
      </c>
      <c r="AC251" s="845">
        <v>0</v>
      </c>
      <c r="AD251" s="845">
        <v>0</v>
      </c>
      <c r="AE251" s="845">
        <v>5.6818181818181816E-2</v>
      </c>
      <c r="AF251" s="845">
        <v>2.1760154738878143E-2</v>
      </c>
      <c r="AG251" s="845">
        <v>0.69342359767891681</v>
      </c>
      <c r="AH251" s="20" t="str">
        <f t="shared" si="30"/>
        <v>No</v>
      </c>
      <c r="AI251" s="25"/>
      <c r="AJ251" s="37">
        <v>45223</v>
      </c>
      <c r="AK251" s="37" t="s">
        <v>1627</v>
      </c>
      <c r="AL251" s="37">
        <v>39061</v>
      </c>
      <c r="AM251" s="37" t="s">
        <v>37</v>
      </c>
      <c r="AN251" s="37">
        <f t="shared" si="31"/>
        <v>17140</v>
      </c>
      <c r="AO251" s="37" t="str">
        <f t="shared" si="32"/>
        <v>Cincinnati, OH-KY-IN</v>
      </c>
      <c r="AP251" s="20" t="s">
        <v>8</v>
      </c>
      <c r="AQ251" s="25"/>
      <c r="AR251" s="25"/>
      <c r="AS251" s="25"/>
      <c r="AT251" s="25"/>
      <c r="AU251" s="36"/>
      <c r="AV251" s="36"/>
      <c r="AW251" s="36"/>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39">
        <v>45122</v>
      </c>
      <c r="BV251" s="39" t="s">
        <v>1575</v>
      </c>
      <c r="BW251" s="39" t="s">
        <v>2871</v>
      </c>
      <c r="BX251" s="39" t="s">
        <v>304</v>
      </c>
      <c r="BY251" s="71">
        <v>1060</v>
      </c>
      <c r="BZ251" s="71">
        <v>1160</v>
      </c>
      <c r="CA251" s="71">
        <v>1490</v>
      </c>
      <c r="CB251" s="71">
        <v>1970</v>
      </c>
      <c r="CC251" s="71">
        <v>2180</v>
      </c>
      <c r="CD251" s="25"/>
      <c r="CE251" s="200"/>
      <c r="CF251" s="200"/>
      <c r="CG251" s="200"/>
      <c r="CH251" s="200"/>
      <c r="CI251" s="200"/>
      <c r="CJ251" s="200"/>
      <c r="CK251" s="200"/>
      <c r="CL251" s="200"/>
      <c r="CM251" s="200"/>
      <c r="CN251" s="200"/>
      <c r="CO251" s="200"/>
      <c r="CP251" s="200"/>
      <c r="CQ251" s="200"/>
      <c r="CR251" s="200"/>
      <c r="CS251" s="200"/>
      <c r="CT251" s="200"/>
      <c r="CU251" s="200"/>
    </row>
    <row r="252" spans="1:99" s="17" customFormat="1" x14ac:dyDescent="0.2">
      <c r="A252" s="25"/>
      <c r="B252" s="20">
        <v>39061025102</v>
      </c>
      <c r="C252" s="20">
        <v>251.02</v>
      </c>
      <c r="D252" s="20" t="s">
        <v>37</v>
      </c>
      <c r="E252" s="20" t="s">
        <v>2828</v>
      </c>
      <c r="F252" s="20" t="s">
        <v>8</v>
      </c>
      <c r="G252" s="861">
        <v>71.381026538582006</v>
      </c>
      <c r="H252" s="861">
        <v>74.000498422686306</v>
      </c>
      <c r="I252" s="861">
        <v>26.601488513350599</v>
      </c>
      <c r="J252" s="861">
        <v>34.283288592381503</v>
      </c>
      <c r="K252" s="982">
        <v>0</v>
      </c>
      <c r="L252" s="735">
        <v>7719</v>
      </c>
      <c r="M252" s="735">
        <v>7520</v>
      </c>
      <c r="N252" s="845">
        <f t="shared" si="28"/>
        <v>-2.57805415209224E-2</v>
      </c>
      <c r="O252" s="735">
        <v>1.993207991985724</v>
      </c>
      <c r="P252" s="735">
        <f t="shared" si="29"/>
        <v>3772.812486321729</v>
      </c>
      <c r="Q252" s="849">
        <v>38</v>
      </c>
      <c r="R252" s="71">
        <v>105924</v>
      </c>
      <c r="S252" s="845">
        <v>3.4042553191489362E-2</v>
      </c>
      <c r="T252" s="845">
        <v>2.6000000000000002E-2</v>
      </c>
      <c r="U252" s="845">
        <v>0</v>
      </c>
      <c r="V252" s="845">
        <v>0</v>
      </c>
      <c r="W252" s="845">
        <v>0.2478275981925617</v>
      </c>
      <c r="X252" s="845">
        <v>0.47405329593267881</v>
      </c>
      <c r="Y252" s="845">
        <v>0.88989361702127656</v>
      </c>
      <c r="Z252" s="845">
        <v>2.101063829787234E-2</v>
      </c>
      <c r="AA252" s="845">
        <v>0</v>
      </c>
      <c r="AB252" s="845">
        <v>4.7872340425531915E-3</v>
      </c>
      <c r="AC252" s="845">
        <v>0</v>
      </c>
      <c r="AD252" s="845">
        <v>0</v>
      </c>
      <c r="AE252" s="845">
        <v>8.4308510638297876E-2</v>
      </c>
      <c r="AF252" s="845">
        <v>6.9547872340425532E-2</v>
      </c>
      <c r="AG252" s="845">
        <v>0.87779255319148941</v>
      </c>
      <c r="AH252" s="20" t="str">
        <f t="shared" si="30"/>
        <v>No</v>
      </c>
      <c r="AI252" s="25"/>
      <c r="AJ252" s="37">
        <v>45224</v>
      </c>
      <c r="AK252" s="37" t="s">
        <v>1628</v>
      </c>
      <c r="AL252" s="37">
        <v>39061</v>
      </c>
      <c r="AM252" s="37" t="s">
        <v>37</v>
      </c>
      <c r="AN252" s="37">
        <f t="shared" si="31"/>
        <v>17140</v>
      </c>
      <c r="AO252" s="37" t="str">
        <f t="shared" si="32"/>
        <v>Cincinnati, OH-KY-IN</v>
      </c>
      <c r="AP252" s="20" t="s">
        <v>8</v>
      </c>
      <c r="AQ252" s="25"/>
      <c r="AR252" s="25"/>
      <c r="AS252" s="25"/>
      <c r="AT252" s="25"/>
      <c r="AU252" s="36"/>
      <c r="AV252" s="36"/>
      <c r="AW252" s="36"/>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39">
        <v>45130</v>
      </c>
      <c r="BV252" s="39" t="s">
        <v>1577</v>
      </c>
      <c r="BW252" s="39" t="s">
        <v>2871</v>
      </c>
      <c r="BX252" s="39" t="s">
        <v>304</v>
      </c>
      <c r="BY252" s="71">
        <v>830</v>
      </c>
      <c r="BZ252" s="71">
        <v>850</v>
      </c>
      <c r="CA252" s="71">
        <v>1070</v>
      </c>
      <c r="CB252" s="71">
        <v>1440</v>
      </c>
      <c r="CC252" s="71">
        <v>1750</v>
      </c>
      <c r="CD252" s="25"/>
      <c r="CE252" s="200"/>
      <c r="CF252" s="200"/>
      <c r="CG252" s="200"/>
      <c r="CH252" s="200"/>
      <c r="CI252" s="200"/>
      <c r="CJ252" s="200"/>
      <c r="CK252" s="200"/>
      <c r="CL252" s="200"/>
      <c r="CM252" s="200"/>
      <c r="CN252" s="200"/>
      <c r="CO252" s="200"/>
      <c r="CP252" s="200"/>
      <c r="CQ252" s="200"/>
      <c r="CR252" s="200"/>
      <c r="CS252" s="200"/>
      <c r="CT252" s="200"/>
      <c r="CU252" s="200"/>
    </row>
    <row r="253" spans="1:99" s="17" customFormat="1" x14ac:dyDescent="0.2">
      <c r="A253" s="25"/>
      <c r="B253" s="20">
        <v>39061023300</v>
      </c>
      <c r="C253" s="20">
        <v>233</v>
      </c>
      <c r="D253" s="20" t="s">
        <v>37</v>
      </c>
      <c r="E253" s="20" t="s">
        <v>2828</v>
      </c>
      <c r="F253" s="20" t="s">
        <v>8</v>
      </c>
      <c r="G253" s="861">
        <v>71.327782469051101</v>
      </c>
      <c r="H253" s="861">
        <v>76.7431956394651</v>
      </c>
      <c r="I253" s="861">
        <v>21.123053622388401</v>
      </c>
      <c r="J253" s="861">
        <v>43.985339208004</v>
      </c>
      <c r="K253" s="982">
        <v>0</v>
      </c>
      <c r="L253" s="735">
        <v>3882</v>
      </c>
      <c r="M253" s="735">
        <v>4032</v>
      </c>
      <c r="N253" s="845">
        <f t="shared" si="28"/>
        <v>3.8639876352395672E-2</v>
      </c>
      <c r="O253" s="735">
        <v>3.3958487940703326</v>
      </c>
      <c r="P253" s="735">
        <f t="shared" si="29"/>
        <v>1187.3320175622907</v>
      </c>
      <c r="Q253" s="849">
        <v>42.7</v>
      </c>
      <c r="R253" s="71">
        <v>142697</v>
      </c>
      <c r="S253" s="845">
        <v>2.2421524663677129E-2</v>
      </c>
      <c r="T253" s="845">
        <v>5.5999999999999994E-2</v>
      </c>
      <c r="U253" s="845">
        <v>0</v>
      </c>
      <c r="V253" s="845">
        <v>0</v>
      </c>
      <c r="W253" s="845">
        <v>1.6318537859007835E-2</v>
      </c>
      <c r="X253" s="845">
        <v>0.28000000000000003</v>
      </c>
      <c r="Y253" s="845">
        <v>0.82390873015873012</v>
      </c>
      <c r="Z253" s="845">
        <v>5.828373015873016E-2</v>
      </c>
      <c r="AA253" s="845">
        <v>0</v>
      </c>
      <c r="AB253" s="845">
        <v>4.538690476190476E-2</v>
      </c>
      <c r="AC253" s="845">
        <v>0</v>
      </c>
      <c r="AD253" s="845">
        <v>4.3402777777777776E-2</v>
      </c>
      <c r="AE253" s="845">
        <v>2.9017857142857144E-2</v>
      </c>
      <c r="AF253" s="845">
        <v>5.0099206349206352E-2</v>
      </c>
      <c r="AG253" s="845">
        <v>0.82217261904761907</v>
      </c>
      <c r="AH253" s="20" t="str">
        <f t="shared" si="30"/>
        <v>No</v>
      </c>
      <c r="AI253" s="25"/>
      <c r="AJ253" s="20">
        <v>45225</v>
      </c>
      <c r="AK253" s="20" t="s">
        <v>1629</v>
      </c>
      <c r="AL253" s="20">
        <v>39061</v>
      </c>
      <c r="AM253" s="20" t="s">
        <v>37</v>
      </c>
      <c r="AN253" s="37">
        <f t="shared" si="31"/>
        <v>17140</v>
      </c>
      <c r="AO253" s="37" t="str">
        <f t="shared" si="32"/>
        <v>Cincinnati, OH-KY-IN</v>
      </c>
      <c r="AP253" s="20" t="s">
        <v>8</v>
      </c>
      <c r="AQ253" s="25"/>
      <c r="AR253" s="25"/>
      <c r="AS253" s="25"/>
      <c r="AT253" s="25"/>
      <c r="AU253" s="36"/>
      <c r="AV253" s="36"/>
      <c r="AW253" s="36"/>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39">
        <v>45140</v>
      </c>
      <c r="BV253" s="39" t="s">
        <v>1582</v>
      </c>
      <c r="BW253" s="39" t="s">
        <v>2871</v>
      </c>
      <c r="BX253" s="39" t="s">
        <v>304</v>
      </c>
      <c r="BY253" s="71">
        <v>1210</v>
      </c>
      <c r="BZ253" s="71">
        <v>1330</v>
      </c>
      <c r="CA253" s="71">
        <v>1710</v>
      </c>
      <c r="CB253" s="71">
        <v>2260</v>
      </c>
      <c r="CC253" s="71">
        <v>2500</v>
      </c>
      <c r="CD253" s="25"/>
      <c r="CE253" s="200"/>
      <c r="CF253" s="200"/>
      <c r="CG253" s="200"/>
      <c r="CH253" s="200"/>
      <c r="CI253" s="200"/>
      <c r="CJ253" s="200"/>
      <c r="CK253" s="200"/>
      <c r="CL253" s="200"/>
      <c r="CM253" s="200"/>
      <c r="CN253" s="200"/>
      <c r="CO253" s="200"/>
      <c r="CP253" s="200"/>
      <c r="CQ253" s="200"/>
      <c r="CR253" s="200"/>
      <c r="CS253" s="200"/>
      <c r="CT253" s="200"/>
      <c r="CU253" s="200"/>
    </row>
    <row r="254" spans="1:99" s="17" customFormat="1" x14ac:dyDescent="0.2">
      <c r="A254" s="25"/>
      <c r="B254" s="20">
        <v>39049003800</v>
      </c>
      <c r="C254" s="20">
        <v>38</v>
      </c>
      <c r="D254" s="20" t="s">
        <v>31</v>
      </c>
      <c r="E254" s="20" t="s">
        <v>2830</v>
      </c>
      <c r="F254" s="20" t="s">
        <v>8</v>
      </c>
      <c r="G254" s="861">
        <v>71.321405837950806</v>
      </c>
      <c r="H254" s="861">
        <v>79.415334697623507</v>
      </c>
      <c r="I254" s="861">
        <v>39.499176272659</v>
      </c>
      <c r="J254" s="861">
        <v>56.840884803678598</v>
      </c>
      <c r="K254" s="982">
        <v>0</v>
      </c>
      <c r="L254" s="735">
        <v>2115</v>
      </c>
      <c r="M254" s="735">
        <v>2367</v>
      </c>
      <c r="N254" s="845">
        <f t="shared" si="28"/>
        <v>0.11914893617021277</v>
      </c>
      <c r="O254" s="735">
        <v>0.28944379980184543</v>
      </c>
      <c r="P254" s="735">
        <f t="shared" si="29"/>
        <v>8177.753338024374</v>
      </c>
      <c r="Q254" s="849">
        <v>34.5</v>
      </c>
      <c r="R254" s="71">
        <v>72006</v>
      </c>
      <c r="S254" s="845">
        <v>8.2626172398392136E-2</v>
      </c>
      <c r="T254" s="845">
        <v>1.6E-2</v>
      </c>
      <c r="U254" s="845">
        <v>0</v>
      </c>
      <c r="V254" s="845">
        <v>0</v>
      </c>
      <c r="W254" s="845">
        <v>0.52341137123745818</v>
      </c>
      <c r="X254" s="845">
        <v>0.46485623003194887</v>
      </c>
      <c r="Y254" s="845">
        <v>0.73003802281368824</v>
      </c>
      <c r="Z254" s="845">
        <v>0.15040135192226448</v>
      </c>
      <c r="AA254" s="845">
        <v>0</v>
      </c>
      <c r="AB254" s="845">
        <v>2.0701309674693705E-2</v>
      </c>
      <c r="AC254" s="845">
        <v>0</v>
      </c>
      <c r="AD254" s="845">
        <v>8.8719898605830166E-3</v>
      </c>
      <c r="AE254" s="845">
        <v>8.9987325728770592E-2</v>
      </c>
      <c r="AF254" s="845">
        <v>3.7600337980566119E-2</v>
      </c>
      <c r="AG254" s="845">
        <v>0.70130967469370509</v>
      </c>
      <c r="AH254" s="20" t="str">
        <f t="shared" si="30"/>
        <v>No</v>
      </c>
      <c r="AI254" s="25"/>
      <c r="AJ254" s="37">
        <v>45226</v>
      </c>
      <c r="AK254" s="37" t="s">
        <v>1630</v>
      </c>
      <c r="AL254" s="37">
        <v>39061</v>
      </c>
      <c r="AM254" s="37" t="s">
        <v>37</v>
      </c>
      <c r="AN254" s="37">
        <f t="shared" si="31"/>
        <v>17140</v>
      </c>
      <c r="AO254" s="37" t="str">
        <f t="shared" si="32"/>
        <v>Cincinnati, OH-KY-IN</v>
      </c>
      <c r="AP254" s="20" t="s">
        <v>8</v>
      </c>
      <c r="AQ254" s="25"/>
      <c r="AR254" s="25"/>
      <c r="AS254" s="25"/>
      <c r="AT254" s="25"/>
      <c r="AU254" s="36"/>
      <c r="AV254" s="36"/>
      <c r="AW254" s="36"/>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39">
        <v>45147</v>
      </c>
      <c r="BV254" s="39" t="s">
        <v>1586</v>
      </c>
      <c r="BW254" s="39" t="s">
        <v>2871</v>
      </c>
      <c r="BX254" s="39" t="s">
        <v>304</v>
      </c>
      <c r="BY254" s="71">
        <v>1300</v>
      </c>
      <c r="BZ254" s="71">
        <v>1430</v>
      </c>
      <c r="CA254" s="71">
        <v>1840</v>
      </c>
      <c r="CB254" s="71">
        <v>2430</v>
      </c>
      <c r="CC254" s="71">
        <v>2680</v>
      </c>
      <c r="CD254" s="25"/>
      <c r="CE254" s="200"/>
      <c r="CF254" s="200"/>
      <c r="CG254" s="200"/>
      <c r="CH254" s="200"/>
      <c r="CI254" s="200"/>
      <c r="CJ254" s="200"/>
      <c r="CK254" s="200"/>
      <c r="CL254" s="200"/>
      <c r="CM254" s="200"/>
      <c r="CN254" s="200"/>
      <c r="CO254" s="200"/>
      <c r="CP254" s="200"/>
      <c r="CQ254" s="200"/>
      <c r="CR254" s="200"/>
      <c r="CS254" s="200"/>
      <c r="CT254" s="200"/>
      <c r="CU254" s="200"/>
    </row>
    <row r="255" spans="1:99" s="17" customFormat="1" x14ac:dyDescent="0.2">
      <c r="A255" s="25"/>
      <c r="B255" s="20">
        <v>39151711321</v>
      </c>
      <c r="C255" s="20">
        <v>7113.21</v>
      </c>
      <c r="D255" s="20" t="s">
        <v>81</v>
      </c>
      <c r="E255" s="20" t="s">
        <v>2844</v>
      </c>
      <c r="F255" s="20" t="s">
        <v>8</v>
      </c>
      <c r="G255" s="861">
        <v>71.318705023758298</v>
      </c>
      <c r="H255" s="861">
        <v>56.082787116781802</v>
      </c>
      <c r="I255" s="861">
        <v>27.206468823223201</v>
      </c>
      <c r="J255" s="861">
        <v>34.029444444090402</v>
      </c>
      <c r="K255" s="982">
        <v>0</v>
      </c>
      <c r="L255" s="735">
        <v>3943</v>
      </c>
      <c r="M255" s="735">
        <v>3791</v>
      </c>
      <c r="N255" s="845">
        <f t="shared" si="28"/>
        <v>-3.8549327922901347E-2</v>
      </c>
      <c r="O255" s="735">
        <v>2.4649557174994134</v>
      </c>
      <c r="P255" s="735">
        <f t="shared" si="29"/>
        <v>1537.958663146208</v>
      </c>
      <c r="Q255" s="849">
        <v>45.9</v>
      </c>
      <c r="R255" s="71">
        <v>88269</v>
      </c>
      <c r="S255" s="845">
        <v>5.0646267475600103E-2</v>
      </c>
      <c r="T255" s="845">
        <v>5.5999999999999994E-2</v>
      </c>
      <c r="U255" s="845">
        <v>3.3000000000000002E-2</v>
      </c>
      <c r="V255" s="845">
        <v>0</v>
      </c>
      <c r="W255" s="845">
        <v>0.27953714981729599</v>
      </c>
      <c r="X255" s="845">
        <v>0.34422657952069718</v>
      </c>
      <c r="Y255" s="845">
        <v>0.934054339224479</v>
      </c>
      <c r="Z255" s="845">
        <v>5.0118702189395938E-3</v>
      </c>
      <c r="AA255" s="845">
        <v>0</v>
      </c>
      <c r="AB255" s="845">
        <v>2.45317858084938E-2</v>
      </c>
      <c r="AC255" s="845">
        <v>0</v>
      </c>
      <c r="AD255" s="845">
        <v>2.9016090741229225E-3</v>
      </c>
      <c r="AE255" s="845">
        <v>3.350039567396465E-2</v>
      </c>
      <c r="AF255" s="845">
        <v>7.122131363756265E-2</v>
      </c>
      <c r="AG255" s="845">
        <v>0.8754945924558164</v>
      </c>
      <c r="AH255" s="20" t="str">
        <f t="shared" si="30"/>
        <v>No</v>
      </c>
      <c r="AI255" s="25"/>
      <c r="AJ255" s="20">
        <v>45227</v>
      </c>
      <c r="AK255" s="20" t="s">
        <v>1631</v>
      </c>
      <c r="AL255" s="20">
        <v>39061</v>
      </c>
      <c r="AM255" s="20" t="s">
        <v>37</v>
      </c>
      <c r="AN255" s="37">
        <f t="shared" si="31"/>
        <v>17140</v>
      </c>
      <c r="AO255" s="37" t="str">
        <f t="shared" si="32"/>
        <v>Cincinnati, OH-KY-IN</v>
      </c>
      <c r="AP255" s="20" t="s">
        <v>8</v>
      </c>
      <c r="AQ255" s="25"/>
      <c r="AR255" s="25"/>
      <c r="AS255" s="25"/>
      <c r="AT255" s="25"/>
      <c r="AU255" s="36"/>
      <c r="AV255" s="36"/>
      <c r="AW255" s="36"/>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39">
        <v>45150</v>
      </c>
      <c r="BV255" s="39" t="s">
        <v>1588</v>
      </c>
      <c r="BW255" s="39" t="s">
        <v>2871</v>
      </c>
      <c r="BX255" s="39" t="s">
        <v>304</v>
      </c>
      <c r="BY255" s="71">
        <v>930</v>
      </c>
      <c r="BZ255" s="71">
        <v>1020</v>
      </c>
      <c r="CA255" s="71">
        <v>1310</v>
      </c>
      <c r="CB255" s="71">
        <v>1730</v>
      </c>
      <c r="CC255" s="71">
        <v>1910</v>
      </c>
      <c r="CD255" s="25"/>
      <c r="CE255" s="200"/>
      <c r="CF255" s="200"/>
      <c r="CG255" s="200"/>
      <c r="CH255" s="200"/>
      <c r="CI255" s="200"/>
      <c r="CJ255" s="200"/>
      <c r="CK255" s="200"/>
      <c r="CL255" s="200"/>
      <c r="CM255" s="200"/>
      <c r="CN255" s="200"/>
      <c r="CO255" s="200"/>
      <c r="CP255" s="200"/>
      <c r="CQ255" s="200"/>
      <c r="CR255" s="200"/>
      <c r="CS255" s="200"/>
      <c r="CT255" s="200"/>
      <c r="CU255" s="200"/>
    </row>
    <row r="256" spans="1:99" s="17" customFormat="1" x14ac:dyDescent="0.2">
      <c r="A256" s="25"/>
      <c r="B256" s="20">
        <v>39035194300</v>
      </c>
      <c r="C256" s="20">
        <v>1943</v>
      </c>
      <c r="D256" s="20" t="s">
        <v>24</v>
      </c>
      <c r="E256" s="20" t="s">
        <v>2829</v>
      </c>
      <c r="F256" s="20" t="s">
        <v>8</v>
      </c>
      <c r="G256" s="861">
        <v>71.276709395762197</v>
      </c>
      <c r="H256" s="861">
        <v>75.390677138047096</v>
      </c>
      <c r="I256" s="861">
        <v>30.567462474114901</v>
      </c>
      <c r="J256" s="861">
        <v>39.156601325153403</v>
      </c>
      <c r="K256" s="982">
        <v>0</v>
      </c>
      <c r="L256" s="735">
        <v>3432</v>
      </c>
      <c r="M256" s="735">
        <v>3330</v>
      </c>
      <c r="N256" s="845">
        <f t="shared" si="28"/>
        <v>-2.972027972027972E-2</v>
      </c>
      <c r="O256" s="735">
        <v>3.9390829481452716</v>
      </c>
      <c r="P256" s="735">
        <f t="shared" si="29"/>
        <v>845.37442948946784</v>
      </c>
      <c r="Q256" s="849">
        <v>48.7</v>
      </c>
      <c r="R256" s="71">
        <v>120682</v>
      </c>
      <c r="S256" s="845">
        <v>5.0453172205438067E-2</v>
      </c>
      <c r="T256" s="845">
        <v>9.0999999999999998E-2</v>
      </c>
      <c r="U256" s="845">
        <v>0</v>
      </c>
      <c r="V256" s="845">
        <v>0.19600000000000001</v>
      </c>
      <c r="W256" s="845">
        <v>0.18248175182481752</v>
      </c>
      <c r="X256" s="845">
        <v>0.58399999999999996</v>
      </c>
      <c r="Y256" s="845">
        <v>0.93303303303303309</v>
      </c>
      <c r="Z256" s="845">
        <v>3.3333333333333333E-2</v>
      </c>
      <c r="AA256" s="845">
        <v>0</v>
      </c>
      <c r="AB256" s="845">
        <v>1.7717717717717716E-2</v>
      </c>
      <c r="AC256" s="845">
        <v>0</v>
      </c>
      <c r="AD256" s="845">
        <v>0</v>
      </c>
      <c r="AE256" s="845">
        <v>1.5915915915915915E-2</v>
      </c>
      <c r="AF256" s="845">
        <v>2.7027027027027029E-3</v>
      </c>
      <c r="AG256" s="845">
        <v>0.93303303303303309</v>
      </c>
      <c r="AH256" s="20" t="str">
        <f t="shared" si="30"/>
        <v>Yes</v>
      </c>
      <c r="AI256" s="25"/>
      <c r="AJ256" s="20">
        <v>45229</v>
      </c>
      <c r="AK256" s="20" t="s">
        <v>1632</v>
      </c>
      <c r="AL256" s="20">
        <v>39061</v>
      </c>
      <c r="AM256" s="20" t="s">
        <v>37</v>
      </c>
      <c r="AN256" s="37">
        <f t="shared" si="31"/>
        <v>17140</v>
      </c>
      <c r="AO256" s="37" t="str">
        <f t="shared" si="32"/>
        <v>Cincinnati, OH-KY-IN</v>
      </c>
      <c r="AP256" s="20" t="s">
        <v>8</v>
      </c>
      <c r="AQ256" s="25"/>
      <c r="AR256" s="25"/>
      <c r="AS256" s="25"/>
      <c r="AT256" s="25"/>
      <c r="AU256" s="36"/>
      <c r="AV256" s="36"/>
      <c r="AW256" s="36"/>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39">
        <v>45152</v>
      </c>
      <c r="BV256" s="39" t="s">
        <v>1589</v>
      </c>
      <c r="BW256" s="39" t="s">
        <v>2871</v>
      </c>
      <c r="BX256" s="39" t="s">
        <v>304</v>
      </c>
      <c r="BY256" s="71">
        <v>990</v>
      </c>
      <c r="BZ256" s="71">
        <v>1090</v>
      </c>
      <c r="CA256" s="71">
        <v>1400</v>
      </c>
      <c r="CB256" s="71">
        <v>1850</v>
      </c>
      <c r="CC256" s="71">
        <v>2040</v>
      </c>
      <c r="CD256" s="25"/>
      <c r="CE256" s="200"/>
      <c r="CF256" s="200"/>
      <c r="CG256" s="200"/>
      <c r="CH256" s="200"/>
      <c r="CI256" s="200"/>
      <c r="CJ256" s="200"/>
      <c r="CK256" s="200"/>
      <c r="CL256" s="200"/>
      <c r="CM256" s="200"/>
      <c r="CN256" s="200"/>
      <c r="CO256" s="200"/>
      <c r="CP256" s="200"/>
      <c r="CQ256" s="200"/>
      <c r="CR256" s="200"/>
      <c r="CS256" s="200"/>
      <c r="CT256" s="200"/>
      <c r="CU256" s="200"/>
    </row>
    <row r="257" spans="1:99" s="17" customFormat="1" x14ac:dyDescent="0.2">
      <c r="A257" s="25"/>
      <c r="B257" s="20">
        <v>39017011128</v>
      </c>
      <c r="C257" s="20">
        <v>111.28</v>
      </c>
      <c r="D257" s="20" t="s">
        <v>15</v>
      </c>
      <c r="E257" s="20" t="s">
        <v>2828</v>
      </c>
      <c r="F257" s="20" t="s">
        <v>8</v>
      </c>
      <c r="G257" s="861">
        <v>71.188436443960001</v>
      </c>
      <c r="H257" s="861">
        <v>71.282227751800605</v>
      </c>
      <c r="I257" s="861">
        <v>15.200337731379699</v>
      </c>
      <c r="J257" s="861">
        <v>55.413511616207998</v>
      </c>
      <c r="K257" s="982">
        <v>0</v>
      </c>
      <c r="L257" s="735">
        <v>3275</v>
      </c>
      <c r="M257" s="735">
        <v>2958</v>
      </c>
      <c r="N257" s="845">
        <f t="shared" si="28"/>
        <v>-9.6793893129770991E-2</v>
      </c>
      <c r="O257" s="735">
        <v>1.5845864249932793</v>
      </c>
      <c r="P257" s="735">
        <f t="shared" si="29"/>
        <v>1866.7331445885293</v>
      </c>
      <c r="Q257" s="849">
        <v>39.799999999999997</v>
      </c>
      <c r="R257" s="71">
        <v>163137</v>
      </c>
      <c r="S257" s="845">
        <v>1.4198782961460446E-2</v>
      </c>
      <c r="T257" s="845">
        <v>0.01</v>
      </c>
      <c r="U257" s="845">
        <v>0</v>
      </c>
      <c r="V257" s="845">
        <v>0</v>
      </c>
      <c r="W257" s="845">
        <v>4.8692515779981967E-2</v>
      </c>
      <c r="X257" s="845">
        <v>0.16666666666666666</v>
      </c>
      <c r="Y257" s="845">
        <v>0.89756592292089254</v>
      </c>
      <c r="Z257" s="845">
        <v>2.6369168356997971E-2</v>
      </c>
      <c r="AA257" s="845">
        <v>0</v>
      </c>
      <c r="AB257" s="845">
        <v>1.5212981744421906E-2</v>
      </c>
      <c r="AC257" s="845">
        <v>0</v>
      </c>
      <c r="AD257" s="845">
        <v>8.1135902636916835E-3</v>
      </c>
      <c r="AE257" s="845">
        <v>5.2738336713995942E-2</v>
      </c>
      <c r="AF257" s="845">
        <v>9.2292089249492906E-2</v>
      </c>
      <c r="AG257" s="845">
        <v>0.841446923597025</v>
      </c>
      <c r="AH257" s="20" t="str">
        <f t="shared" si="30"/>
        <v>No</v>
      </c>
      <c r="AI257" s="25"/>
      <c r="AJ257" s="20">
        <v>45230</v>
      </c>
      <c r="AK257" s="20" t="s">
        <v>1633</v>
      </c>
      <c r="AL257" s="20">
        <v>39061</v>
      </c>
      <c r="AM257" s="20" t="s">
        <v>37</v>
      </c>
      <c r="AN257" s="37">
        <f t="shared" si="31"/>
        <v>17140</v>
      </c>
      <c r="AO257" s="37" t="str">
        <f t="shared" si="32"/>
        <v>Cincinnati, OH-KY-IN</v>
      </c>
      <c r="AP257" s="20" t="s">
        <v>8</v>
      </c>
      <c r="AQ257" s="25"/>
      <c r="AR257" s="25"/>
      <c r="AS257" s="25"/>
      <c r="AT257" s="25"/>
      <c r="AU257" s="36"/>
      <c r="AV257" s="36"/>
      <c r="AW257" s="36"/>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39">
        <v>45153</v>
      </c>
      <c r="BV257" s="39" t="s">
        <v>1590</v>
      </c>
      <c r="BW257" s="39" t="s">
        <v>2871</v>
      </c>
      <c r="BX257" s="39" t="s">
        <v>304</v>
      </c>
      <c r="BY257" s="71">
        <v>1190</v>
      </c>
      <c r="BZ257" s="71">
        <v>1310</v>
      </c>
      <c r="CA257" s="71">
        <v>1680</v>
      </c>
      <c r="CB257" s="71">
        <v>2220</v>
      </c>
      <c r="CC257" s="71">
        <v>2450</v>
      </c>
      <c r="CD257" s="25"/>
      <c r="CE257" s="200"/>
      <c r="CF257" s="200"/>
      <c r="CG257" s="200"/>
      <c r="CH257" s="200"/>
      <c r="CI257" s="200"/>
      <c r="CJ257" s="200"/>
      <c r="CK257" s="200"/>
      <c r="CL257" s="200"/>
      <c r="CM257" s="200"/>
      <c r="CN257" s="200"/>
      <c r="CO257" s="200"/>
      <c r="CP257" s="200"/>
      <c r="CQ257" s="200"/>
      <c r="CR257" s="200"/>
      <c r="CS257" s="200"/>
      <c r="CT257" s="200"/>
      <c r="CU257" s="200"/>
    </row>
    <row r="258" spans="1:99" s="17" customFormat="1" x14ac:dyDescent="0.2">
      <c r="A258" s="25"/>
      <c r="B258" s="20">
        <v>39061025800</v>
      </c>
      <c r="C258" s="20">
        <v>258</v>
      </c>
      <c r="D258" s="20" t="s">
        <v>37</v>
      </c>
      <c r="E258" s="20" t="s">
        <v>2828</v>
      </c>
      <c r="F258" s="20" t="s">
        <v>8</v>
      </c>
      <c r="G258" s="861">
        <v>71.118261451351202</v>
      </c>
      <c r="H258" s="861">
        <v>79.469564350569101</v>
      </c>
      <c r="I258" s="861">
        <v>30.185529967221498</v>
      </c>
      <c r="J258" s="861">
        <v>40.226673194755897</v>
      </c>
      <c r="K258" s="982">
        <v>0</v>
      </c>
      <c r="L258" s="735">
        <v>4358</v>
      </c>
      <c r="M258" s="735">
        <v>3998</v>
      </c>
      <c r="N258" s="845">
        <f t="shared" si="28"/>
        <v>-8.2606700321248283E-2</v>
      </c>
      <c r="O258" s="735">
        <v>1.5346564660484099</v>
      </c>
      <c r="P258" s="735">
        <f t="shared" si="29"/>
        <v>2605.1432932703556</v>
      </c>
      <c r="Q258" s="849">
        <v>45.2</v>
      </c>
      <c r="R258" s="71">
        <v>74911</v>
      </c>
      <c r="S258" s="845">
        <v>6.5782891445722858E-2</v>
      </c>
      <c r="T258" s="845">
        <v>2.5000000000000001E-2</v>
      </c>
      <c r="U258" s="845">
        <v>0</v>
      </c>
      <c r="V258" s="845">
        <v>7.8E-2</v>
      </c>
      <c r="W258" s="845">
        <v>0.3463497453310696</v>
      </c>
      <c r="X258" s="845">
        <v>0.35457516339869283</v>
      </c>
      <c r="Y258" s="845">
        <v>0.85392696348174091</v>
      </c>
      <c r="Z258" s="845">
        <v>0.10055027513756878</v>
      </c>
      <c r="AA258" s="845">
        <v>0</v>
      </c>
      <c r="AB258" s="845">
        <v>0</v>
      </c>
      <c r="AC258" s="845">
        <v>0</v>
      </c>
      <c r="AD258" s="845">
        <v>1.6508254127063533E-2</v>
      </c>
      <c r="AE258" s="845">
        <v>2.9014507253626812E-2</v>
      </c>
      <c r="AF258" s="845">
        <v>4.7023511755877941E-2</v>
      </c>
      <c r="AG258" s="845">
        <v>0.83716858429214602</v>
      </c>
      <c r="AH258" s="20" t="str">
        <f t="shared" si="30"/>
        <v>No</v>
      </c>
      <c r="AI258" s="25"/>
      <c r="AJ258" s="37">
        <v>45231</v>
      </c>
      <c r="AK258" s="37" t="s">
        <v>1634</v>
      </c>
      <c r="AL258" s="37">
        <v>39061</v>
      </c>
      <c r="AM258" s="37" t="s">
        <v>37</v>
      </c>
      <c r="AN258" s="37">
        <f t="shared" si="31"/>
        <v>17140</v>
      </c>
      <c r="AO258" s="37" t="str">
        <f t="shared" si="32"/>
        <v>Cincinnati, OH-KY-IN</v>
      </c>
      <c r="AP258" s="20" t="s">
        <v>8</v>
      </c>
      <c r="AQ258" s="25"/>
      <c r="AR258" s="25"/>
      <c r="AS258" s="25"/>
      <c r="AT258" s="25"/>
      <c r="AU258" s="36"/>
      <c r="AV258" s="36"/>
      <c r="AW258" s="36"/>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39">
        <v>45156</v>
      </c>
      <c r="BV258" s="39" t="s">
        <v>1593</v>
      </c>
      <c r="BW258" s="39" t="s">
        <v>2871</v>
      </c>
      <c r="BX258" s="39" t="s">
        <v>304</v>
      </c>
      <c r="BY258" s="71">
        <v>1030</v>
      </c>
      <c r="BZ258" s="71">
        <v>1130</v>
      </c>
      <c r="CA258" s="71">
        <v>1450</v>
      </c>
      <c r="CB258" s="71">
        <v>1920</v>
      </c>
      <c r="CC258" s="71">
        <v>2130</v>
      </c>
      <c r="CD258" s="25"/>
      <c r="CE258" s="200"/>
      <c r="CF258" s="200"/>
      <c r="CG258" s="200"/>
      <c r="CH258" s="200"/>
      <c r="CI258" s="200"/>
      <c r="CJ258" s="200"/>
      <c r="CK258" s="200"/>
      <c r="CL258" s="200"/>
      <c r="CM258" s="200"/>
      <c r="CN258" s="200"/>
      <c r="CO258" s="200"/>
      <c r="CP258" s="200"/>
      <c r="CQ258" s="200"/>
      <c r="CR258" s="200"/>
      <c r="CS258" s="200"/>
      <c r="CT258" s="200"/>
      <c r="CU258" s="200"/>
    </row>
    <row r="259" spans="1:99" s="17" customFormat="1" x14ac:dyDescent="0.2">
      <c r="A259" s="25"/>
      <c r="B259" s="20">
        <v>39035170102</v>
      </c>
      <c r="C259" s="20">
        <v>1701.02</v>
      </c>
      <c r="D259" s="20" t="s">
        <v>24</v>
      </c>
      <c r="E259" s="20" t="s">
        <v>2829</v>
      </c>
      <c r="F259" s="20" t="s">
        <v>8</v>
      </c>
      <c r="G259" s="861">
        <v>71.114804164164397</v>
      </c>
      <c r="H259" s="861">
        <v>79.619690381273799</v>
      </c>
      <c r="I259" s="861">
        <v>19.786564881189701</v>
      </c>
      <c r="J259" s="861">
        <v>48.877758060335097</v>
      </c>
      <c r="K259" s="982">
        <v>0</v>
      </c>
      <c r="L259" s="735">
        <v>5284</v>
      </c>
      <c r="M259" s="735">
        <v>4581</v>
      </c>
      <c r="N259" s="845">
        <f t="shared" si="28"/>
        <v>-0.1330431491294474</v>
      </c>
      <c r="O259" s="735">
        <v>1.0981583232055843</v>
      </c>
      <c r="P259" s="735">
        <f t="shared" si="29"/>
        <v>4171.5296448583204</v>
      </c>
      <c r="Q259" s="849">
        <v>40.299999999999997</v>
      </c>
      <c r="R259" s="71">
        <v>98889</v>
      </c>
      <c r="S259" s="845">
        <v>2.1038790269559501E-2</v>
      </c>
      <c r="T259" s="845">
        <v>3.3000000000000002E-2</v>
      </c>
      <c r="U259" s="845">
        <v>0</v>
      </c>
      <c r="V259" s="845">
        <v>0</v>
      </c>
      <c r="W259" s="845">
        <v>0.15059642147117297</v>
      </c>
      <c r="X259" s="845">
        <v>0.17161716171617161</v>
      </c>
      <c r="Y259" s="845">
        <v>0.77428509059157391</v>
      </c>
      <c r="Z259" s="845">
        <v>0.11896965728006985</v>
      </c>
      <c r="AA259" s="845">
        <v>1.7463435931019428E-3</v>
      </c>
      <c r="AB259" s="845">
        <v>2.9687841082733028E-2</v>
      </c>
      <c r="AC259" s="845">
        <v>0</v>
      </c>
      <c r="AD259" s="845">
        <v>3.2743942370661427E-3</v>
      </c>
      <c r="AE259" s="845">
        <v>7.2036673215455135E-2</v>
      </c>
      <c r="AF259" s="845">
        <v>2.6413446845666884E-2</v>
      </c>
      <c r="AG259" s="845">
        <v>0.77428509059157391</v>
      </c>
      <c r="AH259" s="20" t="str">
        <f t="shared" si="30"/>
        <v>No</v>
      </c>
      <c r="AI259" s="25"/>
      <c r="AJ259" s="20">
        <v>45232</v>
      </c>
      <c r="AK259" s="20" t="s">
        <v>1635</v>
      </c>
      <c r="AL259" s="20">
        <v>39061</v>
      </c>
      <c r="AM259" s="20" t="s">
        <v>37</v>
      </c>
      <c r="AN259" s="37">
        <f t="shared" si="31"/>
        <v>17140</v>
      </c>
      <c r="AO259" s="37" t="str">
        <f t="shared" si="32"/>
        <v>Cincinnati, OH-KY-IN</v>
      </c>
      <c r="AP259" s="20" t="s">
        <v>8</v>
      </c>
      <c r="AQ259" s="25"/>
      <c r="AR259" s="25"/>
      <c r="AS259" s="25"/>
      <c r="AT259" s="25"/>
      <c r="AU259" s="36"/>
      <c r="AV259" s="36"/>
      <c r="AW259" s="36"/>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39">
        <v>45157</v>
      </c>
      <c r="BV259" s="39" t="s">
        <v>1594</v>
      </c>
      <c r="BW259" s="39" t="s">
        <v>2871</v>
      </c>
      <c r="BX259" s="39" t="s">
        <v>304</v>
      </c>
      <c r="BY259" s="71">
        <v>760</v>
      </c>
      <c r="BZ259" s="71">
        <v>840</v>
      </c>
      <c r="CA259" s="71">
        <v>1080</v>
      </c>
      <c r="CB259" s="71">
        <v>1420</v>
      </c>
      <c r="CC259" s="71">
        <v>1580</v>
      </c>
      <c r="CD259" s="25"/>
      <c r="CE259" s="200"/>
      <c r="CF259" s="200"/>
      <c r="CG259" s="200"/>
      <c r="CH259" s="200"/>
      <c r="CI259" s="200"/>
      <c r="CJ259" s="200"/>
      <c r="CK259" s="200"/>
      <c r="CL259" s="200"/>
      <c r="CM259" s="200"/>
      <c r="CN259" s="200"/>
      <c r="CO259" s="200"/>
      <c r="CP259" s="200"/>
      <c r="CQ259" s="200"/>
      <c r="CR259" s="200"/>
      <c r="CS259" s="200"/>
      <c r="CT259" s="200"/>
      <c r="CU259" s="200"/>
    </row>
    <row r="260" spans="1:99" s="17" customFormat="1" x14ac:dyDescent="0.2">
      <c r="A260" s="25"/>
      <c r="B260" s="20">
        <v>39153534000</v>
      </c>
      <c r="C260" s="20">
        <v>5340</v>
      </c>
      <c r="D260" s="20" t="s">
        <v>82</v>
      </c>
      <c r="E260" s="20" t="s">
        <v>2843</v>
      </c>
      <c r="F260" s="20" t="s">
        <v>8</v>
      </c>
      <c r="G260" s="861">
        <v>71.086029454108797</v>
      </c>
      <c r="H260" s="861">
        <v>70.934101905734494</v>
      </c>
      <c r="I260" s="861">
        <v>30.5701248274116</v>
      </c>
      <c r="J260" s="861">
        <v>44.122193211022299</v>
      </c>
      <c r="K260" s="982">
        <v>0</v>
      </c>
      <c r="L260" s="735">
        <v>6596</v>
      </c>
      <c r="M260" s="735">
        <v>7242</v>
      </c>
      <c r="N260" s="845">
        <f t="shared" si="28"/>
        <v>9.7938144329896906E-2</v>
      </c>
      <c r="O260" s="735">
        <v>9.1182325929673862</v>
      </c>
      <c r="P260" s="735">
        <f t="shared" si="29"/>
        <v>794.23286543332233</v>
      </c>
      <c r="Q260" s="849">
        <v>46.4</v>
      </c>
      <c r="R260" s="71">
        <v>162976</v>
      </c>
      <c r="S260" s="845">
        <v>4.4554455445544552E-2</v>
      </c>
      <c r="T260" s="845">
        <v>1.2E-2</v>
      </c>
      <c r="U260" s="845">
        <v>0</v>
      </c>
      <c r="V260" s="845">
        <v>6.5000000000000002E-2</v>
      </c>
      <c r="W260" s="845">
        <v>0.25541448842419717</v>
      </c>
      <c r="X260" s="845">
        <v>0.43128654970760233</v>
      </c>
      <c r="Y260" s="845">
        <v>0.85901684617508978</v>
      </c>
      <c r="Z260" s="845">
        <v>5.7166528583264292E-2</v>
      </c>
      <c r="AA260" s="845">
        <v>0</v>
      </c>
      <c r="AB260" s="845">
        <v>6.1861364264015464E-2</v>
      </c>
      <c r="AC260" s="845">
        <v>0</v>
      </c>
      <c r="AD260" s="845">
        <v>1.5189174261253798E-3</v>
      </c>
      <c r="AE260" s="845">
        <v>2.0436343551505108E-2</v>
      </c>
      <c r="AF260" s="845">
        <v>1.311792322562828E-2</v>
      </c>
      <c r="AG260" s="845">
        <v>0.85432201049433854</v>
      </c>
      <c r="AH260" s="20" t="str">
        <f t="shared" si="30"/>
        <v>No</v>
      </c>
      <c r="AI260" s="25"/>
      <c r="AJ260" s="37">
        <v>45233</v>
      </c>
      <c r="AK260" s="37" t="s">
        <v>1636</v>
      </c>
      <c r="AL260" s="37">
        <v>39061</v>
      </c>
      <c r="AM260" s="37" t="s">
        <v>37</v>
      </c>
      <c r="AN260" s="37">
        <f t="shared" si="31"/>
        <v>17140</v>
      </c>
      <c r="AO260" s="37" t="str">
        <f t="shared" si="32"/>
        <v>Cincinnati, OH-KY-IN</v>
      </c>
      <c r="AP260" s="20" t="s">
        <v>8</v>
      </c>
      <c r="AQ260" s="25"/>
      <c r="AR260" s="25"/>
      <c r="AS260" s="25"/>
      <c r="AT260" s="25"/>
      <c r="AU260" s="36"/>
      <c r="AV260" s="36"/>
      <c r="AW260" s="36"/>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39">
        <v>45158</v>
      </c>
      <c r="BV260" s="39" t="s">
        <v>1595</v>
      </c>
      <c r="BW260" s="39" t="s">
        <v>2871</v>
      </c>
      <c r="BX260" s="39" t="s">
        <v>304</v>
      </c>
      <c r="BY260" s="71">
        <v>840</v>
      </c>
      <c r="BZ260" s="71">
        <v>920</v>
      </c>
      <c r="CA260" s="71">
        <v>1190</v>
      </c>
      <c r="CB260" s="71">
        <v>1570</v>
      </c>
      <c r="CC260" s="71">
        <v>1740</v>
      </c>
      <c r="CD260" s="25"/>
      <c r="CE260" s="200"/>
      <c r="CF260" s="200"/>
      <c r="CG260" s="200"/>
      <c r="CH260" s="200"/>
      <c r="CI260" s="200"/>
      <c r="CJ260" s="200"/>
      <c r="CK260" s="200"/>
      <c r="CL260" s="200"/>
      <c r="CM260" s="200"/>
      <c r="CN260" s="200"/>
      <c r="CO260" s="200"/>
      <c r="CP260" s="200"/>
      <c r="CQ260" s="200"/>
      <c r="CR260" s="200"/>
      <c r="CS260" s="200"/>
      <c r="CT260" s="200"/>
      <c r="CU260" s="200"/>
    </row>
    <row r="261" spans="1:99" s="17" customFormat="1" x14ac:dyDescent="0.2">
      <c r="A261" s="25"/>
      <c r="B261" s="20">
        <v>39049009251</v>
      </c>
      <c r="C261" s="20">
        <v>92.51</v>
      </c>
      <c r="D261" s="20" t="s">
        <v>31</v>
      </c>
      <c r="E261" s="20" t="s">
        <v>2830</v>
      </c>
      <c r="F261" s="20" t="s">
        <v>8</v>
      </c>
      <c r="G261" s="861">
        <v>71.070671129912</v>
      </c>
      <c r="H261" s="861">
        <v>84.404214084200404</v>
      </c>
      <c r="I261" s="861">
        <v>62.9797433627323</v>
      </c>
      <c r="J261" s="861">
        <v>15.025293024899799</v>
      </c>
      <c r="K261" s="982">
        <v>0</v>
      </c>
      <c r="L261" s="735" t="s">
        <v>2466</v>
      </c>
      <c r="M261" s="735">
        <v>1119</v>
      </c>
      <c r="N261" s="845" t="str">
        <f t="shared" si="28"/>
        <v/>
      </c>
      <c r="O261" s="735">
        <v>1.7247337865191976</v>
      </c>
      <c r="P261" s="735">
        <f t="shared" si="29"/>
        <v>648.79577865656006</v>
      </c>
      <c r="Q261" s="849">
        <v>29.6</v>
      </c>
      <c r="R261" s="71">
        <v>52962</v>
      </c>
      <c r="S261" s="845">
        <v>1.7873100983020553E-2</v>
      </c>
      <c r="T261" s="845">
        <v>5.2000000000000005E-2</v>
      </c>
      <c r="U261" s="845">
        <v>0</v>
      </c>
      <c r="V261" s="845">
        <v>0</v>
      </c>
      <c r="W261" s="845">
        <v>0.92842535787321068</v>
      </c>
      <c r="X261" s="845">
        <v>0.4933920704845815</v>
      </c>
      <c r="Y261" s="845">
        <v>0.14655942806076855</v>
      </c>
      <c r="Z261" s="845">
        <v>0.72296693476318141</v>
      </c>
      <c r="AA261" s="845">
        <v>6.1662198391420911E-2</v>
      </c>
      <c r="AB261" s="845">
        <v>0</v>
      </c>
      <c r="AC261" s="845">
        <v>0</v>
      </c>
      <c r="AD261" s="845">
        <v>6.8811438784629128E-2</v>
      </c>
      <c r="AE261" s="845">
        <v>0</v>
      </c>
      <c r="AF261" s="845">
        <v>0.13047363717605004</v>
      </c>
      <c r="AG261" s="845">
        <v>0.14655942806076855</v>
      </c>
      <c r="AH261" s="20" t="str">
        <f t="shared" si="30"/>
        <v>No</v>
      </c>
      <c r="AI261" s="25"/>
      <c r="AJ261" s="37">
        <v>45236</v>
      </c>
      <c r="AK261" s="37" t="s">
        <v>1637</v>
      </c>
      <c r="AL261" s="37">
        <v>39061</v>
      </c>
      <c r="AM261" s="37" t="s">
        <v>37</v>
      </c>
      <c r="AN261" s="37">
        <f t="shared" si="31"/>
        <v>17140</v>
      </c>
      <c r="AO261" s="37" t="str">
        <f t="shared" si="32"/>
        <v>Cincinnati, OH-KY-IN</v>
      </c>
      <c r="AP261" s="20" t="s">
        <v>8</v>
      </c>
      <c r="AQ261" s="25"/>
      <c r="AR261" s="25"/>
      <c r="AS261" s="25"/>
      <c r="AT261" s="25"/>
      <c r="AU261" s="36"/>
      <c r="AV261" s="36"/>
      <c r="AW261" s="36"/>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39">
        <v>45160</v>
      </c>
      <c r="BV261" s="39" t="s">
        <v>1597</v>
      </c>
      <c r="BW261" s="39" t="s">
        <v>2871</v>
      </c>
      <c r="BX261" s="39" t="s">
        <v>304</v>
      </c>
      <c r="BY261" s="71">
        <v>690</v>
      </c>
      <c r="BZ261" s="71">
        <v>760</v>
      </c>
      <c r="CA261" s="71">
        <v>980</v>
      </c>
      <c r="CB261" s="71">
        <v>1290</v>
      </c>
      <c r="CC261" s="71">
        <v>1440</v>
      </c>
      <c r="CD261" s="25"/>
      <c r="CE261" s="200"/>
      <c r="CF261" s="200"/>
      <c r="CG261" s="200"/>
      <c r="CH261" s="200"/>
      <c r="CI261" s="200"/>
      <c r="CJ261" s="200"/>
      <c r="CK261" s="200"/>
      <c r="CL261" s="200"/>
      <c r="CM261" s="200"/>
      <c r="CN261" s="200"/>
      <c r="CO261" s="200"/>
      <c r="CP261" s="200"/>
      <c r="CQ261" s="200"/>
      <c r="CR261" s="200"/>
      <c r="CS261" s="200"/>
      <c r="CT261" s="200"/>
      <c r="CU261" s="200"/>
    </row>
    <row r="262" spans="1:99" s="17" customFormat="1" x14ac:dyDescent="0.2">
      <c r="A262" s="25"/>
      <c r="B262" s="20">
        <v>39035182103</v>
      </c>
      <c r="C262" s="20">
        <v>1821.03</v>
      </c>
      <c r="D262" s="20" t="s">
        <v>24</v>
      </c>
      <c r="E262" s="20" t="s">
        <v>2829</v>
      </c>
      <c r="F262" s="20" t="s">
        <v>8</v>
      </c>
      <c r="G262" s="861">
        <v>71.0506651257231</v>
      </c>
      <c r="H262" s="861">
        <v>65.693492918313495</v>
      </c>
      <c r="I262" s="861">
        <v>24.771099526382802</v>
      </c>
      <c r="J262" s="861">
        <v>46.319673353367797</v>
      </c>
      <c r="K262" s="982">
        <v>0</v>
      </c>
      <c r="L262" s="735">
        <v>2613</v>
      </c>
      <c r="M262" s="735">
        <v>2783</v>
      </c>
      <c r="N262" s="845">
        <f t="shared" si="28"/>
        <v>6.5059318790662068E-2</v>
      </c>
      <c r="O262" s="735">
        <v>0.9187455304572808</v>
      </c>
      <c r="P262" s="735">
        <f t="shared" si="29"/>
        <v>3029.1303823974381</v>
      </c>
      <c r="Q262" s="849">
        <v>47.4</v>
      </c>
      <c r="R262" s="71">
        <v>102888</v>
      </c>
      <c r="S262" s="845">
        <v>6.3590116279069769E-2</v>
      </c>
      <c r="T262" s="845">
        <v>3.9E-2</v>
      </c>
      <c r="U262" s="845">
        <v>8.0000000000000002E-3</v>
      </c>
      <c r="V262" s="845">
        <v>0</v>
      </c>
      <c r="W262" s="845">
        <v>6.9116360454943127E-2</v>
      </c>
      <c r="X262" s="845">
        <v>0.54430379746835444</v>
      </c>
      <c r="Y262" s="845">
        <v>0.92274523895077254</v>
      </c>
      <c r="Z262" s="845">
        <v>3.4854473589651457E-2</v>
      </c>
      <c r="AA262" s="845">
        <v>0</v>
      </c>
      <c r="AB262" s="845">
        <v>3.5573122529644272E-2</v>
      </c>
      <c r="AC262" s="845">
        <v>0</v>
      </c>
      <c r="AD262" s="845">
        <v>2.1559468199784403E-3</v>
      </c>
      <c r="AE262" s="845">
        <v>4.6712181099532882E-3</v>
      </c>
      <c r="AF262" s="845">
        <v>2.2637441609773625E-2</v>
      </c>
      <c r="AG262" s="845">
        <v>0.90262306863097375</v>
      </c>
      <c r="AH262" s="20" t="str">
        <f t="shared" si="30"/>
        <v>Yes</v>
      </c>
      <c r="AI262" s="25"/>
      <c r="AJ262" s="20">
        <v>45237</v>
      </c>
      <c r="AK262" s="20" t="s">
        <v>1638</v>
      </c>
      <c r="AL262" s="20">
        <v>39061</v>
      </c>
      <c r="AM262" s="20" t="s">
        <v>37</v>
      </c>
      <c r="AN262" s="37">
        <f t="shared" si="31"/>
        <v>17140</v>
      </c>
      <c r="AO262" s="37" t="str">
        <f t="shared" si="32"/>
        <v>Cincinnati, OH-KY-IN</v>
      </c>
      <c r="AP262" s="20" t="s">
        <v>8</v>
      </c>
      <c r="AQ262" s="25"/>
      <c r="AR262" s="25"/>
      <c r="AS262" s="25"/>
      <c r="AT262" s="25"/>
      <c r="AU262" s="36"/>
      <c r="AV262" s="36"/>
      <c r="AW262" s="36"/>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39">
        <v>45162</v>
      </c>
      <c r="BV262" s="39" t="s">
        <v>1598</v>
      </c>
      <c r="BW262" s="39" t="s">
        <v>2871</v>
      </c>
      <c r="BX262" s="39" t="s">
        <v>304</v>
      </c>
      <c r="BY262" s="71">
        <v>1090</v>
      </c>
      <c r="BZ262" s="71">
        <v>1200</v>
      </c>
      <c r="CA262" s="71">
        <v>1540</v>
      </c>
      <c r="CB262" s="71">
        <v>2030</v>
      </c>
      <c r="CC262" s="71">
        <v>2250</v>
      </c>
      <c r="CD262" s="25"/>
      <c r="CE262" s="200"/>
      <c r="CF262" s="200"/>
      <c r="CG262" s="200"/>
      <c r="CH262" s="200"/>
      <c r="CI262" s="200"/>
      <c r="CJ262" s="200"/>
      <c r="CK262" s="200"/>
      <c r="CL262" s="200"/>
      <c r="CM262" s="200"/>
      <c r="CN262" s="200"/>
      <c r="CO262" s="200"/>
      <c r="CP262" s="200"/>
      <c r="CQ262" s="200"/>
      <c r="CR262" s="200"/>
      <c r="CS262" s="200"/>
      <c r="CT262" s="200"/>
      <c r="CU262" s="200"/>
    </row>
    <row r="263" spans="1:99" s="17" customFormat="1" x14ac:dyDescent="0.2">
      <c r="A263" s="25"/>
      <c r="B263" s="20">
        <v>39049007211</v>
      </c>
      <c r="C263" s="20">
        <v>72.11</v>
      </c>
      <c r="D263" s="20" t="s">
        <v>31</v>
      </c>
      <c r="E263" s="20" t="s">
        <v>2830</v>
      </c>
      <c r="F263" s="20" t="s">
        <v>8</v>
      </c>
      <c r="G263" s="861">
        <v>71.041249247397303</v>
      </c>
      <c r="H263" s="861">
        <v>69.695128386679002</v>
      </c>
      <c r="I263" s="861">
        <v>28.950483560931701</v>
      </c>
      <c r="J263" s="861">
        <v>61.477288667911097</v>
      </c>
      <c r="K263" s="982">
        <v>0</v>
      </c>
      <c r="L263" s="735" t="s">
        <v>2466</v>
      </c>
      <c r="M263" s="735">
        <v>4338</v>
      </c>
      <c r="N263" s="845" t="str">
        <f t="shared" si="28"/>
        <v/>
      </c>
      <c r="O263" s="735">
        <v>6.5850143999309712</v>
      </c>
      <c r="P263" s="735">
        <f t="shared" si="29"/>
        <v>658.76849108264275</v>
      </c>
      <c r="Q263" s="849">
        <v>40.200000000000003</v>
      </c>
      <c r="R263" s="71">
        <v>234943</v>
      </c>
      <c r="S263" s="845">
        <v>4.1128646580583454E-2</v>
      </c>
      <c r="T263" s="845">
        <v>3.9E-2</v>
      </c>
      <c r="U263" s="845">
        <v>3.1E-2</v>
      </c>
      <c r="V263" s="845">
        <v>7.0999999999999994E-2</v>
      </c>
      <c r="W263" s="845">
        <v>0.10192444761225944</v>
      </c>
      <c r="X263" s="845">
        <v>0.44755244755244755</v>
      </c>
      <c r="Y263" s="845">
        <v>0.793222683264177</v>
      </c>
      <c r="Z263" s="845">
        <v>2.9737206085753802E-2</v>
      </c>
      <c r="AA263" s="845">
        <v>0</v>
      </c>
      <c r="AB263" s="845">
        <v>8.0451821115721536E-2</v>
      </c>
      <c r="AC263" s="845">
        <v>0</v>
      </c>
      <c r="AD263" s="845">
        <v>5.5325034578146614E-3</v>
      </c>
      <c r="AE263" s="845">
        <v>9.105578607653296E-2</v>
      </c>
      <c r="AF263" s="845">
        <v>5.8091286307053944E-2</v>
      </c>
      <c r="AG263" s="845">
        <v>0.77201475334255421</v>
      </c>
      <c r="AH263" s="20" t="str">
        <f t="shared" si="30"/>
        <v>No</v>
      </c>
      <c r="AI263" s="25"/>
      <c r="AJ263" s="20">
        <v>45238</v>
      </c>
      <c r="AK263" s="20" t="s">
        <v>1639</v>
      </c>
      <c r="AL263" s="20">
        <v>39061</v>
      </c>
      <c r="AM263" s="20" t="s">
        <v>37</v>
      </c>
      <c r="AN263" s="37">
        <f t="shared" si="31"/>
        <v>17140</v>
      </c>
      <c r="AO263" s="37" t="str">
        <f t="shared" si="32"/>
        <v>Cincinnati, OH-KY-IN</v>
      </c>
      <c r="AP263" s="20" t="s">
        <v>8</v>
      </c>
      <c r="AQ263" s="25"/>
      <c r="AR263" s="25"/>
      <c r="AS263" s="25"/>
      <c r="AT263" s="25"/>
      <c r="AU263" s="36"/>
      <c r="AV263" s="36"/>
      <c r="AW263" s="36"/>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39">
        <v>45174</v>
      </c>
      <c r="BV263" s="39" t="s">
        <v>1606</v>
      </c>
      <c r="BW263" s="39" t="s">
        <v>2871</v>
      </c>
      <c r="BX263" s="39" t="s">
        <v>304</v>
      </c>
      <c r="BY263" s="71">
        <v>1440</v>
      </c>
      <c r="BZ263" s="71">
        <v>1580</v>
      </c>
      <c r="CA263" s="71">
        <v>2030</v>
      </c>
      <c r="CB263" s="71">
        <v>2680</v>
      </c>
      <c r="CC263" s="71">
        <v>2960</v>
      </c>
      <c r="CD263" s="25"/>
      <c r="CE263" s="200"/>
      <c r="CF263" s="200"/>
      <c r="CG263" s="200"/>
      <c r="CH263" s="200"/>
      <c r="CI263" s="200"/>
      <c r="CJ263" s="200"/>
      <c r="CK263" s="200"/>
      <c r="CL263" s="200"/>
      <c r="CM263" s="200"/>
      <c r="CN263" s="200"/>
      <c r="CO263" s="200"/>
      <c r="CP263" s="200"/>
      <c r="CQ263" s="200"/>
      <c r="CR263" s="200"/>
      <c r="CS263" s="200"/>
      <c r="CT263" s="200"/>
      <c r="CU263" s="200"/>
    </row>
    <row r="264" spans="1:99" s="17" customFormat="1" x14ac:dyDescent="0.2">
      <c r="A264" s="25"/>
      <c r="B264" s="20">
        <v>39061027300</v>
      </c>
      <c r="C264" s="20">
        <v>273</v>
      </c>
      <c r="D264" s="20" t="s">
        <v>37</v>
      </c>
      <c r="E264" s="20" t="s">
        <v>2828</v>
      </c>
      <c r="F264" s="20" t="s">
        <v>8</v>
      </c>
      <c r="G264" s="861">
        <v>71.029737322382005</v>
      </c>
      <c r="H264" s="861">
        <v>73.094773297298602</v>
      </c>
      <c r="I264" s="861">
        <v>24.5141243495205</v>
      </c>
      <c r="J264" s="861">
        <v>57.125841623951104</v>
      </c>
      <c r="K264" s="982">
        <v>0</v>
      </c>
      <c r="L264" s="735">
        <v>2608</v>
      </c>
      <c r="M264" s="735">
        <v>2544</v>
      </c>
      <c r="N264" s="845">
        <f t="shared" si="28"/>
        <v>-2.4539877300613498E-2</v>
      </c>
      <c r="O264" s="735">
        <v>2.6838408922271078</v>
      </c>
      <c r="P264" s="735">
        <f t="shared" si="29"/>
        <v>947.89523751869478</v>
      </c>
      <c r="Q264" s="849">
        <v>40.4</v>
      </c>
      <c r="R264" s="71">
        <v>176250</v>
      </c>
      <c r="S264" s="845">
        <v>2.358490566037736E-2</v>
      </c>
      <c r="T264" s="845">
        <v>3.1E-2</v>
      </c>
      <c r="U264" s="845">
        <v>1.8000000000000002E-2</v>
      </c>
      <c r="V264" s="845">
        <v>0.35</v>
      </c>
      <c r="W264" s="845">
        <v>5.9976931949250287E-2</v>
      </c>
      <c r="X264" s="845">
        <v>0.13461538461538461</v>
      </c>
      <c r="Y264" s="845">
        <v>0.8867924528301887</v>
      </c>
      <c r="Z264" s="845">
        <v>1.7688679245283018E-2</v>
      </c>
      <c r="AA264" s="845">
        <v>7.8616352201257866E-4</v>
      </c>
      <c r="AB264" s="845">
        <v>3.5377358490566039E-3</v>
      </c>
      <c r="AC264" s="845">
        <v>0</v>
      </c>
      <c r="AD264" s="845">
        <v>1.0220125786163521E-2</v>
      </c>
      <c r="AE264" s="845">
        <v>8.0974842767295593E-2</v>
      </c>
      <c r="AF264" s="845">
        <v>5.5817610062893083E-2</v>
      </c>
      <c r="AG264" s="845">
        <v>0.87657232704402521</v>
      </c>
      <c r="AH264" s="20" t="str">
        <f t="shared" si="30"/>
        <v>No</v>
      </c>
      <c r="AI264" s="25"/>
      <c r="AJ264" s="20">
        <v>45239</v>
      </c>
      <c r="AK264" s="20" t="s">
        <v>1640</v>
      </c>
      <c r="AL264" s="20">
        <v>39061</v>
      </c>
      <c r="AM264" s="20" t="s">
        <v>37</v>
      </c>
      <c r="AN264" s="37">
        <f t="shared" si="31"/>
        <v>17140</v>
      </c>
      <c r="AO264" s="37" t="str">
        <f t="shared" si="32"/>
        <v>Cincinnati, OH-KY-IN</v>
      </c>
      <c r="AP264" s="20" t="s">
        <v>8</v>
      </c>
      <c r="AQ264" s="25"/>
      <c r="AR264" s="25"/>
      <c r="AS264" s="25"/>
      <c r="AT264" s="25"/>
      <c r="AU264" s="36"/>
      <c r="AV264" s="36"/>
      <c r="AW264" s="36"/>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39">
        <v>45176</v>
      </c>
      <c r="BV264" s="39" t="s">
        <v>1607</v>
      </c>
      <c r="BW264" s="39" t="s">
        <v>2871</v>
      </c>
      <c r="BX264" s="39" t="s">
        <v>304</v>
      </c>
      <c r="BY264" s="71">
        <v>840</v>
      </c>
      <c r="BZ264" s="71">
        <v>890</v>
      </c>
      <c r="CA264" s="71">
        <v>1130</v>
      </c>
      <c r="CB264" s="71">
        <v>1510</v>
      </c>
      <c r="CC264" s="71">
        <v>1750</v>
      </c>
      <c r="CD264" s="25"/>
      <c r="CE264" s="200"/>
      <c r="CF264" s="200"/>
      <c r="CG264" s="200"/>
      <c r="CH264" s="200"/>
      <c r="CI264" s="200"/>
      <c r="CJ264" s="200"/>
      <c r="CK264" s="200"/>
      <c r="CL264" s="200"/>
      <c r="CM264" s="200"/>
      <c r="CN264" s="200"/>
      <c r="CO264" s="200"/>
      <c r="CP264" s="200"/>
      <c r="CQ264" s="200"/>
      <c r="CR264" s="200"/>
      <c r="CS264" s="200"/>
      <c r="CT264" s="200"/>
      <c r="CU264" s="200"/>
    </row>
    <row r="265" spans="1:99" s="17" customFormat="1" x14ac:dyDescent="0.2">
      <c r="A265" s="25"/>
      <c r="B265" s="20">
        <v>39095007103</v>
      </c>
      <c r="C265" s="20">
        <v>71.03</v>
      </c>
      <c r="D265" s="20" t="s">
        <v>53</v>
      </c>
      <c r="E265" s="20" t="s">
        <v>2839</v>
      </c>
      <c r="F265" s="20" t="s">
        <v>8</v>
      </c>
      <c r="G265" s="861">
        <v>71.028964387413296</v>
      </c>
      <c r="H265" s="861">
        <v>58.4115786021761</v>
      </c>
      <c r="I265" s="861">
        <v>22.900727397942699</v>
      </c>
      <c r="J265" s="861">
        <v>45.047984471386798</v>
      </c>
      <c r="K265" s="982">
        <v>0</v>
      </c>
      <c r="L265" s="735" t="s">
        <v>2466</v>
      </c>
      <c r="M265" s="735">
        <v>2825</v>
      </c>
      <c r="N265" s="845" t="str">
        <f t="shared" si="28"/>
        <v/>
      </c>
      <c r="O265" s="735">
        <v>0.55185427086767591</v>
      </c>
      <c r="P265" s="735">
        <f t="shared" si="29"/>
        <v>5119.1050774297273</v>
      </c>
      <c r="Q265" s="849">
        <v>37.1</v>
      </c>
      <c r="R265" s="71">
        <v>85139</v>
      </c>
      <c r="S265" s="845">
        <v>7.5681492109038739E-2</v>
      </c>
      <c r="T265" s="845">
        <v>2.3E-2</v>
      </c>
      <c r="U265" s="845">
        <v>0</v>
      </c>
      <c r="V265" s="845">
        <v>0</v>
      </c>
      <c r="W265" s="845">
        <v>0.23445378151260504</v>
      </c>
      <c r="X265" s="845">
        <v>0.28315412186379929</v>
      </c>
      <c r="Y265" s="845">
        <v>0.90123893805309729</v>
      </c>
      <c r="Z265" s="845">
        <v>3.8584070796460174E-2</v>
      </c>
      <c r="AA265" s="845">
        <v>0</v>
      </c>
      <c r="AB265" s="845">
        <v>7.0796460176991149E-3</v>
      </c>
      <c r="AC265" s="845">
        <v>0</v>
      </c>
      <c r="AD265" s="845">
        <v>9.9115044247787606E-3</v>
      </c>
      <c r="AE265" s="845">
        <v>4.31858407079646E-2</v>
      </c>
      <c r="AF265" s="845">
        <v>5.8761061946902657E-2</v>
      </c>
      <c r="AG265" s="845">
        <v>0.88601769911504424</v>
      </c>
      <c r="AH265" s="20" t="str">
        <f t="shared" si="30"/>
        <v>No</v>
      </c>
      <c r="AI265" s="25"/>
      <c r="AJ265" s="20">
        <v>45240</v>
      </c>
      <c r="AK265" s="20" t="s">
        <v>1641</v>
      </c>
      <c r="AL265" s="20">
        <v>39061</v>
      </c>
      <c r="AM265" s="20" t="s">
        <v>37</v>
      </c>
      <c r="AN265" s="37">
        <f t="shared" si="31"/>
        <v>17140</v>
      </c>
      <c r="AO265" s="37" t="str">
        <f t="shared" si="32"/>
        <v>Cincinnati, OH-KY-IN</v>
      </c>
      <c r="AP265" s="20" t="s">
        <v>8</v>
      </c>
      <c r="AQ265" s="25"/>
      <c r="AR265" s="25"/>
      <c r="AS265" s="25"/>
      <c r="AT265" s="25"/>
      <c r="AU265" s="36"/>
      <c r="AV265" s="36"/>
      <c r="AW265" s="36"/>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39">
        <v>45202</v>
      </c>
      <c r="BV265" s="39" t="s">
        <v>1609</v>
      </c>
      <c r="BW265" s="39" t="s">
        <v>2871</v>
      </c>
      <c r="BX265" s="39" t="s">
        <v>304</v>
      </c>
      <c r="BY265" s="71">
        <v>1440</v>
      </c>
      <c r="BZ265" s="71">
        <v>1580</v>
      </c>
      <c r="CA265" s="71">
        <v>2030</v>
      </c>
      <c r="CB265" s="71">
        <v>2680</v>
      </c>
      <c r="CC265" s="71">
        <v>2960</v>
      </c>
      <c r="CD265" s="25"/>
      <c r="CE265" s="200"/>
      <c r="CF265" s="200"/>
      <c r="CG265" s="200"/>
      <c r="CH265" s="200"/>
      <c r="CI265" s="200"/>
      <c r="CJ265" s="200"/>
      <c r="CK265" s="200"/>
      <c r="CL265" s="200"/>
      <c r="CM265" s="200"/>
      <c r="CN265" s="200"/>
      <c r="CO265" s="200"/>
      <c r="CP265" s="200"/>
      <c r="CQ265" s="200"/>
      <c r="CR265" s="200"/>
      <c r="CS265" s="200"/>
      <c r="CT265" s="200"/>
      <c r="CU265" s="200"/>
    </row>
    <row r="266" spans="1:99" s="17" customFormat="1" x14ac:dyDescent="0.2">
      <c r="A266" s="25"/>
      <c r="B266" s="20">
        <v>39157021501</v>
      </c>
      <c r="C266" s="20">
        <v>215.01</v>
      </c>
      <c r="D266" s="20" t="s">
        <v>84</v>
      </c>
      <c r="E266" s="20" t="s">
        <v>265</v>
      </c>
      <c r="F266" s="20" t="s">
        <v>8</v>
      </c>
      <c r="G266" s="861">
        <v>70.981118034935207</v>
      </c>
      <c r="H266" s="861">
        <v>51.236616987789603</v>
      </c>
      <c r="I266" s="861">
        <v>26.539145852802001</v>
      </c>
      <c r="J266" s="861">
        <v>53.711622232654697</v>
      </c>
      <c r="K266" s="982">
        <v>0</v>
      </c>
      <c r="L266" s="735" t="s">
        <v>2466</v>
      </c>
      <c r="M266" s="735">
        <v>3022</v>
      </c>
      <c r="N266" s="845" t="str">
        <f t="shared" si="28"/>
        <v/>
      </c>
      <c r="O266" s="735">
        <v>4.9660822574200933</v>
      </c>
      <c r="P266" s="735">
        <f t="shared" si="29"/>
        <v>608.52797906934904</v>
      </c>
      <c r="Q266" s="849">
        <v>49.8</v>
      </c>
      <c r="R266" s="71">
        <v>81875</v>
      </c>
      <c r="S266" s="845">
        <v>5.7436918990703849E-2</v>
      </c>
      <c r="T266" s="845">
        <v>2E-3</v>
      </c>
      <c r="U266" s="845">
        <v>0</v>
      </c>
      <c r="V266" s="845">
        <v>7.6999999999999999E-2</v>
      </c>
      <c r="W266" s="845">
        <v>0.27975376196990426</v>
      </c>
      <c r="X266" s="845">
        <v>0.29584352078239606</v>
      </c>
      <c r="Y266" s="845">
        <v>0.92422236929185975</v>
      </c>
      <c r="Z266" s="845">
        <v>6.6181336863004635E-3</v>
      </c>
      <c r="AA266" s="845">
        <v>5.6254136333553934E-3</v>
      </c>
      <c r="AB266" s="845">
        <v>4.7981469225678357E-2</v>
      </c>
      <c r="AC266" s="845">
        <v>0</v>
      </c>
      <c r="AD266" s="845">
        <v>0</v>
      </c>
      <c r="AE266" s="845">
        <v>1.5552614162806089E-2</v>
      </c>
      <c r="AF266" s="845">
        <v>7.9417604235605555E-3</v>
      </c>
      <c r="AG266" s="845">
        <v>0.9162806088682991</v>
      </c>
      <c r="AH266" s="20" t="str">
        <f t="shared" si="30"/>
        <v>Yes</v>
      </c>
      <c r="AI266" s="25"/>
      <c r="AJ266" s="20">
        <v>45241</v>
      </c>
      <c r="AK266" s="20" t="s">
        <v>1642</v>
      </c>
      <c r="AL266" s="20">
        <v>39061</v>
      </c>
      <c r="AM266" s="20" t="s">
        <v>37</v>
      </c>
      <c r="AN266" s="37">
        <f t="shared" si="31"/>
        <v>17140</v>
      </c>
      <c r="AO266" s="37" t="str">
        <f t="shared" si="32"/>
        <v>Cincinnati, OH-KY-IN</v>
      </c>
      <c r="AP266" s="20" t="s">
        <v>8</v>
      </c>
      <c r="AQ266" s="25"/>
      <c r="AR266" s="25"/>
      <c r="AS266" s="25"/>
      <c r="AT266" s="25"/>
      <c r="AU266" s="36"/>
      <c r="AV266" s="36"/>
      <c r="AW266" s="36"/>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39">
        <v>45203</v>
      </c>
      <c r="BV266" s="39" t="s">
        <v>1610</v>
      </c>
      <c r="BW266" s="39" t="s">
        <v>2871</v>
      </c>
      <c r="BX266" s="39" t="s">
        <v>304</v>
      </c>
      <c r="BY266" s="71">
        <v>790</v>
      </c>
      <c r="BZ266" s="71">
        <v>870</v>
      </c>
      <c r="CA266" s="71">
        <v>1120</v>
      </c>
      <c r="CB266" s="71">
        <v>1480</v>
      </c>
      <c r="CC266" s="71">
        <v>1640</v>
      </c>
      <c r="CD266" s="25"/>
      <c r="CE266" s="200"/>
      <c r="CF266" s="200"/>
      <c r="CG266" s="200"/>
      <c r="CH266" s="200"/>
      <c r="CI266" s="200"/>
      <c r="CJ266" s="200"/>
      <c r="CK266" s="200"/>
      <c r="CL266" s="200"/>
      <c r="CM266" s="200"/>
      <c r="CN266" s="200"/>
      <c r="CO266" s="200"/>
      <c r="CP266" s="200"/>
      <c r="CQ266" s="200"/>
      <c r="CR266" s="200"/>
      <c r="CS266" s="200"/>
      <c r="CT266" s="200"/>
      <c r="CU266" s="200"/>
    </row>
    <row r="267" spans="1:99" s="17" customFormat="1" x14ac:dyDescent="0.2">
      <c r="A267" s="25"/>
      <c r="B267" s="20">
        <v>39085202100</v>
      </c>
      <c r="C267" s="20">
        <v>2021</v>
      </c>
      <c r="D267" s="20" t="s">
        <v>48</v>
      </c>
      <c r="E267" s="20" t="s">
        <v>2829</v>
      </c>
      <c r="F267" s="20" t="s">
        <v>8</v>
      </c>
      <c r="G267" s="861">
        <v>70.858336196206906</v>
      </c>
      <c r="H267" s="861">
        <v>63.045519187035403</v>
      </c>
      <c r="I267" s="861">
        <v>57.478540228260002</v>
      </c>
      <c r="J267" s="861">
        <v>46.711341332953303</v>
      </c>
      <c r="K267" s="982">
        <v>0</v>
      </c>
      <c r="L267" s="735">
        <v>2222</v>
      </c>
      <c r="M267" s="735">
        <v>2198</v>
      </c>
      <c r="N267" s="845">
        <f t="shared" ref="N267:N330" si="33">IF(OR(L267="",M267=""),"",(M267-L267)/L267)</f>
        <v>-1.0801080108010801E-2</v>
      </c>
      <c r="O267" s="735">
        <v>1.3994280460229604</v>
      </c>
      <c r="P267" s="735">
        <f t="shared" ref="P267:P330" si="34">M267/O267</f>
        <v>1570.6416676773802</v>
      </c>
      <c r="Q267" s="849">
        <v>42.8</v>
      </c>
      <c r="R267" s="71">
        <v>38566</v>
      </c>
      <c r="S267" s="845">
        <v>0.1091901728844404</v>
      </c>
      <c r="T267" s="845">
        <v>5.0000000000000001E-3</v>
      </c>
      <c r="U267" s="845">
        <v>0.10199999999999999</v>
      </c>
      <c r="V267" s="845">
        <v>0</v>
      </c>
      <c r="W267" s="845">
        <v>0.61078838174273864</v>
      </c>
      <c r="X267" s="845">
        <v>0.62771739130434778</v>
      </c>
      <c r="Y267" s="845">
        <v>0.75614194722474981</v>
      </c>
      <c r="Z267" s="845">
        <v>5.2775250227479524E-2</v>
      </c>
      <c r="AA267" s="845">
        <v>0</v>
      </c>
      <c r="AB267" s="845">
        <v>5.0045495905368517E-3</v>
      </c>
      <c r="AC267" s="845">
        <v>0</v>
      </c>
      <c r="AD267" s="845">
        <v>2.0018198362147407E-2</v>
      </c>
      <c r="AE267" s="845">
        <v>0.16606005459508644</v>
      </c>
      <c r="AF267" s="845">
        <v>4.5950864422202004E-2</v>
      </c>
      <c r="AG267" s="845">
        <v>0.7133757961783439</v>
      </c>
      <c r="AH267" s="20" t="str">
        <f t="shared" ref="AH267:AH330" si="35">IF(AG267&gt;=0.9,"Yes","No")</f>
        <v>No</v>
      </c>
      <c r="AI267" s="25"/>
      <c r="AJ267" s="37">
        <v>45244</v>
      </c>
      <c r="AK267" s="37" t="s">
        <v>1645</v>
      </c>
      <c r="AL267" s="37">
        <v>39061</v>
      </c>
      <c r="AM267" s="37" t="s">
        <v>37</v>
      </c>
      <c r="AN267" s="37">
        <f t="shared" ref="AN267:AN330" si="36">VLOOKUP(AM267,$CY$11:$DA$98,2,FALSE)</f>
        <v>17140</v>
      </c>
      <c r="AO267" s="37" t="str">
        <f t="shared" ref="AO267:AO330" si="37">VLOOKUP(AM267,$CY$11:$DA$98,3,FALSE)</f>
        <v>Cincinnati, OH-KY-IN</v>
      </c>
      <c r="AP267" s="20" t="s">
        <v>8</v>
      </c>
      <c r="AQ267" s="25"/>
      <c r="AR267" s="25"/>
      <c r="AS267" s="25"/>
      <c r="AT267" s="25"/>
      <c r="AU267" s="36"/>
      <c r="AV267" s="36"/>
      <c r="AW267" s="36"/>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39">
        <v>45204</v>
      </c>
      <c r="BV267" s="39" t="s">
        <v>1611</v>
      </c>
      <c r="BW267" s="39" t="s">
        <v>2871</v>
      </c>
      <c r="BX267" s="39" t="s">
        <v>304</v>
      </c>
      <c r="BY267" s="71">
        <v>720</v>
      </c>
      <c r="BZ267" s="71">
        <v>790</v>
      </c>
      <c r="CA267" s="71">
        <v>1020</v>
      </c>
      <c r="CB267" s="71">
        <v>1350</v>
      </c>
      <c r="CC267" s="71">
        <v>1490</v>
      </c>
      <c r="CD267" s="25"/>
      <c r="CE267" s="200"/>
      <c r="CF267" s="200"/>
      <c r="CG267" s="200"/>
      <c r="CH267" s="200"/>
      <c r="CI267" s="200"/>
      <c r="CJ267" s="200"/>
      <c r="CK267" s="200"/>
      <c r="CL267" s="200"/>
      <c r="CM267" s="200"/>
      <c r="CN267" s="200"/>
      <c r="CO267" s="200"/>
      <c r="CP267" s="200"/>
      <c r="CQ267" s="200"/>
      <c r="CR267" s="200"/>
      <c r="CS267" s="200"/>
      <c r="CT267" s="200"/>
      <c r="CU267" s="200"/>
    </row>
    <row r="268" spans="1:99" s="17" customFormat="1" x14ac:dyDescent="0.2">
      <c r="A268" s="25"/>
      <c r="B268" s="20">
        <v>39113040102</v>
      </c>
      <c r="C268" s="20">
        <v>401.02</v>
      </c>
      <c r="D268" s="20" t="s">
        <v>62</v>
      </c>
      <c r="E268" s="20" t="s">
        <v>2833</v>
      </c>
      <c r="F268" s="20" t="s">
        <v>8</v>
      </c>
      <c r="G268" s="861">
        <v>70.766433808341205</v>
      </c>
      <c r="H268" s="861">
        <v>68.225675374107894</v>
      </c>
      <c r="I268" s="861">
        <v>18.983344599661901</v>
      </c>
      <c r="J268" s="861">
        <v>47.391350194250798</v>
      </c>
      <c r="K268" s="982">
        <v>0</v>
      </c>
      <c r="L268" s="735">
        <v>2177</v>
      </c>
      <c r="M268" s="735">
        <v>2235</v>
      </c>
      <c r="N268" s="845">
        <f t="shared" si="33"/>
        <v>2.6642168121267799E-2</v>
      </c>
      <c r="O268" s="735">
        <v>1.8046550028370594</v>
      </c>
      <c r="P268" s="735">
        <f t="shared" si="34"/>
        <v>1238.4638595667341</v>
      </c>
      <c r="Q268" s="849">
        <v>54.4</v>
      </c>
      <c r="R268" s="71">
        <v>150795</v>
      </c>
      <c r="S268" s="845">
        <v>2.5503355704697986E-2</v>
      </c>
      <c r="T268" s="845">
        <v>2.4E-2</v>
      </c>
      <c r="U268" s="845">
        <v>0</v>
      </c>
      <c r="V268" s="845">
        <v>0</v>
      </c>
      <c r="W268" s="845">
        <v>3.4207525655644243E-3</v>
      </c>
      <c r="X268" s="845">
        <v>0</v>
      </c>
      <c r="Y268" s="845">
        <v>0.82639821029082772</v>
      </c>
      <c r="Z268" s="845">
        <v>6.6219239373601788E-2</v>
      </c>
      <c r="AA268" s="845">
        <v>0</v>
      </c>
      <c r="AB268" s="845">
        <v>4.6085011185682326E-2</v>
      </c>
      <c r="AC268" s="845">
        <v>0</v>
      </c>
      <c r="AD268" s="845">
        <v>1.3870246085011185E-2</v>
      </c>
      <c r="AE268" s="845">
        <v>4.742729306487696E-2</v>
      </c>
      <c r="AF268" s="845">
        <v>4.2505592841163314E-2</v>
      </c>
      <c r="AG268" s="845">
        <v>0.82013422818791948</v>
      </c>
      <c r="AH268" s="20" t="str">
        <f t="shared" si="35"/>
        <v>No</v>
      </c>
      <c r="AI268" s="25"/>
      <c r="AJ268" s="20">
        <v>45246</v>
      </c>
      <c r="AK268" s="20" t="s">
        <v>1647</v>
      </c>
      <c r="AL268" s="20">
        <v>39061</v>
      </c>
      <c r="AM268" s="20" t="s">
        <v>37</v>
      </c>
      <c r="AN268" s="37">
        <f t="shared" si="36"/>
        <v>17140</v>
      </c>
      <c r="AO268" s="37" t="str">
        <f t="shared" si="37"/>
        <v>Cincinnati, OH-KY-IN</v>
      </c>
      <c r="AP268" s="20" t="s">
        <v>8</v>
      </c>
      <c r="AQ268" s="25"/>
      <c r="AR268" s="25"/>
      <c r="AS268" s="25"/>
      <c r="AT268" s="25"/>
      <c r="AU268" s="36"/>
      <c r="AV268" s="36"/>
      <c r="AW268" s="36"/>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39">
        <v>45205</v>
      </c>
      <c r="BV268" s="39" t="s">
        <v>1612</v>
      </c>
      <c r="BW268" s="39" t="s">
        <v>2871</v>
      </c>
      <c r="BX268" s="39" t="s">
        <v>304</v>
      </c>
      <c r="BY268" s="71">
        <v>810</v>
      </c>
      <c r="BZ268" s="71">
        <v>890</v>
      </c>
      <c r="CA268" s="71">
        <v>1150</v>
      </c>
      <c r="CB268" s="71">
        <v>1520</v>
      </c>
      <c r="CC268" s="71">
        <v>1680</v>
      </c>
      <c r="CD268" s="25"/>
      <c r="CE268" s="200"/>
      <c r="CF268" s="200"/>
      <c r="CG268" s="200"/>
      <c r="CH268" s="200"/>
      <c r="CI268" s="200"/>
      <c r="CJ268" s="200"/>
      <c r="CK268" s="200"/>
      <c r="CL268" s="200"/>
      <c r="CM268" s="200"/>
      <c r="CN268" s="200"/>
      <c r="CO268" s="200"/>
      <c r="CP268" s="200"/>
      <c r="CQ268" s="200"/>
      <c r="CR268" s="200"/>
      <c r="CS268" s="200"/>
      <c r="CT268" s="200"/>
      <c r="CU268" s="200"/>
    </row>
    <row r="269" spans="1:99" s="17" customFormat="1" x14ac:dyDescent="0.2">
      <c r="A269" s="25"/>
      <c r="B269" s="20">
        <v>39061024200</v>
      </c>
      <c r="C269" s="20">
        <v>242</v>
      </c>
      <c r="D269" s="20" t="s">
        <v>37</v>
      </c>
      <c r="E269" s="20" t="s">
        <v>2828</v>
      </c>
      <c r="F269" s="20" t="s">
        <v>8</v>
      </c>
      <c r="G269" s="861">
        <v>70.651703278499497</v>
      </c>
      <c r="H269" s="861">
        <v>64.326595503377703</v>
      </c>
      <c r="I269" s="861">
        <v>41.695891282031198</v>
      </c>
      <c r="J269" s="861">
        <v>63.896029737873597</v>
      </c>
      <c r="K269" s="982">
        <v>0</v>
      </c>
      <c r="L269" s="735">
        <v>2604</v>
      </c>
      <c r="M269" s="735">
        <v>2972</v>
      </c>
      <c r="N269" s="845">
        <f t="shared" si="33"/>
        <v>0.14132104454685099</v>
      </c>
      <c r="O269" s="735">
        <v>1.6415183465842245</v>
      </c>
      <c r="P269" s="735">
        <f t="shared" si="34"/>
        <v>1810.5189053685122</v>
      </c>
      <c r="Q269" s="849">
        <v>51.2</v>
      </c>
      <c r="R269" s="71">
        <v>143781</v>
      </c>
      <c r="S269" s="845">
        <v>3.9898440333696043E-2</v>
      </c>
      <c r="T269" s="845">
        <v>4.0999999999999995E-2</v>
      </c>
      <c r="U269" s="845">
        <v>0</v>
      </c>
      <c r="V269" s="845">
        <v>0.11</v>
      </c>
      <c r="W269" s="845">
        <v>0.28711111111111109</v>
      </c>
      <c r="X269" s="845">
        <v>0.79566563467492257</v>
      </c>
      <c r="Y269" s="845">
        <v>0.77759084791386268</v>
      </c>
      <c r="Z269" s="845">
        <v>0.15578734858681023</v>
      </c>
      <c r="AA269" s="845">
        <v>0</v>
      </c>
      <c r="AB269" s="845">
        <v>3.4320323014804845E-2</v>
      </c>
      <c r="AC269" s="845">
        <v>0</v>
      </c>
      <c r="AD269" s="845">
        <v>0</v>
      </c>
      <c r="AE269" s="845">
        <v>3.2301480484522208E-2</v>
      </c>
      <c r="AF269" s="845">
        <v>3.5666218034993272E-2</v>
      </c>
      <c r="AG269" s="845">
        <v>0.74192462987886942</v>
      </c>
      <c r="AH269" s="20" t="str">
        <f t="shared" si="35"/>
        <v>No</v>
      </c>
      <c r="AI269" s="25"/>
      <c r="AJ269" s="20">
        <v>45247</v>
      </c>
      <c r="AK269" s="20" t="s">
        <v>1648</v>
      </c>
      <c r="AL269" s="20">
        <v>39061</v>
      </c>
      <c r="AM269" s="20" t="s">
        <v>37</v>
      </c>
      <c r="AN269" s="37">
        <f t="shared" si="36"/>
        <v>17140</v>
      </c>
      <c r="AO269" s="37" t="str">
        <f t="shared" si="37"/>
        <v>Cincinnati, OH-KY-IN</v>
      </c>
      <c r="AP269" s="20" t="s">
        <v>8</v>
      </c>
      <c r="AQ269" s="25"/>
      <c r="AR269" s="25"/>
      <c r="AS269" s="25"/>
      <c r="AT269" s="25"/>
      <c r="AU269" s="36"/>
      <c r="AV269" s="36"/>
      <c r="AW269" s="36"/>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39">
        <v>45206</v>
      </c>
      <c r="BV269" s="39" t="s">
        <v>1613</v>
      </c>
      <c r="BW269" s="39" t="s">
        <v>2871</v>
      </c>
      <c r="BX269" s="39" t="s">
        <v>304</v>
      </c>
      <c r="BY269" s="71">
        <v>860</v>
      </c>
      <c r="BZ269" s="71">
        <v>950</v>
      </c>
      <c r="CA269" s="71">
        <v>1220</v>
      </c>
      <c r="CB269" s="71">
        <v>1610</v>
      </c>
      <c r="CC269" s="71">
        <v>1780</v>
      </c>
      <c r="CD269" s="25"/>
      <c r="CE269" s="200"/>
      <c r="CF269" s="200"/>
      <c r="CG269" s="200"/>
      <c r="CH269" s="200"/>
      <c r="CI269" s="200"/>
      <c r="CJ269" s="200"/>
      <c r="CK269" s="200"/>
      <c r="CL269" s="200"/>
      <c r="CM269" s="200"/>
      <c r="CN269" s="200"/>
      <c r="CO269" s="200"/>
      <c r="CP269" s="200"/>
      <c r="CQ269" s="200"/>
      <c r="CR269" s="200"/>
      <c r="CS269" s="200"/>
      <c r="CT269" s="200"/>
      <c r="CU269" s="200"/>
    </row>
    <row r="270" spans="1:99" s="17" customFormat="1" x14ac:dyDescent="0.2">
      <c r="A270" s="25"/>
      <c r="B270" s="20">
        <v>39085200500</v>
      </c>
      <c r="C270" s="20">
        <v>2005</v>
      </c>
      <c r="D270" s="20" t="s">
        <v>48</v>
      </c>
      <c r="E270" s="20" t="s">
        <v>2829</v>
      </c>
      <c r="F270" s="20" t="s">
        <v>8</v>
      </c>
      <c r="G270" s="861">
        <v>70.628746717538704</v>
      </c>
      <c r="H270" s="861">
        <v>75.727368103455603</v>
      </c>
      <c r="I270" s="861">
        <v>18.404576948890998</v>
      </c>
      <c r="J270" s="861">
        <v>49.406130426071201</v>
      </c>
      <c r="K270" s="982">
        <v>0</v>
      </c>
      <c r="L270" s="735">
        <v>3253</v>
      </c>
      <c r="M270" s="735">
        <v>3047</v>
      </c>
      <c r="N270" s="845">
        <f t="shared" si="33"/>
        <v>-6.3326160467260986E-2</v>
      </c>
      <c r="O270" s="735">
        <v>0.56083693758733122</v>
      </c>
      <c r="P270" s="735">
        <f t="shared" si="34"/>
        <v>5432.951711611423</v>
      </c>
      <c r="Q270" s="849">
        <v>44.6</v>
      </c>
      <c r="R270" s="71">
        <v>98533</v>
      </c>
      <c r="S270" s="845">
        <v>4.788639365918098E-2</v>
      </c>
      <c r="T270" s="845">
        <v>1.6E-2</v>
      </c>
      <c r="U270" s="845">
        <v>0</v>
      </c>
      <c r="V270" s="845">
        <v>0</v>
      </c>
      <c r="W270" s="845">
        <v>4.1002277904328019E-2</v>
      </c>
      <c r="X270" s="845">
        <v>0.1111111111111111</v>
      </c>
      <c r="Y270" s="845">
        <v>0.89300951755825397</v>
      </c>
      <c r="Z270" s="845">
        <v>5.6448966196258617E-2</v>
      </c>
      <c r="AA270" s="845">
        <v>0</v>
      </c>
      <c r="AB270" s="845">
        <v>0</v>
      </c>
      <c r="AC270" s="845">
        <v>0</v>
      </c>
      <c r="AD270" s="845">
        <v>0</v>
      </c>
      <c r="AE270" s="845">
        <v>5.0541516245487361E-2</v>
      </c>
      <c r="AF270" s="845">
        <v>1.3127666557269446E-2</v>
      </c>
      <c r="AG270" s="845">
        <v>0.88316376764030191</v>
      </c>
      <c r="AH270" s="20" t="str">
        <f t="shared" si="35"/>
        <v>No</v>
      </c>
      <c r="AI270" s="25"/>
      <c r="AJ270" s="20">
        <v>45248</v>
      </c>
      <c r="AK270" s="20" t="s">
        <v>1649</v>
      </c>
      <c r="AL270" s="20">
        <v>39061</v>
      </c>
      <c r="AM270" s="20" t="s">
        <v>37</v>
      </c>
      <c r="AN270" s="37">
        <f t="shared" si="36"/>
        <v>17140</v>
      </c>
      <c r="AO270" s="37" t="str">
        <f t="shared" si="37"/>
        <v>Cincinnati, OH-KY-IN</v>
      </c>
      <c r="AP270" s="20" t="s">
        <v>8</v>
      </c>
      <c r="AQ270" s="25"/>
      <c r="AR270" s="25"/>
      <c r="AS270" s="25"/>
      <c r="AT270" s="25"/>
      <c r="AU270" s="36"/>
      <c r="AV270" s="36"/>
      <c r="AW270" s="36"/>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39">
        <v>45207</v>
      </c>
      <c r="BV270" s="39" t="s">
        <v>1614</v>
      </c>
      <c r="BW270" s="39" t="s">
        <v>2871</v>
      </c>
      <c r="BX270" s="39" t="s">
        <v>304</v>
      </c>
      <c r="BY270" s="71">
        <v>860</v>
      </c>
      <c r="BZ270" s="71">
        <v>950</v>
      </c>
      <c r="CA270" s="71">
        <v>1220</v>
      </c>
      <c r="CB270" s="71">
        <v>1610</v>
      </c>
      <c r="CC270" s="71">
        <v>1780</v>
      </c>
      <c r="CD270" s="25"/>
      <c r="CE270" s="200"/>
      <c r="CF270" s="200"/>
      <c r="CG270" s="200"/>
      <c r="CH270" s="200"/>
      <c r="CI270" s="200"/>
      <c r="CJ270" s="200"/>
      <c r="CK270" s="200"/>
      <c r="CL270" s="200"/>
      <c r="CM270" s="200"/>
      <c r="CN270" s="200"/>
      <c r="CO270" s="200"/>
      <c r="CP270" s="200"/>
      <c r="CQ270" s="200"/>
      <c r="CR270" s="200"/>
      <c r="CS270" s="200"/>
      <c r="CT270" s="200"/>
      <c r="CU270" s="200"/>
    </row>
    <row r="271" spans="1:99" s="17" customFormat="1" x14ac:dyDescent="0.2">
      <c r="A271" s="25"/>
      <c r="B271" s="20">
        <v>39085202800</v>
      </c>
      <c r="C271" s="20">
        <v>2028</v>
      </c>
      <c r="D271" s="20" t="s">
        <v>48</v>
      </c>
      <c r="E271" s="20" t="s">
        <v>2829</v>
      </c>
      <c r="F271" s="20" t="s">
        <v>8</v>
      </c>
      <c r="G271" s="861">
        <v>70.621249429063596</v>
      </c>
      <c r="H271" s="861">
        <v>66.780650110690402</v>
      </c>
      <c r="I271" s="861">
        <v>27.5501725560583</v>
      </c>
      <c r="J271" s="861">
        <v>47.920913816708797</v>
      </c>
      <c r="K271" s="982">
        <v>0</v>
      </c>
      <c r="L271" s="735">
        <v>6181</v>
      </c>
      <c r="M271" s="735">
        <v>5795</v>
      </c>
      <c r="N271" s="845">
        <f t="shared" si="33"/>
        <v>-6.2449441837890307E-2</v>
      </c>
      <c r="O271" s="735">
        <v>2.3833036052045817</v>
      </c>
      <c r="P271" s="735">
        <f t="shared" si="34"/>
        <v>2431.4988603823135</v>
      </c>
      <c r="Q271" s="849">
        <v>49.7</v>
      </c>
      <c r="R271" s="71">
        <v>82611</v>
      </c>
      <c r="S271" s="845">
        <v>2.6012569832402233E-2</v>
      </c>
      <c r="T271" s="845">
        <v>6.9999999999999993E-3</v>
      </c>
      <c r="U271" s="845">
        <v>0</v>
      </c>
      <c r="V271" s="845">
        <v>0</v>
      </c>
      <c r="W271" s="845">
        <v>0.12411214953271028</v>
      </c>
      <c r="X271" s="845">
        <v>0.69277108433734935</v>
      </c>
      <c r="Y271" s="845">
        <v>0.90509059534081104</v>
      </c>
      <c r="Z271" s="845">
        <v>2.3468507333908543E-2</v>
      </c>
      <c r="AA271" s="845">
        <v>1.2079378774805867E-3</v>
      </c>
      <c r="AB271" s="845">
        <v>3.3994823123382228E-2</v>
      </c>
      <c r="AC271" s="845">
        <v>0</v>
      </c>
      <c r="AD271" s="845">
        <v>5.0043140638481448E-3</v>
      </c>
      <c r="AE271" s="845">
        <v>3.1233822260569456E-2</v>
      </c>
      <c r="AF271" s="845">
        <v>1.449525452976704E-2</v>
      </c>
      <c r="AG271" s="845">
        <v>0.89059534081104397</v>
      </c>
      <c r="AH271" s="20" t="str">
        <f t="shared" si="35"/>
        <v>No</v>
      </c>
      <c r="AI271" s="25"/>
      <c r="AJ271" s="37">
        <v>45249</v>
      </c>
      <c r="AK271" s="37" t="s">
        <v>1650</v>
      </c>
      <c r="AL271" s="37">
        <v>39061</v>
      </c>
      <c r="AM271" s="37" t="s">
        <v>37</v>
      </c>
      <c r="AN271" s="37">
        <f t="shared" si="36"/>
        <v>17140</v>
      </c>
      <c r="AO271" s="37" t="str">
        <f t="shared" si="37"/>
        <v>Cincinnati, OH-KY-IN</v>
      </c>
      <c r="AP271" s="20" t="s">
        <v>8</v>
      </c>
      <c r="AQ271" s="25"/>
      <c r="AR271" s="25"/>
      <c r="AS271" s="25"/>
      <c r="AT271" s="25"/>
      <c r="AU271" s="36"/>
      <c r="AV271" s="36"/>
      <c r="AW271" s="36"/>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39">
        <v>45208</v>
      </c>
      <c r="BV271" s="39" t="s">
        <v>1615</v>
      </c>
      <c r="BW271" s="39" t="s">
        <v>2871</v>
      </c>
      <c r="BX271" s="39" t="s">
        <v>304</v>
      </c>
      <c r="BY271" s="71">
        <v>1180</v>
      </c>
      <c r="BZ271" s="71">
        <v>1300</v>
      </c>
      <c r="CA271" s="71">
        <v>1670</v>
      </c>
      <c r="CB271" s="71">
        <v>2200</v>
      </c>
      <c r="CC271" s="71">
        <v>2440</v>
      </c>
      <c r="CD271" s="25"/>
      <c r="CE271" s="200"/>
      <c r="CF271" s="200"/>
      <c r="CG271" s="200"/>
      <c r="CH271" s="200"/>
      <c r="CI271" s="200"/>
      <c r="CJ271" s="200"/>
      <c r="CK271" s="200"/>
      <c r="CL271" s="200"/>
      <c r="CM271" s="200"/>
      <c r="CN271" s="200"/>
      <c r="CO271" s="200"/>
      <c r="CP271" s="200"/>
      <c r="CQ271" s="200"/>
      <c r="CR271" s="200"/>
      <c r="CS271" s="200"/>
      <c r="CT271" s="200"/>
      <c r="CU271" s="200"/>
    </row>
    <row r="272" spans="1:99" s="17" customFormat="1" x14ac:dyDescent="0.2">
      <c r="A272" s="25"/>
      <c r="B272" s="20">
        <v>39159050402</v>
      </c>
      <c r="C272" s="20">
        <v>504.02</v>
      </c>
      <c r="D272" s="20" t="s">
        <v>85</v>
      </c>
      <c r="E272" s="20" t="s">
        <v>2830</v>
      </c>
      <c r="F272" s="20" t="s">
        <v>8</v>
      </c>
      <c r="G272" s="861">
        <v>70.618746427858198</v>
      </c>
      <c r="H272" s="861">
        <v>69.718514632183499</v>
      </c>
      <c r="I272" s="861">
        <v>52.507399493882602</v>
      </c>
      <c r="J272" s="861">
        <v>51.650790212693998</v>
      </c>
      <c r="K272" s="982">
        <v>0</v>
      </c>
      <c r="L272" s="735" t="s">
        <v>2466</v>
      </c>
      <c r="M272" s="735">
        <v>3880</v>
      </c>
      <c r="N272" s="845" t="str">
        <f t="shared" si="33"/>
        <v/>
      </c>
      <c r="O272" s="735">
        <v>1.6342105910285434</v>
      </c>
      <c r="P272" s="735">
        <f t="shared" si="34"/>
        <v>2374.2350106530616</v>
      </c>
      <c r="Q272" s="849">
        <v>36.4</v>
      </c>
      <c r="R272" s="71">
        <v>83170</v>
      </c>
      <c r="S272" s="845">
        <v>9.6649484536082478E-2</v>
      </c>
      <c r="T272" s="845">
        <v>6.0999999999999999E-2</v>
      </c>
      <c r="U272" s="845">
        <v>0</v>
      </c>
      <c r="V272" s="845">
        <v>0</v>
      </c>
      <c r="W272" s="845">
        <v>0.20706260032102727</v>
      </c>
      <c r="X272" s="845">
        <v>0.35658914728682173</v>
      </c>
      <c r="Y272" s="845">
        <v>0.94097938144329896</v>
      </c>
      <c r="Z272" s="845">
        <v>1.1855670103092783E-2</v>
      </c>
      <c r="AA272" s="845">
        <v>0</v>
      </c>
      <c r="AB272" s="845">
        <v>8.505154639175257E-3</v>
      </c>
      <c r="AC272" s="845">
        <v>0</v>
      </c>
      <c r="AD272" s="845">
        <v>1.2371134020618556E-2</v>
      </c>
      <c r="AE272" s="845">
        <v>2.6288659793814433E-2</v>
      </c>
      <c r="AF272" s="845">
        <v>5.077319587628866E-2</v>
      </c>
      <c r="AG272" s="845">
        <v>0.92319587628865984</v>
      </c>
      <c r="AH272" s="20" t="str">
        <f t="shared" si="35"/>
        <v>Yes</v>
      </c>
      <c r="AI272" s="25"/>
      <c r="AJ272" s="20">
        <v>45251</v>
      </c>
      <c r="AK272" s="20" t="s">
        <v>1651</v>
      </c>
      <c r="AL272" s="20">
        <v>39061</v>
      </c>
      <c r="AM272" s="20" t="s">
        <v>37</v>
      </c>
      <c r="AN272" s="37">
        <f t="shared" si="36"/>
        <v>17140</v>
      </c>
      <c r="AO272" s="37" t="str">
        <f t="shared" si="37"/>
        <v>Cincinnati, OH-KY-IN</v>
      </c>
      <c r="AP272" s="20" t="s">
        <v>8</v>
      </c>
      <c r="AQ272" s="25"/>
      <c r="AR272" s="25"/>
      <c r="AS272" s="25"/>
      <c r="AT272" s="25"/>
      <c r="AU272" s="36"/>
      <c r="AV272" s="36"/>
      <c r="AW272" s="36"/>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39">
        <v>45209</v>
      </c>
      <c r="BV272" s="39" t="s">
        <v>1616</v>
      </c>
      <c r="BW272" s="39" t="s">
        <v>2871</v>
      </c>
      <c r="BX272" s="39" t="s">
        <v>304</v>
      </c>
      <c r="BY272" s="71">
        <v>1250</v>
      </c>
      <c r="BZ272" s="71">
        <v>1380</v>
      </c>
      <c r="CA272" s="71">
        <v>1770</v>
      </c>
      <c r="CB272" s="71">
        <v>2340</v>
      </c>
      <c r="CC272" s="71">
        <v>2590</v>
      </c>
      <c r="CD272" s="25"/>
      <c r="CE272" s="200"/>
      <c r="CF272" s="200"/>
      <c r="CG272" s="200"/>
      <c r="CH272" s="200"/>
      <c r="CI272" s="200"/>
      <c r="CJ272" s="200"/>
      <c r="CK272" s="200"/>
      <c r="CL272" s="200"/>
      <c r="CM272" s="200"/>
      <c r="CN272" s="200"/>
      <c r="CO272" s="200"/>
      <c r="CP272" s="200"/>
      <c r="CQ272" s="200"/>
      <c r="CR272" s="200"/>
      <c r="CS272" s="200"/>
      <c r="CT272" s="200"/>
      <c r="CU272" s="200"/>
    </row>
    <row r="273" spans="1:99" s="17" customFormat="1" x14ac:dyDescent="0.2">
      <c r="A273" s="25"/>
      <c r="B273" s="20">
        <v>39085203200</v>
      </c>
      <c r="C273" s="20">
        <v>2032</v>
      </c>
      <c r="D273" s="20" t="s">
        <v>48</v>
      </c>
      <c r="E273" s="20" t="s">
        <v>2829</v>
      </c>
      <c r="F273" s="20" t="s">
        <v>8</v>
      </c>
      <c r="G273" s="861">
        <v>70.580962231855096</v>
      </c>
      <c r="H273" s="861">
        <v>72.087771583300196</v>
      </c>
      <c r="I273" s="861">
        <v>33.514602959731</v>
      </c>
      <c r="J273" s="861">
        <v>46.890438572666298</v>
      </c>
      <c r="K273" s="982">
        <v>0</v>
      </c>
      <c r="L273" s="735">
        <v>3483</v>
      </c>
      <c r="M273" s="735">
        <v>3694</v>
      </c>
      <c r="N273" s="845">
        <f t="shared" si="33"/>
        <v>6.0579959804766007E-2</v>
      </c>
      <c r="O273" s="735">
        <v>1.93992975512154</v>
      </c>
      <c r="P273" s="735">
        <f t="shared" si="34"/>
        <v>1904.1926596814144</v>
      </c>
      <c r="Q273" s="849">
        <v>42.9</v>
      </c>
      <c r="R273" s="71">
        <v>66750</v>
      </c>
      <c r="S273" s="845">
        <v>6.8608766675741895E-2</v>
      </c>
      <c r="T273" s="845">
        <v>3.2000000000000001E-2</v>
      </c>
      <c r="U273" s="845">
        <v>0</v>
      </c>
      <c r="V273" s="845">
        <v>0</v>
      </c>
      <c r="W273" s="845">
        <v>0.43913480885311873</v>
      </c>
      <c r="X273" s="845">
        <v>0.42611683848797249</v>
      </c>
      <c r="Y273" s="845">
        <v>0.74715755278830531</v>
      </c>
      <c r="Z273" s="845">
        <v>4.6291283161884134E-2</v>
      </c>
      <c r="AA273" s="845">
        <v>0</v>
      </c>
      <c r="AB273" s="845">
        <v>7.8776394152680021E-2</v>
      </c>
      <c r="AC273" s="845">
        <v>1.3535462912831618E-3</v>
      </c>
      <c r="AD273" s="845">
        <v>1.4889009204114781E-2</v>
      </c>
      <c r="AE273" s="845">
        <v>0.11153221440173254</v>
      </c>
      <c r="AF273" s="845">
        <v>4.6561992420140766E-2</v>
      </c>
      <c r="AG273" s="845">
        <v>0.74607471575527884</v>
      </c>
      <c r="AH273" s="20" t="str">
        <f t="shared" si="35"/>
        <v>No</v>
      </c>
      <c r="AI273" s="25"/>
      <c r="AJ273" s="20">
        <v>45252</v>
      </c>
      <c r="AK273" s="20" t="s">
        <v>1652</v>
      </c>
      <c r="AL273" s="20">
        <v>39061</v>
      </c>
      <c r="AM273" s="20" t="s">
        <v>37</v>
      </c>
      <c r="AN273" s="37">
        <f t="shared" si="36"/>
        <v>17140</v>
      </c>
      <c r="AO273" s="37" t="str">
        <f t="shared" si="37"/>
        <v>Cincinnati, OH-KY-IN</v>
      </c>
      <c r="AP273" s="20" t="s">
        <v>8</v>
      </c>
      <c r="AQ273" s="25"/>
      <c r="AR273" s="25"/>
      <c r="AS273" s="25"/>
      <c r="AT273" s="25"/>
      <c r="AU273" s="36"/>
      <c r="AV273" s="36"/>
      <c r="AW273" s="36"/>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39">
        <v>45211</v>
      </c>
      <c r="BV273" s="39" t="s">
        <v>1617</v>
      </c>
      <c r="BW273" s="39" t="s">
        <v>2871</v>
      </c>
      <c r="BX273" s="39" t="s">
        <v>304</v>
      </c>
      <c r="BY273" s="71">
        <v>810</v>
      </c>
      <c r="BZ273" s="71">
        <v>890</v>
      </c>
      <c r="CA273" s="71">
        <v>1140</v>
      </c>
      <c r="CB273" s="71">
        <v>1500</v>
      </c>
      <c r="CC273" s="71">
        <v>1660</v>
      </c>
      <c r="CD273" s="25"/>
      <c r="CE273" s="200"/>
      <c r="CF273" s="200"/>
      <c r="CG273" s="200"/>
      <c r="CH273" s="200"/>
      <c r="CI273" s="200"/>
      <c r="CJ273" s="200"/>
      <c r="CK273" s="200"/>
      <c r="CL273" s="200"/>
      <c r="CM273" s="200"/>
      <c r="CN273" s="200"/>
      <c r="CO273" s="200"/>
      <c r="CP273" s="200"/>
      <c r="CQ273" s="200"/>
      <c r="CR273" s="200"/>
      <c r="CS273" s="200"/>
      <c r="CT273" s="200"/>
      <c r="CU273" s="200"/>
    </row>
    <row r="274" spans="1:99" s="17" customFormat="1" x14ac:dyDescent="0.2">
      <c r="A274" s="25"/>
      <c r="B274" s="20">
        <v>39061020707</v>
      </c>
      <c r="C274" s="20">
        <v>207.07</v>
      </c>
      <c r="D274" s="20" t="s">
        <v>37</v>
      </c>
      <c r="E274" s="20" t="s">
        <v>2828</v>
      </c>
      <c r="F274" s="20" t="s">
        <v>8</v>
      </c>
      <c r="G274" s="861">
        <v>70.554363489146496</v>
      </c>
      <c r="H274" s="861">
        <v>71.6189794514477</v>
      </c>
      <c r="I274" s="861">
        <v>22.397565400193798</v>
      </c>
      <c r="J274" s="861">
        <v>49.939615440628003</v>
      </c>
      <c r="K274" s="982">
        <v>0</v>
      </c>
      <c r="L274" s="735">
        <v>4875</v>
      </c>
      <c r="M274" s="735">
        <v>4554</v>
      </c>
      <c r="N274" s="845">
        <f t="shared" si="33"/>
        <v>-6.5846153846153846E-2</v>
      </c>
      <c r="O274" s="735">
        <v>2.9021704659485872</v>
      </c>
      <c r="P274" s="735">
        <f t="shared" si="34"/>
        <v>1569.170403128441</v>
      </c>
      <c r="Q274" s="849">
        <v>53.2</v>
      </c>
      <c r="R274" s="71">
        <v>140812</v>
      </c>
      <c r="S274" s="845">
        <v>5.4896794027228808E-2</v>
      </c>
      <c r="T274" s="845">
        <v>3.1E-2</v>
      </c>
      <c r="U274" s="845">
        <v>0</v>
      </c>
      <c r="V274" s="845">
        <v>0</v>
      </c>
      <c r="W274" s="845">
        <v>3.8090128755364806E-2</v>
      </c>
      <c r="X274" s="845">
        <v>0</v>
      </c>
      <c r="Y274" s="845">
        <v>0.90755379885814669</v>
      </c>
      <c r="Z274" s="845">
        <v>5.2261747913921824E-2</v>
      </c>
      <c r="AA274" s="845">
        <v>0</v>
      </c>
      <c r="AB274" s="845">
        <v>1.3614404918752744E-2</v>
      </c>
      <c r="AC274" s="845">
        <v>0</v>
      </c>
      <c r="AD274" s="845">
        <v>1.844532279314888E-2</v>
      </c>
      <c r="AE274" s="845">
        <v>8.124725516029864E-3</v>
      </c>
      <c r="AF274" s="845">
        <v>0</v>
      </c>
      <c r="AG274" s="845">
        <v>0.90755379885814669</v>
      </c>
      <c r="AH274" s="20" t="str">
        <f t="shared" si="35"/>
        <v>Yes</v>
      </c>
      <c r="AI274" s="25"/>
      <c r="AJ274" s="20">
        <v>45255</v>
      </c>
      <c r="AK274" s="20" t="s">
        <v>1653</v>
      </c>
      <c r="AL274" s="20">
        <v>39061</v>
      </c>
      <c r="AM274" s="20" t="s">
        <v>37</v>
      </c>
      <c r="AN274" s="37">
        <f t="shared" si="36"/>
        <v>17140</v>
      </c>
      <c r="AO274" s="37" t="str">
        <f t="shared" si="37"/>
        <v>Cincinnati, OH-KY-IN</v>
      </c>
      <c r="AP274" s="20" t="s">
        <v>8</v>
      </c>
      <c r="AQ274" s="25"/>
      <c r="AR274" s="25"/>
      <c r="AS274" s="25"/>
      <c r="AT274" s="25"/>
      <c r="AU274" s="36"/>
      <c r="AV274" s="36"/>
      <c r="AW274" s="36"/>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39">
        <v>45212</v>
      </c>
      <c r="BV274" s="39" t="s">
        <v>1618</v>
      </c>
      <c r="BW274" s="39" t="s">
        <v>2871</v>
      </c>
      <c r="BX274" s="39" t="s">
        <v>304</v>
      </c>
      <c r="BY274" s="71">
        <v>960</v>
      </c>
      <c r="BZ274" s="71">
        <v>1050</v>
      </c>
      <c r="CA274" s="71">
        <v>1350</v>
      </c>
      <c r="CB274" s="71">
        <v>1780</v>
      </c>
      <c r="CC274" s="71">
        <v>1970</v>
      </c>
      <c r="CD274" s="25"/>
      <c r="CE274" s="200"/>
      <c r="CF274" s="200"/>
      <c r="CG274" s="200"/>
      <c r="CH274" s="200"/>
      <c r="CI274" s="200"/>
      <c r="CJ274" s="200"/>
      <c r="CK274" s="200"/>
      <c r="CL274" s="200"/>
      <c r="CM274" s="200"/>
      <c r="CN274" s="200"/>
      <c r="CO274" s="200"/>
      <c r="CP274" s="200"/>
      <c r="CQ274" s="200"/>
      <c r="CR274" s="200"/>
      <c r="CS274" s="200"/>
      <c r="CT274" s="200"/>
      <c r="CU274" s="200"/>
    </row>
    <row r="275" spans="1:99" s="17" customFormat="1" x14ac:dyDescent="0.2">
      <c r="A275" s="25"/>
      <c r="B275" s="20">
        <v>39153532501</v>
      </c>
      <c r="C275" s="20">
        <v>5325.01</v>
      </c>
      <c r="D275" s="20" t="s">
        <v>82</v>
      </c>
      <c r="E275" s="20" t="s">
        <v>2843</v>
      </c>
      <c r="F275" s="20" t="s">
        <v>8</v>
      </c>
      <c r="G275" s="861">
        <v>70.526143988043799</v>
      </c>
      <c r="H275" s="861">
        <v>63.709271176558701</v>
      </c>
      <c r="I275" s="861">
        <v>18.513676593216701</v>
      </c>
      <c r="J275" s="861">
        <v>59.500838861584803</v>
      </c>
      <c r="K275" s="982">
        <v>0</v>
      </c>
      <c r="L275" s="735">
        <v>3225</v>
      </c>
      <c r="M275" s="735">
        <v>3109</v>
      </c>
      <c r="N275" s="845">
        <f t="shared" si="33"/>
        <v>-3.5968992248062014E-2</v>
      </c>
      <c r="O275" s="735">
        <v>12.439232394777289</v>
      </c>
      <c r="P275" s="735">
        <f t="shared" si="34"/>
        <v>249.9350362893243</v>
      </c>
      <c r="Q275" s="849">
        <v>55</v>
      </c>
      <c r="R275" s="71">
        <v>159856</v>
      </c>
      <c r="S275" s="845">
        <v>2.2857142857142857E-2</v>
      </c>
      <c r="T275" s="845">
        <v>0.01</v>
      </c>
      <c r="U275" s="845">
        <v>0</v>
      </c>
      <c r="V275" s="845">
        <v>0</v>
      </c>
      <c r="W275" s="845">
        <v>3.6973344797936368E-2</v>
      </c>
      <c r="X275" s="845">
        <v>0.30232558139534882</v>
      </c>
      <c r="Y275" s="845">
        <v>0.88935348986812479</v>
      </c>
      <c r="Z275" s="845">
        <v>1.4795754261820521E-2</v>
      </c>
      <c r="AA275" s="845">
        <v>0</v>
      </c>
      <c r="AB275" s="845">
        <v>3.8597619813444839E-2</v>
      </c>
      <c r="AC275" s="845">
        <v>0</v>
      </c>
      <c r="AD275" s="845">
        <v>0</v>
      </c>
      <c r="AE275" s="845">
        <v>5.7253136056609845E-2</v>
      </c>
      <c r="AF275" s="845">
        <v>8.0411707944676742E-3</v>
      </c>
      <c r="AG275" s="845">
        <v>0.88935348986812479</v>
      </c>
      <c r="AH275" s="20" t="str">
        <f t="shared" si="35"/>
        <v>No</v>
      </c>
      <c r="AI275" s="25"/>
      <c r="AJ275" s="20">
        <v>45267</v>
      </c>
      <c r="AK275" s="20" t="s">
        <v>1654</v>
      </c>
      <c r="AL275" s="20">
        <v>39061</v>
      </c>
      <c r="AM275" s="20" t="s">
        <v>37</v>
      </c>
      <c r="AN275" s="37">
        <f t="shared" si="36"/>
        <v>17140</v>
      </c>
      <c r="AO275" s="37" t="str">
        <f t="shared" si="37"/>
        <v>Cincinnati, OH-KY-IN</v>
      </c>
      <c r="AP275" s="20" t="s">
        <v>8</v>
      </c>
      <c r="AQ275" s="25"/>
      <c r="AR275" s="25"/>
      <c r="AS275" s="25"/>
      <c r="AT275" s="25"/>
      <c r="AU275" s="36"/>
      <c r="AV275" s="36"/>
      <c r="AW275" s="36"/>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39">
        <v>45213</v>
      </c>
      <c r="BV275" s="39" t="s">
        <v>1619</v>
      </c>
      <c r="BW275" s="39" t="s">
        <v>2871</v>
      </c>
      <c r="BX275" s="39" t="s">
        <v>304</v>
      </c>
      <c r="BY275" s="71">
        <v>860</v>
      </c>
      <c r="BZ275" s="71">
        <v>940</v>
      </c>
      <c r="CA275" s="71">
        <v>1210</v>
      </c>
      <c r="CB275" s="71">
        <v>1600</v>
      </c>
      <c r="CC275" s="71">
        <v>1770</v>
      </c>
      <c r="CD275" s="25"/>
      <c r="CE275" s="200"/>
      <c r="CF275" s="200"/>
      <c r="CG275" s="200"/>
      <c r="CH275" s="200"/>
      <c r="CI275" s="200"/>
      <c r="CJ275" s="200"/>
      <c r="CK275" s="200"/>
      <c r="CL275" s="200"/>
      <c r="CM275" s="200"/>
      <c r="CN275" s="200"/>
      <c r="CO275" s="200"/>
      <c r="CP275" s="200"/>
      <c r="CQ275" s="200"/>
      <c r="CR275" s="200"/>
      <c r="CS275" s="200"/>
      <c r="CT275" s="200"/>
      <c r="CU275" s="200"/>
    </row>
    <row r="276" spans="1:99" s="17" customFormat="1" x14ac:dyDescent="0.2">
      <c r="A276" s="25"/>
      <c r="B276" s="20">
        <v>39153532301</v>
      </c>
      <c r="C276" s="20">
        <v>5323.01</v>
      </c>
      <c r="D276" s="20" t="s">
        <v>82</v>
      </c>
      <c r="E276" s="20" t="s">
        <v>2843</v>
      </c>
      <c r="F276" s="20" t="s">
        <v>8</v>
      </c>
      <c r="G276" s="861">
        <v>70.522507907606794</v>
      </c>
      <c r="H276" s="861">
        <v>75.378811453752206</v>
      </c>
      <c r="I276" s="861">
        <v>25.147781605699699</v>
      </c>
      <c r="J276" s="861">
        <v>62.634642682718798</v>
      </c>
      <c r="K276" s="982">
        <v>0</v>
      </c>
      <c r="L276" s="735">
        <v>5552</v>
      </c>
      <c r="M276" s="735">
        <v>6243</v>
      </c>
      <c r="N276" s="845">
        <f t="shared" si="33"/>
        <v>0.12445965417867436</v>
      </c>
      <c r="O276" s="735">
        <v>13.256628039114821</v>
      </c>
      <c r="P276" s="735">
        <f t="shared" si="34"/>
        <v>470.93423618581528</v>
      </c>
      <c r="Q276" s="849">
        <v>46.4</v>
      </c>
      <c r="R276" s="71">
        <v>177109</v>
      </c>
      <c r="S276" s="845">
        <v>3.2516418388595224E-2</v>
      </c>
      <c r="T276" s="845">
        <v>4.7E-2</v>
      </c>
      <c r="U276" s="845">
        <v>0</v>
      </c>
      <c r="V276" s="845">
        <v>0</v>
      </c>
      <c r="W276" s="845">
        <v>4.9333333333333333E-2</v>
      </c>
      <c r="X276" s="845">
        <v>0</v>
      </c>
      <c r="Y276" s="845">
        <v>0.89492231299054936</v>
      </c>
      <c r="Z276" s="845">
        <v>0</v>
      </c>
      <c r="AA276" s="845">
        <v>5.7664584334454587E-3</v>
      </c>
      <c r="AB276" s="845">
        <v>3.4278391798814672E-2</v>
      </c>
      <c r="AC276" s="845">
        <v>2.8832292167227293E-3</v>
      </c>
      <c r="AD276" s="845">
        <v>2.0823322120775267E-3</v>
      </c>
      <c r="AE276" s="845">
        <v>6.0067275348390195E-2</v>
      </c>
      <c r="AF276" s="845">
        <v>8.649687650168188E-3</v>
      </c>
      <c r="AG276" s="845">
        <v>0.89492231299054936</v>
      </c>
      <c r="AH276" s="20" t="str">
        <f t="shared" si="35"/>
        <v>No</v>
      </c>
      <c r="AI276" s="25"/>
      <c r="AJ276" s="37">
        <v>45005</v>
      </c>
      <c r="AK276" s="37" t="s">
        <v>1531</v>
      </c>
      <c r="AL276" s="37">
        <v>39165</v>
      </c>
      <c r="AM276" s="37" t="s">
        <v>88</v>
      </c>
      <c r="AN276" s="37">
        <f t="shared" si="36"/>
        <v>17140</v>
      </c>
      <c r="AO276" s="37" t="str">
        <f t="shared" si="37"/>
        <v>Cincinnati, OH-KY-IN</v>
      </c>
      <c r="AP276" s="37" t="s">
        <v>8</v>
      </c>
      <c r="AQ276" s="25"/>
      <c r="AR276" s="25"/>
      <c r="AS276" s="25"/>
      <c r="AT276" s="25"/>
      <c r="AU276" s="36"/>
      <c r="AV276" s="36"/>
      <c r="AW276" s="36"/>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39">
        <v>45214</v>
      </c>
      <c r="BV276" s="39" t="s">
        <v>1620</v>
      </c>
      <c r="BW276" s="39" t="s">
        <v>2871</v>
      </c>
      <c r="BX276" s="39" t="s">
        <v>304</v>
      </c>
      <c r="BY276" s="71">
        <v>760</v>
      </c>
      <c r="BZ276" s="71">
        <v>840</v>
      </c>
      <c r="CA276" s="71">
        <v>1080</v>
      </c>
      <c r="CB276" s="71">
        <v>1420</v>
      </c>
      <c r="CC276" s="71">
        <v>1580</v>
      </c>
      <c r="CD276" s="25"/>
      <c r="CE276" s="200"/>
      <c r="CF276" s="200"/>
      <c r="CG276" s="200"/>
      <c r="CH276" s="200"/>
      <c r="CI276" s="200"/>
      <c r="CJ276" s="200"/>
      <c r="CK276" s="200"/>
      <c r="CL276" s="200"/>
      <c r="CM276" s="200"/>
      <c r="CN276" s="200"/>
      <c r="CO276" s="200"/>
      <c r="CP276" s="200"/>
      <c r="CQ276" s="200"/>
      <c r="CR276" s="200"/>
      <c r="CS276" s="200"/>
      <c r="CT276" s="200"/>
      <c r="CU276" s="200"/>
    </row>
    <row r="277" spans="1:99" s="17" customFormat="1" x14ac:dyDescent="0.2">
      <c r="A277" s="25"/>
      <c r="B277" s="20">
        <v>39035183604</v>
      </c>
      <c r="C277" s="20">
        <v>1836.04</v>
      </c>
      <c r="D277" s="20" t="s">
        <v>24</v>
      </c>
      <c r="E277" s="20" t="s">
        <v>2829</v>
      </c>
      <c r="F277" s="20" t="s">
        <v>8</v>
      </c>
      <c r="G277" s="861">
        <v>70.516575097743996</v>
      </c>
      <c r="H277" s="861">
        <v>70.637494473896297</v>
      </c>
      <c r="I277" s="861">
        <v>46.414250288212997</v>
      </c>
      <c r="J277" s="861">
        <v>44.997550448189997</v>
      </c>
      <c r="K277" s="982">
        <v>0</v>
      </c>
      <c r="L277" s="735">
        <v>2194</v>
      </c>
      <c r="M277" s="735">
        <v>2125</v>
      </c>
      <c r="N277" s="845">
        <f t="shared" si="33"/>
        <v>-3.1449407474931634E-2</v>
      </c>
      <c r="O277" s="735">
        <v>0.27790243407719739</v>
      </c>
      <c r="P277" s="735">
        <f t="shared" si="34"/>
        <v>7646.5685054406713</v>
      </c>
      <c r="Q277" s="849">
        <v>47.5</v>
      </c>
      <c r="R277" s="71">
        <v>85347</v>
      </c>
      <c r="S277" s="845">
        <v>0.10682352941176471</v>
      </c>
      <c r="T277" s="845">
        <v>0.11900000000000001</v>
      </c>
      <c r="U277" s="845">
        <v>0</v>
      </c>
      <c r="V277" s="845">
        <v>0.187</v>
      </c>
      <c r="W277" s="845">
        <v>0.33012512030798846</v>
      </c>
      <c r="X277" s="845">
        <v>0.42857142857142855</v>
      </c>
      <c r="Y277" s="845">
        <v>0.41694117647058826</v>
      </c>
      <c r="Z277" s="845">
        <v>0.48282352941176471</v>
      </c>
      <c r="AA277" s="845">
        <v>0</v>
      </c>
      <c r="AB277" s="845">
        <v>6.0705882352941179E-2</v>
      </c>
      <c r="AC277" s="845">
        <v>0</v>
      </c>
      <c r="AD277" s="845">
        <v>0</v>
      </c>
      <c r="AE277" s="845">
        <v>3.9529411764705882E-2</v>
      </c>
      <c r="AF277" s="845">
        <v>0</v>
      </c>
      <c r="AG277" s="845">
        <v>0.41694117647058826</v>
      </c>
      <c r="AH277" s="20" t="str">
        <f t="shared" si="35"/>
        <v>No</v>
      </c>
      <c r="AI277" s="25"/>
      <c r="AJ277" s="37">
        <v>45032</v>
      </c>
      <c r="AK277" s="37" t="s">
        <v>1537</v>
      </c>
      <c r="AL277" s="37">
        <v>39165</v>
      </c>
      <c r="AM277" s="37" t="s">
        <v>88</v>
      </c>
      <c r="AN277" s="37">
        <f t="shared" si="36"/>
        <v>17140</v>
      </c>
      <c r="AO277" s="37" t="str">
        <f t="shared" si="37"/>
        <v>Cincinnati, OH-KY-IN</v>
      </c>
      <c r="AP277" s="37" t="s">
        <v>8</v>
      </c>
      <c r="AQ277" s="25"/>
      <c r="AR277" s="25"/>
      <c r="AS277" s="25"/>
      <c r="AT277" s="25"/>
      <c r="AU277" s="36"/>
      <c r="AV277" s="36"/>
      <c r="AW277" s="36"/>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39">
        <v>45215</v>
      </c>
      <c r="BV277" s="39" t="s">
        <v>1621</v>
      </c>
      <c r="BW277" s="39" t="s">
        <v>2871</v>
      </c>
      <c r="BX277" s="39" t="s">
        <v>304</v>
      </c>
      <c r="BY277" s="71">
        <v>890</v>
      </c>
      <c r="BZ277" s="71">
        <v>980</v>
      </c>
      <c r="CA277" s="71">
        <v>1260</v>
      </c>
      <c r="CB277" s="71">
        <v>1660</v>
      </c>
      <c r="CC277" s="71">
        <v>1840</v>
      </c>
      <c r="CD277" s="25"/>
      <c r="CE277" s="200"/>
      <c r="CF277" s="200"/>
      <c r="CG277" s="200"/>
      <c r="CH277" s="200"/>
      <c r="CI277" s="200"/>
      <c r="CJ277" s="200"/>
      <c r="CK277" s="200"/>
      <c r="CL277" s="200"/>
      <c r="CM277" s="200"/>
      <c r="CN277" s="200"/>
      <c r="CO277" s="200"/>
      <c r="CP277" s="200"/>
      <c r="CQ277" s="200"/>
      <c r="CR277" s="200"/>
      <c r="CS277" s="200"/>
      <c r="CT277" s="200"/>
      <c r="CU277" s="200"/>
    </row>
    <row r="278" spans="1:99" s="17" customFormat="1" x14ac:dyDescent="0.2">
      <c r="A278" s="25"/>
      <c r="B278" s="20">
        <v>39159050501</v>
      </c>
      <c r="C278" s="20">
        <v>505.01</v>
      </c>
      <c r="D278" s="20" t="s">
        <v>85</v>
      </c>
      <c r="E278" s="20" t="s">
        <v>2830</v>
      </c>
      <c r="F278" s="20" t="s">
        <v>8</v>
      </c>
      <c r="G278" s="861">
        <v>70.504474490019405</v>
      </c>
      <c r="H278" s="861">
        <v>51.525291985228698</v>
      </c>
      <c r="I278" s="861">
        <v>42.240491917271797</v>
      </c>
      <c r="J278" s="861">
        <v>59.294870386911903</v>
      </c>
      <c r="K278" s="982">
        <v>0</v>
      </c>
      <c r="L278" s="735" t="s">
        <v>2466</v>
      </c>
      <c r="M278" s="735">
        <v>5054</v>
      </c>
      <c r="N278" s="845" t="str">
        <f t="shared" si="33"/>
        <v/>
      </c>
      <c r="O278" s="735">
        <v>3.8845518097764553</v>
      </c>
      <c r="P278" s="735">
        <f t="shared" si="34"/>
        <v>1301.0509957108393</v>
      </c>
      <c r="Q278" s="849">
        <v>42.1</v>
      </c>
      <c r="R278" s="71">
        <v>78917</v>
      </c>
      <c r="S278" s="845">
        <v>9.6921797004991678E-2</v>
      </c>
      <c r="T278" s="845">
        <v>0.03</v>
      </c>
      <c r="U278" s="845">
        <v>0</v>
      </c>
      <c r="V278" s="845">
        <v>2.2000000000000002E-2</v>
      </c>
      <c r="W278" s="845">
        <v>0.51195952161913527</v>
      </c>
      <c r="X278" s="845">
        <v>0.35040431266846361</v>
      </c>
      <c r="Y278" s="845">
        <v>0.88167787890779581</v>
      </c>
      <c r="Z278" s="845">
        <v>4.214483577364464E-2</v>
      </c>
      <c r="AA278" s="845">
        <v>0</v>
      </c>
      <c r="AB278" s="845">
        <v>7.1230708349821923E-3</v>
      </c>
      <c r="AC278" s="845">
        <v>0</v>
      </c>
      <c r="AD278" s="845">
        <v>1.2663237039968342E-2</v>
      </c>
      <c r="AE278" s="845">
        <v>5.6390977443609019E-2</v>
      </c>
      <c r="AF278" s="845">
        <v>1.9390581717451522E-2</v>
      </c>
      <c r="AG278" s="845">
        <v>0.88029283735654928</v>
      </c>
      <c r="AH278" s="20" t="str">
        <f t="shared" si="35"/>
        <v>No</v>
      </c>
      <c r="AI278" s="25"/>
      <c r="AJ278" s="37">
        <v>45034</v>
      </c>
      <c r="AK278" s="37" t="s">
        <v>1539</v>
      </c>
      <c r="AL278" s="37">
        <v>39165</v>
      </c>
      <c r="AM278" s="37" t="s">
        <v>88</v>
      </c>
      <c r="AN278" s="37">
        <f t="shared" si="36"/>
        <v>17140</v>
      </c>
      <c r="AO278" s="37" t="str">
        <f t="shared" si="37"/>
        <v>Cincinnati, OH-KY-IN</v>
      </c>
      <c r="AP278" s="37" t="s">
        <v>8</v>
      </c>
      <c r="AQ278" s="25"/>
      <c r="AR278" s="25"/>
      <c r="AS278" s="25"/>
      <c r="AT278" s="25"/>
      <c r="AU278" s="36"/>
      <c r="AV278" s="36"/>
      <c r="AW278" s="36"/>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39">
        <v>45216</v>
      </c>
      <c r="BV278" s="39" t="s">
        <v>1622</v>
      </c>
      <c r="BW278" s="39" t="s">
        <v>2871</v>
      </c>
      <c r="BX278" s="39" t="s">
        <v>304</v>
      </c>
      <c r="BY278" s="71">
        <v>850</v>
      </c>
      <c r="BZ278" s="71">
        <v>930</v>
      </c>
      <c r="CA278" s="71">
        <v>1200</v>
      </c>
      <c r="CB278" s="71">
        <v>1580</v>
      </c>
      <c r="CC278" s="71">
        <v>1750</v>
      </c>
      <c r="CD278" s="25"/>
      <c r="CE278" s="200"/>
      <c r="CF278" s="200"/>
      <c r="CG278" s="200"/>
      <c r="CH278" s="200"/>
      <c r="CI278" s="200"/>
      <c r="CJ278" s="200"/>
      <c r="CK278" s="200"/>
      <c r="CL278" s="200"/>
      <c r="CM278" s="200"/>
      <c r="CN278" s="200"/>
      <c r="CO278" s="200"/>
      <c r="CP278" s="200"/>
      <c r="CQ278" s="200"/>
      <c r="CR278" s="200"/>
      <c r="CS278" s="200"/>
      <c r="CT278" s="200"/>
      <c r="CU278" s="200"/>
    </row>
    <row r="279" spans="1:99" s="17" customFormat="1" x14ac:dyDescent="0.2">
      <c r="A279" s="25"/>
      <c r="B279" s="20">
        <v>39159050303</v>
      </c>
      <c r="C279" s="20">
        <v>503.03</v>
      </c>
      <c r="D279" s="20" t="s">
        <v>85</v>
      </c>
      <c r="E279" s="20" t="s">
        <v>2830</v>
      </c>
      <c r="F279" s="20" t="s">
        <v>8</v>
      </c>
      <c r="G279" s="861">
        <v>70.466385638239302</v>
      </c>
      <c r="H279" s="861">
        <v>79.432739676980006</v>
      </c>
      <c r="I279" s="861">
        <v>15.956112880489901</v>
      </c>
      <c r="J279" s="861">
        <v>56.089292693217899</v>
      </c>
      <c r="K279" s="982">
        <v>0</v>
      </c>
      <c r="L279" s="735">
        <v>6855</v>
      </c>
      <c r="M279" s="735">
        <v>9215</v>
      </c>
      <c r="N279" s="845">
        <f t="shared" si="33"/>
        <v>0.34427425237053244</v>
      </c>
      <c r="O279" s="735">
        <v>12.395477753756948</v>
      </c>
      <c r="P279" s="735">
        <f t="shared" si="34"/>
        <v>743.41628318497237</v>
      </c>
      <c r="Q279" s="849">
        <v>34.6</v>
      </c>
      <c r="R279" s="71">
        <v>112249</v>
      </c>
      <c r="S279" s="845">
        <v>4.3309703145768721E-2</v>
      </c>
      <c r="T279" s="845">
        <v>1.6E-2</v>
      </c>
      <c r="U279" s="845">
        <v>0</v>
      </c>
      <c r="V279" s="845">
        <v>0</v>
      </c>
      <c r="W279" s="845">
        <v>0.20154539600772697</v>
      </c>
      <c r="X279" s="845">
        <v>0.24281150159744408</v>
      </c>
      <c r="Y279" s="845">
        <v>0.87444384156266952</v>
      </c>
      <c r="Z279" s="845">
        <v>1.2805208898534997E-2</v>
      </c>
      <c r="AA279" s="845">
        <v>0</v>
      </c>
      <c r="AB279" s="845">
        <v>9.5496473141616928E-3</v>
      </c>
      <c r="AC279" s="845">
        <v>0</v>
      </c>
      <c r="AD279" s="845">
        <v>1.3022246337493217E-2</v>
      </c>
      <c r="AE279" s="845">
        <v>9.0179055887140536E-2</v>
      </c>
      <c r="AF279" s="845">
        <v>4.9050461204557784E-2</v>
      </c>
      <c r="AG279" s="845">
        <v>0.87390124796527402</v>
      </c>
      <c r="AH279" s="20" t="str">
        <f t="shared" si="35"/>
        <v>No</v>
      </c>
      <c r="AI279" s="25"/>
      <c r="AJ279" s="37">
        <v>45036</v>
      </c>
      <c r="AK279" s="37" t="s">
        <v>1540</v>
      </c>
      <c r="AL279" s="37">
        <v>39165</v>
      </c>
      <c r="AM279" s="37" t="s">
        <v>88</v>
      </c>
      <c r="AN279" s="37">
        <f t="shared" si="36"/>
        <v>17140</v>
      </c>
      <c r="AO279" s="37" t="str">
        <f t="shared" si="37"/>
        <v>Cincinnati, OH-KY-IN</v>
      </c>
      <c r="AP279" s="37" t="s">
        <v>8</v>
      </c>
      <c r="AQ279" s="25"/>
      <c r="AR279" s="25"/>
      <c r="AS279" s="25"/>
      <c r="AT279" s="25"/>
      <c r="AU279" s="36"/>
      <c r="AV279" s="36"/>
      <c r="AW279" s="36"/>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39">
        <v>45217</v>
      </c>
      <c r="BV279" s="39" t="s">
        <v>1623</v>
      </c>
      <c r="BW279" s="39" t="s">
        <v>2871</v>
      </c>
      <c r="BX279" s="39" t="s">
        <v>304</v>
      </c>
      <c r="BY279" s="71">
        <v>830</v>
      </c>
      <c r="BZ279" s="71">
        <v>910</v>
      </c>
      <c r="CA279" s="71">
        <v>1170</v>
      </c>
      <c r="CB279" s="71">
        <v>1540</v>
      </c>
      <c r="CC279" s="71">
        <v>1710</v>
      </c>
      <c r="CD279" s="25"/>
      <c r="CE279" s="200"/>
      <c r="CF279" s="200"/>
      <c r="CG279" s="200"/>
      <c r="CH279" s="200"/>
      <c r="CI279" s="200"/>
      <c r="CJ279" s="200"/>
      <c r="CK279" s="200"/>
      <c r="CL279" s="200"/>
      <c r="CM279" s="200"/>
      <c r="CN279" s="200"/>
      <c r="CO279" s="200"/>
      <c r="CP279" s="200"/>
      <c r="CQ279" s="200"/>
      <c r="CR279" s="200"/>
      <c r="CS279" s="200"/>
      <c r="CT279" s="200"/>
      <c r="CU279" s="200"/>
    </row>
    <row r="280" spans="1:99" s="17" customFormat="1" x14ac:dyDescent="0.2">
      <c r="A280" s="25"/>
      <c r="B280" s="20">
        <v>39025040301</v>
      </c>
      <c r="C280" s="20">
        <v>403.01</v>
      </c>
      <c r="D280" s="20" t="s">
        <v>19</v>
      </c>
      <c r="E280" s="20" t="s">
        <v>2828</v>
      </c>
      <c r="F280" s="20" t="s">
        <v>8</v>
      </c>
      <c r="G280" s="861">
        <v>70.448131513170495</v>
      </c>
      <c r="H280" s="861">
        <v>75.694574976693204</v>
      </c>
      <c r="I280" s="861">
        <v>16.623510215105799</v>
      </c>
      <c r="J280" s="861">
        <v>38.6309222632105</v>
      </c>
      <c r="K280" s="982">
        <v>0</v>
      </c>
      <c r="L280" s="735">
        <v>3732</v>
      </c>
      <c r="M280" s="735">
        <v>3793</v>
      </c>
      <c r="N280" s="845">
        <f t="shared" si="33"/>
        <v>1.6345123258306539E-2</v>
      </c>
      <c r="O280" s="735">
        <v>2.4232296572203182</v>
      </c>
      <c r="P280" s="735">
        <f t="shared" si="34"/>
        <v>1565.2664157102395</v>
      </c>
      <c r="Q280" s="849">
        <v>43.9</v>
      </c>
      <c r="R280" s="71">
        <v>162289</v>
      </c>
      <c r="S280" s="845">
        <v>3.2428157131558132E-2</v>
      </c>
      <c r="T280" s="845">
        <v>0.122</v>
      </c>
      <c r="U280" s="845">
        <v>0</v>
      </c>
      <c r="V280" s="845">
        <v>0</v>
      </c>
      <c r="W280" s="845">
        <v>5.9880239520958087E-3</v>
      </c>
      <c r="X280" s="845">
        <v>0</v>
      </c>
      <c r="Y280" s="845">
        <v>0.95175322963353548</v>
      </c>
      <c r="Z280" s="845">
        <v>0</v>
      </c>
      <c r="AA280" s="845">
        <v>0</v>
      </c>
      <c r="AB280" s="845">
        <v>7.9093066174532028E-3</v>
      </c>
      <c r="AC280" s="845">
        <v>0</v>
      </c>
      <c r="AD280" s="845">
        <v>0</v>
      </c>
      <c r="AE280" s="845">
        <v>4.0337463749011336E-2</v>
      </c>
      <c r="AF280" s="845">
        <v>2.6100711837595571E-2</v>
      </c>
      <c r="AG280" s="845">
        <v>0.94094384392301611</v>
      </c>
      <c r="AH280" s="20" t="str">
        <f t="shared" si="35"/>
        <v>Yes</v>
      </c>
      <c r="AI280" s="25"/>
      <c r="AJ280" s="37">
        <v>45039</v>
      </c>
      <c r="AK280" s="37" t="s">
        <v>1541</v>
      </c>
      <c r="AL280" s="37">
        <v>39165</v>
      </c>
      <c r="AM280" s="37" t="s">
        <v>88</v>
      </c>
      <c r="AN280" s="37">
        <f t="shared" si="36"/>
        <v>17140</v>
      </c>
      <c r="AO280" s="37" t="str">
        <f t="shared" si="37"/>
        <v>Cincinnati, OH-KY-IN</v>
      </c>
      <c r="AP280" s="37" t="s">
        <v>8</v>
      </c>
      <c r="AQ280" s="25"/>
      <c r="AR280" s="25"/>
      <c r="AS280" s="25"/>
      <c r="AT280" s="25"/>
      <c r="AU280" s="36"/>
      <c r="AV280" s="36"/>
      <c r="AW280" s="36"/>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39">
        <v>45218</v>
      </c>
      <c r="BV280" s="39" t="s">
        <v>1624</v>
      </c>
      <c r="BW280" s="39" t="s">
        <v>2871</v>
      </c>
      <c r="BX280" s="39" t="s">
        <v>304</v>
      </c>
      <c r="BY280" s="71">
        <v>950</v>
      </c>
      <c r="BZ280" s="71">
        <v>1040</v>
      </c>
      <c r="CA280" s="71">
        <v>1340</v>
      </c>
      <c r="CB280" s="71">
        <v>1770</v>
      </c>
      <c r="CC280" s="71">
        <v>1960</v>
      </c>
      <c r="CD280" s="25"/>
      <c r="CE280" s="200"/>
      <c r="CF280" s="200"/>
      <c r="CG280" s="200"/>
      <c r="CH280" s="200"/>
      <c r="CI280" s="200"/>
      <c r="CJ280" s="200"/>
      <c r="CK280" s="200"/>
      <c r="CL280" s="200"/>
      <c r="CM280" s="200"/>
      <c r="CN280" s="200"/>
      <c r="CO280" s="200"/>
      <c r="CP280" s="200"/>
      <c r="CQ280" s="200"/>
      <c r="CR280" s="200"/>
      <c r="CS280" s="200"/>
      <c r="CT280" s="200"/>
      <c r="CU280" s="200"/>
    </row>
    <row r="281" spans="1:99" s="17" customFormat="1" x14ac:dyDescent="0.2">
      <c r="A281" s="25"/>
      <c r="B281" s="20">
        <v>39057210300</v>
      </c>
      <c r="C281" s="20">
        <v>2103</v>
      </c>
      <c r="D281" s="20" t="s">
        <v>35</v>
      </c>
      <c r="E281" s="20" t="s">
        <v>2833</v>
      </c>
      <c r="F281" s="20" t="s">
        <v>8</v>
      </c>
      <c r="G281" s="861">
        <v>70.444849195001495</v>
      </c>
      <c r="H281" s="861">
        <v>64.120032754583704</v>
      </c>
      <c r="I281" s="861">
        <v>20.9836590892596</v>
      </c>
      <c r="J281" s="861">
        <v>51.681179459951103</v>
      </c>
      <c r="K281" s="982">
        <v>0</v>
      </c>
      <c r="L281" s="735">
        <v>3497</v>
      </c>
      <c r="M281" s="735">
        <v>3803</v>
      </c>
      <c r="N281" s="845">
        <f t="shared" si="33"/>
        <v>8.7503574492422076E-2</v>
      </c>
      <c r="O281" s="735">
        <v>3.6507511225601728</v>
      </c>
      <c r="P281" s="735">
        <f t="shared" si="34"/>
        <v>1041.7034391906341</v>
      </c>
      <c r="Q281" s="849">
        <v>41.4</v>
      </c>
      <c r="R281" s="71">
        <v>113475</v>
      </c>
      <c r="S281" s="845">
        <v>3.3147706178732431E-2</v>
      </c>
      <c r="T281" s="845">
        <v>0.02</v>
      </c>
      <c r="U281" s="845">
        <v>0</v>
      </c>
      <c r="V281" s="845">
        <v>0</v>
      </c>
      <c r="W281" s="845">
        <v>0.14059269469331495</v>
      </c>
      <c r="X281" s="845">
        <v>0.25</v>
      </c>
      <c r="Y281" s="845">
        <v>0.93794372863528797</v>
      </c>
      <c r="Z281" s="845">
        <v>1.288456481724954E-2</v>
      </c>
      <c r="AA281" s="845">
        <v>0</v>
      </c>
      <c r="AB281" s="845">
        <v>7.8885090717854319E-3</v>
      </c>
      <c r="AC281" s="845">
        <v>0</v>
      </c>
      <c r="AD281" s="845">
        <v>5.2590060478569546E-3</v>
      </c>
      <c r="AE281" s="845">
        <v>3.6024191427820144E-2</v>
      </c>
      <c r="AF281" s="845">
        <v>1.9458322377070732E-2</v>
      </c>
      <c r="AG281" s="845">
        <v>0.93373652379700234</v>
      </c>
      <c r="AH281" s="20" t="str">
        <f t="shared" si="35"/>
        <v>Yes</v>
      </c>
      <c r="AI281" s="25"/>
      <c r="AJ281" s="37">
        <v>45042</v>
      </c>
      <c r="AK281" s="37" t="s">
        <v>1544</v>
      </c>
      <c r="AL281" s="37">
        <v>39165</v>
      </c>
      <c r="AM281" s="37" t="s">
        <v>88</v>
      </c>
      <c r="AN281" s="37">
        <f t="shared" si="36"/>
        <v>17140</v>
      </c>
      <c r="AO281" s="37" t="str">
        <f t="shared" si="37"/>
        <v>Cincinnati, OH-KY-IN</v>
      </c>
      <c r="AP281" s="37" t="s">
        <v>8</v>
      </c>
      <c r="AQ281" s="25"/>
      <c r="AR281" s="25"/>
      <c r="AS281" s="25"/>
      <c r="AT281" s="25"/>
      <c r="AU281" s="36"/>
      <c r="AV281" s="36"/>
      <c r="AW281" s="36"/>
      <c r="AX281" s="25"/>
      <c r="AY281" s="25"/>
      <c r="AZ281" s="25"/>
      <c r="BA281" s="25"/>
      <c r="BB281" s="25"/>
      <c r="BC281" s="25"/>
      <c r="BD281" s="25"/>
      <c r="BE281" s="25"/>
      <c r="BF281" s="25"/>
      <c r="BG281" s="25"/>
      <c r="BH281" s="25"/>
      <c r="BI281" s="25"/>
      <c r="BJ281" s="25"/>
      <c r="BK281" s="25"/>
      <c r="BL281" s="25"/>
      <c r="BM281" s="25"/>
      <c r="BN281" s="25"/>
      <c r="BO281" s="25"/>
      <c r="BP281" s="25"/>
      <c r="BQ281" s="25"/>
      <c r="BR281" s="25"/>
      <c r="BS281" s="25"/>
      <c r="BT281" s="25"/>
      <c r="BU281" s="39">
        <v>45219</v>
      </c>
      <c r="BV281" s="39" t="s">
        <v>1625</v>
      </c>
      <c r="BW281" s="39" t="s">
        <v>2871</v>
      </c>
      <c r="BX281" s="39" t="s">
        <v>304</v>
      </c>
      <c r="BY281" s="71">
        <v>1120</v>
      </c>
      <c r="BZ281" s="71">
        <v>1230</v>
      </c>
      <c r="CA281" s="71">
        <v>1580</v>
      </c>
      <c r="CB281" s="71">
        <v>2080</v>
      </c>
      <c r="CC281" s="71">
        <v>2310</v>
      </c>
      <c r="CD281" s="25"/>
      <c r="CE281" s="200"/>
      <c r="CF281" s="200"/>
      <c r="CG281" s="200"/>
      <c r="CH281" s="200"/>
      <c r="CI281" s="200"/>
      <c r="CJ281" s="200"/>
      <c r="CK281" s="200"/>
      <c r="CL281" s="200"/>
      <c r="CM281" s="200"/>
      <c r="CN281" s="200"/>
      <c r="CO281" s="200"/>
      <c r="CP281" s="200"/>
      <c r="CQ281" s="200"/>
      <c r="CR281" s="200"/>
      <c r="CS281" s="200"/>
      <c r="CT281" s="200"/>
      <c r="CU281" s="200"/>
    </row>
    <row r="282" spans="1:99" s="17" customFormat="1" x14ac:dyDescent="0.2">
      <c r="A282" s="25"/>
      <c r="B282" s="20">
        <v>39113040305</v>
      </c>
      <c r="C282" s="20">
        <v>403.05</v>
      </c>
      <c r="D282" s="20" t="s">
        <v>62</v>
      </c>
      <c r="E282" s="20" t="s">
        <v>2833</v>
      </c>
      <c r="F282" s="20" t="s">
        <v>8</v>
      </c>
      <c r="G282" s="861">
        <v>70.412740669684794</v>
      </c>
      <c r="H282" s="861">
        <v>68.617414141352697</v>
      </c>
      <c r="I282" s="861">
        <v>16.3803163217706</v>
      </c>
      <c r="J282" s="861">
        <v>48.825038739552802</v>
      </c>
      <c r="K282" s="982">
        <v>0</v>
      </c>
      <c r="L282" s="735">
        <v>2876</v>
      </c>
      <c r="M282" s="735">
        <v>3182</v>
      </c>
      <c r="N282" s="845">
        <f t="shared" si="33"/>
        <v>0.10639777468706536</v>
      </c>
      <c r="O282" s="735">
        <v>3.1514295252884388</v>
      </c>
      <c r="P282" s="735">
        <f t="shared" si="34"/>
        <v>1009.7005103449881</v>
      </c>
      <c r="Q282" s="849">
        <v>42.3</v>
      </c>
      <c r="R282" s="71">
        <v>187083</v>
      </c>
      <c r="S282" s="845">
        <v>2.4512884978001259E-2</v>
      </c>
      <c r="T282" s="845">
        <v>1.3999999999999999E-2</v>
      </c>
      <c r="U282" s="845">
        <v>0</v>
      </c>
      <c r="V282" s="845">
        <v>0.9</v>
      </c>
      <c r="W282" s="845">
        <v>5.3908355795148251E-3</v>
      </c>
      <c r="X282" s="845">
        <v>0</v>
      </c>
      <c r="Y282" s="845">
        <v>0.78221244500314269</v>
      </c>
      <c r="Z282" s="845">
        <v>4.1797611565053426E-2</v>
      </c>
      <c r="AA282" s="845">
        <v>0</v>
      </c>
      <c r="AB282" s="845">
        <v>0.12350722815839095</v>
      </c>
      <c r="AC282" s="845">
        <v>0</v>
      </c>
      <c r="AD282" s="845">
        <v>0</v>
      </c>
      <c r="AE282" s="845">
        <v>5.2482715273412951E-2</v>
      </c>
      <c r="AF282" s="845">
        <v>1.5713387806411062E-2</v>
      </c>
      <c r="AG282" s="845">
        <v>0.77152734129478318</v>
      </c>
      <c r="AH282" s="20" t="str">
        <f t="shared" si="35"/>
        <v>No</v>
      </c>
      <c r="AI282" s="25"/>
      <c r="AJ282" s="37">
        <v>45044</v>
      </c>
      <c r="AK282" s="37" t="s">
        <v>1545</v>
      </c>
      <c r="AL282" s="37">
        <v>39165</v>
      </c>
      <c r="AM282" s="37" t="s">
        <v>88</v>
      </c>
      <c r="AN282" s="37">
        <f t="shared" si="36"/>
        <v>17140</v>
      </c>
      <c r="AO282" s="37" t="str">
        <f t="shared" si="37"/>
        <v>Cincinnati, OH-KY-IN</v>
      </c>
      <c r="AP282" s="37" t="s">
        <v>8</v>
      </c>
      <c r="AQ282" s="25"/>
      <c r="AR282" s="25"/>
      <c r="AS282" s="25"/>
      <c r="AT282" s="25"/>
      <c r="AU282" s="36"/>
      <c r="AV282" s="36"/>
      <c r="AW282" s="36"/>
      <c r="AX282" s="25"/>
      <c r="AY282" s="25"/>
      <c r="AZ282" s="25"/>
      <c r="BA282" s="25"/>
      <c r="BB282" s="25"/>
      <c r="BC282" s="25"/>
      <c r="BD282" s="25"/>
      <c r="BE282" s="25"/>
      <c r="BF282" s="25"/>
      <c r="BG282" s="25"/>
      <c r="BH282" s="25"/>
      <c r="BI282" s="25"/>
      <c r="BJ282" s="25"/>
      <c r="BK282" s="25"/>
      <c r="BL282" s="25"/>
      <c r="BM282" s="25"/>
      <c r="BN282" s="25"/>
      <c r="BO282" s="25"/>
      <c r="BP282" s="25"/>
      <c r="BQ282" s="25"/>
      <c r="BR282" s="25"/>
      <c r="BS282" s="25"/>
      <c r="BT282" s="25"/>
      <c r="BU282" s="39">
        <v>45220</v>
      </c>
      <c r="BV282" s="39" t="s">
        <v>1626</v>
      </c>
      <c r="BW282" s="39" t="s">
        <v>2871</v>
      </c>
      <c r="BX282" s="39" t="s">
        <v>304</v>
      </c>
      <c r="BY282" s="71">
        <v>980</v>
      </c>
      <c r="BZ282" s="71">
        <v>1080</v>
      </c>
      <c r="CA282" s="71">
        <v>1390</v>
      </c>
      <c r="CB282" s="71">
        <v>1830</v>
      </c>
      <c r="CC282" s="71">
        <v>2030</v>
      </c>
      <c r="CD282" s="25"/>
      <c r="CE282" s="200"/>
      <c r="CF282" s="200"/>
      <c r="CG282" s="200"/>
      <c r="CH282" s="200"/>
      <c r="CI282" s="200"/>
      <c r="CJ282" s="200"/>
      <c r="CK282" s="200"/>
      <c r="CL282" s="200"/>
      <c r="CM282" s="200"/>
      <c r="CN282" s="200"/>
      <c r="CO282" s="200"/>
      <c r="CP282" s="200"/>
      <c r="CQ282" s="200"/>
      <c r="CR282" s="200"/>
      <c r="CS282" s="200"/>
      <c r="CT282" s="200"/>
      <c r="CU282" s="200"/>
    </row>
    <row r="283" spans="1:99" s="17" customFormat="1" x14ac:dyDescent="0.2">
      <c r="A283" s="25"/>
      <c r="B283" s="20">
        <v>39061026001</v>
      </c>
      <c r="C283" s="20">
        <v>260.01</v>
      </c>
      <c r="D283" s="20" t="s">
        <v>37</v>
      </c>
      <c r="E283" s="20" t="s">
        <v>2828</v>
      </c>
      <c r="F283" s="20" t="s">
        <v>8</v>
      </c>
      <c r="G283" s="861">
        <v>70.313287399957602</v>
      </c>
      <c r="H283" s="861">
        <v>79.326873178256903</v>
      </c>
      <c r="I283" s="861">
        <v>16.207552460495599</v>
      </c>
      <c r="J283" s="861">
        <v>44.1222596740323</v>
      </c>
      <c r="K283" s="982">
        <v>0</v>
      </c>
      <c r="L283" s="735">
        <v>4909</v>
      </c>
      <c r="M283" s="735">
        <v>4989</v>
      </c>
      <c r="N283" s="845">
        <f t="shared" si="33"/>
        <v>1.6296598085149726E-2</v>
      </c>
      <c r="O283" s="735">
        <v>10.075550887374538</v>
      </c>
      <c r="P283" s="735">
        <f t="shared" si="34"/>
        <v>495.15902959227884</v>
      </c>
      <c r="Q283" s="849">
        <v>41.7</v>
      </c>
      <c r="R283" s="71">
        <v>133261</v>
      </c>
      <c r="S283" s="845">
        <v>2.6722925457102673E-2</v>
      </c>
      <c r="T283" s="845">
        <v>1.4999999999999999E-2</v>
      </c>
      <c r="U283" s="845">
        <v>0</v>
      </c>
      <c r="V283" s="845">
        <v>0</v>
      </c>
      <c r="W283" s="845">
        <v>2.7904328018223234E-2</v>
      </c>
      <c r="X283" s="845">
        <v>0.34693877551020408</v>
      </c>
      <c r="Y283" s="845">
        <v>0.95449989977951488</v>
      </c>
      <c r="Z283" s="845">
        <v>5.8127881338945683E-3</v>
      </c>
      <c r="AA283" s="845">
        <v>0</v>
      </c>
      <c r="AB283" s="845">
        <v>1.2828222088594909E-2</v>
      </c>
      <c r="AC283" s="845">
        <v>0</v>
      </c>
      <c r="AD283" s="845">
        <v>0</v>
      </c>
      <c r="AE283" s="845">
        <v>2.6859089997995592E-2</v>
      </c>
      <c r="AF283" s="845">
        <v>1.0623371417117659E-2</v>
      </c>
      <c r="AG283" s="845">
        <v>0.95249549007817202</v>
      </c>
      <c r="AH283" s="20" t="str">
        <f t="shared" si="35"/>
        <v>Yes</v>
      </c>
      <c r="AI283" s="25"/>
      <c r="AJ283" s="37">
        <v>45050</v>
      </c>
      <c r="AK283" s="37" t="s">
        <v>1546</v>
      </c>
      <c r="AL283" s="37">
        <v>39165</v>
      </c>
      <c r="AM283" s="37" t="s">
        <v>88</v>
      </c>
      <c r="AN283" s="37">
        <f t="shared" si="36"/>
        <v>17140</v>
      </c>
      <c r="AO283" s="37" t="str">
        <f t="shared" si="37"/>
        <v>Cincinnati, OH-KY-IN</v>
      </c>
      <c r="AP283" s="37" t="s">
        <v>8</v>
      </c>
      <c r="AQ283" s="25"/>
      <c r="AR283" s="25"/>
      <c r="AS283" s="25"/>
      <c r="AT283" s="25"/>
      <c r="AU283" s="36"/>
      <c r="AV283" s="36"/>
      <c r="AW283" s="36"/>
      <c r="AX283" s="25"/>
      <c r="AY283" s="25"/>
      <c r="AZ283" s="25"/>
      <c r="BA283" s="25"/>
      <c r="BB283" s="25"/>
      <c r="BC283" s="25"/>
      <c r="BD283" s="25"/>
      <c r="BE283" s="25"/>
      <c r="BF283" s="25"/>
      <c r="BG283" s="25"/>
      <c r="BH283" s="25"/>
      <c r="BI283" s="25"/>
      <c r="BJ283" s="25"/>
      <c r="BK283" s="25"/>
      <c r="BL283" s="25"/>
      <c r="BM283" s="25"/>
      <c r="BN283" s="25"/>
      <c r="BO283" s="25"/>
      <c r="BP283" s="25"/>
      <c r="BQ283" s="25"/>
      <c r="BR283" s="25"/>
      <c r="BS283" s="25"/>
      <c r="BT283" s="25"/>
      <c r="BU283" s="39">
        <v>45223</v>
      </c>
      <c r="BV283" s="39" t="s">
        <v>1627</v>
      </c>
      <c r="BW283" s="39" t="s">
        <v>2871</v>
      </c>
      <c r="BX283" s="39" t="s">
        <v>304</v>
      </c>
      <c r="BY283" s="71">
        <v>840</v>
      </c>
      <c r="BZ283" s="71">
        <v>920</v>
      </c>
      <c r="CA283" s="71">
        <v>1180</v>
      </c>
      <c r="CB283" s="71">
        <v>1560</v>
      </c>
      <c r="CC283" s="71">
        <v>1720</v>
      </c>
      <c r="CD283" s="25"/>
      <c r="CE283" s="200"/>
      <c r="CF283" s="200"/>
      <c r="CG283" s="200"/>
      <c r="CH283" s="200"/>
      <c r="CI283" s="200"/>
      <c r="CJ283" s="200"/>
      <c r="CK283" s="200"/>
      <c r="CL283" s="200"/>
      <c r="CM283" s="200"/>
      <c r="CN283" s="200"/>
      <c r="CO283" s="200"/>
      <c r="CP283" s="200"/>
      <c r="CQ283" s="200"/>
      <c r="CR283" s="200"/>
      <c r="CS283" s="200"/>
      <c r="CT283" s="200"/>
      <c r="CU283" s="200"/>
    </row>
    <row r="284" spans="1:99" s="17" customFormat="1" x14ac:dyDescent="0.2">
      <c r="A284" s="25"/>
      <c r="B284" s="20">
        <v>39035187104</v>
      </c>
      <c r="C284" s="20">
        <v>1871.04</v>
      </c>
      <c r="D284" s="20" t="s">
        <v>24</v>
      </c>
      <c r="E284" s="20" t="s">
        <v>2829</v>
      </c>
      <c r="F284" s="20" t="s">
        <v>8</v>
      </c>
      <c r="G284" s="861">
        <v>70.293656468168507</v>
      </c>
      <c r="H284" s="861">
        <v>77.410478473342906</v>
      </c>
      <c r="I284" s="861">
        <v>36.853218068537103</v>
      </c>
      <c r="J284" s="861">
        <v>51.258662100845903</v>
      </c>
      <c r="K284" s="982">
        <v>0</v>
      </c>
      <c r="L284" s="735">
        <v>3275</v>
      </c>
      <c r="M284" s="735">
        <v>3032</v>
      </c>
      <c r="N284" s="845">
        <f t="shared" si="33"/>
        <v>-7.4198473282442751E-2</v>
      </c>
      <c r="O284" s="735">
        <v>0.45188354165842098</v>
      </c>
      <c r="P284" s="735">
        <f t="shared" si="34"/>
        <v>6709.6933623041541</v>
      </c>
      <c r="Q284" s="849">
        <v>35</v>
      </c>
      <c r="R284" s="71">
        <v>125658</v>
      </c>
      <c r="S284" s="845">
        <v>8.1794195250659632E-2</v>
      </c>
      <c r="T284" s="845">
        <v>4.4999999999999998E-2</v>
      </c>
      <c r="U284" s="845">
        <v>3.7000000000000005E-2</v>
      </c>
      <c r="V284" s="845">
        <v>0</v>
      </c>
      <c r="W284" s="845">
        <v>0.31506849315068491</v>
      </c>
      <c r="X284" s="845">
        <v>0.59661835748792269</v>
      </c>
      <c r="Y284" s="845">
        <v>0.70679419525065967</v>
      </c>
      <c r="Z284" s="845">
        <v>0.1945910290237467</v>
      </c>
      <c r="AA284" s="845">
        <v>5.6068601583113458E-3</v>
      </c>
      <c r="AB284" s="845">
        <v>0</v>
      </c>
      <c r="AC284" s="845">
        <v>0</v>
      </c>
      <c r="AD284" s="845">
        <v>5.9366754617414244E-3</v>
      </c>
      <c r="AE284" s="845">
        <v>8.7071240105540904E-2</v>
      </c>
      <c r="AF284" s="845">
        <v>4.7493403693931395E-2</v>
      </c>
      <c r="AG284" s="845">
        <v>0.69821899736147752</v>
      </c>
      <c r="AH284" s="20" t="str">
        <f t="shared" si="35"/>
        <v>No</v>
      </c>
      <c r="AI284" s="25"/>
      <c r="AJ284" s="37">
        <v>45054</v>
      </c>
      <c r="AK284" s="37" t="s">
        <v>1550</v>
      </c>
      <c r="AL284" s="37">
        <v>39165</v>
      </c>
      <c r="AM284" s="37" t="s">
        <v>88</v>
      </c>
      <c r="AN284" s="37">
        <f t="shared" si="36"/>
        <v>17140</v>
      </c>
      <c r="AO284" s="37" t="str">
        <f t="shared" si="37"/>
        <v>Cincinnati, OH-KY-IN</v>
      </c>
      <c r="AP284" s="37" t="s">
        <v>8</v>
      </c>
      <c r="AQ284" s="25"/>
      <c r="AR284" s="25"/>
      <c r="AS284" s="25"/>
      <c r="AT284" s="25"/>
      <c r="AU284" s="36"/>
      <c r="AV284" s="36"/>
      <c r="AW284" s="36"/>
      <c r="AX284" s="25"/>
      <c r="AY284" s="25"/>
      <c r="AZ284" s="25"/>
      <c r="BA284" s="25"/>
      <c r="BB284" s="25"/>
      <c r="BC284" s="25"/>
      <c r="BD284" s="25"/>
      <c r="BE284" s="25"/>
      <c r="BF284" s="25"/>
      <c r="BG284" s="25"/>
      <c r="BH284" s="25"/>
      <c r="BI284" s="25"/>
      <c r="BJ284" s="25"/>
      <c r="BK284" s="25"/>
      <c r="BL284" s="25"/>
      <c r="BM284" s="25"/>
      <c r="BN284" s="25"/>
      <c r="BO284" s="25"/>
      <c r="BP284" s="25"/>
      <c r="BQ284" s="25"/>
      <c r="BR284" s="25"/>
      <c r="BS284" s="25"/>
      <c r="BT284" s="25"/>
      <c r="BU284" s="39">
        <v>45224</v>
      </c>
      <c r="BV284" s="39" t="s">
        <v>1628</v>
      </c>
      <c r="BW284" s="39" t="s">
        <v>2871</v>
      </c>
      <c r="BX284" s="39" t="s">
        <v>304</v>
      </c>
      <c r="BY284" s="71">
        <v>800</v>
      </c>
      <c r="BZ284" s="71">
        <v>880</v>
      </c>
      <c r="CA284" s="71">
        <v>1130</v>
      </c>
      <c r="CB284" s="71">
        <v>1490</v>
      </c>
      <c r="CC284" s="71">
        <v>1650</v>
      </c>
      <c r="CD284" s="25"/>
      <c r="CE284" s="200"/>
      <c r="CF284" s="200"/>
      <c r="CG284" s="200"/>
      <c r="CH284" s="200"/>
      <c r="CI284" s="200"/>
      <c r="CJ284" s="200"/>
      <c r="CK284" s="200"/>
      <c r="CL284" s="200"/>
      <c r="CM284" s="200"/>
      <c r="CN284" s="200"/>
      <c r="CO284" s="200"/>
      <c r="CP284" s="200"/>
      <c r="CQ284" s="200"/>
      <c r="CR284" s="200"/>
      <c r="CS284" s="200"/>
      <c r="CT284" s="200"/>
      <c r="CU284" s="200"/>
    </row>
    <row r="285" spans="1:99" s="17" customFormat="1" x14ac:dyDescent="0.2">
      <c r="A285" s="25"/>
      <c r="B285" s="20">
        <v>39043041400</v>
      </c>
      <c r="C285" s="20">
        <v>414</v>
      </c>
      <c r="D285" s="20" t="s">
        <v>28</v>
      </c>
      <c r="E285" s="20" t="s">
        <v>2837</v>
      </c>
      <c r="F285" s="20" t="s">
        <v>8</v>
      </c>
      <c r="G285" s="861">
        <v>70.288897732743607</v>
      </c>
      <c r="H285" s="861">
        <v>50.804710907855402</v>
      </c>
      <c r="I285" s="861">
        <v>26.977369421077899</v>
      </c>
      <c r="J285" s="861">
        <v>34.531550518832901</v>
      </c>
      <c r="K285" s="982">
        <v>0</v>
      </c>
      <c r="L285" s="735">
        <v>2644</v>
      </c>
      <c r="M285" s="735">
        <v>2871</v>
      </c>
      <c r="N285" s="845">
        <f t="shared" si="33"/>
        <v>8.5854765506807873E-2</v>
      </c>
      <c r="O285" s="735">
        <v>1.6485890354145294</v>
      </c>
      <c r="P285" s="735">
        <f t="shared" si="34"/>
        <v>1741.4891997495918</v>
      </c>
      <c r="Q285" s="849">
        <v>43</v>
      </c>
      <c r="R285" s="71">
        <v>74250</v>
      </c>
      <c r="S285" s="845">
        <v>8.6143843965867536E-2</v>
      </c>
      <c r="T285" s="845">
        <v>2.6000000000000002E-2</v>
      </c>
      <c r="U285" s="845">
        <v>0</v>
      </c>
      <c r="V285" s="845">
        <v>7.9000000000000001E-2</v>
      </c>
      <c r="W285" s="845">
        <v>0.27401129943502822</v>
      </c>
      <c r="X285" s="845">
        <v>0.40549828178694158</v>
      </c>
      <c r="Y285" s="845">
        <v>0.81086729362591436</v>
      </c>
      <c r="Z285" s="845">
        <v>0.10936955764541971</v>
      </c>
      <c r="AA285" s="845">
        <v>0</v>
      </c>
      <c r="AB285" s="845">
        <v>0</v>
      </c>
      <c r="AC285" s="845">
        <v>0</v>
      </c>
      <c r="AD285" s="845">
        <v>6.269592476489028E-3</v>
      </c>
      <c r="AE285" s="845">
        <v>7.3493556252176948E-2</v>
      </c>
      <c r="AF285" s="845">
        <v>1.8460466736328805E-2</v>
      </c>
      <c r="AG285" s="845">
        <v>0.80146290491118077</v>
      </c>
      <c r="AH285" s="20" t="str">
        <f t="shared" si="35"/>
        <v>No</v>
      </c>
      <c r="AI285" s="25"/>
      <c r="AJ285" s="37">
        <v>45065</v>
      </c>
      <c r="AK285" s="37" t="s">
        <v>1555</v>
      </c>
      <c r="AL285" s="37">
        <v>39165</v>
      </c>
      <c r="AM285" s="37" t="s">
        <v>88</v>
      </c>
      <c r="AN285" s="37">
        <f t="shared" si="36"/>
        <v>17140</v>
      </c>
      <c r="AO285" s="37" t="str">
        <f t="shared" si="37"/>
        <v>Cincinnati, OH-KY-IN</v>
      </c>
      <c r="AP285" s="37" t="s">
        <v>8</v>
      </c>
      <c r="AQ285" s="25"/>
      <c r="AR285" s="25"/>
      <c r="AS285" s="25"/>
      <c r="AT285" s="25"/>
      <c r="AU285" s="36"/>
      <c r="AV285" s="36"/>
      <c r="AW285" s="36"/>
      <c r="AX285" s="25"/>
      <c r="AY285" s="25"/>
      <c r="AZ285" s="25"/>
      <c r="BA285" s="25"/>
      <c r="BB285" s="25"/>
      <c r="BC285" s="25"/>
      <c r="BD285" s="25"/>
      <c r="BE285" s="25"/>
      <c r="BF285" s="25"/>
      <c r="BG285" s="25"/>
      <c r="BH285" s="25"/>
      <c r="BI285" s="25"/>
      <c r="BJ285" s="25"/>
      <c r="BK285" s="25"/>
      <c r="BL285" s="25"/>
      <c r="BM285" s="25"/>
      <c r="BN285" s="25"/>
      <c r="BO285" s="25"/>
      <c r="BP285" s="25"/>
      <c r="BQ285" s="25"/>
      <c r="BR285" s="25"/>
      <c r="BS285" s="25"/>
      <c r="BT285" s="25"/>
      <c r="BU285" s="39">
        <v>45225</v>
      </c>
      <c r="BV285" s="39" t="s">
        <v>1629</v>
      </c>
      <c r="BW285" s="39" t="s">
        <v>2871</v>
      </c>
      <c r="BX285" s="39" t="s">
        <v>304</v>
      </c>
      <c r="BY285" s="71">
        <v>730</v>
      </c>
      <c r="BZ285" s="71">
        <v>800</v>
      </c>
      <c r="CA285" s="71">
        <v>1030</v>
      </c>
      <c r="CB285" s="71">
        <v>1360</v>
      </c>
      <c r="CC285" s="71">
        <v>1500</v>
      </c>
      <c r="CD285" s="25"/>
      <c r="CE285" s="200"/>
      <c r="CF285" s="200"/>
      <c r="CG285" s="200"/>
      <c r="CH285" s="200"/>
      <c r="CI285" s="200"/>
      <c r="CJ285" s="200"/>
      <c r="CK285" s="200"/>
      <c r="CL285" s="200"/>
      <c r="CM285" s="200"/>
      <c r="CN285" s="200"/>
      <c r="CO285" s="200"/>
      <c r="CP285" s="200"/>
      <c r="CQ285" s="200"/>
      <c r="CR285" s="200"/>
      <c r="CS285" s="200"/>
      <c r="CT285" s="200"/>
      <c r="CU285" s="200"/>
    </row>
    <row r="286" spans="1:99" s="17" customFormat="1" x14ac:dyDescent="0.2">
      <c r="A286" s="25"/>
      <c r="B286" s="20">
        <v>39061004900</v>
      </c>
      <c r="C286" s="20">
        <v>49</v>
      </c>
      <c r="D286" s="20" t="s">
        <v>37</v>
      </c>
      <c r="E286" s="20" t="s">
        <v>2828</v>
      </c>
      <c r="F286" s="20" t="s">
        <v>8</v>
      </c>
      <c r="G286" s="861">
        <v>70.2413077077032</v>
      </c>
      <c r="H286" s="861">
        <v>83.080311419623897</v>
      </c>
      <c r="I286" s="861">
        <v>32.365936922567698</v>
      </c>
      <c r="J286" s="861">
        <v>43.457548045411698</v>
      </c>
      <c r="K286" s="982">
        <v>0</v>
      </c>
      <c r="L286" s="735">
        <v>6892</v>
      </c>
      <c r="M286" s="735">
        <v>6078</v>
      </c>
      <c r="N286" s="845">
        <f t="shared" si="33"/>
        <v>-0.11810795124782357</v>
      </c>
      <c r="O286" s="735">
        <v>1.7852908212771681</v>
      </c>
      <c r="P286" s="735">
        <f t="shared" si="34"/>
        <v>3404.4873404165587</v>
      </c>
      <c r="Q286" s="849">
        <v>34.5</v>
      </c>
      <c r="R286" s="71">
        <v>112813</v>
      </c>
      <c r="S286" s="845">
        <v>3.2411977624218491E-2</v>
      </c>
      <c r="T286" s="845">
        <v>1.6E-2</v>
      </c>
      <c r="U286" s="845">
        <v>0</v>
      </c>
      <c r="V286" s="845">
        <v>4.2000000000000003E-2</v>
      </c>
      <c r="W286" s="845">
        <v>0.37617351893816769</v>
      </c>
      <c r="X286" s="845">
        <v>0.35197934595524955</v>
      </c>
      <c r="Y286" s="845">
        <v>0.84452122408687069</v>
      </c>
      <c r="Z286" s="845">
        <v>2.9121421520236921E-2</v>
      </c>
      <c r="AA286" s="845">
        <v>0</v>
      </c>
      <c r="AB286" s="845">
        <v>9.6248766041461001E-2</v>
      </c>
      <c r="AC286" s="845">
        <v>0</v>
      </c>
      <c r="AD286" s="845">
        <v>7.4037512339585393E-3</v>
      </c>
      <c r="AE286" s="845">
        <v>2.2704837117472853E-2</v>
      </c>
      <c r="AF286" s="845">
        <v>3.4715366897005592E-2</v>
      </c>
      <c r="AG286" s="845">
        <v>0.82198091477459689</v>
      </c>
      <c r="AH286" s="20" t="str">
        <f t="shared" si="35"/>
        <v>No</v>
      </c>
      <c r="AI286" s="25"/>
      <c r="AJ286" s="37">
        <v>45066</v>
      </c>
      <c r="AK286" s="37" t="s">
        <v>1556</v>
      </c>
      <c r="AL286" s="37">
        <v>39165</v>
      </c>
      <c r="AM286" s="37" t="s">
        <v>88</v>
      </c>
      <c r="AN286" s="37">
        <f t="shared" si="36"/>
        <v>17140</v>
      </c>
      <c r="AO286" s="37" t="str">
        <f t="shared" si="37"/>
        <v>Cincinnati, OH-KY-IN</v>
      </c>
      <c r="AP286" s="37" t="s">
        <v>8</v>
      </c>
      <c r="AQ286" s="25"/>
      <c r="AR286" s="25"/>
      <c r="AS286" s="25"/>
      <c r="AT286" s="25"/>
      <c r="AU286" s="36"/>
      <c r="AV286" s="36"/>
      <c r="AW286" s="36"/>
      <c r="AX286" s="25"/>
      <c r="AY286" s="25"/>
      <c r="AZ286" s="25"/>
      <c r="BA286" s="25"/>
      <c r="BB286" s="25"/>
      <c r="BC286" s="25"/>
      <c r="BD286" s="25"/>
      <c r="BE286" s="25"/>
      <c r="BF286" s="25"/>
      <c r="BG286" s="25"/>
      <c r="BH286" s="25"/>
      <c r="BI286" s="25"/>
      <c r="BJ286" s="25"/>
      <c r="BK286" s="25"/>
      <c r="BL286" s="25"/>
      <c r="BM286" s="25"/>
      <c r="BN286" s="25"/>
      <c r="BO286" s="25"/>
      <c r="BP286" s="25"/>
      <c r="BQ286" s="25"/>
      <c r="BR286" s="25"/>
      <c r="BS286" s="25"/>
      <c r="BT286" s="25"/>
      <c r="BU286" s="39">
        <v>45226</v>
      </c>
      <c r="BV286" s="39" t="s">
        <v>1630</v>
      </c>
      <c r="BW286" s="39" t="s">
        <v>2871</v>
      </c>
      <c r="BX286" s="39" t="s">
        <v>304</v>
      </c>
      <c r="BY286" s="71">
        <v>1080</v>
      </c>
      <c r="BZ286" s="71">
        <v>1180</v>
      </c>
      <c r="CA286" s="71">
        <v>1520</v>
      </c>
      <c r="CB286" s="71">
        <v>2010</v>
      </c>
      <c r="CC286" s="71">
        <v>2220</v>
      </c>
      <c r="CD286" s="25"/>
      <c r="CE286" s="200"/>
      <c r="CF286" s="200"/>
      <c r="CG286" s="200"/>
      <c r="CH286" s="200"/>
      <c r="CI286" s="200"/>
      <c r="CJ286" s="200"/>
      <c r="CK286" s="200"/>
      <c r="CL286" s="200"/>
      <c r="CM286" s="200"/>
      <c r="CN286" s="200"/>
      <c r="CO286" s="200"/>
      <c r="CP286" s="200"/>
      <c r="CQ286" s="200"/>
      <c r="CR286" s="200"/>
      <c r="CS286" s="200"/>
      <c r="CT286" s="200"/>
      <c r="CU286" s="200"/>
    </row>
    <row r="287" spans="1:99" s="17" customFormat="1" x14ac:dyDescent="0.2">
      <c r="A287" s="25"/>
      <c r="B287" s="20">
        <v>39165032004</v>
      </c>
      <c r="C287" s="20">
        <v>320.04000000000002</v>
      </c>
      <c r="D287" s="20" t="s">
        <v>88</v>
      </c>
      <c r="E287" s="20" t="s">
        <v>2828</v>
      </c>
      <c r="F287" s="20" t="s">
        <v>8</v>
      </c>
      <c r="G287" s="861">
        <v>70.161462715983205</v>
      </c>
      <c r="H287" s="861">
        <v>73.043944021644407</v>
      </c>
      <c r="I287" s="861">
        <v>16.841989849767302</v>
      </c>
      <c r="J287" s="861">
        <v>52.437134712364703</v>
      </c>
      <c r="K287" s="982">
        <v>0</v>
      </c>
      <c r="L287" s="735">
        <v>6055</v>
      </c>
      <c r="M287" s="735">
        <v>6132</v>
      </c>
      <c r="N287" s="845">
        <f t="shared" si="33"/>
        <v>1.2716763005780347E-2</v>
      </c>
      <c r="O287" s="735">
        <v>2.697827829024281</v>
      </c>
      <c r="P287" s="735">
        <f t="shared" si="34"/>
        <v>2272.9397087647917</v>
      </c>
      <c r="Q287" s="849">
        <v>44.3</v>
      </c>
      <c r="R287" s="71">
        <v>162083</v>
      </c>
      <c r="S287" s="845">
        <v>3.9628180039138941E-2</v>
      </c>
      <c r="T287" s="845">
        <v>3.5000000000000003E-2</v>
      </c>
      <c r="U287" s="845">
        <v>0</v>
      </c>
      <c r="V287" s="845">
        <v>0</v>
      </c>
      <c r="W287" s="845">
        <v>5.1428571428571428E-2</v>
      </c>
      <c r="X287" s="845">
        <v>0.27777777777777779</v>
      </c>
      <c r="Y287" s="845">
        <v>0.74217221135029354</v>
      </c>
      <c r="Z287" s="845">
        <v>2.2831050228310501E-2</v>
      </c>
      <c r="AA287" s="845">
        <v>0</v>
      </c>
      <c r="AB287" s="845">
        <v>0.158675799086758</v>
      </c>
      <c r="AC287" s="845">
        <v>0</v>
      </c>
      <c r="AD287" s="845">
        <v>2.0221787345075015E-2</v>
      </c>
      <c r="AE287" s="845">
        <v>5.6099151989562945E-2</v>
      </c>
      <c r="AF287" s="845">
        <v>5.6262230919765163E-2</v>
      </c>
      <c r="AG287" s="845">
        <v>0.72847358121330719</v>
      </c>
      <c r="AH287" s="20" t="str">
        <f t="shared" si="35"/>
        <v>No</v>
      </c>
      <c r="AI287" s="25"/>
      <c r="AJ287" s="37">
        <v>45068</v>
      </c>
      <c r="AK287" s="37" t="s">
        <v>1558</v>
      </c>
      <c r="AL287" s="37">
        <v>39165</v>
      </c>
      <c r="AM287" s="37" t="s">
        <v>88</v>
      </c>
      <c r="AN287" s="37">
        <f t="shared" si="36"/>
        <v>17140</v>
      </c>
      <c r="AO287" s="37" t="str">
        <f t="shared" si="37"/>
        <v>Cincinnati, OH-KY-IN</v>
      </c>
      <c r="AP287" s="37" t="s">
        <v>8</v>
      </c>
      <c r="AQ287" s="25"/>
      <c r="AR287" s="25"/>
      <c r="AS287" s="25"/>
      <c r="AT287" s="25"/>
      <c r="AU287" s="36"/>
      <c r="AV287" s="36"/>
      <c r="AW287" s="36"/>
      <c r="AX287" s="25"/>
      <c r="AY287" s="25"/>
      <c r="AZ287" s="25"/>
      <c r="BA287" s="25"/>
      <c r="BB287" s="25"/>
      <c r="BC287" s="25"/>
      <c r="BD287" s="25"/>
      <c r="BE287" s="25"/>
      <c r="BF287" s="25"/>
      <c r="BG287" s="25"/>
      <c r="BH287" s="25"/>
      <c r="BI287" s="25"/>
      <c r="BJ287" s="25"/>
      <c r="BK287" s="25"/>
      <c r="BL287" s="25"/>
      <c r="BM287" s="25"/>
      <c r="BN287" s="25"/>
      <c r="BO287" s="25"/>
      <c r="BP287" s="25"/>
      <c r="BQ287" s="25"/>
      <c r="BR287" s="25"/>
      <c r="BS287" s="25"/>
      <c r="BT287" s="25"/>
      <c r="BU287" s="39">
        <v>45227</v>
      </c>
      <c r="BV287" s="39" t="s">
        <v>1631</v>
      </c>
      <c r="BW287" s="39" t="s">
        <v>2871</v>
      </c>
      <c r="BX287" s="39" t="s">
        <v>304</v>
      </c>
      <c r="BY287" s="71">
        <v>1090</v>
      </c>
      <c r="BZ287" s="71">
        <v>1200</v>
      </c>
      <c r="CA287" s="71">
        <v>1540</v>
      </c>
      <c r="CB287" s="71">
        <v>2030</v>
      </c>
      <c r="CC287" s="71">
        <v>2250</v>
      </c>
      <c r="CD287" s="25"/>
      <c r="CE287" s="200"/>
      <c r="CF287" s="200"/>
      <c r="CG287" s="200"/>
      <c r="CH287" s="200"/>
      <c r="CI287" s="200"/>
      <c r="CJ287" s="200"/>
      <c r="CK287" s="200"/>
      <c r="CL287" s="200"/>
      <c r="CM287" s="200"/>
      <c r="CN287" s="200"/>
      <c r="CO287" s="200"/>
      <c r="CP287" s="200"/>
      <c r="CQ287" s="200"/>
      <c r="CR287" s="200"/>
      <c r="CS287" s="200"/>
      <c r="CT287" s="200"/>
      <c r="CU287" s="200"/>
    </row>
    <row r="288" spans="1:99" s="17" customFormat="1" x14ac:dyDescent="0.2">
      <c r="A288" s="25"/>
      <c r="B288" s="20">
        <v>39035135105</v>
      </c>
      <c r="C288" s="20">
        <v>1351.05</v>
      </c>
      <c r="D288" s="20" t="s">
        <v>24</v>
      </c>
      <c r="E288" s="20" t="s">
        <v>2829</v>
      </c>
      <c r="F288" s="20" t="s">
        <v>8</v>
      </c>
      <c r="G288" s="861">
        <v>70.126288603570799</v>
      </c>
      <c r="H288" s="861">
        <v>69.442051823927798</v>
      </c>
      <c r="I288" s="861">
        <v>22.420591842534499</v>
      </c>
      <c r="J288" s="861">
        <v>54.060786655085003</v>
      </c>
      <c r="K288" s="982">
        <v>0</v>
      </c>
      <c r="L288" s="735">
        <v>6003</v>
      </c>
      <c r="M288" s="735">
        <v>5236</v>
      </c>
      <c r="N288" s="845">
        <f t="shared" si="33"/>
        <v>-0.12776944860902881</v>
      </c>
      <c r="O288" s="735">
        <v>5.9509728791766543</v>
      </c>
      <c r="P288" s="735">
        <f t="shared" si="34"/>
        <v>879.85613551047231</v>
      </c>
      <c r="Q288" s="849">
        <v>50.3</v>
      </c>
      <c r="R288" s="71">
        <v>133658</v>
      </c>
      <c r="S288" s="845">
        <v>1.2411347517730497E-2</v>
      </c>
      <c r="T288" s="845">
        <v>0</v>
      </c>
      <c r="U288" s="845">
        <v>2.3E-2</v>
      </c>
      <c r="V288" s="845">
        <v>0</v>
      </c>
      <c r="W288" s="845">
        <v>0.14307153576788395</v>
      </c>
      <c r="X288" s="845">
        <v>0.32167832167832167</v>
      </c>
      <c r="Y288" s="845">
        <v>0.76642475171886937</v>
      </c>
      <c r="Z288" s="845">
        <v>2.5401069518716578E-2</v>
      </c>
      <c r="AA288" s="845">
        <v>0</v>
      </c>
      <c r="AB288" s="845">
        <v>8.4988540870893817E-2</v>
      </c>
      <c r="AC288" s="845">
        <v>0</v>
      </c>
      <c r="AD288" s="845">
        <v>0</v>
      </c>
      <c r="AE288" s="845">
        <v>0.12318563789152025</v>
      </c>
      <c r="AF288" s="845">
        <v>1.2796027501909855E-2</v>
      </c>
      <c r="AG288" s="845">
        <v>0.75668449197860965</v>
      </c>
      <c r="AH288" s="20" t="str">
        <f t="shared" si="35"/>
        <v>No</v>
      </c>
      <c r="AI288" s="25"/>
      <c r="AJ288" s="37">
        <v>45107</v>
      </c>
      <c r="AK288" s="37" t="s">
        <v>1566</v>
      </c>
      <c r="AL288" s="37">
        <v>39165</v>
      </c>
      <c r="AM288" s="37" t="s">
        <v>88</v>
      </c>
      <c r="AN288" s="37">
        <f t="shared" si="36"/>
        <v>17140</v>
      </c>
      <c r="AO288" s="37" t="str">
        <f t="shared" si="37"/>
        <v>Cincinnati, OH-KY-IN</v>
      </c>
      <c r="AP288" s="37" t="s">
        <v>8</v>
      </c>
      <c r="AQ288" s="25"/>
      <c r="AR288" s="25"/>
      <c r="AS288" s="25"/>
      <c r="AT288" s="25"/>
      <c r="AU288" s="36"/>
      <c r="AV288" s="36"/>
      <c r="AW288" s="36"/>
      <c r="AX288" s="25"/>
      <c r="AY288" s="25"/>
      <c r="AZ288" s="25"/>
      <c r="BA288" s="25"/>
      <c r="BB288" s="25"/>
      <c r="BC288" s="25"/>
      <c r="BD288" s="25"/>
      <c r="BE288" s="25"/>
      <c r="BF288" s="25"/>
      <c r="BG288" s="25"/>
      <c r="BH288" s="25"/>
      <c r="BI288" s="25"/>
      <c r="BJ288" s="25"/>
      <c r="BK288" s="25"/>
      <c r="BL288" s="25"/>
      <c r="BM288" s="25"/>
      <c r="BN288" s="25"/>
      <c r="BO288" s="25"/>
      <c r="BP288" s="25"/>
      <c r="BQ288" s="25"/>
      <c r="BR288" s="25"/>
      <c r="BS288" s="25"/>
      <c r="BT288" s="25"/>
      <c r="BU288" s="39">
        <v>45229</v>
      </c>
      <c r="BV288" s="39" t="s">
        <v>1632</v>
      </c>
      <c r="BW288" s="39" t="s">
        <v>2871</v>
      </c>
      <c r="BX288" s="39" t="s">
        <v>304</v>
      </c>
      <c r="BY288" s="71">
        <v>790</v>
      </c>
      <c r="BZ288" s="71">
        <v>870</v>
      </c>
      <c r="CA288" s="71">
        <v>1120</v>
      </c>
      <c r="CB288" s="71">
        <v>1480</v>
      </c>
      <c r="CC288" s="71">
        <v>1640</v>
      </c>
      <c r="CD288" s="25"/>
      <c r="CE288" s="200"/>
      <c r="CF288" s="200"/>
      <c r="CG288" s="200"/>
      <c r="CH288" s="200"/>
      <c r="CI288" s="200"/>
      <c r="CJ288" s="200"/>
      <c r="CK288" s="200"/>
      <c r="CL288" s="200"/>
      <c r="CM288" s="200"/>
      <c r="CN288" s="200"/>
      <c r="CO288" s="200"/>
      <c r="CP288" s="200"/>
      <c r="CQ288" s="200"/>
      <c r="CR288" s="200"/>
      <c r="CS288" s="200"/>
      <c r="CT288" s="200"/>
      <c r="CU288" s="200"/>
    </row>
    <row r="289" spans="1:99" s="17" customFormat="1" x14ac:dyDescent="0.2">
      <c r="A289" s="25"/>
      <c r="B289" s="20">
        <v>39113040406</v>
      </c>
      <c r="C289" s="20">
        <v>404.06</v>
      </c>
      <c r="D289" s="20" t="s">
        <v>62</v>
      </c>
      <c r="E289" s="20" t="s">
        <v>2833</v>
      </c>
      <c r="F289" s="20" t="s">
        <v>8</v>
      </c>
      <c r="G289" s="861">
        <v>69.985576225980907</v>
      </c>
      <c r="H289" s="861">
        <v>67.978933073858201</v>
      </c>
      <c r="I289" s="861">
        <v>19.272666414009201</v>
      </c>
      <c r="J289" s="861">
        <v>55.177807746687002</v>
      </c>
      <c r="K289" s="982">
        <v>0</v>
      </c>
      <c r="L289" s="735">
        <v>6343</v>
      </c>
      <c r="M289" s="735">
        <v>8077</v>
      </c>
      <c r="N289" s="845">
        <f t="shared" si="33"/>
        <v>0.27337222134636607</v>
      </c>
      <c r="O289" s="735">
        <v>5.3725431967330541</v>
      </c>
      <c r="P289" s="735">
        <f t="shared" si="34"/>
        <v>1503.3848410770297</v>
      </c>
      <c r="Q289" s="849">
        <v>46.7</v>
      </c>
      <c r="R289" s="71">
        <v>146583</v>
      </c>
      <c r="S289" s="845">
        <v>1.6056758775205376E-2</v>
      </c>
      <c r="T289" s="845">
        <v>2.6000000000000002E-2</v>
      </c>
      <c r="U289" s="845">
        <v>1.9E-2</v>
      </c>
      <c r="V289" s="845">
        <v>0</v>
      </c>
      <c r="W289" s="845">
        <v>7.4153846153846154E-2</v>
      </c>
      <c r="X289" s="845">
        <v>0.40248962655601661</v>
      </c>
      <c r="Y289" s="845">
        <v>0.76748792868639348</v>
      </c>
      <c r="Z289" s="845">
        <v>9.6694317196979074E-2</v>
      </c>
      <c r="AA289" s="845">
        <v>1.2380834468243159E-4</v>
      </c>
      <c r="AB289" s="845">
        <v>9.7437167265073663E-2</v>
      </c>
      <c r="AC289" s="845">
        <v>0</v>
      </c>
      <c r="AD289" s="845">
        <v>4.8285254426148321E-3</v>
      </c>
      <c r="AE289" s="845">
        <v>3.3428253064256529E-2</v>
      </c>
      <c r="AF289" s="845">
        <v>2.5504519004580908E-2</v>
      </c>
      <c r="AG289" s="845">
        <v>0.75770706945648136</v>
      </c>
      <c r="AH289" s="20" t="str">
        <f t="shared" si="35"/>
        <v>No</v>
      </c>
      <c r="AI289" s="25"/>
      <c r="AJ289" s="37">
        <v>45113</v>
      </c>
      <c r="AK289" s="37" t="s">
        <v>1569</v>
      </c>
      <c r="AL289" s="37">
        <v>39165</v>
      </c>
      <c r="AM289" s="37" t="s">
        <v>88</v>
      </c>
      <c r="AN289" s="37">
        <f t="shared" si="36"/>
        <v>17140</v>
      </c>
      <c r="AO289" s="37" t="str">
        <f t="shared" si="37"/>
        <v>Cincinnati, OH-KY-IN</v>
      </c>
      <c r="AP289" s="37" t="s">
        <v>8</v>
      </c>
      <c r="AQ289" s="25"/>
      <c r="AR289" s="25"/>
      <c r="AS289" s="25"/>
      <c r="AT289" s="25"/>
      <c r="AU289" s="36"/>
      <c r="AV289" s="36"/>
      <c r="AW289" s="36"/>
      <c r="AX289" s="25"/>
      <c r="AY289" s="25"/>
      <c r="AZ289" s="25"/>
      <c r="BA289" s="25"/>
      <c r="BB289" s="25"/>
      <c r="BC289" s="25"/>
      <c r="BD289" s="25"/>
      <c r="BE289" s="25"/>
      <c r="BF289" s="25"/>
      <c r="BG289" s="25"/>
      <c r="BH289" s="25"/>
      <c r="BI289" s="25"/>
      <c r="BJ289" s="25"/>
      <c r="BK289" s="25"/>
      <c r="BL289" s="25"/>
      <c r="BM289" s="25"/>
      <c r="BN289" s="25"/>
      <c r="BO289" s="25"/>
      <c r="BP289" s="25"/>
      <c r="BQ289" s="25"/>
      <c r="BR289" s="25"/>
      <c r="BS289" s="25"/>
      <c r="BT289" s="25"/>
      <c r="BU289" s="39">
        <v>45230</v>
      </c>
      <c r="BV289" s="39" t="s">
        <v>1633</v>
      </c>
      <c r="BW289" s="39" t="s">
        <v>2871</v>
      </c>
      <c r="BX289" s="39" t="s">
        <v>304</v>
      </c>
      <c r="BY289" s="71">
        <v>860</v>
      </c>
      <c r="BZ289" s="71">
        <v>940</v>
      </c>
      <c r="CA289" s="71">
        <v>1210</v>
      </c>
      <c r="CB289" s="71">
        <v>1600</v>
      </c>
      <c r="CC289" s="71">
        <v>1770</v>
      </c>
      <c r="CD289" s="25"/>
      <c r="CE289" s="200"/>
      <c r="CF289" s="200"/>
      <c r="CG289" s="200"/>
      <c r="CH289" s="200"/>
      <c r="CI289" s="200"/>
      <c r="CJ289" s="200"/>
      <c r="CK289" s="200"/>
      <c r="CL289" s="200"/>
      <c r="CM289" s="200"/>
      <c r="CN289" s="200"/>
      <c r="CO289" s="200"/>
      <c r="CP289" s="200"/>
      <c r="CQ289" s="200"/>
      <c r="CR289" s="200"/>
      <c r="CS289" s="200"/>
      <c r="CT289" s="200"/>
      <c r="CU289" s="200"/>
    </row>
    <row r="290" spans="1:99" s="17" customFormat="1" x14ac:dyDescent="0.2">
      <c r="A290" s="25"/>
      <c r="B290" s="20">
        <v>39153533501</v>
      </c>
      <c r="C290" s="20">
        <v>5335.01</v>
      </c>
      <c r="D290" s="20" t="s">
        <v>82</v>
      </c>
      <c r="E290" s="20" t="s">
        <v>2843</v>
      </c>
      <c r="F290" s="20" t="s">
        <v>8</v>
      </c>
      <c r="G290" s="861">
        <v>69.981350010925794</v>
      </c>
      <c r="H290" s="861">
        <v>63.366232553066503</v>
      </c>
      <c r="I290" s="861">
        <v>16.648316996290401</v>
      </c>
      <c r="J290" s="861">
        <v>52.434302412950899</v>
      </c>
      <c r="K290" s="982">
        <v>0</v>
      </c>
      <c r="L290" s="735">
        <v>8218</v>
      </c>
      <c r="M290" s="735">
        <v>9266</v>
      </c>
      <c r="N290" s="845">
        <f t="shared" si="33"/>
        <v>0.12752494524215138</v>
      </c>
      <c r="O290" s="735">
        <v>4.0231941450881799</v>
      </c>
      <c r="P290" s="735">
        <f t="shared" si="34"/>
        <v>2303.1451294272324</v>
      </c>
      <c r="Q290" s="849">
        <v>43</v>
      </c>
      <c r="R290" s="71">
        <v>165810</v>
      </c>
      <c r="S290" s="845">
        <v>3.5225265017667845E-2</v>
      </c>
      <c r="T290" s="845">
        <v>1.6E-2</v>
      </c>
      <c r="U290" s="845">
        <v>0</v>
      </c>
      <c r="V290" s="845">
        <v>4.5999999999999999E-2</v>
      </c>
      <c r="W290" s="845">
        <v>0.26489885183160194</v>
      </c>
      <c r="X290" s="845">
        <v>0.19091847265221878</v>
      </c>
      <c r="Y290" s="845">
        <v>0.74077271746168794</v>
      </c>
      <c r="Z290" s="845">
        <v>7.7919274767968921E-2</v>
      </c>
      <c r="AA290" s="845">
        <v>0</v>
      </c>
      <c r="AB290" s="845">
        <v>0.1041441830347507</v>
      </c>
      <c r="AC290" s="845">
        <v>0</v>
      </c>
      <c r="AD290" s="845">
        <v>1.0036693287286855E-2</v>
      </c>
      <c r="AE290" s="845">
        <v>6.7127131448305635E-2</v>
      </c>
      <c r="AF290" s="845">
        <v>2.2447658104899633E-2</v>
      </c>
      <c r="AG290" s="845">
        <v>0.72609540254694582</v>
      </c>
      <c r="AH290" s="20" t="str">
        <f t="shared" si="35"/>
        <v>No</v>
      </c>
      <c r="AI290" s="25"/>
      <c r="AJ290" s="37">
        <v>45122</v>
      </c>
      <c r="AK290" s="37" t="s">
        <v>1575</v>
      </c>
      <c r="AL290" s="37">
        <v>39165</v>
      </c>
      <c r="AM290" s="37" t="s">
        <v>88</v>
      </c>
      <c r="AN290" s="37">
        <f t="shared" si="36"/>
        <v>17140</v>
      </c>
      <c r="AO290" s="37" t="str">
        <f t="shared" si="37"/>
        <v>Cincinnati, OH-KY-IN</v>
      </c>
      <c r="AP290" s="37" t="s">
        <v>8</v>
      </c>
      <c r="AQ290" s="25"/>
      <c r="AR290" s="25"/>
      <c r="AS290" s="25"/>
      <c r="AT290" s="25"/>
      <c r="AU290" s="36"/>
      <c r="AV290" s="36"/>
      <c r="AW290" s="36"/>
      <c r="AX290" s="25"/>
      <c r="AY290" s="25"/>
      <c r="AZ290" s="25"/>
      <c r="BA290" s="25"/>
      <c r="BB290" s="25"/>
      <c r="BC290" s="25"/>
      <c r="BD290" s="25"/>
      <c r="BE290" s="25"/>
      <c r="BF290" s="25"/>
      <c r="BG290" s="25"/>
      <c r="BH290" s="25"/>
      <c r="BI290" s="25"/>
      <c r="BJ290" s="25"/>
      <c r="BK290" s="25"/>
      <c r="BL290" s="25"/>
      <c r="BM290" s="25"/>
      <c r="BN290" s="25"/>
      <c r="BO290" s="25"/>
      <c r="BP290" s="25"/>
      <c r="BQ290" s="25"/>
      <c r="BR290" s="25"/>
      <c r="BS290" s="25"/>
      <c r="BT290" s="25"/>
      <c r="BU290" s="39">
        <v>45231</v>
      </c>
      <c r="BV290" s="39" t="s">
        <v>1634</v>
      </c>
      <c r="BW290" s="39" t="s">
        <v>2871</v>
      </c>
      <c r="BX290" s="39" t="s">
        <v>304</v>
      </c>
      <c r="BY290" s="71">
        <v>1030</v>
      </c>
      <c r="BZ290" s="71">
        <v>1130</v>
      </c>
      <c r="CA290" s="71">
        <v>1460</v>
      </c>
      <c r="CB290" s="71">
        <v>1930</v>
      </c>
      <c r="CC290" s="71">
        <v>2130</v>
      </c>
      <c r="CD290" s="25"/>
      <c r="CE290" s="200"/>
      <c r="CF290" s="200"/>
      <c r="CG290" s="200"/>
      <c r="CH290" s="200"/>
      <c r="CI290" s="200"/>
      <c r="CJ290" s="200"/>
      <c r="CK290" s="200"/>
      <c r="CL290" s="200"/>
      <c r="CM290" s="200"/>
      <c r="CN290" s="200"/>
      <c r="CO290" s="200"/>
      <c r="CP290" s="200"/>
      <c r="CQ290" s="200"/>
      <c r="CR290" s="200"/>
      <c r="CS290" s="200"/>
      <c r="CT290" s="200"/>
      <c r="CU290" s="200"/>
    </row>
    <row r="291" spans="1:99" s="17" customFormat="1" x14ac:dyDescent="0.2">
      <c r="A291" s="25"/>
      <c r="B291" s="20">
        <v>39103402000</v>
      </c>
      <c r="C291" s="20">
        <v>4020</v>
      </c>
      <c r="D291" s="20" t="s">
        <v>57</v>
      </c>
      <c r="E291" s="20" t="s">
        <v>2829</v>
      </c>
      <c r="F291" s="20" t="s">
        <v>8</v>
      </c>
      <c r="G291" s="861">
        <v>69.9658556861541</v>
      </c>
      <c r="H291" s="861">
        <v>62.907747124122103</v>
      </c>
      <c r="I291" s="861">
        <v>29.982194120695699</v>
      </c>
      <c r="J291" s="861">
        <v>55.850907078558301</v>
      </c>
      <c r="K291" s="982">
        <v>0</v>
      </c>
      <c r="L291" s="735">
        <v>5214</v>
      </c>
      <c r="M291" s="735">
        <v>5772</v>
      </c>
      <c r="N291" s="845">
        <f t="shared" si="33"/>
        <v>0.10701956271576525</v>
      </c>
      <c r="O291" s="735">
        <v>25.707826125889049</v>
      </c>
      <c r="P291" s="735">
        <f t="shared" si="34"/>
        <v>224.52306825691929</v>
      </c>
      <c r="Q291" s="849">
        <v>48</v>
      </c>
      <c r="R291" s="71">
        <v>116008</v>
      </c>
      <c r="S291" s="845">
        <v>4.1599999999999998E-2</v>
      </c>
      <c r="T291" s="845">
        <v>2.8999999999999998E-2</v>
      </c>
      <c r="U291" s="845">
        <v>0</v>
      </c>
      <c r="V291" s="845">
        <v>0</v>
      </c>
      <c r="W291" s="845">
        <v>0.1077207582061951</v>
      </c>
      <c r="X291" s="845">
        <v>0.27896995708154504</v>
      </c>
      <c r="Y291" s="845">
        <v>0.96898821898821896</v>
      </c>
      <c r="Z291" s="845">
        <v>5.1975051975051978E-3</v>
      </c>
      <c r="AA291" s="845">
        <v>1.5592515592515593E-3</v>
      </c>
      <c r="AB291" s="845">
        <v>0</v>
      </c>
      <c r="AC291" s="845">
        <v>0</v>
      </c>
      <c r="AD291" s="845">
        <v>0</v>
      </c>
      <c r="AE291" s="845">
        <v>2.4255024255024255E-2</v>
      </c>
      <c r="AF291" s="845">
        <v>0</v>
      </c>
      <c r="AG291" s="845">
        <v>0.96898821898821896</v>
      </c>
      <c r="AH291" s="20" t="str">
        <f t="shared" si="35"/>
        <v>Yes</v>
      </c>
      <c r="AI291" s="25"/>
      <c r="AJ291" s="37">
        <v>45140</v>
      </c>
      <c r="AK291" s="37" t="s">
        <v>1582</v>
      </c>
      <c r="AL291" s="37">
        <v>39165</v>
      </c>
      <c r="AM291" s="37" t="s">
        <v>88</v>
      </c>
      <c r="AN291" s="37">
        <f t="shared" si="36"/>
        <v>17140</v>
      </c>
      <c r="AO291" s="37" t="str">
        <f t="shared" si="37"/>
        <v>Cincinnati, OH-KY-IN</v>
      </c>
      <c r="AP291" s="37" t="s">
        <v>8</v>
      </c>
      <c r="AQ291" s="25"/>
      <c r="AR291" s="25"/>
      <c r="AS291" s="25"/>
      <c r="AT291" s="25"/>
      <c r="AU291" s="36"/>
      <c r="AV291" s="36"/>
      <c r="AW291" s="36"/>
      <c r="AX291" s="25"/>
      <c r="AY291" s="25"/>
      <c r="AZ291" s="25"/>
      <c r="BA291" s="25"/>
      <c r="BB291" s="25"/>
      <c r="BC291" s="25"/>
      <c r="BD291" s="25"/>
      <c r="BE291" s="25"/>
      <c r="BF291" s="25"/>
      <c r="BG291" s="25"/>
      <c r="BH291" s="25"/>
      <c r="BI291" s="25"/>
      <c r="BJ291" s="25"/>
      <c r="BK291" s="25"/>
      <c r="BL291" s="25"/>
      <c r="BM291" s="25"/>
      <c r="BN291" s="25"/>
      <c r="BO291" s="25"/>
      <c r="BP291" s="25"/>
      <c r="BQ291" s="25"/>
      <c r="BR291" s="25"/>
      <c r="BS291" s="25"/>
      <c r="BT291" s="25"/>
      <c r="BU291" s="39">
        <v>45232</v>
      </c>
      <c r="BV291" s="39" t="s">
        <v>1635</v>
      </c>
      <c r="BW291" s="39" t="s">
        <v>2871</v>
      </c>
      <c r="BX291" s="39" t="s">
        <v>304</v>
      </c>
      <c r="BY291" s="71">
        <v>690</v>
      </c>
      <c r="BZ291" s="71">
        <v>760</v>
      </c>
      <c r="CA291" s="71">
        <v>980</v>
      </c>
      <c r="CB291" s="71">
        <v>1290</v>
      </c>
      <c r="CC291" s="71">
        <v>1440</v>
      </c>
      <c r="CD291" s="25"/>
      <c r="CE291" s="200"/>
      <c r="CF291" s="200"/>
      <c r="CG291" s="200"/>
      <c r="CH291" s="200"/>
      <c r="CI291" s="200"/>
      <c r="CJ291" s="200"/>
      <c r="CK291" s="200"/>
      <c r="CL291" s="200"/>
      <c r="CM291" s="200"/>
      <c r="CN291" s="200"/>
      <c r="CO291" s="200"/>
      <c r="CP291" s="200"/>
      <c r="CQ291" s="200"/>
      <c r="CR291" s="200"/>
      <c r="CS291" s="200"/>
      <c r="CT291" s="200"/>
      <c r="CU291" s="200"/>
    </row>
    <row r="292" spans="1:99" s="17" customFormat="1" x14ac:dyDescent="0.2">
      <c r="A292" s="25"/>
      <c r="B292" s="20">
        <v>39035183606</v>
      </c>
      <c r="C292" s="20">
        <v>1836.06</v>
      </c>
      <c r="D292" s="20" t="s">
        <v>24</v>
      </c>
      <c r="E292" s="20" t="s">
        <v>2829</v>
      </c>
      <c r="F292" s="20" t="s">
        <v>8</v>
      </c>
      <c r="G292" s="861">
        <v>69.965591748477905</v>
      </c>
      <c r="H292" s="861">
        <v>60.902207577474996</v>
      </c>
      <c r="I292" s="861">
        <v>33.573420617355097</v>
      </c>
      <c r="J292" s="861">
        <v>60.733422808799801</v>
      </c>
      <c r="K292" s="982">
        <v>0</v>
      </c>
      <c r="L292" s="735">
        <v>1615</v>
      </c>
      <c r="M292" s="735">
        <v>1775</v>
      </c>
      <c r="N292" s="845">
        <f t="shared" si="33"/>
        <v>9.9071207430340563E-2</v>
      </c>
      <c r="O292" s="735">
        <v>0.19438892327579066</v>
      </c>
      <c r="P292" s="735">
        <f t="shared" si="34"/>
        <v>9131.1787219568378</v>
      </c>
      <c r="Q292" s="849">
        <v>31.2</v>
      </c>
      <c r="R292" s="71">
        <v>89508</v>
      </c>
      <c r="S292" s="845">
        <v>4.9577464788732394E-2</v>
      </c>
      <c r="T292" s="845">
        <v>1.3000000000000001E-2</v>
      </c>
      <c r="U292" s="845">
        <v>0</v>
      </c>
      <c r="V292" s="845">
        <v>9.0999999999999998E-2</v>
      </c>
      <c r="W292" s="845">
        <v>0.38352638352638352</v>
      </c>
      <c r="X292" s="845">
        <v>0.47651006711409394</v>
      </c>
      <c r="Y292" s="845">
        <v>0.38760563380281693</v>
      </c>
      <c r="Z292" s="845">
        <v>0.47154929577464788</v>
      </c>
      <c r="AA292" s="845">
        <v>0</v>
      </c>
      <c r="AB292" s="845">
        <v>3.3239436619718309E-2</v>
      </c>
      <c r="AC292" s="845">
        <v>0</v>
      </c>
      <c r="AD292" s="845">
        <v>5.6338028169014086E-2</v>
      </c>
      <c r="AE292" s="845">
        <v>5.1267605633802817E-2</v>
      </c>
      <c r="AF292" s="845">
        <v>3.7183098591549293E-2</v>
      </c>
      <c r="AG292" s="845">
        <v>0.37126760563380284</v>
      </c>
      <c r="AH292" s="20" t="str">
        <f t="shared" si="35"/>
        <v>No</v>
      </c>
      <c r="AI292" s="25"/>
      <c r="AJ292" s="37">
        <v>45152</v>
      </c>
      <c r="AK292" s="37" t="s">
        <v>1589</v>
      </c>
      <c r="AL292" s="37">
        <v>39165</v>
      </c>
      <c r="AM292" s="37" t="s">
        <v>88</v>
      </c>
      <c r="AN292" s="37">
        <f t="shared" si="36"/>
        <v>17140</v>
      </c>
      <c r="AO292" s="37" t="str">
        <f t="shared" si="37"/>
        <v>Cincinnati, OH-KY-IN</v>
      </c>
      <c r="AP292" s="37" t="s">
        <v>8</v>
      </c>
      <c r="AQ292" s="25"/>
      <c r="AR292" s="25"/>
      <c r="AS292" s="25"/>
      <c r="AT292" s="25"/>
      <c r="AU292" s="36"/>
      <c r="AV292" s="36"/>
      <c r="AW292" s="36"/>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39">
        <v>45233</v>
      </c>
      <c r="BV292" s="39" t="s">
        <v>1636</v>
      </c>
      <c r="BW292" s="39" t="s">
        <v>2871</v>
      </c>
      <c r="BX292" s="39" t="s">
        <v>304</v>
      </c>
      <c r="BY292" s="71">
        <v>870</v>
      </c>
      <c r="BZ292" s="71">
        <v>960</v>
      </c>
      <c r="CA292" s="71">
        <v>1230</v>
      </c>
      <c r="CB292" s="71">
        <v>1620</v>
      </c>
      <c r="CC292" s="71">
        <v>1800</v>
      </c>
      <c r="CD292" s="25"/>
      <c r="CE292" s="200"/>
      <c r="CF292" s="200"/>
      <c r="CG292" s="200"/>
      <c r="CH292" s="200"/>
      <c r="CI292" s="200"/>
      <c r="CJ292" s="200"/>
      <c r="CK292" s="200"/>
      <c r="CL292" s="200"/>
      <c r="CM292" s="200"/>
      <c r="CN292" s="200"/>
      <c r="CO292" s="200"/>
      <c r="CP292" s="200"/>
      <c r="CQ292" s="200"/>
      <c r="CR292" s="200"/>
      <c r="CS292" s="200"/>
      <c r="CT292" s="200"/>
      <c r="CU292" s="200"/>
    </row>
    <row r="293" spans="1:99" s="17" customFormat="1" x14ac:dyDescent="0.2">
      <c r="A293" s="25"/>
      <c r="B293" s="20">
        <v>39035173103</v>
      </c>
      <c r="C293" s="20">
        <v>1731.03</v>
      </c>
      <c r="D293" s="20" t="s">
        <v>24</v>
      </c>
      <c r="E293" s="20" t="s">
        <v>2829</v>
      </c>
      <c r="F293" s="20" t="s">
        <v>8</v>
      </c>
      <c r="G293" s="861">
        <v>69.897960878841999</v>
      </c>
      <c r="H293" s="861">
        <v>67.519153199677604</v>
      </c>
      <c r="I293" s="861">
        <v>25.798409642676202</v>
      </c>
      <c r="J293" s="861">
        <v>42.682005225103303</v>
      </c>
      <c r="K293" s="982">
        <v>0</v>
      </c>
      <c r="L293" s="735">
        <v>2874</v>
      </c>
      <c r="M293" s="735">
        <v>2788</v>
      </c>
      <c r="N293" s="845">
        <f t="shared" si="33"/>
        <v>-2.9923451635351428E-2</v>
      </c>
      <c r="O293" s="735">
        <v>1.2754456235708356</v>
      </c>
      <c r="P293" s="735">
        <f t="shared" si="34"/>
        <v>2185.9026747016474</v>
      </c>
      <c r="Q293" s="849">
        <v>55.2</v>
      </c>
      <c r="R293" s="71">
        <v>78598</v>
      </c>
      <c r="S293" s="845">
        <v>3.8070109310214852E-2</v>
      </c>
      <c r="T293" s="845">
        <v>2.6000000000000002E-2</v>
      </c>
      <c r="U293" s="845">
        <v>0</v>
      </c>
      <c r="V293" s="845">
        <v>0</v>
      </c>
      <c r="W293" s="845">
        <v>0.3194933145672062</v>
      </c>
      <c r="X293" s="845">
        <v>0.27312775330396477</v>
      </c>
      <c r="Y293" s="845">
        <v>0.87195121951219512</v>
      </c>
      <c r="Z293" s="845">
        <v>1.7575322812051649E-2</v>
      </c>
      <c r="AA293" s="845">
        <v>3.5868005738880918E-3</v>
      </c>
      <c r="AB293" s="845">
        <v>4.9856527977044478E-2</v>
      </c>
      <c r="AC293" s="845">
        <v>0</v>
      </c>
      <c r="AD293" s="845">
        <v>0</v>
      </c>
      <c r="AE293" s="845">
        <v>5.703012912482066E-2</v>
      </c>
      <c r="AF293" s="845">
        <v>5.0215208034433287E-2</v>
      </c>
      <c r="AG293" s="845">
        <v>0.85114777618364423</v>
      </c>
      <c r="AH293" s="20" t="str">
        <f t="shared" si="35"/>
        <v>No</v>
      </c>
      <c r="AI293" s="25"/>
      <c r="AJ293" s="37">
        <v>45162</v>
      </c>
      <c r="AK293" s="37" t="s">
        <v>1598</v>
      </c>
      <c r="AL293" s="37">
        <v>39165</v>
      </c>
      <c r="AM293" s="37" t="s">
        <v>88</v>
      </c>
      <c r="AN293" s="37">
        <f t="shared" si="36"/>
        <v>17140</v>
      </c>
      <c r="AO293" s="37" t="str">
        <f t="shared" si="37"/>
        <v>Cincinnati, OH-KY-IN</v>
      </c>
      <c r="AP293" s="37" t="s">
        <v>8</v>
      </c>
      <c r="AQ293" s="25"/>
      <c r="AR293" s="25"/>
      <c r="AS293" s="25"/>
      <c r="AT293" s="25"/>
      <c r="AU293" s="36"/>
      <c r="AV293" s="36"/>
      <c r="AW293" s="36"/>
      <c r="AX293" s="25"/>
      <c r="AY293" s="25"/>
      <c r="AZ293" s="25"/>
      <c r="BA293" s="25"/>
      <c r="BB293" s="25"/>
      <c r="BC293" s="25"/>
      <c r="BD293" s="25"/>
      <c r="BE293" s="25"/>
      <c r="BF293" s="25"/>
      <c r="BG293" s="25"/>
      <c r="BH293" s="25"/>
      <c r="BI293" s="25"/>
      <c r="BJ293" s="25"/>
      <c r="BK293" s="25"/>
      <c r="BL293" s="25"/>
      <c r="BM293" s="25"/>
      <c r="BN293" s="25"/>
      <c r="BO293" s="25"/>
      <c r="BP293" s="25"/>
      <c r="BQ293" s="25"/>
      <c r="BR293" s="25"/>
      <c r="BS293" s="25"/>
      <c r="BT293" s="25"/>
      <c r="BU293" s="39">
        <v>45236</v>
      </c>
      <c r="BV293" s="39" t="s">
        <v>1637</v>
      </c>
      <c r="BW293" s="39" t="s">
        <v>2871</v>
      </c>
      <c r="BX293" s="39" t="s">
        <v>304</v>
      </c>
      <c r="BY293" s="71">
        <v>960</v>
      </c>
      <c r="BZ293" s="71">
        <v>1060</v>
      </c>
      <c r="CA293" s="71">
        <v>1360</v>
      </c>
      <c r="CB293" s="71">
        <v>1790</v>
      </c>
      <c r="CC293" s="71">
        <v>1990</v>
      </c>
      <c r="CD293" s="25"/>
      <c r="CE293" s="200"/>
      <c r="CF293" s="200"/>
      <c r="CG293" s="200"/>
      <c r="CH293" s="200"/>
      <c r="CI293" s="200"/>
      <c r="CJ293" s="200"/>
      <c r="CK293" s="200"/>
      <c r="CL293" s="200"/>
      <c r="CM293" s="200"/>
      <c r="CN293" s="200"/>
      <c r="CO293" s="200"/>
      <c r="CP293" s="200"/>
      <c r="CQ293" s="200"/>
      <c r="CR293" s="200"/>
      <c r="CS293" s="200"/>
      <c r="CT293" s="200"/>
      <c r="CU293" s="200"/>
    </row>
    <row r="294" spans="1:99" s="17" customFormat="1" x14ac:dyDescent="0.2">
      <c r="A294" s="25"/>
      <c r="B294" s="20">
        <v>39153520302</v>
      </c>
      <c r="C294" s="20">
        <v>5203.0200000000004</v>
      </c>
      <c r="D294" s="20" t="s">
        <v>82</v>
      </c>
      <c r="E294" s="20" t="s">
        <v>2843</v>
      </c>
      <c r="F294" s="20" t="s">
        <v>8</v>
      </c>
      <c r="G294" s="861">
        <v>69.827494169484595</v>
      </c>
      <c r="H294" s="861">
        <v>70.500999391842001</v>
      </c>
      <c r="I294" s="861">
        <v>22.7312862964407</v>
      </c>
      <c r="J294" s="861">
        <v>52.894380465320999</v>
      </c>
      <c r="K294" s="982">
        <v>0</v>
      </c>
      <c r="L294" s="735">
        <v>3390</v>
      </c>
      <c r="M294" s="735">
        <v>3555</v>
      </c>
      <c r="N294" s="845">
        <f t="shared" si="33"/>
        <v>4.8672566371681415E-2</v>
      </c>
      <c r="O294" s="735">
        <v>0.61314451362481359</v>
      </c>
      <c r="P294" s="735">
        <f t="shared" si="34"/>
        <v>5797.9806081659299</v>
      </c>
      <c r="Q294" s="849">
        <v>36.4</v>
      </c>
      <c r="R294" s="71">
        <v>96884</v>
      </c>
      <c r="S294" s="845">
        <v>3.3749290981281904E-2</v>
      </c>
      <c r="T294" s="845">
        <v>2.7999999999999997E-2</v>
      </c>
      <c r="U294" s="845">
        <v>1.8000000000000002E-2</v>
      </c>
      <c r="V294" s="845">
        <v>0</v>
      </c>
      <c r="W294" s="845">
        <v>0.19157088122605365</v>
      </c>
      <c r="X294" s="845">
        <v>0.12333333333333334</v>
      </c>
      <c r="Y294" s="845">
        <v>0.81856540084388185</v>
      </c>
      <c r="Z294" s="845">
        <v>5.0070323488045007E-2</v>
      </c>
      <c r="AA294" s="845">
        <v>1.1251758087201125E-3</v>
      </c>
      <c r="AB294" s="845">
        <v>7.3417721518987344E-2</v>
      </c>
      <c r="AC294" s="845">
        <v>0</v>
      </c>
      <c r="AD294" s="845">
        <v>1.4908579465541491E-2</v>
      </c>
      <c r="AE294" s="845">
        <v>4.1912798874824193E-2</v>
      </c>
      <c r="AF294" s="845">
        <v>4.8382559774964841E-2</v>
      </c>
      <c r="AG294" s="845">
        <v>0.81856540084388185</v>
      </c>
      <c r="AH294" s="20" t="str">
        <f t="shared" si="35"/>
        <v>No</v>
      </c>
      <c r="AI294" s="25"/>
      <c r="AJ294" s="37">
        <v>45241</v>
      </c>
      <c r="AK294" s="37" t="s">
        <v>1642</v>
      </c>
      <c r="AL294" s="37">
        <v>39165</v>
      </c>
      <c r="AM294" s="37" t="s">
        <v>88</v>
      </c>
      <c r="AN294" s="37">
        <f t="shared" si="36"/>
        <v>17140</v>
      </c>
      <c r="AO294" s="37" t="str">
        <f t="shared" si="37"/>
        <v>Cincinnati, OH-KY-IN</v>
      </c>
      <c r="AP294" s="37" t="s">
        <v>8</v>
      </c>
      <c r="AQ294" s="25"/>
      <c r="AR294" s="25"/>
      <c r="AS294" s="25"/>
      <c r="AT294" s="25"/>
      <c r="AU294" s="36"/>
      <c r="AV294" s="36"/>
      <c r="AW294" s="36"/>
      <c r="AX294" s="25"/>
      <c r="AY294" s="25"/>
      <c r="AZ294" s="25"/>
      <c r="BA294" s="25"/>
      <c r="BB294" s="25"/>
      <c r="BC294" s="25"/>
      <c r="BD294" s="25"/>
      <c r="BE294" s="25"/>
      <c r="BF294" s="25"/>
      <c r="BG294" s="25"/>
      <c r="BH294" s="25"/>
      <c r="BI294" s="25"/>
      <c r="BJ294" s="25"/>
      <c r="BK294" s="25"/>
      <c r="BL294" s="25"/>
      <c r="BM294" s="25"/>
      <c r="BN294" s="25"/>
      <c r="BO294" s="25"/>
      <c r="BP294" s="25"/>
      <c r="BQ294" s="25"/>
      <c r="BR294" s="25"/>
      <c r="BS294" s="25"/>
      <c r="BT294" s="25"/>
      <c r="BU294" s="39">
        <v>45237</v>
      </c>
      <c r="BV294" s="39" t="s">
        <v>1638</v>
      </c>
      <c r="BW294" s="39" t="s">
        <v>2871</v>
      </c>
      <c r="BX294" s="39" t="s">
        <v>304</v>
      </c>
      <c r="BY294" s="71">
        <v>820</v>
      </c>
      <c r="BZ294" s="71">
        <v>900</v>
      </c>
      <c r="CA294" s="71">
        <v>1160</v>
      </c>
      <c r="CB294" s="71">
        <v>1530</v>
      </c>
      <c r="CC294" s="71">
        <v>1690</v>
      </c>
      <c r="CD294" s="25"/>
      <c r="CE294" s="200"/>
      <c r="CF294" s="200"/>
      <c r="CG294" s="200"/>
      <c r="CH294" s="200"/>
      <c r="CI294" s="200"/>
      <c r="CJ294" s="200"/>
      <c r="CK294" s="200"/>
      <c r="CL294" s="200"/>
      <c r="CM294" s="200"/>
      <c r="CN294" s="200"/>
      <c r="CO294" s="200"/>
      <c r="CP294" s="200"/>
      <c r="CQ294" s="200"/>
      <c r="CR294" s="200"/>
      <c r="CS294" s="200"/>
      <c r="CT294" s="200"/>
      <c r="CU294" s="200"/>
    </row>
    <row r="295" spans="1:99" s="17" customFormat="1" x14ac:dyDescent="0.2">
      <c r="A295" s="25"/>
      <c r="B295" s="20">
        <v>39069000300</v>
      </c>
      <c r="C295" s="20">
        <v>3</v>
      </c>
      <c r="D295" s="20" t="s">
        <v>41</v>
      </c>
      <c r="E295" s="20" t="s">
        <v>265</v>
      </c>
      <c r="F295" s="20" t="s">
        <v>8</v>
      </c>
      <c r="G295" s="861">
        <v>69.786264274575203</v>
      </c>
      <c r="H295" s="861">
        <v>70.9906039675529</v>
      </c>
      <c r="I295" s="861">
        <v>29.056198752620901</v>
      </c>
      <c r="J295" s="861">
        <v>47.329641279842797</v>
      </c>
      <c r="K295" s="982">
        <v>0</v>
      </c>
      <c r="L295" s="735">
        <v>5162</v>
      </c>
      <c r="M295" s="735">
        <v>5044</v>
      </c>
      <c r="N295" s="845">
        <f t="shared" si="33"/>
        <v>-2.2859356838434715E-2</v>
      </c>
      <c r="O295" s="735">
        <v>5.6740638859535153</v>
      </c>
      <c r="P295" s="735">
        <f t="shared" si="34"/>
        <v>888.95720974991559</v>
      </c>
      <c r="Q295" s="849">
        <v>39.6</v>
      </c>
      <c r="R295" s="71">
        <v>79295</v>
      </c>
      <c r="S295" s="845">
        <v>4.5995241871530534E-2</v>
      </c>
      <c r="T295" s="845">
        <v>2.1000000000000001E-2</v>
      </c>
      <c r="U295" s="845">
        <v>0</v>
      </c>
      <c r="V295" s="845">
        <v>0</v>
      </c>
      <c r="W295" s="845">
        <v>0.14134615384615384</v>
      </c>
      <c r="X295" s="845">
        <v>0.24149659863945577</v>
      </c>
      <c r="Y295" s="845">
        <v>0.85824742268041232</v>
      </c>
      <c r="Z295" s="845">
        <v>1.1102299762093577E-2</v>
      </c>
      <c r="AA295" s="845">
        <v>1.1895321173671688E-3</v>
      </c>
      <c r="AB295" s="845">
        <v>0</v>
      </c>
      <c r="AC295" s="845">
        <v>0</v>
      </c>
      <c r="AD295" s="845">
        <v>9.8731165741475016E-2</v>
      </c>
      <c r="AE295" s="845">
        <v>3.0729579698651862E-2</v>
      </c>
      <c r="AF295" s="845">
        <v>8.1879460745440127E-2</v>
      </c>
      <c r="AG295" s="845">
        <v>0.85824742268041232</v>
      </c>
      <c r="AH295" s="20" t="str">
        <f t="shared" si="35"/>
        <v>No</v>
      </c>
      <c r="AI295" s="25"/>
      <c r="AJ295" s="37">
        <v>45249</v>
      </c>
      <c r="AK295" s="37" t="s">
        <v>1650</v>
      </c>
      <c r="AL295" s="37">
        <v>39165</v>
      </c>
      <c r="AM295" s="37" t="s">
        <v>88</v>
      </c>
      <c r="AN295" s="37">
        <f t="shared" si="36"/>
        <v>17140</v>
      </c>
      <c r="AO295" s="37" t="str">
        <f t="shared" si="37"/>
        <v>Cincinnati, OH-KY-IN</v>
      </c>
      <c r="AP295" s="37" t="s">
        <v>8</v>
      </c>
      <c r="AQ295" s="25"/>
      <c r="AR295" s="25"/>
      <c r="AS295" s="25"/>
      <c r="AT295" s="25"/>
      <c r="AU295" s="36"/>
      <c r="AV295" s="36"/>
      <c r="AW295" s="36"/>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39">
        <v>45238</v>
      </c>
      <c r="BV295" s="39" t="s">
        <v>1639</v>
      </c>
      <c r="BW295" s="39" t="s">
        <v>2871</v>
      </c>
      <c r="BX295" s="39" t="s">
        <v>304</v>
      </c>
      <c r="BY295" s="71">
        <v>860</v>
      </c>
      <c r="BZ295" s="71">
        <v>950</v>
      </c>
      <c r="CA295" s="71">
        <v>1220</v>
      </c>
      <c r="CB295" s="71">
        <v>1610</v>
      </c>
      <c r="CC295" s="71">
        <v>1780</v>
      </c>
      <c r="CD295" s="25"/>
      <c r="CE295" s="200"/>
      <c r="CF295" s="200"/>
      <c r="CG295" s="200"/>
      <c r="CH295" s="200"/>
      <c r="CI295" s="200"/>
      <c r="CJ295" s="200"/>
      <c r="CK295" s="200"/>
      <c r="CL295" s="200"/>
      <c r="CM295" s="200"/>
      <c r="CN295" s="200"/>
      <c r="CO295" s="200"/>
      <c r="CP295" s="200"/>
      <c r="CQ295" s="200"/>
      <c r="CR295" s="200"/>
      <c r="CS295" s="200"/>
      <c r="CT295" s="200"/>
      <c r="CU295" s="200"/>
    </row>
    <row r="296" spans="1:99" s="17" customFormat="1" x14ac:dyDescent="0.2">
      <c r="A296" s="25"/>
      <c r="B296" s="20">
        <v>39035160400</v>
      </c>
      <c r="C296" s="20">
        <v>1604</v>
      </c>
      <c r="D296" s="20" t="s">
        <v>24</v>
      </c>
      <c r="E296" s="20" t="s">
        <v>2829</v>
      </c>
      <c r="F296" s="20" t="s">
        <v>8</v>
      </c>
      <c r="G296" s="861">
        <v>69.753670853128696</v>
      </c>
      <c r="H296" s="861">
        <v>76.518366280579102</v>
      </c>
      <c r="I296" s="861">
        <v>37.8743574995516</v>
      </c>
      <c r="J296" s="861">
        <v>48.105108942619601</v>
      </c>
      <c r="K296" s="982">
        <v>0</v>
      </c>
      <c r="L296" s="735">
        <v>3190</v>
      </c>
      <c r="M296" s="735">
        <v>3312</v>
      </c>
      <c r="N296" s="845">
        <f t="shared" si="33"/>
        <v>3.8244514106583069E-2</v>
      </c>
      <c r="O296" s="735">
        <v>0.44106534527681673</v>
      </c>
      <c r="P296" s="735">
        <f t="shared" si="34"/>
        <v>7509.0914202777776</v>
      </c>
      <c r="Q296" s="849">
        <v>33.6</v>
      </c>
      <c r="R296" s="71">
        <v>74632</v>
      </c>
      <c r="S296" s="845">
        <v>5.9268218929543391E-2</v>
      </c>
      <c r="T296" s="845">
        <v>8.8000000000000009E-2</v>
      </c>
      <c r="U296" s="845">
        <v>0.04</v>
      </c>
      <c r="V296" s="845">
        <v>0.05</v>
      </c>
      <c r="W296" s="845">
        <v>0.48104265402843605</v>
      </c>
      <c r="X296" s="845">
        <v>0.41256157635467983</v>
      </c>
      <c r="Y296" s="845">
        <v>0.87590579710144922</v>
      </c>
      <c r="Z296" s="845">
        <v>1.6304347826086956E-2</v>
      </c>
      <c r="AA296" s="845">
        <v>0</v>
      </c>
      <c r="AB296" s="845">
        <v>1.7210144927536232E-2</v>
      </c>
      <c r="AC296" s="845">
        <v>0</v>
      </c>
      <c r="AD296" s="845">
        <v>6.9444444444444441E-3</v>
      </c>
      <c r="AE296" s="845">
        <v>8.3635265700483089E-2</v>
      </c>
      <c r="AF296" s="845">
        <v>8.9673913043478257E-2</v>
      </c>
      <c r="AG296" s="845">
        <v>0.85416666666666663</v>
      </c>
      <c r="AH296" s="20" t="str">
        <f t="shared" si="35"/>
        <v>No</v>
      </c>
      <c r="AI296" s="25"/>
      <c r="AJ296" s="37">
        <v>45327</v>
      </c>
      <c r="AK296" s="37" t="s">
        <v>1680</v>
      </c>
      <c r="AL296" s="37">
        <v>39165</v>
      </c>
      <c r="AM296" s="37" t="s">
        <v>88</v>
      </c>
      <c r="AN296" s="37">
        <f t="shared" si="36"/>
        <v>17140</v>
      </c>
      <c r="AO296" s="37" t="str">
        <f t="shared" si="37"/>
        <v>Cincinnati, OH-KY-IN</v>
      </c>
      <c r="AP296" s="37" t="s">
        <v>8</v>
      </c>
      <c r="AQ296" s="25"/>
      <c r="AR296" s="25"/>
      <c r="AS296" s="25"/>
      <c r="AT296" s="25"/>
      <c r="AU296" s="36"/>
      <c r="AV296" s="36"/>
      <c r="AW296" s="36"/>
      <c r="AX296" s="25"/>
      <c r="AY296" s="25"/>
      <c r="AZ296" s="25"/>
      <c r="BA296" s="25"/>
      <c r="BB296" s="25"/>
      <c r="BC296" s="25"/>
      <c r="BD296" s="25"/>
      <c r="BE296" s="25"/>
      <c r="BF296" s="25"/>
      <c r="BG296" s="25"/>
      <c r="BH296" s="25"/>
      <c r="BI296" s="25"/>
      <c r="BJ296" s="25"/>
      <c r="BK296" s="25"/>
      <c r="BL296" s="25"/>
      <c r="BM296" s="25"/>
      <c r="BN296" s="25"/>
      <c r="BO296" s="25"/>
      <c r="BP296" s="25"/>
      <c r="BQ296" s="25"/>
      <c r="BR296" s="25"/>
      <c r="BS296" s="25"/>
      <c r="BT296" s="25"/>
      <c r="BU296" s="39">
        <v>45239</v>
      </c>
      <c r="BV296" s="39" t="s">
        <v>1640</v>
      </c>
      <c r="BW296" s="39" t="s">
        <v>2871</v>
      </c>
      <c r="BX296" s="39" t="s">
        <v>304</v>
      </c>
      <c r="BY296" s="71">
        <v>870</v>
      </c>
      <c r="BZ296" s="71">
        <v>960</v>
      </c>
      <c r="CA296" s="71">
        <v>1230</v>
      </c>
      <c r="CB296" s="71">
        <v>1620</v>
      </c>
      <c r="CC296" s="71">
        <v>1800</v>
      </c>
      <c r="CD296" s="25"/>
      <c r="CE296" s="200"/>
      <c r="CF296" s="200"/>
      <c r="CG296" s="200"/>
      <c r="CH296" s="200"/>
      <c r="CI296" s="200"/>
      <c r="CJ296" s="200"/>
      <c r="CK296" s="200"/>
      <c r="CL296" s="200"/>
      <c r="CM296" s="200"/>
      <c r="CN296" s="200"/>
      <c r="CO296" s="200"/>
      <c r="CP296" s="200"/>
      <c r="CQ296" s="200"/>
      <c r="CR296" s="200"/>
      <c r="CS296" s="200"/>
      <c r="CT296" s="200"/>
      <c r="CU296" s="200"/>
    </row>
    <row r="297" spans="1:99" s="17" customFormat="1" x14ac:dyDescent="0.2">
      <c r="A297" s="25"/>
      <c r="B297" s="20">
        <v>39165032003</v>
      </c>
      <c r="C297" s="20">
        <v>320.02999999999997</v>
      </c>
      <c r="D297" s="20" t="s">
        <v>88</v>
      </c>
      <c r="E297" s="20" t="s">
        <v>2828</v>
      </c>
      <c r="F297" s="20" t="s">
        <v>8</v>
      </c>
      <c r="G297" s="861">
        <v>69.728200551155396</v>
      </c>
      <c r="H297" s="861">
        <v>56.125554603994601</v>
      </c>
      <c r="I297" s="861">
        <v>23.8886418568596</v>
      </c>
      <c r="J297" s="861">
        <v>61.010490486495897</v>
      </c>
      <c r="K297" s="982">
        <v>0</v>
      </c>
      <c r="L297" s="735">
        <v>6902</v>
      </c>
      <c r="M297" s="735">
        <v>7707</v>
      </c>
      <c r="N297" s="845">
        <f t="shared" si="33"/>
        <v>0.11663286004056796</v>
      </c>
      <c r="O297" s="735">
        <v>5.1776689430439129</v>
      </c>
      <c r="P297" s="735">
        <f t="shared" si="34"/>
        <v>1488.5076826617485</v>
      </c>
      <c r="Q297" s="849">
        <v>49.8</v>
      </c>
      <c r="R297" s="71">
        <v>96799</v>
      </c>
      <c r="S297" s="845">
        <v>4.4245491111976128E-2</v>
      </c>
      <c r="T297" s="845">
        <v>6.0000000000000001E-3</v>
      </c>
      <c r="U297" s="845">
        <v>0</v>
      </c>
      <c r="V297" s="845">
        <v>1.3999999999999999E-2</v>
      </c>
      <c r="W297" s="845">
        <v>0.23869132290184922</v>
      </c>
      <c r="X297" s="845">
        <v>0.40166865315852207</v>
      </c>
      <c r="Y297" s="845">
        <v>0.84442714415466458</v>
      </c>
      <c r="Z297" s="845">
        <v>2.6988452056571948E-2</v>
      </c>
      <c r="AA297" s="845">
        <v>0</v>
      </c>
      <c r="AB297" s="845">
        <v>5.4366160633190608E-2</v>
      </c>
      <c r="AC297" s="845">
        <v>0</v>
      </c>
      <c r="AD297" s="845">
        <v>2.0500843389126767E-2</v>
      </c>
      <c r="AE297" s="845">
        <v>5.3717399766446086E-2</v>
      </c>
      <c r="AF297" s="845">
        <v>6.682236927468535E-2</v>
      </c>
      <c r="AG297" s="845">
        <v>0.83469573115349682</v>
      </c>
      <c r="AH297" s="20" t="str">
        <f t="shared" si="35"/>
        <v>No</v>
      </c>
      <c r="AI297" s="25"/>
      <c r="AJ297" s="37">
        <v>45342</v>
      </c>
      <c r="AK297" s="37" t="s">
        <v>1694</v>
      </c>
      <c r="AL297" s="37">
        <v>39165</v>
      </c>
      <c r="AM297" s="37" t="s">
        <v>88</v>
      </c>
      <c r="AN297" s="37">
        <f t="shared" si="36"/>
        <v>17140</v>
      </c>
      <c r="AO297" s="37" t="str">
        <f t="shared" si="37"/>
        <v>Cincinnati, OH-KY-IN</v>
      </c>
      <c r="AP297" s="37" t="s">
        <v>8</v>
      </c>
      <c r="AQ297" s="25"/>
      <c r="AR297" s="25"/>
      <c r="AS297" s="25"/>
      <c r="AT297" s="25"/>
      <c r="AU297" s="36"/>
      <c r="AV297" s="36"/>
      <c r="AW297" s="36"/>
      <c r="AX297" s="25"/>
      <c r="AY297" s="25"/>
      <c r="AZ297" s="25"/>
      <c r="BA297" s="25"/>
      <c r="BB297" s="25"/>
      <c r="BC297" s="25"/>
      <c r="BD297" s="25"/>
      <c r="BE297" s="25"/>
      <c r="BF297" s="25"/>
      <c r="BG297" s="25"/>
      <c r="BH297" s="25"/>
      <c r="BI297" s="25"/>
      <c r="BJ297" s="25"/>
      <c r="BK297" s="25"/>
      <c r="BL297" s="25"/>
      <c r="BM297" s="25"/>
      <c r="BN297" s="25"/>
      <c r="BO297" s="25"/>
      <c r="BP297" s="25"/>
      <c r="BQ297" s="25"/>
      <c r="BR297" s="25"/>
      <c r="BS297" s="25"/>
      <c r="BT297" s="25"/>
      <c r="BU297" s="39">
        <v>45240</v>
      </c>
      <c r="BV297" s="39" t="s">
        <v>1641</v>
      </c>
      <c r="BW297" s="39" t="s">
        <v>2871</v>
      </c>
      <c r="BX297" s="39" t="s">
        <v>304</v>
      </c>
      <c r="BY297" s="71">
        <v>1080</v>
      </c>
      <c r="BZ297" s="71">
        <v>1190</v>
      </c>
      <c r="CA297" s="71">
        <v>1530</v>
      </c>
      <c r="CB297" s="71">
        <v>2020</v>
      </c>
      <c r="CC297" s="71">
        <v>2230</v>
      </c>
      <c r="CD297" s="25"/>
      <c r="CE297" s="200"/>
      <c r="CF297" s="200"/>
      <c r="CG297" s="200"/>
      <c r="CH297" s="200"/>
      <c r="CI297" s="200"/>
      <c r="CJ297" s="200"/>
      <c r="CK297" s="200"/>
      <c r="CL297" s="200"/>
      <c r="CM297" s="200"/>
      <c r="CN297" s="200"/>
      <c r="CO297" s="200"/>
      <c r="CP297" s="200"/>
      <c r="CQ297" s="200"/>
      <c r="CR297" s="200"/>
      <c r="CS297" s="200"/>
      <c r="CT297" s="200"/>
      <c r="CU297" s="200"/>
    </row>
    <row r="298" spans="1:99" s="17" customFormat="1" x14ac:dyDescent="0.2">
      <c r="A298" s="25"/>
      <c r="B298" s="20">
        <v>39035185103</v>
      </c>
      <c r="C298" s="20">
        <v>1851.03</v>
      </c>
      <c r="D298" s="20" t="s">
        <v>24</v>
      </c>
      <c r="E298" s="20" t="s">
        <v>2829</v>
      </c>
      <c r="F298" s="20" t="s">
        <v>8</v>
      </c>
      <c r="G298" s="861">
        <v>69.664065984242995</v>
      </c>
      <c r="H298" s="861">
        <v>73.977578929563407</v>
      </c>
      <c r="I298" s="861">
        <v>32.159681449931199</v>
      </c>
      <c r="J298" s="861">
        <v>54.589191333487797</v>
      </c>
      <c r="K298" s="982">
        <v>0</v>
      </c>
      <c r="L298" s="735">
        <v>2199</v>
      </c>
      <c r="M298" s="735">
        <v>2228</v>
      </c>
      <c r="N298" s="845">
        <f t="shared" si="33"/>
        <v>1.3187812642110049E-2</v>
      </c>
      <c r="O298" s="735">
        <v>0.37256387250364636</v>
      </c>
      <c r="P298" s="735">
        <f t="shared" si="34"/>
        <v>5980.1826329207324</v>
      </c>
      <c r="Q298" s="849">
        <v>40.9</v>
      </c>
      <c r="R298" s="71">
        <v>87216</v>
      </c>
      <c r="S298" s="845">
        <v>6.8098720292504564E-2</v>
      </c>
      <c r="T298" s="845">
        <v>4.7E-2</v>
      </c>
      <c r="U298" s="845">
        <v>1.8000000000000002E-2</v>
      </c>
      <c r="V298" s="845">
        <v>0.12</v>
      </c>
      <c r="W298" s="845">
        <v>0.18703506907545164</v>
      </c>
      <c r="X298" s="845">
        <v>0.375</v>
      </c>
      <c r="Y298" s="845">
        <v>0.45377019748653502</v>
      </c>
      <c r="Z298" s="845">
        <v>0.48563734290843807</v>
      </c>
      <c r="AA298" s="845">
        <v>0</v>
      </c>
      <c r="AB298" s="845">
        <v>2.423698384201077E-2</v>
      </c>
      <c r="AC298" s="845">
        <v>0</v>
      </c>
      <c r="AD298" s="845">
        <v>0</v>
      </c>
      <c r="AE298" s="845">
        <v>3.6355475763016155E-2</v>
      </c>
      <c r="AF298" s="845">
        <v>9.4254937163375224E-3</v>
      </c>
      <c r="AG298" s="845">
        <v>0.45107719928186712</v>
      </c>
      <c r="AH298" s="20" t="str">
        <f t="shared" si="35"/>
        <v>No</v>
      </c>
      <c r="AI298" s="25"/>
      <c r="AJ298" s="37">
        <v>45458</v>
      </c>
      <c r="AK298" s="37" t="s">
        <v>1759</v>
      </c>
      <c r="AL298" s="37">
        <v>39165</v>
      </c>
      <c r="AM298" s="37" t="s">
        <v>88</v>
      </c>
      <c r="AN298" s="37">
        <f t="shared" si="36"/>
        <v>17140</v>
      </c>
      <c r="AO298" s="37" t="str">
        <f t="shared" si="37"/>
        <v>Cincinnati, OH-KY-IN</v>
      </c>
      <c r="AP298" s="37" t="s">
        <v>8</v>
      </c>
      <c r="AQ298" s="25"/>
      <c r="AR298" s="25"/>
      <c r="AS298" s="25"/>
      <c r="AT298" s="25"/>
      <c r="AU298" s="36"/>
      <c r="AV298" s="36"/>
      <c r="AW298" s="36"/>
      <c r="AX298" s="25"/>
      <c r="AY298" s="25"/>
      <c r="AZ298" s="25"/>
      <c r="BA298" s="25"/>
      <c r="BB298" s="25"/>
      <c r="BC298" s="25"/>
      <c r="BD298" s="25"/>
      <c r="BE298" s="25"/>
      <c r="BF298" s="25"/>
      <c r="BG298" s="25"/>
      <c r="BH298" s="25"/>
      <c r="BI298" s="25"/>
      <c r="BJ298" s="25"/>
      <c r="BK298" s="25"/>
      <c r="BL298" s="25"/>
      <c r="BM298" s="25"/>
      <c r="BN298" s="25"/>
      <c r="BO298" s="25"/>
      <c r="BP298" s="25"/>
      <c r="BQ298" s="25"/>
      <c r="BR298" s="25"/>
      <c r="BS298" s="25"/>
      <c r="BT298" s="25"/>
      <c r="BU298" s="39">
        <v>45241</v>
      </c>
      <c r="BV298" s="39" t="s">
        <v>1642</v>
      </c>
      <c r="BW298" s="39" t="s">
        <v>2871</v>
      </c>
      <c r="BX298" s="39" t="s">
        <v>304</v>
      </c>
      <c r="BY298" s="71">
        <v>1060</v>
      </c>
      <c r="BZ298" s="71">
        <v>1160</v>
      </c>
      <c r="CA298" s="71">
        <v>1490</v>
      </c>
      <c r="CB298" s="71">
        <v>1970</v>
      </c>
      <c r="CC298" s="71">
        <v>2180</v>
      </c>
      <c r="CD298" s="25"/>
      <c r="CE298" s="200"/>
      <c r="CF298" s="200"/>
      <c r="CG298" s="200"/>
      <c r="CH298" s="200"/>
      <c r="CI298" s="200"/>
      <c r="CJ298" s="200"/>
      <c r="CK298" s="200"/>
      <c r="CL298" s="200"/>
      <c r="CM298" s="200"/>
      <c r="CN298" s="200"/>
      <c r="CO298" s="200"/>
      <c r="CP298" s="200"/>
      <c r="CQ298" s="200"/>
      <c r="CR298" s="200"/>
      <c r="CS298" s="200"/>
      <c r="CT298" s="200"/>
      <c r="CU298" s="200"/>
    </row>
    <row r="299" spans="1:99" s="17" customFormat="1" x14ac:dyDescent="0.2">
      <c r="A299" s="25"/>
      <c r="B299" s="20">
        <v>39049007101</v>
      </c>
      <c r="C299" s="20">
        <v>71.010000000000005</v>
      </c>
      <c r="D299" s="20" t="s">
        <v>31</v>
      </c>
      <c r="E299" s="20" t="s">
        <v>2830</v>
      </c>
      <c r="F299" s="20" t="s">
        <v>8</v>
      </c>
      <c r="G299" s="861">
        <v>69.659554434035599</v>
      </c>
      <c r="H299" s="861">
        <v>64.790722484979</v>
      </c>
      <c r="I299" s="861">
        <v>40.341585768953102</v>
      </c>
      <c r="J299" s="861">
        <v>34.6167761876195</v>
      </c>
      <c r="K299" s="982">
        <v>0</v>
      </c>
      <c r="L299" s="735" t="s">
        <v>2466</v>
      </c>
      <c r="M299" s="735">
        <v>2906</v>
      </c>
      <c r="N299" s="845" t="str">
        <f t="shared" si="33"/>
        <v/>
      </c>
      <c r="O299" s="735">
        <v>0.79727315813816613</v>
      </c>
      <c r="P299" s="735">
        <f t="shared" si="34"/>
        <v>3644.9239138894914</v>
      </c>
      <c r="Q299" s="849">
        <v>37.9</v>
      </c>
      <c r="R299" s="71">
        <v>73011</v>
      </c>
      <c r="S299" s="845">
        <v>0.15860597439544807</v>
      </c>
      <c r="T299" s="845">
        <v>3.3000000000000002E-2</v>
      </c>
      <c r="U299" s="845">
        <v>0</v>
      </c>
      <c r="V299" s="845">
        <v>0</v>
      </c>
      <c r="W299" s="845">
        <v>0.396357328707719</v>
      </c>
      <c r="X299" s="845">
        <v>0.57111597374179435</v>
      </c>
      <c r="Y299" s="845">
        <v>0.72367515485203027</v>
      </c>
      <c r="Z299" s="845">
        <v>0.21541637990364762</v>
      </c>
      <c r="AA299" s="845">
        <v>1.7205781142463868E-3</v>
      </c>
      <c r="AB299" s="845">
        <v>3.7852718513420509E-3</v>
      </c>
      <c r="AC299" s="845">
        <v>0</v>
      </c>
      <c r="AD299" s="845">
        <v>0</v>
      </c>
      <c r="AE299" s="845">
        <v>5.5402615278733656E-2</v>
      </c>
      <c r="AF299" s="845">
        <v>1.3764624913971094E-3</v>
      </c>
      <c r="AG299" s="845">
        <v>0.72367515485203027</v>
      </c>
      <c r="AH299" s="20" t="str">
        <f t="shared" si="35"/>
        <v>No</v>
      </c>
      <c r="AI299" s="25"/>
      <c r="AJ299" s="20">
        <v>44003</v>
      </c>
      <c r="AK299" s="20" t="s">
        <v>1148</v>
      </c>
      <c r="AL299" s="20">
        <v>39007</v>
      </c>
      <c r="AM299" s="20" t="s">
        <v>10</v>
      </c>
      <c r="AN299" s="37">
        <f t="shared" si="36"/>
        <v>17410</v>
      </c>
      <c r="AO299" s="37" t="str">
        <f t="shared" si="37"/>
        <v>Cleveland, OH</v>
      </c>
      <c r="AP299" s="20" t="s">
        <v>8</v>
      </c>
      <c r="AQ299" s="25"/>
      <c r="AR299" s="25"/>
      <c r="AS299" s="25"/>
      <c r="AT299" s="25"/>
      <c r="AU299" s="36"/>
      <c r="AV299" s="36"/>
      <c r="AW299" s="36"/>
      <c r="AX299" s="25"/>
      <c r="AY299" s="25"/>
      <c r="AZ299" s="25"/>
      <c r="BA299" s="25"/>
      <c r="BB299" s="25"/>
      <c r="BC299" s="25"/>
      <c r="BD299" s="25"/>
      <c r="BE299" s="25"/>
      <c r="BF299" s="25"/>
      <c r="BG299" s="25"/>
      <c r="BH299" s="25"/>
      <c r="BI299" s="25"/>
      <c r="BJ299" s="25"/>
      <c r="BK299" s="25"/>
      <c r="BL299" s="25"/>
      <c r="BM299" s="25"/>
      <c r="BN299" s="25"/>
      <c r="BO299" s="25"/>
      <c r="BP299" s="25"/>
      <c r="BQ299" s="25"/>
      <c r="BR299" s="25"/>
      <c r="BS299" s="25"/>
      <c r="BT299" s="25"/>
      <c r="BU299" s="39">
        <v>45242</v>
      </c>
      <c r="BV299" s="39" t="s">
        <v>1643</v>
      </c>
      <c r="BW299" s="39" t="s">
        <v>2871</v>
      </c>
      <c r="BX299" s="39" t="s">
        <v>304</v>
      </c>
      <c r="BY299" s="71">
        <v>1440</v>
      </c>
      <c r="BZ299" s="71">
        <v>1580</v>
      </c>
      <c r="CA299" s="71">
        <v>2030</v>
      </c>
      <c r="CB299" s="71">
        <v>2680</v>
      </c>
      <c r="CC299" s="71">
        <v>2960</v>
      </c>
      <c r="CD299" s="25"/>
      <c r="CE299" s="200"/>
      <c r="CF299" s="200"/>
      <c r="CG299" s="200"/>
      <c r="CH299" s="200"/>
      <c r="CI299" s="200"/>
      <c r="CJ299" s="200"/>
      <c r="CK299" s="200"/>
      <c r="CL299" s="200"/>
      <c r="CM299" s="200"/>
      <c r="CN299" s="200"/>
      <c r="CO299" s="200"/>
      <c r="CP299" s="200"/>
      <c r="CQ299" s="200"/>
      <c r="CR299" s="200"/>
      <c r="CS299" s="200"/>
      <c r="CT299" s="200"/>
      <c r="CU299" s="200"/>
    </row>
    <row r="300" spans="1:99" s="17" customFormat="1" x14ac:dyDescent="0.2">
      <c r="A300" s="25"/>
      <c r="B300" s="20">
        <v>39049007044</v>
      </c>
      <c r="C300" s="20">
        <v>70.44</v>
      </c>
      <c r="D300" s="20" t="s">
        <v>31</v>
      </c>
      <c r="E300" s="20" t="s">
        <v>2830</v>
      </c>
      <c r="F300" s="20" t="s">
        <v>8</v>
      </c>
      <c r="G300" s="861">
        <v>69.611121769835506</v>
      </c>
      <c r="H300" s="861">
        <v>80.507356446938502</v>
      </c>
      <c r="I300" s="861">
        <v>31.038458711378102</v>
      </c>
      <c r="J300" s="861">
        <v>54.406513408124198</v>
      </c>
      <c r="K300" s="982">
        <v>0</v>
      </c>
      <c r="L300" s="735">
        <v>6271</v>
      </c>
      <c r="M300" s="735">
        <v>6030</v>
      </c>
      <c r="N300" s="845">
        <f t="shared" si="33"/>
        <v>-3.8430872269175569E-2</v>
      </c>
      <c r="O300" s="735">
        <v>0.85351357076307199</v>
      </c>
      <c r="P300" s="735">
        <f t="shared" si="34"/>
        <v>7064.9140289696415</v>
      </c>
      <c r="Q300" s="849">
        <v>31.1</v>
      </c>
      <c r="R300" s="71">
        <v>100347</v>
      </c>
      <c r="S300" s="845">
        <v>8.089355220849552E-2</v>
      </c>
      <c r="T300" s="845">
        <v>2.7000000000000003E-2</v>
      </c>
      <c r="U300" s="845">
        <v>0</v>
      </c>
      <c r="V300" s="845">
        <v>0.08</v>
      </c>
      <c r="W300" s="845">
        <v>0.73938557128063509</v>
      </c>
      <c r="X300" s="845">
        <v>0.34407096171802054</v>
      </c>
      <c r="Y300" s="845">
        <v>0.53266998341625205</v>
      </c>
      <c r="Z300" s="845">
        <v>0.1593698175787728</v>
      </c>
      <c r="AA300" s="845">
        <v>8.291873963515755E-3</v>
      </c>
      <c r="AB300" s="845">
        <v>0.16932006633499172</v>
      </c>
      <c r="AC300" s="845">
        <v>0</v>
      </c>
      <c r="AD300" s="845">
        <v>1.9568822553897181E-2</v>
      </c>
      <c r="AE300" s="845">
        <v>0.11077943615257048</v>
      </c>
      <c r="AF300" s="845">
        <v>9.4195688225538976E-2</v>
      </c>
      <c r="AG300" s="845">
        <v>0.52371475953565505</v>
      </c>
      <c r="AH300" s="20" t="str">
        <f t="shared" si="35"/>
        <v>No</v>
      </c>
      <c r="AI300" s="25"/>
      <c r="AJ300" s="20">
        <v>44004</v>
      </c>
      <c r="AK300" s="20" t="s">
        <v>1149</v>
      </c>
      <c r="AL300" s="20">
        <v>39007</v>
      </c>
      <c r="AM300" s="20" t="s">
        <v>10</v>
      </c>
      <c r="AN300" s="37">
        <f t="shared" si="36"/>
        <v>17410</v>
      </c>
      <c r="AO300" s="37" t="str">
        <f t="shared" si="37"/>
        <v>Cleveland, OH</v>
      </c>
      <c r="AP300" s="20" t="s">
        <v>8</v>
      </c>
      <c r="AQ300" s="25"/>
      <c r="AR300" s="25"/>
      <c r="AS300" s="25"/>
      <c r="AT300" s="25"/>
      <c r="AU300" s="36"/>
      <c r="AV300" s="36"/>
      <c r="AW300" s="36"/>
      <c r="AX300" s="25"/>
      <c r="AY300" s="25"/>
      <c r="AZ300" s="25"/>
      <c r="BA300" s="25"/>
      <c r="BB300" s="25"/>
      <c r="BC300" s="25"/>
      <c r="BD300" s="25"/>
      <c r="BE300" s="25"/>
      <c r="BF300" s="25"/>
      <c r="BG300" s="25"/>
      <c r="BH300" s="25"/>
      <c r="BI300" s="25"/>
      <c r="BJ300" s="25"/>
      <c r="BK300" s="25"/>
      <c r="BL300" s="25"/>
      <c r="BM300" s="25"/>
      <c r="BN300" s="25"/>
      <c r="BO300" s="25"/>
      <c r="BP300" s="25"/>
      <c r="BQ300" s="25"/>
      <c r="BR300" s="25"/>
      <c r="BS300" s="25"/>
      <c r="BT300" s="25"/>
      <c r="BU300" s="39">
        <v>45243</v>
      </c>
      <c r="BV300" s="39" t="s">
        <v>1644</v>
      </c>
      <c r="BW300" s="39" t="s">
        <v>2871</v>
      </c>
      <c r="BX300" s="39" t="s">
        <v>304</v>
      </c>
      <c r="BY300" s="71">
        <v>1440</v>
      </c>
      <c r="BZ300" s="71">
        <v>1580</v>
      </c>
      <c r="CA300" s="71">
        <v>2030</v>
      </c>
      <c r="CB300" s="71">
        <v>2680</v>
      </c>
      <c r="CC300" s="71">
        <v>2960</v>
      </c>
      <c r="CD300" s="25"/>
      <c r="CE300" s="200"/>
      <c r="CF300" s="200"/>
      <c r="CG300" s="200"/>
      <c r="CH300" s="200"/>
      <c r="CI300" s="200"/>
      <c r="CJ300" s="200"/>
      <c r="CK300" s="200"/>
      <c r="CL300" s="200"/>
      <c r="CM300" s="200"/>
      <c r="CN300" s="200"/>
      <c r="CO300" s="200"/>
      <c r="CP300" s="200"/>
      <c r="CQ300" s="200"/>
      <c r="CR300" s="200"/>
      <c r="CS300" s="200"/>
      <c r="CT300" s="200"/>
      <c r="CU300" s="200"/>
    </row>
    <row r="301" spans="1:99" s="17" customFormat="1" x14ac:dyDescent="0.2">
      <c r="A301" s="25"/>
      <c r="B301" s="20">
        <v>39113020700</v>
      </c>
      <c r="C301" s="20">
        <v>207</v>
      </c>
      <c r="D301" s="20" t="s">
        <v>62</v>
      </c>
      <c r="E301" s="20" t="s">
        <v>2833</v>
      </c>
      <c r="F301" s="20" t="s">
        <v>8</v>
      </c>
      <c r="G301" s="861">
        <v>69.604678293123698</v>
      </c>
      <c r="H301" s="861">
        <v>72.083364011429296</v>
      </c>
      <c r="I301" s="861">
        <v>31.107198690413199</v>
      </c>
      <c r="J301" s="861">
        <v>44.771733502369699</v>
      </c>
      <c r="K301" s="982">
        <v>0</v>
      </c>
      <c r="L301" s="735">
        <v>3033</v>
      </c>
      <c r="M301" s="735">
        <v>3289</v>
      </c>
      <c r="N301" s="845">
        <f t="shared" si="33"/>
        <v>8.4404879657105178E-2</v>
      </c>
      <c r="O301" s="735">
        <v>0.66736368144948743</v>
      </c>
      <c r="P301" s="735">
        <f t="shared" si="34"/>
        <v>4928.3473036117612</v>
      </c>
      <c r="Q301" s="849">
        <v>33.5</v>
      </c>
      <c r="R301" s="71">
        <v>79333</v>
      </c>
      <c r="S301" s="845">
        <v>6.5303631370155629E-2</v>
      </c>
      <c r="T301" s="845">
        <v>2.2000000000000002E-2</v>
      </c>
      <c r="U301" s="845">
        <v>0</v>
      </c>
      <c r="V301" s="845">
        <v>0</v>
      </c>
      <c r="W301" s="845">
        <v>0.35031446540880501</v>
      </c>
      <c r="X301" s="845">
        <v>0.37522441651705568</v>
      </c>
      <c r="Y301" s="845">
        <v>0.88750380054727884</v>
      </c>
      <c r="Z301" s="845">
        <v>4.5302523563393128E-2</v>
      </c>
      <c r="AA301" s="845">
        <v>0</v>
      </c>
      <c r="AB301" s="845">
        <v>5.7768318637883859E-3</v>
      </c>
      <c r="AC301" s="845">
        <v>0</v>
      </c>
      <c r="AD301" s="845">
        <v>3.3444816053511705E-3</v>
      </c>
      <c r="AE301" s="845">
        <v>5.8072362420188504E-2</v>
      </c>
      <c r="AF301" s="845">
        <v>2.4323502584372148E-2</v>
      </c>
      <c r="AG301" s="845">
        <v>0.8771663119489207</v>
      </c>
      <c r="AH301" s="20" t="str">
        <f t="shared" si="35"/>
        <v>No</v>
      </c>
      <c r="AI301" s="25"/>
      <c r="AJ301" s="37">
        <v>44010</v>
      </c>
      <c r="AK301" s="37" t="s">
        <v>1150</v>
      </c>
      <c r="AL301" s="37">
        <v>39007</v>
      </c>
      <c r="AM301" s="37" t="s">
        <v>10</v>
      </c>
      <c r="AN301" s="37">
        <f t="shared" si="36"/>
        <v>17410</v>
      </c>
      <c r="AO301" s="37" t="str">
        <f t="shared" si="37"/>
        <v>Cleveland, OH</v>
      </c>
      <c r="AP301" s="20" t="s">
        <v>8</v>
      </c>
      <c r="AQ301" s="25"/>
      <c r="AR301" s="25"/>
      <c r="AS301" s="25"/>
      <c r="AT301" s="25"/>
      <c r="AU301" s="36"/>
      <c r="AV301" s="36"/>
      <c r="AW301" s="36"/>
      <c r="AX301" s="25"/>
      <c r="AY301" s="25"/>
      <c r="AZ301" s="25"/>
      <c r="BA301" s="25"/>
      <c r="BB301" s="25"/>
      <c r="BC301" s="25"/>
      <c r="BD301" s="25"/>
      <c r="BE301" s="25"/>
      <c r="BF301" s="25"/>
      <c r="BG301" s="25"/>
      <c r="BH301" s="25"/>
      <c r="BI301" s="25"/>
      <c r="BJ301" s="25"/>
      <c r="BK301" s="25"/>
      <c r="BL301" s="25"/>
      <c r="BM301" s="25"/>
      <c r="BN301" s="25"/>
      <c r="BO301" s="25"/>
      <c r="BP301" s="25"/>
      <c r="BQ301" s="25"/>
      <c r="BR301" s="25"/>
      <c r="BS301" s="25"/>
      <c r="BT301" s="25"/>
      <c r="BU301" s="39">
        <v>45244</v>
      </c>
      <c r="BV301" s="39" t="s">
        <v>1645</v>
      </c>
      <c r="BW301" s="39" t="s">
        <v>2871</v>
      </c>
      <c r="BX301" s="39" t="s">
        <v>304</v>
      </c>
      <c r="BY301" s="71">
        <v>970</v>
      </c>
      <c r="BZ301" s="71">
        <v>1060</v>
      </c>
      <c r="CA301" s="71">
        <v>1370</v>
      </c>
      <c r="CB301" s="71">
        <v>1810</v>
      </c>
      <c r="CC301" s="71">
        <v>2000</v>
      </c>
      <c r="CD301" s="25"/>
      <c r="CE301" s="200"/>
      <c r="CF301" s="200"/>
      <c r="CG301" s="200"/>
      <c r="CH301" s="200"/>
      <c r="CI301" s="200"/>
      <c r="CJ301" s="200"/>
      <c r="CK301" s="200"/>
      <c r="CL301" s="200"/>
      <c r="CM301" s="200"/>
      <c r="CN301" s="200"/>
      <c r="CO301" s="200"/>
      <c r="CP301" s="200"/>
      <c r="CQ301" s="200"/>
      <c r="CR301" s="200"/>
      <c r="CS301" s="200"/>
      <c r="CT301" s="200"/>
      <c r="CU301" s="200"/>
    </row>
    <row r="302" spans="1:99" s="17" customFormat="1" x14ac:dyDescent="0.2">
      <c r="A302" s="25"/>
      <c r="B302" s="20">
        <v>39061024700</v>
      </c>
      <c r="C302" s="20">
        <v>247</v>
      </c>
      <c r="D302" s="20" t="s">
        <v>37</v>
      </c>
      <c r="E302" s="20" t="s">
        <v>2828</v>
      </c>
      <c r="F302" s="20" t="s">
        <v>8</v>
      </c>
      <c r="G302" s="861">
        <v>69.590322651383701</v>
      </c>
      <c r="H302" s="861">
        <v>70.458182222049103</v>
      </c>
      <c r="I302" s="861">
        <v>29.939825511808301</v>
      </c>
      <c r="J302" s="861">
        <v>48.071136069124599</v>
      </c>
      <c r="K302" s="982">
        <v>0</v>
      </c>
      <c r="L302" s="735">
        <v>1666</v>
      </c>
      <c r="M302" s="735">
        <v>1615</v>
      </c>
      <c r="N302" s="845">
        <f t="shared" si="33"/>
        <v>-3.0612244897959183E-2</v>
      </c>
      <c r="O302" s="735">
        <v>0.77852210680611966</v>
      </c>
      <c r="P302" s="735">
        <f t="shared" si="34"/>
        <v>2074.4433406336061</v>
      </c>
      <c r="Q302" s="849">
        <v>34.700000000000003</v>
      </c>
      <c r="R302" s="71">
        <v>76157</v>
      </c>
      <c r="S302" s="845">
        <v>3.9009287925696592E-2</v>
      </c>
      <c r="T302" s="845">
        <v>2.7000000000000003E-2</v>
      </c>
      <c r="U302" s="845">
        <v>4.0000000000000001E-3</v>
      </c>
      <c r="V302" s="845">
        <v>0.01</v>
      </c>
      <c r="W302" s="845">
        <v>0.26134800550206327</v>
      </c>
      <c r="X302" s="845">
        <v>0.49473684210526314</v>
      </c>
      <c r="Y302" s="845">
        <v>0.93622291021671822</v>
      </c>
      <c r="Z302" s="845">
        <v>2.4767801857585141E-2</v>
      </c>
      <c r="AA302" s="845">
        <v>0</v>
      </c>
      <c r="AB302" s="845">
        <v>0</v>
      </c>
      <c r="AC302" s="845">
        <v>0</v>
      </c>
      <c r="AD302" s="845">
        <v>0</v>
      </c>
      <c r="AE302" s="845">
        <v>3.9009287925696592E-2</v>
      </c>
      <c r="AF302" s="845">
        <v>5.5727554179566562E-2</v>
      </c>
      <c r="AG302" s="845">
        <v>0.9021671826625387</v>
      </c>
      <c r="AH302" s="20" t="str">
        <f t="shared" si="35"/>
        <v>Yes</v>
      </c>
      <c r="AI302" s="25"/>
      <c r="AJ302" s="20">
        <v>44030</v>
      </c>
      <c r="AK302" s="20" t="s">
        <v>1160</v>
      </c>
      <c r="AL302" s="20">
        <v>39007</v>
      </c>
      <c r="AM302" s="20" t="s">
        <v>10</v>
      </c>
      <c r="AN302" s="37">
        <f t="shared" si="36"/>
        <v>17410</v>
      </c>
      <c r="AO302" s="37" t="str">
        <f t="shared" si="37"/>
        <v>Cleveland, OH</v>
      </c>
      <c r="AP302" s="20" t="s">
        <v>8</v>
      </c>
      <c r="AQ302" s="25"/>
      <c r="AR302" s="25"/>
      <c r="AS302" s="25"/>
      <c r="AT302" s="25"/>
      <c r="AU302" s="36"/>
      <c r="AV302" s="36"/>
      <c r="AW302" s="36"/>
      <c r="AX302" s="25"/>
      <c r="AY302" s="25"/>
      <c r="AZ302" s="25"/>
      <c r="BA302" s="25"/>
      <c r="BB302" s="25"/>
      <c r="BC302" s="25"/>
      <c r="BD302" s="25"/>
      <c r="BE302" s="25"/>
      <c r="BF302" s="25"/>
      <c r="BG302" s="25"/>
      <c r="BH302" s="25"/>
      <c r="BI302" s="25"/>
      <c r="BJ302" s="25"/>
      <c r="BK302" s="25"/>
      <c r="BL302" s="25"/>
      <c r="BM302" s="25"/>
      <c r="BN302" s="25"/>
      <c r="BO302" s="25"/>
      <c r="BP302" s="25"/>
      <c r="BQ302" s="25"/>
      <c r="BR302" s="25"/>
      <c r="BS302" s="25"/>
      <c r="BT302" s="25"/>
      <c r="BU302" s="39">
        <v>45245</v>
      </c>
      <c r="BV302" s="39" t="s">
        <v>1646</v>
      </c>
      <c r="BW302" s="39" t="s">
        <v>2871</v>
      </c>
      <c r="BX302" s="39" t="s">
        <v>304</v>
      </c>
      <c r="BY302" s="71">
        <v>1010</v>
      </c>
      <c r="BZ302" s="71">
        <v>1100</v>
      </c>
      <c r="CA302" s="71">
        <v>1420</v>
      </c>
      <c r="CB302" s="71">
        <v>1870</v>
      </c>
      <c r="CC302" s="71">
        <v>2070</v>
      </c>
      <c r="CD302" s="25"/>
      <c r="CE302" s="200"/>
      <c r="CF302" s="200"/>
      <c r="CG302" s="200"/>
      <c r="CH302" s="200"/>
      <c r="CI302" s="200"/>
      <c r="CJ302" s="200"/>
      <c r="CK302" s="200"/>
      <c r="CL302" s="200"/>
      <c r="CM302" s="200"/>
      <c r="CN302" s="200"/>
      <c r="CO302" s="200"/>
      <c r="CP302" s="200"/>
      <c r="CQ302" s="200"/>
      <c r="CR302" s="200"/>
      <c r="CS302" s="200"/>
      <c r="CT302" s="200"/>
      <c r="CU302" s="200"/>
    </row>
    <row r="303" spans="1:99" s="17" customFormat="1" x14ac:dyDescent="0.2">
      <c r="A303" s="25"/>
      <c r="B303" s="20">
        <v>39173020602</v>
      </c>
      <c r="C303" s="20">
        <v>206.02</v>
      </c>
      <c r="D303" s="20" t="s">
        <v>92</v>
      </c>
      <c r="E303" s="20" t="s">
        <v>2839</v>
      </c>
      <c r="F303" s="20" t="s">
        <v>8</v>
      </c>
      <c r="G303" s="861">
        <v>69.577836670564196</v>
      </c>
      <c r="H303" s="861">
        <v>70.6823886553466</v>
      </c>
      <c r="I303" s="861">
        <v>19.1601958753335</v>
      </c>
      <c r="J303" s="861">
        <v>62.665080521575</v>
      </c>
      <c r="K303" s="982">
        <v>0</v>
      </c>
      <c r="L303" s="735">
        <v>6983</v>
      </c>
      <c r="M303" s="735">
        <v>8516</v>
      </c>
      <c r="N303" s="845">
        <f t="shared" si="33"/>
        <v>0.21953315194042675</v>
      </c>
      <c r="O303" s="735">
        <v>6.0674938774139777</v>
      </c>
      <c r="P303" s="735">
        <f t="shared" si="34"/>
        <v>1403.5448855911493</v>
      </c>
      <c r="Q303" s="849">
        <v>38.700000000000003</v>
      </c>
      <c r="R303" s="71">
        <v>170036</v>
      </c>
      <c r="S303" s="845">
        <v>1.2625368731563422E-2</v>
      </c>
      <c r="T303" s="845">
        <v>7.0000000000000007E-2</v>
      </c>
      <c r="U303" s="845">
        <v>0</v>
      </c>
      <c r="V303" s="845">
        <v>9.3000000000000013E-2</v>
      </c>
      <c r="W303" s="845">
        <v>0.2374147450470932</v>
      </c>
      <c r="X303" s="845">
        <v>0.17783857729138167</v>
      </c>
      <c r="Y303" s="845">
        <v>0.87165335838421798</v>
      </c>
      <c r="Z303" s="845">
        <v>9.9812118365429775E-3</v>
      </c>
      <c r="AA303" s="845">
        <v>5.8713010803193989E-4</v>
      </c>
      <c r="AB303" s="845">
        <v>6.6580554250821988E-2</v>
      </c>
      <c r="AC303" s="845">
        <v>3.1705025833724753E-3</v>
      </c>
      <c r="AD303" s="845">
        <v>1.7613903240958197E-3</v>
      </c>
      <c r="AE303" s="845">
        <v>4.6265852512916865E-2</v>
      </c>
      <c r="AF303" s="845">
        <v>2.8651949271958667E-2</v>
      </c>
      <c r="AG303" s="845">
        <v>0.87165335838421798</v>
      </c>
      <c r="AH303" s="20" t="str">
        <f t="shared" si="35"/>
        <v>No</v>
      </c>
      <c r="AI303" s="25"/>
      <c r="AJ303" s="20">
        <v>44032</v>
      </c>
      <c r="AK303" s="20" t="s">
        <v>1161</v>
      </c>
      <c r="AL303" s="20">
        <v>39007</v>
      </c>
      <c r="AM303" s="20" t="s">
        <v>10</v>
      </c>
      <c r="AN303" s="37">
        <f t="shared" si="36"/>
        <v>17410</v>
      </c>
      <c r="AO303" s="37" t="str">
        <f t="shared" si="37"/>
        <v>Cleveland, OH</v>
      </c>
      <c r="AP303" s="20" t="s">
        <v>8</v>
      </c>
      <c r="AQ303" s="25"/>
      <c r="AR303" s="25"/>
      <c r="AS303" s="25"/>
      <c r="AT303" s="25"/>
      <c r="AU303" s="36"/>
      <c r="AV303" s="36"/>
      <c r="AW303" s="36"/>
      <c r="AX303" s="25"/>
      <c r="AY303" s="25"/>
      <c r="AZ303" s="25"/>
      <c r="BA303" s="25"/>
      <c r="BB303" s="25"/>
      <c r="BC303" s="25"/>
      <c r="BD303" s="25"/>
      <c r="BE303" s="25"/>
      <c r="BF303" s="25"/>
      <c r="BG303" s="25"/>
      <c r="BH303" s="25"/>
      <c r="BI303" s="25"/>
      <c r="BJ303" s="25"/>
      <c r="BK303" s="25"/>
      <c r="BL303" s="25"/>
      <c r="BM303" s="25"/>
      <c r="BN303" s="25"/>
      <c r="BO303" s="25"/>
      <c r="BP303" s="25"/>
      <c r="BQ303" s="25"/>
      <c r="BR303" s="25"/>
      <c r="BS303" s="25"/>
      <c r="BT303" s="25"/>
      <c r="BU303" s="39">
        <v>45246</v>
      </c>
      <c r="BV303" s="39" t="s">
        <v>1647</v>
      </c>
      <c r="BW303" s="39" t="s">
        <v>2871</v>
      </c>
      <c r="BX303" s="39" t="s">
        <v>304</v>
      </c>
      <c r="BY303" s="71">
        <v>1130</v>
      </c>
      <c r="BZ303" s="71">
        <v>1240</v>
      </c>
      <c r="CA303" s="71">
        <v>1600</v>
      </c>
      <c r="CB303" s="71">
        <v>2110</v>
      </c>
      <c r="CC303" s="71">
        <v>2340</v>
      </c>
      <c r="CD303" s="25"/>
      <c r="CE303" s="200"/>
      <c r="CF303" s="200"/>
      <c r="CG303" s="200"/>
      <c r="CH303" s="200"/>
      <c r="CI303" s="200"/>
      <c r="CJ303" s="200"/>
      <c r="CK303" s="200"/>
      <c r="CL303" s="200"/>
      <c r="CM303" s="200"/>
      <c r="CN303" s="200"/>
      <c r="CO303" s="200"/>
      <c r="CP303" s="200"/>
      <c r="CQ303" s="200"/>
      <c r="CR303" s="200"/>
      <c r="CS303" s="200"/>
      <c r="CT303" s="200"/>
      <c r="CU303" s="200"/>
    </row>
    <row r="304" spans="1:99" s="17" customFormat="1" x14ac:dyDescent="0.2">
      <c r="A304" s="25"/>
      <c r="B304" s="20">
        <v>39169001200</v>
      </c>
      <c r="C304" s="20">
        <v>12</v>
      </c>
      <c r="D304" s="20" t="s">
        <v>90</v>
      </c>
      <c r="E304" s="20" t="s">
        <v>265</v>
      </c>
      <c r="F304" s="20" t="s">
        <v>8</v>
      </c>
      <c r="G304" s="861">
        <v>69.559820063263501</v>
      </c>
      <c r="H304" s="861">
        <v>58.082825765272297</v>
      </c>
      <c r="I304" s="861">
        <v>48.128927369867398</v>
      </c>
      <c r="J304" s="861">
        <v>46.789454844141503</v>
      </c>
      <c r="K304" s="982">
        <v>0</v>
      </c>
      <c r="L304" s="735">
        <v>1329</v>
      </c>
      <c r="M304" s="735">
        <v>956</v>
      </c>
      <c r="N304" s="845">
        <f t="shared" si="33"/>
        <v>-0.28066215199398042</v>
      </c>
      <c r="O304" s="735">
        <v>0.6737444057223877</v>
      </c>
      <c r="P304" s="735">
        <f t="shared" si="34"/>
        <v>1418.935714909541</v>
      </c>
      <c r="Q304" s="849">
        <v>43.2</v>
      </c>
      <c r="R304" s="71">
        <v>54479</v>
      </c>
      <c r="S304" s="845">
        <v>0.19037433155080213</v>
      </c>
      <c r="T304" s="845">
        <v>1.6E-2</v>
      </c>
      <c r="U304" s="845">
        <v>0</v>
      </c>
      <c r="V304" s="845">
        <v>0</v>
      </c>
      <c r="W304" s="845">
        <v>0.34872979214780603</v>
      </c>
      <c r="X304" s="845">
        <v>0.49006622516556292</v>
      </c>
      <c r="Y304" s="845">
        <v>0.87029288702928875</v>
      </c>
      <c r="Z304" s="845">
        <v>5.7531380753138073E-2</v>
      </c>
      <c r="AA304" s="845">
        <v>1.0460251046025104E-3</v>
      </c>
      <c r="AB304" s="845">
        <v>5.2301255230125521E-2</v>
      </c>
      <c r="AC304" s="845">
        <v>0</v>
      </c>
      <c r="AD304" s="845">
        <v>0</v>
      </c>
      <c r="AE304" s="845">
        <v>1.8828451882845189E-2</v>
      </c>
      <c r="AF304" s="845">
        <v>9.4142259414225944E-3</v>
      </c>
      <c r="AG304" s="845">
        <v>0.87029288702928875</v>
      </c>
      <c r="AH304" s="20" t="str">
        <f t="shared" si="35"/>
        <v>No</v>
      </c>
      <c r="AI304" s="25"/>
      <c r="AJ304" s="20">
        <v>44041</v>
      </c>
      <c r="AK304" s="20" t="s">
        <v>1165</v>
      </c>
      <c r="AL304" s="20">
        <v>39007</v>
      </c>
      <c r="AM304" s="20" t="s">
        <v>10</v>
      </c>
      <c r="AN304" s="37">
        <f t="shared" si="36"/>
        <v>17410</v>
      </c>
      <c r="AO304" s="37" t="str">
        <f t="shared" si="37"/>
        <v>Cleveland, OH</v>
      </c>
      <c r="AP304" s="20" t="s">
        <v>8</v>
      </c>
      <c r="AQ304" s="25"/>
      <c r="AR304" s="25"/>
      <c r="AS304" s="25"/>
      <c r="AT304" s="25"/>
      <c r="AU304" s="36"/>
      <c r="AV304" s="36"/>
      <c r="AW304" s="36"/>
      <c r="AX304" s="25"/>
      <c r="AY304" s="25"/>
      <c r="AZ304" s="25"/>
      <c r="BA304" s="25"/>
      <c r="BB304" s="25"/>
      <c r="BC304" s="25"/>
      <c r="BD304" s="25"/>
      <c r="BE304" s="25"/>
      <c r="BF304" s="25"/>
      <c r="BG304" s="25"/>
      <c r="BH304" s="25"/>
      <c r="BI304" s="25"/>
      <c r="BJ304" s="25"/>
      <c r="BK304" s="25"/>
      <c r="BL304" s="25"/>
      <c r="BM304" s="25"/>
      <c r="BN304" s="25"/>
      <c r="BO304" s="25"/>
      <c r="BP304" s="25"/>
      <c r="BQ304" s="25"/>
      <c r="BR304" s="25"/>
      <c r="BS304" s="25"/>
      <c r="BT304" s="25"/>
      <c r="BU304" s="39">
        <v>45247</v>
      </c>
      <c r="BV304" s="39" t="s">
        <v>1648</v>
      </c>
      <c r="BW304" s="39" t="s">
        <v>2871</v>
      </c>
      <c r="BX304" s="39" t="s">
        <v>304</v>
      </c>
      <c r="BY304" s="71">
        <v>930</v>
      </c>
      <c r="BZ304" s="71">
        <v>1030</v>
      </c>
      <c r="CA304" s="71">
        <v>1320</v>
      </c>
      <c r="CB304" s="71">
        <v>1740</v>
      </c>
      <c r="CC304" s="71">
        <v>1930</v>
      </c>
      <c r="CD304" s="25"/>
      <c r="CE304" s="200"/>
      <c r="CF304" s="200"/>
      <c r="CG304" s="200"/>
      <c r="CH304" s="200"/>
      <c r="CI304" s="200"/>
      <c r="CJ304" s="200"/>
      <c r="CK304" s="200"/>
      <c r="CL304" s="200"/>
      <c r="CM304" s="200"/>
      <c r="CN304" s="200"/>
      <c r="CO304" s="200"/>
      <c r="CP304" s="200"/>
      <c r="CQ304" s="200"/>
      <c r="CR304" s="200"/>
      <c r="CS304" s="200"/>
      <c r="CT304" s="200"/>
      <c r="CU304" s="200"/>
    </row>
    <row r="305" spans="1:99" s="17" customFormat="1" x14ac:dyDescent="0.2">
      <c r="A305" s="25"/>
      <c r="B305" s="20">
        <v>39061005302</v>
      </c>
      <c r="C305" s="20">
        <v>53.02</v>
      </c>
      <c r="D305" s="20" t="s">
        <v>37</v>
      </c>
      <c r="E305" s="20" t="s">
        <v>2828</v>
      </c>
      <c r="F305" s="20" t="s">
        <v>8</v>
      </c>
      <c r="G305" s="861">
        <v>69.534605098634898</v>
      </c>
      <c r="H305" s="861">
        <v>70.118046700284594</v>
      </c>
      <c r="I305" s="861">
        <v>30.6647862886437</v>
      </c>
      <c r="J305" s="861">
        <v>46.4857010251229</v>
      </c>
      <c r="K305" s="982">
        <v>0</v>
      </c>
      <c r="L305" s="735">
        <v>3096</v>
      </c>
      <c r="M305" s="735">
        <v>3350</v>
      </c>
      <c r="N305" s="845">
        <f t="shared" si="33"/>
        <v>8.2041343669250644E-2</v>
      </c>
      <c r="O305" s="735">
        <v>0.83369031373661406</v>
      </c>
      <c r="P305" s="735">
        <f t="shared" si="34"/>
        <v>4018.2786639144738</v>
      </c>
      <c r="Q305" s="849">
        <v>38.1</v>
      </c>
      <c r="R305" s="71">
        <v>99107</v>
      </c>
      <c r="S305" s="845">
        <v>4.16536172878171E-2</v>
      </c>
      <c r="T305" s="845">
        <v>4.9000000000000002E-2</v>
      </c>
      <c r="U305" s="845">
        <v>0</v>
      </c>
      <c r="V305" s="845">
        <v>4.8000000000000001E-2</v>
      </c>
      <c r="W305" s="845">
        <v>0.46551724137931033</v>
      </c>
      <c r="X305" s="845">
        <v>0.36342592592592593</v>
      </c>
      <c r="Y305" s="845">
        <v>0.78328358208955229</v>
      </c>
      <c r="Z305" s="845">
        <v>9.3134328358208951E-2</v>
      </c>
      <c r="AA305" s="845">
        <v>0</v>
      </c>
      <c r="AB305" s="845">
        <v>3.5820895522388062E-2</v>
      </c>
      <c r="AC305" s="845">
        <v>0</v>
      </c>
      <c r="AD305" s="845">
        <v>2.2686567164179106E-2</v>
      </c>
      <c r="AE305" s="845">
        <v>6.5074626865671642E-2</v>
      </c>
      <c r="AF305" s="845">
        <v>7.0149253731343286E-2</v>
      </c>
      <c r="AG305" s="845">
        <v>0.78328358208955229</v>
      </c>
      <c r="AH305" s="20" t="str">
        <f t="shared" si="35"/>
        <v>No</v>
      </c>
      <c r="AI305" s="25"/>
      <c r="AJ305" s="20">
        <v>44047</v>
      </c>
      <c r="AK305" s="20" t="s">
        <v>1169</v>
      </c>
      <c r="AL305" s="20">
        <v>39007</v>
      </c>
      <c r="AM305" s="20" t="s">
        <v>10</v>
      </c>
      <c r="AN305" s="37">
        <f t="shared" si="36"/>
        <v>17410</v>
      </c>
      <c r="AO305" s="37" t="str">
        <f t="shared" si="37"/>
        <v>Cleveland, OH</v>
      </c>
      <c r="AP305" s="20" t="s">
        <v>8</v>
      </c>
      <c r="AQ305" s="25"/>
      <c r="AR305" s="25"/>
      <c r="AS305" s="25"/>
      <c r="AT305" s="25"/>
      <c r="AU305" s="36"/>
      <c r="AV305" s="36"/>
      <c r="AW305" s="36"/>
      <c r="AX305" s="25"/>
      <c r="AY305" s="25"/>
      <c r="AZ305" s="25"/>
      <c r="BA305" s="25"/>
      <c r="BB305" s="25"/>
      <c r="BC305" s="25"/>
      <c r="BD305" s="25"/>
      <c r="BE305" s="25"/>
      <c r="BF305" s="25"/>
      <c r="BG305" s="25"/>
      <c r="BH305" s="25"/>
      <c r="BI305" s="25"/>
      <c r="BJ305" s="25"/>
      <c r="BK305" s="25"/>
      <c r="BL305" s="25"/>
      <c r="BM305" s="25"/>
      <c r="BN305" s="25"/>
      <c r="BO305" s="25"/>
      <c r="BP305" s="25"/>
      <c r="BQ305" s="25"/>
      <c r="BR305" s="25"/>
      <c r="BS305" s="25"/>
      <c r="BT305" s="25"/>
      <c r="BU305" s="39">
        <v>45248</v>
      </c>
      <c r="BV305" s="39" t="s">
        <v>1649</v>
      </c>
      <c r="BW305" s="39" t="s">
        <v>2871</v>
      </c>
      <c r="BX305" s="39" t="s">
        <v>304</v>
      </c>
      <c r="BY305" s="71">
        <v>970</v>
      </c>
      <c r="BZ305" s="71">
        <v>1060</v>
      </c>
      <c r="CA305" s="71">
        <v>1370</v>
      </c>
      <c r="CB305" s="71">
        <v>1810</v>
      </c>
      <c r="CC305" s="71">
        <v>2000</v>
      </c>
      <c r="CD305" s="25"/>
      <c r="CE305" s="200"/>
      <c r="CF305" s="200"/>
      <c r="CG305" s="200"/>
      <c r="CH305" s="200"/>
      <c r="CI305" s="200"/>
      <c r="CJ305" s="200"/>
      <c r="CK305" s="200"/>
      <c r="CL305" s="200"/>
      <c r="CM305" s="200"/>
      <c r="CN305" s="200"/>
      <c r="CO305" s="200"/>
      <c r="CP305" s="200"/>
      <c r="CQ305" s="200"/>
      <c r="CR305" s="200"/>
      <c r="CS305" s="200"/>
      <c r="CT305" s="200"/>
      <c r="CU305" s="200"/>
    </row>
    <row r="306" spans="1:99" s="17" customFormat="1" x14ac:dyDescent="0.2">
      <c r="A306" s="25"/>
      <c r="B306" s="20">
        <v>39049000420</v>
      </c>
      <c r="C306" s="20">
        <v>4.2</v>
      </c>
      <c r="D306" s="20" t="s">
        <v>31</v>
      </c>
      <c r="E306" s="20" t="s">
        <v>2830</v>
      </c>
      <c r="F306" s="20" t="s">
        <v>8</v>
      </c>
      <c r="G306" s="861">
        <v>69.459851221865407</v>
      </c>
      <c r="H306" s="861">
        <v>79.452434891644799</v>
      </c>
      <c r="I306" s="861">
        <v>23.9487162925973</v>
      </c>
      <c r="J306" s="861">
        <v>45.109568700135398</v>
      </c>
      <c r="K306" s="982">
        <v>0</v>
      </c>
      <c r="L306" s="735">
        <v>3238</v>
      </c>
      <c r="M306" s="735">
        <v>3269</v>
      </c>
      <c r="N306" s="845">
        <f t="shared" si="33"/>
        <v>9.5738109944410125E-3</v>
      </c>
      <c r="O306" s="735">
        <v>0.5654674607753315</v>
      </c>
      <c r="P306" s="735">
        <f t="shared" si="34"/>
        <v>5781.0576677882827</v>
      </c>
      <c r="Q306" s="849">
        <v>41.9</v>
      </c>
      <c r="R306" s="71">
        <v>100556</v>
      </c>
      <c r="S306" s="845">
        <v>4.7415111654940348E-2</v>
      </c>
      <c r="T306" s="845">
        <v>1.3000000000000001E-2</v>
      </c>
      <c r="U306" s="845">
        <v>0</v>
      </c>
      <c r="V306" s="845">
        <v>6.3E-2</v>
      </c>
      <c r="W306" s="845">
        <v>0.25441919191919193</v>
      </c>
      <c r="X306" s="845">
        <v>0.33002481389578164</v>
      </c>
      <c r="Y306" s="845">
        <v>0.91373508718262464</v>
      </c>
      <c r="Z306" s="845">
        <v>6.1180789232181095E-3</v>
      </c>
      <c r="AA306" s="845">
        <v>0</v>
      </c>
      <c r="AB306" s="845">
        <v>3.2731722239216887E-2</v>
      </c>
      <c r="AC306" s="845">
        <v>0</v>
      </c>
      <c r="AD306" s="845">
        <v>6.7298868155399203E-3</v>
      </c>
      <c r="AE306" s="845">
        <v>4.068522483940043E-2</v>
      </c>
      <c r="AF306" s="845">
        <v>1.0400734169470786E-2</v>
      </c>
      <c r="AG306" s="845">
        <v>0.91342918323646372</v>
      </c>
      <c r="AH306" s="20" t="str">
        <f t="shared" si="35"/>
        <v>Yes</v>
      </c>
      <c r="AI306" s="25"/>
      <c r="AJ306" s="20">
        <v>44048</v>
      </c>
      <c r="AK306" s="20" t="s">
        <v>1170</v>
      </c>
      <c r="AL306" s="20">
        <v>39007</v>
      </c>
      <c r="AM306" s="20" t="s">
        <v>10</v>
      </c>
      <c r="AN306" s="37">
        <f t="shared" si="36"/>
        <v>17410</v>
      </c>
      <c r="AO306" s="37" t="str">
        <f t="shared" si="37"/>
        <v>Cleveland, OH</v>
      </c>
      <c r="AP306" s="20" t="s">
        <v>8</v>
      </c>
      <c r="AQ306" s="25"/>
      <c r="AR306" s="25"/>
      <c r="AS306" s="25"/>
      <c r="AT306" s="25"/>
      <c r="AU306" s="36"/>
      <c r="AV306" s="36"/>
      <c r="AW306" s="36"/>
      <c r="AX306" s="25"/>
      <c r="AY306" s="25"/>
      <c r="AZ306" s="25"/>
      <c r="BA306" s="25"/>
      <c r="BB306" s="25"/>
      <c r="BC306" s="25"/>
      <c r="BD306" s="25"/>
      <c r="BE306" s="25"/>
      <c r="BF306" s="25"/>
      <c r="BG306" s="25"/>
      <c r="BH306" s="25"/>
      <c r="BI306" s="25"/>
      <c r="BJ306" s="25"/>
      <c r="BK306" s="25"/>
      <c r="BL306" s="25"/>
      <c r="BM306" s="25"/>
      <c r="BN306" s="25"/>
      <c r="BO306" s="25"/>
      <c r="BP306" s="25"/>
      <c r="BQ306" s="25"/>
      <c r="BR306" s="25"/>
      <c r="BS306" s="25"/>
      <c r="BT306" s="25"/>
      <c r="BU306" s="39">
        <v>45249</v>
      </c>
      <c r="BV306" s="39" t="s">
        <v>1650</v>
      </c>
      <c r="BW306" s="39" t="s">
        <v>2871</v>
      </c>
      <c r="BX306" s="39" t="s">
        <v>304</v>
      </c>
      <c r="BY306" s="71">
        <v>1300</v>
      </c>
      <c r="BZ306" s="71">
        <v>1420</v>
      </c>
      <c r="CA306" s="71">
        <v>1830</v>
      </c>
      <c r="CB306" s="71">
        <v>2410</v>
      </c>
      <c r="CC306" s="71">
        <v>2670</v>
      </c>
      <c r="CD306" s="25"/>
      <c r="CE306" s="200"/>
      <c r="CF306" s="200"/>
      <c r="CG306" s="200"/>
      <c r="CH306" s="200"/>
      <c r="CI306" s="200"/>
      <c r="CJ306" s="200"/>
      <c r="CK306" s="200"/>
      <c r="CL306" s="200"/>
      <c r="CM306" s="200"/>
      <c r="CN306" s="200"/>
      <c r="CO306" s="200"/>
      <c r="CP306" s="200"/>
      <c r="CQ306" s="200"/>
      <c r="CR306" s="200"/>
      <c r="CS306" s="200"/>
      <c r="CT306" s="200"/>
      <c r="CU306" s="200"/>
    </row>
    <row r="307" spans="1:99" s="17" customFormat="1" x14ac:dyDescent="0.2">
      <c r="A307" s="25"/>
      <c r="B307" s="20">
        <v>39035153104</v>
      </c>
      <c r="C307" s="20">
        <v>1531.04</v>
      </c>
      <c r="D307" s="20" t="s">
        <v>24</v>
      </c>
      <c r="E307" s="20" t="s">
        <v>2829</v>
      </c>
      <c r="F307" s="20" t="s">
        <v>8</v>
      </c>
      <c r="G307" s="861">
        <v>69.399227790215207</v>
      </c>
      <c r="H307" s="861">
        <v>70.206704583861693</v>
      </c>
      <c r="I307" s="861">
        <v>21.5690200297663</v>
      </c>
      <c r="J307" s="861">
        <v>51.033917920177501</v>
      </c>
      <c r="K307" s="982">
        <v>0</v>
      </c>
      <c r="L307" s="735">
        <v>3058</v>
      </c>
      <c r="M307" s="735">
        <v>3058</v>
      </c>
      <c r="N307" s="845">
        <f t="shared" si="33"/>
        <v>0</v>
      </c>
      <c r="O307" s="735">
        <v>0.61153678423643421</v>
      </c>
      <c r="P307" s="735">
        <f t="shared" si="34"/>
        <v>5000.5168598618702</v>
      </c>
      <c r="Q307" s="849">
        <v>38.299999999999997</v>
      </c>
      <c r="R307" s="71">
        <v>87411</v>
      </c>
      <c r="S307" s="845">
        <v>2.2236756049705691E-2</v>
      </c>
      <c r="T307" s="845">
        <v>2.4E-2</v>
      </c>
      <c r="U307" s="845">
        <v>0</v>
      </c>
      <c r="V307" s="845">
        <v>0</v>
      </c>
      <c r="W307" s="845">
        <v>0.212798766383963</v>
      </c>
      <c r="X307" s="845">
        <v>0.17391304347826086</v>
      </c>
      <c r="Y307" s="845">
        <v>0.92282537606278614</v>
      </c>
      <c r="Z307" s="845">
        <v>0</v>
      </c>
      <c r="AA307" s="845">
        <v>0</v>
      </c>
      <c r="AB307" s="845">
        <v>1.7658600392413341E-2</v>
      </c>
      <c r="AC307" s="845">
        <v>0</v>
      </c>
      <c r="AD307" s="845">
        <v>1.3080444735120995E-3</v>
      </c>
      <c r="AE307" s="845">
        <v>5.8207979071288427E-2</v>
      </c>
      <c r="AF307" s="845">
        <v>7.6193590582079793E-2</v>
      </c>
      <c r="AG307" s="845">
        <v>0.89175931981687373</v>
      </c>
      <c r="AH307" s="20" t="str">
        <f t="shared" si="35"/>
        <v>No</v>
      </c>
      <c r="AI307" s="25"/>
      <c r="AJ307" s="20">
        <v>44057</v>
      </c>
      <c r="AK307" s="20" t="s">
        <v>1178</v>
      </c>
      <c r="AL307" s="20">
        <v>39007</v>
      </c>
      <c r="AM307" s="20" t="s">
        <v>10</v>
      </c>
      <c r="AN307" s="37">
        <f t="shared" si="36"/>
        <v>17410</v>
      </c>
      <c r="AO307" s="37" t="str">
        <f t="shared" si="37"/>
        <v>Cleveland, OH</v>
      </c>
      <c r="AP307" s="20" t="s">
        <v>8</v>
      </c>
      <c r="AQ307" s="25"/>
      <c r="AR307" s="25"/>
      <c r="AS307" s="25"/>
      <c r="AT307" s="25"/>
      <c r="AU307" s="36"/>
      <c r="AV307" s="36"/>
      <c r="AW307" s="36"/>
      <c r="AX307" s="25"/>
      <c r="AY307" s="25"/>
      <c r="AZ307" s="25"/>
      <c r="BA307" s="25"/>
      <c r="BB307" s="25"/>
      <c r="BC307" s="25"/>
      <c r="BD307" s="25"/>
      <c r="BE307" s="25"/>
      <c r="BF307" s="25"/>
      <c r="BG307" s="25"/>
      <c r="BH307" s="25"/>
      <c r="BI307" s="25"/>
      <c r="BJ307" s="25"/>
      <c r="BK307" s="25"/>
      <c r="BL307" s="25"/>
      <c r="BM307" s="25"/>
      <c r="BN307" s="25"/>
      <c r="BO307" s="25"/>
      <c r="BP307" s="25"/>
      <c r="BQ307" s="25"/>
      <c r="BR307" s="25"/>
      <c r="BS307" s="25"/>
      <c r="BT307" s="25"/>
      <c r="BU307" s="39">
        <v>45251</v>
      </c>
      <c r="BV307" s="39" t="s">
        <v>1651</v>
      </c>
      <c r="BW307" s="39" t="s">
        <v>2871</v>
      </c>
      <c r="BX307" s="39" t="s">
        <v>304</v>
      </c>
      <c r="BY307" s="71">
        <v>1150</v>
      </c>
      <c r="BZ307" s="71">
        <v>1270</v>
      </c>
      <c r="CA307" s="71">
        <v>1630</v>
      </c>
      <c r="CB307" s="71">
        <v>2150</v>
      </c>
      <c r="CC307" s="71">
        <v>2380</v>
      </c>
      <c r="CD307" s="25"/>
      <c r="CE307" s="200"/>
      <c r="CF307" s="200"/>
      <c r="CG307" s="200"/>
      <c r="CH307" s="200"/>
      <c r="CI307" s="200"/>
      <c r="CJ307" s="200"/>
      <c r="CK307" s="200"/>
      <c r="CL307" s="200"/>
      <c r="CM307" s="200"/>
      <c r="CN307" s="200"/>
      <c r="CO307" s="200"/>
      <c r="CP307" s="200"/>
      <c r="CQ307" s="200"/>
      <c r="CR307" s="200"/>
      <c r="CS307" s="200"/>
      <c r="CT307" s="200"/>
      <c r="CU307" s="200"/>
    </row>
    <row r="308" spans="1:99" s="17" customFormat="1" x14ac:dyDescent="0.2">
      <c r="A308" s="25"/>
      <c r="B308" s="20">
        <v>39057280200</v>
      </c>
      <c r="C308" s="20">
        <v>2802</v>
      </c>
      <c r="D308" s="20" t="s">
        <v>35</v>
      </c>
      <c r="E308" s="20" t="s">
        <v>2833</v>
      </c>
      <c r="F308" s="20" t="s">
        <v>8</v>
      </c>
      <c r="G308" s="861">
        <v>69.386646094781199</v>
      </c>
      <c r="H308" s="861">
        <v>66.637108697793195</v>
      </c>
      <c r="I308" s="861">
        <v>21.6346897646768</v>
      </c>
      <c r="J308" s="861">
        <v>52.064375922771298</v>
      </c>
      <c r="K308" s="982">
        <v>0</v>
      </c>
      <c r="L308" s="735">
        <v>1389</v>
      </c>
      <c r="M308" s="735">
        <v>1430</v>
      </c>
      <c r="N308" s="845">
        <f t="shared" si="33"/>
        <v>2.9517638588912886E-2</v>
      </c>
      <c r="O308" s="735">
        <v>25.043652420473855</v>
      </c>
      <c r="P308" s="735">
        <f t="shared" si="34"/>
        <v>57.100297352431582</v>
      </c>
      <c r="Q308" s="849">
        <v>55.7</v>
      </c>
      <c r="R308" s="71">
        <v>97188</v>
      </c>
      <c r="S308" s="845">
        <v>3.8461538461538464E-2</v>
      </c>
      <c r="T308" s="845">
        <v>1.4999999999999999E-2</v>
      </c>
      <c r="U308" s="845">
        <v>0</v>
      </c>
      <c r="V308" s="845">
        <v>1.8000000000000002E-2</v>
      </c>
      <c r="W308" s="845">
        <v>8.5714285714285715E-2</v>
      </c>
      <c r="X308" s="845">
        <v>0.62962962962962965</v>
      </c>
      <c r="Y308" s="845">
        <v>0.91818181818181821</v>
      </c>
      <c r="Z308" s="845">
        <v>7.6223776223776227E-2</v>
      </c>
      <c r="AA308" s="845">
        <v>0</v>
      </c>
      <c r="AB308" s="845">
        <v>0</v>
      </c>
      <c r="AC308" s="845">
        <v>0</v>
      </c>
      <c r="AD308" s="845">
        <v>0</v>
      </c>
      <c r="AE308" s="845">
        <v>5.5944055944055944E-3</v>
      </c>
      <c r="AF308" s="845">
        <v>1.8881118881118882E-2</v>
      </c>
      <c r="AG308" s="845">
        <v>0.90279720279720277</v>
      </c>
      <c r="AH308" s="20" t="str">
        <f t="shared" si="35"/>
        <v>Yes</v>
      </c>
      <c r="AI308" s="25"/>
      <c r="AJ308" s="37">
        <v>44062</v>
      </c>
      <c r="AK308" s="37" t="s">
        <v>1180</v>
      </c>
      <c r="AL308" s="37">
        <v>39007</v>
      </c>
      <c r="AM308" s="37" t="s">
        <v>10</v>
      </c>
      <c r="AN308" s="37">
        <f t="shared" si="36"/>
        <v>17410</v>
      </c>
      <c r="AO308" s="37" t="str">
        <f t="shared" si="37"/>
        <v>Cleveland, OH</v>
      </c>
      <c r="AP308" s="20" t="s">
        <v>8</v>
      </c>
      <c r="AQ308" s="25"/>
      <c r="AR308" s="25"/>
      <c r="AS308" s="25"/>
      <c r="AT308" s="25"/>
      <c r="AU308" s="36"/>
      <c r="AV308" s="36"/>
      <c r="AW308" s="36"/>
      <c r="AX308" s="25"/>
      <c r="AY308" s="25"/>
      <c r="AZ308" s="25"/>
      <c r="BA308" s="25"/>
      <c r="BB308" s="25"/>
      <c r="BC308" s="25"/>
      <c r="BD308" s="25"/>
      <c r="BE308" s="25"/>
      <c r="BF308" s="25"/>
      <c r="BG308" s="25"/>
      <c r="BH308" s="25"/>
      <c r="BI308" s="25"/>
      <c r="BJ308" s="25"/>
      <c r="BK308" s="25"/>
      <c r="BL308" s="25"/>
      <c r="BM308" s="25"/>
      <c r="BN308" s="25"/>
      <c r="BO308" s="25"/>
      <c r="BP308" s="25"/>
      <c r="BQ308" s="25"/>
      <c r="BR308" s="25"/>
      <c r="BS308" s="25"/>
      <c r="BT308" s="25"/>
      <c r="BU308" s="39">
        <v>45252</v>
      </c>
      <c r="BV308" s="39" t="s">
        <v>1652</v>
      </c>
      <c r="BW308" s="39" t="s">
        <v>2871</v>
      </c>
      <c r="BX308" s="39" t="s">
        <v>304</v>
      </c>
      <c r="BY308" s="71">
        <v>890</v>
      </c>
      <c r="BZ308" s="71">
        <v>980</v>
      </c>
      <c r="CA308" s="71">
        <v>1260</v>
      </c>
      <c r="CB308" s="71">
        <v>1660</v>
      </c>
      <c r="CC308" s="71">
        <v>1840</v>
      </c>
      <c r="CD308" s="25"/>
      <c r="CE308" s="200"/>
      <c r="CF308" s="200"/>
      <c r="CG308" s="200"/>
      <c r="CH308" s="200"/>
      <c r="CI308" s="200"/>
      <c r="CJ308" s="200"/>
      <c r="CK308" s="200"/>
      <c r="CL308" s="200"/>
      <c r="CM308" s="200"/>
      <c r="CN308" s="200"/>
      <c r="CO308" s="200"/>
      <c r="CP308" s="200"/>
      <c r="CQ308" s="200"/>
      <c r="CR308" s="200"/>
      <c r="CS308" s="200"/>
      <c r="CT308" s="200"/>
      <c r="CU308" s="200"/>
    </row>
    <row r="309" spans="1:99" s="17" customFormat="1" x14ac:dyDescent="0.2">
      <c r="A309" s="25"/>
      <c r="B309" s="20">
        <v>39061005702</v>
      </c>
      <c r="C309" s="20">
        <v>57.02</v>
      </c>
      <c r="D309" s="20" t="s">
        <v>37</v>
      </c>
      <c r="E309" s="20" t="s">
        <v>2828</v>
      </c>
      <c r="F309" s="20" t="s">
        <v>8</v>
      </c>
      <c r="G309" s="861">
        <v>69.365928995705005</v>
      </c>
      <c r="H309" s="861">
        <v>75.825192884709594</v>
      </c>
      <c r="I309" s="861">
        <v>36.852362962149002</v>
      </c>
      <c r="J309" s="861">
        <v>48.425870299654498</v>
      </c>
      <c r="K309" s="982">
        <v>0</v>
      </c>
      <c r="L309" s="735">
        <v>4542</v>
      </c>
      <c r="M309" s="735">
        <v>3897</v>
      </c>
      <c r="N309" s="845">
        <f t="shared" si="33"/>
        <v>-0.14200792602377807</v>
      </c>
      <c r="O309" s="735">
        <v>0.99074277217434803</v>
      </c>
      <c r="P309" s="735">
        <f t="shared" si="34"/>
        <v>3933.4124956040732</v>
      </c>
      <c r="Q309" s="849">
        <v>34.5</v>
      </c>
      <c r="R309" s="71">
        <v>96741</v>
      </c>
      <c r="S309" s="845">
        <v>9.9344692005242458E-2</v>
      </c>
      <c r="T309" s="845">
        <v>1.7000000000000001E-2</v>
      </c>
      <c r="U309" s="845">
        <v>0</v>
      </c>
      <c r="V309" s="845">
        <v>0</v>
      </c>
      <c r="W309" s="845">
        <v>0.43963782696177062</v>
      </c>
      <c r="X309" s="845">
        <v>0.54462242562929064</v>
      </c>
      <c r="Y309" s="845">
        <v>0.71465229663843988</v>
      </c>
      <c r="Z309" s="845">
        <v>0.1644855016679497</v>
      </c>
      <c r="AA309" s="845">
        <v>0</v>
      </c>
      <c r="AB309" s="845">
        <v>4.7985629971773157E-2</v>
      </c>
      <c r="AC309" s="845">
        <v>0</v>
      </c>
      <c r="AD309" s="845">
        <v>6.1585835257890681E-3</v>
      </c>
      <c r="AE309" s="845">
        <v>6.6717988196048239E-2</v>
      </c>
      <c r="AF309" s="845">
        <v>1.8475750577367205E-2</v>
      </c>
      <c r="AG309" s="845">
        <v>0.71465229663843988</v>
      </c>
      <c r="AH309" s="20" t="str">
        <f t="shared" si="35"/>
        <v>No</v>
      </c>
      <c r="AI309" s="25"/>
      <c r="AJ309" s="20">
        <v>44064</v>
      </c>
      <c r="AK309" s="20" t="s">
        <v>1181</v>
      </c>
      <c r="AL309" s="20">
        <v>39007</v>
      </c>
      <c r="AM309" s="20" t="s">
        <v>10</v>
      </c>
      <c r="AN309" s="37">
        <f t="shared" si="36"/>
        <v>17410</v>
      </c>
      <c r="AO309" s="37" t="str">
        <f t="shared" si="37"/>
        <v>Cleveland, OH</v>
      </c>
      <c r="AP309" s="20" t="s">
        <v>8</v>
      </c>
      <c r="AQ309" s="25"/>
      <c r="AR309" s="25"/>
      <c r="AS309" s="25"/>
      <c r="AT309" s="25"/>
      <c r="AU309" s="36"/>
      <c r="AV309" s="36"/>
      <c r="AW309" s="36"/>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39">
        <v>45255</v>
      </c>
      <c r="BV309" s="39" t="s">
        <v>1653</v>
      </c>
      <c r="BW309" s="39" t="s">
        <v>2871</v>
      </c>
      <c r="BX309" s="39" t="s">
        <v>304</v>
      </c>
      <c r="BY309" s="71">
        <v>1110</v>
      </c>
      <c r="BZ309" s="71">
        <v>1220</v>
      </c>
      <c r="CA309" s="71">
        <v>1570</v>
      </c>
      <c r="CB309" s="71">
        <v>2070</v>
      </c>
      <c r="CC309" s="71">
        <v>2290</v>
      </c>
      <c r="CD309" s="25"/>
      <c r="CE309" s="200"/>
      <c r="CF309" s="200"/>
      <c r="CG309" s="200"/>
      <c r="CH309" s="200"/>
      <c r="CI309" s="200"/>
      <c r="CJ309" s="200"/>
      <c r="CK309" s="200"/>
      <c r="CL309" s="200"/>
      <c r="CM309" s="200"/>
      <c r="CN309" s="200"/>
      <c r="CO309" s="200"/>
      <c r="CP309" s="200"/>
      <c r="CQ309" s="200"/>
      <c r="CR309" s="200"/>
      <c r="CS309" s="200"/>
      <c r="CT309" s="200"/>
      <c r="CU309" s="200"/>
    </row>
    <row r="310" spans="1:99" s="17" customFormat="1" x14ac:dyDescent="0.2">
      <c r="A310" s="25"/>
      <c r="B310" s="20">
        <v>39095008402</v>
      </c>
      <c r="C310" s="20">
        <v>84.02</v>
      </c>
      <c r="D310" s="20" t="s">
        <v>53</v>
      </c>
      <c r="E310" s="20" t="s">
        <v>2839</v>
      </c>
      <c r="F310" s="20" t="s">
        <v>8</v>
      </c>
      <c r="G310" s="861">
        <v>69.302219188025703</v>
      </c>
      <c r="H310" s="861">
        <v>69.643507282493005</v>
      </c>
      <c r="I310" s="861">
        <v>18.141215445816002</v>
      </c>
      <c r="J310" s="861">
        <v>41.748826011647701</v>
      </c>
      <c r="K310" s="982">
        <v>0</v>
      </c>
      <c r="L310" s="735" t="s">
        <v>2466</v>
      </c>
      <c r="M310" s="735">
        <v>2043</v>
      </c>
      <c r="N310" s="845" t="str">
        <f t="shared" si="33"/>
        <v/>
      </c>
      <c r="O310" s="735">
        <v>1.0351800418110799</v>
      </c>
      <c r="P310" s="735">
        <f t="shared" si="34"/>
        <v>1973.5697342326148</v>
      </c>
      <c r="Q310" s="849">
        <v>50.8</v>
      </c>
      <c r="R310" s="71">
        <v>97689</v>
      </c>
      <c r="S310" s="845">
        <v>3.768967205090553E-2</v>
      </c>
      <c r="T310" s="845">
        <v>0</v>
      </c>
      <c r="U310" s="845">
        <v>0</v>
      </c>
      <c r="V310" s="845">
        <v>0</v>
      </c>
      <c r="W310" s="845">
        <v>6.2953995157384993E-2</v>
      </c>
      <c r="X310" s="845">
        <v>0.23076923076923078</v>
      </c>
      <c r="Y310" s="845">
        <v>0.86735193343122863</v>
      </c>
      <c r="Z310" s="845">
        <v>0</v>
      </c>
      <c r="AA310" s="845">
        <v>0</v>
      </c>
      <c r="AB310" s="845">
        <v>5.8737151248164461E-3</v>
      </c>
      <c r="AC310" s="845">
        <v>0</v>
      </c>
      <c r="AD310" s="845">
        <v>9.642682329907E-2</v>
      </c>
      <c r="AE310" s="845">
        <v>3.0347528144884974E-2</v>
      </c>
      <c r="AF310" s="845">
        <v>0.16593245227606462</v>
      </c>
      <c r="AG310" s="845">
        <v>0.80518844836025449</v>
      </c>
      <c r="AH310" s="20" t="str">
        <f t="shared" si="35"/>
        <v>No</v>
      </c>
      <c r="AI310" s="25"/>
      <c r="AJ310" s="37">
        <v>44068</v>
      </c>
      <c r="AK310" s="37" t="s">
        <v>1184</v>
      </c>
      <c r="AL310" s="37">
        <v>39007</v>
      </c>
      <c r="AM310" s="37" t="s">
        <v>10</v>
      </c>
      <c r="AN310" s="37">
        <f t="shared" si="36"/>
        <v>17410</v>
      </c>
      <c r="AO310" s="37" t="str">
        <f t="shared" si="37"/>
        <v>Cleveland, OH</v>
      </c>
      <c r="AP310" s="20" t="s">
        <v>8</v>
      </c>
      <c r="AQ310" s="25"/>
      <c r="AR310" s="25"/>
      <c r="AS310" s="25"/>
      <c r="AT310" s="25"/>
      <c r="AU310" s="36"/>
      <c r="AV310" s="36"/>
      <c r="AW310" s="36"/>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39">
        <v>45267</v>
      </c>
      <c r="BV310" s="39" t="s">
        <v>1654</v>
      </c>
      <c r="BW310" s="39" t="s">
        <v>2871</v>
      </c>
      <c r="BX310" s="39" t="s">
        <v>304</v>
      </c>
      <c r="BY310" s="71">
        <v>970</v>
      </c>
      <c r="BZ310" s="71">
        <v>1070</v>
      </c>
      <c r="CA310" s="71">
        <v>1370</v>
      </c>
      <c r="CB310" s="71">
        <v>1810</v>
      </c>
      <c r="CC310" s="71">
        <v>2010</v>
      </c>
      <c r="CD310" s="25"/>
      <c r="CE310" s="200"/>
      <c r="CF310" s="200"/>
      <c r="CG310" s="200"/>
      <c r="CH310" s="200"/>
      <c r="CI310" s="200"/>
      <c r="CJ310" s="200"/>
      <c r="CK310" s="200"/>
      <c r="CL310" s="200"/>
      <c r="CM310" s="200"/>
      <c r="CN310" s="200"/>
      <c r="CO310" s="200"/>
      <c r="CP310" s="200"/>
      <c r="CQ310" s="200"/>
      <c r="CR310" s="200"/>
      <c r="CS310" s="200"/>
      <c r="CT310" s="200"/>
      <c r="CU310" s="200"/>
    </row>
    <row r="311" spans="1:99" s="17" customFormat="1" x14ac:dyDescent="0.2">
      <c r="A311" s="25"/>
      <c r="B311" s="20">
        <v>39049006353</v>
      </c>
      <c r="C311" s="20">
        <v>63.53</v>
      </c>
      <c r="D311" s="20" t="s">
        <v>31</v>
      </c>
      <c r="E311" s="20" t="s">
        <v>2830</v>
      </c>
      <c r="F311" s="20" t="s">
        <v>8</v>
      </c>
      <c r="G311" s="861">
        <v>69.301728248579096</v>
      </c>
      <c r="H311" s="861">
        <v>84.751489901849794</v>
      </c>
      <c r="I311" s="861">
        <v>35.973917312770098</v>
      </c>
      <c r="J311" s="861">
        <v>39.111699884144201</v>
      </c>
      <c r="K311" s="982">
        <v>0</v>
      </c>
      <c r="L311" s="735">
        <v>4125</v>
      </c>
      <c r="M311" s="735">
        <v>5538</v>
      </c>
      <c r="N311" s="845">
        <f t="shared" si="33"/>
        <v>0.34254545454545454</v>
      </c>
      <c r="O311" s="735">
        <v>0.65951538287177702</v>
      </c>
      <c r="P311" s="735">
        <f t="shared" si="34"/>
        <v>8397.0747973845191</v>
      </c>
      <c r="Q311" s="849">
        <v>34.299999999999997</v>
      </c>
      <c r="R311" s="71">
        <v>51092</v>
      </c>
      <c r="S311" s="845">
        <v>0.25532683279162155</v>
      </c>
      <c r="T311" s="845">
        <v>0.03</v>
      </c>
      <c r="U311" s="845">
        <v>0</v>
      </c>
      <c r="V311" s="845">
        <v>2.6000000000000002E-2</v>
      </c>
      <c r="W311" s="845">
        <v>0.68273231622746189</v>
      </c>
      <c r="X311" s="845">
        <v>0.32605383443372271</v>
      </c>
      <c r="Y311" s="845">
        <v>0.56590827013362222</v>
      </c>
      <c r="Z311" s="845">
        <v>0.10509209100758396</v>
      </c>
      <c r="AA311" s="845">
        <v>0</v>
      </c>
      <c r="AB311" s="845">
        <v>0.15420729505236547</v>
      </c>
      <c r="AC311" s="845">
        <v>0</v>
      </c>
      <c r="AD311" s="845">
        <v>6.6088840736728063E-2</v>
      </c>
      <c r="AE311" s="845">
        <v>0.10870350306970025</v>
      </c>
      <c r="AF311" s="845">
        <v>9.4799566630552543E-2</v>
      </c>
      <c r="AG311" s="845">
        <v>0.55164319248826288</v>
      </c>
      <c r="AH311" s="20" t="str">
        <f t="shared" si="35"/>
        <v>No</v>
      </c>
      <c r="AI311" s="25"/>
      <c r="AJ311" s="20">
        <v>44076</v>
      </c>
      <c r="AK311" s="20" t="s">
        <v>1188</v>
      </c>
      <c r="AL311" s="20">
        <v>39007</v>
      </c>
      <c r="AM311" s="20" t="s">
        <v>10</v>
      </c>
      <c r="AN311" s="37">
        <f t="shared" si="36"/>
        <v>17410</v>
      </c>
      <c r="AO311" s="37" t="str">
        <f t="shared" si="37"/>
        <v>Cleveland, OH</v>
      </c>
      <c r="AP311" s="20" t="s">
        <v>8</v>
      </c>
      <c r="AQ311" s="25"/>
      <c r="AR311" s="25"/>
      <c r="AS311" s="25"/>
      <c r="AT311" s="25"/>
      <c r="AU311" s="36"/>
      <c r="AV311" s="36"/>
      <c r="AW311" s="36"/>
      <c r="AX311" s="25"/>
      <c r="AY311" s="25"/>
      <c r="AZ311" s="25"/>
      <c r="BA311" s="25"/>
      <c r="BB311" s="25"/>
      <c r="BC311" s="25"/>
      <c r="BD311" s="25"/>
      <c r="BE311" s="25"/>
      <c r="BF311" s="25"/>
      <c r="BG311" s="25"/>
      <c r="BH311" s="25"/>
      <c r="BI311" s="25"/>
      <c r="BJ311" s="25"/>
      <c r="BK311" s="25"/>
      <c r="BL311" s="25"/>
      <c r="BM311" s="25"/>
      <c r="BN311" s="25"/>
      <c r="BO311" s="25"/>
      <c r="BP311" s="25"/>
      <c r="BQ311" s="25"/>
      <c r="BR311" s="25"/>
      <c r="BS311" s="25"/>
      <c r="BT311" s="25"/>
      <c r="BU311" s="39">
        <v>45327</v>
      </c>
      <c r="BV311" s="39" t="s">
        <v>1680</v>
      </c>
      <c r="BW311" s="39" t="s">
        <v>2871</v>
      </c>
      <c r="BX311" s="39" t="s">
        <v>304</v>
      </c>
      <c r="BY311" s="71">
        <v>860</v>
      </c>
      <c r="BZ311" s="71">
        <v>930</v>
      </c>
      <c r="CA311" s="71">
        <v>1180</v>
      </c>
      <c r="CB311" s="71">
        <v>1530</v>
      </c>
      <c r="CC311" s="71">
        <v>1680</v>
      </c>
      <c r="CD311" s="25"/>
      <c r="CE311" s="200"/>
      <c r="CF311" s="200"/>
      <c r="CG311" s="200"/>
      <c r="CH311" s="200"/>
      <c r="CI311" s="200"/>
      <c r="CJ311" s="200"/>
      <c r="CK311" s="200"/>
      <c r="CL311" s="200"/>
      <c r="CM311" s="200"/>
      <c r="CN311" s="200"/>
      <c r="CO311" s="200"/>
      <c r="CP311" s="200"/>
      <c r="CQ311" s="200"/>
      <c r="CR311" s="200"/>
      <c r="CS311" s="200"/>
      <c r="CT311" s="200"/>
      <c r="CU311" s="200"/>
    </row>
    <row r="312" spans="1:99" s="17" customFormat="1" x14ac:dyDescent="0.2">
      <c r="A312" s="25"/>
      <c r="B312" s="20">
        <v>39099811902</v>
      </c>
      <c r="C312" s="20">
        <v>8119.02</v>
      </c>
      <c r="D312" s="20" t="s">
        <v>55</v>
      </c>
      <c r="E312" s="20" t="s">
        <v>2842</v>
      </c>
      <c r="F312" s="20" t="s">
        <v>8</v>
      </c>
      <c r="G312" s="861">
        <v>69.300183820632896</v>
      </c>
      <c r="H312" s="861">
        <v>59.787348590352899</v>
      </c>
      <c r="I312" s="861">
        <v>27.0302180999699</v>
      </c>
      <c r="J312" s="861">
        <v>48.3020124363563</v>
      </c>
      <c r="K312" s="982">
        <v>1</v>
      </c>
      <c r="L312" s="735">
        <v>3585</v>
      </c>
      <c r="M312" s="735">
        <v>3326</v>
      </c>
      <c r="N312" s="845">
        <f t="shared" si="33"/>
        <v>-7.2245467224546722E-2</v>
      </c>
      <c r="O312" s="735">
        <v>4.2567481130251217</v>
      </c>
      <c r="P312" s="735">
        <f t="shared" si="34"/>
        <v>781.34761834341384</v>
      </c>
      <c r="Q312" s="849">
        <v>56</v>
      </c>
      <c r="R312" s="71">
        <v>81289</v>
      </c>
      <c r="S312" s="845">
        <v>3.1405472636815923E-2</v>
      </c>
      <c r="T312" s="845">
        <v>1.4999999999999999E-2</v>
      </c>
      <c r="U312" s="845">
        <v>0</v>
      </c>
      <c r="V312" s="845">
        <v>0</v>
      </c>
      <c r="W312" s="845">
        <v>6.6192170818505341E-2</v>
      </c>
      <c r="X312" s="845">
        <v>0.21505376344086022</v>
      </c>
      <c r="Y312" s="845">
        <v>0.8923631990378833</v>
      </c>
      <c r="Z312" s="845">
        <v>2.2850270595309682E-2</v>
      </c>
      <c r="AA312" s="845">
        <v>0</v>
      </c>
      <c r="AB312" s="845">
        <v>3.2772098616957304E-2</v>
      </c>
      <c r="AC312" s="845">
        <v>0</v>
      </c>
      <c r="AD312" s="845">
        <v>1.5033072760072159E-3</v>
      </c>
      <c r="AE312" s="845">
        <v>5.0511124473842456E-2</v>
      </c>
      <c r="AF312" s="845">
        <v>2.8562838244137103E-2</v>
      </c>
      <c r="AG312" s="845">
        <v>0.8872519542994588</v>
      </c>
      <c r="AH312" s="20" t="str">
        <f t="shared" si="35"/>
        <v>No</v>
      </c>
      <c r="AI312" s="25"/>
      <c r="AJ312" s="20">
        <v>44082</v>
      </c>
      <c r="AK312" s="20" t="s">
        <v>1192</v>
      </c>
      <c r="AL312" s="20">
        <v>39007</v>
      </c>
      <c r="AM312" s="20" t="s">
        <v>10</v>
      </c>
      <c r="AN312" s="37">
        <f t="shared" si="36"/>
        <v>17410</v>
      </c>
      <c r="AO312" s="37" t="str">
        <f t="shared" si="37"/>
        <v>Cleveland, OH</v>
      </c>
      <c r="AP312" s="20" t="s">
        <v>8</v>
      </c>
      <c r="AQ312" s="25"/>
      <c r="AR312" s="25"/>
      <c r="AS312" s="25"/>
      <c r="AT312" s="25"/>
      <c r="AU312" s="36"/>
      <c r="AV312" s="36"/>
      <c r="AW312" s="36"/>
      <c r="AX312" s="25"/>
      <c r="AY312" s="25"/>
      <c r="AZ312" s="25"/>
      <c r="BA312" s="25"/>
      <c r="BB312" s="25"/>
      <c r="BC312" s="25"/>
      <c r="BD312" s="25"/>
      <c r="BE312" s="25"/>
      <c r="BF312" s="25"/>
      <c r="BG312" s="25"/>
      <c r="BH312" s="25"/>
      <c r="BI312" s="25"/>
      <c r="BJ312" s="25"/>
      <c r="BK312" s="25"/>
      <c r="BL312" s="25"/>
      <c r="BM312" s="25"/>
      <c r="BN312" s="25"/>
      <c r="BO312" s="25"/>
      <c r="BP312" s="25"/>
      <c r="BQ312" s="25"/>
      <c r="BR312" s="25"/>
      <c r="BS312" s="25"/>
      <c r="BT312" s="25"/>
      <c r="BU312" s="39">
        <v>45342</v>
      </c>
      <c r="BV312" s="39" t="s">
        <v>1694</v>
      </c>
      <c r="BW312" s="39" t="s">
        <v>2871</v>
      </c>
      <c r="BX312" s="39" t="s">
        <v>304</v>
      </c>
      <c r="BY312" s="71">
        <v>1120</v>
      </c>
      <c r="BZ312" s="71">
        <v>1220</v>
      </c>
      <c r="CA312" s="71">
        <v>1540</v>
      </c>
      <c r="CB312" s="71">
        <v>2000</v>
      </c>
      <c r="CC312" s="71">
        <v>2200</v>
      </c>
      <c r="CD312" s="25"/>
      <c r="CE312" s="200"/>
      <c r="CF312" s="200"/>
      <c r="CG312" s="200"/>
      <c r="CH312" s="200"/>
      <c r="CI312" s="200"/>
      <c r="CJ312" s="200"/>
      <c r="CK312" s="200"/>
      <c r="CL312" s="200"/>
      <c r="CM312" s="200"/>
      <c r="CN312" s="200"/>
      <c r="CO312" s="200"/>
      <c r="CP312" s="200"/>
      <c r="CQ312" s="200"/>
      <c r="CR312" s="200"/>
      <c r="CS312" s="200"/>
      <c r="CT312" s="200"/>
      <c r="CU312" s="200"/>
    </row>
    <row r="313" spans="1:99" s="17" customFormat="1" x14ac:dyDescent="0.2">
      <c r="A313" s="25"/>
      <c r="B313" s="20">
        <v>39095009206</v>
      </c>
      <c r="C313" s="20">
        <v>92.06</v>
      </c>
      <c r="D313" s="20" t="s">
        <v>53</v>
      </c>
      <c r="E313" s="20" t="s">
        <v>2839</v>
      </c>
      <c r="F313" s="20" t="s">
        <v>8</v>
      </c>
      <c r="G313" s="861">
        <v>69.298412709496006</v>
      </c>
      <c r="H313" s="861">
        <v>71.309183107280802</v>
      </c>
      <c r="I313" s="861">
        <v>35.605310419347198</v>
      </c>
      <c r="J313" s="861">
        <v>32.239173401782899</v>
      </c>
      <c r="K313" s="982">
        <v>0</v>
      </c>
      <c r="L313" s="735" t="s">
        <v>2466</v>
      </c>
      <c r="M313" s="735">
        <v>2847</v>
      </c>
      <c r="N313" s="845" t="str">
        <f t="shared" si="33"/>
        <v/>
      </c>
      <c r="O313" s="735">
        <v>1.4801423161745713</v>
      </c>
      <c r="P313" s="735">
        <f t="shared" si="34"/>
        <v>1923.4636891931266</v>
      </c>
      <c r="Q313" s="849">
        <v>38.9</v>
      </c>
      <c r="R313" s="71">
        <v>127176</v>
      </c>
      <c r="S313" s="845">
        <v>2.1536252692031587E-2</v>
      </c>
      <c r="T313" s="845">
        <v>6.9000000000000006E-2</v>
      </c>
      <c r="U313" s="845">
        <v>4.0999999999999995E-2</v>
      </c>
      <c r="V313" s="845">
        <v>0</v>
      </c>
      <c r="W313" s="845">
        <v>0.20640904806786051</v>
      </c>
      <c r="X313" s="845">
        <v>0.55251141552511418</v>
      </c>
      <c r="Y313" s="845">
        <v>0.87636108184053385</v>
      </c>
      <c r="Z313" s="845">
        <v>5.655075518089217E-2</v>
      </c>
      <c r="AA313" s="845">
        <v>0</v>
      </c>
      <c r="AB313" s="845">
        <v>3.3368458025992274E-2</v>
      </c>
      <c r="AC313" s="845">
        <v>0</v>
      </c>
      <c r="AD313" s="845">
        <v>0</v>
      </c>
      <c r="AE313" s="845">
        <v>3.3719704952581663E-2</v>
      </c>
      <c r="AF313" s="845">
        <v>4.0393396557780119E-2</v>
      </c>
      <c r="AG313" s="845">
        <v>0.83596768528275378</v>
      </c>
      <c r="AH313" s="20" t="str">
        <f t="shared" si="35"/>
        <v>No</v>
      </c>
      <c r="AI313" s="25"/>
      <c r="AJ313" s="37">
        <v>44084</v>
      </c>
      <c r="AK313" s="37" t="s">
        <v>1193</v>
      </c>
      <c r="AL313" s="37">
        <v>39007</v>
      </c>
      <c r="AM313" s="37" t="s">
        <v>10</v>
      </c>
      <c r="AN313" s="37">
        <f t="shared" si="36"/>
        <v>17410</v>
      </c>
      <c r="AO313" s="37" t="str">
        <f t="shared" si="37"/>
        <v>Cleveland, OH</v>
      </c>
      <c r="AP313" s="20" t="s">
        <v>8</v>
      </c>
      <c r="AQ313" s="25"/>
      <c r="AR313" s="25"/>
      <c r="AS313" s="25"/>
      <c r="AT313" s="25"/>
      <c r="AU313" s="36"/>
      <c r="AV313" s="36"/>
      <c r="AW313" s="36"/>
      <c r="AX313" s="25"/>
      <c r="AY313" s="25"/>
      <c r="AZ313" s="25"/>
      <c r="BA313" s="25"/>
      <c r="BB313" s="25"/>
      <c r="BC313" s="25"/>
      <c r="BD313" s="25"/>
      <c r="BE313" s="25"/>
      <c r="BF313" s="25"/>
      <c r="BG313" s="25"/>
      <c r="BH313" s="25"/>
      <c r="BI313" s="25"/>
      <c r="BJ313" s="25"/>
      <c r="BK313" s="25"/>
      <c r="BL313" s="25"/>
      <c r="BM313" s="25"/>
      <c r="BN313" s="25"/>
      <c r="BO313" s="25"/>
      <c r="BP313" s="25"/>
      <c r="BQ313" s="25"/>
      <c r="BR313" s="25"/>
      <c r="BS313" s="25"/>
      <c r="BT313" s="25"/>
      <c r="BU313" s="39">
        <v>45458</v>
      </c>
      <c r="BV313" s="39" t="s">
        <v>1759</v>
      </c>
      <c r="BW313" s="39" t="s">
        <v>2871</v>
      </c>
      <c r="BX313" s="39" t="s">
        <v>304</v>
      </c>
      <c r="BY313" s="71">
        <v>1170</v>
      </c>
      <c r="BZ313" s="71">
        <v>1270</v>
      </c>
      <c r="CA313" s="71">
        <v>1610</v>
      </c>
      <c r="CB313" s="71">
        <v>2090</v>
      </c>
      <c r="CC313" s="71">
        <v>2300</v>
      </c>
      <c r="CD313" s="25"/>
      <c r="CE313" s="200"/>
      <c r="CF313" s="200"/>
      <c r="CG313" s="200"/>
      <c r="CH313" s="200"/>
      <c r="CI313" s="200"/>
      <c r="CJ313" s="200"/>
      <c r="CK313" s="200"/>
      <c r="CL313" s="200"/>
      <c r="CM313" s="200"/>
      <c r="CN313" s="200"/>
      <c r="CO313" s="200"/>
      <c r="CP313" s="200"/>
      <c r="CQ313" s="200"/>
      <c r="CR313" s="200"/>
      <c r="CS313" s="200"/>
      <c r="CT313" s="200"/>
      <c r="CU313" s="200"/>
    </row>
    <row r="314" spans="1:99" s="17" customFormat="1" x14ac:dyDescent="0.2">
      <c r="A314" s="25"/>
      <c r="B314" s="20">
        <v>39061022302</v>
      </c>
      <c r="C314" s="20">
        <v>223.02</v>
      </c>
      <c r="D314" s="20" t="s">
        <v>37</v>
      </c>
      <c r="E314" s="20" t="s">
        <v>2828</v>
      </c>
      <c r="F314" s="20" t="s">
        <v>8</v>
      </c>
      <c r="G314" s="861">
        <v>69.274728980067806</v>
      </c>
      <c r="H314" s="861">
        <v>57.792672952217401</v>
      </c>
      <c r="I314" s="861">
        <v>31.298981834009499</v>
      </c>
      <c r="J314" s="861">
        <v>40.245441485023299</v>
      </c>
      <c r="K314" s="982">
        <v>0</v>
      </c>
      <c r="L314" s="735">
        <v>5430</v>
      </c>
      <c r="M314" s="735">
        <v>5556</v>
      </c>
      <c r="N314" s="845">
        <f t="shared" si="33"/>
        <v>2.3204419889502764E-2</v>
      </c>
      <c r="O314" s="735">
        <v>3.4212855903805677</v>
      </c>
      <c r="P314" s="735">
        <f t="shared" si="34"/>
        <v>1623.950954466206</v>
      </c>
      <c r="Q314" s="849">
        <v>57.5</v>
      </c>
      <c r="R314" s="71">
        <v>83054</v>
      </c>
      <c r="S314" s="845">
        <v>7.6424870466321237E-2</v>
      </c>
      <c r="T314" s="845">
        <v>0.04</v>
      </c>
      <c r="U314" s="845">
        <v>0</v>
      </c>
      <c r="V314" s="845">
        <v>0.127</v>
      </c>
      <c r="W314" s="845">
        <v>0.13502109704641349</v>
      </c>
      <c r="X314" s="845">
        <v>0.59090909090909094</v>
      </c>
      <c r="Y314" s="845">
        <v>0.87077033837293016</v>
      </c>
      <c r="Z314" s="845">
        <v>9.7192224622030237E-3</v>
      </c>
      <c r="AA314" s="845">
        <v>0</v>
      </c>
      <c r="AB314" s="845">
        <v>4.8596112311015119E-3</v>
      </c>
      <c r="AC314" s="845">
        <v>0</v>
      </c>
      <c r="AD314" s="845">
        <v>2.5737940964722823E-2</v>
      </c>
      <c r="AE314" s="845">
        <v>8.8912886969042482E-2</v>
      </c>
      <c r="AF314" s="845">
        <v>9.7732181425485967E-2</v>
      </c>
      <c r="AG314" s="845">
        <v>0.82127429805615548</v>
      </c>
      <c r="AH314" s="20" t="str">
        <f t="shared" si="35"/>
        <v>No</v>
      </c>
      <c r="AI314" s="25"/>
      <c r="AJ314" s="20">
        <v>44085</v>
      </c>
      <c r="AK314" s="20" t="s">
        <v>1194</v>
      </c>
      <c r="AL314" s="20">
        <v>39007</v>
      </c>
      <c r="AM314" s="20" t="s">
        <v>10</v>
      </c>
      <c r="AN314" s="37">
        <f t="shared" si="36"/>
        <v>17410</v>
      </c>
      <c r="AO314" s="37" t="str">
        <f t="shared" si="37"/>
        <v>Cleveland, OH</v>
      </c>
      <c r="AP314" s="20" t="s">
        <v>8</v>
      </c>
      <c r="AQ314" s="25"/>
      <c r="AR314" s="25"/>
      <c r="AS314" s="25"/>
      <c r="AT314" s="25"/>
      <c r="AU314" s="36"/>
      <c r="AV314" s="36"/>
      <c r="AW314" s="36"/>
      <c r="AX314" s="25"/>
      <c r="AY314" s="25"/>
      <c r="AZ314" s="25"/>
      <c r="BA314" s="25"/>
      <c r="BB314" s="25"/>
      <c r="BC314" s="25"/>
      <c r="BD314" s="25"/>
      <c r="BE314" s="25"/>
      <c r="BF314" s="25"/>
      <c r="BG314" s="25"/>
      <c r="BH314" s="25"/>
      <c r="BI314" s="25"/>
      <c r="BJ314" s="25"/>
      <c r="BK314" s="25"/>
      <c r="BL314" s="25"/>
      <c r="BM314" s="25"/>
      <c r="BN314" s="25"/>
      <c r="BO314" s="25"/>
      <c r="BP314" s="25"/>
      <c r="BQ314" s="25"/>
      <c r="BR314" s="25"/>
      <c r="BS314" s="25"/>
      <c r="BT314" s="25"/>
      <c r="BU314" s="39">
        <v>44001</v>
      </c>
      <c r="BV314" s="39" t="s">
        <v>1147</v>
      </c>
      <c r="BW314" s="39" t="s">
        <v>2900</v>
      </c>
      <c r="BX314" s="39" t="s">
        <v>2852</v>
      </c>
      <c r="BY314" s="71">
        <v>870</v>
      </c>
      <c r="BZ314" s="71">
        <v>980</v>
      </c>
      <c r="CA314" s="71">
        <v>1190</v>
      </c>
      <c r="CB314" s="71">
        <v>1530</v>
      </c>
      <c r="CC314" s="71">
        <v>1640</v>
      </c>
      <c r="CD314" s="25"/>
      <c r="CE314" s="200"/>
      <c r="CF314" s="200"/>
      <c r="CG314" s="200"/>
      <c r="CH314" s="200"/>
      <c r="CI314" s="200"/>
      <c r="CJ314" s="200"/>
      <c r="CK314" s="200"/>
      <c r="CL314" s="200"/>
      <c r="CM314" s="200"/>
      <c r="CN314" s="200"/>
      <c r="CO314" s="200"/>
      <c r="CP314" s="200"/>
      <c r="CQ314" s="200"/>
      <c r="CR314" s="200"/>
      <c r="CS314" s="200"/>
      <c r="CT314" s="200"/>
      <c r="CU314" s="200"/>
    </row>
    <row r="315" spans="1:99" s="17" customFormat="1" x14ac:dyDescent="0.2">
      <c r="A315" s="25"/>
      <c r="B315" s="20">
        <v>39061027600</v>
      </c>
      <c r="C315" s="20">
        <v>276</v>
      </c>
      <c r="D315" s="20" t="s">
        <v>37</v>
      </c>
      <c r="E315" s="20" t="s">
        <v>2828</v>
      </c>
      <c r="F315" s="20" t="s">
        <v>8</v>
      </c>
      <c r="G315" s="861">
        <v>69.265338219425999</v>
      </c>
      <c r="H315" s="861">
        <v>78.055767496139296</v>
      </c>
      <c r="I315" s="861">
        <v>29.050340035520499</v>
      </c>
      <c r="J315" s="861">
        <v>57.996967561728297</v>
      </c>
      <c r="K315" s="982">
        <v>0</v>
      </c>
      <c r="L315" s="735" t="s">
        <v>2466</v>
      </c>
      <c r="M315" s="735">
        <v>2314</v>
      </c>
      <c r="N315" s="845" t="str">
        <f t="shared" si="33"/>
        <v/>
      </c>
      <c r="O315" s="735">
        <v>1.1828390208324162</v>
      </c>
      <c r="P315" s="735">
        <f t="shared" si="34"/>
        <v>1956.3101649889227</v>
      </c>
      <c r="Q315" s="849">
        <v>30</v>
      </c>
      <c r="R315" s="71">
        <v>66193</v>
      </c>
      <c r="S315" s="845">
        <v>0.12662057044079517</v>
      </c>
      <c r="T315" s="845">
        <v>0.02</v>
      </c>
      <c r="U315" s="845">
        <v>0</v>
      </c>
      <c r="V315" s="845">
        <v>1.3000000000000001E-2</v>
      </c>
      <c r="W315" s="845">
        <v>0.75864502470007056</v>
      </c>
      <c r="X315" s="845">
        <v>0.25488372093023254</v>
      </c>
      <c r="Y315" s="845">
        <v>0.61149524632670704</v>
      </c>
      <c r="Z315" s="845">
        <v>0.20267934312878133</v>
      </c>
      <c r="AA315" s="845">
        <v>0</v>
      </c>
      <c r="AB315" s="845">
        <v>3.2843560933448576E-2</v>
      </c>
      <c r="AC315" s="845">
        <v>0</v>
      </c>
      <c r="AD315" s="845">
        <v>9.377700950734659E-2</v>
      </c>
      <c r="AE315" s="845">
        <v>5.9204840103716509E-2</v>
      </c>
      <c r="AF315" s="845">
        <v>0.14174589455488332</v>
      </c>
      <c r="AG315" s="845">
        <v>0.61149524632670704</v>
      </c>
      <c r="AH315" s="20" t="str">
        <f t="shared" si="35"/>
        <v>No</v>
      </c>
      <c r="AI315" s="25"/>
      <c r="AJ315" s="20">
        <v>44086</v>
      </c>
      <c r="AK315" s="20" t="s">
        <v>1195</v>
      </c>
      <c r="AL315" s="20">
        <v>39007</v>
      </c>
      <c r="AM315" s="20" t="s">
        <v>10</v>
      </c>
      <c r="AN315" s="37">
        <f t="shared" si="36"/>
        <v>17410</v>
      </c>
      <c r="AO315" s="37" t="str">
        <f t="shared" si="37"/>
        <v>Cleveland, OH</v>
      </c>
      <c r="AP315" s="20" t="s">
        <v>8</v>
      </c>
      <c r="AQ315" s="25"/>
      <c r="AR315" s="25"/>
      <c r="AS315" s="25"/>
      <c r="AT315" s="25"/>
      <c r="AU315" s="36"/>
      <c r="AV315" s="36"/>
      <c r="AW315" s="36"/>
      <c r="AX315" s="25"/>
      <c r="AY315" s="25"/>
      <c r="AZ315" s="25"/>
      <c r="BA315" s="25"/>
      <c r="BB315" s="25"/>
      <c r="BC315" s="25"/>
      <c r="BD315" s="25"/>
      <c r="BE315" s="25"/>
      <c r="BF315" s="25"/>
      <c r="BG315" s="25"/>
      <c r="BH315" s="25"/>
      <c r="BI315" s="25"/>
      <c r="BJ315" s="25"/>
      <c r="BK315" s="25"/>
      <c r="BL315" s="25"/>
      <c r="BM315" s="25"/>
      <c r="BN315" s="25"/>
      <c r="BO315" s="25"/>
      <c r="BP315" s="25"/>
      <c r="BQ315" s="25"/>
      <c r="BR315" s="25"/>
      <c r="BS315" s="25"/>
      <c r="BT315" s="25"/>
      <c r="BU315" s="39">
        <v>44011</v>
      </c>
      <c r="BV315" s="39" t="s">
        <v>1151</v>
      </c>
      <c r="BW315" s="39" t="s">
        <v>2900</v>
      </c>
      <c r="BX315" s="39" t="s">
        <v>2852</v>
      </c>
      <c r="BY315" s="71">
        <v>1300</v>
      </c>
      <c r="BZ315" s="71">
        <v>1470</v>
      </c>
      <c r="CA315" s="71">
        <v>1780</v>
      </c>
      <c r="CB315" s="71">
        <v>2290</v>
      </c>
      <c r="CC315" s="71">
        <v>2450</v>
      </c>
      <c r="CD315" s="25"/>
      <c r="CE315" s="200"/>
      <c r="CF315" s="200"/>
      <c r="CG315" s="200"/>
      <c r="CH315" s="200"/>
      <c r="CI315" s="200"/>
      <c r="CJ315" s="200"/>
      <c r="CK315" s="200"/>
      <c r="CL315" s="200"/>
      <c r="CM315" s="200"/>
      <c r="CN315" s="200"/>
      <c r="CO315" s="200"/>
      <c r="CP315" s="200"/>
      <c r="CQ315" s="200"/>
      <c r="CR315" s="200"/>
      <c r="CS315" s="200"/>
      <c r="CT315" s="200"/>
      <c r="CU315" s="200"/>
    </row>
    <row r="316" spans="1:99" s="17" customFormat="1" x14ac:dyDescent="0.2">
      <c r="A316" s="25"/>
      <c r="B316" s="20">
        <v>39173021601</v>
      </c>
      <c r="C316" s="20">
        <v>216.01</v>
      </c>
      <c r="D316" s="20" t="s">
        <v>92</v>
      </c>
      <c r="E316" s="20" t="s">
        <v>2839</v>
      </c>
      <c r="F316" s="20" t="s">
        <v>8</v>
      </c>
      <c r="G316" s="861">
        <v>69.234558477981693</v>
      </c>
      <c r="H316" s="861">
        <v>68.848940824355097</v>
      </c>
      <c r="I316" s="861">
        <v>20.821746656575101</v>
      </c>
      <c r="J316" s="861">
        <v>43.685720342088402</v>
      </c>
      <c r="K316" s="982">
        <v>0</v>
      </c>
      <c r="L316" s="735" t="s">
        <v>2466</v>
      </c>
      <c r="M316" s="735">
        <v>4998</v>
      </c>
      <c r="N316" s="845" t="str">
        <f t="shared" si="33"/>
        <v/>
      </c>
      <c r="O316" s="735">
        <v>5.1459823110925402</v>
      </c>
      <c r="P316" s="735">
        <f t="shared" si="34"/>
        <v>971.2431364613218</v>
      </c>
      <c r="Q316" s="849">
        <v>39.299999999999997</v>
      </c>
      <c r="R316" s="71">
        <v>90852</v>
      </c>
      <c r="S316" s="845">
        <v>4.0966816878328552E-2</v>
      </c>
      <c r="T316" s="845">
        <v>5.2000000000000005E-2</v>
      </c>
      <c r="U316" s="845">
        <v>0</v>
      </c>
      <c r="V316" s="845">
        <v>0</v>
      </c>
      <c r="W316" s="845">
        <v>0.12839637719765584</v>
      </c>
      <c r="X316" s="845">
        <v>0.12033195020746888</v>
      </c>
      <c r="Y316" s="845">
        <v>0.92216886754701877</v>
      </c>
      <c r="Z316" s="845">
        <v>7.4029611844737891E-3</v>
      </c>
      <c r="AA316" s="845">
        <v>0</v>
      </c>
      <c r="AB316" s="845">
        <v>1.800720288115246E-2</v>
      </c>
      <c r="AC316" s="845">
        <v>0</v>
      </c>
      <c r="AD316" s="845">
        <v>2.5010004001600639E-2</v>
      </c>
      <c r="AE316" s="845">
        <v>2.7410964385754303E-2</v>
      </c>
      <c r="AF316" s="845">
        <v>7.6430572228891561E-2</v>
      </c>
      <c r="AG316" s="845">
        <v>0.87975190076030407</v>
      </c>
      <c r="AH316" s="20" t="str">
        <f t="shared" si="35"/>
        <v>No</v>
      </c>
      <c r="AI316" s="25"/>
      <c r="AJ316" s="20">
        <v>44093</v>
      </c>
      <c r="AK316" s="20" t="s">
        <v>1200</v>
      </c>
      <c r="AL316" s="20">
        <v>39007</v>
      </c>
      <c r="AM316" s="20" t="s">
        <v>10</v>
      </c>
      <c r="AN316" s="37">
        <f t="shared" si="36"/>
        <v>17410</v>
      </c>
      <c r="AO316" s="37" t="str">
        <f t="shared" si="37"/>
        <v>Cleveland, OH</v>
      </c>
      <c r="AP316" s="20" t="s">
        <v>8</v>
      </c>
      <c r="AQ316" s="25"/>
      <c r="AR316" s="25"/>
      <c r="AS316" s="25"/>
      <c r="AT316" s="25"/>
      <c r="AU316" s="36"/>
      <c r="AV316" s="36"/>
      <c r="AW316" s="36"/>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39">
        <v>44012</v>
      </c>
      <c r="BV316" s="39" t="s">
        <v>1152</v>
      </c>
      <c r="BW316" s="39" t="s">
        <v>2900</v>
      </c>
      <c r="BX316" s="39" t="s">
        <v>2852</v>
      </c>
      <c r="BY316" s="71">
        <v>1360</v>
      </c>
      <c r="BZ316" s="71">
        <v>1540</v>
      </c>
      <c r="CA316" s="71">
        <v>1860</v>
      </c>
      <c r="CB316" s="71">
        <v>2390</v>
      </c>
      <c r="CC316" s="71">
        <v>2560</v>
      </c>
      <c r="CD316" s="25"/>
      <c r="CE316" s="200"/>
      <c r="CF316" s="200"/>
      <c r="CG316" s="200"/>
      <c r="CH316" s="200"/>
      <c r="CI316" s="200"/>
      <c r="CJ316" s="200"/>
      <c r="CK316" s="200"/>
      <c r="CL316" s="200"/>
      <c r="CM316" s="200"/>
      <c r="CN316" s="200"/>
      <c r="CO316" s="200"/>
      <c r="CP316" s="200"/>
      <c r="CQ316" s="200"/>
      <c r="CR316" s="200"/>
      <c r="CS316" s="200"/>
      <c r="CT316" s="200"/>
      <c r="CU316" s="200"/>
    </row>
    <row r="317" spans="1:99" s="17" customFormat="1" x14ac:dyDescent="0.2">
      <c r="A317" s="25"/>
      <c r="B317" s="20">
        <v>39035103602</v>
      </c>
      <c r="C317" s="20">
        <v>1036.02</v>
      </c>
      <c r="D317" s="20" t="s">
        <v>24</v>
      </c>
      <c r="E317" s="20" t="s">
        <v>2829</v>
      </c>
      <c r="F317" s="20" t="s">
        <v>8</v>
      </c>
      <c r="G317" s="861">
        <v>69.229190896066896</v>
      </c>
      <c r="H317" s="861">
        <v>50.1827683135134</v>
      </c>
      <c r="I317" s="861">
        <v>44.699348218408602</v>
      </c>
      <c r="J317" s="861">
        <v>72.343383376126496</v>
      </c>
      <c r="K317" s="982">
        <v>0</v>
      </c>
      <c r="L317" s="735">
        <v>3325</v>
      </c>
      <c r="M317" s="735">
        <v>3623</v>
      </c>
      <c r="N317" s="845">
        <f t="shared" si="33"/>
        <v>8.9624060150375939E-2</v>
      </c>
      <c r="O317" s="735">
        <v>0.89131142768064686</v>
      </c>
      <c r="P317" s="735">
        <f t="shared" si="34"/>
        <v>4064.7969805881426</v>
      </c>
      <c r="Q317" s="849">
        <v>36.299999999999997</v>
      </c>
      <c r="R317" s="71">
        <v>61080</v>
      </c>
      <c r="S317" s="845">
        <v>0.21114715423179004</v>
      </c>
      <c r="T317" s="845">
        <v>5.9000000000000004E-2</v>
      </c>
      <c r="U317" s="845">
        <v>0</v>
      </c>
      <c r="V317" s="845">
        <v>6.2E-2</v>
      </c>
      <c r="W317" s="845">
        <v>0.74370503597122306</v>
      </c>
      <c r="X317" s="845">
        <v>0.44014510278113667</v>
      </c>
      <c r="Y317" s="845">
        <v>0.76814794369307204</v>
      </c>
      <c r="Z317" s="845">
        <v>0.11095776980402981</v>
      </c>
      <c r="AA317" s="845">
        <v>0</v>
      </c>
      <c r="AB317" s="845">
        <v>4.7474468672370963E-2</v>
      </c>
      <c r="AC317" s="845">
        <v>0</v>
      </c>
      <c r="AD317" s="845">
        <v>2.7049406569141596E-2</v>
      </c>
      <c r="AE317" s="845">
        <v>4.6370411261385594E-2</v>
      </c>
      <c r="AF317" s="845">
        <v>0.10046922439966878</v>
      </c>
      <c r="AG317" s="845">
        <v>0.73005796301407677</v>
      </c>
      <c r="AH317" s="20" t="str">
        <f t="shared" si="35"/>
        <v>No</v>
      </c>
      <c r="AI317" s="25"/>
      <c r="AJ317" s="37">
        <v>44099</v>
      </c>
      <c r="AK317" s="37" t="s">
        <v>1203</v>
      </c>
      <c r="AL317" s="37">
        <v>39007</v>
      </c>
      <c r="AM317" s="37" t="s">
        <v>10</v>
      </c>
      <c r="AN317" s="37">
        <f t="shared" si="36"/>
        <v>17410</v>
      </c>
      <c r="AO317" s="37" t="str">
        <f t="shared" si="37"/>
        <v>Cleveland, OH</v>
      </c>
      <c r="AP317" s="20" t="s">
        <v>8</v>
      </c>
      <c r="AQ317" s="25"/>
      <c r="AR317" s="25"/>
      <c r="AS317" s="25"/>
      <c r="AT317" s="25"/>
      <c r="AU317" s="36"/>
      <c r="AV317" s="36"/>
      <c r="AW317" s="36"/>
      <c r="AX317" s="25"/>
      <c r="AY317" s="25"/>
      <c r="AZ317" s="25"/>
      <c r="BA317" s="25"/>
      <c r="BB317" s="25"/>
      <c r="BC317" s="25"/>
      <c r="BD317" s="25"/>
      <c r="BE317" s="25"/>
      <c r="BF317" s="25"/>
      <c r="BG317" s="25"/>
      <c r="BH317" s="25"/>
      <c r="BI317" s="25"/>
      <c r="BJ317" s="25"/>
      <c r="BK317" s="25"/>
      <c r="BL317" s="25"/>
      <c r="BM317" s="25"/>
      <c r="BN317" s="25"/>
      <c r="BO317" s="25"/>
      <c r="BP317" s="25"/>
      <c r="BQ317" s="25"/>
      <c r="BR317" s="25"/>
      <c r="BS317" s="25"/>
      <c r="BT317" s="25"/>
      <c r="BU317" s="39">
        <v>44017</v>
      </c>
      <c r="BV317" s="39" t="s">
        <v>1153</v>
      </c>
      <c r="BW317" s="39" t="s">
        <v>2900</v>
      </c>
      <c r="BX317" s="39" t="s">
        <v>2852</v>
      </c>
      <c r="BY317" s="71">
        <v>930</v>
      </c>
      <c r="BZ317" s="71">
        <v>1060</v>
      </c>
      <c r="CA317" s="71">
        <v>1280</v>
      </c>
      <c r="CB317" s="71">
        <v>1650</v>
      </c>
      <c r="CC317" s="71">
        <v>1760</v>
      </c>
      <c r="CD317" s="25"/>
      <c r="CE317" s="200"/>
      <c r="CF317" s="200"/>
      <c r="CG317" s="200"/>
      <c r="CH317" s="200"/>
      <c r="CI317" s="200"/>
      <c r="CJ317" s="200"/>
      <c r="CK317" s="200"/>
      <c r="CL317" s="200"/>
      <c r="CM317" s="200"/>
      <c r="CN317" s="200"/>
      <c r="CO317" s="200"/>
      <c r="CP317" s="200"/>
      <c r="CQ317" s="200"/>
      <c r="CR317" s="200"/>
      <c r="CS317" s="200"/>
      <c r="CT317" s="200"/>
      <c r="CU317" s="200"/>
    </row>
    <row r="318" spans="1:99" s="17" customFormat="1" x14ac:dyDescent="0.2">
      <c r="A318" s="25"/>
      <c r="B318" s="20">
        <v>39061001100</v>
      </c>
      <c r="C318" s="20">
        <v>11</v>
      </c>
      <c r="D318" s="20" t="s">
        <v>37</v>
      </c>
      <c r="E318" s="20" t="s">
        <v>2828</v>
      </c>
      <c r="F318" s="20" t="s">
        <v>8</v>
      </c>
      <c r="G318" s="861">
        <v>69.225627378357601</v>
      </c>
      <c r="H318" s="861">
        <v>86.015272391486306</v>
      </c>
      <c r="I318" s="861">
        <v>57.643164569525602</v>
      </c>
      <c r="J318" s="861">
        <v>59.194924408038602</v>
      </c>
      <c r="K318" s="982">
        <v>0</v>
      </c>
      <c r="L318" s="735">
        <v>1042</v>
      </c>
      <c r="M318" s="735">
        <v>1163</v>
      </c>
      <c r="N318" s="845">
        <f t="shared" si="33"/>
        <v>0.11612284069097889</v>
      </c>
      <c r="O318" s="735">
        <v>0.14944470150482661</v>
      </c>
      <c r="P318" s="735">
        <f t="shared" si="34"/>
        <v>7782.1427477135321</v>
      </c>
      <c r="Q318" s="849">
        <v>30.4</v>
      </c>
      <c r="R318" s="71">
        <v>79286</v>
      </c>
      <c r="S318" s="845">
        <v>0.23387790197764402</v>
      </c>
      <c r="T318" s="845">
        <v>0</v>
      </c>
      <c r="U318" s="845">
        <v>0</v>
      </c>
      <c r="V318" s="845">
        <v>0</v>
      </c>
      <c r="W318" s="845">
        <v>0.68100358422939067</v>
      </c>
      <c r="X318" s="845">
        <v>0.37105263157894736</v>
      </c>
      <c r="Y318" s="845">
        <v>0.69647463456577818</v>
      </c>
      <c r="Z318" s="845">
        <v>0.26913155631986241</v>
      </c>
      <c r="AA318" s="845">
        <v>0</v>
      </c>
      <c r="AB318" s="845">
        <v>8.5984522785898538E-3</v>
      </c>
      <c r="AC318" s="845">
        <v>0</v>
      </c>
      <c r="AD318" s="845">
        <v>1.4617368873602751E-2</v>
      </c>
      <c r="AE318" s="845">
        <v>1.117798796216681E-2</v>
      </c>
      <c r="AF318" s="845">
        <v>4.3852106620808254E-2</v>
      </c>
      <c r="AG318" s="845">
        <v>0.66380051590713673</v>
      </c>
      <c r="AH318" s="20" t="str">
        <f t="shared" si="35"/>
        <v>No</v>
      </c>
      <c r="AI318" s="25"/>
      <c r="AJ318" s="20">
        <v>44428</v>
      </c>
      <c r="AK318" s="20" t="s">
        <v>1333</v>
      </c>
      <c r="AL318" s="20">
        <v>39007</v>
      </c>
      <c r="AM318" s="20" t="s">
        <v>10</v>
      </c>
      <c r="AN318" s="37">
        <f t="shared" si="36"/>
        <v>17410</v>
      </c>
      <c r="AO318" s="37" t="str">
        <f t="shared" si="37"/>
        <v>Cleveland, OH</v>
      </c>
      <c r="AP318" s="20" t="s">
        <v>8</v>
      </c>
      <c r="AQ318" s="25"/>
      <c r="AR318" s="25"/>
      <c r="AS318" s="25"/>
      <c r="AT318" s="25"/>
      <c r="AU318" s="36"/>
      <c r="AV318" s="36"/>
      <c r="AW318" s="36"/>
      <c r="AX318" s="25"/>
      <c r="AY318" s="25"/>
      <c r="AZ318" s="25"/>
      <c r="BA318" s="25"/>
      <c r="BB318" s="25"/>
      <c r="BC318" s="25"/>
      <c r="BD318" s="25"/>
      <c r="BE318" s="25"/>
      <c r="BF318" s="25"/>
      <c r="BG318" s="25"/>
      <c r="BH318" s="25"/>
      <c r="BI318" s="25"/>
      <c r="BJ318" s="25"/>
      <c r="BK318" s="25"/>
      <c r="BL318" s="25"/>
      <c r="BM318" s="25"/>
      <c r="BN318" s="25"/>
      <c r="BO318" s="25"/>
      <c r="BP318" s="25"/>
      <c r="BQ318" s="25"/>
      <c r="BR318" s="25"/>
      <c r="BS318" s="25"/>
      <c r="BT318" s="25"/>
      <c r="BU318" s="39">
        <v>44021</v>
      </c>
      <c r="BV318" s="39" t="s">
        <v>1154</v>
      </c>
      <c r="BW318" s="39" t="s">
        <v>2900</v>
      </c>
      <c r="BX318" s="39" t="s">
        <v>2852</v>
      </c>
      <c r="BY318" s="71">
        <v>870</v>
      </c>
      <c r="BZ318" s="71">
        <v>980</v>
      </c>
      <c r="CA318" s="71">
        <v>1190</v>
      </c>
      <c r="CB318" s="71">
        <v>1530</v>
      </c>
      <c r="CC318" s="71">
        <v>1640</v>
      </c>
      <c r="CD318" s="25"/>
      <c r="CE318" s="200"/>
      <c r="CF318" s="200"/>
      <c r="CG318" s="200"/>
      <c r="CH318" s="200"/>
      <c r="CI318" s="200"/>
      <c r="CJ318" s="200"/>
      <c r="CK318" s="200"/>
      <c r="CL318" s="200"/>
      <c r="CM318" s="200"/>
      <c r="CN318" s="200"/>
      <c r="CO318" s="200"/>
      <c r="CP318" s="200"/>
      <c r="CQ318" s="200"/>
      <c r="CR318" s="200"/>
      <c r="CS318" s="200"/>
      <c r="CT318" s="200"/>
      <c r="CU318" s="200"/>
    </row>
    <row r="319" spans="1:99" s="17" customFormat="1" x14ac:dyDescent="0.2">
      <c r="A319" s="25"/>
      <c r="B319" s="20">
        <v>39165032008</v>
      </c>
      <c r="C319" s="20">
        <v>320.08</v>
      </c>
      <c r="D319" s="20" t="s">
        <v>88</v>
      </c>
      <c r="E319" s="20" t="s">
        <v>2828</v>
      </c>
      <c r="F319" s="20" t="s">
        <v>8</v>
      </c>
      <c r="G319" s="861">
        <v>69.176146344160898</v>
      </c>
      <c r="H319" s="861">
        <v>76.234514756630503</v>
      </c>
      <c r="I319" s="861">
        <v>23.163849536397802</v>
      </c>
      <c r="J319" s="861">
        <v>37.129547012186798</v>
      </c>
      <c r="K319" s="982">
        <v>0</v>
      </c>
      <c r="L319" s="735" t="s">
        <v>2466</v>
      </c>
      <c r="M319" s="735">
        <v>4539</v>
      </c>
      <c r="N319" s="845" t="str">
        <f t="shared" si="33"/>
        <v/>
      </c>
      <c r="O319" s="735">
        <v>2.9512189536653897</v>
      </c>
      <c r="P319" s="735">
        <f t="shared" si="34"/>
        <v>1538.0085555368908</v>
      </c>
      <c r="Q319" s="849">
        <v>47</v>
      </c>
      <c r="R319" s="71">
        <v>143571</v>
      </c>
      <c r="S319" s="845">
        <v>0.10508922670191673</v>
      </c>
      <c r="T319" s="845">
        <v>4.0999999999999995E-2</v>
      </c>
      <c r="U319" s="845">
        <v>0</v>
      </c>
      <c r="V319" s="845">
        <v>0</v>
      </c>
      <c r="W319" s="845">
        <v>5.7235421166306692E-2</v>
      </c>
      <c r="X319" s="845">
        <v>0</v>
      </c>
      <c r="Y319" s="845">
        <v>0.71557611808768451</v>
      </c>
      <c r="Z319" s="845">
        <v>2.1370345891165456E-2</v>
      </c>
      <c r="AA319" s="845">
        <v>0</v>
      </c>
      <c r="AB319" s="845">
        <v>0.17426745979290592</v>
      </c>
      <c r="AC319" s="845">
        <v>0</v>
      </c>
      <c r="AD319" s="845">
        <v>2.0489094514210177E-2</v>
      </c>
      <c r="AE319" s="845">
        <v>6.8296981714033922E-2</v>
      </c>
      <c r="AF319" s="845">
        <v>4.5164133068957918E-2</v>
      </c>
      <c r="AG319" s="845">
        <v>0.71557611808768451</v>
      </c>
      <c r="AH319" s="20" t="str">
        <f t="shared" si="35"/>
        <v>No</v>
      </c>
      <c r="AI319" s="25"/>
      <c r="AJ319" s="20">
        <v>44017</v>
      </c>
      <c r="AK319" s="20" t="s">
        <v>1153</v>
      </c>
      <c r="AL319" s="20">
        <v>39035</v>
      </c>
      <c r="AM319" s="20" t="s">
        <v>24</v>
      </c>
      <c r="AN319" s="37">
        <f t="shared" si="36"/>
        <v>17410</v>
      </c>
      <c r="AO319" s="37" t="str">
        <f t="shared" si="37"/>
        <v>Cleveland, OH</v>
      </c>
      <c r="AP319" s="20" t="s">
        <v>8</v>
      </c>
      <c r="AQ319" s="25"/>
      <c r="AR319" s="25"/>
      <c r="AS319" s="25"/>
      <c r="AT319" s="25"/>
      <c r="AU319" s="36"/>
      <c r="AV319" s="36"/>
      <c r="AW319" s="36"/>
      <c r="AX319" s="25"/>
      <c r="AY319" s="25"/>
      <c r="AZ319" s="25"/>
      <c r="BA319" s="25"/>
      <c r="BB319" s="25"/>
      <c r="BC319" s="25"/>
      <c r="BD319" s="25"/>
      <c r="BE319" s="25"/>
      <c r="BF319" s="25"/>
      <c r="BG319" s="25"/>
      <c r="BH319" s="25"/>
      <c r="BI319" s="25"/>
      <c r="BJ319" s="25"/>
      <c r="BK319" s="25"/>
      <c r="BL319" s="25"/>
      <c r="BM319" s="25"/>
      <c r="BN319" s="25"/>
      <c r="BO319" s="25"/>
      <c r="BP319" s="25"/>
      <c r="BQ319" s="25"/>
      <c r="BR319" s="25"/>
      <c r="BS319" s="25"/>
      <c r="BT319" s="25"/>
      <c r="BU319" s="39">
        <v>44022</v>
      </c>
      <c r="BV319" s="39" t="s">
        <v>1155</v>
      </c>
      <c r="BW319" s="39" t="s">
        <v>2900</v>
      </c>
      <c r="BX319" s="39" t="s">
        <v>2852</v>
      </c>
      <c r="BY319" s="71">
        <v>1350</v>
      </c>
      <c r="BZ319" s="71">
        <v>1530</v>
      </c>
      <c r="CA319" s="71">
        <v>1850</v>
      </c>
      <c r="CB319" s="71">
        <v>2380</v>
      </c>
      <c r="CC319" s="71">
        <v>2550</v>
      </c>
      <c r="CD319" s="25"/>
      <c r="CE319" s="200"/>
      <c r="CF319" s="200"/>
      <c r="CG319" s="200"/>
      <c r="CH319" s="200"/>
      <c r="CI319" s="200"/>
      <c r="CJ319" s="200"/>
      <c r="CK319" s="200"/>
      <c r="CL319" s="200"/>
      <c r="CM319" s="200"/>
      <c r="CN319" s="200"/>
      <c r="CO319" s="200"/>
      <c r="CP319" s="200"/>
      <c r="CQ319" s="200"/>
      <c r="CR319" s="200"/>
      <c r="CS319" s="200"/>
      <c r="CT319" s="200"/>
      <c r="CU319" s="200"/>
    </row>
    <row r="320" spans="1:99" s="17" customFormat="1" x14ac:dyDescent="0.2">
      <c r="A320" s="25"/>
      <c r="B320" s="20">
        <v>39153507201</v>
      </c>
      <c r="C320" s="20">
        <v>5072.01</v>
      </c>
      <c r="D320" s="20" t="s">
        <v>82</v>
      </c>
      <c r="E320" s="20" t="s">
        <v>2843</v>
      </c>
      <c r="F320" s="20" t="s">
        <v>8</v>
      </c>
      <c r="G320" s="861">
        <v>69.170107203305903</v>
      </c>
      <c r="H320" s="861">
        <v>76.306459138532006</v>
      </c>
      <c r="I320" s="861">
        <v>23.4460889646029</v>
      </c>
      <c r="J320" s="861">
        <v>63.664623054961702</v>
      </c>
      <c r="K320" s="982">
        <v>0</v>
      </c>
      <c r="L320" s="735">
        <v>2548</v>
      </c>
      <c r="M320" s="735">
        <v>2552</v>
      </c>
      <c r="N320" s="845">
        <f t="shared" si="33"/>
        <v>1.5698587127158557E-3</v>
      </c>
      <c r="O320" s="735">
        <v>0.98318752513500929</v>
      </c>
      <c r="P320" s="735">
        <f t="shared" si="34"/>
        <v>2595.639117420214</v>
      </c>
      <c r="Q320" s="849">
        <v>40.5</v>
      </c>
      <c r="R320" s="71">
        <v>94063</v>
      </c>
      <c r="S320" s="845">
        <v>2.4786672084518489E-2</v>
      </c>
      <c r="T320" s="845">
        <v>3.9E-2</v>
      </c>
      <c r="U320" s="845">
        <v>0</v>
      </c>
      <c r="V320" s="845">
        <v>0.33899999999999997</v>
      </c>
      <c r="W320" s="845">
        <v>0.16017699115044248</v>
      </c>
      <c r="X320" s="845">
        <v>0.4585635359116022</v>
      </c>
      <c r="Y320" s="845">
        <v>0.58463949843260188</v>
      </c>
      <c r="Z320" s="845">
        <v>0.26724137931034481</v>
      </c>
      <c r="AA320" s="845">
        <v>0</v>
      </c>
      <c r="AB320" s="845">
        <v>1.2539184952978056E-2</v>
      </c>
      <c r="AC320" s="845">
        <v>0</v>
      </c>
      <c r="AD320" s="845">
        <v>1.9984326018808778E-2</v>
      </c>
      <c r="AE320" s="845">
        <v>0.11559561128526646</v>
      </c>
      <c r="AF320" s="845">
        <v>4.2711598746081506E-2</v>
      </c>
      <c r="AG320" s="845">
        <v>0.58463949843260188</v>
      </c>
      <c r="AH320" s="20" t="str">
        <f t="shared" si="35"/>
        <v>No</v>
      </c>
      <c r="AI320" s="25"/>
      <c r="AJ320" s="20">
        <v>44022</v>
      </c>
      <c r="AK320" s="20" t="s">
        <v>1155</v>
      </c>
      <c r="AL320" s="20">
        <v>39035</v>
      </c>
      <c r="AM320" s="20" t="s">
        <v>24</v>
      </c>
      <c r="AN320" s="37">
        <f t="shared" si="36"/>
        <v>17410</v>
      </c>
      <c r="AO320" s="37" t="str">
        <f t="shared" si="37"/>
        <v>Cleveland, OH</v>
      </c>
      <c r="AP320" s="20" t="s">
        <v>8</v>
      </c>
      <c r="AQ320" s="25"/>
      <c r="AR320" s="25"/>
      <c r="AS320" s="25"/>
      <c r="AT320" s="25"/>
      <c r="AU320" s="36"/>
      <c r="AV320" s="36"/>
      <c r="AW320" s="36"/>
      <c r="AX320" s="25"/>
      <c r="AY320" s="25"/>
      <c r="AZ320" s="25"/>
      <c r="BA320" s="25"/>
      <c r="BB320" s="25"/>
      <c r="BC320" s="25"/>
      <c r="BD320" s="25"/>
      <c r="BE320" s="25"/>
      <c r="BF320" s="25"/>
      <c r="BG320" s="25"/>
      <c r="BH320" s="25"/>
      <c r="BI320" s="25"/>
      <c r="BJ320" s="25"/>
      <c r="BK320" s="25"/>
      <c r="BL320" s="25"/>
      <c r="BM320" s="25"/>
      <c r="BN320" s="25"/>
      <c r="BO320" s="25"/>
      <c r="BP320" s="25"/>
      <c r="BQ320" s="25"/>
      <c r="BR320" s="25"/>
      <c r="BS320" s="25"/>
      <c r="BT320" s="25"/>
      <c r="BU320" s="39">
        <v>44023</v>
      </c>
      <c r="BV320" s="39" t="s">
        <v>1156</v>
      </c>
      <c r="BW320" s="39" t="s">
        <v>2900</v>
      </c>
      <c r="BX320" s="39" t="s">
        <v>2852</v>
      </c>
      <c r="BY320" s="71">
        <v>1400</v>
      </c>
      <c r="BZ320" s="71">
        <v>1590</v>
      </c>
      <c r="CA320" s="71">
        <v>1920</v>
      </c>
      <c r="CB320" s="71">
        <v>2470</v>
      </c>
      <c r="CC320" s="71">
        <v>2640</v>
      </c>
      <c r="CD320" s="25"/>
      <c r="CE320" s="200"/>
      <c r="CF320" s="200"/>
      <c r="CG320" s="200"/>
      <c r="CH320" s="200"/>
      <c r="CI320" s="200"/>
      <c r="CJ320" s="200"/>
      <c r="CK320" s="200"/>
      <c r="CL320" s="200"/>
      <c r="CM320" s="200"/>
      <c r="CN320" s="200"/>
      <c r="CO320" s="200"/>
      <c r="CP320" s="200"/>
      <c r="CQ320" s="200"/>
      <c r="CR320" s="200"/>
      <c r="CS320" s="200"/>
      <c r="CT320" s="200"/>
      <c r="CU320" s="200"/>
    </row>
    <row r="321" spans="1:99" s="17" customFormat="1" x14ac:dyDescent="0.2">
      <c r="A321" s="25"/>
      <c r="B321" s="20">
        <v>39061007100</v>
      </c>
      <c r="C321" s="20">
        <v>71</v>
      </c>
      <c r="D321" s="20" t="s">
        <v>37</v>
      </c>
      <c r="E321" s="20" t="s">
        <v>2828</v>
      </c>
      <c r="F321" s="20" t="s">
        <v>8</v>
      </c>
      <c r="G321" s="861">
        <v>69.157324231041898</v>
      </c>
      <c r="H321" s="861">
        <v>77.944159548091093</v>
      </c>
      <c r="I321" s="861">
        <v>43.938087961845298</v>
      </c>
      <c r="J321" s="861">
        <v>54.060031593590999</v>
      </c>
      <c r="K321" s="982">
        <v>0</v>
      </c>
      <c r="L321" s="735">
        <v>3568</v>
      </c>
      <c r="M321" s="735">
        <v>3399</v>
      </c>
      <c r="N321" s="845">
        <f t="shared" si="33"/>
        <v>-4.7365470852017935E-2</v>
      </c>
      <c r="O321" s="735">
        <v>1.0923756711763437</v>
      </c>
      <c r="P321" s="735">
        <f t="shared" si="34"/>
        <v>3111.5669175785724</v>
      </c>
      <c r="Q321" s="849">
        <v>42.5</v>
      </c>
      <c r="R321" s="71">
        <v>76765</v>
      </c>
      <c r="S321" s="845">
        <v>0.13266545233758348</v>
      </c>
      <c r="T321" s="845">
        <v>9.0000000000000011E-3</v>
      </c>
      <c r="U321" s="845">
        <v>0</v>
      </c>
      <c r="V321" s="845">
        <v>0.107</v>
      </c>
      <c r="W321" s="845">
        <v>0.52654320987654324</v>
      </c>
      <c r="X321" s="845">
        <v>0.28722157092614303</v>
      </c>
      <c r="Y321" s="845">
        <v>0.74110032362459544</v>
      </c>
      <c r="Z321" s="845">
        <v>0.13268608414239483</v>
      </c>
      <c r="AA321" s="845">
        <v>0</v>
      </c>
      <c r="AB321" s="845">
        <v>9.5322153574580765E-2</v>
      </c>
      <c r="AC321" s="845">
        <v>0</v>
      </c>
      <c r="AD321" s="845">
        <v>0</v>
      </c>
      <c r="AE321" s="845">
        <v>3.089143865842895E-2</v>
      </c>
      <c r="AF321" s="845">
        <v>2.0888496616651958E-2</v>
      </c>
      <c r="AG321" s="845">
        <v>0.72756693145042661</v>
      </c>
      <c r="AH321" s="20" t="str">
        <f t="shared" si="35"/>
        <v>No</v>
      </c>
      <c r="AI321" s="25"/>
      <c r="AJ321" s="20">
        <v>44070</v>
      </c>
      <c r="AK321" s="20" t="s">
        <v>1185</v>
      </c>
      <c r="AL321" s="20">
        <v>39035</v>
      </c>
      <c r="AM321" s="20" t="s">
        <v>24</v>
      </c>
      <c r="AN321" s="37">
        <f t="shared" si="36"/>
        <v>17410</v>
      </c>
      <c r="AO321" s="37" t="str">
        <f t="shared" si="37"/>
        <v>Cleveland, OH</v>
      </c>
      <c r="AP321" s="20" t="s">
        <v>8</v>
      </c>
      <c r="AQ321" s="25"/>
      <c r="AR321" s="25"/>
      <c r="AS321" s="25"/>
      <c r="AT321" s="25"/>
      <c r="AU321" s="36"/>
      <c r="AV321" s="36"/>
      <c r="AW321" s="36"/>
      <c r="AX321" s="25"/>
      <c r="AY321" s="25"/>
      <c r="AZ321" s="25"/>
      <c r="BA321" s="25"/>
      <c r="BB321" s="25"/>
      <c r="BC321" s="25"/>
      <c r="BD321" s="25"/>
      <c r="BE321" s="25"/>
      <c r="BF321" s="25"/>
      <c r="BG321" s="25"/>
      <c r="BH321" s="25"/>
      <c r="BI321" s="25"/>
      <c r="BJ321" s="25"/>
      <c r="BK321" s="25"/>
      <c r="BL321" s="25"/>
      <c r="BM321" s="25"/>
      <c r="BN321" s="25"/>
      <c r="BO321" s="25"/>
      <c r="BP321" s="25"/>
      <c r="BQ321" s="25"/>
      <c r="BR321" s="25"/>
      <c r="BS321" s="25"/>
      <c r="BT321" s="25"/>
      <c r="BU321" s="39">
        <v>44024</v>
      </c>
      <c r="BV321" s="39" t="s">
        <v>1157</v>
      </c>
      <c r="BW321" s="39" t="s">
        <v>2900</v>
      </c>
      <c r="BX321" s="39" t="s">
        <v>2852</v>
      </c>
      <c r="BY321" s="71">
        <v>990</v>
      </c>
      <c r="BZ321" s="71">
        <v>1120</v>
      </c>
      <c r="CA321" s="71">
        <v>1350</v>
      </c>
      <c r="CB321" s="71">
        <v>1740</v>
      </c>
      <c r="CC321" s="71">
        <v>1860</v>
      </c>
      <c r="CD321" s="25"/>
      <c r="CE321" s="200"/>
      <c r="CF321" s="200"/>
      <c r="CG321" s="200"/>
      <c r="CH321" s="200"/>
      <c r="CI321" s="200"/>
      <c r="CJ321" s="200"/>
      <c r="CK321" s="200"/>
      <c r="CL321" s="200"/>
      <c r="CM321" s="200"/>
      <c r="CN321" s="200"/>
      <c r="CO321" s="200"/>
      <c r="CP321" s="200"/>
      <c r="CQ321" s="200"/>
      <c r="CR321" s="200"/>
      <c r="CS321" s="200"/>
      <c r="CT321" s="200"/>
      <c r="CU321" s="200"/>
    </row>
    <row r="322" spans="1:99" s="17" customFormat="1" x14ac:dyDescent="0.2">
      <c r="A322" s="25"/>
      <c r="B322" s="20">
        <v>39049007830</v>
      </c>
      <c r="C322" s="20">
        <v>78.3</v>
      </c>
      <c r="D322" s="20" t="s">
        <v>31</v>
      </c>
      <c r="E322" s="20" t="s">
        <v>2830</v>
      </c>
      <c r="F322" s="20" t="s">
        <v>8</v>
      </c>
      <c r="G322" s="861">
        <v>69.149077763131402</v>
      </c>
      <c r="H322" s="861">
        <v>61.439159553761797</v>
      </c>
      <c r="I322" s="861">
        <v>57.222911522275801</v>
      </c>
      <c r="J322" s="861">
        <v>44.809274861076197</v>
      </c>
      <c r="K322" s="982">
        <v>0</v>
      </c>
      <c r="L322" s="735">
        <v>2333</v>
      </c>
      <c r="M322" s="735">
        <v>2789</v>
      </c>
      <c r="N322" s="845">
        <f t="shared" si="33"/>
        <v>0.19545649378482641</v>
      </c>
      <c r="O322" s="735">
        <v>0.43327843694232249</v>
      </c>
      <c r="P322" s="735">
        <f t="shared" si="34"/>
        <v>6436.9693070400099</v>
      </c>
      <c r="Q322" s="849">
        <v>29.1</v>
      </c>
      <c r="R322" s="71">
        <v>48097</v>
      </c>
      <c r="S322" s="845">
        <v>0.24640804597701149</v>
      </c>
      <c r="T322" s="845">
        <v>2.4E-2</v>
      </c>
      <c r="U322" s="845">
        <v>0</v>
      </c>
      <c r="V322" s="845">
        <v>0.17499999999999999</v>
      </c>
      <c r="W322" s="845">
        <v>0.81749865807836819</v>
      </c>
      <c r="X322" s="845">
        <v>0.64346684175968483</v>
      </c>
      <c r="Y322" s="845">
        <v>0.692362854069559</v>
      </c>
      <c r="Z322" s="845">
        <v>0.11760487629974901</v>
      </c>
      <c r="AA322" s="845">
        <v>0</v>
      </c>
      <c r="AB322" s="845">
        <v>0.12154894227321621</v>
      </c>
      <c r="AC322" s="845">
        <v>0</v>
      </c>
      <c r="AD322" s="845">
        <v>0</v>
      </c>
      <c r="AE322" s="845">
        <v>6.8483327357475796E-2</v>
      </c>
      <c r="AF322" s="845">
        <v>9.6808892076012912E-2</v>
      </c>
      <c r="AG322" s="845">
        <v>0.64503406238795269</v>
      </c>
      <c r="AH322" s="20" t="str">
        <f t="shared" si="35"/>
        <v>No</v>
      </c>
      <c r="AI322" s="25"/>
      <c r="AJ322" s="20">
        <v>44101</v>
      </c>
      <c r="AK322" s="20" t="s">
        <v>1204</v>
      </c>
      <c r="AL322" s="20">
        <v>39035</v>
      </c>
      <c r="AM322" s="20" t="s">
        <v>24</v>
      </c>
      <c r="AN322" s="37">
        <f t="shared" si="36"/>
        <v>17410</v>
      </c>
      <c r="AO322" s="37" t="str">
        <f t="shared" si="37"/>
        <v>Cleveland, OH</v>
      </c>
      <c r="AP322" s="20" t="s">
        <v>8</v>
      </c>
      <c r="AQ322" s="25"/>
      <c r="AR322" s="25"/>
      <c r="AS322" s="25"/>
      <c r="AT322" s="25"/>
      <c r="AU322" s="36"/>
      <c r="AV322" s="36"/>
      <c r="AW322" s="36"/>
      <c r="AX322" s="25"/>
      <c r="AY322" s="25"/>
      <c r="AZ322" s="25"/>
      <c r="BA322" s="25"/>
      <c r="BB322" s="25"/>
      <c r="BC322" s="25"/>
      <c r="BD322" s="25"/>
      <c r="BE322" s="25"/>
      <c r="BF322" s="25"/>
      <c r="BG322" s="25"/>
      <c r="BH322" s="25"/>
      <c r="BI322" s="25"/>
      <c r="BJ322" s="25"/>
      <c r="BK322" s="25"/>
      <c r="BL322" s="25"/>
      <c r="BM322" s="25"/>
      <c r="BN322" s="25"/>
      <c r="BO322" s="25"/>
      <c r="BP322" s="25"/>
      <c r="BQ322" s="25"/>
      <c r="BR322" s="25"/>
      <c r="BS322" s="25"/>
      <c r="BT322" s="25"/>
      <c r="BU322" s="39">
        <v>44026</v>
      </c>
      <c r="BV322" s="39" t="s">
        <v>1158</v>
      </c>
      <c r="BW322" s="39" t="s">
        <v>2900</v>
      </c>
      <c r="BX322" s="39" t="s">
        <v>2852</v>
      </c>
      <c r="BY322" s="71">
        <v>1140</v>
      </c>
      <c r="BZ322" s="71">
        <v>1290</v>
      </c>
      <c r="CA322" s="71">
        <v>1560</v>
      </c>
      <c r="CB322" s="71">
        <v>2000</v>
      </c>
      <c r="CC322" s="71">
        <v>2140</v>
      </c>
      <c r="CD322" s="25"/>
      <c r="CE322" s="200"/>
      <c r="CF322" s="200"/>
      <c r="CG322" s="200"/>
      <c r="CH322" s="200"/>
      <c r="CI322" s="200"/>
      <c r="CJ322" s="200"/>
      <c r="CK322" s="200"/>
      <c r="CL322" s="200"/>
      <c r="CM322" s="200"/>
      <c r="CN322" s="200"/>
      <c r="CO322" s="200"/>
      <c r="CP322" s="200"/>
      <c r="CQ322" s="200"/>
      <c r="CR322" s="200"/>
      <c r="CS322" s="200"/>
      <c r="CT322" s="200"/>
      <c r="CU322" s="200"/>
    </row>
    <row r="323" spans="1:99" s="17" customFormat="1" x14ac:dyDescent="0.2">
      <c r="A323" s="25"/>
      <c r="B323" s="20">
        <v>39089753302</v>
      </c>
      <c r="C323" s="20">
        <v>7533.02</v>
      </c>
      <c r="D323" s="20" t="s">
        <v>50</v>
      </c>
      <c r="E323" s="20" t="s">
        <v>2830</v>
      </c>
      <c r="F323" s="20" t="s">
        <v>8</v>
      </c>
      <c r="G323" s="861">
        <v>69.140641164880293</v>
      </c>
      <c r="H323" s="861">
        <v>61.743253016692798</v>
      </c>
      <c r="I323" s="861">
        <v>24.450188379079201</v>
      </c>
      <c r="J323" s="861">
        <v>59.267461157523201</v>
      </c>
      <c r="K323" s="982">
        <v>0</v>
      </c>
      <c r="L323" s="735" t="s">
        <v>2466</v>
      </c>
      <c r="M323" s="735">
        <v>5056</v>
      </c>
      <c r="N323" s="845" t="str">
        <f t="shared" si="33"/>
        <v/>
      </c>
      <c r="O323" s="735">
        <v>2.9859588814869116</v>
      </c>
      <c r="P323" s="735">
        <f t="shared" si="34"/>
        <v>1693.2584140215201</v>
      </c>
      <c r="Q323" s="849">
        <v>33.700000000000003</v>
      </c>
      <c r="R323" s="71">
        <v>91220</v>
      </c>
      <c r="S323" s="845">
        <v>0.11462771353215663</v>
      </c>
      <c r="T323" s="845">
        <v>2E-3</v>
      </c>
      <c r="U323" s="845">
        <v>0</v>
      </c>
      <c r="V323" s="845">
        <v>1.3000000000000001E-2</v>
      </c>
      <c r="W323" s="845">
        <v>0.39951865222623345</v>
      </c>
      <c r="X323" s="845">
        <v>0.36445783132530118</v>
      </c>
      <c r="Y323" s="845">
        <v>0.86214398734177211</v>
      </c>
      <c r="Z323" s="845">
        <v>3.5205696202531646E-2</v>
      </c>
      <c r="AA323" s="845">
        <v>5.9335443037974685E-4</v>
      </c>
      <c r="AB323" s="845">
        <v>2.6898734177215191E-2</v>
      </c>
      <c r="AC323" s="845">
        <v>0</v>
      </c>
      <c r="AD323" s="845">
        <v>1.2064873417721519E-2</v>
      </c>
      <c r="AE323" s="845">
        <v>6.309335443037975E-2</v>
      </c>
      <c r="AF323" s="845">
        <v>4.3512658227848104E-2</v>
      </c>
      <c r="AG323" s="845">
        <v>0.83069620253164556</v>
      </c>
      <c r="AH323" s="20" t="str">
        <f t="shared" si="35"/>
        <v>No</v>
      </c>
      <c r="AI323" s="25"/>
      <c r="AJ323" s="20">
        <v>44102</v>
      </c>
      <c r="AK323" s="20" t="s">
        <v>1205</v>
      </c>
      <c r="AL323" s="20">
        <v>39035</v>
      </c>
      <c r="AM323" s="20" t="s">
        <v>24</v>
      </c>
      <c r="AN323" s="37">
        <f t="shared" si="36"/>
        <v>17410</v>
      </c>
      <c r="AO323" s="37" t="str">
        <f t="shared" si="37"/>
        <v>Cleveland, OH</v>
      </c>
      <c r="AP323" s="20" t="s">
        <v>8</v>
      </c>
      <c r="AQ323" s="25"/>
      <c r="AR323" s="25"/>
      <c r="AS323" s="25"/>
      <c r="AT323" s="25"/>
      <c r="AU323" s="36"/>
      <c r="AV323" s="36"/>
      <c r="AW323" s="36"/>
      <c r="AX323" s="25"/>
      <c r="AY323" s="25"/>
      <c r="AZ323" s="25"/>
      <c r="BA323" s="25"/>
      <c r="BB323" s="25"/>
      <c r="BC323" s="25"/>
      <c r="BD323" s="25"/>
      <c r="BE323" s="25"/>
      <c r="BF323" s="25"/>
      <c r="BG323" s="25"/>
      <c r="BH323" s="25"/>
      <c r="BI323" s="25"/>
      <c r="BJ323" s="25"/>
      <c r="BK323" s="25"/>
      <c r="BL323" s="25"/>
      <c r="BM323" s="25"/>
      <c r="BN323" s="25"/>
      <c r="BO323" s="25"/>
      <c r="BP323" s="25"/>
      <c r="BQ323" s="25"/>
      <c r="BR323" s="25"/>
      <c r="BS323" s="25"/>
      <c r="BT323" s="25"/>
      <c r="BU323" s="39">
        <v>44028</v>
      </c>
      <c r="BV323" s="39" t="s">
        <v>1159</v>
      </c>
      <c r="BW323" s="39" t="s">
        <v>2900</v>
      </c>
      <c r="BX323" s="39" t="s">
        <v>2852</v>
      </c>
      <c r="BY323" s="71">
        <v>1380</v>
      </c>
      <c r="BZ323" s="71">
        <v>1560</v>
      </c>
      <c r="CA323" s="71">
        <v>1890</v>
      </c>
      <c r="CB323" s="71">
        <v>2430</v>
      </c>
      <c r="CC323" s="71">
        <v>2600</v>
      </c>
      <c r="CD323" s="25"/>
      <c r="CE323" s="200"/>
      <c r="CF323" s="200"/>
      <c r="CG323" s="200"/>
      <c r="CH323" s="200"/>
      <c r="CI323" s="200"/>
      <c r="CJ323" s="200"/>
      <c r="CK323" s="200"/>
      <c r="CL323" s="200"/>
      <c r="CM323" s="200"/>
      <c r="CN323" s="200"/>
      <c r="CO323" s="200"/>
      <c r="CP323" s="200"/>
      <c r="CQ323" s="200"/>
      <c r="CR323" s="200"/>
      <c r="CS323" s="200"/>
      <c r="CT323" s="200"/>
      <c r="CU323" s="200"/>
    </row>
    <row r="324" spans="1:99" s="17" customFormat="1" x14ac:dyDescent="0.2">
      <c r="A324" s="25"/>
      <c r="B324" s="20">
        <v>39049007010</v>
      </c>
      <c r="C324" s="20">
        <v>70.099999999999994</v>
      </c>
      <c r="D324" s="20" t="s">
        <v>31</v>
      </c>
      <c r="E324" s="20" t="s">
        <v>2830</v>
      </c>
      <c r="F324" s="20" t="s">
        <v>8</v>
      </c>
      <c r="G324" s="861">
        <v>69.126786488125703</v>
      </c>
      <c r="H324" s="861">
        <v>78.999703858566605</v>
      </c>
      <c r="I324" s="861">
        <v>31.843172723231699</v>
      </c>
      <c r="J324" s="861">
        <v>38.712698948617103</v>
      </c>
      <c r="K324" s="982">
        <v>0</v>
      </c>
      <c r="L324" s="735">
        <v>3846</v>
      </c>
      <c r="M324" s="735">
        <v>4298</v>
      </c>
      <c r="N324" s="845">
        <f t="shared" si="33"/>
        <v>0.11752470098803952</v>
      </c>
      <c r="O324" s="735">
        <v>1.058916830317032</v>
      </c>
      <c r="P324" s="735">
        <f t="shared" si="34"/>
        <v>4058.8645651360648</v>
      </c>
      <c r="Q324" s="849">
        <v>22.3</v>
      </c>
      <c r="R324" s="71">
        <v>91267</v>
      </c>
      <c r="S324" s="845">
        <v>0.14934409687184663</v>
      </c>
      <c r="T324" s="845">
        <v>4.8000000000000001E-2</v>
      </c>
      <c r="U324" s="845">
        <v>0</v>
      </c>
      <c r="V324" s="845">
        <v>5.9000000000000004E-2</v>
      </c>
      <c r="W324" s="845">
        <v>0.4097345132743363</v>
      </c>
      <c r="X324" s="845">
        <v>0.41036717062634992</v>
      </c>
      <c r="Y324" s="845">
        <v>0.65774778966961378</v>
      </c>
      <c r="Z324" s="845">
        <v>0.19427640763145648</v>
      </c>
      <c r="AA324" s="845">
        <v>2.3266635644485808E-3</v>
      </c>
      <c r="AB324" s="845">
        <v>4.001861330851559E-2</v>
      </c>
      <c r="AC324" s="845">
        <v>0</v>
      </c>
      <c r="AD324" s="845">
        <v>9.3066542577943234E-3</v>
      </c>
      <c r="AE324" s="845">
        <v>9.6323871568171238E-2</v>
      </c>
      <c r="AF324" s="845">
        <v>3.466728711028385E-2</v>
      </c>
      <c r="AG324" s="845">
        <v>0.65472312703583058</v>
      </c>
      <c r="AH324" s="20" t="str">
        <f t="shared" si="35"/>
        <v>No</v>
      </c>
      <c r="AI324" s="25"/>
      <c r="AJ324" s="37">
        <v>44103</v>
      </c>
      <c r="AK324" s="37" t="s">
        <v>1206</v>
      </c>
      <c r="AL324" s="37">
        <v>39035</v>
      </c>
      <c r="AM324" s="37" t="s">
        <v>24</v>
      </c>
      <c r="AN324" s="37">
        <f t="shared" si="36"/>
        <v>17410</v>
      </c>
      <c r="AO324" s="37" t="str">
        <f t="shared" si="37"/>
        <v>Cleveland, OH</v>
      </c>
      <c r="AP324" s="20" t="s">
        <v>8</v>
      </c>
      <c r="AQ324" s="25"/>
      <c r="AR324" s="25"/>
      <c r="AS324" s="25"/>
      <c r="AT324" s="25"/>
      <c r="AU324" s="36"/>
      <c r="AV324" s="36"/>
      <c r="AW324" s="36"/>
      <c r="AX324" s="25"/>
      <c r="AY324" s="25"/>
      <c r="AZ324" s="25"/>
      <c r="BA324" s="25"/>
      <c r="BB324" s="25"/>
      <c r="BC324" s="25"/>
      <c r="BD324" s="25"/>
      <c r="BE324" s="25"/>
      <c r="BF324" s="25"/>
      <c r="BG324" s="25"/>
      <c r="BH324" s="25"/>
      <c r="BI324" s="25"/>
      <c r="BJ324" s="25"/>
      <c r="BK324" s="25"/>
      <c r="BL324" s="25"/>
      <c r="BM324" s="25"/>
      <c r="BN324" s="25"/>
      <c r="BO324" s="25"/>
      <c r="BP324" s="25"/>
      <c r="BQ324" s="25"/>
      <c r="BR324" s="25"/>
      <c r="BS324" s="25"/>
      <c r="BT324" s="25"/>
      <c r="BU324" s="39">
        <v>44035</v>
      </c>
      <c r="BV324" s="39" t="s">
        <v>1162</v>
      </c>
      <c r="BW324" s="39" t="s">
        <v>2900</v>
      </c>
      <c r="BX324" s="39" t="s">
        <v>2852</v>
      </c>
      <c r="BY324" s="71">
        <v>840</v>
      </c>
      <c r="BZ324" s="71">
        <v>950</v>
      </c>
      <c r="CA324" s="71">
        <v>1150</v>
      </c>
      <c r="CB324" s="71">
        <v>1480</v>
      </c>
      <c r="CC324" s="71">
        <v>1580</v>
      </c>
      <c r="CD324" s="25"/>
      <c r="CE324" s="200"/>
      <c r="CF324" s="200"/>
      <c r="CG324" s="200"/>
      <c r="CH324" s="200"/>
      <c r="CI324" s="200"/>
      <c r="CJ324" s="200"/>
      <c r="CK324" s="200"/>
      <c r="CL324" s="200"/>
      <c r="CM324" s="200"/>
      <c r="CN324" s="200"/>
      <c r="CO324" s="200"/>
      <c r="CP324" s="200"/>
      <c r="CQ324" s="200"/>
      <c r="CR324" s="200"/>
      <c r="CS324" s="200"/>
      <c r="CT324" s="200"/>
      <c r="CU324" s="200"/>
    </row>
    <row r="325" spans="1:99" s="17" customFormat="1" x14ac:dyDescent="0.2">
      <c r="A325" s="25"/>
      <c r="B325" s="20">
        <v>39113040306</v>
      </c>
      <c r="C325" s="20">
        <v>403.06</v>
      </c>
      <c r="D325" s="20" t="s">
        <v>62</v>
      </c>
      <c r="E325" s="20" t="s">
        <v>2833</v>
      </c>
      <c r="F325" s="20" t="s">
        <v>8</v>
      </c>
      <c r="G325" s="861">
        <v>69.050121043266202</v>
      </c>
      <c r="H325" s="861">
        <v>68.338121630514905</v>
      </c>
      <c r="I325" s="861">
        <v>17.512215748314901</v>
      </c>
      <c r="J325" s="861">
        <v>52.455422004097798</v>
      </c>
      <c r="K325" s="982">
        <v>0</v>
      </c>
      <c r="L325" s="735">
        <v>5112</v>
      </c>
      <c r="M325" s="735">
        <v>5800</v>
      </c>
      <c r="N325" s="845">
        <f t="shared" si="33"/>
        <v>0.13458528951486698</v>
      </c>
      <c r="O325" s="735">
        <v>2.8482729212220206</v>
      </c>
      <c r="P325" s="735">
        <f t="shared" si="34"/>
        <v>2036.3217150944836</v>
      </c>
      <c r="Q325" s="849">
        <v>45.5</v>
      </c>
      <c r="R325" s="71">
        <v>141406</v>
      </c>
      <c r="S325" s="845">
        <v>3.3275862068965517E-2</v>
      </c>
      <c r="T325" s="845">
        <v>3.4000000000000002E-2</v>
      </c>
      <c r="U325" s="845">
        <v>0</v>
      </c>
      <c r="V325" s="845">
        <v>0.40399999999999997</v>
      </c>
      <c r="W325" s="845">
        <v>0.11888111888111888</v>
      </c>
      <c r="X325" s="845">
        <v>0.22794117647058823</v>
      </c>
      <c r="Y325" s="845">
        <v>0.83965517241379306</v>
      </c>
      <c r="Z325" s="845">
        <v>4.4482758620689657E-2</v>
      </c>
      <c r="AA325" s="845">
        <v>0</v>
      </c>
      <c r="AB325" s="845">
        <v>4.4482758620689657E-2</v>
      </c>
      <c r="AC325" s="845">
        <v>0</v>
      </c>
      <c r="AD325" s="845">
        <v>3.2758620689655174E-3</v>
      </c>
      <c r="AE325" s="845">
        <v>6.8103448275862066E-2</v>
      </c>
      <c r="AF325" s="845">
        <v>2.8793103448275861E-2</v>
      </c>
      <c r="AG325" s="845">
        <v>0.81965517241379315</v>
      </c>
      <c r="AH325" s="20" t="str">
        <f t="shared" si="35"/>
        <v>No</v>
      </c>
      <c r="AI325" s="25"/>
      <c r="AJ325" s="37">
        <v>44104</v>
      </c>
      <c r="AK325" s="37" t="s">
        <v>1207</v>
      </c>
      <c r="AL325" s="37">
        <v>39035</v>
      </c>
      <c r="AM325" s="37" t="s">
        <v>24</v>
      </c>
      <c r="AN325" s="37">
        <f t="shared" si="36"/>
        <v>17410</v>
      </c>
      <c r="AO325" s="37" t="str">
        <f t="shared" si="37"/>
        <v>Cleveland, OH</v>
      </c>
      <c r="AP325" s="20" t="s">
        <v>8</v>
      </c>
      <c r="AQ325" s="25"/>
      <c r="AR325" s="25"/>
      <c r="AS325" s="25"/>
      <c r="AT325" s="25"/>
      <c r="AU325" s="36"/>
      <c r="AV325" s="36"/>
      <c r="AW325" s="36"/>
      <c r="AX325" s="25"/>
      <c r="AY325" s="25"/>
      <c r="AZ325" s="25"/>
      <c r="BA325" s="25"/>
      <c r="BB325" s="25"/>
      <c r="BC325" s="25"/>
      <c r="BD325" s="25"/>
      <c r="BE325" s="25"/>
      <c r="BF325" s="25"/>
      <c r="BG325" s="25"/>
      <c r="BH325" s="25"/>
      <c r="BI325" s="25"/>
      <c r="BJ325" s="25"/>
      <c r="BK325" s="25"/>
      <c r="BL325" s="25"/>
      <c r="BM325" s="25"/>
      <c r="BN325" s="25"/>
      <c r="BO325" s="25"/>
      <c r="BP325" s="25"/>
      <c r="BQ325" s="25"/>
      <c r="BR325" s="25"/>
      <c r="BS325" s="25"/>
      <c r="BT325" s="25"/>
      <c r="BU325" s="39">
        <v>44039</v>
      </c>
      <c r="BV325" s="39" t="s">
        <v>1163</v>
      </c>
      <c r="BW325" s="39" t="s">
        <v>2900</v>
      </c>
      <c r="BX325" s="39" t="s">
        <v>2852</v>
      </c>
      <c r="BY325" s="71">
        <v>960</v>
      </c>
      <c r="BZ325" s="71">
        <v>1090</v>
      </c>
      <c r="CA325" s="71">
        <v>1320</v>
      </c>
      <c r="CB325" s="71">
        <v>1700</v>
      </c>
      <c r="CC325" s="71">
        <v>1820</v>
      </c>
      <c r="CD325" s="25"/>
      <c r="CE325" s="200"/>
      <c r="CF325" s="200"/>
      <c r="CG325" s="200"/>
      <c r="CH325" s="200"/>
      <c r="CI325" s="200"/>
      <c r="CJ325" s="200"/>
      <c r="CK325" s="200"/>
      <c r="CL325" s="200"/>
      <c r="CM325" s="200"/>
      <c r="CN325" s="200"/>
      <c r="CO325" s="200"/>
      <c r="CP325" s="200"/>
      <c r="CQ325" s="200"/>
      <c r="CR325" s="200"/>
      <c r="CS325" s="200"/>
      <c r="CT325" s="200"/>
      <c r="CU325" s="200"/>
    </row>
    <row r="326" spans="1:99" s="17" customFormat="1" x14ac:dyDescent="0.2">
      <c r="A326" s="25"/>
      <c r="B326" s="20">
        <v>39159050502</v>
      </c>
      <c r="C326" s="20">
        <v>505.02</v>
      </c>
      <c r="D326" s="20" t="s">
        <v>85</v>
      </c>
      <c r="E326" s="20" t="s">
        <v>2830</v>
      </c>
      <c r="F326" s="20" t="s">
        <v>8</v>
      </c>
      <c r="G326" s="861">
        <v>69.008179012324902</v>
      </c>
      <c r="H326" s="861">
        <v>68.246768751332894</v>
      </c>
      <c r="I326" s="861">
        <v>37.551654002449297</v>
      </c>
      <c r="J326" s="861">
        <v>39.965838205045401</v>
      </c>
      <c r="K326" s="982">
        <v>0</v>
      </c>
      <c r="L326" s="735" t="s">
        <v>2466</v>
      </c>
      <c r="M326" s="735">
        <v>2330</v>
      </c>
      <c r="N326" s="845" t="str">
        <f t="shared" si="33"/>
        <v/>
      </c>
      <c r="O326" s="735">
        <v>4.3341446073279464</v>
      </c>
      <c r="P326" s="735">
        <f t="shared" si="34"/>
        <v>537.59166135355918</v>
      </c>
      <c r="Q326" s="849">
        <v>35.200000000000003</v>
      </c>
      <c r="R326" s="71">
        <v>63607</v>
      </c>
      <c r="S326" s="845">
        <v>0.15836909871244637</v>
      </c>
      <c r="T326" s="845">
        <v>3.5000000000000003E-2</v>
      </c>
      <c r="U326" s="845">
        <v>0</v>
      </c>
      <c r="V326" s="845">
        <v>0</v>
      </c>
      <c r="W326" s="845">
        <v>0.26959247648902823</v>
      </c>
      <c r="X326" s="845">
        <v>0.34883720930232559</v>
      </c>
      <c r="Y326" s="845">
        <v>0.88669527896995703</v>
      </c>
      <c r="Z326" s="845">
        <v>0</v>
      </c>
      <c r="AA326" s="845">
        <v>1.2875536480686696E-3</v>
      </c>
      <c r="AB326" s="845">
        <v>0</v>
      </c>
      <c r="AC326" s="845">
        <v>0</v>
      </c>
      <c r="AD326" s="845">
        <v>4.7210300429184546E-3</v>
      </c>
      <c r="AE326" s="845">
        <v>0.1072961373390558</v>
      </c>
      <c r="AF326" s="845">
        <v>0.14549356223175966</v>
      </c>
      <c r="AG326" s="845">
        <v>0.8030042918454936</v>
      </c>
      <c r="AH326" s="20" t="str">
        <f t="shared" si="35"/>
        <v>No</v>
      </c>
      <c r="AI326" s="25"/>
      <c r="AJ326" s="20">
        <v>44105</v>
      </c>
      <c r="AK326" s="20" t="s">
        <v>1208</v>
      </c>
      <c r="AL326" s="20">
        <v>39035</v>
      </c>
      <c r="AM326" s="20" t="s">
        <v>24</v>
      </c>
      <c r="AN326" s="37">
        <f t="shared" si="36"/>
        <v>17410</v>
      </c>
      <c r="AO326" s="37" t="str">
        <f t="shared" si="37"/>
        <v>Cleveland, OH</v>
      </c>
      <c r="AP326" s="20" t="s">
        <v>8</v>
      </c>
      <c r="AQ326" s="25"/>
      <c r="AR326" s="25"/>
      <c r="AS326" s="25"/>
      <c r="AT326" s="25"/>
      <c r="AU326" s="36"/>
      <c r="AV326" s="36"/>
      <c r="AW326" s="36"/>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c r="BT326" s="25"/>
      <c r="BU326" s="39">
        <v>44040</v>
      </c>
      <c r="BV326" s="39" t="s">
        <v>1164</v>
      </c>
      <c r="BW326" s="39" t="s">
        <v>2900</v>
      </c>
      <c r="BX326" s="39" t="s">
        <v>2852</v>
      </c>
      <c r="BY326" s="71">
        <v>1400</v>
      </c>
      <c r="BZ326" s="71">
        <v>1590</v>
      </c>
      <c r="CA326" s="71">
        <v>1920</v>
      </c>
      <c r="CB326" s="71">
        <v>2470</v>
      </c>
      <c r="CC326" s="71">
        <v>2640</v>
      </c>
      <c r="CD326" s="25"/>
      <c r="CE326" s="200"/>
      <c r="CF326" s="200"/>
      <c r="CG326" s="200"/>
      <c r="CH326" s="200"/>
      <c r="CI326" s="200"/>
      <c r="CJ326" s="200"/>
      <c r="CK326" s="200"/>
      <c r="CL326" s="200"/>
      <c r="CM326" s="200"/>
      <c r="CN326" s="200"/>
      <c r="CO326" s="200"/>
      <c r="CP326" s="200"/>
      <c r="CQ326" s="200"/>
      <c r="CR326" s="200"/>
      <c r="CS326" s="200"/>
      <c r="CT326" s="200"/>
      <c r="CU326" s="200"/>
    </row>
    <row r="327" spans="1:99" s="17" customFormat="1" x14ac:dyDescent="0.2">
      <c r="A327" s="25"/>
      <c r="B327" s="20">
        <v>39061004100</v>
      </c>
      <c r="C327" s="20">
        <v>41</v>
      </c>
      <c r="D327" s="20" t="s">
        <v>37</v>
      </c>
      <c r="E327" s="20" t="s">
        <v>2828</v>
      </c>
      <c r="F327" s="20" t="s">
        <v>8</v>
      </c>
      <c r="G327" s="861">
        <v>69.0027381625993</v>
      </c>
      <c r="H327" s="861">
        <v>71.184150513552098</v>
      </c>
      <c r="I327" s="861">
        <v>43.906052231558299</v>
      </c>
      <c r="J327" s="861">
        <v>67.873316285567199</v>
      </c>
      <c r="K327" s="982">
        <v>0</v>
      </c>
      <c r="L327" s="735">
        <v>1578</v>
      </c>
      <c r="M327" s="735">
        <v>1490</v>
      </c>
      <c r="N327" s="845">
        <f t="shared" si="33"/>
        <v>-5.5766793409378963E-2</v>
      </c>
      <c r="O327" s="735">
        <v>0.29991875136446089</v>
      </c>
      <c r="P327" s="735">
        <f t="shared" si="34"/>
        <v>4968.0121473610498</v>
      </c>
      <c r="Q327" s="849">
        <v>38.5</v>
      </c>
      <c r="R327" s="71">
        <v>76397</v>
      </c>
      <c r="S327" s="845">
        <v>6.8718682891911242E-2</v>
      </c>
      <c r="T327" s="845">
        <v>2.6000000000000002E-2</v>
      </c>
      <c r="U327" s="845">
        <v>0</v>
      </c>
      <c r="V327" s="845">
        <v>0.11699999999999999</v>
      </c>
      <c r="W327" s="845">
        <v>0.4877384196185286</v>
      </c>
      <c r="X327" s="845">
        <v>0.34636871508379891</v>
      </c>
      <c r="Y327" s="845">
        <v>0.60469798657718121</v>
      </c>
      <c r="Z327" s="845">
        <v>0.1919463087248322</v>
      </c>
      <c r="AA327" s="845">
        <v>0</v>
      </c>
      <c r="AB327" s="845">
        <v>0.14899328859060404</v>
      </c>
      <c r="AC327" s="845">
        <v>0</v>
      </c>
      <c r="AD327" s="845">
        <v>2.0134228187919465E-3</v>
      </c>
      <c r="AE327" s="845">
        <v>5.2348993288590606E-2</v>
      </c>
      <c r="AF327" s="845">
        <v>1.9463087248322148E-2</v>
      </c>
      <c r="AG327" s="845">
        <v>0.60469798657718121</v>
      </c>
      <c r="AH327" s="20" t="str">
        <f t="shared" si="35"/>
        <v>No</v>
      </c>
      <c r="AI327" s="25"/>
      <c r="AJ327" s="20">
        <v>44106</v>
      </c>
      <c r="AK327" s="20" t="s">
        <v>1209</v>
      </c>
      <c r="AL327" s="20">
        <v>39035</v>
      </c>
      <c r="AM327" s="20" t="s">
        <v>24</v>
      </c>
      <c r="AN327" s="37">
        <f t="shared" si="36"/>
        <v>17410</v>
      </c>
      <c r="AO327" s="37" t="str">
        <f t="shared" si="37"/>
        <v>Cleveland, OH</v>
      </c>
      <c r="AP327" s="20" t="s">
        <v>8</v>
      </c>
      <c r="AQ327" s="25"/>
      <c r="AR327" s="25"/>
      <c r="AS327" s="25"/>
      <c r="AT327" s="25"/>
      <c r="AU327" s="36"/>
      <c r="AV327" s="36"/>
      <c r="AW327" s="36"/>
      <c r="AX327" s="25"/>
      <c r="AY327" s="25"/>
      <c r="AZ327" s="25"/>
      <c r="BA327" s="25"/>
      <c r="BB327" s="25"/>
      <c r="BC327" s="25"/>
      <c r="BD327" s="25"/>
      <c r="BE327" s="25"/>
      <c r="BF327" s="25"/>
      <c r="BG327" s="25"/>
      <c r="BH327" s="25"/>
      <c r="BI327" s="25"/>
      <c r="BJ327" s="25"/>
      <c r="BK327" s="25"/>
      <c r="BL327" s="25"/>
      <c r="BM327" s="25"/>
      <c r="BN327" s="25"/>
      <c r="BO327" s="25"/>
      <c r="BP327" s="25"/>
      <c r="BQ327" s="25"/>
      <c r="BR327" s="25"/>
      <c r="BS327" s="25"/>
      <c r="BT327" s="25"/>
      <c r="BU327" s="39">
        <v>44041</v>
      </c>
      <c r="BV327" s="39" t="s">
        <v>1165</v>
      </c>
      <c r="BW327" s="39" t="s">
        <v>2900</v>
      </c>
      <c r="BX327" s="39" t="s">
        <v>2852</v>
      </c>
      <c r="BY327" s="71">
        <v>710</v>
      </c>
      <c r="BZ327" s="71">
        <v>830</v>
      </c>
      <c r="CA327" s="71">
        <v>1030</v>
      </c>
      <c r="CB327" s="71">
        <v>1250</v>
      </c>
      <c r="CC327" s="71">
        <v>1420</v>
      </c>
      <c r="CD327" s="25"/>
      <c r="CE327" s="200"/>
      <c r="CF327" s="200"/>
      <c r="CG327" s="200"/>
      <c r="CH327" s="200"/>
      <c r="CI327" s="200"/>
      <c r="CJ327" s="200"/>
      <c r="CK327" s="200"/>
      <c r="CL327" s="200"/>
      <c r="CM327" s="200"/>
      <c r="CN327" s="200"/>
      <c r="CO327" s="200"/>
      <c r="CP327" s="200"/>
      <c r="CQ327" s="200"/>
      <c r="CR327" s="200"/>
      <c r="CS327" s="200"/>
      <c r="CT327" s="200"/>
      <c r="CU327" s="200"/>
    </row>
    <row r="328" spans="1:99" s="17" customFormat="1" x14ac:dyDescent="0.2">
      <c r="A328" s="25"/>
      <c r="B328" s="20">
        <v>39113040405</v>
      </c>
      <c r="C328" s="20">
        <v>404.05</v>
      </c>
      <c r="D328" s="20" t="s">
        <v>62</v>
      </c>
      <c r="E328" s="20" t="s">
        <v>2833</v>
      </c>
      <c r="F328" s="20" t="s">
        <v>8</v>
      </c>
      <c r="G328" s="861">
        <v>68.950925313004007</v>
      </c>
      <c r="H328" s="861">
        <v>69.337194036336896</v>
      </c>
      <c r="I328" s="861">
        <v>31.871222510493201</v>
      </c>
      <c r="J328" s="861">
        <v>50.889894460745801</v>
      </c>
      <c r="K328" s="982">
        <v>0</v>
      </c>
      <c r="L328" s="735">
        <v>5572</v>
      </c>
      <c r="M328" s="735">
        <v>6818</v>
      </c>
      <c r="N328" s="845">
        <f t="shared" si="33"/>
        <v>0.2236180904522613</v>
      </c>
      <c r="O328" s="735">
        <v>1.6189668917051516</v>
      </c>
      <c r="P328" s="735">
        <f t="shared" si="34"/>
        <v>4211.3276280894461</v>
      </c>
      <c r="Q328" s="849">
        <v>36.200000000000003</v>
      </c>
      <c r="R328" s="71">
        <v>79808</v>
      </c>
      <c r="S328" s="845">
        <v>0.10413611029627456</v>
      </c>
      <c r="T328" s="845">
        <v>0</v>
      </c>
      <c r="U328" s="845">
        <v>2.8999999999999998E-2</v>
      </c>
      <c r="V328" s="845">
        <v>4.5999999999999999E-2</v>
      </c>
      <c r="W328" s="845">
        <v>0.5796256520405032</v>
      </c>
      <c r="X328" s="845">
        <v>0.26204340921122288</v>
      </c>
      <c r="Y328" s="845">
        <v>0.6176298034614256</v>
      </c>
      <c r="Z328" s="845">
        <v>6.4975066001760048E-2</v>
      </c>
      <c r="AA328" s="845">
        <v>3.6667644470519214E-3</v>
      </c>
      <c r="AB328" s="845">
        <v>0.15165737753006747</v>
      </c>
      <c r="AC328" s="845">
        <v>0</v>
      </c>
      <c r="AD328" s="845">
        <v>1.6133763567028454E-2</v>
      </c>
      <c r="AE328" s="845">
        <v>0.14593722499266648</v>
      </c>
      <c r="AF328" s="845">
        <v>0.16529774127310062</v>
      </c>
      <c r="AG328" s="845">
        <v>0.61469639190378411</v>
      </c>
      <c r="AH328" s="20" t="str">
        <f t="shared" si="35"/>
        <v>No</v>
      </c>
      <c r="AI328" s="25"/>
      <c r="AJ328" s="20">
        <v>44107</v>
      </c>
      <c r="AK328" s="20" t="s">
        <v>1210</v>
      </c>
      <c r="AL328" s="20">
        <v>39035</v>
      </c>
      <c r="AM328" s="20" t="s">
        <v>24</v>
      </c>
      <c r="AN328" s="37">
        <f t="shared" si="36"/>
        <v>17410</v>
      </c>
      <c r="AO328" s="37" t="str">
        <f t="shared" si="37"/>
        <v>Cleveland, OH</v>
      </c>
      <c r="AP328" s="20" t="s">
        <v>8</v>
      </c>
      <c r="AQ328" s="25"/>
      <c r="AR328" s="25"/>
      <c r="AS328" s="25"/>
      <c r="AT328" s="25"/>
      <c r="AU328" s="36"/>
      <c r="AV328" s="36"/>
      <c r="AW328" s="36"/>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39">
        <v>44044</v>
      </c>
      <c r="BV328" s="39" t="s">
        <v>1166</v>
      </c>
      <c r="BW328" s="39" t="s">
        <v>2900</v>
      </c>
      <c r="BX328" s="39" t="s">
        <v>2852</v>
      </c>
      <c r="BY328" s="71">
        <v>920</v>
      </c>
      <c r="BZ328" s="71">
        <v>1040</v>
      </c>
      <c r="CA328" s="71">
        <v>1260</v>
      </c>
      <c r="CB328" s="71">
        <v>1620</v>
      </c>
      <c r="CC328" s="71">
        <v>1730</v>
      </c>
      <c r="CD328" s="25"/>
      <c r="CE328" s="200"/>
      <c r="CF328" s="200"/>
      <c r="CG328" s="200"/>
      <c r="CH328" s="200"/>
      <c r="CI328" s="200"/>
      <c r="CJ328" s="200"/>
      <c r="CK328" s="200"/>
      <c r="CL328" s="200"/>
      <c r="CM328" s="200"/>
      <c r="CN328" s="200"/>
      <c r="CO328" s="200"/>
      <c r="CP328" s="200"/>
      <c r="CQ328" s="200"/>
      <c r="CR328" s="200"/>
      <c r="CS328" s="200"/>
      <c r="CT328" s="200"/>
      <c r="CU328" s="200"/>
    </row>
    <row r="329" spans="1:99" s="17" customFormat="1" x14ac:dyDescent="0.2">
      <c r="A329" s="25"/>
      <c r="B329" s="20">
        <v>39159050601</v>
      </c>
      <c r="C329" s="20">
        <v>506.01</v>
      </c>
      <c r="D329" s="20" t="s">
        <v>85</v>
      </c>
      <c r="E329" s="20" t="s">
        <v>2830</v>
      </c>
      <c r="F329" s="20" t="s">
        <v>8</v>
      </c>
      <c r="G329" s="861">
        <v>68.906016374500197</v>
      </c>
      <c r="H329" s="861">
        <v>70.093587508881598</v>
      </c>
      <c r="I329" s="861">
        <v>20.218942211845</v>
      </c>
      <c r="J329" s="861">
        <v>83.418523624138999</v>
      </c>
      <c r="K329" s="982">
        <v>0</v>
      </c>
      <c r="L329" s="735">
        <v>4995</v>
      </c>
      <c r="M329" s="735">
        <v>11540</v>
      </c>
      <c r="N329" s="845">
        <f t="shared" si="33"/>
        <v>1.3103103103103102</v>
      </c>
      <c r="O329" s="735">
        <v>23.472241345540386</v>
      </c>
      <c r="P329" s="735">
        <f t="shared" si="34"/>
        <v>491.64456986092404</v>
      </c>
      <c r="Q329" s="849">
        <v>37.6</v>
      </c>
      <c r="R329" s="71">
        <v>209097</v>
      </c>
      <c r="S329" s="845">
        <v>2.1663778162911611E-3</v>
      </c>
      <c r="T329" s="845">
        <v>1.9E-2</v>
      </c>
      <c r="U329" s="845">
        <v>0</v>
      </c>
      <c r="V329" s="845">
        <v>0</v>
      </c>
      <c r="W329" s="845">
        <v>0.13426906779661016</v>
      </c>
      <c r="X329" s="845">
        <v>0.27218934911242604</v>
      </c>
      <c r="Y329" s="845">
        <v>0.71247833622183709</v>
      </c>
      <c r="Z329" s="845">
        <v>4.0987868284228769E-2</v>
      </c>
      <c r="AA329" s="845">
        <v>0</v>
      </c>
      <c r="AB329" s="845">
        <v>0.22097053726169844</v>
      </c>
      <c r="AC329" s="845">
        <v>0</v>
      </c>
      <c r="AD329" s="845">
        <v>1.2998266897746968E-3</v>
      </c>
      <c r="AE329" s="845">
        <v>2.4263431542461005E-2</v>
      </c>
      <c r="AF329" s="845">
        <v>9.7053726169844014E-3</v>
      </c>
      <c r="AG329" s="845">
        <v>0.71013864818024264</v>
      </c>
      <c r="AH329" s="20" t="str">
        <f t="shared" si="35"/>
        <v>No</v>
      </c>
      <c r="AI329" s="25"/>
      <c r="AJ329" s="37">
        <v>44108</v>
      </c>
      <c r="AK329" s="37" t="s">
        <v>1211</v>
      </c>
      <c r="AL329" s="37">
        <v>39035</v>
      </c>
      <c r="AM329" s="37" t="s">
        <v>24</v>
      </c>
      <c r="AN329" s="37">
        <f t="shared" si="36"/>
        <v>17410</v>
      </c>
      <c r="AO329" s="37" t="str">
        <f t="shared" si="37"/>
        <v>Cleveland, OH</v>
      </c>
      <c r="AP329" s="20" t="s">
        <v>8</v>
      </c>
      <c r="AQ329" s="25"/>
      <c r="AR329" s="25"/>
      <c r="AS329" s="25"/>
      <c r="AT329" s="25"/>
      <c r="AU329" s="36"/>
      <c r="AV329" s="36"/>
      <c r="AW329" s="36"/>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39">
        <v>44045</v>
      </c>
      <c r="BV329" s="39" t="s">
        <v>1167</v>
      </c>
      <c r="BW329" s="39" t="s">
        <v>2900</v>
      </c>
      <c r="BX329" s="39" t="s">
        <v>2852</v>
      </c>
      <c r="BY329" s="71">
        <v>830</v>
      </c>
      <c r="BZ329" s="71">
        <v>940</v>
      </c>
      <c r="CA329" s="71">
        <v>1140</v>
      </c>
      <c r="CB329" s="71">
        <v>1470</v>
      </c>
      <c r="CC329" s="71">
        <v>1570</v>
      </c>
      <c r="CD329" s="25"/>
      <c r="CE329" s="200"/>
      <c r="CF329" s="200"/>
      <c r="CG329" s="200"/>
      <c r="CH329" s="200"/>
      <c r="CI329" s="200"/>
      <c r="CJ329" s="200"/>
      <c r="CK329" s="200"/>
      <c r="CL329" s="200"/>
      <c r="CM329" s="200"/>
      <c r="CN329" s="200"/>
      <c r="CO329" s="200"/>
      <c r="CP329" s="200"/>
      <c r="CQ329" s="200"/>
      <c r="CR329" s="200"/>
      <c r="CS329" s="200"/>
      <c r="CT329" s="200"/>
      <c r="CU329" s="200"/>
    </row>
    <row r="330" spans="1:99" s="17" customFormat="1" x14ac:dyDescent="0.2">
      <c r="A330" s="25"/>
      <c r="B330" s="20">
        <v>39017010904</v>
      </c>
      <c r="C330" s="20">
        <v>109.04</v>
      </c>
      <c r="D330" s="20" t="s">
        <v>15</v>
      </c>
      <c r="E330" s="20" t="s">
        <v>2828</v>
      </c>
      <c r="F330" s="20" t="s">
        <v>8</v>
      </c>
      <c r="G330" s="861">
        <v>68.905529308512598</v>
      </c>
      <c r="H330" s="861">
        <v>70.980011992287203</v>
      </c>
      <c r="I330" s="861">
        <v>18.453454756280799</v>
      </c>
      <c r="J330" s="861">
        <v>39.258449612396603</v>
      </c>
      <c r="K330" s="982">
        <v>0</v>
      </c>
      <c r="L330" s="735">
        <v>3734</v>
      </c>
      <c r="M330" s="735">
        <v>3703</v>
      </c>
      <c r="N330" s="845">
        <f t="shared" si="33"/>
        <v>-8.3020889126941624E-3</v>
      </c>
      <c r="O330" s="735">
        <v>1.1903521827364683</v>
      </c>
      <c r="P330" s="735">
        <f t="shared" si="34"/>
        <v>3110.8440457405422</v>
      </c>
      <c r="Q330" s="849">
        <v>43.5</v>
      </c>
      <c r="R330" s="71">
        <v>66144</v>
      </c>
      <c r="S330" s="845">
        <v>5.2631578947368418E-2</v>
      </c>
      <c r="T330" s="845">
        <v>2.3E-2</v>
      </c>
      <c r="U330" s="845">
        <v>0</v>
      </c>
      <c r="V330" s="845">
        <v>0</v>
      </c>
      <c r="W330" s="845">
        <v>0.3182108626198083</v>
      </c>
      <c r="X330" s="845">
        <v>0.20281124497991967</v>
      </c>
      <c r="Y330" s="845">
        <v>0.79368079935187685</v>
      </c>
      <c r="Z330" s="845">
        <v>0.12935457736970024</v>
      </c>
      <c r="AA330" s="845">
        <v>4.8609235754793409E-3</v>
      </c>
      <c r="AB330" s="845">
        <v>0</v>
      </c>
      <c r="AC330" s="845">
        <v>0</v>
      </c>
      <c r="AD330" s="845">
        <v>0</v>
      </c>
      <c r="AE330" s="845">
        <v>7.2103699702943558E-2</v>
      </c>
      <c r="AF330" s="845">
        <v>1.539292465568458E-2</v>
      </c>
      <c r="AG330" s="845">
        <v>0.79368079935187685</v>
      </c>
      <c r="AH330" s="20" t="str">
        <f t="shared" si="35"/>
        <v>No</v>
      </c>
      <c r="AI330" s="25"/>
      <c r="AJ330" s="20">
        <v>44109</v>
      </c>
      <c r="AK330" s="20" t="s">
        <v>1212</v>
      </c>
      <c r="AL330" s="20">
        <v>39035</v>
      </c>
      <c r="AM330" s="20" t="s">
        <v>24</v>
      </c>
      <c r="AN330" s="37">
        <f t="shared" si="36"/>
        <v>17410</v>
      </c>
      <c r="AO330" s="37" t="str">
        <f t="shared" si="37"/>
        <v>Cleveland, OH</v>
      </c>
      <c r="AP330" s="20" t="s">
        <v>8</v>
      </c>
      <c r="AQ330" s="25"/>
      <c r="AR330" s="25"/>
      <c r="AS330" s="25"/>
      <c r="AT330" s="25"/>
      <c r="AU330" s="36"/>
      <c r="AV330" s="36"/>
      <c r="AW330" s="36"/>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39">
        <v>44046</v>
      </c>
      <c r="BV330" s="39" t="s">
        <v>1168</v>
      </c>
      <c r="BW330" s="39" t="s">
        <v>2900</v>
      </c>
      <c r="BX330" s="39" t="s">
        <v>2852</v>
      </c>
      <c r="BY330" s="71">
        <v>840</v>
      </c>
      <c r="BZ330" s="71">
        <v>950</v>
      </c>
      <c r="CA330" s="71">
        <v>1150</v>
      </c>
      <c r="CB330" s="71">
        <v>1480</v>
      </c>
      <c r="CC330" s="71">
        <v>1580</v>
      </c>
      <c r="CD330" s="25"/>
      <c r="CE330" s="200"/>
      <c r="CF330" s="200"/>
      <c r="CG330" s="200"/>
      <c r="CH330" s="200"/>
      <c r="CI330" s="200"/>
      <c r="CJ330" s="200"/>
      <c r="CK330" s="200"/>
      <c r="CL330" s="200"/>
      <c r="CM330" s="200"/>
      <c r="CN330" s="200"/>
      <c r="CO330" s="200"/>
      <c r="CP330" s="200"/>
      <c r="CQ330" s="200"/>
      <c r="CR330" s="200"/>
      <c r="CS330" s="200"/>
      <c r="CT330" s="200"/>
      <c r="CU330" s="200"/>
    </row>
    <row r="331" spans="1:99" s="17" customFormat="1" x14ac:dyDescent="0.2">
      <c r="A331" s="25"/>
      <c r="B331" s="20">
        <v>39061026400</v>
      </c>
      <c r="C331" s="20">
        <v>264</v>
      </c>
      <c r="D331" s="20" t="s">
        <v>37</v>
      </c>
      <c r="E331" s="20" t="s">
        <v>2828</v>
      </c>
      <c r="F331" s="20" t="s">
        <v>6</v>
      </c>
      <c r="G331" s="861">
        <v>68.844690257065096</v>
      </c>
      <c r="H331" s="861">
        <v>79.662155746896303</v>
      </c>
      <c r="I331" s="861">
        <v>33.416443878778097</v>
      </c>
      <c r="J331" s="861">
        <v>66.789175248697404</v>
      </c>
      <c r="K331" s="982">
        <v>0</v>
      </c>
      <c r="L331" s="735">
        <v>2338</v>
      </c>
      <c r="M331" s="735">
        <v>2799</v>
      </c>
      <c r="N331" s="845">
        <f t="shared" ref="N331:N394" si="38">IF(OR(L331="",M331=""),"",(M331-L331)/L331)</f>
        <v>0.19717707442258339</v>
      </c>
      <c r="O331" s="735">
        <v>0.22779409593505817</v>
      </c>
      <c r="P331" s="735">
        <f t="shared" ref="P331:P394" si="39">M331/O331</f>
        <v>12287.412404217741</v>
      </c>
      <c r="Q331" s="849">
        <v>32.299999999999997</v>
      </c>
      <c r="R331" s="71"/>
      <c r="S331" s="845">
        <v>0.27902822436584496</v>
      </c>
      <c r="T331" s="845">
        <v>8.4000000000000005E-2</v>
      </c>
      <c r="U331" s="845">
        <v>0</v>
      </c>
      <c r="V331" s="845">
        <v>4.0999999999999995E-2</v>
      </c>
      <c r="W331" s="845">
        <v>0.65548281505728312</v>
      </c>
      <c r="X331" s="845">
        <v>0.3807740324594257</v>
      </c>
      <c r="Y331" s="845">
        <v>0.41157556270096463</v>
      </c>
      <c r="Z331" s="845">
        <v>0.46838156484458737</v>
      </c>
      <c r="AA331" s="845">
        <v>1.4290818149339049E-3</v>
      </c>
      <c r="AB331" s="845">
        <v>5.4305108967488386E-2</v>
      </c>
      <c r="AC331" s="845">
        <v>0</v>
      </c>
      <c r="AD331" s="845">
        <v>0</v>
      </c>
      <c r="AE331" s="845">
        <v>6.4308681672025719E-2</v>
      </c>
      <c r="AF331" s="845">
        <v>3.6798856734548052E-2</v>
      </c>
      <c r="AG331" s="845">
        <v>0.39013933547695606</v>
      </c>
      <c r="AH331" s="20" t="str">
        <f t="shared" ref="AH331:AH394" si="40">IF(AG331&gt;=0.9,"Yes","No")</f>
        <v>No</v>
      </c>
      <c r="AI331" s="25"/>
      <c r="AJ331" s="37">
        <v>44110</v>
      </c>
      <c r="AK331" s="37" t="s">
        <v>1213</v>
      </c>
      <c r="AL331" s="37">
        <v>39035</v>
      </c>
      <c r="AM331" s="37" t="s">
        <v>24</v>
      </c>
      <c r="AN331" s="37">
        <f t="shared" ref="AN331:AN394" si="41">VLOOKUP(AM331,$CY$11:$DA$98,2,FALSE)</f>
        <v>17410</v>
      </c>
      <c r="AO331" s="37" t="str">
        <f t="shared" ref="AO331:AO394" si="42">VLOOKUP(AM331,$CY$11:$DA$98,3,FALSE)</f>
        <v>Cleveland, OH</v>
      </c>
      <c r="AP331" s="20" t="s">
        <v>8</v>
      </c>
      <c r="AQ331" s="25"/>
      <c r="AR331" s="25"/>
      <c r="AS331" s="25"/>
      <c r="AT331" s="25"/>
      <c r="AU331" s="36"/>
      <c r="AV331" s="36"/>
      <c r="AW331" s="36"/>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39">
        <v>44049</v>
      </c>
      <c r="BV331" s="39" t="s">
        <v>1171</v>
      </c>
      <c r="BW331" s="39" t="s">
        <v>2900</v>
      </c>
      <c r="BX331" s="39" t="s">
        <v>2852</v>
      </c>
      <c r="BY331" s="71">
        <v>800</v>
      </c>
      <c r="BZ331" s="71">
        <v>900</v>
      </c>
      <c r="CA331" s="71">
        <v>1090</v>
      </c>
      <c r="CB331" s="71">
        <v>1400</v>
      </c>
      <c r="CC331" s="71">
        <v>1500</v>
      </c>
      <c r="CD331" s="25"/>
      <c r="CE331" s="200"/>
      <c r="CF331" s="200"/>
      <c r="CG331" s="200"/>
      <c r="CH331" s="200"/>
      <c r="CI331" s="200"/>
      <c r="CJ331" s="200"/>
      <c r="CK331" s="200"/>
      <c r="CL331" s="200"/>
      <c r="CM331" s="200"/>
      <c r="CN331" s="200"/>
      <c r="CO331" s="200"/>
      <c r="CP331" s="200"/>
      <c r="CQ331" s="200"/>
      <c r="CR331" s="200"/>
      <c r="CS331" s="200"/>
      <c r="CT331" s="200"/>
      <c r="CU331" s="200"/>
    </row>
    <row r="332" spans="1:99" s="17" customFormat="1" x14ac:dyDescent="0.2">
      <c r="A332" s="25"/>
      <c r="B332" s="20">
        <v>39095008401</v>
      </c>
      <c r="C332" s="20">
        <v>84.01</v>
      </c>
      <c r="D332" s="20" t="s">
        <v>53</v>
      </c>
      <c r="E332" s="20" t="s">
        <v>2839</v>
      </c>
      <c r="F332" s="20" t="s">
        <v>8</v>
      </c>
      <c r="G332" s="861">
        <v>68.841123568586198</v>
      </c>
      <c r="H332" s="861">
        <v>57.620507435048196</v>
      </c>
      <c r="I332" s="861">
        <v>30.571415075250599</v>
      </c>
      <c r="J332" s="861">
        <v>28.861214052438001</v>
      </c>
      <c r="K332" s="982">
        <v>0</v>
      </c>
      <c r="L332" s="735" t="s">
        <v>2466</v>
      </c>
      <c r="M332" s="735">
        <v>3184</v>
      </c>
      <c r="N332" s="845" t="str">
        <f t="shared" si="38"/>
        <v/>
      </c>
      <c r="O332" s="735">
        <v>0.88409595054086954</v>
      </c>
      <c r="P332" s="735">
        <f t="shared" si="39"/>
        <v>3601.4190519163699</v>
      </c>
      <c r="Q332" s="849">
        <v>37.200000000000003</v>
      </c>
      <c r="R332" s="71">
        <v>57656</v>
      </c>
      <c r="S332" s="845">
        <v>0.19753476611883691</v>
      </c>
      <c r="T332" s="845">
        <v>6.9000000000000006E-2</v>
      </c>
      <c r="U332" s="845">
        <v>0</v>
      </c>
      <c r="V332" s="845">
        <v>0.10400000000000001</v>
      </c>
      <c r="W332" s="845">
        <v>0.35180055401662053</v>
      </c>
      <c r="X332" s="845">
        <v>0.53937007874015752</v>
      </c>
      <c r="Y332" s="845">
        <v>0.63819095477386933</v>
      </c>
      <c r="Z332" s="845">
        <v>0.22424623115577891</v>
      </c>
      <c r="AA332" s="845">
        <v>1.2562814070351759E-3</v>
      </c>
      <c r="AB332" s="845">
        <v>2.0100502512562814E-2</v>
      </c>
      <c r="AC332" s="845">
        <v>0</v>
      </c>
      <c r="AD332" s="845">
        <v>1.1620603015075377E-2</v>
      </c>
      <c r="AE332" s="845">
        <v>0.10458542713567839</v>
      </c>
      <c r="AF332" s="845">
        <v>6.5640703517587939E-2</v>
      </c>
      <c r="AG332" s="845">
        <v>0.60804020100502509</v>
      </c>
      <c r="AH332" s="20" t="str">
        <f t="shared" si="40"/>
        <v>No</v>
      </c>
      <c r="AI332" s="25"/>
      <c r="AJ332" s="20">
        <v>44111</v>
      </c>
      <c r="AK332" s="20" t="s">
        <v>1214</v>
      </c>
      <c r="AL332" s="20">
        <v>39035</v>
      </c>
      <c r="AM332" s="20" t="s">
        <v>24</v>
      </c>
      <c r="AN332" s="37">
        <f t="shared" si="41"/>
        <v>17410</v>
      </c>
      <c r="AO332" s="37" t="str">
        <f t="shared" si="42"/>
        <v>Cleveland, OH</v>
      </c>
      <c r="AP332" s="20" t="s">
        <v>8</v>
      </c>
      <c r="AQ332" s="25"/>
      <c r="AR332" s="25"/>
      <c r="AS332" s="25"/>
      <c r="AT332" s="25"/>
      <c r="AU332" s="36"/>
      <c r="AV332" s="36"/>
      <c r="AW332" s="36"/>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39">
        <v>44050</v>
      </c>
      <c r="BV332" s="39" t="s">
        <v>1172</v>
      </c>
      <c r="BW332" s="39" t="s">
        <v>2900</v>
      </c>
      <c r="BX332" s="39" t="s">
        <v>2852</v>
      </c>
      <c r="BY332" s="71">
        <v>1000</v>
      </c>
      <c r="BZ332" s="71">
        <v>1130</v>
      </c>
      <c r="CA332" s="71">
        <v>1370</v>
      </c>
      <c r="CB332" s="71">
        <v>1760</v>
      </c>
      <c r="CC332" s="71">
        <v>1880</v>
      </c>
      <c r="CD332" s="25"/>
      <c r="CE332" s="200"/>
      <c r="CF332" s="200"/>
      <c r="CG332" s="200"/>
      <c r="CH332" s="200"/>
      <c r="CI332" s="200"/>
      <c r="CJ332" s="200"/>
      <c r="CK332" s="200"/>
      <c r="CL332" s="200"/>
      <c r="CM332" s="200"/>
      <c r="CN332" s="200"/>
      <c r="CO332" s="200"/>
      <c r="CP332" s="200"/>
      <c r="CQ332" s="200"/>
      <c r="CR332" s="200"/>
      <c r="CS332" s="200"/>
      <c r="CT332" s="200"/>
      <c r="CU332" s="200"/>
    </row>
    <row r="333" spans="1:99" s="17" customFormat="1" x14ac:dyDescent="0.2">
      <c r="A333" s="25"/>
      <c r="B333" s="20">
        <v>39035170202</v>
      </c>
      <c r="C333" s="20">
        <v>1702.02</v>
      </c>
      <c r="D333" s="20" t="s">
        <v>24</v>
      </c>
      <c r="E333" s="20" t="s">
        <v>2829</v>
      </c>
      <c r="F333" s="20" t="s">
        <v>8</v>
      </c>
      <c r="G333" s="861">
        <v>68.798852664276893</v>
      </c>
      <c r="H333" s="861">
        <v>67.515983770029607</v>
      </c>
      <c r="I333" s="861">
        <v>28.541323184177202</v>
      </c>
      <c r="J333" s="861">
        <v>44.625376164474297</v>
      </c>
      <c r="K333" s="982">
        <v>0</v>
      </c>
      <c r="L333" s="735">
        <v>3803</v>
      </c>
      <c r="M333" s="735">
        <v>3891</v>
      </c>
      <c r="N333" s="845">
        <f t="shared" si="38"/>
        <v>2.3139626610570601E-2</v>
      </c>
      <c r="O333" s="735">
        <v>0.99638565522217792</v>
      </c>
      <c r="P333" s="735">
        <f t="shared" si="39"/>
        <v>3905.1144299466755</v>
      </c>
      <c r="Q333" s="849">
        <v>50.1</v>
      </c>
      <c r="R333" s="71">
        <v>89194</v>
      </c>
      <c r="S333" s="845">
        <v>1.8201284796573874E-2</v>
      </c>
      <c r="T333" s="845">
        <v>5.0000000000000001E-3</v>
      </c>
      <c r="U333" s="845">
        <v>9.0000000000000011E-3</v>
      </c>
      <c r="V333" s="845">
        <v>0</v>
      </c>
      <c r="W333" s="845">
        <v>0.23633603238866396</v>
      </c>
      <c r="X333" s="845">
        <v>0.4817987152034261</v>
      </c>
      <c r="Y333" s="845">
        <v>0.86841428938576204</v>
      </c>
      <c r="Z333" s="845">
        <v>9.5862246209200724E-2</v>
      </c>
      <c r="AA333" s="845">
        <v>0</v>
      </c>
      <c r="AB333" s="845">
        <v>8.9951169365201748E-3</v>
      </c>
      <c r="AC333" s="845">
        <v>0</v>
      </c>
      <c r="AD333" s="845">
        <v>0</v>
      </c>
      <c r="AE333" s="845">
        <v>2.6728347468517089E-2</v>
      </c>
      <c r="AF333" s="845">
        <v>1.2850167052171678E-2</v>
      </c>
      <c r="AG333" s="845">
        <v>0.8617322025186327</v>
      </c>
      <c r="AH333" s="20" t="str">
        <f t="shared" si="40"/>
        <v>No</v>
      </c>
      <c r="AI333" s="25"/>
      <c r="AJ333" s="20">
        <v>44112</v>
      </c>
      <c r="AK333" s="20" t="s">
        <v>1215</v>
      </c>
      <c r="AL333" s="20">
        <v>39035</v>
      </c>
      <c r="AM333" s="20" t="s">
        <v>24</v>
      </c>
      <c r="AN333" s="37">
        <f t="shared" si="41"/>
        <v>17410</v>
      </c>
      <c r="AO333" s="37" t="str">
        <f t="shared" si="42"/>
        <v>Cleveland, OH</v>
      </c>
      <c r="AP333" s="20" t="s">
        <v>8</v>
      </c>
      <c r="AQ333" s="25"/>
      <c r="AR333" s="25"/>
      <c r="AS333" s="25"/>
      <c r="AT333" s="25"/>
      <c r="AU333" s="36"/>
      <c r="AV333" s="36"/>
      <c r="AW333" s="36"/>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39">
        <v>44052</v>
      </c>
      <c r="BV333" s="39" t="s">
        <v>1173</v>
      </c>
      <c r="BW333" s="39" t="s">
        <v>2900</v>
      </c>
      <c r="BX333" s="39" t="s">
        <v>2852</v>
      </c>
      <c r="BY333" s="71">
        <v>830</v>
      </c>
      <c r="BZ333" s="71">
        <v>940</v>
      </c>
      <c r="CA333" s="71">
        <v>1140</v>
      </c>
      <c r="CB333" s="71">
        <v>1470</v>
      </c>
      <c r="CC333" s="71">
        <v>1570</v>
      </c>
      <c r="CD333" s="25"/>
      <c r="CE333" s="200"/>
      <c r="CF333" s="200"/>
      <c r="CG333" s="200"/>
      <c r="CH333" s="200"/>
      <c r="CI333" s="200"/>
      <c r="CJ333" s="200"/>
      <c r="CK333" s="200"/>
      <c r="CL333" s="200"/>
      <c r="CM333" s="200"/>
      <c r="CN333" s="200"/>
      <c r="CO333" s="200"/>
      <c r="CP333" s="200"/>
      <c r="CQ333" s="200"/>
      <c r="CR333" s="200"/>
      <c r="CS333" s="200"/>
      <c r="CT333" s="200"/>
      <c r="CU333" s="200"/>
    </row>
    <row r="334" spans="1:99" s="17" customFormat="1" x14ac:dyDescent="0.2">
      <c r="A334" s="25"/>
      <c r="B334" s="20">
        <v>39043041701</v>
      </c>
      <c r="C334" s="20">
        <v>417.01</v>
      </c>
      <c r="D334" s="20" t="s">
        <v>28</v>
      </c>
      <c r="E334" s="20" t="s">
        <v>2837</v>
      </c>
      <c r="F334" s="20" t="s">
        <v>8</v>
      </c>
      <c r="G334" s="861">
        <v>68.726057848309495</v>
      </c>
      <c r="H334" s="861">
        <v>56.503965461726999</v>
      </c>
      <c r="I334" s="861">
        <v>23.915571498889399</v>
      </c>
      <c r="J334" s="861">
        <v>50.6518732611828</v>
      </c>
      <c r="K334" s="982">
        <v>0</v>
      </c>
      <c r="L334" s="735" t="s">
        <v>2466</v>
      </c>
      <c r="M334" s="735">
        <v>3266</v>
      </c>
      <c r="N334" s="845" t="str">
        <f t="shared" si="38"/>
        <v/>
      </c>
      <c r="O334" s="735">
        <v>18.316811886831402</v>
      </c>
      <c r="P334" s="735">
        <f t="shared" si="39"/>
        <v>178.30613865440426</v>
      </c>
      <c r="Q334" s="849">
        <v>48.8</v>
      </c>
      <c r="R334" s="71">
        <v>77021</v>
      </c>
      <c r="S334" s="845">
        <v>0.18568784700801974</v>
      </c>
      <c r="T334" s="845">
        <v>0.01</v>
      </c>
      <c r="U334" s="845">
        <v>0</v>
      </c>
      <c r="V334" s="845">
        <v>0.24100000000000002</v>
      </c>
      <c r="W334" s="845">
        <v>0.12632375189107414</v>
      </c>
      <c r="X334" s="845">
        <v>0.55688622754491013</v>
      </c>
      <c r="Y334" s="845">
        <v>0.73300673606858546</v>
      </c>
      <c r="Z334" s="845">
        <v>1.4390691977954685E-2</v>
      </c>
      <c r="AA334" s="845">
        <v>3.061849357011635E-4</v>
      </c>
      <c r="AB334" s="845">
        <v>2.0208205756276791E-2</v>
      </c>
      <c r="AC334" s="845">
        <v>0</v>
      </c>
      <c r="AD334" s="845">
        <v>4.9908144519289648E-2</v>
      </c>
      <c r="AE334" s="845">
        <v>0.1821800367421923</v>
      </c>
      <c r="AF334" s="845">
        <v>7.7158603796693204E-2</v>
      </c>
      <c r="AG334" s="845">
        <v>0.72504592774035515</v>
      </c>
      <c r="AH334" s="20" t="str">
        <f t="shared" si="40"/>
        <v>No</v>
      </c>
      <c r="AI334" s="25"/>
      <c r="AJ334" s="20">
        <v>44113</v>
      </c>
      <c r="AK334" s="20" t="s">
        <v>1216</v>
      </c>
      <c r="AL334" s="20">
        <v>39035</v>
      </c>
      <c r="AM334" s="20" t="s">
        <v>24</v>
      </c>
      <c r="AN334" s="37">
        <f t="shared" si="41"/>
        <v>17410</v>
      </c>
      <c r="AO334" s="37" t="str">
        <f t="shared" si="42"/>
        <v>Cleveland, OH</v>
      </c>
      <c r="AP334" s="20" t="s">
        <v>8</v>
      </c>
      <c r="AQ334" s="25"/>
      <c r="AR334" s="25"/>
      <c r="AS334" s="25"/>
      <c r="AT334" s="25"/>
      <c r="AU334" s="36"/>
      <c r="AV334" s="36"/>
      <c r="AW334" s="36"/>
      <c r="AX334" s="25"/>
      <c r="AY334" s="25"/>
      <c r="AZ334" s="25"/>
      <c r="BA334" s="25"/>
      <c r="BB334" s="25"/>
      <c r="BC334" s="25"/>
      <c r="BD334" s="25"/>
      <c r="BE334" s="25"/>
      <c r="BF334" s="25"/>
      <c r="BG334" s="25"/>
      <c r="BH334" s="25"/>
      <c r="BI334" s="25"/>
      <c r="BJ334" s="25"/>
      <c r="BK334" s="25"/>
      <c r="BL334" s="25"/>
      <c r="BM334" s="25"/>
      <c r="BN334" s="25"/>
      <c r="BO334" s="25"/>
      <c r="BP334" s="25"/>
      <c r="BQ334" s="25"/>
      <c r="BR334" s="25"/>
      <c r="BS334" s="25"/>
      <c r="BT334" s="25"/>
      <c r="BU334" s="39">
        <v>44053</v>
      </c>
      <c r="BV334" s="39" t="s">
        <v>1174</v>
      </c>
      <c r="BW334" s="39" t="s">
        <v>2900</v>
      </c>
      <c r="BX334" s="39" t="s">
        <v>2852</v>
      </c>
      <c r="BY334" s="71">
        <v>790</v>
      </c>
      <c r="BZ334" s="71">
        <v>890</v>
      </c>
      <c r="CA334" s="71">
        <v>1080</v>
      </c>
      <c r="CB334" s="71">
        <v>1390</v>
      </c>
      <c r="CC334" s="71">
        <v>1490</v>
      </c>
      <c r="CD334" s="25"/>
      <c r="CE334" s="200"/>
      <c r="CF334" s="200"/>
      <c r="CG334" s="200"/>
      <c r="CH334" s="200"/>
      <c r="CI334" s="200"/>
      <c r="CJ334" s="200"/>
      <c r="CK334" s="200"/>
      <c r="CL334" s="200"/>
      <c r="CM334" s="200"/>
      <c r="CN334" s="200"/>
      <c r="CO334" s="200"/>
      <c r="CP334" s="200"/>
      <c r="CQ334" s="200"/>
      <c r="CR334" s="200"/>
      <c r="CS334" s="200"/>
      <c r="CT334" s="200"/>
      <c r="CU334" s="200"/>
    </row>
    <row r="335" spans="1:99" s="17" customFormat="1" x14ac:dyDescent="0.2">
      <c r="A335" s="25"/>
      <c r="B335" s="20">
        <v>39153531406</v>
      </c>
      <c r="C335" s="20">
        <v>5314.06</v>
      </c>
      <c r="D335" s="20" t="s">
        <v>82</v>
      </c>
      <c r="E335" s="20" t="s">
        <v>2843</v>
      </c>
      <c r="F335" s="20" t="s">
        <v>8</v>
      </c>
      <c r="G335" s="861">
        <v>68.695529258319894</v>
      </c>
      <c r="H335" s="861">
        <v>57.107815558742402</v>
      </c>
      <c r="I335" s="861">
        <v>36.968048254980701</v>
      </c>
      <c r="J335" s="861">
        <v>45.906500811166701</v>
      </c>
      <c r="K335" s="982">
        <v>0</v>
      </c>
      <c r="L335" s="735" t="s">
        <v>2466</v>
      </c>
      <c r="M335" s="735">
        <v>5175</v>
      </c>
      <c r="N335" s="845" t="str">
        <f t="shared" si="38"/>
        <v/>
      </c>
      <c r="O335" s="735">
        <v>4.5249072591302362</v>
      </c>
      <c r="P335" s="735">
        <f t="shared" si="39"/>
        <v>1143.6698486047474</v>
      </c>
      <c r="Q335" s="849">
        <v>43.3</v>
      </c>
      <c r="R335" s="71">
        <v>91899</v>
      </c>
      <c r="S335" s="845">
        <v>7.5530465252092657E-2</v>
      </c>
      <c r="T335" s="845">
        <v>1.7000000000000001E-2</v>
      </c>
      <c r="U335" s="845">
        <v>2E-3</v>
      </c>
      <c r="V335" s="845">
        <v>0</v>
      </c>
      <c r="W335" s="845">
        <v>0.33254828073480924</v>
      </c>
      <c r="X335" s="845">
        <v>0.43626062322946174</v>
      </c>
      <c r="Y335" s="845">
        <v>0.90879227053140099</v>
      </c>
      <c r="Z335" s="845">
        <v>1.7777777777777778E-2</v>
      </c>
      <c r="AA335" s="845">
        <v>0</v>
      </c>
      <c r="AB335" s="845">
        <v>3.207729468599034E-2</v>
      </c>
      <c r="AC335" s="845">
        <v>0</v>
      </c>
      <c r="AD335" s="845">
        <v>6.5700483091787436E-3</v>
      </c>
      <c r="AE335" s="845">
        <v>3.4782608695652174E-2</v>
      </c>
      <c r="AF335" s="845">
        <v>2.8792270531400967E-2</v>
      </c>
      <c r="AG335" s="845">
        <v>0.90318840579710147</v>
      </c>
      <c r="AH335" s="20" t="str">
        <f t="shared" si="40"/>
        <v>Yes</v>
      </c>
      <c r="AI335" s="25"/>
      <c r="AJ335" s="20">
        <v>44114</v>
      </c>
      <c r="AK335" s="20" t="s">
        <v>1217</v>
      </c>
      <c r="AL335" s="20">
        <v>39035</v>
      </c>
      <c r="AM335" s="20" t="s">
        <v>24</v>
      </c>
      <c r="AN335" s="37">
        <f t="shared" si="41"/>
        <v>17410</v>
      </c>
      <c r="AO335" s="37" t="str">
        <f t="shared" si="42"/>
        <v>Cleveland, OH</v>
      </c>
      <c r="AP335" s="20" t="s">
        <v>8</v>
      </c>
      <c r="AQ335" s="25"/>
      <c r="AR335" s="25"/>
      <c r="AS335" s="25"/>
      <c r="AT335" s="25"/>
      <c r="AU335" s="36"/>
      <c r="AV335" s="36"/>
      <c r="AW335" s="36"/>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39">
        <v>44054</v>
      </c>
      <c r="BV335" s="39" t="s">
        <v>1175</v>
      </c>
      <c r="BW335" s="39" t="s">
        <v>2900</v>
      </c>
      <c r="BX335" s="39" t="s">
        <v>2852</v>
      </c>
      <c r="BY335" s="71">
        <v>990</v>
      </c>
      <c r="BZ335" s="71">
        <v>1130</v>
      </c>
      <c r="CA335" s="71">
        <v>1360</v>
      </c>
      <c r="CB335" s="71">
        <v>1750</v>
      </c>
      <c r="CC335" s="71">
        <v>1870</v>
      </c>
      <c r="CD335" s="25"/>
      <c r="CE335" s="200"/>
      <c r="CF335" s="200"/>
      <c r="CG335" s="200"/>
      <c r="CH335" s="200"/>
      <c r="CI335" s="200"/>
      <c r="CJ335" s="200"/>
      <c r="CK335" s="200"/>
      <c r="CL335" s="200"/>
      <c r="CM335" s="200"/>
      <c r="CN335" s="200"/>
      <c r="CO335" s="200"/>
      <c r="CP335" s="200"/>
      <c r="CQ335" s="200"/>
      <c r="CR335" s="200"/>
      <c r="CS335" s="200"/>
      <c r="CT335" s="200"/>
      <c r="CU335" s="200"/>
    </row>
    <row r="336" spans="1:99" s="17" customFormat="1" x14ac:dyDescent="0.2">
      <c r="A336" s="25"/>
      <c r="B336" s="20">
        <v>39041011561</v>
      </c>
      <c r="C336" s="20">
        <v>115.61</v>
      </c>
      <c r="D336" s="20" t="s">
        <v>27</v>
      </c>
      <c r="E336" s="20" t="s">
        <v>2830</v>
      </c>
      <c r="F336" s="20" t="s">
        <v>8</v>
      </c>
      <c r="G336" s="861">
        <v>68.673802833685897</v>
      </c>
      <c r="H336" s="861">
        <v>79.888616779590905</v>
      </c>
      <c r="I336" s="861">
        <v>29.750397203755199</v>
      </c>
      <c r="J336" s="861">
        <v>48.724483543629397</v>
      </c>
      <c r="K336" s="982">
        <v>0</v>
      </c>
      <c r="L336" s="735">
        <v>4649</v>
      </c>
      <c r="M336" s="735">
        <v>7045</v>
      </c>
      <c r="N336" s="845">
        <f t="shared" si="38"/>
        <v>0.51537965153796517</v>
      </c>
      <c r="O336" s="735">
        <v>2.8023205867149716</v>
      </c>
      <c r="P336" s="735">
        <f t="shared" si="39"/>
        <v>2513.9878832558989</v>
      </c>
      <c r="Q336" s="849">
        <v>31.3</v>
      </c>
      <c r="R336" s="71">
        <v>106629</v>
      </c>
      <c r="S336" s="845">
        <v>9.2831795599716105E-2</v>
      </c>
      <c r="T336" s="845">
        <v>3.4000000000000002E-2</v>
      </c>
      <c r="U336" s="845">
        <v>0</v>
      </c>
      <c r="V336" s="845">
        <v>4.2000000000000003E-2</v>
      </c>
      <c r="W336" s="845">
        <v>0.49981474620229716</v>
      </c>
      <c r="X336" s="845">
        <v>0.38028169014084506</v>
      </c>
      <c r="Y336" s="845">
        <v>0.62696948190205815</v>
      </c>
      <c r="Z336" s="845">
        <v>0.13669268985095812</v>
      </c>
      <c r="AA336" s="845">
        <v>2.1291696238466998E-3</v>
      </c>
      <c r="AB336" s="845">
        <v>0.17927608232789213</v>
      </c>
      <c r="AC336" s="845">
        <v>0</v>
      </c>
      <c r="AD336" s="845">
        <v>1.9162526614620298E-2</v>
      </c>
      <c r="AE336" s="845">
        <v>3.5770049680624555E-2</v>
      </c>
      <c r="AF336" s="845">
        <v>2.1717530163236336E-2</v>
      </c>
      <c r="AG336" s="845">
        <v>0.61930447125621013</v>
      </c>
      <c r="AH336" s="20" t="str">
        <f t="shared" si="40"/>
        <v>No</v>
      </c>
      <c r="AI336" s="25"/>
      <c r="AJ336" s="37">
        <v>44115</v>
      </c>
      <c r="AK336" s="37" t="s">
        <v>1218</v>
      </c>
      <c r="AL336" s="37">
        <v>39035</v>
      </c>
      <c r="AM336" s="37" t="s">
        <v>24</v>
      </c>
      <c r="AN336" s="37">
        <f t="shared" si="41"/>
        <v>17410</v>
      </c>
      <c r="AO336" s="37" t="str">
        <f t="shared" si="42"/>
        <v>Cleveland, OH</v>
      </c>
      <c r="AP336" s="20" t="s">
        <v>8</v>
      </c>
      <c r="AQ336" s="25"/>
      <c r="AR336" s="25"/>
      <c r="AS336" s="25"/>
      <c r="AT336" s="25"/>
      <c r="AU336" s="36"/>
      <c r="AV336" s="36"/>
      <c r="AW336" s="36"/>
      <c r="AX336" s="25"/>
      <c r="AY336" s="25"/>
      <c r="AZ336" s="25"/>
      <c r="BA336" s="25"/>
      <c r="BB336" s="25"/>
      <c r="BC336" s="25"/>
      <c r="BD336" s="25"/>
      <c r="BE336" s="25"/>
      <c r="BF336" s="25"/>
      <c r="BG336" s="25"/>
      <c r="BH336" s="25"/>
      <c r="BI336" s="25"/>
      <c r="BJ336" s="25"/>
      <c r="BK336" s="25"/>
      <c r="BL336" s="25"/>
      <c r="BM336" s="25"/>
      <c r="BN336" s="25"/>
      <c r="BO336" s="25"/>
      <c r="BP336" s="25"/>
      <c r="BQ336" s="25"/>
      <c r="BR336" s="25"/>
      <c r="BS336" s="25"/>
      <c r="BT336" s="25"/>
      <c r="BU336" s="39">
        <v>44055</v>
      </c>
      <c r="BV336" s="39" t="s">
        <v>1176</v>
      </c>
      <c r="BW336" s="39" t="s">
        <v>2900</v>
      </c>
      <c r="BX336" s="39" t="s">
        <v>2852</v>
      </c>
      <c r="BY336" s="71">
        <v>820</v>
      </c>
      <c r="BZ336" s="71">
        <v>940</v>
      </c>
      <c r="CA336" s="71">
        <v>1130</v>
      </c>
      <c r="CB336" s="71">
        <v>1450</v>
      </c>
      <c r="CC336" s="71">
        <v>1550</v>
      </c>
      <c r="CD336" s="25"/>
      <c r="CE336" s="200"/>
      <c r="CF336" s="200"/>
      <c r="CG336" s="200"/>
      <c r="CH336" s="200"/>
      <c r="CI336" s="200"/>
      <c r="CJ336" s="200"/>
      <c r="CK336" s="200"/>
      <c r="CL336" s="200"/>
      <c r="CM336" s="200"/>
      <c r="CN336" s="200"/>
      <c r="CO336" s="200"/>
      <c r="CP336" s="200"/>
      <c r="CQ336" s="200"/>
      <c r="CR336" s="200"/>
      <c r="CS336" s="200"/>
      <c r="CT336" s="200"/>
      <c r="CU336" s="200"/>
    </row>
    <row r="337" spans="1:99" s="17" customFormat="1" x14ac:dyDescent="0.2">
      <c r="A337" s="25"/>
      <c r="B337" s="20">
        <v>39049005610</v>
      </c>
      <c r="C337" s="20">
        <v>56.1</v>
      </c>
      <c r="D337" s="20" t="s">
        <v>31</v>
      </c>
      <c r="E337" s="20" t="s">
        <v>2830</v>
      </c>
      <c r="F337" s="20" t="s">
        <v>8</v>
      </c>
      <c r="G337" s="861">
        <v>68.650035554230996</v>
      </c>
      <c r="H337" s="861">
        <v>89.677555320439794</v>
      </c>
      <c r="I337" s="861">
        <v>57.033665788896997</v>
      </c>
      <c r="J337" s="861">
        <v>60.670404834862502</v>
      </c>
      <c r="K337" s="982">
        <v>0</v>
      </c>
      <c r="L337" s="735">
        <v>1833</v>
      </c>
      <c r="M337" s="735">
        <v>1694</v>
      </c>
      <c r="N337" s="845">
        <f t="shared" si="38"/>
        <v>-7.5831969448990719E-2</v>
      </c>
      <c r="O337" s="735">
        <v>0.24407216294131945</v>
      </c>
      <c r="P337" s="735">
        <f t="shared" si="39"/>
        <v>6940.5702788288745</v>
      </c>
      <c r="Q337" s="849">
        <v>32.299999999999997</v>
      </c>
      <c r="R337" s="71">
        <v>68099</v>
      </c>
      <c r="S337" s="845">
        <v>0.10153482880755609</v>
      </c>
      <c r="T337" s="845">
        <v>3.9E-2</v>
      </c>
      <c r="U337" s="845">
        <v>0</v>
      </c>
      <c r="V337" s="845">
        <v>6.0999999999999999E-2</v>
      </c>
      <c r="W337" s="845">
        <v>0.54379084967320257</v>
      </c>
      <c r="X337" s="845">
        <v>0.47115384615384615</v>
      </c>
      <c r="Y337" s="845">
        <v>0.46340023612750886</v>
      </c>
      <c r="Z337" s="845">
        <v>0.4049586776859504</v>
      </c>
      <c r="AA337" s="845">
        <v>3.5419126328217238E-3</v>
      </c>
      <c r="AB337" s="845">
        <v>2.9515938606847699E-2</v>
      </c>
      <c r="AC337" s="845">
        <v>0</v>
      </c>
      <c r="AD337" s="845">
        <v>0</v>
      </c>
      <c r="AE337" s="845">
        <v>9.8583234946871309E-2</v>
      </c>
      <c r="AF337" s="845">
        <v>2.8925619834710745E-2</v>
      </c>
      <c r="AG337" s="845">
        <v>0.46340023612750886</v>
      </c>
      <c r="AH337" s="20" t="str">
        <f t="shared" si="40"/>
        <v>No</v>
      </c>
      <c r="AI337" s="25"/>
      <c r="AJ337" s="37">
        <v>44116</v>
      </c>
      <c r="AK337" s="37" t="s">
        <v>1219</v>
      </c>
      <c r="AL337" s="37">
        <v>39035</v>
      </c>
      <c r="AM337" s="37" t="s">
        <v>24</v>
      </c>
      <c r="AN337" s="37">
        <f t="shared" si="41"/>
        <v>17410</v>
      </c>
      <c r="AO337" s="37" t="str">
        <f t="shared" si="42"/>
        <v>Cleveland, OH</v>
      </c>
      <c r="AP337" s="20" t="s">
        <v>8</v>
      </c>
      <c r="AQ337" s="25"/>
      <c r="AR337" s="25"/>
      <c r="AS337" s="25"/>
      <c r="AT337" s="25"/>
      <c r="AU337" s="36"/>
      <c r="AV337" s="36"/>
      <c r="AW337" s="36"/>
      <c r="AX337" s="25"/>
      <c r="AY337" s="25"/>
      <c r="AZ337" s="25"/>
      <c r="BA337" s="25"/>
      <c r="BB337" s="25"/>
      <c r="BC337" s="25"/>
      <c r="BD337" s="25"/>
      <c r="BE337" s="25"/>
      <c r="BF337" s="25"/>
      <c r="BG337" s="25"/>
      <c r="BH337" s="25"/>
      <c r="BI337" s="25"/>
      <c r="BJ337" s="25"/>
      <c r="BK337" s="25"/>
      <c r="BL337" s="25"/>
      <c r="BM337" s="25"/>
      <c r="BN337" s="25"/>
      <c r="BO337" s="25"/>
      <c r="BP337" s="25"/>
      <c r="BQ337" s="25"/>
      <c r="BR337" s="25"/>
      <c r="BS337" s="25"/>
      <c r="BT337" s="25"/>
      <c r="BU337" s="39">
        <v>44057</v>
      </c>
      <c r="BV337" s="39" t="s">
        <v>1178</v>
      </c>
      <c r="BW337" s="39" t="s">
        <v>2900</v>
      </c>
      <c r="BX337" s="39" t="s">
        <v>2852</v>
      </c>
      <c r="BY337" s="71">
        <v>970</v>
      </c>
      <c r="BZ337" s="71">
        <v>1100</v>
      </c>
      <c r="CA337" s="71">
        <v>1330</v>
      </c>
      <c r="CB337" s="71">
        <v>1710</v>
      </c>
      <c r="CC337" s="71">
        <v>1830</v>
      </c>
      <c r="CD337" s="25"/>
      <c r="CE337" s="200"/>
      <c r="CF337" s="200"/>
      <c r="CG337" s="200"/>
      <c r="CH337" s="200"/>
      <c r="CI337" s="200"/>
      <c r="CJ337" s="200"/>
      <c r="CK337" s="200"/>
      <c r="CL337" s="200"/>
      <c r="CM337" s="200"/>
      <c r="CN337" s="200"/>
      <c r="CO337" s="200"/>
      <c r="CP337" s="200"/>
      <c r="CQ337" s="200"/>
      <c r="CR337" s="200"/>
      <c r="CS337" s="200"/>
      <c r="CT337" s="200"/>
      <c r="CU337" s="200"/>
    </row>
    <row r="338" spans="1:99" s="17" customFormat="1" x14ac:dyDescent="0.2">
      <c r="A338" s="25"/>
      <c r="B338" s="20">
        <v>39061026600</v>
      </c>
      <c r="C338" s="20">
        <v>266</v>
      </c>
      <c r="D338" s="20" t="s">
        <v>37</v>
      </c>
      <c r="E338" s="20" t="s">
        <v>2828</v>
      </c>
      <c r="F338" s="20" t="s">
        <v>8</v>
      </c>
      <c r="G338" s="861">
        <v>68.634751887663896</v>
      </c>
      <c r="H338" s="861">
        <v>75.362830879198398</v>
      </c>
      <c r="I338" s="861">
        <v>44.758109887979401</v>
      </c>
      <c r="J338" s="861">
        <v>43.431820673083998</v>
      </c>
      <c r="K338" s="982">
        <v>0</v>
      </c>
      <c r="L338" s="735">
        <v>1465</v>
      </c>
      <c r="M338" s="735">
        <v>1306</v>
      </c>
      <c r="N338" s="845">
        <f t="shared" si="38"/>
        <v>-0.10853242320819112</v>
      </c>
      <c r="O338" s="735">
        <v>1.0006601922199558</v>
      </c>
      <c r="P338" s="735">
        <f t="shared" si="39"/>
        <v>1305.1383578102077</v>
      </c>
      <c r="Q338" s="849">
        <v>44</v>
      </c>
      <c r="R338" s="71">
        <v>76875</v>
      </c>
      <c r="S338" s="845">
        <v>8.4992343032159259E-2</v>
      </c>
      <c r="T338" s="845">
        <v>5.2999999999999999E-2</v>
      </c>
      <c r="U338" s="845">
        <v>0</v>
      </c>
      <c r="V338" s="845">
        <v>3.6000000000000004E-2</v>
      </c>
      <c r="W338" s="845">
        <v>0.43465491923641703</v>
      </c>
      <c r="X338" s="845">
        <v>0.25</v>
      </c>
      <c r="Y338" s="845">
        <v>0.80015313935681465</v>
      </c>
      <c r="Z338" s="845">
        <v>7.656967840735069E-3</v>
      </c>
      <c r="AA338" s="845">
        <v>0</v>
      </c>
      <c r="AB338" s="845">
        <v>2.1439509954058193E-2</v>
      </c>
      <c r="AC338" s="845">
        <v>0</v>
      </c>
      <c r="AD338" s="845">
        <v>3.5222052067381319E-2</v>
      </c>
      <c r="AE338" s="845">
        <v>0.13552833078101073</v>
      </c>
      <c r="AF338" s="845">
        <v>3.3690658499234305E-2</v>
      </c>
      <c r="AG338" s="845">
        <v>0.79938744257274119</v>
      </c>
      <c r="AH338" s="20" t="str">
        <f t="shared" si="40"/>
        <v>No</v>
      </c>
      <c r="AI338" s="25"/>
      <c r="AJ338" s="20">
        <v>44117</v>
      </c>
      <c r="AK338" s="20" t="s">
        <v>1220</v>
      </c>
      <c r="AL338" s="20">
        <v>39035</v>
      </c>
      <c r="AM338" s="20" t="s">
        <v>24</v>
      </c>
      <c r="AN338" s="37">
        <f t="shared" si="41"/>
        <v>17410</v>
      </c>
      <c r="AO338" s="37" t="str">
        <f t="shared" si="42"/>
        <v>Cleveland, OH</v>
      </c>
      <c r="AP338" s="20" t="s">
        <v>8</v>
      </c>
      <c r="AQ338" s="25"/>
      <c r="AR338" s="25"/>
      <c r="AS338" s="25"/>
      <c r="AT338" s="25"/>
      <c r="AU338" s="36"/>
      <c r="AV338" s="36"/>
      <c r="AW338" s="36"/>
      <c r="AX338" s="25"/>
      <c r="AY338" s="25"/>
      <c r="AZ338" s="25"/>
      <c r="BA338" s="25"/>
      <c r="BB338" s="25"/>
      <c r="BC338" s="25"/>
      <c r="BD338" s="25"/>
      <c r="BE338" s="25"/>
      <c r="BF338" s="25"/>
      <c r="BG338" s="25"/>
      <c r="BH338" s="25"/>
      <c r="BI338" s="25"/>
      <c r="BJ338" s="25"/>
      <c r="BK338" s="25"/>
      <c r="BL338" s="25"/>
      <c r="BM338" s="25"/>
      <c r="BN338" s="25"/>
      <c r="BO338" s="25"/>
      <c r="BP338" s="25"/>
      <c r="BQ338" s="25"/>
      <c r="BR338" s="25"/>
      <c r="BS338" s="25"/>
      <c r="BT338" s="25"/>
      <c r="BU338" s="39">
        <v>44060</v>
      </c>
      <c r="BV338" s="39" t="s">
        <v>1179</v>
      </c>
      <c r="BW338" s="39" t="s">
        <v>2900</v>
      </c>
      <c r="BX338" s="39" t="s">
        <v>2852</v>
      </c>
      <c r="BY338" s="71">
        <v>1050</v>
      </c>
      <c r="BZ338" s="71">
        <v>1190</v>
      </c>
      <c r="CA338" s="71">
        <v>1440</v>
      </c>
      <c r="CB338" s="71">
        <v>1850</v>
      </c>
      <c r="CC338" s="71">
        <v>1980</v>
      </c>
      <c r="CD338" s="25"/>
      <c r="CE338" s="200"/>
      <c r="CF338" s="200"/>
      <c r="CG338" s="200"/>
      <c r="CH338" s="200"/>
      <c r="CI338" s="200"/>
      <c r="CJ338" s="200"/>
      <c r="CK338" s="200"/>
      <c r="CL338" s="200"/>
      <c r="CM338" s="200"/>
      <c r="CN338" s="200"/>
      <c r="CO338" s="200"/>
      <c r="CP338" s="200"/>
      <c r="CQ338" s="200"/>
      <c r="CR338" s="200"/>
      <c r="CS338" s="200"/>
      <c r="CT338" s="200"/>
      <c r="CU338" s="200"/>
    </row>
    <row r="339" spans="1:99" s="17" customFormat="1" x14ac:dyDescent="0.2">
      <c r="A339" s="25"/>
      <c r="B339" s="20">
        <v>39095008304</v>
      </c>
      <c r="C339" s="20">
        <v>83.04</v>
      </c>
      <c r="D339" s="20" t="s">
        <v>53</v>
      </c>
      <c r="E339" s="20" t="s">
        <v>2839</v>
      </c>
      <c r="F339" s="20" t="s">
        <v>8</v>
      </c>
      <c r="G339" s="861">
        <v>68.403693499666701</v>
      </c>
      <c r="H339" s="861">
        <v>62.946320023309703</v>
      </c>
      <c r="I339" s="861">
        <v>38.695302651641803</v>
      </c>
      <c r="J339" s="861">
        <v>43.441819349293702</v>
      </c>
      <c r="K339" s="982">
        <v>0</v>
      </c>
      <c r="L339" s="735" t="s">
        <v>2466</v>
      </c>
      <c r="M339" s="735">
        <v>2823</v>
      </c>
      <c r="N339" s="845" t="str">
        <f t="shared" si="38"/>
        <v/>
      </c>
      <c r="O339" s="735">
        <v>1.87739201628999</v>
      </c>
      <c r="P339" s="735">
        <f t="shared" si="39"/>
        <v>1503.6816900812619</v>
      </c>
      <c r="Q339" s="849">
        <v>38.5</v>
      </c>
      <c r="R339" s="71">
        <v>94664</v>
      </c>
      <c r="S339" s="845">
        <v>0.10329670329670329</v>
      </c>
      <c r="T339" s="845">
        <v>2.7999999999999997E-2</v>
      </c>
      <c r="U339" s="845">
        <v>3.6000000000000004E-2</v>
      </c>
      <c r="V339" s="845">
        <v>5.9000000000000004E-2</v>
      </c>
      <c r="W339" s="845">
        <v>0.5514345696291113</v>
      </c>
      <c r="X339" s="845">
        <v>0.36802030456852791</v>
      </c>
      <c r="Y339" s="845">
        <v>0.79702444208289058</v>
      </c>
      <c r="Z339" s="845">
        <v>7.7577045696068006E-2</v>
      </c>
      <c r="AA339" s="845">
        <v>0</v>
      </c>
      <c r="AB339" s="845">
        <v>6.1636556854410204E-2</v>
      </c>
      <c r="AC339" s="845">
        <v>0</v>
      </c>
      <c r="AD339" s="845">
        <v>0</v>
      </c>
      <c r="AE339" s="845">
        <v>6.3761955366631248E-2</v>
      </c>
      <c r="AF339" s="845">
        <v>3.5423308537017358E-3</v>
      </c>
      <c r="AG339" s="845">
        <v>0.79702444208289058</v>
      </c>
      <c r="AH339" s="20" t="str">
        <f t="shared" si="40"/>
        <v>No</v>
      </c>
      <c r="AI339" s="25"/>
      <c r="AJ339" s="20">
        <v>44118</v>
      </c>
      <c r="AK339" s="20" t="s">
        <v>1221</v>
      </c>
      <c r="AL339" s="20">
        <v>39035</v>
      </c>
      <c r="AM339" s="20" t="s">
        <v>24</v>
      </c>
      <c r="AN339" s="37">
        <f t="shared" si="41"/>
        <v>17410</v>
      </c>
      <c r="AO339" s="37" t="str">
        <f t="shared" si="42"/>
        <v>Cleveland, OH</v>
      </c>
      <c r="AP339" s="20" t="s">
        <v>8</v>
      </c>
      <c r="AQ339" s="25"/>
      <c r="AR339" s="25"/>
      <c r="AS339" s="25"/>
      <c r="AT339" s="25"/>
      <c r="AU339" s="36"/>
      <c r="AV339" s="36"/>
      <c r="AW339" s="36"/>
      <c r="AX339" s="25"/>
      <c r="AY339" s="25"/>
      <c r="AZ339" s="25"/>
      <c r="BA339" s="25"/>
      <c r="BB339" s="25"/>
      <c r="BC339" s="25"/>
      <c r="BD339" s="25"/>
      <c r="BE339" s="25"/>
      <c r="BF339" s="25"/>
      <c r="BG339" s="25"/>
      <c r="BH339" s="25"/>
      <c r="BI339" s="25"/>
      <c r="BJ339" s="25"/>
      <c r="BK339" s="25"/>
      <c r="BL339" s="25"/>
      <c r="BM339" s="25"/>
      <c r="BN339" s="25"/>
      <c r="BO339" s="25"/>
      <c r="BP339" s="25"/>
      <c r="BQ339" s="25"/>
      <c r="BR339" s="25"/>
      <c r="BS339" s="25"/>
      <c r="BT339" s="25"/>
      <c r="BU339" s="39">
        <v>44062</v>
      </c>
      <c r="BV339" s="39" t="s">
        <v>1180</v>
      </c>
      <c r="BW339" s="39" t="s">
        <v>2900</v>
      </c>
      <c r="BX339" s="39" t="s">
        <v>2852</v>
      </c>
      <c r="BY339" s="71">
        <v>770</v>
      </c>
      <c r="BZ339" s="71">
        <v>860</v>
      </c>
      <c r="CA339" s="71">
        <v>1050</v>
      </c>
      <c r="CB339" s="71">
        <v>1350</v>
      </c>
      <c r="CC339" s="71">
        <v>1450</v>
      </c>
      <c r="CD339" s="25"/>
      <c r="CE339" s="200"/>
      <c r="CF339" s="200"/>
      <c r="CG339" s="200"/>
      <c r="CH339" s="200"/>
      <c r="CI339" s="200"/>
      <c r="CJ339" s="200"/>
      <c r="CK339" s="200"/>
      <c r="CL339" s="200"/>
      <c r="CM339" s="200"/>
      <c r="CN339" s="200"/>
      <c r="CO339" s="200"/>
      <c r="CP339" s="200"/>
      <c r="CQ339" s="200"/>
      <c r="CR339" s="200"/>
      <c r="CS339" s="200"/>
      <c r="CT339" s="200"/>
      <c r="CU339" s="200"/>
    </row>
    <row r="340" spans="1:99" s="17" customFormat="1" x14ac:dyDescent="0.2">
      <c r="A340" s="25"/>
      <c r="B340" s="20">
        <v>39103417002</v>
      </c>
      <c r="C340" s="20">
        <v>4170.0200000000004</v>
      </c>
      <c r="D340" s="20" t="s">
        <v>57</v>
      </c>
      <c r="E340" s="20" t="s">
        <v>2829</v>
      </c>
      <c r="F340" s="20" t="s">
        <v>8</v>
      </c>
      <c r="G340" s="861">
        <v>68.402456738983702</v>
      </c>
      <c r="H340" s="861">
        <v>54.907811241345499</v>
      </c>
      <c r="I340" s="861">
        <v>28.5515751287199</v>
      </c>
      <c r="J340" s="861">
        <v>47.428209734866101</v>
      </c>
      <c r="K340" s="982">
        <v>0</v>
      </c>
      <c r="L340" s="735" t="s">
        <v>2466</v>
      </c>
      <c r="M340" s="735">
        <v>4552</v>
      </c>
      <c r="N340" s="845" t="str">
        <f t="shared" si="38"/>
        <v/>
      </c>
      <c r="O340" s="735">
        <v>5.3979811513497644</v>
      </c>
      <c r="P340" s="735">
        <f t="shared" si="39"/>
        <v>843.27823168885516</v>
      </c>
      <c r="Q340" s="849">
        <v>43.9</v>
      </c>
      <c r="R340" s="71">
        <v>82708</v>
      </c>
      <c r="S340" s="845">
        <v>5.1304929734552758E-2</v>
      </c>
      <c r="T340" s="845">
        <v>5.0000000000000001E-3</v>
      </c>
      <c r="U340" s="845">
        <v>0</v>
      </c>
      <c r="V340" s="845">
        <v>1.9E-2</v>
      </c>
      <c r="W340" s="845">
        <v>0.37949209391471012</v>
      </c>
      <c r="X340" s="845">
        <v>0.49116161616161619</v>
      </c>
      <c r="Y340" s="845">
        <v>0.95847978910369069</v>
      </c>
      <c r="Z340" s="845">
        <v>0</v>
      </c>
      <c r="AA340" s="845">
        <v>0</v>
      </c>
      <c r="AB340" s="845">
        <v>1.4499121265377855E-2</v>
      </c>
      <c r="AC340" s="845">
        <v>0</v>
      </c>
      <c r="AD340" s="845">
        <v>0</v>
      </c>
      <c r="AE340" s="845">
        <v>2.7021089630931458E-2</v>
      </c>
      <c r="AF340" s="845">
        <v>1.7794376098418278E-2</v>
      </c>
      <c r="AG340" s="845">
        <v>0.95847978910369069</v>
      </c>
      <c r="AH340" s="20" t="str">
        <f t="shared" si="40"/>
        <v>Yes</v>
      </c>
      <c r="AI340" s="25"/>
      <c r="AJ340" s="20">
        <v>44119</v>
      </c>
      <c r="AK340" s="20" t="s">
        <v>1222</v>
      </c>
      <c r="AL340" s="20">
        <v>39035</v>
      </c>
      <c r="AM340" s="20" t="s">
        <v>24</v>
      </c>
      <c r="AN340" s="37">
        <f t="shared" si="41"/>
        <v>17410</v>
      </c>
      <c r="AO340" s="37" t="str">
        <f t="shared" si="42"/>
        <v>Cleveland, OH</v>
      </c>
      <c r="AP340" s="20" t="s">
        <v>8</v>
      </c>
      <c r="AQ340" s="25"/>
      <c r="AR340" s="25"/>
      <c r="AS340" s="25"/>
      <c r="AT340" s="25"/>
      <c r="AU340" s="36"/>
      <c r="AV340" s="36"/>
      <c r="AW340" s="36"/>
      <c r="AX340" s="25"/>
      <c r="AY340" s="25"/>
      <c r="AZ340" s="25"/>
      <c r="BA340" s="25"/>
      <c r="BB340" s="25"/>
      <c r="BC340" s="25"/>
      <c r="BD340" s="25"/>
      <c r="BE340" s="25"/>
      <c r="BF340" s="25"/>
      <c r="BG340" s="25"/>
      <c r="BH340" s="25"/>
      <c r="BI340" s="25"/>
      <c r="BJ340" s="25"/>
      <c r="BK340" s="25"/>
      <c r="BL340" s="25"/>
      <c r="BM340" s="25"/>
      <c r="BN340" s="25"/>
      <c r="BO340" s="25"/>
      <c r="BP340" s="25"/>
      <c r="BQ340" s="25"/>
      <c r="BR340" s="25"/>
      <c r="BS340" s="25"/>
      <c r="BT340" s="25"/>
      <c r="BU340" s="39">
        <v>44064</v>
      </c>
      <c r="BV340" s="39" t="s">
        <v>1181</v>
      </c>
      <c r="BW340" s="39" t="s">
        <v>2900</v>
      </c>
      <c r="BX340" s="39" t="s">
        <v>2852</v>
      </c>
      <c r="BY340" s="71">
        <v>990</v>
      </c>
      <c r="BZ340" s="71">
        <v>1120</v>
      </c>
      <c r="CA340" s="71">
        <v>1350</v>
      </c>
      <c r="CB340" s="71">
        <v>1740</v>
      </c>
      <c r="CC340" s="71">
        <v>1860</v>
      </c>
      <c r="CD340" s="25"/>
      <c r="CE340" s="200"/>
      <c r="CF340" s="200"/>
      <c r="CG340" s="200"/>
      <c r="CH340" s="200"/>
      <c r="CI340" s="200"/>
      <c r="CJ340" s="200"/>
      <c r="CK340" s="200"/>
      <c r="CL340" s="200"/>
      <c r="CM340" s="200"/>
      <c r="CN340" s="200"/>
      <c r="CO340" s="200"/>
      <c r="CP340" s="200"/>
      <c r="CQ340" s="200"/>
      <c r="CR340" s="200"/>
      <c r="CS340" s="200"/>
      <c r="CT340" s="200"/>
      <c r="CU340" s="200"/>
    </row>
    <row r="341" spans="1:99" s="17" customFormat="1" x14ac:dyDescent="0.2">
      <c r="A341" s="25"/>
      <c r="B341" s="20">
        <v>39035141100</v>
      </c>
      <c r="C341" s="20">
        <v>1411</v>
      </c>
      <c r="D341" s="20" t="s">
        <v>24</v>
      </c>
      <c r="E341" s="20" t="s">
        <v>2829</v>
      </c>
      <c r="F341" s="20" t="s">
        <v>8</v>
      </c>
      <c r="G341" s="861">
        <v>68.389229762304296</v>
      </c>
      <c r="H341" s="861">
        <v>72.817526479151098</v>
      </c>
      <c r="I341" s="861">
        <v>41.585147293739396</v>
      </c>
      <c r="J341" s="861">
        <v>43.6358690889165</v>
      </c>
      <c r="K341" s="982">
        <v>0</v>
      </c>
      <c r="L341" s="735">
        <v>4267</v>
      </c>
      <c r="M341" s="735">
        <v>3516</v>
      </c>
      <c r="N341" s="845">
        <f t="shared" si="38"/>
        <v>-0.17600187485352706</v>
      </c>
      <c r="O341" s="735">
        <v>0.41079377773668624</v>
      </c>
      <c r="P341" s="735">
        <f t="shared" si="39"/>
        <v>8559.039086160923</v>
      </c>
      <c r="Q341" s="849">
        <v>34.1</v>
      </c>
      <c r="R341" s="71">
        <v>54630</v>
      </c>
      <c r="S341" s="845">
        <v>0.1496018202502844</v>
      </c>
      <c r="T341" s="845">
        <v>5.5E-2</v>
      </c>
      <c r="U341" s="845">
        <v>0.17899999999999999</v>
      </c>
      <c r="V341" s="845">
        <v>0.04</v>
      </c>
      <c r="W341" s="845">
        <v>0.75613959500215422</v>
      </c>
      <c r="X341" s="845">
        <v>0.36866096866096865</v>
      </c>
      <c r="Y341" s="845">
        <v>0.61177474402730381</v>
      </c>
      <c r="Z341" s="845">
        <v>0.15841865756541523</v>
      </c>
      <c r="AA341" s="845">
        <v>8.2480091012514228E-3</v>
      </c>
      <c r="AB341" s="845">
        <v>0.16353811149032993</v>
      </c>
      <c r="AC341" s="845">
        <v>0</v>
      </c>
      <c r="AD341" s="845">
        <v>1.7918088737201365E-2</v>
      </c>
      <c r="AE341" s="845">
        <v>4.0102389078498293E-2</v>
      </c>
      <c r="AF341" s="845">
        <v>2.6734926052332197E-2</v>
      </c>
      <c r="AG341" s="845">
        <v>0.60580204778156999</v>
      </c>
      <c r="AH341" s="20" t="str">
        <f t="shared" si="40"/>
        <v>No</v>
      </c>
      <c r="AI341" s="25"/>
      <c r="AJ341" s="37">
        <v>44120</v>
      </c>
      <c r="AK341" s="37" t="s">
        <v>1223</v>
      </c>
      <c r="AL341" s="37">
        <v>39035</v>
      </c>
      <c r="AM341" s="37" t="s">
        <v>24</v>
      </c>
      <c r="AN341" s="37">
        <f t="shared" si="41"/>
        <v>17410</v>
      </c>
      <c r="AO341" s="37" t="str">
        <f t="shared" si="42"/>
        <v>Cleveland, OH</v>
      </c>
      <c r="AP341" s="20" t="s">
        <v>8</v>
      </c>
      <c r="AQ341" s="25"/>
      <c r="AR341" s="25"/>
      <c r="AS341" s="25"/>
      <c r="AT341" s="25"/>
      <c r="AU341" s="36"/>
      <c r="AV341" s="36"/>
      <c r="AW341" s="36"/>
      <c r="AX341" s="25"/>
      <c r="AY341" s="25"/>
      <c r="AZ341" s="25"/>
      <c r="BA341" s="25"/>
      <c r="BB341" s="25"/>
      <c r="BC341" s="25"/>
      <c r="BD341" s="25"/>
      <c r="BE341" s="25"/>
      <c r="BF341" s="25"/>
      <c r="BG341" s="25"/>
      <c r="BH341" s="25"/>
      <c r="BI341" s="25"/>
      <c r="BJ341" s="25"/>
      <c r="BK341" s="25"/>
      <c r="BL341" s="25"/>
      <c r="BM341" s="25"/>
      <c r="BN341" s="25"/>
      <c r="BO341" s="25"/>
      <c r="BP341" s="25"/>
      <c r="BQ341" s="25"/>
      <c r="BR341" s="25"/>
      <c r="BS341" s="25"/>
      <c r="BT341" s="25"/>
      <c r="BU341" s="39">
        <v>44065</v>
      </c>
      <c r="BV341" s="39" t="s">
        <v>1182</v>
      </c>
      <c r="BW341" s="39" t="s">
        <v>2900</v>
      </c>
      <c r="BX341" s="39" t="s">
        <v>2852</v>
      </c>
      <c r="BY341" s="71">
        <v>800</v>
      </c>
      <c r="BZ341" s="71">
        <v>900</v>
      </c>
      <c r="CA341" s="71">
        <v>1090</v>
      </c>
      <c r="CB341" s="71">
        <v>1400</v>
      </c>
      <c r="CC341" s="71">
        <v>1500</v>
      </c>
      <c r="CD341" s="25"/>
      <c r="CE341" s="200"/>
      <c r="CF341" s="200"/>
      <c r="CG341" s="200"/>
      <c r="CH341" s="200"/>
      <c r="CI341" s="200"/>
      <c r="CJ341" s="200"/>
      <c r="CK341" s="200"/>
      <c r="CL341" s="200"/>
      <c r="CM341" s="200"/>
      <c r="CN341" s="200"/>
      <c r="CO341" s="200"/>
      <c r="CP341" s="200"/>
      <c r="CQ341" s="200"/>
      <c r="CR341" s="200"/>
      <c r="CS341" s="200"/>
      <c r="CT341" s="200"/>
      <c r="CU341" s="200"/>
    </row>
    <row r="342" spans="1:99" s="17" customFormat="1" x14ac:dyDescent="0.2">
      <c r="A342" s="25"/>
      <c r="B342" s="20">
        <v>39061024904</v>
      </c>
      <c r="C342" s="20">
        <v>249.04</v>
      </c>
      <c r="D342" s="20" t="s">
        <v>37</v>
      </c>
      <c r="E342" s="20" t="s">
        <v>2828</v>
      </c>
      <c r="F342" s="20" t="s">
        <v>8</v>
      </c>
      <c r="G342" s="861">
        <v>68.300861107517306</v>
      </c>
      <c r="H342" s="861">
        <v>68.333667513478801</v>
      </c>
      <c r="I342" s="861">
        <v>28.3457566043319</v>
      </c>
      <c r="J342" s="861">
        <v>36.071382592564703</v>
      </c>
      <c r="K342" s="982">
        <v>0</v>
      </c>
      <c r="L342" s="735" t="s">
        <v>2466</v>
      </c>
      <c r="M342" s="735">
        <v>3481</v>
      </c>
      <c r="N342" s="845" t="str">
        <f t="shared" si="38"/>
        <v/>
      </c>
      <c r="O342" s="735">
        <v>2.7418056370922876</v>
      </c>
      <c r="P342" s="735">
        <f t="shared" si="39"/>
        <v>1269.6012995624428</v>
      </c>
      <c r="Q342" s="849">
        <v>40.799999999999997</v>
      </c>
      <c r="R342" s="71">
        <v>125173</v>
      </c>
      <c r="S342" s="845">
        <v>1.5729682493445966E-2</v>
      </c>
      <c r="T342" s="845">
        <v>2.7000000000000003E-2</v>
      </c>
      <c r="U342" s="845">
        <v>0</v>
      </c>
      <c r="V342" s="845">
        <v>5.5999999999999994E-2</v>
      </c>
      <c r="W342" s="845">
        <v>0.20133234641006661</v>
      </c>
      <c r="X342" s="845">
        <v>0.19485294117647059</v>
      </c>
      <c r="Y342" s="845">
        <v>0.89112324044814706</v>
      </c>
      <c r="Z342" s="845">
        <v>3.1025567365699513E-2</v>
      </c>
      <c r="AA342" s="845">
        <v>0</v>
      </c>
      <c r="AB342" s="845">
        <v>1.8672795173800633E-2</v>
      </c>
      <c r="AC342" s="845">
        <v>0</v>
      </c>
      <c r="AD342" s="845">
        <v>2.0683711577133009E-2</v>
      </c>
      <c r="AE342" s="845">
        <v>3.8494685435219764E-2</v>
      </c>
      <c r="AF342" s="845">
        <v>1.5512783682849756E-2</v>
      </c>
      <c r="AG342" s="845">
        <v>0.88968687158862392</v>
      </c>
      <c r="AH342" s="20" t="str">
        <f t="shared" si="40"/>
        <v>No</v>
      </c>
      <c r="AI342" s="25"/>
      <c r="AJ342" s="20">
        <v>44121</v>
      </c>
      <c r="AK342" s="20" t="s">
        <v>1224</v>
      </c>
      <c r="AL342" s="20">
        <v>39035</v>
      </c>
      <c r="AM342" s="20" t="s">
        <v>24</v>
      </c>
      <c r="AN342" s="37">
        <f t="shared" si="41"/>
        <v>17410</v>
      </c>
      <c r="AO342" s="37" t="str">
        <f t="shared" si="42"/>
        <v>Cleveland, OH</v>
      </c>
      <c r="AP342" s="20" t="s">
        <v>8</v>
      </c>
      <c r="AQ342" s="25"/>
      <c r="AR342" s="25"/>
      <c r="AS342" s="25"/>
      <c r="AT342" s="25"/>
      <c r="AU342" s="36"/>
      <c r="AV342" s="36"/>
      <c r="AW342" s="36"/>
      <c r="AX342" s="25"/>
      <c r="AY342" s="25"/>
      <c r="AZ342" s="25"/>
      <c r="BA342" s="25"/>
      <c r="BB342" s="25"/>
      <c r="BC342" s="25"/>
      <c r="BD342" s="25"/>
      <c r="BE342" s="25"/>
      <c r="BF342" s="25"/>
      <c r="BG342" s="25"/>
      <c r="BH342" s="25"/>
      <c r="BI342" s="25"/>
      <c r="BJ342" s="25"/>
      <c r="BK342" s="25"/>
      <c r="BL342" s="25"/>
      <c r="BM342" s="25"/>
      <c r="BN342" s="25"/>
      <c r="BO342" s="25"/>
      <c r="BP342" s="25"/>
      <c r="BQ342" s="25"/>
      <c r="BR342" s="25"/>
      <c r="BS342" s="25"/>
      <c r="BT342" s="25"/>
      <c r="BU342" s="39">
        <v>44070</v>
      </c>
      <c r="BV342" s="39" t="s">
        <v>1185</v>
      </c>
      <c r="BW342" s="39" t="s">
        <v>2900</v>
      </c>
      <c r="BX342" s="39" t="s">
        <v>2852</v>
      </c>
      <c r="BY342" s="71">
        <v>990</v>
      </c>
      <c r="BZ342" s="71">
        <v>1120</v>
      </c>
      <c r="CA342" s="71">
        <v>1350</v>
      </c>
      <c r="CB342" s="71">
        <v>1740</v>
      </c>
      <c r="CC342" s="71">
        <v>1860</v>
      </c>
      <c r="CD342" s="25"/>
      <c r="CE342" s="200"/>
      <c r="CF342" s="200"/>
      <c r="CG342" s="200"/>
      <c r="CH342" s="200"/>
      <c r="CI342" s="200"/>
      <c r="CJ342" s="200"/>
      <c r="CK342" s="200"/>
      <c r="CL342" s="200"/>
      <c r="CM342" s="200"/>
      <c r="CN342" s="200"/>
      <c r="CO342" s="200"/>
      <c r="CP342" s="200"/>
      <c r="CQ342" s="200"/>
      <c r="CR342" s="200"/>
      <c r="CS342" s="200"/>
      <c r="CT342" s="200"/>
      <c r="CU342" s="200"/>
    </row>
    <row r="343" spans="1:99" s="17" customFormat="1" x14ac:dyDescent="0.2">
      <c r="A343" s="25"/>
      <c r="B343" s="20">
        <v>39049007120</v>
      </c>
      <c r="C343" s="20">
        <v>71.2</v>
      </c>
      <c r="D343" s="20" t="s">
        <v>31</v>
      </c>
      <c r="E343" s="20" t="s">
        <v>2830</v>
      </c>
      <c r="F343" s="20" t="s">
        <v>8</v>
      </c>
      <c r="G343" s="861">
        <v>68.284332203064395</v>
      </c>
      <c r="H343" s="861">
        <v>82.841840760804203</v>
      </c>
      <c r="I343" s="861">
        <v>17.872378817355699</v>
      </c>
      <c r="J343" s="861">
        <v>66.935501201120502</v>
      </c>
      <c r="K343" s="982">
        <v>0</v>
      </c>
      <c r="L343" s="735">
        <v>5180</v>
      </c>
      <c r="M343" s="735">
        <v>4927</v>
      </c>
      <c r="N343" s="845">
        <f t="shared" si="38"/>
        <v>-4.8841698841698838E-2</v>
      </c>
      <c r="O343" s="735">
        <v>1.3030801133677792</v>
      </c>
      <c r="P343" s="735">
        <f t="shared" si="39"/>
        <v>3781.041510384413</v>
      </c>
      <c r="Q343" s="849">
        <v>34.4</v>
      </c>
      <c r="R343" s="71">
        <v>96181</v>
      </c>
      <c r="S343" s="845">
        <v>2.2226753670473082E-2</v>
      </c>
      <c r="T343" s="845">
        <v>2.7000000000000003E-2</v>
      </c>
      <c r="U343" s="845">
        <v>0</v>
      </c>
      <c r="V343" s="845">
        <v>0</v>
      </c>
      <c r="W343" s="845">
        <v>0.29134720700985761</v>
      </c>
      <c r="X343" s="845">
        <v>0.23120300751879699</v>
      </c>
      <c r="Y343" s="845">
        <v>0.69251065557134162</v>
      </c>
      <c r="Z343" s="845">
        <v>0.15465800690075096</v>
      </c>
      <c r="AA343" s="845">
        <v>2.4355591637913536E-3</v>
      </c>
      <c r="AB343" s="845">
        <v>5.4800081185305462E-3</v>
      </c>
      <c r="AC343" s="845">
        <v>0</v>
      </c>
      <c r="AD343" s="845">
        <v>7.2254921859143492E-2</v>
      </c>
      <c r="AE343" s="845">
        <v>7.2660848386442059E-2</v>
      </c>
      <c r="AF343" s="845">
        <v>6.5963060686015831E-2</v>
      </c>
      <c r="AG343" s="845">
        <v>0.67241729247006288</v>
      </c>
      <c r="AH343" s="20" t="str">
        <f t="shared" si="40"/>
        <v>No</v>
      </c>
      <c r="AI343" s="25"/>
      <c r="AJ343" s="20">
        <v>44122</v>
      </c>
      <c r="AK343" s="20" t="s">
        <v>1225</v>
      </c>
      <c r="AL343" s="20">
        <v>39035</v>
      </c>
      <c r="AM343" s="20" t="s">
        <v>24</v>
      </c>
      <c r="AN343" s="37">
        <f t="shared" si="41"/>
        <v>17410</v>
      </c>
      <c r="AO343" s="37" t="str">
        <f t="shared" si="42"/>
        <v>Cleveland, OH</v>
      </c>
      <c r="AP343" s="20" t="s">
        <v>8</v>
      </c>
      <c r="AQ343" s="25"/>
      <c r="AR343" s="25"/>
      <c r="AS343" s="25"/>
      <c r="AT343" s="25"/>
      <c r="AU343" s="36"/>
      <c r="AV343" s="36"/>
      <c r="AW343" s="36"/>
      <c r="AX343" s="25"/>
      <c r="AY343" s="25"/>
      <c r="AZ343" s="25"/>
      <c r="BA343" s="25"/>
      <c r="BB343" s="25"/>
      <c r="BC343" s="25"/>
      <c r="BD343" s="25"/>
      <c r="BE343" s="25"/>
      <c r="BF343" s="25"/>
      <c r="BG343" s="25"/>
      <c r="BH343" s="25"/>
      <c r="BI343" s="25"/>
      <c r="BJ343" s="25"/>
      <c r="BK343" s="25"/>
      <c r="BL343" s="25"/>
      <c r="BM343" s="25"/>
      <c r="BN343" s="25"/>
      <c r="BO343" s="25"/>
      <c r="BP343" s="25"/>
      <c r="BQ343" s="25"/>
      <c r="BR343" s="25"/>
      <c r="BS343" s="25"/>
      <c r="BT343" s="25"/>
      <c r="BU343" s="39">
        <v>44072</v>
      </c>
      <c r="BV343" s="39" t="s">
        <v>1186</v>
      </c>
      <c r="BW343" s="39" t="s">
        <v>2900</v>
      </c>
      <c r="BX343" s="39" t="s">
        <v>2852</v>
      </c>
      <c r="BY343" s="71">
        <v>1360</v>
      </c>
      <c r="BZ343" s="71">
        <v>1550</v>
      </c>
      <c r="CA343" s="71">
        <v>1870</v>
      </c>
      <c r="CB343" s="71">
        <v>2410</v>
      </c>
      <c r="CC343" s="71">
        <v>2570</v>
      </c>
      <c r="CD343" s="25"/>
      <c r="CE343" s="200"/>
      <c r="CF343" s="200"/>
      <c r="CG343" s="200"/>
      <c r="CH343" s="200"/>
      <c r="CI343" s="200"/>
      <c r="CJ343" s="200"/>
      <c r="CK343" s="200"/>
      <c r="CL343" s="200"/>
      <c r="CM343" s="200"/>
      <c r="CN343" s="200"/>
      <c r="CO343" s="200"/>
      <c r="CP343" s="200"/>
      <c r="CQ343" s="200"/>
      <c r="CR343" s="200"/>
      <c r="CS343" s="200"/>
      <c r="CT343" s="200"/>
      <c r="CU343" s="200"/>
    </row>
    <row r="344" spans="1:99" s="17" customFormat="1" x14ac:dyDescent="0.2">
      <c r="A344" s="25"/>
      <c r="B344" s="20">
        <v>39041011763</v>
      </c>
      <c r="C344" s="20">
        <v>117.63</v>
      </c>
      <c r="D344" s="20" t="s">
        <v>27</v>
      </c>
      <c r="E344" s="20" t="s">
        <v>2830</v>
      </c>
      <c r="F344" s="20" t="s">
        <v>8</v>
      </c>
      <c r="G344" s="861">
        <v>68.268981779280693</v>
      </c>
      <c r="H344" s="861">
        <v>73.392893972639996</v>
      </c>
      <c r="I344" s="861">
        <v>21.0645224163755</v>
      </c>
      <c r="J344" s="861">
        <v>65.112552178152299</v>
      </c>
      <c r="K344" s="982">
        <v>0</v>
      </c>
      <c r="L344" s="735" t="s">
        <v>2466</v>
      </c>
      <c r="M344" s="735">
        <v>5218</v>
      </c>
      <c r="N344" s="845" t="str">
        <f t="shared" si="38"/>
        <v/>
      </c>
      <c r="O344" s="735">
        <v>4.1774021889235629</v>
      </c>
      <c r="P344" s="735">
        <f t="shared" si="39"/>
        <v>1249.1016579240552</v>
      </c>
      <c r="Q344" s="849">
        <v>41.2</v>
      </c>
      <c r="R344" s="71">
        <v>219926</v>
      </c>
      <c r="S344" s="845">
        <v>1.3606745879647374E-2</v>
      </c>
      <c r="T344" s="845">
        <v>3.6000000000000004E-2</v>
      </c>
      <c r="U344" s="845">
        <v>0</v>
      </c>
      <c r="V344" s="845" t="s">
        <v>2466</v>
      </c>
      <c r="W344" s="845">
        <v>0</v>
      </c>
      <c r="X344" s="845"/>
      <c r="Y344" s="845">
        <v>0.75642008432349561</v>
      </c>
      <c r="Z344" s="845">
        <v>5.174396320429283E-2</v>
      </c>
      <c r="AA344" s="845">
        <v>1.5331544653123803E-3</v>
      </c>
      <c r="AB344" s="845">
        <v>5.251054043694902E-2</v>
      </c>
      <c r="AC344" s="845">
        <v>0</v>
      </c>
      <c r="AD344" s="845">
        <v>1.0157148332694519E-2</v>
      </c>
      <c r="AE344" s="845">
        <v>0.12763510923725566</v>
      </c>
      <c r="AF344" s="845">
        <v>7.1291682637025677E-2</v>
      </c>
      <c r="AG344" s="845">
        <v>0.75316213108470675</v>
      </c>
      <c r="AH344" s="20" t="str">
        <f t="shared" si="40"/>
        <v>No</v>
      </c>
      <c r="AI344" s="25"/>
      <c r="AJ344" s="20">
        <v>44123</v>
      </c>
      <c r="AK344" s="20" t="s">
        <v>1226</v>
      </c>
      <c r="AL344" s="20">
        <v>39035</v>
      </c>
      <c r="AM344" s="20" t="s">
        <v>24</v>
      </c>
      <c r="AN344" s="37">
        <f t="shared" si="41"/>
        <v>17410</v>
      </c>
      <c r="AO344" s="37" t="str">
        <f t="shared" si="42"/>
        <v>Cleveland, OH</v>
      </c>
      <c r="AP344" s="20" t="s">
        <v>8</v>
      </c>
      <c r="AQ344" s="25"/>
      <c r="AR344" s="25"/>
      <c r="AS344" s="25"/>
      <c r="AT344" s="25"/>
      <c r="AU344" s="36"/>
      <c r="AV344" s="36"/>
      <c r="AW344" s="36"/>
      <c r="AX344" s="25"/>
      <c r="AY344" s="25"/>
      <c r="AZ344" s="25"/>
      <c r="BA344" s="25"/>
      <c r="BB344" s="25"/>
      <c r="BC344" s="25"/>
      <c r="BD344" s="25"/>
      <c r="BE344" s="25"/>
      <c r="BF344" s="25"/>
      <c r="BG344" s="25"/>
      <c r="BH344" s="25"/>
      <c r="BI344" s="25"/>
      <c r="BJ344" s="25"/>
      <c r="BK344" s="25"/>
      <c r="BL344" s="25"/>
      <c r="BM344" s="25"/>
      <c r="BN344" s="25"/>
      <c r="BO344" s="25"/>
      <c r="BP344" s="25"/>
      <c r="BQ344" s="25"/>
      <c r="BR344" s="25"/>
      <c r="BS344" s="25"/>
      <c r="BT344" s="25"/>
      <c r="BU344" s="39">
        <v>44074</v>
      </c>
      <c r="BV344" s="39" t="s">
        <v>1187</v>
      </c>
      <c r="BW344" s="39" t="s">
        <v>2900</v>
      </c>
      <c r="BX344" s="39" t="s">
        <v>2852</v>
      </c>
      <c r="BY344" s="71">
        <v>860</v>
      </c>
      <c r="BZ344" s="71">
        <v>980</v>
      </c>
      <c r="CA344" s="71">
        <v>1180</v>
      </c>
      <c r="CB344" s="71">
        <v>1520</v>
      </c>
      <c r="CC344" s="71">
        <v>1620</v>
      </c>
      <c r="CD344" s="25"/>
      <c r="CE344" s="200"/>
      <c r="CF344" s="200"/>
      <c r="CG344" s="200"/>
      <c r="CH344" s="200"/>
      <c r="CI344" s="200"/>
      <c r="CJ344" s="200"/>
      <c r="CK344" s="200"/>
      <c r="CL344" s="200"/>
      <c r="CM344" s="200"/>
      <c r="CN344" s="200"/>
      <c r="CO344" s="200"/>
      <c r="CP344" s="200"/>
      <c r="CQ344" s="200"/>
      <c r="CR344" s="200"/>
      <c r="CS344" s="200"/>
      <c r="CT344" s="200"/>
      <c r="CU344" s="200"/>
    </row>
    <row r="345" spans="1:99" s="17" customFormat="1" x14ac:dyDescent="0.2">
      <c r="A345" s="25"/>
      <c r="B345" s="20">
        <v>39041011740</v>
      </c>
      <c r="C345" s="20">
        <v>117.4</v>
      </c>
      <c r="D345" s="20" t="s">
        <v>27</v>
      </c>
      <c r="E345" s="20" t="s">
        <v>2830</v>
      </c>
      <c r="F345" s="20" t="s">
        <v>8</v>
      </c>
      <c r="G345" s="861">
        <v>68.241836067273795</v>
      </c>
      <c r="H345" s="861">
        <v>70.030631343305501</v>
      </c>
      <c r="I345" s="861">
        <v>20.510591170822298</v>
      </c>
      <c r="J345" s="861">
        <v>41.370678716639802</v>
      </c>
      <c r="K345" s="982">
        <v>0</v>
      </c>
      <c r="L345" s="735">
        <v>5752</v>
      </c>
      <c r="M345" s="735">
        <v>5176</v>
      </c>
      <c r="N345" s="845">
        <f t="shared" si="38"/>
        <v>-0.10013908205841446</v>
      </c>
      <c r="O345" s="735">
        <v>2.2579157708951798</v>
      </c>
      <c r="P345" s="735">
        <f t="shared" si="39"/>
        <v>2292.3795770946354</v>
      </c>
      <c r="Q345" s="849">
        <v>46.9</v>
      </c>
      <c r="R345" s="71">
        <v>184273</v>
      </c>
      <c r="S345" s="845">
        <v>6.9916488638570593E-3</v>
      </c>
      <c r="T345" s="845">
        <v>5.0000000000000001E-3</v>
      </c>
      <c r="U345" s="845">
        <v>0</v>
      </c>
      <c r="V345" s="845">
        <v>0</v>
      </c>
      <c r="W345" s="845">
        <v>2.5655021834061136E-2</v>
      </c>
      <c r="X345" s="845">
        <v>0.61702127659574468</v>
      </c>
      <c r="Y345" s="845">
        <v>0.84196290571870169</v>
      </c>
      <c r="Z345" s="845">
        <v>9.3701700154559503E-2</v>
      </c>
      <c r="AA345" s="845">
        <v>0</v>
      </c>
      <c r="AB345" s="845">
        <v>4.5401854714064917E-2</v>
      </c>
      <c r="AC345" s="845">
        <v>0</v>
      </c>
      <c r="AD345" s="845">
        <v>0</v>
      </c>
      <c r="AE345" s="845">
        <v>1.893353941267388E-2</v>
      </c>
      <c r="AF345" s="845">
        <v>2.0672333848531683E-2</v>
      </c>
      <c r="AG345" s="845">
        <v>0.82979134466769711</v>
      </c>
      <c r="AH345" s="20" t="str">
        <f t="shared" si="40"/>
        <v>No</v>
      </c>
      <c r="AI345" s="25"/>
      <c r="AJ345" s="20">
        <v>44124</v>
      </c>
      <c r="AK345" s="20" t="s">
        <v>1227</v>
      </c>
      <c r="AL345" s="20">
        <v>39035</v>
      </c>
      <c r="AM345" s="20" t="s">
        <v>24</v>
      </c>
      <c r="AN345" s="37">
        <f t="shared" si="41"/>
        <v>17410</v>
      </c>
      <c r="AO345" s="37" t="str">
        <f t="shared" si="42"/>
        <v>Cleveland, OH</v>
      </c>
      <c r="AP345" s="20" t="s">
        <v>8</v>
      </c>
      <c r="AQ345" s="25"/>
      <c r="AR345" s="25"/>
      <c r="AS345" s="25"/>
      <c r="AT345" s="25"/>
      <c r="AU345" s="36"/>
      <c r="AV345" s="36"/>
      <c r="AW345" s="36"/>
      <c r="AX345" s="25"/>
      <c r="AY345" s="25"/>
      <c r="AZ345" s="25"/>
      <c r="BA345" s="25"/>
      <c r="BB345" s="25"/>
      <c r="BC345" s="25"/>
      <c r="BD345" s="25"/>
      <c r="BE345" s="25"/>
      <c r="BF345" s="25"/>
      <c r="BG345" s="25"/>
      <c r="BH345" s="25"/>
      <c r="BI345" s="25"/>
      <c r="BJ345" s="25"/>
      <c r="BK345" s="25"/>
      <c r="BL345" s="25"/>
      <c r="BM345" s="25"/>
      <c r="BN345" s="25"/>
      <c r="BO345" s="25"/>
      <c r="BP345" s="25"/>
      <c r="BQ345" s="25"/>
      <c r="BR345" s="25"/>
      <c r="BS345" s="25"/>
      <c r="BT345" s="25"/>
      <c r="BU345" s="39">
        <v>44077</v>
      </c>
      <c r="BV345" s="39" t="s">
        <v>1189</v>
      </c>
      <c r="BW345" s="39" t="s">
        <v>2900</v>
      </c>
      <c r="BX345" s="39" t="s">
        <v>2852</v>
      </c>
      <c r="BY345" s="71">
        <v>900</v>
      </c>
      <c r="BZ345" s="71">
        <v>1020</v>
      </c>
      <c r="CA345" s="71">
        <v>1230</v>
      </c>
      <c r="CB345" s="71">
        <v>1580</v>
      </c>
      <c r="CC345" s="71">
        <v>1690</v>
      </c>
      <c r="CD345" s="25"/>
      <c r="CE345" s="200"/>
      <c r="CF345" s="200"/>
      <c r="CG345" s="200"/>
      <c r="CH345" s="200"/>
      <c r="CI345" s="200"/>
      <c r="CJ345" s="200"/>
      <c r="CK345" s="200"/>
      <c r="CL345" s="200"/>
      <c r="CM345" s="200"/>
      <c r="CN345" s="200"/>
      <c r="CO345" s="200"/>
      <c r="CP345" s="200"/>
      <c r="CQ345" s="200"/>
      <c r="CR345" s="200"/>
      <c r="CS345" s="200"/>
      <c r="CT345" s="200"/>
      <c r="CU345" s="200"/>
    </row>
    <row r="346" spans="1:99" s="17" customFormat="1" x14ac:dyDescent="0.2">
      <c r="A346" s="25"/>
      <c r="B346" s="20">
        <v>39151711312</v>
      </c>
      <c r="C346" s="20">
        <v>7113.12</v>
      </c>
      <c r="D346" s="20" t="s">
        <v>81</v>
      </c>
      <c r="E346" s="20" t="s">
        <v>2844</v>
      </c>
      <c r="F346" s="20" t="s">
        <v>8</v>
      </c>
      <c r="G346" s="861">
        <v>68.237288860795701</v>
      </c>
      <c r="H346" s="861">
        <v>60.553910906195398</v>
      </c>
      <c r="I346" s="861">
        <v>19.6305052671925</v>
      </c>
      <c r="J346" s="861">
        <v>48.355717527431899</v>
      </c>
      <c r="K346" s="982">
        <v>0</v>
      </c>
      <c r="L346" s="735">
        <v>7086</v>
      </c>
      <c r="M346" s="735">
        <v>7325</v>
      </c>
      <c r="N346" s="845">
        <f t="shared" si="38"/>
        <v>3.3728478690375388E-2</v>
      </c>
      <c r="O346" s="735">
        <v>5.6193261829298518</v>
      </c>
      <c r="P346" s="735">
        <f t="shared" si="39"/>
        <v>1303.5370721585039</v>
      </c>
      <c r="Q346" s="849">
        <v>40.4</v>
      </c>
      <c r="R346" s="71">
        <v>133419</v>
      </c>
      <c r="S346" s="845">
        <v>3.7842417396215758E-2</v>
      </c>
      <c r="T346" s="845">
        <v>3.1E-2</v>
      </c>
      <c r="U346" s="845">
        <v>0</v>
      </c>
      <c r="V346" s="845">
        <v>0.13200000000000001</v>
      </c>
      <c r="W346" s="845">
        <v>0.13939867239359624</v>
      </c>
      <c r="X346" s="845">
        <v>0.36694677871148457</v>
      </c>
      <c r="Y346" s="845">
        <v>0.92832764505119458</v>
      </c>
      <c r="Z346" s="845">
        <v>5.4607508532423209E-3</v>
      </c>
      <c r="AA346" s="845">
        <v>0</v>
      </c>
      <c r="AB346" s="845">
        <v>1.4197952218430034E-2</v>
      </c>
      <c r="AC346" s="845">
        <v>0</v>
      </c>
      <c r="AD346" s="845">
        <v>7.3720136518771332E-3</v>
      </c>
      <c r="AE346" s="845">
        <v>4.4641638225255971E-2</v>
      </c>
      <c r="AF346" s="845">
        <v>4.2320819112627982E-3</v>
      </c>
      <c r="AG346" s="845">
        <v>0.92832764505119458</v>
      </c>
      <c r="AH346" s="20" t="str">
        <f t="shared" si="40"/>
        <v>Yes</v>
      </c>
      <c r="AI346" s="25"/>
      <c r="AJ346" s="20">
        <v>44125</v>
      </c>
      <c r="AK346" s="20" t="s">
        <v>1228</v>
      </c>
      <c r="AL346" s="20">
        <v>39035</v>
      </c>
      <c r="AM346" s="20" t="s">
        <v>24</v>
      </c>
      <c r="AN346" s="37">
        <f t="shared" si="41"/>
        <v>17410</v>
      </c>
      <c r="AO346" s="37" t="str">
        <f t="shared" si="42"/>
        <v>Cleveland, OH</v>
      </c>
      <c r="AP346" s="20" t="s">
        <v>8</v>
      </c>
      <c r="AQ346" s="25"/>
      <c r="AR346" s="25"/>
      <c r="AS346" s="25"/>
      <c r="AT346" s="25"/>
      <c r="AU346" s="36"/>
      <c r="AV346" s="36"/>
      <c r="AW346" s="36"/>
      <c r="AX346" s="25"/>
      <c r="AY346" s="25"/>
      <c r="AZ346" s="25"/>
      <c r="BA346" s="25"/>
      <c r="BB346" s="25"/>
      <c r="BC346" s="25"/>
      <c r="BD346" s="25"/>
      <c r="BE346" s="25"/>
      <c r="BF346" s="25"/>
      <c r="BG346" s="25"/>
      <c r="BH346" s="25"/>
      <c r="BI346" s="25"/>
      <c r="BJ346" s="25"/>
      <c r="BK346" s="25"/>
      <c r="BL346" s="25"/>
      <c r="BM346" s="25"/>
      <c r="BN346" s="25"/>
      <c r="BO346" s="25"/>
      <c r="BP346" s="25"/>
      <c r="BQ346" s="25"/>
      <c r="BR346" s="25"/>
      <c r="BS346" s="25"/>
      <c r="BT346" s="25"/>
      <c r="BU346" s="39">
        <v>44080</v>
      </c>
      <c r="BV346" s="39" t="s">
        <v>1190</v>
      </c>
      <c r="BW346" s="39" t="s">
        <v>2900</v>
      </c>
      <c r="BX346" s="39" t="s">
        <v>2852</v>
      </c>
      <c r="BY346" s="71">
        <v>800</v>
      </c>
      <c r="BZ346" s="71">
        <v>870</v>
      </c>
      <c r="CA346" s="71">
        <v>1090</v>
      </c>
      <c r="CB346" s="71">
        <v>1380</v>
      </c>
      <c r="CC346" s="71">
        <v>1480</v>
      </c>
      <c r="CD346" s="25"/>
      <c r="CE346" s="200"/>
      <c r="CF346" s="200"/>
      <c r="CG346" s="200"/>
      <c r="CH346" s="200"/>
      <c r="CI346" s="200"/>
      <c r="CJ346" s="200"/>
      <c r="CK346" s="200"/>
      <c r="CL346" s="200"/>
      <c r="CM346" s="200"/>
      <c r="CN346" s="200"/>
      <c r="CO346" s="200"/>
      <c r="CP346" s="200"/>
      <c r="CQ346" s="200"/>
      <c r="CR346" s="200"/>
      <c r="CS346" s="200"/>
      <c r="CT346" s="200"/>
      <c r="CU346" s="200"/>
    </row>
    <row r="347" spans="1:99" s="17" customFormat="1" x14ac:dyDescent="0.2">
      <c r="A347" s="25"/>
      <c r="B347" s="20">
        <v>39035170101</v>
      </c>
      <c r="C347" s="20">
        <v>1701.01</v>
      </c>
      <c r="D347" s="20" t="s">
        <v>24</v>
      </c>
      <c r="E347" s="20" t="s">
        <v>2829</v>
      </c>
      <c r="F347" s="20" t="s">
        <v>8</v>
      </c>
      <c r="G347" s="861">
        <v>68.222528875138195</v>
      </c>
      <c r="H347" s="861">
        <v>70.321371998968402</v>
      </c>
      <c r="I347" s="861">
        <v>43.171934852589501</v>
      </c>
      <c r="J347" s="861">
        <v>42.748165903807198</v>
      </c>
      <c r="K347" s="982">
        <v>0</v>
      </c>
      <c r="L347" s="735">
        <v>2737</v>
      </c>
      <c r="M347" s="735">
        <v>3260</v>
      </c>
      <c r="N347" s="845">
        <f t="shared" si="38"/>
        <v>0.19108512970405553</v>
      </c>
      <c r="O347" s="735">
        <v>0.64987518417603862</v>
      </c>
      <c r="P347" s="735">
        <f t="shared" si="39"/>
        <v>5016.3478762976265</v>
      </c>
      <c r="Q347" s="849">
        <v>46.8</v>
      </c>
      <c r="R347" s="71">
        <v>61196</v>
      </c>
      <c r="S347" s="845">
        <v>6.7484662576687116E-2</v>
      </c>
      <c r="T347" s="845">
        <v>4.7E-2</v>
      </c>
      <c r="U347" s="845">
        <v>0</v>
      </c>
      <c r="V347" s="845">
        <v>0</v>
      </c>
      <c r="W347" s="845">
        <v>0.38021454112038139</v>
      </c>
      <c r="X347" s="845">
        <v>0.55799373040752354</v>
      </c>
      <c r="Y347" s="845">
        <v>0.7211656441717792</v>
      </c>
      <c r="Z347" s="845">
        <v>0.21564417177914111</v>
      </c>
      <c r="AA347" s="845">
        <v>0</v>
      </c>
      <c r="AB347" s="845">
        <v>2.1779141104294478E-2</v>
      </c>
      <c r="AC347" s="845">
        <v>0</v>
      </c>
      <c r="AD347" s="845">
        <v>1.4417177914110429E-2</v>
      </c>
      <c r="AE347" s="845">
        <v>2.6993865030674847E-2</v>
      </c>
      <c r="AF347" s="845">
        <v>9.5705521472392641E-2</v>
      </c>
      <c r="AG347" s="845">
        <v>0.64049079754601224</v>
      </c>
      <c r="AH347" s="20" t="str">
        <f t="shared" si="40"/>
        <v>No</v>
      </c>
      <c r="AI347" s="25"/>
      <c r="AJ347" s="37">
        <v>44126</v>
      </c>
      <c r="AK347" s="37" t="s">
        <v>1229</v>
      </c>
      <c r="AL347" s="37">
        <v>39035</v>
      </c>
      <c r="AM347" s="37" t="s">
        <v>24</v>
      </c>
      <c r="AN347" s="37">
        <f t="shared" si="41"/>
        <v>17410</v>
      </c>
      <c r="AO347" s="37" t="str">
        <f t="shared" si="42"/>
        <v>Cleveland, OH</v>
      </c>
      <c r="AP347" s="20" t="s">
        <v>8</v>
      </c>
      <c r="AQ347" s="25"/>
      <c r="AR347" s="25"/>
      <c r="AS347" s="25"/>
      <c r="AT347" s="25"/>
      <c r="AU347" s="36"/>
      <c r="AV347" s="36"/>
      <c r="AW347" s="36"/>
      <c r="AX347" s="25"/>
      <c r="AY347" s="25"/>
      <c r="AZ347" s="25"/>
      <c r="BA347" s="25"/>
      <c r="BB347" s="25"/>
      <c r="BC347" s="25"/>
      <c r="BD347" s="25"/>
      <c r="BE347" s="25"/>
      <c r="BF347" s="25"/>
      <c r="BG347" s="25"/>
      <c r="BH347" s="25"/>
      <c r="BI347" s="25"/>
      <c r="BJ347" s="25"/>
      <c r="BK347" s="25"/>
      <c r="BL347" s="25"/>
      <c r="BM347" s="25"/>
      <c r="BN347" s="25"/>
      <c r="BO347" s="25"/>
      <c r="BP347" s="25"/>
      <c r="BQ347" s="25"/>
      <c r="BR347" s="25"/>
      <c r="BS347" s="25"/>
      <c r="BT347" s="25"/>
      <c r="BU347" s="39">
        <v>44081</v>
      </c>
      <c r="BV347" s="39" t="s">
        <v>1191</v>
      </c>
      <c r="BW347" s="39" t="s">
        <v>2900</v>
      </c>
      <c r="BX347" s="39" t="s">
        <v>2852</v>
      </c>
      <c r="BY347" s="71">
        <v>800</v>
      </c>
      <c r="BZ347" s="71">
        <v>910</v>
      </c>
      <c r="CA347" s="71">
        <v>1100</v>
      </c>
      <c r="CB347" s="71">
        <v>1420</v>
      </c>
      <c r="CC347" s="71">
        <v>1510</v>
      </c>
      <c r="CD347" s="25"/>
      <c r="CE347" s="200"/>
      <c r="CF347" s="200"/>
      <c r="CG347" s="200"/>
      <c r="CH347" s="200"/>
      <c r="CI347" s="200"/>
      <c r="CJ347" s="200"/>
      <c r="CK347" s="200"/>
      <c r="CL347" s="200"/>
      <c r="CM347" s="200"/>
      <c r="CN347" s="200"/>
      <c r="CO347" s="200"/>
      <c r="CP347" s="200"/>
      <c r="CQ347" s="200"/>
      <c r="CR347" s="200"/>
      <c r="CS347" s="200"/>
      <c r="CT347" s="200"/>
      <c r="CU347" s="200"/>
    </row>
    <row r="348" spans="1:99" s="17" customFormat="1" x14ac:dyDescent="0.2">
      <c r="A348" s="25"/>
      <c r="B348" s="20">
        <v>39049007102</v>
      </c>
      <c r="C348" s="20">
        <v>71.02</v>
      </c>
      <c r="D348" s="20" t="s">
        <v>31</v>
      </c>
      <c r="E348" s="20" t="s">
        <v>2830</v>
      </c>
      <c r="F348" s="20" t="s">
        <v>8</v>
      </c>
      <c r="G348" s="861">
        <v>68.219724040567797</v>
      </c>
      <c r="H348" s="861">
        <v>67.0392406997492</v>
      </c>
      <c r="I348" s="861">
        <v>26.844475174129801</v>
      </c>
      <c r="J348" s="861">
        <v>58.258922919862499</v>
      </c>
      <c r="K348" s="982">
        <v>0</v>
      </c>
      <c r="L348" s="735" t="s">
        <v>2466</v>
      </c>
      <c r="M348" s="735">
        <v>3148</v>
      </c>
      <c r="N348" s="845" t="str">
        <f t="shared" si="38"/>
        <v/>
      </c>
      <c r="O348" s="735">
        <v>1.0882798994779941</v>
      </c>
      <c r="P348" s="735">
        <f t="shared" si="39"/>
        <v>2892.6381912502238</v>
      </c>
      <c r="Q348" s="849">
        <v>51.1</v>
      </c>
      <c r="R348" s="71">
        <v>122841</v>
      </c>
      <c r="S348" s="845">
        <v>3.502974223397224E-2</v>
      </c>
      <c r="T348" s="845">
        <v>9.0000000000000011E-3</v>
      </c>
      <c r="U348" s="845">
        <v>0</v>
      </c>
      <c r="V348" s="845">
        <v>0.10099999999999999</v>
      </c>
      <c r="W348" s="845">
        <v>0.19646799116997793</v>
      </c>
      <c r="X348" s="845">
        <v>0.6067415730337079</v>
      </c>
      <c r="Y348" s="845">
        <v>0.89803049555273184</v>
      </c>
      <c r="Z348" s="845">
        <v>3.9390088945362133E-2</v>
      </c>
      <c r="AA348" s="845">
        <v>0</v>
      </c>
      <c r="AB348" s="845">
        <v>2.2871664548919948E-2</v>
      </c>
      <c r="AC348" s="845">
        <v>0</v>
      </c>
      <c r="AD348" s="845">
        <v>0</v>
      </c>
      <c r="AE348" s="845">
        <v>3.9707750952986023E-2</v>
      </c>
      <c r="AF348" s="845">
        <v>1.9059720457433292E-3</v>
      </c>
      <c r="AG348" s="845">
        <v>0.89803049555273184</v>
      </c>
      <c r="AH348" s="20" t="str">
        <f t="shared" si="40"/>
        <v>No</v>
      </c>
      <c r="AI348" s="25"/>
      <c r="AJ348" s="37">
        <v>44127</v>
      </c>
      <c r="AK348" s="37" t="s">
        <v>1230</v>
      </c>
      <c r="AL348" s="37">
        <v>39035</v>
      </c>
      <c r="AM348" s="37" t="s">
        <v>24</v>
      </c>
      <c r="AN348" s="37">
        <f t="shared" si="41"/>
        <v>17410</v>
      </c>
      <c r="AO348" s="37" t="str">
        <f t="shared" si="42"/>
        <v>Cleveland, OH</v>
      </c>
      <c r="AP348" s="20" t="s">
        <v>8</v>
      </c>
      <c r="AQ348" s="25"/>
      <c r="AR348" s="25"/>
      <c r="AS348" s="25"/>
      <c r="AT348" s="25"/>
      <c r="AU348" s="36"/>
      <c r="AV348" s="36"/>
      <c r="AW348" s="36"/>
      <c r="AX348" s="25"/>
      <c r="AY348" s="25"/>
      <c r="AZ348" s="25"/>
      <c r="BA348" s="25"/>
      <c r="BB348" s="25"/>
      <c r="BC348" s="25"/>
      <c r="BD348" s="25"/>
      <c r="BE348" s="25"/>
      <c r="BF348" s="25"/>
      <c r="BG348" s="25"/>
      <c r="BH348" s="25"/>
      <c r="BI348" s="25"/>
      <c r="BJ348" s="25"/>
      <c r="BK348" s="25"/>
      <c r="BL348" s="25"/>
      <c r="BM348" s="25"/>
      <c r="BN348" s="25"/>
      <c r="BO348" s="25"/>
      <c r="BP348" s="25"/>
      <c r="BQ348" s="25"/>
      <c r="BR348" s="25"/>
      <c r="BS348" s="25"/>
      <c r="BT348" s="25"/>
      <c r="BU348" s="39">
        <v>44086</v>
      </c>
      <c r="BV348" s="39" t="s">
        <v>1195</v>
      </c>
      <c r="BW348" s="39" t="s">
        <v>2900</v>
      </c>
      <c r="BX348" s="39" t="s">
        <v>2852</v>
      </c>
      <c r="BY348" s="71">
        <v>900</v>
      </c>
      <c r="BZ348" s="71">
        <v>1020</v>
      </c>
      <c r="CA348" s="71">
        <v>1230</v>
      </c>
      <c r="CB348" s="71">
        <v>1580</v>
      </c>
      <c r="CC348" s="71">
        <v>1690</v>
      </c>
      <c r="CD348" s="25"/>
      <c r="CE348" s="200"/>
      <c r="CF348" s="200"/>
      <c r="CG348" s="200"/>
      <c r="CH348" s="200"/>
      <c r="CI348" s="200"/>
      <c r="CJ348" s="200"/>
      <c r="CK348" s="200"/>
      <c r="CL348" s="200"/>
      <c r="CM348" s="200"/>
      <c r="CN348" s="200"/>
      <c r="CO348" s="200"/>
      <c r="CP348" s="200"/>
      <c r="CQ348" s="200"/>
      <c r="CR348" s="200"/>
      <c r="CS348" s="200"/>
      <c r="CT348" s="200"/>
      <c r="CU348" s="200"/>
    </row>
    <row r="349" spans="1:99" s="17" customFormat="1" x14ac:dyDescent="0.2">
      <c r="A349" s="25"/>
      <c r="B349" s="20">
        <v>39061020812</v>
      </c>
      <c r="C349" s="20">
        <v>208.12</v>
      </c>
      <c r="D349" s="20" t="s">
        <v>37</v>
      </c>
      <c r="E349" s="20" t="s">
        <v>2828</v>
      </c>
      <c r="F349" s="20" t="s">
        <v>8</v>
      </c>
      <c r="G349" s="861">
        <v>68.191091348744493</v>
      </c>
      <c r="H349" s="861">
        <v>70.637963707123603</v>
      </c>
      <c r="I349" s="861">
        <v>24.542536181613201</v>
      </c>
      <c r="J349" s="861">
        <v>41.924851706740398</v>
      </c>
      <c r="K349" s="982">
        <v>0</v>
      </c>
      <c r="L349" s="735">
        <v>4221</v>
      </c>
      <c r="M349" s="735">
        <v>4527</v>
      </c>
      <c r="N349" s="845">
        <f t="shared" si="38"/>
        <v>7.2494669509594878E-2</v>
      </c>
      <c r="O349" s="735">
        <v>2.067284393826812</v>
      </c>
      <c r="P349" s="735">
        <f t="shared" si="39"/>
        <v>2189.8293304579806</v>
      </c>
      <c r="Q349" s="849">
        <v>44.1</v>
      </c>
      <c r="R349" s="71">
        <v>93402</v>
      </c>
      <c r="S349" s="845">
        <v>4.0152534768954688E-2</v>
      </c>
      <c r="T349" s="845">
        <v>1.6E-2</v>
      </c>
      <c r="U349" s="845">
        <v>0</v>
      </c>
      <c r="V349" s="845">
        <v>0</v>
      </c>
      <c r="W349" s="845">
        <v>0.16253869969040247</v>
      </c>
      <c r="X349" s="845">
        <v>0.48888888888888887</v>
      </c>
      <c r="Y349" s="845">
        <v>0.91650099403578533</v>
      </c>
      <c r="Z349" s="845">
        <v>4.8376408217362492E-2</v>
      </c>
      <c r="AA349" s="845">
        <v>0</v>
      </c>
      <c r="AB349" s="845">
        <v>2.8716589352772255E-3</v>
      </c>
      <c r="AC349" s="845">
        <v>0</v>
      </c>
      <c r="AD349" s="845">
        <v>5.743317870554451E-3</v>
      </c>
      <c r="AE349" s="845">
        <v>2.6507620941020542E-2</v>
      </c>
      <c r="AF349" s="845">
        <v>2.2531477799867462E-2</v>
      </c>
      <c r="AG349" s="845">
        <v>0.90832781091230397</v>
      </c>
      <c r="AH349" s="20" t="str">
        <f t="shared" si="40"/>
        <v>Yes</v>
      </c>
      <c r="AI349" s="25"/>
      <c r="AJ349" s="20">
        <v>44128</v>
      </c>
      <c r="AK349" s="20" t="s">
        <v>1231</v>
      </c>
      <c r="AL349" s="20">
        <v>39035</v>
      </c>
      <c r="AM349" s="20" t="s">
        <v>24</v>
      </c>
      <c r="AN349" s="37">
        <f t="shared" si="41"/>
        <v>17410</v>
      </c>
      <c r="AO349" s="37" t="str">
        <f t="shared" si="42"/>
        <v>Cleveland, OH</v>
      </c>
      <c r="AP349" s="20" t="s">
        <v>8</v>
      </c>
      <c r="AQ349" s="25"/>
      <c r="AR349" s="25"/>
      <c r="AS349" s="25"/>
      <c r="AT349" s="25"/>
      <c r="AU349" s="36"/>
      <c r="AV349" s="36"/>
      <c r="AW349" s="36"/>
      <c r="AX349" s="25"/>
      <c r="AY349" s="25"/>
      <c r="AZ349" s="25"/>
      <c r="BA349" s="25"/>
      <c r="BB349" s="25"/>
      <c r="BC349" s="25"/>
      <c r="BD349" s="25"/>
      <c r="BE349" s="25"/>
      <c r="BF349" s="25"/>
      <c r="BG349" s="25"/>
      <c r="BH349" s="25"/>
      <c r="BI349" s="25"/>
      <c r="BJ349" s="25"/>
      <c r="BK349" s="25"/>
      <c r="BL349" s="25"/>
      <c r="BM349" s="25"/>
      <c r="BN349" s="25"/>
      <c r="BO349" s="25"/>
      <c r="BP349" s="25"/>
      <c r="BQ349" s="25"/>
      <c r="BR349" s="25"/>
      <c r="BS349" s="25"/>
      <c r="BT349" s="25"/>
      <c r="BU349" s="39">
        <v>44089</v>
      </c>
      <c r="BV349" s="39" t="s">
        <v>1197</v>
      </c>
      <c r="BW349" s="39" t="s">
        <v>2900</v>
      </c>
      <c r="BX349" s="39" t="s">
        <v>2852</v>
      </c>
      <c r="BY349" s="71">
        <v>1020</v>
      </c>
      <c r="BZ349" s="71">
        <v>1090</v>
      </c>
      <c r="CA349" s="71">
        <v>1350</v>
      </c>
      <c r="CB349" s="71">
        <v>1710</v>
      </c>
      <c r="CC349" s="71">
        <v>1880</v>
      </c>
      <c r="CD349" s="25"/>
      <c r="CE349" s="200"/>
      <c r="CF349" s="200"/>
      <c r="CG349" s="200"/>
      <c r="CH349" s="200"/>
      <c r="CI349" s="200"/>
      <c r="CJ349" s="200"/>
      <c r="CK349" s="200"/>
      <c r="CL349" s="200"/>
      <c r="CM349" s="200"/>
      <c r="CN349" s="200"/>
      <c r="CO349" s="200"/>
      <c r="CP349" s="200"/>
      <c r="CQ349" s="200"/>
      <c r="CR349" s="200"/>
      <c r="CS349" s="200"/>
      <c r="CT349" s="200"/>
      <c r="CU349" s="200"/>
    </row>
    <row r="350" spans="1:99" s="17" customFormat="1" x14ac:dyDescent="0.2">
      <c r="A350" s="25"/>
      <c r="B350" s="20">
        <v>39133601600</v>
      </c>
      <c r="C350" s="20">
        <v>6016</v>
      </c>
      <c r="D350" s="20" t="s">
        <v>72</v>
      </c>
      <c r="E350" s="20" t="s">
        <v>2843</v>
      </c>
      <c r="F350" s="20" t="s">
        <v>8</v>
      </c>
      <c r="G350" s="861">
        <v>68.188879693130801</v>
      </c>
      <c r="H350" s="861">
        <v>71.488728784688604</v>
      </c>
      <c r="I350" s="861">
        <v>36.130902479325798</v>
      </c>
      <c r="J350" s="861">
        <v>44.623007705628801</v>
      </c>
      <c r="K350" s="982">
        <v>0</v>
      </c>
      <c r="L350" s="735">
        <v>3900</v>
      </c>
      <c r="M350" s="735">
        <v>3561</v>
      </c>
      <c r="N350" s="845">
        <f t="shared" si="38"/>
        <v>-8.6923076923076922E-2</v>
      </c>
      <c r="O350" s="735">
        <v>10.462395520418045</v>
      </c>
      <c r="P350" s="735">
        <f t="shared" si="39"/>
        <v>340.36182182660531</v>
      </c>
      <c r="Q350" s="849">
        <v>48.4</v>
      </c>
      <c r="R350" s="71">
        <v>72096</v>
      </c>
      <c r="S350" s="845">
        <v>0.10101294316263365</v>
      </c>
      <c r="T350" s="845">
        <v>6.9000000000000006E-2</v>
      </c>
      <c r="U350" s="845">
        <v>0</v>
      </c>
      <c r="V350" s="845">
        <v>0.09</v>
      </c>
      <c r="W350" s="845">
        <v>0.20800524934383202</v>
      </c>
      <c r="X350" s="845">
        <v>0.57728706624605675</v>
      </c>
      <c r="Y350" s="845">
        <v>0.91884302162313958</v>
      </c>
      <c r="Z350" s="845">
        <v>3.6506599269868017E-3</v>
      </c>
      <c r="AA350" s="845">
        <v>0</v>
      </c>
      <c r="AB350" s="845">
        <v>5.8972198820556026E-3</v>
      </c>
      <c r="AC350" s="845">
        <v>3.6506599269868017E-3</v>
      </c>
      <c r="AD350" s="845">
        <v>2.274641954507161E-2</v>
      </c>
      <c r="AE350" s="845">
        <v>4.5212019095759615E-2</v>
      </c>
      <c r="AF350" s="845">
        <v>3.285593934288121E-2</v>
      </c>
      <c r="AG350" s="845">
        <v>0.91406908171861834</v>
      </c>
      <c r="AH350" s="20" t="str">
        <f t="shared" si="40"/>
        <v>Yes</v>
      </c>
      <c r="AI350" s="25"/>
      <c r="AJ350" s="37">
        <v>44129</v>
      </c>
      <c r="AK350" s="37" t="s">
        <v>1232</v>
      </c>
      <c r="AL350" s="37">
        <v>39035</v>
      </c>
      <c r="AM350" s="37" t="s">
        <v>24</v>
      </c>
      <c r="AN350" s="37">
        <f t="shared" si="41"/>
        <v>17410</v>
      </c>
      <c r="AO350" s="37" t="str">
        <f t="shared" si="42"/>
        <v>Cleveland, OH</v>
      </c>
      <c r="AP350" s="20" t="s">
        <v>8</v>
      </c>
      <c r="AQ350" s="25"/>
      <c r="AR350" s="25"/>
      <c r="AS350" s="25"/>
      <c r="AT350" s="25"/>
      <c r="AU350" s="36"/>
      <c r="AV350" s="36"/>
      <c r="AW350" s="36"/>
      <c r="AX350" s="25"/>
      <c r="AY350" s="25"/>
      <c r="AZ350" s="25"/>
      <c r="BA350" s="25"/>
      <c r="BB350" s="25"/>
      <c r="BC350" s="25"/>
      <c r="BD350" s="25"/>
      <c r="BE350" s="25"/>
      <c r="BF350" s="25"/>
      <c r="BG350" s="25"/>
      <c r="BH350" s="25"/>
      <c r="BI350" s="25"/>
      <c r="BJ350" s="25"/>
      <c r="BK350" s="25"/>
      <c r="BL350" s="25"/>
      <c r="BM350" s="25"/>
      <c r="BN350" s="25"/>
      <c r="BO350" s="25"/>
      <c r="BP350" s="25"/>
      <c r="BQ350" s="25"/>
      <c r="BR350" s="25"/>
      <c r="BS350" s="25"/>
      <c r="BT350" s="25"/>
      <c r="BU350" s="39">
        <v>44090</v>
      </c>
      <c r="BV350" s="39" t="s">
        <v>1198</v>
      </c>
      <c r="BW350" s="39" t="s">
        <v>2900</v>
      </c>
      <c r="BX350" s="39" t="s">
        <v>2852</v>
      </c>
      <c r="BY350" s="71">
        <v>740</v>
      </c>
      <c r="BZ350" s="71">
        <v>840</v>
      </c>
      <c r="CA350" s="71">
        <v>1010</v>
      </c>
      <c r="CB350" s="71">
        <v>1300</v>
      </c>
      <c r="CC350" s="71">
        <v>1390</v>
      </c>
      <c r="CD350" s="25"/>
      <c r="CE350" s="200"/>
      <c r="CF350" s="200"/>
      <c r="CG350" s="200"/>
      <c r="CH350" s="200"/>
      <c r="CI350" s="200"/>
      <c r="CJ350" s="200"/>
      <c r="CK350" s="200"/>
      <c r="CL350" s="200"/>
      <c r="CM350" s="200"/>
      <c r="CN350" s="200"/>
      <c r="CO350" s="200"/>
      <c r="CP350" s="200"/>
      <c r="CQ350" s="200"/>
      <c r="CR350" s="200"/>
      <c r="CS350" s="200"/>
      <c r="CT350" s="200"/>
      <c r="CU350" s="200"/>
    </row>
    <row r="351" spans="1:99" s="17" customFormat="1" x14ac:dyDescent="0.2">
      <c r="A351" s="25"/>
      <c r="B351" s="20">
        <v>39035153106</v>
      </c>
      <c r="C351" s="20">
        <v>1531.06</v>
      </c>
      <c r="D351" s="20" t="s">
        <v>24</v>
      </c>
      <c r="E351" s="20" t="s">
        <v>2829</v>
      </c>
      <c r="F351" s="20" t="s">
        <v>8</v>
      </c>
      <c r="G351" s="861">
        <v>68.109960100499407</v>
      </c>
      <c r="H351" s="861">
        <v>81.339381545225095</v>
      </c>
      <c r="I351" s="861">
        <v>19.7309400951352</v>
      </c>
      <c r="J351" s="861">
        <v>52.7121403061319</v>
      </c>
      <c r="K351" s="982">
        <v>0</v>
      </c>
      <c r="L351" s="735">
        <v>3549</v>
      </c>
      <c r="M351" s="735">
        <v>3949</v>
      </c>
      <c r="N351" s="845">
        <f t="shared" si="38"/>
        <v>0.11270780501549732</v>
      </c>
      <c r="O351" s="735">
        <v>0.76977341799457144</v>
      </c>
      <c r="P351" s="735">
        <f t="shared" si="39"/>
        <v>5130.0810182404202</v>
      </c>
      <c r="Q351" s="849">
        <v>39.4</v>
      </c>
      <c r="R351" s="71">
        <v>105859</v>
      </c>
      <c r="S351" s="845">
        <v>2.9880982527222082E-2</v>
      </c>
      <c r="T351" s="845">
        <v>2.8999999999999998E-2</v>
      </c>
      <c r="U351" s="845">
        <v>0</v>
      </c>
      <c r="V351" s="845">
        <v>0</v>
      </c>
      <c r="W351" s="845">
        <v>0.18494368701837582</v>
      </c>
      <c r="X351" s="845">
        <v>0.28525641025641024</v>
      </c>
      <c r="Y351" s="845">
        <v>0.89035198784502401</v>
      </c>
      <c r="Z351" s="845">
        <v>2.8614839199797418E-2</v>
      </c>
      <c r="AA351" s="845">
        <v>0</v>
      </c>
      <c r="AB351" s="845">
        <v>1.570017726006584E-2</v>
      </c>
      <c r="AC351" s="845">
        <v>0</v>
      </c>
      <c r="AD351" s="845">
        <v>1.570017726006584E-2</v>
      </c>
      <c r="AE351" s="845">
        <v>4.9632818435046848E-2</v>
      </c>
      <c r="AF351" s="845">
        <v>4.7860217776652315E-2</v>
      </c>
      <c r="AG351" s="845">
        <v>0.88781970119017473</v>
      </c>
      <c r="AH351" s="20" t="str">
        <f t="shared" si="40"/>
        <v>No</v>
      </c>
      <c r="AI351" s="25"/>
      <c r="AJ351" s="37">
        <v>44130</v>
      </c>
      <c r="AK351" s="37" t="s">
        <v>1233</v>
      </c>
      <c r="AL351" s="37">
        <v>39035</v>
      </c>
      <c r="AM351" s="37" t="s">
        <v>24</v>
      </c>
      <c r="AN351" s="37">
        <f t="shared" si="41"/>
        <v>17410</v>
      </c>
      <c r="AO351" s="37" t="str">
        <f t="shared" si="42"/>
        <v>Cleveland, OH</v>
      </c>
      <c r="AP351" s="20" t="s">
        <v>8</v>
      </c>
      <c r="AQ351" s="25"/>
      <c r="AR351" s="25"/>
      <c r="AS351" s="25"/>
      <c r="AT351" s="25"/>
      <c r="AU351" s="36"/>
      <c r="AV351" s="36"/>
      <c r="AW351" s="36"/>
      <c r="AX351" s="25"/>
      <c r="AY351" s="25"/>
      <c r="AZ351" s="25"/>
      <c r="BA351" s="25"/>
      <c r="BB351" s="25"/>
      <c r="BC351" s="25"/>
      <c r="BD351" s="25"/>
      <c r="BE351" s="25"/>
      <c r="BF351" s="25"/>
      <c r="BG351" s="25"/>
      <c r="BH351" s="25"/>
      <c r="BI351" s="25"/>
      <c r="BJ351" s="25"/>
      <c r="BK351" s="25"/>
      <c r="BL351" s="25"/>
      <c r="BM351" s="25"/>
      <c r="BN351" s="25"/>
      <c r="BO351" s="25"/>
      <c r="BP351" s="25"/>
      <c r="BQ351" s="25"/>
      <c r="BR351" s="25"/>
      <c r="BS351" s="25"/>
      <c r="BT351" s="25"/>
      <c r="BU351" s="39">
        <v>44092</v>
      </c>
      <c r="BV351" s="39" t="s">
        <v>1199</v>
      </c>
      <c r="BW351" s="39" t="s">
        <v>2900</v>
      </c>
      <c r="BX351" s="39" t="s">
        <v>2852</v>
      </c>
      <c r="BY351" s="71">
        <v>960</v>
      </c>
      <c r="BZ351" s="71">
        <v>1090</v>
      </c>
      <c r="CA351" s="71">
        <v>1320</v>
      </c>
      <c r="CB351" s="71">
        <v>1700</v>
      </c>
      <c r="CC351" s="71">
        <v>1820</v>
      </c>
      <c r="CD351" s="25"/>
      <c r="CE351" s="200"/>
      <c r="CF351" s="200"/>
      <c r="CG351" s="200"/>
      <c r="CH351" s="200"/>
      <c r="CI351" s="200"/>
      <c r="CJ351" s="200"/>
      <c r="CK351" s="200"/>
      <c r="CL351" s="200"/>
      <c r="CM351" s="200"/>
      <c r="CN351" s="200"/>
      <c r="CO351" s="200"/>
      <c r="CP351" s="200"/>
      <c r="CQ351" s="200"/>
      <c r="CR351" s="200"/>
      <c r="CS351" s="200"/>
      <c r="CT351" s="200"/>
      <c r="CU351" s="200"/>
    </row>
    <row r="352" spans="1:99" s="17" customFormat="1" x14ac:dyDescent="0.2">
      <c r="A352" s="25"/>
      <c r="B352" s="20">
        <v>39095007700</v>
      </c>
      <c r="C352" s="20">
        <v>77</v>
      </c>
      <c r="D352" s="20" t="s">
        <v>53</v>
      </c>
      <c r="E352" s="20" t="s">
        <v>2839</v>
      </c>
      <c r="F352" s="20" t="s">
        <v>8</v>
      </c>
      <c r="G352" s="861">
        <v>68.0793978894812</v>
      </c>
      <c r="H352" s="861">
        <v>66.3941635669796</v>
      </c>
      <c r="I352" s="861">
        <v>41.068834225713097</v>
      </c>
      <c r="J352" s="861">
        <v>51.880350625384096</v>
      </c>
      <c r="K352" s="982">
        <v>0</v>
      </c>
      <c r="L352" s="735">
        <v>3497</v>
      </c>
      <c r="M352" s="735">
        <v>3355</v>
      </c>
      <c r="N352" s="845">
        <f t="shared" si="38"/>
        <v>-4.0606233914784101E-2</v>
      </c>
      <c r="O352" s="735">
        <v>1.5221714666481616</v>
      </c>
      <c r="P352" s="735">
        <f t="shared" si="39"/>
        <v>2204.0880896209064</v>
      </c>
      <c r="Q352" s="849">
        <v>56.6</v>
      </c>
      <c r="R352" s="71">
        <v>70691</v>
      </c>
      <c r="S352" s="845">
        <v>8.271144278606965E-2</v>
      </c>
      <c r="T352" s="845">
        <v>3.9E-2</v>
      </c>
      <c r="U352" s="845">
        <v>0.13200000000000001</v>
      </c>
      <c r="V352" s="845">
        <v>8.900000000000001E-2</v>
      </c>
      <c r="W352" s="845">
        <v>0.39579224194608809</v>
      </c>
      <c r="X352" s="845">
        <v>0.31063122923588038</v>
      </c>
      <c r="Y352" s="845">
        <v>0.85245901639344257</v>
      </c>
      <c r="Z352" s="845">
        <v>6.7958271236959758E-2</v>
      </c>
      <c r="AA352" s="845">
        <v>0</v>
      </c>
      <c r="AB352" s="845">
        <v>1.9672131147540985E-2</v>
      </c>
      <c r="AC352" s="845">
        <v>0</v>
      </c>
      <c r="AD352" s="845">
        <v>2.3546944858420269E-2</v>
      </c>
      <c r="AE352" s="845">
        <v>3.6363636363636362E-2</v>
      </c>
      <c r="AF352" s="845">
        <v>0.10193740685543964</v>
      </c>
      <c r="AG352" s="845">
        <v>0.78688524590163933</v>
      </c>
      <c r="AH352" s="20" t="str">
        <f t="shared" si="40"/>
        <v>No</v>
      </c>
      <c r="AI352" s="25"/>
      <c r="AJ352" s="20">
        <v>44131</v>
      </c>
      <c r="AK352" s="20" t="s">
        <v>1234</v>
      </c>
      <c r="AL352" s="20">
        <v>39035</v>
      </c>
      <c r="AM352" s="20" t="s">
        <v>24</v>
      </c>
      <c r="AN352" s="37">
        <f t="shared" si="41"/>
        <v>17410</v>
      </c>
      <c r="AO352" s="37" t="str">
        <f t="shared" si="42"/>
        <v>Cleveland, OH</v>
      </c>
      <c r="AP352" s="20" t="s">
        <v>8</v>
      </c>
      <c r="AQ352" s="25"/>
      <c r="AR352" s="25"/>
      <c r="AS352" s="25"/>
      <c r="AT352" s="25"/>
      <c r="AU352" s="36"/>
      <c r="AV352" s="36"/>
      <c r="AW352" s="36"/>
      <c r="AX352" s="25"/>
      <c r="AY352" s="25"/>
      <c r="AZ352" s="25"/>
      <c r="BA352" s="25"/>
      <c r="BB352" s="25"/>
      <c r="BC352" s="25"/>
      <c r="BD352" s="25"/>
      <c r="BE352" s="25"/>
      <c r="BF352" s="25"/>
      <c r="BG352" s="25"/>
      <c r="BH352" s="25"/>
      <c r="BI352" s="25"/>
      <c r="BJ352" s="25"/>
      <c r="BK352" s="25"/>
      <c r="BL352" s="25"/>
      <c r="BM352" s="25"/>
      <c r="BN352" s="25"/>
      <c r="BO352" s="25"/>
      <c r="BP352" s="25"/>
      <c r="BQ352" s="25"/>
      <c r="BR352" s="25"/>
      <c r="BS352" s="25"/>
      <c r="BT352" s="25"/>
      <c r="BU352" s="39">
        <v>44094</v>
      </c>
      <c r="BV352" s="39" t="s">
        <v>1201</v>
      </c>
      <c r="BW352" s="39" t="s">
        <v>2900</v>
      </c>
      <c r="BX352" s="39" t="s">
        <v>2852</v>
      </c>
      <c r="BY352" s="71">
        <v>1080</v>
      </c>
      <c r="BZ352" s="71">
        <v>1220</v>
      </c>
      <c r="CA352" s="71">
        <v>1480</v>
      </c>
      <c r="CB352" s="71">
        <v>1900</v>
      </c>
      <c r="CC352" s="71">
        <v>2040</v>
      </c>
      <c r="CD352" s="25"/>
      <c r="CE352" s="200"/>
      <c r="CF352" s="200"/>
      <c r="CG352" s="200"/>
      <c r="CH352" s="200"/>
      <c r="CI352" s="200"/>
      <c r="CJ352" s="200"/>
      <c r="CK352" s="200"/>
      <c r="CL352" s="200"/>
      <c r="CM352" s="200"/>
      <c r="CN352" s="200"/>
      <c r="CO352" s="200"/>
      <c r="CP352" s="200"/>
      <c r="CQ352" s="200"/>
      <c r="CR352" s="200"/>
      <c r="CS352" s="200"/>
      <c r="CT352" s="200"/>
      <c r="CU352" s="200"/>
    </row>
    <row r="353" spans="1:99" s="17" customFormat="1" x14ac:dyDescent="0.2">
      <c r="A353" s="25"/>
      <c r="B353" s="20">
        <v>39035153107</v>
      </c>
      <c r="C353" s="20">
        <v>1531.07</v>
      </c>
      <c r="D353" s="20" t="s">
        <v>24</v>
      </c>
      <c r="E353" s="20" t="s">
        <v>2829</v>
      </c>
      <c r="F353" s="20" t="s">
        <v>8</v>
      </c>
      <c r="G353" s="861">
        <v>68.076663171579796</v>
      </c>
      <c r="H353" s="861">
        <v>65.8350304234893</v>
      </c>
      <c r="I353" s="861">
        <v>39.879788292032799</v>
      </c>
      <c r="J353" s="861">
        <v>45.423557345529296</v>
      </c>
      <c r="K353" s="982">
        <v>0</v>
      </c>
      <c r="L353" s="735">
        <v>3549</v>
      </c>
      <c r="M353" s="735">
        <v>4059</v>
      </c>
      <c r="N353" s="845">
        <f t="shared" si="38"/>
        <v>0.1437024513947591</v>
      </c>
      <c r="O353" s="735">
        <v>1.6671956845392624</v>
      </c>
      <c r="P353" s="735">
        <f t="shared" si="39"/>
        <v>2434.6272232114879</v>
      </c>
      <c r="Q353" s="849">
        <v>44.4</v>
      </c>
      <c r="R353" s="71">
        <v>68902</v>
      </c>
      <c r="S353" s="845">
        <v>0.18649913771864993</v>
      </c>
      <c r="T353" s="845">
        <v>5.2999999999999999E-2</v>
      </c>
      <c r="U353" s="845">
        <v>0</v>
      </c>
      <c r="V353" s="845">
        <v>0.10099999999999999</v>
      </c>
      <c r="W353" s="845">
        <v>0.37553648068669526</v>
      </c>
      <c r="X353" s="845">
        <v>0.45</v>
      </c>
      <c r="Y353" s="845">
        <v>0.85883222468588327</v>
      </c>
      <c r="Z353" s="845">
        <v>3.49839862034984E-2</v>
      </c>
      <c r="AA353" s="845">
        <v>0</v>
      </c>
      <c r="AB353" s="845">
        <v>3.6215816703621583E-2</v>
      </c>
      <c r="AC353" s="845">
        <v>0</v>
      </c>
      <c r="AD353" s="845">
        <v>1.2811037201281104E-2</v>
      </c>
      <c r="AE353" s="845">
        <v>5.7156935205715693E-2</v>
      </c>
      <c r="AF353" s="845">
        <v>2.4882976102488297E-2</v>
      </c>
      <c r="AG353" s="845">
        <v>0.85636856368563685</v>
      </c>
      <c r="AH353" s="20" t="str">
        <f t="shared" si="40"/>
        <v>No</v>
      </c>
      <c r="AI353" s="25"/>
      <c r="AJ353" s="20">
        <v>44132</v>
      </c>
      <c r="AK353" s="20" t="s">
        <v>1235</v>
      </c>
      <c r="AL353" s="20">
        <v>39035</v>
      </c>
      <c r="AM353" s="20" t="s">
        <v>24</v>
      </c>
      <c r="AN353" s="37">
        <f t="shared" si="41"/>
        <v>17410</v>
      </c>
      <c r="AO353" s="37" t="str">
        <f t="shared" si="42"/>
        <v>Cleveland, OH</v>
      </c>
      <c r="AP353" s="20" t="s">
        <v>8</v>
      </c>
      <c r="AQ353" s="25"/>
      <c r="AR353" s="25"/>
      <c r="AS353" s="25"/>
      <c r="AT353" s="25"/>
      <c r="AU353" s="36"/>
      <c r="AV353" s="36"/>
      <c r="AW353" s="36"/>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39">
        <v>44095</v>
      </c>
      <c r="BV353" s="39" t="s">
        <v>1202</v>
      </c>
      <c r="BW353" s="39" t="s">
        <v>2900</v>
      </c>
      <c r="BX353" s="39" t="s">
        <v>2852</v>
      </c>
      <c r="BY353" s="71">
        <v>910</v>
      </c>
      <c r="BZ353" s="71">
        <v>1030</v>
      </c>
      <c r="CA353" s="71">
        <v>1250</v>
      </c>
      <c r="CB353" s="71">
        <v>1610</v>
      </c>
      <c r="CC353" s="71">
        <v>1720</v>
      </c>
      <c r="CD353" s="25"/>
      <c r="CE353" s="200"/>
      <c r="CF353" s="200"/>
      <c r="CG353" s="200"/>
      <c r="CH353" s="200"/>
      <c r="CI353" s="200"/>
      <c r="CJ353" s="200"/>
      <c r="CK353" s="200"/>
      <c r="CL353" s="200"/>
      <c r="CM353" s="200"/>
      <c r="CN353" s="200"/>
      <c r="CO353" s="200"/>
      <c r="CP353" s="200"/>
      <c r="CQ353" s="200"/>
      <c r="CR353" s="200"/>
      <c r="CS353" s="200"/>
      <c r="CT353" s="200"/>
      <c r="CU353" s="200"/>
    </row>
    <row r="354" spans="1:99" s="17" customFormat="1" x14ac:dyDescent="0.2">
      <c r="A354" s="25"/>
      <c r="B354" s="20">
        <v>39017014300</v>
      </c>
      <c r="C354" s="20">
        <v>143</v>
      </c>
      <c r="D354" s="20" t="s">
        <v>15</v>
      </c>
      <c r="E354" s="20" t="s">
        <v>2828</v>
      </c>
      <c r="F354" s="20" t="s">
        <v>8</v>
      </c>
      <c r="G354" s="861">
        <v>68.065714565522498</v>
      </c>
      <c r="H354" s="861">
        <v>63.682488998349697</v>
      </c>
      <c r="I354" s="861">
        <v>25.357060906380301</v>
      </c>
      <c r="J354" s="861">
        <v>46.5810881071964</v>
      </c>
      <c r="K354" s="982">
        <v>0</v>
      </c>
      <c r="L354" s="735">
        <v>4695</v>
      </c>
      <c r="M354" s="735">
        <v>5002</v>
      </c>
      <c r="N354" s="845">
        <f t="shared" si="38"/>
        <v>6.5388711395101176E-2</v>
      </c>
      <c r="O354" s="735">
        <v>22.265366307029108</v>
      </c>
      <c r="P354" s="735">
        <f t="shared" si="39"/>
        <v>224.65383820884563</v>
      </c>
      <c r="Q354" s="849">
        <v>43.1</v>
      </c>
      <c r="R354" s="71">
        <v>88006</v>
      </c>
      <c r="S354" s="845">
        <v>4.4659022329511168E-2</v>
      </c>
      <c r="T354" s="845">
        <v>5.0000000000000001E-3</v>
      </c>
      <c r="U354" s="845">
        <v>6.0000000000000001E-3</v>
      </c>
      <c r="V354" s="845">
        <v>0</v>
      </c>
      <c r="W354" s="845">
        <v>0.10907184058730991</v>
      </c>
      <c r="X354" s="845">
        <v>0.52884615384615385</v>
      </c>
      <c r="Y354" s="845">
        <v>0.96621351459416238</v>
      </c>
      <c r="Z354" s="845">
        <v>8.7964814074370252E-3</v>
      </c>
      <c r="AA354" s="845">
        <v>0</v>
      </c>
      <c r="AB354" s="845">
        <v>1.2395041983206718E-2</v>
      </c>
      <c r="AC354" s="845">
        <v>0</v>
      </c>
      <c r="AD354" s="845">
        <v>0</v>
      </c>
      <c r="AE354" s="845">
        <v>1.2594962015193922E-2</v>
      </c>
      <c r="AF354" s="845">
        <v>0</v>
      </c>
      <c r="AG354" s="845">
        <v>0.96621351459416238</v>
      </c>
      <c r="AH354" s="20" t="str">
        <f t="shared" si="40"/>
        <v>Yes</v>
      </c>
      <c r="AI354" s="25"/>
      <c r="AJ354" s="37">
        <v>44133</v>
      </c>
      <c r="AK354" s="37" t="s">
        <v>1236</v>
      </c>
      <c r="AL354" s="37">
        <v>39035</v>
      </c>
      <c r="AM354" s="37" t="s">
        <v>24</v>
      </c>
      <c r="AN354" s="37">
        <f t="shared" si="41"/>
        <v>17410</v>
      </c>
      <c r="AO354" s="37" t="str">
        <f t="shared" si="42"/>
        <v>Cleveland, OH</v>
      </c>
      <c r="AP354" s="20" t="s">
        <v>8</v>
      </c>
      <c r="AQ354" s="25"/>
      <c r="AR354" s="25"/>
      <c r="AS354" s="25"/>
      <c r="AT354" s="25"/>
      <c r="AU354" s="36"/>
      <c r="AV354" s="36"/>
      <c r="AW354" s="36"/>
      <c r="AX354" s="25"/>
      <c r="AY354" s="25"/>
      <c r="AZ354" s="25"/>
      <c r="BA354" s="25"/>
      <c r="BB354" s="25"/>
      <c r="BC354" s="25"/>
      <c r="BD354" s="25"/>
      <c r="BE354" s="25"/>
      <c r="BF354" s="25"/>
      <c r="BG354" s="25"/>
      <c r="BH354" s="25"/>
      <c r="BI354" s="25"/>
      <c r="BJ354" s="25"/>
      <c r="BK354" s="25"/>
      <c r="BL354" s="25"/>
      <c r="BM354" s="25"/>
      <c r="BN354" s="25"/>
      <c r="BO354" s="25"/>
      <c r="BP354" s="25"/>
      <c r="BQ354" s="25"/>
      <c r="BR354" s="25"/>
      <c r="BS354" s="25"/>
      <c r="BT354" s="25"/>
      <c r="BU354" s="39">
        <v>44099</v>
      </c>
      <c r="BV354" s="39" t="s">
        <v>1203</v>
      </c>
      <c r="BW354" s="39" t="s">
        <v>2900</v>
      </c>
      <c r="BX354" s="39" t="s">
        <v>2852</v>
      </c>
      <c r="BY354" s="71">
        <v>800</v>
      </c>
      <c r="BZ354" s="71">
        <v>910</v>
      </c>
      <c r="CA354" s="71">
        <v>1110</v>
      </c>
      <c r="CB354" s="71">
        <v>1400</v>
      </c>
      <c r="CC354" s="71">
        <v>1530</v>
      </c>
      <c r="CD354" s="25"/>
      <c r="CE354" s="200"/>
      <c r="CF354" s="200"/>
      <c r="CG354" s="200"/>
      <c r="CH354" s="200"/>
      <c r="CI354" s="200"/>
      <c r="CJ354" s="200"/>
      <c r="CK354" s="200"/>
      <c r="CL354" s="200"/>
      <c r="CM354" s="200"/>
      <c r="CN354" s="200"/>
      <c r="CO354" s="200"/>
      <c r="CP354" s="200"/>
      <c r="CQ354" s="200"/>
      <c r="CR354" s="200"/>
      <c r="CS354" s="200"/>
      <c r="CT354" s="200"/>
      <c r="CU354" s="200"/>
    </row>
    <row r="355" spans="1:99" s="17" customFormat="1" x14ac:dyDescent="0.2">
      <c r="A355" s="25"/>
      <c r="B355" s="20">
        <v>39061004605</v>
      </c>
      <c r="C355" s="20">
        <v>46.05</v>
      </c>
      <c r="D355" s="20" t="s">
        <v>37</v>
      </c>
      <c r="E355" s="20" t="s">
        <v>2828</v>
      </c>
      <c r="F355" s="20" t="s">
        <v>8</v>
      </c>
      <c r="G355" s="861">
        <v>68.055189588445998</v>
      </c>
      <c r="H355" s="861">
        <v>73.165402835994996</v>
      </c>
      <c r="I355" s="861">
        <v>28.955317377451902</v>
      </c>
      <c r="J355" s="861">
        <v>48.970865677977201</v>
      </c>
      <c r="K355" s="982">
        <v>2</v>
      </c>
      <c r="L355" s="735">
        <v>2437</v>
      </c>
      <c r="M355" s="735">
        <v>2382</v>
      </c>
      <c r="N355" s="845">
        <f t="shared" si="38"/>
        <v>-2.2568732047599509E-2</v>
      </c>
      <c r="O355" s="735">
        <v>1.7666200791941089</v>
      </c>
      <c r="P355" s="735">
        <f t="shared" si="39"/>
        <v>1348.3374428114805</v>
      </c>
      <c r="Q355" s="849">
        <v>41</v>
      </c>
      <c r="R355" s="71">
        <v>77342</v>
      </c>
      <c r="S355" s="845">
        <v>3.6724356268467706E-2</v>
      </c>
      <c r="T355" s="845">
        <v>2.5000000000000001E-2</v>
      </c>
      <c r="U355" s="845">
        <v>0</v>
      </c>
      <c r="V355" s="845">
        <v>0</v>
      </c>
      <c r="W355" s="845">
        <v>0.47305389221556887</v>
      </c>
      <c r="X355" s="845">
        <v>0.44620253164556961</v>
      </c>
      <c r="Y355" s="845">
        <v>0.82031905961376994</v>
      </c>
      <c r="Z355" s="845">
        <v>0.11167086481947942</v>
      </c>
      <c r="AA355" s="845">
        <v>0</v>
      </c>
      <c r="AB355" s="845">
        <v>1.2594458438287154E-2</v>
      </c>
      <c r="AC355" s="845">
        <v>0</v>
      </c>
      <c r="AD355" s="845">
        <v>8.8161209068010078E-3</v>
      </c>
      <c r="AE355" s="845">
        <v>4.659949622166247E-2</v>
      </c>
      <c r="AF355" s="845">
        <v>3.4005037783375318E-2</v>
      </c>
      <c r="AG355" s="845">
        <v>0.79513014273719562</v>
      </c>
      <c r="AH355" s="20" t="str">
        <f t="shared" si="40"/>
        <v>No</v>
      </c>
      <c r="AI355" s="25"/>
      <c r="AJ355" s="20">
        <v>44134</v>
      </c>
      <c r="AK355" s="20" t="s">
        <v>1237</v>
      </c>
      <c r="AL355" s="20">
        <v>39035</v>
      </c>
      <c r="AM355" s="20" t="s">
        <v>24</v>
      </c>
      <c r="AN355" s="37">
        <f t="shared" si="41"/>
        <v>17410</v>
      </c>
      <c r="AO355" s="37" t="str">
        <f t="shared" si="42"/>
        <v>Cleveland, OH</v>
      </c>
      <c r="AP355" s="20" t="s">
        <v>8</v>
      </c>
      <c r="AQ355" s="25"/>
      <c r="AR355" s="25"/>
      <c r="AS355" s="25"/>
      <c r="AT355" s="25"/>
      <c r="AU355" s="36"/>
      <c r="AV355" s="36"/>
      <c r="AW355" s="36"/>
      <c r="AX355" s="25"/>
      <c r="AY355" s="25"/>
      <c r="AZ355" s="25"/>
      <c r="BA355" s="25"/>
      <c r="BB355" s="25"/>
      <c r="BC355" s="25"/>
      <c r="BD355" s="25"/>
      <c r="BE355" s="25"/>
      <c r="BF355" s="25"/>
      <c r="BG355" s="25"/>
      <c r="BH355" s="25"/>
      <c r="BI355" s="25"/>
      <c r="BJ355" s="25"/>
      <c r="BK355" s="25"/>
      <c r="BL355" s="25"/>
      <c r="BM355" s="25"/>
      <c r="BN355" s="25"/>
      <c r="BO355" s="25"/>
      <c r="BP355" s="25"/>
      <c r="BQ355" s="25"/>
      <c r="BR355" s="25"/>
      <c r="BS355" s="25"/>
      <c r="BT355" s="25"/>
      <c r="BU355" s="39">
        <v>44101</v>
      </c>
      <c r="BV355" s="39" t="s">
        <v>1204</v>
      </c>
      <c r="BW355" s="39" t="s">
        <v>2900</v>
      </c>
      <c r="BX355" s="39" t="s">
        <v>2852</v>
      </c>
      <c r="BY355" s="71">
        <v>1170</v>
      </c>
      <c r="BZ355" s="71">
        <v>1330</v>
      </c>
      <c r="CA355" s="71">
        <v>1610</v>
      </c>
      <c r="CB355" s="71">
        <v>2080</v>
      </c>
      <c r="CC355" s="71">
        <v>2220</v>
      </c>
      <c r="CD355" s="25"/>
      <c r="CE355" s="200"/>
      <c r="CF355" s="200"/>
      <c r="CG355" s="200"/>
      <c r="CH355" s="200"/>
      <c r="CI355" s="200"/>
      <c r="CJ355" s="200"/>
      <c r="CK355" s="200"/>
      <c r="CL355" s="200"/>
      <c r="CM355" s="200"/>
      <c r="CN355" s="200"/>
      <c r="CO355" s="200"/>
      <c r="CP355" s="200"/>
      <c r="CQ355" s="200"/>
      <c r="CR355" s="200"/>
      <c r="CS355" s="200"/>
      <c r="CT355" s="200"/>
      <c r="CU355" s="200"/>
    </row>
    <row r="356" spans="1:99" s="17" customFormat="1" x14ac:dyDescent="0.2">
      <c r="A356" s="25"/>
      <c r="B356" s="20">
        <v>39153533102</v>
      </c>
      <c r="C356" s="20">
        <v>5331.02</v>
      </c>
      <c r="D356" s="20" t="s">
        <v>82</v>
      </c>
      <c r="E356" s="20" t="s">
        <v>2843</v>
      </c>
      <c r="F356" s="20" t="s">
        <v>8</v>
      </c>
      <c r="G356" s="861">
        <v>68.048143321561994</v>
      </c>
      <c r="H356" s="861">
        <v>68.140788638528605</v>
      </c>
      <c r="I356" s="861">
        <v>21.956052754042901</v>
      </c>
      <c r="J356" s="861">
        <v>45.858330617415596</v>
      </c>
      <c r="K356" s="982">
        <v>0</v>
      </c>
      <c r="L356" s="735">
        <v>2680</v>
      </c>
      <c r="M356" s="735">
        <v>2416</v>
      </c>
      <c r="N356" s="845">
        <f t="shared" si="38"/>
        <v>-9.8507462686567168E-2</v>
      </c>
      <c r="O356" s="735">
        <v>2.2784479114848137</v>
      </c>
      <c r="P356" s="735">
        <f t="shared" si="39"/>
        <v>1060.3709603462239</v>
      </c>
      <c r="Q356" s="849">
        <v>40.700000000000003</v>
      </c>
      <c r="R356" s="71">
        <v>198958</v>
      </c>
      <c r="S356" s="845">
        <v>3.885135135135135E-2</v>
      </c>
      <c r="T356" s="845">
        <v>1.2E-2</v>
      </c>
      <c r="U356" s="845">
        <v>0</v>
      </c>
      <c r="V356" s="845">
        <v>0</v>
      </c>
      <c r="W356" s="845">
        <v>7.8553615960099757E-2</v>
      </c>
      <c r="X356" s="845">
        <v>0.66666666666666663</v>
      </c>
      <c r="Y356" s="845">
        <v>0.81995033112582782</v>
      </c>
      <c r="Z356" s="845">
        <v>2.1109271523178808E-2</v>
      </c>
      <c r="AA356" s="845">
        <v>0</v>
      </c>
      <c r="AB356" s="845">
        <v>1.9453642384105959E-2</v>
      </c>
      <c r="AC356" s="845">
        <v>0</v>
      </c>
      <c r="AD356" s="845">
        <v>1.5314569536423841E-2</v>
      </c>
      <c r="AE356" s="845">
        <v>0.12417218543046357</v>
      </c>
      <c r="AF356" s="845">
        <v>6.1258278145695365E-2</v>
      </c>
      <c r="AG356" s="845">
        <v>0.80546357615894038</v>
      </c>
      <c r="AH356" s="20" t="str">
        <f t="shared" si="40"/>
        <v>No</v>
      </c>
      <c r="AI356" s="25"/>
      <c r="AJ356" s="20">
        <v>44135</v>
      </c>
      <c r="AK356" s="20" t="s">
        <v>1238</v>
      </c>
      <c r="AL356" s="20">
        <v>39035</v>
      </c>
      <c r="AM356" s="20" t="s">
        <v>24</v>
      </c>
      <c r="AN356" s="37">
        <f t="shared" si="41"/>
        <v>17410</v>
      </c>
      <c r="AO356" s="37" t="str">
        <f t="shared" si="42"/>
        <v>Cleveland, OH</v>
      </c>
      <c r="AP356" s="20" t="s">
        <v>8</v>
      </c>
      <c r="AQ356" s="25"/>
      <c r="AR356" s="25"/>
      <c r="AS356" s="25"/>
      <c r="AT356" s="25"/>
      <c r="AU356" s="36"/>
      <c r="AV356" s="36"/>
      <c r="AW356" s="36"/>
      <c r="AX356" s="25"/>
      <c r="AY356" s="25"/>
      <c r="AZ356" s="25"/>
      <c r="BA356" s="25"/>
      <c r="BB356" s="25"/>
      <c r="BC356" s="25"/>
      <c r="BD356" s="25"/>
      <c r="BE356" s="25"/>
      <c r="BF356" s="25"/>
      <c r="BG356" s="25"/>
      <c r="BH356" s="25"/>
      <c r="BI356" s="25"/>
      <c r="BJ356" s="25"/>
      <c r="BK356" s="25"/>
      <c r="BL356" s="25"/>
      <c r="BM356" s="25"/>
      <c r="BN356" s="25"/>
      <c r="BO356" s="25"/>
      <c r="BP356" s="25"/>
      <c r="BQ356" s="25"/>
      <c r="BR356" s="25"/>
      <c r="BS356" s="25"/>
      <c r="BT356" s="25"/>
      <c r="BU356" s="39">
        <v>44102</v>
      </c>
      <c r="BV356" s="39" t="s">
        <v>1205</v>
      </c>
      <c r="BW356" s="39" t="s">
        <v>2900</v>
      </c>
      <c r="BX356" s="39" t="s">
        <v>2852</v>
      </c>
      <c r="BY356" s="71">
        <v>820</v>
      </c>
      <c r="BZ356" s="71">
        <v>940</v>
      </c>
      <c r="CA356" s="71">
        <v>1130</v>
      </c>
      <c r="CB356" s="71">
        <v>1450</v>
      </c>
      <c r="CC356" s="71">
        <v>1550</v>
      </c>
      <c r="CD356" s="25"/>
      <c r="CE356" s="200"/>
      <c r="CF356" s="200"/>
      <c r="CG356" s="200"/>
      <c r="CH356" s="200"/>
      <c r="CI356" s="200"/>
      <c r="CJ356" s="200"/>
      <c r="CK356" s="200"/>
      <c r="CL356" s="200"/>
      <c r="CM356" s="200"/>
      <c r="CN356" s="200"/>
      <c r="CO356" s="200"/>
      <c r="CP356" s="200"/>
      <c r="CQ356" s="200"/>
      <c r="CR356" s="200"/>
      <c r="CS356" s="200"/>
      <c r="CT356" s="200"/>
      <c r="CU356" s="200"/>
    </row>
    <row r="357" spans="1:99" s="17" customFormat="1" x14ac:dyDescent="0.2">
      <c r="A357" s="25"/>
      <c r="B357" s="20">
        <v>39035186107</v>
      </c>
      <c r="C357" s="20">
        <v>1861.07</v>
      </c>
      <c r="D357" s="20" t="s">
        <v>24</v>
      </c>
      <c r="E357" s="20" t="s">
        <v>2829</v>
      </c>
      <c r="F357" s="20" t="s">
        <v>8</v>
      </c>
      <c r="G357" s="861">
        <v>68.023473458956801</v>
      </c>
      <c r="H357" s="861">
        <v>67.806985833728007</v>
      </c>
      <c r="I357" s="861">
        <v>20.6451242818348</v>
      </c>
      <c r="J357" s="861">
        <v>53.104149717369097</v>
      </c>
      <c r="K357" s="982">
        <v>0</v>
      </c>
      <c r="L357" s="735">
        <v>5722</v>
      </c>
      <c r="M357" s="735">
        <v>6446</v>
      </c>
      <c r="N357" s="845">
        <f t="shared" si="38"/>
        <v>0.12652918559944076</v>
      </c>
      <c r="O357" s="735">
        <v>4.0867060196658587</v>
      </c>
      <c r="P357" s="735">
        <f t="shared" si="39"/>
        <v>1577.3094440806008</v>
      </c>
      <c r="Q357" s="849">
        <v>53.2</v>
      </c>
      <c r="R357" s="71">
        <v>117989</v>
      </c>
      <c r="S357" s="845">
        <v>3.8473471920570899E-2</v>
      </c>
      <c r="T357" s="845">
        <v>1.7000000000000001E-2</v>
      </c>
      <c r="U357" s="845">
        <v>0</v>
      </c>
      <c r="V357" s="845">
        <v>7.400000000000001E-2</v>
      </c>
      <c r="W357" s="845">
        <v>8.0572289156626509E-2</v>
      </c>
      <c r="X357" s="845">
        <v>0</v>
      </c>
      <c r="Y357" s="845">
        <v>0.85138070121005271</v>
      </c>
      <c r="Z357" s="845">
        <v>0</v>
      </c>
      <c r="AA357" s="845">
        <v>0</v>
      </c>
      <c r="AB357" s="845">
        <v>8.8116661495501084E-2</v>
      </c>
      <c r="AC357" s="845">
        <v>0</v>
      </c>
      <c r="AD357" s="845">
        <v>1.7840521253490536E-2</v>
      </c>
      <c r="AE357" s="845">
        <v>4.2662116040955635E-2</v>
      </c>
      <c r="AF357" s="845">
        <v>2.9475643810114799E-3</v>
      </c>
      <c r="AG357" s="845">
        <v>0.85138070121005271</v>
      </c>
      <c r="AH357" s="20" t="str">
        <f t="shared" si="40"/>
        <v>No</v>
      </c>
      <c r="AI357" s="25"/>
      <c r="AJ357" s="20">
        <v>44136</v>
      </c>
      <c r="AK357" s="20" t="s">
        <v>1239</v>
      </c>
      <c r="AL357" s="20">
        <v>39035</v>
      </c>
      <c r="AM357" s="20" t="s">
        <v>24</v>
      </c>
      <c r="AN357" s="37">
        <f t="shared" si="41"/>
        <v>17410</v>
      </c>
      <c r="AO357" s="37" t="str">
        <f t="shared" si="42"/>
        <v>Cleveland, OH</v>
      </c>
      <c r="AP357" s="20" t="s">
        <v>8</v>
      </c>
      <c r="AQ357" s="25"/>
      <c r="AR357" s="25"/>
      <c r="AS357" s="25"/>
      <c r="AT357" s="25"/>
      <c r="AU357" s="36"/>
      <c r="AV357" s="36"/>
      <c r="AW357" s="36"/>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25"/>
      <c r="BU357" s="39">
        <v>44103</v>
      </c>
      <c r="BV357" s="39" t="s">
        <v>1206</v>
      </c>
      <c r="BW357" s="39" t="s">
        <v>2900</v>
      </c>
      <c r="BX357" s="39" t="s">
        <v>2852</v>
      </c>
      <c r="BY357" s="71">
        <v>780</v>
      </c>
      <c r="BZ357" s="71">
        <v>890</v>
      </c>
      <c r="CA357" s="71">
        <v>1070</v>
      </c>
      <c r="CB357" s="71">
        <v>1380</v>
      </c>
      <c r="CC357" s="71">
        <v>1470</v>
      </c>
      <c r="CD357" s="25"/>
      <c r="CE357" s="200"/>
      <c r="CF357" s="200"/>
      <c r="CG357" s="200"/>
      <c r="CH357" s="200"/>
      <c r="CI357" s="200"/>
      <c r="CJ357" s="200"/>
      <c r="CK357" s="200"/>
      <c r="CL357" s="200"/>
      <c r="CM357" s="200"/>
      <c r="CN357" s="200"/>
      <c r="CO357" s="200"/>
      <c r="CP357" s="200"/>
      <c r="CQ357" s="200"/>
      <c r="CR357" s="200"/>
      <c r="CS357" s="200"/>
      <c r="CT357" s="200"/>
      <c r="CU357" s="200"/>
    </row>
    <row r="358" spans="1:99" s="17" customFormat="1" x14ac:dyDescent="0.2">
      <c r="A358" s="25"/>
      <c r="B358" s="20">
        <v>39171950700</v>
      </c>
      <c r="C358" s="20">
        <v>9507</v>
      </c>
      <c r="D358" s="20" t="s">
        <v>91</v>
      </c>
      <c r="E358" s="20" t="s">
        <v>265</v>
      </c>
      <c r="F358" s="20" t="s">
        <v>8</v>
      </c>
      <c r="G358" s="861">
        <v>68.020514523487705</v>
      </c>
      <c r="H358" s="861">
        <v>63.482334281875403</v>
      </c>
      <c r="I358" s="861">
        <v>31.4020535255179</v>
      </c>
      <c r="J358" s="861">
        <v>35.683287404007203</v>
      </c>
      <c r="K358" s="982">
        <v>1</v>
      </c>
      <c r="L358" s="735">
        <v>4286</v>
      </c>
      <c r="M358" s="735">
        <v>4203</v>
      </c>
      <c r="N358" s="845">
        <f t="shared" si="38"/>
        <v>-1.936537564162389E-2</v>
      </c>
      <c r="O358" s="735">
        <v>3.0324347705210122</v>
      </c>
      <c r="P358" s="735">
        <f t="shared" si="39"/>
        <v>1386.0149741251876</v>
      </c>
      <c r="Q358" s="849">
        <v>43.7</v>
      </c>
      <c r="R358" s="71">
        <v>63333</v>
      </c>
      <c r="S358" s="845">
        <v>0.11225743060673053</v>
      </c>
      <c r="T358" s="845">
        <v>1.1000000000000001E-2</v>
      </c>
      <c r="U358" s="845">
        <v>6.9999999999999993E-3</v>
      </c>
      <c r="V358" s="845">
        <v>1.1000000000000001E-2</v>
      </c>
      <c r="W358" s="845">
        <v>0.28837719298245612</v>
      </c>
      <c r="X358" s="845">
        <v>0.44486692015209123</v>
      </c>
      <c r="Y358" s="845">
        <v>0.92219842969307642</v>
      </c>
      <c r="Z358" s="845">
        <v>3.5688793718772305E-3</v>
      </c>
      <c r="AA358" s="845">
        <v>9.9928622412562458E-3</v>
      </c>
      <c r="AB358" s="845">
        <v>7.8515346181299069E-3</v>
      </c>
      <c r="AC358" s="845">
        <v>0</v>
      </c>
      <c r="AD358" s="845">
        <v>3.2833690221270521E-2</v>
      </c>
      <c r="AE358" s="845">
        <v>2.3554603854389723E-2</v>
      </c>
      <c r="AF358" s="845">
        <v>3.9971448965024983E-2</v>
      </c>
      <c r="AG358" s="845">
        <v>0.92219842969307642</v>
      </c>
      <c r="AH358" s="20" t="str">
        <f t="shared" si="40"/>
        <v>Yes</v>
      </c>
      <c r="AI358" s="25"/>
      <c r="AJ358" s="37">
        <v>44137</v>
      </c>
      <c r="AK358" s="37" t="s">
        <v>1240</v>
      </c>
      <c r="AL358" s="37">
        <v>39035</v>
      </c>
      <c r="AM358" s="37" t="s">
        <v>24</v>
      </c>
      <c r="AN358" s="37">
        <f t="shared" si="41"/>
        <v>17410</v>
      </c>
      <c r="AO358" s="37" t="str">
        <f t="shared" si="42"/>
        <v>Cleveland, OH</v>
      </c>
      <c r="AP358" s="20" t="s">
        <v>8</v>
      </c>
      <c r="AQ358" s="25"/>
      <c r="AR358" s="25"/>
      <c r="AS358" s="25"/>
      <c r="AT358" s="25"/>
      <c r="AU358" s="36"/>
      <c r="AV358" s="36"/>
      <c r="AW358" s="36"/>
      <c r="AX358" s="25"/>
      <c r="AY358" s="25"/>
      <c r="AZ358" s="25"/>
      <c r="BA358" s="25"/>
      <c r="BB358" s="25"/>
      <c r="BC358" s="25"/>
      <c r="BD358" s="25"/>
      <c r="BE358" s="25"/>
      <c r="BF358" s="25"/>
      <c r="BG358" s="25"/>
      <c r="BH358" s="25"/>
      <c r="BI358" s="25"/>
      <c r="BJ358" s="25"/>
      <c r="BK358" s="25"/>
      <c r="BL358" s="25"/>
      <c r="BM358" s="25"/>
      <c r="BN358" s="25"/>
      <c r="BO358" s="25"/>
      <c r="BP358" s="25"/>
      <c r="BQ358" s="25"/>
      <c r="BR358" s="25"/>
      <c r="BS358" s="25"/>
      <c r="BT358" s="25"/>
      <c r="BU358" s="39">
        <v>44104</v>
      </c>
      <c r="BV358" s="39" t="s">
        <v>1207</v>
      </c>
      <c r="BW358" s="39" t="s">
        <v>2900</v>
      </c>
      <c r="BX358" s="39" t="s">
        <v>2852</v>
      </c>
      <c r="BY358" s="71">
        <v>720</v>
      </c>
      <c r="BZ358" s="71">
        <v>810</v>
      </c>
      <c r="CA358" s="71">
        <v>980</v>
      </c>
      <c r="CB358" s="71">
        <v>1260</v>
      </c>
      <c r="CC358" s="71">
        <v>1350</v>
      </c>
      <c r="CD358" s="25"/>
      <c r="CE358" s="200"/>
      <c r="CF358" s="200"/>
      <c r="CG358" s="200"/>
      <c r="CH358" s="200"/>
      <c r="CI358" s="200"/>
      <c r="CJ358" s="200"/>
      <c r="CK358" s="200"/>
      <c r="CL358" s="200"/>
      <c r="CM358" s="200"/>
      <c r="CN358" s="200"/>
      <c r="CO358" s="200"/>
      <c r="CP358" s="200"/>
      <c r="CQ358" s="200"/>
      <c r="CR358" s="200"/>
      <c r="CS358" s="200"/>
      <c r="CT358" s="200"/>
      <c r="CU358" s="200"/>
    </row>
    <row r="359" spans="1:99" s="17" customFormat="1" x14ac:dyDescent="0.2">
      <c r="A359" s="25"/>
      <c r="B359" s="20">
        <v>39035195800</v>
      </c>
      <c r="C359" s="20">
        <v>1958</v>
      </c>
      <c r="D359" s="20" t="s">
        <v>24</v>
      </c>
      <c r="E359" s="20" t="s">
        <v>2829</v>
      </c>
      <c r="F359" s="20" t="s">
        <v>8</v>
      </c>
      <c r="G359" s="861">
        <v>68.000469197871993</v>
      </c>
      <c r="H359" s="861">
        <v>71.5818128468552</v>
      </c>
      <c r="I359" s="861">
        <v>22.478694000947101</v>
      </c>
      <c r="J359" s="861">
        <v>53.844494192349799</v>
      </c>
      <c r="K359" s="982">
        <v>0</v>
      </c>
      <c r="L359" s="735">
        <v>3911</v>
      </c>
      <c r="M359" s="735">
        <v>3960</v>
      </c>
      <c r="N359" s="845">
        <f t="shared" si="38"/>
        <v>1.2528765021733572E-2</v>
      </c>
      <c r="O359" s="735">
        <v>5.3601037573875194</v>
      </c>
      <c r="P359" s="735">
        <f t="shared" si="39"/>
        <v>738.79166882584354</v>
      </c>
      <c r="Q359" s="849">
        <v>49.8</v>
      </c>
      <c r="R359" s="71">
        <v>178494</v>
      </c>
      <c r="S359" s="845">
        <v>4.4444444444444446E-2</v>
      </c>
      <c r="T359" s="845">
        <v>8.0000000000000002E-3</v>
      </c>
      <c r="U359" s="845">
        <v>1E-3</v>
      </c>
      <c r="V359" s="845">
        <v>0</v>
      </c>
      <c r="W359" s="845">
        <v>2.5974025974025976E-2</v>
      </c>
      <c r="X359" s="845">
        <v>0</v>
      </c>
      <c r="Y359" s="845">
        <v>0.74444444444444446</v>
      </c>
      <c r="Z359" s="845">
        <v>0.12752525252525251</v>
      </c>
      <c r="AA359" s="845">
        <v>1.2626262626262627E-3</v>
      </c>
      <c r="AB359" s="845">
        <v>8.2323232323232326E-2</v>
      </c>
      <c r="AC359" s="845">
        <v>0</v>
      </c>
      <c r="AD359" s="845">
        <v>2.0202020202020204E-2</v>
      </c>
      <c r="AE359" s="845">
        <v>2.4242424242424242E-2</v>
      </c>
      <c r="AF359" s="845">
        <v>2.1464646464646464E-2</v>
      </c>
      <c r="AG359" s="845">
        <v>0.7356060606060606</v>
      </c>
      <c r="AH359" s="20" t="str">
        <f t="shared" si="40"/>
        <v>No</v>
      </c>
      <c r="AI359" s="25"/>
      <c r="AJ359" s="20">
        <v>44138</v>
      </c>
      <c r="AK359" s="20" t="s">
        <v>1241</v>
      </c>
      <c r="AL359" s="20">
        <v>39035</v>
      </c>
      <c r="AM359" s="20" t="s">
        <v>24</v>
      </c>
      <c r="AN359" s="37">
        <f t="shared" si="41"/>
        <v>17410</v>
      </c>
      <c r="AO359" s="37" t="str">
        <f t="shared" si="42"/>
        <v>Cleveland, OH</v>
      </c>
      <c r="AP359" s="20" t="s">
        <v>8</v>
      </c>
      <c r="AQ359" s="25"/>
      <c r="AR359" s="25"/>
      <c r="AS359" s="25"/>
      <c r="AT359" s="25"/>
      <c r="AU359" s="36"/>
      <c r="AV359" s="36"/>
      <c r="AW359" s="36"/>
      <c r="AX359" s="25"/>
      <c r="AY359" s="25"/>
      <c r="AZ359" s="25"/>
      <c r="BA359" s="25"/>
      <c r="BB359" s="25"/>
      <c r="BC359" s="25"/>
      <c r="BD359" s="25"/>
      <c r="BE359" s="25"/>
      <c r="BF359" s="25"/>
      <c r="BG359" s="25"/>
      <c r="BH359" s="25"/>
      <c r="BI359" s="25"/>
      <c r="BJ359" s="25"/>
      <c r="BK359" s="25"/>
      <c r="BL359" s="25"/>
      <c r="BM359" s="25"/>
      <c r="BN359" s="25"/>
      <c r="BO359" s="25"/>
      <c r="BP359" s="25"/>
      <c r="BQ359" s="25"/>
      <c r="BR359" s="25"/>
      <c r="BS359" s="25"/>
      <c r="BT359" s="25"/>
      <c r="BU359" s="39">
        <v>44105</v>
      </c>
      <c r="BV359" s="39" t="s">
        <v>1208</v>
      </c>
      <c r="BW359" s="39" t="s">
        <v>2900</v>
      </c>
      <c r="BX359" s="39" t="s">
        <v>2852</v>
      </c>
      <c r="BY359" s="71">
        <v>780</v>
      </c>
      <c r="BZ359" s="71">
        <v>890</v>
      </c>
      <c r="CA359" s="71">
        <v>1070</v>
      </c>
      <c r="CB359" s="71">
        <v>1380</v>
      </c>
      <c r="CC359" s="71">
        <v>1470</v>
      </c>
      <c r="CD359" s="25"/>
      <c r="CE359" s="200"/>
      <c r="CF359" s="200"/>
      <c r="CG359" s="200"/>
      <c r="CH359" s="200"/>
      <c r="CI359" s="200"/>
      <c r="CJ359" s="200"/>
      <c r="CK359" s="200"/>
      <c r="CL359" s="200"/>
      <c r="CM359" s="200"/>
      <c r="CN359" s="200"/>
      <c r="CO359" s="200"/>
      <c r="CP359" s="200"/>
      <c r="CQ359" s="200"/>
      <c r="CR359" s="200"/>
      <c r="CS359" s="200"/>
      <c r="CT359" s="200"/>
      <c r="CU359" s="200"/>
    </row>
    <row r="360" spans="1:99" s="17" customFormat="1" x14ac:dyDescent="0.2">
      <c r="A360" s="25"/>
      <c r="B360" s="20">
        <v>39085201101</v>
      </c>
      <c r="C360" s="20">
        <v>2011.01</v>
      </c>
      <c r="D360" s="20" t="s">
        <v>48</v>
      </c>
      <c r="E360" s="20" t="s">
        <v>2829</v>
      </c>
      <c r="F360" s="20" t="s">
        <v>8</v>
      </c>
      <c r="G360" s="861">
        <v>67.998889244783101</v>
      </c>
      <c r="H360" s="861">
        <v>71.780168360653505</v>
      </c>
      <c r="I360" s="861">
        <v>43.7477829404517</v>
      </c>
      <c r="J360" s="861">
        <v>54.492529675359101</v>
      </c>
      <c r="K360" s="982">
        <v>0</v>
      </c>
      <c r="L360" s="735" t="s">
        <v>2466</v>
      </c>
      <c r="M360" s="735">
        <v>1770</v>
      </c>
      <c r="N360" s="845" t="str">
        <f t="shared" si="38"/>
        <v/>
      </c>
      <c r="O360" s="735">
        <v>0.10767616998828616</v>
      </c>
      <c r="P360" s="735">
        <f t="shared" si="39"/>
        <v>16438.177548407919</v>
      </c>
      <c r="Q360" s="849">
        <v>34.6</v>
      </c>
      <c r="R360" s="71">
        <v>51135</v>
      </c>
      <c r="S360" s="845">
        <v>0.11694915254237288</v>
      </c>
      <c r="T360" s="845">
        <v>6.4000000000000001E-2</v>
      </c>
      <c r="U360" s="845" t="s">
        <v>2466</v>
      </c>
      <c r="V360" s="845">
        <v>2.5000000000000001E-2</v>
      </c>
      <c r="W360" s="845">
        <v>1</v>
      </c>
      <c r="X360" s="845">
        <v>0.4297872340425532</v>
      </c>
      <c r="Y360" s="845">
        <v>0.35762711864406782</v>
      </c>
      <c r="Z360" s="845">
        <v>0.46892655367231639</v>
      </c>
      <c r="AA360" s="845">
        <v>7.3446327683615821E-3</v>
      </c>
      <c r="AB360" s="845">
        <v>0.16610169491525423</v>
      </c>
      <c r="AC360" s="845">
        <v>0</v>
      </c>
      <c r="AD360" s="845">
        <v>0</v>
      </c>
      <c r="AE360" s="845">
        <v>0</v>
      </c>
      <c r="AF360" s="845">
        <v>5.3107344632768359E-2</v>
      </c>
      <c r="AG360" s="845">
        <v>0.35762711864406782</v>
      </c>
      <c r="AH360" s="20" t="str">
        <f t="shared" si="40"/>
        <v>No</v>
      </c>
      <c r="AI360" s="25"/>
      <c r="AJ360" s="20">
        <v>44139</v>
      </c>
      <c r="AK360" s="20" t="s">
        <v>1242</v>
      </c>
      <c r="AL360" s="20">
        <v>39035</v>
      </c>
      <c r="AM360" s="20" t="s">
        <v>24</v>
      </c>
      <c r="AN360" s="37">
        <f t="shared" si="41"/>
        <v>17410</v>
      </c>
      <c r="AO360" s="37" t="str">
        <f t="shared" si="42"/>
        <v>Cleveland, OH</v>
      </c>
      <c r="AP360" s="20" t="s">
        <v>8</v>
      </c>
      <c r="AQ360" s="25"/>
      <c r="AR360" s="25"/>
      <c r="AS360" s="25"/>
      <c r="AT360" s="25"/>
      <c r="AU360" s="36"/>
      <c r="AV360" s="36"/>
      <c r="AW360" s="36"/>
      <c r="AX360" s="25"/>
      <c r="AY360" s="25"/>
      <c r="AZ360" s="25"/>
      <c r="BA360" s="25"/>
      <c r="BB360" s="25"/>
      <c r="BC360" s="25"/>
      <c r="BD360" s="25"/>
      <c r="BE360" s="25"/>
      <c r="BF360" s="25"/>
      <c r="BG360" s="25"/>
      <c r="BH360" s="25"/>
      <c r="BI360" s="25"/>
      <c r="BJ360" s="25"/>
      <c r="BK360" s="25"/>
      <c r="BL360" s="25"/>
      <c r="BM360" s="25"/>
      <c r="BN360" s="25"/>
      <c r="BO360" s="25"/>
      <c r="BP360" s="25"/>
      <c r="BQ360" s="25"/>
      <c r="BR360" s="25"/>
      <c r="BS360" s="25"/>
      <c r="BT360" s="25"/>
      <c r="BU360" s="39">
        <v>44106</v>
      </c>
      <c r="BV360" s="39" t="s">
        <v>1209</v>
      </c>
      <c r="BW360" s="39" t="s">
        <v>2900</v>
      </c>
      <c r="BX360" s="39" t="s">
        <v>2852</v>
      </c>
      <c r="BY360" s="71">
        <v>1060</v>
      </c>
      <c r="BZ360" s="71">
        <v>1200</v>
      </c>
      <c r="CA360" s="71">
        <v>1450</v>
      </c>
      <c r="CB360" s="71">
        <v>1870</v>
      </c>
      <c r="CC360" s="71">
        <v>2000</v>
      </c>
      <c r="CD360" s="25"/>
      <c r="CE360" s="200"/>
      <c r="CF360" s="200"/>
      <c r="CG360" s="200"/>
      <c r="CH360" s="200"/>
      <c r="CI360" s="200"/>
      <c r="CJ360" s="200"/>
      <c r="CK360" s="200"/>
      <c r="CL360" s="200"/>
      <c r="CM360" s="200"/>
      <c r="CN360" s="200"/>
      <c r="CO360" s="200"/>
      <c r="CP360" s="200"/>
      <c r="CQ360" s="200"/>
      <c r="CR360" s="200"/>
      <c r="CS360" s="200"/>
      <c r="CT360" s="200"/>
      <c r="CU360" s="200"/>
    </row>
    <row r="361" spans="1:99" s="17" customFormat="1" x14ac:dyDescent="0.2">
      <c r="A361" s="25"/>
      <c r="B361" s="20">
        <v>39035140600</v>
      </c>
      <c r="C361" s="20">
        <v>1406</v>
      </c>
      <c r="D361" s="20" t="s">
        <v>24</v>
      </c>
      <c r="E361" s="20" t="s">
        <v>2829</v>
      </c>
      <c r="F361" s="20" t="s">
        <v>8</v>
      </c>
      <c r="G361" s="861">
        <v>67.959209857926794</v>
      </c>
      <c r="H361" s="861">
        <v>52.912907677870599</v>
      </c>
      <c r="I361" s="861">
        <v>64.3884763723822</v>
      </c>
      <c r="J361" s="861">
        <v>48.247860915081503</v>
      </c>
      <c r="K361" s="982">
        <v>0</v>
      </c>
      <c r="L361" s="735">
        <v>986</v>
      </c>
      <c r="M361" s="735">
        <v>1146</v>
      </c>
      <c r="N361" s="845">
        <f t="shared" si="38"/>
        <v>0.16227180527383367</v>
      </c>
      <c r="O361" s="735">
        <v>0.21496894053308996</v>
      </c>
      <c r="P361" s="735">
        <f t="shared" si="39"/>
        <v>5331.0026888447046</v>
      </c>
      <c r="Q361" s="849">
        <v>37.200000000000003</v>
      </c>
      <c r="R361" s="71">
        <v>51705</v>
      </c>
      <c r="S361" s="845">
        <v>6.6317626527050616E-2</v>
      </c>
      <c r="T361" s="845">
        <v>0.109</v>
      </c>
      <c r="U361" s="845">
        <v>0</v>
      </c>
      <c r="V361" s="845">
        <v>0</v>
      </c>
      <c r="W361" s="845">
        <v>0.23960396039603959</v>
      </c>
      <c r="X361" s="845">
        <v>0.71900826446280997</v>
      </c>
      <c r="Y361" s="845">
        <v>0.51308900523560208</v>
      </c>
      <c r="Z361" s="845">
        <v>0.33507853403141363</v>
      </c>
      <c r="AA361" s="845">
        <v>0</v>
      </c>
      <c r="AB361" s="845">
        <v>3.4904013961605585E-3</v>
      </c>
      <c r="AC361" s="845">
        <v>0</v>
      </c>
      <c r="AD361" s="845">
        <v>0.11518324607329843</v>
      </c>
      <c r="AE361" s="845">
        <v>3.3158813263525308E-2</v>
      </c>
      <c r="AF361" s="845">
        <v>2.6178010471204188E-2</v>
      </c>
      <c r="AG361" s="845">
        <v>0.50349040139616053</v>
      </c>
      <c r="AH361" s="20" t="str">
        <f t="shared" si="40"/>
        <v>No</v>
      </c>
      <c r="AI361" s="25"/>
      <c r="AJ361" s="20">
        <v>44140</v>
      </c>
      <c r="AK361" s="20" t="s">
        <v>1243</v>
      </c>
      <c r="AL361" s="20">
        <v>39035</v>
      </c>
      <c r="AM361" s="20" t="s">
        <v>24</v>
      </c>
      <c r="AN361" s="37">
        <f t="shared" si="41"/>
        <v>17410</v>
      </c>
      <c r="AO361" s="37" t="str">
        <f t="shared" si="42"/>
        <v>Cleveland, OH</v>
      </c>
      <c r="AP361" s="20" t="s">
        <v>8</v>
      </c>
      <c r="AQ361" s="25"/>
      <c r="AR361" s="25"/>
      <c r="AS361" s="25"/>
      <c r="AT361" s="25"/>
      <c r="AU361" s="36"/>
      <c r="AV361" s="36"/>
      <c r="AW361" s="36"/>
      <c r="AX361" s="25"/>
      <c r="AY361" s="25"/>
      <c r="AZ361" s="25"/>
      <c r="BA361" s="25"/>
      <c r="BB361" s="25"/>
      <c r="BC361" s="25"/>
      <c r="BD361" s="25"/>
      <c r="BE361" s="25"/>
      <c r="BF361" s="25"/>
      <c r="BG361" s="25"/>
      <c r="BH361" s="25"/>
      <c r="BI361" s="25"/>
      <c r="BJ361" s="25"/>
      <c r="BK361" s="25"/>
      <c r="BL361" s="25"/>
      <c r="BM361" s="25"/>
      <c r="BN361" s="25"/>
      <c r="BO361" s="25"/>
      <c r="BP361" s="25"/>
      <c r="BQ361" s="25"/>
      <c r="BR361" s="25"/>
      <c r="BS361" s="25"/>
      <c r="BT361" s="25"/>
      <c r="BU361" s="39">
        <v>44107</v>
      </c>
      <c r="BV361" s="39" t="s">
        <v>1210</v>
      </c>
      <c r="BW361" s="39" t="s">
        <v>2900</v>
      </c>
      <c r="BX361" s="39" t="s">
        <v>2852</v>
      </c>
      <c r="BY361" s="71">
        <v>990</v>
      </c>
      <c r="BZ361" s="71">
        <v>1130</v>
      </c>
      <c r="CA361" s="71">
        <v>1360</v>
      </c>
      <c r="CB361" s="71">
        <v>1750</v>
      </c>
      <c r="CC361" s="71">
        <v>1870</v>
      </c>
      <c r="CD361" s="25"/>
      <c r="CE361" s="200"/>
      <c r="CF361" s="200"/>
      <c r="CG361" s="200"/>
      <c r="CH361" s="200"/>
      <c r="CI361" s="200"/>
      <c r="CJ361" s="200"/>
      <c r="CK361" s="200"/>
      <c r="CL361" s="200"/>
      <c r="CM361" s="200"/>
      <c r="CN361" s="200"/>
      <c r="CO361" s="200"/>
      <c r="CP361" s="200"/>
      <c r="CQ361" s="200"/>
      <c r="CR361" s="200"/>
      <c r="CS361" s="200"/>
      <c r="CT361" s="200"/>
      <c r="CU361" s="200"/>
    </row>
    <row r="362" spans="1:99" s="17" customFormat="1" x14ac:dyDescent="0.2">
      <c r="A362" s="25"/>
      <c r="B362" s="20">
        <v>39061023210</v>
      </c>
      <c r="C362" s="20">
        <v>232.1</v>
      </c>
      <c r="D362" s="20" t="s">
        <v>37</v>
      </c>
      <c r="E362" s="20" t="s">
        <v>2828</v>
      </c>
      <c r="F362" s="20" t="s">
        <v>8</v>
      </c>
      <c r="G362" s="861">
        <v>67.933686041672601</v>
      </c>
      <c r="H362" s="861">
        <v>74.443743169221094</v>
      </c>
      <c r="I362" s="861">
        <v>23.246551042536399</v>
      </c>
      <c r="J362" s="861">
        <v>53.5334363908147</v>
      </c>
      <c r="K362" s="982">
        <v>0</v>
      </c>
      <c r="L362" s="735">
        <v>5507</v>
      </c>
      <c r="M362" s="735">
        <v>5678</v>
      </c>
      <c r="N362" s="845">
        <f t="shared" si="38"/>
        <v>3.1051389141093153E-2</v>
      </c>
      <c r="O362" s="735">
        <v>1.2226604391631744</v>
      </c>
      <c r="P362" s="735">
        <f t="shared" si="39"/>
        <v>4643.9713088993003</v>
      </c>
      <c r="Q362" s="849">
        <v>37.5</v>
      </c>
      <c r="R362" s="71">
        <v>100011</v>
      </c>
      <c r="S362" s="845">
        <v>4.1916167664670656E-2</v>
      </c>
      <c r="T362" s="845">
        <v>2.5000000000000001E-2</v>
      </c>
      <c r="U362" s="845">
        <v>0</v>
      </c>
      <c r="V362" s="845">
        <v>0</v>
      </c>
      <c r="W362" s="845">
        <v>0.39258363563079401</v>
      </c>
      <c r="X362" s="845">
        <v>0.16324435318275154</v>
      </c>
      <c r="Y362" s="845">
        <v>0.74198661500528351</v>
      </c>
      <c r="Z362" s="845">
        <v>0.11482916519901373</v>
      </c>
      <c r="AA362" s="845">
        <v>7.0447340612891864E-4</v>
      </c>
      <c r="AB362" s="845">
        <v>5.3363860514265588E-2</v>
      </c>
      <c r="AC362" s="845">
        <v>0</v>
      </c>
      <c r="AD362" s="845">
        <v>4.0859457555477284E-2</v>
      </c>
      <c r="AE362" s="845">
        <v>4.825642831983093E-2</v>
      </c>
      <c r="AF362" s="845">
        <v>8.5417400493131387E-2</v>
      </c>
      <c r="AG362" s="845">
        <v>0.72314195139133497</v>
      </c>
      <c r="AH362" s="20" t="str">
        <f t="shared" si="40"/>
        <v>No</v>
      </c>
      <c r="AI362" s="25"/>
      <c r="AJ362" s="20">
        <v>44142</v>
      </c>
      <c r="AK362" s="20" t="s">
        <v>1245</v>
      </c>
      <c r="AL362" s="20">
        <v>39035</v>
      </c>
      <c r="AM362" s="20" t="s">
        <v>24</v>
      </c>
      <c r="AN362" s="37">
        <f t="shared" si="41"/>
        <v>17410</v>
      </c>
      <c r="AO362" s="37" t="str">
        <f t="shared" si="42"/>
        <v>Cleveland, OH</v>
      </c>
      <c r="AP362" s="20" t="s">
        <v>8</v>
      </c>
      <c r="AQ362" s="25"/>
      <c r="AR362" s="25"/>
      <c r="AS362" s="25"/>
      <c r="AT362" s="25"/>
      <c r="AU362" s="36"/>
      <c r="AV362" s="36"/>
      <c r="AW362" s="36"/>
      <c r="AX362" s="25"/>
      <c r="AY362" s="25"/>
      <c r="AZ362" s="25"/>
      <c r="BA362" s="25"/>
      <c r="BB362" s="25"/>
      <c r="BC362" s="25"/>
      <c r="BD362" s="25"/>
      <c r="BE362" s="25"/>
      <c r="BF362" s="25"/>
      <c r="BG362" s="25"/>
      <c r="BH362" s="25"/>
      <c r="BI362" s="25"/>
      <c r="BJ362" s="25"/>
      <c r="BK362" s="25"/>
      <c r="BL362" s="25"/>
      <c r="BM362" s="25"/>
      <c r="BN362" s="25"/>
      <c r="BO362" s="25"/>
      <c r="BP362" s="25"/>
      <c r="BQ362" s="25"/>
      <c r="BR362" s="25"/>
      <c r="BS362" s="25"/>
      <c r="BT362" s="25"/>
      <c r="BU362" s="39">
        <v>44108</v>
      </c>
      <c r="BV362" s="39" t="s">
        <v>1211</v>
      </c>
      <c r="BW362" s="39" t="s">
        <v>2900</v>
      </c>
      <c r="BX362" s="39" t="s">
        <v>2852</v>
      </c>
      <c r="BY362" s="71">
        <v>850</v>
      </c>
      <c r="BZ362" s="71">
        <v>960</v>
      </c>
      <c r="CA362" s="71">
        <v>1160</v>
      </c>
      <c r="CB362" s="71">
        <v>1490</v>
      </c>
      <c r="CC362" s="71">
        <v>1600</v>
      </c>
      <c r="CD362" s="25"/>
      <c r="CE362" s="200"/>
      <c r="CF362" s="200"/>
      <c r="CG362" s="200"/>
      <c r="CH362" s="200"/>
      <c r="CI362" s="200"/>
      <c r="CJ362" s="200"/>
      <c r="CK362" s="200"/>
      <c r="CL362" s="200"/>
      <c r="CM362" s="200"/>
      <c r="CN362" s="200"/>
      <c r="CO362" s="200"/>
      <c r="CP362" s="200"/>
      <c r="CQ362" s="200"/>
      <c r="CR362" s="200"/>
      <c r="CS362" s="200"/>
      <c r="CT362" s="200"/>
      <c r="CU362" s="200"/>
    </row>
    <row r="363" spans="1:99" s="17" customFormat="1" x14ac:dyDescent="0.2">
      <c r="A363" s="25"/>
      <c r="B363" s="20">
        <v>39035160900</v>
      </c>
      <c r="C363" s="20">
        <v>1609</v>
      </c>
      <c r="D363" s="20" t="s">
        <v>24</v>
      </c>
      <c r="E363" s="20" t="s">
        <v>2829</v>
      </c>
      <c r="F363" s="20" t="s">
        <v>8</v>
      </c>
      <c r="G363" s="861">
        <v>67.913762945735201</v>
      </c>
      <c r="H363" s="861">
        <v>73.389356414975097</v>
      </c>
      <c r="I363" s="861">
        <v>37.559200274326699</v>
      </c>
      <c r="J363" s="861">
        <v>40.965911278986397</v>
      </c>
      <c r="K363" s="982">
        <v>0</v>
      </c>
      <c r="L363" s="735">
        <v>3752</v>
      </c>
      <c r="M363" s="735">
        <v>3384</v>
      </c>
      <c r="N363" s="845">
        <f t="shared" si="38"/>
        <v>-9.8081023454157784E-2</v>
      </c>
      <c r="O363" s="735">
        <v>0.64462535312565594</v>
      </c>
      <c r="P363" s="735">
        <f t="shared" si="39"/>
        <v>5249.5608241154014</v>
      </c>
      <c r="Q363" s="849">
        <v>35.200000000000003</v>
      </c>
      <c r="R363" s="71">
        <v>72684</v>
      </c>
      <c r="S363" s="845">
        <v>5.1122931442080376E-2</v>
      </c>
      <c r="T363" s="845">
        <v>4.4000000000000004E-2</v>
      </c>
      <c r="U363" s="845">
        <v>0</v>
      </c>
      <c r="V363" s="845">
        <v>3.6000000000000004E-2</v>
      </c>
      <c r="W363" s="845">
        <v>0.40241796200345425</v>
      </c>
      <c r="X363" s="845">
        <v>0.3676680972818312</v>
      </c>
      <c r="Y363" s="845">
        <v>0.89952718676122934</v>
      </c>
      <c r="Z363" s="845">
        <v>3.3983451536643026E-2</v>
      </c>
      <c r="AA363" s="845">
        <v>0</v>
      </c>
      <c r="AB363" s="845">
        <v>2.3345153664302599E-2</v>
      </c>
      <c r="AC363" s="845">
        <v>0</v>
      </c>
      <c r="AD363" s="845">
        <v>0</v>
      </c>
      <c r="AE363" s="845">
        <v>4.3144208037825059E-2</v>
      </c>
      <c r="AF363" s="845">
        <v>1.7139479905437353E-2</v>
      </c>
      <c r="AG363" s="845">
        <v>0.88711583924349879</v>
      </c>
      <c r="AH363" s="20" t="str">
        <f t="shared" si="40"/>
        <v>No</v>
      </c>
      <c r="AI363" s="25"/>
      <c r="AJ363" s="20">
        <v>44143</v>
      </c>
      <c r="AK363" s="20" t="s">
        <v>1246</v>
      </c>
      <c r="AL363" s="20">
        <v>39035</v>
      </c>
      <c r="AM363" s="20" t="s">
        <v>24</v>
      </c>
      <c r="AN363" s="37">
        <f t="shared" si="41"/>
        <v>17410</v>
      </c>
      <c r="AO363" s="37" t="str">
        <f t="shared" si="42"/>
        <v>Cleveland, OH</v>
      </c>
      <c r="AP363" s="20" t="s">
        <v>8</v>
      </c>
      <c r="AQ363" s="25"/>
      <c r="AR363" s="25"/>
      <c r="AS363" s="25"/>
      <c r="AT363" s="25"/>
      <c r="AU363" s="36"/>
      <c r="AV363" s="36"/>
      <c r="AW363" s="36"/>
      <c r="AX363" s="25"/>
      <c r="AY363" s="25"/>
      <c r="AZ363" s="25"/>
      <c r="BA363" s="25"/>
      <c r="BB363" s="25"/>
      <c r="BC363" s="25"/>
      <c r="BD363" s="25"/>
      <c r="BE363" s="25"/>
      <c r="BF363" s="25"/>
      <c r="BG363" s="25"/>
      <c r="BH363" s="25"/>
      <c r="BI363" s="25"/>
      <c r="BJ363" s="25"/>
      <c r="BK363" s="25"/>
      <c r="BL363" s="25"/>
      <c r="BM363" s="25"/>
      <c r="BN363" s="25"/>
      <c r="BO363" s="25"/>
      <c r="BP363" s="25"/>
      <c r="BQ363" s="25"/>
      <c r="BR363" s="25"/>
      <c r="BS363" s="25"/>
      <c r="BT363" s="25"/>
      <c r="BU363" s="39">
        <v>44109</v>
      </c>
      <c r="BV363" s="39" t="s">
        <v>1212</v>
      </c>
      <c r="BW363" s="39" t="s">
        <v>2900</v>
      </c>
      <c r="BX363" s="39" t="s">
        <v>2852</v>
      </c>
      <c r="BY363" s="71">
        <v>790</v>
      </c>
      <c r="BZ363" s="71">
        <v>890</v>
      </c>
      <c r="CA363" s="71">
        <v>1080</v>
      </c>
      <c r="CB363" s="71">
        <v>1390</v>
      </c>
      <c r="CC363" s="71">
        <v>1490</v>
      </c>
      <c r="CD363" s="25"/>
      <c r="CE363" s="200"/>
      <c r="CF363" s="200"/>
      <c r="CG363" s="200"/>
      <c r="CH363" s="200"/>
      <c r="CI363" s="200"/>
      <c r="CJ363" s="200"/>
      <c r="CK363" s="200"/>
      <c r="CL363" s="200"/>
      <c r="CM363" s="200"/>
      <c r="CN363" s="200"/>
      <c r="CO363" s="200"/>
      <c r="CP363" s="200"/>
      <c r="CQ363" s="200"/>
      <c r="CR363" s="200"/>
      <c r="CS363" s="200"/>
      <c r="CT363" s="200"/>
      <c r="CU363" s="200"/>
    </row>
    <row r="364" spans="1:99" s="17" customFormat="1" x14ac:dyDescent="0.2">
      <c r="A364" s="25"/>
      <c r="B364" s="20">
        <v>39159050701</v>
      </c>
      <c r="C364" s="20">
        <v>507.01</v>
      </c>
      <c r="D364" s="20" t="s">
        <v>85</v>
      </c>
      <c r="E364" s="20" t="s">
        <v>2830</v>
      </c>
      <c r="F364" s="20" t="s">
        <v>8</v>
      </c>
      <c r="G364" s="861">
        <v>67.886503229071707</v>
      </c>
      <c r="H364" s="861">
        <v>72.1692915907756</v>
      </c>
      <c r="I364" s="861">
        <v>16.812117809326899</v>
      </c>
      <c r="J364" s="861">
        <v>70.621940639982796</v>
      </c>
      <c r="K364" s="982">
        <v>0</v>
      </c>
      <c r="L364" s="735" t="s">
        <v>2466</v>
      </c>
      <c r="M364" s="735">
        <v>4803</v>
      </c>
      <c r="N364" s="845" t="str">
        <f t="shared" si="38"/>
        <v/>
      </c>
      <c r="O364" s="735">
        <v>32.611351254427191</v>
      </c>
      <c r="P364" s="735">
        <f t="shared" si="39"/>
        <v>147.28000574180328</v>
      </c>
      <c r="Q364" s="849">
        <v>38.6</v>
      </c>
      <c r="R364" s="71">
        <v>146509</v>
      </c>
      <c r="S364" s="845">
        <v>8.9527378721632311E-3</v>
      </c>
      <c r="T364" s="845">
        <v>1.4999999999999999E-2</v>
      </c>
      <c r="U364" s="845">
        <v>0</v>
      </c>
      <c r="V364" s="845">
        <v>0</v>
      </c>
      <c r="W364" s="845">
        <v>3.1633311814073597E-2</v>
      </c>
      <c r="X364" s="845">
        <v>0.24489795918367346</v>
      </c>
      <c r="Y364" s="845">
        <v>0.93212575473662296</v>
      </c>
      <c r="Z364" s="845">
        <v>1.7072662919008951E-2</v>
      </c>
      <c r="AA364" s="845">
        <v>0</v>
      </c>
      <c r="AB364" s="845">
        <v>1.9779304601290858E-2</v>
      </c>
      <c r="AC364" s="845">
        <v>0</v>
      </c>
      <c r="AD364" s="845">
        <v>2.0820320632937749E-3</v>
      </c>
      <c r="AE364" s="845">
        <v>2.8940245679783469E-2</v>
      </c>
      <c r="AF364" s="845">
        <v>2.0820320632937749E-3</v>
      </c>
      <c r="AG364" s="845">
        <v>0.93212575473662296</v>
      </c>
      <c r="AH364" s="20" t="str">
        <f t="shared" si="40"/>
        <v>Yes</v>
      </c>
      <c r="AI364" s="25"/>
      <c r="AJ364" s="37">
        <v>44144</v>
      </c>
      <c r="AK364" s="37" t="s">
        <v>1247</v>
      </c>
      <c r="AL364" s="37">
        <v>39035</v>
      </c>
      <c r="AM364" s="37" t="s">
        <v>24</v>
      </c>
      <c r="AN364" s="37">
        <f t="shared" si="41"/>
        <v>17410</v>
      </c>
      <c r="AO364" s="37" t="str">
        <f t="shared" si="42"/>
        <v>Cleveland, OH</v>
      </c>
      <c r="AP364" s="20" t="s">
        <v>8</v>
      </c>
      <c r="AQ364" s="25"/>
      <c r="AR364" s="25"/>
      <c r="AS364" s="25"/>
      <c r="AT364" s="25"/>
      <c r="AU364" s="36"/>
      <c r="AV364" s="36"/>
      <c r="AW364" s="36"/>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39">
        <v>44110</v>
      </c>
      <c r="BV364" s="39" t="s">
        <v>1213</v>
      </c>
      <c r="BW364" s="39" t="s">
        <v>2900</v>
      </c>
      <c r="BX364" s="39" t="s">
        <v>2852</v>
      </c>
      <c r="BY364" s="71">
        <v>800</v>
      </c>
      <c r="BZ364" s="71">
        <v>910</v>
      </c>
      <c r="CA364" s="71">
        <v>1100</v>
      </c>
      <c r="CB364" s="71">
        <v>1420</v>
      </c>
      <c r="CC364" s="71">
        <v>1510</v>
      </c>
      <c r="CD364" s="25"/>
      <c r="CE364" s="200"/>
      <c r="CF364" s="200"/>
      <c r="CG364" s="200"/>
      <c r="CH364" s="200"/>
      <c r="CI364" s="200"/>
      <c r="CJ364" s="200"/>
      <c r="CK364" s="200"/>
      <c r="CL364" s="200"/>
      <c r="CM364" s="200"/>
      <c r="CN364" s="200"/>
      <c r="CO364" s="200"/>
      <c r="CP364" s="200"/>
      <c r="CQ364" s="200"/>
      <c r="CR364" s="200"/>
      <c r="CS364" s="200"/>
      <c r="CT364" s="200"/>
      <c r="CU364" s="200"/>
    </row>
    <row r="365" spans="1:99" s="17" customFormat="1" x14ac:dyDescent="0.2">
      <c r="A365" s="25"/>
      <c r="B365" s="20">
        <v>39025040401</v>
      </c>
      <c r="C365" s="20">
        <v>404.01</v>
      </c>
      <c r="D365" s="20" t="s">
        <v>19</v>
      </c>
      <c r="E365" s="20" t="s">
        <v>2828</v>
      </c>
      <c r="F365" s="20" t="s">
        <v>8</v>
      </c>
      <c r="G365" s="861">
        <v>67.866406156271196</v>
      </c>
      <c r="H365" s="861">
        <v>76.705974877674706</v>
      </c>
      <c r="I365" s="861">
        <v>44.923453758250297</v>
      </c>
      <c r="J365" s="861">
        <v>55.151590278560903</v>
      </c>
      <c r="K365" s="982">
        <v>0</v>
      </c>
      <c r="L365" s="735">
        <v>3743</v>
      </c>
      <c r="M365" s="735">
        <v>3933</v>
      </c>
      <c r="N365" s="845">
        <f t="shared" si="38"/>
        <v>5.0761421319796954E-2</v>
      </c>
      <c r="O365" s="735">
        <v>5.0135295794852128</v>
      </c>
      <c r="P365" s="735">
        <f t="shared" si="39"/>
        <v>784.47727048293166</v>
      </c>
      <c r="Q365" s="849">
        <v>50.9</v>
      </c>
      <c r="R365" s="71">
        <v>126800</v>
      </c>
      <c r="S365" s="845">
        <v>3.0287474332648872E-2</v>
      </c>
      <c r="T365" s="845">
        <v>2.5000000000000001E-2</v>
      </c>
      <c r="U365" s="845">
        <v>0</v>
      </c>
      <c r="V365" s="845">
        <v>0</v>
      </c>
      <c r="W365" s="845">
        <v>7.848101265822785E-2</v>
      </c>
      <c r="X365" s="845">
        <v>0.33064516129032256</v>
      </c>
      <c r="Y365" s="845">
        <v>0.95245359776252225</v>
      </c>
      <c r="Z365" s="845">
        <v>0</v>
      </c>
      <c r="AA365" s="845">
        <v>0</v>
      </c>
      <c r="AB365" s="845">
        <v>6.6107297228578691E-3</v>
      </c>
      <c r="AC365" s="845">
        <v>0</v>
      </c>
      <c r="AD365" s="845">
        <v>3.5596236969234682E-3</v>
      </c>
      <c r="AE365" s="845">
        <v>3.7376048817696413E-2</v>
      </c>
      <c r="AF365" s="845">
        <v>1.3729977116704805E-2</v>
      </c>
      <c r="AG365" s="845">
        <v>0.94075769132977372</v>
      </c>
      <c r="AH365" s="20" t="str">
        <f t="shared" si="40"/>
        <v>Yes</v>
      </c>
      <c r="AI365" s="25"/>
      <c r="AJ365" s="20">
        <v>44145</v>
      </c>
      <c r="AK365" s="20" t="s">
        <v>1248</v>
      </c>
      <c r="AL365" s="20">
        <v>39035</v>
      </c>
      <c r="AM365" s="20" t="s">
        <v>24</v>
      </c>
      <c r="AN365" s="37">
        <f t="shared" si="41"/>
        <v>17410</v>
      </c>
      <c r="AO365" s="37" t="str">
        <f t="shared" si="42"/>
        <v>Cleveland, OH</v>
      </c>
      <c r="AP365" s="20" t="s">
        <v>8</v>
      </c>
      <c r="AQ365" s="25"/>
      <c r="AR365" s="25"/>
      <c r="AS365" s="25"/>
      <c r="AT365" s="25"/>
      <c r="AU365" s="36"/>
      <c r="AV365" s="36"/>
      <c r="AW365" s="36"/>
      <c r="AX365" s="25"/>
      <c r="AY365" s="25"/>
      <c r="AZ365" s="25"/>
      <c r="BA365" s="25"/>
      <c r="BB365" s="25"/>
      <c r="BC365" s="25"/>
      <c r="BD365" s="25"/>
      <c r="BE365" s="25"/>
      <c r="BF365" s="25"/>
      <c r="BG365" s="25"/>
      <c r="BH365" s="25"/>
      <c r="BI365" s="25"/>
      <c r="BJ365" s="25"/>
      <c r="BK365" s="25"/>
      <c r="BL365" s="25"/>
      <c r="BM365" s="25"/>
      <c r="BN365" s="25"/>
      <c r="BO365" s="25"/>
      <c r="BP365" s="25"/>
      <c r="BQ365" s="25"/>
      <c r="BR365" s="25"/>
      <c r="BS365" s="25"/>
      <c r="BT365" s="25"/>
      <c r="BU365" s="39">
        <v>44111</v>
      </c>
      <c r="BV365" s="39" t="s">
        <v>1214</v>
      </c>
      <c r="BW365" s="39" t="s">
        <v>2900</v>
      </c>
      <c r="BX365" s="39" t="s">
        <v>2852</v>
      </c>
      <c r="BY365" s="71">
        <v>860</v>
      </c>
      <c r="BZ365" s="71">
        <v>980</v>
      </c>
      <c r="CA365" s="71">
        <v>1180</v>
      </c>
      <c r="CB365" s="71">
        <v>1520</v>
      </c>
      <c r="CC365" s="71">
        <v>1620</v>
      </c>
      <c r="CD365" s="25"/>
      <c r="CE365" s="200"/>
      <c r="CF365" s="200"/>
      <c r="CG365" s="200"/>
      <c r="CH365" s="200"/>
      <c r="CI365" s="200"/>
      <c r="CJ365" s="200"/>
      <c r="CK365" s="200"/>
      <c r="CL365" s="200"/>
      <c r="CM365" s="200"/>
      <c r="CN365" s="200"/>
      <c r="CO365" s="200"/>
      <c r="CP365" s="200"/>
      <c r="CQ365" s="200"/>
      <c r="CR365" s="200"/>
      <c r="CS365" s="200"/>
      <c r="CT365" s="200"/>
      <c r="CU365" s="200"/>
    </row>
    <row r="366" spans="1:99" s="17" customFormat="1" x14ac:dyDescent="0.2">
      <c r="A366" s="25"/>
      <c r="B366" s="20">
        <v>39159050301</v>
      </c>
      <c r="C366" s="20">
        <v>503.01</v>
      </c>
      <c r="D366" s="20" t="s">
        <v>85</v>
      </c>
      <c r="E366" s="20" t="s">
        <v>2830</v>
      </c>
      <c r="F366" s="20" t="s">
        <v>8</v>
      </c>
      <c r="G366" s="861">
        <v>67.854059581186505</v>
      </c>
      <c r="H366" s="861">
        <v>72.217476346874705</v>
      </c>
      <c r="I366" s="861">
        <v>19.885679235832299</v>
      </c>
      <c r="J366" s="861">
        <v>50.610544976087802</v>
      </c>
      <c r="K366" s="982">
        <v>0</v>
      </c>
      <c r="L366" s="735">
        <v>3660</v>
      </c>
      <c r="M366" s="735">
        <v>4241</v>
      </c>
      <c r="N366" s="845">
        <f t="shared" si="38"/>
        <v>0.15874316939890709</v>
      </c>
      <c r="O366" s="735">
        <v>53.795817618637642</v>
      </c>
      <c r="P366" s="735">
        <f t="shared" si="39"/>
        <v>78.835124880241608</v>
      </c>
      <c r="Q366" s="849">
        <v>45.1</v>
      </c>
      <c r="R366" s="71">
        <v>122986</v>
      </c>
      <c r="S366" s="845">
        <v>7.7104456496109405E-2</v>
      </c>
      <c r="T366" s="845">
        <v>1.4999999999999999E-2</v>
      </c>
      <c r="U366" s="845">
        <v>0</v>
      </c>
      <c r="V366" s="845">
        <v>0</v>
      </c>
      <c r="W366" s="845">
        <v>8.3948959032907985E-2</v>
      </c>
      <c r="X366" s="845">
        <v>0.52800000000000002</v>
      </c>
      <c r="Y366" s="845">
        <v>0.91204904503654793</v>
      </c>
      <c r="Z366" s="845">
        <v>6.6022164583824572E-3</v>
      </c>
      <c r="AA366" s="845">
        <v>1.8863475595378449E-3</v>
      </c>
      <c r="AB366" s="845">
        <v>6.8380099033246875E-3</v>
      </c>
      <c r="AC366" s="845">
        <v>0</v>
      </c>
      <c r="AD366" s="845">
        <v>1.4854987031360529E-2</v>
      </c>
      <c r="AE366" s="845">
        <v>5.7769394010846499E-2</v>
      </c>
      <c r="AF366" s="845">
        <v>1.7920301815609527E-2</v>
      </c>
      <c r="AG366" s="845">
        <v>0.91204904503654793</v>
      </c>
      <c r="AH366" s="20" t="str">
        <f t="shared" si="40"/>
        <v>Yes</v>
      </c>
      <c r="AI366" s="25"/>
      <c r="AJ366" s="20">
        <v>44146</v>
      </c>
      <c r="AK366" s="20" t="s">
        <v>1249</v>
      </c>
      <c r="AL366" s="20">
        <v>39035</v>
      </c>
      <c r="AM366" s="20" t="s">
        <v>24</v>
      </c>
      <c r="AN366" s="37">
        <f t="shared" si="41"/>
        <v>17410</v>
      </c>
      <c r="AO366" s="37" t="str">
        <f t="shared" si="42"/>
        <v>Cleveland, OH</v>
      </c>
      <c r="AP366" s="20" t="s">
        <v>8</v>
      </c>
      <c r="AQ366" s="25"/>
      <c r="AR366" s="25"/>
      <c r="AS366" s="25"/>
      <c r="AT366" s="25"/>
      <c r="AU366" s="36"/>
      <c r="AV366" s="36"/>
      <c r="AW366" s="36"/>
      <c r="AX366" s="25"/>
      <c r="AY366" s="25"/>
      <c r="AZ366" s="25"/>
      <c r="BA366" s="25"/>
      <c r="BB366" s="25"/>
      <c r="BC366" s="25"/>
      <c r="BD366" s="25"/>
      <c r="BE366" s="25"/>
      <c r="BF366" s="25"/>
      <c r="BG366" s="25"/>
      <c r="BH366" s="25"/>
      <c r="BI366" s="25"/>
      <c r="BJ366" s="25"/>
      <c r="BK366" s="25"/>
      <c r="BL366" s="25"/>
      <c r="BM366" s="25"/>
      <c r="BN366" s="25"/>
      <c r="BO366" s="25"/>
      <c r="BP366" s="25"/>
      <c r="BQ366" s="25"/>
      <c r="BR366" s="25"/>
      <c r="BS366" s="25"/>
      <c r="BT366" s="25"/>
      <c r="BU366" s="39">
        <v>44112</v>
      </c>
      <c r="BV366" s="39" t="s">
        <v>1215</v>
      </c>
      <c r="BW366" s="39" t="s">
        <v>2900</v>
      </c>
      <c r="BX366" s="39" t="s">
        <v>2852</v>
      </c>
      <c r="BY366" s="71">
        <v>790</v>
      </c>
      <c r="BZ366" s="71">
        <v>890</v>
      </c>
      <c r="CA366" s="71">
        <v>1080</v>
      </c>
      <c r="CB366" s="71">
        <v>1390</v>
      </c>
      <c r="CC366" s="71">
        <v>1490</v>
      </c>
      <c r="CD366" s="25"/>
      <c r="CE366" s="200"/>
      <c r="CF366" s="200"/>
      <c r="CG366" s="200"/>
      <c r="CH366" s="200"/>
      <c r="CI366" s="200"/>
      <c r="CJ366" s="200"/>
      <c r="CK366" s="200"/>
      <c r="CL366" s="200"/>
      <c r="CM366" s="200"/>
      <c r="CN366" s="200"/>
      <c r="CO366" s="200"/>
      <c r="CP366" s="200"/>
      <c r="CQ366" s="200"/>
      <c r="CR366" s="200"/>
      <c r="CS366" s="200"/>
      <c r="CT366" s="200"/>
      <c r="CU366" s="200"/>
    </row>
    <row r="367" spans="1:99" s="17" customFormat="1" x14ac:dyDescent="0.2">
      <c r="A367" s="25"/>
      <c r="B367" s="20">
        <v>39035195900</v>
      </c>
      <c r="C367" s="20">
        <v>1959</v>
      </c>
      <c r="D367" s="20" t="s">
        <v>24</v>
      </c>
      <c r="E367" s="20" t="s">
        <v>2829</v>
      </c>
      <c r="F367" s="20" t="s">
        <v>8</v>
      </c>
      <c r="G367" s="861">
        <v>67.817620156907097</v>
      </c>
      <c r="H367" s="861">
        <v>61.648687979730497</v>
      </c>
      <c r="I367" s="861">
        <v>36.141122333182601</v>
      </c>
      <c r="J367" s="861">
        <v>34.894601612005097</v>
      </c>
      <c r="K367" s="982">
        <v>0</v>
      </c>
      <c r="L367" s="735">
        <v>4186</v>
      </c>
      <c r="M367" s="735">
        <v>4275</v>
      </c>
      <c r="N367" s="845">
        <f t="shared" si="38"/>
        <v>2.1261347348303872E-2</v>
      </c>
      <c r="O367" s="735">
        <v>2.5756736002930918</v>
      </c>
      <c r="P367" s="735">
        <f t="shared" si="39"/>
        <v>1659.7599942452096</v>
      </c>
      <c r="Q367" s="849">
        <v>51.1</v>
      </c>
      <c r="R367" s="71">
        <v>97500</v>
      </c>
      <c r="S367" s="845">
        <v>3.3104752896665882E-2</v>
      </c>
      <c r="T367" s="845">
        <v>3.7000000000000005E-2</v>
      </c>
      <c r="U367" s="845">
        <v>0</v>
      </c>
      <c r="V367" s="845">
        <v>7.2000000000000008E-2</v>
      </c>
      <c r="W367" s="845">
        <v>0.1983016983016983</v>
      </c>
      <c r="X367" s="845">
        <v>0.5768261964735516</v>
      </c>
      <c r="Y367" s="845">
        <v>0.90666666666666662</v>
      </c>
      <c r="Z367" s="845">
        <v>3.2046783625730997E-2</v>
      </c>
      <c r="AA367" s="845">
        <v>0</v>
      </c>
      <c r="AB367" s="845">
        <v>1.4269005847953216E-2</v>
      </c>
      <c r="AC367" s="845">
        <v>0</v>
      </c>
      <c r="AD367" s="845">
        <v>1.3567251461988304E-2</v>
      </c>
      <c r="AE367" s="845">
        <v>3.345029239766082E-2</v>
      </c>
      <c r="AF367" s="845">
        <v>2.7134502923976608E-2</v>
      </c>
      <c r="AG367" s="845">
        <v>0.88888888888888884</v>
      </c>
      <c r="AH367" s="20" t="str">
        <f t="shared" si="40"/>
        <v>No</v>
      </c>
      <c r="AI367" s="25"/>
      <c r="AJ367" s="20">
        <v>44147</v>
      </c>
      <c r="AK367" s="20" t="s">
        <v>1250</v>
      </c>
      <c r="AL367" s="20">
        <v>39035</v>
      </c>
      <c r="AM367" s="20" t="s">
        <v>24</v>
      </c>
      <c r="AN367" s="37">
        <f t="shared" si="41"/>
        <v>17410</v>
      </c>
      <c r="AO367" s="37" t="str">
        <f t="shared" si="42"/>
        <v>Cleveland, OH</v>
      </c>
      <c r="AP367" s="20" t="s">
        <v>8</v>
      </c>
      <c r="AQ367" s="25"/>
      <c r="AR367" s="25"/>
      <c r="AS367" s="25"/>
      <c r="AT367" s="25"/>
      <c r="AU367" s="36"/>
      <c r="AV367" s="36"/>
      <c r="AW367" s="36"/>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39">
        <v>44113</v>
      </c>
      <c r="BV367" s="39" t="s">
        <v>1216</v>
      </c>
      <c r="BW367" s="39" t="s">
        <v>2900</v>
      </c>
      <c r="BX367" s="39" t="s">
        <v>2852</v>
      </c>
      <c r="BY367" s="71">
        <v>1400</v>
      </c>
      <c r="BZ367" s="71">
        <v>1590</v>
      </c>
      <c r="CA367" s="71">
        <v>1920</v>
      </c>
      <c r="CB367" s="71">
        <v>2470</v>
      </c>
      <c r="CC367" s="71">
        <v>2640</v>
      </c>
      <c r="CD367" s="25"/>
      <c r="CE367" s="200"/>
      <c r="CF367" s="200"/>
      <c r="CG367" s="200"/>
      <c r="CH367" s="200"/>
      <c r="CI367" s="200"/>
      <c r="CJ367" s="200"/>
      <c r="CK367" s="200"/>
      <c r="CL367" s="200"/>
      <c r="CM367" s="200"/>
      <c r="CN367" s="200"/>
      <c r="CO367" s="200"/>
      <c r="CP367" s="200"/>
      <c r="CQ367" s="200"/>
      <c r="CR367" s="200"/>
      <c r="CS367" s="200"/>
      <c r="CT367" s="200"/>
      <c r="CU367" s="200"/>
    </row>
    <row r="368" spans="1:99" s="17" customFormat="1" x14ac:dyDescent="0.2">
      <c r="A368" s="25"/>
      <c r="B368" s="20">
        <v>39011041202</v>
      </c>
      <c r="C368" s="20">
        <v>412.02</v>
      </c>
      <c r="D368" s="20" t="s">
        <v>12</v>
      </c>
      <c r="E368" s="20" t="s">
        <v>265</v>
      </c>
      <c r="F368" s="20" t="s">
        <v>8</v>
      </c>
      <c r="G368" s="861">
        <v>67.775775279685305</v>
      </c>
      <c r="H368" s="861">
        <v>64.075287785709904</v>
      </c>
      <c r="I368" s="861">
        <v>30.557792665639099</v>
      </c>
      <c r="J368" s="861">
        <v>47.624611796242803</v>
      </c>
      <c r="K368" s="982">
        <v>0</v>
      </c>
      <c r="L368" s="735">
        <v>5388</v>
      </c>
      <c r="M368" s="735">
        <v>5304</v>
      </c>
      <c r="N368" s="845">
        <f t="shared" si="38"/>
        <v>-1.5590200445434299E-2</v>
      </c>
      <c r="O368" s="735">
        <v>2.9900940356054377</v>
      </c>
      <c r="P368" s="735">
        <f t="shared" si="39"/>
        <v>1773.8572556050196</v>
      </c>
      <c r="Q368" s="849">
        <v>32.5</v>
      </c>
      <c r="R368" s="71">
        <v>80457</v>
      </c>
      <c r="S368" s="845">
        <v>3.1767167586075708E-2</v>
      </c>
      <c r="T368" s="845">
        <v>0</v>
      </c>
      <c r="U368" s="845">
        <v>8.3000000000000004E-2</v>
      </c>
      <c r="V368" s="845">
        <v>0</v>
      </c>
      <c r="W368" s="845">
        <v>0.29488919041157846</v>
      </c>
      <c r="X368" s="845">
        <v>0.24233128834355827</v>
      </c>
      <c r="Y368" s="845">
        <v>0.93288084464555054</v>
      </c>
      <c r="Z368" s="845">
        <v>1.7533936651583711E-2</v>
      </c>
      <c r="AA368" s="845">
        <v>0</v>
      </c>
      <c r="AB368" s="845">
        <v>6.0331825037707393E-3</v>
      </c>
      <c r="AC368" s="845">
        <v>0</v>
      </c>
      <c r="AD368" s="845">
        <v>0</v>
      </c>
      <c r="AE368" s="845">
        <v>4.3552036199095021E-2</v>
      </c>
      <c r="AF368" s="845">
        <v>7.1644042232277523E-3</v>
      </c>
      <c r="AG368" s="845">
        <v>0.92571644042232282</v>
      </c>
      <c r="AH368" s="20" t="str">
        <f t="shared" si="40"/>
        <v>Yes</v>
      </c>
      <c r="AI368" s="25"/>
      <c r="AJ368" s="20">
        <v>44149</v>
      </c>
      <c r="AK368" s="20" t="s">
        <v>1251</v>
      </c>
      <c r="AL368" s="20">
        <v>39035</v>
      </c>
      <c r="AM368" s="20" t="s">
        <v>24</v>
      </c>
      <c r="AN368" s="37">
        <f t="shared" si="41"/>
        <v>17410</v>
      </c>
      <c r="AO368" s="37" t="str">
        <f t="shared" si="42"/>
        <v>Cleveland, OH</v>
      </c>
      <c r="AP368" s="20" t="s">
        <v>8</v>
      </c>
      <c r="AQ368" s="25"/>
      <c r="AR368" s="25"/>
      <c r="AS368" s="25"/>
      <c r="AT368" s="25"/>
      <c r="AU368" s="36"/>
      <c r="AV368" s="36"/>
      <c r="AW368" s="36"/>
      <c r="AX368" s="25"/>
      <c r="AY368" s="25"/>
      <c r="AZ368" s="25"/>
      <c r="BA368" s="25"/>
      <c r="BB368" s="25"/>
      <c r="BC368" s="25"/>
      <c r="BD368" s="25"/>
      <c r="BE368" s="25"/>
      <c r="BF368" s="25"/>
      <c r="BG368" s="25"/>
      <c r="BH368" s="25"/>
      <c r="BI368" s="25"/>
      <c r="BJ368" s="25"/>
      <c r="BK368" s="25"/>
      <c r="BL368" s="25"/>
      <c r="BM368" s="25"/>
      <c r="BN368" s="25"/>
      <c r="BO368" s="25"/>
      <c r="BP368" s="25"/>
      <c r="BQ368" s="25"/>
      <c r="BR368" s="25"/>
      <c r="BS368" s="25"/>
      <c r="BT368" s="25"/>
      <c r="BU368" s="39">
        <v>44114</v>
      </c>
      <c r="BV368" s="39" t="s">
        <v>1217</v>
      </c>
      <c r="BW368" s="39" t="s">
        <v>2900</v>
      </c>
      <c r="BX368" s="39" t="s">
        <v>2852</v>
      </c>
      <c r="BY368" s="71">
        <v>1300</v>
      </c>
      <c r="BZ368" s="71">
        <v>1470</v>
      </c>
      <c r="CA368" s="71">
        <v>1780</v>
      </c>
      <c r="CB368" s="71">
        <v>2290</v>
      </c>
      <c r="CC368" s="71">
        <v>2450</v>
      </c>
      <c r="CD368" s="25"/>
      <c r="CE368" s="200"/>
      <c r="CF368" s="200"/>
      <c r="CG368" s="200"/>
      <c r="CH368" s="200"/>
      <c r="CI368" s="200"/>
      <c r="CJ368" s="200"/>
      <c r="CK368" s="200"/>
      <c r="CL368" s="200"/>
      <c r="CM368" s="200"/>
      <c r="CN368" s="200"/>
      <c r="CO368" s="200"/>
      <c r="CP368" s="200"/>
      <c r="CQ368" s="200"/>
      <c r="CR368" s="200"/>
      <c r="CS368" s="200"/>
      <c r="CT368" s="200"/>
      <c r="CU368" s="200"/>
    </row>
    <row r="369" spans="1:99" s="17" customFormat="1" x14ac:dyDescent="0.2">
      <c r="A369" s="25"/>
      <c r="B369" s="20">
        <v>39061005900</v>
      </c>
      <c r="C369" s="20">
        <v>59</v>
      </c>
      <c r="D369" s="20" t="s">
        <v>37</v>
      </c>
      <c r="E369" s="20" t="s">
        <v>2828</v>
      </c>
      <c r="F369" s="20" t="s">
        <v>8</v>
      </c>
      <c r="G369" s="861">
        <v>67.706377352772705</v>
      </c>
      <c r="H369" s="861">
        <v>77.410199883886094</v>
      </c>
      <c r="I369" s="861">
        <v>40.135299152338099</v>
      </c>
      <c r="J369" s="861">
        <v>53.823596552839398</v>
      </c>
      <c r="K369" s="982">
        <v>0</v>
      </c>
      <c r="L369" s="735">
        <v>1230</v>
      </c>
      <c r="M369" s="735">
        <v>1222</v>
      </c>
      <c r="N369" s="845">
        <f t="shared" si="38"/>
        <v>-6.5040650406504065E-3</v>
      </c>
      <c r="O369" s="735">
        <v>0.35722866696866806</v>
      </c>
      <c r="P369" s="735">
        <f t="shared" si="39"/>
        <v>3420.7780981563265</v>
      </c>
      <c r="Q369" s="849">
        <v>34.299999999999997</v>
      </c>
      <c r="R369" s="71">
        <v>81591</v>
      </c>
      <c r="S369" s="845">
        <v>0.11129296235679215</v>
      </c>
      <c r="T369" s="845">
        <v>2.4E-2</v>
      </c>
      <c r="U369" s="845">
        <v>0</v>
      </c>
      <c r="V369" s="845">
        <v>0</v>
      </c>
      <c r="W369" s="845">
        <v>0.50476190476190474</v>
      </c>
      <c r="X369" s="845">
        <v>0.4308176100628931</v>
      </c>
      <c r="Y369" s="845">
        <v>0.53764320785597386</v>
      </c>
      <c r="Z369" s="845">
        <v>0.25859247135842883</v>
      </c>
      <c r="AA369" s="845">
        <v>0</v>
      </c>
      <c r="AB369" s="845">
        <v>8.7561374795417354E-2</v>
      </c>
      <c r="AC369" s="845">
        <v>0</v>
      </c>
      <c r="AD369" s="845">
        <v>4.0098199672667756E-2</v>
      </c>
      <c r="AE369" s="845">
        <v>7.6104746317512281E-2</v>
      </c>
      <c r="AF369" s="845">
        <v>3.8461538461538464E-2</v>
      </c>
      <c r="AG369" s="845">
        <v>0.53764320785597386</v>
      </c>
      <c r="AH369" s="20" t="str">
        <f t="shared" si="40"/>
        <v>No</v>
      </c>
      <c r="AI369" s="25"/>
      <c r="AJ369" s="20">
        <v>44021</v>
      </c>
      <c r="AK369" s="20" t="s">
        <v>1154</v>
      </c>
      <c r="AL369" s="20">
        <v>39055</v>
      </c>
      <c r="AM369" s="20" t="s">
        <v>34</v>
      </c>
      <c r="AN369" s="37">
        <f t="shared" si="41"/>
        <v>17410</v>
      </c>
      <c r="AO369" s="37" t="str">
        <f t="shared" si="42"/>
        <v>Cleveland, OH</v>
      </c>
      <c r="AP369" s="20" t="s">
        <v>8</v>
      </c>
      <c r="AQ369" s="25"/>
      <c r="AR369" s="25"/>
      <c r="AS369" s="25"/>
      <c r="AT369" s="25"/>
      <c r="AU369" s="36"/>
      <c r="AV369" s="36"/>
      <c r="AW369" s="36"/>
      <c r="AX369" s="25"/>
      <c r="AY369" s="25"/>
      <c r="AZ369" s="25"/>
      <c r="BA369" s="25"/>
      <c r="BB369" s="25"/>
      <c r="BC369" s="25"/>
      <c r="BD369" s="25"/>
      <c r="BE369" s="25"/>
      <c r="BF369" s="25"/>
      <c r="BG369" s="25"/>
      <c r="BH369" s="25"/>
      <c r="BI369" s="25"/>
      <c r="BJ369" s="25"/>
      <c r="BK369" s="25"/>
      <c r="BL369" s="25"/>
      <c r="BM369" s="25"/>
      <c r="BN369" s="25"/>
      <c r="BO369" s="25"/>
      <c r="BP369" s="25"/>
      <c r="BQ369" s="25"/>
      <c r="BR369" s="25"/>
      <c r="BS369" s="25"/>
      <c r="BT369" s="25"/>
      <c r="BU369" s="39">
        <v>44115</v>
      </c>
      <c r="BV369" s="39" t="s">
        <v>1218</v>
      </c>
      <c r="BW369" s="39" t="s">
        <v>2900</v>
      </c>
      <c r="BX369" s="39" t="s">
        <v>2852</v>
      </c>
      <c r="BY369" s="71">
        <v>1120</v>
      </c>
      <c r="BZ369" s="71">
        <v>1270</v>
      </c>
      <c r="CA369" s="71">
        <v>1540</v>
      </c>
      <c r="CB369" s="71">
        <v>1980</v>
      </c>
      <c r="CC369" s="71">
        <v>2120</v>
      </c>
      <c r="CD369" s="25"/>
      <c r="CE369" s="200"/>
      <c r="CF369" s="200"/>
      <c r="CG369" s="200"/>
      <c r="CH369" s="200"/>
      <c r="CI369" s="200"/>
      <c r="CJ369" s="200"/>
      <c r="CK369" s="200"/>
      <c r="CL369" s="200"/>
      <c r="CM369" s="200"/>
      <c r="CN369" s="200"/>
      <c r="CO369" s="200"/>
      <c r="CP369" s="200"/>
      <c r="CQ369" s="200"/>
      <c r="CR369" s="200"/>
      <c r="CS369" s="200"/>
      <c r="CT369" s="200"/>
      <c r="CU369" s="200"/>
    </row>
    <row r="370" spans="1:99" s="17" customFormat="1" x14ac:dyDescent="0.2">
      <c r="A370" s="25"/>
      <c r="B370" s="20">
        <v>39061021102</v>
      </c>
      <c r="C370" s="20">
        <v>211.02</v>
      </c>
      <c r="D370" s="20" t="s">
        <v>37</v>
      </c>
      <c r="E370" s="20" t="s">
        <v>2828</v>
      </c>
      <c r="F370" s="20" t="s">
        <v>8</v>
      </c>
      <c r="G370" s="861">
        <v>67.696256346524095</v>
      </c>
      <c r="H370" s="861">
        <v>63.017038178309498</v>
      </c>
      <c r="I370" s="861">
        <v>25.923167981545099</v>
      </c>
      <c r="J370" s="861">
        <v>42.908056997462602</v>
      </c>
      <c r="K370" s="982">
        <v>0</v>
      </c>
      <c r="L370" s="735">
        <v>6510</v>
      </c>
      <c r="M370" s="735">
        <v>6824</v>
      </c>
      <c r="N370" s="845">
        <f t="shared" si="38"/>
        <v>4.8233486943164365E-2</v>
      </c>
      <c r="O370" s="735">
        <v>4.5964311396008686</v>
      </c>
      <c r="P370" s="735">
        <f t="shared" si="39"/>
        <v>1484.6300951203987</v>
      </c>
      <c r="Q370" s="849">
        <v>46.4</v>
      </c>
      <c r="R370" s="71">
        <v>121159</v>
      </c>
      <c r="S370" s="845">
        <v>4.6792230723955268E-2</v>
      </c>
      <c r="T370" s="845">
        <v>1.2E-2</v>
      </c>
      <c r="U370" s="845">
        <v>0</v>
      </c>
      <c r="V370" s="845">
        <v>0</v>
      </c>
      <c r="W370" s="845">
        <v>5.1875498802873107E-2</v>
      </c>
      <c r="X370" s="845">
        <v>0.12307692307692308</v>
      </c>
      <c r="Y370" s="845">
        <v>0.96292497069167649</v>
      </c>
      <c r="Z370" s="845">
        <v>2.6377491207502931E-2</v>
      </c>
      <c r="AA370" s="845">
        <v>2.9308323563892143E-4</v>
      </c>
      <c r="AB370" s="845">
        <v>1.4654161781946073E-3</v>
      </c>
      <c r="AC370" s="845">
        <v>0</v>
      </c>
      <c r="AD370" s="845">
        <v>0</v>
      </c>
      <c r="AE370" s="845">
        <v>8.9390386869871042E-3</v>
      </c>
      <c r="AF370" s="845">
        <v>2.1981242672919109E-3</v>
      </c>
      <c r="AG370" s="845">
        <v>0.96072684642438455</v>
      </c>
      <c r="AH370" s="20" t="str">
        <f t="shared" si="40"/>
        <v>Yes</v>
      </c>
      <c r="AI370" s="25"/>
      <c r="AJ370" s="37">
        <v>44022</v>
      </c>
      <c r="AK370" s="37" t="s">
        <v>1155</v>
      </c>
      <c r="AL370" s="37">
        <v>39055</v>
      </c>
      <c r="AM370" s="37" t="s">
        <v>34</v>
      </c>
      <c r="AN370" s="37">
        <f t="shared" si="41"/>
        <v>17410</v>
      </c>
      <c r="AO370" s="37" t="str">
        <f t="shared" si="42"/>
        <v>Cleveland, OH</v>
      </c>
      <c r="AP370" s="20" t="s">
        <v>8</v>
      </c>
      <c r="AQ370" s="25"/>
      <c r="AR370" s="25"/>
      <c r="AS370" s="25"/>
      <c r="AT370" s="25"/>
      <c r="AU370" s="36"/>
      <c r="AV370" s="36"/>
      <c r="AW370" s="36"/>
      <c r="AX370" s="25"/>
      <c r="AY370" s="25"/>
      <c r="AZ370" s="25"/>
      <c r="BA370" s="25"/>
      <c r="BB370" s="25"/>
      <c r="BC370" s="25"/>
      <c r="BD370" s="25"/>
      <c r="BE370" s="25"/>
      <c r="BF370" s="25"/>
      <c r="BG370" s="25"/>
      <c r="BH370" s="25"/>
      <c r="BI370" s="25"/>
      <c r="BJ370" s="25"/>
      <c r="BK370" s="25"/>
      <c r="BL370" s="25"/>
      <c r="BM370" s="25"/>
      <c r="BN370" s="25"/>
      <c r="BO370" s="25"/>
      <c r="BP370" s="25"/>
      <c r="BQ370" s="25"/>
      <c r="BR370" s="25"/>
      <c r="BS370" s="25"/>
      <c r="BT370" s="25"/>
      <c r="BU370" s="39">
        <v>44116</v>
      </c>
      <c r="BV370" s="39" t="s">
        <v>1219</v>
      </c>
      <c r="BW370" s="39" t="s">
        <v>2900</v>
      </c>
      <c r="BX370" s="39" t="s">
        <v>2852</v>
      </c>
      <c r="BY370" s="71">
        <v>1030</v>
      </c>
      <c r="BZ370" s="71">
        <v>1170</v>
      </c>
      <c r="CA370" s="71">
        <v>1410</v>
      </c>
      <c r="CB370" s="71">
        <v>1810</v>
      </c>
      <c r="CC370" s="71">
        <v>1940</v>
      </c>
      <c r="CD370" s="25"/>
      <c r="CE370" s="200"/>
      <c r="CF370" s="200"/>
      <c r="CG370" s="200"/>
      <c r="CH370" s="200"/>
      <c r="CI370" s="200"/>
      <c r="CJ370" s="200"/>
      <c r="CK370" s="200"/>
      <c r="CL370" s="200"/>
      <c r="CM370" s="200"/>
      <c r="CN370" s="200"/>
      <c r="CO370" s="200"/>
      <c r="CP370" s="200"/>
      <c r="CQ370" s="200"/>
      <c r="CR370" s="200"/>
      <c r="CS370" s="200"/>
      <c r="CT370" s="200"/>
      <c r="CU370" s="200"/>
    </row>
    <row r="371" spans="1:99" s="17" customFormat="1" x14ac:dyDescent="0.2">
      <c r="A371" s="25"/>
      <c r="B371" s="20">
        <v>39049007961</v>
      </c>
      <c r="C371" s="20">
        <v>79.61</v>
      </c>
      <c r="D371" s="20" t="s">
        <v>31</v>
      </c>
      <c r="E371" s="20" t="s">
        <v>2830</v>
      </c>
      <c r="F371" s="20" t="s">
        <v>8</v>
      </c>
      <c r="G371" s="861">
        <v>67.691042414518094</v>
      </c>
      <c r="H371" s="861">
        <v>70.044123734703007</v>
      </c>
      <c r="I371" s="861">
        <v>19.926829079751101</v>
      </c>
      <c r="J371" s="861">
        <v>74.744717413101398</v>
      </c>
      <c r="K371" s="982">
        <v>0</v>
      </c>
      <c r="L371" s="735" t="s">
        <v>2466</v>
      </c>
      <c r="M371" s="735">
        <v>5362</v>
      </c>
      <c r="N371" s="845" t="str">
        <f t="shared" si="38"/>
        <v/>
      </c>
      <c r="O371" s="735">
        <v>2.5375321124543695</v>
      </c>
      <c r="P371" s="735">
        <f t="shared" si="39"/>
        <v>2113.07670696381</v>
      </c>
      <c r="Q371" s="849">
        <v>39.1</v>
      </c>
      <c r="R371" s="71">
        <v>169750</v>
      </c>
      <c r="S371" s="845">
        <v>2.9839612085042896E-3</v>
      </c>
      <c r="T371" s="845">
        <v>0</v>
      </c>
      <c r="U371" s="845">
        <v>0</v>
      </c>
      <c r="V371" s="845">
        <v>0</v>
      </c>
      <c r="W371" s="845">
        <v>8.7751371115173671E-2</v>
      </c>
      <c r="X371" s="845">
        <v>0.13194444444444445</v>
      </c>
      <c r="Y371" s="845">
        <v>0.75009324878776573</v>
      </c>
      <c r="Z371" s="845">
        <v>6.6579634464751958E-2</v>
      </c>
      <c r="AA371" s="845">
        <v>9.3248787765759045E-4</v>
      </c>
      <c r="AB371" s="845">
        <v>0.13465124953375607</v>
      </c>
      <c r="AC371" s="845">
        <v>0</v>
      </c>
      <c r="AD371" s="845">
        <v>6.5274151436031328E-3</v>
      </c>
      <c r="AE371" s="845">
        <v>4.1215964192465496E-2</v>
      </c>
      <c r="AF371" s="845">
        <v>2.0141738157403954E-2</v>
      </c>
      <c r="AG371" s="845">
        <v>0.75009324878776573</v>
      </c>
      <c r="AH371" s="20" t="str">
        <f t="shared" si="40"/>
        <v>No</v>
      </c>
      <c r="AI371" s="25"/>
      <c r="AJ371" s="37">
        <v>44023</v>
      </c>
      <c r="AK371" s="37" t="s">
        <v>1156</v>
      </c>
      <c r="AL371" s="37">
        <v>39055</v>
      </c>
      <c r="AM371" s="37" t="s">
        <v>34</v>
      </c>
      <c r="AN371" s="37">
        <f t="shared" si="41"/>
        <v>17410</v>
      </c>
      <c r="AO371" s="37" t="str">
        <f t="shared" si="42"/>
        <v>Cleveland, OH</v>
      </c>
      <c r="AP371" s="20" t="s">
        <v>8</v>
      </c>
      <c r="AQ371" s="25"/>
      <c r="AR371" s="25"/>
      <c r="AS371" s="25"/>
      <c r="AT371" s="25"/>
      <c r="AU371" s="36"/>
      <c r="AV371" s="36"/>
      <c r="AW371" s="36"/>
      <c r="AX371" s="25"/>
      <c r="AY371" s="25"/>
      <c r="AZ371" s="25"/>
      <c r="BA371" s="25"/>
      <c r="BB371" s="25"/>
      <c r="BC371" s="25"/>
      <c r="BD371" s="25"/>
      <c r="BE371" s="25"/>
      <c r="BF371" s="25"/>
      <c r="BG371" s="25"/>
      <c r="BH371" s="25"/>
      <c r="BI371" s="25"/>
      <c r="BJ371" s="25"/>
      <c r="BK371" s="25"/>
      <c r="BL371" s="25"/>
      <c r="BM371" s="25"/>
      <c r="BN371" s="25"/>
      <c r="BO371" s="25"/>
      <c r="BP371" s="25"/>
      <c r="BQ371" s="25"/>
      <c r="BR371" s="25"/>
      <c r="BS371" s="25"/>
      <c r="BT371" s="25"/>
      <c r="BU371" s="39">
        <v>44117</v>
      </c>
      <c r="BV371" s="39" t="s">
        <v>1220</v>
      </c>
      <c r="BW371" s="39" t="s">
        <v>2900</v>
      </c>
      <c r="BX371" s="39" t="s">
        <v>2852</v>
      </c>
      <c r="BY371" s="71">
        <v>790</v>
      </c>
      <c r="BZ371" s="71">
        <v>890</v>
      </c>
      <c r="CA371" s="71">
        <v>1080</v>
      </c>
      <c r="CB371" s="71">
        <v>1390</v>
      </c>
      <c r="CC371" s="71">
        <v>1490</v>
      </c>
      <c r="CD371" s="25"/>
      <c r="CE371" s="200"/>
      <c r="CF371" s="200"/>
      <c r="CG371" s="200"/>
      <c r="CH371" s="200"/>
      <c r="CI371" s="200"/>
      <c r="CJ371" s="200"/>
      <c r="CK371" s="200"/>
      <c r="CL371" s="200"/>
      <c r="CM371" s="200"/>
      <c r="CN371" s="200"/>
      <c r="CO371" s="200"/>
      <c r="CP371" s="200"/>
      <c r="CQ371" s="200"/>
      <c r="CR371" s="200"/>
      <c r="CS371" s="200"/>
      <c r="CT371" s="200"/>
      <c r="CU371" s="200"/>
    </row>
    <row r="372" spans="1:99" s="17" customFormat="1" x14ac:dyDescent="0.2">
      <c r="A372" s="25"/>
      <c r="B372" s="20">
        <v>39085202700</v>
      </c>
      <c r="C372" s="20">
        <v>2027</v>
      </c>
      <c r="D372" s="20" t="s">
        <v>48</v>
      </c>
      <c r="E372" s="20" t="s">
        <v>2829</v>
      </c>
      <c r="F372" s="20" t="s">
        <v>8</v>
      </c>
      <c r="G372" s="861">
        <v>67.685430737870007</v>
      </c>
      <c r="H372" s="861">
        <v>67.426530218229701</v>
      </c>
      <c r="I372" s="861">
        <v>15.817619086174201</v>
      </c>
      <c r="J372" s="861">
        <v>47.424938950765203</v>
      </c>
      <c r="K372" s="982">
        <v>0</v>
      </c>
      <c r="L372" s="735">
        <v>6083</v>
      </c>
      <c r="M372" s="735">
        <v>6500</v>
      </c>
      <c r="N372" s="845">
        <f t="shared" si="38"/>
        <v>6.8551701463093861E-2</v>
      </c>
      <c r="O372" s="735">
        <v>3.8387488968047814</v>
      </c>
      <c r="P372" s="735">
        <f t="shared" si="39"/>
        <v>1693.2600112006116</v>
      </c>
      <c r="Q372" s="849">
        <v>46.9</v>
      </c>
      <c r="R372" s="71">
        <v>122143</v>
      </c>
      <c r="S372" s="845">
        <v>2.3384615384615386E-2</v>
      </c>
      <c r="T372" s="845">
        <v>3.3000000000000002E-2</v>
      </c>
      <c r="U372" s="845">
        <v>0</v>
      </c>
      <c r="V372" s="845">
        <v>0</v>
      </c>
      <c r="W372" s="845">
        <v>4.1157294213528935E-2</v>
      </c>
      <c r="X372" s="845">
        <v>0.85148514851485146</v>
      </c>
      <c r="Y372" s="845">
        <v>0.93061538461538462</v>
      </c>
      <c r="Z372" s="845">
        <v>4.7692307692307695E-3</v>
      </c>
      <c r="AA372" s="845">
        <v>0</v>
      </c>
      <c r="AB372" s="845">
        <v>2.6615384615384614E-2</v>
      </c>
      <c r="AC372" s="845">
        <v>0</v>
      </c>
      <c r="AD372" s="845">
        <v>0</v>
      </c>
      <c r="AE372" s="845">
        <v>3.7999999999999999E-2</v>
      </c>
      <c r="AF372" s="845">
        <v>2.646153846153846E-2</v>
      </c>
      <c r="AG372" s="845">
        <v>0.91076923076923078</v>
      </c>
      <c r="AH372" s="20" t="str">
        <f t="shared" si="40"/>
        <v>Yes</v>
      </c>
      <c r="AI372" s="25"/>
      <c r="AJ372" s="20">
        <v>44024</v>
      </c>
      <c r="AK372" s="20" t="s">
        <v>1157</v>
      </c>
      <c r="AL372" s="20">
        <v>39055</v>
      </c>
      <c r="AM372" s="20" t="s">
        <v>34</v>
      </c>
      <c r="AN372" s="37">
        <f t="shared" si="41"/>
        <v>17410</v>
      </c>
      <c r="AO372" s="37" t="str">
        <f t="shared" si="42"/>
        <v>Cleveland, OH</v>
      </c>
      <c r="AP372" s="20" t="s">
        <v>8</v>
      </c>
      <c r="AQ372" s="25"/>
      <c r="AR372" s="25"/>
      <c r="AS372" s="25"/>
      <c r="AT372" s="25"/>
      <c r="AU372" s="36"/>
      <c r="AV372" s="36"/>
      <c r="AW372" s="36"/>
      <c r="AX372" s="25"/>
      <c r="AY372" s="25"/>
      <c r="AZ372" s="25"/>
      <c r="BA372" s="25"/>
      <c r="BB372" s="25"/>
      <c r="BC372" s="25"/>
      <c r="BD372" s="25"/>
      <c r="BE372" s="25"/>
      <c r="BF372" s="25"/>
      <c r="BG372" s="25"/>
      <c r="BH372" s="25"/>
      <c r="BI372" s="25"/>
      <c r="BJ372" s="25"/>
      <c r="BK372" s="25"/>
      <c r="BL372" s="25"/>
      <c r="BM372" s="25"/>
      <c r="BN372" s="25"/>
      <c r="BO372" s="25"/>
      <c r="BP372" s="25"/>
      <c r="BQ372" s="25"/>
      <c r="BR372" s="25"/>
      <c r="BS372" s="25"/>
      <c r="BT372" s="25"/>
      <c r="BU372" s="39">
        <v>44118</v>
      </c>
      <c r="BV372" s="39" t="s">
        <v>1221</v>
      </c>
      <c r="BW372" s="39" t="s">
        <v>2900</v>
      </c>
      <c r="BX372" s="39" t="s">
        <v>2852</v>
      </c>
      <c r="BY372" s="71">
        <v>1090</v>
      </c>
      <c r="BZ372" s="71">
        <v>1230</v>
      </c>
      <c r="CA372" s="71">
        <v>1490</v>
      </c>
      <c r="CB372" s="71">
        <v>1920</v>
      </c>
      <c r="CC372" s="71">
        <v>2050</v>
      </c>
      <c r="CD372" s="25"/>
      <c r="CE372" s="200"/>
      <c r="CF372" s="200"/>
      <c r="CG372" s="200"/>
      <c r="CH372" s="200"/>
      <c r="CI372" s="200"/>
      <c r="CJ372" s="200"/>
      <c r="CK372" s="200"/>
      <c r="CL372" s="200"/>
      <c r="CM372" s="200"/>
      <c r="CN372" s="200"/>
      <c r="CO372" s="200"/>
      <c r="CP372" s="200"/>
      <c r="CQ372" s="200"/>
      <c r="CR372" s="200"/>
      <c r="CS372" s="200"/>
      <c r="CT372" s="200"/>
      <c r="CU372" s="200"/>
    </row>
    <row r="373" spans="1:99" s="17" customFormat="1" x14ac:dyDescent="0.2">
      <c r="A373" s="25"/>
      <c r="B373" s="20">
        <v>39085205001</v>
      </c>
      <c r="C373" s="20">
        <v>2050.0100000000002</v>
      </c>
      <c r="D373" s="20" t="s">
        <v>48</v>
      </c>
      <c r="E373" s="20" t="s">
        <v>2829</v>
      </c>
      <c r="F373" s="20" t="s">
        <v>8</v>
      </c>
      <c r="G373" s="861">
        <v>67.649345471818904</v>
      </c>
      <c r="H373" s="861">
        <v>58.207382002479299</v>
      </c>
      <c r="I373" s="861">
        <v>24.413729892817699</v>
      </c>
      <c r="J373" s="861">
        <v>44.655479746309403</v>
      </c>
      <c r="K373" s="982">
        <v>0</v>
      </c>
      <c r="L373" s="735">
        <v>5987</v>
      </c>
      <c r="M373" s="735">
        <v>5544</v>
      </c>
      <c r="N373" s="845">
        <f t="shared" si="38"/>
        <v>-7.3993652914648406E-2</v>
      </c>
      <c r="O373" s="735">
        <v>2.6770393166013418</v>
      </c>
      <c r="P373" s="735">
        <f t="shared" si="39"/>
        <v>2070.9445564058556</v>
      </c>
      <c r="Q373" s="849">
        <v>47.2</v>
      </c>
      <c r="R373" s="71">
        <v>101165</v>
      </c>
      <c r="S373" s="845">
        <v>4.8303834808259588E-2</v>
      </c>
      <c r="T373" s="845">
        <v>2.1000000000000001E-2</v>
      </c>
      <c r="U373" s="845">
        <v>0</v>
      </c>
      <c r="V373" s="845">
        <v>0</v>
      </c>
      <c r="W373" s="845">
        <v>0.17449106771915246</v>
      </c>
      <c r="X373" s="845">
        <v>0.48809523809523808</v>
      </c>
      <c r="Y373" s="845">
        <v>0.90999278499278502</v>
      </c>
      <c r="Z373" s="845">
        <v>6.3852813852813856E-2</v>
      </c>
      <c r="AA373" s="845">
        <v>0</v>
      </c>
      <c r="AB373" s="845">
        <v>0</v>
      </c>
      <c r="AC373" s="845">
        <v>0</v>
      </c>
      <c r="AD373" s="845">
        <v>0</v>
      </c>
      <c r="AE373" s="845">
        <v>2.6154401154401156E-2</v>
      </c>
      <c r="AF373" s="845">
        <v>7.2871572871572865E-2</v>
      </c>
      <c r="AG373" s="845">
        <v>0.89772727272727271</v>
      </c>
      <c r="AH373" s="20" t="str">
        <f t="shared" si="40"/>
        <v>No</v>
      </c>
      <c r="AI373" s="25"/>
      <c r="AJ373" s="37">
        <v>44026</v>
      </c>
      <c r="AK373" s="37" t="s">
        <v>1158</v>
      </c>
      <c r="AL373" s="37">
        <v>39055</v>
      </c>
      <c r="AM373" s="37" t="s">
        <v>34</v>
      </c>
      <c r="AN373" s="37">
        <f t="shared" si="41"/>
        <v>17410</v>
      </c>
      <c r="AO373" s="37" t="str">
        <f t="shared" si="42"/>
        <v>Cleveland, OH</v>
      </c>
      <c r="AP373" s="20" t="s">
        <v>8</v>
      </c>
      <c r="AQ373" s="25"/>
      <c r="AR373" s="25"/>
      <c r="AS373" s="25"/>
      <c r="AT373" s="25"/>
      <c r="AU373" s="36"/>
      <c r="AV373" s="36"/>
      <c r="AW373" s="36"/>
      <c r="AX373" s="25"/>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39">
        <v>44119</v>
      </c>
      <c r="BV373" s="39" t="s">
        <v>1222</v>
      </c>
      <c r="BW373" s="39" t="s">
        <v>2900</v>
      </c>
      <c r="BX373" s="39" t="s">
        <v>2852</v>
      </c>
      <c r="BY373" s="71">
        <v>860</v>
      </c>
      <c r="BZ373" s="71">
        <v>980</v>
      </c>
      <c r="CA373" s="71">
        <v>1180</v>
      </c>
      <c r="CB373" s="71">
        <v>1520</v>
      </c>
      <c r="CC373" s="71">
        <v>1620</v>
      </c>
      <c r="CD373" s="25"/>
      <c r="CE373" s="200"/>
      <c r="CF373" s="200"/>
      <c r="CG373" s="200"/>
      <c r="CH373" s="200"/>
      <c r="CI373" s="200"/>
      <c r="CJ373" s="200"/>
      <c r="CK373" s="200"/>
      <c r="CL373" s="200"/>
      <c r="CM373" s="200"/>
      <c r="CN373" s="200"/>
      <c r="CO373" s="200"/>
      <c r="CP373" s="200"/>
      <c r="CQ373" s="200"/>
      <c r="CR373" s="200"/>
      <c r="CS373" s="200"/>
      <c r="CT373" s="200"/>
      <c r="CU373" s="200"/>
    </row>
    <row r="374" spans="1:99" s="17" customFormat="1" x14ac:dyDescent="0.2">
      <c r="A374" s="25"/>
      <c r="B374" s="20">
        <v>39095008205</v>
      </c>
      <c r="C374" s="20">
        <v>82.05</v>
      </c>
      <c r="D374" s="20" t="s">
        <v>53</v>
      </c>
      <c r="E374" s="20" t="s">
        <v>2839</v>
      </c>
      <c r="F374" s="20" t="s">
        <v>8</v>
      </c>
      <c r="G374" s="861">
        <v>67.648936833787602</v>
      </c>
      <c r="H374" s="861">
        <v>61.4779866099937</v>
      </c>
      <c r="I374" s="861">
        <v>14.903234683839299</v>
      </c>
      <c r="J374" s="861">
        <v>63.078433654555496</v>
      </c>
      <c r="K374" s="982">
        <v>0</v>
      </c>
      <c r="L374" s="735" t="s">
        <v>2466</v>
      </c>
      <c r="M374" s="735">
        <v>2550</v>
      </c>
      <c r="N374" s="845" t="str">
        <f t="shared" si="38"/>
        <v/>
      </c>
      <c r="O374" s="735">
        <v>0.58542932847672424</v>
      </c>
      <c r="P374" s="735">
        <f t="shared" si="39"/>
        <v>4355.7776762483882</v>
      </c>
      <c r="Q374" s="849">
        <v>38.799999999999997</v>
      </c>
      <c r="R374" s="71">
        <v>142566</v>
      </c>
      <c r="S374" s="845">
        <v>7.6078431372549021E-2</v>
      </c>
      <c r="T374" s="845">
        <v>2.7999999999999997E-2</v>
      </c>
      <c r="U374" s="845">
        <v>0</v>
      </c>
      <c r="V374" s="845">
        <v>0</v>
      </c>
      <c r="W374" s="845">
        <v>9.0805902383654935E-3</v>
      </c>
      <c r="X374" s="845">
        <v>0</v>
      </c>
      <c r="Y374" s="845">
        <v>0.93686274509803924</v>
      </c>
      <c r="Z374" s="845">
        <v>4.3137254901960782E-3</v>
      </c>
      <c r="AA374" s="845">
        <v>0</v>
      </c>
      <c r="AB374" s="845">
        <v>5.8823529411764705E-3</v>
      </c>
      <c r="AC374" s="845">
        <v>0</v>
      </c>
      <c r="AD374" s="845">
        <v>1.215686274509804E-2</v>
      </c>
      <c r="AE374" s="845">
        <v>4.0784313725490198E-2</v>
      </c>
      <c r="AF374" s="845">
        <v>2.9411764705882353E-2</v>
      </c>
      <c r="AG374" s="845">
        <v>0.93176470588235294</v>
      </c>
      <c r="AH374" s="20" t="str">
        <f t="shared" si="40"/>
        <v>Yes</v>
      </c>
      <c r="AI374" s="25"/>
      <c r="AJ374" s="20">
        <v>44041</v>
      </c>
      <c r="AK374" s="20" t="s">
        <v>1165</v>
      </c>
      <c r="AL374" s="20">
        <v>39055</v>
      </c>
      <c r="AM374" s="20" t="s">
        <v>34</v>
      </c>
      <c r="AN374" s="37">
        <f t="shared" si="41"/>
        <v>17410</v>
      </c>
      <c r="AO374" s="37" t="str">
        <f t="shared" si="42"/>
        <v>Cleveland, OH</v>
      </c>
      <c r="AP374" s="20" t="s">
        <v>8</v>
      </c>
      <c r="AQ374" s="25"/>
      <c r="AR374" s="25"/>
      <c r="AS374" s="25"/>
      <c r="AT374" s="25"/>
      <c r="AU374" s="36"/>
      <c r="AV374" s="36"/>
      <c r="AW374" s="36"/>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39">
        <v>44120</v>
      </c>
      <c r="BV374" s="39" t="s">
        <v>1223</v>
      </c>
      <c r="BW374" s="39" t="s">
        <v>2900</v>
      </c>
      <c r="BX374" s="39" t="s">
        <v>2852</v>
      </c>
      <c r="BY374" s="71">
        <v>880</v>
      </c>
      <c r="BZ374" s="71">
        <v>1000</v>
      </c>
      <c r="CA374" s="71">
        <v>1210</v>
      </c>
      <c r="CB374" s="71">
        <v>1560</v>
      </c>
      <c r="CC374" s="71">
        <v>1660</v>
      </c>
      <c r="CD374" s="25"/>
      <c r="CE374" s="200"/>
      <c r="CF374" s="200"/>
      <c r="CG374" s="200"/>
      <c r="CH374" s="200"/>
      <c r="CI374" s="200"/>
      <c r="CJ374" s="200"/>
      <c r="CK374" s="200"/>
      <c r="CL374" s="200"/>
      <c r="CM374" s="200"/>
      <c r="CN374" s="200"/>
      <c r="CO374" s="200"/>
      <c r="CP374" s="200"/>
      <c r="CQ374" s="200"/>
      <c r="CR374" s="200"/>
      <c r="CS374" s="200"/>
      <c r="CT374" s="200"/>
      <c r="CU374" s="200"/>
    </row>
    <row r="375" spans="1:99" s="17" customFormat="1" x14ac:dyDescent="0.2">
      <c r="A375" s="25"/>
      <c r="B375" s="20">
        <v>39035175105</v>
      </c>
      <c r="C375" s="20">
        <v>1751.05</v>
      </c>
      <c r="D375" s="20" t="s">
        <v>24</v>
      </c>
      <c r="E375" s="20" t="s">
        <v>2829</v>
      </c>
      <c r="F375" s="20" t="s">
        <v>8</v>
      </c>
      <c r="G375" s="861">
        <v>67.639897775578106</v>
      </c>
      <c r="H375" s="861">
        <v>67.171346293262303</v>
      </c>
      <c r="I375" s="861">
        <v>21.245687120346599</v>
      </c>
      <c r="J375" s="861">
        <v>44.328360071628303</v>
      </c>
      <c r="K375" s="982">
        <v>0</v>
      </c>
      <c r="L375" s="735">
        <v>4865</v>
      </c>
      <c r="M375" s="735">
        <v>4780</v>
      </c>
      <c r="N375" s="845">
        <f t="shared" si="38"/>
        <v>-1.7471736896197326E-2</v>
      </c>
      <c r="O375" s="735">
        <v>2.7403620011213103</v>
      </c>
      <c r="P375" s="735">
        <f t="shared" si="39"/>
        <v>1744.2950960654482</v>
      </c>
      <c r="Q375" s="849">
        <v>45.1</v>
      </c>
      <c r="R375" s="71">
        <v>102467</v>
      </c>
      <c r="S375" s="845">
        <v>3.5368421052631577E-2</v>
      </c>
      <c r="T375" s="845">
        <v>7.2000000000000008E-2</v>
      </c>
      <c r="U375" s="845">
        <v>1.2E-2</v>
      </c>
      <c r="V375" s="845">
        <v>0</v>
      </c>
      <c r="W375" s="845">
        <v>8.5501858736059477E-2</v>
      </c>
      <c r="X375" s="845">
        <v>0.27950310559006208</v>
      </c>
      <c r="Y375" s="845">
        <v>0.92112970711297071</v>
      </c>
      <c r="Z375" s="845">
        <v>8.368200836820083E-3</v>
      </c>
      <c r="AA375" s="845">
        <v>0</v>
      </c>
      <c r="AB375" s="845">
        <v>2.0920502092050208E-2</v>
      </c>
      <c r="AC375" s="845">
        <v>0</v>
      </c>
      <c r="AD375" s="845">
        <v>6.9037656903765694E-3</v>
      </c>
      <c r="AE375" s="845">
        <v>4.2677824267782424E-2</v>
      </c>
      <c r="AF375" s="845">
        <v>2.112970711297071E-2</v>
      </c>
      <c r="AG375" s="845">
        <v>0.91401673640167369</v>
      </c>
      <c r="AH375" s="20" t="str">
        <f t="shared" si="40"/>
        <v>Yes</v>
      </c>
      <c r="AI375" s="25"/>
      <c r="AJ375" s="20">
        <v>44046</v>
      </c>
      <c r="AK375" s="20" t="s">
        <v>1168</v>
      </c>
      <c r="AL375" s="20">
        <v>39055</v>
      </c>
      <c r="AM375" s="20" t="s">
        <v>34</v>
      </c>
      <c r="AN375" s="37">
        <f t="shared" si="41"/>
        <v>17410</v>
      </c>
      <c r="AO375" s="37" t="str">
        <f t="shared" si="42"/>
        <v>Cleveland, OH</v>
      </c>
      <c r="AP375" s="20" t="s">
        <v>8</v>
      </c>
      <c r="AQ375" s="25"/>
      <c r="AR375" s="25"/>
      <c r="AS375" s="25"/>
      <c r="AT375" s="25"/>
      <c r="AU375" s="36"/>
      <c r="AV375" s="36"/>
      <c r="AW375" s="36"/>
      <c r="AX375" s="25"/>
      <c r="AY375" s="25"/>
      <c r="AZ375" s="25"/>
      <c r="BA375" s="25"/>
      <c r="BB375" s="25"/>
      <c r="BC375" s="25"/>
      <c r="BD375" s="25"/>
      <c r="BE375" s="25"/>
      <c r="BF375" s="25"/>
      <c r="BG375" s="25"/>
      <c r="BH375" s="25"/>
      <c r="BI375" s="25"/>
      <c r="BJ375" s="25"/>
      <c r="BK375" s="25"/>
      <c r="BL375" s="25"/>
      <c r="BM375" s="25"/>
      <c r="BN375" s="25"/>
      <c r="BO375" s="25"/>
      <c r="BP375" s="25"/>
      <c r="BQ375" s="25"/>
      <c r="BR375" s="25"/>
      <c r="BS375" s="25"/>
      <c r="BT375" s="25"/>
      <c r="BU375" s="39">
        <v>44121</v>
      </c>
      <c r="BV375" s="39" t="s">
        <v>1224</v>
      </c>
      <c r="BW375" s="39" t="s">
        <v>2900</v>
      </c>
      <c r="BX375" s="39" t="s">
        <v>2852</v>
      </c>
      <c r="BY375" s="71">
        <v>1040</v>
      </c>
      <c r="BZ375" s="71">
        <v>1180</v>
      </c>
      <c r="CA375" s="71">
        <v>1420</v>
      </c>
      <c r="CB375" s="71">
        <v>1830</v>
      </c>
      <c r="CC375" s="71">
        <v>1950</v>
      </c>
      <c r="CD375" s="25"/>
      <c r="CE375" s="200"/>
      <c r="CF375" s="200"/>
      <c r="CG375" s="200"/>
      <c r="CH375" s="200"/>
      <c r="CI375" s="200"/>
      <c r="CJ375" s="200"/>
      <c r="CK375" s="200"/>
      <c r="CL375" s="200"/>
      <c r="CM375" s="200"/>
      <c r="CN375" s="200"/>
      <c r="CO375" s="200"/>
      <c r="CP375" s="200"/>
      <c r="CQ375" s="200"/>
      <c r="CR375" s="200"/>
      <c r="CS375" s="200"/>
      <c r="CT375" s="200"/>
      <c r="CU375" s="200"/>
    </row>
    <row r="376" spans="1:99" s="17" customFormat="1" x14ac:dyDescent="0.2">
      <c r="A376" s="25"/>
      <c r="B376" s="20">
        <v>39035183401</v>
      </c>
      <c r="C376" s="20">
        <v>1834.01</v>
      </c>
      <c r="D376" s="20" t="s">
        <v>24</v>
      </c>
      <c r="E376" s="20" t="s">
        <v>2829</v>
      </c>
      <c r="F376" s="20" t="s">
        <v>8</v>
      </c>
      <c r="G376" s="861">
        <v>67.6376703859099</v>
      </c>
      <c r="H376" s="861">
        <v>78.094672298410302</v>
      </c>
      <c r="I376" s="861">
        <v>29.200124182035399</v>
      </c>
      <c r="J376" s="861">
        <v>41.660233784391203</v>
      </c>
      <c r="K376" s="982">
        <v>0</v>
      </c>
      <c r="L376" s="735">
        <v>2154</v>
      </c>
      <c r="M376" s="735">
        <v>2038</v>
      </c>
      <c r="N376" s="845">
        <f t="shared" si="38"/>
        <v>-5.3853296193129063E-2</v>
      </c>
      <c r="O376" s="735">
        <v>0.47605044796904494</v>
      </c>
      <c r="P376" s="735">
        <f t="shared" si="39"/>
        <v>4281.0588850291779</v>
      </c>
      <c r="Q376" s="849">
        <v>42</v>
      </c>
      <c r="R376" s="71">
        <v>152885</v>
      </c>
      <c r="S376" s="845">
        <v>6.0843964671246323E-2</v>
      </c>
      <c r="T376" s="845">
        <v>4.2999999999999997E-2</v>
      </c>
      <c r="U376" s="845">
        <v>0</v>
      </c>
      <c r="V376" s="845">
        <v>0.435</v>
      </c>
      <c r="W376" s="845">
        <v>9.8666666666666666E-2</v>
      </c>
      <c r="X376" s="845">
        <v>9.45945945945946E-2</v>
      </c>
      <c r="Y376" s="845">
        <v>0.6923454367026497</v>
      </c>
      <c r="Z376" s="845">
        <v>0.20166830225711482</v>
      </c>
      <c r="AA376" s="845">
        <v>0</v>
      </c>
      <c r="AB376" s="845">
        <v>6.47693817468106E-2</v>
      </c>
      <c r="AC376" s="845">
        <v>0</v>
      </c>
      <c r="AD376" s="845">
        <v>1.8155053974484789E-2</v>
      </c>
      <c r="AE376" s="845">
        <v>2.3061825318940136E-2</v>
      </c>
      <c r="AF376" s="845">
        <v>2.9931305201177625E-2</v>
      </c>
      <c r="AG376" s="845">
        <v>0.68989205103042195</v>
      </c>
      <c r="AH376" s="20" t="str">
        <f t="shared" si="40"/>
        <v>No</v>
      </c>
      <c r="AI376" s="25"/>
      <c r="AJ376" s="20">
        <v>44057</v>
      </c>
      <c r="AK376" s="20" t="s">
        <v>1178</v>
      </c>
      <c r="AL376" s="20">
        <v>39055</v>
      </c>
      <c r="AM376" s="20" t="s">
        <v>34</v>
      </c>
      <c r="AN376" s="37">
        <f t="shared" si="41"/>
        <v>17410</v>
      </c>
      <c r="AO376" s="37" t="str">
        <f t="shared" si="42"/>
        <v>Cleveland, OH</v>
      </c>
      <c r="AP376" s="20" t="s">
        <v>8</v>
      </c>
      <c r="AQ376" s="25"/>
      <c r="AR376" s="25"/>
      <c r="AS376" s="25"/>
      <c r="AT376" s="25"/>
      <c r="AU376" s="36"/>
      <c r="AV376" s="36"/>
      <c r="AW376" s="36"/>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39">
        <v>44122</v>
      </c>
      <c r="BV376" s="39" t="s">
        <v>1225</v>
      </c>
      <c r="BW376" s="39" t="s">
        <v>2900</v>
      </c>
      <c r="BX376" s="39" t="s">
        <v>2852</v>
      </c>
      <c r="BY376" s="71">
        <v>1340</v>
      </c>
      <c r="BZ376" s="71">
        <v>1520</v>
      </c>
      <c r="CA376" s="71">
        <v>1840</v>
      </c>
      <c r="CB376" s="71">
        <v>2370</v>
      </c>
      <c r="CC376" s="71">
        <v>2530</v>
      </c>
      <c r="CD376" s="25"/>
      <c r="CE376" s="200"/>
      <c r="CF376" s="200"/>
      <c r="CG376" s="200"/>
      <c r="CH376" s="200"/>
      <c r="CI376" s="200"/>
      <c r="CJ376" s="200"/>
      <c r="CK376" s="200"/>
      <c r="CL376" s="200"/>
      <c r="CM376" s="200"/>
      <c r="CN376" s="200"/>
      <c r="CO376" s="200"/>
      <c r="CP376" s="200"/>
      <c r="CQ376" s="200"/>
      <c r="CR376" s="200"/>
      <c r="CS376" s="200"/>
      <c r="CT376" s="200"/>
      <c r="CU376" s="200"/>
    </row>
    <row r="377" spans="1:99" s="17" customFormat="1" x14ac:dyDescent="0.2">
      <c r="A377" s="25"/>
      <c r="B377" s="20">
        <v>39061000900</v>
      </c>
      <c r="C377" s="20">
        <v>9</v>
      </c>
      <c r="D377" s="20" t="s">
        <v>37</v>
      </c>
      <c r="E377" s="20" t="s">
        <v>2828</v>
      </c>
      <c r="F377" s="20" t="s">
        <v>8</v>
      </c>
      <c r="G377" s="861">
        <v>67.613047872361506</v>
      </c>
      <c r="H377" s="861">
        <v>55.123581622788201</v>
      </c>
      <c r="I377" s="861">
        <v>50.780363483796997</v>
      </c>
      <c r="J377" s="861">
        <v>52.292022782315101</v>
      </c>
      <c r="K377" s="982">
        <v>3</v>
      </c>
      <c r="L377" s="735">
        <v>1238</v>
      </c>
      <c r="M377" s="735">
        <v>1940</v>
      </c>
      <c r="N377" s="845">
        <f t="shared" si="38"/>
        <v>0.56704361873990305</v>
      </c>
      <c r="O377" s="735">
        <v>0.11656269727045196</v>
      </c>
      <c r="P377" s="735">
        <f t="shared" si="39"/>
        <v>16643.40346808172</v>
      </c>
      <c r="Q377" s="849">
        <v>46.4</v>
      </c>
      <c r="R377" s="71">
        <v>87961</v>
      </c>
      <c r="S377" s="845">
        <v>0.32064650677789364</v>
      </c>
      <c r="T377" s="845">
        <v>0.151</v>
      </c>
      <c r="U377" s="845">
        <v>0</v>
      </c>
      <c r="V377" s="845">
        <v>6.4000000000000001E-2</v>
      </c>
      <c r="W377" s="845">
        <v>0.56542617046818733</v>
      </c>
      <c r="X377" s="845">
        <v>0.30148619957537154</v>
      </c>
      <c r="Y377" s="845">
        <v>0.60618556701030923</v>
      </c>
      <c r="Z377" s="845">
        <v>0.32319587628865981</v>
      </c>
      <c r="AA377" s="845">
        <v>0</v>
      </c>
      <c r="AB377" s="845">
        <v>4.793814432989691E-2</v>
      </c>
      <c r="AC377" s="845">
        <v>0</v>
      </c>
      <c r="AD377" s="845">
        <v>8.2474226804123713E-3</v>
      </c>
      <c r="AE377" s="845">
        <v>1.443298969072165E-2</v>
      </c>
      <c r="AF377" s="845">
        <v>0</v>
      </c>
      <c r="AG377" s="845">
        <v>0.60618556701030923</v>
      </c>
      <c r="AH377" s="20" t="str">
        <f t="shared" si="40"/>
        <v>No</v>
      </c>
      <c r="AI377" s="25"/>
      <c r="AJ377" s="20">
        <v>44060</v>
      </c>
      <c r="AK377" s="20" t="s">
        <v>1179</v>
      </c>
      <c r="AL377" s="20">
        <v>39055</v>
      </c>
      <c r="AM377" s="20" t="s">
        <v>34</v>
      </c>
      <c r="AN377" s="37">
        <f t="shared" si="41"/>
        <v>17410</v>
      </c>
      <c r="AO377" s="37" t="str">
        <f t="shared" si="42"/>
        <v>Cleveland, OH</v>
      </c>
      <c r="AP377" s="20" t="s">
        <v>8</v>
      </c>
      <c r="AQ377" s="25"/>
      <c r="AR377" s="25"/>
      <c r="AS377" s="25"/>
      <c r="AT377" s="25"/>
      <c r="AU377" s="36"/>
      <c r="AV377" s="36"/>
      <c r="AW377" s="36"/>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39">
        <v>44123</v>
      </c>
      <c r="BV377" s="39" t="s">
        <v>1226</v>
      </c>
      <c r="BW377" s="39" t="s">
        <v>2900</v>
      </c>
      <c r="BX377" s="39" t="s">
        <v>2852</v>
      </c>
      <c r="BY377" s="71">
        <v>930</v>
      </c>
      <c r="BZ377" s="71">
        <v>1060</v>
      </c>
      <c r="CA377" s="71">
        <v>1280</v>
      </c>
      <c r="CB377" s="71">
        <v>1650</v>
      </c>
      <c r="CC377" s="71">
        <v>1760</v>
      </c>
      <c r="CD377" s="25"/>
      <c r="CE377" s="200"/>
      <c r="CF377" s="200"/>
      <c r="CG377" s="200"/>
      <c r="CH377" s="200"/>
      <c r="CI377" s="200"/>
      <c r="CJ377" s="200"/>
      <c r="CK377" s="200"/>
      <c r="CL377" s="200"/>
      <c r="CM377" s="200"/>
      <c r="CN377" s="200"/>
      <c r="CO377" s="200"/>
      <c r="CP377" s="200"/>
      <c r="CQ377" s="200"/>
      <c r="CR377" s="200"/>
      <c r="CS377" s="200"/>
      <c r="CT377" s="200"/>
      <c r="CU377" s="200"/>
    </row>
    <row r="378" spans="1:99" s="17" customFormat="1" x14ac:dyDescent="0.2">
      <c r="A378" s="25"/>
      <c r="B378" s="20">
        <v>39061022400</v>
      </c>
      <c r="C378" s="20">
        <v>224</v>
      </c>
      <c r="D378" s="20" t="s">
        <v>37</v>
      </c>
      <c r="E378" s="20" t="s">
        <v>2828</v>
      </c>
      <c r="F378" s="20" t="s">
        <v>8</v>
      </c>
      <c r="G378" s="861">
        <v>67.598161756183998</v>
      </c>
      <c r="H378" s="861">
        <v>71.830448252458694</v>
      </c>
      <c r="I378" s="861">
        <v>28.416124515045901</v>
      </c>
      <c r="J378" s="861">
        <v>34.774617402146397</v>
      </c>
      <c r="K378" s="982">
        <v>0</v>
      </c>
      <c r="L378" s="735">
        <v>2219</v>
      </c>
      <c r="M378" s="735">
        <v>1977</v>
      </c>
      <c r="N378" s="845">
        <f t="shared" si="38"/>
        <v>-0.10905813429472735</v>
      </c>
      <c r="O378" s="735">
        <v>1.6537512212749117</v>
      </c>
      <c r="P378" s="735">
        <f t="shared" si="39"/>
        <v>1195.4639697716377</v>
      </c>
      <c r="Q378" s="849">
        <v>50.4</v>
      </c>
      <c r="R378" s="71">
        <v>118438</v>
      </c>
      <c r="S378" s="845">
        <v>5.5414336553126588E-2</v>
      </c>
      <c r="T378" s="845">
        <v>4.2000000000000003E-2</v>
      </c>
      <c r="U378" s="845">
        <v>2.6000000000000002E-2</v>
      </c>
      <c r="V378" s="845">
        <v>0</v>
      </c>
      <c r="W378" s="845">
        <v>0.16065573770491803</v>
      </c>
      <c r="X378" s="845">
        <v>0.14285714285714285</v>
      </c>
      <c r="Y378" s="845">
        <v>0.83004552352048555</v>
      </c>
      <c r="Z378" s="845">
        <v>0.12392513909964593</v>
      </c>
      <c r="AA378" s="845">
        <v>0</v>
      </c>
      <c r="AB378" s="845">
        <v>7.0814365199797676E-3</v>
      </c>
      <c r="AC378" s="845">
        <v>0</v>
      </c>
      <c r="AD378" s="845">
        <v>1.5680323722812341E-2</v>
      </c>
      <c r="AE378" s="845">
        <v>2.3267577137076379E-2</v>
      </c>
      <c r="AF378" s="845">
        <v>3.5912999494183105E-2</v>
      </c>
      <c r="AG378" s="845">
        <v>0.81183611532625188</v>
      </c>
      <c r="AH378" s="20" t="str">
        <f t="shared" si="40"/>
        <v>No</v>
      </c>
      <c r="AI378" s="25"/>
      <c r="AJ378" s="20">
        <v>44062</v>
      </c>
      <c r="AK378" s="20" t="s">
        <v>1180</v>
      </c>
      <c r="AL378" s="20">
        <v>39055</v>
      </c>
      <c r="AM378" s="20" t="s">
        <v>34</v>
      </c>
      <c r="AN378" s="37">
        <f t="shared" si="41"/>
        <v>17410</v>
      </c>
      <c r="AO378" s="37" t="str">
        <f t="shared" si="42"/>
        <v>Cleveland, OH</v>
      </c>
      <c r="AP378" s="20" t="s">
        <v>8</v>
      </c>
      <c r="AQ378" s="25"/>
      <c r="AR378" s="25"/>
      <c r="AS378" s="25"/>
      <c r="AT378" s="25"/>
      <c r="AU378" s="36"/>
      <c r="AV378" s="36"/>
      <c r="AW378" s="36"/>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39">
        <v>44124</v>
      </c>
      <c r="BV378" s="39" t="s">
        <v>1227</v>
      </c>
      <c r="BW378" s="39" t="s">
        <v>2900</v>
      </c>
      <c r="BX378" s="39" t="s">
        <v>2852</v>
      </c>
      <c r="BY378" s="71">
        <v>1080</v>
      </c>
      <c r="BZ378" s="71">
        <v>1220</v>
      </c>
      <c r="CA378" s="71">
        <v>1480</v>
      </c>
      <c r="CB378" s="71">
        <v>1900</v>
      </c>
      <c r="CC378" s="71">
        <v>2040</v>
      </c>
      <c r="CD378" s="25"/>
      <c r="CE378" s="200"/>
      <c r="CF378" s="200"/>
      <c r="CG378" s="200"/>
      <c r="CH378" s="200"/>
      <c r="CI378" s="200"/>
      <c r="CJ378" s="200"/>
      <c r="CK378" s="200"/>
      <c r="CL378" s="200"/>
      <c r="CM378" s="200"/>
      <c r="CN378" s="200"/>
      <c r="CO378" s="200"/>
      <c r="CP378" s="200"/>
      <c r="CQ378" s="200"/>
      <c r="CR378" s="200"/>
      <c r="CS378" s="200"/>
      <c r="CT378" s="200"/>
      <c r="CU378" s="200"/>
    </row>
    <row r="379" spans="1:99" s="17" customFormat="1" x14ac:dyDescent="0.2">
      <c r="A379" s="25"/>
      <c r="B379" s="20">
        <v>39099813501</v>
      </c>
      <c r="C379" s="20">
        <v>8135.01</v>
      </c>
      <c r="D379" s="20" t="s">
        <v>55</v>
      </c>
      <c r="E379" s="20" t="s">
        <v>2842</v>
      </c>
      <c r="F379" s="20" t="s">
        <v>8</v>
      </c>
      <c r="G379" s="861">
        <v>67.593928722978902</v>
      </c>
      <c r="H379" s="861">
        <v>55.4607811702666</v>
      </c>
      <c r="I379" s="861">
        <v>29.036778978189499</v>
      </c>
      <c r="J379" s="861">
        <v>52.124994623501301</v>
      </c>
      <c r="K379" s="982">
        <v>0</v>
      </c>
      <c r="L379" s="735" t="s">
        <v>2466</v>
      </c>
      <c r="M379" s="735">
        <v>3500</v>
      </c>
      <c r="N379" s="845" t="str">
        <f t="shared" si="38"/>
        <v/>
      </c>
      <c r="O379" s="735">
        <v>10.868058386569196</v>
      </c>
      <c r="P379" s="735">
        <f t="shared" si="39"/>
        <v>322.04464454527761</v>
      </c>
      <c r="Q379" s="849">
        <v>57.5</v>
      </c>
      <c r="R379" s="71">
        <v>86569</v>
      </c>
      <c r="S379" s="845">
        <v>5.5078000636739892E-2</v>
      </c>
      <c r="T379" s="845">
        <v>1.7000000000000001E-2</v>
      </c>
      <c r="U379" s="845">
        <v>0</v>
      </c>
      <c r="V379" s="845">
        <v>0.13600000000000001</v>
      </c>
      <c r="W379" s="845">
        <v>0.22274881516587677</v>
      </c>
      <c r="X379" s="845">
        <v>0.50151975683890582</v>
      </c>
      <c r="Y379" s="845">
        <v>0.96</v>
      </c>
      <c r="Z379" s="845">
        <v>1.6E-2</v>
      </c>
      <c r="AA379" s="845">
        <v>0</v>
      </c>
      <c r="AB379" s="845">
        <v>0</v>
      </c>
      <c r="AC379" s="845">
        <v>0</v>
      </c>
      <c r="AD379" s="845">
        <v>1.5428571428571429E-2</v>
      </c>
      <c r="AE379" s="845">
        <v>8.5714285714285719E-3</v>
      </c>
      <c r="AF379" s="845">
        <v>2.9428571428571429E-2</v>
      </c>
      <c r="AG379" s="845">
        <v>0.94885714285714284</v>
      </c>
      <c r="AH379" s="20" t="str">
        <f t="shared" si="40"/>
        <v>Yes</v>
      </c>
      <c r="AI379" s="25"/>
      <c r="AJ379" s="20">
        <v>44064</v>
      </c>
      <c r="AK379" s="20" t="s">
        <v>1181</v>
      </c>
      <c r="AL379" s="20">
        <v>39055</v>
      </c>
      <c r="AM379" s="20" t="s">
        <v>34</v>
      </c>
      <c r="AN379" s="37">
        <f t="shared" si="41"/>
        <v>17410</v>
      </c>
      <c r="AO379" s="37" t="str">
        <f t="shared" si="42"/>
        <v>Cleveland, OH</v>
      </c>
      <c r="AP379" s="20" t="s">
        <v>8</v>
      </c>
      <c r="AQ379" s="25"/>
      <c r="AR379" s="25"/>
      <c r="AS379" s="25"/>
      <c r="AT379" s="25"/>
      <c r="AU379" s="36"/>
      <c r="AV379" s="36"/>
      <c r="AW379" s="36"/>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39">
        <v>44125</v>
      </c>
      <c r="BV379" s="39" t="s">
        <v>1228</v>
      </c>
      <c r="BW379" s="39" t="s">
        <v>2900</v>
      </c>
      <c r="BX379" s="39" t="s">
        <v>2852</v>
      </c>
      <c r="BY379" s="71">
        <v>1010</v>
      </c>
      <c r="BZ379" s="71">
        <v>1150</v>
      </c>
      <c r="CA379" s="71">
        <v>1390</v>
      </c>
      <c r="CB379" s="71">
        <v>1790</v>
      </c>
      <c r="CC379" s="71">
        <v>1910</v>
      </c>
      <c r="CD379" s="25"/>
      <c r="CE379" s="200"/>
      <c r="CF379" s="200"/>
      <c r="CG379" s="200"/>
      <c r="CH379" s="200"/>
      <c r="CI379" s="200"/>
      <c r="CJ379" s="200"/>
      <c r="CK379" s="200"/>
      <c r="CL379" s="200"/>
      <c r="CM379" s="200"/>
      <c r="CN379" s="200"/>
      <c r="CO379" s="200"/>
      <c r="CP379" s="200"/>
      <c r="CQ379" s="200"/>
      <c r="CR379" s="200"/>
      <c r="CS379" s="200"/>
      <c r="CT379" s="200"/>
      <c r="CU379" s="200"/>
    </row>
    <row r="380" spans="1:99" s="17" customFormat="1" x14ac:dyDescent="0.2">
      <c r="A380" s="25"/>
      <c r="B380" s="20">
        <v>39041011562</v>
      </c>
      <c r="C380" s="20">
        <v>115.62</v>
      </c>
      <c r="D380" s="20" t="s">
        <v>27</v>
      </c>
      <c r="E380" s="20" t="s">
        <v>2830</v>
      </c>
      <c r="F380" s="20" t="s">
        <v>8</v>
      </c>
      <c r="G380" s="861">
        <v>67.4647092868492</v>
      </c>
      <c r="H380" s="861">
        <v>69.673212320364101</v>
      </c>
      <c r="I380" s="861">
        <v>15.869414499312001</v>
      </c>
      <c r="J380" s="861">
        <v>64.034611877569404</v>
      </c>
      <c r="K380" s="982">
        <v>0</v>
      </c>
      <c r="L380" s="735" t="s">
        <v>2466</v>
      </c>
      <c r="M380" s="735">
        <v>8019</v>
      </c>
      <c r="N380" s="845" t="str">
        <f t="shared" si="38"/>
        <v/>
      </c>
      <c r="O380" s="735">
        <v>14.724814701948574</v>
      </c>
      <c r="P380" s="735">
        <f t="shared" si="39"/>
        <v>544.59089382896104</v>
      </c>
      <c r="Q380" s="849">
        <v>36.799999999999997</v>
      </c>
      <c r="R380" s="71">
        <v>165401</v>
      </c>
      <c r="S380" s="845">
        <v>1.1498562679665042E-2</v>
      </c>
      <c r="T380" s="845">
        <v>2.2000000000000002E-2</v>
      </c>
      <c r="U380" s="845">
        <v>0</v>
      </c>
      <c r="V380" s="845">
        <v>0.125</v>
      </c>
      <c r="W380" s="845">
        <v>9.6885813148788927E-2</v>
      </c>
      <c r="X380" s="845">
        <v>0.17063492063492064</v>
      </c>
      <c r="Y380" s="845">
        <v>0.68175582990397809</v>
      </c>
      <c r="Z380" s="845">
        <v>5.5992018954981918E-2</v>
      </c>
      <c r="AA380" s="845">
        <v>0</v>
      </c>
      <c r="AB380" s="845">
        <v>0.16872427983539096</v>
      </c>
      <c r="AC380" s="845">
        <v>0</v>
      </c>
      <c r="AD380" s="845">
        <v>1.3717421124828531E-3</v>
      </c>
      <c r="AE380" s="845">
        <v>9.2156129193166236E-2</v>
      </c>
      <c r="AF380" s="845">
        <v>2.3818431225838634E-2</v>
      </c>
      <c r="AG380" s="845">
        <v>0.66329966329966328</v>
      </c>
      <c r="AH380" s="20" t="str">
        <f t="shared" si="40"/>
        <v>No</v>
      </c>
      <c r="AI380" s="25"/>
      <c r="AJ380" s="37">
        <v>44065</v>
      </c>
      <c r="AK380" s="37" t="s">
        <v>1182</v>
      </c>
      <c r="AL380" s="37">
        <v>39055</v>
      </c>
      <c r="AM380" s="37" t="s">
        <v>34</v>
      </c>
      <c r="AN380" s="37">
        <f t="shared" si="41"/>
        <v>17410</v>
      </c>
      <c r="AO380" s="37" t="str">
        <f t="shared" si="42"/>
        <v>Cleveland, OH</v>
      </c>
      <c r="AP380" s="20" t="s">
        <v>8</v>
      </c>
      <c r="AQ380" s="25"/>
      <c r="AR380" s="25"/>
      <c r="AS380" s="25"/>
      <c r="AT380" s="25"/>
      <c r="AU380" s="36"/>
      <c r="AV380" s="36"/>
      <c r="AW380" s="36"/>
      <c r="AX380" s="25"/>
      <c r="AY380" s="25"/>
      <c r="AZ380" s="25"/>
      <c r="BA380" s="25"/>
      <c r="BB380" s="25"/>
      <c r="BC380" s="25"/>
      <c r="BD380" s="25"/>
      <c r="BE380" s="25"/>
      <c r="BF380" s="25"/>
      <c r="BG380" s="25"/>
      <c r="BH380" s="25"/>
      <c r="BI380" s="25"/>
      <c r="BJ380" s="25"/>
      <c r="BK380" s="25"/>
      <c r="BL380" s="25"/>
      <c r="BM380" s="25"/>
      <c r="BN380" s="25"/>
      <c r="BO380" s="25"/>
      <c r="BP380" s="25"/>
      <c r="BQ380" s="25"/>
      <c r="BR380" s="25"/>
      <c r="BS380" s="25"/>
      <c r="BT380" s="25"/>
      <c r="BU380" s="39">
        <v>44126</v>
      </c>
      <c r="BV380" s="39" t="s">
        <v>1229</v>
      </c>
      <c r="BW380" s="39" t="s">
        <v>2900</v>
      </c>
      <c r="BX380" s="39" t="s">
        <v>2852</v>
      </c>
      <c r="BY380" s="71">
        <v>880</v>
      </c>
      <c r="BZ380" s="71">
        <v>1000</v>
      </c>
      <c r="CA380" s="71">
        <v>1210</v>
      </c>
      <c r="CB380" s="71">
        <v>1560</v>
      </c>
      <c r="CC380" s="71">
        <v>1660</v>
      </c>
      <c r="CD380" s="25"/>
      <c r="CE380" s="200"/>
      <c r="CF380" s="200"/>
      <c r="CG380" s="200"/>
      <c r="CH380" s="200"/>
      <c r="CI380" s="200"/>
      <c r="CJ380" s="200"/>
      <c r="CK380" s="200"/>
      <c r="CL380" s="200"/>
      <c r="CM380" s="200"/>
      <c r="CN380" s="200"/>
      <c r="CO380" s="200"/>
      <c r="CP380" s="200"/>
      <c r="CQ380" s="200"/>
      <c r="CR380" s="200"/>
      <c r="CS380" s="200"/>
      <c r="CT380" s="200"/>
      <c r="CU380" s="200"/>
    </row>
    <row r="381" spans="1:99" s="17" customFormat="1" x14ac:dyDescent="0.2">
      <c r="A381" s="25"/>
      <c r="B381" s="20">
        <v>39035152502</v>
      </c>
      <c r="C381" s="20">
        <v>1525.02</v>
      </c>
      <c r="D381" s="20" t="s">
        <v>24</v>
      </c>
      <c r="E381" s="20" t="s">
        <v>2829</v>
      </c>
      <c r="F381" s="20" t="s">
        <v>8</v>
      </c>
      <c r="G381" s="861">
        <v>67.3009677009657</v>
      </c>
      <c r="H381" s="861">
        <v>72.570874308106497</v>
      </c>
      <c r="I381" s="861">
        <v>49.771867509121101</v>
      </c>
      <c r="J381" s="861">
        <v>57.050919427067001</v>
      </c>
      <c r="K381" s="982">
        <v>0</v>
      </c>
      <c r="L381" s="735">
        <v>2629</v>
      </c>
      <c r="M381" s="735">
        <v>2425</v>
      </c>
      <c r="N381" s="845">
        <f t="shared" si="38"/>
        <v>-7.7596044123240782E-2</v>
      </c>
      <c r="O381" s="735">
        <v>1.3869221971061483</v>
      </c>
      <c r="P381" s="735">
        <f t="shared" si="39"/>
        <v>1748.4758734555046</v>
      </c>
      <c r="Q381" s="849">
        <v>36</v>
      </c>
      <c r="R381" s="71">
        <v>65417</v>
      </c>
      <c r="S381" s="845">
        <v>0.16472545757071547</v>
      </c>
      <c r="T381" s="845">
        <v>1.9E-2</v>
      </c>
      <c r="U381" s="845">
        <v>0</v>
      </c>
      <c r="V381" s="845">
        <v>0</v>
      </c>
      <c r="W381" s="845">
        <v>0.49551345962113658</v>
      </c>
      <c r="X381" s="845">
        <v>0.50100603621730377</v>
      </c>
      <c r="Y381" s="845">
        <v>0.28371134020618555</v>
      </c>
      <c r="Z381" s="845">
        <v>0.69443298969072165</v>
      </c>
      <c r="AA381" s="845">
        <v>5.7731958762886598E-3</v>
      </c>
      <c r="AB381" s="845">
        <v>0</v>
      </c>
      <c r="AC381" s="845">
        <v>0</v>
      </c>
      <c r="AD381" s="845">
        <v>0</v>
      </c>
      <c r="AE381" s="845">
        <v>1.6082474226804123E-2</v>
      </c>
      <c r="AF381" s="845">
        <v>1.2371134020618556E-2</v>
      </c>
      <c r="AG381" s="845">
        <v>0.28082474226804122</v>
      </c>
      <c r="AH381" s="20" t="str">
        <f t="shared" si="40"/>
        <v>No</v>
      </c>
      <c r="AI381" s="25"/>
      <c r="AJ381" s="37">
        <v>44072</v>
      </c>
      <c r="AK381" s="37" t="s">
        <v>1186</v>
      </c>
      <c r="AL381" s="37">
        <v>39055</v>
      </c>
      <c r="AM381" s="37" t="s">
        <v>34</v>
      </c>
      <c r="AN381" s="37">
        <f t="shared" si="41"/>
        <v>17410</v>
      </c>
      <c r="AO381" s="37" t="str">
        <f t="shared" si="42"/>
        <v>Cleveland, OH</v>
      </c>
      <c r="AP381" s="20" t="s">
        <v>8</v>
      </c>
      <c r="AQ381" s="25"/>
      <c r="AR381" s="25"/>
      <c r="AS381" s="25"/>
      <c r="AT381" s="25"/>
      <c r="AU381" s="36"/>
      <c r="AV381" s="36"/>
      <c r="AW381" s="36"/>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39">
        <v>44127</v>
      </c>
      <c r="BV381" s="39" t="s">
        <v>1230</v>
      </c>
      <c r="BW381" s="39" t="s">
        <v>2900</v>
      </c>
      <c r="BX381" s="39" t="s">
        <v>2852</v>
      </c>
      <c r="BY381" s="71">
        <v>710</v>
      </c>
      <c r="BZ381" s="71">
        <v>810</v>
      </c>
      <c r="CA381" s="71">
        <v>970</v>
      </c>
      <c r="CB381" s="71">
        <v>1250</v>
      </c>
      <c r="CC381" s="71">
        <v>1340</v>
      </c>
      <c r="CD381" s="25"/>
      <c r="CE381" s="200"/>
      <c r="CF381" s="200"/>
      <c r="CG381" s="200"/>
      <c r="CH381" s="200"/>
      <c r="CI381" s="200"/>
      <c r="CJ381" s="200"/>
      <c r="CK381" s="200"/>
      <c r="CL381" s="200"/>
      <c r="CM381" s="200"/>
      <c r="CN381" s="200"/>
      <c r="CO381" s="200"/>
      <c r="CP381" s="200"/>
      <c r="CQ381" s="200"/>
      <c r="CR381" s="200"/>
      <c r="CS381" s="200"/>
      <c r="CT381" s="200"/>
      <c r="CU381" s="200"/>
    </row>
    <row r="382" spans="1:99" s="17" customFormat="1" x14ac:dyDescent="0.2">
      <c r="A382" s="25"/>
      <c r="B382" s="20">
        <v>39061025002</v>
      </c>
      <c r="C382" s="20">
        <v>250.02</v>
      </c>
      <c r="D382" s="20" t="s">
        <v>37</v>
      </c>
      <c r="E382" s="20" t="s">
        <v>2828</v>
      </c>
      <c r="F382" s="20" t="s">
        <v>8</v>
      </c>
      <c r="G382" s="861">
        <v>67.292721950903399</v>
      </c>
      <c r="H382" s="861">
        <v>68.315851915888402</v>
      </c>
      <c r="I382" s="861">
        <v>22.243461353455601</v>
      </c>
      <c r="J382" s="861">
        <v>42.264031791977999</v>
      </c>
      <c r="K382" s="982">
        <v>0</v>
      </c>
      <c r="L382" s="735">
        <v>6960</v>
      </c>
      <c r="M382" s="735">
        <v>6890</v>
      </c>
      <c r="N382" s="845">
        <f t="shared" si="38"/>
        <v>-1.0057471264367816E-2</v>
      </c>
      <c r="O382" s="735">
        <v>3.2121043212047797</v>
      </c>
      <c r="P382" s="735">
        <f t="shared" si="39"/>
        <v>2145.0112795264799</v>
      </c>
      <c r="Q382" s="849">
        <v>37.6</v>
      </c>
      <c r="R382" s="71">
        <v>113438</v>
      </c>
      <c r="S382" s="845">
        <v>5.5732946298984037E-2</v>
      </c>
      <c r="T382" s="845">
        <v>2.5000000000000001E-2</v>
      </c>
      <c r="U382" s="845">
        <v>0</v>
      </c>
      <c r="V382" s="845">
        <v>0</v>
      </c>
      <c r="W382" s="845">
        <v>7.421875E-2</v>
      </c>
      <c r="X382" s="845">
        <v>0</v>
      </c>
      <c r="Y382" s="845">
        <v>0.90261248185776488</v>
      </c>
      <c r="Z382" s="845">
        <v>1.2046444121915819E-2</v>
      </c>
      <c r="AA382" s="845">
        <v>0</v>
      </c>
      <c r="AB382" s="845">
        <v>1.0014513788098693E-2</v>
      </c>
      <c r="AC382" s="845">
        <v>0</v>
      </c>
      <c r="AD382" s="845">
        <v>1.4513788098693759E-3</v>
      </c>
      <c r="AE382" s="845">
        <v>7.3875181422351235E-2</v>
      </c>
      <c r="AF382" s="845">
        <v>3.8896952104499276E-2</v>
      </c>
      <c r="AG382" s="845">
        <v>0.88635703918722786</v>
      </c>
      <c r="AH382" s="20" t="str">
        <f t="shared" si="40"/>
        <v>No</v>
      </c>
      <c r="AI382" s="25"/>
      <c r="AJ382" s="20">
        <v>44080</v>
      </c>
      <c r="AK382" s="20" t="s">
        <v>1190</v>
      </c>
      <c r="AL382" s="20">
        <v>39055</v>
      </c>
      <c r="AM382" s="20" t="s">
        <v>34</v>
      </c>
      <c r="AN382" s="37">
        <f t="shared" si="41"/>
        <v>17410</v>
      </c>
      <c r="AO382" s="37" t="str">
        <f t="shared" si="42"/>
        <v>Cleveland, OH</v>
      </c>
      <c r="AP382" s="20" t="s">
        <v>8</v>
      </c>
      <c r="AQ382" s="25"/>
      <c r="AR382" s="25"/>
      <c r="AS382" s="25"/>
      <c r="AT382" s="25"/>
      <c r="AU382" s="36"/>
      <c r="AV382" s="36"/>
      <c r="AW382" s="36"/>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39">
        <v>44128</v>
      </c>
      <c r="BV382" s="39" t="s">
        <v>1231</v>
      </c>
      <c r="BW382" s="39" t="s">
        <v>2900</v>
      </c>
      <c r="BX382" s="39" t="s">
        <v>2852</v>
      </c>
      <c r="BY382" s="71">
        <v>910</v>
      </c>
      <c r="BZ382" s="71">
        <v>1030</v>
      </c>
      <c r="CA382" s="71">
        <v>1250</v>
      </c>
      <c r="CB382" s="71">
        <v>1610</v>
      </c>
      <c r="CC382" s="71">
        <v>1720</v>
      </c>
      <c r="CD382" s="25"/>
      <c r="CE382" s="200"/>
      <c r="CF382" s="200"/>
      <c r="CG382" s="200"/>
      <c r="CH382" s="200"/>
      <c r="CI382" s="200"/>
      <c r="CJ382" s="200"/>
      <c r="CK382" s="200"/>
      <c r="CL382" s="200"/>
      <c r="CM382" s="200"/>
      <c r="CN382" s="200"/>
      <c r="CO382" s="200"/>
      <c r="CP382" s="200"/>
      <c r="CQ382" s="200"/>
      <c r="CR382" s="200"/>
      <c r="CS382" s="200"/>
      <c r="CT382" s="200"/>
      <c r="CU382" s="200"/>
    </row>
    <row r="383" spans="1:99" s="17" customFormat="1" x14ac:dyDescent="0.2">
      <c r="A383" s="25"/>
      <c r="B383" s="20">
        <v>39049006822</v>
      </c>
      <c r="C383" s="20">
        <v>68.22</v>
      </c>
      <c r="D383" s="20" t="s">
        <v>31</v>
      </c>
      <c r="E383" s="20" t="s">
        <v>2830</v>
      </c>
      <c r="F383" s="20" t="s">
        <v>8</v>
      </c>
      <c r="G383" s="861">
        <v>67.282836674950602</v>
      </c>
      <c r="H383" s="861">
        <v>70.502290025826596</v>
      </c>
      <c r="I383" s="861">
        <v>19.068650752746901</v>
      </c>
      <c r="J383" s="861">
        <v>50.544360448933503</v>
      </c>
      <c r="K383" s="982">
        <v>0</v>
      </c>
      <c r="L383" s="735">
        <v>1967</v>
      </c>
      <c r="M383" s="735">
        <v>2146</v>
      </c>
      <c r="N383" s="845">
        <f t="shared" si="38"/>
        <v>9.1001525165226235E-2</v>
      </c>
      <c r="O383" s="735">
        <v>0.43004560356842719</v>
      </c>
      <c r="P383" s="735">
        <f t="shared" si="39"/>
        <v>4990.1684430510331</v>
      </c>
      <c r="Q383" s="849">
        <v>42.6</v>
      </c>
      <c r="R383" s="71">
        <v>92833</v>
      </c>
      <c r="S383" s="845">
        <v>4.5666356011183594E-2</v>
      </c>
      <c r="T383" s="845">
        <v>1.4999999999999999E-2</v>
      </c>
      <c r="U383" s="845">
        <v>0</v>
      </c>
      <c r="V383" s="845">
        <v>0</v>
      </c>
      <c r="W383" s="845">
        <v>0.19818913480885311</v>
      </c>
      <c r="X383" s="845">
        <v>0.27411167512690354</v>
      </c>
      <c r="Y383" s="845">
        <v>0.90726933830382106</v>
      </c>
      <c r="Z383" s="845">
        <v>7.9217148182665429E-3</v>
      </c>
      <c r="AA383" s="845">
        <v>1.863932898415657E-3</v>
      </c>
      <c r="AB383" s="845">
        <v>1.3979496738117428E-2</v>
      </c>
      <c r="AC383" s="845">
        <v>0</v>
      </c>
      <c r="AD383" s="845">
        <v>9.7856477166821994E-3</v>
      </c>
      <c r="AE383" s="845">
        <v>5.9179869524697108E-2</v>
      </c>
      <c r="AF383" s="845">
        <v>6.1975768872320598E-2</v>
      </c>
      <c r="AG383" s="845">
        <v>0.86300093196644923</v>
      </c>
      <c r="AH383" s="20" t="str">
        <f t="shared" si="40"/>
        <v>No</v>
      </c>
      <c r="AI383" s="25"/>
      <c r="AJ383" s="37">
        <v>44086</v>
      </c>
      <c r="AK383" s="37" t="s">
        <v>1195</v>
      </c>
      <c r="AL383" s="37">
        <v>39055</v>
      </c>
      <c r="AM383" s="37" t="s">
        <v>34</v>
      </c>
      <c r="AN383" s="37">
        <f t="shared" si="41"/>
        <v>17410</v>
      </c>
      <c r="AO383" s="37" t="str">
        <f t="shared" si="42"/>
        <v>Cleveland, OH</v>
      </c>
      <c r="AP383" s="20" t="s">
        <v>8</v>
      </c>
      <c r="AQ383" s="25"/>
      <c r="AR383" s="25"/>
      <c r="AS383" s="25"/>
      <c r="AT383" s="25"/>
      <c r="AU383" s="36"/>
      <c r="AV383" s="36"/>
      <c r="AW383" s="36"/>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39">
        <v>44129</v>
      </c>
      <c r="BV383" s="39" t="s">
        <v>1232</v>
      </c>
      <c r="BW383" s="39" t="s">
        <v>2900</v>
      </c>
      <c r="BX383" s="39" t="s">
        <v>2852</v>
      </c>
      <c r="BY383" s="71">
        <v>910</v>
      </c>
      <c r="BZ383" s="71">
        <v>1030</v>
      </c>
      <c r="CA383" s="71">
        <v>1250</v>
      </c>
      <c r="CB383" s="71">
        <v>1610</v>
      </c>
      <c r="CC383" s="71">
        <v>1720</v>
      </c>
      <c r="CD383" s="25"/>
      <c r="CE383" s="200"/>
      <c r="CF383" s="200"/>
      <c r="CG383" s="200"/>
      <c r="CH383" s="200"/>
      <c r="CI383" s="200"/>
      <c r="CJ383" s="200"/>
      <c r="CK383" s="200"/>
      <c r="CL383" s="200"/>
      <c r="CM383" s="200"/>
      <c r="CN383" s="200"/>
      <c r="CO383" s="200"/>
      <c r="CP383" s="200"/>
      <c r="CQ383" s="200"/>
      <c r="CR383" s="200"/>
      <c r="CS383" s="200"/>
      <c r="CT383" s="200"/>
      <c r="CU383" s="200"/>
    </row>
    <row r="384" spans="1:99" s="17" customFormat="1" x14ac:dyDescent="0.2">
      <c r="A384" s="25"/>
      <c r="B384" s="20">
        <v>39061026500</v>
      </c>
      <c r="C384" s="20">
        <v>265</v>
      </c>
      <c r="D384" s="20" t="s">
        <v>37</v>
      </c>
      <c r="E384" s="20" t="s">
        <v>2828</v>
      </c>
      <c r="F384" s="20" t="s">
        <v>8</v>
      </c>
      <c r="G384" s="861">
        <v>67.156923192677098</v>
      </c>
      <c r="H384" s="861">
        <v>62.527736106787302</v>
      </c>
      <c r="I384" s="861">
        <v>51.969952394810299</v>
      </c>
      <c r="J384" s="861">
        <v>47.907714491547303</v>
      </c>
      <c r="K384" s="982">
        <v>1</v>
      </c>
      <c r="L384" s="735">
        <v>2279</v>
      </c>
      <c r="M384" s="735">
        <v>3229</v>
      </c>
      <c r="N384" s="845">
        <f t="shared" si="38"/>
        <v>0.4168494953927161</v>
      </c>
      <c r="O384" s="735">
        <v>0.72678634806551301</v>
      </c>
      <c r="P384" s="735">
        <f t="shared" si="39"/>
        <v>4442.8462485496984</v>
      </c>
      <c r="Q384" s="849">
        <v>32.9</v>
      </c>
      <c r="R384" s="71">
        <v>70270</v>
      </c>
      <c r="S384" s="845">
        <v>0.23985125503563681</v>
      </c>
      <c r="T384" s="845">
        <v>5.7999999999999996E-2</v>
      </c>
      <c r="U384" s="845">
        <v>7.5999999999999998E-2</v>
      </c>
      <c r="V384" s="845">
        <v>5.4000000000000006E-2</v>
      </c>
      <c r="W384" s="845">
        <v>0.8706666666666667</v>
      </c>
      <c r="X384" s="845">
        <v>0.42776927003573251</v>
      </c>
      <c r="Y384" s="845">
        <v>0.5119231960359244</v>
      </c>
      <c r="Z384" s="845">
        <v>0.34964385258593994</v>
      </c>
      <c r="AA384" s="845">
        <v>0</v>
      </c>
      <c r="AB384" s="845">
        <v>7.5565190461443166E-2</v>
      </c>
      <c r="AC384" s="845">
        <v>0</v>
      </c>
      <c r="AD384" s="845">
        <v>0</v>
      </c>
      <c r="AE384" s="845">
        <v>6.2867760916692481E-2</v>
      </c>
      <c r="AF384" s="845">
        <v>7.1229482812016102E-3</v>
      </c>
      <c r="AG384" s="845">
        <v>0.5094456488076804</v>
      </c>
      <c r="AH384" s="20" t="str">
        <f t="shared" si="40"/>
        <v>No</v>
      </c>
      <c r="AI384" s="25"/>
      <c r="AJ384" s="20">
        <v>44094</v>
      </c>
      <c r="AK384" s="20" t="s">
        <v>1201</v>
      </c>
      <c r="AL384" s="20">
        <v>39055</v>
      </c>
      <c r="AM384" s="20" t="s">
        <v>34</v>
      </c>
      <c r="AN384" s="37">
        <f t="shared" si="41"/>
        <v>17410</v>
      </c>
      <c r="AO384" s="37" t="str">
        <f t="shared" si="42"/>
        <v>Cleveland, OH</v>
      </c>
      <c r="AP384" s="20" t="s">
        <v>8</v>
      </c>
      <c r="AQ384" s="25"/>
      <c r="AR384" s="25"/>
      <c r="AS384" s="25"/>
      <c r="AT384" s="25"/>
      <c r="AU384" s="36"/>
      <c r="AV384" s="36"/>
      <c r="AW384" s="36"/>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39">
        <v>44130</v>
      </c>
      <c r="BV384" s="39" t="s">
        <v>1233</v>
      </c>
      <c r="BW384" s="39" t="s">
        <v>2900</v>
      </c>
      <c r="BX384" s="39" t="s">
        <v>2852</v>
      </c>
      <c r="BY384" s="71">
        <v>1010</v>
      </c>
      <c r="BZ384" s="71">
        <v>1140</v>
      </c>
      <c r="CA384" s="71">
        <v>1380</v>
      </c>
      <c r="CB384" s="71">
        <v>1780</v>
      </c>
      <c r="CC384" s="71">
        <v>1900</v>
      </c>
      <c r="CD384" s="25"/>
      <c r="CE384" s="200"/>
      <c r="CF384" s="200"/>
      <c r="CG384" s="200"/>
      <c r="CH384" s="200"/>
      <c r="CI384" s="200"/>
      <c r="CJ384" s="200"/>
      <c r="CK384" s="200"/>
      <c r="CL384" s="200"/>
      <c r="CM384" s="200"/>
      <c r="CN384" s="200"/>
      <c r="CO384" s="200"/>
      <c r="CP384" s="200"/>
      <c r="CQ384" s="200"/>
      <c r="CR384" s="200"/>
      <c r="CS384" s="200"/>
      <c r="CT384" s="200"/>
      <c r="CU384" s="200"/>
    </row>
    <row r="385" spans="1:99" s="17" customFormat="1" x14ac:dyDescent="0.2">
      <c r="A385" s="25"/>
      <c r="B385" s="20">
        <v>39049006387</v>
      </c>
      <c r="C385" s="20">
        <v>63.87</v>
      </c>
      <c r="D385" s="20" t="s">
        <v>31</v>
      </c>
      <c r="E385" s="20" t="s">
        <v>2830</v>
      </c>
      <c r="F385" s="20" t="s">
        <v>8</v>
      </c>
      <c r="G385" s="861">
        <v>67.114762867194202</v>
      </c>
      <c r="H385" s="861">
        <v>61.0333021047689</v>
      </c>
      <c r="I385" s="861">
        <v>32.279439072947802</v>
      </c>
      <c r="J385" s="861">
        <v>42.306433456683401</v>
      </c>
      <c r="K385" s="982">
        <v>0</v>
      </c>
      <c r="L385" s="735">
        <v>6035</v>
      </c>
      <c r="M385" s="735">
        <v>5958</v>
      </c>
      <c r="N385" s="845">
        <f t="shared" si="38"/>
        <v>-1.275890637945319E-2</v>
      </c>
      <c r="O385" s="735">
        <v>1.4902697757944534</v>
      </c>
      <c r="P385" s="735">
        <f t="shared" si="39"/>
        <v>3997.9338618900915</v>
      </c>
      <c r="Q385" s="849">
        <v>36.799999999999997</v>
      </c>
      <c r="R385" s="71">
        <v>85457</v>
      </c>
      <c r="S385" s="845">
        <v>0.1346089291708627</v>
      </c>
      <c r="T385" s="845">
        <v>7.0999999999999994E-2</v>
      </c>
      <c r="U385" s="845">
        <v>0</v>
      </c>
      <c r="V385" s="845">
        <v>6.2E-2</v>
      </c>
      <c r="W385" s="845">
        <v>0.49210249210249213</v>
      </c>
      <c r="X385" s="845">
        <v>0.31383737517831667</v>
      </c>
      <c r="Y385" s="845">
        <v>0.77223900637797915</v>
      </c>
      <c r="Z385" s="845">
        <v>8.4424303457536085E-2</v>
      </c>
      <c r="AA385" s="845">
        <v>4.8674051695199736E-3</v>
      </c>
      <c r="AB385" s="845">
        <v>8.6270560590802278E-2</v>
      </c>
      <c r="AC385" s="845">
        <v>0</v>
      </c>
      <c r="AD385" s="845">
        <v>7.5528700906344415E-3</v>
      </c>
      <c r="AE385" s="845">
        <v>4.4645854313528029E-2</v>
      </c>
      <c r="AF385" s="845">
        <v>2.6854649211144679E-2</v>
      </c>
      <c r="AG385" s="845">
        <v>0.75662974152400131</v>
      </c>
      <c r="AH385" s="20" t="str">
        <f t="shared" si="40"/>
        <v>No</v>
      </c>
      <c r="AI385" s="25"/>
      <c r="AJ385" s="20">
        <v>44099</v>
      </c>
      <c r="AK385" s="20" t="s">
        <v>1203</v>
      </c>
      <c r="AL385" s="20">
        <v>39055</v>
      </c>
      <c r="AM385" s="20" t="s">
        <v>34</v>
      </c>
      <c r="AN385" s="37">
        <f t="shared" si="41"/>
        <v>17410</v>
      </c>
      <c r="AO385" s="37" t="str">
        <f t="shared" si="42"/>
        <v>Cleveland, OH</v>
      </c>
      <c r="AP385" s="20" t="s">
        <v>8</v>
      </c>
      <c r="AQ385" s="25"/>
      <c r="AR385" s="25"/>
      <c r="AS385" s="25"/>
      <c r="AT385" s="25"/>
      <c r="AU385" s="36"/>
      <c r="AV385" s="36"/>
      <c r="AW385" s="36"/>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39">
        <v>44131</v>
      </c>
      <c r="BV385" s="39" t="s">
        <v>1234</v>
      </c>
      <c r="BW385" s="39" t="s">
        <v>2900</v>
      </c>
      <c r="BX385" s="39" t="s">
        <v>2852</v>
      </c>
      <c r="BY385" s="71">
        <v>1340</v>
      </c>
      <c r="BZ385" s="71">
        <v>1520</v>
      </c>
      <c r="CA385" s="71">
        <v>1840</v>
      </c>
      <c r="CB385" s="71">
        <v>2370</v>
      </c>
      <c r="CC385" s="71">
        <v>2530</v>
      </c>
      <c r="CD385" s="25"/>
      <c r="CE385" s="200"/>
      <c r="CF385" s="200"/>
      <c r="CG385" s="200"/>
      <c r="CH385" s="200"/>
      <c r="CI385" s="200"/>
      <c r="CJ385" s="200"/>
      <c r="CK385" s="200"/>
      <c r="CL385" s="200"/>
      <c r="CM385" s="200"/>
      <c r="CN385" s="200"/>
      <c r="CO385" s="200"/>
      <c r="CP385" s="200"/>
      <c r="CQ385" s="200"/>
      <c r="CR385" s="200"/>
      <c r="CS385" s="200"/>
      <c r="CT385" s="200"/>
      <c r="CU385" s="200"/>
    </row>
    <row r="386" spans="1:99" s="17" customFormat="1" x14ac:dyDescent="0.2">
      <c r="A386" s="25"/>
      <c r="B386" s="20">
        <v>39041011412</v>
      </c>
      <c r="C386" s="20">
        <v>114.12</v>
      </c>
      <c r="D386" s="20" t="s">
        <v>27</v>
      </c>
      <c r="E386" s="20" t="s">
        <v>2830</v>
      </c>
      <c r="F386" s="20" t="s">
        <v>8</v>
      </c>
      <c r="G386" s="861">
        <v>67.089167584220803</v>
      </c>
      <c r="H386" s="861">
        <v>59.2134030183948</v>
      </c>
      <c r="I386" s="861">
        <v>22.823641970697501</v>
      </c>
      <c r="J386" s="861">
        <v>50.759521834525003</v>
      </c>
      <c r="K386" s="982">
        <v>0</v>
      </c>
      <c r="L386" s="735">
        <v>4676</v>
      </c>
      <c r="M386" s="735">
        <v>4592</v>
      </c>
      <c r="N386" s="845">
        <f t="shared" si="38"/>
        <v>-1.7964071856287425E-2</v>
      </c>
      <c r="O386" s="735">
        <v>4.8267437799164261</v>
      </c>
      <c r="P386" s="735">
        <f t="shared" si="39"/>
        <v>951.36601596853552</v>
      </c>
      <c r="Q386" s="849">
        <v>44.8</v>
      </c>
      <c r="R386" s="71">
        <v>218611</v>
      </c>
      <c r="S386" s="845">
        <v>2.8975890289758902E-2</v>
      </c>
      <c r="T386" s="845">
        <v>0.01</v>
      </c>
      <c r="U386" s="845">
        <v>0</v>
      </c>
      <c r="V386" s="845">
        <v>0</v>
      </c>
      <c r="W386" s="845">
        <v>5.9278350515463915E-2</v>
      </c>
      <c r="X386" s="845">
        <v>0</v>
      </c>
      <c r="Y386" s="845">
        <v>0.86389372822299648</v>
      </c>
      <c r="Z386" s="845">
        <v>1.1541811846689896E-2</v>
      </c>
      <c r="AA386" s="845">
        <v>2.1777003484320557E-4</v>
      </c>
      <c r="AB386" s="845">
        <v>5.3571428571428568E-2</v>
      </c>
      <c r="AC386" s="845">
        <v>1.5243902439024391E-3</v>
      </c>
      <c r="AD386" s="845">
        <v>2.7439024390243903E-2</v>
      </c>
      <c r="AE386" s="845">
        <v>4.1811846689895474E-2</v>
      </c>
      <c r="AF386" s="845">
        <v>3.1576655052264806E-2</v>
      </c>
      <c r="AG386" s="845">
        <v>0.86040940766550522</v>
      </c>
      <c r="AH386" s="20" t="str">
        <f t="shared" si="40"/>
        <v>No</v>
      </c>
      <c r="AI386" s="25"/>
      <c r="AJ386" s="20">
        <v>44231</v>
      </c>
      <c r="AK386" s="20" t="s">
        <v>1264</v>
      </c>
      <c r="AL386" s="20">
        <v>39055</v>
      </c>
      <c r="AM386" s="20" t="s">
        <v>34</v>
      </c>
      <c r="AN386" s="37">
        <f t="shared" si="41"/>
        <v>17410</v>
      </c>
      <c r="AO386" s="37" t="str">
        <f t="shared" si="42"/>
        <v>Cleveland, OH</v>
      </c>
      <c r="AP386" s="20" t="s">
        <v>8</v>
      </c>
      <c r="AQ386" s="25"/>
      <c r="AR386" s="25"/>
      <c r="AS386" s="25"/>
      <c r="AT386" s="25"/>
      <c r="AU386" s="36"/>
      <c r="AV386" s="36"/>
      <c r="AW386" s="36"/>
      <c r="AX386" s="25"/>
      <c r="AY386" s="25"/>
      <c r="AZ386" s="25"/>
      <c r="BA386" s="25"/>
      <c r="BB386" s="25"/>
      <c r="BC386" s="25"/>
      <c r="BD386" s="25"/>
      <c r="BE386" s="25"/>
      <c r="BF386" s="25"/>
      <c r="BG386" s="25"/>
      <c r="BH386" s="25"/>
      <c r="BI386" s="25"/>
      <c r="BJ386" s="25"/>
      <c r="BK386" s="25"/>
      <c r="BL386" s="25"/>
      <c r="BM386" s="25"/>
      <c r="BN386" s="25"/>
      <c r="BO386" s="25"/>
      <c r="BP386" s="25"/>
      <c r="BQ386" s="25"/>
      <c r="BR386" s="25"/>
      <c r="BS386" s="25"/>
      <c r="BT386" s="25"/>
      <c r="BU386" s="39">
        <v>44132</v>
      </c>
      <c r="BV386" s="39" t="s">
        <v>1235</v>
      </c>
      <c r="BW386" s="39" t="s">
        <v>2900</v>
      </c>
      <c r="BX386" s="39" t="s">
        <v>2852</v>
      </c>
      <c r="BY386" s="71">
        <v>930</v>
      </c>
      <c r="BZ386" s="71">
        <v>1050</v>
      </c>
      <c r="CA386" s="71">
        <v>1270</v>
      </c>
      <c r="CB386" s="71">
        <v>1630</v>
      </c>
      <c r="CC386" s="71">
        <v>1750</v>
      </c>
      <c r="CD386" s="25"/>
      <c r="CE386" s="200"/>
      <c r="CF386" s="200"/>
      <c r="CG386" s="200"/>
      <c r="CH386" s="200"/>
      <c r="CI386" s="200"/>
      <c r="CJ386" s="200"/>
      <c r="CK386" s="200"/>
      <c r="CL386" s="200"/>
      <c r="CM386" s="200"/>
      <c r="CN386" s="200"/>
      <c r="CO386" s="200"/>
      <c r="CP386" s="200"/>
      <c r="CQ386" s="200"/>
      <c r="CR386" s="200"/>
      <c r="CS386" s="200"/>
      <c r="CT386" s="200"/>
      <c r="CU386" s="200"/>
    </row>
    <row r="387" spans="1:99" s="17" customFormat="1" x14ac:dyDescent="0.2">
      <c r="A387" s="25"/>
      <c r="B387" s="20">
        <v>39061024303</v>
      </c>
      <c r="C387" s="20">
        <v>243.03</v>
      </c>
      <c r="D387" s="20" t="s">
        <v>37</v>
      </c>
      <c r="E387" s="20" t="s">
        <v>2828</v>
      </c>
      <c r="F387" s="20" t="s">
        <v>8</v>
      </c>
      <c r="G387" s="861">
        <v>67.059975623674106</v>
      </c>
      <c r="H387" s="861">
        <v>75.350499875207603</v>
      </c>
      <c r="I387" s="861">
        <v>42.939029621452299</v>
      </c>
      <c r="J387" s="861">
        <v>50.562875217912897</v>
      </c>
      <c r="K387" s="982">
        <v>1</v>
      </c>
      <c r="L387" s="735">
        <v>6607</v>
      </c>
      <c r="M387" s="735">
        <v>6684</v>
      </c>
      <c r="N387" s="845">
        <f t="shared" si="38"/>
        <v>1.1654306039049492E-2</v>
      </c>
      <c r="O387" s="735">
        <v>2.930197621640819</v>
      </c>
      <c r="P387" s="735">
        <f t="shared" si="39"/>
        <v>2281.0748157856906</v>
      </c>
      <c r="Q387" s="849">
        <v>35.4</v>
      </c>
      <c r="R387" s="71">
        <v>90369</v>
      </c>
      <c r="S387" s="845">
        <v>8.9018551765409931E-2</v>
      </c>
      <c r="T387" s="845">
        <v>1.2E-2</v>
      </c>
      <c r="U387" s="845">
        <v>0</v>
      </c>
      <c r="V387" s="845">
        <v>6.9000000000000006E-2</v>
      </c>
      <c r="W387" s="845">
        <v>0.24133904242896068</v>
      </c>
      <c r="X387" s="845">
        <v>0.39677419354838711</v>
      </c>
      <c r="Y387" s="845">
        <v>0.88824057450628369</v>
      </c>
      <c r="Z387" s="845">
        <v>1.3614602034709754E-2</v>
      </c>
      <c r="AA387" s="845">
        <v>1.9299820466786355E-2</v>
      </c>
      <c r="AB387" s="845">
        <v>2.7079593058049072E-2</v>
      </c>
      <c r="AC387" s="845">
        <v>0</v>
      </c>
      <c r="AD387" s="845">
        <v>2.0945541591861159E-3</v>
      </c>
      <c r="AE387" s="845">
        <v>4.9670855774985041E-2</v>
      </c>
      <c r="AF387" s="845">
        <v>7.1813285457809697E-2</v>
      </c>
      <c r="AG387" s="845">
        <v>0.87522441651705563</v>
      </c>
      <c r="AH387" s="20" t="str">
        <f t="shared" si="40"/>
        <v>No</v>
      </c>
      <c r="AI387" s="25"/>
      <c r="AJ387" s="20">
        <v>44234</v>
      </c>
      <c r="AK387" s="20" t="s">
        <v>1267</v>
      </c>
      <c r="AL387" s="20">
        <v>39055</v>
      </c>
      <c r="AM387" s="20" t="s">
        <v>34</v>
      </c>
      <c r="AN387" s="37">
        <f t="shared" si="41"/>
        <v>17410</v>
      </c>
      <c r="AO387" s="37" t="str">
        <f t="shared" si="42"/>
        <v>Cleveland, OH</v>
      </c>
      <c r="AP387" s="20" t="s">
        <v>8</v>
      </c>
      <c r="AQ387" s="25"/>
      <c r="AR387" s="25"/>
      <c r="AS387" s="25"/>
      <c r="AT387" s="25"/>
      <c r="AU387" s="36"/>
      <c r="AV387" s="36"/>
      <c r="AW387" s="36"/>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39">
        <v>44133</v>
      </c>
      <c r="BV387" s="39" t="s">
        <v>1236</v>
      </c>
      <c r="BW387" s="39" t="s">
        <v>2900</v>
      </c>
      <c r="BX387" s="39" t="s">
        <v>2852</v>
      </c>
      <c r="BY387" s="71">
        <v>960</v>
      </c>
      <c r="BZ387" s="71">
        <v>1090</v>
      </c>
      <c r="CA387" s="71">
        <v>1320</v>
      </c>
      <c r="CB387" s="71">
        <v>1700</v>
      </c>
      <c r="CC387" s="71">
        <v>1820</v>
      </c>
      <c r="CD387" s="25"/>
      <c r="CE387" s="200"/>
      <c r="CF387" s="200"/>
      <c r="CG387" s="200"/>
      <c r="CH387" s="200"/>
      <c r="CI387" s="200"/>
      <c r="CJ387" s="200"/>
      <c r="CK387" s="200"/>
      <c r="CL387" s="200"/>
      <c r="CM387" s="200"/>
      <c r="CN387" s="200"/>
      <c r="CO387" s="200"/>
      <c r="CP387" s="200"/>
      <c r="CQ387" s="200"/>
      <c r="CR387" s="200"/>
      <c r="CS387" s="200"/>
      <c r="CT387" s="200"/>
      <c r="CU387" s="200"/>
    </row>
    <row r="388" spans="1:99" s="17" customFormat="1" x14ac:dyDescent="0.2">
      <c r="A388" s="25"/>
      <c r="B388" s="20">
        <v>39035183501</v>
      </c>
      <c r="C388" s="20">
        <v>1835.01</v>
      </c>
      <c r="D388" s="20" t="s">
        <v>24</v>
      </c>
      <c r="E388" s="20" t="s">
        <v>2829</v>
      </c>
      <c r="F388" s="20" t="s">
        <v>8</v>
      </c>
      <c r="G388" s="861">
        <v>67.039875736663603</v>
      </c>
      <c r="H388" s="861">
        <v>58.648925945106299</v>
      </c>
      <c r="I388" s="861">
        <v>40.688802894995703</v>
      </c>
      <c r="J388" s="861">
        <v>40.620797831106202</v>
      </c>
      <c r="K388" s="982">
        <v>0</v>
      </c>
      <c r="L388" s="735">
        <v>3291</v>
      </c>
      <c r="M388" s="735">
        <v>3118</v>
      </c>
      <c r="N388" s="845">
        <f t="shared" si="38"/>
        <v>-5.256760862959587E-2</v>
      </c>
      <c r="O388" s="735">
        <v>0.57985401330664799</v>
      </c>
      <c r="P388" s="735">
        <f t="shared" si="39"/>
        <v>5377.2155205401459</v>
      </c>
      <c r="Q388" s="849">
        <v>48.9</v>
      </c>
      <c r="R388" s="71">
        <v>82222</v>
      </c>
      <c r="S388" s="845">
        <v>4.1372674791533032E-2</v>
      </c>
      <c r="T388" s="845">
        <v>5.2000000000000005E-2</v>
      </c>
      <c r="U388" s="845">
        <v>5.7000000000000002E-2</v>
      </c>
      <c r="V388" s="845">
        <v>0.114</v>
      </c>
      <c r="W388" s="845">
        <v>0.67477375565610864</v>
      </c>
      <c r="X388" s="845">
        <v>0.2774518021793797</v>
      </c>
      <c r="Y388" s="845">
        <v>0.54490057729313668</v>
      </c>
      <c r="Z388" s="845">
        <v>0.37363694676074405</v>
      </c>
      <c r="AA388" s="845">
        <v>9.6215522771007055E-4</v>
      </c>
      <c r="AB388" s="845">
        <v>2.2450288646568312E-2</v>
      </c>
      <c r="AC388" s="845">
        <v>0</v>
      </c>
      <c r="AD388" s="845">
        <v>1.9243104554201411E-3</v>
      </c>
      <c r="AE388" s="845">
        <v>5.6125721616420786E-2</v>
      </c>
      <c r="AF388" s="845">
        <v>5.8691468890314305E-2</v>
      </c>
      <c r="AG388" s="845">
        <v>0.48877485567671586</v>
      </c>
      <c r="AH388" s="20" t="str">
        <f t="shared" si="40"/>
        <v>No</v>
      </c>
      <c r="AI388" s="25"/>
      <c r="AJ388" s="20">
        <v>44491</v>
      </c>
      <c r="AK388" s="20" t="s">
        <v>1364</v>
      </c>
      <c r="AL388" s="20">
        <v>39055</v>
      </c>
      <c r="AM388" s="20" t="s">
        <v>34</v>
      </c>
      <c r="AN388" s="37">
        <f t="shared" si="41"/>
        <v>17410</v>
      </c>
      <c r="AO388" s="37" t="str">
        <f t="shared" si="42"/>
        <v>Cleveland, OH</v>
      </c>
      <c r="AP388" s="20" t="s">
        <v>8</v>
      </c>
      <c r="AQ388" s="25"/>
      <c r="AR388" s="25"/>
      <c r="AS388" s="25"/>
      <c r="AT388" s="25"/>
      <c r="AU388" s="36"/>
      <c r="AV388" s="36"/>
      <c r="AW388" s="36"/>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39">
        <v>44134</v>
      </c>
      <c r="BV388" s="39" t="s">
        <v>1237</v>
      </c>
      <c r="BW388" s="39" t="s">
        <v>2900</v>
      </c>
      <c r="BX388" s="39" t="s">
        <v>2852</v>
      </c>
      <c r="BY388" s="71">
        <v>1030</v>
      </c>
      <c r="BZ388" s="71">
        <v>1170</v>
      </c>
      <c r="CA388" s="71">
        <v>1410</v>
      </c>
      <c r="CB388" s="71">
        <v>1810</v>
      </c>
      <c r="CC388" s="71">
        <v>1940</v>
      </c>
      <c r="CD388" s="25"/>
      <c r="CE388" s="200"/>
      <c r="CF388" s="200"/>
      <c r="CG388" s="200"/>
      <c r="CH388" s="200"/>
      <c r="CI388" s="200"/>
      <c r="CJ388" s="200"/>
      <c r="CK388" s="200"/>
      <c r="CL388" s="200"/>
      <c r="CM388" s="200"/>
      <c r="CN388" s="200"/>
      <c r="CO388" s="200"/>
      <c r="CP388" s="200"/>
      <c r="CQ388" s="200"/>
      <c r="CR388" s="200"/>
      <c r="CS388" s="200"/>
      <c r="CT388" s="200"/>
      <c r="CU388" s="200"/>
    </row>
    <row r="389" spans="1:99" s="17" customFormat="1" x14ac:dyDescent="0.2">
      <c r="A389" s="25"/>
      <c r="B389" s="20">
        <v>39061007200</v>
      </c>
      <c r="C389" s="20">
        <v>72</v>
      </c>
      <c r="D389" s="20" t="s">
        <v>37</v>
      </c>
      <c r="E389" s="20" t="s">
        <v>2828</v>
      </c>
      <c r="F389" s="20" t="s">
        <v>6</v>
      </c>
      <c r="G389" s="861">
        <v>67.0359344222326</v>
      </c>
      <c r="H389" s="861">
        <v>75.549522276290702</v>
      </c>
      <c r="I389" s="861">
        <v>40.7721153606131</v>
      </c>
      <c r="J389" s="861">
        <v>47.140783063679898</v>
      </c>
      <c r="K389" s="982">
        <v>0</v>
      </c>
      <c r="L389" s="735">
        <v>2123</v>
      </c>
      <c r="M389" s="735">
        <v>2334</v>
      </c>
      <c r="N389" s="845">
        <f t="shared" si="38"/>
        <v>9.9387658973151202E-2</v>
      </c>
      <c r="O389" s="735">
        <v>0.38555080471006486</v>
      </c>
      <c r="P389" s="735">
        <f t="shared" si="39"/>
        <v>6053.6768993522746</v>
      </c>
      <c r="Q389" s="849">
        <v>30.3</v>
      </c>
      <c r="R389" s="71">
        <v>41784</v>
      </c>
      <c r="S389" s="845">
        <v>0.17180805484147388</v>
      </c>
      <c r="T389" s="845">
        <v>6.8000000000000005E-2</v>
      </c>
      <c r="U389" s="845">
        <v>0</v>
      </c>
      <c r="V389" s="845">
        <v>5.4000000000000006E-2</v>
      </c>
      <c r="W389" s="845">
        <v>0.82516459400146303</v>
      </c>
      <c r="X389" s="845">
        <v>0.39804964539007093</v>
      </c>
      <c r="Y389" s="845">
        <v>0.67780634104541559</v>
      </c>
      <c r="Z389" s="845">
        <v>0.12296486718080549</v>
      </c>
      <c r="AA389" s="845">
        <v>0</v>
      </c>
      <c r="AB389" s="845">
        <v>0.12553556126820908</v>
      </c>
      <c r="AC389" s="845">
        <v>0</v>
      </c>
      <c r="AD389" s="845">
        <v>0</v>
      </c>
      <c r="AE389" s="845">
        <v>7.3693230505569834E-2</v>
      </c>
      <c r="AF389" s="845">
        <v>2.3993144815766924E-2</v>
      </c>
      <c r="AG389" s="845">
        <v>0.65766923736075411</v>
      </c>
      <c r="AH389" s="20" t="str">
        <f t="shared" si="40"/>
        <v>No</v>
      </c>
      <c r="AI389" s="25"/>
      <c r="AJ389" s="20">
        <v>44024</v>
      </c>
      <c r="AK389" s="20" t="s">
        <v>1157</v>
      </c>
      <c r="AL389" s="20">
        <v>39085</v>
      </c>
      <c r="AM389" s="20" t="s">
        <v>48</v>
      </c>
      <c r="AN389" s="37">
        <f t="shared" si="41"/>
        <v>17410</v>
      </c>
      <c r="AO389" s="37" t="str">
        <f t="shared" si="42"/>
        <v>Cleveland, OH</v>
      </c>
      <c r="AP389" s="20" t="s">
        <v>8</v>
      </c>
      <c r="AQ389" s="25"/>
      <c r="AR389" s="25"/>
      <c r="AS389" s="25"/>
      <c r="AT389" s="25"/>
      <c r="AU389" s="36"/>
      <c r="AV389" s="36"/>
      <c r="AW389" s="36"/>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39">
        <v>44135</v>
      </c>
      <c r="BV389" s="39" t="s">
        <v>1238</v>
      </c>
      <c r="BW389" s="39" t="s">
        <v>2900</v>
      </c>
      <c r="BX389" s="39" t="s">
        <v>2852</v>
      </c>
      <c r="BY389" s="71">
        <v>930</v>
      </c>
      <c r="BZ389" s="71">
        <v>1060</v>
      </c>
      <c r="CA389" s="71">
        <v>1280</v>
      </c>
      <c r="CB389" s="71">
        <v>1650</v>
      </c>
      <c r="CC389" s="71">
        <v>1760</v>
      </c>
      <c r="CD389" s="25"/>
      <c r="CE389" s="200"/>
      <c r="CF389" s="200"/>
      <c r="CG389" s="200"/>
      <c r="CH389" s="200"/>
      <c r="CI389" s="200"/>
      <c r="CJ389" s="200"/>
      <c r="CK389" s="200"/>
      <c r="CL389" s="200"/>
      <c r="CM389" s="200"/>
      <c r="CN389" s="200"/>
      <c r="CO389" s="200"/>
      <c r="CP389" s="200"/>
      <c r="CQ389" s="200"/>
      <c r="CR389" s="200"/>
      <c r="CS389" s="200"/>
      <c r="CT389" s="200"/>
      <c r="CU389" s="200"/>
    </row>
    <row r="390" spans="1:99" s="17" customFormat="1" x14ac:dyDescent="0.2">
      <c r="A390" s="25"/>
      <c r="B390" s="20">
        <v>39017011122</v>
      </c>
      <c r="C390" s="20">
        <v>111.22</v>
      </c>
      <c r="D390" s="20" t="s">
        <v>15</v>
      </c>
      <c r="E390" s="20" t="s">
        <v>2828</v>
      </c>
      <c r="F390" s="20" t="s">
        <v>8</v>
      </c>
      <c r="G390" s="861">
        <v>67.018237326915497</v>
      </c>
      <c r="H390" s="861">
        <v>56.402207382440999</v>
      </c>
      <c r="I390" s="861">
        <v>51.209976925468098</v>
      </c>
      <c r="J390" s="861">
        <v>50.718955254984799</v>
      </c>
      <c r="K390" s="982">
        <v>0</v>
      </c>
      <c r="L390" s="735">
        <v>5493</v>
      </c>
      <c r="M390" s="735">
        <v>5499</v>
      </c>
      <c r="N390" s="845">
        <f t="shared" si="38"/>
        <v>1.0922992900054614E-3</v>
      </c>
      <c r="O390" s="735">
        <v>1.9787029060917196</v>
      </c>
      <c r="P390" s="735">
        <f t="shared" si="39"/>
        <v>2779.09330555413</v>
      </c>
      <c r="Q390" s="849">
        <v>42.1</v>
      </c>
      <c r="R390" s="71">
        <v>104511</v>
      </c>
      <c r="S390" s="845">
        <v>8.7652300418257861E-2</v>
      </c>
      <c r="T390" s="845">
        <v>2.8999999999999998E-2</v>
      </c>
      <c r="U390" s="845">
        <v>0</v>
      </c>
      <c r="V390" s="845">
        <v>0</v>
      </c>
      <c r="W390" s="845">
        <v>0.38353601496725914</v>
      </c>
      <c r="X390" s="845">
        <v>0.25365853658536586</v>
      </c>
      <c r="Y390" s="845">
        <v>0.65993817057646842</v>
      </c>
      <c r="Z390" s="845">
        <v>0.13275140934715401</v>
      </c>
      <c r="AA390" s="845">
        <v>0</v>
      </c>
      <c r="AB390" s="845">
        <v>0.16366612111292964</v>
      </c>
      <c r="AC390" s="845">
        <v>0</v>
      </c>
      <c r="AD390" s="845">
        <v>4.5462811420258226E-3</v>
      </c>
      <c r="AE390" s="845">
        <v>3.9098017821422075E-2</v>
      </c>
      <c r="AF390" s="845">
        <v>2.2185851973086014E-2</v>
      </c>
      <c r="AG390" s="845">
        <v>0.64211674849972722</v>
      </c>
      <c r="AH390" s="20" t="str">
        <f t="shared" si="40"/>
        <v>No</v>
      </c>
      <c r="AI390" s="25"/>
      <c r="AJ390" s="20">
        <v>44041</v>
      </c>
      <c r="AK390" s="20" t="s">
        <v>1165</v>
      </c>
      <c r="AL390" s="20">
        <v>39085</v>
      </c>
      <c r="AM390" s="20" t="s">
        <v>48</v>
      </c>
      <c r="AN390" s="37">
        <f t="shared" si="41"/>
        <v>17410</v>
      </c>
      <c r="AO390" s="37" t="str">
        <f t="shared" si="42"/>
        <v>Cleveland, OH</v>
      </c>
      <c r="AP390" s="20" t="s">
        <v>8</v>
      </c>
      <c r="AQ390" s="25"/>
      <c r="AR390" s="25"/>
      <c r="AS390" s="25"/>
      <c r="AT390" s="25"/>
      <c r="AU390" s="36"/>
      <c r="AV390" s="36"/>
      <c r="AW390" s="36"/>
      <c r="AX390" s="25"/>
      <c r="AY390" s="25"/>
      <c r="AZ390" s="25"/>
      <c r="BA390" s="25"/>
      <c r="BB390" s="25"/>
      <c r="BC390" s="25"/>
      <c r="BD390" s="25"/>
      <c r="BE390" s="25"/>
      <c r="BF390" s="25"/>
      <c r="BG390" s="25"/>
      <c r="BH390" s="25"/>
      <c r="BI390" s="25"/>
      <c r="BJ390" s="25"/>
      <c r="BK390" s="25"/>
      <c r="BL390" s="25"/>
      <c r="BM390" s="25"/>
      <c r="BN390" s="25"/>
      <c r="BO390" s="25"/>
      <c r="BP390" s="25"/>
      <c r="BQ390" s="25"/>
      <c r="BR390" s="25"/>
      <c r="BS390" s="25"/>
      <c r="BT390" s="25"/>
      <c r="BU390" s="39">
        <v>44136</v>
      </c>
      <c r="BV390" s="39" t="s">
        <v>1239</v>
      </c>
      <c r="BW390" s="39" t="s">
        <v>2900</v>
      </c>
      <c r="BX390" s="39" t="s">
        <v>2852</v>
      </c>
      <c r="BY390" s="71">
        <v>1090</v>
      </c>
      <c r="BZ390" s="71">
        <v>1240</v>
      </c>
      <c r="CA390" s="71">
        <v>1500</v>
      </c>
      <c r="CB390" s="71">
        <v>1930</v>
      </c>
      <c r="CC390" s="71">
        <v>2060</v>
      </c>
      <c r="CD390" s="25"/>
      <c r="CE390" s="200"/>
      <c r="CF390" s="200"/>
      <c r="CG390" s="200"/>
      <c r="CH390" s="200"/>
      <c r="CI390" s="200"/>
      <c r="CJ390" s="200"/>
      <c r="CK390" s="200"/>
      <c r="CL390" s="200"/>
      <c r="CM390" s="200"/>
      <c r="CN390" s="200"/>
      <c r="CO390" s="200"/>
      <c r="CP390" s="200"/>
      <c r="CQ390" s="200"/>
      <c r="CR390" s="200"/>
      <c r="CS390" s="200"/>
      <c r="CT390" s="200"/>
      <c r="CU390" s="200"/>
    </row>
    <row r="391" spans="1:99" s="17" customFormat="1" x14ac:dyDescent="0.2">
      <c r="A391" s="25"/>
      <c r="B391" s="20">
        <v>39137030302</v>
      </c>
      <c r="C391" s="20">
        <v>303.02</v>
      </c>
      <c r="D391" s="20" t="s">
        <v>74</v>
      </c>
      <c r="E391" s="20" t="s">
        <v>265</v>
      </c>
      <c r="F391" s="20" t="s">
        <v>8</v>
      </c>
      <c r="G391" s="861">
        <v>66.980189537256294</v>
      </c>
      <c r="H391" s="861">
        <v>51.108122973284502</v>
      </c>
      <c r="I391" s="861">
        <v>27.595925752967201</v>
      </c>
      <c r="J391" s="861">
        <v>58.702628367795597</v>
      </c>
      <c r="K391" s="982">
        <v>0</v>
      </c>
      <c r="L391" s="735" t="s">
        <v>2466</v>
      </c>
      <c r="M391" s="735">
        <v>4320</v>
      </c>
      <c r="N391" s="845" t="str">
        <f t="shared" si="38"/>
        <v/>
      </c>
      <c r="O391" s="735">
        <v>18.736547404458936</v>
      </c>
      <c r="P391" s="735">
        <f t="shared" si="39"/>
        <v>230.56542418118738</v>
      </c>
      <c r="Q391" s="849">
        <v>46.1</v>
      </c>
      <c r="R391" s="71">
        <v>80024</v>
      </c>
      <c r="S391" s="845">
        <v>6.3041949847668158E-2</v>
      </c>
      <c r="T391" s="845">
        <v>3.0000000000000001E-3</v>
      </c>
      <c r="U391" s="845">
        <v>0</v>
      </c>
      <c r="V391" s="845">
        <v>0</v>
      </c>
      <c r="W391" s="845">
        <v>0.19025249559600704</v>
      </c>
      <c r="X391" s="845">
        <v>0.52469135802469136</v>
      </c>
      <c r="Y391" s="845">
        <v>0.91342592592592597</v>
      </c>
      <c r="Z391" s="845">
        <v>1.087962962962963E-2</v>
      </c>
      <c r="AA391" s="845">
        <v>2.0833333333333332E-2</v>
      </c>
      <c r="AB391" s="845">
        <v>4.3981481481481484E-3</v>
      </c>
      <c r="AC391" s="845">
        <v>0</v>
      </c>
      <c r="AD391" s="845">
        <v>1.5740740740740739E-2</v>
      </c>
      <c r="AE391" s="845">
        <v>3.4722222222222224E-2</v>
      </c>
      <c r="AF391" s="845">
        <v>7.013888888888889E-2</v>
      </c>
      <c r="AG391" s="845">
        <v>0.91342592592592597</v>
      </c>
      <c r="AH391" s="20" t="str">
        <f t="shared" si="40"/>
        <v>Yes</v>
      </c>
      <c r="AI391" s="25"/>
      <c r="AJ391" s="20">
        <v>44045</v>
      </c>
      <c r="AK391" s="20" t="s">
        <v>1167</v>
      </c>
      <c r="AL391" s="20">
        <v>39085</v>
      </c>
      <c r="AM391" s="20" t="s">
        <v>48</v>
      </c>
      <c r="AN391" s="37">
        <f t="shared" si="41"/>
        <v>17410</v>
      </c>
      <c r="AO391" s="37" t="str">
        <f t="shared" si="42"/>
        <v>Cleveland, OH</v>
      </c>
      <c r="AP391" s="20" t="s">
        <v>8</v>
      </c>
      <c r="AQ391" s="25"/>
      <c r="AR391" s="25"/>
      <c r="AS391" s="25"/>
      <c r="AT391" s="25"/>
      <c r="AU391" s="36"/>
      <c r="AV391" s="36"/>
      <c r="AW391" s="36"/>
      <c r="AX391" s="25"/>
      <c r="AY391" s="25"/>
      <c r="AZ391" s="25"/>
      <c r="BA391" s="25"/>
      <c r="BB391" s="25"/>
      <c r="BC391" s="25"/>
      <c r="BD391" s="25"/>
      <c r="BE391" s="25"/>
      <c r="BF391" s="25"/>
      <c r="BG391" s="25"/>
      <c r="BH391" s="25"/>
      <c r="BI391" s="25"/>
      <c r="BJ391" s="25"/>
      <c r="BK391" s="25"/>
      <c r="BL391" s="25"/>
      <c r="BM391" s="25"/>
      <c r="BN391" s="25"/>
      <c r="BO391" s="25"/>
      <c r="BP391" s="25"/>
      <c r="BQ391" s="25"/>
      <c r="BR391" s="25"/>
      <c r="BS391" s="25"/>
      <c r="BT391" s="25"/>
      <c r="BU391" s="39">
        <v>44137</v>
      </c>
      <c r="BV391" s="39" t="s">
        <v>1240</v>
      </c>
      <c r="BW391" s="39" t="s">
        <v>2900</v>
      </c>
      <c r="BX391" s="39" t="s">
        <v>2852</v>
      </c>
      <c r="BY391" s="71">
        <v>1170</v>
      </c>
      <c r="BZ391" s="71">
        <v>1330</v>
      </c>
      <c r="CA391" s="71">
        <v>1610</v>
      </c>
      <c r="CB391" s="71">
        <v>2070</v>
      </c>
      <c r="CC391" s="71">
        <v>2220</v>
      </c>
      <c r="CD391" s="25"/>
      <c r="CE391" s="200"/>
      <c r="CF391" s="200"/>
      <c r="CG391" s="200"/>
      <c r="CH391" s="200"/>
      <c r="CI391" s="200"/>
      <c r="CJ391" s="200"/>
      <c r="CK391" s="200"/>
      <c r="CL391" s="200"/>
      <c r="CM391" s="200"/>
      <c r="CN391" s="200"/>
      <c r="CO391" s="200"/>
      <c r="CP391" s="200"/>
      <c r="CQ391" s="200"/>
      <c r="CR391" s="200"/>
      <c r="CS391" s="200"/>
      <c r="CT391" s="200"/>
      <c r="CU391" s="200"/>
    </row>
    <row r="392" spans="1:99" s="17" customFormat="1" x14ac:dyDescent="0.2">
      <c r="A392" s="25"/>
      <c r="B392" s="20">
        <v>39093097402</v>
      </c>
      <c r="C392" s="20">
        <v>974.02</v>
      </c>
      <c r="D392" s="20" t="s">
        <v>52</v>
      </c>
      <c r="E392" s="20" t="s">
        <v>2829</v>
      </c>
      <c r="F392" s="20" t="s">
        <v>8</v>
      </c>
      <c r="G392" s="861">
        <v>66.939762514735307</v>
      </c>
      <c r="H392" s="861">
        <v>54.094826922732601</v>
      </c>
      <c r="I392" s="861">
        <v>36.355591301415103</v>
      </c>
      <c r="J392" s="861">
        <v>21.052710653215101</v>
      </c>
      <c r="K392" s="982">
        <v>0</v>
      </c>
      <c r="L392" s="735" t="s">
        <v>2466</v>
      </c>
      <c r="M392" s="735">
        <v>5525</v>
      </c>
      <c r="N392" s="845" t="str">
        <f t="shared" si="38"/>
        <v/>
      </c>
      <c r="O392" s="735">
        <v>1.7594219766514683</v>
      </c>
      <c r="P392" s="735">
        <f t="shared" si="39"/>
        <v>3140.2358691205959</v>
      </c>
      <c r="Q392" s="849">
        <v>40.799999999999997</v>
      </c>
      <c r="R392" s="71">
        <v>113992</v>
      </c>
      <c r="S392" s="845">
        <v>2.152891808064222E-2</v>
      </c>
      <c r="T392" s="845">
        <v>4.0000000000000001E-3</v>
      </c>
      <c r="U392" s="845">
        <v>0</v>
      </c>
      <c r="V392" s="845">
        <v>0</v>
      </c>
      <c r="W392" s="845">
        <v>0.1491955143832277</v>
      </c>
      <c r="X392" s="845">
        <v>0.35947712418300654</v>
      </c>
      <c r="Y392" s="845">
        <v>0.91565610859728508</v>
      </c>
      <c r="Z392" s="845">
        <v>2.8597285067873304E-2</v>
      </c>
      <c r="AA392" s="845">
        <v>0</v>
      </c>
      <c r="AB392" s="845">
        <v>8.8687782805429872E-3</v>
      </c>
      <c r="AC392" s="845">
        <v>0</v>
      </c>
      <c r="AD392" s="845">
        <v>5.7918552036199094E-3</v>
      </c>
      <c r="AE392" s="845">
        <v>4.1085972850678734E-2</v>
      </c>
      <c r="AF392" s="845">
        <v>4.0542986425339364E-2</v>
      </c>
      <c r="AG392" s="845">
        <v>0.89520361990950226</v>
      </c>
      <c r="AH392" s="20" t="str">
        <f t="shared" si="40"/>
        <v>No</v>
      </c>
      <c r="AI392" s="25"/>
      <c r="AJ392" s="20">
        <v>44057</v>
      </c>
      <c r="AK392" s="20" t="s">
        <v>1178</v>
      </c>
      <c r="AL392" s="20">
        <v>39085</v>
      </c>
      <c r="AM392" s="20" t="s">
        <v>48</v>
      </c>
      <c r="AN392" s="37">
        <f t="shared" si="41"/>
        <v>17410</v>
      </c>
      <c r="AO392" s="37" t="str">
        <f t="shared" si="42"/>
        <v>Cleveland, OH</v>
      </c>
      <c r="AP392" s="20" t="s">
        <v>8</v>
      </c>
      <c r="AQ392" s="25"/>
      <c r="AR392" s="25"/>
      <c r="AS392" s="25"/>
      <c r="AT392" s="25"/>
      <c r="AU392" s="36"/>
      <c r="AV392" s="36"/>
      <c r="AW392" s="36"/>
      <c r="AX392" s="25"/>
      <c r="AY392" s="25"/>
      <c r="AZ392" s="25"/>
      <c r="BA392" s="25"/>
      <c r="BB392" s="25"/>
      <c r="BC392" s="25"/>
      <c r="BD392" s="25"/>
      <c r="BE392" s="25"/>
      <c r="BF392" s="25"/>
      <c r="BG392" s="25"/>
      <c r="BH392" s="25"/>
      <c r="BI392" s="25"/>
      <c r="BJ392" s="25"/>
      <c r="BK392" s="25"/>
      <c r="BL392" s="25"/>
      <c r="BM392" s="25"/>
      <c r="BN392" s="25"/>
      <c r="BO392" s="25"/>
      <c r="BP392" s="25"/>
      <c r="BQ392" s="25"/>
      <c r="BR392" s="25"/>
      <c r="BS392" s="25"/>
      <c r="BT392" s="25"/>
      <c r="BU392" s="39">
        <v>44138</v>
      </c>
      <c r="BV392" s="39" t="s">
        <v>1241</v>
      </c>
      <c r="BW392" s="39" t="s">
        <v>2900</v>
      </c>
      <c r="BX392" s="39" t="s">
        <v>2852</v>
      </c>
      <c r="BY392" s="71">
        <v>1090</v>
      </c>
      <c r="BZ392" s="71">
        <v>1240</v>
      </c>
      <c r="CA392" s="71">
        <v>1500</v>
      </c>
      <c r="CB392" s="71">
        <v>1930</v>
      </c>
      <c r="CC392" s="71">
        <v>2060</v>
      </c>
      <c r="CD392" s="25"/>
      <c r="CE392" s="200"/>
      <c r="CF392" s="200"/>
      <c r="CG392" s="200"/>
      <c r="CH392" s="200"/>
      <c r="CI392" s="200"/>
      <c r="CJ392" s="200"/>
      <c r="CK392" s="200"/>
      <c r="CL392" s="200"/>
      <c r="CM392" s="200"/>
      <c r="CN392" s="200"/>
      <c r="CO392" s="200"/>
      <c r="CP392" s="200"/>
      <c r="CQ392" s="200"/>
      <c r="CR392" s="200"/>
      <c r="CS392" s="200"/>
      <c r="CT392" s="200"/>
      <c r="CU392" s="200"/>
    </row>
    <row r="393" spans="1:99" s="17" customFormat="1" x14ac:dyDescent="0.2">
      <c r="A393" s="25"/>
      <c r="B393" s="20">
        <v>39113021100</v>
      </c>
      <c r="C393" s="20">
        <v>211</v>
      </c>
      <c r="D393" s="20" t="s">
        <v>62</v>
      </c>
      <c r="E393" s="20" t="s">
        <v>2833</v>
      </c>
      <c r="F393" s="20" t="s">
        <v>8</v>
      </c>
      <c r="G393" s="861">
        <v>66.934375325450304</v>
      </c>
      <c r="H393" s="861">
        <v>66.174062004506894</v>
      </c>
      <c r="I393" s="861">
        <v>26.194375965004301</v>
      </c>
      <c r="J393" s="861">
        <v>57.932024038413601</v>
      </c>
      <c r="K393" s="982">
        <v>0</v>
      </c>
      <c r="L393" s="735">
        <v>3223</v>
      </c>
      <c r="M393" s="735">
        <v>3354</v>
      </c>
      <c r="N393" s="845">
        <f t="shared" si="38"/>
        <v>4.0645361464474089E-2</v>
      </c>
      <c r="O393" s="735">
        <v>0.60213867159413337</v>
      </c>
      <c r="P393" s="735">
        <f t="shared" si="39"/>
        <v>5570.1454801440423</v>
      </c>
      <c r="Q393" s="849">
        <v>34.299999999999997</v>
      </c>
      <c r="R393" s="71">
        <v>57941</v>
      </c>
      <c r="S393" s="845">
        <v>0.13357185450208706</v>
      </c>
      <c r="T393" s="845">
        <v>4.8000000000000001E-2</v>
      </c>
      <c r="U393" s="845">
        <v>0</v>
      </c>
      <c r="V393" s="845">
        <v>0</v>
      </c>
      <c r="W393" s="845">
        <v>0.7201670644391408</v>
      </c>
      <c r="X393" s="845">
        <v>0.22866611433305717</v>
      </c>
      <c r="Y393" s="845">
        <v>0.66935002981514613</v>
      </c>
      <c r="Z393" s="845">
        <v>0.23136553369111509</v>
      </c>
      <c r="AA393" s="845">
        <v>0</v>
      </c>
      <c r="AB393" s="845">
        <v>3.1305903398926652E-2</v>
      </c>
      <c r="AC393" s="845">
        <v>0</v>
      </c>
      <c r="AD393" s="845">
        <v>2.9815146094215863E-3</v>
      </c>
      <c r="AE393" s="845">
        <v>6.4997018485390579E-2</v>
      </c>
      <c r="AF393" s="845">
        <v>1.937984496124031E-2</v>
      </c>
      <c r="AG393" s="845">
        <v>0.66428145497912938</v>
      </c>
      <c r="AH393" s="20" t="str">
        <f t="shared" si="40"/>
        <v>No</v>
      </c>
      <c r="AI393" s="25"/>
      <c r="AJ393" s="37">
        <v>44060</v>
      </c>
      <c r="AK393" s="37" t="s">
        <v>1179</v>
      </c>
      <c r="AL393" s="37">
        <v>39085</v>
      </c>
      <c r="AM393" s="37" t="s">
        <v>48</v>
      </c>
      <c r="AN393" s="37">
        <f t="shared" si="41"/>
        <v>17410</v>
      </c>
      <c r="AO393" s="37" t="str">
        <f t="shared" si="42"/>
        <v>Cleveland, OH</v>
      </c>
      <c r="AP393" s="20" t="s">
        <v>8</v>
      </c>
      <c r="AQ393" s="25"/>
      <c r="AR393" s="25"/>
      <c r="AS393" s="25"/>
      <c r="AT393" s="25"/>
      <c r="AU393" s="36"/>
      <c r="AV393" s="36"/>
      <c r="AW393" s="36"/>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39">
        <v>44139</v>
      </c>
      <c r="BV393" s="39" t="s">
        <v>1242</v>
      </c>
      <c r="BW393" s="39" t="s">
        <v>2900</v>
      </c>
      <c r="BX393" s="39" t="s">
        <v>2852</v>
      </c>
      <c r="BY393" s="71">
        <v>1300</v>
      </c>
      <c r="BZ393" s="71">
        <v>1470</v>
      </c>
      <c r="CA393" s="71">
        <v>1780</v>
      </c>
      <c r="CB393" s="71">
        <v>2290</v>
      </c>
      <c r="CC393" s="71">
        <v>2450</v>
      </c>
      <c r="CD393" s="25"/>
      <c r="CE393" s="200"/>
      <c r="CF393" s="200"/>
      <c r="CG393" s="200"/>
      <c r="CH393" s="200"/>
      <c r="CI393" s="200"/>
      <c r="CJ393" s="200"/>
      <c r="CK393" s="200"/>
      <c r="CL393" s="200"/>
      <c r="CM393" s="200"/>
      <c r="CN393" s="200"/>
      <c r="CO393" s="200"/>
      <c r="CP393" s="200"/>
      <c r="CQ393" s="200"/>
      <c r="CR393" s="200"/>
      <c r="CS393" s="200"/>
      <c r="CT393" s="200"/>
      <c r="CU393" s="200"/>
    </row>
    <row r="394" spans="1:99" s="17" customFormat="1" x14ac:dyDescent="0.2">
      <c r="A394" s="25"/>
      <c r="B394" s="20">
        <v>39175938300</v>
      </c>
      <c r="C394" s="20">
        <v>9383</v>
      </c>
      <c r="D394" s="20" t="s">
        <v>93</v>
      </c>
      <c r="E394" s="20" t="s">
        <v>265</v>
      </c>
      <c r="F394" s="20" t="s">
        <v>8</v>
      </c>
      <c r="G394" s="861">
        <v>66.898199372512593</v>
      </c>
      <c r="H394" s="861">
        <v>59.435511405022098</v>
      </c>
      <c r="I394" s="861">
        <v>21.172282255246099</v>
      </c>
      <c r="J394" s="861">
        <v>52.849273880186502</v>
      </c>
      <c r="K394" s="982">
        <v>0</v>
      </c>
      <c r="L394" s="735">
        <v>3644</v>
      </c>
      <c r="M394" s="735">
        <v>3522</v>
      </c>
      <c r="N394" s="845">
        <f t="shared" si="38"/>
        <v>-3.3479692645444564E-2</v>
      </c>
      <c r="O394" s="735">
        <v>6.7591970528389806</v>
      </c>
      <c r="P394" s="735">
        <f t="shared" si="39"/>
        <v>521.06780915947684</v>
      </c>
      <c r="Q394" s="849">
        <v>39.1</v>
      </c>
      <c r="R394" s="71">
        <v>69917</v>
      </c>
      <c r="S394" s="845">
        <v>6.9980005712653531E-2</v>
      </c>
      <c r="T394" s="845">
        <v>0.01</v>
      </c>
      <c r="U394" s="845">
        <v>0</v>
      </c>
      <c r="V394" s="845">
        <v>0</v>
      </c>
      <c r="W394" s="845">
        <v>0.29209414604707301</v>
      </c>
      <c r="X394" s="845">
        <v>0.29338842975206614</v>
      </c>
      <c r="Y394" s="845">
        <v>0.96819988642816579</v>
      </c>
      <c r="Z394" s="845">
        <v>1.4196479273140261E-3</v>
      </c>
      <c r="AA394" s="845">
        <v>0</v>
      </c>
      <c r="AB394" s="845">
        <v>0</v>
      </c>
      <c r="AC394" s="845">
        <v>0</v>
      </c>
      <c r="AD394" s="845">
        <v>0</v>
      </c>
      <c r="AE394" s="845">
        <v>3.0380465644520158E-2</v>
      </c>
      <c r="AF394" s="845">
        <v>2.612152186257808E-2</v>
      </c>
      <c r="AG394" s="845">
        <v>0.94804088586030666</v>
      </c>
      <c r="AH394" s="20" t="str">
        <f t="shared" si="40"/>
        <v>Yes</v>
      </c>
      <c r="AI394" s="25"/>
      <c r="AJ394" s="20">
        <v>44077</v>
      </c>
      <c r="AK394" s="20" t="s">
        <v>1189</v>
      </c>
      <c r="AL394" s="20">
        <v>39085</v>
      </c>
      <c r="AM394" s="20" t="s">
        <v>48</v>
      </c>
      <c r="AN394" s="37">
        <f t="shared" si="41"/>
        <v>17410</v>
      </c>
      <c r="AO394" s="37" t="str">
        <f t="shared" si="42"/>
        <v>Cleveland, OH</v>
      </c>
      <c r="AP394" s="20" t="s">
        <v>8</v>
      </c>
      <c r="AQ394" s="25"/>
      <c r="AR394" s="25"/>
      <c r="AS394" s="25"/>
      <c r="AT394" s="25"/>
      <c r="AU394" s="36"/>
      <c r="AV394" s="36"/>
      <c r="AW394" s="36"/>
      <c r="AX394" s="25"/>
      <c r="AY394" s="25"/>
      <c r="AZ394" s="25"/>
      <c r="BA394" s="25"/>
      <c r="BB394" s="25"/>
      <c r="BC394" s="25"/>
      <c r="BD394" s="25"/>
      <c r="BE394" s="25"/>
      <c r="BF394" s="25"/>
      <c r="BG394" s="25"/>
      <c r="BH394" s="25"/>
      <c r="BI394" s="25"/>
      <c r="BJ394" s="25"/>
      <c r="BK394" s="25"/>
      <c r="BL394" s="25"/>
      <c r="BM394" s="25"/>
      <c r="BN394" s="25"/>
      <c r="BO394" s="25"/>
      <c r="BP394" s="25"/>
      <c r="BQ394" s="25"/>
      <c r="BR394" s="25"/>
      <c r="BS394" s="25"/>
      <c r="BT394" s="25"/>
      <c r="BU394" s="39">
        <v>44140</v>
      </c>
      <c r="BV394" s="39" t="s">
        <v>1243</v>
      </c>
      <c r="BW394" s="39" t="s">
        <v>2900</v>
      </c>
      <c r="BX394" s="39" t="s">
        <v>2852</v>
      </c>
      <c r="BY394" s="71">
        <v>1280</v>
      </c>
      <c r="BZ394" s="71">
        <v>1450</v>
      </c>
      <c r="CA394" s="71">
        <v>1750</v>
      </c>
      <c r="CB394" s="71">
        <v>2250</v>
      </c>
      <c r="CC394" s="71">
        <v>2410</v>
      </c>
      <c r="CD394" s="25"/>
      <c r="CE394" s="200"/>
      <c r="CF394" s="200"/>
      <c r="CG394" s="200"/>
      <c r="CH394" s="200"/>
      <c r="CI394" s="200"/>
      <c r="CJ394" s="200"/>
      <c r="CK394" s="200"/>
      <c r="CL394" s="200"/>
      <c r="CM394" s="200"/>
      <c r="CN394" s="200"/>
      <c r="CO394" s="200"/>
      <c r="CP394" s="200"/>
      <c r="CQ394" s="200"/>
      <c r="CR394" s="200"/>
      <c r="CS394" s="200"/>
      <c r="CT394" s="200"/>
      <c r="CU394" s="200"/>
    </row>
    <row r="395" spans="1:99" s="17" customFormat="1" x14ac:dyDescent="0.2">
      <c r="A395" s="25"/>
      <c r="B395" s="20">
        <v>39113040103</v>
      </c>
      <c r="C395" s="20">
        <v>401.03</v>
      </c>
      <c r="D395" s="20" t="s">
        <v>62</v>
      </c>
      <c r="E395" s="20" t="s">
        <v>2833</v>
      </c>
      <c r="F395" s="20" t="s">
        <v>8</v>
      </c>
      <c r="G395" s="861">
        <v>66.888613836148906</v>
      </c>
      <c r="H395" s="861">
        <v>58.894923091326497</v>
      </c>
      <c r="I395" s="861">
        <v>36.073747191347898</v>
      </c>
      <c r="J395" s="861">
        <v>45.765358532864703</v>
      </c>
      <c r="K395" s="982">
        <v>0</v>
      </c>
      <c r="L395" s="735">
        <v>2775</v>
      </c>
      <c r="M395" s="735">
        <v>2994</v>
      </c>
      <c r="N395" s="845">
        <f t="shared" ref="N395:N458" si="43">IF(OR(L395="",M395=""),"",(M395-L395)/L395)</f>
        <v>7.8918918918918918E-2</v>
      </c>
      <c r="O395" s="735">
        <v>1.3049940217679223</v>
      </c>
      <c r="P395" s="735">
        <f t="shared" ref="P395:P458" si="44">M395/O395</f>
        <v>2294.263383631383</v>
      </c>
      <c r="Q395" s="849">
        <v>61.3</v>
      </c>
      <c r="R395" s="71">
        <v>102875</v>
      </c>
      <c r="S395" s="845">
        <v>5.128205128205128E-2</v>
      </c>
      <c r="T395" s="845">
        <v>1.8000000000000002E-2</v>
      </c>
      <c r="U395" s="845">
        <v>0</v>
      </c>
      <c r="V395" s="845">
        <v>0.14699999999999999</v>
      </c>
      <c r="W395" s="845">
        <v>0.29122231337161608</v>
      </c>
      <c r="X395" s="845">
        <v>0.6</v>
      </c>
      <c r="Y395" s="845">
        <v>0.92685370741482964</v>
      </c>
      <c r="Z395" s="845">
        <v>1.1356045424181697E-2</v>
      </c>
      <c r="AA395" s="845">
        <v>0</v>
      </c>
      <c r="AB395" s="845">
        <v>1.4028056112224449E-2</v>
      </c>
      <c r="AC395" s="845">
        <v>0</v>
      </c>
      <c r="AD395" s="845">
        <v>5.6780227120908485E-3</v>
      </c>
      <c r="AE395" s="845">
        <v>4.2084168336673347E-2</v>
      </c>
      <c r="AF395" s="845">
        <v>1.837007348029392E-2</v>
      </c>
      <c r="AG395" s="845">
        <v>0.92685370741482964</v>
      </c>
      <c r="AH395" s="20" t="str">
        <f t="shared" ref="AH395:AH458" si="45">IF(AG395&gt;=0.9,"Yes","No")</f>
        <v>Yes</v>
      </c>
      <c r="AI395" s="25"/>
      <c r="AJ395" s="20">
        <v>44081</v>
      </c>
      <c r="AK395" s="20" t="s">
        <v>1191</v>
      </c>
      <c r="AL395" s="20">
        <v>39085</v>
      </c>
      <c r="AM395" s="20" t="s">
        <v>48</v>
      </c>
      <c r="AN395" s="37">
        <f t="shared" ref="AN395:AN458" si="46">VLOOKUP(AM395,$CY$11:$DA$98,2,FALSE)</f>
        <v>17410</v>
      </c>
      <c r="AO395" s="37" t="str">
        <f t="shared" ref="AO395:AO458" si="47">VLOOKUP(AM395,$CY$11:$DA$98,3,FALSE)</f>
        <v>Cleveland, OH</v>
      </c>
      <c r="AP395" s="20" t="s">
        <v>8</v>
      </c>
      <c r="AQ395" s="25"/>
      <c r="AR395" s="25"/>
      <c r="AS395" s="25"/>
      <c r="AT395" s="25"/>
      <c r="AU395" s="36"/>
      <c r="AV395" s="36"/>
      <c r="AW395" s="36"/>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5"/>
      <c r="BT395" s="25"/>
      <c r="BU395" s="39">
        <v>44142</v>
      </c>
      <c r="BV395" s="39" t="s">
        <v>1245</v>
      </c>
      <c r="BW395" s="39" t="s">
        <v>2900</v>
      </c>
      <c r="BX395" s="39" t="s">
        <v>2852</v>
      </c>
      <c r="BY395" s="71">
        <v>990</v>
      </c>
      <c r="BZ395" s="71">
        <v>1120</v>
      </c>
      <c r="CA395" s="71">
        <v>1350</v>
      </c>
      <c r="CB395" s="71">
        <v>1740</v>
      </c>
      <c r="CC395" s="71">
        <v>1860</v>
      </c>
      <c r="CD395" s="25"/>
      <c r="CE395" s="200"/>
      <c r="CF395" s="200"/>
      <c r="CG395" s="200"/>
      <c r="CH395" s="200"/>
      <c r="CI395" s="200"/>
      <c r="CJ395" s="200"/>
      <c r="CK395" s="200"/>
      <c r="CL395" s="200"/>
      <c r="CM395" s="200"/>
      <c r="CN395" s="200"/>
      <c r="CO395" s="200"/>
      <c r="CP395" s="200"/>
      <c r="CQ395" s="200"/>
      <c r="CR395" s="200"/>
      <c r="CS395" s="200"/>
      <c r="CT395" s="200"/>
      <c r="CU395" s="200"/>
    </row>
    <row r="396" spans="1:99" s="17" customFormat="1" x14ac:dyDescent="0.2">
      <c r="A396" s="25"/>
      <c r="B396" s="20">
        <v>39153507101</v>
      </c>
      <c r="C396" s="20">
        <v>5071.01</v>
      </c>
      <c r="D396" s="20" t="s">
        <v>82</v>
      </c>
      <c r="E396" s="20" t="s">
        <v>2843</v>
      </c>
      <c r="F396" s="20" t="s">
        <v>8</v>
      </c>
      <c r="G396" s="861">
        <v>66.862873053881501</v>
      </c>
      <c r="H396" s="861">
        <v>72.085060714910696</v>
      </c>
      <c r="I396" s="861">
        <v>35.053021586611003</v>
      </c>
      <c r="J396" s="861">
        <v>60.461611863388299</v>
      </c>
      <c r="K396" s="982">
        <v>0</v>
      </c>
      <c r="L396" s="735">
        <v>4494</v>
      </c>
      <c r="M396" s="735">
        <v>5311</v>
      </c>
      <c r="N396" s="845">
        <f t="shared" si="43"/>
        <v>0.18179795282599021</v>
      </c>
      <c r="O396" s="735">
        <v>1.5683214854604102</v>
      </c>
      <c r="P396" s="735">
        <f t="shared" si="44"/>
        <v>3386.4230320359707</v>
      </c>
      <c r="Q396" s="849">
        <v>38.1</v>
      </c>
      <c r="R396" s="71">
        <v>85101</v>
      </c>
      <c r="S396" s="845">
        <v>0.10713613255507437</v>
      </c>
      <c r="T396" s="845">
        <v>4.0999999999999995E-2</v>
      </c>
      <c r="U396" s="845">
        <v>0</v>
      </c>
      <c r="V396" s="845">
        <v>0.02</v>
      </c>
      <c r="W396" s="845">
        <v>0.34451079467156637</v>
      </c>
      <c r="X396" s="845">
        <v>0.52400000000000002</v>
      </c>
      <c r="Y396" s="845">
        <v>0.59555639239314628</v>
      </c>
      <c r="Z396" s="845">
        <v>0.31500659009602711</v>
      </c>
      <c r="AA396" s="845">
        <v>0</v>
      </c>
      <c r="AB396" s="845">
        <v>0</v>
      </c>
      <c r="AC396" s="845">
        <v>0</v>
      </c>
      <c r="AD396" s="845">
        <v>4.3306345321031817E-3</v>
      </c>
      <c r="AE396" s="845">
        <v>8.5106382978723402E-2</v>
      </c>
      <c r="AF396" s="845">
        <v>2.3536057239691207E-2</v>
      </c>
      <c r="AG396" s="845">
        <v>0.58990773865562041</v>
      </c>
      <c r="AH396" s="20" t="str">
        <f t="shared" si="45"/>
        <v>No</v>
      </c>
      <c r="AI396" s="25"/>
      <c r="AJ396" s="37">
        <v>44086</v>
      </c>
      <c r="AK396" s="37" t="s">
        <v>1195</v>
      </c>
      <c r="AL396" s="37">
        <v>39085</v>
      </c>
      <c r="AM396" s="37" t="s">
        <v>48</v>
      </c>
      <c r="AN396" s="37">
        <f t="shared" si="46"/>
        <v>17410</v>
      </c>
      <c r="AO396" s="37" t="str">
        <f t="shared" si="47"/>
        <v>Cleveland, OH</v>
      </c>
      <c r="AP396" s="20" t="s">
        <v>8</v>
      </c>
      <c r="AQ396" s="25"/>
      <c r="AR396" s="25"/>
      <c r="AS396" s="25"/>
      <c r="AT396" s="25"/>
      <c r="AU396" s="36"/>
      <c r="AV396" s="36"/>
      <c r="AW396" s="36"/>
      <c r="AX396" s="25"/>
      <c r="AY396" s="25"/>
      <c r="AZ396" s="25"/>
      <c r="BA396" s="25"/>
      <c r="BB396" s="25"/>
      <c r="BC396" s="25"/>
      <c r="BD396" s="25"/>
      <c r="BE396" s="25"/>
      <c r="BF396" s="25"/>
      <c r="BG396" s="25"/>
      <c r="BH396" s="25"/>
      <c r="BI396" s="25"/>
      <c r="BJ396" s="25"/>
      <c r="BK396" s="25"/>
      <c r="BL396" s="25"/>
      <c r="BM396" s="25"/>
      <c r="BN396" s="25"/>
      <c r="BO396" s="25"/>
      <c r="BP396" s="25"/>
      <c r="BQ396" s="25"/>
      <c r="BR396" s="25"/>
      <c r="BS396" s="25"/>
      <c r="BT396" s="25"/>
      <c r="BU396" s="39">
        <v>44143</v>
      </c>
      <c r="BV396" s="39" t="s">
        <v>1246</v>
      </c>
      <c r="BW396" s="39" t="s">
        <v>2900</v>
      </c>
      <c r="BX396" s="39" t="s">
        <v>2852</v>
      </c>
      <c r="BY396" s="71">
        <v>880</v>
      </c>
      <c r="BZ396" s="71">
        <v>990</v>
      </c>
      <c r="CA396" s="71">
        <v>1200</v>
      </c>
      <c r="CB396" s="71">
        <v>1540</v>
      </c>
      <c r="CC396" s="71">
        <v>1650</v>
      </c>
      <c r="CD396" s="25"/>
      <c r="CE396" s="200"/>
      <c r="CF396" s="200"/>
      <c r="CG396" s="200"/>
      <c r="CH396" s="200"/>
      <c r="CI396" s="200"/>
      <c r="CJ396" s="200"/>
      <c r="CK396" s="200"/>
      <c r="CL396" s="200"/>
      <c r="CM396" s="200"/>
      <c r="CN396" s="200"/>
      <c r="CO396" s="200"/>
      <c r="CP396" s="200"/>
      <c r="CQ396" s="200"/>
      <c r="CR396" s="200"/>
      <c r="CS396" s="200"/>
      <c r="CT396" s="200"/>
      <c r="CU396" s="200"/>
    </row>
    <row r="397" spans="1:99" s="17" customFormat="1" x14ac:dyDescent="0.2">
      <c r="A397" s="25"/>
      <c r="B397" s="20">
        <v>39069000400</v>
      </c>
      <c r="C397" s="20">
        <v>4</v>
      </c>
      <c r="D397" s="20" t="s">
        <v>41</v>
      </c>
      <c r="E397" s="20" t="s">
        <v>265</v>
      </c>
      <c r="F397" s="20" t="s">
        <v>8</v>
      </c>
      <c r="G397" s="861">
        <v>66.8615843001553</v>
      </c>
      <c r="H397" s="861">
        <v>63.982455381092898</v>
      </c>
      <c r="I397" s="861">
        <v>33.950119690549101</v>
      </c>
      <c r="J397" s="861">
        <v>47.078016382732301</v>
      </c>
      <c r="K397" s="982">
        <v>0</v>
      </c>
      <c r="L397" s="735">
        <v>3385</v>
      </c>
      <c r="M397" s="735">
        <v>3517</v>
      </c>
      <c r="N397" s="845">
        <f t="shared" si="43"/>
        <v>3.8995568685376659E-2</v>
      </c>
      <c r="O397" s="735">
        <v>13.66818359641041</v>
      </c>
      <c r="P397" s="735">
        <f t="shared" si="44"/>
        <v>257.31290300516946</v>
      </c>
      <c r="Q397" s="849">
        <v>45.7</v>
      </c>
      <c r="R397" s="71">
        <v>63036</v>
      </c>
      <c r="S397" s="845">
        <v>0.12451478053150195</v>
      </c>
      <c r="T397" s="845">
        <v>2.2000000000000002E-2</v>
      </c>
      <c r="U397" s="845">
        <v>0</v>
      </c>
      <c r="V397" s="845">
        <v>4.2999999999999997E-2</v>
      </c>
      <c r="W397" s="845">
        <v>0.4380113278791693</v>
      </c>
      <c r="X397" s="845">
        <v>0.33045977011494254</v>
      </c>
      <c r="Y397" s="845">
        <v>0.86096104634631787</v>
      </c>
      <c r="Z397" s="845">
        <v>9.6673301108899639E-3</v>
      </c>
      <c r="AA397" s="845">
        <v>6.2553312482229173E-3</v>
      </c>
      <c r="AB397" s="845">
        <v>0</v>
      </c>
      <c r="AC397" s="845">
        <v>4.8336650554449819E-3</v>
      </c>
      <c r="AD397" s="845">
        <v>7.5348308217230597E-2</v>
      </c>
      <c r="AE397" s="845">
        <v>4.2934319021893659E-2</v>
      </c>
      <c r="AF397" s="845">
        <v>6.7955644014785335E-2</v>
      </c>
      <c r="AG397" s="845">
        <v>0.83565538811487061</v>
      </c>
      <c r="AH397" s="20" t="str">
        <f t="shared" si="45"/>
        <v>No</v>
      </c>
      <c r="AI397" s="25"/>
      <c r="AJ397" s="37">
        <v>44092</v>
      </c>
      <c r="AK397" s="37" t="s">
        <v>1199</v>
      </c>
      <c r="AL397" s="37">
        <v>39085</v>
      </c>
      <c r="AM397" s="37" t="s">
        <v>48</v>
      </c>
      <c r="AN397" s="37">
        <f t="shared" si="46"/>
        <v>17410</v>
      </c>
      <c r="AO397" s="37" t="str">
        <f t="shared" si="47"/>
        <v>Cleveland, OH</v>
      </c>
      <c r="AP397" s="20" t="s">
        <v>8</v>
      </c>
      <c r="AQ397" s="25"/>
      <c r="AR397" s="25"/>
      <c r="AS397" s="25"/>
      <c r="AT397" s="25"/>
      <c r="AU397" s="36"/>
      <c r="AV397" s="36"/>
      <c r="AW397" s="36"/>
      <c r="AX397" s="25"/>
      <c r="AY397" s="25"/>
      <c r="AZ397" s="25"/>
      <c r="BA397" s="25"/>
      <c r="BB397" s="25"/>
      <c r="BC397" s="25"/>
      <c r="BD397" s="25"/>
      <c r="BE397" s="25"/>
      <c r="BF397" s="25"/>
      <c r="BG397" s="25"/>
      <c r="BH397" s="25"/>
      <c r="BI397" s="25"/>
      <c r="BJ397" s="25"/>
      <c r="BK397" s="25"/>
      <c r="BL397" s="25"/>
      <c r="BM397" s="25"/>
      <c r="BN397" s="25"/>
      <c r="BO397" s="25"/>
      <c r="BP397" s="25"/>
      <c r="BQ397" s="25"/>
      <c r="BR397" s="25"/>
      <c r="BS397" s="25"/>
      <c r="BT397" s="25"/>
      <c r="BU397" s="39">
        <v>44144</v>
      </c>
      <c r="BV397" s="39" t="s">
        <v>1247</v>
      </c>
      <c r="BW397" s="39" t="s">
        <v>2900</v>
      </c>
      <c r="BX397" s="39" t="s">
        <v>2852</v>
      </c>
      <c r="BY397" s="71">
        <v>840</v>
      </c>
      <c r="BZ397" s="71">
        <v>950</v>
      </c>
      <c r="CA397" s="71">
        <v>1150</v>
      </c>
      <c r="CB397" s="71">
        <v>1480</v>
      </c>
      <c r="CC397" s="71">
        <v>1580</v>
      </c>
      <c r="CD397" s="25"/>
      <c r="CE397" s="200"/>
      <c r="CF397" s="200"/>
      <c r="CG397" s="200"/>
      <c r="CH397" s="200"/>
      <c r="CI397" s="200"/>
      <c r="CJ397" s="200"/>
      <c r="CK397" s="200"/>
      <c r="CL397" s="200"/>
      <c r="CM397" s="200"/>
      <c r="CN397" s="200"/>
      <c r="CO397" s="200"/>
      <c r="CP397" s="200"/>
      <c r="CQ397" s="200"/>
      <c r="CR397" s="200"/>
      <c r="CS397" s="200"/>
      <c r="CT397" s="200"/>
      <c r="CU397" s="200"/>
    </row>
    <row r="398" spans="1:99" s="17" customFormat="1" x14ac:dyDescent="0.2">
      <c r="A398" s="25"/>
      <c r="B398" s="20">
        <v>39113021200</v>
      </c>
      <c r="C398" s="20">
        <v>212</v>
      </c>
      <c r="D398" s="20" t="s">
        <v>62</v>
      </c>
      <c r="E398" s="20" t="s">
        <v>2833</v>
      </c>
      <c r="F398" s="20" t="s">
        <v>8</v>
      </c>
      <c r="G398" s="861">
        <v>66.853650758570794</v>
      </c>
      <c r="H398" s="861">
        <v>68.584234197768197</v>
      </c>
      <c r="I398" s="861">
        <v>22.0114089289535</v>
      </c>
      <c r="J398" s="861">
        <v>39.080600893904297</v>
      </c>
      <c r="K398" s="982">
        <v>0</v>
      </c>
      <c r="L398" s="735">
        <v>1717</v>
      </c>
      <c r="M398" s="735">
        <v>1870</v>
      </c>
      <c r="N398" s="845">
        <f t="shared" si="43"/>
        <v>8.9108910891089105E-2</v>
      </c>
      <c r="O398" s="735">
        <v>0.86292017765286189</v>
      </c>
      <c r="P398" s="735">
        <f t="shared" si="44"/>
        <v>2167.060231557442</v>
      </c>
      <c r="Q398" s="849">
        <v>36</v>
      </c>
      <c r="R398" s="71">
        <v>71625</v>
      </c>
      <c r="S398" s="845">
        <v>5.7754010695187166E-2</v>
      </c>
      <c r="T398" s="845">
        <v>3.5000000000000003E-2</v>
      </c>
      <c r="U398" s="845">
        <v>0</v>
      </c>
      <c r="V398" s="845">
        <v>0</v>
      </c>
      <c r="W398" s="845">
        <v>0.19307589880159787</v>
      </c>
      <c r="X398" s="845">
        <v>0.56551724137931036</v>
      </c>
      <c r="Y398" s="845">
        <v>0.77540106951871657</v>
      </c>
      <c r="Z398" s="845">
        <v>8.5026737967914434E-2</v>
      </c>
      <c r="AA398" s="845">
        <v>0</v>
      </c>
      <c r="AB398" s="845">
        <v>6.4171122994652413E-2</v>
      </c>
      <c r="AC398" s="845">
        <v>0</v>
      </c>
      <c r="AD398" s="845">
        <v>3.2085561497326204E-3</v>
      </c>
      <c r="AE398" s="845">
        <v>7.2192513368983954E-2</v>
      </c>
      <c r="AF398" s="845">
        <v>3.4224598930481284E-2</v>
      </c>
      <c r="AG398" s="845">
        <v>0.75561497326203209</v>
      </c>
      <c r="AH398" s="20" t="str">
        <f t="shared" si="45"/>
        <v>No</v>
      </c>
      <c r="AI398" s="25"/>
      <c r="AJ398" s="20">
        <v>44094</v>
      </c>
      <c r="AK398" s="20" t="s">
        <v>1201</v>
      </c>
      <c r="AL398" s="20">
        <v>39085</v>
      </c>
      <c r="AM398" s="20" t="s">
        <v>48</v>
      </c>
      <c r="AN398" s="37">
        <f t="shared" si="46"/>
        <v>17410</v>
      </c>
      <c r="AO398" s="37" t="str">
        <f t="shared" si="47"/>
        <v>Cleveland, OH</v>
      </c>
      <c r="AP398" s="20" t="s">
        <v>8</v>
      </c>
      <c r="AQ398" s="25"/>
      <c r="AR398" s="25"/>
      <c r="AS398" s="25"/>
      <c r="AT398" s="25"/>
      <c r="AU398" s="36"/>
      <c r="AV398" s="36"/>
      <c r="AW398" s="36"/>
      <c r="AX398" s="25"/>
      <c r="AY398" s="25"/>
      <c r="AZ398" s="25"/>
      <c r="BA398" s="25"/>
      <c r="BB398" s="25"/>
      <c r="BC398" s="25"/>
      <c r="BD398" s="25"/>
      <c r="BE398" s="25"/>
      <c r="BF398" s="25"/>
      <c r="BG398" s="25"/>
      <c r="BH398" s="25"/>
      <c r="BI398" s="25"/>
      <c r="BJ398" s="25"/>
      <c r="BK398" s="25"/>
      <c r="BL398" s="25"/>
      <c r="BM398" s="25"/>
      <c r="BN398" s="25"/>
      <c r="BO398" s="25"/>
      <c r="BP398" s="25"/>
      <c r="BQ398" s="25"/>
      <c r="BR398" s="25"/>
      <c r="BS398" s="25"/>
      <c r="BT398" s="25"/>
      <c r="BU398" s="39">
        <v>44145</v>
      </c>
      <c r="BV398" s="39" t="s">
        <v>1248</v>
      </c>
      <c r="BW398" s="39" t="s">
        <v>2900</v>
      </c>
      <c r="BX398" s="39" t="s">
        <v>2852</v>
      </c>
      <c r="BY398" s="71">
        <v>1280</v>
      </c>
      <c r="BZ398" s="71">
        <v>1460</v>
      </c>
      <c r="CA398" s="71">
        <v>1760</v>
      </c>
      <c r="CB398" s="71">
        <v>2260</v>
      </c>
      <c r="CC398" s="71">
        <v>2420</v>
      </c>
      <c r="CD398" s="25"/>
      <c r="CE398" s="200"/>
      <c r="CF398" s="200"/>
      <c r="CG398" s="200"/>
      <c r="CH398" s="200"/>
      <c r="CI398" s="200"/>
      <c r="CJ398" s="200"/>
      <c r="CK398" s="200"/>
      <c r="CL398" s="200"/>
      <c r="CM398" s="200"/>
      <c r="CN398" s="200"/>
      <c r="CO398" s="200"/>
      <c r="CP398" s="200"/>
      <c r="CQ398" s="200"/>
      <c r="CR398" s="200"/>
      <c r="CS398" s="200"/>
      <c r="CT398" s="200"/>
      <c r="CU398" s="200"/>
    </row>
    <row r="399" spans="1:99" s="17" customFormat="1" x14ac:dyDescent="0.2">
      <c r="A399" s="25"/>
      <c r="B399" s="20">
        <v>39165032006</v>
      </c>
      <c r="C399" s="20">
        <v>320.06</v>
      </c>
      <c r="D399" s="20" t="s">
        <v>88</v>
      </c>
      <c r="E399" s="20" t="s">
        <v>2828</v>
      </c>
      <c r="F399" s="20" t="s">
        <v>8</v>
      </c>
      <c r="G399" s="861">
        <v>66.831251007165406</v>
      </c>
      <c r="H399" s="861">
        <v>70.588444744554707</v>
      </c>
      <c r="I399" s="861">
        <v>23.871000651488799</v>
      </c>
      <c r="J399" s="861">
        <v>39.185305053372502</v>
      </c>
      <c r="K399" s="982">
        <v>0</v>
      </c>
      <c r="L399" s="735">
        <v>3517</v>
      </c>
      <c r="M399" s="735">
        <v>4456</v>
      </c>
      <c r="N399" s="845">
        <f t="shared" si="43"/>
        <v>0.26698891100369632</v>
      </c>
      <c r="O399" s="735">
        <v>1.4450687960880253</v>
      </c>
      <c r="P399" s="735">
        <f t="shared" si="44"/>
        <v>3083.5902152637486</v>
      </c>
      <c r="Q399" s="849">
        <v>38.5</v>
      </c>
      <c r="R399" s="71">
        <v>109390</v>
      </c>
      <c r="S399" s="845">
        <v>7.580900656257071E-2</v>
      </c>
      <c r="T399" s="845">
        <v>0.03</v>
      </c>
      <c r="U399" s="845">
        <v>0</v>
      </c>
      <c r="V399" s="845">
        <v>5.7999999999999996E-2</v>
      </c>
      <c r="W399" s="845">
        <v>0.46408317580340264</v>
      </c>
      <c r="X399" s="845">
        <v>0.23421588594704684</v>
      </c>
      <c r="Y399" s="845">
        <v>0.8074506283662477</v>
      </c>
      <c r="Z399" s="845">
        <v>1.5484739676840215E-2</v>
      </c>
      <c r="AA399" s="845">
        <v>2.6929982046678637E-3</v>
      </c>
      <c r="AB399" s="845">
        <v>0.13554757630161579</v>
      </c>
      <c r="AC399" s="845">
        <v>2.4685816876122081E-3</v>
      </c>
      <c r="AD399" s="845">
        <v>2.9174147217235187E-3</v>
      </c>
      <c r="AE399" s="845">
        <v>3.3438061041292641E-2</v>
      </c>
      <c r="AF399" s="845">
        <v>1.3689407540394972E-2</v>
      </c>
      <c r="AG399" s="845">
        <v>0.8074506283662477</v>
      </c>
      <c r="AH399" s="20" t="str">
        <f t="shared" si="45"/>
        <v>No</v>
      </c>
      <c r="AI399" s="25"/>
      <c r="AJ399" s="20">
        <v>44095</v>
      </c>
      <c r="AK399" s="20" t="s">
        <v>1202</v>
      </c>
      <c r="AL399" s="20">
        <v>39085</v>
      </c>
      <c r="AM399" s="20" t="s">
        <v>48</v>
      </c>
      <c r="AN399" s="37">
        <f t="shared" si="46"/>
        <v>17410</v>
      </c>
      <c r="AO399" s="37" t="str">
        <f t="shared" si="47"/>
        <v>Cleveland, OH</v>
      </c>
      <c r="AP399" s="20" t="s">
        <v>8</v>
      </c>
      <c r="AQ399" s="25"/>
      <c r="AR399" s="25"/>
      <c r="AS399" s="25"/>
      <c r="AT399" s="25"/>
      <c r="AU399" s="36"/>
      <c r="AV399" s="36"/>
      <c r="AW399" s="36"/>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39">
        <v>44146</v>
      </c>
      <c r="BV399" s="39" t="s">
        <v>1249</v>
      </c>
      <c r="BW399" s="39" t="s">
        <v>2900</v>
      </c>
      <c r="BX399" s="39" t="s">
        <v>2852</v>
      </c>
      <c r="BY399" s="71">
        <v>900</v>
      </c>
      <c r="BZ399" s="71">
        <v>1030</v>
      </c>
      <c r="CA399" s="71">
        <v>1240</v>
      </c>
      <c r="CB399" s="71">
        <v>1600</v>
      </c>
      <c r="CC399" s="71">
        <v>1710</v>
      </c>
      <c r="CD399" s="25"/>
      <c r="CE399" s="200"/>
      <c r="CF399" s="200"/>
      <c r="CG399" s="200"/>
      <c r="CH399" s="200"/>
      <c r="CI399" s="200"/>
      <c r="CJ399" s="200"/>
      <c r="CK399" s="200"/>
      <c r="CL399" s="200"/>
      <c r="CM399" s="200"/>
      <c r="CN399" s="200"/>
      <c r="CO399" s="200"/>
      <c r="CP399" s="200"/>
      <c r="CQ399" s="200"/>
      <c r="CR399" s="200"/>
      <c r="CS399" s="200"/>
      <c r="CT399" s="200"/>
      <c r="CU399" s="200"/>
    </row>
    <row r="400" spans="1:99" s="17" customFormat="1" x14ac:dyDescent="0.2">
      <c r="A400" s="25"/>
      <c r="B400" s="20">
        <v>39061020705</v>
      </c>
      <c r="C400" s="20">
        <v>207.05</v>
      </c>
      <c r="D400" s="20" t="s">
        <v>37</v>
      </c>
      <c r="E400" s="20" t="s">
        <v>2828</v>
      </c>
      <c r="F400" s="20" t="s">
        <v>8</v>
      </c>
      <c r="G400" s="861">
        <v>66.812255714439402</v>
      </c>
      <c r="H400" s="861">
        <v>57.555224199813999</v>
      </c>
      <c r="I400" s="861">
        <v>25.977371694895201</v>
      </c>
      <c r="J400" s="861">
        <v>51.448196210693702</v>
      </c>
      <c r="K400" s="982">
        <v>0</v>
      </c>
      <c r="L400" s="735">
        <v>3247</v>
      </c>
      <c r="M400" s="735">
        <v>3500</v>
      </c>
      <c r="N400" s="845">
        <f t="shared" si="43"/>
        <v>7.7918078226054815E-2</v>
      </c>
      <c r="O400" s="735">
        <v>1.0865254512693496</v>
      </c>
      <c r="P400" s="735">
        <f t="shared" si="44"/>
        <v>3221.2775098006887</v>
      </c>
      <c r="Q400" s="849">
        <v>35.299999999999997</v>
      </c>
      <c r="R400" s="71">
        <v>69028</v>
      </c>
      <c r="S400" s="845">
        <v>1.8285714285714287E-2</v>
      </c>
      <c r="T400" s="845">
        <v>9.4E-2</v>
      </c>
      <c r="U400" s="845">
        <v>0</v>
      </c>
      <c r="V400" s="845">
        <v>0</v>
      </c>
      <c r="W400" s="845">
        <v>0.38953040800615857</v>
      </c>
      <c r="X400" s="845">
        <v>0.16798418972332016</v>
      </c>
      <c r="Y400" s="845">
        <v>0.43685714285714283</v>
      </c>
      <c r="Z400" s="845">
        <v>0.44057142857142856</v>
      </c>
      <c r="AA400" s="845">
        <v>0</v>
      </c>
      <c r="AB400" s="845">
        <v>8.5714285714285719E-3</v>
      </c>
      <c r="AC400" s="845">
        <v>5.1428571428571426E-3</v>
      </c>
      <c r="AD400" s="845">
        <v>3.4285714285714284E-3</v>
      </c>
      <c r="AE400" s="845">
        <v>0.10542857142857143</v>
      </c>
      <c r="AF400" s="845">
        <v>0</v>
      </c>
      <c r="AG400" s="845">
        <v>0.43685714285714283</v>
      </c>
      <c r="AH400" s="20" t="str">
        <f t="shared" si="45"/>
        <v>No</v>
      </c>
      <c r="AI400" s="25"/>
      <c r="AJ400" s="20">
        <v>44001</v>
      </c>
      <c r="AK400" s="20" t="s">
        <v>1147</v>
      </c>
      <c r="AL400" s="20">
        <v>39093</v>
      </c>
      <c r="AM400" s="20" t="s">
        <v>52</v>
      </c>
      <c r="AN400" s="37">
        <f t="shared" si="46"/>
        <v>17410</v>
      </c>
      <c r="AO400" s="37" t="str">
        <f t="shared" si="47"/>
        <v>Cleveland, OH</v>
      </c>
      <c r="AP400" s="20" t="s">
        <v>8</v>
      </c>
      <c r="AQ400" s="25"/>
      <c r="AR400" s="25"/>
      <c r="AS400" s="25"/>
      <c r="AT400" s="25"/>
      <c r="AU400" s="36"/>
      <c r="AV400" s="36"/>
      <c r="AW400" s="36"/>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39">
        <v>44147</v>
      </c>
      <c r="BV400" s="39" t="s">
        <v>1250</v>
      </c>
      <c r="BW400" s="39" t="s">
        <v>2900</v>
      </c>
      <c r="BX400" s="39" t="s">
        <v>2852</v>
      </c>
      <c r="BY400" s="71">
        <v>990</v>
      </c>
      <c r="BZ400" s="71">
        <v>1120</v>
      </c>
      <c r="CA400" s="71">
        <v>1350</v>
      </c>
      <c r="CB400" s="71">
        <v>1740</v>
      </c>
      <c r="CC400" s="71">
        <v>1860</v>
      </c>
      <c r="CD400" s="25"/>
      <c r="CE400" s="200"/>
      <c r="CF400" s="200"/>
      <c r="CG400" s="200"/>
      <c r="CH400" s="200"/>
      <c r="CI400" s="200"/>
      <c r="CJ400" s="200"/>
      <c r="CK400" s="200"/>
      <c r="CL400" s="200"/>
      <c r="CM400" s="200"/>
      <c r="CN400" s="200"/>
      <c r="CO400" s="200"/>
      <c r="CP400" s="200"/>
      <c r="CQ400" s="200"/>
      <c r="CR400" s="200"/>
      <c r="CS400" s="200"/>
      <c r="CT400" s="200"/>
      <c r="CU400" s="200"/>
    </row>
    <row r="401" spans="1:99" s="17" customFormat="1" x14ac:dyDescent="0.2">
      <c r="A401" s="25"/>
      <c r="B401" s="20">
        <v>39057220101</v>
      </c>
      <c r="C401" s="20">
        <v>2201.0100000000002</v>
      </c>
      <c r="D401" s="20" t="s">
        <v>35</v>
      </c>
      <c r="E401" s="20" t="s">
        <v>2833</v>
      </c>
      <c r="F401" s="20" t="s">
        <v>8</v>
      </c>
      <c r="G401" s="861">
        <v>66.712719504497997</v>
      </c>
      <c r="H401" s="861">
        <v>66.157402113743203</v>
      </c>
      <c r="I401" s="861">
        <v>19.737574677277301</v>
      </c>
      <c r="J401" s="861">
        <v>67.5278611711541</v>
      </c>
      <c r="K401" s="982">
        <v>0</v>
      </c>
      <c r="L401" s="735" t="s">
        <v>2466</v>
      </c>
      <c r="M401" s="735">
        <v>4003</v>
      </c>
      <c r="N401" s="845" t="str">
        <f t="shared" si="43"/>
        <v/>
      </c>
      <c r="O401" s="735">
        <v>6.2146737036565005</v>
      </c>
      <c r="P401" s="735">
        <f t="shared" si="44"/>
        <v>644.12070381825072</v>
      </c>
      <c r="Q401" s="849">
        <v>40</v>
      </c>
      <c r="R401" s="71">
        <v>157560</v>
      </c>
      <c r="S401" s="845">
        <v>1.5238571071696228E-2</v>
      </c>
      <c r="T401" s="845">
        <v>1.3000000000000001E-2</v>
      </c>
      <c r="U401" s="845">
        <v>0</v>
      </c>
      <c r="V401" s="845">
        <v>0</v>
      </c>
      <c r="W401" s="845">
        <v>3.4856700232378003E-2</v>
      </c>
      <c r="X401" s="845">
        <v>0</v>
      </c>
      <c r="Y401" s="845">
        <v>0.8286285286035473</v>
      </c>
      <c r="Z401" s="845">
        <v>3.422433175118661E-2</v>
      </c>
      <c r="AA401" s="845">
        <v>0</v>
      </c>
      <c r="AB401" s="845">
        <v>1.823632275793155E-2</v>
      </c>
      <c r="AC401" s="845">
        <v>0</v>
      </c>
      <c r="AD401" s="845">
        <v>2.9727704221833625E-2</v>
      </c>
      <c r="AE401" s="845">
        <v>8.9183112665500872E-2</v>
      </c>
      <c r="AF401" s="845">
        <v>7.1196602548088933E-2</v>
      </c>
      <c r="AG401" s="845">
        <v>0.81913564826380214</v>
      </c>
      <c r="AH401" s="20" t="str">
        <f t="shared" si="45"/>
        <v>No</v>
      </c>
      <c r="AI401" s="25"/>
      <c r="AJ401" s="20">
        <v>44011</v>
      </c>
      <c r="AK401" s="20" t="s">
        <v>1151</v>
      </c>
      <c r="AL401" s="20">
        <v>39093</v>
      </c>
      <c r="AM401" s="20" t="s">
        <v>52</v>
      </c>
      <c r="AN401" s="37">
        <f t="shared" si="46"/>
        <v>17410</v>
      </c>
      <c r="AO401" s="37" t="str">
        <f t="shared" si="47"/>
        <v>Cleveland, OH</v>
      </c>
      <c r="AP401" s="20" t="s">
        <v>8</v>
      </c>
      <c r="AQ401" s="25"/>
      <c r="AR401" s="25"/>
      <c r="AS401" s="25"/>
      <c r="AT401" s="25"/>
      <c r="AU401" s="36"/>
      <c r="AV401" s="36"/>
      <c r="AW401" s="36"/>
      <c r="AX401" s="25"/>
      <c r="AY401" s="25"/>
      <c r="AZ401" s="25"/>
      <c r="BA401" s="25"/>
      <c r="BB401" s="25"/>
      <c r="BC401" s="25"/>
      <c r="BD401" s="25"/>
      <c r="BE401" s="25"/>
      <c r="BF401" s="25"/>
      <c r="BG401" s="25"/>
      <c r="BH401" s="25"/>
      <c r="BI401" s="25"/>
      <c r="BJ401" s="25"/>
      <c r="BK401" s="25"/>
      <c r="BL401" s="25"/>
      <c r="BM401" s="25"/>
      <c r="BN401" s="25"/>
      <c r="BO401" s="25"/>
      <c r="BP401" s="25"/>
      <c r="BQ401" s="25"/>
      <c r="BR401" s="25"/>
      <c r="BS401" s="25"/>
      <c r="BT401" s="25"/>
      <c r="BU401" s="39">
        <v>44149</v>
      </c>
      <c r="BV401" s="39" t="s">
        <v>1251</v>
      </c>
      <c r="BW401" s="39" t="s">
        <v>2900</v>
      </c>
      <c r="BX401" s="39" t="s">
        <v>2852</v>
      </c>
      <c r="BY401" s="71">
        <v>1150</v>
      </c>
      <c r="BZ401" s="71">
        <v>1300</v>
      </c>
      <c r="CA401" s="71">
        <v>1570</v>
      </c>
      <c r="CB401" s="71">
        <v>2020</v>
      </c>
      <c r="CC401" s="71">
        <v>2160</v>
      </c>
      <c r="CD401" s="25"/>
      <c r="CE401" s="200"/>
      <c r="CF401" s="200"/>
      <c r="CG401" s="200"/>
      <c r="CH401" s="200"/>
      <c r="CI401" s="200"/>
      <c r="CJ401" s="200"/>
      <c r="CK401" s="200"/>
      <c r="CL401" s="200"/>
      <c r="CM401" s="200"/>
      <c r="CN401" s="200"/>
      <c r="CO401" s="200"/>
      <c r="CP401" s="200"/>
      <c r="CQ401" s="200"/>
      <c r="CR401" s="200"/>
      <c r="CS401" s="200"/>
      <c r="CT401" s="200"/>
      <c r="CU401" s="200"/>
    </row>
    <row r="402" spans="1:99" s="17" customFormat="1" x14ac:dyDescent="0.2">
      <c r="A402" s="25"/>
      <c r="B402" s="20">
        <v>39061025101</v>
      </c>
      <c r="C402" s="20">
        <v>251.01</v>
      </c>
      <c r="D402" s="20" t="s">
        <v>37</v>
      </c>
      <c r="E402" s="20" t="s">
        <v>2828</v>
      </c>
      <c r="F402" s="20" t="s">
        <v>8</v>
      </c>
      <c r="G402" s="861">
        <v>66.708149973338294</v>
      </c>
      <c r="H402" s="861">
        <v>75.961500523421293</v>
      </c>
      <c r="I402" s="861">
        <v>18.349854664882798</v>
      </c>
      <c r="J402" s="861">
        <v>30.848787266500601</v>
      </c>
      <c r="K402" s="982">
        <v>0</v>
      </c>
      <c r="L402" s="735">
        <v>4919</v>
      </c>
      <c r="M402" s="735">
        <v>4904</v>
      </c>
      <c r="N402" s="845">
        <f t="shared" si="43"/>
        <v>-3.0494002846106934E-3</v>
      </c>
      <c r="O402" s="735">
        <v>2.5135455158518085</v>
      </c>
      <c r="P402" s="735">
        <f t="shared" si="44"/>
        <v>1951.0289227199837</v>
      </c>
      <c r="Q402" s="849">
        <v>42.1</v>
      </c>
      <c r="R402" s="71">
        <v>154023</v>
      </c>
      <c r="S402" s="845">
        <v>4.4657422512234909E-2</v>
      </c>
      <c r="T402" s="845">
        <v>3.3000000000000002E-2</v>
      </c>
      <c r="U402" s="845">
        <v>0</v>
      </c>
      <c r="V402" s="845">
        <v>0</v>
      </c>
      <c r="W402" s="845">
        <v>3.6639292482627921E-2</v>
      </c>
      <c r="X402" s="845">
        <v>0.18965517241379309</v>
      </c>
      <c r="Y402" s="845">
        <v>0.91088907014681897</v>
      </c>
      <c r="Z402" s="845">
        <v>3.1402936378466556E-2</v>
      </c>
      <c r="AA402" s="845">
        <v>0</v>
      </c>
      <c r="AB402" s="845">
        <v>7.952691680261012E-3</v>
      </c>
      <c r="AC402" s="845">
        <v>0</v>
      </c>
      <c r="AD402" s="845">
        <v>0</v>
      </c>
      <c r="AE402" s="845">
        <v>4.9755301794453505E-2</v>
      </c>
      <c r="AF402" s="845">
        <v>2.2226753670473082E-2</v>
      </c>
      <c r="AG402" s="845">
        <v>0.88866231647634586</v>
      </c>
      <c r="AH402" s="20" t="str">
        <f t="shared" si="45"/>
        <v>No</v>
      </c>
      <c r="AI402" s="25"/>
      <c r="AJ402" s="20">
        <v>44012</v>
      </c>
      <c r="AK402" s="20" t="s">
        <v>1152</v>
      </c>
      <c r="AL402" s="20">
        <v>39093</v>
      </c>
      <c r="AM402" s="20" t="s">
        <v>52</v>
      </c>
      <c r="AN402" s="37">
        <f t="shared" si="46"/>
        <v>17410</v>
      </c>
      <c r="AO402" s="37" t="str">
        <f t="shared" si="47"/>
        <v>Cleveland, OH</v>
      </c>
      <c r="AP402" s="20" t="s">
        <v>8</v>
      </c>
      <c r="AQ402" s="25"/>
      <c r="AR402" s="25"/>
      <c r="AS402" s="25"/>
      <c r="AT402" s="25"/>
      <c r="AU402" s="36"/>
      <c r="AV402" s="36"/>
      <c r="AW402" s="36"/>
      <c r="AX402" s="25"/>
      <c r="AY402" s="25"/>
      <c r="AZ402" s="25"/>
      <c r="BA402" s="25"/>
      <c r="BB402" s="25"/>
      <c r="BC402" s="25"/>
      <c r="BD402" s="25"/>
      <c r="BE402" s="25"/>
      <c r="BF402" s="25"/>
      <c r="BG402" s="25"/>
      <c r="BH402" s="25"/>
      <c r="BI402" s="25"/>
      <c r="BJ402" s="25"/>
      <c r="BK402" s="25"/>
      <c r="BL402" s="25"/>
      <c r="BM402" s="25"/>
      <c r="BN402" s="25"/>
      <c r="BO402" s="25"/>
      <c r="BP402" s="25"/>
      <c r="BQ402" s="25"/>
      <c r="BR402" s="25"/>
      <c r="BS402" s="25"/>
      <c r="BT402" s="25"/>
      <c r="BU402" s="39">
        <v>44212</v>
      </c>
      <c r="BV402" s="39" t="s">
        <v>1255</v>
      </c>
      <c r="BW402" s="39" t="s">
        <v>2900</v>
      </c>
      <c r="BX402" s="39" t="s">
        <v>2852</v>
      </c>
      <c r="BY402" s="71">
        <v>1050</v>
      </c>
      <c r="BZ402" s="71">
        <v>1190</v>
      </c>
      <c r="CA402" s="71">
        <v>1440</v>
      </c>
      <c r="CB402" s="71">
        <v>1850</v>
      </c>
      <c r="CC402" s="71">
        <v>1980</v>
      </c>
      <c r="CD402" s="25"/>
      <c r="CE402" s="200"/>
      <c r="CF402" s="200"/>
      <c r="CG402" s="200"/>
      <c r="CH402" s="200"/>
      <c r="CI402" s="200"/>
      <c r="CJ402" s="200"/>
      <c r="CK402" s="200"/>
      <c r="CL402" s="200"/>
      <c r="CM402" s="200"/>
      <c r="CN402" s="200"/>
      <c r="CO402" s="200"/>
      <c r="CP402" s="200"/>
      <c r="CQ402" s="200"/>
      <c r="CR402" s="200"/>
      <c r="CS402" s="200"/>
      <c r="CT402" s="200"/>
      <c r="CU402" s="200"/>
    </row>
    <row r="403" spans="1:99" s="17" customFormat="1" x14ac:dyDescent="0.2">
      <c r="A403" s="25"/>
      <c r="B403" s="20">
        <v>39153532302</v>
      </c>
      <c r="C403" s="20">
        <v>5323.02</v>
      </c>
      <c r="D403" s="20" t="s">
        <v>82</v>
      </c>
      <c r="E403" s="20" t="s">
        <v>2843</v>
      </c>
      <c r="F403" s="20" t="s">
        <v>8</v>
      </c>
      <c r="G403" s="861">
        <v>66.699515174167402</v>
      </c>
      <c r="H403" s="861">
        <v>64.898651987647696</v>
      </c>
      <c r="I403" s="861">
        <v>33.665262097195502</v>
      </c>
      <c r="J403" s="861">
        <v>26.110597387031898</v>
      </c>
      <c r="K403" s="982">
        <v>0</v>
      </c>
      <c r="L403" s="735">
        <v>5635</v>
      </c>
      <c r="M403" s="735">
        <v>5564</v>
      </c>
      <c r="N403" s="845">
        <f t="shared" si="43"/>
        <v>-1.2599822537710737E-2</v>
      </c>
      <c r="O403" s="735">
        <v>10.29298277357729</v>
      </c>
      <c r="P403" s="735">
        <f t="shared" si="44"/>
        <v>540.56245137057113</v>
      </c>
      <c r="Q403" s="849">
        <v>48.4</v>
      </c>
      <c r="R403" s="71">
        <v>132813</v>
      </c>
      <c r="S403" s="845">
        <v>4.1862211376009012E-2</v>
      </c>
      <c r="T403" s="845">
        <v>0.03</v>
      </c>
      <c r="U403" s="845">
        <v>0</v>
      </c>
      <c r="V403" s="845">
        <v>0</v>
      </c>
      <c r="W403" s="845">
        <v>0.12459016393442623</v>
      </c>
      <c r="X403" s="845">
        <v>0.7142857142857143</v>
      </c>
      <c r="Y403" s="845">
        <v>0.88515456506110712</v>
      </c>
      <c r="Z403" s="845">
        <v>6.1826024442846871E-2</v>
      </c>
      <c r="AA403" s="845">
        <v>0</v>
      </c>
      <c r="AB403" s="845">
        <v>1.6714593817397556E-2</v>
      </c>
      <c r="AC403" s="845">
        <v>0</v>
      </c>
      <c r="AD403" s="845">
        <v>0</v>
      </c>
      <c r="AE403" s="845">
        <v>3.6304816678648454E-2</v>
      </c>
      <c r="AF403" s="845">
        <v>4.8885693745506831E-2</v>
      </c>
      <c r="AG403" s="845">
        <v>0.8511861969805895</v>
      </c>
      <c r="AH403" s="20" t="str">
        <f t="shared" si="45"/>
        <v>No</v>
      </c>
      <c r="AI403" s="25"/>
      <c r="AJ403" s="20">
        <v>44028</v>
      </c>
      <c r="AK403" s="20" t="s">
        <v>1159</v>
      </c>
      <c r="AL403" s="20">
        <v>39093</v>
      </c>
      <c r="AM403" s="20" t="s">
        <v>52</v>
      </c>
      <c r="AN403" s="37">
        <f t="shared" si="46"/>
        <v>17410</v>
      </c>
      <c r="AO403" s="37" t="str">
        <f t="shared" si="47"/>
        <v>Cleveland, OH</v>
      </c>
      <c r="AP403" s="20" t="s">
        <v>8</v>
      </c>
      <c r="AQ403" s="25"/>
      <c r="AR403" s="25"/>
      <c r="AS403" s="25"/>
      <c r="AT403" s="25"/>
      <c r="AU403" s="36"/>
      <c r="AV403" s="36"/>
      <c r="AW403" s="36"/>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39">
        <v>44214</v>
      </c>
      <c r="BV403" s="39" t="s">
        <v>1256</v>
      </c>
      <c r="BW403" s="39" t="s">
        <v>2900</v>
      </c>
      <c r="BX403" s="39" t="s">
        <v>2852</v>
      </c>
      <c r="BY403" s="71">
        <v>770</v>
      </c>
      <c r="BZ403" s="71">
        <v>880</v>
      </c>
      <c r="CA403" s="71">
        <v>1120</v>
      </c>
      <c r="CB403" s="71">
        <v>1370</v>
      </c>
      <c r="CC403" s="71">
        <v>1590</v>
      </c>
      <c r="CD403" s="25"/>
      <c r="CE403" s="200"/>
      <c r="CF403" s="200"/>
      <c r="CG403" s="200"/>
      <c r="CH403" s="200"/>
      <c r="CI403" s="200"/>
      <c r="CJ403" s="200"/>
      <c r="CK403" s="200"/>
      <c r="CL403" s="200"/>
      <c r="CM403" s="200"/>
      <c r="CN403" s="200"/>
      <c r="CO403" s="200"/>
      <c r="CP403" s="200"/>
      <c r="CQ403" s="200"/>
      <c r="CR403" s="200"/>
      <c r="CS403" s="200"/>
      <c r="CT403" s="200"/>
      <c r="CU403" s="200"/>
    </row>
    <row r="404" spans="1:99" s="17" customFormat="1" x14ac:dyDescent="0.2">
      <c r="A404" s="25"/>
      <c r="B404" s="20">
        <v>39061021201</v>
      </c>
      <c r="C404" s="20">
        <v>212.01</v>
      </c>
      <c r="D404" s="20" t="s">
        <v>37</v>
      </c>
      <c r="E404" s="20" t="s">
        <v>2828</v>
      </c>
      <c r="F404" s="20" t="s">
        <v>8</v>
      </c>
      <c r="G404" s="861">
        <v>66.672865518668303</v>
      </c>
      <c r="H404" s="861">
        <v>63.767726803196503</v>
      </c>
      <c r="I404" s="861">
        <v>17.3736499967378</v>
      </c>
      <c r="J404" s="861">
        <v>50.442863537496997</v>
      </c>
      <c r="K404" s="982">
        <v>0</v>
      </c>
      <c r="L404" s="735">
        <v>1999</v>
      </c>
      <c r="M404" s="735">
        <v>2114</v>
      </c>
      <c r="N404" s="845">
        <f t="shared" si="43"/>
        <v>5.7528764382191094E-2</v>
      </c>
      <c r="O404" s="735">
        <v>1.4868809571484867</v>
      </c>
      <c r="P404" s="735">
        <f t="shared" si="44"/>
        <v>1421.7681582621051</v>
      </c>
      <c r="Q404" s="849">
        <v>46.4</v>
      </c>
      <c r="R404" s="71">
        <v>133750</v>
      </c>
      <c r="S404" s="845">
        <v>2.34337637494022E-2</v>
      </c>
      <c r="T404" s="845">
        <v>2.4E-2</v>
      </c>
      <c r="U404" s="845">
        <v>0</v>
      </c>
      <c r="V404" s="845">
        <v>0</v>
      </c>
      <c r="W404" s="845">
        <v>3.7313432835820895E-3</v>
      </c>
      <c r="X404" s="845">
        <v>0</v>
      </c>
      <c r="Y404" s="845">
        <v>0.93188268684957432</v>
      </c>
      <c r="Z404" s="845">
        <v>6.1494796594134347E-3</v>
      </c>
      <c r="AA404" s="845">
        <v>4.7303689687795648E-4</v>
      </c>
      <c r="AB404" s="845">
        <v>0</v>
      </c>
      <c r="AC404" s="845">
        <v>0</v>
      </c>
      <c r="AD404" s="845">
        <v>1.7975402081362345E-2</v>
      </c>
      <c r="AE404" s="845">
        <v>4.3519394512771994E-2</v>
      </c>
      <c r="AF404" s="845">
        <v>2.3178807947019868E-2</v>
      </c>
      <c r="AG404" s="845">
        <v>0.92999053926206243</v>
      </c>
      <c r="AH404" s="20" t="str">
        <f t="shared" si="45"/>
        <v>Yes</v>
      </c>
      <c r="AI404" s="25"/>
      <c r="AJ404" s="37">
        <v>44035</v>
      </c>
      <c r="AK404" s="37" t="s">
        <v>1162</v>
      </c>
      <c r="AL404" s="37">
        <v>39093</v>
      </c>
      <c r="AM404" s="37" t="s">
        <v>52</v>
      </c>
      <c r="AN404" s="37">
        <f t="shared" si="46"/>
        <v>17410</v>
      </c>
      <c r="AO404" s="37" t="str">
        <f t="shared" si="47"/>
        <v>Cleveland, OH</v>
      </c>
      <c r="AP404" s="20" t="s">
        <v>8</v>
      </c>
      <c r="AQ404" s="25"/>
      <c r="AR404" s="25"/>
      <c r="AS404" s="25"/>
      <c r="AT404" s="25"/>
      <c r="AU404" s="36"/>
      <c r="AV404" s="36"/>
      <c r="AW404" s="36"/>
      <c r="AX404" s="25"/>
      <c r="AY404" s="25"/>
      <c r="AZ404" s="25"/>
      <c r="BA404" s="25"/>
      <c r="BB404" s="25"/>
      <c r="BC404" s="25"/>
      <c r="BD404" s="25"/>
      <c r="BE404" s="25"/>
      <c r="BF404" s="25"/>
      <c r="BG404" s="25"/>
      <c r="BH404" s="25"/>
      <c r="BI404" s="25"/>
      <c r="BJ404" s="25"/>
      <c r="BK404" s="25"/>
      <c r="BL404" s="25"/>
      <c r="BM404" s="25"/>
      <c r="BN404" s="25"/>
      <c r="BO404" s="25"/>
      <c r="BP404" s="25"/>
      <c r="BQ404" s="25"/>
      <c r="BR404" s="25"/>
      <c r="BS404" s="25"/>
      <c r="BT404" s="25"/>
      <c r="BU404" s="39">
        <v>44215</v>
      </c>
      <c r="BV404" s="39" t="s">
        <v>1257</v>
      </c>
      <c r="BW404" s="39" t="s">
        <v>2900</v>
      </c>
      <c r="BX404" s="39" t="s">
        <v>2852</v>
      </c>
      <c r="BY404" s="71">
        <v>990</v>
      </c>
      <c r="BZ404" s="71">
        <v>1120</v>
      </c>
      <c r="CA404" s="71">
        <v>1350</v>
      </c>
      <c r="CB404" s="71">
        <v>1740</v>
      </c>
      <c r="CC404" s="71">
        <v>1860</v>
      </c>
      <c r="CD404" s="25"/>
      <c r="CE404" s="200"/>
      <c r="CF404" s="200"/>
      <c r="CG404" s="200"/>
      <c r="CH404" s="200"/>
      <c r="CI404" s="200"/>
      <c r="CJ404" s="200"/>
      <c r="CK404" s="200"/>
      <c r="CL404" s="200"/>
      <c r="CM404" s="200"/>
      <c r="CN404" s="200"/>
      <c r="CO404" s="200"/>
      <c r="CP404" s="200"/>
      <c r="CQ404" s="200"/>
      <c r="CR404" s="200"/>
      <c r="CS404" s="200"/>
      <c r="CT404" s="200"/>
      <c r="CU404" s="200"/>
    </row>
    <row r="405" spans="1:99" s="17" customFormat="1" x14ac:dyDescent="0.2">
      <c r="A405" s="25"/>
      <c r="B405" s="20">
        <v>39113020500</v>
      </c>
      <c r="C405" s="20">
        <v>205</v>
      </c>
      <c r="D405" s="20" t="s">
        <v>62</v>
      </c>
      <c r="E405" s="20" t="s">
        <v>2833</v>
      </c>
      <c r="F405" s="20" t="s">
        <v>6</v>
      </c>
      <c r="G405" s="861">
        <v>66.613167102334401</v>
      </c>
      <c r="H405" s="861">
        <v>60.329384560448197</v>
      </c>
      <c r="I405" s="861">
        <v>46.138976240082798</v>
      </c>
      <c r="J405" s="861">
        <v>55.8097999038241</v>
      </c>
      <c r="K405" s="982">
        <v>0</v>
      </c>
      <c r="L405" s="735">
        <v>1460</v>
      </c>
      <c r="M405" s="735">
        <v>1477</v>
      </c>
      <c r="N405" s="845">
        <f t="shared" si="43"/>
        <v>1.1643835616438357E-2</v>
      </c>
      <c r="O405" s="735">
        <v>0.31039601954002793</v>
      </c>
      <c r="P405" s="735">
        <f t="shared" si="44"/>
        <v>4758.4373091792486</v>
      </c>
      <c r="Q405" s="849">
        <v>48.2</v>
      </c>
      <c r="R405" s="71">
        <v>41164</v>
      </c>
      <c r="S405" s="845">
        <v>0.1002031144211239</v>
      </c>
      <c r="T405" s="845">
        <v>5.0000000000000001E-3</v>
      </c>
      <c r="U405" s="845">
        <v>0</v>
      </c>
      <c r="V405" s="845">
        <v>0</v>
      </c>
      <c r="W405" s="845">
        <v>0.8120728929384966</v>
      </c>
      <c r="X405" s="845">
        <v>0.46423562412342217</v>
      </c>
      <c r="Y405" s="845">
        <v>0.79485443466486116</v>
      </c>
      <c r="Z405" s="845">
        <v>7.582938388625593E-2</v>
      </c>
      <c r="AA405" s="845">
        <v>0</v>
      </c>
      <c r="AB405" s="845">
        <v>4.6039268788083954E-2</v>
      </c>
      <c r="AC405" s="845">
        <v>0</v>
      </c>
      <c r="AD405" s="845">
        <v>1.8957345971563982E-2</v>
      </c>
      <c r="AE405" s="845">
        <v>6.4319566689234942E-2</v>
      </c>
      <c r="AF405" s="845">
        <v>1.0155721056194989E-2</v>
      </c>
      <c r="AG405" s="845">
        <v>0.79146919431279616</v>
      </c>
      <c r="AH405" s="20" t="str">
        <f t="shared" si="45"/>
        <v>No</v>
      </c>
      <c r="AI405" s="25"/>
      <c r="AJ405" s="20">
        <v>44039</v>
      </c>
      <c r="AK405" s="20" t="s">
        <v>1163</v>
      </c>
      <c r="AL405" s="20">
        <v>39093</v>
      </c>
      <c r="AM405" s="20" t="s">
        <v>52</v>
      </c>
      <c r="AN405" s="37">
        <f t="shared" si="46"/>
        <v>17410</v>
      </c>
      <c r="AO405" s="37" t="str">
        <f t="shared" si="47"/>
        <v>Cleveland, OH</v>
      </c>
      <c r="AP405" s="20" t="s">
        <v>8</v>
      </c>
      <c r="AQ405" s="25"/>
      <c r="AR405" s="25"/>
      <c r="AS405" s="25"/>
      <c r="AT405" s="25"/>
      <c r="AU405" s="36"/>
      <c r="AV405" s="36"/>
      <c r="AW405" s="36"/>
      <c r="AX405" s="25"/>
      <c r="AY405" s="25"/>
      <c r="AZ405" s="25"/>
      <c r="BA405" s="25"/>
      <c r="BB405" s="25"/>
      <c r="BC405" s="25"/>
      <c r="BD405" s="25"/>
      <c r="BE405" s="25"/>
      <c r="BF405" s="25"/>
      <c r="BG405" s="25"/>
      <c r="BH405" s="25"/>
      <c r="BI405" s="25"/>
      <c r="BJ405" s="25"/>
      <c r="BK405" s="25"/>
      <c r="BL405" s="25"/>
      <c r="BM405" s="25"/>
      <c r="BN405" s="25"/>
      <c r="BO405" s="25"/>
      <c r="BP405" s="25"/>
      <c r="BQ405" s="25"/>
      <c r="BR405" s="25"/>
      <c r="BS405" s="25"/>
      <c r="BT405" s="25"/>
      <c r="BU405" s="39">
        <v>44217</v>
      </c>
      <c r="BV405" s="39" t="s">
        <v>1259</v>
      </c>
      <c r="BW405" s="39" t="s">
        <v>2900</v>
      </c>
      <c r="BX405" s="39" t="s">
        <v>2852</v>
      </c>
      <c r="BY405" s="71">
        <v>710</v>
      </c>
      <c r="BZ405" s="71">
        <v>810</v>
      </c>
      <c r="CA405" s="71">
        <v>1020</v>
      </c>
      <c r="CB405" s="71">
        <v>1250</v>
      </c>
      <c r="CC405" s="71">
        <v>1460</v>
      </c>
      <c r="CD405" s="25"/>
      <c r="CE405" s="200"/>
      <c r="CF405" s="200"/>
      <c r="CG405" s="200"/>
      <c r="CH405" s="200"/>
      <c r="CI405" s="200"/>
      <c r="CJ405" s="200"/>
      <c r="CK405" s="200"/>
      <c r="CL405" s="200"/>
      <c r="CM405" s="200"/>
      <c r="CN405" s="200"/>
      <c r="CO405" s="200"/>
      <c r="CP405" s="200"/>
      <c r="CQ405" s="200"/>
      <c r="CR405" s="200"/>
      <c r="CS405" s="200"/>
      <c r="CT405" s="200"/>
      <c r="CU405" s="200"/>
    </row>
    <row r="406" spans="1:99" s="17" customFormat="1" x14ac:dyDescent="0.2">
      <c r="A406" s="25"/>
      <c r="B406" s="20">
        <v>39049009385</v>
      </c>
      <c r="C406" s="20">
        <v>93.85</v>
      </c>
      <c r="D406" s="20" t="s">
        <v>31</v>
      </c>
      <c r="E406" s="20" t="s">
        <v>2830</v>
      </c>
      <c r="F406" s="20" t="s">
        <v>8</v>
      </c>
      <c r="G406" s="861">
        <v>66.585577092309805</v>
      </c>
      <c r="H406" s="861">
        <v>63.252885124075199</v>
      </c>
      <c r="I406" s="861">
        <v>34.585984760867099</v>
      </c>
      <c r="J406" s="861">
        <v>43.619533237903397</v>
      </c>
      <c r="K406" s="982">
        <v>0</v>
      </c>
      <c r="L406" s="735">
        <v>3455</v>
      </c>
      <c r="M406" s="735">
        <v>3810</v>
      </c>
      <c r="N406" s="845">
        <f t="shared" si="43"/>
        <v>0.10274963820549927</v>
      </c>
      <c r="O406" s="735">
        <v>1.061890203040353</v>
      </c>
      <c r="P406" s="735">
        <f t="shared" si="44"/>
        <v>3587.9415678677428</v>
      </c>
      <c r="Q406" s="849">
        <v>45</v>
      </c>
      <c r="R406" s="71">
        <v>80000</v>
      </c>
      <c r="S406" s="845">
        <v>7.3435843054082711E-2</v>
      </c>
      <c r="T406" s="845">
        <v>1.3000000000000001E-2</v>
      </c>
      <c r="U406" s="845">
        <v>4.8000000000000001E-2</v>
      </c>
      <c r="V406" s="845">
        <v>0.06</v>
      </c>
      <c r="W406" s="845">
        <v>0.37415349887133181</v>
      </c>
      <c r="X406" s="845">
        <v>0.44645550527903471</v>
      </c>
      <c r="Y406" s="845">
        <v>0.58871391076115487</v>
      </c>
      <c r="Z406" s="845">
        <v>0.29737532808398948</v>
      </c>
      <c r="AA406" s="845">
        <v>0</v>
      </c>
      <c r="AB406" s="845">
        <v>3.6482939632545931E-2</v>
      </c>
      <c r="AC406" s="845">
        <v>0</v>
      </c>
      <c r="AD406" s="845">
        <v>1.2598425196850394E-2</v>
      </c>
      <c r="AE406" s="845">
        <v>6.4829396325459324E-2</v>
      </c>
      <c r="AF406" s="845">
        <v>1.3123359580052493E-2</v>
      </c>
      <c r="AG406" s="845">
        <v>0.5795275590551181</v>
      </c>
      <c r="AH406" s="20" t="str">
        <f t="shared" si="45"/>
        <v>No</v>
      </c>
      <c r="AI406" s="25"/>
      <c r="AJ406" s="37">
        <v>44044</v>
      </c>
      <c r="AK406" s="37" t="s">
        <v>1166</v>
      </c>
      <c r="AL406" s="37">
        <v>39093</v>
      </c>
      <c r="AM406" s="37" t="s">
        <v>52</v>
      </c>
      <c r="AN406" s="37">
        <f t="shared" si="46"/>
        <v>17410</v>
      </c>
      <c r="AO406" s="37" t="str">
        <f t="shared" si="47"/>
        <v>Cleveland, OH</v>
      </c>
      <c r="AP406" s="20" t="s">
        <v>8</v>
      </c>
      <c r="AQ406" s="25"/>
      <c r="AR406" s="25"/>
      <c r="AS406" s="25"/>
      <c r="AT406" s="25"/>
      <c r="AU406" s="36"/>
      <c r="AV406" s="36"/>
      <c r="AW406" s="36"/>
      <c r="AX406" s="25"/>
      <c r="AY406" s="25"/>
      <c r="AZ406" s="25"/>
      <c r="BA406" s="25"/>
      <c r="BB406" s="25"/>
      <c r="BC406" s="25"/>
      <c r="BD406" s="25"/>
      <c r="BE406" s="25"/>
      <c r="BF406" s="25"/>
      <c r="BG406" s="25"/>
      <c r="BH406" s="25"/>
      <c r="BI406" s="25"/>
      <c r="BJ406" s="25"/>
      <c r="BK406" s="25"/>
      <c r="BL406" s="25"/>
      <c r="BM406" s="25"/>
      <c r="BN406" s="25"/>
      <c r="BO406" s="25"/>
      <c r="BP406" s="25"/>
      <c r="BQ406" s="25"/>
      <c r="BR406" s="25"/>
      <c r="BS406" s="25"/>
      <c r="BT406" s="25"/>
      <c r="BU406" s="39">
        <v>44233</v>
      </c>
      <c r="BV406" s="39" t="s">
        <v>1266</v>
      </c>
      <c r="BW406" s="39" t="s">
        <v>2900</v>
      </c>
      <c r="BX406" s="39" t="s">
        <v>2852</v>
      </c>
      <c r="BY406" s="71">
        <v>850</v>
      </c>
      <c r="BZ406" s="71">
        <v>970</v>
      </c>
      <c r="CA406" s="71">
        <v>1170</v>
      </c>
      <c r="CB406" s="71">
        <v>1510</v>
      </c>
      <c r="CC406" s="71">
        <v>1610</v>
      </c>
      <c r="CD406" s="25"/>
      <c r="CE406" s="200"/>
      <c r="CF406" s="200"/>
      <c r="CG406" s="200"/>
      <c r="CH406" s="200"/>
      <c r="CI406" s="200"/>
      <c r="CJ406" s="200"/>
      <c r="CK406" s="200"/>
      <c r="CL406" s="200"/>
      <c r="CM406" s="200"/>
      <c r="CN406" s="200"/>
      <c r="CO406" s="200"/>
      <c r="CP406" s="200"/>
      <c r="CQ406" s="200"/>
      <c r="CR406" s="200"/>
      <c r="CS406" s="200"/>
      <c r="CT406" s="200"/>
      <c r="CU406" s="200"/>
    </row>
    <row r="407" spans="1:99" s="17" customFormat="1" x14ac:dyDescent="0.2">
      <c r="A407" s="25"/>
      <c r="B407" s="20">
        <v>39035130105</v>
      </c>
      <c r="C407" s="20">
        <v>1301.05</v>
      </c>
      <c r="D407" s="20" t="s">
        <v>24</v>
      </c>
      <c r="E407" s="20" t="s">
        <v>2829</v>
      </c>
      <c r="F407" s="20" t="s">
        <v>8</v>
      </c>
      <c r="G407" s="861">
        <v>66.577977374687407</v>
      </c>
      <c r="H407" s="861">
        <v>59.796244402587703</v>
      </c>
      <c r="I407" s="861">
        <v>31.5655904069869</v>
      </c>
      <c r="J407" s="861">
        <v>43.553509655552404</v>
      </c>
      <c r="K407" s="982">
        <v>0</v>
      </c>
      <c r="L407" s="735">
        <v>3355</v>
      </c>
      <c r="M407" s="735">
        <v>3680</v>
      </c>
      <c r="N407" s="845">
        <f t="shared" si="43"/>
        <v>9.6870342771982115E-2</v>
      </c>
      <c r="O407" s="735">
        <v>0.64855548699796928</v>
      </c>
      <c r="P407" s="735">
        <f t="shared" si="44"/>
        <v>5674.1482784055497</v>
      </c>
      <c r="Q407" s="849">
        <v>39.700000000000003</v>
      </c>
      <c r="R407" s="71">
        <v>97007</v>
      </c>
      <c r="S407" s="845">
        <v>9.2391304347826081E-2</v>
      </c>
      <c r="T407" s="845">
        <v>8.0000000000000002E-3</v>
      </c>
      <c r="U407" s="845">
        <v>0</v>
      </c>
      <c r="V407" s="845">
        <v>0</v>
      </c>
      <c r="W407" s="845">
        <v>0.21103896103896103</v>
      </c>
      <c r="X407" s="845">
        <v>0.25230769230769229</v>
      </c>
      <c r="Y407" s="845">
        <v>0.91684782608695647</v>
      </c>
      <c r="Z407" s="845">
        <v>3.2608695652173911E-3</v>
      </c>
      <c r="AA407" s="845">
        <v>0</v>
      </c>
      <c r="AB407" s="845">
        <v>3.5326086956521739E-3</v>
      </c>
      <c r="AC407" s="845">
        <v>0</v>
      </c>
      <c r="AD407" s="845">
        <v>4.6467391304347828E-2</v>
      </c>
      <c r="AE407" s="845">
        <v>2.9891304347826088E-2</v>
      </c>
      <c r="AF407" s="845">
        <v>4.3478260869565218E-3</v>
      </c>
      <c r="AG407" s="845">
        <v>0.91684782608695647</v>
      </c>
      <c r="AH407" s="20" t="str">
        <f t="shared" si="45"/>
        <v>Yes</v>
      </c>
      <c r="AI407" s="25"/>
      <c r="AJ407" s="37">
        <v>44049</v>
      </c>
      <c r="AK407" s="37" t="s">
        <v>1171</v>
      </c>
      <c r="AL407" s="37">
        <v>39093</v>
      </c>
      <c r="AM407" s="37" t="s">
        <v>52</v>
      </c>
      <c r="AN407" s="37">
        <f t="shared" si="46"/>
        <v>17410</v>
      </c>
      <c r="AO407" s="37" t="str">
        <f t="shared" si="47"/>
        <v>Cleveland, OH</v>
      </c>
      <c r="AP407" s="20" t="s">
        <v>8</v>
      </c>
      <c r="AQ407" s="25"/>
      <c r="AR407" s="25"/>
      <c r="AS407" s="25"/>
      <c r="AT407" s="25"/>
      <c r="AU407" s="36"/>
      <c r="AV407" s="36"/>
      <c r="AW407" s="36"/>
      <c r="AX407" s="25"/>
      <c r="AY407" s="25"/>
      <c r="AZ407" s="25"/>
      <c r="BA407" s="25"/>
      <c r="BB407" s="25"/>
      <c r="BC407" s="25"/>
      <c r="BD407" s="25"/>
      <c r="BE407" s="25"/>
      <c r="BF407" s="25"/>
      <c r="BG407" s="25"/>
      <c r="BH407" s="25"/>
      <c r="BI407" s="25"/>
      <c r="BJ407" s="25"/>
      <c r="BK407" s="25"/>
      <c r="BL407" s="25"/>
      <c r="BM407" s="25"/>
      <c r="BN407" s="25"/>
      <c r="BO407" s="25"/>
      <c r="BP407" s="25"/>
      <c r="BQ407" s="25"/>
      <c r="BR407" s="25"/>
      <c r="BS407" s="25"/>
      <c r="BT407" s="25"/>
      <c r="BU407" s="39">
        <v>44235</v>
      </c>
      <c r="BV407" s="39" t="s">
        <v>1268</v>
      </c>
      <c r="BW407" s="39" t="s">
        <v>2900</v>
      </c>
      <c r="BX407" s="39" t="s">
        <v>2852</v>
      </c>
      <c r="BY407" s="71">
        <v>820</v>
      </c>
      <c r="BZ407" s="71">
        <v>930</v>
      </c>
      <c r="CA407" s="71">
        <v>1150</v>
      </c>
      <c r="CB407" s="71">
        <v>1460</v>
      </c>
      <c r="CC407" s="71">
        <v>1620</v>
      </c>
      <c r="CD407" s="25"/>
      <c r="CE407" s="200"/>
      <c r="CF407" s="200"/>
      <c r="CG407" s="200"/>
      <c r="CH407" s="200"/>
      <c r="CI407" s="200"/>
      <c r="CJ407" s="200"/>
      <c r="CK407" s="200"/>
      <c r="CL407" s="200"/>
      <c r="CM407" s="200"/>
      <c r="CN407" s="200"/>
      <c r="CO407" s="200"/>
      <c r="CP407" s="200"/>
      <c r="CQ407" s="200"/>
      <c r="CR407" s="200"/>
      <c r="CS407" s="200"/>
      <c r="CT407" s="200"/>
      <c r="CU407" s="200"/>
    </row>
    <row r="408" spans="1:99" s="17" customFormat="1" x14ac:dyDescent="0.2">
      <c r="A408" s="25"/>
      <c r="B408" s="20">
        <v>39049002780</v>
      </c>
      <c r="C408" s="20">
        <v>27.8</v>
      </c>
      <c r="D408" s="20" t="s">
        <v>31</v>
      </c>
      <c r="E408" s="20" t="s">
        <v>2830</v>
      </c>
      <c r="F408" s="20" t="s">
        <v>8</v>
      </c>
      <c r="G408" s="861">
        <v>66.571469653096102</v>
      </c>
      <c r="H408" s="861">
        <v>65.948205577933606</v>
      </c>
      <c r="I408" s="861">
        <v>35.003644621527101</v>
      </c>
      <c r="J408" s="861">
        <v>42.908533206554601</v>
      </c>
      <c r="K408" s="982">
        <v>0</v>
      </c>
      <c r="L408" s="735">
        <v>2359</v>
      </c>
      <c r="M408" s="735">
        <v>2483</v>
      </c>
      <c r="N408" s="845">
        <f t="shared" si="43"/>
        <v>5.2564646036456122E-2</v>
      </c>
      <c r="O408" s="735">
        <v>0.66750383653305656</v>
      </c>
      <c r="P408" s="735">
        <f t="shared" si="44"/>
        <v>3719.8288071218226</v>
      </c>
      <c r="Q408" s="849">
        <v>55</v>
      </c>
      <c r="R408" s="71">
        <v>82963</v>
      </c>
      <c r="S408" s="845">
        <v>8.3440860215053758E-2</v>
      </c>
      <c r="T408" s="845">
        <v>0</v>
      </c>
      <c r="U408" s="845">
        <v>0</v>
      </c>
      <c r="V408" s="845">
        <v>0</v>
      </c>
      <c r="W408" s="845">
        <v>0.34402079722703638</v>
      </c>
      <c r="X408" s="845">
        <v>0.48614609571788414</v>
      </c>
      <c r="Y408" s="845">
        <v>0.68868304470398711</v>
      </c>
      <c r="Z408" s="845">
        <v>0.26258558195730969</v>
      </c>
      <c r="AA408" s="845">
        <v>2.0136931131695531E-3</v>
      </c>
      <c r="AB408" s="845">
        <v>8.8602496979460332E-3</v>
      </c>
      <c r="AC408" s="845">
        <v>0</v>
      </c>
      <c r="AD408" s="845">
        <v>0</v>
      </c>
      <c r="AE408" s="845">
        <v>3.7857430527587596E-2</v>
      </c>
      <c r="AF408" s="845">
        <v>1.2082158679017317E-3</v>
      </c>
      <c r="AG408" s="845">
        <v>0.68868304470398711</v>
      </c>
      <c r="AH408" s="20" t="str">
        <f t="shared" si="45"/>
        <v>No</v>
      </c>
      <c r="AI408" s="25"/>
      <c r="AJ408" s="37">
        <v>44050</v>
      </c>
      <c r="AK408" s="37" t="s">
        <v>1172</v>
      </c>
      <c r="AL408" s="37">
        <v>39093</v>
      </c>
      <c r="AM408" s="37" t="s">
        <v>52</v>
      </c>
      <c r="AN408" s="37">
        <f t="shared" si="46"/>
        <v>17410</v>
      </c>
      <c r="AO408" s="37" t="str">
        <f t="shared" si="47"/>
        <v>Cleveland, OH</v>
      </c>
      <c r="AP408" s="20" t="s">
        <v>8</v>
      </c>
      <c r="AQ408" s="25"/>
      <c r="AR408" s="25"/>
      <c r="AS408" s="25"/>
      <c r="AT408" s="25"/>
      <c r="AU408" s="36"/>
      <c r="AV408" s="36"/>
      <c r="AW408" s="36"/>
      <c r="AX408" s="25"/>
      <c r="AY408" s="25"/>
      <c r="AZ408" s="25"/>
      <c r="BA408" s="25"/>
      <c r="BB408" s="25"/>
      <c r="BC408" s="25"/>
      <c r="BD408" s="25"/>
      <c r="BE408" s="25"/>
      <c r="BF408" s="25"/>
      <c r="BG408" s="25"/>
      <c r="BH408" s="25"/>
      <c r="BI408" s="25"/>
      <c r="BJ408" s="25"/>
      <c r="BK408" s="25"/>
      <c r="BL408" s="25"/>
      <c r="BM408" s="25"/>
      <c r="BN408" s="25"/>
      <c r="BO408" s="25"/>
      <c r="BP408" s="25"/>
      <c r="BQ408" s="25"/>
      <c r="BR408" s="25"/>
      <c r="BS408" s="25"/>
      <c r="BT408" s="25"/>
      <c r="BU408" s="39">
        <v>44251</v>
      </c>
      <c r="BV408" s="39" t="s">
        <v>1274</v>
      </c>
      <c r="BW408" s="39" t="s">
        <v>2900</v>
      </c>
      <c r="BX408" s="39" t="s">
        <v>2852</v>
      </c>
      <c r="BY408" s="71">
        <v>1400</v>
      </c>
      <c r="BZ408" s="71">
        <v>1590</v>
      </c>
      <c r="CA408" s="71">
        <v>1920</v>
      </c>
      <c r="CB408" s="71">
        <v>2470</v>
      </c>
      <c r="CC408" s="71">
        <v>2640</v>
      </c>
      <c r="CD408" s="25"/>
      <c r="CE408" s="200"/>
      <c r="CF408" s="200"/>
      <c r="CG408" s="200"/>
      <c r="CH408" s="200"/>
      <c r="CI408" s="200"/>
      <c r="CJ408" s="200"/>
      <c r="CK408" s="200"/>
      <c r="CL408" s="200"/>
      <c r="CM408" s="200"/>
      <c r="CN408" s="200"/>
      <c r="CO408" s="200"/>
      <c r="CP408" s="200"/>
      <c r="CQ408" s="200"/>
      <c r="CR408" s="200"/>
      <c r="CS408" s="200"/>
      <c r="CT408" s="200"/>
      <c r="CU408" s="200"/>
    </row>
    <row r="409" spans="1:99" s="17" customFormat="1" x14ac:dyDescent="0.2">
      <c r="A409" s="25"/>
      <c r="B409" s="20">
        <v>39055311600</v>
      </c>
      <c r="C409" s="20">
        <v>3116</v>
      </c>
      <c r="D409" s="20" t="s">
        <v>34</v>
      </c>
      <c r="E409" s="20" t="s">
        <v>2829</v>
      </c>
      <c r="F409" s="20" t="s">
        <v>8</v>
      </c>
      <c r="G409" s="861">
        <v>66.539198822965204</v>
      </c>
      <c r="H409" s="861">
        <v>59.017172751809603</v>
      </c>
      <c r="I409" s="861">
        <v>21.5063918823279</v>
      </c>
      <c r="J409" s="861">
        <v>53.1989311147072</v>
      </c>
      <c r="K409" s="982">
        <v>0</v>
      </c>
      <c r="L409" s="735">
        <v>3840</v>
      </c>
      <c r="M409" s="735">
        <v>3972</v>
      </c>
      <c r="N409" s="845">
        <f t="shared" si="43"/>
        <v>3.4375000000000003E-2</v>
      </c>
      <c r="O409" s="735">
        <v>3.8064560844644189</v>
      </c>
      <c r="P409" s="735">
        <f t="shared" si="44"/>
        <v>1043.4902996020967</v>
      </c>
      <c r="Q409" s="849">
        <v>45.7</v>
      </c>
      <c r="R409" s="71">
        <v>166481</v>
      </c>
      <c r="S409" s="845">
        <v>4.2296072507552872E-2</v>
      </c>
      <c r="T409" s="845">
        <v>2.8999999999999998E-2</v>
      </c>
      <c r="U409" s="845">
        <v>6.0000000000000001E-3</v>
      </c>
      <c r="V409" s="845">
        <v>0</v>
      </c>
      <c r="W409" s="845">
        <v>1.5873015873015872E-2</v>
      </c>
      <c r="X409" s="845">
        <v>0.27272727272727271</v>
      </c>
      <c r="Y409" s="845">
        <v>0.96399798590130914</v>
      </c>
      <c r="Z409" s="845">
        <v>0</v>
      </c>
      <c r="AA409" s="845">
        <v>0</v>
      </c>
      <c r="AB409" s="845">
        <v>6.0422960725075529E-3</v>
      </c>
      <c r="AC409" s="845">
        <v>0</v>
      </c>
      <c r="AD409" s="845">
        <v>7.5528700906344411E-4</v>
      </c>
      <c r="AE409" s="845">
        <v>2.920443101711984E-2</v>
      </c>
      <c r="AF409" s="845">
        <v>8.8116817724068486E-3</v>
      </c>
      <c r="AG409" s="845">
        <v>0.95820745216515613</v>
      </c>
      <c r="AH409" s="20" t="str">
        <f t="shared" si="45"/>
        <v>Yes</v>
      </c>
      <c r="AI409" s="25"/>
      <c r="AJ409" s="37">
        <v>44052</v>
      </c>
      <c r="AK409" s="37" t="s">
        <v>1173</v>
      </c>
      <c r="AL409" s="37">
        <v>39093</v>
      </c>
      <c r="AM409" s="37" t="s">
        <v>52</v>
      </c>
      <c r="AN409" s="37">
        <f t="shared" si="46"/>
        <v>17410</v>
      </c>
      <c r="AO409" s="37" t="str">
        <f t="shared" si="47"/>
        <v>Cleveland, OH</v>
      </c>
      <c r="AP409" s="20" t="s">
        <v>8</v>
      </c>
      <c r="AQ409" s="25"/>
      <c r="AR409" s="25"/>
      <c r="AS409" s="25"/>
      <c r="AT409" s="25"/>
      <c r="AU409" s="36"/>
      <c r="AV409" s="36"/>
      <c r="AW409" s="36"/>
      <c r="AX409" s="25"/>
      <c r="AY409" s="25"/>
      <c r="AZ409" s="25"/>
      <c r="BA409" s="25"/>
      <c r="BB409" s="25"/>
      <c r="BC409" s="25"/>
      <c r="BD409" s="25"/>
      <c r="BE409" s="25"/>
      <c r="BF409" s="25"/>
      <c r="BG409" s="25"/>
      <c r="BH409" s="25"/>
      <c r="BI409" s="25"/>
      <c r="BJ409" s="25"/>
      <c r="BK409" s="25"/>
      <c r="BL409" s="25"/>
      <c r="BM409" s="25"/>
      <c r="BN409" s="25"/>
      <c r="BO409" s="25"/>
      <c r="BP409" s="25"/>
      <c r="BQ409" s="25"/>
      <c r="BR409" s="25"/>
      <c r="BS409" s="25"/>
      <c r="BT409" s="25"/>
      <c r="BU409" s="39">
        <v>44253</v>
      </c>
      <c r="BV409" s="39" t="s">
        <v>1275</v>
      </c>
      <c r="BW409" s="39" t="s">
        <v>2900</v>
      </c>
      <c r="BX409" s="39" t="s">
        <v>2852</v>
      </c>
      <c r="BY409" s="71">
        <v>930</v>
      </c>
      <c r="BZ409" s="71">
        <v>1050</v>
      </c>
      <c r="CA409" s="71">
        <v>1270</v>
      </c>
      <c r="CB409" s="71">
        <v>1630</v>
      </c>
      <c r="CC409" s="71">
        <v>1740</v>
      </c>
      <c r="CD409" s="25"/>
      <c r="CE409" s="200"/>
      <c r="CF409" s="200"/>
      <c r="CG409" s="200"/>
      <c r="CH409" s="200"/>
      <c r="CI409" s="200"/>
      <c r="CJ409" s="200"/>
      <c r="CK409" s="200"/>
      <c r="CL409" s="200"/>
      <c r="CM409" s="200"/>
      <c r="CN409" s="200"/>
      <c r="CO409" s="200"/>
      <c r="CP409" s="200"/>
      <c r="CQ409" s="200"/>
      <c r="CR409" s="200"/>
      <c r="CS409" s="200"/>
      <c r="CT409" s="200"/>
      <c r="CU409" s="200"/>
    </row>
    <row r="410" spans="1:99" s="17" customFormat="1" x14ac:dyDescent="0.2">
      <c r="A410" s="25"/>
      <c r="B410" s="20">
        <v>39011040900</v>
      </c>
      <c r="C410" s="20">
        <v>409</v>
      </c>
      <c r="D410" s="20" t="s">
        <v>12</v>
      </c>
      <c r="E410" s="20" t="s">
        <v>265</v>
      </c>
      <c r="F410" s="20" t="s">
        <v>8</v>
      </c>
      <c r="G410" s="861">
        <v>66.483459095057896</v>
      </c>
      <c r="H410" s="861">
        <v>60.936218165457802</v>
      </c>
      <c r="I410" s="861">
        <v>21.918888020152799</v>
      </c>
      <c r="J410" s="861">
        <v>45.359452625147803</v>
      </c>
      <c r="K410" s="982">
        <v>0</v>
      </c>
      <c r="L410" s="735">
        <v>3747</v>
      </c>
      <c r="M410" s="735">
        <v>3708</v>
      </c>
      <c r="N410" s="845">
        <f t="shared" si="43"/>
        <v>-1.0408326661329063E-2</v>
      </c>
      <c r="O410" s="735">
        <v>18.454851516673568</v>
      </c>
      <c r="P410" s="735">
        <f t="shared" si="44"/>
        <v>200.92277614100013</v>
      </c>
      <c r="Q410" s="849">
        <v>38.6</v>
      </c>
      <c r="R410" s="71">
        <v>90299</v>
      </c>
      <c r="S410" s="845">
        <v>3.5059331175836032E-2</v>
      </c>
      <c r="T410" s="845">
        <v>0</v>
      </c>
      <c r="U410" s="845">
        <v>0</v>
      </c>
      <c r="V410" s="845">
        <v>0</v>
      </c>
      <c r="W410" s="845">
        <v>0.17935142289874256</v>
      </c>
      <c r="X410" s="845">
        <v>0.28782287822878228</v>
      </c>
      <c r="Y410" s="845">
        <v>0.96170442286947144</v>
      </c>
      <c r="Z410" s="845">
        <v>5.9331175836030208E-3</v>
      </c>
      <c r="AA410" s="845">
        <v>0</v>
      </c>
      <c r="AB410" s="845">
        <v>1.348435814455232E-2</v>
      </c>
      <c r="AC410" s="845">
        <v>0</v>
      </c>
      <c r="AD410" s="845">
        <v>6.4724919093851136E-3</v>
      </c>
      <c r="AE410" s="845">
        <v>1.2405609492988134E-2</v>
      </c>
      <c r="AF410" s="845">
        <v>6.4724919093851136E-3</v>
      </c>
      <c r="AG410" s="845">
        <v>0.96170442286947144</v>
      </c>
      <c r="AH410" s="20" t="str">
        <f t="shared" si="45"/>
        <v>Yes</v>
      </c>
      <c r="AI410" s="25"/>
      <c r="AJ410" s="37">
        <v>44053</v>
      </c>
      <c r="AK410" s="37" t="s">
        <v>1174</v>
      </c>
      <c r="AL410" s="37">
        <v>39093</v>
      </c>
      <c r="AM410" s="37" t="s">
        <v>52</v>
      </c>
      <c r="AN410" s="37">
        <f t="shared" si="46"/>
        <v>17410</v>
      </c>
      <c r="AO410" s="37" t="str">
        <f t="shared" si="47"/>
        <v>Cleveland, OH</v>
      </c>
      <c r="AP410" s="20" t="s">
        <v>8</v>
      </c>
      <c r="AQ410" s="25"/>
      <c r="AR410" s="25"/>
      <c r="AS410" s="25"/>
      <c r="AT410" s="25"/>
      <c r="AU410" s="36"/>
      <c r="AV410" s="36"/>
      <c r="AW410" s="36"/>
      <c r="AX410" s="25"/>
      <c r="AY410" s="25"/>
      <c r="AZ410" s="25"/>
      <c r="BA410" s="25"/>
      <c r="BB410" s="25"/>
      <c r="BC410" s="25"/>
      <c r="BD410" s="25"/>
      <c r="BE410" s="25"/>
      <c r="BF410" s="25"/>
      <c r="BG410" s="25"/>
      <c r="BH410" s="25"/>
      <c r="BI410" s="25"/>
      <c r="BJ410" s="25"/>
      <c r="BK410" s="25"/>
      <c r="BL410" s="25"/>
      <c r="BM410" s="25"/>
      <c r="BN410" s="25"/>
      <c r="BO410" s="25"/>
      <c r="BP410" s="25"/>
      <c r="BQ410" s="25"/>
      <c r="BR410" s="25"/>
      <c r="BS410" s="25"/>
      <c r="BT410" s="25"/>
      <c r="BU410" s="39">
        <v>44254</v>
      </c>
      <c r="BV410" s="39" t="s">
        <v>1276</v>
      </c>
      <c r="BW410" s="39" t="s">
        <v>2900</v>
      </c>
      <c r="BX410" s="39" t="s">
        <v>2852</v>
      </c>
      <c r="BY410" s="71">
        <v>800</v>
      </c>
      <c r="BZ410" s="71">
        <v>900</v>
      </c>
      <c r="CA410" s="71">
        <v>1090</v>
      </c>
      <c r="CB410" s="71">
        <v>1400</v>
      </c>
      <c r="CC410" s="71">
        <v>1500</v>
      </c>
      <c r="CD410" s="25"/>
      <c r="CE410" s="200"/>
      <c r="CF410" s="200"/>
      <c r="CG410" s="200"/>
      <c r="CH410" s="200"/>
      <c r="CI410" s="200"/>
      <c r="CJ410" s="200"/>
      <c r="CK410" s="200"/>
      <c r="CL410" s="200"/>
      <c r="CM410" s="200"/>
      <c r="CN410" s="200"/>
      <c r="CO410" s="200"/>
      <c r="CP410" s="200"/>
      <c r="CQ410" s="200"/>
      <c r="CR410" s="200"/>
      <c r="CS410" s="200"/>
      <c r="CT410" s="200"/>
      <c r="CU410" s="200"/>
    </row>
    <row r="411" spans="1:99" s="17" customFormat="1" x14ac:dyDescent="0.2">
      <c r="A411" s="25"/>
      <c r="B411" s="20">
        <v>39041011760</v>
      </c>
      <c r="C411" s="20">
        <v>117.6</v>
      </c>
      <c r="D411" s="20" t="s">
        <v>27</v>
      </c>
      <c r="E411" s="20" t="s">
        <v>2830</v>
      </c>
      <c r="F411" s="20" t="s">
        <v>8</v>
      </c>
      <c r="G411" s="861">
        <v>66.390279594102495</v>
      </c>
      <c r="H411" s="861">
        <v>64.610508757122304</v>
      </c>
      <c r="I411" s="861">
        <v>21.340587995755701</v>
      </c>
      <c r="J411" s="861">
        <v>54.396890723956602</v>
      </c>
      <c r="K411" s="982">
        <v>0</v>
      </c>
      <c r="L411" s="735">
        <v>4526</v>
      </c>
      <c r="M411" s="735">
        <v>5235</v>
      </c>
      <c r="N411" s="845">
        <f t="shared" si="43"/>
        <v>0.15665046398585947</v>
      </c>
      <c r="O411" s="735">
        <v>27.702079296418084</v>
      </c>
      <c r="P411" s="735">
        <f t="shared" si="44"/>
        <v>188.97498429574173</v>
      </c>
      <c r="Q411" s="849">
        <v>41.6</v>
      </c>
      <c r="R411" s="71">
        <v>128011</v>
      </c>
      <c r="S411" s="845">
        <v>7.5071633237822344E-2</v>
      </c>
      <c r="T411" s="845">
        <v>0.03</v>
      </c>
      <c r="U411" s="845">
        <v>0</v>
      </c>
      <c r="V411" s="845">
        <v>0</v>
      </c>
      <c r="W411" s="845">
        <v>0.12474541751527495</v>
      </c>
      <c r="X411" s="845">
        <v>0.12653061224489795</v>
      </c>
      <c r="Y411" s="845">
        <v>0.91938872970391594</v>
      </c>
      <c r="Z411" s="845">
        <v>7.2588347659980901E-3</v>
      </c>
      <c r="AA411" s="845">
        <v>2.1012416427889208E-3</v>
      </c>
      <c r="AB411" s="845">
        <v>5.1575931232091688E-3</v>
      </c>
      <c r="AC411" s="845">
        <v>0</v>
      </c>
      <c r="AD411" s="845">
        <v>5.5396370582617002E-3</v>
      </c>
      <c r="AE411" s="845">
        <v>6.0553963705826171E-2</v>
      </c>
      <c r="AF411" s="845">
        <v>3.87774594078319E-2</v>
      </c>
      <c r="AG411" s="845">
        <v>0.90238777459407837</v>
      </c>
      <c r="AH411" s="20" t="str">
        <f t="shared" si="45"/>
        <v>Yes</v>
      </c>
      <c r="AI411" s="25"/>
      <c r="AJ411" s="37">
        <v>44054</v>
      </c>
      <c r="AK411" s="37" t="s">
        <v>1175</v>
      </c>
      <c r="AL411" s="37">
        <v>39093</v>
      </c>
      <c r="AM411" s="37" t="s">
        <v>52</v>
      </c>
      <c r="AN411" s="37">
        <f t="shared" si="46"/>
        <v>17410</v>
      </c>
      <c r="AO411" s="37" t="str">
        <f t="shared" si="47"/>
        <v>Cleveland, OH</v>
      </c>
      <c r="AP411" s="20" t="s">
        <v>8</v>
      </c>
      <c r="AQ411" s="25"/>
      <c r="AR411" s="25"/>
      <c r="AS411" s="25"/>
      <c r="AT411" s="25"/>
      <c r="AU411" s="36"/>
      <c r="AV411" s="36"/>
      <c r="AW411" s="36"/>
      <c r="AX411" s="25"/>
      <c r="AY411" s="25"/>
      <c r="AZ411" s="25"/>
      <c r="BA411" s="25"/>
      <c r="BB411" s="25"/>
      <c r="BC411" s="25"/>
      <c r="BD411" s="25"/>
      <c r="BE411" s="25"/>
      <c r="BF411" s="25"/>
      <c r="BG411" s="25"/>
      <c r="BH411" s="25"/>
      <c r="BI411" s="25"/>
      <c r="BJ411" s="25"/>
      <c r="BK411" s="25"/>
      <c r="BL411" s="25"/>
      <c r="BM411" s="25"/>
      <c r="BN411" s="25"/>
      <c r="BO411" s="25"/>
      <c r="BP411" s="25"/>
      <c r="BQ411" s="25"/>
      <c r="BR411" s="25"/>
      <c r="BS411" s="25"/>
      <c r="BT411" s="25"/>
      <c r="BU411" s="39">
        <v>44270</v>
      </c>
      <c r="BV411" s="39" t="s">
        <v>1283</v>
      </c>
      <c r="BW411" s="39" t="s">
        <v>2900</v>
      </c>
      <c r="BX411" s="39" t="s">
        <v>2852</v>
      </c>
      <c r="BY411" s="71">
        <v>690</v>
      </c>
      <c r="BZ411" s="71">
        <v>780</v>
      </c>
      <c r="CA411" s="71">
        <v>990</v>
      </c>
      <c r="CB411" s="71">
        <v>1220</v>
      </c>
      <c r="CC411" s="71">
        <v>1420</v>
      </c>
      <c r="CD411" s="25"/>
      <c r="CE411" s="200"/>
      <c r="CF411" s="200"/>
      <c r="CG411" s="200"/>
      <c r="CH411" s="200"/>
      <c r="CI411" s="200"/>
      <c r="CJ411" s="200"/>
      <c r="CK411" s="200"/>
      <c r="CL411" s="200"/>
      <c r="CM411" s="200"/>
      <c r="CN411" s="200"/>
      <c r="CO411" s="200"/>
      <c r="CP411" s="200"/>
      <c r="CQ411" s="200"/>
      <c r="CR411" s="200"/>
      <c r="CS411" s="200"/>
      <c r="CT411" s="200"/>
      <c r="CU411" s="200"/>
    </row>
    <row r="412" spans="1:99" s="17" customFormat="1" x14ac:dyDescent="0.2">
      <c r="A412" s="25"/>
      <c r="B412" s="20">
        <v>39061023702</v>
      </c>
      <c r="C412" s="20">
        <v>237.02</v>
      </c>
      <c r="D412" s="20" t="s">
        <v>37</v>
      </c>
      <c r="E412" s="20" t="s">
        <v>2828</v>
      </c>
      <c r="F412" s="20" t="s">
        <v>8</v>
      </c>
      <c r="G412" s="861">
        <v>66.363492863617694</v>
      </c>
      <c r="H412" s="861">
        <v>89.621733012076007</v>
      </c>
      <c r="I412" s="861">
        <v>24.447890667448</v>
      </c>
      <c r="J412" s="861">
        <v>33.736145282696398</v>
      </c>
      <c r="K412" s="982">
        <v>0</v>
      </c>
      <c r="L412" s="735">
        <v>2870</v>
      </c>
      <c r="M412" s="735">
        <v>2453</v>
      </c>
      <c r="N412" s="845">
        <f t="shared" si="43"/>
        <v>-0.14529616724738675</v>
      </c>
      <c r="O412" s="735">
        <v>0.40682773636362374</v>
      </c>
      <c r="P412" s="735">
        <f t="shared" si="44"/>
        <v>6029.5790594953487</v>
      </c>
      <c r="Q412" s="849">
        <v>46.1</v>
      </c>
      <c r="R412" s="71">
        <v>80612</v>
      </c>
      <c r="S412" s="845">
        <v>4.6881369751324911E-2</v>
      </c>
      <c r="T412" s="845">
        <v>0.02</v>
      </c>
      <c r="U412" s="845">
        <v>0</v>
      </c>
      <c r="V412" s="845">
        <v>8.3000000000000004E-2</v>
      </c>
      <c r="W412" s="845">
        <v>0.2376923076923077</v>
      </c>
      <c r="X412" s="845">
        <v>0.53074433656957931</v>
      </c>
      <c r="Y412" s="845">
        <v>0.97431716265796986</v>
      </c>
      <c r="Z412" s="845">
        <v>4.0766408479412964E-4</v>
      </c>
      <c r="AA412" s="845">
        <v>5.2996331023236849E-3</v>
      </c>
      <c r="AB412" s="845">
        <v>3.2613126783530371E-3</v>
      </c>
      <c r="AC412" s="845">
        <v>0</v>
      </c>
      <c r="AD412" s="845">
        <v>0</v>
      </c>
      <c r="AE412" s="845">
        <v>1.6714227476559314E-2</v>
      </c>
      <c r="AF412" s="845">
        <v>8.9686098654708519E-3</v>
      </c>
      <c r="AG412" s="845">
        <v>0.97024052181002851</v>
      </c>
      <c r="AH412" s="20" t="str">
        <f t="shared" si="45"/>
        <v>Yes</v>
      </c>
      <c r="AI412" s="25"/>
      <c r="AJ412" s="20">
        <v>44055</v>
      </c>
      <c r="AK412" s="20" t="s">
        <v>1176</v>
      </c>
      <c r="AL412" s="20">
        <v>39093</v>
      </c>
      <c r="AM412" s="20" t="s">
        <v>52</v>
      </c>
      <c r="AN412" s="37">
        <f t="shared" si="46"/>
        <v>17410</v>
      </c>
      <c r="AO412" s="37" t="str">
        <f t="shared" si="47"/>
        <v>Cleveland, OH</v>
      </c>
      <c r="AP412" s="20" t="s">
        <v>8</v>
      </c>
      <c r="AQ412" s="25"/>
      <c r="AR412" s="25"/>
      <c r="AS412" s="25"/>
      <c r="AT412" s="25"/>
      <c r="AU412" s="36"/>
      <c r="AV412" s="36"/>
      <c r="AW412" s="36"/>
      <c r="AX412" s="25"/>
      <c r="AY412" s="25"/>
      <c r="AZ412" s="25"/>
      <c r="BA412" s="25"/>
      <c r="BB412" s="25"/>
      <c r="BC412" s="25"/>
      <c r="BD412" s="25"/>
      <c r="BE412" s="25"/>
      <c r="BF412" s="25"/>
      <c r="BG412" s="25"/>
      <c r="BH412" s="25"/>
      <c r="BI412" s="25"/>
      <c r="BJ412" s="25"/>
      <c r="BK412" s="25"/>
      <c r="BL412" s="25"/>
      <c r="BM412" s="25"/>
      <c r="BN412" s="25"/>
      <c r="BO412" s="25"/>
      <c r="BP412" s="25"/>
      <c r="BQ412" s="25"/>
      <c r="BR412" s="25"/>
      <c r="BS412" s="25"/>
      <c r="BT412" s="25"/>
      <c r="BU412" s="39">
        <v>44273</v>
      </c>
      <c r="BV412" s="39" t="s">
        <v>1285</v>
      </c>
      <c r="BW412" s="39" t="s">
        <v>2900</v>
      </c>
      <c r="BX412" s="39" t="s">
        <v>2852</v>
      </c>
      <c r="BY412" s="71">
        <v>850</v>
      </c>
      <c r="BZ412" s="71">
        <v>970</v>
      </c>
      <c r="CA412" s="71">
        <v>1170</v>
      </c>
      <c r="CB412" s="71">
        <v>1500</v>
      </c>
      <c r="CC412" s="71">
        <v>1610</v>
      </c>
      <c r="CD412" s="25"/>
      <c r="CE412" s="200"/>
      <c r="CF412" s="200"/>
      <c r="CG412" s="200"/>
      <c r="CH412" s="200"/>
      <c r="CI412" s="200"/>
      <c r="CJ412" s="200"/>
      <c r="CK412" s="200"/>
      <c r="CL412" s="200"/>
      <c r="CM412" s="200"/>
      <c r="CN412" s="200"/>
      <c r="CO412" s="200"/>
      <c r="CP412" s="200"/>
      <c r="CQ412" s="200"/>
      <c r="CR412" s="200"/>
      <c r="CS412" s="200"/>
      <c r="CT412" s="200"/>
      <c r="CU412" s="200"/>
    </row>
    <row r="413" spans="1:99" s="17" customFormat="1" x14ac:dyDescent="0.2">
      <c r="A413" s="25"/>
      <c r="B413" s="20">
        <v>39035140500</v>
      </c>
      <c r="C413" s="20">
        <v>1405</v>
      </c>
      <c r="D413" s="20" t="s">
        <v>24</v>
      </c>
      <c r="E413" s="20" t="s">
        <v>2829</v>
      </c>
      <c r="F413" s="20" t="s">
        <v>8</v>
      </c>
      <c r="G413" s="861">
        <v>66.352301835362596</v>
      </c>
      <c r="H413" s="861">
        <v>72.904855577068403</v>
      </c>
      <c r="I413" s="861">
        <v>42.442146133162296</v>
      </c>
      <c r="J413" s="861">
        <v>46.1946562994898</v>
      </c>
      <c r="K413" s="982">
        <v>0</v>
      </c>
      <c r="L413" s="735">
        <v>3511</v>
      </c>
      <c r="M413" s="735">
        <v>3056</v>
      </c>
      <c r="N413" s="845">
        <f t="shared" si="43"/>
        <v>-0.12959270863001993</v>
      </c>
      <c r="O413" s="735">
        <v>0.49232117903429296</v>
      </c>
      <c r="P413" s="735">
        <f t="shared" si="44"/>
        <v>6207.3299507335078</v>
      </c>
      <c r="Q413" s="849">
        <v>35.299999999999997</v>
      </c>
      <c r="R413" s="71">
        <v>75583</v>
      </c>
      <c r="S413" s="845">
        <v>8.3442408376963345E-2</v>
      </c>
      <c r="T413" s="845">
        <v>3.5000000000000003E-2</v>
      </c>
      <c r="U413" s="845">
        <v>0</v>
      </c>
      <c r="V413" s="845">
        <v>4.0999999999999995E-2</v>
      </c>
      <c r="W413" s="845">
        <v>0.52667578659370728</v>
      </c>
      <c r="X413" s="845">
        <v>0.21558441558441557</v>
      </c>
      <c r="Y413" s="845">
        <v>0.37336387434554974</v>
      </c>
      <c r="Z413" s="845">
        <v>0.54581151832460728</v>
      </c>
      <c r="AA413" s="845">
        <v>0</v>
      </c>
      <c r="AB413" s="845">
        <v>3.0104712041884817E-2</v>
      </c>
      <c r="AC413" s="845">
        <v>0</v>
      </c>
      <c r="AD413" s="845">
        <v>2.617801047120419E-3</v>
      </c>
      <c r="AE413" s="845">
        <v>4.8102094240837695E-2</v>
      </c>
      <c r="AF413" s="845">
        <v>3.0104712041884817E-2</v>
      </c>
      <c r="AG413" s="845">
        <v>0.37336387434554974</v>
      </c>
      <c r="AH413" s="20" t="str">
        <f t="shared" si="45"/>
        <v>No</v>
      </c>
      <c r="AI413" s="25"/>
      <c r="AJ413" s="20">
        <v>44074</v>
      </c>
      <c r="AK413" s="20" t="s">
        <v>1187</v>
      </c>
      <c r="AL413" s="20">
        <v>39093</v>
      </c>
      <c r="AM413" s="20" t="s">
        <v>52</v>
      </c>
      <c r="AN413" s="37">
        <f t="shared" si="46"/>
        <v>17410</v>
      </c>
      <c r="AO413" s="37" t="str">
        <f t="shared" si="47"/>
        <v>Cleveland, OH</v>
      </c>
      <c r="AP413" s="20" t="s">
        <v>8</v>
      </c>
      <c r="AQ413" s="25"/>
      <c r="AR413" s="25"/>
      <c r="AS413" s="25"/>
      <c r="AT413" s="25"/>
      <c r="AU413" s="36"/>
      <c r="AV413" s="36"/>
      <c r="AW413" s="36"/>
      <c r="AX413" s="25"/>
      <c r="AY413" s="25"/>
      <c r="AZ413" s="25"/>
      <c r="BA413" s="25"/>
      <c r="BB413" s="25"/>
      <c r="BC413" s="25"/>
      <c r="BD413" s="25"/>
      <c r="BE413" s="25"/>
      <c r="BF413" s="25"/>
      <c r="BG413" s="25"/>
      <c r="BH413" s="25"/>
      <c r="BI413" s="25"/>
      <c r="BJ413" s="25"/>
      <c r="BK413" s="25"/>
      <c r="BL413" s="25"/>
      <c r="BM413" s="25"/>
      <c r="BN413" s="25"/>
      <c r="BO413" s="25"/>
      <c r="BP413" s="25"/>
      <c r="BQ413" s="25"/>
      <c r="BR413" s="25"/>
      <c r="BS413" s="25"/>
      <c r="BT413" s="25"/>
      <c r="BU413" s="39">
        <v>44274</v>
      </c>
      <c r="BV413" s="39" t="s">
        <v>1286</v>
      </c>
      <c r="BW413" s="39" t="s">
        <v>2900</v>
      </c>
      <c r="BX413" s="39" t="s">
        <v>2852</v>
      </c>
      <c r="BY413" s="71">
        <v>930</v>
      </c>
      <c r="BZ413" s="71">
        <v>1060</v>
      </c>
      <c r="CA413" s="71">
        <v>1280</v>
      </c>
      <c r="CB413" s="71">
        <v>1650</v>
      </c>
      <c r="CC413" s="71">
        <v>1760</v>
      </c>
      <c r="CD413" s="25"/>
      <c r="CE413" s="200"/>
      <c r="CF413" s="200"/>
      <c r="CG413" s="200"/>
      <c r="CH413" s="200"/>
      <c r="CI413" s="200"/>
      <c r="CJ413" s="200"/>
      <c r="CK413" s="200"/>
      <c r="CL413" s="200"/>
      <c r="CM413" s="200"/>
      <c r="CN413" s="200"/>
      <c r="CO413" s="200"/>
      <c r="CP413" s="200"/>
      <c r="CQ413" s="200"/>
      <c r="CR413" s="200"/>
      <c r="CS413" s="200"/>
      <c r="CT413" s="200"/>
      <c r="CU413" s="200"/>
    </row>
    <row r="414" spans="1:99" s="17" customFormat="1" x14ac:dyDescent="0.2">
      <c r="A414" s="25"/>
      <c r="B414" s="20">
        <v>39035156102</v>
      </c>
      <c r="C414" s="20">
        <v>1561.02</v>
      </c>
      <c r="D414" s="20" t="s">
        <v>24</v>
      </c>
      <c r="E414" s="20" t="s">
        <v>2829</v>
      </c>
      <c r="F414" s="20" t="s">
        <v>8</v>
      </c>
      <c r="G414" s="861">
        <v>66.238961930425106</v>
      </c>
      <c r="H414" s="861">
        <v>68.835604187127899</v>
      </c>
      <c r="I414" s="861">
        <v>21.295277463350001</v>
      </c>
      <c r="J414" s="861">
        <v>28.419067438612</v>
      </c>
      <c r="K414" s="982">
        <v>0</v>
      </c>
      <c r="L414" s="735">
        <v>5837</v>
      </c>
      <c r="M414" s="735">
        <v>5956</v>
      </c>
      <c r="N414" s="845">
        <f t="shared" si="43"/>
        <v>2.0387185197875621E-2</v>
      </c>
      <c r="O414" s="735">
        <v>6.0778873614211308</v>
      </c>
      <c r="P414" s="735">
        <f t="shared" si="44"/>
        <v>979.94576829527966</v>
      </c>
      <c r="Q414" s="849">
        <v>49.5</v>
      </c>
      <c r="R414" s="71">
        <v>110357</v>
      </c>
      <c r="S414" s="845">
        <v>1.8506056527590849E-2</v>
      </c>
      <c r="T414" s="845">
        <v>1.3999999999999999E-2</v>
      </c>
      <c r="U414" s="845">
        <v>0</v>
      </c>
      <c r="V414" s="845">
        <v>0</v>
      </c>
      <c r="W414" s="845">
        <v>3.4901960784313728E-2</v>
      </c>
      <c r="X414" s="845">
        <v>0</v>
      </c>
      <c r="Y414" s="845">
        <v>0.87978509066487576</v>
      </c>
      <c r="Z414" s="845">
        <v>1.6286098052384151E-2</v>
      </c>
      <c r="AA414" s="845">
        <v>0</v>
      </c>
      <c r="AB414" s="845">
        <v>2.7031564808596375E-2</v>
      </c>
      <c r="AC414" s="845">
        <v>0</v>
      </c>
      <c r="AD414" s="845">
        <v>1.3767629281396911E-2</v>
      </c>
      <c r="AE414" s="845">
        <v>6.3129617192746804E-2</v>
      </c>
      <c r="AF414" s="845">
        <v>5.0537273337810613E-2</v>
      </c>
      <c r="AG414" s="845">
        <v>0.87323707186030897</v>
      </c>
      <c r="AH414" s="20" t="str">
        <f t="shared" si="45"/>
        <v>No</v>
      </c>
      <c r="AI414" s="25"/>
      <c r="AJ414" s="20">
        <v>44089</v>
      </c>
      <c r="AK414" s="20" t="s">
        <v>1197</v>
      </c>
      <c r="AL414" s="20">
        <v>39093</v>
      </c>
      <c r="AM414" s="20" t="s">
        <v>52</v>
      </c>
      <c r="AN414" s="37">
        <f t="shared" si="46"/>
        <v>17410</v>
      </c>
      <c r="AO414" s="37" t="str">
        <f t="shared" si="47"/>
        <v>Cleveland, OH</v>
      </c>
      <c r="AP414" s="20" t="s">
        <v>8</v>
      </c>
      <c r="AQ414" s="25"/>
      <c r="AR414" s="25"/>
      <c r="AS414" s="25"/>
      <c r="AT414" s="25"/>
      <c r="AU414" s="36"/>
      <c r="AV414" s="36"/>
      <c r="AW414" s="36"/>
      <c r="AX414" s="25"/>
      <c r="AY414" s="25"/>
      <c r="AZ414" s="25"/>
      <c r="BA414" s="25"/>
      <c r="BB414" s="25"/>
      <c r="BC414" s="25"/>
      <c r="BD414" s="25"/>
      <c r="BE414" s="25"/>
      <c r="BF414" s="25"/>
      <c r="BG414" s="25"/>
      <c r="BH414" s="25"/>
      <c r="BI414" s="25"/>
      <c r="BJ414" s="25"/>
      <c r="BK414" s="25"/>
      <c r="BL414" s="25"/>
      <c r="BM414" s="25"/>
      <c r="BN414" s="25"/>
      <c r="BO414" s="25"/>
      <c r="BP414" s="25"/>
      <c r="BQ414" s="25"/>
      <c r="BR414" s="25"/>
      <c r="BS414" s="25"/>
      <c r="BT414" s="25"/>
      <c r="BU414" s="39">
        <v>44275</v>
      </c>
      <c r="BV414" s="39" t="s">
        <v>1287</v>
      </c>
      <c r="BW414" s="39" t="s">
        <v>2900</v>
      </c>
      <c r="BX414" s="39" t="s">
        <v>2852</v>
      </c>
      <c r="BY414" s="71">
        <v>1000</v>
      </c>
      <c r="BZ414" s="71">
        <v>1130</v>
      </c>
      <c r="CA414" s="71">
        <v>1370</v>
      </c>
      <c r="CB414" s="71">
        <v>1760</v>
      </c>
      <c r="CC414" s="71">
        <v>1880</v>
      </c>
      <c r="CD414" s="25"/>
      <c r="CE414" s="200"/>
      <c r="CF414" s="200"/>
      <c r="CG414" s="200"/>
      <c r="CH414" s="200"/>
      <c r="CI414" s="200"/>
      <c r="CJ414" s="200"/>
      <c r="CK414" s="200"/>
      <c r="CL414" s="200"/>
      <c r="CM414" s="200"/>
      <c r="CN414" s="200"/>
      <c r="CO414" s="200"/>
      <c r="CP414" s="200"/>
      <c r="CQ414" s="200"/>
      <c r="CR414" s="200"/>
      <c r="CS414" s="200"/>
      <c r="CT414" s="200"/>
      <c r="CU414" s="200"/>
    </row>
    <row r="415" spans="1:99" s="17" customFormat="1" x14ac:dyDescent="0.2">
      <c r="A415" s="25"/>
      <c r="B415" s="20">
        <v>39057200901</v>
      </c>
      <c r="C415" s="20">
        <v>2009.01</v>
      </c>
      <c r="D415" s="20" t="s">
        <v>35</v>
      </c>
      <c r="E415" s="20" t="s">
        <v>2833</v>
      </c>
      <c r="F415" s="20" t="s">
        <v>8</v>
      </c>
      <c r="G415" s="861">
        <v>66.177341181395505</v>
      </c>
      <c r="H415" s="861">
        <v>64.448131238404699</v>
      </c>
      <c r="I415" s="861">
        <v>27.201084265097801</v>
      </c>
      <c r="J415" s="861">
        <v>59.504271959869499</v>
      </c>
      <c r="K415" s="982">
        <v>1</v>
      </c>
      <c r="L415" s="735" t="s">
        <v>2466</v>
      </c>
      <c r="M415" s="735">
        <v>4447</v>
      </c>
      <c r="N415" s="845" t="str">
        <f t="shared" si="43"/>
        <v/>
      </c>
      <c r="O415" s="735">
        <v>4.3822664498641268</v>
      </c>
      <c r="P415" s="735">
        <f t="shared" si="44"/>
        <v>1014.7717056633743</v>
      </c>
      <c r="Q415" s="849">
        <v>31.1</v>
      </c>
      <c r="R415" s="71">
        <v>95168</v>
      </c>
      <c r="S415" s="845">
        <v>7.4909747292418769E-2</v>
      </c>
      <c r="T415" s="845">
        <v>1.1000000000000001E-2</v>
      </c>
      <c r="U415" s="845">
        <v>0</v>
      </c>
      <c r="V415" s="845">
        <v>1.6E-2</v>
      </c>
      <c r="W415" s="845">
        <v>0.42613920881321982</v>
      </c>
      <c r="X415" s="845">
        <v>0.40775558166862513</v>
      </c>
      <c r="Y415" s="845">
        <v>0.77153136946255907</v>
      </c>
      <c r="Z415" s="845">
        <v>0.10951203058241511</v>
      </c>
      <c r="AA415" s="845">
        <v>0</v>
      </c>
      <c r="AB415" s="845">
        <v>1.5740948954351248E-3</v>
      </c>
      <c r="AC415" s="845">
        <v>0</v>
      </c>
      <c r="AD415" s="845">
        <v>6.071508882392624E-3</v>
      </c>
      <c r="AE415" s="845">
        <v>0.11131099617719811</v>
      </c>
      <c r="AF415" s="845">
        <v>4.9471553856532492E-2</v>
      </c>
      <c r="AG415" s="845">
        <v>0.74297279064537891</v>
      </c>
      <c r="AH415" s="20" t="str">
        <f t="shared" si="45"/>
        <v>No</v>
      </c>
      <c r="AI415" s="25"/>
      <c r="AJ415" s="20">
        <v>44090</v>
      </c>
      <c r="AK415" s="20" t="s">
        <v>1198</v>
      </c>
      <c r="AL415" s="20">
        <v>39093</v>
      </c>
      <c r="AM415" s="20" t="s">
        <v>52</v>
      </c>
      <c r="AN415" s="37">
        <f t="shared" si="46"/>
        <v>17410</v>
      </c>
      <c r="AO415" s="37" t="str">
        <f t="shared" si="47"/>
        <v>Cleveland, OH</v>
      </c>
      <c r="AP415" s="20" t="s">
        <v>8</v>
      </c>
      <c r="AQ415" s="25"/>
      <c r="AR415" s="25"/>
      <c r="AS415" s="25"/>
      <c r="AT415" s="25"/>
      <c r="AU415" s="36"/>
      <c r="AV415" s="36"/>
      <c r="AW415" s="36"/>
      <c r="AX415" s="25"/>
      <c r="AY415" s="25"/>
      <c r="AZ415" s="25"/>
      <c r="BA415" s="25"/>
      <c r="BB415" s="25"/>
      <c r="BC415" s="25"/>
      <c r="BD415" s="25"/>
      <c r="BE415" s="25"/>
      <c r="BF415" s="25"/>
      <c r="BG415" s="25"/>
      <c r="BH415" s="25"/>
      <c r="BI415" s="25"/>
      <c r="BJ415" s="25"/>
      <c r="BK415" s="25"/>
      <c r="BL415" s="25"/>
      <c r="BM415" s="25"/>
      <c r="BN415" s="25"/>
      <c r="BO415" s="25"/>
      <c r="BP415" s="25"/>
      <c r="BQ415" s="25"/>
      <c r="BR415" s="25"/>
      <c r="BS415" s="25"/>
      <c r="BT415" s="25"/>
      <c r="BU415" s="39">
        <v>44280</v>
      </c>
      <c r="BV415" s="39" t="s">
        <v>1290</v>
      </c>
      <c r="BW415" s="39" t="s">
        <v>2900</v>
      </c>
      <c r="BX415" s="39" t="s">
        <v>2852</v>
      </c>
      <c r="BY415" s="71">
        <v>1400</v>
      </c>
      <c r="BZ415" s="71">
        <v>1590</v>
      </c>
      <c r="CA415" s="71">
        <v>1920</v>
      </c>
      <c r="CB415" s="71">
        <v>2470</v>
      </c>
      <c r="CC415" s="71">
        <v>2640</v>
      </c>
      <c r="CD415" s="25"/>
      <c r="CE415" s="200"/>
      <c r="CF415" s="200"/>
      <c r="CG415" s="200"/>
      <c r="CH415" s="200"/>
      <c r="CI415" s="200"/>
      <c r="CJ415" s="200"/>
      <c r="CK415" s="200"/>
      <c r="CL415" s="200"/>
      <c r="CM415" s="200"/>
      <c r="CN415" s="200"/>
      <c r="CO415" s="200"/>
      <c r="CP415" s="200"/>
      <c r="CQ415" s="200"/>
      <c r="CR415" s="200"/>
      <c r="CS415" s="200"/>
      <c r="CT415" s="200"/>
      <c r="CU415" s="200"/>
    </row>
    <row r="416" spans="1:99" s="17" customFormat="1" x14ac:dyDescent="0.2">
      <c r="A416" s="25"/>
      <c r="B416" s="20">
        <v>39035107701</v>
      </c>
      <c r="C416" s="20">
        <v>1077.01</v>
      </c>
      <c r="D416" s="20" t="s">
        <v>24</v>
      </c>
      <c r="E416" s="20" t="s">
        <v>2829</v>
      </c>
      <c r="F416" s="20" t="s">
        <v>8</v>
      </c>
      <c r="G416" s="861">
        <v>66.151343440950797</v>
      </c>
      <c r="H416" s="861">
        <v>75.888311454048207</v>
      </c>
      <c r="I416" s="861">
        <v>44.598193174751003</v>
      </c>
      <c r="J416" s="861">
        <v>36.631637567408198</v>
      </c>
      <c r="K416" s="982">
        <v>0</v>
      </c>
      <c r="L416" s="735">
        <v>1944</v>
      </c>
      <c r="M416" s="735">
        <v>5263</v>
      </c>
      <c r="N416" s="845">
        <f t="shared" si="43"/>
        <v>1.7073045267489713</v>
      </c>
      <c r="O416" s="735">
        <v>0.76867379904689992</v>
      </c>
      <c r="P416" s="735">
        <f t="shared" si="44"/>
        <v>6846.8575441568846</v>
      </c>
      <c r="Q416" s="849">
        <v>28.7</v>
      </c>
      <c r="R416" s="71">
        <v>58864</v>
      </c>
      <c r="S416" s="845">
        <v>0.24935681773204038</v>
      </c>
      <c r="T416" s="845">
        <v>5.0999999999999997E-2</v>
      </c>
      <c r="U416" s="845">
        <v>0</v>
      </c>
      <c r="V416" s="845">
        <v>0.11599999999999999</v>
      </c>
      <c r="W416" s="845">
        <v>0.9736686390532544</v>
      </c>
      <c r="X416" s="845">
        <v>0.35794591309632329</v>
      </c>
      <c r="Y416" s="845">
        <v>0.62093862815884482</v>
      </c>
      <c r="Z416" s="845">
        <v>0.22667680030400911</v>
      </c>
      <c r="AA416" s="845">
        <v>0</v>
      </c>
      <c r="AB416" s="845">
        <v>0.10336310089302679</v>
      </c>
      <c r="AC416" s="845">
        <v>0</v>
      </c>
      <c r="AD416" s="845">
        <v>5.5101653049591491E-3</v>
      </c>
      <c r="AE416" s="845">
        <v>4.3511305339160172E-2</v>
      </c>
      <c r="AF416" s="845">
        <v>6.2701881056431694E-2</v>
      </c>
      <c r="AG416" s="845">
        <v>0.5800874026220787</v>
      </c>
      <c r="AH416" s="20" t="str">
        <f t="shared" si="45"/>
        <v>No</v>
      </c>
      <c r="AI416" s="25"/>
      <c r="AJ416" s="20">
        <v>44253</v>
      </c>
      <c r="AK416" s="20" t="s">
        <v>1275</v>
      </c>
      <c r="AL416" s="20">
        <v>39093</v>
      </c>
      <c r="AM416" s="20" t="s">
        <v>52</v>
      </c>
      <c r="AN416" s="37">
        <f t="shared" si="46"/>
        <v>17410</v>
      </c>
      <c r="AO416" s="37" t="str">
        <f t="shared" si="47"/>
        <v>Cleveland, OH</v>
      </c>
      <c r="AP416" s="20" t="s">
        <v>8</v>
      </c>
      <c r="AQ416" s="25"/>
      <c r="AR416" s="25"/>
      <c r="AS416" s="25"/>
      <c r="AT416" s="25"/>
      <c r="AU416" s="36"/>
      <c r="AV416" s="36"/>
      <c r="AW416" s="36"/>
      <c r="AX416" s="25"/>
      <c r="AY416" s="25"/>
      <c r="AZ416" s="25"/>
      <c r="BA416" s="25"/>
      <c r="BB416" s="25"/>
      <c r="BC416" s="25"/>
      <c r="BD416" s="25"/>
      <c r="BE416" s="25"/>
      <c r="BF416" s="25"/>
      <c r="BG416" s="25"/>
      <c r="BH416" s="25"/>
      <c r="BI416" s="25"/>
      <c r="BJ416" s="25"/>
      <c r="BK416" s="25"/>
      <c r="BL416" s="25"/>
      <c r="BM416" s="25"/>
      <c r="BN416" s="25"/>
      <c r="BO416" s="25"/>
      <c r="BP416" s="25"/>
      <c r="BQ416" s="25"/>
      <c r="BR416" s="25"/>
      <c r="BS416" s="25"/>
      <c r="BT416" s="25"/>
      <c r="BU416" s="39">
        <v>44287</v>
      </c>
      <c r="BV416" s="39" t="s">
        <v>1294</v>
      </c>
      <c r="BW416" s="39" t="s">
        <v>2900</v>
      </c>
      <c r="BX416" s="39" t="s">
        <v>2852</v>
      </c>
      <c r="BY416" s="71">
        <v>700</v>
      </c>
      <c r="BZ416" s="71">
        <v>800</v>
      </c>
      <c r="CA416" s="71">
        <v>1010</v>
      </c>
      <c r="CB416" s="71">
        <v>1270</v>
      </c>
      <c r="CC416" s="71">
        <v>1480</v>
      </c>
      <c r="CD416" s="25"/>
      <c r="CE416" s="200"/>
      <c r="CF416" s="200"/>
      <c r="CG416" s="200"/>
      <c r="CH416" s="200"/>
      <c r="CI416" s="200"/>
      <c r="CJ416" s="200"/>
      <c r="CK416" s="200"/>
      <c r="CL416" s="200"/>
      <c r="CM416" s="200"/>
      <c r="CN416" s="200"/>
      <c r="CO416" s="200"/>
      <c r="CP416" s="200"/>
      <c r="CQ416" s="200"/>
      <c r="CR416" s="200"/>
      <c r="CS416" s="200"/>
      <c r="CT416" s="200"/>
      <c r="CU416" s="200"/>
    </row>
    <row r="417" spans="1:99" s="17" customFormat="1" x14ac:dyDescent="0.2">
      <c r="A417" s="25"/>
      <c r="B417" s="20">
        <v>39089755302</v>
      </c>
      <c r="C417" s="20">
        <v>7553.02</v>
      </c>
      <c r="D417" s="20" t="s">
        <v>50</v>
      </c>
      <c r="E417" s="20" t="s">
        <v>2830</v>
      </c>
      <c r="F417" s="20" t="s">
        <v>8</v>
      </c>
      <c r="G417" s="861">
        <v>66.077453592893505</v>
      </c>
      <c r="H417" s="861">
        <v>68.907373350295302</v>
      </c>
      <c r="I417" s="861">
        <v>40.620040625490603</v>
      </c>
      <c r="J417" s="861">
        <v>66.765226186259397</v>
      </c>
      <c r="K417" s="982">
        <v>0</v>
      </c>
      <c r="L417" s="735" t="s">
        <v>2466</v>
      </c>
      <c r="M417" s="735">
        <v>4682</v>
      </c>
      <c r="N417" s="845" t="str">
        <f t="shared" si="43"/>
        <v/>
      </c>
      <c r="O417" s="735">
        <v>7.9698686338756977</v>
      </c>
      <c r="P417" s="735">
        <f t="shared" si="44"/>
        <v>587.46263145408614</v>
      </c>
      <c r="Q417" s="849">
        <v>39.6</v>
      </c>
      <c r="R417" s="71">
        <v>89638</v>
      </c>
      <c r="S417" s="845">
        <v>7.9572192513368986E-2</v>
      </c>
      <c r="T417" s="845">
        <v>1.8000000000000002E-2</v>
      </c>
      <c r="U417" s="845">
        <v>0</v>
      </c>
      <c r="V417" s="845">
        <v>5.5E-2</v>
      </c>
      <c r="W417" s="845">
        <v>0.30280480824270178</v>
      </c>
      <c r="X417" s="845">
        <v>0.22495274102079396</v>
      </c>
      <c r="Y417" s="845">
        <v>0.94169158479282356</v>
      </c>
      <c r="Z417" s="845">
        <v>4.2716787697565144E-4</v>
      </c>
      <c r="AA417" s="845">
        <v>0</v>
      </c>
      <c r="AB417" s="845">
        <v>0</v>
      </c>
      <c r="AC417" s="845">
        <v>0</v>
      </c>
      <c r="AD417" s="845">
        <v>3.4173430158052115E-3</v>
      </c>
      <c r="AE417" s="845">
        <v>5.4463904314395559E-2</v>
      </c>
      <c r="AF417" s="845">
        <v>1.3669372063220846E-2</v>
      </c>
      <c r="AG417" s="845">
        <v>0.92802221272960272</v>
      </c>
      <c r="AH417" s="20" t="str">
        <f t="shared" si="45"/>
        <v>Yes</v>
      </c>
      <c r="AI417" s="25"/>
      <c r="AJ417" s="37">
        <v>44256</v>
      </c>
      <c r="AK417" s="37" t="s">
        <v>1278</v>
      </c>
      <c r="AL417" s="37">
        <v>39093</v>
      </c>
      <c r="AM417" s="37" t="s">
        <v>52</v>
      </c>
      <c r="AN417" s="37">
        <f t="shared" si="46"/>
        <v>17410</v>
      </c>
      <c r="AO417" s="37" t="str">
        <f t="shared" si="47"/>
        <v>Cleveland, OH</v>
      </c>
      <c r="AP417" s="20" t="s">
        <v>8</v>
      </c>
      <c r="AQ417" s="25"/>
      <c r="AR417" s="25"/>
      <c r="AS417" s="25"/>
      <c r="AT417" s="25"/>
      <c r="AU417" s="36"/>
      <c r="AV417" s="36"/>
      <c r="AW417" s="36"/>
      <c r="AX417" s="25"/>
      <c r="AY417" s="25"/>
      <c r="AZ417" s="25"/>
      <c r="BA417" s="25"/>
      <c r="BB417" s="25"/>
      <c r="BC417" s="25"/>
      <c r="BD417" s="25"/>
      <c r="BE417" s="25"/>
      <c r="BF417" s="25"/>
      <c r="BG417" s="25"/>
      <c r="BH417" s="25"/>
      <c r="BI417" s="25"/>
      <c r="BJ417" s="25"/>
      <c r="BK417" s="25"/>
      <c r="BL417" s="25"/>
      <c r="BM417" s="25"/>
      <c r="BN417" s="25"/>
      <c r="BO417" s="25"/>
      <c r="BP417" s="25"/>
      <c r="BQ417" s="25"/>
      <c r="BR417" s="25"/>
      <c r="BS417" s="25"/>
      <c r="BT417" s="25"/>
      <c r="BU417" s="39">
        <v>44851</v>
      </c>
      <c r="BV417" s="39" t="s">
        <v>1498</v>
      </c>
      <c r="BW417" s="39" t="s">
        <v>2900</v>
      </c>
      <c r="BX417" s="39" t="s">
        <v>2852</v>
      </c>
      <c r="BY417" s="71">
        <v>730</v>
      </c>
      <c r="BZ417" s="71">
        <v>750</v>
      </c>
      <c r="CA417" s="71">
        <v>970</v>
      </c>
      <c r="CB417" s="71">
        <v>1220</v>
      </c>
      <c r="CC417" s="71">
        <v>1500</v>
      </c>
      <c r="CD417" s="25"/>
      <c r="CE417" s="200"/>
      <c r="CF417" s="200"/>
      <c r="CG417" s="200"/>
      <c r="CH417" s="200"/>
      <c r="CI417" s="200"/>
      <c r="CJ417" s="200"/>
      <c r="CK417" s="200"/>
      <c r="CL417" s="200"/>
      <c r="CM417" s="200"/>
      <c r="CN417" s="200"/>
      <c r="CO417" s="200"/>
      <c r="CP417" s="200"/>
      <c r="CQ417" s="200"/>
      <c r="CR417" s="200"/>
      <c r="CS417" s="200"/>
      <c r="CT417" s="200"/>
      <c r="CU417" s="200"/>
    </row>
    <row r="418" spans="1:99" s="17" customFormat="1" x14ac:dyDescent="0.2">
      <c r="A418" s="25"/>
      <c r="B418" s="20">
        <v>39085202500</v>
      </c>
      <c r="C418" s="20">
        <v>2025</v>
      </c>
      <c r="D418" s="20" t="s">
        <v>48</v>
      </c>
      <c r="E418" s="20" t="s">
        <v>2829</v>
      </c>
      <c r="F418" s="20" t="s">
        <v>8</v>
      </c>
      <c r="G418" s="861">
        <v>66.064253379721194</v>
      </c>
      <c r="H418" s="861">
        <v>70.223061004177595</v>
      </c>
      <c r="I418" s="861">
        <v>39.095609242082197</v>
      </c>
      <c r="J418" s="861">
        <v>40.348029161791601</v>
      </c>
      <c r="K418" s="982">
        <v>0</v>
      </c>
      <c r="L418" s="735">
        <v>4355</v>
      </c>
      <c r="M418" s="735">
        <v>4261</v>
      </c>
      <c r="N418" s="845">
        <f t="shared" si="43"/>
        <v>-2.1584385763490241E-2</v>
      </c>
      <c r="O418" s="735">
        <v>0.88892068311464179</v>
      </c>
      <c r="P418" s="735">
        <f t="shared" si="44"/>
        <v>4793.4535453378239</v>
      </c>
      <c r="Q418" s="849">
        <v>42.6</v>
      </c>
      <c r="R418" s="71">
        <v>60195</v>
      </c>
      <c r="S418" s="845">
        <v>0.10156815440289506</v>
      </c>
      <c r="T418" s="845">
        <v>2.1000000000000001E-2</v>
      </c>
      <c r="U418" s="845">
        <v>0</v>
      </c>
      <c r="V418" s="845">
        <v>6.2E-2</v>
      </c>
      <c r="W418" s="845">
        <v>0.55978742249778568</v>
      </c>
      <c r="X418" s="845">
        <v>0.30537974683544306</v>
      </c>
      <c r="Y418" s="845">
        <v>0.87467730579676128</v>
      </c>
      <c r="Z418" s="845">
        <v>5.7967613236329499E-2</v>
      </c>
      <c r="AA418" s="845">
        <v>1.0560901196902136E-2</v>
      </c>
      <c r="AB418" s="845">
        <v>1.7132128608307907E-2</v>
      </c>
      <c r="AC418" s="845">
        <v>0</v>
      </c>
      <c r="AD418" s="845">
        <v>5.163107251818822E-3</v>
      </c>
      <c r="AE418" s="845">
        <v>3.4498943909880307E-2</v>
      </c>
      <c r="AF418" s="845">
        <v>4.7406712039427368E-2</v>
      </c>
      <c r="AG418" s="845">
        <v>0.84487209575217082</v>
      </c>
      <c r="AH418" s="20" t="str">
        <f t="shared" si="45"/>
        <v>No</v>
      </c>
      <c r="AI418" s="25"/>
      <c r="AJ418" s="37">
        <v>44275</v>
      </c>
      <c r="AK418" s="37" t="s">
        <v>1287</v>
      </c>
      <c r="AL418" s="37">
        <v>39093</v>
      </c>
      <c r="AM418" s="37" t="s">
        <v>52</v>
      </c>
      <c r="AN418" s="37">
        <f t="shared" si="46"/>
        <v>17410</v>
      </c>
      <c r="AO418" s="37" t="str">
        <f t="shared" si="47"/>
        <v>Cleveland, OH</v>
      </c>
      <c r="AP418" s="20" t="s">
        <v>8</v>
      </c>
      <c r="AQ418" s="25"/>
      <c r="AR418" s="25"/>
      <c r="AS418" s="25"/>
      <c r="AT418" s="25"/>
      <c r="AU418" s="36"/>
      <c r="AV418" s="36"/>
      <c r="AW418" s="36"/>
      <c r="AX418" s="25"/>
      <c r="AY418" s="25"/>
      <c r="AZ418" s="25"/>
      <c r="BA418" s="25"/>
      <c r="BB418" s="25"/>
      <c r="BC418" s="25"/>
      <c r="BD418" s="25"/>
      <c r="BE418" s="25"/>
      <c r="BF418" s="25"/>
      <c r="BG418" s="25"/>
      <c r="BH418" s="25"/>
      <c r="BI418" s="25"/>
      <c r="BJ418" s="25"/>
      <c r="BK418" s="25"/>
      <c r="BL418" s="25"/>
      <c r="BM418" s="25"/>
      <c r="BN418" s="25"/>
      <c r="BO418" s="25"/>
      <c r="BP418" s="25"/>
      <c r="BQ418" s="25"/>
      <c r="BR418" s="25"/>
      <c r="BS418" s="25"/>
      <c r="BT418" s="25"/>
      <c r="BU418" s="39">
        <v>44859</v>
      </c>
      <c r="BV418" s="39" t="s">
        <v>1504</v>
      </c>
      <c r="BW418" s="39" t="s">
        <v>2900</v>
      </c>
      <c r="BX418" s="39" t="s">
        <v>2852</v>
      </c>
      <c r="BY418" s="71">
        <v>710</v>
      </c>
      <c r="BZ418" s="71">
        <v>770</v>
      </c>
      <c r="CA418" s="71">
        <v>980</v>
      </c>
      <c r="CB418" s="71">
        <v>1270</v>
      </c>
      <c r="CC418" s="71">
        <v>1510</v>
      </c>
      <c r="CD418" s="25"/>
      <c r="CE418" s="200"/>
      <c r="CF418" s="200"/>
      <c r="CG418" s="200"/>
      <c r="CH418" s="200"/>
      <c r="CI418" s="200"/>
      <c r="CJ418" s="200"/>
      <c r="CK418" s="200"/>
      <c r="CL418" s="200"/>
      <c r="CM418" s="200"/>
      <c r="CN418" s="200"/>
      <c r="CO418" s="200"/>
      <c r="CP418" s="200"/>
      <c r="CQ418" s="200"/>
      <c r="CR418" s="200"/>
      <c r="CS418" s="200"/>
      <c r="CT418" s="200"/>
      <c r="CU418" s="200"/>
    </row>
    <row r="419" spans="1:99" s="17" customFormat="1" x14ac:dyDescent="0.2">
      <c r="A419" s="25"/>
      <c r="B419" s="20">
        <v>39035141500</v>
      </c>
      <c r="C419" s="20">
        <v>1415</v>
      </c>
      <c r="D419" s="20" t="s">
        <v>24</v>
      </c>
      <c r="E419" s="20" t="s">
        <v>2829</v>
      </c>
      <c r="F419" s="20" t="s">
        <v>8</v>
      </c>
      <c r="G419" s="861">
        <v>66.056281885377203</v>
      </c>
      <c r="H419" s="861">
        <v>78.933902281735001</v>
      </c>
      <c r="I419" s="861">
        <v>42.786289839857702</v>
      </c>
      <c r="J419" s="861">
        <v>45.784440787016699</v>
      </c>
      <c r="K419" s="982">
        <v>0</v>
      </c>
      <c r="L419" s="735">
        <v>1747</v>
      </c>
      <c r="M419" s="735">
        <v>1578</v>
      </c>
      <c r="N419" s="845">
        <f t="shared" si="43"/>
        <v>-9.6737263880938756E-2</v>
      </c>
      <c r="O419" s="735">
        <v>0.37222255819545058</v>
      </c>
      <c r="P419" s="735">
        <f t="shared" si="44"/>
        <v>4239.3991585308677</v>
      </c>
      <c r="Q419" s="849">
        <v>40.6</v>
      </c>
      <c r="R419" s="71">
        <v>95167</v>
      </c>
      <c r="S419" s="845">
        <v>0.11216730038022814</v>
      </c>
      <c r="T419" s="845">
        <v>5.7000000000000002E-2</v>
      </c>
      <c r="U419" s="845">
        <v>0.03</v>
      </c>
      <c r="V419" s="845">
        <v>0</v>
      </c>
      <c r="W419" s="845">
        <v>0.49083769633507851</v>
      </c>
      <c r="X419" s="845">
        <v>0.44533333333333336</v>
      </c>
      <c r="Y419" s="845">
        <v>0.68060836501901145</v>
      </c>
      <c r="Z419" s="845">
        <v>0.24334600760456274</v>
      </c>
      <c r="AA419" s="845">
        <v>0</v>
      </c>
      <c r="AB419" s="845">
        <v>1.0773130544993664E-2</v>
      </c>
      <c r="AC419" s="845">
        <v>0</v>
      </c>
      <c r="AD419" s="845">
        <v>2.4714828897338403E-2</v>
      </c>
      <c r="AE419" s="845">
        <v>4.0557667934093787E-2</v>
      </c>
      <c r="AF419" s="845">
        <v>4.4993662864385296E-2</v>
      </c>
      <c r="AG419" s="845">
        <v>0.66730038022813687</v>
      </c>
      <c r="AH419" s="20" t="str">
        <f t="shared" si="45"/>
        <v>No</v>
      </c>
      <c r="AI419" s="25"/>
      <c r="AJ419" s="20">
        <v>44851</v>
      </c>
      <c r="AK419" s="20" t="s">
        <v>1498</v>
      </c>
      <c r="AL419" s="20">
        <v>39093</v>
      </c>
      <c r="AM419" s="20" t="s">
        <v>52</v>
      </c>
      <c r="AN419" s="37">
        <f t="shared" si="46"/>
        <v>17410</v>
      </c>
      <c r="AO419" s="37" t="str">
        <f t="shared" si="47"/>
        <v>Cleveland, OH</v>
      </c>
      <c r="AP419" s="20" t="s">
        <v>8</v>
      </c>
      <c r="AQ419" s="25"/>
      <c r="AR419" s="25"/>
      <c r="AS419" s="25"/>
      <c r="AT419" s="25"/>
      <c r="AU419" s="36"/>
      <c r="AV419" s="36"/>
      <c r="AW419" s="36"/>
      <c r="AX419" s="25"/>
      <c r="AY419" s="25"/>
      <c r="AZ419" s="25"/>
      <c r="BA419" s="25"/>
      <c r="BB419" s="25"/>
      <c r="BC419" s="25"/>
      <c r="BD419" s="25"/>
      <c r="BE419" s="25"/>
      <c r="BF419" s="25"/>
      <c r="BG419" s="25"/>
      <c r="BH419" s="25"/>
      <c r="BI419" s="25"/>
      <c r="BJ419" s="25"/>
      <c r="BK419" s="25"/>
      <c r="BL419" s="25"/>
      <c r="BM419" s="25"/>
      <c r="BN419" s="25"/>
      <c r="BO419" s="25"/>
      <c r="BP419" s="25"/>
      <c r="BQ419" s="25"/>
      <c r="BR419" s="25"/>
      <c r="BS419" s="25"/>
      <c r="BT419" s="25"/>
      <c r="BU419" s="39">
        <v>44880</v>
      </c>
      <c r="BV419" s="39" t="s">
        <v>1514</v>
      </c>
      <c r="BW419" s="39" t="s">
        <v>2900</v>
      </c>
      <c r="BX419" s="39" t="s">
        <v>2852</v>
      </c>
      <c r="BY419" s="71">
        <v>770</v>
      </c>
      <c r="BZ419" s="71">
        <v>860</v>
      </c>
      <c r="CA419" s="71">
        <v>1070</v>
      </c>
      <c r="CB419" s="71">
        <v>1370</v>
      </c>
      <c r="CC419" s="71">
        <v>1560</v>
      </c>
      <c r="CD419" s="25"/>
      <c r="CE419" s="200"/>
      <c r="CF419" s="200"/>
      <c r="CG419" s="200"/>
      <c r="CH419" s="200"/>
      <c r="CI419" s="200"/>
      <c r="CJ419" s="200"/>
      <c r="CK419" s="200"/>
      <c r="CL419" s="200"/>
      <c r="CM419" s="200"/>
      <c r="CN419" s="200"/>
      <c r="CO419" s="200"/>
      <c r="CP419" s="200"/>
      <c r="CQ419" s="200"/>
      <c r="CR419" s="200"/>
      <c r="CS419" s="200"/>
      <c r="CT419" s="200"/>
      <c r="CU419" s="200"/>
    </row>
    <row r="420" spans="1:99" s="17" customFormat="1" x14ac:dyDescent="0.2">
      <c r="A420" s="25"/>
      <c r="B420" s="20">
        <v>39049007199</v>
      </c>
      <c r="C420" s="20">
        <v>71.989999999999995</v>
      </c>
      <c r="D420" s="20" t="s">
        <v>31</v>
      </c>
      <c r="E420" s="20" t="s">
        <v>2830</v>
      </c>
      <c r="F420" s="20" t="s">
        <v>8</v>
      </c>
      <c r="G420" s="861">
        <v>66.039738789275304</v>
      </c>
      <c r="H420" s="861">
        <v>75.879071008479599</v>
      </c>
      <c r="I420" s="861">
        <v>29.215867234728599</v>
      </c>
      <c r="J420" s="861">
        <v>47.939847727924899</v>
      </c>
      <c r="K420" s="982">
        <v>0</v>
      </c>
      <c r="L420" s="735">
        <v>5682</v>
      </c>
      <c r="M420" s="735">
        <v>7347</v>
      </c>
      <c r="N420" s="845">
        <f t="shared" si="43"/>
        <v>0.29303062302006339</v>
      </c>
      <c r="O420" s="735">
        <v>1.3606687947304901</v>
      </c>
      <c r="P420" s="735">
        <f t="shared" si="44"/>
        <v>5399.5505948640739</v>
      </c>
      <c r="Q420" s="849">
        <v>35.200000000000003</v>
      </c>
      <c r="R420" s="71">
        <v>72284</v>
      </c>
      <c r="S420" s="845">
        <v>4.0141998907700711E-2</v>
      </c>
      <c r="T420" s="845">
        <v>8.199999999999999E-2</v>
      </c>
      <c r="U420" s="845">
        <v>0</v>
      </c>
      <c r="V420" s="845">
        <v>4.4000000000000004E-2</v>
      </c>
      <c r="W420" s="845">
        <v>0.41750167000668004</v>
      </c>
      <c r="X420" s="845">
        <v>0.34639999999999999</v>
      </c>
      <c r="Y420" s="845">
        <v>0.53845106846331836</v>
      </c>
      <c r="Z420" s="845">
        <v>0.32680005444399074</v>
      </c>
      <c r="AA420" s="845">
        <v>0</v>
      </c>
      <c r="AB420" s="845">
        <v>8.466040560773104E-2</v>
      </c>
      <c r="AC420" s="845">
        <v>0</v>
      </c>
      <c r="AD420" s="845">
        <v>2.3274806043282973E-2</v>
      </c>
      <c r="AE420" s="845">
        <v>2.6813665441676876E-2</v>
      </c>
      <c r="AF420" s="845">
        <v>2.1641486320947326E-2</v>
      </c>
      <c r="AG420" s="845">
        <v>0.53845106846331836</v>
      </c>
      <c r="AH420" s="20" t="str">
        <f t="shared" si="45"/>
        <v>No</v>
      </c>
      <c r="AI420" s="25"/>
      <c r="AJ420" s="37">
        <v>44859</v>
      </c>
      <c r="AK420" s="37" t="s">
        <v>1504</v>
      </c>
      <c r="AL420" s="37">
        <v>39093</v>
      </c>
      <c r="AM420" s="37" t="s">
        <v>52</v>
      </c>
      <c r="AN420" s="37">
        <f t="shared" si="46"/>
        <v>17410</v>
      </c>
      <c r="AO420" s="37" t="str">
        <f t="shared" si="47"/>
        <v>Cleveland, OH</v>
      </c>
      <c r="AP420" s="20" t="s">
        <v>8</v>
      </c>
      <c r="AQ420" s="25"/>
      <c r="AR420" s="25"/>
      <c r="AS420" s="25"/>
      <c r="AT420" s="25"/>
      <c r="AU420" s="36"/>
      <c r="AV420" s="36"/>
      <c r="AW420" s="36"/>
      <c r="AX420" s="25"/>
      <c r="AY420" s="25"/>
      <c r="AZ420" s="25"/>
      <c r="BA420" s="25"/>
      <c r="BB420" s="25"/>
      <c r="BC420" s="25"/>
      <c r="BD420" s="25"/>
      <c r="BE420" s="25"/>
      <c r="BF420" s="25"/>
      <c r="BG420" s="25"/>
      <c r="BH420" s="25"/>
      <c r="BI420" s="25"/>
      <c r="BJ420" s="25"/>
      <c r="BK420" s="25"/>
      <c r="BL420" s="25"/>
      <c r="BM420" s="25"/>
      <c r="BN420" s="25"/>
      <c r="BO420" s="25"/>
      <c r="BP420" s="25"/>
      <c r="BQ420" s="25"/>
      <c r="BR420" s="25"/>
      <c r="BS420" s="25"/>
      <c r="BT420" s="25"/>
      <c r="BU420" s="39">
        <v>44889</v>
      </c>
      <c r="BV420" s="39" t="s">
        <v>1519</v>
      </c>
      <c r="BW420" s="39" t="s">
        <v>2900</v>
      </c>
      <c r="BX420" s="39" t="s">
        <v>2852</v>
      </c>
      <c r="BY420" s="71">
        <v>870</v>
      </c>
      <c r="BZ420" s="71">
        <v>900</v>
      </c>
      <c r="CA420" s="71">
        <v>1150</v>
      </c>
      <c r="CB420" s="71">
        <v>1440</v>
      </c>
      <c r="CC420" s="71">
        <v>1730</v>
      </c>
      <c r="CD420" s="25"/>
      <c r="CE420" s="200"/>
      <c r="CF420" s="200"/>
      <c r="CG420" s="200"/>
      <c r="CH420" s="200"/>
      <c r="CI420" s="200"/>
      <c r="CJ420" s="200"/>
      <c r="CK420" s="200"/>
      <c r="CL420" s="200"/>
      <c r="CM420" s="200"/>
      <c r="CN420" s="200"/>
      <c r="CO420" s="200"/>
      <c r="CP420" s="200"/>
      <c r="CQ420" s="200"/>
      <c r="CR420" s="200"/>
      <c r="CS420" s="200"/>
      <c r="CT420" s="200"/>
      <c r="CU420" s="200"/>
    </row>
    <row r="421" spans="1:99" s="17" customFormat="1" x14ac:dyDescent="0.2">
      <c r="A421" s="25"/>
      <c r="B421" s="20">
        <v>39165032011</v>
      </c>
      <c r="C421" s="20">
        <v>320.11</v>
      </c>
      <c r="D421" s="20" t="s">
        <v>88</v>
      </c>
      <c r="E421" s="20" t="s">
        <v>2828</v>
      </c>
      <c r="F421" s="20" t="s">
        <v>8</v>
      </c>
      <c r="G421" s="861">
        <v>65.988931010117298</v>
      </c>
      <c r="H421" s="861">
        <v>62.411649874061503</v>
      </c>
      <c r="I421" s="861">
        <v>23.907398365057301</v>
      </c>
      <c r="J421" s="861">
        <v>51.046938148307703</v>
      </c>
      <c r="K421" s="982">
        <v>0</v>
      </c>
      <c r="L421" s="735" t="s">
        <v>2466</v>
      </c>
      <c r="M421" s="735">
        <v>3276</v>
      </c>
      <c r="N421" s="845" t="str">
        <f t="shared" si="43"/>
        <v/>
      </c>
      <c r="O421" s="735">
        <v>0.76878576867289172</v>
      </c>
      <c r="P421" s="735">
        <f t="shared" si="44"/>
        <v>4261.2651449768118</v>
      </c>
      <c r="Q421" s="849">
        <v>30.4</v>
      </c>
      <c r="R421" s="71">
        <v>86458</v>
      </c>
      <c r="S421" s="845">
        <v>2.9609279609279608E-2</v>
      </c>
      <c r="T421" s="845">
        <v>0</v>
      </c>
      <c r="U421" s="845">
        <v>0</v>
      </c>
      <c r="V421" s="845">
        <v>3.2000000000000001E-2</v>
      </c>
      <c r="W421" s="845">
        <v>0.5110966057441253</v>
      </c>
      <c r="X421" s="845">
        <v>0.30395913154533843</v>
      </c>
      <c r="Y421" s="845">
        <v>0.75183150183150182</v>
      </c>
      <c r="Z421" s="845">
        <v>2.2893772893772892E-2</v>
      </c>
      <c r="AA421" s="845">
        <v>0</v>
      </c>
      <c r="AB421" s="845">
        <v>0.16178266178266179</v>
      </c>
      <c r="AC421" s="845">
        <v>0</v>
      </c>
      <c r="AD421" s="845">
        <v>5.9523809523809521E-2</v>
      </c>
      <c r="AE421" s="845">
        <v>3.968253968253968E-3</v>
      </c>
      <c r="AF421" s="845">
        <v>7.448107448107448E-2</v>
      </c>
      <c r="AG421" s="845">
        <v>0.74786324786324787</v>
      </c>
      <c r="AH421" s="20" t="str">
        <f t="shared" si="45"/>
        <v>No</v>
      </c>
      <c r="AI421" s="25"/>
      <c r="AJ421" s="20">
        <v>44880</v>
      </c>
      <c r="AK421" s="20" t="s">
        <v>1514</v>
      </c>
      <c r="AL421" s="20">
        <v>39093</v>
      </c>
      <c r="AM421" s="20" t="s">
        <v>52</v>
      </c>
      <c r="AN421" s="37">
        <f t="shared" si="46"/>
        <v>17410</v>
      </c>
      <c r="AO421" s="37" t="str">
        <f t="shared" si="47"/>
        <v>Cleveland, OH</v>
      </c>
      <c r="AP421" s="20" t="s">
        <v>8</v>
      </c>
      <c r="AQ421" s="25"/>
      <c r="AR421" s="25"/>
      <c r="AS421" s="25"/>
      <c r="AT421" s="25"/>
      <c r="AU421" s="36"/>
      <c r="AV421" s="36"/>
      <c r="AW421" s="36"/>
      <c r="AX421" s="25"/>
      <c r="AY421" s="25"/>
      <c r="AZ421" s="25"/>
      <c r="BA421" s="25"/>
      <c r="BB421" s="25"/>
      <c r="BC421" s="25"/>
      <c r="BD421" s="25"/>
      <c r="BE421" s="25"/>
      <c r="BF421" s="25"/>
      <c r="BG421" s="25"/>
      <c r="BH421" s="25"/>
      <c r="BI421" s="25"/>
      <c r="BJ421" s="25"/>
      <c r="BK421" s="25"/>
      <c r="BL421" s="25"/>
      <c r="BM421" s="25"/>
      <c r="BN421" s="25"/>
      <c r="BO421" s="25"/>
      <c r="BP421" s="25"/>
      <c r="BQ421" s="25"/>
      <c r="BR421" s="25"/>
      <c r="BS421" s="25"/>
      <c r="BT421" s="25"/>
      <c r="BU421" s="39">
        <v>43160</v>
      </c>
      <c r="BV421" s="39" t="s">
        <v>833</v>
      </c>
      <c r="BW421" s="39" t="s">
        <v>2885</v>
      </c>
      <c r="BX421" s="39" t="s">
        <v>2886</v>
      </c>
      <c r="BY421" s="71">
        <v>740</v>
      </c>
      <c r="BZ421" s="71">
        <v>830</v>
      </c>
      <c r="CA421" s="71">
        <v>980</v>
      </c>
      <c r="CB421" s="71">
        <v>1260</v>
      </c>
      <c r="CC421" s="71">
        <v>1400</v>
      </c>
      <c r="CD421" s="25"/>
      <c r="CE421" s="200"/>
      <c r="CF421" s="200"/>
      <c r="CG421" s="200"/>
      <c r="CH421" s="200"/>
      <c r="CI421" s="200"/>
      <c r="CJ421" s="200"/>
      <c r="CK421" s="200"/>
      <c r="CL421" s="200"/>
      <c r="CM421" s="200"/>
      <c r="CN421" s="200"/>
      <c r="CO421" s="200"/>
      <c r="CP421" s="200"/>
      <c r="CQ421" s="200"/>
      <c r="CR421" s="200"/>
      <c r="CS421" s="200"/>
      <c r="CT421" s="200"/>
      <c r="CU421" s="200"/>
    </row>
    <row r="422" spans="1:99" s="17" customFormat="1" x14ac:dyDescent="0.2">
      <c r="A422" s="25"/>
      <c r="B422" s="20">
        <v>39093010300</v>
      </c>
      <c r="C422" s="20">
        <v>103</v>
      </c>
      <c r="D422" s="20" t="s">
        <v>52</v>
      </c>
      <c r="E422" s="20" t="s">
        <v>2829</v>
      </c>
      <c r="F422" s="20" t="s">
        <v>8</v>
      </c>
      <c r="G422" s="861">
        <v>65.984775699148798</v>
      </c>
      <c r="H422" s="861">
        <v>55.207121964454799</v>
      </c>
      <c r="I422" s="861">
        <v>25.048133191337001</v>
      </c>
      <c r="J422" s="861">
        <v>45.442189713647899</v>
      </c>
      <c r="K422" s="982">
        <v>0</v>
      </c>
      <c r="L422" s="735">
        <v>5214</v>
      </c>
      <c r="M422" s="735">
        <v>5500</v>
      </c>
      <c r="N422" s="845">
        <f t="shared" si="43"/>
        <v>5.4852320675105488E-2</v>
      </c>
      <c r="O422" s="735">
        <v>1.7451277025360554</v>
      </c>
      <c r="P422" s="735">
        <f t="shared" si="44"/>
        <v>3151.6318215608444</v>
      </c>
      <c r="Q422" s="849">
        <v>43.6</v>
      </c>
      <c r="R422" s="71">
        <v>99922</v>
      </c>
      <c r="S422" s="845">
        <v>3.1934645376903083E-2</v>
      </c>
      <c r="T422" s="845">
        <v>1.3000000000000001E-2</v>
      </c>
      <c r="U422" s="845">
        <v>0</v>
      </c>
      <c r="V422" s="845">
        <v>0.13900000000000001</v>
      </c>
      <c r="W422" s="845">
        <v>0.15621052631578947</v>
      </c>
      <c r="X422" s="845">
        <v>0.49326145552560646</v>
      </c>
      <c r="Y422" s="845">
        <v>0.90981818181818186</v>
      </c>
      <c r="Z422" s="845">
        <v>1.4E-2</v>
      </c>
      <c r="AA422" s="845">
        <v>7.0909090909090913E-3</v>
      </c>
      <c r="AB422" s="845">
        <v>1.0727272727272728E-2</v>
      </c>
      <c r="AC422" s="845">
        <v>0</v>
      </c>
      <c r="AD422" s="845">
        <v>5.0909090909090913E-3</v>
      </c>
      <c r="AE422" s="845">
        <v>5.327272727272727E-2</v>
      </c>
      <c r="AF422" s="845">
        <v>2.5636363636363638E-2</v>
      </c>
      <c r="AG422" s="845">
        <v>0.90981818181818186</v>
      </c>
      <c r="AH422" s="20" t="str">
        <f t="shared" si="45"/>
        <v>Yes</v>
      </c>
      <c r="AI422" s="25"/>
      <c r="AJ422" s="20">
        <v>44889</v>
      </c>
      <c r="AK422" s="20" t="s">
        <v>1519</v>
      </c>
      <c r="AL422" s="20">
        <v>39093</v>
      </c>
      <c r="AM422" s="20" t="s">
        <v>52</v>
      </c>
      <c r="AN422" s="37">
        <f t="shared" si="46"/>
        <v>17410</v>
      </c>
      <c r="AO422" s="37" t="str">
        <f t="shared" si="47"/>
        <v>Cleveland, OH</v>
      </c>
      <c r="AP422" s="20" t="s">
        <v>8</v>
      </c>
      <c r="AQ422" s="25"/>
      <c r="AR422" s="25"/>
      <c r="AS422" s="25"/>
      <c r="AT422" s="25"/>
      <c r="AU422" s="36"/>
      <c r="AV422" s="36"/>
      <c r="AW422" s="36"/>
      <c r="AX422" s="25"/>
      <c r="AY422" s="25"/>
      <c r="AZ422" s="25"/>
      <c r="BA422" s="25"/>
      <c r="BB422" s="25"/>
      <c r="BC422" s="25"/>
      <c r="BD422" s="25"/>
      <c r="BE422" s="25"/>
      <c r="BF422" s="25"/>
      <c r="BG422" s="25"/>
      <c r="BH422" s="25"/>
      <c r="BI422" s="25"/>
      <c r="BJ422" s="25"/>
      <c r="BK422" s="25"/>
      <c r="BL422" s="25"/>
      <c r="BM422" s="25"/>
      <c r="BN422" s="25"/>
      <c r="BO422" s="25"/>
      <c r="BP422" s="25"/>
      <c r="BQ422" s="25"/>
      <c r="BR422" s="25"/>
      <c r="BS422" s="25"/>
      <c r="BT422" s="25"/>
      <c r="BU422" s="39">
        <v>45135</v>
      </c>
      <c r="BV422" s="39" t="s">
        <v>1581</v>
      </c>
      <c r="BW422" s="39" t="s">
        <v>2885</v>
      </c>
      <c r="BX422" s="39" t="s">
        <v>2886</v>
      </c>
      <c r="BY422" s="71">
        <v>800</v>
      </c>
      <c r="BZ422" s="71">
        <v>910</v>
      </c>
      <c r="CA422" s="71">
        <v>1060</v>
      </c>
      <c r="CB422" s="71">
        <v>1280</v>
      </c>
      <c r="CC422" s="71">
        <v>1610</v>
      </c>
      <c r="CD422" s="25"/>
      <c r="CE422" s="200"/>
      <c r="CF422" s="200"/>
      <c r="CG422" s="200"/>
      <c r="CH422" s="200"/>
      <c r="CI422" s="200"/>
      <c r="CJ422" s="200"/>
      <c r="CK422" s="200"/>
      <c r="CL422" s="200"/>
      <c r="CM422" s="200"/>
      <c r="CN422" s="200"/>
      <c r="CO422" s="200"/>
      <c r="CP422" s="200"/>
      <c r="CQ422" s="200"/>
      <c r="CR422" s="200"/>
      <c r="CS422" s="200"/>
      <c r="CT422" s="200"/>
      <c r="CU422" s="200"/>
    </row>
    <row r="423" spans="1:99" s="17" customFormat="1" x14ac:dyDescent="0.2">
      <c r="A423" s="25"/>
      <c r="B423" s="20">
        <v>39113020200</v>
      </c>
      <c r="C423" s="20">
        <v>202</v>
      </c>
      <c r="D423" s="20" t="s">
        <v>62</v>
      </c>
      <c r="E423" s="20" t="s">
        <v>2833</v>
      </c>
      <c r="F423" s="20" t="s">
        <v>8</v>
      </c>
      <c r="G423" s="861">
        <v>65.975849829560303</v>
      </c>
      <c r="H423" s="861">
        <v>67.585149368498605</v>
      </c>
      <c r="I423" s="861">
        <v>31.2407202769398</v>
      </c>
      <c r="J423" s="861">
        <v>46.1079334145006</v>
      </c>
      <c r="K423" s="982">
        <v>0</v>
      </c>
      <c r="L423" s="735">
        <v>2921</v>
      </c>
      <c r="M423" s="735">
        <v>2754</v>
      </c>
      <c r="N423" s="845">
        <f t="shared" si="43"/>
        <v>-5.717220130092434E-2</v>
      </c>
      <c r="O423" s="735">
        <v>0.91858413975498909</v>
      </c>
      <c r="P423" s="735">
        <f t="shared" si="44"/>
        <v>2998.0922604809671</v>
      </c>
      <c r="Q423" s="849">
        <v>49.5</v>
      </c>
      <c r="R423" s="71">
        <v>73846</v>
      </c>
      <c r="S423" s="845">
        <v>9.5293660054453513E-2</v>
      </c>
      <c r="T423" s="845">
        <v>5.5E-2</v>
      </c>
      <c r="U423" s="845">
        <v>0</v>
      </c>
      <c r="V423" s="845">
        <v>0</v>
      </c>
      <c r="W423" s="845">
        <v>0.25167224080267558</v>
      </c>
      <c r="X423" s="845">
        <v>0.30564784053156147</v>
      </c>
      <c r="Y423" s="845">
        <v>0.86710239651416121</v>
      </c>
      <c r="Z423" s="845">
        <v>3.3405954974582423E-2</v>
      </c>
      <c r="AA423" s="845">
        <v>0</v>
      </c>
      <c r="AB423" s="845">
        <v>0</v>
      </c>
      <c r="AC423" s="845">
        <v>0</v>
      </c>
      <c r="AD423" s="845">
        <v>2.9411764705882353E-2</v>
      </c>
      <c r="AE423" s="845">
        <v>7.0079883805373999E-2</v>
      </c>
      <c r="AF423" s="845">
        <v>9.2229484386347135E-2</v>
      </c>
      <c r="AG423" s="845">
        <v>0.85475671750181559</v>
      </c>
      <c r="AH423" s="20" t="str">
        <f t="shared" si="45"/>
        <v>No</v>
      </c>
      <c r="AI423" s="25"/>
      <c r="AJ423" s="37">
        <v>44090</v>
      </c>
      <c r="AK423" s="37" t="s">
        <v>1198</v>
      </c>
      <c r="AL423" s="37">
        <v>39103</v>
      </c>
      <c r="AM423" s="37" t="s">
        <v>57</v>
      </c>
      <c r="AN423" s="37">
        <f t="shared" si="46"/>
        <v>17410</v>
      </c>
      <c r="AO423" s="37" t="str">
        <f t="shared" si="47"/>
        <v>Cleveland, OH</v>
      </c>
      <c r="AP423" s="20" t="s">
        <v>8</v>
      </c>
      <c r="AQ423" s="25"/>
      <c r="AR423" s="25"/>
      <c r="AS423" s="25"/>
      <c r="AT423" s="25"/>
      <c r="AU423" s="36"/>
      <c r="AV423" s="36"/>
      <c r="AW423" s="36"/>
      <c r="AX423" s="25"/>
      <c r="AY423" s="25"/>
      <c r="AZ423" s="25"/>
      <c r="BA423" s="25"/>
      <c r="BB423" s="25"/>
      <c r="BC423" s="25"/>
      <c r="BD423" s="25"/>
      <c r="BE423" s="25"/>
      <c r="BF423" s="25"/>
      <c r="BG423" s="25"/>
      <c r="BH423" s="25"/>
      <c r="BI423" s="25"/>
      <c r="BJ423" s="25"/>
      <c r="BK423" s="25"/>
      <c r="BL423" s="25"/>
      <c r="BM423" s="25"/>
      <c r="BN423" s="25"/>
      <c r="BO423" s="25"/>
      <c r="BP423" s="25"/>
      <c r="BQ423" s="25"/>
      <c r="BR423" s="25"/>
      <c r="BS423" s="25"/>
      <c r="BT423" s="25"/>
      <c r="BU423" s="39">
        <v>45146</v>
      </c>
      <c r="BV423" s="39" t="s">
        <v>1585</v>
      </c>
      <c r="BW423" s="39" t="s">
        <v>2885</v>
      </c>
      <c r="BX423" s="39" t="s">
        <v>2886</v>
      </c>
      <c r="BY423" s="71">
        <v>870</v>
      </c>
      <c r="BZ423" s="71">
        <v>940</v>
      </c>
      <c r="CA423" s="71">
        <v>1150</v>
      </c>
      <c r="CB423" s="71">
        <v>1510</v>
      </c>
      <c r="CC423" s="71">
        <v>1900</v>
      </c>
      <c r="CD423" s="25"/>
      <c r="CE423" s="200"/>
      <c r="CF423" s="200"/>
      <c r="CG423" s="200"/>
      <c r="CH423" s="200"/>
      <c r="CI423" s="200"/>
      <c r="CJ423" s="200"/>
      <c r="CK423" s="200"/>
      <c r="CL423" s="200"/>
      <c r="CM423" s="200"/>
      <c r="CN423" s="200"/>
      <c r="CO423" s="200"/>
      <c r="CP423" s="200"/>
      <c r="CQ423" s="200"/>
      <c r="CR423" s="200"/>
      <c r="CS423" s="200"/>
      <c r="CT423" s="200"/>
      <c r="CU423" s="200"/>
    </row>
    <row r="424" spans="1:99" s="17" customFormat="1" x14ac:dyDescent="0.2">
      <c r="A424" s="25"/>
      <c r="B424" s="20">
        <v>39061023600</v>
      </c>
      <c r="C424" s="20">
        <v>236</v>
      </c>
      <c r="D424" s="20" t="s">
        <v>37</v>
      </c>
      <c r="E424" s="20" t="s">
        <v>2828</v>
      </c>
      <c r="F424" s="20" t="s">
        <v>8</v>
      </c>
      <c r="G424" s="861">
        <v>65.974919838713902</v>
      </c>
      <c r="H424" s="861">
        <v>65.965006769206795</v>
      </c>
      <c r="I424" s="861">
        <v>29.515353988817701</v>
      </c>
      <c r="J424" s="861">
        <v>49.477344437335702</v>
      </c>
      <c r="K424" s="982">
        <v>0</v>
      </c>
      <c r="L424" s="735">
        <v>4146</v>
      </c>
      <c r="M424" s="735">
        <v>3923</v>
      </c>
      <c r="N424" s="845">
        <f t="shared" si="43"/>
        <v>-5.37867824409069E-2</v>
      </c>
      <c r="O424" s="735">
        <v>1.1132904390051428</v>
      </c>
      <c r="P424" s="735">
        <f t="shared" si="44"/>
        <v>3523.7884585676188</v>
      </c>
      <c r="Q424" s="849">
        <v>38</v>
      </c>
      <c r="R424" s="71">
        <v>78519</v>
      </c>
      <c r="S424" s="845">
        <v>4.2569462146316593E-2</v>
      </c>
      <c r="T424" s="845">
        <v>1.8000000000000002E-2</v>
      </c>
      <c r="U424" s="845">
        <v>1.3000000000000001E-2</v>
      </c>
      <c r="V424" s="845">
        <v>2.7000000000000003E-2</v>
      </c>
      <c r="W424" s="845">
        <v>0.18324022346368715</v>
      </c>
      <c r="X424" s="845">
        <v>0.51829268292682928</v>
      </c>
      <c r="Y424" s="845">
        <v>0.96303849095080296</v>
      </c>
      <c r="Z424" s="845">
        <v>7.3923018098394086E-3</v>
      </c>
      <c r="AA424" s="845">
        <v>0</v>
      </c>
      <c r="AB424" s="845">
        <v>2.3196533265358144E-2</v>
      </c>
      <c r="AC424" s="845">
        <v>0</v>
      </c>
      <c r="AD424" s="845">
        <v>1.7843487127198571E-3</v>
      </c>
      <c r="AE424" s="845">
        <v>4.5883252612796332E-3</v>
      </c>
      <c r="AF424" s="845">
        <v>2.8039765485597759E-3</v>
      </c>
      <c r="AG424" s="845">
        <v>0.96201886311496299</v>
      </c>
      <c r="AH424" s="20" t="str">
        <f t="shared" si="45"/>
        <v>Yes</v>
      </c>
      <c r="AI424" s="25"/>
      <c r="AJ424" s="20">
        <v>44149</v>
      </c>
      <c r="AK424" s="20" t="s">
        <v>1251</v>
      </c>
      <c r="AL424" s="20">
        <v>39103</v>
      </c>
      <c r="AM424" s="20" t="s">
        <v>57</v>
      </c>
      <c r="AN424" s="37">
        <f t="shared" si="46"/>
        <v>17410</v>
      </c>
      <c r="AO424" s="37" t="str">
        <f t="shared" si="47"/>
        <v>Cleveland, OH</v>
      </c>
      <c r="AP424" s="20" t="s">
        <v>8</v>
      </c>
      <c r="AQ424" s="25"/>
      <c r="AR424" s="25"/>
      <c r="AS424" s="25"/>
      <c r="AT424" s="25"/>
      <c r="AU424" s="36"/>
      <c r="AV424" s="36"/>
      <c r="AW424" s="36"/>
      <c r="AX424" s="25"/>
      <c r="AY424" s="25"/>
      <c r="AZ424" s="25"/>
      <c r="BA424" s="25"/>
      <c r="BB424" s="25"/>
      <c r="BC424" s="25"/>
      <c r="BD424" s="25"/>
      <c r="BE424" s="25"/>
      <c r="BF424" s="25"/>
      <c r="BG424" s="25"/>
      <c r="BH424" s="25"/>
      <c r="BI424" s="25"/>
      <c r="BJ424" s="25"/>
      <c r="BK424" s="25"/>
      <c r="BL424" s="25"/>
      <c r="BM424" s="25"/>
      <c r="BN424" s="25"/>
      <c r="BO424" s="25"/>
      <c r="BP424" s="25"/>
      <c r="BQ424" s="25"/>
      <c r="BR424" s="25"/>
      <c r="BS424" s="25"/>
      <c r="BT424" s="25"/>
      <c r="BU424" s="39">
        <v>45159</v>
      </c>
      <c r="BV424" s="39" t="s">
        <v>1596</v>
      </c>
      <c r="BW424" s="39" t="s">
        <v>2885</v>
      </c>
      <c r="BX424" s="39" t="s">
        <v>2886</v>
      </c>
      <c r="BY424" s="71">
        <v>840</v>
      </c>
      <c r="BZ424" s="71">
        <v>920</v>
      </c>
      <c r="CA424" s="71">
        <v>1110</v>
      </c>
      <c r="CB424" s="71">
        <v>1420</v>
      </c>
      <c r="CC424" s="71">
        <v>1790</v>
      </c>
      <c r="CD424" s="25"/>
      <c r="CE424" s="200"/>
      <c r="CF424" s="200"/>
      <c r="CG424" s="200"/>
      <c r="CH424" s="200"/>
      <c r="CI424" s="200"/>
      <c r="CJ424" s="200"/>
      <c r="CK424" s="200"/>
      <c r="CL424" s="200"/>
      <c r="CM424" s="200"/>
      <c r="CN424" s="200"/>
      <c r="CO424" s="200"/>
      <c r="CP424" s="200"/>
      <c r="CQ424" s="200"/>
      <c r="CR424" s="200"/>
      <c r="CS424" s="200"/>
      <c r="CT424" s="200"/>
      <c r="CU424" s="200"/>
    </row>
    <row r="425" spans="1:99" s="17" customFormat="1" x14ac:dyDescent="0.2">
      <c r="A425" s="25"/>
      <c r="B425" s="20">
        <v>39041011565</v>
      </c>
      <c r="C425" s="20">
        <v>115.65</v>
      </c>
      <c r="D425" s="20" t="s">
        <v>27</v>
      </c>
      <c r="E425" s="20" t="s">
        <v>2830</v>
      </c>
      <c r="F425" s="20" t="s">
        <v>8</v>
      </c>
      <c r="G425" s="861">
        <v>65.974349707256906</v>
      </c>
      <c r="H425" s="861">
        <v>80.759940392191794</v>
      </c>
      <c r="I425" s="861">
        <v>15.052306436312399</v>
      </c>
      <c r="J425" s="861">
        <v>54.573459668931299</v>
      </c>
      <c r="K425" s="982">
        <v>0</v>
      </c>
      <c r="L425" s="735" t="s">
        <v>2466</v>
      </c>
      <c r="M425" s="735">
        <v>4187</v>
      </c>
      <c r="N425" s="845" t="str">
        <f t="shared" si="43"/>
        <v/>
      </c>
      <c r="O425" s="735">
        <v>12.063637234226531</v>
      </c>
      <c r="P425" s="735">
        <f t="shared" si="44"/>
        <v>347.07608648250709</v>
      </c>
      <c r="Q425" s="849">
        <v>41.1</v>
      </c>
      <c r="R425" s="71">
        <v>249904</v>
      </c>
      <c r="S425" s="845">
        <v>3.6875303250849104E-2</v>
      </c>
      <c r="T425" s="845">
        <v>1.9E-2</v>
      </c>
      <c r="U425" s="845">
        <v>0</v>
      </c>
      <c r="V425" s="845">
        <v>0</v>
      </c>
      <c r="W425" s="845">
        <v>3.6947791164658635E-2</v>
      </c>
      <c r="X425" s="845">
        <v>8.6956521739130432E-2</v>
      </c>
      <c r="Y425" s="845">
        <v>0.77262956770957725</v>
      </c>
      <c r="Z425" s="845">
        <v>4.8005732027704799E-2</v>
      </c>
      <c r="AA425" s="845">
        <v>0</v>
      </c>
      <c r="AB425" s="845">
        <v>6.0186290900406017E-2</v>
      </c>
      <c r="AC425" s="845">
        <v>0</v>
      </c>
      <c r="AD425" s="845">
        <v>1.3135896823501313E-2</v>
      </c>
      <c r="AE425" s="845">
        <v>0.1060425125388106</v>
      </c>
      <c r="AF425" s="845">
        <v>1.9584427991401959E-2</v>
      </c>
      <c r="AG425" s="845">
        <v>0.77024122283257701</v>
      </c>
      <c r="AH425" s="20" t="str">
        <f t="shared" si="45"/>
        <v>No</v>
      </c>
      <c r="AI425" s="25"/>
      <c r="AJ425" s="37">
        <v>44203</v>
      </c>
      <c r="AK425" s="37" t="s">
        <v>1254</v>
      </c>
      <c r="AL425" s="37">
        <v>39103</v>
      </c>
      <c r="AM425" s="37" t="s">
        <v>57</v>
      </c>
      <c r="AN425" s="37">
        <f t="shared" si="46"/>
        <v>17410</v>
      </c>
      <c r="AO425" s="37" t="str">
        <f t="shared" si="47"/>
        <v>Cleveland, OH</v>
      </c>
      <c r="AP425" s="20" t="s">
        <v>8</v>
      </c>
      <c r="AQ425" s="25"/>
      <c r="AR425" s="25"/>
      <c r="AS425" s="25"/>
      <c r="AT425" s="25"/>
      <c r="AU425" s="36"/>
      <c r="AV425" s="36"/>
      <c r="AW425" s="36"/>
      <c r="AX425" s="25"/>
      <c r="AY425" s="25"/>
      <c r="AZ425" s="25"/>
      <c r="BA425" s="25"/>
      <c r="BB425" s="25"/>
      <c r="BC425" s="25"/>
      <c r="BD425" s="25"/>
      <c r="BE425" s="25"/>
      <c r="BF425" s="25"/>
      <c r="BG425" s="25"/>
      <c r="BH425" s="25"/>
      <c r="BI425" s="25"/>
      <c r="BJ425" s="25"/>
      <c r="BK425" s="25"/>
      <c r="BL425" s="25"/>
      <c r="BM425" s="25"/>
      <c r="BN425" s="25"/>
      <c r="BO425" s="25"/>
      <c r="BP425" s="25"/>
      <c r="BQ425" s="25"/>
      <c r="BR425" s="25"/>
      <c r="BS425" s="25"/>
      <c r="BT425" s="25"/>
      <c r="BU425" s="39">
        <v>45164</v>
      </c>
      <c r="BV425" s="39" t="s">
        <v>1599</v>
      </c>
      <c r="BW425" s="39" t="s">
        <v>2885</v>
      </c>
      <c r="BX425" s="39" t="s">
        <v>2886</v>
      </c>
      <c r="BY425" s="71">
        <v>740</v>
      </c>
      <c r="BZ425" s="71">
        <v>790</v>
      </c>
      <c r="CA425" s="71">
        <v>970</v>
      </c>
      <c r="CB425" s="71">
        <v>1280</v>
      </c>
      <c r="CC425" s="71">
        <v>1600</v>
      </c>
      <c r="CD425" s="25"/>
      <c r="CE425" s="200"/>
      <c r="CF425" s="200"/>
      <c r="CG425" s="200"/>
      <c r="CH425" s="200"/>
      <c r="CI425" s="200"/>
      <c r="CJ425" s="200"/>
      <c r="CK425" s="200"/>
      <c r="CL425" s="200"/>
      <c r="CM425" s="200"/>
      <c r="CN425" s="200"/>
      <c r="CO425" s="200"/>
      <c r="CP425" s="200"/>
      <c r="CQ425" s="200"/>
      <c r="CR425" s="200"/>
      <c r="CS425" s="200"/>
      <c r="CT425" s="200"/>
      <c r="CU425" s="200"/>
    </row>
    <row r="426" spans="1:99" s="17" customFormat="1" x14ac:dyDescent="0.2">
      <c r="A426" s="25"/>
      <c r="B426" s="20">
        <v>39045032902</v>
      </c>
      <c r="C426" s="20">
        <v>329.02</v>
      </c>
      <c r="D426" s="20" t="s">
        <v>29</v>
      </c>
      <c r="E426" s="20" t="s">
        <v>2830</v>
      </c>
      <c r="F426" s="20" t="s">
        <v>8</v>
      </c>
      <c r="G426" s="861">
        <v>65.906547140406104</v>
      </c>
      <c r="H426" s="861">
        <v>68.370486614348906</v>
      </c>
      <c r="I426" s="861">
        <v>12.813145316547001</v>
      </c>
      <c r="J426" s="861">
        <v>45.813564877565497</v>
      </c>
      <c r="K426" s="982">
        <v>0</v>
      </c>
      <c r="L426" s="735" t="s">
        <v>2466</v>
      </c>
      <c r="M426" s="735">
        <v>5909</v>
      </c>
      <c r="N426" s="845" t="str">
        <f t="shared" si="43"/>
        <v/>
      </c>
      <c r="O426" s="735">
        <v>2.3352307976425424</v>
      </c>
      <c r="P426" s="735">
        <f t="shared" si="44"/>
        <v>2530.3708763884247</v>
      </c>
      <c r="Q426" s="849">
        <v>38.9</v>
      </c>
      <c r="R426" s="71">
        <v>151484</v>
      </c>
      <c r="S426" s="845">
        <v>9.1525423728813556E-3</v>
      </c>
      <c r="T426" s="845">
        <v>1.8000000000000002E-2</v>
      </c>
      <c r="U426" s="845">
        <v>1.1000000000000001E-2</v>
      </c>
      <c r="V426" s="845">
        <v>0</v>
      </c>
      <c r="W426" s="845">
        <v>5.0704225352112674E-3</v>
      </c>
      <c r="X426" s="845">
        <v>0</v>
      </c>
      <c r="Y426" s="845">
        <v>0.80893552208495512</v>
      </c>
      <c r="Z426" s="845">
        <v>0.12235572854967</v>
      </c>
      <c r="AA426" s="845">
        <v>0</v>
      </c>
      <c r="AB426" s="845">
        <v>3.3677441191402945E-2</v>
      </c>
      <c r="AC426" s="845">
        <v>0</v>
      </c>
      <c r="AD426" s="845">
        <v>0</v>
      </c>
      <c r="AE426" s="845">
        <v>3.503130817397191E-2</v>
      </c>
      <c r="AF426" s="845">
        <v>2.7077339651379252E-3</v>
      </c>
      <c r="AG426" s="845">
        <v>0.80893552208495512</v>
      </c>
      <c r="AH426" s="20" t="str">
        <f t="shared" si="45"/>
        <v>No</v>
      </c>
      <c r="AI426" s="25"/>
      <c r="AJ426" s="20">
        <v>44212</v>
      </c>
      <c r="AK426" s="20" t="s">
        <v>1255</v>
      </c>
      <c r="AL426" s="20">
        <v>39103</v>
      </c>
      <c r="AM426" s="20" t="s">
        <v>57</v>
      </c>
      <c r="AN426" s="37">
        <f t="shared" si="46"/>
        <v>17410</v>
      </c>
      <c r="AO426" s="37" t="str">
        <f t="shared" si="47"/>
        <v>Cleveland, OH</v>
      </c>
      <c r="AP426" s="20" t="s">
        <v>8</v>
      </c>
      <c r="AQ426" s="25"/>
      <c r="AR426" s="25"/>
      <c r="AS426" s="25"/>
      <c r="AT426" s="25"/>
      <c r="AU426" s="36"/>
      <c r="AV426" s="36"/>
      <c r="AW426" s="36"/>
      <c r="AX426" s="25"/>
      <c r="AY426" s="25"/>
      <c r="AZ426" s="25"/>
      <c r="BA426" s="25"/>
      <c r="BB426" s="25"/>
      <c r="BC426" s="25"/>
      <c r="BD426" s="25"/>
      <c r="BE426" s="25"/>
      <c r="BF426" s="25"/>
      <c r="BG426" s="25"/>
      <c r="BH426" s="25"/>
      <c r="BI426" s="25"/>
      <c r="BJ426" s="25"/>
      <c r="BK426" s="25"/>
      <c r="BL426" s="25"/>
      <c r="BM426" s="25"/>
      <c r="BN426" s="25"/>
      <c r="BO426" s="25"/>
      <c r="BP426" s="25"/>
      <c r="BQ426" s="25"/>
      <c r="BR426" s="25"/>
      <c r="BS426" s="25"/>
      <c r="BT426" s="25"/>
      <c r="BU426" s="39">
        <v>45166</v>
      </c>
      <c r="BV426" s="39" t="s">
        <v>1600</v>
      </c>
      <c r="BW426" s="39" t="s">
        <v>2885</v>
      </c>
      <c r="BX426" s="39" t="s">
        <v>2886</v>
      </c>
      <c r="BY426" s="71">
        <v>780</v>
      </c>
      <c r="BZ426" s="71">
        <v>840</v>
      </c>
      <c r="CA426" s="71">
        <v>1030</v>
      </c>
      <c r="CB426" s="71">
        <v>1350</v>
      </c>
      <c r="CC426" s="71">
        <v>1700</v>
      </c>
      <c r="CD426" s="25"/>
      <c r="CE426" s="200"/>
      <c r="CF426" s="200"/>
      <c r="CG426" s="200"/>
      <c r="CH426" s="200"/>
      <c r="CI426" s="200"/>
      <c r="CJ426" s="200"/>
      <c r="CK426" s="200"/>
      <c r="CL426" s="200"/>
      <c r="CM426" s="200"/>
      <c r="CN426" s="200"/>
      <c r="CO426" s="200"/>
      <c r="CP426" s="200"/>
      <c r="CQ426" s="200"/>
      <c r="CR426" s="200"/>
      <c r="CS426" s="200"/>
      <c r="CT426" s="200"/>
      <c r="CU426" s="200"/>
    </row>
    <row r="427" spans="1:99" s="17" customFormat="1" x14ac:dyDescent="0.2">
      <c r="A427" s="25"/>
      <c r="B427" s="20">
        <v>39049007962</v>
      </c>
      <c r="C427" s="20">
        <v>79.62</v>
      </c>
      <c r="D427" s="20" t="s">
        <v>31</v>
      </c>
      <c r="E427" s="20" t="s">
        <v>2830</v>
      </c>
      <c r="F427" s="20" t="s">
        <v>8</v>
      </c>
      <c r="G427" s="861">
        <v>65.891639045373395</v>
      </c>
      <c r="H427" s="861">
        <v>72.684327209445897</v>
      </c>
      <c r="I427" s="861">
        <v>33.275654514804302</v>
      </c>
      <c r="J427" s="861">
        <v>48.4720383307708</v>
      </c>
      <c r="K427" s="982">
        <v>0</v>
      </c>
      <c r="L427" s="735" t="s">
        <v>2466</v>
      </c>
      <c r="M427" s="735">
        <v>5814</v>
      </c>
      <c r="N427" s="845" t="str">
        <f t="shared" si="43"/>
        <v/>
      </c>
      <c r="O427" s="735">
        <v>1.2635984649365823</v>
      </c>
      <c r="P427" s="735">
        <f t="shared" si="44"/>
        <v>4601.1451907642149</v>
      </c>
      <c r="Q427" s="849">
        <v>32.700000000000003</v>
      </c>
      <c r="R427" s="71">
        <v>97774</v>
      </c>
      <c r="S427" s="845">
        <v>0.18501291989664082</v>
      </c>
      <c r="T427" s="845">
        <v>0</v>
      </c>
      <c r="U427" s="845">
        <v>0</v>
      </c>
      <c r="V427" s="845">
        <v>0</v>
      </c>
      <c r="W427" s="845">
        <v>0.34712543554006969</v>
      </c>
      <c r="X427" s="845">
        <v>0.61355081555834379</v>
      </c>
      <c r="Y427" s="845">
        <v>0.83746130030959753</v>
      </c>
      <c r="Z427" s="845">
        <v>3.3367733058135535E-2</v>
      </c>
      <c r="AA427" s="845">
        <v>0</v>
      </c>
      <c r="AB427" s="845">
        <v>2.9755761953904367E-2</v>
      </c>
      <c r="AC427" s="845">
        <v>0</v>
      </c>
      <c r="AD427" s="845">
        <v>2.7519779841761265E-3</v>
      </c>
      <c r="AE427" s="845">
        <v>9.6663226694186449E-2</v>
      </c>
      <c r="AF427" s="845">
        <v>5.4007567939456484E-2</v>
      </c>
      <c r="AG427" s="845">
        <v>0.82387340901272788</v>
      </c>
      <c r="AH427" s="20" t="str">
        <f t="shared" si="45"/>
        <v>No</v>
      </c>
      <c r="AI427" s="25"/>
      <c r="AJ427" s="37">
        <v>44214</v>
      </c>
      <c r="AK427" s="37" t="s">
        <v>1256</v>
      </c>
      <c r="AL427" s="37">
        <v>39103</v>
      </c>
      <c r="AM427" s="37" t="s">
        <v>57</v>
      </c>
      <c r="AN427" s="37">
        <f t="shared" si="46"/>
        <v>17410</v>
      </c>
      <c r="AO427" s="37" t="str">
        <f t="shared" si="47"/>
        <v>Cleveland, OH</v>
      </c>
      <c r="AP427" s="20" t="s">
        <v>8</v>
      </c>
      <c r="AQ427" s="25"/>
      <c r="AR427" s="25"/>
      <c r="AS427" s="25"/>
      <c r="AT427" s="25"/>
      <c r="AU427" s="36"/>
      <c r="AV427" s="36"/>
      <c r="AW427" s="36"/>
      <c r="AX427" s="25"/>
      <c r="AY427" s="25"/>
      <c r="AZ427" s="25"/>
      <c r="BA427" s="25"/>
      <c r="BB427" s="25"/>
      <c r="BC427" s="25"/>
      <c r="BD427" s="25"/>
      <c r="BE427" s="25"/>
      <c r="BF427" s="25"/>
      <c r="BG427" s="25"/>
      <c r="BH427" s="25"/>
      <c r="BI427" s="25"/>
      <c r="BJ427" s="25"/>
      <c r="BK427" s="25"/>
      <c r="BL427" s="25"/>
      <c r="BM427" s="25"/>
      <c r="BN427" s="25"/>
      <c r="BO427" s="25"/>
      <c r="BP427" s="25"/>
      <c r="BQ427" s="25"/>
      <c r="BR427" s="25"/>
      <c r="BS427" s="25"/>
      <c r="BT427" s="25"/>
      <c r="BU427" s="39">
        <v>45177</v>
      </c>
      <c r="BV427" s="39" t="s">
        <v>1608</v>
      </c>
      <c r="BW427" s="39" t="s">
        <v>2885</v>
      </c>
      <c r="BX427" s="39" t="s">
        <v>2886</v>
      </c>
      <c r="BY427" s="71">
        <v>800</v>
      </c>
      <c r="BZ427" s="71">
        <v>860</v>
      </c>
      <c r="CA427" s="71">
        <v>1060</v>
      </c>
      <c r="CB427" s="71">
        <v>1390</v>
      </c>
      <c r="CC427" s="71">
        <v>1750</v>
      </c>
      <c r="CD427" s="25"/>
      <c r="CE427" s="200"/>
      <c r="CF427" s="200"/>
      <c r="CG427" s="200"/>
      <c r="CH427" s="200"/>
      <c r="CI427" s="200"/>
      <c r="CJ427" s="200"/>
      <c r="CK427" s="200"/>
      <c r="CL427" s="200"/>
      <c r="CM427" s="200"/>
      <c r="CN427" s="200"/>
      <c r="CO427" s="200"/>
      <c r="CP427" s="200"/>
      <c r="CQ427" s="200"/>
      <c r="CR427" s="200"/>
      <c r="CS427" s="200"/>
      <c r="CT427" s="200"/>
      <c r="CU427" s="200"/>
    </row>
    <row r="428" spans="1:99" s="17" customFormat="1" x14ac:dyDescent="0.2">
      <c r="A428" s="25"/>
      <c r="B428" s="20">
        <v>39113020900</v>
      </c>
      <c r="C428" s="20">
        <v>209</v>
      </c>
      <c r="D428" s="20" t="s">
        <v>62</v>
      </c>
      <c r="E428" s="20" t="s">
        <v>2833</v>
      </c>
      <c r="F428" s="20" t="s">
        <v>8</v>
      </c>
      <c r="G428" s="861">
        <v>65.885860500950699</v>
      </c>
      <c r="H428" s="861">
        <v>63.920249274621</v>
      </c>
      <c r="I428" s="861">
        <v>31.999276494939998</v>
      </c>
      <c r="J428" s="861">
        <v>54.464008472558398</v>
      </c>
      <c r="K428" s="982">
        <v>0</v>
      </c>
      <c r="L428" s="735">
        <v>2509</v>
      </c>
      <c r="M428" s="735">
        <v>2784</v>
      </c>
      <c r="N428" s="845">
        <f t="shared" si="43"/>
        <v>0.10960542048624951</v>
      </c>
      <c r="O428" s="735">
        <v>0.41420035708194819</v>
      </c>
      <c r="P428" s="735">
        <f t="shared" si="44"/>
        <v>6721.3848380367153</v>
      </c>
      <c r="Q428" s="849">
        <v>38.700000000000003</v>
      </c>
      <c r="R428" s="71">
        <v>69750</v>
      </c>
      <c r="S428" s="845">
        <v>5.7112068965517244E-2</v>
      </c>
      <c r="T428" s="845">
        <v>6.6000000000000003E-2</v>
      </c>
      <c r="U428" s="845">
        <v>4.2999999999999997E-2</v>
      </c>
      <c r="V428" s="845">
        <v>0</v>
      </c>
      <c r="W428" s="845">
        <v>0.40142671854734113</v>
      </c>
      <c r="X428" s="845">
        <v>0.28756058158319869</v>
      </c>
      <c r="Y428" s="845">
        <v>0.92708333333333337</v>
      </c>
      <c r="Z428" s="845">
        <v>1.8318965517241378E-2</v>
      </c>
      <c r="AA428" s="845">
        <v>0</v>
      </c>
      <c r="AB428" s="845">
        <v>1.257183908045977E-2</v>
      </c>
      <c r="AC428" s="845">
        <v>0</v>
      </c>
      <c r="AD428" s="845">
        <v>0</v>
      </c>
      <c r="AE428" s="845">
        <v>4.2025862068965518E-2</v>
      </c>
      <c r="AF428" s="845">
        <v>2.6580459770114941E-2</v>
      </c>
      <c r="AG428" s="845">
        <v>0.92708333333333337</v>
      </c>
      <c r="AH428" s="20" t="str">
        <f t="shared" si="45"/>
        <v>Yes</v>
      </c>
      <c r="AI428" s="25"/>
      <c r="AJ428" s="20">
        <v>44215</v>
      </c>
      <c r="AK428" s="20" t="s">
        <v>1257</v>
      </c>
      <c r="AL428" s="20">
        <v>39103</v>
      </c>
      <c r="AM428" s="20" t="s">
        <v>57</v>
      </c>
      <c r="AN428" s="37">
        <f t="shared" si="46"/>
        <v>17410</v>
      </c>
      <c r="AO428" s="37" t="str">
        <f t="shared" si="47"/>
        <v>Cleveland, OH</v>
      </c>
      <c r="AP428" s="20" t="s">
        <v>8</v>
      </c>
      <c r="AQ428" s="25"/>
      <c r="AR428" s="25"/>
      <c r="AS428" s="25"/>
      <c r="AT428" s="25"/>
      <c r="AU428" s="36"/>
      <c r="AV428" s="36"/>
      <c r="AW428" s="36"/>
      <c r="AX428" s="25"/>
      <c r="AY428" s="25"/>
      <c r="AZ428" s="25"/>
      <c r="BA428" s="25"/>
      <c r="BB428" s="25"/>
      <c r="BC428" s="25"/>
      <c r="BD428" s="25"/>
      <c r="BE428" s="25"/>
      <c r="BF428" s="25"/>
      <c r="BG428" s="25"/>
      <c r="BH428" s="25"/>
      <c r="BI428" s="25"/>
      <c r="BJ428" s="25"/>
      <c r="BK428" s="25"/>
      <c r="BL428" s="25"/>
      <c r="BM428" s="25"/>
      <c r="BN428" s="25"/>
      <c r="BO428" s="25"/>
      <c r="BP428" s="25"/>
      <c r="BQ428" s="25"/>
      <c r="BR428" s="25"/>
      <c r="BS428" s="25"/>
      <c r="BT428" s="25"/>
      <c r="BU428" s="39">
        <v>43920</v>
      </c>
      <c r="BV428" s="39" t="s">
        <v>1106</v>
      </c>
      <c r="BW428" s="39" t="s">
        <v>2917</v>
      </c>
      <c r="BX428" s="39" t="s">
        <v>2918</v>
      </c>
      <c r="BY428" s="71">
        <v>700</v>
      </c>
      <c r="BZ428" s="71">
        <v>780</v>
      </c>
      <c r="CA428" s="71">
        <v>980</v>
      </c>
      <c r="CB428" s="71">
        <v>1230</v>
      </c>
      <c r="CC428" s="71">
        <v>1300</v>
      </c>
      <c r="CD428" s="25"/>
      <c r="CE428" s="200"/>
      <c r="CF428" s="200"/>
      <c r="CG428" s="200"/>
      <c r="CH428" s="200"/>
      <c r="CI428" s="200"/>
      <c r="CJ428" s="200"/>
      <c r="CK428" s="200"/>
      <c r="CL428" s="200"/>
      <c r="CM428" s="200"/>
      <c r="CN428" s="200"/>
      <c r="CO428" s="200"/>
      <c r="CP428" s="200"/>
      <c r="CQ428" s="200"/>
      <c r="CR428" s="200"/>
      <c r="CS428" s="200"/>
      <c r="CT428" s="200"/>
      <c r="CU428" s="200"/>
    </row>
    <row r="429" spans="1:99" s="17" customFormat="1" x14ac:dyDescent="0.2">
      <c r="A429" s="25"/>
      <c r="B429" s="20">
        <v>39095008302</v>
      </c>
      <c r="C429" s="20">
        <v>83.02</v>
      </c>
      <c r="D429" s="20" t="s">
        <v>53</v>
      </c>
      <c r="E429" s="20" t="s">
        <v>2839</v>
      </c>
      <c r="F429" s="20" t="s">
        <v>8</v>
      </c>
      <c r="G429" s="861">
        <v>65.869476031729604</v>
      </c>
      <c r="H429" s="861">
        <v>67.151443045483205</v>
      </c>
      <c r="I429" s="861">
        <v>20.920729861471401</v>
      </c>
      <c r="J429" s="861">
        <v>47.083636151487703</v>
      </c>
      <c r="K429" s="982">
        <v>0</v>
      </c>
      <c r="L429" s="735">
        <v>1662</v>
      </c>
      <c r="M429" s="735">
        <v>1704</v>
      </c>
      <c r="N429" s="845">
        <f t="shared" si="43"/>
        <v>2.5270758122743681E-2</v>
      </c>
      <c r="O429" s="735">
        <v>1.4992227126478972</v>
      </c>
      <c r="P429" s="735">
        <f t="shared" si="44"/>
        <v>1136.5889708210391</v>
      </c>
      <c r="Q429" s="849">
        <v>54.4</v>
      </c>
      <c r="R429" s="71">
        <v>98659</v>
      </c>
      <c r="S429" s="845">
        <v>1.7018779342723004E-2</v>
      </c>
      <c r="T429" s="845">
        <v>1.8000000000000002E-2</v>
      </c>
      <c r="U429" s="845">
        <v>0</v>
      </c>
      <c r="V429" s="845">
        <v>0</v>
      </c>
      <c r="W429" s="845">
        <v>3.8309114927344783E-2</v>
      </c>
      <c r="X429" s="845">
        <v>0.75862068965517238</v>
      </c>
      <c r="Y429" s="845">
        <v>0.91725352112676062</v>
      </c>
      <c r="Z429" s="845">
        <v>6.044600938967136E-2</v>
      </c>
      <c r="AA429" s="845">
        <v>0</v>
      </c>
      <c r="AB429" s="845">
        <v>5.2816901408450703E-3</v>
      </c>
      <c r="AC429" s="845">
        <v>0</v>
      </c>
      <c r="AD429" s="845">
        <v>0</v>
      </c>
      <c r="AE429" s="845">
        <v>1.7018779342723004E-2</v>
      </c>
      <c r="AF429" s="845">
        <v>4.6948356807511738E-3</v>
      </c>
      <c r="AG429" s="845">
        <v>0.91725352112676062</v>
      </c>
      <c r="AH429" s="20" t="str">
        <f t="shared" si="45"/>
        <v>Yes</v>
      </c>
      <c r="AI429" s="25"/>
      <c r="AJ429" s="20">
        <v>44217</v>
      </c>
      <c r="AK429" s="20" t="s">
        <v>1259</v>
      </c>
      <c r="AL429" s="20">
        <v>39103</v>
      </c>
      <c r="AM429" s="20" t="s">
        <v>57</v>
      </c>
      <c r="AN429" s="37">
        <f t="shared" si="46"/>
        <v>17410</v>
      </c>
      <c r="AO429" s="37" t="str">
        <f t="shared" si="47"/>
        <v>Cleveland, OH</v>
      </c>
      <c r="AP429" s="20" t="s">
        <v>8</v>
      </c>
      <c r="AQ429" s="25"/>
      <c r="AR429" s="25"/>
      <c r="AS429" s="25"/>
      <c r="AT429" s="25"/>
      <c r="AU429" s="36"/>
      <c r="AV429" s="36"/>
      <c r="AW429" s="36"/>
      <c r="AX429" s="25"/>
      <c r="AY429" s="25"/>
      <c r="AZ429" s="25"/>
      <c r="BA429" s="25"/>
      <c r="BB429" s="25"/>
      <c r="BC429" s="25"/>
      <c r="BD429" s="25"/>
      <c r="BE429" s="25"/>
      <c r="BF429" s="25"/>
      <c r="BG429" s="25"/>
      <c r="BH429" s="25"/>
      <c r="BI429" s="25"/>
      <c r="BJ429" s="25"/>
      <c r="BK429" s="25"/>
      <c r="BL429" s="25"/>
      <c r="BM429" s="25"/>
      <c r="BN429" s="25"/>
      <c r="BO429" s="25"/>
      <c r="BP429" s="25"/>
      <c r="BQ429" s="25"/>
      <c r="BR429" s="25"/>
      <c r="BS429" s="25"/>
      <c r="BT429" s="25"/>
      <c r="BU429" s="39">
        <v>43962</v>
      </c>
      <c r="BV429" s="39" t="s">
        <v>1131</v>
      </c>
      <c r="BW429" s="39" t="s">
        <v>2917</v>
      </c>
      <c r="BX429" s="39" t="s">
        <v>2918</v>
      </c>
      <c r="BY429" s="71">
        <v>690</v>
      </c>
      <c r="BZ429" s="71">
        <v>780</v>
      </c>
      <c r="CA429" s="71">
        <v>970</v>
      </c>
      <c r="CB429" s="71">
        <v>1220</v>
      </c>
      <c r="CC429" s="71">
        <v>1290</v>
      </c>
      <c r="CD429" s="25"/>
      <c r="CE429" s="200"/>
      <c r="CF429" s="200"/>
      <c r="CG429" s="200"/>
      <c r="CH429" s="200"/>
      <c r="CI429" s="200"/>
      <c r="CJ429" s="200"/>
      <c r="CK429" s="200"/>
      <c r="CL429" s="200"/>
      <c r="CM429" s="200"/>
      <c r="CN429" s="200"/>
      <c r="CO429" s="200"/>
      <c r="CP429" s="200"/>
      <c r="CQ429" s="200"/>
      <c r="CR429" s="200"/>
      <c r="CS429" s="200"/>
      <c r="CT429" s="200"/>
      <c r="CU429" s="200"/>
    </row>
    <row r="430" spans="1:99" s="17" customFormat="1" x14ac:dyDescent="0.2">
      <c r="A430" s="25"/>
      <c r="B430" s="20">
        <v>39017011130</v>
      </c>
      <c r="C430" s="20">
        <v>111.3</v>
      </c>
      <c r="D430" s="20" t="s">
        <v>15</v>
      </c>
      <c r="E430" s="20" t="s">
        <v>2828</v>
      </c>
      <c r="F430" s="20" t="s">
        <v>8</v>
      </c>
      <c r="G430" s="861">
        <v>65.838122561947401</v>
      </c>
      <c r="H430" s="861">
        <v>67.052888655219903</v>
      </c>
      <c r="I430" s="861">
        <v>22.573212566384601</v>
      </c>
      <c r="J430" s="861">
        <v>44.2157914199434</v>
      </c>
      <c r="K430" s="982">
        <v>0</v>
      </c>
      <c r="L430" s="735">
        <v>5151</v>
      </c>
      <c r="M430" s="735">
        <v>4959</v>
      </c>
      <c r="N430" s="845">
        <f t="shared" si="43"/>
        <v>-3.7274315666860805E-2</v>
      </c>
      <c r="O430" s="735">
        <v>1.8641962028157728</v>
      </c>
      <c r="P430" s="735">
        <f t="shared" si="44"/>
        <v>2660.1277228811455</v>
      </c>
      <c r="Q430" s="849">
        <v>38.5</v>
      </c>
      <c r="R430" s="71">
        <v>110446</v>
      </c>
      <c r="S430" s="845">
        <v>5.928614640048397E-2</v>
      </c>
      <c r="T430" s="845">
        <v>0</v>
      </c>
      <c r="U430" s="845">
        <v>3.3000000000000002E-2</v>
      </c>
      <c r="V430" s="845">
        <v>0</v>
      </c>
      <c r="W430" s="845">
        <v>0.19124544033350704</v>
      </c>
      <c r="X430" s="845">
        <v>0.1989100817438692</v>
      </c>
      <c r="Y430" s="845">
        <v>0.77313974591651546</v>
      </c>
      <c r="Z430" s="845">
        <v>3.5087719298245612E-2</v>
      </c>
      <c r="AA430" s="845">
        <v>0</v>
      </c>
      <c r="AB430" s="845">
        <v>4.2952208106473079E-2</v>
      </c>
      <c r="AC430" s="845">
        <v>2.0367009477717281E-2</v>
      </c>
      <c r="AD430" s="845">
        <v>4.6380318612623511E-2</v>
      </c>
      <c r="AE430" s="845">
        <v>8.2072998588425081E-2</v>
      </c>
      <c r="AF430" s="845">
        <v>0.19701552732405728</v>
      </c>
      <c r="AG430" s="845">
        <v>0.62653760838878803</v>
      </c>
      <c r="AH430" s="20" t="str">
        <f t="shared" si="45"/>
        <v>No</v>
      </c>
      <c r="AI430" s="25"/>
      <c r="AJ430" s="37">
        <v>44230</v>
      </c>
      <c r="AK430" s="37" t="s">
        <v>1263</v>
      </c>
      <c r="AL430" s="37">
        <v>39103</v>
      </c>
      <c r="AM430" s="37" t="s">
        <v>57</v>
      </c>
      <c r="AN430" s="37">
        <f t="shared" si="46"/>
        <v>17410</v>
      </c>
      <c r="AO430" s="37" t="str">
        <f t="shared" si="47"/>
        <v>Cleveland, OH</v>
      </c>
      <c r="AP430" s="20" t="s">
        <v>8</v>
      </c>
      <c r="AQ430" s="25"/>
      <c r="AR430" s="25"/>
      <c r="AS430" s="25"/>
      <c r="AT430" s="25"/>
      <c r="AU430" s="36"/>
      <c r="AV430" s="36"/>
      <c r="AW430" s="36"/>
      <c r="AX430" s="25"/>
      <c r="AY430" s="25"/>
      <c r="AZ430" s="25"/>
      <c r="BA430" s="25"/>
      <c r="BB430" s="25"/>
      <c r="BC430" s="25"/>
      <c r="BD430" s="25"/>
      <c r="BE430" s="25"/>
      <c r="BF430" s="25"/>
      <c r="BG430" s="25"/>
      <c r="BH430" s="25"/>
      <c r="BI430" s="25"/>
      <c r="BJ430" s="25"/>
      <c r="BK430" s="25"/>
      <c r="BL430" s="25"/>
      <c r="BM430" s="25"/>
      <c r="BN430" s="25"/>
      <c r="BO430" s="25"/>
      <c r="BP430" s="25"/>
      <c r="BQ430" s="25"/>
      <c r="BR430" s="25"/>
      <c r="BS430" s="25"/>
      <c r="BT430" s="25"/>
      <c r="BU430" s="39">
        <v>43968</v>
      </c>
      <c r="BV430" s="39" t="s">
        <v>1135</v>
      </c>
      <c r="BW430" s="39" t="s">
        <v>2917</v>
      </c>
      <c r="BX430" s="39" t="s">
        <v>2918</v>
      </c>
      <c r="BY430" s="71">
        <v>690</v>
      </c>
      <c r="BZ430" s="71">
        <v>780</v>
      </c>
      <c r="CA430" s="71">
        <v>970</v>
      </c>
      <c r="CB430" s="71">
        <v>1220</v>
      </c>
      <c r="CC430" s="71">
        <v>1290</v>
      </c>
      <c r="CD430" s="25"/>
      <c r="CE430" s="200"/>
      <c r="CF430" s="200"/>
      <c r="CG430" s="200"/>
      <c r="CH430" s="200"/>
      <c r="CI430" s="200"/>
      <c r="CJ430" s="200"/>
      <c r="CK430" s="200"/>
      <c r="CL430" s="200"/>
      <c r="CM430" s="200"/>
      <c r="CN430" s="200"/>
      <c r="CO430" s="200"/>
      <c r="CP430" s="200"/>
      <c r="CQ430" s="200"/>
      <c r="CR430" s="200"/>
      <c r="CS430" s="200"/>
      <c r="CT430" s="200"/>
      <c r="CU430" s="200"/>
    </row>
    <row r="431" spans="1:99" s="17" customFormat="1" x14ac:dyDescent="0.2">
      <c r="A431" s="25"/>
      <c r="B431" s="20">
        <v>39167021000</v>
      </c>
      <c r="C431" s="20">
        <v>210</v>
      </c>
      <c r="D431" s="20" t="s">
        <v>89</v>
      </c>
      <c r="E431" s="20" t="s">
        <v>265</v>
      </c>
      <c r="F431" s="20" t="s">
        <v>6</v>
      </c>
      <c r="G431" s="861">
        <v>65.830752039112795</v>
      </c>
      <c r="H431" s="861">
        <v>65.079963960774506</v>
      </c>
      <c r="I431" s="861">
        <v>38.864224282179102</v>
      </c>
      <c r="J431" s="861">
        <v>44.874666525517299</v>
      </c>
      <c r="K431" s="982">
        <v>0</v>
      </c>
      <c r="L431" s="735">
        <v>3748</v>
      </c>
      <c r="M431" s="735">
        <v>3449</v>
      </c>
      <c r="N431" s="845">
        <f t="shared" si="43"/>
        <v>-7.9775880469583782E-2</v>
      </c>
      <c r="O431" s="735">
        <v>7.6633818986914193</v>
      </c>
      <c r="P431" s="735">
        <f t="shared" si="44"/>
        <v>450.06239354832923</v>
      </c>
      <c r="Q431" s="849">
        <v>39.1</v>
      </c>
      <c r="R431" s="71">
        <v>42361</v>
      </c>
      <c r="S431" s="845">
        <v>0.20846622209336038</v>
      </c>
      <c r="T431" s="845">
        <v>7.2000000000000008E-2</v>
      </c>
      <c r="U431" s="845">
        <v>0</v>
      </c>
      <c r="V431" s="845">
        <v>0.115</v>
      </c>
      <c r="W431" s="845">
        <v>0.41123305358295675</v>
      </c>
      <c r="X431" s="845">
        <v>0.52590266875981162</v>
      </c>
      <c r="Y431" s="845">
        <v>0.94549144679617281</v>
      </c>
      <c r="Z431" s="845">
        <v>4.059147579008408E-3</v>
      </c>
      <c r="AA431" s="845">
        <v>0</v>
      </c>
      <c r="AB431" s="845">
        <v>2.029573789504204E-3</v>
      </c>
      <c r="AC431" s="845">
        <v>0</v>
      </c>
      <c r="AD431" s="845">
        <v>8.4082342708031322E-3</v>
      </c>
      <c r="AE431" s="845">
        <v>4.0011597564511454E-2</v>
      </c>
      <c r="AF431" s="845">
        <v>2.6964337489127282E-2</v>
      </c>
      <c r="AG431" s="845">
        <v>0.92693534357784868</v>
      </c>
      <c r="AH431" s="20" t="str">
        <f t="shared" si="45"/>
        <v>Yes</v>
      </c>
      <c r="AI431" s="25"/>
      <c r="AJ431" s="20">
        <v>44233</v>
      </c>
      <c r="AK431" s="20" t="s">
        <v>1266</v>
      </c>
      <c r="AL431" s="20">
        <v>39103</v>
      </c>
      <c r="AM431" s="20" t="s">
        <v>57</v>
      </c>
      <c r="AN431" s="37">
        <f t="shared" si="46"/>
        <v>17410</v>
      </c>
      <c r="AO431" s="37" t="str">
        <f t="shared" si="47"/>
        <v>Cleveland, OH</v>
      </c>
      <c r="AP431" s="20" t="s">
        <v>8</v>
      </c>
      <c r="AQ431" s="25"/>
      <c r="AR431" s="25"/>
      <c r="AS431" s="25"/>
      <c r="AT431" s="25"/>
      <c r="AU431" s="36"/>
      <c r="AV431" s="36"/>
      <c r="AW431" s="36"/>
      <c r="AX431" s="25"/>
      <c r="AY431" s="25"/>
      <c r="AZ431" s="25"/>
      <c r="BA431" s="25"/>
      <c r="BB431" s="25"/>
      <c r="BC431" s="25"/>
      <c r="BD431" s="25"/>
      <c r="BE431" s="25"/>
      <c r="BF431" s="25"/>
      <c r="BG431" s="25"/>
      <c r="BH431" s="25"/>
      <c r="BI431" s="25"/>
      <c r="BJ431" s="25"/>
      <c r="BK431" s="25"/>
      <c r="BL431" s="25"/>
      <c r="BM431" s="25"/>
      <c r="BN431" s="25"/>
      <c r="BO431" s="25"/>
      <c r="BP431" s="25"/>
      <c r="BQ431" s="25"/>
      <c r="BR431" s="25"/>
      <c r="BS431" s="25"/>
      <c r="BT431" s="25"/>
      <c r="BU431" s="39">
        <v>44413</v>
      </c>
      <c r="BV431" s="39" t="s">
        <v>1324</v>
      </c>
      <c r="BW431" s="39" t="s">
        <v>2917</v>
      </c>
      <c r="BX431" s="39" t="s">
        <v>2918</v>
      </c>
      <c r="BY431" s="71">
        <v>730</v>
      </c>
      <c r="BZ431" s="71">
        <v>820</v>
      </c>
      <c r="CA431" s="71">
        <v>1030</v>
      </c>
      <c r="CB431" s="71">
        <v>1290</v>
      </c>
      <c r="CC431" s="71">
        <v>1360</v>
      </c>
      <c r="CD431" s="25"/>
      <c r="CE431" s="200"/>
      <c r="CF431" s="200"/>
      <c r="CG431" s="200"/>
      <c r="CH431" s="200"/>
      <c r="CI431" s="200"/>
      <c r="CJ431" s="200"/>
      <c r="CK431" s="200"/>
      <c r="CL431" s="200"/>
      <c r="CM431" s="200"/>
      <c r="CN431" s="200"/>
      <c r="CO431" s="200"/>
      <c r="CP431" s="200"/>
      <c r="CQ431" s="200"/>
      <c r="CR431" s="200"/>
      <c r="CS431" s="200"/>
      <c r="CT431" s="200"/>
      <c r="CU431" s="200"/>
    </row>
    <row r="432" spans="1:99" s="17" customFormat="1" x14ac:dyDescent="0.2">
      <c r="A432" s="25"/>
      <c r="B432" s="20">
        <v>39089757701</v>
      </c>
      <c r="C432" s="20">
        <v>7577.01</v>
      </c>
      <c r="D432" s="20" t="s">
        <v>50</v>
      </c>
      <c r="E432" s="20" t="s">
        <v>2830</v>
      </c>
      <c r="F432" s="20" t="s">
        <v>8</v>
      </c>
      <c r="G432" s="861">
        <v>65.808598627766997</v>
      </c>
      <c r="H432" s="861">
        <v>74.895760118271895</v>
      </c>
      <c r="I432" s="861">
        <v>25.994114348520199</v>
      </c>
      <c r="J432" s="861">
        <v>54.753974776340797</v>
      </c>
      <c r="K432" s="982">
        <v>0</v>
      </c>
      <c r="L432" s="735" t="s">
        <v>2466</v>
      </c>
      <c r="M432" s="735">
        <v>3268</v>
      </c>
      <c r="N432" s="845" t="str">
        <f t="shared" si="43"/>
        <v/>
      </c>
      <c r="O432" s="735">
        <v>3.085419569744666</v>
      </c>
      <c r="P432" s="735">
        <f t="shared" si="44"/>
        <v>1059.1752356942636</v>
      </c>
      <c r="Q432" s="849">
        <v>30.8</v>
      </c>
      <c r="R432" s="71">
        <v>162917</v>
      </c>
      <c r="S432" s="845">
        <v>1.8410041841004185E-2</v>
      </c>
      <c r="T432" s="845">
        <v>1.9E-2</v>
      </c>
      <c r="U432" s="845">
        <v>0</v>
      </c>
      <c r="V432" s="845">
        <v>4.2000000000000003E-2</v>
      </c>
      <c r="W432" s="845">
        <v>0.11056751467710371</v>
      </c>
      <c r="X432" s="845">
        <v>0.4336283185840708</v>
      </c>
      <c r="Y432" s="845">
        <v>0.86383108935128516</v>
      </c>
      <c r="Z432" s="845">
        <v>1.3769889840881273E-2</v>
      </c>
      <c r="AA432" s="845">
        <v>0</v>
      </c>
      <c r="AB432" s="845">
        <v>5.7833537331701344E-2</v>
      </c>
      <c r="AC432" s="845">
        <v>0</v>
      </c>
      <c r="AD432" s="845">
        <v>0</v>
      </c>
      <c r="AE432" s="845">
        <v>6.4565483476132196E-2</v>
      </c>
      <c r="AF432" s="845">
        <v>2.0807833537331701E-2</v>
      </c>
      <c r="AG432" s="845">
        <v>0.85342717258261935</v>
      </c>
      <c r="AH432" s="20" t="str">
        <f t="shared" si="45"/>
        <v>No</v>
      </c>
      <c r="AI432" s="25"/>
      <c r="AJ432" s="20">
        <v>44235</v>
      </c>
      <c r="AK432" s="20" t="s">
        <v>1268</v>
      </c>
      <c r="AL432" s="20">
        <v>39103</v>
      </c>
      <c r="AM432" s="20" t="s">
        <v>57</v>
      </c>
      <c r="AN432" s="37">
        <f t="shared" si="46"/>
        <v>17410</v>
      </c>
      <c r="AO432" s="37" t="str">
        <f t="shared" si="47"/>
        <v>Cleveland, OH</v>
      </c>
      <c r="AP432" s="20" t="s">
        <v>8</v>
      </c>
      <c r="AQ432" s="25"/>
      <c r="AR432" s="25"/>
      <c r="AS432" s="25"/>
      <c r="AT432" s="25"/>
      <c r="AU432" s="36"/>
      <c r="AV432" s="36"/>
      <c r="AW432" s="36"/>
      <c r="AX432" s="25"/>
      <c r="AY432" s="25"/>
      <c r="AZ432" s="25"/>
      <c r="BA432" s="25"/>
      <c r="BB432" s="25"/>
      <c r="BC432" s="25"/>
      <c r="BD432" s="25"/>
      <c r="BE432" s="25"/>
      <c r="BF432" s="25"/>
      <c r="BG432" s="25"/>
      <c r="BH432" s="25"/>
      <c r="BI432" s="25"/>
      <c r="BJ432" s="25"/>
      <c r="BK432" s="25"/>
      <c r="BL432" s="25"/>
      <c r="BM432" s="25"/>
      <c r="BN432" s="25"/>
      <c r="BO432" s="25"/>
      <c r="BP432" s="25"/>
      <c r="BQ432" s="25"/>
      <c r="BR432" s="25"/>
      <c r="BS432" s="25"/>
      <c r="BT432" s="25"/>
      <c r="BU432" s="39">
        <v>44415</v>
      </c>
      <c r="BV432" s="39" t="s">
        <v>1325</v>
      </c>
      <c r="BW432" s="39" t="s">
        <v>2917</v>
      </c>
      <c r="BX432" s="39" t="s">
        <v>2918</v>
      </c>
      <c r="BY432" s="71">
        <v>760</v>
      </c>
      <c r="BZ432" s="71">
        <v>860</v>
      </c>
      <c r="CA432" s="71">
        <v>1070</v>
      </c>
      <c r="CB432" s="71">
        <v>1340</v>
      </c>
      <c r="CC432" s="71">
        <v>1420</v>
      </c>
      <c r="CD432" s="25"/>
      <c r="CE432" s="200"/>
      <c r="CF432" s="200"/>
      <c r="CG432" s="200"/>
      <c r="CH432" s="200"/>
      <c r="CI432" s="200"/>
      <c r="CJ432" s="200"/>
      <c r="CK432" s="200"/>
      <c r="CL432" s="200"/>
      <c r="CM432" s="200"/>
      <c r="CN432" s="200"/>
      <c r="CO432" s="200"/>
      <c r="CP432" s="200"/>
      <c r="CQ432" s="200"/>
      <c r="CR432" s="200"/>
      <c r="CS432" s="200"/>
      <c r="CT432" s="200"/>
      <c r="CU432" s="200"/>
    </row>
    <row r="433" spans="1:99" s="17" customFormat="1" x14ac:dyDescent="0.2">
      <c r="A433" s="25"/>
      <c r="B433" s="20">
        <v>39153520301</v>
      </c>
      <c r="C433" s="20">
        <v>5203.01</v>
      </c>
      <c r="D433" s="20" t="s">
        <v>82</v>
      </c>
      <c r="E433" s="20" t="s">
        <v>2843</v>
      </c>
      <c r="F433" s="20" t="s">
        <v>8</v>
      </c>
      <c r="G433" s="861">
        <v>65.790171701345699</v>
      </c>
      <c r="H433" s="861">
        <v>61.699471113837603</v>
      </c>
      <c r="I433" s="861">
        <v>48.2585762191679</v>
      </c>
      <c r="J433" s="861">
        <v>50.679183937652098</v>
      </c>
      <c r="K433" s="982">
        <v>0</v>
      </c>
      <c r="L433" s="735">
        <v>3477</v>
      </c>
      <c r="M433" s="735">
        <v>3423</v>
      </c>
      <c r="N433" s="845">
        <f t="shared" si="43"/>
        <v>-1.5530629853321829E-2</v>
      </c>
      <c r="O433" s="735">
        <v>1.0789431770789095</v>
      </c>
      <c r="P433" s="735">
        <f t="shared" si="44"/>
        <v>3172.5489096351694</v>
      </c>
      <c r="Q433" s="849">
        <v>48.5</v>
      </c>
      <c r="R433" s="71">
        <v>76677</v>
      </c>
      <c r="S433" s="845">
        <v>6.4885496183206104E-2</v>
      </c>
      <c r="T433" s="845">
        <v>0.03</v>
      </c>
      <c r="U433" s="845">
        <v>0</v>
      </c>
      <c r="V433" s="845">
        <v>0</v>
      </c>
      <c r="W433" s="845">
        <v>0.27344701583434833</v>
      </c>
      <c r="X433" s="845">
        <v>0.42761692650334077</v>
      </c>
      <c r="Y433" s="845">
        <v>0.89278410750803394</v>
      </c>
      <c r="Z433" s="845">
        <v>1.8404907975460124E-2</v>
      </c>
      <c r="AA433" s="845">
        <v>0</v>
      </c>
      <c r="AB433" s="845">
        <v>1.6067776803973123E-2</v>
      </c>
      <c r="AC433" s="845">
        <v>0</v>
      </c>
      <c r="AD433" s="845">
        <v>5.2585451358457495E-3</v>
      </c>
      <c r="AE433" s="845">
        <v>6.7484662576687116E-2</v>
      </c>
      <c r="AF433" s="845">
        <v>8.1799591002044997E-3</v>
      </c>
      <c r="AG433" s="845">
        <v>0.89278410750803394</v>
      </c>
      <c r="AH433" s="20" t="str">
        <f t="shared" si="45"/>
        <v>No</v>
      </c>
      <c r="AI433" s="25"/>
      <c r="AJ433" s="20">
        <v>44253</v>
      </c>
      <c r="AK433" s="20" t="s">
        <v>1275</v>
      </c>
      <c r="AL433" s="20">
        <v>39103</v>
      </c>
      <c r="AM433" s="20" t="s">
        <v>57</v>
      </c>
      <c r="AN433" s="37">
        <f t="shared" si="46"/>
        <v>17410</v>
      </c>
      <c r="AO433" s="37" t="str">
        <f t="shared" si="47"/>
        <v>Cleveland, OH</v>
      </c>
      <c r="AP433" s="20" t="s">
        <v>8</v>
      </c>
      <c r="AQ433" s="25"/>
      <c r="AR433" s="25"/>
      <c r="AS433" s="25"/>
      <c r="AT433" s="25"/>
      <c r="AU433" s="36"/>
      <c r="AV433" s="36"/>
      <c r="AW433" s="36"/>
      <c r="AX433" s="25"/>
      <c r="AY433" s="25"/>
      <c r="AZ433" s="25"/>
      <c r="BA433" s="25"/>
      <c r="BB433" s="25"/>
      <c r="BC433" s="25"/>
      <c r="BD433" s="25"/>
      <c r="BE433" s="25"/>
      <c r="BF433" s="25"/>
      <c r="BG433" s="25"/>
      <c r="BH433" s="25"/>
      <c r="BI433" s="25"/>
      <c r="BJ433" s="25"/>
      <c r="BK433" s="25"/>
      <c r="BL433" s="25"/>
      <c r="BM433" s="25"/>
      <c r="BN433" s="25"/>
      <c r="BO433" s="25"/>
      <c r="BP433" s="25"/>
      <c r="BQ433" s="25"/>
      <c r="BR433" s="25"/>
      <c r="BS433" s="25"/>
      <c r="BT433" s="25"/>
      <c r="BU433" s="39">
        <v>44423</v>
      </c>
      <c r="BV433" s="39" t="s">
        <v>1329</v>
      </c>
      <c r="BW433" s="39" t="s">
        <v>2917</v>
      </c>
      <c r="BX433" s="39" t="s">
        <v>2918</v>
      </c>
      <c r="BY433" s="71">
        <v>900</v>
      </c>
      <c r="BZ433" s="71">
        <v>1020</v>
      </c>
      <c r="CA433" s="71">
        <v>1270</v>
      </c>
      <c r="CB433" s="71">
        <v>1590</v>
      </c>
      <c r="CC433" s="71">
        <v>1680</v>
      </c>
      <c r="CD433" s="25"/>
      <c r="CE433" s="200"/>
      <c r="CF433" s="200"/>
      <c r="CG433" s="200"/>
      <c r="CH433" s="200"/>
      <c r="CI433" s="200"/>
      <c r="CJ433" s="200"/>
      <c r="CK433" s="200"/>
      <c r="CL433" s="200"/>
      <c r="CM433" s="200"/>
      <c r="CN433" s="200"/>
      <c r="CO433" s="200"/>
      <c r="CP433" s="200"/>
      <c r="CQ433" s="200"/>
      <c r="CR433" s="200"/>
      <c r="CS433" s="200"/>
      <c r="CT433" s="200"/>
      <c r="CU433" s="200"/>
    </row>
    <row r="434" spans="1:99" s="17" customFormat="1" x14ac:dyDescent="0.2">
      <c r="A434" s="25"/>
      <c r="B434" s="20">
        <v>39049000110</v>
      </c>
      <c r="C434" s="20">
        <v>1.1000000000000001</v>
      </c>
      <c r="D434" s="20" t="s">
        <v>31</v>
      </c>
      <c r="E434" s="20" t="s">
        <v>2830</v>
      </c>
      <c r="F434" s="20" t="s">
        <v>8</v>
      </c>
      <c r="G434" s="861">
        <v>65.766978280066297</v>
      </c>
      <c r="H434" s="861">
        <v>80.360188087150107</v>
      </c>
      <c r="I434" s="861">
        <v>23.3755825365104</v>
      </c>
      <c r="J434" s="861">
        <v>53.441272997209701</v>
      </c>
      <c r="K434" s="982">
        <v>0</v>
      </c>
      <c r="L434" s="735">
        <v>3627</v>
      </c>
      <c r="M434" s="735">
        <v>3354</v>
      </c>
      <c r="N434" s="845">
        <f t="shared" si="43"/>
        <v>-7.5268817204301078E-2</v>
      </c>
      <c r="O434" s="735">
        <v>0.75690386084436512</v>
      </c>
      <c r="P434" s="735">
        <f t="shared" si="44"/>
        <v>4431.2100565300871</v>
      </c>
      <c r="Q434" s="849">
        <v>45.6</v>
      </c>
      <c r="R434" s="71">
        <v>124784</v>
      </c>
      <c r="S434" s="845">
        <v>5.9630292188431723E-2</v>
      </c>
      <c r="T434" s="845">
        <v>1.2E-2</v>
      </c>
      <c r="U434" s="845">
        <v>1.3000000000000001E-2</v>
      </c>
      <c r="V434" s="845">
        <v>0.14599999999999999</v>
      </c>
      <c r="W434" s="845">
        <v>0.10988404196576478</v>
      </c>
      <c r="X434" s="845">
        <v>0.45226130653266333</v>
      </c>
      <c r="Y434" s="845">
        <v>0.94782349433512225</v>
      </c>
      <c r="Z434" s="845">
        <v>3.875968992248062E-3</v>
      </c>
      <c r="AA434" s="845">
        <v>8.9445438282647585E-4</v>
      </c>
      <c r="AB434" s="845">
        <v>7.4537865235539654E-3</v>
      </c>
      <c r="AC434" s="845">
        <v>0</v>
      </c>
      <c r="AD434" s="845">
        <v>5.9630292188431726E-3</v>
      </c>
      <c r="AE434" s="845">
        <v>3.3989266547406083E-2</v>
      </c>
      <c r="AF434" s="845">
        <v>3.0113297555158021E-2</v>
      </c>
      <c r="AG434" s="845">
        <v>0.93261776982707212</v>
      </c>
      <c r="AH434" s="20" t="str">
        <f t="shared" si="45"/>
        <v>Yes</v>
      </c>
      <c r="AI434" s="25"/>
      <c r="AJ434" s="37">
        <v>44254</v>
      </c>
      <c r="AK434" s="37" t="s">
        <v>1276</v>
      </c>
      <c r="AL434" s="37">
        <v>39103</v>
      </c>
      <c r="AM434" s="37" t="s">
        <v>57</v>
      </c>
      <c r="AN434" s="37">
        <f t="shared" si="46"/>
        <v>17410</v>
      </c>
      <c r="AO434" s="37" t="str">
        <f t="shared" si="47"/>
        <v>Cleveland, OH</v>
      </c>
      <c r="AP434" s="20" t="s">
        <v>8</v>
      </c>
      <c r="AQ434" s="25"/>
      <c r="AR434" s="25"/>
      <c r="AS434" s="25"/>
      <c r="AT434" s="25"/>
      <c r="AU434" s="36"/>
      <c r="AV434" s="36"/>
      <c r="AW434" s="36"/>
      <c r="AX434" s="25"/>
      <c r="AY434" s="25"/>
      <c r="AZ434" s="25"/>
      <c r="BA434" s="25"/>
      <c r="BB434" s="25"/>
      <c r="BC434" s="25"/>
      <c r="BD434" s="25"/>
      <c r="BE434" s="25"/>
      <c r="BF434" s="25"/>
      <c r="BG434" s="25"/>
      <c r="BH434" s="25"/>
      <c r="BI434" s="25"/>
      <c r="BJ434" s="25"/>
      <c r="BK434" s="25"/>
      <c r="BL434" s="25"/>
      <c r="BM434" s="25"/>
      <c r="BN434" s="25"/>
      <c r="BO434" s="25"/>
      <c r="BP434" s="25"/>
      <c r="BQ434" s="25"/>
      <c r="BR434" s="25"/>
      <c r="BS434" s="25"/>
      <c r="BT434" s="25"/>
      <c r="BU434" s="39">
        <v>44431</v>
      </c>
      <c r="BV434" s="39" t="s">
        <v>1336</v>
      </c>
      <c r="BW434" s="39" t="s">
        <v>2917</v>
      </c>
      <c r="BX434" s="39" t="s">
        <v>2918</v>
      </c>
      <c r="BY434" s="71">
        <v>740</v>
      </c>
      <c r="BZ434" s="71">
        <v>830</v>
      </c>
      <c r="CA434" s="71">
        <v>1040</v>
      </c>
      <c r="CB434" s="71">
        <v>1300</v>
      </c>
      <c r="CC434" s="71">
        <v>1380</v>
      </c>
      <c r="CD434" s="25"/>
      <c r="CE434" s="200"/>
      <c r="CF434" s="200"/>
      <c r="CG434" s="200"/>
      <c r="CH434" s="200"/>
      <c r="CI434" s="200"/>
      <c r="CJ434" s="200"/>
      <c r="CK434" s="200"/>
      <c r="CL434" s="200"/>
      <c r="CM434" s="200"/>
      <c r="CN434" s="200"/>
      <c r="CO434" s="200"/>
      <c r="CP434" s="200"/>
      <c r="CQ434" s="200"/>
      <c r="CR434" s="200"/>
      <c r="CS434" s="200"/>
      <c r="CT434" s="200"/>
      <c r="CU434" s="200"/>
    </row>
    <row r="435" spans="1:99" s="17" customFormat="1" x14ac:dyDescent="0.2">
      <c r="A435" s="25"/>
      <c r="B435" s="20">
        <v>39041011604</v>
      </c>
      <c r="C435" s="20">
        <v>116.04</v>
      </c>
      <c r="D435" s="20" t="s">
        <v>27</v>
      </c>
      <c r="E435" s="20" t="s">
        <v>2830</v>
      </c>
      <c r="F435" s="20" t="s">
        <v>8</v>
      </c>
      <c r="G435" s="861">
        <v>65.726663632652105</v>
      </c>
      <c r="H435" s="861">
        <v>66.529906355441796</v>
      </c>
      <c r="I435" s="861">
        <v>24.410226407837399</v>
      </c>
      <c r="J435" s="861">
        <v>56.580922967277502</v>
      </c>
      <c r="K435" s="982">
        <v>1</v>
      </c>
      <c r="L435" s="735">
        <v>5646</v>
      </c>
      <c r="M435" s="735">
        <v>10195</v>
      </c>
      <c r="N435" s="845">
        <f t="shared" si="43"/>
        <v>0.8057031526744598</v>
      </c>
      <c r="O435" s="735">
        <v>20.406657388091254</v>
      </c>
      <c r="P435" s="735">
        <f t="shared" si="44"/>
        <v>499.5918638762227</v>
      </c>
      <c r="Q435" s="849">
        <v>36.700000000000003</v>
      </c>
      <c r="R435" s="71">
        <v>119800</v>
      </c>
      <c r="S435" s="845">
        <v>4.4638477386441673E-2</v>
      </c>
      <c r="T435" s="845">
        <v>0.02</v>
      </c>
      <c r="U435" s="845">
        <v>0</v>
      </c>
      <c r="V435" s="845">
        <v>4.9000000000000002E-2</v>
      </c>
      <c r="W435" s="845">
        <v>0.20953436807095344</v>
      </c>
      <c r="X435" s="845">
        <v>0.3306878306878307</v>
      </c>
      <c r="Y435" s="845">
        <v>0.91809710642471798</v>
      </c>
      <c r="Z435" s="845">
        <v>1.2064737616478666E-2</v>
      </c>
      <c r="AA435" s="845">
        <v>2.9426189308484553E-4</v>
      </c>
      <c r="AB435" s="845">
        <v>3.5311427170181459E-2</v>
      </c>
      <c r="AC435" s="845">
        <v>0</v>
      </c>
      <c r="AD435" s="845">
        <v>1.5595880333496813E-2</v>
      </c>
      <c r="AE435" s="845">
        <v>1.8636586562040217E-2</v>
      </c>
      <c r="AF435" s="845">
        <v>4.5022069641981362E-2</v>
      </c>
      <c r="AG435" s="845">
        <v>0.8938695438940657</v>
      </c>
      <c r="AH435" s="20" t="str">
        <f t="shared" si="45"/>
        <v>No</v>
      </c>
      <c r="AI435" s="25"/>
      <c r="AJ435" s="20">
        <v>44256</v>
      </c>
      <c r="AK435" s="20" t="s">
        <v>1278</v>
      </c>
      <c r="AL435" s="20">
        <v>39103</v>
      </c>
      <c r="AM435" s="20" t="s">
        <v>57</v>
      </c>
      <c r="AN435" s="37">
        <f t="shared" si="46"/>
        <v>17410</v>
      </c>
      <c r="AO435" s="37" t="str">
        <f t="shared" si="47"/>
        <v>Cleveland, OH</v>
      </c>
      <c r="AP435" s="20" t="s">
        <v>8</v>
      </c>
      <c r="AQ435" s="25"/>
      <c r="AR435" s="25"/>
      <c r="AS435" s="25"/>
      <c r="AT435" s="25"/>
      <c r="AU435" s="36"/>
      <c r="AV435" s="36"/>
      <c r="AW435" s="36"/>
      <c r="AX435" s="25"/>
      <c r="AY435" s="25"/>
      <c r="AZ435" s="25"/>
      <c r="BA435" s="25"/>
      <c r="BB435" s="25"/>
      <c r="BC435" s="25"/>
      <c r="BD435" s="25"/>
      <c r="BE435" s="25"/>
      <c r="BF435" s="25"/>
      <c r="BG435" s="25"/>
      <c r="BH435" s="25"/>
      <c r="BI435" s="25"/>
      <c r="BJ435" s="25"/>
      <c r="BK435" s="25"/>
      <c r="BL435" s="25"/>
      <c r="BM435" s="25"/>
      <c r="BN435" s="25"/>
      <c r="BO435" s="25"/>
      <c r="BP435" s="25"/>
      <c r="BQ435" s="25"/>
      <c r="BR435" s="25"/>
      <c r="BS435" s="25"/>
      <c r="BT435" s="25"/>
      <c r="BU435" s="39">
        <v>44432</v>
      </c>
      <c r="BV435" s="39" t="s">
        <v>1337</v>
      </c>
      <c r="BW435" s="39" t="s">
        <v>2917</v>
      </c>
      <c r="BX435" s="39" t="s">
        <v>2918</v>
      </c>
      <c r="BY435" s="71">
        <v>760</v>
      </c>
      <c r="BZ435" s="71">
        <v>860</v>
      </c>
      <c r="CA435" s="71">
        <v>1070</v>
      </c>
      <c r="CB435" s="71">
        <v>1340</v>
      </c>
      <c r="CC435" s="71">
        <v>1420</v>
      </c>
      <c r="CD435" s="25"/>
      <c r="CE435" s="200"/>
      <c r="CF435" s="200"/>
      <c r="CG435" s="200"/>
      <c r="CH435" s="200"/>
      <c r="CI435" s="200"/>
      <c r="CJ435" s="200"/>
      <c r="CK435" s="200"/>
      <c r="CL435" s="200"/>
      <c r="CM435" s="200"/>
      <c r="CN435" s="200"/>
      <c r="CO435" s="200"/>
      <c r="CP435" s="200"/>
      <c r="CQ435" s="200"/>
      <c r="CR435" s="200"/>
      <c r="CS435" s="200"/>
      <c r="CT435" s="200"/>
      <c r="CU435" s="200"/>
    </row>
    <row r="436" spans="1:99" s="17" customFormat="1" x14ac:dyDescent="0.2">
      <c r="A436" s="25"/>
      <c r="B436" s="20">
        <v>39113021400</v>
      </c>
      <c r="C436" s="20">
        <v>214</v>
      </c>
      <c r="D436" s="20" t="s">
        <v>62</v>
      </c>
      <c r="E436" s="20" t="s">
        <v>2833</v>
      </c>
      <c r="F436" s="20" t="s">
        <v>8</v>
      </c>
      <c r="G436" s="861">
        <v>65.724131703793702</v>
      </c>
      <c r="H436" s="861">
        <v>74.367556437969299</v>
      </c>
      <c r="I436" s="861">
        <v>33.7561727827187</v>
      </c>
      <c r="J436" s="861">
        <v>43.755131125528102</v>
      </c>
      <c r="K436" s="982">
        <v>0</v>
      </c>
      <c r="L436" s="735">
        <v>2666</v>
      </c>
      <c r="M436" s="735">
        <v>2672</v>
      </c>
      <c r="N436" s="845">
        <f t="shared" si="43"/>
        <v>2.2505626406601649E-3</v>
      </c>
      <c r="O436" s="735">
        <v>0.85311434113108731</v>
      </c>
      <c r="P436" s="735">
        <f t="shared" si="44"/>
        <v>3132.0537836198764</v>
      </c>
      <c r="Q436" s="849">
        <v>41.1</v>
      </c>
      <c r="R436" s="71">
        <v>83175</v>
      </c>
      <c r="S436" s="845">
        <v>6.1463046757164401E-2</v>
      </c>
      <c r="T436" s="845">
        <v>4.9000000000000002E-2</v>
      </c>
      <c r="U436" s="845">
        <v>0</v>
      </c>
      <c r="V436" s="845">
        <v>0</v>
      </c>
      <c r="W436" s="845">
        <v>0.28401360544217685</v>
      </c>
      <c r="X436" s="845">
        <v>0.45209580838323354</v>
      </c>
      <c r="Y436" s="845">
        <v>0.83458083832335328</v>
      </c>
      <c r="Z436" s="845">
        <v>7.260479041916168E-2</v>
      </c>
      <c r="AA436" s="845">
        <v>0</v>
      </c>
      <c r="AB436" s="845">
        <v>1.1601796407185628E-2</v>
      </c>
      <c r="AC436" s="845">
        <v>0</v>
      </c>
      <c r="AD436" s="845">
        <v>4.8652694610778445E-3</v>
      </c>
      <c r="AE436" s="845">
        <v>7.6347305389221562E-2</v>
      </c>
      <c r="AF436" s="845">
        <v>2.8068862275449101E-2</v>
      </c>
      <c r="AG436" s="845">
        <v>0.81137724550898205</v>
      </c>
      <c r="AH436" s="20" t="str">
        <f t="shared" si="45"/>
        <v>No</v>
      </c>
      <c r="AI436" s="25"/>
      <c r="AJ436" s="37">
        <v>44270</v>
      </c>
      <c r="AK436" s="37" t="s">
        <v>1283</v>
      </c>
      <c r="AL436" s="37">
        <v>39103</v>
      </c>
      <c r="AM436" s="37" t="s">
        <v>57</v>
      </c>
      <c r="AN436" s="37">
        <f t="shared" si="46"/>
        <v>17410</v>
      </c>
      <c r="AO436" s="37" t="str">
        <f t="shared" si="47"/>
        <v>Cleveland, OH</v>
      </c>
      <c r="AP436" s="20" t="s">
        <v>8</v>
      </c>
      <c r="AQ436" s="25"/>
      <c r="AR436" s="25"/>
      <c r="AS436" s="25"/>
      <c r="AT436" s="25"/>
      <c r="AU436" s="36"/>
      <c r="AV436" s="36"/>
      <c r="AW436" s="36"/>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39">
        <v>44441</v>
      </c>
      <c r="BV436" s="39" t="s">
        <v>1343</v>
      </c>
      <c r="BW436" s="39" t="s">
        <v>2917</v>
      </c>
      <c r="BX436" s="39" t="s">
        <v>2918</v>
      </c>
      <c r="BY436" s="71">
        <v>720</v>
      </c>
      <c r="BZ436" s="71">
        <v>800</v>
      </c>
      <c r="CA436" s="71">
        <v>1000</v>
      </c>
      <c r="CB436" s="71">
        <v>1250</v>
      </c>
      <c r="CC436" s="71">
        <v>1330</v>
      </c>
      <c r="CD436" s="25"/>
      <c r="CE436" s="200"/>
      <c r="CF436" s="200"/>
      <c r="CG436" s="200"/>
      <c r="CH436" s="200"/>
      <c r="CI436" s="200"/>
      <c r="CJ436" s="200"/>
      <c r="CK436" s="200"/>
      <c r="CL436" s="200"/>
      <c r="CM436" s="200"/>
      <c r="CN436" s="200"/>
      <c r="CO436" s="200"/>
      <c r="CP436" s="200"/>
      <c r="CQ436" s="200"/>
      <c r="CR436" s="200"/>
      <c r="CS436" s="200"/>
      <c r="CT436" s="200"/>
      <c r="CU436" s="200"/>
    </row>
    <row r="437" spans="1:99" s="17" customFormat="1" x14ac:dyDescent="0.2">
      <c r="A437" s="25"/>
      <c r="B437" s="20">
        <v>39173020601</v>
      </c>
      <c r="C437" s="20">
        <v>206.01</v>
      </c>
      <c r="D437" s="20" t="s">
        <v>92</v>
      </c>
      <c r="E437" s="20" t="s">
        <v>2839</v>
      </c>
      <c r="F437" s="20" t="s">
        <v>8</v>
      </c>
      <c r="G437" s="861">
        <v>65.717416732397695</v>
      </c>
      <c r="H437" s="861">
        <v>55.330358182919198</v>
      </c>
      <c r="I437" s="861">
        <v>24.365760656427799</v>
      </c>
      <c r="J437" s="861">
        <v>53.996197577461501</v>
      </c>
      <c r="K437" s="982">
        <v>0</v>
      </c>
      <c r="L437" s="735">
        <v>4316</v>
      </c>
      <c r="M437" s="735">
        <v>4412</v>
      </c>
      <c r="N437" s="845">
        <f t="shared" si="43"/>
        <v>2.2242817423540315E-2</v>
      </c>
      <c r="O437" s="735">
        <v>2.2871413876876834</v>
      </c>
      <c r="P437" s="735">
        <f t="shared" si="44"/>
        <v>1929.0455866659665</v>
      </c>
      <c r="Q437" s="849">
        <v>36.6</v>
      </c>
      <c r="R437" s="71">
        <v>102482</v>
      </c>
      <c r="S437" s="845">
        <v>1.7225747960108794E-2</v>
      </c>
      <c r="T437" s="845">
        <v>1.8000000000000002E-2</v>
      </c>
      <c r="U437" s="845">
        <v>0</v>
      </c>
      <c r="V437" s="845">
        <v>1.3000000000000001E-2</v>
      </c>
      <c r="W437" s="845">
        <v>0.29096209912536442</v>
      </c>
      <c r="X437" s="845">
        <v>0.24048096192384769</v>
      </c>
      <c r="Y437" s="845">
        <v>0.83114233907524937</v>
      </c>
      <c r="Z437" s="845">
        <v>1.2239347234814143E-2</v>
      </c>
      <c r="AA437" s="845">
        <v>0</v>
      </c>
      <c r="AB437" s="845">
        <v>1.2919310970081596E-2</v>
      </c>
      <c r="AC437" s="845">
        <v>0</v>
      </c>
      <c r="AD437" s="845">
        <v>8.3862194016319138E-3</v>
      </c>
      <c r="AE437" s="845">
        <v>0.13531278331822302</v>
      </c>
      <c r="AF437" s="845">
        <v>0.13123300090661832</v>
      </c>
      <c r="AG437" s="845">
        <v>0.79918404351767902</v>
      </c>
      <c r="AH437" s="20" t="str">
        <f t="shared" si="45"/>
        <v>No</v>
      </c>
      <c r="AI437" s="25"/>
      <c r="AJ437" s="20">
        <v>44273</v>
      </c>
      <c r="AK437" s="20" t="s">
        <v>1285</v>
      </c>
      <c r="AL437" s="20">
        <v>39103</v>
      </c>
      <c r="AM437" s="20" t="s">
        <v>57</v>
      </c>
      <c r="AN437" s="37">
        <f t="shared" si="46"/>
        <v>17410</v>
      </c>
      <c r="AO437" s="37" t="str">
        <f t="shared" si="47"/>
        <v>Cleveland, OH</v>
      </c>
      <c r="AP437" s="20" t="s">
        <v>8</v>
      </c>
      <c r="AQ437" s="25"/>
      <c r="AR437" s="25"/>
      <c r="AS437" s="25"/>
      <c r="AT437" s="25"/>
      <c r="AU437" s="36"/>
      <c r="AV437" s="36"/>
      <c r="AW437" s="36"/>
      <c r="AX437" s="25"/>
      <c r="AY437" s="25"/>
      <c r="AZ437" s="25"/>
      <c r="BA437" s="25"/>
      <c r="BB437" s="25"/>
      <c r="BC437" s="25"/>
      <c r="BD437" s="25"/>
      <c r="BE437" s="25"/>
      <c r="BF437" s="25"/>
      <c r="BG437" s="25"/>
      <c r="BH437" s="25"/>
      <c r="BI437" s="25"/>
      <c r="BJ437" s="25"/>
      <c r="BK437" s="25"/>
      <c r="BL437" s="25"/>
      <c r="BM437" s="25"/>
      <c r="BN437" s="25"/>
      <c r="BO437" s="25"/>
      <c r="BP437" s="25"/>
      <c r="BQ437" s="25"/>
      <c r="BR437" s="25"/>
      <c r="BS437" s="25"/>
      <c r="BT437" s="25"/>
      <c r="BU437" s="39">
        <v>44445</v>
      </c>
      <c r="BV437" s="39" t="s">
        <v>1347</v>
      </c>
      <c r="BW437" s="39" t="s">
        <v>2917</v>
      </c>
      <c r="BX437" s="39" t="s">
        <v>2918</v>
      </c>
      <c r="BY437" s="71">
        <v>740</v>
      </c>
      <c r="BZ437" s="71">
        <v>830</v>
      </c>
      <c r="CA437" s="71">
        <v>1040</v>
      </c>
      <c r="CB437" s="71">
        <v>1300</v>
      </c>
      <c r="CC437" s="71">
        <v>1380</v>
      </c>
      <c r="CD437" s="25"/>
      <c r="CE437" s="200"/>
      <c r="CF437" s="200"/>
      <c r="CG437" s="200"/>
      <c r="CH437" s="200"/>
      <c r="CI437" s="200"/>
      <c r="CJ437" s="200"/>
      <c r="CK437" s="200"/>
      <c r="CL437" s="200"/>
      <c r="CM437" s="200"/>
      <c r="CN437" s="200"/>
      <c r="CO437" s="200"/>
      <c r="CP437" s="200"/>
      <c r="CQ437" s="200"/>
      <c r="CR437" s="200"/>
      <c r="CS437" s="200"/>
      <c r="CT437" s="200"/>
      <c r="CU437" s="200"/>
    </row>
    <row r="438" spans="1:99" s="17" customFormat="1" x14ac:dyDescent="0.2">
      <c r="A438" s="25"/>
      <c r="B438" s="20">
        <v>39035173104</v>
      </c>
      <c r="C438" s="20">
        <v>1731.04</v>
      </c>
      <c r="D438" s="20" t="s">
        <v>24</v>
      </c>
      <c r="E438" s="20" t="s">
        <v>2829</v>
      </c>
      <c r="F438" s="20" t="s">
        <v>8</v>
      </c>
      <c r="G438" s="861">
        <v>65.687778683634306</v>
      </c>
      <c r="H438" s="861">
        <v>72.354133373731997</v>
      </c>
      <c r="I438" s="861">
        <v>27.700963240993101</v>
      </c>
      <c r="J438" s="861">
        <v>32.879588173815101</v>
      </c>
      <c r="K438" s="982">
        <v>0</v>
      </c>
      <c r="L438" s="735">
        <v>4130</v>
      </c>
      <c r="M438" s="735">
        <v>4100</v>
      </c>
      <c r="N438" s="845">
        <f t="shared" si="43"/>
        <v>-7.2639225181598066E-3</v>
      </c>
      <c r="O438" s="735">
        <v>2.8531806657598904</v>
      </c>
      <c r="P438" s="735">
        <f t="shared" si="44"/>
        <v>1436.9927741354727</v>
      </c>
      <c r="Q438" s="849">
        <v>54.6</v>
      </c>
      <c r="R438" s="71">
        <v>71984</v>
      </c>
      <c r="S438" s="845">
        <v>7.0179948586118257E-2</v>
      </c>
      <c r="T438" s="845">
        <v>2.1000000000000001E-2</v>
      </c>
      <c r="U438" s="845">
        <v>0</v>
      </c>
      <c r="V438" s="845">
        <v>0</v>
      </c>
      <c r="W438" s="845">
        <v>9.9243856332703217E-2</v>
      </c>
      <c r="X438" s="845">
        <v>0.29523809523809524</v>
      </c>
      <c r="Y438" s="845">
        <v>0.86365853658536584</v>
      </c>
      <c r="Z438" s="845">
        <v>0.04</v>
      </c>
      <c r="AA438" s="845">
        <v>0</v>
      </c>
      <c r="AB438" s="845">
        <v>1.5609756097560976E-2</v>
      </c>
      <c r="AC438" s="845">
        <v>0</v>
      </c>
      <c r="AD438" s="845">
        <v>0</v>
      </c>
      <c r="AE438" s="845">
        <v>8.0731707317073173E-2</v>
      </c>
      <c r="AF438" s="845">
        <v>0.11024390243902439</v>
      </c>
      <c r="AG438" s="845">
        <v>0.81634146341463409</v>
      </c>
      <c r="AH438" s="20" t="str">
        <f t="shared" si="45"/>
        <v>No</v>
      </c>
      <c r="AI438" s="25"/>
      <c r="AJ438" s="20">
        <v>44274</v>
      </c>
      <c r="AK438" s="20" t="s">
        <v>1286</v>
      </c>
      <c r="AL438" s="20">
        <v>39103</v>
      </c>
      <c r="AM438" s="20" t="s">
        <v>57</v>
      </c>
      <c r="AN438" s="37">
        <f t="shared" si="46"/>
        <v>17410</v>
      </c>
      <c r="AO438" s="37" t="str">
        <f t="shared" si="47"/>
        <v>Cleveland, OH</v>
      </c>
      <c r="AP438" s="20" t="s">
        <v>8</v>
      </c>
      <c r="AQ438" s="25"/>
      <c r="AR438" s="25"/>
      <c r="AS438" s="25"/>
      <c r="AT438" s="25"/>
      <c r="AU438" s="36"/>
      <c r="AV438" s="36"/>
      <c r="AW438" s="36"/>
      <c r="AX438" s="25"/>
      <c r="AY438" s="25"/>
      <c r="AZ438" s="25"/>
      <c r="BA438" s="25"/>
      <c r="BB438" s="25"/>
      <c r="BC438" s="25"/>
      <c r="BD438" s="25"/>
      <c r="BE438" s="25"/>
      <c r="BF438" s="25"/>
      <c r="BG438" s="25"/>
      <c r="BH438" s="25"/>
      <c r="BI438" s="25"/>
      <c r="BJ438" s="25"/>
      <c r="BK438" s="25"/>
      <c r="BL438" s="25"/>
      <c r="BM438" s="25"/>
      <c r="BN438" s="25"/>
      <c r="BO438" s="25"/>
      <c r="BP438" s="25"/>
      <c r="BQ438" s="25"/>
      <c r="BR438" s="25"/>
      <c r="BS438" s="25"/>
      <c r="BT438" s="25"/>
      <c r="BU438" s="39">
        <v>44455</v>
      </c>
      <c r="BV438" s="39" t="s">
        <v>1354</v>
      </c>
      <c r="BW438" s="39" t="s">
        <v>2917</v>
      </c>
      <c r="BX438" s="39" t="s">
        <v>2918</v>
      </c>
      <c r="BY438" s="71">
        <v>690</v>
      </c>
      <c r="BZ438" s="71">
        <v>780</v>
      </c>
      <c r="CA438" s="71">
        <v>970</v>
      </c>
      <c r="CB438" s="71">
        <v>1220</v>
      </c>
      <c r="CC438" s="71">
        <v>1290</v>
      </c>
      <c r="CD438" s="25"/>
      <c r="CE438" s="200"/>
      <c r="CF438" s="200"/>
      <c r="CG438" s="200"/>
      <c r="CH438" s="200"/>
      <c r="CI438" s="200"/>
      <c r="CJ438" s="200"/>
      <c r="CK438" s="200"/>
      <c r="CL438" s="200"/>
      <c r="CM438" s="200"/>
      <c r="CN438" s="200"/>
      <c r="CO438" s="200"/>
      <c r="CP438" s="200"/>
      <c r="CQ438" s="200"/>
      <c r="CR438" s="200"/>
      <c r="CS438" s="200"/>
      <c r="CT438" s="200"/>
      <c r="CU438" s="200"/>
    </row>
    <row r="439" spans="1:99" s="17" customFormat="1" x14ac:dyDescent="0.2">
      <c r="A439" s="25"/>
      <c r="B439" s="20">
        <v>39149971600</v>
      </c>
      <c r="C439" s="20">
        <v>9716</v>
      </c>
      <c r="D439" s="20" t="s">
        <v>80</v>
      </c>
      <c r="E439" s="20" t="s">
        <v>265</v>
      </c>
      <c r="F439" s="20" t="s">
        <v>8</v>
      </c>
      <c r="G439" s="861">
        <v>65.676068300808694</v>
      </c>
      <c r="H439" s="861">
        <v>62.3501153446608</v>
      </c>
      <c r="I439" s="861">
        <v>22.091488694268101</v>
      </c>
      <c r="J439" s="861">
        <v>55.633308510347</v>
      </c>
      <c r="K439" s="982">
        <v>0</v>
      </c>
      <c r="L439" s="735">
        <v>4884</v>
      </c>
      <c r="M439" s="735">
        <v>5240</v>
      </c>
      <c r="N439" s="845">
        <f t="shared" si="43"/>
        <v>7.2891072891072897E-2</v>
      </c>
      <c r="O439" s="735">
        <v>54.624429530682285</v>
      </c>
      <c r="P439" s="735">
        <f t="shared" si="44"/>
        <v>95.927775265034427</v>
      </c>
      <c r="Q439" s="849">
        <v>37.700000000000003</v>
      </c>
      <c r="R439" s="71">
        <v>85417</v>
      </c>
      <c r="S439" s="845">
        <v>0.1431027894535728</v>
      </c>
      <c r="T439" s="845">
        <v>1.8000000000000002E-2</v>
      </c>
      <c r="U439" s="845">
        <v>2E-3</v>
      </c>
      <c r="V439" s="845">
        <v>2.4E-2</v>
      </c>
      <c r="W439" s="845">
        <v>0.15291005291005291</v>
      </c>
      <c r="X439" s="845">
        <v>0.56747404844290661</v>
      </c>
      <c r="Y439" s="845">
        <v>0.97671755725190834</v>
      </c>
      <c r="Z439" s="845">
        <v>2.0992366412213742E-3</v>
      </c>
      <c r="AA439" s="845">
        <v>0</v>
      </c>
      <c r="AB439" s="845">
        <v>6.4885496183206106E-3</v>
      </c>
      <c r="AC439" s="845">
        <v>0</v>
      </c>
      <c r="AD439" s="845">
        <v>0</v>
      </c>
      <c r="AE439" s="845">
        <v>1.4694656488549618E-2</v>
      </c>
      <c r="AF439" s="845">
        <v>1.5267175572519084E-3</v>
      </c>
      <c r="AG439" s="845">
        <v>0.97519083969465647</v>
      </c>
      <c r="AH439" s="20" t="str">
        <f t="shared" si="45"/>
        <v>Yes</v>
      </c>
      <c r="AI439" s="25"/>
      <c r="AJ439" s="20">
        <v>44275</v>
      </c>
      <c r="AK439" s="20" t="s">
        <v>1287</v>
      </c>
      <c r="AL439" s="20">
        <v>39103</v>
      </c>
      <c r="AM439" s="20" t="s">
        <v>57</v>
      </c>
      <c r="AN439" s="37">
        <f t="shared" si="46"/>
        <v>17410</v>
      </c>
      <c r="AO439" s="37" t="str">
        <f t="shared" si="47"/>
        <v>Cleveland, OH</v>
      </c>
      <c r="AP439" s="20" t="s">
        <v>8</v>
      </c>
      <c r="AQ439" s="25"/>
      <c r="AR439" s="25"/>
      <c r="AS439" s="25"/>
      <c r="AT439" s="25"/>
      <c r="AU439" s="36"/>
      <c r="AV439" s="36"/>
      <c r="AW439" s="36"/>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39">
        <v>44493</v>
      </c>
      <c r="BV439" s="39" t="s">
        <v>1365</v>
      </c>
      <c r="BW439" s="39" t="s">
        <v>2917</v>
      </c>
      <c r="BX439" s="39" t="s">
        <v>2918</v>
      </c>
      <c r="BY439" s="71">
        <v>730</v>
      </c>
      <c r="BZ439" s="71">
        <v>820</v>
      </c>
      <c r="CA439" s="71">
        <v>1020</v>
      </c>
      <c r="CB439" s="71">
        <v>1280</v>
      </c>
      <c r="CC439" s="71">
        <v>1360</v>
      </c>
      <c r="CD439" s="25"/>
      <c r="CE439" s="200"/>
      <c r="CF439" s="200"/>
      <c r="CG439" s="200"/>
      <c r="CH439" s="200"/>
      <c r="CI439" s="200"/>
      <c r="CJ439" s="200"/>
      <c r="CK439" s="200"/>
      <c r="CL439" s="200"/>
      <c r="CM439" s="200"/>
      <c r="CN439" s="200"/>
      <c r="CO439" s="200"/>
      <c r="CP439" s="200"/>
      <c r="CQ439" s="200"/>
      <c r="CR439" s="200"/>
      <c r="CS439" s="200"/>
      <c r="CT439" s="200"/>
      <c r="CU439" s="200"/>
    </row>
    <row r="440" spans="1:99" s="17" customFormat="1" x14ac:dyDescent="0.2">
      <c r="A440" s="25"/>
      <c r="B440" s="20">
        <v>39049009336</v>
      </c>
      <c r="C440" s="20">
        <v>93.36</v>
      </c>
      <c r="D440" s="20" t="s">
        <v>31</v>
      </c>
      <c r="E440" s="20" t="s">
        <v>2830</v>
      </c>
      <c r="F440" s="20" t="s">
        <v>8</v>
      </c>
      <c r="G440" s="861">
        <v>65.660073707043793</v>
      </c>
      <c r="H440" s="861">
        <v>70.400714257010506</v>
      </c>
      <c r="I440" s="861">
        <v>45.815189951322999</v>
      </c>
      <c r="J440" s="861">
        <v>60.435131262784097</v>
      </c>
      <c r="K440" s="982">
        <v>0</v>
      </c>
      <c r="L440" s="735">
        <v>2932</v>
      </c>
      <c r="M440" s="735">
        <v>2501</v>
      </c>
      <c r="N440" s="845">
        <f t="shared" si="43"/>
        <v>-0.14699863574351979</v>
      </c>
      <c r="O440" s="735">
        <v>0.65562501752179858</v>
      </c>
      <c r="P440" s="735">
        <f t="shared" si="44"/>
        <v>3814.6805462877956</v>
      </c>
      <c r="Q440" s="849">
        <v>31</v>
      </c>
      <c r="R440" s="71">
        <v>71139</v>
      </c>
      <c r="S440" s="845">
        <v>0.13554578168732506</v>
      </c>
      <c r="T440" s="845">
        <v>1.6E-2</v>
      </c>
      <c r="U440" s="845">
        <v>0</v>
      </c>
      <c r="V440" s="845">
        <v>5.7000000000000002E-2</v>
      </c>
      <c r="W440" s="845">
        <v>0.8257097791798107</v>
      </c>
      <c r="X440" s="845">
        <v>0.30659025787965616</v>
      </c>
      <c r="Y440" s="845">
        <v>0.45381847261095559</v>
      </c>
      <c r="Z440" s="845">
        <v>0.4530187924830068</v>
      </c>
      <c r="AA440" s="845">
        <v>0</v>
      </c>
      <c r="AB440" s="845">
        <v>2.2790883646541384E-2</v>
      </c>
      <c r="AC440" s="845">
        <v>0</v>
      </c>
      <c r="AD440" s="845">
        <v>0</v>
      </c>
      <c r="AE440" s="845">
        <v>7.0371851259496201E-2</v>
      </c>
      <c r="AF440" s="845">
        <v>7.836865253898441E-2</v>
      </c>
      <c r="AG440" s="845">
        <v>0.4422231107556977</v>
      </c>
      <c r="AH440" s="20" t="str">
        <f t="shared" si="45"/>
        <v>No</v>
      </c>
      <c r="AI440" s="25"/>
      <c r="AJ440" s="20">
        <v>44281</v>
      </c>
      <c r="AK440" s="20" t="s">
        <v>1291</v>
      </c>
      <c r="AL440" s="20">
        <v>39103</v>
      </c>
      <c r="AM440" s="20" t="s">
        <v>57</v>
      </c>
      <c r="AN440" s="37">
        <f t="shared" si="46"/>
        <v>17410</v>
      </c>
      <c r="AO440" s="37" t="str">
        <f t="shared" si="47"/>
        <v>Cleveland, OH</v>
      </c>
      <c r="AP440" s="20" t="s">
        <v>8</v>
      </c>
      <c r="AQ440" s="25"/>
      <c r="AR440" s="25"/>
      <c r="AS440" s="25"/>
      <c r="AT440" s="25"/>
      <c r="AU440" s="36"/>
      <c r="AV440" s="36"/>
      <c r="AW440" s="36"/>
      <c r="AX440" s="25"/>
      <c r="AY440" s="25"/>
      <c r="AZ440" s="25"/>
      <c r="BA440" s="25"/>
      <c r="BB440" s="25"/>
      <c r="BC440" s="25"/>
      <c r="BD440" s="25"/>
      <c r="BE440" s="25"/>
      <c r="BF440" s="25"/>
      <c r="BG440" s="25"/>
      <c r="BH440" s="25"/>
      <c r="BI440" s="25"/>
      <c r="BJ440" s="25"/>
      <c r="BK440" s="25"/>
      <c r="BL440" s="25"/>
      <c r="BM440" s="25"/>
      <c r="BN440" s="25"/>
      <c r="BO440" s="25"/>
      <c r="BP440" s="25"/>
      <c r="BQ440" s="25"/>
      <c r="BR440" s="25"/>
      <c r="BS440" s="25"/>
      <c r="BT440" s="25"/>
      <c r="BU440" s="39">
        <v>44665</v>
      </c>
      <c r="BV440" s="39" t="s">
        <v>1426</v>
      </c>
      <c r="BW440" s="39" t="s">
        <v>2917</v>
      </c>
      <c r="BX440" s="39" t="s">
        <v>2918</v>
      </c>
      <c r="BY440" s="71">
        <v>710</v>
      </c>
      <c r="BZ440" s="71">
        <v>780</v>
      </c>
      <c r="CA440" s="71">
        <v>970</v>
      </c>
      <c r="CB440" s="71">
        <v>1240</v>
      </c>
      <c r="CC440" s="71">
        <v>1310</v>
      </c>
      <c r="CD440" s="25"/>
      <c r="CE440" s="200"/>
      <c r="CF440" s="200"/>
      <c r="CG440" s="200"/>
      <c r="CH440" s="200"/>
      <c r="CI440" s="200"/>
      <c r="CJ440" s="200"/>
      <c r="CK440" s="200"/>
      <c r="CL440" s="200"/>
      <c r="CM440" s="200"/>
      <c r="CN440" s="200"/>
      <c r="CO440" s="200"/>
      <c r="CP440" s="200"/>
      <c r="CQ440" s="200"/>
      <c r="CR440" s="200"/>
      <c r="CS440" s="200"/>
      <c r="CT440" s="200"/>
      <c r="CU440" s="200"/>
    </row>
    <row r="441" spans="1:99" s="17" customFormat="1" x14ac:dyDescent="0.2">
      <c r="A441" s="25"/>
      <c r="B441" s="20">
        <v>39035135104</v>
      </c>
      <c r="C441" s="20">
        <v>1351.04</v>
      </c>
      <c r="D441" s="20" t="s">
        <v>24</v>
      </c>
      <c r="E441" s="20" t="s">
        <v>2829</v>
      </c>
      <c r="F441" s="20" t="s">
        <v>8</v>
      </c>
      <c r="G441" s="861">
        <v>65.630072719607</v>
      </c>
      <c r="H441" s="861">
        <v>68.205450347997697</v>
      </c>
      <c r="I441" s="861">
        <v>16.071432087666501</v>
      </c>
      <c r="J441" s="861">
        <v>38.232819730308499</v>
      </c>
      <c r="K441" s="982">
        <v>0</v>
      </c>
      <c r="L441" s="735">
        <v>4021</v>
      </c>
      <c r="M441" s="735">
        <v>4165</v>
      </c>
      <c r="N441" s="845">
        <f t="shared" si="43"/>
        <v>3.5811987067893555E-2</v>
      </c>
      <c r="O441" s="735">
        <v>3.8440616625070145</v>
      </c>
      <c r="P441" s="735">
        <f t="shared" si="44"/>
        <v>1083.4893832799958</v>
      </c>
      <c r="Q441" s="849">
        <v>46.3</v>
      </c>
      <c r="R441" s="71">
        <v>132315</v>
      </c>
      <c r="S441" s="845">
        <v>1.8635043562439498E-2</v>
      </c>
      <c r="T441" s="845">
        <v>6.0999999999999999E-2</v>
      </c>
      <c r="U441" s="845">
        <v>0</v>
      </c>
      <c r="V441" s="845">
        <v>0</v>
      </c>
      <c r="W441" s="845">
        <v>7.9145728643216076E-2</v>
      </c>
      <c r="X441" s="845">
        <v>0</v>
      </c>
      <c r="Y441" s="845">
        <v>0.93613445378151261</v>
      </c>
      <c r="Z441" s="845">
        <v>8.1632653061224497E-3</v>
      </c>
      <c r="AA441" s="845">
        <v>1.2004801920768306E-3</v>
      </c>
      <c r="AB441" s="845">
        <v>3.5294117647058823E-2</v>
      </c>
      <c r="AC441" s="845">
        <v>0</v>
      </c>
      <c r="AD441" s="845">
        <v>0</v>
      </c>
      <c r="AE441" s="845">
        <v>1.920768307322929E-2</v>
      </c>
      <c r="AF441" s="845">
        <v>9.3637454981992801E-3</v>
      </c>
      <c r="AG441" s="845">
        <v>0.93613445378151261</v>
      </c>
      <c r="AH441" s="20" t="str">
        <f t="shared" si="45"/>
        <v>Yes</v>
      </c>
      <c r="AI441" s="25"/>
      <c r="AJ441" s="20">
        <v>44287</v>
      </c>
      <c r="AK441" s="20" t="s">
        <v>1294</v>
      </c>
      <c r="AL441" s="20">
        <v>39103</v>
      </c>
      <c r="AM441" s="20" t="s">
        <v>57</v>
      </c>
      <c r="AN441" s="37">
        <f t="shared" si="46"/>
        <v>17410</v>
      </c>
      <c r="AO441" s="37" t="str">
        <f t="shared" si="47"/>
        <v>Cleveland, OH</v>
      </c>
      <c r="AP441" s="20" t="s">
        <v>8</v>
      </c>
      <c r="AQ441" s="25"/>
      <c r="AR441" s="25"/>
      <c r="AS441" s="25"/>
      <c r="AT441" s="25"/>
      <c r="AU441" s="36"/>
      <c r="AV441" s="36"/>
      <c r="AW441" s="36"/>
      <c r="AX441" s="25"/>
      <c r="AY441" s="25"/>
      <c r="AZ441" s="25"/>
      <c r="BA441" s="25"/>
      <c r="BB441" s="25"/>
      <c r="BC441" s="25"/>
      <c r="BD441" s="25"/>
      <c r="BE441" s="25"/>
      <c r="BF441" s="25"/>
      <c r="BG441" s="25"/>
      <c r="BH441" s="25"/>
      <c r="BI441" s="25"/>
      <c r="BJ441" s="25"/>
      <c r="BK441" s="25"/>
      <c r="BL441" s="25"/>
      <c r="BM441" s="25"/>
      <c r="BN441" s="25"/>
      <c r="BO441" s="25"/>
      <c r="BP441" s="25"/>
      <c r="BQ441" s="25"/>
      <c r="BR441" s="25"/>
      <c r="BS441" s="25"/>
      <c r="BT441" s="25"/>
      <c r="BU441" s="39">
        <v>43001</v>
      </c>
      <c r="BV441" s="39" t="s">
        <v>728</v>
      </c>
      <c r="BW441" s="39" t="s">
        <v>2882</v>
      </c>
      <c r="BX441" s="39" t="s">
        <v>303</v>
      </c>
      <c r="BY441" s="71">
        <v>1010</v>
      </c>
      <c r="BZ441" s="71">
        <v>1090</v>
      </c>
      <c r="CA441" s="71">
        <v>1300</v>
      </c>
      <c r="CB441" s="71">
        <v>1560</v>
      </c>
      <c r="CC441" s="71">
        <v>1750</v>
      </c>
      <c r="CD441" s="25"/>
      <c r="CE441" s="200"/>
      <c r="CF441" s="200"/>
      <c r="CG441" s="200"/>
      <c r="CH441" s="200"/>
      <c r="CI441" s="200"/>
      <c r="CJ441" s="200"/>
      <c r="CK441" s="200"/>
      <c r="CL441" s="200"/>
      <c r="CM441" s="200"/>
      <c r="CN441" s="200"/>
      <c r="CO441" s="200"/>
      <c r="CP441" s="200"/>
      <c r="CQ441" s="200"/>
      <c r="CR441" s="200"/>
      <c r="CS441" s="200"/>
      <c r="CT441" s="200"/>
      <c r="CU441" s="200"/>
    </row>
    <row r="442" spans="1:99" s="17" customFormat="1" x14ac:dyDescent="0.2">
      <c r="A442" s="25"/>
      <c r="B442" s="20">
        <v>39041012200</v>
      </c>
      <c r="C442" s="20">
        <v>122</v>
      </c>
      <c r="D442" s="20" t="s">
        <v>27</v>
      </c>
      <c r="E442" s="20" t="s">
        <v>2830</v>
      </c>
      <c r="F442" s="20" t="s">
        <v>8</v>
      </c>
      <c r="G442" s="861">
        <v>65.611132818925796</v>
      </c>
      <c r="H442" s="861">
        <v>66.576335687484601</v>
      </c>
      <c r="I442" s="861">
        <v>29.014262625374698</v>
      </c>
      <c r="J442" s="861">
        <v>59.010410201763499</v>
      </c>
      <c r="K442" s="982">
        <v>0</v>
      </c>
      <c r="L442" s="735">
        <v>4844</v>
      </c>
      <c r="M442" s="735">
        <v>5117</v>
      </c>
      <c r="N442" s="845">
        <f t="shared" si="43"/>
        <v>5.6358381502890173E-2</v>
      </c>
      <c r="O442" s="735">
        <v>8.4737006765641105</v>
      </c>
      <c r="P442" s="735">
        <f t="shared" si="44"/>
        <v>603.86839178213984</v>
      </c>
      <c r="Q442" s="849">
        <v>44</v>
      </c>
      <c r="R442" s="71">
        <v>100246</v>
      </c>
      <c r="S442" s="845">
        <v>6.4225690276110442E-2</v>
      </c>
      <c r="T442" s="845">
        <v>1.1000000000000001E-2</v>
      </c>
      <c r="U442" s="845">
        <v>0</v>
      </c>
      <c r="V442" s="845">
        <v>4.9000000000000002E-2</v>
      </c>
      <c r="W442" s="845">
        <v>0.46440204746393671</v>
      </c>
      <c r="X442" s="845">
        <v>0.34569138276553107</v>
      </c>
      <c r="Y442" s="845">
        <v>0.91792065663474687</v>
      </c>
      <c r="Z442" s="845">
        <v>2.0910689857338283E-2</v>
      </c>
      <c r="AA442" s="845">
        <v>1.3679890560875513E-3</v>
      </c>
      <c r="AB442" s="845">
        <v>2.3842094977525895E-2</v>
      </c>
      <c r="AC442" s="845">
        <v>0</v>
      </c>
      <c r="AD442" s="845">
        <v>8.9896423685753377E-3</v>
      </c>
      <c r="AE442" s="845">
        <v>2.6968927105726011E-2</v>
      </c>
      <c r="AF442" s="845">
        <v>2.9900332225913623E-2</v>
      </c>
      <c r="AG442" s="845">
        <v>0.91283955442642173</v>
      </c>
      <c r="AH442" s="20" t="str">
        <f t="shared" si="45"/>
        <v>Yes</v>
      </c>
      <c r="AI442" s="25"/>
      <c r="AJ442" s="20">
        <v>44321</v>
      </c>
      <c r="AK442" s="20" t="s">
        <v>1311</v>
      </c>
      <c r="AL442" s="20">
        <v>39103</v>
      </c>
      <c r="AM442" s="20" t="s">
        <v>57</v>
      </c>
      <c r="AN442" s="37">
        <f t="shared" si="46"/>
        <v>17410</v>
      </c>
      <c r="AO442" s="37" t="str">
        <f t="shared" si="47"/>
        <v>Cleveland, OH</v>
      </c>
      <c r="AP442" s="20" t="s">
        <v>8</v>
      </c>
      <c r="AQ442" s="25"/>
      <c r="AR442" s="25"/>
      <c r="AS442" s="25"/>
      <c r="AT442" s="25"/>
      <c r="AU442" s="36"/>
      <c r="AV442" s="36"/>
      <c r="AW442" s="36"/>
      <c r="AX442" s="25"/>
      <c r="AY442" s="25"/>
      <c r="AZ442" s="25"/>
      <c r="BA442" s="25"/>
      <c r="BB442" s="25"/>
      <c r="BC442" s="25"/>
      <c r="BD442" s="25"/>
      <c r="BE442" s="25"/>
      <c r="BF442" s="25"/>
      <c r="BG442" s="25"/>
      <c r="BH442" s="25"/>
      <c r="BI442" s="25"/>
      <c r="BJ442" s="25"/>
      <c r="BK442" s="25"/>
      <c r="BL442" s="25"/>
      <c r="BM442" s="25"/>
      <c r="BN442" s="25"/>
      <c r="BO442" s="25"/>
      <c r="BP442" s="25"/>
      <c r="BQ442" s="25"/>
      <c r="BR442" s="25"/>
      <c r="BS442" s="25"/>
      <c r="BT442" s="25"/>
      <c r="BU442" s="39">
        <v>43002</v>
      </c>
      <c r="BV442" s="39" t="s">
        <v>729</v>
      </c>
      <c r="BW442" s="39" t="s">
        <v>2882</v>
      </c>
      <c r="BX442" s="39" t="s">
        <v>303</v>
      </c>
      <c r="BY442" s="71">
        <v>1450</v>
      </c>
      <c r="BZ442" s="71">
        <v>1560</v>
      </c>
      <c r="CA442" s="71">
        <v>1870</v>
      </c>
      <c r="CB442" s="71">
        <v>2240</v>
      </c>
      <c r="CC442" s="71">
        <v>2510</v>
      </c>
      <c r="CD442" s="25"/>
      <c r="CE442" s="200"/>
      <c r="CF442" s="200"/>
      <c r="CG442" s="200"/>
      <c r="CH442" s="200"/>
      <c r="CI442" s="200"/>
      <c r="CJ442" s="200"/>
      <c r="CK442" s="200"/>
      <c r="CL442" s="200"/>
      <c r="CM442" s="200"/>
      <c r="CN442" s="200"/>
      <c r="CO442" s="200"/>
      <c r="CP442" s="200"/>
      <c r="CQ442" s="200"/>
      <c r="CR442" s="200"/>
      <c r="CS442" s="200"/>
      <c r="CT442" s="200"/>
      <c r="CU442" s="200"/>
    </row>
    <row r="443" spans="1:99" s="17" customFormat="1" x14ac:dyDescent="0.2">
      <c r="A443" s="25"/>
      <c r="B443" s="20">
        <v>39175938400</v>
      </c>
      <c r="C443" s="20">
        <v>9384</v>
      </c>
      <c r="D443" s="20" t="s">
        <v>93</v>
      </c>
      <c r="E443" s="20" t="s">
        <v>265</v>
      </c>
      <c r="F443" s="20" t="s">
        <v>8</v>
      </c>
      <c r="G443" s="861">
        <v>65.609895927786596</v>
      </c>
      <c r="H443" s="861">
        <v>69.692109252563895</v>
      </c>
      <c r="I443" s="861">
        <v>23.865602745753801</v>
      </c>
      <c r="J443" s="861">
        <v>49.297884768466403</v>
      </c>
      <c r="K443" s="982">
        <v>0</v>
      </c>
      <c r="L443" s="735">
        <v>3098</v>
      </c>
      <c r="M443" s="735">
        <v>3108</v>
      </c>
      <c r="N443" s="845">
        <f t="shared" si="43"/>
        <v>3.2278889606197547E-3</v>
      </c>
      <c r="O443" s="735">
        <v>13.260394465671892</v>
      </c>
      <c r="P443" s="735">
        <f t="shared" si="44"/>
        <v>234.38216774364415</v>
      </c>
      <c r="Q443" s="849">
        <v>36.5</v>
      </c>
      <c r="R443" s="71">
        <v>78008</v>
      </c>
      <c r="S443" s="845">
        <v>1.5587936292782108E-2</v>
      </c>
      <c r="T443" s="845">
        <v>4.2000000000000003E-2</v>
      </c>
      <c r="U443" s="845">
        <v>0</v>
      </c>
      <c r="V443" s="845">
        <v>0</v>
      </c>
      <c r="W443" s="845">
        <v>0.39006024096385544</v>
      </c>
      <c r="X443" s="845">
        <v>0.10231660231660232</v>
      </c>
      <c r="Y443" s="845">
        <v>0.88706563706563701</v>
      </c>
      <c r="Z443" s="845">
        <v>5.7915057915057912E-3</v>
      </c>
      <c r="AA443" s="845">
        <v>0</v>
      </c>
      <c r="AB443" s="845">
        <v>5.7915057915057912E-3</v>
      </c>
      <c r="AC443" s="845">
        <v>0</v>
      </c>
      <c r="AD443" s="845">
        <v>0</v>
      </c>
      <c r="AE443" s="845">
        <v>0.10135135135135136</v>
      </c>
      <c r="AF443" s="845">
        <v>9.3307593307593306E-2</v>
      </c>
      <c r="AG443" s="845">
        <v>0.86936936936936937</v>
      </c>
      <c r="AH443" s="20" t="str">
        <f t="shared" si="45"/>
        <v>No</v>
      </c>
      <c r="AI443" s="25"/>
      <c r="AJ443" s="37">
        <v>44333</v>
      </c>
      <c r="AK443" s="37" t="s">
        <v>1313</v>
      </c>
      <c r="AL443" s="37">
        <v>39103</v>
      </c>
      <c r="AM443" s="37" t="s">
        <v>57</v>
      </c>
      <c r="AN443" s="37">
        <f t="shared" si="46"/>
        <v>17410</v>
      </c>
      <c r="AO443" s="37" t="str">
        <f t="shared" si="47"/>
        <v>Cleveland, OH</v>
      </c>
      <c r="AP443" s="20" t="s">
        <v>8</v>
      </c>
      <c r="AQ443" s="25"/>
      <c r="AR443" s="25"/>
      <c r="AS443" s="25"/>
      <c r="AT443" s="25"/>
      <c r="AU443" s="36"/>
      <c r="AV443" s="36"/>
      <c r="AW443" s="36"/>
      <c r="AX443" s="25"/>
      <c r="AY443" s="25"/>
      <c r="AZ443" s="25"/>
      <c r="BA443" s="25"/>
      <c r="BB443" s="25"/>
      <c r="BC443" s="25"/>
      <c r="BD443" s="25"/>
      <c r="BE443" s="25"/>
      <c r="BF443" s="25"/>
      <c r="BG443" s="25"/>
      <c r="BH443" s="25"/>
      <c r="BI443" s="25"/>
      <c r="BJ443" s="25"/>
      <c r="BK443" s="25"/>
      <c r="BL443" s="25"/>
      <c r="BM443" s="25"/>
      <c r="BN443" s="25"/>
      <c r="BO443" s="25"/>
      <c r="BP443" s="25"/>
      <c r="BQ443" s="25"/>
      <c r="BR443" s="25"/>
      <c r="BS443" s="25"/>
      <c r="BT443" s="25"/>
      <c r="BU443" s="39">
        <v>43003</v>
      </c>
      <c r="BV443" s="39" t="s">
        <v>730</v>
      </c>
      <c r="BW443" s="39" t="s">
        <v>2882</v>
      </c>
      <c r="BX443" s="39" t="s">
        <v>303</v>
      </c>
      <c r="BY443" s="71">
        <v>920</v>
      </c>
      <c r="BZ443" s="71">
        <v>990</v>
      </c>
      <c r="CA443" s="71">
        <v>1190</v>
      </c>
      <c r="CB443" s="71">
        <v>1430</v>
      </c>
      <c r="CC443" s="71">
        <v>1600</v>
      </c>
      <c r="CD443" s="25"/>
      <c r="CE443" s="200"/>
      <c r="CF443" s="200"/>
      <c r="CG443" s="200"/>
      <c r="CH443" s="200"/>
      <c r="CI443" s="200"/>
      <c r="CJ443" s="200"/>
      <c r="CK443" s="200"/>
      <c r="CL443" s="200"/>
      <c r="CM443" s="200"/>
      <c r="CN443" s="200"/>
      <c r="CO443" s="200"/>
      <c r="CP443" s="200"/>
      <c r="CQ443" s="200"/>
      <c r="CR443" s="200"/>
      <c r="CS443" s="200"/>
      <c r="CT443" s="200"/>
      <c r="CU443" s="200"/>
    </row>
    <row r="444" spans="1:99" s="17" customFormat="1" x14ac:dyDescent="0.2">
      <c r="A444" s="25"/>
      <c r="B444" s="20">
        <v>39049007931</v>
      </c>
      <c r="C444" s="20">
        <v>79.31</v>
      </c>
      <c r="D444" s="20" t="s">
        <v>31</v>
      </c>
      <c r="E444" s="20" t="s">
        <v>2830</v>
      </c>
      <c r="F444" s="20" t="s">
        <v>8</v>
      </c>
      <c r="G444" s="861">
        <v>65.475976859109295</v>
      </c>
      <c r="H444" s="861">
        <v>73.799583200580102</v>
      </c>
      <c r="I444" s="861">
        <v>15.4555170998277</v>
      </c>
      <c r="J444" s="861">
        <v>47.145602329115498</v>
      </c>
      <c r="K444" s="982">
        <v>0</v>
      </c>
      <c r="L444" s="735">
        <v>4507</v>
      </c>
      <c r="M444" s="735">
        <v>4451</v>
      </c>
      <c r="N444" s="845">
        <f t="shared" si="43"/>
        <v>-1.2425116485467052E-2</v>
      </c>
      <c r="O444" s="735">
        <v>1.5816829367606635</v>
      </c>
      <c r="P444" s="735">
        <f t="shared" si="44"/>
        <v>2814.0911788021108</v>
      </c>
      <c r="Q444" s="849">
        <v>35.299999999999997</v>
      </c>
      <c r="R444" s="71">
        <v>127564</v>
      </c>
      <c r="S444" s="845">
        <v>2.1118849696697372E-2</v>
      </c>
      <c r="T444" s="845">
        <v>9.3000000000000013E-2</v>
      </c>
      <c r="U444" s="845">
        <v>0</v>
      </c>
      <c r="V444" s="845">
        <v>0</v>
      </c>
      <c r="W444" s="845">
        <v>0.17565947242206234</v>
      </c>
      <c r="X444" s="845">
        <v>0.17747440273037543</v>
      </c>
      <c r="Y444" s="845">
        <v>0.87508425073017304</v>
      </c>
      <c r="Z444" s="845">
        <v>3.4149629296787241E-2</v>
      </c>
      <c r="AA444" s="845">
        <v>1.1233430689732643E-3</v>
      </c>
      <c r="AB444" s="845">
        <v>2.7634239496742305E-2</v>
      </c>
      <c r="AC444" s="845">
        <v>0</v>
      </c>
      <c r="AD444" s="845">
        <v>8.9867445517861147E-3</v>
      </c>
      <c r="AE444" s="845">
        <v>5.3021792855538083E-2</v>
      </c>
      <c r="AF444" s="845">
        <v>1.011008762075938E-2</v>
      </c>
      <c r="AG444" s="845">
        <v>0.87508425073017304</v>
      </c>
      <c r="AH444" s="20" t="str">
        <f t="shared" si="45"/>
        <v>No</v>
      </c>
      <c r="AI444" s="25"/>
      <c r="AJ444" s="20">
        <v>44880</v>
      </c>
      <c r="AK444" s="20" t="s">
        <v>1514</v>
      </c>
      <c r="AL444" s="20">
        <v>39103</v>
      </c>
      <c r="AM444" s="20" t="s">
        <v>57</v>
      </c>
      <c r="AN444" s="37">
        <f t="shared" si="46"/>
        <v>17410</v>
      </c>
      <c r="AO444" s="37" t="str">
        <f t="shared" si="47"/>
        <v>Cleveland, OH</v>
      </c>
      <c r="AP444" s="20" t="s">
        <v>8</v>
      </c>
      <c r="AQ444" s="25"/>
      <c r="AR444" s="25"/>
      <c r="AS444" s="25"/>
      <c r="AT444" s="25"/>
      <c r="AU444" s="36"/>
      <c r="AV444" s="36"/>
      <c r="AW444" s="36"/>
      <c r="AX444" s="25"/>
      <c r="AY444" s="25"/>
      <c r="AZ444" s="25"/>
      <c r="BA444" s="25"/>
      <c r="BB444" s="25"/>
      <c r="BC444" s="25"/>
      <c r="BD444" s="25"/>
      <c r="BE444" s="25"/>
      <c r="BF444" s="25"/>
      <c r="BG444" s="25"/>
      <c r="BH444" s="25"/>
      <c r="BI444" s="25"/>
      <c r="BJ444" s="25"/>
      <c r="BK444" s="25"/>
      <c r="BL444" s="25"/>
      <c r="BM444" s="25"/>
      <c r="BN444" s="25"/>
      <c r="BO444" s="25"/>
      <c r="BP444" s="25"/>
      <c r="BQ444" s="25"/>
      <c r="BR444" s="25"/>
      <c r="BS444" s="25"/>
      <c r="BT444" s="25"/>
      <c r="BU444" s="39">
        <v>43004</v>
      </c>
      <c r="BV444" s="39" t="s">
        <v>731</v>
      </c>
      <c r="BW444" s="39" t="s">
        <v>2882</v>
      </c>
      <c r="BX444" s="39" t="s">
        <v>303</v>
      </c>
      <c r="BY444" s="71">
        <v>1250</v>
      </c>
      <c r="BZ444" s="71">
        <v>1340</v>
      </c>
      <c r="CA444" s="71">
        <v>1610</v>
      </c>
      <c r="CB444" s="71">
        <v>1930</v>
      </c>
      <c r="CC444" s="71">
        <v>2170</v>
      </c>
      <c r="CD444" s="25"/>
      <c r="CE444" s="200"/>
      <c r="CF444" s="200"/>
      <c r="CG444" s="200"/>
      <c r="CH444" s="200"/>
      <c r="CI444" s="200"/>
      <c r="CJ444" s="200"/>
      <c r="CK444" s="200"/>
      <c r="CL444" s="200"/>
      <c r="CM444" s="200"/>
      <c r="CN444" s="200"/>
      <c r="CO444" s="200"/>
      <c r="CP444" s="200"/>
      <c r="CQ444" s="200"/>
      <c r="CR444" s="200"/>
      <c r="CS444" s="200"/>
      <c r="CT444" s="200"/>
      <c r="CU444" s="200"/>
    </row>
    <row r="445" spans="1:99" s="17" customFormat="1" x14ac:dyDescent="0.2">
      <c r="A445" s="25"/>
      <c r="B445" s="20">
        <v>39035196300</v>
      </c>
      <c r="C445" s="20">
        <v>1963</v>
      </c>
      <c r="D445" s="20" t="s">
        <v>24</v>
      </c>
      <c r="E445" s="20" t="s">
        <v>2829</v>
      </c>
      <c r="F445" s="20" t="s">
        <v>8</v>
      </c>
      <c r="G445" s="861">
        <v>65.471858307656007</v>
      </c>
      <c r="H445" s="861">
        <v>67.249120106405101</v>
      </c>
      <c r="I445" s="861">
        <v>21.908221122417</v>
      </c>
      <c r="J445" s="861">
        <v>59.148113041579698</v>
      </c>
      <c r="K445" s="982">
        <v>0</v>
      </c>
      <c r="L445" s="735">
        <v>3922</v>
      </c>
      <c r="M445" s="735">
        <v>4073</v>
      </c>
      <c r="N445" s="845">
        <f t="shared" si="43"/>
        <v>3.8500764915859256E-2</v>
      </c>
      <c r="O445" s="735">
        <v>14.099918010820522</v>
      </c>
      <c r="P445" s="735">
        <f t="shared" si="44"/>
        <v>288.86692794059576</v>
      </c>
      <c r="Q445" s="849">
        <v>54.4</v>
      </c>
      <c r="R445" s="71">
        <v>206165</v>
      </c>
      <c r="S445" s="845">
        <v>4.5722713864306784E-2</v>
      </c>
      <c r="T445" s="845">
        <v>3.7999999999999999E-2</v>
      </c>
      <c r="U445" s="845">
        <v>4.0000000000000001E-3</v>
      </c>
      <c r="V445" s="845">
        <v>0</v>
      </c>
      <c r="W445" s="845">
        <v>5.1404662283323369E-2</v>
      </c>
      <c r="X445" s="845">
        <v>0.47674418604651164</v>
      </c>
      <c r="Y445" s="845">
        <v>0.90326540633439723</v>
      </c>
      <c r="Z445" s="845">
        <v>1.497667566904002E-2</v>
      </c>
      <c r="AA445" s="845">
        <v>0</v>
      </c>
      <c r="AB445" s="845">
        <v>3.5354775349864961E-2</v>
      </c>
      <c r="AC445" s="845">
        <v>0</v>
      </c>
      <c r="AD445" s="845">
        <v>1.9641541861036092E-3</v>
      </c>
      <c r="AE445" s="845">
        <v>4.4438988460594159E-2</v>
      </c>
      <c r="AF445" s="845">
        <v>4.0019641541861037E-2</v>
      </c>
      <c r="AG445" s="845">
        <v>0.89663638595629758</v>
      </c>
      <c r="AH445" s="20" t="str">
        <f t="shared" si="45"/>
        <v>No</v>
      </c>
      <c r="AI445" s="25"/>
      <c r="AJ445" s="20">
        <v>43003</v>
      </c>
      <c r="AK445" s="20" t="s">
        <v>730</v>
      </c>
      <c r="AL445" s="20">
        <v>39041</v>
      </c>
      <c r="AM445" s="20" t="s">
        <v>27</v>
      </c>
      <c r="AN445" s="37">
        <f t="shared" si="46"/>
        <v>18140</v>
      </c>
      <c r="AO445" s="37" t="str">
        <f t="shared" si="47"/>
        <v>Columbus, OH</v>
      </c>
      <c r="AP445" s="20" t="s">
        <v>8</v>
      </c>
      <c r="AQ445" s="25"/>
      <c r="AR445" s="25"/>
      <c r="AS445" s="25"/>
      <c r="AT445" s="25"/>
      <c r="AU445" s="36"/>
      <c r="AV445" s="36"/>
      <c r="AW445" s="36"/>
      <c r="AX445" s="25"/>
      <c r="AY445" s="25"/>
      <c r="AZ445" s="25"/>
      <c r="BA445" s="25"/>
      <c r="BB445" s="25"/>
      <c r="BC445" s="25"/>
      <c r="BD445" s="25"/>
      <c r="BE445" s="25"/>
      <c r="BF445" s="25"/>
      <c r="BG445" s="25"/>
      <c r="BH445" s="25"/>
      <c r="BI445" s="25"/>
      <c r="BJ445" s="25"/>
      <c r="BK445" s="25"/>
      <c r="BL445" s="25"/>
      <c r="BM445" s="25"/>
      <c r="BN445" s="25"/>
      <c r="BO445" s="25"/>
      <c r="BP445" s="25"/>
      <c r="BQ445" s="25"/>
      <c r="BR445" s="25"/>
      <c r="BS445" s="25"/>
      <c r="BT445" s="25"/>
      <c r="BU445" s="39">
        <v>43008</v>
      </c>
      <c r="BV445" s="39" t="s">
        <v>735</v>
      </c>
      <c r="BW445" s="39" t="s">
        <v>2882</v>
      </c>
      <c r="BX445" s="39" t="s">
        <v>303</v>
      </c>
      <c r="BY445" s="71">
        <v>800</v>
      </c>
      <c r="BZ445" s="71">
        <v>870</v>
      </c>
      <c r="CA445" s="71">
        <v>1070</v>
      </c>
      <c r="CB445" s="71">
        <v>1280</v>
      </c>
      <c r="CC445" s="71">
        <v>1430</v>
      </c>
      <c r="CD445" s="25"/>
      <c r="CE445" s="200"/>
      <c r="CF445" s="200"/>
      <c r="CG445" s="200"/>
      <c r="CH445" s="200"/>
      <c r="CI445" s="200"/>
      <c r="CJ445" s="200"/>
      <c r="CK445" s="200"/>
      <c r="CL445" s="200"/>
      <c r="CM445" s="200"/>
      <c r="CN445" s="200"/>
      <c r="CO445" s="200"/>
      <c r="CP445" s="200"/>
      <c r="CQ445" s="200"/>
      <c r="CR445" s="200"/>
      <c r="CS445" s="200"/>
      <c r="CT445" s="200"/>
      <c r="CU445" s="200"/>
    </row>
    <row r="446" spans="1:99" s="17" customFormat="1" x14ac:dyDescent="0.2">
      <c r="A446" s="25"/>
      <c r="B446" s="20">
        <v>39049007103</v>
      </c>
      <c r="C446" s="20">
        <v>71.03</v>
      </c>
      <c r="D446" s="20" t="s">
        <v>31</v>
      </c>
      <c r="E446" s="20" t="s">
        <v>2830</v>
      </c>
      <c r="F446" s="20" t="s">
        <v>8</v>
      </c>
      <c r="G446" s="861">
        <v>65.4510092897779</v>
      </c>
      <c r="H446" s="861">
        <v>75.679096051210806</v>
      </c>
      <c r="I446" s="861">
        <v>26.3754930442797</v>
      </c>
      <c r="J446" s="861">
        <v>49.878571210317801</v>
      </c>
      <c r="K446" s="982">
        <v>0</v>
      </c>
      <c r="L446" s="735" t="s">
        <v>2466</v>
      </c>
      <c r="M446" s="735">
        <v>4696</v>
      </c>
      <c r="N446" s="845" t="str">
        <f t="shared" si="43"/>
        <v/>
      </c>
      <c r="O446" s="735">
        <v>0.56874855691905091</v>
      </c>
      <c r="P446" s="735">
        <f t="shared" si="44"/>
        <v>8256.7242463674047</v>
      </c>
      <c r="Q446" s="849">
        <v>36.1</v>
      </c>
      <c r="R446" s="71">
        <v>100060</v>
      </c>
      <c r="S446" s="845">
        <v>9.7779675491033308E-2</v>
      </c>
      <c r="T446" s="845">
        <v>0.03</v>
      </c>
      <c r="U446" s="845">
        <v>0</v>
      </c>
      <c r="V446" s="845">
        <v>0</v>
      </c>
      <c r="W446" s="845">
        <v>0.345042492917847</v>
      </c>
      <c r="X446" s="845">
        <v>0.41871921182266009</v>
      </c>
      <c r="Y446" s="845">
        <v>0.651618398637138</v>
      </c>
      <c r="Z446" s="845">
        <v>0.16695059625212946</v>
      </c>
      <c r="AA446" s="845">
        <v>0</v>
      </c>
      <c r="AB446" s="845">
        <v>4.1737649063032366E-2</v>
      </c>
      <c r="AC446" s="845">
        <v>0</v>
      </c>
      <c r="AD446" s="845">
        <v>0.12137989778534923</v>
      </c>
      <c r="AE446" s="845">
        <v>1.8313458262350937E-2</v>
      </c>
      <c r="AF446" s="845">
        <v>0.13351788756388416</v>
      </c>
      <c r="AG446" s="845">
        <v>0.61499148211243615</v>
      </c>
      <c r="AH446" s="20" t="str">
        <f t="shared" si="45"/>
        <v>No</v>
      </c>
      <c r="AI446" s="25"/>
      <c r="AJ446" s="20">
        <v>43011</v>
      </c>
      <c r="AK446" s="20" t="s">
        <v>738</v>
      </c>
      <c r="AL446" s="20">
        <v>39041</v>
      </c>
      <c r="AM446" s="20" t="s">
        <v>27</v>
      </c>
      <c r="AN446" s="37">
        <f t="shared" si="46"/>
        <v>18140</v>
      </c>
      <c r="AO446" s="37" t="str">
        <f t="shared" si="47"/>
        <v>Columbus, OH</v>
      </c>
      <c r="AP446" s="20" t="s">
        <v>8</v>
      </c>
      <c r="AQ446" s="25"/>
      <c r="AR446" s="25"/>
      <c r="AS446" s="25"/>
      <c r="AT446" s="25"/>
      <c r="AU446" s="36"/>
      <c r="AV446" s="36"/>
      <c r="AW446" s="36"/>
      <c r="AX446" s="25"/>
      <c r="AY446" s="25"/>
      <c r="AZ446" s="25"/>
      <c r="BA446" s="25"/>
      <c r="BB446" s="25"/>
      <c r="BC446" s="25"/>
      <c r="BD446" s="25"/>
      <c r="BE446" s="25"/>
      <c r="BF446" s="25"/>
      <c r="BG446" s="25"/>
      <c r="BH446" s="25"/>
      <c r="BI446" s="25"/>
      <c r="BJ446" s="25"/>
      <c r="BK446" s="25"/>
      <c r="BL446" s="25"/>
      <c r="BM446" s="25"/>
      <c r="BN446" s="25"/>
      <c r="BO446" s="25"/>
      <c r="BP446" s="25"/>
      <c r="BQ446" s="25"/>
      <c r="BR446" s="25"/>
      <c r="BS446" s="25"/>
      <c r="BT446" s="25"/>
      <c r="BU446" s="39">
        <v>43011</v>
      </c>
      <c r="BV446" s="39" t="s">
        <v>738</v>
      </c>
      <c r="BW446" s="39" t="s">
        <v>2882</v>
      </c>
      <c r="BX446" s="39" t="s">
        <v>303</v>
      </c>
      <c r="BY446" s="71">
        <v>800</v>
      </c>
      <c r="BZ446" s="71">
        <v>870</v>
      </c>
      <c r="CA446" s="71">
        <v>1070</v>
      </c>
      <c r="CB446" s="71">
        <v>1280</v>
      </c>
      <c r="CC446" s="71">
        <v>1430</v>
      </c>
      <c r="CD446" s="25"/>
      <c r="CE446" s="200"/>
      <c r="CF446" s="200"/>
      <c r="CG446" s="200"/>
      <c r="CH446" s="200"/>
      <c r="CI446" s="200"/>
      <c r="CJ446" s="200"/>
      <c r="CK446" s="200"/>
      <c r="CL446" s="200"/>
      <c r="CM446" s="200"/>
      <c r="CN446" s="200"/>
      <c r="CO446" s="200"/>
      <c r="CP446" s="200"/>
      <c r="CQ446" s="200"/>
      <c r="CR446" s="200"/>
      <c r="CS446" s="200"/>
      <c r="CT446" s="200"/>
      <c r="CU446" s="200"/>
    </row>
    <row r="447" spans="1:99" s="17" customFormat="1" x14ac:dyDescent="0.2">
      <c r="A447" s="25"/>
      <c r="B447" s="20">
        <v>39103404000</v>
      </c>
      <c r="C447" s="20">
        <v>4040</v>
      </c>
      <c r="D447" s="20" t="s">
        <v>57</v>
      </c>
      <c r="E447" s="20" t="s">
        <v>2829</v>
      </c>
      <c r="F447" s="20" t="s">
        <v>8</v>
      </c>
      <c r="G447" s="861">
        <v>65.432884609262899</v>
      </c>
      <c r="H447" s="861">
        <v>66.488709017244801</v>
      </c>
      <c r="I447" s="861">
        <v>43.062990524564199</v>
      </c>
      <c r="J447" s="861">
        <v>55.246828380455803</v>
      </c>
      <c r="K447" s="982">
        <v>0</v>
      </c>
      <c r="L447" s="735">
        <v>4080</v>
      </c>
      <c r="M447" s="735">
        <v>4723</v>
      </c>
      <c r="N447" s="845">
        <f t="shared" si="43"/>
        <v>0.15759803921568627</v>
      </c>
      <c r="O447" s="735">
        <v>13.238964251461372</v>
      </c>
      <c r="P447" s="735">
        <f t="shared" si="44"/>
        <v>356.74996248129122</v>
      </c>
      <c r="Q447" s="849">
        <v>50.9</v>
      </c>
      <c r="R447" s="71">
        <v>133813</v>
      </c>
      <c r="S447" s="845">
        <v>2.8966986155484559E-2</v>
      </c>
      <c r="T447" s="845">
        <v>2.7000000000000003E-2</v>
      </c>
      <c r="U447" s="845">
        <v>0</v>
      </c>
      <c r="V447" s="845">
        <v>0</v>
      </c>
      <c r="W447" s="845">
        <v>1.426220515633571E-2</v>
      </c>
      <c r="X447" s="845">
        <v>0</v>
      </c>
      <c r="Y447" s="845">
        <v>0.92293034088503068</v>
      </c>
      <c r="Z447" s="845">
        <v>1.2492060131272496E-2</v>
      </c>
      <c r="AA447" s="845">
        <v>0</v>
      </c>
      <c r="AB447" s="845">
        <v>4.0652127884818971E-2</v>
      </c>
      <c r="AC447" s="845">
        <v>0</v>
      </c>
      <c r="AD447" s="845">
        <v>2.3290281600677537E-3</v>
      </c>
      <c r="AE447" s="845">
        <v>2.1596442938810079E-2</v>
      </c>
      <c r="AF447" s="845">
        <v>6.5636248147363961E-3</v>
      </c>
      <c r="AG447" s="845">
        <v>0.92293034088503068</v>
      </c>
      <c r="AH447" s="20" t="str">
        <f t="shared" si="45"/>
        <v>Yes</v>
      </c>
      <c r="AI447" s="25"/>
      <c r="AJ447" s="20">
        <v>43013</v>
      </c>
      <c r="AK447" s="20" t="s">
        <v>739</v>
      </c>
      <c r="AL447" s="20">
        <v>39041</v>
      </c>
      <c r="AM447" s="20" t="s">
        <v>27</v>
      </c>
      <c r="AN447" s="37">
        <f t="shared" si="46"/>
        <v>18140</v>
      </c>
      <c r="AO447" s="37" t="str">
        <f t="shared" si="47"/>
        <v>Columbus, OH</v>
      </c>
      <c r="AP447" s="20" t="s">
        <v>8</v>
      </c>
      <c r="AQ447" s="25"/>
      <c r="AR447" s="25"/>
      <c r="AS447" s="25"/>
      <c r="AT447" s="25"/>
      <c r="AU447" s="36"/>
      <c r="AV447" s="36"/>
      <c r="AW447" s="36"/>
      <c r="AX447" s="25"/>
      <c r="AY447" s="25"/>
      <c r="AZ447" s="25"/>
      <c r="BA447" s="25"/>
      <c r="BB447" s="25"/>
      <c r="BC447" s="25"/>
      <c r="BD447" s="25"/>
      <c r="BE447" s="25"/>
      <c r="BF447" s="25"/>
      <c r="BG447" s="25"/>
      <c r="BH447" s="25"/>
      <c r="BI447" s="25"/>
      <c r="BJ447" s="25"/>
      <c r="BK447" s="25"/>
      <c r="BL447" s="25"/>
      <c r="BM447" s="25"/>
      <c r="BN447" s="25"/>
      <c r="BO447" s="25"/>
      <c r="BP447" s="25"/>
      <c r="BQ447" s="25"/>
      <c r="BR447" s="25"/>
      <c r="BS447" s="25"/>
      <c r="BT447" s="25"/>
      <c r="BU447" s="39">
        <v>43013</v>
      </c>
      <c r="BV447" s="39" t="s">
        <v>739</v>
      </c>
      <c r="BW447" s="39" t="s">
        <v>2882</v>
      </c>
      <c r="BX447" s="39" t="s">
        <v>303</v>
      </c>
      <c r="BY447" s="71">
        <v>1030</v>
      </c>
      <c r="BZ447" s="71">
        <v>1100</v>
      </c>
      <c r="CA447" s="71">
        <v>1320</v>
      </c>
      <c r="CB447" s="71">
        <v>1580</v>
      </c>
      <c r="CC447" s="71">
        <v>1780</v>
      </c>
      <c r="CD447" s="25"/>
      <c r="CE447" s="200"/>
      <c r="CF447" s="200"/>
      <c r="CG447" s="200"/>
      <c r="CH447" s="200"/>
      <c r="CI447" s="200"/>
      <c r="CJ447" s="200"/>
      <c r="CK447" s="200"/>
      <c r="CL447" s="200"/>
      <c r="CM447" s="200"/>
      <c r="CN447" s="200"/>
      <c r="CO447" s="200"/>
      <c r="CP447" s="200"/>
      <c r="CQ447" s="200"/>
      <c r="CR447" s="200"/>
      <c r="CS447" s="200"/>
      <c r="CT447" s="200"/>
      <c r="CU447" s="200"/>
    </row>
    <row r="448" spans="1:99" s="17" customFormat="1" x14ac:dyDescent="0.2">
      <c r="A448" s="25"/>
      <c r="B448" s="20">
        <v>39095009001</v>
      </c>
      <c r="C448" s="20">
        <v>90.01</v>
      </c>
      <c r="D448" s="20" t="s">
        <v>53</v>
      </c>
      <c r="E448" s="20" t="s">
        <v>2839</v>
      </c>
      <c r="F448" s="20" t="s">
        <v>8</v>
      </c>
      <c r="G448" s="861">
        <v>65.4309090243067</v>
      </c>
      <c r="H448" s="861">
        <v>52.853950330080401</v>
      </c>
      <c r="I448" s="861">
        <v>23.025279038484999</v>
      </c>
      <c r="J448" s="861">
        <v>59.907250344812198</v>
      </c>
      <c r="K448" s="982">
        <v>0</v>
      </c>
      <c r="L448" s="735" t="s">
        <v>2466</v>
      </c>
      <c r="M448" s="735">
        <v>4754</v>
      </c>
      <c r="N448" s="845" t="str">
        <f t="shared" si="43"/>
        <v/>
      </c>
      <c r="O448" s="735">
        <v>13.651600508698861</v>
      </c>
      <c r="P448" s="735">
        <f t="shared" si="44"/>
        <v>348.23755624629729</v>
      </c>
      <c r="Q448" s="849">
        <v>44.3</v>
      </c>
      <c r="R448" s="71">
        <v>156932</v>
      </c>
      <c r="S448" s="845">
        <v>3.6448400084763723E-2</v>
      </c>
      <c r="T448" s="845">
        <v>2.1000000000000001E-2</v>
      </c>
      <c r="U448" s="845">
        <v>0</v>
      </c>
      <c r="V448" s="845">
        <v>0</v>
      </c>
      <c r="W448" s="845">
        <v>4.9678550555230856E-2</v>
      </c>
      <c r="X448" s="845">
        <v>0.87058823529411766</v>
      </c>
      <c r="Y448" s="845">
        <v>0.92953302482120315</v>
      </c>
      <c r="Z448" s="845">
        <v>1.724863273033235E-2</v>
      </c>
      <c r="AA448" s="845">
        <v>0</v>
      </c>
      <c r="AB448" s="845">
        <v>1.1569204880100967E-2</v>
      </c>
      <c r="AC448" s="845">
        <v>0</v>
      </c>
      <c r="AD448" s="845">
        <v>0</v>
      </c>
      <c r="AE448" s="845">
        <v>4.1649137568363484E-2</v>
      </c>
      <c r="AF448" s="845">
        <v>6.1001262095077826E-3</v>
      </c>
      <c r="AG448" s="845">
        <v>0.92953302482120315</v>
      </c>
      <c r="AH448" s="20" t="str">
        <f t="shared" si="45"/>
        <v>Yes</v>
      </c>
      <c r="AI448" s="25"/>
      <c r="AJ448" s="20">
        <v>43015</v>
      </c>
      <c r="AK448" s="20" t="s">
        <v>741</v>
      </c>
      <c r="AL448" s="20">
        <v>39041</v>
      </c>
      <c r="AM448" s="20" t="s">
        <v>27</v>
      </c>
      <c r="AN448" s="37">
        <f t="shared" si="46"/>
        <v>18140</v>
      </c>
      <c r="AO448" s="37" t="str">
        <f t="shared" si="47"/>
        <v>Columbus, OH</v>
      </c>
      <c r="AP448" s="20" t="s">
        <v>8</v>
      </c>
      <c r="AQ448" s="25"/>
      <c r="AR448" s="25"/>
      <c r="AS448" s="25"/>
      <c r="AT448" s="25"/>
      <c r="AU448" s="36"/>
      <c r="AV448" s="36"/>
      <c r="AW448" s="36"/>
      <c r="AX448" s="25"/>
      <c r="AY448" s="25"/>
      <c r="AZ448" s="25"/>
      <c r="BA448" s="25"/>
      <c r="BB448" s="25"/>
      <c r="BC448" s="25"/>
      <c r="BD448" s="25"/>
      <c r="BE448" s="25"/>
      <c r="BF448" s="25"/>
      <c r="BG448" s="25"/>
      <c r="BH448" s="25"/>
      <c r="BI448" s="25"/>
      <c r="BJ448" s="25"/>
      <c r="BK448" s="25"/>
      <c r="BL448" s="25"/>
      <c r="BM448" s="25"/>
      <c r="BN448" s="25"/>
      <c r="BO448" s="25"/>
      <c r="BP448" s="25"/>
      <c r="BQ448" s="25"/>
      <c r="BR448" s="25"/>
      <c r="BS448" s="25"/>
      <c r="BT448" s="25"/>
      <c r="BU448" s="39">
        <v>43015</v>
      </c>
      <c r="BV448" s="39" t="s">
        <v>741</v>
      </c>
      <c r="BW448" s="39" t="s">
        <v>2882</v>
      </c>
      <c r="BX448" s="39" t="s">
        <v>303</v>
      </c>
      <c r="BY448" s="71">
        <v>1100</v>
      </c>
      <c r="BZ448" s="71">
        <v>1180</v>
      </c>
      <c r="CA448" s="71">
        <v>1410</v>
      </c>
      <c r="CB448" s="71">
        <v>1690</v>
      </c>
      <c r="CC448" s="71">
        <v>1900</v>
      </c>
      <c r="CD448" s="25"/>
      <c r="CE448" s="200"/>
      <c r="CF448" s="200"/>
      <c r="CG448" s="200"/>
      <c r="CH448" s="200"/>
      <c r="CI448" s="200"/>
      <c r="CJ448" s="200"/>
      <c r="CK448" s="200"/>
      <c r="CL448" s="200"/>
      <c r="CM448" s="200"/>
      <c r="CN448" s="200"/>
      <c r="CO448" s="200"/>
      <c r="CP448" s="200"/>
      <c r="CQ448" s="200"/>
      <c r="CR448" s="200"/>
      <c r="CS448" s="200"/>
      <c r="CT448" s="200"/>
      <c r="CU448" s="200"/>
    </row>
    <row r="449" spans="1:99" s="17" customFormat="1" x14ac:dyDescent="0.2">
      <c r="A449" s="25"/>
      <c r="B449" s="20">
        <v>39049007112</v>
      </c>
      <c r="C449" s="20">
        <v>71.12</v>
      </c>
      <c r="D449" s="20" t="s">
        <v>31</v>
      </c>
      <c r="E449" s="20" t="s">
        <v>2830</v>
      </c>
      <c r="F449" s="20" t="s">
        <v>8</v>
      </c>
      <c r="G449" s="861">
        <v>65.378331084558596</v>
      </c>
      <c r="H449" s="861">
        <v>71.250600488092402</v>
      </c>
      <c r="I449" s="861">
        <v>29.963292759458099</v>
      </c>
      <c r="J449" s="861">
        <v>74.266023607852404</v>
      </c>
      <c r="K449" s="982">
        <v>2</v>
      </c>
      <c r="L449" s="735">
        <v>6540</v>
      </c>
      <c r="M449" s="735">
        <v>6994</v>
      </c>
      <c r="N449" s="845">
        <f t="shared" si="43"/>
        <v>6.9418960244648317E-2</v>
      </c>
      <c r="O449" s="735">
        <v>1.5277301794254183</v>
      </c>
      <c r="P449" s="735">
        <f t="shared" si="44"/>
        <v>4578.0335390313849</v>
      </c>
      <c r="Q449" s="849">
        <v>37.1</v>
      </c>
      <c r="R449" s="71">
        <v>107917</v>
      </c>
      <c r="S449" s="845">
        <v>5.4069767441860463E-2</v>
      </c>
      <c r="T449" s="845">
        <v>1.8000000000000002E-2</v>
      </c>
      <c r="U449" s="845">
        <v>4.0000000000000001E-3</v>
      </c>
      <c r="V449" s="845">
        <v>0</v>
      </c>
      <c r="W449" s="845">
        <v>0.26623897353648757</v>
      </c>
      <c r="X449" s="845">
        <v>0.375</v>
      </c>
      <c r="Y449" s="845">
        <v>0.36988847583643125</v>
      </c>
      <c r="Z449" s="845">
        <v>0.38818987703746066</v>
      </c>
      <c r="AA449" s="845">
        <v>1.143837575064341E-3</v>
      </c>
      <c r="AB449" s="845">
        <v>0.1083786102373463</v>
      </c>
      <c r="AC449" s="845">
        <v>0</v>
      </c>
      <c r="AD449" s="845">
        <v>4.8184157849585359E-2</v>
      </c>
      <c r="AE449" s="845">
        <v>8.42150414641121E-2</v>
      </c>
      <c r="AF449" s="845">
        <v>6.6914498141263934E-2</v>
      </c>
      <c r="AG449" s="845">
        <v>0.36802973977695169</v>
      </c>
      <c r="AH449" s="20" t="str">
        <f t="shared" si="45"/>
        <v>No</v>
      </c>
      <c r="AI449" s="25"/>
      <c r="AJ449" s="37">
        <v>43016</v>
      </c>
      <c r="AK449" s="37" t="s">
        <v>742</v>
      </c>
      <c r="AL449" s="37">
        <v>39041</v>
      </c>
      <c r="AM449" s="37" t="s">
        <v>27</v>
      </c>
      <c r="AN449" s="37">
        <f t="shared" si="46"/>
        <v>18140</v>
      </c>
      <c r="AO449" s="37" t="str">
        <f t="shared" si="47"/>
        <v>Columbus, OH</v>
      </c>
      <c r="AP449" s="20" t="s">
        <v>8</v>
      </c>
      <c r="AQ449" s="25"/>
      <c r="AR449" s="25"/>
      <c r="AS449" s="25"/>
      <c r="AT449" s="25"/>
      <c r="AU449" s="36"/>
      <c r="AV449" s="36"/>
      <c r="AW449" s="36"/>
      <c r="AX449" s="25"/>
      <c r="AY449" s="25"/>
      <c r="AZ449" s="25"/>
      <c r="BA449" s="25"/>
      <c r="BB449" s="25"/>
      <c r="BC449" s="25"/>
      <c r="BD449" s="25"/>
      <c r="BE449" s="25"/>
      <c r="BF449" s="25"/>
      <c r="BG449" s="25"/>
      <c r="BH449" s="25"/>
      <c r="BI449" s="25"/>
      <c r="BJ449" s="25"/>
      <c r="BK449" s="25"/>
      <c r="BL449" s="25"/>
      <c r="BM449" s="25"/>
      <c r="BN449" s="25"/>
      <c r="BO449" s="25"/>
      <c r="BP449" s="25"/>
      <c r="BQ449" s="25"/>
      <c r="BR449" s="25"/>
      <c r="BS449" s="25"/>
      <c r="BT449" s="25"/>
      <c r="BU449" s="39">
        <v>43016</v>
      </c>
      <c r="BV449" s="39" t="s">
        <v>742</v>
      </c>
      <c r="BW449" s="39" t="s">
        <v>2882</v>
      </c>
      <c r="BX449" s="39" t="s">
        <v>303</v>
      </c>
      <c r="BY449" s="71">
        <v>1490</v>
      </c>
      <c r="BZ449" s="71">
        <v>1600</v>
      </c>
      <c r="CA449" s="71">
        <v>1920</v>
      </c>
      <c r="CB449" s="71">
        <v>2300</v>
      </c>
      <c r="CC449" s="71">
        <v>2580</v>
      </c>
      <c r="CD449" s="25"/>
      <c r="CE449" s="200"/>
      <c r="CF449" s="200"/>
      <c r="CG449" s="200"/>
      <c r="CH449" s="200"/>
      <c r="CI449" s="200"/>
      <c r="CJ449" s="200"/>
      <c r="CK449" s="200"/>
      <c r="CL449" s="200"/>
      <c r="CM449" s="200"/>
      <c r="CN449" s="200"/>
      <c r="CO449" s="200"/>
      <c r="CP449" s="200"/>
      <c r="CQ449" s="200"/>
      <c r="CR449" s="200"/>
      <c r="CS449" s="200"/>
      <c r="CT449" s="200"/>
      <c r="CU449" s="200"/>
    </row>
    <row r="450" spans="1:99" s="17" customFormat="1" x14ac:dyDescent="0.2">
      <c r="A450" s="25"/>
      <c r="B450" s="20">
        <v>39153507202</v>
      </c>
      <c r="C450" s="20">
        <v>5072.0200000000004</v>
      </c>
      <c r="D450" s="20" t="s">
        <v>82</v>
      </c>
      <c r="E450" s="20" t="s">
        <v>2843</v>
      </c>
      <c r="F450" s="20" t="s">
        <v>8</v>
      </c>
      <c r="G450" s="861">
        <v>65.345375571320503</v>
      </c>
      <c r="H450" s="861">
        <v>65.132756982182201</v>
      </c>
      <c r="I450" s="861">
        <v>30.4199376775003</v>
      </c>
      <c r="J450" s="861">
        <v>42.190383810569003</v>
      </c>
      <c r="K450" s="982">
        <v>0</v>
      </c>
      <c r="L450" s="735">
        <v>3512</v>
      </c>
      <c r="M450" s="735">
        <v>3690</v>
      </c>
      <c r="N450" s="845">
        <f t="shared" si="43"/>
        <v>5.0683371298405465E-2</v>
      </c>
      <c r="O450" s="735">
        <v>1.014438633851489</v>
      </c>
      <c r="P450" s="735">
        <f t="shared" si="44"/>
        <v>3637.47976158034</v>
      </c>
      <c r="Q450" s="849">
        <v>46.2</v>
      </c>
      <c r="R450" s="71">
        <v>83575</v>
      </c>
      <c r="S450" s="845">
        <v>7.0229434806939009E-2</v>
      </c>
      <c r="T450" s="845">
        <v>2.4E-2</v>
      </c>
      <c r="U450" s="845">
        <v>1.3000000000000001E-2</v>
      </c>
      <c r="V450" s="845">
        <v>0</v>
      </c>
      <c r="W450" s="845">
        <v>0.3213213213213213</v>
      </c>
      <c r="X450" s="845">
        <v>0.34267912772585668</v>
      </c>
      <c r="Y450" s="845">
        <v>0.8596205962059621</v>
      </c>
      <c r="Z450" s="845">
        <v>6.7750677506775062E-2</v>
      </c>
      <c r="AA450" s="845">
        <v>8.130081300813009E-3</v>
      </c>
      <c r="AB450" s="845">
        <v>9.485094850948509E-3</v>
      </c>
      <c r="AC450" s="845">
        <v>0</v>
      </c>
      <c r="AD450" s="845">
        <v>2.981029810298103E-3</v>
      </c>
      <c r="AE450" s="845">
        <v>5.2032520325203252E-2</v>
      </c>
      <c r="AF450" s="845">
        <v>2.3577235772357725E-2</v>
      </c>
      <c r="AG450" s="845">
        <v>0.8479674796747968</v>
      </c>
      <c r="AH450" s="20" t="str">
        <f t="shared" si="45"/>
        <v>No</v>
      </c>
      <c r="AI450" s="25"/>
      <c r="AJ450" s="20">
        <v>43017</v>
      </c>
      <c r="AK450" s="20" t="s">
        <v>743</v>
      </c>
      <c r="AL450" s="20">
        <v>39041</v>
      </c>
      <c r="AM450" s="20" t="s">
        <v>27</v>
      </c>
      <c r="AN450" s="37">
        <f t="shared" si="46"/>
        <v>18140</v>
      </c>
      <c r="AO450" s="37" t="str">
        <f t="shared" si="47"/>
        <v>Columbus, OH</v>
      </c>
      <c r="AP450" s="20" t="s">
        <v>8</v>
      </c>
      <c r="AQ450" s="25"/>
      <c r="AR450" s="25"/>
      <c r="AS450" s="25"/>
      <c r="AT450" s="25"/>
      <c r="AU450" s="36"/>
      <c r="AV450" s="36"/>
      <c r="AW450" s="36"/>
      <c r="AX450" s="25"/>
      <c r="AY450" s="25"/>
      <c r="AZ450" s="25"/>
      <c r="BA450" s="25"/>
      <c r="BB450" s="25"/>
      <c r="BC450" s="25"/>
      <c r="BD450" s="25"/>
      <c r="BE450" s="25"/>
      <c r="BF450" s="25"/>
      <c r="BG450" s="25"/>
      <c r="BH450" s="25"/>
      <c r="BI450" s="25"/>
      <c r="BJ450" s="25"/>
      <c r="BK450" s="25"/>
      <c r="BL450" s="25"/>
      <c r="BM450" s="25"/>
      <c r="BN450" s="25"/>
      <c r="BO450" s="25"/>
      <c r="BP450" s="25"/>
      <c r="BQ450" s="25"/>
      <c r="BR450" s="25"/>
      <c r="BS450" s="25"/>
      <c r="BT450" s="25"/>
      <c r="BU450" s="39">
        <v>43017</v>
      </c>
      <c r="BV450" s="39" t="s">
        <v>743</v>
      </c>
      <c r="BW450" s="39" t="s">
        <v>2882</v>
      </c>
      <c r="BX450" s="39" t="s">
        <v>303</v>
      </c>
      <c r="BY450" s="71">
        <v>1350</v>
      </c>
      <c r="BZ450" s="71">
        <v>1450</v>
      </c>
      <c r="CA450" s="71">
        <v>1740</v>
      </c>
      <c r="CB450" s="71">
        <v>2090</v>
      </c>
      <c r="CC450" s="71">
        <v>2340</v>
      </c>
      <c r="CD450" s="25"/>
      <c r="CE450" s="200"/>
      <c r="CF450" s="200"/>
      <c r="CG450" s="200"/>
      <c r="CH450" s="200"/>
      <c r="CI450" s="200"/>
      <c r="CJ450" s="200"/>
      <c r="CK450" s="200"/>
      <c r="CL450" s="200"/>
      <c r="CM450" s="200"/>
      <c r="CN450" s="200"/>
      <c r="CO450" s="200"/>
      <c r="CP450" s="200"/>
      <c r="CQ450" s="200"/>
      <c r="CR450" s="200"/>
      <c r="CS450" s="200"/>
      <c r="CT450" s="200"/>
      <c r="CU450" s="200"/>
    </row>
    <row r="451" spans="1:99" s="17" customFormat="1" x14ac:dyDescent="0.2">
      <c r="A451" s="25"/>
      <c r="B451" s="20">
        <v>39035184103</v>
      </c>
      <c r="C451" s="20">
        <v>1841.03</v>
      </c>
      <c r="D451" s="20" t="s">
        <v>24</v>
      </c>
      <c r="E451" s="20" t="s">
        <v>2829</v>
      </c>
      <c r="F451" s="20" t="s">
        <v>8</v>
      </c>
      <c r="G451" s="861">
        <v>65.339045970094503</v>
      </c>
      <c r="H451" s="861">
        <v>67.313460707791805</v>
      </c>
      <c r="I451" s="861">
        <v>18.4611205093241</v>
      </c>
      <c r="J451" s="861">
        <v>46.446225782168902</v>
      </c>
      <c r="K451" s="982">
        <v>0</v>
      </c>
      <c r="L451" s="735">
        <v>3910</v>
      </c>
      <c r="M451" s="735">
        <v>5144</v>
      </c>
      <c r="N451" s="845">
        <f t="shared" si="43"/>
        <v>0.31560102301790283</v>
      </c>
      <c r="O451" s="735">
        <v>2.2990738748989856</v>
      </c>
      <c r="P451" s="735">
        <f t="shared" si="44"/>
        <v>2237.4226666492009</v>
      </c>
      <c r="Q451" s="849">
        <v>42.2</v>
      </c>
      <c r="R451" s="71">
        <v>158264</v>
      </c>
      <c r="S451" s="845">
        <v>2.1384136858475893E-2</v>
      </c>
      <c r="T451" s="845">
        <v>1.8000000000000002E-2</v>
      </c>
      <c r="U451" s="845">
        <v>0</v>
      </c>
      <c r="V451" s="845">
        <v>0</v>
      </c>
      <c r="W451" s="845">
        <v>5.0966608084358524E-2</v>
      </c>
      <c r="X451" s="845">
        <v>0</v>
      </c>
      <c r="Y451" s="845">
        <v>0.76185847589424571</v>
      </c>
      <c r="Z451" s="845">
        <v>4.2379471228615864E-2</v>
      </c>
      <c r="AA451" s="845">
        <v>2.7216174183514776E-3</v>
      </c>
      <c r="AB451" s="845">
        <v>6.2597200622083987E-2</v>
      </c>
      <c r="AC451" s="845">
        <v>0</v>
      </c>
      <c r="AD451" s="845">
        <v>1.4968895800933127E-2</v>
      </c>
      <c r="AE451" s="845">
        <v>0.11547433903576983</v>
      </c>
      <c r="AF451" s="845">
        <v>2.6438569206842923E-2</v>
      </c>
      <c r="AG451" s="845">
        <v>0.75933125972006221</v>
      </c>
      <c r="AH451" s="20" t="str">
        <f t="shared" si="45"/>
        <v>No</v>
      </c>
      <c r="AI451" s="25"/>
      <c r="AJ451" s="20">
        <v>43021</v>
      </c>
      <c r="AK451" s="20" t="s">
        <v>746</v>
      </c>
      <c r="AL451" s="20">
        <v>39041</v>
      </c>
      <c r="AM451" s="20" t="s">
        <v>27</v>
      </c>
      <c r="AN451" s="37">
        <f t="shared" si="46"/>
        <v>18140</v>
      </c>
      <c r="AO451" s="37" t="str">
        <f t="shared" si="47"/>
        <v>Columbus, OH</v>
      </c>
      <c r="AP451" s="20" t="s">
        <v>8</v>
      </c>
      <c r="AQ451" s="25"/>
      <c r="AR451" s="25"/>
      <c r="AS451" s="25"/>
      <c r="AT451" s="25"/>
      <c r="AU451" s="36"/>
      <c r="AV451" s="36"/>
      <c r="AW451" s="36"/>
      <c r="AX451" s="25"/>
      <c r="AY451" s="25"/>
      <c r="AZ451" s="25"/>
      <c r="BA451" s="25"/>
      <c r="BB451" s="25"/>
      <c r="BC451" s="25"/>
      <c r="BD451" s="25"/>
      <c r="BE451" s="25"/>
      <c r="BF451" s="25"/>
      <c r="BG451" s="25"/>
      <c r="BH451" s="25"/>
      <c r="BI451" s="25"/>
      <c r="BJ451" s="25"/>
      <c r="BK451" s="25"/>
      <c r="BL451" s="25"/>
      <c r="BM451" s="25"/>
      <c r="BN451" s="25"/>
      <c r="BO451" s="25"/>
      <c r="BP451" s="25"/>
      <c r="BQ451" s="25"/>
      <c r="BR451" s="25"/>
      <c r="BS451" s="25"/>
      <c r="BT451" s="25"/>
      <c r="BU451" s="39">
        <v>43018</v>
      </c>
      <c r="BV451" s="39" t="s">
        <v>744</v>
      </c>
      <c r="BW451" s="39" t="s">
        <v>2882</v>
      </c>
      <c r="BX451" s="39" t="s">
        <v>303</v>
      </c>
      <c r="BY451" s="71">
        <v>1200</v>
      </c>
      <c r="BZ451" s="71">
        <v>1290</v>
      </c>
      <c r="CA451" s="71">
        <v>1550</v>
      </c>
      <c r="CB451" s="71">
        <v>1860</v>
      </c>
      <c r="CC451" s="71">
        <v>2090</v>
      </c>
      <c r="CD451" s="25"/>
      <c r="CE451" s="200"/>
      <c r="CF451" s="200"/>
      <c r="CG451" s="200"/>
      <c r="CH451" s="200"/>
      <c r="CI451" s="200"/>
      <c r="CJ451" s="200"/>
      <c r="CK451" s="200"/>
      <c r="CL451" s="200"/>
      <c r="CM451" s="200"/>
      <c r="CN451" s="200"/>
      <c r="CO451" s="200"/>
      <c r="CP451" s="200"/>
      <c r="CQ451" s="200"/>
      <c r="CR451" s="200"/>
      <c r="CS451" s="200"/>
      <c r="CT451" s="200"/>
      <c r="CU451" s="200"/>
    </row>
    <row r="452" spans="1:99" s="17" customFormat="1" x14ac:dyDescent="0.2">
      <c r="A452" s="25"/>
      <c r="B452" s="20">
        <v>39049007394</v>
      </c>
      <c r="C452" s="20">
        <v>73.94</v>
      </c>
      <c r="D452" s="20" t="s">
        <v>31</v>
      </c>
      <c r="E452" s="20" t="s">
        <v>2830</v>
      </c>
      <c r="F452" s="20" t="s">
        <v>8</v>
      </c>
      <c r="G452" s="861">
        <v>65.327591495937796</v>
      </c>
      <c r="H452" s="861">
        <v>73.0745449772444</v>
      </c>
      <c r="I452" s="861">
        <v>22.568643593406101</v>
      </c>
      <c r="J452" s="861">
        <v>56.296406580471597</v>
      </c>
      <c r="K452" s="982">
        <v>0</v>
      </c>
      <c r="L452" s="735">
        <v>2520</v>
      </c>
      <c r="M452" s="735">
        <v>3304</v>
      </c>
      <c r="N452" s="845">
        <f t="shared" si="43"/>
        <v>0.31111111111111112</v>
      </c>
      <c r="O452" s="735">
        <v>6.7941725029772435</v>
      </c>
      <c r="P452" s="735">
        <f t="shared" si="44"/>
        <v>486.29910390885266</v>
      </c>
      <c r="Q452" s="849">
        <v>45.3</v>
      </c>
      <c r="R452" s="71">
        <v>193846</v>
      </c>
      <c r="S452" s="845">
        <v>4.1162227602905568E-2</v>
      </c>
      <c r="T452" s="845">
        <v>2.1000000000000001E-2</v>
      </c>
      <c r="U452" s="845">
        <v>0</v>
      </c>
      <c r="V452" s="845">
        <v>0</v>
      </c>
      <c r="W452" s="845">
        <v>9.3949044585987268E-2</v>
      </c>
      <c r="X452" s="845">
        <v>0</v>
      </c>
      <c r="Y452" s="845">
        <v>0.79721549636803879</v>
      </c>
      <c r="Z452" s="845">
        <v>0.10835351089588378</v>
      </c>
      <c r="AA452" s="845">
        <v>9.9878934624697338E-3</v>
      </c>
      <c r="AB452" s="845">
        <v>1.6949152542372881E-2</v>
      </c>
      <c r="AC452" s="845">
        <v>0</v>
      </c>
      <c r="AD452" s="845">
        <v>1.5133171912832929E-3</v>
      </c>
      <c r="AE452" s="845">
        <v>6.5980629539951569E-2</v>
      </c>
      <c r="AF452" s="845">
        <v>3.3292978208232446E-2</v>
      </c>
      <c r="AG452" s="845">
        <v>0.78904358353510895</v>
      </c>
      <c r="AH452" s="20" t="str">
        <f t="shared" si="45"/>
        <v>No</v>
      </c>
      <c r="AI452" s="25"/>
      <c r="AJ452" s="20">
        <v>43031</v>
      </c>
      <c r="AK452" s="20" t="s">
        <v>755</v>
      </c>
      <c r="AL452" s="20">
        <v>39041</v>
      </c>
      <c r="AM452" s="20" t="s">
        <v>27</v>
      </c>
      <c r="AN452" s="37">
        <f t="shared" si="46"/>
        <v>18140</v>
      </c>
      <c r="AO452" s="37" t="str">
        <f t="shared" si="47"/>
        <v>Columbus, OH</v>
      </c>
      <c r="AP452" s="20" t="s">
        <v>8</v>
      </c>
      <c r="AQ452" s="25"/>
      <c r="AR452" s="25"/>
      <c r="AS452" s="25"/>
      <c r="AT452" s="25"/>
      <c r="AU452" s="36"/>
      <c r="AV452" s="36"/>
      <c r="AW452" s="36"/>
      <c r="AX452" s="25"/>
      <c r="AY452" s="25"/>
      <c r="AZ452" s="25"/>
      <c r="BA452" s="25"/>
      <c r="BB452" s="25"/>
      <c r="BC452" s="25"/>
      <c r="BD452" s="25"/>
      <c r="BE452" s="25"/>
      <c r="BF452" s="25"/>
      <c r="BG452" s="25"/>
      <c r="BH452" s="25"/>
      <c r="BI452" s="25"/>
      <c r="BJ452" s="25"/>
      <c r="BK452" s="25"/>
      <c r="BL452" s="25"/>
      <c r="BM452" s="25"/>
      <c r="BN452" s="25"/>
      <c r="BO452" s="25"/>
      <c r="BP452" s="25"/>
      <c r="BQ452" s="25"/>
      <c r="BR452" s="25"/>
      <c r="BS452" s="25"/>
      <c r="BT452" s="25"/>
      <c r="BU452" s="39">
        <v>43019</v>
      </c>
      <c r="BV452" s="39" t="s">
        <v>745</v>
      </c>
      <c r="BW452" s="39" t="s">
        <v>2882</v>
      </c>
      <c r="BX452" s="39" t="s">
        <v>303</v>
      </c>
      <c r="BY452" s="71">
        <v>830</v>
      </c>
      <c r="BZ452" s="71">
        <v>870</v>
      </c>
      <c r="CA452" s="71">
        <v>1080</v>
      </c>
      <c r="CB452" s="71">
        <v>1380</v>
      </c>
      <c r="CC452" s="71">
        <v>1440</v>
      </c>
      <c r="CD452" s="25"/>
      <c r="CE452" s="200"/>
      <c r="CF452" s="200"/>
      <c r="CG452" s="200"/>
      <c r="CH452" s="200"/>
      <c r="CI452" s="200"/>
      <c r="CJ452" s="200"/>
      <c r="CK452" s="200"/>
      <c r="CL452" s="200"/>
      <c r="CM452" s="200"/>
      <c r="CN452" s="200"/>
      <c r="CO452" s="200"/>
      <c r="CP452" s="200"/>
      <c r="CQ452" s="200"/>
      <c r="CR452" s="200"/>
      <c r="CS452" s="200"/>
      <c r="CT452" s="200"/>
      <c r="CU452" s="200"/>
    </row>
    <row r="453" spans="1:99" s="17" customFormat="1" x14ac:dyDescent="0.2">
      <c r="A453" s="25"/>
      <c r="B453" s="20">
        <v>39049007964</v>
      </c>
      <c r="C453" s="20">
        <v>79.64</v>
      </c>
      <c r="D453" s="20" t="s">
        <v>31</v>
      </c>
      <c r="E453" s="20" t="s">
        <v>2830</v>
      </c>
      <c r="F453" s="20" t="s">
        <v>8</v>
      </c>
      <c r="G453" s="861">
        <v>65.310477535922004</v>
      </c>
      <c r="H453" s="861">
        <v>73.067288258325107</v>
      </c>
      <c r="I453" s="861">
        <v>21.968996916534898</v>
      </c>
      <c r="J453" s="861">
        <v>37.827438387723703</v>
      </c>
      <c r="K453" s="982">
        <v>0</v>
      </c>
      <c r="L453" s="735" t="s">
        <v>2466</v>
      </c>
      <c r="M453" s="735">
        <v>6163</v>
      </c>
      <c r="N453" s="845" t="str">
        <f t="shared" si="43"/>
        <v/>
      </c>
      <c r="O453" s="735">
        <v>0.98515201291792809</v>
      </c>
      <c r="P453" s="735">
        <f t="shared" si="44"/>
        <v>6255.8873343269843</v>
      </c>
      <c r="Q453" s="849">
        <v>33.700000000000003</v>
      </c>
      <c r="R453" s="71">
        <v>88438</v>
      </c>
      <c r="S453" s="845">
        <v>5.264873675631622E-2</v>
      </c>
      <c r="T453" s="845">
        <v>2.4E-2</v>
      </c>
      <c r="U453" s="845">
        <v>0</v>
      </c>
      <c r="V453" s="845">
        <v>0</v>
      </c>
      <c r="W453" s="845">
        <v>0.5997109826589595</v>
      </c>
      <c r="X453" s="845">
        <v>0.20662650602409638</v>
      </c>
      <c r="Y453" s="845">
        <v>0.82687003082914168</v>
      </c>
      <c r="Z453" s="845">
        <v>1.8172967710530587E-2</v>
      </c>
      <c r="AA453" s="845">
        <v>0</v>
      </c>
      <c r="AB453" s="845">
        <v>8.3238682459840993E-2</v>
      </c>
      <c r="AC453" s="845">
        <v>0</v>
      </c>
      <c r="AD453" s="845">
        <v>2.5961382443615124E-3</v>
      </c>
      <c r="AE453" s="845">
        <v>6.9122180756125265E-2</v>
      </c>
      <c r="AF453" s="845">
        <v>4.3160798312510143E-2</v>
      </c>
      <c r="AG453" s="845">
        <v>0.79636540645789389</v>
      </c>
      <c r="AH453" s="20" t="str">
        <f t="shared" si="45"/>
        <v>No</v>
      </c>
      <c r="AI453" s="25"/>
      <c r="AJ453" s="20">
        <v>43032</v>
      </c>
      <c r="AK453" s="20" t="s">
        <v>756</v>
      </c>
      <c r="AL453" s="20">
        <v>39041</v>
      </c>
      <c r="AM453" s="20" t="s">
        <v>27</v>
      </c>
      <c r="AN453" s="37">
        <f t="shared" si="46"/>
        <v>18140</v>
      </c>
      <c r="AO453" s="37" t="str">
        <f t="shared" si="47"/>
        <v>Columbus, OH</v>
      </c>
      <c r="AP453" s="20" t="s">
        <v>8</v>
      </c>
      <c r="AQ453" s="25"/>
      <c r="AR453" s="25"/>
      <c r="AS453" s="25"/>
      <c r="AT453" s="25"/>
      <c r="AU453" s="36"/>
      <c r="AV453" s="36"/>
      <c r="AW453" s="36"/>
      <c r="AX453" s="25"/>
      <c r="AY453" s="25"/>
      <c r="AZ453" s="25"/>
      <c r="BA453" s="25"/>
      <c r="BB453" s="25"/>
      <c r="BC453" s="25"/>
      <c r="BD453" s="25"/>
      <c r="BE453" s="25"/>
      <c r="BF453" s="25"/>
      <c r="BG453" s="25"/>
      <c r="BH453" s="25"/>
      <c r="BI453" s="25"/>
      <c r="BJ453" s="25"/>
      <c r="BK453" s="25"/>
      <c r="BL453" s="25"/>
      <c r="BM453" s="25"/>
      <c r="BN453" s="25"/>
      <c r="BO453" s="25"/>
      <c r="BP453" s="25"/>
      <c r="BQ453" s="25"/>
      <c r="BR453" s="25"/>
      <c r="BS453" s="25"/>
      <c r="BT453" s="25"/>
      <c r="BU453" s="39">
        <v>43021</v>
      </c>
      <c r="BV453" s="39" t="s">
        <v>746</v>
      </c>
      <c r="BW453" s="39" t="s">
        <v>2882</v>
      </c>
      <c r="BX453" s="39" t="s">
        <v>303</v>
      </c>
      <c r="BY453" s="71">
        <v>1180</v>
      </c>
      <c r="BZ453" s="71">
        <v>1270</v>
      </c>
      <c r="CA453" s="71">
        <v>1520</v>
      </c>
      <c r="CB453" s="71">
        <v>1820</v>
      </c>
      <c r="CC453" s="71">
        <v>2050</v>
      </c>
      <c r="CD453" s="25"/>
      <c r="CE453" s="200"/>
      <c r="CF453" s="200"/>
      <c r="CG453" s="200"/>
      <c r="CH453" s="200"/>
      <c r="CI453" s="200"/>
      <c r="CJ453" s="200"/>
      <c r="CK453" s="200"/>
      <c r="CL453" s="200"/>
      <c r="CM453" s="200"/>
      <c r="CN453" s="200"/>
      <c r="CO453" s="200"/>
      <c r="CP453" s="200"/>
      <c r="CQ453" s="200"/>
      <c r="CR453" s="200"/>
      <c r="CS453" s="200"/>
      <c r="CT453" s="200"/>
      <c r="CU453" s="200"/>
    </row>
    <row r="454" spans="1:99" s="17" customFormat="1" x14ac:dyDescent="0.2">
      <c r="A454" s="25"/>
      <c r="B454" s="20">
        <v>39043041800</v>
      </c>
      <c r="C454" s="20">
        <v>418</v>
      </c>
      <c r="D454" s="20" t="s">
        <v>28</v>
      </c>
      <c r="E454" s="20" t="s">
        <v>2837</v>
      </c>
      <c r="F454" s="20" t="s">
        <v>8</v>
      </c>
      <c r="G454" s="861">
        <v>65.250040101888004</v>
      </c>
      <c r="H454" s="861">
        <v>62.112706418587301</v>
      </c>
      <c r="I454" s="861">
        <v>11.6226596291517</v>
      </c>
      <c r="J454" s="861">
        <v>44.643054366168897</v>
      </c>
      <c r="K454" s="982">
        <v>0</v>
      </c>
      <c r="L454" s="735">
        <v>6242</v>
      </c>
      <c r="M454" s="735">
        <v>5901</v>
      </c>
      <c r="N454" s="845">
        <f t="shared" si="43"/>
        <v>-5.4629926305671261E-2</v>
      </c>
      <c r="O454" s="735">
        <v>77.496988586561514</v>
      </c>
      <c r="P454" s="735">
        <f t="shared" si="44"/>
        <v>76.144894242036031</v>
      </c>
      <c r="Q454" s="849">
        <v>45.6</v>
      </c>
      <c r="R454" s="71">
        <v>93466</v>
      </c>
      <c r="S454" s="845">
        <v>4.7725706409372848E-2</v>
      </c>
      <c r="T454" s="845">
        <v>2.4E-2</v>
      </c>
      <c r="U454" s="845">
        <v>1E-3</v>
      </c>
      <c r="V454" s="845">
        <v>0.11</v>
      </c>
      <c r="W454" s="845">
        <v>8.5258294834103313E-2</v>
      </c>
      <c r="X454" s="845">
        <v>2.9556650246305417E-2</v>
      </c>
      <c r="Y454" s="845">
        <v>0.9683104558549398</v>
      </c>
      <c r="Z454" s="845">
        <v>6.7785121165904081E-4</v>
      </c>
      <c r="AA454" s="845">
        <v>0</v>
      </c>
      <c r="AB454" s="845">
        <v>9.4899169632265724E-3</v>
      </c>
      <c r="AC454" s="845">
        <v>2.3724792408066431E-3</v>
      </c>
      <c r="AD454" s="845">
        <v>0</v>
      </c>
      <c r="AE454" s="845">
        <v>1.9149296729367903E-2</v>
      </c>
      <c r="AF454" s="845">
        <v>7.6258261311642093E-3</v>
      </c>
      <c r="AG454" s="845">
        <v>0.96322657176749704</v>
      </c>
      <c r="AH454" s="20" t="str">
        <f t="shared" si="45"/>
        <v>Yes</v>
      </c>
      <c r="AI454" s="25"/>
      <c r="AJ454" s="20">
        <v>43035</v>
      </c>
      <c r="AK454" s="20" t="s">
        <v>758</v>
      </c>
      <c r="AL454" s="20">
        <v>39041</v>
      </c>
      <c r="AM454" s="20" t="s">
        <v>27</v>
      </c>
      <c r="AN454" s="37">
        <f t="shared" si="46"/>
        <v>18140</v>
      </c>
      <c r="AO454" s="37" t="str">
        <f t="shared" si="47"/>
        <v>Columbus, OH</v>
      </c>
      <c r="AP454" s="20" t="s">
        <v>8</v>
      </c>
      <c r="AQ454" s="25"/>
      <c r="AR454" s="25"/>
      <c r="AS454" s="25"/>
      <c r="AT454" s="25"/>
      <c r="AU454" s="36"/>
      <c r="AV454" s="36"/>
      <c r="AW454" s="36"/>
      <c r="AX454" s="25"/>
      <c r="AY454" s="25"/>
      <c r="AZ454" s="25"/>
      <c r="BA454" s="25"/>
      <c r="BB454" s="25"/>
      <c r="BC454" s="25"/>
      <c r="BD454" s="25"/>
      <c r="BE454" s="25"/>
      <c r="BF454" s="25"/>
      <c r="BG454" s="25"/>
      <c r="BH454" s="25"/>
      <c r="BI454" s="25"/>
      <c r="BJ454" s="25"/>
      <c r="BK454" s="25"/>
      <c r="BL454" s="25"/>
      <c r="BM454" s="25"/>
      <c r="BN454" s="25"/>
      <c r="BO454" s="25"/>
      <c r="BP454" s="25"/>
      <c r="BQ454" s="25"/>
      <c r="BR454" s="25"/>
      <c r="BS454" s="25"/>
      <c r="BT454" s="25"/>
      <c r="BU454" s="39">
        <v>43023</v>
      </c>
      <c r="BV454" s="39" t="s">
        <v>748</v>
      </c>
      <c r="BW454" s="39" t="s">
        <v>2882</v>
      </c>
      <c r="BX454" s="39" t="s">
        <v>303</v>
      </c>
      <c r="BY454" s="71">
        <v>1000</v>
      </c>
      <c r="BZ454" s="71">
        <v>1080</v>
      </c>
      <c r="CA454" s="71">
        <v>1290</v>
      </c>
      <c r="CB454" s="71">
        <v>1550</v>
      </c>
      <c r="CC454" s="71">
        <v>1740</v>
      </c>
      <c r="CD454" s="25"/>
      <c r="CE454" s="200"/>
      <c r="CF454" s="200"/>
      <c r="CG454" s="200"/>
      <c r="CH454" s="200"/>
      <c r="CI454" s="200"/>
      <c r="CJ454" s="200"/>
      <c r="CK454" s="200"/>
      <c r="CL454" s="200"/>
      <c r="CM454" s="200"/>
      <c r="CN454" s="200"/>
      <c r="CO454" s="200"/>
      <c r="CP454" s="200"/>
      <c r="CQ454" s="200"/>
      <c r="CR454" s="200"/>
      <c r="CS454" s="200"/>
      <c r="CT454" s="200"/>
      <c r="CU454" s="200"/>
    </row>
    <row r="455" spans="1:99" s="17" customFormat="1" x14ac:dyDescent="0.2">
      <c r="A455" s="25"/>
      <c r="B455" s="20">
        <v>39085200900</v>
      </c>
      <c r="C455" s="20">
        <v>2009</v>
      </c>
      <c r="D455" s="20" t="s">
        <v>48</v>
      </c>
      <c r="E455" s="20" t="s">
        <v>2829</v>
      </c>
      <c r="F455" s="20" t="s">
        <v>8</v>
      </c>
      <c r="G455" s="861">
        <v>65.156964508607203</v>
      </c>
      <c r="H455" s="861">
        <v>71.5252302226734</v>
      </c>
      <c r="I455" s="861">
        <v>32.474096549748303</v>
      </c>
      <c r="J455" s="861">
        <v>48.623380360144097</v>
      </c>
      <c r="K455" s="982">
        <v>0</v>
      </c>
      <c r="L455" s="735">
        <v>1662</v>
      </c>
      <c r="M455" s="735">
        <v>2059</v>
      </c>
      <c r="N455" s="845">
        <f t="shared" si="43"/>
        <v>0.23886883273164861</v>
      </c>
      <c r="O455" s="735">
        <v>0.93724715979487649</v>
      </c>
      <c r="P455" s="735">
        <f t="shared" si="44"/>
        <v>2196.8591512729977</v>
      </c>
      <c r="Q455" s="849">
        <v>43.4</v>
      </c>
      <c r="R455" s="71">
        <v>90839</v>
      </c>
      <c r="S455" s="845">
        <v>4.39377085650723E-2</v>
      </c>
      <c r="T455" s="845">
        <v>0</v>
      </c>
      <c r="U455" s="845">
        <v>0</v>
      </c>
      <c r="V455" s="845">
        <v>0.16500000000000001</v>
      </c>
      <c r="W455" s="845">
        <v>0.22886297376093295</v>
      </c>
      <c r="X455" s="845">
        <v>0.17197452229299362</v>
      </c>
      <c r="Y455" s="845">
        <v>0.87809616318601258</v>
      </c>
      <c r="Z455" s="845">
        <v>6.4108790675084987E-2</v>
      </c>
      <c r="AA455" s="845">
        <v>0</v>
      </c>
      <c r="AB455" s="845">
        <v>0</v>
      </c>
      <c r="AC455" s="845">
        <v>9.7134531325886349E-4</v>
      </c>
      <c r="AD455" s="845">
        <v>0</v>
      </c>
      <c r="AE455" s="845">
        <v>5.6823700825643517E-2</v>
      </c>
      <c r="AF455" s="845">
        <v>2.2340942204953862E-2</v>
      </c>
      <c r="AG455" s="845">
        <v>0.85575522098105872</v>
      </c>
      <c r="AH455" s="20" t="str">
        <f t="shared" si="45"/>
        <v>No</v>
      </c>
      <c r="AI455" s="25"/>
      <c r="AJ455" s="20">
        <v>43040</v>
      </c>
      <c r="AK455" s="20" t="s">
        <v>761</v>
      </c>
      <c r="AL455" s="20">
        <v>39041</v>
      </c>
      <c r="AM455" s="20" t="s">
        <v>27</v>
      </c>
      <c r="AN455" s="37">
        <f t="shared" si="46"/>
        <v>18140</v>
      </c>
      <c r="AO455" s="37" t="str">
        <f t="shared" si="47"/>
        <v>Columbus, OH</v>
      </c>
      <c r="AP455" s="20" t="s">
        <v>8</v>
      </c>
      <c r="AQ455" s="25"/>
      <c r="AR455" s="25"/>
      <c r="AS455" s="25"/>
      <c r="AT455" s="25"/>
      <c r="AU455" s="36"/>
      <c r="AV455" s="36"/>
      <c r="AW455" s="36"/>
      <c r="AX455" s="25"/>
      <c r="AY455" s="25"/>
      <c r="AZ455" s="25"/>
      <c r="BA455" s="25"/>
      <c r="BB455" s="25"/>
      <c r="BC455" s="25"/>
      <c r="BD455" s="25"/>
      <c r="BE455" s="25"/>
      <c r="BF455" s="25"/>
      <c r="BG455" s="25"/>
      <c r="BH455" s="25"/>
      <c r="BI455" s="25"/>
      <c r="BJ455" s="25"/>
      <c r="BK455" s="25"/>
      <c r="BL455" s="25"/>
      <c r="BM455" s="25"/>
      <c r="BN455" s="25"/>
      <c r="BO455" s="25"/>
      <c r="BP455" s="25"/>
      <c r="BQ455" s="25"/>
      <c r="BR455" s="25"/>
      <c r="BS455" s="25"/>
      <c r="BT455" s="25"/>
      <c r="BU455" s="39">
        <v>43025</v>
      </c>
      <c r="BV455" s="39" t="s">
        <v>749</v>
      </c>
      <c r="BW455" s="39" t="s">
        <v>2882</v>
      </c>
      <c r="BX455" s="39" t="s">
        <v>303</v>
      </c>
      <c r="BY455" s="71">
        <v>800</v>
      </c>
      <c r="BZ455" s="71">
        <v>870</v>
      </c>
      <c r="CA455" s="71">
        <v>1070</v>
      </c>
      <c r="CB455" s="71">
        <v>1280</v>
      </c>
      <c r="CC455" s="71">
        <v>1430</v>
      </c>
      <c r="CD455" s="25"/>
      <c r="CE455" s="200"/>
      <c r="CF455" s="200"/>
      <c r="CG455" s="200"/>
      <c r="CH455" s="200"/>
      <c r="CI455" s="200"/>
      <c r="CJ455" s="200"/>
      <c r="CK455" s="200"/>
      <c r="CL455" s="200"/>
      <c r="CM455" s="200"/>
      <c r="CN455" s="200"/>
      <c r="CO455" s="200"/>
      <c r="CP455" s="200"/>
      <c r="CQ455" s="200"/>
      <c r="CR455" s="200"/>
      <c r="CS455" s="200"/>
      <c r="CT455" s="200"/>
      <c r="CU455" s="200"/>
    </row>
    <row r="456" spans="1:99" s="17" customFormat="1" x14ac:dyDescent="0.2">
      <c r="A456" s="25"/>
      <c r="B456" s="20">
        <v>39049006302</v>
      </c>
      <c r="C456" s="20">
        <v>63.02</v>
      </c>
      <c r="D456" s="20" t="s">
        <v>31</v>
      </c>
      <c r="E456" s="20" t="s">
        <v>2830</v>
      </c>
      <c r="F456" s="20" t="s">
        <v>8</v>
      </c>
      <c r="G456" s="861">
        <v>65.148215522384305</v>
      </c>
      <c r="H456" s="861">
        <v>58.855551388162198</v>
      </c>
      <c r="I456" s="861">
        <v>46.294276412593597</v>
      </c>
      <c r="J456" s="861">
        <v>44.869215938040199</v>
      </c>
      <c r="K456" s="982">
        <v>1</v>
      </c>
      <c r="L456" s="735" t="s">
        <v>2466</v>
      </c>
      <c r="M456" s="735">
        <v>4980</v>
      </c>
      <c r="N456" s="845" t="str">
        <f t="shared" si="43"/>
        <v/>
      </c>
      <c r="O456" s="735">
        <v>0.74410225767407101</v>
      </c>
      <c r="P456" s="735">
        <f t="shared" si="44"/>
        <v>6692.6285314152638</v>
      </c>
      <c r="Q456" s="849">
        <v>35.299999999999997</v>
      </c>
      <c r="R456" s="71">
        <v>90463</v>
      </c>
      <c r="S456" s="845">
        <v>0.18687384992844</v>
      </c>
      <c r="T456" s="845">
        <v>2.7000000000000003E-2</v>
      </c>
      <c r="U456" s="845">
        <v>0</v>
      </c>
      <c r="V456" s="845">
        <v>7.4999999999999997E-2</v>
      </c>
      <c r="W456" s="845">
        <v>0.67119301648884577</v>
      </c>
      <c r="X456" s="845">
        <v>0.32731213872832371</v>
      </c>
      <c r="Y456" s="845">
        <v>0.67891566265060244</v>
      </c>
      <c r="Z456" s="845">
        <v>9.5180722891566261E-2</v>
      </c>
      <c r="AA456" s="845">
        <v>2.4096385542168677E-3</v>
      </c>
      <c r="AB456" s="845">
        <v>0.13092369477911647</v>
      </c>
      <c r="AC456" s="845">
        <v>0</v>
      </c>
      <c r="AD456" s="845">
        <v>8.6345381526104423E-3</v>
      </c>
      <c r="AE456" s="845">
        <v>8.393574297188755E-2</v>
      </c>
      <c r="AF456" s="845">
        <v>6.5662650602409639E-2</v>
      </c>
      <c r="AG456" s="845">
        <v>0.67670682730923692</v>
      </c>
      <c r="AH456" s="20" t="str">
        <f t="shared" si="45"/>
        <v>No</v>
      </c>
      <c r="AI456" s="25"/>
      <c r="AJ456" s="20">
        <v>43061</v>
      </c>
      <c r="AK456" s="20" t="s">
        <v>771</v>
      </c>
      <c r="AL456" s="20">
        <v>39041</v>
      </c>
      <c r="AM456" s="20" t="s">
        <v>27</v>
      </c>
      <c r="AN456" s="37">
        <f t="shared" si="46"/>
        <v>18140</v>
      </c>
      <c r="AO456" s="37" t="str">
        <f t="shared" si="47"/>
        <v>Columbus, OH</v>
      </c>
      <c r="AP456" s="20" t="s">
        <v>8</v>
      </c>
      <c r="AQ456" s="25"/>
      <c r="AR456" s="25"/>
      <c r="AS456" s="25"/>
      <c r="AT456" s="25"/>
      <c r="AU456" s="36"/>
      <c r="AV456" s="36"/>
      <c r="AW456" s="36"/>
      <c r="AX456" s="25"/>
      <c r="AY456" s="25"/>
      <c r="AZ456" s="25"/>
      <c r="BA456" s="25"/>
      <c r="BB456" s="25"/>
      <c r="BC456" s="25"/>
      <c r="BD456" s="25"/>
      <c r="BE456" s="25"/>
      <c r="BF456" s="25"/>
      <c r="BG456" s="25"/>
      <c r="BH456" s="25"/>
      <c r="BI456" s="25"/>
      <c r="BJ456" s="25"/>
      <c r="BK456" s="25"/>
      <c r="BL456" s="25"/>
      <c r="BM456" s="25"/>
      <c r="BN456" s="25"/>
      <c r="BO456" s="25"/>
      <c r="BP456" s="25"/>
      <c r="BQ456" s="25"/>
      <c r="BR456" s="25"/>
      <c r="BS456" s="25"/>
      <c r="BT456" s="25"/>
      <c r="BU456" s="39">
        <v>43026</v>
      </c>
      <c r="BV456" s="39" t="s">
        <v>750</v>
      </c>
      <c r="BW456" s="39" t="s">
        <v>2882</v>
      </c>
      <c r="BX456" s="39" t="s">
        <v>303</v>
      </c>
      <c r="BY456" s="71">
        <v>1310</v>
      </c>
      <c r="BZ456" s="71">
        <v>1400</v>
      </c>
      <c r="CA456" s="71">
        <v>1680</v>
      </c>
      <c r="CB456" s="71">
        <v>2010</v>
      </c>
      <c r="CC456" s="71">
        <v>2260</v>
      </c>
      <c r="CD456" s="25"/>
      <c r="CE456" s="200"/>
      <c r="CF456" s="200"/>
      <c r="CG456" s="200"/>
      <c r="CH456" s="200"/>
      <c r="CI456" s="200"/>
      <c r="CJ456" s="200"/>
      <c r="CK456" s="200"/>
      <c r="CL456" s="200"/>
      <c r="CM456" s="200"/>
      <c r="CN456" s="200"/>
      <c r="CO456" s="200"/>
      <c r="CP456" s="200"/>
      <c r="CQ456" s="200"/>
      <c r="CR456" s="200"/>
      <c r="CS456" s="200"/>
      <c r="CT456" s="200"/>
      <c r="CU456" s="200"/>
    </row>
    <row r="457" spans="1:99" s="17" customFormat="1" x14ac:dyDescent="0.2">
      <c r="A457" s="25"/>
      <c r="B457" s="20">
        <v>39017011110</v>
      </c>
      <c r="C457" s="20">
        <v>111.1</v>
      </c>
      <c r="D457" s="20" t="s">
        <v>15</v>
      </c>
      <c r="E457" s="20" t="s">
        <v>2828</v>
      </c>
      <c r="F457" s="20" t="s">
        <v>8</v>
      </c>
      <c r="G457" s="861">
        <v>65.126247513889794</v>
      </c>
      <c r="H457" s="861">
        <v>61.723714258605703</v>
      </c>
      <c r="I457" s="861">
        <v>14.387426936363401</v>
      </c>
      <c r="J457" s="861">
        <v>61.431254954979799</v>
      </c>
      <c r="K457" s="982">
        <v>0</v>
      </c>
      <c r="L457" s="735">
        <v>5272</v>
      </c>
      <c r="M457" s="735">
        <v>6177</v>
      </c>
      <c r="N457" s="845">
        <f t="shared" si="43"/>
        <v>0.17166160849772383</v>
      </c>
      <c r="O457" s="735">
        <v>2.6245008514730208</v>
      </c>
      <c r="P457" s="735">
        <f t="shared" si="44"/>
        <v>2353.5903966398459</v>
      </c>
      <c r="Q457" s="849">
        <v>41.5</v>
      </c>
      <c r="R457" s="71">
        <v>135804</v>
      </c>
      <c r="S457" s="845">
        <v>3.6587340132750529E-2</v>
      </c>
      <c r="T457" s="845">
        <v>0.02</v>
      </c>
      <c r="U457" s="845">
        <v>0</v>
      </c>
      <c r="V457" s="845">
        <v>0</v>
      </c>
      <c r="W457" s="845">
        <v>2.39741816505302E-2</v>
      </c>
      <c r="X457" s="845">
        <v>0.11538461538461539</v>
      </c>
      <c r="Y457" s="845">
        <v>0.80055042901084672</v>
      </c>
      <c r="Z457" s="845">
        <v>2.153148777723814E-2</v>
      </c>
      <c r="AA457" s="845">
        <v>2.5902541686903028E-3</v>
      </c>
      <c r="AB457" s="845">
        <v>4.8243483891856891E-2</v>
      </c>
      <c r="AC457" s="845">
        <v>0</v>
      </c>
      <c r="AD457" s="845">
        <v>3.3997085964060222E-3</v>
      </c>
      <c r="AE457" s="845">
        <v>0.12368463655496195</v>
      </c>
      <c r="AF457" s="845">
        <v>9.5353731584911769E-2</v>
      </c>
      <c r="AG457" s="845">
        <v>0.79634126598672494</v>
      </c>
      <c r="AH457" s="20" t="str">
        <f t="shared" si="45"/>
        <v>No</v>
      </c>
      <c r="AI457" s="25"/>
      <c r="AJ457" s="37">
        <v>43065</v>
      </c>
      <c r="AK457" s="37" t="s">
        <v>774</v>
      </c>
      <c r="AL457" s="37">
        <v>39041</v>
      </c>
      <c r="AM457" s="37" t="s">
        <v>27</v>
      </c>
      <c r="AN457" s="37">
        <f t="shared" si="46"/>
        <v>18140</v>
      </c>
      <c r="AO457" s="37" t="str">
        <f t="shared" si="47"/>
        <v>Columbus, OH</v>
      </c>
      <c r="AP457" s="20" t="s">
        <v>8</v>
      </c>
      <c r="AQ457" s="25"/>
      <c r="AR457" s="25"/>
      <c r="AS457" s="25"/>
      <c r="AT457" s="25"/>
      <c r="AU457" s="36"/>
      <c r="AV457" s="36"/>
      <c r="AW457" s="36"/>
      <c r="AX457" s="25"/>
      <c r="AY457" s="25"/>
      <c r="AZ457" s="25"/>
      <c r="BA457" s="25"/>
      <c r="BB457" s="25"/>
      <c r="BC457" s="25"/>
      <c r="BD457" s="25"/>
      <c r="BE457" s="25"/>
      <c r="BF457" s="25"/>
      <c r="BG457" s="25"/>
      <c r="BH457" s="25"/>
      <c r="BI457" s="25"/>
      <c r="BJ457" s="25"/>
      <c r="BK457" s="25"/>
      <c r="BL457" s="25"/>
      <c r="BM457" s="25"/>
      <c r="BN457" s="25"/>
      <c r="BO457" s="25"/>
      <c r="BP457" s="25"/>
      <c r="BQ457" s="25"/>
      <c r="BR457" s="25"/>
      <c r="BS457" s="25"/>
      <c r="BT457" s="25"/>
      <c r="BU457" s="39">
        <v>43027</v>
      </c>
      <c r="BV457" s="39" t="s">
        <v>751</v>
      </c>
      <c r="BW457" s="39" t="s">
        <v>2882</v>
      </c>
      <c r="BX457" s="39" t="s">
        <v>303</v>
      </c>
      <c r="BY457" s="71">
        <v>990</v>
      </c>
      <c r="BZ457" s="71">
        <v>1060</v>
      </c>
      <c r="CA457" s="71">
        <v>1280</v>
      </c>
      <c r="CB457" s="71">
        <v>1570</v>
      </c>
      <c r="CC457" s="71">
        <v>1720</v>
      </c>
      <c r="CD457" s="25"/>
      <c r="CE457" s="200"/>
      <c r="CF457" s="200"/>
      <c r="CG457" s="200"/>
      <c r="CH457" s="200"/>
      <c r="CI457" s="200"/>
      <c r="CJ457" s="200"/>
      <c r="CK457" s="200"/>
      <c r="CL457" s="200"/>
      <c r="CM457" s="200"/>
      <c r="CN457" s="200"/>
      <c r="CO457" s="200"/>
      <c r="CP457" s="200"/>
      <c r="CQ457" s="200"/>
      <c r="CR457" s="200"/>
      <c r="CS457" s="200"/>
      <c r="CT457" s="200"/>
      <c r="CU457" s="200"/>
    </row>
    <row r="458" spans="1:99" s="17" customFormat="1" x14ac:dyDescent="0.2">
      <c r="A458" s="25"/>
      <c r="B458" s="20">
        <v>39061004000</v>
      </c>
      <c r="C458" s="20">
        <v>40</v>
      </c>
      <c r="D458" s="20" t="s">
        <v>37</v>
      </c>
      <c r="E458" s="20" t="s">
        <v>2828</v>
      </c>
      <c r="F458" s="20" t="s">
        <v>8</v>
      </c>
      <c r="G458" s="861">
        <v>65.105327265268897</v>
      </c>
      <c r="H458" s="861">
        <v>71.654871416719601</v>
      </c>
      <c r="I458" s="861">
        <v>36.385871108426301</v>
      </c>
      <c r="J458" s="861">
        <v>54.087121358178798</v>
      </c>
      <c r="K458" s="982">
        <v>0</v>
      </c>
      <c r="L458" s="735">
        <v>2307</v>
      </c>
      <c r="M458" s="735">
        <v>2109</v>
      </c>
      <c r="N458" s="845">
        <f t="shared" si="43"/>
        <v>-8.5825747724317294E-2</v>
      </c>
      <c r="O458" s="735">
        <v>0.42545253228981039</v>
      </c>
      <c r="P458" s="735">
        <f t="shared" si="44"/>
        <v>4957.0747379249069</v>
      </c>
      <c r="Q458" s="849">
        <v>39.299999999999997</v>
      </c>
      <c r="R458" s="71">
        <v>83173</v>
      </c>
      <c r="S458" s="845">
        <v>9.6530920060331829E-2</v>
      </c>
      <c r="T458" s="845">
        <v>3.1E-2</v>
      </c>
      <c r="U458" s="845">
        <v>0</v>
      </c>
      <c r="V458" s="845">
        <v>0</v>
      </c>
      <c r="W458" s="845">
        <v>0.19640852974186307</v>
      </c>
      <c r="X458" s="845">
        <v>0.40571428571428569</v>
      </c>
      <c r="Y458" s="845">
        <v>0.5111427216690374</v>
      </c>
      <c r="Z458" s="845">
        <v>0.35846372688477951</v>
      </c>
      <c r="AA458" s="845">
        <v>0</v>
      </c>
      <c r="AB458" s="845">
        <v>1.6595542911332386E-2</v>
      </c>
      <c r="AC458" s="845">
        <v>0</v>
      </c>
      <c r="AD458" s="845">
        <v>0</v>
      </c>
      <c r="AE458" s="845">
        <v>0.11379800853485064</v>
      </c>
      <c r="AF458" s="845">
        <v>9.388335704125178E-2</v>
      </c>
      <c r="AG458" s="845">
        <v>0.50403034613560926</v>
      </c>
      <c r="AH458" s="20" t="str">
        <f t="shared" si="45"/>
        <v>No</v>
      </c>
      <c r="AI458" s="25"/>
      <c r="AJ458" s="20">
        <v>43066</v>
      </c>
      <c r="AK458" s="20" t="s">
        <v>775</v>
      </c>
      <c r="AL458" s="20">
        <v>39041</v>
      </c>
      <c r="AM458" s="20" t="s">
        <v>27</v>
      </c>
      <c r="AN458" s="37">
        <f t="shared" si="46"/>
        <v>18140</v>
      </c>
      <c r="AO458" s="37" t="str">
        <f t="shared" si="47"/>
        <v>Columbus, OH</v>
      </c>
      <c r="AP458" s="20" t="s">
        <v>8</v>
      </c>
      <c r="AQ458" s="25"/>
      <c r="AR458" s="25"/>
      <c r="AS458" s="25"/>
      <c r="AT458" s="25"/>
      <c r="AU458" s="36"/>
      <c r="AV458" s="36"/>
      <c r="AW458" s="36"/>
      <c r="AX458" s="25"/>
      <c r="AY458" s="25"/>
      <c r="AZ458" s="25"/>
      <c r="BA458" s="25"/>
      <c r="BB458" s="25"/>
      <c r="BC458" s="25"/>
      <c r="BD458" s="25"/>
      <c r="BE458" s="25"/>
      <c r="BF458" s="25"/>
      <c r="BG458" s="25"/>
      <c r="BH458" s="25"/>
      <c r="BI458" s="25"/>
      <c r="BJ458" s="25"/>
      <c r="BK458" s="25"/>
      <c r="BL458" s="25"/>
      <c r="BM458" s="25"/>
      <c r="BN458" s="25"/>
      <c r="BO458" s="25"/>
      <c r="BP458" s="25"/>
      <c r="BQ458" s="25"/>
      <c r="BR458" s="25"/>
      <c r="BS458" s="25"/>
      <c r="BT458" s="25"/>
      <c r="BU458" s="39">
        <v>43029</v>
      </c>
      <c r="BV458" s="39" t="s">
        <v>753</v>
      </c>
      <c r="BW458" s="39" t="s">
        <v>2882</v>
      </c>
      <c r="BX458" s="39" t="s">
        <v>303</v>
      </c>
      <c r="BY458" s="71">
        <v>970</v>
      </c>
      <c r="BZ458" s="71">
        <v>1010</v>
      </c>
      <c r="CA458" s="71">
        <v>1280</v>
      </c>
      <c r="CB458" s="71">
        <v>1560</v>
      </c>
      <c r="CC458" s="71">
        <v>1730</v>
      </c>
      <c r="CD458" s="25"/>
      <c r="CE458" s="200"/>
      <c r="CF458" s="200"/>
      <c r="CG458" s="200"/>
      <c r="CH458" s="200"/>
      <c r="CI458" s="200"/>
      <c r="CJ458" s="200"/>
      <c r="CK458" s="200"/>
      <c r="CL458" s="200"/>
      <c r="CM458" s="200"/>
      <c r="CN458" s="200"/>
      <c r="CO458" s="200"/>
      <c r="CP458" s="200"/>
      <c r="CQ458" s="200"/>
      <c r="CR458" s="200"/>
      <c r="CS458" s="200"/>
      <c r="CT458" s="200"/>
      <c r="CU458" s="200"/>
    </row>
    <row r="459" spans="1:99" s="17" customFormat="1" x14ac:dyDescent="0.2">
      <c r="A459" s="25"/>
      <c r="B459" s="20">
        <v>39049009404</v>
      </c>
      <c r="C459" s="20">
        <v>94.04</v>
      </c>
      <c r="D459" s="20" t="s">
        <v>31</v>
      </c>
      <c r="E459" s="20" t="s">
        <v>2830</v>
      </c>
      <c r="F459" s="20" t="s">
        <v>8</v>
      </c>
      <c r="G459" s="861">
        <v>65.0962128500977</v>
      </c>
      <c r="H459" s="861">
        <v>61.985448663196799</v>
      </c>
      <c r="I459" s="861">
        <v>23.880567863626901</v>
      </c>
      <c r="J459" s="861">
        <v>41.350574554279497</v>
      </c>
      <c r="K459" s="982">
        <v>0</v>
      </c>
      <c r="L459" s="735" t="s">
        <v>2466</v>
      </c>
      <c r="M459" s="735">
        <v>3140</v>
      </c>
      <c r="N459" s="845" t="str">
        <f t="shared" ref="N459:N522" si="48">IF(OR(L459="",M459=""),"",(M459-L459)/L459)</f>
        <v/>
      </c>
      <c r="O459" s="735">
        <v>1.0624044911155983</v>
      </c>
      <c r="P459" s="735">
        <f t="shared" ref="P459:P522" si="49">M459/O459</f>
        <v>2955.5597950294641</v>
      </c>
      <c r="Q459" s="849">
        <v>49.2</v>
      </c>
      <c r="R459" s="71">
        <v>85804</v>
      </c>
      <c r="S459" s="845">
        <v>9.9093046691299966E-2</v>
      </c>
      <c r="T459" s="845">
        <v>3.6000000000000004E-2</v>
      </c>
      <c r="U459" s="845">
        <v>0</v>
      </c>
      <c r="V459" s="845">
        <v>0</v>
      </c>
      <c r="W459" s="845">
        <v>0.24873096446700507</v>
      </c>
      <c r="X459" s="845">
        <v>0.27696793002915454</v>
      </c>
      <c r="Y459" s="845">
        <v>0.82070063694267514</v>
      </c>
      <c r="Z459" s="845">
        <v>3.4076433121019108E-2</v>
      </c>
      <c r="AA459" s="845">
        <v>1.910828025477707E-3</v>
      </c>
      <c r="AB459" s="845">
        <v>1.019108280254777E-2</v>
      </c>
      <c r="AC459" s="845">
        <v>0</v>
      </c>
      <c r="AD459" s="845">
        <v>0</v>
      </c>
      <c r="AE459" s="845">
        <v>0.13312101910828025</v>
      </c>
      <c r="AF459" s="845">
        <v>1.910828025477707E-3</v>
      </c>
      <c r="AG459" s="845">
        <v>0.82070063694267514</v>
      </c>
      <c r="AH459" s="20" t="str">
        <f t="shared" ref="AH459:AH522" si="50">IF(AG459&gt;=0.9,"Yes","No")</f>
        <v>No</v>
      </c>
      <c r="AI459" s="25"/>
      <c r="AJ459" s="37">
        <v>43074</v>
      </c>
      <c r="AK459" s="37" t="s">
        <v>781</v>
      </c>
      <c r="AL459" s="37">
        <v>39041</v>
      </c>
      <c r="AM459" s="37" t="s">
        <v>27</v>
      </c>
      <c r="AN459" s="37">
        <f t="shared" ref="AN459:AN522" si="51">VLOOKUP(AM459,$CY$11:$DA$98,2,FALSE)</f>
        <v>18140</v>
      </c>
      <c r="AO459" s="37" t="str">
        <f t="shared" ref="AO459:AO522" si="52">VLOOKUP(AM459,$CY$11:$DA$98,3,FALSE)</f>
        <v>Columbus, OH</v>
      </c>
      <c r="AP459" s="20" t="s">
        <v>8</v>
      </c>
      <c r="AQ459" s="25"/>
      <c r="AR459" s="25"/>
      <c r="AS459" s="25"/>
      <c r="AT459" s="25"/>
      <c r="AU459" s="36"/>
      <c r="AV459" s="36"/>
      <c r="AW459" s="36"/>
      <c r="AX459" s="25"/>
      <c r="AY459" s="25"/>
      <c r="AZ459" s="25"/>
      <c r="BA459" s="25"/>
      <c r="BB459" s="25"/>
      <c r="BC459" s="25"/>
      <c r="BD459" s="25"/>
      <c r="BE459" s="25"/>
      <c r="BF459" s="25"/>
      <c r="BG459" s="25"/>
      <c r="BH459" s="25"/>
      <c r="BI459" s="25"/>
      <c r="BJ459" s="25"/>
      <c r="BK459" s="25"/>
      <c r="BL459" s="25"/>
      <c r="BM459" s="25"/>
      <c r="BN459" s="25"/>
      <c r="BO459" s="25"/>
      <c r="BP459" s="25"/>
      <c r="BQ459" s="25"/>
      <c r="BR459" s="25"/>
      <c r="BS459" s="25"/>
      <c r="BT459" s="25"/>
      <c r="BU459" s="39">
        <v>43030</v>
      </c>
      <c r="BV459" s="39" t="s">
        <v>754</v>
      </c>
      <c r="BW459" s="39" t="s">
        <v>2882</v>
      </c>
      <c r="BX459" s="39" t="s">
        <v>303</v>
      </c>
      <c r="BY459" s="71">
        <v>930</v>
      </c>
      <c r="BZ459" s="71">
        <v>980</v>
      </c>
      <c r="CA459" s="71">
        <v>1180</v>
      </c>
      <c r="CB459" s="71">
        <v>1430</v>
      </c>
      <c r="CC459" s="71">
        <v>1640</v>
      </c>
      <c r="CD459" s="25"/>
      <c r="CE459" s="200"/>
      <c r="CF459" s="200"/>
      <c r="CG459" s="200"/>
      <c r="CH459" s="200"/>
      <c r="CI459" s="200"/>
      <c r="CJ459" s="200"/>
      <c r="CK459" s="200"/>
      <c r="CL459" s="200"/>
      <c r="CM459" s="200"/>
      <c r="CN459" s="200"/>
      <c r="CO459" s="200"/>
      <c r="CP459" s="200"/>
      <c r="CQ459" s="200"/>
      <c r="CR459" s="200"/>
      <c r="CS459" s="200"/>
      <c r="CT459" s="200"/>
      <c r="CU459" s="200"/>
    </row>
    <row r="460" spans="1:99" s="17" customFormat="1" x14ac:dyDescent="0.2">
      <c r="A460" s="25"/>
      <c r="B460" s="20">
        <v>39113021502</v>
      </c>
      <c r="C460" s="20">
        <v>215.02</v>
      </c>
      <c r="D460" s="20" t="s">
        <v>62</v>
      </c>
      <c r="E460" s="20" t="s">
        <v>2833</v>
      </c>
      <c r="F460" s="20" t="s">
        <v>8</v>
      </c>
      <c r="G460" s="861">
        <v>65.053370970939895</v>
      </c>
      <c r="H460" s="861">
        <v>65.126523813161398</v>
      </c>
      <c r="I460" s="861">
        <v>43.662183081071099</v>
      </c>
      <c r="J460" s="861">
        <v>59.982016358991103</v>
      </c>
      <c r="K460" s="982">
        <v>0</v>
      </c>
      <c r="L460" s="735">
        <v>1606</v>
      </c>
      <c r="M460" s="735">
        <v>2511</v>
      </c>
      <c r="N460" s="845">
        <f t="shared" si="48"/>
        <v>0.56351183063511834</v>
      </c>
      <c r="O460" s="735">
        <v>0.4339108722780971</v>
      </c>
      <c r="P460" s="735">
        <f t="shared" si="49"/>
        <v>5786.9027038130516</v>
      </c>
      <c r="Q460" s="849">
        <v>30.9</v>
      </c>
      <c r="R460" s="71">
        <v>57342</v>
      </c>
      <c r="S460" s="845">
        <v>0.11412575366063739</v>
      </c>
      <c r="T460" s="845">
        <v>4.0000000000000001E-3</v>
      </c>
      <c r="U460" s="845">
        <v>0</v>
      </c>
      <c r="V460" s="845">
        <v>4.9000000000000002E-2</v>
      </c>
      <c r="W460" s="845">
        <v>0.41684665226781858</v>
      </c>
      <c r="X460" s="845">
        <v>0.49222797927461137</v>
      </c>
      <c r="Y460" s="845">
        <v>0.76423735563520512</v>
      </c>
      <c r="Z460" s="845">
        <v>0.14058144165671047</v>
      </c>
      <c r="AA460" s="845">
        <v>0</v>
      </c>
      <c r="AB460" s="845">
        <v>6.4117881322182393E-2</v>
      </c>
      <c r="AC460" s="845">
        <v>0</v>
      </c>
      <c r="AD460" s="845">
        <v>0</v>
      </c>
      <c r="AE460" s="845">
        <v>3.106332138590203E-2</v>
      </c>
      <c r="AF460" s="845">
        <v>1.9912385503783353E-2</v>
      </c>
      <c r="AG460" s="845">
        <v>0.74432497013142174</v>
      </c>
      <c r="AH460" s="20" t="str">
        <f t="shared" si="50"/>
        <v>No</v>
      </c>
      <c r="AI460" s="25"/>
      <c r="AJ460" s="37">
        <v>43081</v>
      </c>
      <c r="AK460" s="37" t="s">
        <v>786</v>
      </c>
      <c r="AL460" s="37">
        <v>39041</v>
      </c>
      <c r="AM460" s="37" t="s">
        <v>27</v>
      </c>
      <c r="AN460" s="37">
        <f t="shared" si="51"/>
        <v>18140</v>
      </c>
      <c r="AO460" s="37" t="str">
        <f t="shared" si="52"/>
        <v>Columbus, OH</v>
      </c>
      <c r="AP460" s="20" t="s">
        <v>8</v>
      </c>
      <c r="AQ460" s="25"/>
      <c r="AR460" s="25"/>
      <c r="AS460" s="25"/>
      <c r="AT460" s="25"/>
      <c r="AU460" s="36"/>
      <c r="AV460" s="36"/>
      <c r="AW460" s="36"/>
      <c r="AX460" s="25"/>
      <c r="AY460" s="25"/>
      <c r="AZ460" s="25"/>
      <c r="BA460" s="25"/>
      <c r="BB460" s="25"/>
      <c r="BC460" s="25"/>
      <c r="BD460" s="25"/>
      <c r="BE460" s="25"/>
      <c r="BF460" s="25"/>
      <c r="BG460" s="25"/>
      <c r="BH460" s="25"/>
      <c r="BI460" s="25"/>
      <c r="BJ460" s="25"/>
      <c r="BK460" s="25"/>
      <c r="BL460" s="25"/>
      <c r="BM460" s="25"/>
      <c r="BN460" s="25"/>
      <c r="BO460" s="25"/>
      <c r="BP460" s="25"/>
      <c r="BQ460" s="25"/>
      <c r="BR460" s="25"/>
      <c r="BS460" s="25"/>
      <c r="BT460" s="25"/>
      <c r="BU460" s="39">
        <v>43031</v>
      </c>
      <c r="BV460" s="39" t="s">
        <v>755</v>
      </c>
      <c r="BW460" s="39" t="s">
        <v>2882</v>
      </c>
      <c r="BX460" s="39" t="s">
        <v>303</v>
      </c>
      <c r="BY460" s="71">
        <v>1020</v>
      </c>
      <c r="BZ460" s="71">
        <v>1090</v>
      </c>
      <c r="CA460" s="71">
        <v>1310</v>
      </c>
      <c r="CB460" s="71">
        <v>1570</v>
      </c>
      <c r="CC460" s="71">
        <v>1770</v>
      </c>
      <c r="CD460" s="25"/>
      <c r="CE460" s="200"/>
      <c r="CF460" s="200"/>
      <c r="CG460" s="200"/>
      <c r="CH460" s="200"/>
      <c r="CI460" s="200"/>
      <c r="CJ460" s="200"/>
      <c r="CK460" s="200"/>
      <c r="CL460" s="200"/>
      <c r="CM460" s="200"/>
      <c r="CN460" s="200"/>
      <c r="CO460" s="200"/>
      <c r="CP460" s="200"/>
      <c r="CQ460" s="200"/>
      <c r="CR460" s="200"/>
      <c r="CS460" s="200"/>
      <c r="CT460" s="200"/>
      <c r="CU460" s="200"/>
    </row>
    <row r="461" spans="1:99" s="17" customFormat="1" x14ac:dyDescent="0.2">
      <c r="A461" s="25"/>
      <c r="B461" s="20">
        <v>39061021421</v>
      </c>
      <c r="C461" s="20">
        <v>214.21</v>
      </c>
      <c r="D461" s="20" t="s">
        <v>37</v>
      </c>
      <c r="E461" s="20" t="s">
        <v>2828</v>
      </c>
      <c r="F461" s="20" t="s">
        <v>8</v>
      </c>
      <c r="G461" s="861">
        <v>65.044956771047595</v>
      </c>
      <c r="H461" s="861">
        <v>66.610790551734695</v>
      </c>
      <c r="I461" s="861">
        <v>16.8185683300246</v>
      </c>
      <c r="J461" s="861">
        <v>37.874794656123903</v>
      </c>
      <c r="K461" s="982">
        <v>0</v>
      </c>
      <c r="L461" s="735">
        <v>4370</v>
      </c>
      <c r="M461" s="735">
        <v>4158</v>
      </c>
      <c r="N461" s="845">
        <f t="shared" si="48"/>
        <v>-4.8512585812356977E-2</v>
      </c>
      <c r="O461" s="735">
        <v>0.87605807580329009</v>
      </c>
      <c r="P461" s="735">
        <f t="shared" si="49"/>
        <v>4746.2606816190537</v>
      </c>
      <c r="Q461" s="849">
        <v>36.700000000000003</v>
      </c>
      <c r="R461" s="71">
        <v>92368</v>
      </c>
      <c r="S461" s="845">
        <v>2.2607022607022607E-2</v>
      </c>
      <c r="T461" s="845">
        <v>3.7999999999999999E-2</v>
      </c>
      <c r="U461" s="845">
        <v>0</v>
      </c>
      <c r="V461" s="845">
        <v>0</v>
      </c>
      <c r="W461" s="845">
        <v>2.6351351351351353E-2</v>
      </c>
      <c r="X461" s="845">
        <v>1</v>
      </c>
      <c r="Y461" s="845">
        <v>0.90476190476190477</v>
      </c>
      <c r="Z461" s="845">
        <v>1.5392015392015393E-2</v>
      </c>
      <c r="AA461" s="845">
        <v>0</v>
      </c>
      <c r="AB461" s="845">
        <v>3.4151034151034154E-2</v>
      </c>
      <c r="AC461" s="845">
        <v>0</v>
      </c>
      <c r="AD461" s="845">
        <v>1.7556517556517555E-2</v>
      </c>
      <c r="AE461" s="845">
        <v>2.813852813852814E-2</v>
      </c>
      <c r="AF461" s="845">
        <v>1.3227513227513227E-2</v>
      </c>
      <c r="AG461" s="845">
        <v>0.90476190476190477</v>
      </c>
      <c r="AH461" s="20" t="str">
        <f t="shared" si="50"/>
        <v>Yes</v>
      </c>
      <c r="AI461" s="25"/>
      <c r="AJ461" s="37">
        <v>43082</v>
      </c>
      <c r="AK461" s="37" t="s">
        <v>787</v>
      </c>
      <c r="AL461" s="37">
        <v>39041</v>
      </c>
      <c r="AM461" s="37" t="s">
        <v>27</v>
      </c>
      <c r="AN461" s="37">
        <f t="shared" si="51"/>
        <v>18140</v>
      </c>
      <c r="AO461" s="37" t="str">
        <f t="shared" si="52"/>
        <v>Columbus, OH</v>
      </c>
      <c r="AP461" s="20" t="s">
        <v>8</v>
      </c>
      <c r="AQ461" s="25"/>
      <c r="AR461" s="25"/>
      <c r="AS461" s="25"/>
      <c r="AT461" s="25"/>
      <c r="AU461" s="36"/>
      <c r="AV461" s="36"/>
      <c r="AW461" s="36"/>
      <c r="AX461" s="25"/>
      <c r="AY461" s="25"/>
      <c r="AZ461" s="25"/>
      <c r="BA461" s="25"/>
      <c r="BB461" s="25"/>
      <c r="BC461" s="25"/>
      <c r="BD461" s="25"/>
      <c r="BE461" s="25"/>
      <c r="BF461" s="25"/>
      <c r="BG461" s="25"/>
      <c r="BH461" s="25"/>
      <c r="BI461" s="25"/>
      <c r="BJ461" s="25"/>
      <c r="BK461" s="25"/>
      <c r="BL461" s="25"/>
      <c r="BM461" s="25"/>
      <c r="BN461" s="25"/>
      <c r="BO461" s="25"/>
      <c r="BP461" s="25"/>
      <c r="BQ461" s="25"/>
      <c r="BR461" s="25"/>
      <c r="BS461" s="25"/>
      <c r="BT461" s="25"/>
      <c r="BU461" s="39">
        <v>43032</v>
      </c>
      <c r="BV461" s="39" t="s">
        <v>756</v>
      </c>
      <c r="BW461" s="39" t="s">
        <v>2882</v>
      </c>
      <c r="BX461" s="39" t="s">
        <v>303</v>
      </c>
      <c r="BY461" s="71">
        <v>1270</v>
      </c>
      <c r="BZ461" s="71">
        <v>1370</v>
      </c>
      <c r="CA461" s="71">
        <v>1640</v>
      </c>
      <c r="CB461" s="71">
        <v>1970</v>
      </c>
      <c r="CC461" s="71">
        <v>2210</v>
      </c>
      <c r="CD461" s="25"/>
      <c r="CE461" s="200"/>
      <c r="CF461" s="200"/>
      <c r="CG461" s="200"/>
      <c r="CH461" s="200"/>
      <c r="CI461" s="200"/>
      <c r="CJ461" s="200"/>
      <c r="CK461" s="200"/>
      <c r="CL461" s="200"/>
      <c r="CM461" s="200"/>
      <c r="CN461" s="200"/>
      <c r="CO461" s="200"/>
      <c r="CP461" s="200"/>
      <c r="CQ461" s="200"/>
      <c r="CR461" s="200"/>
      <c r="CS461" s="200"/>
      <c r="CT461" s="200"/>
      <c r="CU461" s="200"/>
    </row>
    <row r="462" spans="1:99" s="17" customFormat="1" x14ac:dyDescent="0.2">
      <c r="A462" s="25"/>
      <c r="B462" s="20">
        <v>39085202902</v>
      </c>
      <c r="C462" s="20">
        <v>2029.02</v>
      </c>
      <c r="D462" s="20" t="s">
        <v>48</v>
      </c>
      <c r="E462" s="20" t="s">
        <v>2829</v>
      </c>
      <c r="F462" s="20" t="s">
        <v>8</v>
      </c>
      <c r="G462" s="861">
        <v>65.042600516960405</v>
      </c>
      <c r="H462" s="861">
        <v>44.673400205515001</v>
      </c>
      <c r="I462" s="861">
        <v>30.485842307276801</v>
      </c>
      <c r="J462" s="861">
        <v>28.985889433512099</v>
      </c>
      <c r="K462" s="982">
        <v>0</v>
      </c>
      <c r="L462" s="735" t="s">
        <v>2466</v>
      </c>
      <c r="M462" s="735">
        <v>1433</v>
      </c>
      <c r="N462" s="845" t="str">
        <f t="shared" si="48"/>
        <v/>
      </c>
      <c r="O462" s="735">
        <v>0.87427119501332384</v>
      </c>
      <c r="P462" s="735">
        <f t="shared" si="49"/>
        <v>1639.0795077929579</v>
      </c>
      <c r="Q462" s="849">
        <v>50.2</v>
      </c>
      <c r="R462" s="71">
        <v>70682</v>
      </c>
      <c r="S462" s="845">
        <v>2.7215631542219121E-2</v>
      </c>
      <c r="T462" s="845">
        <v>8.1000000000000003E-2</v>
      </c>
      <c r="U462" s="845">
        <v>0</v>
      </c>
      <c r="V462" s="845">
        <v>0</v>
      </c>
      <c r="W462" s="845">
        <v>0.10899182561307902</v>
      </c>
      <c r="X462" s="845">
        <v>0.3</v>
      </c>
      <c r="Y462" s="845">
        <v>0.99092812281926035</v>
      </c>
      <c r="Z462" s="845">
        <v>0</v>
      </c>
      <c r="AA462" s="845">
        <v>2.0935101186322401E-3</v>
      </c>
      <c r="AB462" s="845">
        <v>0</v>
      </c>
      <c r="AC462" s="845">
        <v>0</v>
      </c>
      <c r="AD462" s="845">
        <v>0</v>
      </c>
      <c r="AE462" s="845">
        <v>6.9783670621074668E-3</v>
      </c>
      <c r="AF462" s="845">
        <v>2.7913468248429867E-2</v>
      </c>
      <c r="AG462" s="845">
        <v>0.96301465457083046</v>
      </c>
      <c r="AH462" s="20" t="str">
        <f t="shared" si="50"/>
        <v>Yes</v>
      </c>
      <c r="AI462" s="25"/>
      <c r="AJ462" s="20">
        <v>43235</v>
      </c>
      <c r="AK462" s="20" t="s">
        <v>864</v>
      </c>
      <c r="AL462" s="20">
        <v>39041</v>
      </c>
      <c r="AM462" s="20" t="s">
        <v>27</v>
      </c>
      <c r="AN462" s="37">
        <f t="shared" si="51"/>
        <v>18140</v>
      </c>
      <c r="AO462" s="37" t="str">
        <f t="shared" si="52"/>
        <v>Columbus, OH</v>
      </c>
      <c r="AP462" s="20" t="s">
        <v>8</v>
      </c>
      <c r="AQ462" s="25"/>
      <c r="AR462" s="25"/>
      <c r="AS462" s="25"/>
      <c r="AT462" s="25"/>
      <c r="AU462" s="36"/>
      <c r="AV462" s="36"/>
      <c r="AW462" s="36"/>
      <c r="AX462" s="25"/>
      <c r="AY462" s="25"/>
      <c r="AZ462" s="25"/>
      <c r="BA462" s="25"/>
      <c r="BB462" s="25"/>
      <c r="BC462" s="25"/>
      <c r="BD462" s="25"/>
      <c r="BE462" s="25"/>
      <c r="BF462" s="25"/>
      <c r="BG462" s="25"/>
      <c r="BH462" s="25"/>
      <c r="BI462" s="25"/>
      <c r="BJ462" s="25"/>
      <c r="BK462" s="25"/>
      <c r="BL462" s="25"/>
      <c r="BM462" s="25"/>
      <c r="BN462" s="25"/>
      <c r="BO462" s="25"/>
      <c r="BP462" s="25"/>
      <c r="BQ462" s="25"/>
      <c r="BR462" s="25"/>
      <c r="BS462" s="25"/>
      <c r="BT462" s="25"/>
      <c r="BU462" s="39">
        <v>43033</v>
      </c>
      <c r="BV462" s="39" t="s">
        <v>757</v>
      </c>
      <c r="BW462" s="39" t="s">
        <v>2882</v>
      </c>
      <c r="BX462" s="39" t="s">
        <v>303</v>
      </c>
      <c r="BY462" s="71">
        <v>1070</v>
      </c>
      <c r="BZ462" s="71">
        <v>1150</v>
      </c>
      <c r="CA462" s="71">
        <v>1380</v>
      </c>
      <c r="CB462" s="71">
        <v>1650</v>
      </c>
      <c r="CC462" s="71">
        <v>1860</v>
      </c>
      <c r="CD462" s="25"/>
      <c r="CE462" s="200"/>
      <c r="CF462" s="200"/>
      <c r="CG462" s="200"/>
      <c r="CH462" s="200"/>
      <c r="CI462" s="200"/>
      <c r="CJ462" s="200"/>
      <c r="CK462" s="200"/>
      <c r="CL462" s="200"/>
      <c r="CM462" s="200"/>
      <c r="CN462" s="200"/>
      <c r="CO462" s="200"/>
      <c r="CP462" s="200"/>
      <c r="CQ462" s="200"/>
      <c r="CR462" s="200"/>
      <c r="CS462" s="200"/>
      <c r="CT462" s="200"/>
      <c r="CU462" s="200"/>
    </row>
    <row r="463" spans="1:99" s="17" customFormat="1" x14ac:dyDescent="0.2">
      <c r="A463" s="25"/>
      <c r="B463" s="20">
        <v>39153507102</v>
      </c>
      <c r="C463" s="20">
        <v>5071.0200000000004</v>
      </c>
      <c r="D463" s="20" t="s">
        <v>82</v>
      </c>
      <c r="E463" s="20" t="s">
        <v>2843</v>
      </c>
      <c r="F463" s="20" t="s">
        <v>8</v>
      </c>
      <c r="G463" s="861">
        <v>65.022109003386504</v>
      </c>
      <c r="H463" s="861">
        <v>71.729081027073704</v>
      </c>
      <c r="I463" s="861">
        <v>23.449662274806698</v>
      </c>
      <c r="J463" s="861">
        <v>43.049407079720801</v>
      </c>
      <c r="K463" s="982">
        <v>0</v>
      </c>
      <c r="L463" s="735">
        <v>2697</v>
      </c>
      <c r="M463" s="735">
        <v>2772</v>
      </c>
      <c r="N463" s="845">
        <f t="shared" si="48"/>
        <v>2.7808676307007785E-2</v>
      </c>
      <c r="O463" s="735">
        <v>1.5906212017320807</v>
      </c>
      <c r="P463" s="735">
        <f t="shared" si="49"/>
        <v>1742.7153598741652</v>
      </c>
      <c r="Q463" s="849">
        <v>41.8</v>
      </c>
      <c r="R463" s="71">
        <v>102663</v>
      </c>
      <c r="S463" s="845">
        <v>4.1125541125541128E-2</v>
      </c>
      <c r="T463" s="845">
        <v>2.4E-2</v>
      </c>
      <c r="U463" s="845">
        <v>0</v>
      </c>
      <c r="V463" s="845">
        <v>3.7999999999999999E-2</v>
      </c>
      <c r="W463" s="845">
        <v>0.10297666934835076</v>
      </c>
      <c r="X463" s="845">
        <v>0.28125</v>
      </c>
      <c r="Y463" s="845">
        <v>0.87301587301587302</v>
      </c>
      <c r="Z463" s="845">
        <v>8.6940836940836944E-2</v>
      </c>
      <c r="AA463" s="845">
        <v>0</v>
      </c>
      <c r="AB463" s="845">
        <v>1.5873015873015872E-2</v>
      </c>
      <c r="AC463" s="845">
        <v>0</v>
      </c>
      <c r="AD463" s="845">
        <v>0</v>
      </c>
      <c r="AE463" s="845">
        <v>2.4170274170274172E-2</v>
      </c>
      <c r="AF463" s="845">
        <v>2.7417027417027416E-2</v>
      </c>
      <c r="AG463" s="845">
        <v>0.86688311688311692</v>
      </c>
      <c r="AH463" s="20" t="str">
        <f t="shared" si="50"/>
        <v>No</v>
      </c>
      <c r="AI463" s="25"/>
      <c r="AJ463" s="20">
        <v>43240</v>
      </c>
      <c r="AK463" s="20" t="s">
        <v>865</v>
      </c>
      <c r="AL463" s="20">
        <v>39041</v>
      </c>
      <c r="AM463" s="20" t="s">
        <v>27</v>
      </c>
      <c r="AN463" s="37">
        <f t="shared" si="51"/>
        <v>18140</v>
      </c>
      <c r="AO463" s="37" t="str">
        <f t="shared" si="52"/>
        <v>Columbus, OH</v>
      </c>
      <c r="AP463" s="20" t="s">
        <v>8</v>
      </c>
      <c r="AQ463" s="25"/>
      <c r="AR463" s="25"/>
      <c r="AS463" s="25"/>
      <c r="AT463" s="25"/>
      <c r="AU463" s="36"/>
      <c r="AV463" s="36"/>
      <c r="AW463" s="36"/>
      <c r="AX463" s="25"/>
      <c r="AY463" s="25"/>
      <c r="AZ463" s="25"/>
      <c r="BA463" s="25"/>
      <c r="BB463" s="25"/>
      <c r="BC463" s="25"/>
      <c r="BD463" s="25"/>
      <c r="BE463" s="25"/>
      <c r="BF463" s="25"/>
      <c r="BG463" s="25"/>
      <c r="BH463" s="25"/>
      <c r="BI463" s="25"/>
      <c r="BJ463" s="25"/>
      <c r="BK463" s="25"/>
      <c r="BL463" s="25"/>
      <c r="BM463" s="25"/>
      <c r="BN463" s="25"/>
      <c r="BO463" s="25"/>
      <c r="BP463" s="25"/>
      <c r="BQ463" s="25"/>
      <c r="BR463" s="25"/>
      <c r="BS463" s="25"/>
      <c r="BT463" s="25"/>
      <c r="BU463" s="39">
        <v>43035</v>
      </c>
      <c r="BV463" s="39" t="s">
        <v>758</v>
      </c>
      <c r="BW463" s="39" t="s">
        <v>2882</v>
      </c>
      <c r="BX463" s="39" t="s">
        <v>303</v>
      </c>
      <c r="BY463" s="71">
        <v>1390</v>
      </c>
      <c r="BZ463" s="71">
        <v>1490</v>
      </c>
      <c r="CA463" s="71">
        <v>1790</v>
      </c>
      <c r="CB463" s="71">
        <v>2150</v>
      </c>
      <c r="CC463" s="71">
        <v>2410</v>
      </c>
      <c r="CD463" s="25"/>
      <c r="CE463" s="200"/>
      <c r="CF463" s="200"/>
      <c r="CG463" s="200"/>
      <c r="CH463" s="200"/>
      <c r="CI463" s="200"/>
      <c r="CJ463" s="200"/>
      <c r="CK463" s="200"/>
      <c r="CL463" s="200"/>
      <c r="CM463" s="200"/>
      <c r="CN463" s="200"/>
      <c r="CO463" s="200"/>
      <c r="CP463" s="200"/>
      <c r="CQ463" s="200"/>
      <c r="CR463" s="200"/>
      <c r="CS463" s="200"/>
      <c r="CT463" s="200"/>
      <c r="CU463" s="200"/>
    </row>
    <row r="464" spans="1:99" s="17" customFormat="1" x14ac:dyDescent="0.2">
      <c r="A464" s="25"/>
      <c r="B464" s="20">
        <v>39017010912</v>
      </c>
      <c r="C464" s="20">
        <v>109.12</v>
      </c>
      <c r="D464" s="20" t="s">
        <v>15</v>
      </c>
      <c r="E464" s="20" t="s">
        <v>2828</v>
      </c>
      <c r="F464" s="20" t="s">
        <v>8</v>
      </c>
      <c r="G464" s="861">
        <v>64.982484957797297</v>
      </c>
      <c r="H464" s="861">
        <v>76.5951876202394</v>
      </c>
      <c r="I464" s="861">
        <v>16.255902842136699</v>
      </c>
      <c r="J464" s="861">
        <v>51.327190587176503</v>
      </c>
      <c r="K464" s="982">
        <v>0</v>
      </c>
      <c r="L464" s="735" t="s">
        <v>2466</v>
      </c>
      <c r="M464" s="735">
        <v>2341</v>
      </c>
      <c r="N464" s="845" t="str">
        <f t="shared" si="48"/>
        <v/>
      </c>
      <c r="O464" s="735">
        <v>0.98993118543698644</v>
      </c>
      <c r="P464" s="735">
        <f t="shared" si="49"/>
        <v>2364.8108418431225</v>
      </c>
      <c r="Q464" s="849">
        <v>37.299999999999997</v>
      </c>
      <c r="R464" s="71">
        <v>116830</v>
      </c>
      <c r="S464" s="845">
        <v>3.1183255019222554E-2</v>
      </c>
      <c r="T464" s="845">
        <v>2.5000000000000001E-2</v>
      </c>
      <c r="U464" s="845">
        <v>1.2E-2</v>
      </c>
      <c r="V464" s="845">
        <v>0</v>
      </c>
      <c r="W464" s="845">
        <v>0.24883177570093459</v>
      </c>
      <c r="X464" s="845">
        <v>0.11737089201877934</v>
      </c>
      <c r="Y464" s="845">
        <v>0.62537377189235366</v>
      </c>
      <c r="Z464" s="845">
        <v>0.15634344297308841</v>
      </c>
      <c r="AA464" s="845">
        <v>0</v>
      </c>
      <c r="AB464" s="845">
        <v>4.100811618966254E-2</v>
      </c>
      <c r="AC464" s="845">
        <v>0</v>
      </c>
      <c r="AD464" s="845">
        <v>1.1960700555318241E-2</v>
      </c>
      <c r="AE464" s="845">
        <v>0.1653139683895771</v>
      </c>
      <c r="AF464" s="845">
        <v>5.5531824006834684E-3</v>
      </c>
      <c r="AG464" s="845">
        <v>0.62323793250747539</v>
      </c>
      <c r="AH464" s="20" t="str">
        <f t="shared" si="50"/>
        <v>No</v>
      </c>
      <c r="AI464" s="25"/>
      <c r="AJ464" s="20">
        <v>43334</v>
      </c>
      <c r="AK464" s="20" t="s">
        <v>886</v>
      </c>
      <c r="AL464" s="20">
        <v>39041</v>
      </c>
      <c r="AM464" s="20" t="s">
        <v>27</v>
      </c>
      <c r="AN464" s="37">
        <f t="shared" si="51"/>
        <v>18140</v>
      </c>
      <c r="AO464" s="37" t="str">
        <f t="shared" si="52"/>
        <v>Columbus, OH</v>
      </c>
      <c r="AP464" s="20" t="s">
        <v>8</v>
      </c>
      <c r="AQ464" s="25"/>
      <c r="AR464" s="25"/>
      <c r="AS464" s="25"/>
      <c r="AT464" s="25"/>
      <c r="AU464" s="36"/>
      <c r="AV464" s="36"/>
      <c r="AW464" s="36"/>
      <c r="AX464" s="25"/>
      <c r="AY464" s="25"/>
      <c r="AZ464" s="25"/>
      <c r="BA464" s="25"/>
      <c r="BB464" s="25"/>
      <c r="BC464" s="25"/>
      <c r="BD464" s="25"/>
      <c r="BE464" s="25"/>
      <c r="BF464" s="25"/>
      <c r="BG464" s="25"/>
      <c r="BH464" s="25"/>
      <c r="BI464" s="25"/>
      <c r="BJ464" s="25"/>
      <c r="BK464" s="25"/>
      <c r="BL464" s="25"/>
      <c r="BM464" s="25"/>
      <c r="BN464" s="25"/>
      <c r="BO464" s="25"/>
      <c r="BP464" s="25"/>
      <c r="BQ464" s="25"/>
      <c r="BR464" s="25"/>
      <c r="BS464" s="25"/>
      <c r="BT464" s="25"/>
      <c r="BU464" s="39">
        <v>43040</v>
      </c>
      <c r="BV464" s="39" t="s">
        <v>761</v>
      </c>
      <c r="BW464" s="39" t="s">
        <v>2882</v>
      </c>
      <c r="BX464" s="39" t="s">
        <v>303</v>
      </c>
      <c r="BY464" s="71">
        <v>1110</v>
      </c>
      <c r="BZ464" s="71">
        <v>1120</v>
      </c>
      <c r="CA464" s="71">
        <v>1430</v>
      </c>
      <c r="CB464" s="71">
        <v>1710</v>
      </c>
      <c r="CC464" s="71">
        <v>1890</v>
      </c>
      <c r="CD464" s="25"/>
      <c r="CE464" s="200"/>
      <c r="CF464" s="200"/>
      <c r="CG464" s="200"/>
      <c r="CH464" s="200"/>
      <c r="CI464" s="200"/>
      <c r="CJ464" s="200"/>
      <c r="CK464" s="200"/>
      <c r="CL464" s="200"/>
      <c r="CM464" s="200"/>
      <c r="CN464" s="200"/>
      <c r="CO464" s="200"/>
      <c r="CP464" s="200"/>
      <c r="CQ464" s="200"/>
      <c r="CR464" s="200"/>
      <c r="CS464" s="200"/>
      <c r="CT464" s="200"/>
      <c r="CU464" s="200"/>
    </row>
    <row r="465" spans="1:99" s="17" customFormat="1" x14ac:dyDescent="0.2">
      <c r="A465" s="25"/>
      <c r="B465" s="20">
        <v>39061001800</v>
      </c>
      <c r="C465" s="20">
        <v>18</v>
      </c>
      <c r="D465" s="20" t="s">
        <v>37</v>
      </c>
      <c r="E465" s="20" t="s">
        <v>2828</v>
      </c>
      <c r="F465" s="20" t="s">
        <v>8</v>
      </c>
      <c r="G465" s="861">
        <v>64.909683603681501</v>
      </c>
      <c r="H465" s="861">
        <v>78.339225436088796</v>
      </c>
      <c r="I465" s="861">
        <v>60.897097339710797</v>
      </c>
      <c r="J465" s="861">
        <v>50.083785175391696</v>
      </c>
      <c r="K465" s="982">
        <v>0</v>
      </c>
      <c r="L465" s="735">
        <v>1632</v>
      </c>
      <c r="M465" s="735">
        <v>1582</v>
      </c>
      <c r="N465" s="845">
        <f t="shared" si="48"/>
        <v>-3.0637254901960783E-2</v>
      </c>
      <c r="O465" s="735">
        <v>0.19836616161145235</v>
      </c>
      <c r="P465" s="735">
        <f t="shared" si="49"/>
        <v>7975.1505354967048</v>
      </c>
      <c r="Q465" s="849">
        <v>34.299999999999997</v>
      </c>
      <c r="R465" s="71">
        <v>71597</v>
      </c>
      <c r="S465" s="845">
        <v>0.26572958500669341</v>
      </c>
      <c r="T465" s="845">
        <v>4.7E-2</v>
      </c>
      <c r="U465" s="845">
        <v>2.4E-2</v>
      </c>
      <c r="V465" s="845">
        <v>0</v>
      </c>
      <c r="W465" s="845">
        <v>0.61391541609822642</v>
      </c>
      <c r="X465" s="845">
        <v>0.35777777777777775</v>
      </c>
      <c r="Y465" s="845">
        <v>0.58786346396965861</v>
      </c>
      <c r="Z465" s="845">
        <v>0.14917825537294563</v>
      </c>
      <c r="AA465" s="845">
        <v>0</v>
      </c>
      <c r="AB465" s="845">
        <v>5.120101137800253E-2</v>
      </c>
      <c r="AC465" s="845">
        <v>0</v>
      </c>
      <c r="AD465" s="845">
        <v>8.2174462705436151E-3</v>
      </c>
      <c r="AE465" s="845">
        <v>0.20353982300884957</v>
      </c>
      <c r="AF465" s="845">
        <v>1.0745891276864728E-2</v>
      </c>
      <c r="AG465" s="845">
        <v>0.58786346396965861</v>
      </c>
      <c r="AH465" s="20" t="str">
        <f t="shared" si="50"/>
        <v>No</v>
      </c>
      <c r="AI465" s="25"/>
      <c r="AJ465" s="20">
        <v>43342</v>
      </c>
      <c r="AK465" s="20" t="s">
        <v>892</v>
      </c>
      <c r="AL465" s="20">
        <v>39041</v>
      </c>
      <c r="AM465" s="20" t="s">
        <v>27</v>
      </c>
      <c r="AN465" s="37">
        <f t="shared" si="51"/>
        <v>18140</v>
      </c>
      <c r="AO465" s="37" t="str">
        <f t="shared" si="52"/>
        <v>Columbus, OH</v>
      </c>
      <c r="AP465" s="20" t="s">
        <v>8</v>
      </c>
      <c r="AQ465" s="25"/>
      <c r="AR465" s="25"/>
      <c r="AS465" s="25"/>
      <c r="AT465" s="25"/>
      <c r="AU465" s="36"/>
      <c r="AV465" s="36"/>
      <c r="AW465" s="36"/>
      <c r="AX465" s="25"/>
      <c r="AY465" s="25"/>
      <c r="AZ465" s="25"/>
      <c r="BA465" s="25"/>
      <c r="BB465" s="25"/>
      <c r="BC465" s="25"/>
      <c r="BD465" s="25"/>
      <c r="BE465" s="25"/>
      <c r="BF465" s="25"/>
      <c r="BG465" s="25"/>
      <c r="BH465" s="25"/>
      <c r="BI465" s="25"/>
      <c r="BJ465" s="25"/>
      <c r="BK465" s="25"/>
      <c r="BL465" s="25"/>
      <c r="BM465" s="25"/>
      <c r="BN465" s="25"/>
      <c r="BO465" s="25"/>
      <c r="BP465" s="25"/>
      <c r="BQ465" s="25"/>
      <c r="BR465" s="25"/>
      <c r="BS465" s="25"/>
      <c r="BT465" s="25"/>
      <c r="BU465" s="39">
        <v>43044</v>
      </c>
      <c r="BV465" s="39" t="s">
        <v>762</v>
      </c>
      <c r="BW465" s="39" t="s">
        <v>2882</v>
      </c>
      <c r="BX465" s="39" t="s">
        <v>303</v>
      </c>
      <c r="BY465" s="71">
        <v>800</v>
      </c>
      <c r="BZ465" s="71">
        <v>870</v>
      </c>
      <c r="CA465" s="71">
        <v>1070</v>
      </c>
      <c r="CB465" s="71">
        <v>1330</v>
      </c>
      <c r="CC465" s="71">
        <v>1480</v>
      </c>
      <c r="CD465" s="25"/>
      <c r="CE465" s="200"/>
      <c r="CF465" s="200"/>
      <c r="CG465" s="200"/>
      <c r="CH465" s="200"/>
      <c r="CI465" s="200"/>
      <c r="CJ465" s="200"/>
      <c r="CK465" s="200"/>
      <c r="CL465" s="200"/>
      <c r="CM465" s="200"/>
      <c r="CN465" s="200"/>
      <c r="CO465" s="200"/>
      <c r="CP465" s="200"/>
      <c r="CQ465" s="200"/>
      <c r="CR465" s="200"/>
      <c r="CS465" s="200"/>
      <c r="CT465" s="200"/>
      <c r="CU465" s="200"/>
    </row>
    <row r="466" spans="1:99" s="17" customFormat="1" x14ac:dyDescent="0.2">
      <c r="A466" s="25"/>
      <c r="B466" s="20">
        <v>39165030501</v>
      </c>
      <c r="C466" s="20">
        <v>305.01</v>
      </c>
      <c r="D466" s="20" t="s">
        <v>88</v>
      </c>
      <c r="E466" s="20" t="s">
        <v>2828</v>
      </c>
      <c r="F466" s="20" t="s">
        <v>8</v>
      </c>
      <c r="G466" s="861">
        <v>64.887882537759893</v>
      </c>
      <c r="H466" s="861">
        <v>56.887555838337001</v>
      </c>
      <c r="I466" s="861">
        <v>37.265207358486002</v>
      </c>
      <c r="J466" s="861">
        <v>54.3893597248261</v>
      </c>
      <c r="K466" s="982">
        <v>2</v>
      </c>
      <c r="L466" s="735">
        <v>3770</v>
      </c>
      <c r="M466" s="735">
        <v>3659</v>
      </c>
      <c r="N466" s="845">
        <f t="shared" si="48"/>
        <v>-2.9442970822281166E-2</v>
      </c>
      <c r="O466" s="735">
        <v>5.6445328623535653</v>
      </c>
      <c r="P466" s="735">
        <f t="shared" si="49"/>
        <v>648.23787711536681</v>
      </c>
      <c r="Q466" s="849">
        <v>38.9</v>
      </c>
      <c r="R466" s="71">
        <v>62366</v>
      </c>
      <c r="S466" s="845">
        <v>0.16731843575418995</v>
      </c>
      <c r="T466" s="845">
        <v>0.01</v>
      </c>
      <c r="U466" s="845">
        <v>0</v>
      </c>
      <c r="V466" s="845">
        <v>4.5999999999999999E-2</v>
      </c>
      <c r="W466" s="845">
        <v>0.51255940257976917</v>
      </c>
      <c r="X466" s="845">
        <v>0.40397350993377484</v>
      </c>
      <c r="Y466" s="845">
        <v>0.79803224924842853</v>
      </c>
      <c r="Z466" s="845">
        <v>1.9950806231210712E-2</v>
      </c>
      <c r="AA466" s="845">
        <v>0</v>
      </c>
      <c r="AB466" s="845">
        <v>2.787646898059579E-2</v>
      </c>
      <c r="AC466" s="845">
        <v>0</v>
      </c>
      <c r="AD466" s="845">
        <v>8.5815796665755673E-2</v>
      </c>
      <c r="AE466" s="845">
        <v>6.8324678874009295E-2</v>
      </c>
      <c r="AF466" s="845">
        <v>0.10084722601803771</v>
      </c>
      <c r="AG466" s="845">
        <v>0.79338617108499587</v>
      </c>
      <c r="AH466" s="20" t="str">
        <f t="shared" si="50"/>
        <v>No</v>
      </c>
      <c r="AI466" s="25"/>
      <c r="AJ466" s="20">
        <v>43344</v>
      </c>
      <c r="AK466" s="20" t="s">
        <v>894</v>
      </c>
      <c r="AL466" s="20">
        <v>39041</v>
      </c>
      <c r="AM466" s="20" t="s">
        <v>27</v>
      </c>
      <c r="AN466" s="37">
        <f t="shared" si="51"/>
        <v>18140</v>
      </c>
      <c r="AO466" s="37" t="str">
        <f t="shared" si="52"/>
        <v>Columbus, OH</v>
      </c>
      <c r="AP466" s="20" t="s">
        <v>8</v>
      </c>
      <c r="AQ466" s="25"/>
      <c r="AR466" s="25"/>
      <c r="AS466" s="25"/>
      <c r="AT466" s="25"/>
      <c r="AU466" s="36"/>
      <c r="AV466" s="36"/>
      <c r="AW466" s="36"/>
      <c r="AX466" s="25"/>
      <c r="AY466" s="25"/>
      <c r="AZ466" s="25"/>
      <c r="BA466" s="25"/>
      <c r="BB466" s="25"/>
      <c r="BC466" s="25"/>
      <c r="BD466" s="25"/>
      <c r="BE466" s="25"/>
      <c r="BF466" s="25"/>
      <c r="BG466" s="25"/>
      <c r="BH466" s="25"/>
      <c r="BI466" s="25"/>
      <c r="BJ466" s="25"/>
      <c r="BK466" s="25"/>
      <c r="BL466" s="25"/>
      <c r="BM466" s="25"/>
      <c r="BN466" s="25"/>
      <c r="BO466" s="25"/>
      <c r="BP466" s="25"/>
      <c r="BQ466" s="25"/>
      <c r="BR466" s="25"/>
      <c r="BS466" s="25"/>
      <c r="BT466" s="25"/>
      <c r="BU466" s="39">
        <v>43046</v>
      </c>
      <c r="BV466" s="39" t="s">
        <v>764</v>
      </c>
      <c r="BW466" s="39" t="s">
        <v>2882</v>
      </c>
      <c r="BX466" s="39" t="s">
        <v>303</v>
      </c>
      <c r="BY466" s="71">
        <v>980</v>
      </c>
      <c r="BZ466" s="71">
        <v>1050</v>
      </c>
      <c r="CA466" s="71">
        <v>1260</v>
      </c>
      <c r="CB466" s="71">
        <v>1510</v>
      </c>
      <c r="CC466" s="71">
        <v>1700</v>
      </c>
      <c r="CD466" s="25"/>
      <c r="CE466" s="200"/>
      <c r="CF466" s="200"/>
      <c r="CG466" s="200"/>
      <c r="CH466" s="200"/>
      <c r="CI466" s="200"/>
      <c r="CJ466" s="200"/>
      <c r="CK466" s="200"/>
      <c r="CL466" s="200"/>
      <c r="CM466" s="200"/>
      <c r="CN466" s="200"/>
      <c r="CO466" s="200"/>
      <c r="CP466" s="200"/>
      <c r="CQ466" s="200"/>
      <c r="CR466" s="200"/>
      <c r="CS466" s="200"/>
      <c r="CT466" s="200"/>
      <c r="CU466" s="200"/>
    </row>
    <row r="467" spans="1:99" s="17" customFormat="1" x14ac:dyDescent="0.2">
      <c r="A467" s="25"/>
      <c r="B467" s="20">
        <v>39113050106</v>
      </c>
      <c r="C467" s="20">
        <v>501.06</v>
      </c>
      <c r="D467" s="20" t="s">
        <v>62</v>
      </c>
      <c r="E467" s="20" t="s">
        <v>2833</v>
      </c>
      <c r="F467" s="20" t="s">
        <v>8</v>
      </c>
      <c r="G467" s="861">
        <v>64.879991634652797</v>
      </c>
      <c r="H467" s="861">
        <v>76.304456568415503</v>
      </c>
      <c r="I467" s="861">
        <v>19.647241761972701</v>
      </c>
      <c r="J467" s="861">
        <v>60.080499084963499</v>
      </c>
      <c r="K467" s="982">
        <v>0</v>
      </c>
      <c r="L467" s="735" t="s">
        <v>2466</v>
      </c>
      <c r="M467" s="735">
        <v>5950</v>
      </c>
      <c r="N467" s="845" t="str">
        <f t="shared" si="48"/>
        <v/>
      </c>
      <c r="O467" s="735">
        <v>2.8625606316007377</v>
      </c>
      <c r="P467" s="735">
        <f t="shared" si="49"/>
        <v>2078.5585934201758</v>
      </c>
      <c r="Q467" s="849">
        <v>32.700000000000003</v>
      </c>
      <c r="R467" s="71">
        <v>111484</v>
      </c>
      <c r="S467" s="845">
        <v>2.9747899159663867E-2</v>
      </c>
      <c r="T467" s="845">
        <v>3.5000000000000003E-2</v>
      </c>
      <c r="U467" s="845">
        <v>0</v>
      </c>
      <c r="V467" s="845">
        <v>0.16399999999999998</v>
      </c>
      <c r="W467" s="845">
        <v>0.32021229544449359</v>
      </c>
      <c r="X467" s="845">
        <v>0.19889502762430938</v>
      </c>
      <c r="Y467" s="845">
        <v>0.81159663865546217</v>
      </c>
      <c r="Z467" s="845">
        <v>8.4537815126050422E-2</v>
      </c>
      <c r="AA467" s="845">
        <v>0</v>
      </c>
      <c r="AB467" s="845">
        <v>7.109243697478991E-2</v>
      </c>
      <c r="AC467" s="845">
        <v>0</v>
      </c>
      <c r="AD467" s="845">
        <v>2.0504201680672268E-2</v>
      </c>
      <c r="AE467" s="845">
        <v>1.2268907563025211E-2</v>
      </c>
      <c r="AF467" s="845">
        <v>1.1932773109243698E-2</v>
      </c>
      <c r="AG467" s="845">
        <v>0.80890756302521005</v>
      </c>
      <c r="AH467" s="20" t="str">
        <f t="shared" si="50"/>
        <v>No</v>
      </c>
      <c r="AI467" s="25"/>
      <c r="AJ467" s="20">
        <v>43356</v>
      </c>
      <c r="AK467" s="20" t="s">
        <v>901</v>
      </c>
      <c r="AL467" s="20">
        <v>39041</v>
      </c>
      <c r="AM467" s="20" t="s">
        <v>27</v>
      </c>
      <c r="AN467" s="37">
        <f t="shared" si="51"/>
        <v>18140</v>
      </c>
      <c r="AO467" s="37" t="str">
        <f t="shared" si="52"/>
        <v>Columbus, OH</v>
      </c>
      <c r="AP467" s="20" t="s">
        <v>8</v>
      </c>
      <c r="AQ467" s="25"/>
      <c r="AR467" s="25"/>
      <c r="AS467" s="25"/>
      <c r="AT467" s="25"/>
      <c r="AU467" s="36"/>
      <c r="AV467" s="36"/>
      <c r="AW467" s="36"/>
      <c r="AX467" s="25"/>
      <c r="AY467" s="25"/>
      <c r="AZ467" s="25"/>
      <c r="BA467" s="25"/>
      <c r="BB467" s="25"/>
      <c r="BC467" s="25"/>
      <c r="BD467" s="25"/>
      <c r="BE467" s="25"/>
      <c r="BF467" s="25"/>
      <c r="BG467" s="25"/>
      <c r="BH467" s="25"/>
      <c r="BI467" s="25"/>
      <c r="BJ467" s="25"/>
      <c r="BK467" s="25"/>
      <c r="BL467" s="25"/>
      <c r="BM467" s="25"/>
      <c r="BN467" s="25"/>
      <c r="BO467" s="25"/>
      <c r="BP467" s="25"/>
      <c r="BQ467" s="25"/>
      <c r="BR467" s="25"/>
      <c r="BS467" s="25"/>
      <c r="BT467" s="25"/>
      <c r="BU467" s="39">
        <v>43050</v>
      </c>
      <c r="BV467" s="39" t="s">
        <v>766</v>
      </c>
      <c r="BW467" s="39" t="s">
        <v>2882</v>
      </c>
      <c r="BX467" s="39" t="s">
        <v>303</v>
      </c>
      <c r="BY467" s="71">
        <v>810</v>
      </c>
      <c r="BZ467" s="71">
        <v>870</v>
      </c>
      <c r="CA467" s="71">
        <v>1070</v>
      </c>
      <c r="CB467" s="71">
        <v>1380</v>
      </c>
      <c r="CC467" s="71">
        <v>1430</v>
      </c>
      <c r="CD467" s="25"/>
      <c r="CE467" s="200"/>
      <c r="CF467" s="200"/>
      <c r="CG467" s="200"/>
      <c r="CH467" s="200"/>
      <c r="CI467" s="200"/>
      <c r="CJ467" s="200"/>
      <c r="CK467" s="200"/>
      <c r="CL467" s="200"/>
      <c r="CM467" s="200"/>
      <c r="CN467" s="200"/>
      <c r="CO467" s="200"/>
      <c r="CP467" s="200"/>
      <c r="CQ467" s="200"/>
      <c r="CR467" s="200"/>
      <c r="CS467" s="200"/>
      <c r="CT467" s="200"/>
      <c r="CU467" s="200"/>
    </row>
    <row r="468" spans="1:99" s="17" customFormat="1" x14ac:dyDescent="0.2">
      <c r="A468" s="25"/>
      <c r="B468" s="20">
        <v>39089755301</v>
      </c>
      <c r="C468" s="20">
        <v>7553.01</v>
      </c>
      <c r="D468" s="20" t="s">
        <v>50</v>
      </c>
      <c r="E468" s="20" t="s">
        <v>2830</v>
      </c>
      <c r="F468" s="20" t="s">
        <v>8</v>
      </c>
      <c r="G468" s="861">
        <v>64.839066991905298</v>
      </c>
      <c r="H468" s="861">
        <v>67.387730762549495</v>
      </c>
      <c r="I468" s="861">
        <v>22.339555034584599</v>
      </c>
      <c r="J468" s="861">
        <v>66.027750000352199</v>
      </c>
      <c r="K468" s="982">
        <v>0</v>
      </c>
      <c r="L468" s="735" t="s">
        <v>2466</v>
      </c>
      <c r="M468" s="735">
        <v>3282</v>
      </c>
      <c r="N468" s="845" t="str">
        <f t="shared" si="48"/>
        <v/>
      </c>
      <c r="O468" s="735">
        <v>19.223328017517424</v>
      </c>
      <c r="P468" s="735">
        <f t="shared" si="49"/>
        <v>170.73006281790796</v>
      </c>
      <c r="Q468" s="849">
        <v>42.9</v>
      </c>
      <c r="R468" s="71">
        <v>102734</v>
      </c>
      <c r="S468" s="845">
        <v>4.1438147471054232E-2</v>
      </c>
      <c r="T468" s="845">
        <v>0.02</v>
      </c>
      <c r="U468" s="845">
        <v>0</v>
      </c>
      <c r="V468" s="845">
        <v>0</v>
      </c>
      <c r="W468" s="845">
        <v>0.20377084844089921</v>
      </c>
      <c r="X468" s="845">
        <v>0.37722419928825623</v>
      </c>
      <c r="Y468" s="845">
        <v>0.93296770262035345</v>
      </c>
      <c r="Z468" s="845">
        <v>3.9609993906154781E-3</v>
      </c>
      <c r="AA468" s="845">
        <v>0</v>
      </c>
      <c r="AB468" s="845">
        <v>9.1407678244972577E-4</v>
      </c>
      <c r="AC468" s="845">
        <v>0</v>
      </c>
      <c r="AD468" s="845">
        <v>5.179768433881779E-3</v>
      </c>
      <c r="AE468" s="845">
        <v>5.6977452772699576E-2</v>
      </c>
      <c r="AF468" s="845">
        <v>3.4430225472273007E-2</v>
      </c>
      <c r="AG468" s="845">
        <v>0.92199878123095669</v>
      </c>
      <c r="AH468" s="20" t="str">
        <f t="shared" si="50"/>
        <v>Yes</v>
      </c>
      <c r="AI468" s="25"/>
      <c r="AJ468" s="20">
        <v>43046</v>
      </c>
      <c r="AK468" s="20" t="s">
        <v>764</v>
      </c>
      <c r="AL468" s="20">
        <v>39045</v>
      </c>
      <c r="AM468" s="20" t="s">
        <v>29</v>
      </c>
      <c r="AN468" s="37">
        <f t="shared" si="51"/>
        <v>18140</v>
      </c>
      <c r="AO468" s="37" t="str">
        <f t="shared" si="52"/>
        <v>Columbus, OH</v>
      </c>
      <c r="AP468" s="20" t="s">
        <v>8</v>
      </c>
      <c r="AQ468" s="25"/>
      <c r="AR468" s="25"/>
      <c r="AS468" s="25"/>
      <c r="AT468" s="25"/>
      <c r="AU468" s="36"/>
      <c r="AV468" s="36"/>
      <c r="AW468" s="36"/>
      <c r="AX468" s="25"/>
      <c r="AY468" s="25"/>
      <c r="AZ468" s="25"/>
      <c r="BA468" s="25"/>
      <c r="BB468" s="25"/>
      <c r="BC468" s="25"/>
      <c r="BD468" s="25"/>
      <c r="BE468" s="25"/>
      <c r="BF468" s="25"/>
      <c r="BG468" s="25"/>
      <c r="BH468" s="25"/>
      <c r="BI468" s="25"/>
      <c r="BJ468" s="25"/>
      <c r="BK468" s="25"/>
      <c r="BL468" s="25"/>
      <c r="BM468" s="25"/>
      <c r="BN468" s="25"/>
      <c r="BO468" s="25"/>
      <c r="BP468" s="25"/>
      <c r="BQ468" s="25"/>
      <c r="BR468" s="25"/>
      <c r="BS468" s="25"/>
      <c r="BT468" s="25"/>
      <c r="BU468" s="39">
        <v>43054</v>
      </c>
      <c r="BV468" s="39" t="s">
        <v>767</v>
      </c>
      <c r="BW468" s="39" t="s">
        <v>2882</v>
      </c>
      <c r="BX468" s="39" t="s">
        <v>303</v>
      </c>
      <c r="BY468" s="71">
        <v>1580</v>
      </c>
      <c r="BZ468" s="71">
        <v>1700</v>
      </c>
      <c r="CA468" s="71">
        <v>2040</v>
      </c>
      <c r="CB468" s="71">
        <v>2450</v>
      </c>
      <c r="CC468" s="71">
        <v>2750</v>
      </c>
      <c r="CD468" s="25"/>
      <c r="CE468" s="200"/>
      <c r="CF468" s="200"/>
      <c r="CG468" s="200"/>
      <c r="CH468" s="200"/>
      <c r="CI468" s="200"/>
      <c r="CJ468" s="200"/>
      <c r="CK468" s="200"/>
      <c r="CL468" s="200"/>
      <c r="CM468" s="200"/>
      <c r="CN468" s="200"/>
      <c r="CO468" s="200"/>
      <c r="CP468" s="200"/>
      <c r="CQ468" s="200"/>
      <c r="CR468" s="200"/>
      <c r="CS468" s="200"/>
      <c r="CT468" s="200"/>
      <c r="CU468" s="200"/>
    </row>
    <row r="469" spans="1:99" s="17" customFormat="1" x14ac:dyDescent="0.2">
      <c r="A469" s="25"/>
      <c r="B469" s="20">
        <v>39095008206</v>
      </c>
      <c r="C469" s="20">
        <v>82.06</v>
      </c>
      <c r="D469" s="20" t="s">
        <v>53</v>
      </c>
      <c r="E469" s="20" t="s">
        <v>2839</v>
      </c>
      <c r="F469" s="20" t="s">
        <v>8</v>
      </c>
      <c r="G469" s="861">
        <v>64.8358477003232</v>
      </c>
      <c r="H469" s="861">
        <v>60.831416643551201</v>
      </c>
      <c r="I469" s="861">
        <v>21.741885307590401</v>
      </c>
      <c r="J469" s="861">
        <v>51.910892918432197</v>
      </c>
      <c r="K469" s="982">
        <v>0</v>
      </c>
      <c r="L469" s="735" t="s">
        <v>2466</v>
      </c>
      <c r="M469" s="735">
        <v>3504</v>
      </c>
      <c r="N469" s="845" t="str">
        <f t="shared" si="48"/>
        <v/>
      </c>
      <c r="O469" s="735">
        <v>1.528550260410269</v>
      </c>
      <c r="P469" s="735">
        <f t="shared" si="49"/>
        <v>2292.3681940687461</v>
      </c>
      <c r="Q469" s="849">
        <v>41.8</v>
      </c>
      <c r="R469" s="71">
        <v>141090</v>
      </c>
      <c r="S469" s="845">
        <v>2.254566210045662E-2</v>
      </c>
      <c r="T469" s="845">
        <v>5.2999999999999999E-2</v>
      </c>
      <c r="U469" s="845">
        <v>4.2000000000000003E-2</v>
      </c>
      <c r="V469" s="845">
        <v>0</v>
      </c>
      <c r="W469" s="845">
        <v>0.16420118343195267</v>
      </c>
      <c r="X469" s="845">
        <v>0.37387387387387389</v>
      </c>
      <c r="Y469" s="845">
        <v>0.91267123287671237</v>
      </c>
      <c r="Z469" s="845">
        <v>2.8538812785388126E-4</v>
      </c>
      <c r="AA469" s="845">
        <v>0</v>
      </c>
      <c r="AB469" s="845">
        <v>4.1381278538812787E-2</v>
      </c>
      <c r="AC469" s="845">
        <v>0</v>
      </c>
      <c r="AD469" s="845">
        <v>3.7100456621004564E-3</v>
      </c>
      <c r="AE469" s="845">
        <v>4.1952054794520549E-2</v>
      </c>
      <c r="AF469" s="845">
        <v>9.8173515981735154E-2</v>
      </c>
      <c r="AG469" s="845">
        <v>0.83247716894977164</v>
      </c>
      <c r="AH469" s="20" t="str">
        <f t="shared" si="50"/>
        <v>No</v>
      </c>
      <c r="AI469" s="25"/>
      <c r="AJ469" s="20">
        <v>43062</v>
      </c>
      <c r="AK469" s="20" t="s">
        <v>772</v>
      </c>
      <c r="AL469" s="20">
        <v>39045</v>
      </c>
      <c r="AM469" s="20" t="s">
        <v>29</v>
      </c>
      <c r="AN469" s="37">
        <f t="shared" si="51"/>
        <v>18140</v>
      </c>
      <c r="AO469" s="37" t="str">
        <f t="shared" si="52"/>
        <v>Columbus, OH</v>
      </c>
      <c r="AP469" s="20" t="s">
        <v>8</v>
      </c>
      <c r="AQ469" s="25"/>
      <c r="AR469" s="25"/>
      <c r="AS469" s="25"/>
      <c r="AT469" s="25"/>
      <c r="AU469" s="36"/>
      <c r="AV469" s="36"/>
      <c r="AW469" s="36"/>
      <c r="AX469" s="25"/>
      <c r="AY469" s="25"/>
      <c r="AZ469" s="25"/>
      <c r="BA469" s="25"/>
      <c r="BB469" s="25"/>
      <c r="BC469" s="25"/>
      <c r="BD469" s="25"/>
      <c r="BE469" s="25"/>
      <c r="BF469" s="25"/>
      <c r="BG469" s="25"/>
      <c r="BH469" s="25"/>
      <c r="BI469" s="25"/>
      <c r="BJ469" s="25"/>
      <c r="BK469" s="25"/>
      <c r="BL469" s="25"/>
      <c r="BM469" s="25"/>
      <c r="BN469" s="25"/>
      <c r="BO469" s="25"/>
      <c r="BP469" s="25"/>
      <c r="BQ469" s="25"/>
      <c r="BR469" s="25"/>
      <c r="BS469" s="25"/>
      <c r="BT469" s="25"/>
      <c r="BU469" s="39">
        <v>43055</v>
      </c>
      <c r="BV469" s="39" t="s">
        <v>768</v>
      </c>
      <c r="BW469" s="39" t="s">
        <v>2882</v>
      </c>
      <c r="BX469" s="39" t="s">
        <v>303</v>
      </c>
      <c r="BY469" s="71">
        <v>870</v>
      </c>
      <c r="BZ469" s="71">
        <v>930</v>
      </c>
      <c r="CA469" s="71">
        <v>1120</v>
      </c>
      <c r="CB469" s="71">
        <v>1340</v>
      </c>
      <c r="CC469" s="71">
        <v>1510</v>
      </c>
      <c r="CD469" s="25"/>
      <c r="CE469" s="200"/>
      <c r="CF469" s="200"/>
      <c r="CG469" s="200"/>
      <c r="CH469" s="200"/>
      <c r="CI469" s="200"/>
      <c r="CJ469" s="200"/>
      <c r="CK469" s="200"/>
      <c r="CL469" s="200"/>
      <c r="CM469" s="200"/>
      <c r="CN469" s="200"/>
      <c r="CO469" s="200"/>
      <c r="CP469" s="200"/>
      <c r="CQ469" s="200"/>
      <c r="CR469" s="200"/>
      <c r="CS469" s="200"/>
      <c r="CT469" s="200"/>
      <c r="CU469" s="200"/>
    </row>
    <row r="470" spans="1:99" s="17" customFormat="1" x14ac:dyDescent="0.2">
      <c r="A470" s="25"/>
      <c r="B470" s="20">
        <v>39049010900</v>
      </c>
      <c r="C470" s="20">
        <v>109</v>
      </c>
      <c r="D470" s="20" t="s">
        <v>31</v>
      </c>
      <c r="E470" s="20" t="s">
        <v>2830</v>
      </c>
      <c r="F470" s="20" t="s">
        <v>8</v>
      </c>
      <c r="G470" s="861">
        <v>64.821223759054902</v>
      </c>
      <c r="H470" s="861">
        <v>62.296467471152098</v>
      </c>
      <c r="I470" s="861">
        <v>34.273033333572798</v>
      </c>
      <c r="J470" s="861">
        <v>38.993023081860997</v>
      </c>
      <c r="K470" s="982">
        <v>0</v>
      </c>
      <c r="L470" s="735" t="s">
        <v>2466</v>
      </c>
      <c r="M470" s="735">
        <v>4945</v>
      </c>
      <c r="N470" s="845" t="str">
        <f t="shared" si="48"/>
        <v/>
      </c>
      <c r="O470" s="735">
        <v>1.6975224646880716</v>
      </c>
      <c r="P470" s="735">
        <f t="shared" si="49"/>
        <v>2913.0689595372564</v>
      </c>
      <c r="Q470" s="849">
        <v>42.5</v>
      </c>
      <c r="R470" s="71">
        <v>72123</v>
      </c>
      <c r="S470" s="845">
        <v>3.6184210526315791E-2</v>
      </c>
      <c r="T470" s="845">
        <v>3.3000000000000002E-2</v>
      </c>
      <c r="U470" s="845">
        <v>0</v>
      </c>
      <c r="V470" s="845">
        <v>8.4000000000000005E-2</v>
      </c>
      <c r="W470" s="845">
        <v>0.49220489977728288</v>
      </c>
      <c r="X470" s="845">
        <v>0.45882352941176469</v>
      </c>
      <c r="Y470" s="845">
        <v>0.64550050556117289</v>
      </c>
      <c r="Z470" s="845">
        <v>0.13286147623862488</v>
      </c>
      <c r="AA470" s="845">
        <v>0</v>
      </c>
      <c r="AB470" s="845">
        <v>6.4914054600606674E-2</v>
      </c>
      <c r="AC470" s="845">
        <v>0</v>
      </c>
      <c r="AD470" s="845">
        <v>8.2507583417593525E-2</v>
      </c>
      <c r="AE470" s="845">
        <v>7.4216380182002023E-2</v>
      </c>
      <c r="AF470" s="845">
        <v>0.1365015166835187</v>
      </c>
      <c r="AG470" s="845">
        <v>0.61577350859453994</v>
      </c>
      <c r="AH470" s="20" t="str">
        <f t="shared" si="50"/>
        <v>No</v>
      </c>
      <c r="AI470" s="25"/>
      <c r="AJ470" s="20">
        <v>43068</v>
      </c>
      <c r="AK470" s="20" t="s">
        <v>777</v>
      </c>
      <c r="AL470" s="20">
        <v>39045</v>
      </c>
      <c r="AM470" s="20" t="s">
        <v>29</v>
      </c>
      <c r="AN470" s="37">
        <f t="shared" si="51"/>
        <v>18140</v>
      </c>
      <c r="AO470" s="37" t="str">
        <f t="shared" si="52"/>
        <v>Columbus, OH</v>
      </c>
      <c r="AP470" s="20" t="s">
        <v>8</v>
      </c>
      <c r="AQ470" s="25"/>
      <c r="AR470" s="25"/>
      <c r="AS470" s="25"/>
      <c r="AT470" s="25"/>
      <c r="AU470" s="36"/>
      <c r="AV470" s="36"/>
      <c r="AW470" s="36"/>
      <c r="AX470" s="25"/>
      <c r="AY470" s="25"/>
      <c r="AZ470" s="25"/>
      <c r="BA470" s="25"/>
      <c r="BB470" s="25"/>
      <c r="BC470" s="25"/>
      <c r="BD470" s="25"/>
      <c r="BE470" s="25"/>
      <c r="BF470" s="25"/>
      <c r="BG470" s="25"/>
      <c r="BH470" s="25"/>
      <c r="BI470" s="25"/>
      <c r="BJ470" s="25"/>
      <c r="BK470" s="25"/>
      <c r="BL470" s="25"/>
      <c r="BM470" s="25"/>
      <c r="BN470" s="25"/>
      <c r="BO470" s="25"/>
      <c r="BP470" s="25"/>
      <c r="BQ470" s="25"/>
      <c r="BR470" s="25"/>
      <c r="BS470" s="25"/>
      <c r="BT470" s="25"/>
      <c r="BU470" s="39">
        <v>43056</v>
      </c>
      <c r="BV470" s="39" t="s">
        <v>769</v>
      </c>
      <c r="BW470" s="39" t="s">
        <v>2882</v>
      </c>
      <c r="BX470" s="39" t="s">
        <v>303</v>
      </c>
      <c r="BY470" s="71">
        <v>1020</v>
      </c>
      <c r="BZ470" s="71">
        <v>1090</v>
      </c>
      <c r="CA470" s="71">
        <v>1310</v>
      </c>
      <c r="CB470" s="71">
        <v>1570</v>
      </c>
      <c r="CC470" s="71">
        <v>1770</v>
      </c>
      <c r="CD470" s="25"/>
      <c r="CE470" s="200"/>
      <c r="CF470" s="200"/>
      <c r="CG470" s="200"/>
      <c r="CH470" s="200"/>
      <c r="CI470" s="200"/>
      <c r="CJ470" s="200"/>
      <c r="CK470" s="200"/>
      <c r="CL470" s="200"/>
      <c r="CM470" s="200"/>
      <c r="CN470" s="200"/>
      <c r="CO470" s="200"/>
      <c r="CP470" s="200"/>
      <c r="CQ470" s="200"/>
      <c r="CR470" s="200"/>
      <c r="CS470" s="200"/>
      <c r="CT470" s="200"/>
      <c r="CU470" s="200"/>
    </row>
    <row r="471" spans="1:99" s="17" customFormat="1" x14ac:dyDescent="0.2">
      <c r="A471" s="25"/>
      <c r="B471" s="20">
        <v>39095006400</v>
      </c>
      <c r="C471" s="20">
        <v>64</v>
      </c>
      <c r="D471" s="20" t="s">
        <v>53</v>
      </c>
      <c r="E471" s="20" t="s">
        <v>2839</v>
      </c>
      <c r="F471" s="20" t="s">
        <v>8</v>
      </c>
      <c r="G471" s="861">
        <v>64.664692796400502</v>
      </c>
      <c r="H471" s="861">
        <v>86.880441899344405</v>
      </c>
      <c r="I471" s="861">
        <v>14.8636554173608</v>
      </c>
      <c r="J471" s="861">
        <v>45.172424327493196</v>
      </c>
      <c r="K471" s="982">
        <v>0</v>
      </c>
      <c r="L471" s="735">
        <v>2249</v>
      </c>
      <c r="M471" s="735">
        <v>2576</v>
      </c>
      <c r="N471" s="845">
        <f t="shared" si="48"/>
        <v>0.14539795464650956</v>
      </c>
      <c r="O471" s="735">
        <v>0.33909808180547979</v>
      </c>
      <c r="P471" s="735">
        <f t="shared" si="49"/>
        <v>7596.6221521645075</v>
      </c>
      <c r="Q471" s="849">
        <v>34.799999999999997</v>
      </c>
      <c r="R471" s="71">
        <v>88263</v>
      </c>
      <c r="S471" s="845">
        <v>4.4123389301054278E-2</v>
      </c>
      <c r="T471" s="845">
        <v>1.8000000000000002E-2</v>
      </c>
      <c r="U471" s="845">
        <v>0</v>
      </c>
      <c r="V471" s="845">
        <v>0</v>
      </c>
      <c r="W471" s="845">
        <v>0.18101933216168717</v>
      </c>
      <c r="X471" s="845">
        <v>4.3689320388349516E-2</v>
      </c>
      <c r="Y471" s="845">
        <v>0.77639751552795033</v>
      </c>
      <c r="Z471" s="845">
        <v>8.8121118012422367E-2</v>
      </c>
      <c r="AA471" s="845">
        <v>3.4937888198757765E-3</v>
      </c>
      <c r="AB471" s="845">
        <v>8.5403726708074539E-3</v>
      </c>
      <c r="AC471" s="845">
        <v>0</v>
      </c>
      <c r="AD471" s="845">
        <v>3.4937888198757765E-3</v>
      </c>
      <c r="AE471" s="845">
        <v>0.11995341614906832</v>
      </c>
      <c r="AF471" s="845">
        <v>3.4937888198757761E-2</v>
      </c>
      <c r="AG471" s="845">
        <v>0.76552795031055898</v>
      </c>
      <c r="AH471" s="20" t="str">
        <f t="shared" si="50"/>
        <v>No</v>
      </c>
      <c r="AI471" s="25"/>
      <c r="AJ471" s="37">
        <v>43076</v>
      </c>
      <c r="AK471" s="37" t="s">
        <v>782</v>
      </c>
      <c r="AL471" s="37">
        <v>39045</v>
      </c>
      <c r="AM471" s="37" t="s">
        <v>29</v>
      </c>
      <c r="AN471" s="37">
        <f t="shared" si="51"/>
        <v>18140</v>
      </c>
      <c r="AO471" s="37" t="str">
        <f t="shared" si="52"/>
        <v>Columbus, OH</v>
      </c>
      <c r="AP471" s="20" t="s">
        <v>8</v>
      </c>
      <c r="AQ471" s="25"/>
      <c r="AR471" s="25"/>
      <c r="AS471" s="25"/>
      <c r="AT471" s="25"/>
      <c r="AU471" s="36"/>
      <c r="AV471" s="36"/>
      <c r="AW471" s="36"/>
      <c r="AX471" s="25"/>
      <c r="AY471" s="25"/>
      <c r="AZ471" s="25"/>
      <c r="BA471" s="25"/>
      <c r="BB471" s="25"/>
      <c r="BC471" s="25"/>
      <c r="BD471" s="25"/>
      <c r="BE471" s="25"/>
      <c r="BF471" s="25"/>
      <c r="BG471" s="25"/>
      <c r="BH471" s="25"/>
      <c r="BI471" s="25"/>
      <c r="BJ471" s="25"/>
      <c r="BK471" s="25"/>
      <c r="BL471" s="25"/>
      <c r="BM471" s="25"/>
      <c r="BN471" s="25"/>
      <c r="BO471" s="25"/>
      <c r="BP471" s="25"/>
      <c r="BQ471" s="25"/>
      <c r="BR471" s="25"/>
      <c r="BS471" s="25"/>
      <c r="BT471" s="25"/>
      <c r="BU471" s="39">
        <v>43061</v>
      </c>
      <c r="BV471" s="39" t="s">
        <v>771</v>
      </c>
      <c r="BW471" s="39" t="s">
        <v>2882</v>
      </c>
      <c r="BX471" s="39" t="s">
        <v>303</v>
      </c>
      <c r="BY471" s="71">
        <v>1100</v>
      </c>
      <c r="BZ471" s="71">
        <v>1140</v>
      </c>
      <c r="CA471" s="71">
        <v>1410</v>
      </c>
      <c r="CB471" s="71">
        <v>1680</v>
      </c>
      <c r="CC471" s="71">
        <v>1880</v>
      </c>
      <c r="CD471" s="25"/>
      <c r="CE471" s="200"/>
      <c r="CF471" s="200"/>
      <c r="CG471" s="200"/>
      <c r="CH471" s="200"/>
      <c r="CI471" s="200"/>
      <c r="CJ471" s="200"/>
      <c r="CK471" s="200"/>
      <c r="CL471" s="200"/>
      <c r="CM471" s="200"/>
      <c r="CN471" s="200"/>
      <c r="CO471" s="200"/>
      <c r="CP471" s="200"/>
      <c r="CQ471" s="200"/>
      <c r="CR471" s="200"/>
      <c r="CS471" s="200"/>
      <c r="CT471" s="200"/>
      <c r="CU471" s="200"/>
    </row>
    <row r="472" spans="1:99" s="17" customFormat="1" x14ac:dyDescent="0.2">
      <c r="A472" s="25"/>
      <c r="B472" s="20">
        <v>39151711322</v>
      </c>
      <c r="C472" s="20">
        <v>7113.22</v>
      </c>
      <c r="D472" s="20" t="s">
        <v>81</v>
      </c>
      <c r="E472" s="20" t="s">
        <v>2844</v>
      </c>
      <c r="F472" s="20" t="s">
        <v>8</v>
      </c>
      <c r="G472" s="861">
        <v>64.634530290539999</v>
      </c>
      <c r="H472" s="861">
        <v>42.982014565103398</v>
      </c>
      <c r="I472" s="861">
        <v>34.011077124043503</v>
      </c>
      <c r="J472" s="861">
        <v>27.048754559844902</v>
      </c>
      <c r="K472" s="982">
        <v>1</v>
      </c>
      <c r="L472" s="735">
        <v>3278</v>
      </c>
      <c r="M472" s="735">
        <v>3521</v>
      </c>
      <c r="N472" s="845">
        <f t="shared" si="48"/>
        <v>7.4130567419158022E-2</v>
      </c>
      <c r="O472" s="735">
        <v>3.0264440094282907</v>
      </c>
      <c r="P472" s="735">
        <f t="shared" si="49"/>
        <v>1163.4115777562768</v>
      </c>
      <c r="Q472" s="849">
        <v>36.799999999999997</v>
      </c>
      <c r="R472" s="71">
        <v>48622</v>
      </c>
      <c r="S472" s="845">
        <v>0.12701199882938249</v>
      </c>
      <c r="T472" s="845">
        <v>5.2999999999999999E-2</v>
      </c>
      <c r="U472" s="845">
        <v>0</v>
      </c>
      <c r="V472" s="845">
        <v>6.7000000000000004E-2</v>
      </c>
      <c r="W472" s="845">
        <v>0.67344497607655507</v>
      </c>
      <c r="X472" s="845">
        <v>0.34014209591474243</v>
      </c>
      <c r="Y472" s="845">
        <v>0.84521442771939792</v>
      </c>
      <c r="Z472" s="845">
        <v>6.5038341380289688E-2</v>
      </c>
      <c r="AA472" s="845">
        <v>0</v>
      </c>
      <c r="AB472" s="845">
        <v>3.0673104231752343E-2</v>
      </c>
      <c r="AC472" s="845">
        <v>1.7040613462084636E-3</v>
      </c>
      <c r="AD472" s="845">
        <v>1.1644419199091167E-2</v>
      </c>
      <c r="AE472" s="845">
        <v>4.5725646123260438E-2</v>
      </c>
      <c r="AF472" s="845">
        <v>3.0673104231752343E-2</v>
      </c>
      <c r="AG472" s="845">
        <v>0.83044589605225783</v>
      </c>
      <c r="AH472" s="20" t="str">
        <f t="shared" si="50"/>
        <v>No</v>
      </c>
      <c r="AI472" s="25"/>
      <c r="AJ472" s="20">
        <v>43102</v>
      </c>
      <c r="AK472" s="20" t="s">
        <v>791</v>
      </c>
      <c r="AL472" s="20">
        <v>39045</v>
      </c>
      <c r="AM472" s="20" t="s">
        <v>29</v>
      </c>
      <c r="AN472" s="37">
        <f t="shared" si="51"/>
        <v>18140</v>
      </c>
      <c r="AO472" s="37" t="str">
        <f t="shared" si="52"/>
        <v>Columbus, OH</v>
      </c>
      <c r="AP472" s="20" t="s">
        <v>8</v>
      </c>
      <c r="AQ472" s="25"/>
      <c r="AR472" s="25"/>
      <c r="AS472" s="25"/>
      <c r="AT472" s="25"/>
      <c r="AU472" s="36"/>
      <c r="AV472" s="36"/>
      <c r="AW472" s="36"/>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39">
        <v>43062</v>
      </c>
      <c r="BV472" s="39" t="s">
        <v>772</v>
      </c>
      <c r="BW472" s="39" t="s">
        <v>2882</v>
      </c>
      <c r="BX472" s="39" t="s">
        <v>303</v>
      </c>
      <c r="BY472" s="71">
        <v>1200</v>
      </c>
      <c r="BZ472" s="71">
        <v>1290</v>
      </c>
      <c r="CA472" s="71">
        <v>1550</v>
      </c>
      <c r="CB472" s="71">
        <v>1860</v>
      </c>
      <c r="CC472" s="71">
        <v>2090</v>
      </c>
      <c r="CD472" s="25"/>
      <c r="CE472" s="200"/>
      <c r="CF472" s="200"/>
      <c r="CG472" s="200"/>
      <c r="CH472" s="200"/>
      <c r="CI472" s="200"/>
      <c r="CJ472" s="200"/>
      <c r="CK472" s="200"/>
      <c r="CL472" s="200"/>
      <c r="CM472" s="200"/>
      <c r="CN472" s="200"/>
      <c r="CO472" s="200"/>
      <c r="CP472" s="200"/>
      <c r="CQ472" s="200"/>
      <c r="CR472" s="200"/>
      <c r="CS472" s="200"/>
      <c r="CT472" s="200"/>
      <c r="CU472" s="200"/>
    </row>
    <row r="473" spans="1:99" s="17" customFormat="1" x14ac:dyDescent="0.2">
      <c r="A473" s="25"/>
      <c r="B473" s="20">
        <v>39061020763</v>
      </c>
      <c r="C473" s="20">
        <v>207.63</v>
      </c>
      <c r="D473" s="20" t="s">
        <v>37</v>
      </c>
      <c r="E473" s="20" t="s">
        <v>2828</v>
      </c>
      <c r="F473" s="20" t="s">
        <v>8</v>
      </c>
      <c r="G473" s="861">
        <v>64.629277304172305</v>
      </c>
      <c r="H473" s="861">
        <v>67.7539174798126</v>
      </c>
      <c r="I473" s="861">
        <v>27.336529910323801</v>
      </c>
      <c r="J473" s="861">
        <v>42.837211242294799</v>
      </c>
      <c r="K473" s="982">
        <v>0</v>
      </c>
      <c r="L473" s="735" t="s">
        <v>2466</v>
      </c>
      <c r="M473" s="735">
        <v>2270</v>
      </c>
      <c r="N473" s="845" t="str">
        <f t="shared" si="48"/>
        <v/>
      </c>
      <c r="O473" s="735">
        <v>0.44008773461126044</v>
      </c>
      <c r="P473" s="735">
        <f t="shared" si="49"/>
        <v>5158.0624077268203</v>
      </c>
      <c r="Q473" s="849">
        <v>33.6</v>
      </c>
      <c r="R473" s="71">
        <v>78162</v>
      </c>
      <c r="S473" s="845">
        <v>6.0792951541850222E-2</v>
      </c>
      <c r="T473" s="845">
        <v>7.2999999999999995E-2</v>
      </c>
      <c r="U473" s="845">
        <v>0</v>
      </c>
      <c r="V473" s="845">
        <v>0</v>
      </c>
      <c r="W473" s="845">
        <v>0.32694355697550587</v>
      </c>
      <c r="X473" s="845">
        <v>0.43648208469055377</v>
      </c>
      <c r="Y473" s="845">
        <v>0.82599118942731276</v>
      </c>
      <c r="Z473" s="845">
        <v>0.10837004405286343</v>
      </c>
      <c r="AA473" s="845">
        <v>0</v>
      </c>
      <c r="AB473" s="845">
        <v>0</v>
      </c>
      <c r="AC473" s="845">
        <v>0</v>
      </c>
      <c r="AD473" s="845">
        <v>0</v>
      </c>
      <c r="AE473" s="845">
        <v>6.5638766519823782E-2</v>
      </c>
      <c r="AF473" s="845">
        <v>1.013215859030837E-2</v>
      </c>
      <c r="AG473" s="845">
        <v>0.82599118942731276</v>
      </c>
      <c r="AH473" s="20" t="str">
        <f t="shared" si="50"/>
        <v>No</v>
      </c>
      <c r="AI473" s="25"/>
      <c r="AJ473" s="37">
        <v>43103</v>
      </c>
      <c r="AK473" s="37" t="s">
        <v>792</v>
      </c>
      <c r="AL473" s="37">
        <v>39045</v>
      </c>
      <c r="AM473" s="37" t="s">
        <v>29</v>
      </c>
      <c r="AN473" s="37">
        <f t="shared" si="51"/>
        <v>18140</v>
      </c>
      <c r="AO473" s="37" t="str">
        <f t="shared" si="52"/>
        <v>Columbus, OH</v>
      </c>
      <c r="AP473" s="20" t="s">
        <v>8</v>
      </c>
      <c r="AQ473" s="25"/>
      <c r="AR473" s="25"/>
      <c r="AS473" s="25"/>
      <c r="AT473" s="25"/>
      <c r="AU473" s="36"/>
      <c r="AV473" s="36"/>
      <c r="AW473" s="36"/>
      <c r="AX473" s="25"/>
      <c r="AY473" s="25"/>
      <c r="AZ473" s="25"/>
      <c r="BA473" s="25"/>
      <c r="BB473" s="25"/>
      <c r="BC473" s="25"/>
      <c r="BD473" s="25"/>
      <c r="BE473" s="25"/>
      <c r="BF473" s="25"/>
      <c r="BG473" s="25"/>
      <c r="BH473" s="25"/>
      <c r="BI473" s="25"/>
      <c r="BJ473" s="25"/>
      <c r="BK473" s="25"/>
      <c r="BL473" s="25"/>
      <c r="BM473" s="25"/>
      <c r="BN473" s="25"/>
      <c r="BO473" s="25"/>
      <c r="BP473" s="25"/>
      <c r="BQ473" s="25"/>
      <c r="BR473" s="25"/>
      <c r="BS473" s="25"/>
      <c r="BT473" s="25"/>
      <c r="BU473" s="39">
        <v>43064</v>
      </c>
      <c r="BV473" s="39" t="s">
        <v>773</v>
      </c>
      <c r="BW473" s="39" t="s">
        <v>2882</v>
      </c>
      <c r="BX473" s="39" t="s">
        <v>303</v>
      </c>
      <c r="BY473" s="71">
        <v>1240</v>
      </c>
      <c r="BZ473" s="71">
        <v>1290</v>
      </c>
      <c r="CA473" s="71">
        <v>1600</v>
      </c>
      <c r="CB473" s="71">
        <v>1920</v>
      </c>
      <c r="CC473" s="71">
        <v>2140</v>
      </c>
      <c r="CD473" s="25"/>
      <c r="CE473" s="200"/>
      <c r="CF473" s="200"/>
      <c r="CG473" s="200"/>
      <c r="CH473" s="200"/>
      <c r="CI473" s="200"/>
      <c r="CJ473" s="200"/>
      <c r="CK473" s="200"/>
      <c r="CL473" s="200"/>
      <c r="CM473" s="200"/>
      <c r="CN473" s="200"/>
      <c r="CO473" s="200"/>
      <c r="CP473" s="200"/>
      <c r="CQ473" s="200"/>
      <c r="CR473" s="200"/>
      <c r="CS473" s="200"/>
      <c r="CT473" s="200"/>
      <c r="CU473" s="200"/>
    </row>
    <row r="474" spans="1:99" s="17" customFormat="1" x14ac:dyDescent="0.2">
      <c r="A474" s="25"/>
      <c r="B474" s="20">
        <v>39165031300</v>
      </c>
      <c r="C474" s="20">
        <v>313</v>
      </c>
      <c r="D474" s="20" t="s">
        <v>88</v>
      </c>
      <c r="E474" s="20" t="s">
        <v>2828</v>
      </c>
      <c r="F474" s="20" t="s">
        <v>8</v>
      </c>
      <c r="G474" s="861">
        <v>64.500386238589499</v>
      </c>
      <c r="H474" s="861">
        <v>67.971291967580797</v>
      </c>
      <c r="I474" s="861">
        <v>25.726589941403301</v>
      </c>
      <c r="J474" s="861">
        <v>39.315017114769802</v>
      </c>
      <c r="K474" s="982">
        <v>0</v>
      </c>
      <c r="L474" s="735">
        <v>4972</v>
      </c>
      <c r="M474" s="735">
        <v>5042</v>
      </c>
      <c r="N474" s="845">
        <f t="shared" si="48"/>
        <v>1.407884151246983E-2</v>
      </c>
      <c r="O474" s="735">
        <v>3.8106097714865572</v>
      </c>
      <c r="P474" s="735">
        <f t="shared" si="49"/>
        <v>1323.1478168474505</v>
      </c>
      <c r="Q474" s="849">
        <v>35.9</v>
      </c>
      <c r="R474" s="71">
        <v>115469</v>
      </c>
      <c r="S474" s="845">
        <v>3.5261824324324322E-2</v>
      </c>
      <c r="T474" s="845">
        <v>2.8999999999999998E-2</v>
      </c>
      <c r="U474" s="845">
        <v>8.0000000000000002E-3</v>
      </c>
      <c r="V474" s="845">
        <v>4.0999999999999995E-2</v>
      </c>
      <c r="W474" s="845">
        <v>0.24638519375361481</v>
      </c>
      <c r="X474" s="845">
        <v>0.54225352112676062</v>
      </c>
      <c r="Y474" s="845">
        <v>0.89765965886552956</v>
      </c>
      <c r="Z474" s="845">
        <v>1.4280047600158666E-2</v>
      </c>
      <c r="AA474" s="845">
        <v>7.3383577945259817E-3</v>
      </c>
      <c r="AB474" s="845">
        <v>4.4823482744942481E-2</v>
      </c>
      <c r="AC474" s="845">
        <v>0</v>
      </c>
      <c r="AD474" s="845">
        <v>8.1316937723125739E-3</v>
      </c>
      <c r="AE474" s="845">
        <v>2.7766759222530742E-2</v>
      </c>
      <c r="AF474" s="845">
        <v>2.7568425228084094E-2</v>
      </c>
      <c r="AG474" s="845">
        <v>0.88080126933756442</v>
      </c>
      <c r="AH474" s="20" t="str">
        <f t="shared" si="50"/>
        <v>No</v>
      </c>
      <c r="AI474" s="25"/>
      <c r="AJ474" s="20">
        <v>43105</v>
      </c>
      <c r="AK474" s="20" t="s">
        <v>793</v>
      </c>
      <c r="AL474" s="20">
        <v>39045</v>
      </c>
      <c r="AM474" s="20" t="s">
        <v>29</v>
      </c>
      <c r="AN474" s="37">
        <f t="shared" si="51"/>
        <v>18140</v>
      </c>
      <c r="AO474" s="37" t="str">
        <f t="shared" si="52"/>
        <v>Columbus, OH</v>
      </c>
      <c r="AP474" s="20" t="s">
        <v>8</v>
      </c>
      <c r="AQ474" s="25"/>
      <c r="AR474" s="25"/>
      <c r="AS474" s="25"/>
      <c r="AT474" s="25"/>
      <c r="AU474" s="36"/>
      <c r="AV474" s="36"/>
      <c r="AW474" s="36"/>
      <c r="AX474" s="25"/>
      <c r="AY474" s="25"/>
      <c r="AZ474" s="25"/>
      <c r="BA474" s="25"/>
      <c r="BB474" s="25"/>
      <c r="BC474" s="25"/>
      <c r="BD474" s="25"/>
      <c r="BE474" s="25"/>
      <c r="BF474" s="25"/>
      <c r="BG474" s="25"/>
      <c r="BH474" s="25"/>
      <c r="BI474" s="25"/>
      <c r="BJ474" s="25"/>
      <c r="BK474" s="25"/>
      <c r="BL474" s="25"/>
      <c r="BM474" s="25"/>
      <c r="BN474" s="25"/>
      <c r="BO474" s="25"/>
      <c r="BP474" s="25"/>
      <c r="BQ474" s="25"/>
      <c r="BR474" s="25"/>
      <c r="BS474" s="25"/>
      <c r="BT474" s="25"/>
      <c r="BU474" s="39">
        <v>43065</v>
      </c>
      <c r="BV474" s="39" t="s">
        <v>774</v>
      </c>
      <c r="BW474" s="39" t="s">
        <v>2882</v>
      </c>
      <c r="BX474" s="39" t="s">
        <v>303</v>
      </c>
      <c r="BY474" s="71">
        <v>1420</v>
      </c>
      <c r="BZ474" s="71">
        <v>1530</v>
      </c>
      <c r="CA474" s="71">
        <v>1830</v>
      </c>
      <c r="CB474" s="71">
        <v>2190</v>
      </c>
      <c r="CC474" s="71">
        <v>2470</v>
      </c>
      <c r="CD474" s="25"/>
      <c r="CE474" s="200"/>
      <c r="CF474" s="200"/>
      <c r="CG474" s="200"/>
      <c r="CH474" s="200"/>
      <c r="CI474" s="200"/>
      <c r="CJ474" s="200"/>
      <c r="CK474" s="200"/>
      <c r="CL474" s="200"/>
      <c r="CM474" s="200"/>
      <c r="CN474" s="200"/>
      <c r="CO474" s="200"/>
      <c r="CP474" s="200"/>
      <c r="CQ474" s="200"/>
      <c r="CR474" s="200"/>
      <c r="CS474" s="200"/>
      <c r="CT474" s="200"/>
      <c r="CU474" s="200"/>
    </row>
    <row r="475" spans="1:99" s="17" customFormat="1" x14ac:dyDescent="0.2">
      <c r="A475" s="25"/>
      <c r="B475" s="20">
        <v>39103406000</v>
      </c>
      <c r="C475" s="20">
        <v>4060</v>
      </c>
      <c r="D475" s="20" t="s">
        <v>57</v>
      </c>
      <c r="E475" s="20" t="s">
        <v>2829</v>
      </c>
      <c r="F475" s="20" t="s">
        <v>8</v>
      </c>
      <c r="G475" s="861">
        <v>64.486098786864503</v>
      </c>
      <c r="H475" s="861">
        <v>68.305021204321804</v>
      </c>
      <c r="I475" s="861">
        <v>16.742241685804998</v>
      </c>
      <c r="J475" s="861">
        <v>54.745998603228699</v>
      </c>
      <c r="K475" s="982">
        <v>0</v>
      </c>
      <c r="L475" s="735">
        <v>5327</v>
      </c>
      <c r="M475" s="735">
        <v>7001</v>
      </c>
      <c r="N475" s="845">
        <f t="shared" si="48"/>
        <v>0.31424816970152053</v>
      </c>
      <c r="O475" s="735">
        <v>25.989759466501955</v>
      </c>
      <c r="P475" s="735">
        <f t="shared" si="49"/>
        <v>269.37532873374789</v>
      </c>
      <c r="Q475" s="849">
        <v>39.299999999999997</v>
      </c>
      <c r="R475" s="71">
        <v>128109</v>
      </c>
      <c r="S475" s="845">
        <v>1.042708184545065E-2</v>
      </c>
      <c r="T475" s="845">
        <v>2.7000000000000003E-2</v>
      </c>
      <c r="U475" s="845">
        <v>2.8999999999999998E-2</v>
      </c>
      <c r="V475" s="845">
        <v>0</v>
      </c>
      <c r="W475" s="845">
        <v>7.9304495335029687E-2</v>
      </c>
      <c r="X475" s="845">
        <v>0.19786096256684493</v>
      </c>
      <c r="Y475" s="845">
        <v>0.97586059134409375</v>
      </c>
      <c r="Z475" s="845">
        <v>0</v>
      </c>
      <c r="AA475" s="845">
        <v>0</v>
      </c>
      <c r="AB475" s="845">
        <v>5.7134695043565206E-3</v>
      </c>
      <c r="AC475" s="845">
        <v>0</v>
      </c>
      <c r="AD475" s="845">
        <v>0</v>
      </c>
      <c r="AE475" s="845">
        <v>1.8425939151549778E-2</v>
      </c>
      <c r="AF475" s="845">
        <v>0</v>
      </c>
      <c r="AG475" s="845">
        <v>0.97586059134409375</v>
      </c>
      <c r="AH475" s="20" t="str">
        <f t="shared" si="50"/>
        <v>Yes</v>
      </c>
      <c r="AI475" s="25"/>
      <c r="AJ475" s="20">
        <v>43107</v>
      </c>
      <c r="AK475" s="20" t="s">
        <v>795</v>
      </c>
      <c r="AL475" s="20">
        <v>39045</v>
      </c>
      <c r="AM475" s="20" t="s">
        <v>29</v>
      </c>
      <c r="AN475" s="37">
        <f t="shared" si="51"/>
        <v>18140</v>
      </c>
      <c r="AO475" s="37" t="str">
        <f t="shared" si="52"/>
        <v>Columbus, OH</v>
      </c>
      <c r="AP475" s="20" t="s">
        <v>8</v>
      </c>
      <c r="AQ475" s="25"/>
      <c r="AR475" s="25"/>
      <c r="AS475" s="25"/>
      <c r="AT475" s="25"/>
      <c r="AU475" s="36"/>
      <c r="AV475" s="36"/>
      <c r="AW475" s="36"/>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39">
        <v>43066</v>
      </c>
      <c r="BV475" s="39" t="s">
        <v>775</v>
      </c>
      <c r="BW475" s="39" t="s">
        <v>2882</v>
      </c>
      <c r="BX475" s="39" t="s">
        <v>303</v>
      </c>
      <c r="BY475" s="71">
        <v>990</v>
      </c>
      <c r="BZ475" s="71">
        <v>1070</v>
      </c>
      <c r="CA475" s="71">
        <v>1290</v>
      </c>
      <c r="CB475" s="71">
        <v>1550</v>
      </c>
      <c r="CC475" s="71">
        <v>1730</v>
      </c>
      <c r="CD475" s="25"/>
      <c r="CE475" s="200"/>
      <c r="CF475" s="200"/>
      <c r="CG475" s="200"/>
      <c r="CH475" s="200"/>
      <c r="CI475" s="200"/>
      <c r="CJ475" s="200"/>
      <c r="CK475" s="200"/>
      <c r="CL475" s="200"/>
      <c r="CM475" s="200"/>
      <c r="CN475" s="200"/>
      <c r="CO475" s="200"/>
      <c r="CP475" s="200"/>
      <c r="CQ475" s="200"/>
      <c r="CR475" s="200"/>
      <c r="CS475" s="200"/>
      <c r="CT475" s="200"/>
      <c r="CU475" s="200"/>
    </row>
    <row r="476" spans="1:99" s="17" customFormat="1" x14ac:dyDescent="0.2">
      <c r="A476" s="25"/>
      <c r="B476" s="20">
        <v>39113001501</v>
      </c>
      <c r="C476" s="20">
        <v>15.01</v>
      </c>
      <c r="D476" s="20" t="s">
        <v>62</v>
      </c>
      <c r="E476" s="20" t="s">
        <v>2833</v>
      </c>
      <c r="F476" s="20" t="s">
        <v>8</v>
      </c>
      <c r="G476" s="861">
        <v>64.478290418992799</v>
      </c>
      <c r="H476" s="861">
        <v>52.425591591915698</v>
      </c>
      <c r="I476" s="861">
        <v>27.524085586508999</v>
      </c>
      <c r="J476" s="861">
        <v>46.356228863320098</v>
      </c>
      <c r="K476" s="982">
        <v>1</v>
      </c>
      <c r="L476" s="735">
        <v>3605</v>
      </c>
      <c r="M476" s="735">
        <v>4027</v>
      </c>
      <c r="N476" s="845">
        <f t="shared" si="48"/>
        <v>0.11705963938973647</v>
      </c>
      <c r="O476" s="735">
        <v>1.1062572020842212</v>
      </c>
      <c r="P476" s="735">
        <f t="shared" si="49"/>
        <v>3640.2022896782169</v>
      </c>
      <c r="Q476" s="849">
        <v>37.9</v>
      </c>
      <c r="R476" s="71">
        <v>55074</v>
      </c>
      <c r="S476" s="845">
        <v>0.21619993977717555</v>
      </c>
      <c r="T476" s="845">
        <v>5.7000000000000002E-2</v>
      </c>
      <c r="U476" s="845">
        <v>0</v>
      </c>
      <c r="V476" s="845">
        <v>0.04</v>
      </c>
      <c r="W476" s="845">
        <v>0.72090163934426232</v>
      </c>
      <c r="X476" s="845">
        <v>0.33086981239340535</v>
      </c>
      <c r="Y476" s="845">
        <v>0.63446734541842564</v>
      </c>
      <c r="Z476" s="845">
        <v>0.18450459399056371</v>
      </c>
      <c r="AA476" s="845">
        <v>5.4631239135833126E-3</v>
      </c>
      <c r="AB476" s="845">
        <v>2.2100819468587038E-2</v>
      </c>
      <c r="AC476" s="845">
        <v>0</v>
      </c>
      <c r="AD476" s="845">
        <v>6.4564191705984604E-3</v>
      </c>
      <c r="AE476" s="845">
        <v>0.14700769803824187</v>
      </c>
      <c r="AF476" s="845">
        <v>0.11323565929972684</v>
      </c>
      <c r="AG476" s="845">
        <v>0.62105785944872116</v>
      </c>
      <c r="AH476" s="20" t="str">
        <f t="shared" si="50"/>
        <v>No</v>
      </c>
      <c r="AI476" s="25"/>
      <c r="AJ476" s="20">
        <v>43110</v>
      </c>
      <c r="AK476" s="20" t="s">
        <v>797</v>
      </c>
      <c r="AL476" s="20">
        <v>39045</v>
      </c>
      <c r="AM476" s="20" t="s">
        <v>29</v>
      </c>
      <c r="AN476" s="37">
        <f t="shared" si="51"/>
        <v>18140</v>
      </c>
      <c r="AO476" s="37" t="str">
        <f t="shared" si="52"/>
        <v>Columbus, OH</v>
      </c>
      <c r="AP476" s="20" t="s">
        <v>8</v>
      </c>
      <c r="AQ476" s="25"/>
      <c r="AR476" s="25"/>
      <c r="AS476" s="25"/>
      <c r="AT476" s="25"/>
      <c r="AU476" s="36"/>
      <c r="AV476" s="36"/>
      <c r="AW476" s="36"/>
      <c r="AX476" s="25"/>
      <c r="AY476" s="25"/>
      <c r="AZ476" s="25"/>
      <c r="BA476" s="25"/>
      <c r="BB476" s="25"/>
      <c r="BC476" s="25"/>
      <c r="BD476" s="25"/>
      <c r="BE476" s="25"/>
      <c r="BF476" s="25"/>
      <c r="BG476" s="25"/>
      <c r="BH476" s="25"/>
      <c r="BI476" s="25"/>
      <c r="BJ476" s="25"/>
      <c r="BK476" s="25"/>
      <c r="BL476" s="25"/>
      <c r="BM476" s="25"/>
      <c r="BN476" s="25"/>
      <c r="BO476" s="25"/>
      <c r="BP476" s="25"/>
      <c r="BQ476" s="25"/>
      <c r="BR476" s="25"/>
      <c r="BS476" s="25"/>
      <c r="BT476" s="25"/>
      <c r="BU476" s="39">
        <v>43068</v>
      </c>
      <c r="BV476" s="39" t="s">
        <v>777</v>
      </c>
      <c r="BW476" s="39" t="s">
        <v>2882</v>
      </c>
      <c r="BX476" s="39" t="s">
        <v>303</v>
      </c>
      <c r="BY476" s="71">
        <v>1140</v>
      </c>
      <c r="BZ476" s="71">
        <v>1230</v>
      </c>
      <c r="CA476" s="71">
        <v>1470</v>
      </c>
      <c r="CB476" s="71">
        <v>1760</v>
      </c>
      <c r="CC476" s="71">
        <v>1980</v>
      </c>
      <c r="CD476" s="25"/>
      <c r="CE476" s="200"/>
      <c r="CF476" s="200"/>
      <c r="CG476" s="200"/>
      <c r="CH476" s="200"/>
      <c r="CI476" s="200"/>
      <c r="CJ476" s="200"/>
      <c r="CK476" s="200"/>
      <c r="CL476" s="200"/>
      <c r="CM476" s="200"/>
      <c r="CN476" s="200"/>
      <c r="CO476" s="200"/>
      <c r="CP476" s="200"/>
      <c r="CQ476" s="200"/>
      <c r="CR476" s="200"/>
      <c r="CS476" s="200"/>
      <c r="CT476" s="200"/>
      <c r="CU476" s="200"/>
    </row>
    <row r="477" spans="1:99" s="17" customFormat="1" x14ac:dyDescent="0.2">
      <c r="A477" s="25"/>
      <c r="B477" s="20">
        <v>39049009755</v>
      </c>
      <c r="C477" s="20">
        <v>97.55</v>
      </c>
      <c r="D477" s="20" t="s">
        <v>31</v>
      </c>
      <c r="E477" s="20" t="s">
        <v>2830</v>
      </c>
      <c r="F477" s="20" t="s">
        <v>8</v>
      </c>
      <c r="G477" s="861">
        <v>64.445295474462398</v>
      </c>
      <c r="H477" s="861">
        <v>67.021326853727999</v>
      </c>
      <c r="I477" s="861">
        <v>27.088309479674798</v>
      </c>
      <c r="J477" s="861">
        <v>39.792774318291698</v>
      </c>
      <c r="K477" s="982">
        <v>1</v>
      </c>
      <c r="L477" s="735" t="s">
        <v>2466</v>
      </c>
      <c r="M477" s="735">
        <v>7639</v>
      </c>
      <c r="N477" s="845" t="str">
        <f t="shared" si="48"/>
        <v/>
      </c>
      <c r="O477" s="735">
        <v>4.2476928590996508</v>
      </c>
      <c r="P477" s="735">
        <f t="shared" si="49"/>
        <v>1798.3880316664838</v>
      </c>
      <c r="Q477" s="849">
        <v>38.200000000000003</v>
      </c>
      <c r="R477" s="71">
        <v>116773</v>
      </c>
      <c r="S477" s="845">
        <v>2.4016891000263923E-2</v>
      </c>
      <c r="T477" s="845">
        <v>2.6000000000000002E-2</v>
      </c>
      <c r="U477" s="845">
        <v>0</v>
      </c>
      <c r="V477" s="845">
        <v>0.28000000000000003</v>
      </c>
      <c r="W477" s="845">
        <v>0.30668896321070233</v>
      </c>
      <c r="X477" s="845">
        <v>0.20174482006543076</v>
      </c>
      <c r="Y477" s="845">
        <v>0.87210367849194925</v>
      </c>
      <c r="Z477" s="845">
        <v>2.5265087053279223E-2</v>
      </c>
      <c r="AA477" s="845">
        <v>0</v>
      </c>
      <c r="AB477" s="845">
        <v>7.9722476763974343E-2</v>
      </c>
      <c r="AC477" s="845">
        <v>0</v>
      </c>
      <c r="AD477" s="845">
        <v>8.3780599554915559E-3</v>
      </c>
      <c r="AE477" s="845">
        <v>1.4530697735305667E-2</v>
      </c>
      <c r="AF477" s="845">
        <v>1.2959811493651002E-2</v>
      </c>
      <c r="AG477" s="845">
        <v>0.86765283414059435</v>
      </c>
      <c r="AH477" s="20" t="str">
        <f t="shared" si="50"/>
        <v>No</v>
      </c>
      <c r="AI477" s="25"/>
      <c r="AJ477" s="37">
        <v>43112</v>
      </c>
      <c r="AK477" s="37" t="s">
        <v>799</v>
      </c>
      <c r="AL477" s="37">
        <v>39045</v>
      </c>
      <c r="AM477" s="37" t="s">
        <v>29</v>
      </c>
      <c r="AN477" s="37">
        <f t="shared" si="51"/>
        <v>18140</v>
      </c>
      <c r="AO477" s="37" t="str">
        <f t="shared" si="52"/>
        <v>Columbus, OH</v>
      </c>
      <c r="AP477" s="20" t="s">
        <v>8</v>
      </c>
      <c r="AQ477" s="25"/>
      <c r="AR477" s="25"/>
      <c r="AS477" s="25"/>
      <c r="AT477" s="25"/>
      <c r="AU477" s="36"/>
      <c r="AV477" s="36"/>
      <c r="AW477" s="36"/>
      <c r="AX477" s="25"/>
      <c r="AY477" s="25"/>
      <c r="AZ477" s="25"/>
      <c r="BA477" s="25"/>
      <c r="BB477" s="25"/>
      <c r="BC477" s="25"/>
      <c r="BD477" s="25"/>
      <c r="BE477" s="25"/>
      <c r="BF477" s="25"/>
      <c r="BG477" s="25"/>
      <c r="BH477" s="25"/>
      <c r="BI477" s="25"/>
      <c r="BJ477" s="25"/>
      <c r="BK477" s="25"/>
      <c r="BL477" s="25"/>
      <c r="BM477" s="25"/>
      <c r="BN477" s="25"/>
      <c r="BO477" s="25"/>
      <c r="BP477" s="25"/>
      <c r="BQ477" s="25"/>
      <c r="BR477" s="25"/>
      <c r="BS477" s="25"/>
      <c r="BT477" s="25"/>
      <c r="BU477" s="39">
        <v>43071</v>
      </c>
      <c r="BV477" s="39" t="s">
        <v>779</v>
      </c>
      <c r="BW477" s="39" t="s">
        <v>2882</v>
      </c>
      <c r="BX477" s="39" t="s">
        <v>303</v>
      </c>
      <c r="BY477" s="71">
        <v>850</v>
      </c>
      <c r="BZ477" s="71">
        <v>910</v>
      </c>
      <c r="CA477" s="71">
        <v>1090</v>
      </c>
      <c r="CB477" s="71">
        <v>1310</v>
      </c>
      <c r="CC477" s="71">
        <v>1470</v>
      </c>
      <c r="CD477" s="25"/>
      <c r="CE477" s="200"/>
      <c r="CF477" s="200"/>
      <c r="CG477" s="200"/>
      <c r="CH477" s="200"/>
      <c r="CI477" s="200"/>
      <c r="CJ477" s="200"/>
      <c r="CK477" s="200"/>
      <c r="CL477" s="200"/>
      <c r="CM477" s="200"/>
      <c r="CN477" s="200"/>
      <c r="CO477" s="200"/>
      <c r="CP477" s="200"/>
      <c r="CQ477" s="200"/>
      <c r="CR477" s="200"/>
      <c r="CS477" s="200"/>
      <c r="CT477" s="200"/>
      <c r="CU477" s="200"/>
    </row>
    <row r="478" spans="1:99" s="17" customFormat="1" x14ac:dyDescent="0.2">
      <c r="A478" s="25"/>
      <c r="B478" s="20">
        <v>39061021504</v>
      </c>
      <c r="C478" s="20">
        <v>215.04</v>
      </c>
      <c r="D478" s="20" t="s">
        <v>37</v>
      </c>
      <c r="E478" s="20" t="s">
        <v>2828</v>
      </c>
      <c r="F478" s="20" t="s">
        <v>8</v>
      </c>
      <c r="G478" s="861">
        <v>64.420614025031497</v>
      </c>
      <c r="H478" s="861">
        <v>60.011183019302699</v>
      </c>
      <c r="I478" s="861">
        <v>28.333006162454598</v>
      </c>
      <c r="J478" s="861">
        <v>51.665136079453497</v>
      </c>
      <c r="K478" s="982">
        <v>0</v>
      </c>
      <c r="L478" s="735">
        <v>5958</v>
      </c>
      <c r="M478" s="735">
        <v>6714</v>
      </c>
      <c r="N478" s="845">
        <f t="shared" si="48"/>
        <v>0.12688821752265861</v>
      </c>
      <c r="O478" s="735">
        <v>2.0708145258628234</v>
      </c>
      <c r="P478" s="735">
        <f t="shared" si="49"/>
        <v>3242.2024841662492</v>
      </c>
      <c r="Q478" s="849">
        <v>36.799999999999997</v>
      </c>
      <c r="R478" s="71">
        <v>79253</v>
      </c>
      <c r="S478" s="845">
        <v>9.4280607685433421E-2</v>
      </c>
      <c r="T478" s="845">
        <v>3.4000000000000002E-2</v>
      </c>
      <c r="U478" s="845">
        <v>0</v>
      </c>
      <c r="V478" s="845">
        <v>0</v>
      </c>
      <c r="W478" s="845">
        <v>0.32833525567089583</v>
      </c>
      <c r="X478" s="845">
        <v>0.34660421545667447</v>
      </c>
      <c r="Y478" s="845">
        <v>0.33437593089067619</v>
      </c>
      <c r="Z478" s="845">
        <v>0.54140601727733095</v>
      </c>
      <c r="AA478" s="845">
        <v>0</v>
      </c>
      <c r="AB478" s="845">
        <v>2.5469168900804289E-2</v>
      </c>
      <c r="AC478" s="845">
        <v>0</v>
      </c>
      <c r="AD478" s="845">
        <v>5.3470360440869821E-2</v>
      </c>
      <c r="AE478" s="845">
        <v>4.5278522490318739E-2</v>
      </c>
      <c r="AF478" s="845">
        <v>6.8811438784629128E-2</v>
      </c>
      <c r="AG478" s="845">
        <v>0.31992850759606789</v>
      </c>
      <c r="AH478" s="20" t="str">
        <f t="shared" si="50"/>
        <v>No</v>
      </c>
      <c r="AI478" s="25"/>
      <c r="AJ478" s="37">
        <v>43113</v>
      </c>
      <c r="AK478" s="37" t="s">
        <v>800</v>
      </c>
      <c r="AL478" s="37">
        <v>39045</v>
      </c>
      <c r="AM478" s="37" t="s">
        <v>29</v>
      </c>
      <c r="AN478" s="37">
        <f t="shared" si="51"/>
        <v>18140</v>
      </c>
      <c r="AO478" s="37" t="str">
        <f t="shared" si="52"/>
        <v>Columbus, OH</v>
      </c>
      <c r="AP478" s="20" t="s">
        <v>8</v>
      </c>
      <c r="AQ478" s="25"/>
      <c r="AR478" s="25"/>
      <c r="AS478" s="25"/>
      <c r="AT478" s="25"/>
      <c r="AU478" s="36"/>
      <c r="AV478" s="36"/>
      <c r="AW478" s="36"/>
      <c r="AX478" s="25"/>
      <c r="AY478" s="25"/>
      <c r="AZ478" s="25"/>
      <c r="BA478" s="25"/>
      <c r="BB478" s="25"/>
      <c r="BC478" s="25"/>
      <c r="BD478" s="25"/>
      <c r="BE478" s="25"/>
      <c r="BF478" s="25"/>
      <c r="BG478" s="25"/>
      <c r="BH478" s="25"/>
      <c r="BI478" s="25"/>
      <c r="BJ478" s="25"/>
      <c r="BK478" s="25"/>
      <c r="BL478" s="25"/>
      <c r="BM478" s="25"/>
      <c r="BN478" s="25"/>
      <c r="BO478" s="25"/>
      <c r="BP478" s="25"/>
      <c r="BQ478" s="25"/>
      <c r="BR478" s="25"/>
      <c r="BS478" s="25"/>
      <c r="BT478" s="25"/>
      <c r="BU478" s="39">
        <v>43074</v>
      </c>
      <c r="BV478" s="39" t="s">
        <v>781</v>
      </c>
      <c r="BW478" s="39" t="s">
        <v>2882</v>
      </c>
      <c r="BX478" s="39" t="s">
        <v>303</v>
      </c>
      <c r="BY478" s="71">
        <v>1410</v>
      </c>
      <c r="BZ478" s="71">
        <v>1520</v>
      </c>
      <c r="CA478" s="71">
        <v>1820</v>
      </c>
      <c r="CB478" s="71">
        <v>2180</v>
      </c>
      <c r="CC478" s="71">
        <v>2450</v>
      </c>
      <c r="CD478" s="25"/>
      <c r="CE478" s="200"/>
      <c r="CF478" s="200"/>
      <c r="CG478" s="200"/>
      <c r="CH478" s="200"/>
      <c r="CI478" s="200"/>
      <c r="CJ478" s="200"/>
      <c r="CK478" s="200"/>
      <c r="CL478" s="200"/>
      <c r="CM478" s="200"/>
      <c r="CN478" s="200"/>
      <c r="CO478" s="200"/>
      <c r="CP478" s="200"/>
      <c r="CQ478" s="200"/>
      <c r="CR478" s="200"/>
      <c r="CS478" s="200"/>
      <c r="CT478" s="200"/>
      <c r="CU478" s="200"/>
    </row>
    <row r="479" spans="1:99" s="17" customFormat="1" x14ac:dyDescent="0.2">
      <c r="A479" s="25"/>
      <c r="B479" s="20">
        <v>39035153105</v>
      </c>
      <c r="C479" s="20">
        <v>1531.05</v>
      </c>
      <c r="D479" s="20" t="s">
        <v>24</v>
      </c>
      <c r="E479" s="20" t="s">
        <v>2829</v>
      </c>
      <c r="F479" s="20" t="s">
        <v>8</v>
      </c>
      <c r="G479" s="861">
        <v>64.407950652508006</v>
      </c>
      <c r="H479" s="861">
        <v>69.299611529069793</v>
      </c>
      <c r="I479" s="861">
        <v>36.305011015536401</v>
      </c>
      <c r="J479" s="861">
        <v>52.491241681878201</v>
      </c>
      <c r="K479" s="982">
        <v>0</v>
      </c>
      <c r="L479" s="735">
        <v>3846</v>
      </c>
      <c r="M479" s="735">
        <v>3589</v>
      </c>
      <c r="N479" s="845">
        <f t="shared" si="48"/>
        <v>-6.6822672906916278E-2</v>
      </c>
      <c r="O479" s="735">
        <v>0.63064922718892336</v>
      </c>
      <c r="P479" s="735">
        <f t="shared" si="49"/>
        <v>5690.9607516649576</v>
      </c>
      <c r="Q479" s="849">
        <v>39.700000000000003</v>
      </c>
      <c r="R479" s="71">
        <v>62413</v>
      </c>
      <c r="S479" s="845">
        <v>0.12745648512071869</v>
      </c>
      <c r="T479" s="845">
        <v>3.2000000000000001E-2</v>
      </c>
      <c r="U479" s="845">
        <v>3.5000000000000003E-2</v>
      </c>
      <c r="V479" s="845">
        <v>0.01</v>
      </c>
      <c r="W479" s="845">
        <v>0.46923488496522203</v>
      </c>
      <c r="X479" s="845">
        <v>0.46522234891676167</v>
      </c>
      <c r="Y479" s="845">
        <v>0.83393702981331852</v>
      </c>
      <c r="Z479" s="845">
        <v>4.7645583728057952E-2</v>
      </c>
      <c r="AA479" s="845">
        <v>0</v>
      </c>
      <c r="AB479" s="845">
        <v>3.2878239063806075E-2</v>
      </c>
      <c r="AC479" s="845">
        <v>0</v>
      </c>
      <c r="AD479" s="845">
        <v>2.0618556701030927E-2</v>
      </c>
      <c r="AE479" s="845">
        <v>6.492059069378657E-2</v>
      </c>
      <c r="AF479" s="845">
        <v>4.2351629980495957E-2</v>
      </c>
      <c r="AG479" s="845">
        <v>0.8239063806074115</v>
      </c>
      <c r="AH479" s="20" t="str">
        <f t="shared" si="50"/>
        <v>No</v>
      </c>
      <c r="AI479" s="25"/>
      <c r="AJ479" s="37">
        <v>43130</v>
      </c>
      <c r="AK479" s="37" t="s">
        <v>810</v>
      </c>
      <c r="AL479" s="37">
        <v>39045</v>
      </c>
      <c r="AM479" s="37" t="s">
        <v>29</v>
      </c>
      <c r="AN479" s="37">
        <f t="shared" si="51"/>
        <v>18140</v>
      </c>
      <c r="AO479" s="37" t="str">
        <f t="shared" si="52"/>
        <v>Columbus, OH</v>
      </c>
      <c r="AP479" s="20" t="s">
        <v>8</v>
      </c>
      <c r="AQ479" s="25"/>
      <c r="AR479" s="25"/>
      <c r="AS479" s="25"/>
      <c r="AT479" s="25"/>
      <c r="AU479" s="36"/>
      <c r="AV479" s="36"/>
      <c r="AW479" s="36"/>
      <c r="AX479" s="25"/>
      <c r="AY479" s="25"/>
      <c r="AZ479" s="25"/>
      <c r="BA479" s="25"/>
      <c r="BB479" s="25"/>
      <c r="BC479" s="25"/>
      <c r="BD479" s="25"/>
      <c r="BE479" s="25"/>
      <c r="BF479" s="25"/>
      <c r="BG479" s="25"/>
      <c r="BH479" s="25"/>
      <c r="BI479" s="25"/>
      <c r="BJ479" s="25"/>
      <c r="BK479" s="25"/>
      <c r="BL479" s="25"/>
      <c r="BM479" s="25"/>
      <c r="BN479" s="25"/>
      <c r="BO479" s="25"/>
      <c r="BP479" s="25"/>
      <c r="BQ479" s="25"/>
      <c r="BR479" s="25"/>
      <c r="BS479" s="25"/>
      <c r="BT479" s="25"/>
      <c r="BU479" s="39">
        <v>43076</v>
      </c>
      <c r="BV479" s="39" t="s">
        <v>782</v>
      </c>
      <c r="BW479" s="39" t="s">
        <v>2882</v>
      </c>
      <c r="BX479" s="39" t="s">
        <v>303</v>
      </c>
      <c r="BY479" s="71">
        <v>940</v>
      </c>
      <c r="BZ479" s="71">
        <v>980</v>
      </c>
      <c r="CA479" s="71">
        <v>1190</v>
      </c>
      <c r="CB479" s="71">
        <v>1450</v>
      </c>
      <c r="CC479" s="71">
        <v>1680</v>
      </c>
      <c r="CD479" s="25"/>
      <c r="CE479" s="200"/>
      <c r="CF479" s="200"/>
      <c r="CG479" s="200"/>
      <c r="CH479" s="200"/>
      <c r="CI479" s="200"/>
      <c r="CJ479" s="200"/>
      <c r="CK479" s="200"/>
      <c r="CL479" s="200"/>
      <c r="CM479" s="200"/>
      <c r="CN479" s="200"/>
      <c r="CO479" s="200"/>
      <c r="CP479" s="200"/>
      <c r="CQ479" s="200"/>
      <c r="CR479" s="200"/>
      <c r="CS479" s="200"/>
      <c r="CT479" s="200"/>
      <c r="CU479" s="200"/>
    </row>
    <row r="480" spans="1:99" s="17" customFormat="1" x14ac:dyDescent="0.2">
      <c r="A480" s="25"/>
      <c r="B480" s="20">
        <v>39035161500</v>
      </c>
      <c r="C480" s="20">
        <v>1615</v>
      </c>
      <c r="D480" s="20" t="s">
        <v>24</v>
      </c>
      <c r="E480" s="20" t="s">
        <v>2829</v>
      </c>
      <c r="F480" s="20" t="s">
        <v>8</v>
      </c>
      <c r="G480" s="861">
        <v>64.380818775929299</v>
      </c>
      <c r="H480" s="861">
        <v>70.439844957282602</v>
      </c>
      <c r="I480" s="861">
        <v>34.569693918599803</v>
      </c>
      <c r="J480" s="861">
        <v>48.302937557938598</v>
      </c>
      <c r="K480" s="982">
        <v>0</v>
      </c>
      <c r="L480" s="735">
        <v>3865</v>
      </c>
      <c r="M480" s="735">
        <v>4098</v>
      </c>
      <c r="N480" s="845">
        <f t="shared" si="48"/>
        <v>6.0284605433376458E-2</v>
      </c>
      <c r="O480" s="735">
        <v>0.39077051979207739</v>
      </c>
      <c r="P480" s="735">
        <f t="shared" si="49"/>
        <v>10486.973280841346</v>
      </c>
      <c r="Q480" s="849">
        <v>34</v>
      </c>
      <c r="R480" s="71">
        <v>75917</v>
      </c>
      <c r="S480" s="845">
        <v>0.14310559006211179</v>
      </c>
      <c r="T480" s="845">
        <v>5.7000000000000002E-2</v>
      </c>
      <c r="U480" s="845">
        <v>3.5000000000000003E-2</v>
      </c>
      <c r="V480" s="845">
        <v>1.1000000000000001E-2</v>
      </c>
      <c r="W480" s="845">
        <v>0.47335950644980368</v>
      </c>
      <c r="X480" s="845">
        <v>0.33175355450236965</v>
      </c>
      <c r="Y480" s="845">
        <v>0.91142020497803811</v>
      </c>
      <c r="Z480" s="845">
        <v>2.6598340653977551E-2</v>
      </c>
      <c r="AA480" s="845">
        <v>0</v>
      </c>
      <c r="AB480" s="845">
        <v>1.0736944851146901E-2</v>
      </c>
      <c r="AC480" s="845">
        <v>0</v>
      </c>
      <c r="AD480" s="845">
        <v>1.2445095168374817E-2</v>
      </c>
      <c r="AE480" s="845">
        <v>3.8799414348462666E-2</v>
      </c>
      <c r="AF480" s="845">
        <v>6.6129819424109323E-2</v>
      </c>
      <c r="AG480" s="845">
        <v>0.87896534895070766</v>
      </c>
      <c r="AH480" s="20" t="str">
        <f t="shared" si="50"/>
        <v>No</v>
      </c>
      <c r="AI480" s="25"/>
      <c r="AJ480" s="20">
        <v>43136</v>
      </c>
      <c r="AK480" s="20" t="s">
        <v>812</v>
      </c>
      <c r="AL480" s="20">
        <v>39045</v>
      </c>
      <c r="AM480" s="20" t="s">
        <v>29</v>
      </c>
      <c r="AN480" s="37">
        <f t="shared" si="51"/>
        <v>18140</v>
      </c>
      <c r="AO480" s="37" t="str">
        <f t="shared" si="52"/>
        <v>Columbus, OH</v>
      </c>
      <c r="AP480" s="20" t="s">
        <v>8</v>
      </c>
      <c r="AQ480" s="25"/>
      <c r="AR480" s="25"/>
      <c r="AS480" s="25"/>
      <c r="AT480" s="25"/>
      <c r="AU480" s="36"/>
      <c r="AV480" s="36"/>
      <c r="AW480" s="36"/>
      <c r="AX480" s="25"/>
      <c r="AY480" s="25"/>
      <c r="AZ480" s="25"/>
      <c r="BA480" s="25"/>
      <c r="BB480" s="25"/>
      <c r="BC480" s="25"/>
      <c r="BD480" s="25"/>
      <c r="BE480" s="25"/>
      <c r="BF480" s="25"/>
      <c r="BG480" s="25"/>
      <c r="BH480" s="25"/>
      <c r="BI480" s="25"/>
      <c r="BJ480" s="25"/>
      <c r="BK480" s="25"/>
      <c r="BL480" s="25"/>
      <c r="BM480" s="25"/>
      <c r="BN480" s="25"/>
      <c r="BO480" s="25"/>
      <c r="BP480" s="25"/>
      <c r="BQ480" s="25"/>
      <c r="BR480" s="25"/>
      <c r="BS480" s="25"/>
      <c r="BT480" s="25"/>
      <c r="BU480" s="39">
        <v>43080</v>
      </c>
      <c r="BV480" s="39" t="s">
        <v>785</v>
      </c>
      <c r="BW480" s="39" t="s">
        <v>2882</v>
      </c>
      <c r="BX480" s="39" t="s">
        <v>303</v>
      </c>
      <c r="BY480" s="71">
        <v>990</v>
      </c>
      <c r="BZ480" s="71">
        <v>1060</v>
      </c>
      <c r="CA480" s="71">
        <v>1280</v>
      </c>
      <c r="CB480" s="71">
        <v>1570</v>
      </c>
      <c r="CC480" s="71">
        <v>1720</v>
      </c>
      <c r="CD480" s="25"/>
      <c r="CE480" s="200"/>
      <c r="CF480" s="200"/>
      <c r="CG480" s="200"/>
      <c r="CH480" s="200"/>
      <c r="CI480" s="200"/>
      <c r="CJ480" s="200"/>
      <c r="CK480" s="200"/>
      <c r="CL480" s="200"/>
      <c r="CM480" s="200"/>
      <c r="CN480" s="200"/>
      <c r="CO480" s="200"/>
      <c r="CP480" s="200"/>
      <c r="CQ480" s="200"/>
      <c r="CR480" s="200"/>
      <c r="CS480" s="200"/>
      <c r="CT480" s="200"/>
      <c r="CU480" s="200"/>
    </row>
    <row r="481" spans="1:99" s="17" customFormat="1" x14ac:dyDescent="0.2">
      <c r="A481" s="25"/>
      <c r="B481" s="20">
        <v>39041010100</v>
      </c>
      <c r="C481" s="20">
        <v>101</v>
      </c>
      <c r="D481" s="20" t="s">
        <v>27</v>
      </c>
      <c r="E481" s="20" t="s">
        <v>2830</v>
      </c>
      <c r="F481" s="20" t="s">
        <v>8</v>
      </c>
      <c r="G481" s="861">
        <v>64.372828550547993</v>
      </c>
      <c r="H481" s="861">
        <v>79.422223184717396</v>
      </c>
      <c r="I481" s="861">
        <v>30.244857563480299</v>
      </c>
      <c r="J481" s="861">
        <v>45.953519128163499</v>
      </c>
      <c r="K481" s="982">
        <v>0</v>
      </c>
      <c r="L481" s="735">
        <v>5604</v>
      </c>
      <c r="M481" s="735">
        <v>5257</v>
      </c>
      <c r="N481" s="845">
        <f t="shared" si="48"/>
        <v>-6.192005710206995E-2</v>
      </c>
      <c r="O481" s="735">
        <v>1.0882567333484787</v>
      </c>
      <c r="P481" s="735">
        <f t="shared" si="49"/>
        <v>4830.6615883042896</v>
      </c>
      <c r="Q481" s="849">
        <v>32.4</v>
      </c>
      <c r="R481" s="71">
        <v>100625</v>
      </c>
      <c r="S481" s="845">
        <v>6.4826226275573079E-2</v>
      </c>
      <c r="T481" s="845">
        <v>3.7000000000000005E-2</v>
      </c>
      <c r="U481" s="845">
        <v>0</v>
      </c>
      <c r="V481" s="845">
        <v>6.9000000000000006E-2</v>
      </c>
      <c r="W481" s="845">
        <v>0.3877212389380531</v>
      </c>
      <c r="X481" s="845">
        <v>0.4037089871611983</v>
      </c>
      <c r="Y481" s="845">
        <v>0.8483926193646566</v>
      </c>
      <c r="Z481" s="845">
        <v>5.4213429712763932E-2</v>
      </c>
      <c r="AA481" s="845">
        <v>1.9022256039566293E-4</v>
      </c>
      <c r="AB481" s="845">
        <v>2.2826707247479552E-2</v>
      </c>
      <c r="AC481" s="845">
        <v>0</v>
      </c>
      <c r="AD481" s="845">
        <v>9.7013505801788087E-3</v>
      </c>
      <c r="AE481" s="845">
        <v>6.4675670534525401E-2</v>
      </c>
      <c r="AF481" s="845">
        <v>8.9594825946357232E-2</v>
      </c>
      <c r="AG481" s="845">
        <v>0.79322807684991437</v>
      </c>
      <c r="AH481" s="20" t="str">
        <f t="shared" si="50"/>
        <v>No</v>
      </c>
      <c r="AI481" s="25"/>
      <c r="AJ481" s="37">
        <v>43147</v>
      </c>
      <c r="AK481" s="37" t="s">
        <v>821</v>
      </c>
      <c r="AL481" s="37">
        <v>39045</v>
      </c>
      <c r="AM481" s="37" t="s">
        <v>29</v>
      </c>
      <c r="AN481" s="37">
        <f t="shared" si="51"/>
        <v>18140</v>
      </c>
      <c r="AO481" s="37" t="str">
        <f t="shared" si="52"/>
        <v>Columbus, OH</v>
      </c>
      <c r="AP481" s="20" t="s">
        <v>8</v>
      </c>
      <c r="AQ481" s="25"/>
      <c r="AR481" s="25"/>
      <c r="AS481" s="25"/>
      <c r="AT481" s="25"/>
      <c r="AU481" s="36"/>
      <c r="AV481" s="36"/>
      <c r="AW481" s="36"/>
      <c r="AX481" s="25"/>
      <c r="AY481" s="25"/>
      <c r="AZ481" s="25"/>
      <c r="BA481" s="25"/>
      <c r="BB481" s="25"/>
      <c r="BC481" s="25"/>
      <c r="BD481" s="25"/>
      <c r="BE481" s="25"/>
      <c r="BF481" s="25"/>
      <c r="BG481" s="25"/>
      <c r="BH481" s="25"/>
      <c r="BI481" s="25"/>
      <c r="BJ481" s="25"/>
      <c r="BK481" s="25"/>
      <c r="BL481" s="25"/>
      <c r="BM481" s="25"/>
      <c r="BN481" s="25"/>
      <c r="BO481" s="25"/>
      <c r="BP481" s="25"/>
      <c r="BQ481" s="25"/>
      <c r="BR481" s="25"/>
      <c r="BS481" s="25"/>
      <c r="BT481" s="25"/>
      <c r="BU481" s="39">
        <v>43081</v>
      </c>
      <c r="BV481" s="39" t="s">
        <v>786</v>
      </c>
      <c r="BW481" s="39" t="s">
        <v>2882</v>
      </c>
      <c r="BX481" s="39" t="s">
        <v>303</v>
      </c>
      <c r="BY481" s="71">
        <v>1320</v>
      </c>
      <c r="BZ481" s="71">
        <v>1420</v>
      </c>
      <c r="CA481" s="71">
        <v>1700</v>
      </c>
      <c r="CB481" s="71">
        <v>2040</v>
      </c>
      <c r="CC481" s="71">
        <v>2290</v>
      </c>
      <c r="CD481" s="25"/>
      <c r="CE481" s="200"/>
      <c r="CF481" s="200"/>
      <c r="CG481" s="200"/>
      <c r="CH481" s="200"/>
      <c r="CI481" s="200"/>
      <c r="CJ481" s="200"/>
      <c r="CK481" s="200"/>
      <c r="CL481" s="200"/>
      <c r="CM481" s="200"/>
      <c r="CN481" s="200"/>
      <c r="CO481" s="200"/>
      <c r="CP481" s="200"/>
      <c r="CQ481" s="200"/>
      <c r="CR481" s="200"/>
      <c r="CS481" s="200"/>
      <c r="CT481" s="200"/>
      <c r="CU481" s="200"/>
    </row>
    <row r="482" spans="1:99" s="17" customFormat="1" x14ac:dyDescent="0.2">
      <c r="A482" s="25"/>
      <c r="B482" s="20">
        <v>39049007114</v>
      </c>
      <c r="C482" s="20">
        <v>71.14</v>
      </c>
      <c r="D482" s="20" t="s">
        <v>31</v>
      </c>
      <c r="E482" s="20" t="s">
        <v>2830</v>
      </c>
      <c r="F482" s="20" t="s">
        <v>8</v>
      </c>
      <c r="G482" s="861">
        <v>64.371632627152295</v>
      </c>
      <c r="H482" s="861">
        <v>83.335427385274201</v>
      </c>
      <c r="I482" s="861">
        <v>42.1920997406718</v>
      </c>
      <c r="J482" s="861">
        <v>36.739272003999503</v>
      </c>
      <c r="K482" s="982">
        <v>0</v>
      </c>
      <c r="L482" s="735">
        <v>4645</v>
      </c>
      <c r="M482" s="735">
        <v>5234</v>
      </c>
      <c r="N482" s="845">
        <f t="shared" si="48"/>
        <v>0.12680301399354144</v>
      </c>
      <c r="O482" s="735">
        <v>1.607294251246582</v>
      </c>
      <c r="P482" s="735">
        <f t="shared" si="49"/>
        <v>3256.4043552950088</v>
      </c>
      <c r="Q482" s="849">
        <v>33</v>
      </c>
      <c r="R482" s="71">
        <v>56818</v>
      </c>
      <c r="S482" s="845">
        <v>0.13832632785632404</v>
      </c>
      <c r="T482" s="845">
        <v>5.5999999999999994E-2</v>
      </c>
      <c r="U482" s="845">
        <v>0</v>
      </c>
      <c r="V482" s="845">
        <v>6.8000000000000005E-2</v>
      </c>
      <c r="W482" s="845">
        <v>0.5546875</v>
      </c>
      <c r="X482" s="845">
        <v>0.52112676056338025</v>
      </c>
      <c r="Y482" s="845">
        <v>0.51681314482231566</v>
      </c>
      <c r="Z482" s="845">
        <v>0.35135651509361865</v>
      </c>
      <c r="AA482" s="845">
        <v>0</v>
      </c>
      <c r="AB482" s="845">
        <v>6.9736339319831864E-2</v>
      </c>
      <c r="AC482" s="845">
        <v>0</v>
      </c>
      <c r="AD482" s="845">
        <v>0</v>
      </c>
      <c r="AE482" s="845">
        <v>6.2094000764233853E-2</v>
      </c>
      <c r="AF482" s="845">
        <v>8.2155139472678638E-3</v>
      </c>
      <c r="AG482" s="845">
        <v>0.51681314482231566</v>
      </c>
      <c r="AH482" s="20" t="str">
        <f t="shared" si="50"/>
        <v>No</v>
      </c>
      <c r="AI482" s="25"/>
      <c r="AJ482" s="20">
        <v>43148</v>
      </c>
      <c r="AK482" s="20" t="s">
        <v>822</v>
      </c>
      <c r="AL482" s="20">
        <v>39045</v>
      </c>
      <c r="AM482" s="20" t="s">
        <v>29</v>
      </c>
      <c r="AN482" s="37">
        <f t="shared" si="51"/>
        <v>18140</v>
      </c>
      <c r="AO482" s="37" t="str">
        <f t="shared" si="52"/>
        <v>Columbus, OH</v>
      </c>
      <c r="AP482" s="20" t="s">
        <v>8</v>
      </c>
      <c r="AQ482" s="25"/>
      <c r="AR482" s="25"/>
      <c r="AS482" s="25"/>
      <c r="AT482" s="25"/>
      <c r="AU482" s="36"/>
      <c r="AV482" s="36"/>
      <c r="AW482" s="36"/>
      <c r="AX482" s="25"/>
      <c r="AY482" s="25"/>
      <c r="AZ482" s="25"/>
      <c r="BA482" s="25"/>
      <c r="BB482" s="25"/>
      <c r="BC482" s="25"/>
      <c r="BD482" s="25"/>
      <c r="BE482" s="25"/>
      <c r="BF482" s="25"/>
      <c r="BG482" s="25"/>
      <c r="BH482" s="25"/>
      <c r="BI482" s="25"/>
      <c r="BJ482" s="25"/>
      <c r="BK482" s="25"/>
      <c r="BL482" s="25"/>
      <c r="BM482" s="25"/>
      <c r="BN482" s="25"/>
      <c r="BO482" s="25"/>
      <c r="BP482" s="25"/>
      <c r="BQ482" s="25"/>
      <c r="BR482" s="25"/>
      <c r="BS482" s="25"/>
      <c r="BT482" s="25"/>
      <c r="BU482" s="39">
        <v>43082</v>
      </c>
      <c r="BV482" s="39" t="s">
        <v>787</v>
      </c>
      <c r="BW482" s="39" t="s">
        <v>2882</v>
      </c>
      <c r="BX482" s="39" t="s">
        <v>303</v>
      </c>
      <c r="BY482" s="71">
        <v>1470</v>
      </c>
      <c r="BZ482" s="71">
        <v>1580</v>
      </c>
      <c r="CA482" s="71">
        <v>1890</v>
      </c>
      <c r="CB482" s="71">
        <v>2270</v>
      </c>
      <c r="CC482" s="71">
        <v>2550</v>
      </c>
      <c r="CD482" s="25"/>
      <c r="CE482" s="200"/>
      <c r="CF482" s="200"/>
      <c r="CG482" s="200"/>
      <c r="CH482" s="200"/>
      <c r="CI482" s="200"/>
      <c r="CJ482" s="200"/>
      <c r="CK482" s="200"/>
      <c r="CL482" s="200"/>
      <c r="CM482" s="200"/>
      <c r="CN482" s="200"/>
      <c r="CO482" s="200"/>
      <c r="CP482" s="200"/>
      <c r="CQ482" s="200"/>
      <c r="CR482" s="200"/>
      <c r="CS482" s="200"/>
      <c r="CT482" s="200"/>
      <c r="CU482" s="200"/>
    </row>
    <row r="483" spans="1:99" s="17" customFormat="1" x14ac:dyDescent="0.2">
      <c r="A483" s="25"/>
      <c r="B483" s="20">
        <v>39049007963</v>
      </c>
      <c r="C483" s="20">
        <v>79.63</v>
      </c>
      <c r="D483" s="20" t="s">
        <v>31</v>
      </c>
      <c r="E483" s="20" t="s">
        <v>2830</v>
      </c>
      <c r="F483" s="20" t="s">
        <v>8</v>
      </c>
      <c r="G483" s="861">
        <v>64.341973559616704</v>
      </c>
      <c r="H483" s="861">
        <v>72.552421115543197</v>
      </c>
      <c r="I483" s="861">
        <v>34.864851692091101</v>
      </c>
      <c r="J483" s="861">
        <v>48.876201336471297</v>
      </c>
      <c r="K483" s="982">
        <v>0</v>
      </c>
      <c r="L483" s="735" t="s">
        <v>2466</v>
      </c>
      <c r="M483" s="735">
        <v>3824</v>
      </c>
      <c r="N483" s="845" t="str">
        <f t="shared" si="48"/>
        <v/>
      </c>
      <c r="O483" s="735">
        <v>1.1487821077294444</v>
      </c>
      <c r="P483" s="735">
        <f t="shared" si="49"/>
        <v>3328.7426521275606</v>
      </c>
      <c r="Q483" s="849">
        <v>42.1</v>
      </c>
      <c r="R483" s="71">
        <v>118359</v>
      </c>
      <c r="S483" s="845">
        <v>9.9895397489539753E-2</v>
      </c>
      <c r="T483" s="845">
        <v>1.2E-2</v>
      </c>
      <c r="U483" s="845">
        <v>0</v>
      </c>
      <c r="V483" s="845">
        <v>0</v>
      </c>
      <c r="W483" s="845">
        <v>3.2851511169513799E-2</v>
      </c>
      <c r="X483" s="845">
        <v>0.22</v>
      </c>
      <c r="Y483" s="845">
        <v>0.80360878661087864</v>
      </c>
      <c r="Z483" s="845">
        <v>3.8702928870292884E-2</v>
      </c>
      <c r="AA483" s="845">
        <v>0</v>
      </c>
      <c r="AB483" s="845">
        <v>4.2364016736401673E-2</v>
      </c>
      <c r="AC483" s="845">
        <v>0</v>
      </c>
      <c r="AD483" s="845">
        <v>0</v>
      </c>
      <c r="AE483" s="845">
        <v>0.11532426778242678</v>
      </c>
      <c r="AF483" s="845">
        <v>9.675732217573221E-3</v>
      </c>
      <c r="AG483" s="845">
        <v>0.79680962343096229</v>
      </c>
      <c r="AH483" s="20" t="str">
        <f t="shared" si="50"/>
        <v>No</v>
      </c>
      <c r="AI483" s="25"/>
      <c r="AJ483" s="20">
        <v>43150</v>
      </c>
      <c r="AK483" s="20" t="s">
        <v>824</v>
      </c>
      <c r="AL483" s="20">
        <v>39045</v>
      </c>
      <c r="AM483" s="20" t="s">
        <v>29</v>
      </c>
      <c r="AN483" s="37">
        <f t="shared" si="51"/>
        <v>18140</v>
      </c>
      <c r="AO483" s="37" t="str">
        <f t="shared" si="52"/>
        <v>Columbus, OH</v>
      </c>
      <c r="AP483" s="20" t="s">
        <v>8</v>
      </c>
      <c r="AQ483" s="25"/>
      <c r="AR483" s="25"/>
      <c r="AS483" s="25"/>
      <c r="AT483" s="25"/>
      <c r="AU483" s="36"/>
      <c r="AV483" s="36"/>
      <c r="AW483" s="36"/>
      <c r="AX483" s="25"/>
      <c r="AY483" s="25"/>
      <c r="AZ483" s="25"/>
      <c r="BA483" s="25"/>
      <c r="BB483" s="25"/>
      <c r="BC483" s="25"/>
      <c r="BD483" s="25"/>
      <c r="BE483" s="25"/>
      <c r="BF483" s="25"/>
      <c r="BG483" s="25"/>
      <c r="BH483" s="25"/>
      <c r="BI483" s="25"/>
      <c r="BJ483" s="25"/>
      <c r="BK483" s="25"/>
      <c r="BL483" s="25"/>
      <c r="BM483" s="25"/>
      <c r="BN483" s="25"/>
      <c r="BO483" s="25"/>
      <c r="BP483" s="25"/>
      <c r="BQ483" s="25"/>
      <c r="BR483" s="25"/>
      <c r="BS483" s="25"/>
      <c r="BT483" s="25"/>
      <c r="BU483" s="39">
        <v>43085</v>
      </c>
      <c r="BV483" s="39" t="s">
        <v>789</v>
      </c>
      <c r="BW483" s="39" t="s">
        <v>2882</v>
      </c>
      <c r="BX483" s="39" t="s">
        <v>303</v>
      </c>
      <c r="BY483" s="71">
        <v>1260</v>
      </c>
      <c r="BZ483" s="71">
        <v>1350</v>
      </c>
      <c r="CA483" s="71">
        <v>1620</v>
      </c>
      <c r="CB483" s="71">
        <v>1940</v>
      </c>
      <c r="CC483" s="71">
        <v>2180</v>
      </c>
      <c r="CD483" s="25"/>
      <c r="CE483" s="200"/>
      <c r="CF483" s="200"/>
      <c r="CG483" s="200"/>
      <c r="CH483" s="200"/>
      <c r="CI483" s="200"/>
      <c r="CJ483" s="200"/>
      <c r="CK483" s="200"/>
      <c r="CL483" s="200"/>
      <c r="CM483" s="200"/>
      <c r="CN483" s="200"/>
      <c r="CO483" s="200"/>
      <c r="CP483" s="200"/>
      <c r="CQ483" s="200"/>
      <c r="CR483" s="200"/>
      <c r="CS483" s="200"/>
      <c r="CT483" s="200"/>
      <c r="CU483" s="200"/>
    </row>
    <row r="484" spans="1:99" s="17" customFormat="1" x14ac:dyDescent="0.2">
      <c r="A484" s="25"/>
      <c r="B484" s="20">
        <v>39083007302</v>
      </c>
      <c r="C484" s="20">
        <v>73.02</v>
      </c>
      <c r="D484" s="20" t="s">
        <v>114</v>
      </c>
      <c r="E484" s="20" t="s">
        <v>265</v>
      </c>
      <c r="F484" s="20" t="s">
        <v>8</v>
      </c>
      <c r="G484" s="861">
        <v>64.330638485083497</v>
      </c>
      <c r="H484" s="861">
        <v>64.940183597318196</v>
      </c>
      <c r="I484" s="861">
        <v>30.694914066710901</v>
      </c>
      <c r="J484" s="861">
        <v>46.313717297135298</v>
      </c>
      <c r="K484" s="982">
        <v>0</v>
      </c>
      <c r="L484" s="735" t="s">
        <v>2466</v>
      </c>
      <c r="M484" s="735">
        <v>3583</v>
      </c>
      <c r="N484" s="845" t="str">
        <f t="shared" si="48"/>
        <v/>
      </c>
      <c r="O484" s="735">
        <v>4.5840422796381102</v>
      </c>
      <c r="P484" s="735">
        <f t="shared" si="49"/>
        <v>781.62455348969036</v>
      </c>
      <c r="Q484" s="849">
        <v>53.3</v>
      </c>
      <c r="R484" s="71">
        <v>59442</v>
      </c>
      <c r="S484" s="845">
        <v>8.2212713936430315E-2</v>
      </c>
      <c r="T484" s="845">
        <v>0.03</v>
      </c>
      <c r="U484" s="845">
        <v>0</v>
      </c>
      <c r="V484" s="845">
        <v>0</v>
      </c>
      <c r="W484" s="845">
        <v>0.47761194029850745</v>
      </c>
      <c r="X484" s="845">
        <v>0.375</v>
      </c>
      <c r="Y484" s="845">
        <v>0.97878872453251464</v>
      </c>
      <c r="Z484" s="845">
        <v>0</v>
      </c>
      <c r="AA484" s="845">
        <v>0</v>
      </c>
      <c r="AB484" s="845">
        <v>0</v>
      </c>
      <c r="AC484" s="845">
        <v>0</v>
      </c>
      <c r="AD484" s="845">
        <v>0</v>
      </c>
      <c r="AE484" s="845">
        <v>2.1211275467485347E-2</v>
      </c>
      <c r="AF484" s="845">
        <v>6.4192017862126707E-3</v>
      </c>
      <c r="AG484" s="845">
        <v>0.97236952274630195</v>
      </c>
      <c r="AH484" s="20" t="str">
        <f t="shared" si="50"/>
        <v>Yes</v>
      </c>
      <c r="AI484" s="25"/>
      <c r="AJ484" s="20">
        <v>43154</v>
      </c>
      <c r="AK484" s="20" t="s">
        <v>828</v>
      </c>
      <c r="AL484" s="20">
        <v>39045</v>
      </c>
      <c r="AM484" s="20" t="s">
        <v>29</v>
      </c>
      <c r="AN484" s="37">
        <f t="shared" si="51"/>
        <v>18140</v>
      </c>
      <c r="AO484" s="37" t="str">
        <f t="shared" si="52"/>
        <v>Columbus, OH</v>
      </c>
      <c r="AP484" s="20" t="s">
        <v>8</v>
      </c>
      <c r="AQ484" s="25"/>
      <c r="AR484" s="25"/>
      <c r="AS484" s="25"/>
      <c r="AT484" s="25"/>
      <c r="AU484" s="36"/>
      <c r="AV484" s="36"/>
      <c r="AW484" s="36"/>
      <c r="AX484" s="25"/>
      <c r="AY484" s="25"/>
      <c r="AZ484" s="25"/>
      <c r="BA484" s="25"/>
      <c r="BB484" s="25"/>
      <c r="BC484" s="25"/>
      <c r="BD484" s="25"/>
      <c r="BE484" s="25"/>
      <c r="BF484" s="25"/>
      <c r="BG484" s="25"/>
      <c r="BH484" s="25"/>
      <c r="BI484" s="25"/>
      <c r="BJ484" s="25"/>
      <c r="BK484" s="25"/>
      <c r="BL484" s="25"/>
      <c r="BM484" s="25"/>
      <c r="BN484" s="25"/>
      <c r="BO484" s="25"/>
      <c r="BP484" s="25"/>
      <c r="BQ484" s="25"/>
      <c r="BR484" s="25"/>
      <c r="BS484" s="25"/>
      <c r="BT484" s="25"/>
      <c r="BU484" s="39">
        <v>43101</v>
      </c>
      <c r="BV484" s="39" t="s">
        <v>790</v>
      </c>
      <c r="BW484" s="39" t="s">
        <v>2882</v>
      </c>
      <c r="BX484" s="39" t="s">
        <v>303</v>
      </c>
      <c r="BY484" s="71">
        <v>800</v>
      </c>
      <c r="BZ484" s="71">
        <v>880</v>
      </c>
      <c r="CA484" s="71">
        <v>1070</v>
      </c>
      <c r="CB484" s="71">
        <v>1340</v>
      </c>
      <c r="CC484" s="71">
        <v>1430</v>
      </c>
      <c r="CD484" s="25"/>
      <c r="CE484" s="200"/>
      <c r="CF484" s="200"/>
      <c r="CG484" s="200"/>
      <c r="CH484" s="200"/>
      <c r="CI484" s="200"/>
      <c r="CJ484" s="200"/>
      <c r="CK484" s="200"/>
      <c r="CL484" s="200"/>
      <c r="CM484" s="200"/>
      <c r="CN484" s="200"/>
      <c r="CO484" s="200"/>
      <c r="CP484" s="200"/>
      <c r="CQ484" s="200"/>
      <c r="CR484" s="200"/>
      <c r="CS484" s="200"/>
      <c r="CT484" s="200"/>
      <c r="CU484" s="200"/>
    </row>
    <row r="485" spans="1:99" s="17" customFormat="1" x14ac:dyDescent="0.2">
      <c r="A485" s="25"/>
      <c r="B485" s="20">
        <v>39049007205</v>
      </c>
      <c r="C485" s="20">
        <v>72.05</v>
      </c>
      <c r="D485" s="20" t="s">
        <v>31</v>
      </c>
      <c r="E485" s="20" t="s">
        <v>2830</v>
      </c>
      <c r="F485" s="20" t="s">
        <v>8</v>
      </c>
      <c r="G485" s="861">
        <v>64.323781542651801</v>
      </c>
      <c r="H485" s="861">
        <v>66.189228861967194</v>
      </c>
      <c r="I485" s="861">
        <v>23.366795608738901</v>
      </c>
      <c r="J485" s="861">
        <v>60.028713897133997</v>
      </c>
      <c r="K485" s="982">
        <v>0</v>
      </c>
      <c r="L485" s="735">
        <v>4127</v>
      </c>
      <c r="M485" s="735">
        <v>5994</v>
      </c>
      <c r="N485" s="845">
        <f t="shared" si="48"/>
        <v>0.45238672158953236</v>
      </c>
      <c r="O485" s="735">
        <v>2.0800636030719075</v>
      </c>
      <c r="P485" s="735">
        <f t="shared" si="49"/>
        <v>2881.6426532091905</v>
      </c>
      <c r="Q485" s="849">
        <v>35.9</v>
      </c>
      <c r="R485" s="71">
        <v>92361</v>
      </c>
      <c r="S485" s="845">
        <v>2.8695362028695361E-2</v>
      </c>
      <c r="T485" s="845">
        <v>6.0000000000000001E-3</v>
      </c>
      <c r="U485" s="845">
        <v>0</v>
      </c>
      <c r="V485" s="845">
        <v>9.3000000000000013E-2</v>
      </c>
      <c r="W485" s="845">
        <v>0.55936525928024938</v>
      </c>
      <c r="X485" s="845">
        <v>0.21073961499493415</v>
      </c>
      <c r="Y485" s="845">
        <v>0.73606940273606936</v>
      </c>
      <c r="Z485" s="845">
        <v>0.14931598264931598</v>
      </c>
      <c r="AA485" s="845">
        <v>0</v>
      </c>
      <c r="AB485" s="845">
        <v>2.2522522522522521E-2</v>
      </c>
      <c r="AC485" s="845">
        <v>0</v>
      </c>
      <c r="AD485" s="845">
        <v>2.2188855522188855E-2</v>
      </c>
      <c r="AE485" s="845">
        <v>6.9903236569903243E-2</v>
      </c>
      <c r="AF485" s="845">
        <v>2.2355689022355688E-2</v>
      </c>
      <c r="AG485" s="845">
        <v>0.73606940273606936</v>
      </c>
      <c r="AH485" s="20" t="str">
        <f t="shared" si="50"/>
        <v>No</v>
      </c>
      <c r="AI485" s="25"/>
      <c r="AJ485" s="20">
        <v>43155</v>
      </c>
      <c r="AK485" s="20" t="s">
        <v>829</v>
      </c>
      <c r="AL485" s="20">
        <v>39045</v>
      </c>
      <c r="AM485" s="20" t="s">
        <v>29</v>
      </c>
      <c r="AN485" s="37">
        <f t="shared" si="51"/>
        <v>18140</v>
      </c>
      <c r="AO485" s="37" t="str">
        <f t="shared" si="52"/>
        <v>Columbus, OH</v>
      </c>
      <c r="AP485" s="20" t="s">
        <v>8</v>
      </c>
      <c r="AQ485" s="25"/>
      <c r="AR485" s="25"/>
      <c r="AS485" s="25"/>
      <c r="AT485" s="25"/>
      <c r="AU485" s="36"/>
      <c r="AV485" s="36"/>
      <c r="AW485" s="36"/>
      <c r="AX485" s="25"/>
      <c r="AY485" s="25"/>
      <c r="AZ485" s="25"/>
      <c r="BA485" s="25"/>
      <c r="BB485" s="25"/>
      <c r="BC485" s="25"/>
      <c r="BD485" s="25"/>
      <c r="BE485" s="25"/>
      <c r="BF485" s="25"/>
      <c r="BG485" s="25"/>
      <c r="BH485" s="25"/>
      <c r="BI485" s="25"/>
      <c r="BJ485" s="25"/>
      <c r="BK485" s="25"/>
      <c r="BL485" s="25"/>
      <c r="BM485" s="25"/>
      <c r="BN485" s="25"/>
      <c r="BO485" s="25"/>
      <c r="BP485" s="25"/>
      <c r="BQ485" s="25"/>
      <c r="BR485" s="25"/>
      <c r="BS485" s="25"/>
      <c r="BT485" s="25"/>
      <c r="BU485" s="39">
        <v>43102</v>
      </c>
      <c r="BV485" s="39" t="s">
        <v>791</v>
      </c>
      <c r="BW485" s="39" t="s">
        <v>2882</v>
      </c>
      <c r="BX485" s="39" t="s">
        <v>303</v>
      </c>
      <c r="BY485" s="71">
        <v>840</v>
      </c>
      <c r="BZ485" s="71">
        <v>900</v>
      </c>
      <c r="CA485" s="71">
        <v>1080</v>
      </c>
      <c r="CB485" s="71">
        <v>1310</v>
      </c>
      <c r="CC485" s="71">
        <v>1460</v>
      </c>
      <c r="CD485" s="25"/>
      <c r="CE485" s="200"/>
      <c r="CF485" s="200"/>
      <c r="CG485" s="200"/>
      <c r="CH485" s="200"/>
      <c r="CI485" s="200"/>
      <c r="CJ485" s="200"/>
      <c r="CK485" s="200"/>
      <c r="CL485" s="200"/>
      <c r="CM485" s="200"/>
      <c r="CN485" s="200"/>
      <c r="CO485" s="200"/>
      <c r="CP485" s="200"/>
      <c r="CQ485" s="200"/>
      <c r="CR485" s="200"/>
      <c r="CS485" s="200"/>
      <c r="CT485" s="200"/>
      <c r="CU485" s="200"/>
    </row>
    <row r="486" spans="1:99" s="17" customFormat="1" x14ac:dyDescent="0.2">
      <c r="A486" s="25"/>
      <c r="B486" s="20">
        <v>39057220102</v>
      </c>
      <c r="C486" s="20">
        <v>2201.02</v>
      </c>
      <c r="D486" s="20" t="s">
        <v>35</v>
      </c>
      <c r="E486" s="20" t="s">
        <v>2833</v>
      </c>
      <c r="F486" s="20" t="s">
        <v>8</v>
      </c>
      <c r="G486" s="861">
        <v>64.104253483102895</v>
      </c>
      <c r="H486" s="861">
        <v>74.094196717381706</v>
      </c>
      <c r="I486" s="861">
        <v>14.6070575797219</v>
      </c>
      <c r="J486" s="861">
        <v>51.9544925519129</v>
      </c>
      <c r="K486" s="982">
        <v>0</v>
      </c>
      <c r="L486" s="735" t="s">
        <v>2466</v>
      </c>
      <c r="M486" s="735">
        <v>4942</v>
      </c>
      <c r="N486" s="845" t="str">
        <f t="shared" si="48"/>
        <v/>
      </c>
      <c r="O486" s="735">
        <v>17.001474574336946</v>
      </c>
      <c r="P486" s="735">
        <f t="shared" si="49"/>
        <v>290.68066880856048</v>
      </c>
      <c r="Q486" s="849">
        <v>44.9</v>
      </c>
      <c r="R486" s="71">
        <v>193848</v>
      </c>
      <c r="S486" s="845">
        <v>4.7551598543099961E-2</v>
      </c>
      <c r="T486" s="845">
        <v>2.8999999999999998E-2</v>
      </c>
      <c r="U486" s="845">
        <v>0</v>
      </c>
      <c r="V486" s="845">
        <v>0</v>
      </c>
      <c r="W486" s="845">
        <v>9.2646207295888822E-2</v>
      </c>
      <c r="X486" s="845">
        <v>0.16250000000000001</v>
      </c>
      <c r="Y486" s="845">
        <v>0.8913395386483205</v>
      </c>
      <c r="Z486" s="845">
        <v>0</v>
      </c>
      <c r="AA486" s="845">
        <v>0</v>
      </c>
      <c r="AB486" s="845">
        <v>5.3217320922703357E-2</v>
      </c>
      <c r="AC486" s="845">
        <v>0</v>
      </c>
      <c r="AD486" s="845">
        <v>3.6422501011736138E-3</v>
      </c>
      <c r="AE486" s="845">
        <v>5.180089032780251E-2</v>
      </c>
      <c r="AF486" s="845">
        <v>1.1533791987049777E-2</v>
      </c>
      <c r="AG486" s="845">
        <v>0.87980574666127076</v>
      </c>
      <c r="AH486" s="20" t="str">
        <f t="shared" si="50"/>
        <v>No</v>
      </c>
      <c r="AI486" s="25"/>
      <c r="AJ486" s="37">
        <v>43157</v>
      </c>
      <c r="AK486" s="37" t="s">
        <v>831</v>
      </c>
      <c r="AL486" s="37">
        <v>39045</v>
      </c>
      <c r="AM486" s="37" t="s">
        <v>29</v>
      </c>
      <c r="AN486" s="37">
        <f t="shared" si="51"/>
        <v>18140</v>
      </c>
      <c r="AO486" s="37" t="str">
        <f t="shared" si="52"/>
        <v>Columbus, OH</v>
      </c>
      <c r="AP486" s="20" t="s">
        <v>8</v>
      </c>
      <c r="AQ486" s="25"/>
      <c r="AR486" s="25"/>
      <c r="AS486" s="25"/>
      <c r="AT486" s="25"/>
      <c r="AU486" s="36"/>
      <c r="AV486" s="36"/>
      <c r="AW486" s="36"/>
      <c r="AX486" s="25"/>
      <c r="AY486" s="25"/>
      <c r="AZ486" s="25"/>
      <c r="BA486" s="25"/>
      <c r="BB486" s="25"/>
      <c r="BC486" s="25"/>
      <c r="BD486" s="25"/>
      <c r="BE486" s="25"/>
      <c r="BF486" s="25"/>
      <c r="BG486" s="25"/>
      <c r="BH486" s="25"/>
      <c r="BI486" s="25"/>
      <c r="BJ486" s="25"/>
      <c r="BK486" s="25"/>
      <c r="BL486" s="25"/>
      <c r="BM486" s="25"/>
      <c r="BN486" s="25"/>
      <c r="BO486" s="25"/>
      <c r="BP486" s="25"/>
      <c r="BQ486" s="25"/>
      <c r="BR486" s="25"/>
      <c r="BS486" s="25"/>
      <c r="BT486" s="25"/>
      <c r="BU486" s="39">
        <v>43103</v>
      </c>
      <c r="BV486" s="39" t="s">
        <v>792</v>
      </c>
      <c r="BW486" s="39" t="s">
        <v>2882</v>
      </c>
      <c r="BX486" s="39" t="s">
        <v>303</v>
      </c>
      <c r="BY486" s="71">
        <v>910</v>
      </c>
      <c r="BZ486" s="71">
        <v>980</v>
      </c>
      <c r="CA486" s="71">
        <v>1170</v>
      </c>
      <c r="CB486" s="71">
        <v>1400</v>
      </c>
      <c r="CC486" s="71">
        <v>1580</v>
      </c>
      <c r="CD486" s="25"/>
      <c r="CE486" s="200"/>
      <c r="CF486" s="200"/>
      <c r="CG486" s="200"/>
      <c r="CH486" s="200"/>
      <c r="CI486" s="200"/>
      <c r="CJ486" s="200"/>
      <c r="CK486" s="200"/>
      <c r="CL486" s="200"/>
      <c r="CM486" s="200"/>
      <c r="CN486" s="200"/>
      <c r="CO486" s="200"/>
      <c r="CP486" s="200"/>
      <c r="CQ486" s="200"/>
      <c r="CR486" s="200"/>
      <c r="CS486" s="200"/>
      <c r="CT486" s="200"/>
      <c r="CU486" s="200"/>
    </row>
    <row r="487" spans="1:99" s="17" customFormat="1" x14ac:dyDescent="0.2">
      <c r="A487" s="25"/>
      <c r="B487" s="20">
        <v>39035104800</v>
      </c>
      <c r="C487" s="20">
        <v>1048</v>
      </c>
      <c r="D487" s="20" t="s">
        <v>24</v>
      </c>
      <c r="E487" s="20" t="s">
        <v>2829</v>
      </c>
      <c r="F487" s="20" t="s">
        <v>8</v>
      </c>
      <c r="G487" s="861">
        <v>64.074074967305506</v>
      </c>
      <c r="H487" s="861">
        <v>72.452279902392505</v>
      </c>
      <c r="I487" s="861">
        <v>74.883234195255298</v>
      </c>
      <c r="J487" s="861">
        <v>52.705080445565997</v>
      </c>
      <c r="K487" s="982">
        <v>0</v>
      </c>
      <c r="L487" s="735">
        <v>2011</v>
      </c>
      <c r="M487" s="735">
        <v>1586</v>
      </c>
      <c r="N487" s="845">
        <f t="shared" si="48"/>
        <v>-0.21133764296369964</v>
      </c>
      <c r="O487" s="735">
        <v>1.2673162426216698</v>
      </c>
      <c r="P487" s="735">
        <f t="shared" si="49"/>
        <v>1251.4634837466267</v>
      </c>
      <c r="Q487" s="849">
        <v>30.7</v>
      </c>
      <c r="R487" s="71">
        <v>53800</v>
      </c>
      <c r="S487" s="845">
        <v>0.14797611147976111</v>
      </c>
      <c r="T487" s="845">
        <v>9.1999999999999998E-2</v>
      </c>
      <c r="U487" s="845">
        <v>0</v>
      </c>
      <c r="V487" s="845">
        <v>8.6999999999999994E-2</v>
      </c>
      <c r="W487" s="845">
        <v>0.68937329700272476</v>
      </c>
      <c r="X487" s="845">
        <v>0.37747035573122528</v>
      </c>
      <c r="Y487" s="845">
        <v>0.68284993694829765</v>
      </c>
      <c r="Z487" s="845">
        <v>0.18348045397225726</v>
      </c>
      <c r="AA487" s="845">
        <v>0</v>
      </c>
      <c r="AB487" s="845">
        <v>2.4590163934426229E-2</v>
      </c>
      <c r="AC487" s="845">
        <v>0</v>
      </c>
      <c r="AD487" s="845">
        <v>6.998738965952081E-2</v>
      </c>
      <c r="AE487" s="845">
        <v>3.9092055485498108E-2</v>
      </c>
      <c r="AF487" s="845">
        <v>0.14754098360655737</v>
      </c>
      <c r="AG487" s="845">
        <v>0.64754098360655743</v>
      </c>
      <c r="AH487" s="20" t="str">
        <f t="shared" si="50"/>
        <v>No</v>
      </c>
      <c r="AI487" s="25"/>
      <c r="AJ487" s="37">
        <v>43002</v>
      </c>
      <c r="AK487" s="37" t="s">
        <v>729</v>
      </c>
      <c r="AL487" s="37">
        <v>39049</v>
      </c>
      <c r="AM487" s="37" t="s">
        <v>31</v>
      </c>
      <c r="AN487" s="37">
        <f t="shared" si="51"/>
        <v>18140</v>
      </c>
      <c r="AO487" s="37" t="str">
        <f t="shared" si="52"/>
        <v>Columbus, OH</v>
      </c>
      <c r="AP487" s="20" t="s">
        <v>8</v>
      </c>
      <c r="AQ487" s="25"/>
      <c r="AR487" s="25"/>
      <c r="AS487" s="25"/>
      <c r="AT487" s="25"/>
      <c r="AU487" s="36"/>
      <c r="AV487" s="36"/>
      <c r="AW487" s="36"/>
      <c r="AX487" s="25"/>
      <c r="AY487" s="25"/>
      <c r="AZ487" s="25"/>
      <c r="BA487" s="25"/>
      <c r="BB487" s="25"/>
      <c r="BC487" s="25"/>
      <c r="BD487" s="25"/>
      <c r="BE487" s="25"/>
      <c r="BF487" s="25"/>
      <c r="BG487" s="25"/>
      <c r="BH487" s="25"/>
      <c r="BI487" s="25"/>
      <c r="BJ487" s="25"/>
      <c r="BK487" s="25"/>
      <c r="BL487" s="25"/>
      <c r="BM487" s="25"/>
      <c r="BN487" s="25"/>
      <c r="BO487" s="25"/>
      <c r="BP487" s="25"/>
      <c r="BQ487" s="25"/>
      <c r="BR487" s="25"/>
      <c r="BS487" s="25"/>
      <c r="BT487" s="25"/>
      <c r="BU487" s="39">
        <v>43105</v>
      </c>
      <c r="BV487" s="39" t="s">
        <v>793</v>
      </c>
      <c r="BW487" s="39" t="s">
        <v>2882</v>
      </c>
      <c r="BX487" s="39" t="s">
        <v>303</v>
      </c>
      <c r="BY487" s="71">
        <v>810</v>
      </c>
      <c r="BZ487" s="71">
        <v>870</v>
      </c>
      <c r="CA487" s="71">
        <v>1070</v>
      </c>
      <c r="CB487" s="71">
        <v>1280</v>
      </c>
      <c r="CC487" s="71">
        <v>1430</v>
      </c>
      <c r="CD487" s="25"/>
      <c r="CE487" s="200"/>
      <c r="CF487" s="200"/>
      <c r="CG487" s="200"/>
      <c r="CH487" s="200"/>
      <c r="CI487" s="200"/>
      <c r="CJ487" s="200"/>
      <c r="CK487" s="200"/>
      <c r="CL487" s="200"/>
      <c r="CM487" s="200"/>
      <c r="CN487" s="200"/>
      <c r="CO487" s="200"/>
      <c r="CP487" s="200"/>
      <c r="CQ487" s="200"/>
      <c r="CR487" s="200"/>
      <c r="CS487" s="200"/>
      <c r="CT487" s="200"/>
      <c r="CU487" s="200"/>
    </row>
    <row r="488" spans="1:99" s="17" customFormat="1" x14ac:dyDescent="0.2">
      <c r="A488" s="25"/>
      <c r="B488" s="20">
        <v>39133600302</v>
      </c>
      <c r="C488" s="20">
        <v>6003.02</v>
      </c>
      <c r="D488" s="20" t="s">
        <v>72</v>
      </c>
      <c r="E488" s="20" t="s">
        <v>2843</v>
      </c>
      <c r="F488" s="20" t="s">
        <v>8</v>
      </c>
      <c r="G488" s="861">
        <v>64.0721995154654</v>
      </c>
      <c r="H488" s="861">
        <v>49.839108648789903</v>
      </c>
      <c r="I488" s="861">
        <v>19.044459551211201</v>
      </c>
      <c r="J488" s="861">
        <v>39.777367123545197</v>
      </c>
      <c r="K488" s="982">
        <v>0</v>
      </c>
      <c r="L488" s="735">
        <v>6825</v>
      </c>
      <c r="M488" s="735">
        <v>7455</v>
      </c>
      <c r="N488" s="845">
        <f t="shared" si="48"/>
        <v>9.2307692307692313E-2</v>
      </c>
      <c r="O488" s="735">
        <v>12.707849458042494</v>
      </c>
      <c r="P488" s="735">
        <f t="shared" si="49"/>
        <v>586.64528759285145</v>
      </c>
      <c r="Q488" s="849">
        <v>48.4</v>
      </c>
      <c r="R488" s="71">
        <v>138681</v>
      </c>
      <c r="S488" s="845">
        <v>3.1875766244380876E-2</v>
      </c>
      <c r="T488" s="845">
        <v>5.5999999999999994E-2</v>
      </c>
      <c r="U488" s="845">
        <v>0</v>
      </c>
      <c r="V488" s="845">
        <v>0</v>
      </c>
      <c r="W488" s="845">
        <v>6.7442656624443681E-2</v>
      </c>
      <c r="X488" s="845">
        <v>0.27411167512690354</v>
      </c>
      <c r="Y488" s="845">
        <v>0.87645875251509053</v>
      </c>
      <c r="Z488" s="845">
        <v>2.6291079812206571E-2</v>
      </c>
      <c r="AA488" s="845">
        <v>0</v>
      </c>
      <c r="AB488" s="845">
        <v>2.6693494299128102E-2</v>
      </c>
      <c r="AC488" s="845">
        <v>0</v>
      </c>
      <c r="AD488" s="845">
        <v>0</v>
      </c>
      <c r="AE488" s="845">
        <v>7.0556673373574783E-2</v>
      </c>
      <c r="AF488" s="845">
        <v>0</v>
      </c>
      <c r="AG488" s="845">
        <v>0.87645875251509053</v>
      </c>
      <c r="AH488" s="20" t="str">
        <f t="shared" si="50"/>
        <v>No</v>
      </c>
      <c r="AI488" s="25"/>
      <c r="AJ488" s="20">
        <v>43004</v>
      </c>
      <c r="AK488" s="20" t="s">
        <v>731</v>
      </c>
      <c r="AL488" s="20">
        <v>39049</v>
      </c>
      <c r="AM488" s="20" t="s">
        <v>31</v>
      </c>
      <c r="AN488" s="37">
        <f t="shared" si="51"/>
        <v>18140</v>
      </c>
      <c r="AO488" s="37" t="str">
        <f t="shared" si="52"/>
        <v>Columbus, OH</v>
      </c>
      <c r="AP488" s="20" t="s">
        <v>8</v>
      </c>
      <c r="AQ488" s="25"/>
      <c r="AR488" s="25"/>
      <c r="AS488" s="25"/>
      <c r="AT488" s="25"/>
      <c r="AU488" s="36"/>
      <c r="AV488" s="36"/>
      <c r="AW488" s="36"/>
      <c r="AX488" s="25"/>
      <c r="AY488" s="25"/>
      <c r="AZ488" s="25"/>
      <c r="BA488" s="25"/>
      <c r="BB488" s="25"/>
      <c r="BC488" s="25"/>
      <c r="BD488" s="25"/>
      <c r="BE488" s="25"/>
      <c r="BF488" s="25"/>
      <c r="BG488" s="25"/>
      <c r="BH488" s="25"/>
      <c r="BI488" s="25"/>
      <c r="BJ488" s="25"/>
      <c r="BK488" s="25"/>
      <c r="BL488" s="25"/>
      <c r="BM488" s="25"/>
      <c r="BN488" s="25"/>
      <c r="BO488" s="25"/>
      <c r="BP488" s="25"/>
      <c r="BQ488" s="25"/>
      <c r="BR488" s="25"/>
      <c r="BS488" s="25"/>
      <c r="BT488" s="25"/>
      <c r="BU488" s="39">
        <v>43107</v>
      </c>
      <c r="BV488" s="39" t="s">
        <v>795</v>
      </c>
      <c r="BW488" s="39" t="s">
        <v>2882</v>
      </c>
      <c r="BX488" s="39" t="s">
        <v>303</v>
      </c>
      <c r="BY488" s="71">
        <v>890</v>
      </c>
      <c r="BZ488" s="71">
        <v>950</v>
      </c>
      <c r="CA488" s="71">
        <v>1140</v>
      </c>
      <c r="CB488" s="71">
        <v>1370</v>
      </c>
      <c r="CC488" s="71">
        <v>1540</v>
      </c>
      <c r="CD488" s="25"/>
      <c r="CE488" s="200"/>
      <c r="CF488" s="200"/>
      <c r="CG488" s="200"/>
      <c r="CH488" s="200"/>
      <c r="CI488" s="200"/>
      <c r="CJ488" s="200"/>
      <c r="CK488" s="200"/>
      <c r="CL488" s="200"/>
      <c r="CM488" s="200"/>
      <c r="CN488" s="200"/>
      <c r="CO488" s="200"/>
      <c r="CP488" s="200"/>
      <c r="CQ488" s="200"/>
      <c r="CR488" s="200"/>
      <c r="CS488" s="200"/>
      <c r="CT488" s="200"/>
      <c r="CU488" s="200"/>
    </row>
    <row r="489" spans="1:99" s="17" customFormat="1" x14ac:dyDescent="0.2">
      <c r="A489" s="25"/>
      <c r="B489" s="20">
        <v>39103407000</v>
      </c>
      <c r="C489" s="20">
        <v>4070</v>
      </c>
      <c r="D489" s="20" t="s">
        <v>57</v>
      </c>
      <c r="E489" s="20" t="s">
        <v>2829</v>
      </c>
      <c r="F489" s="20" t="s">
        <v>8</v>
      </c>
      <c r="G489" s="861">
        <v>64.066082099339297</v>
      </c>
      <c r="H489" s="861">
        <v>69.2206722688844</v>
      </c>
      <c r="I489" s="861">
        <v>14.839347964293699</v>
      </c>
      <c r="J489" s="861">
        <v>58.319329167919904</v>
      </c>
      <c r="K489" s="982">
        <v>0</v>
      </c>
      <c r="L489" s="735">
        <v>6761</v>
      </c>
      <c r="M489" s="735">
        <v>7820</v>
      </c>
      <c r="N489" s="845">
        <f t="shared" si="48"/>
        <v>0.15663363407779915</v>
      </c>
      <c r="O489" s="735">
        <v>16.69488320546769</v>
      </c>
      <c r="P489" s="735">
        <f t="shared" si="49"/>
        <v>468.40699055857402</v>
      </c>
      <c r="Q489" s="849">
        <v>43.5</v>
      </c>
      <c r="R489" s="71">
        <v>154706</v>
      </c>
      <c r="S489" s="845">
        <v>3.4782608695652174E-2</v>
      </c>
      <c r="T489" s="845">
        <v>1.3000000000000001E-2</v>
      </c>
      <c r="U489" s="845">
        <v>5.0000000000000001E-3</v>
      </c>
      <c r="V489" s="845">
        <v>0.23600000000000002</v>
      </c>
      <c r="W489" s="845">
        <v>6.5484804630969604E-2</v>
      </c>
      <c r="X489" s="845">
        <v>0.24861878453038674</v>
      </c>
      <c r="Y489" s="845">
        <v>0.96176470588235297</v>
      </c>
      <c r="Z489" s="845">
        <v>0</v>
      </c>
      <c r="AA489" s="845">
        <v>0</v>
      </c>
      <c r="AB489" s="845">
        <v>0</v>
      </c>
      <c r="AC489" s="845">
        <v>0</v>
      </c>
      <c r="AD489" s="845">
        <v>9.0792838874680301E-3</v>
      </c>
      <c r="AE489" s="845">
        <v>2.9156010230179028E-2</v>
      </c>
      <c r="AF489" s="845">
        <v>2.877237851662404E-2</v>
      </c>
      <c r="AG489" s="845">
        <v>0.95524296675191811</v>
      </c>
      <c r="AH489" s="20" t="str">
        <f t="shared" si="50"/>
        <v>Yes</v>
      </c>
      <c r="AI489" s="25"/>
      <c r="AJ489" s="20">
        <v>43016</v>
      </c>
      <c r="AK489" s="20" t="s">
        <v>742</v>
      </c>
      <c r="AL489" s="20">
        <v>39049</v>
      </c>
      <c r="AM489" s="20" t="s">
        <v>31</v>
      </c>
      <c r="AN489" s="37">
        <f t="shared" si="51"/>
        <v>18140</v>
      </c>
      <c r="AO489" s="37" t="str">
        <f t="shared" si="52"/>
        <v>Columbus, OH</v>
      </c>
      <c r="AP489" s="20" t="s">
        <v>8</v>
      </c>
      <c r="AQ489" s="25"/>
      <c r="AR489" s="25"/>
      <c r="AS489" s="25"/>
      <c r="AT489" s="25"/>
      <c r="AU489" s="36"/>
      <c r="AV489" s="36"/>
      <c r="AW489" s="36"/>
      <c r="AX489" s="25"/>
      <c r="AY489" s="25"/>
      <c r="AZ489" s="25"/>
      <c r="BA489" s="25"/>
      <c r="BB489" s="25"/>
      <c r="BC489" s="25"/>
      <c r="BD489" s="25"/>
      <c r="BE489" s="25"/>
      <c r="BF489" s="25"/>
      <c r="BG489" s="25"/>
      <c r="BH489" s="25"/>
      <c r="BI489" s="25"/>
      <c r="BJ489" s="25"/>
      <c r="BK489" s="25"/>
      <c r="BL489" s="25"/>
      <c r="BM489" s="25"/>
      <c r="BN489" s="25"/>
      <c r="BO489" s="25"/>
      <c r="BP489" s="25"/>
      <c r="BQ489" s="25"/>
      <c r="BR489" s="25"/>
      <c r="BS489" s="25"/>
      <c r="BT489" s="25"/>
      <c r="BU489" s="39">
        <v>43109</v>
      </c>
      <c r="BV489" s="39" t="s">
        <v>796</v>
      </c>
      <c r="BW489" s="39" t="s">
        <v>2882</v>
      </c>
      <c r="BX489" s="39" t="s">
        <v>303</v>
      </c>
      <c r="BY489" s="71">
        <v>1030</v>
      </c>
      <c r="BZ489" s="71">
        <v>1100</v>
      </c>
      <c r="CA489" s="71">
        <v>1320</v>
      </c>
      <c r="CB489" s="71">
        <v>1580</v>
      </c>
      <c r="CC489" s="71">
        <v>1780</v>
      </c>
      <c r="CD489" s="25"/>
      <c r="CE489" s="200"/>
      <c r="CF489" s="200"/>
      <c r="CG489" s="200"/>
      <c r="CH489" s="200"/>
      <c r="CI489" s="200"/>
      <c r="CJ489" s="200"/>
      <c r="CK489" s="200"/>
      <c r="CL489" s="200"/>
      <c r="CM489" s="200"/>
      <c r="CN489" s="200"/>
      <c r="CO489" s="200"/>
      <c r="CP489" s="200"/>
      <c r="CQ489" s="200"/>
      <c r="CR489" s="200"/>
      <c r="CS489" s="200"/>
      <c r="CT489" s="200"/>
      <c r="CU489" s="200"/>
    </row>
    <row r="490" spans="1:99" s="17" customFormat="1" x14ac:dyDescent="0.2">
      <c r="A490" s="25"/>
      <c r="B490" s="20">
        <v>39061005600</v>
      </c>
      <c r="C490" s="20">
        <v>56</v>
      </c>
      <c r="D490" s="20" t="s">
        <v>37</v>
      </c>
      <c r="E490" s="20" t="s">
        <v>2828</v>
      </c>
      <c r="F490" s="20" t="s">
        <v>8</v>
      </c>
      <c r="G490" s="861">
        <v>64.032975592881698</v>
      </c>
      <c r="H490" s="861">
        <v>54.817106515153903</v>
      </c>
      <c r="I490" s="861">
        <v>32.048878907629899</v>
      </c>
      <c r="J490" s="861">
        <v>61.889134774806898</v>
      </c>
      <c r="K490" s="982">
        <v>0</v>
      </c>
      <c r="L490" s="735">
        <v>5772</v>
      </c>
      <c r="M490" s="735">
        <v>5258</v>
      </c>
      <c r="N490" s="845">
        <f t="shared" si="48"/>
        <v>-8.9050589050589046E-2</v>
      </c>
      <c r="O490" s="735">
        <v>0.89639600700715194</v>
      </c>
      <c r="P490" s="735">
        <f t="shared" si="49"/>
        <v>5865.7110907434562</v>
      </c>
      <c r="Q490" s="849">
        <v>34.799999999999997</v>
      </c>
      <c r="R490" s="71">
        <v>69318</v>
      </c>
      <c r="S490" s="845">
        <v>9.851654621529099E-2</v>
      </c>
      <c r="T490" s="845">
        <v>1.8000000000000002E-2</v>
      </c>
      <c r="U490" s="845">
        <v>0</v>
      </c>
      <c r="V490" s="845">
        <v>0</v>
      </c>
      <c r="W490" s="845">
        <v>0.27364591754244139</v>
      </c>
      <c r="X490" s="845">
        <v>0.43574593796159528</v>
      </c>
      <c r="Y490" s="845">
        <v>0.7502852795739825</v>
      </c>
      <c r="Z490" s="845">
        <v>0.14454165081780146</v>
      </c>
      <c r="AA490" s="845">
        <v>0</v>
      </c>
      <c r="AB490" s="845">
        <v>5.8957778623050586E-3</v>
      </c>
      <c r="AC490" s="845">
        <v>0</v>
      </c>
      <c r="AD490" s="845">
        <v>4.5644731837200456E-3</v>
      </c>
      <c r="AE490" s="845">
        <v>9.4712818562190951E-2</v>
      </c>
      <c r="AF490" s="845">
        <v>2.8337771015595283E-2</v>
      </c>
      <c r="AG490" s="845">
        <v>0.7502852795739825</v>
      </c>
      <c r="AH490" s="20" t="str">
        <f t="shared" si="50"/>
        <v>No</v>
      </c>
      <c r="AI490" s="25"/>
      <c r="AJ490" s="20">
        <v>43017</v>
      </c>
      <c r="AK490" s="20" t="s">
        <v>743</v>
      </c>
      <c r="AL490" s="20">
        <v>39049</v>
      </c>
      <c r="AM490" s="20" t="s">
        <v>31</v>
      </c>
      <c r="AN490" s="37">
        <f t="shared" si="51"/>
        <v>18140</v>
      </c>
      <c r="AO490" s="37" t="str">
        <f t="shared" si="52"/>
        <v>Columbus, OH</v>
      </c>
      <c r="AP490" s="20" t="s">
        <v>8</v>
      </c>
      <c r="AQ490" s="25"/>
      <c r="AR490" s="25"/>
      <c r="AS490" s="25"/>
      <c r="AT490" s="25"/>
      <c r="AU490" s="36"/>
      <c r="AV490" s="36"/>
      <c r="AW490" s="36"/>
      <c r="AX490" s="25"/>
      <c r="AY490" s="25"/>
      <c r="AZ490" s="25"/>
      <c r="BA490" s="25"/>
      <c r="BB490" s="25"/>
      <c r="BC490" s="25"/>
      <c r="BD490" s="25"/>
      <c r="BE490" s="25"/>
      <c r="BF490" s="25"/>
      <c r="BG490" s="25"/>
      <c r="BH490" s="25"/>
      <c r="BI490" s="25"/>
      <c r="BJ490" s="25"/>
      <c r="BK490" s="25"/>
      <c r="BL490" s="25"/>
      <c r="BM490" s="25"/>
      <c r="BN490" s="25"/>
      <c r="BO490" s="25"/>
      <c r="BP490" s="25"/>
      <c r="BQ490" s="25"/>
      <c r="BR490" s="25"/>
      <c r="BS490" s="25"/>
      <c r="BT490" s="25"/>
      <c r="BU490" s="39">
        <v>43110</v>
      </c>
      <c r="BV490" s="39" t="s">
        <v>797</v>
      </c>
      <c r="BW490" s="39" t="s">
        <v>2882</v>
      </c>
      <c r="BX490" s="39" t="s">
        <v>303</v>
      </c>
      <c r="BY490" s="71">
        <v>1110</v>
      </c>
      <c r="BZ490" s="71">
        <v>1190</v>
      </c>
      <c r="CA490" s="71">
        <v>1430</v>
      </c>
      <c r="CB490" s="71">
        <v>1710</v>
      </c>
      <c r="CC490" s="71">
        <v>1930</v>
      </c>
      <c r="CD490" s="25"/>
      <c r="CE490" s="200"/>
      <c r="CF490" s="200"/>
      <c r="CG490" s="200"/>
      <c r="CH490" s="200"/>
      <c r="CI490" s="200"/>
      <c r="CJ490" s="200"/>
      <c r="CK490" s="200"/>
      <c r="CL490" s="200"/>
      <c r="CM490" s="200"/>
      <c r="CN490" s="200"/>
      <c r="CO490" s="200"/>
      <c r="CP490" s="200"/>
      <c r="CQ490" s="200"/>
      <c r="CR490" s="200"/>
      <c r="CS490" s="200"/>
      <c r="CT490" s="200"/>
      <c r="CU490" s="200"/>
    </row>
    <row r="491" spans="1:99" s="17" customFormat="1" x14ac:dyDescent="0.2">
      <c r="A491" s="25"/>
      <c r="B491" s="20">
        <v>39165031200</v>
      </c>
      <c r="C491" s="20">
        <v>312</v>
      </c>
      <c r="D491" s="20" t="s">
        <v>88</v>
      </c>
      <c r="E491" s="20" t="s">
        <v>2828</v>
      </c>
      <c r="F491" s="20" t="s">
        <v>8</v>
      </c>
      <c r="G491" s="861">
        <v>64.014980160458094</v>
      </c>
      <c r="H491" s="861">
        <v>70.186432917392906</v>
      </c>
      <c r="I491" s="861">
        <v>18.5678019695419</v>
      </c>
      <c r="J491" s="861">
        <v>58.615453367913503</v>
      </c>
      <c r="K491" s="982">
        <v>0</v>
      </c>
      <c r="L491" s="735">
        <v>8201</v>
      </c>
      <c r="M491" s="735">
        <v>7940</v>
      </c>
      <c r="N491" s="845">
        <f t="shared" si="48"/>
        <v>-3.1825387147908793E-2</v>
      </c>
      <c r="O491" s="735">
        <v>26.35769513243055</v>
      </c>
      <c r="P491" s="735">
        <f t="shared" si="49"/>
        <v>301.24030041726263</v>
      </c>
      <c r="Q491" s="849">
        <v>40.799999999999997</v>
      </c>
      <c r="R491" s="71">
        <v>123006</v>
      </c>
      <c r="S491" s="845">
        <v>3.8107416879795394E-2</v>
      </c>
      <c r="T491" s="845">
        <v>1.4999999999999999E-2</v>
      </c>
      <c r="U491" s="845">
        <v>1.9E-2</v>
      </c>
      <c r="V491" s="845">
        <v>0</v>
      </c>
      <c r="W491" s="845">
        <v>8.2196830077405081E-2</v>
      </c>
      <c r="X491" s="845">
        <v>0.47982062780269058</v>
      </c>
      <c r="Y491" s="845">
        <v>0.96020151133501264</v>
      </c>
      <c r="Z491" s="845">
        <v>1.2846347607052897E-2</v>
      </c>
      <c r="AA491" s="845">
        <v>0</v>
      </c>
      <c r="AB491" s="845">
        <v>1.3476070528967255E-2</v>
      </c>
      <c r="AC491" s="845">
        <v>0</v>
      </c>
      <c r="AD491" s="845">
        <v>5.5415617128463475E-3</v>
      </c>
      <c r="AE491" s="845">
        <v>7.9345088161209068E-3</v>
      </c>
      <c r="AF491" s="845">
        <v>4.2821158690176326E-3</v>
      </c>
      <c r="AG491" s="845">
        <v>0.95591939546599491</v>
      </c>
      <c r="AH491" s="20" t="str">
        <f t="shared" si="50"/>
        <v>Yes</v>
      </c>
      <c r="AI491" s="25"/>
      <c r="AJ491" s="20">
        <v>43026</v>
      </c>
      <c r="AK491" s="20" t="s">
        <v>750</v>
      </c>
      <c r="AL491" s="20">
        <v>39049</v>
      </c>
      <c r="AM491" s="20" t="s">
        <v>31</v>
      </c>
      <c r="AN491" s="37">
        <f t="shared" si="51"/>
        <v>18140</v>
      </c>
      <c r="AO491" s="37" t="str">
        <f t="shared" si="52"/>
        <v>Columbus, OH</v>
      </c>
      <c r="AP491" s="20" t="s">
        <v>8</v>
      </c>
      <c r="AQ491" s="25"/>
      <c r="AR491" s="25"/>
      <c r="AS491" s="25"/>
      <c r="AT491" s="25"/>
      <c r="AU491" s="36"/>
      <c r="AV491" s="36"/>
      <c r="AW491" s="36"/>
      <c r="AX491" s="25"/>
      <c r="AY491" s="25"/>
      <c r="AZ491" s="25"/>
      <c r="BA491" s="25"/>
      <c r="BB491" s="25"/>
      <c r="BC491" s="25"/>
      <c r="BD491" s="25"/>
      <c r="BE491" s="25"/>
      <c r="BF491" s="25"/>
      <c r="BG491" s="25"/>
      <c r="BH491" s="25"/>
      <c r="BI491" s="25"/>
      <c r="BJ491" s="25"/>
      <c r="BK491" s="25"/>
      <c r="BL491" s="25"/>
      <c r="BM491" s="25"/>
      <c r="BN491" s="25"/>
      <c r="BO491" s="25"/>
      <c r="BP491" s="25"/>
      <c r="BQ491" s="25"/>
      <c r="BR491" s="25"/>
      <c r="BS491" s="25"/>
      <c r="BT491" s="25"/>
      <c r="BU491" s="39">
        <v>43112</v>
      </c>
      <c r="BV491" s="39" t="s">
        <v>799</v>
      </c>
      <c r="BW491" s="39" t="s">
        <v>2882</v>
      </c>
      <c r="BX491" s="39" t="s">
        <v>303</v>
      </c>
      <c r="BY491" s="71">
        <v>960</v>
      </c>
      <c r="BZ491" s="71">
        <v>1040</v>
      </c>
      <c r="CA491" s="71">
        <v>1240</v>
      </c>
      <c r="CB491" s="71">
        <v>1490</v>
      </c>
      <c r="CC491" s="71">
        <v>1670</v>
      </c>
      <c r="CD491" s="25"/>
      <c r="CE491" s="200"/>
      <c r="CF491" s="200"/>
      <c r="CG491" s="200"/>
      <c r="CH491" s="200"/>
      <c r="CI491" s="200"/>
      <c r="CJ491" s="200"/>
      <c r="CK491" s="200"/>
      <c r="CL491" s="200"/>
      <c r="CM491" s="200"/>
      <c r="CN491" s="200"/>
      <c r="CO491" s="200"/>
      <c r="CP491" s="200"/>
      <c r="CQ491" s="200"/>
      <c r="CR491" s="200"/>
      <c r="CS491" s="200"/>
      <c r="CT491" s="200"/>
      <c r="CU491" s="200"/>
    </row>
    <row r="492" spans="1:99" s="17" customFormat="1" x14ac:dyDescent="0.2">
      <c r="A492" s="25"/>
      <c r="B492" s="20">
        <v>39049005300</v>
      </c>
      <c r="C492" s="20">
        <v>53</v>
      </c>
      <c r="D492" s="20" t="s">
        <v>31</v>
      </c>
      <c r="E492" s="20" t="s">
        <v>2830</v>
      </c>
      <c r="F492" s="20" t="s">
        <v>6</v>
      </c>
      <c r="G492" s="861">
        <v>64.004924372887302</v>
      </c>
      <c r="H492" s="861">
        <v>83.870807968425495</v>
      </c>
      <c r="I492" s="861">
        <v>67.1633822601367</v>
      </c>
      <c r="J492" s="861">
        <v>51.708385816589903</v>
      </c>
      <c r="K492" s="982">
        <v>1</v>
      </c>
      <c r="L492" s="735">
        <v>2969</v>
      </c>
      <c r="M492" s="735">
        <v>2945</v>
      </c>
      <c r="N492" s="845">
        <f t="shared" si="48"/>
        <v>-8.0835298080161669E-3</v>
      </c>
      <c r="O492" s="735">
        <v>0.56761843590085059</v>
      </c>
      <c r="P492" s="735">
        <f t="shared" si="49"/>
        <v>5188.3445176090463</v>
      </c>
      <c r="Q492" s="849">
        <v>30.7</v>
      </c>
      <c r="R492" s="71">
        <v>61667</v>
      </c>
      <c r="S492" s="845">
        <v>0.2826685006877579</v>
      </c>
      <c r="T492" s="845">
        <v>9.6000000000000002E-2</v>
      </c>
      <c r="U492" s="845">
        <v>7.400000000000001E-2</v>
      </c>
      <c r="V492" s="845">
        <v>4.8000000000000001E-2</v>
      </c>
      <c r="W492" s="845">
        <v>0.6330578512396694</v>
      </c>
      <c r="X492" s="845">
        <v>0.48563968668407309</v>
      </c>
      <c r="Y492" s="845">
        <v>0.42207130730050935</v>
      </c>
      <c r="Z492" s="845">
        <v>0.48251273344651952</v>
      </c>
      <c r="AA492" s="845">
        <v>1.2224108658743633E-2</v>
      </c>
      <c r="AB492" s="845">
        <v>1.3582342954159592E-2</v>
      </c>
      <c r="AC492" s="845">
        <v>0</v>
      </c>
      <c r="AD492" s="845">
        <v>0</v>
      </c>
      <c r="AE492" s="845">
        <v>6.9609507640067916E-2</v>
      </c>
      <c r="AF492" s="845">
        <v>3.0560271646859084E-2</v>
      </c>
      <c r="AG492" s="845">
        <v>0.41256366723259763</v>
      </c>
      <c r="AH492" s="20" t="str">
        <f t="shared" si="50"/>
        <v>No</v>
      </c>
      <c r="AI492" s="25"/>
      <c r="AJ492" s="20">
        <v>43064</v>
      </c>
      <c r="AK492" s="20" t="s">
        <v>773</v>
      </c>
      <c r="AL492" s="20">
        <v>39049</v>
      </c>
      <c r="AM492" s="20" t="s">
        <v>31</v>
      </c>
      <c r="AN492" s="37">
        <f t="shared" si="51"/>
        <v>18140</v>
      </c>
      <c r="AO492" s="37" t="str">
        <f t="shared" si="52"/>
        <v>Columbus, OH</v>
      </c>
      <c r="AP492" s="20" t="s">
        <v>8</v>
      </c>
      <c r="AQ492" s="25"/>
      <c r="AR492" s="25"/>
      <c r="AS492" s="25"/>
      <c r="AT492" s="25"/>
      <c r="AU492" s="36"/>
      <c r="AV492" s="36"/>
      <c r="AW492" s="36"/>
      <c r="AX492" s="25"/>
      <c r="AY492" s="25"/>
      <c r="AZ492" s="25"/>
      <c r="BA492" s="25"/>
      <c r="BB492" s="25"/>
      <c r="BC492" s="25"/>
      <c r="BD492" s="25"/>
      <c r="BE492" s="25"/>
      <c r="BF492" s="25"/>
      <c r="BG492" s="25"/>
      <c r="BH492" s="25"/>
      <c r="BI492" s="25"/>
      <c r="BJ492" s="25"/>
      <c r="BK492" s="25"/>
      <c r="BL492" s="25"/>
      <c r="BM492" s="25"/>
      <c r="BN492" s="25"/>
      <c r="BO492" s="25"/>
      <c r="BP492" s="25"/>
      <c r="BQ492" s="25"/>
      <c r="BR492" s="25"/>
      <c r="BS492" s="25"/>
      <c r="BT492" s="25"/>
      <c r="BU492" s="39">
        <v>43113</v>
      </c>
      <c r="BV492" s="39" t="s">
        <v>800</v>
      </c>
      <c r="BW492" s="39" t="s">
        <v>2882</v>
      </c>
      <c r="BX492" s="39" t="s">
        <v>303</v>
      </c>
      <c r="BY492" s="71">
        <v>870</v>
      </c>
      <c r="BZ492" s="71">
        <v>930</v>
      </c>
      <c r="CA492" s="71">
        <v>1120</v>
      </c>
      <c r="CB492" s="71">
        <v>1340</v>
      </c>
      <c r="CC492" s="71">
        <v>1510</v>
      </c>
      <c r="CD492" s="25"/>
      <c r="CE492" s="200"/>
      <c r="CF492" s="200"/>
      <c r="CG492" s="200"/>
      <c r="CH492" s="200"/>
      <c r="CI492" s="200"/>
      <c r="CJ492" s="200"/>
      <c r="CK492" s="200"/>
      <c r="CL492" s="200"/>
      <c r="CM492" s="200"/>
      <c r="CN492" s="200"/>
      <c r="CO492" s="200"/>
      <c r="CP492" s="200"/>
      <c r="CQ492" s="200"/>
      <c r="CR492" s="200"/>
      <c r="CS492" s="200"/>
      <c r="CT492" s="200"/>
      <c r="CU492" s="200"/>
    </row>
    <row r="493" spans="1:99" s="17" customFormat="1" x14ac:dyDescent="0.2">
      <c r="A493" s="25"/>
      <c r="B493" s="20">
        <v>39069000200</v>
      </c>
      <c r="C493" s="20">
        <v>2</v>
      </c>
      <c r="D493" s="20" t="s">
        <v>41</v>
      </c>
      <c r="E493" s="20" t="s">
        <v>265</v>
      </c>
      <c r="F493" s="20" t="s">
        <v>8</v>
      </c>
      <c r="G493" s="861">
        <v>63.941886942838501</v>
      </c>
      <c r="H493" s="861">
        <v>68.502338984654301</v>
      </c>
      <c r="I493" s="861">
        <v>19.339750795611199</v>
      </c>
      <c r="J493" s="861">
        <v>40.950953772440897</v>
      </c>
      <c r="K493" s="982">
        <v>0</v>
      </c>
      <c r="L493" s="735">
        <v>3657</v>
      </c>
      <c r="M493" s="735">
        <v>3665</v>
      </c>
      <c r="N493" s="845">
        <f t="shared" si="48"/>
        <v>2.1875854525567405E-3</v>
      </c>
      <c r="O493" s="735">
        <v>82.540102857846719</v>
      </c>
      <c r="P493" s="735">
        <f t="shared" si="49"/>
        <v>44.402658503006514</v>
      </c>
      <c r="Q493" s="849">
        <v>43.4</v>
      </c>
      <c r="R493" s="71">
        <v>84591</v>
      </c>
      <c r="S493" s="845">
        <v>4.4242923880186864E-2</v>
      </c>
      <c r="T493" s="845">
        <v>0</v>
      </c>
      <c r="U493" s="845">
        <v>0</v>
      </c>
      <c r="V493" s="845">
        <v>0</v>
      </c>
      <c r="W493" s="845">
        <v>0.14676966292134833</v>
      </c>
      <c r="X493" s="845">
        <v>0.12440191387559808</v>
      </c>
      <c r="Y493" s="845">
        <v>0.91214188267394269</v>
      </c>
      <c r="Z493" s="845">
        <v>0</v>
      </c>
      <c r="AA493" s="845">
        <v>2.9195088676671213E-2</v>
      </c>
      <c r="AB493" s="845">
        <v>0</v>
      </c>
      <c r="AC493" s="845">
        <v>0</v>
      </c>
      <c r="AD493" s="845">
        <v>2.0190995907230558E-2</v>
      </c>
      <c r="AE493" s="845">
        <v>3.8472032742155528E-2</v>
      </c>
      <c r="AF493" s="845">
        <v>9.085948158253751E-2</v>
      </c>
      <c r="AG493" s="845">
        <v>0.89058663028649387</v>
      </c>
      <c r="AH493" s="20" t="str">
        <f t="shared" si="50"/>
        <v>No</v>
      </c>
      <c r="AI493" s="25"/>
      <c r="AJ493" s="20">
        <v>43065</v>
      </c>
      <c r="AK493" s="20" t="s">
        <v>774</v>
      </c>
      <c r="AL493" s="20">
        <v>39049</v>
      </c>
      <c r="AM493" s="20" t="s">
        <v>31</v>
      </c>
      <c r="AN493" s="37">
        <f t="shared" si="51"/>
        <v>18140</v>
      </c>
      <c r="AO493" s="37" t="str">
        <f t="shared" si="52"/>
        <v>Columbus, OH</v>
      </c>
      <c r="AP493" s="20" t="s">
        <v>8</v>
      </c>
      <c r="AQ493" s="25"/>
      <c r="AR493" s="25"/>
      <c r="AS493" s="25"/>
      <c r="AT493" s="25"/>
      <c r="AU493" s="36"/>
      <c r="AV493" s="36"/>
      <c r="AW493" s="36"/>
      <c r="AX493" s="25"/>
      <c r="AY493" s="25"/>
      <c r="AZ493" s="25"/>
      <c r="BA493" s="25"/>
      <c r="BB493" s="25"/>
      <c r="BC493" s="25"/>
      <c r="BD493" s="25"/>
      <c r="BE493" s="25"/>
      <c r="BF493" s="25"/>
      <c r="BG493" s="25"/>
      <c r="BH493" s="25"/>
      <c r="BI493" s="25"/>
      <c r="BJ493" s="25"/>
      <c r="BK493" s="25"/>
      <c r="BL493" s="25"/>
      <c r="BM493" s="25"/>
      <c r="BN493" s="25"/>
      <c r="BO493" s="25"/>
      <c r="BP493" s="25"/>
      <c r="BQ493" s="25"/>
      <c r="BR493" s="25"/>
      <c r="BS493" s="25"/>
      <c r="BT493" s="25"/>
      <c r="BU493" s="39">
        <v>43115</v>
      </c>
      <c r="BV493" s="39" t="s">
        <v>801</v>
      </c>
      <c r="BW493" s="39" t="s">
        <v>2882</v>
      </c>
      <c r="BX493" s="39" t="s">
        <v>303</v>
      </c>
      <c r="BY493" s="71">
        <v>1040</v>
      </c>
      <c r="BZ493" s="71">
        <v>1160</v>
      </c>
      <c r="CA493" s="71">
        <v>1390</v>
      </c>
      <c r="CB493" s="71">
        <v>1740</v>
      </c>
      <c r="CC493" s="71">
        <v>1850</v>
      </c>
      <c r="CD493" s="25"/>
      <c r="CE493" s="200"/>
      <c r="CF493" s="200"/>
      <c r="CG493" s="200"/>
      <c r="CH493" s="200"/>
      <c r="CI493" s="200"/>
      <c r="CJ493" s="200"/>
      <c r="CK493" s="200"/>
      <c r="CL493" s="200"/>
      <c r="CM493" s="200"/>
      <c r="CN493" s="200"/>
      <c r="CO493" s="200"/>
      <c r="CP493" s="200"/>
      <c r="CQ493" s="200"/>
      <c r="CR493" s="200"/>
      <c r="CS493" s="200"/>
      <c r="CT493" s="200"/>
      <c r="CU493" s="200"/>
    </row>
    <row r="494" spans="1:99" s="17" customFormat="1" x14ac:dyDescent="0.2">
      <c r="A494" s="25"/>
      <c r="B494" s="20">
        <v>39035186105</v>
      </c>
      <c r="C494" s="20">
        <v>1861.05</v>
      </c>
      <c r="D494" s="20" t="s">
        <v>24</v>
      </c>
      <c r="E494" s="20" t="s">
        <v>2829</v>
      </c>
      <c r="F494" s="20" t="s">
        <v>8</v>
      </c>
      <c r="G494" s="861">
        <v>63.934344372268299</v>
      </c>
      <c r="H494" s="861">
        <v>51.309799296728499</v>
      </c>
      <c r="I494" s="861">
        <v>23.142311767652998</v>
      </c>
      <c r="J494" s="861">
        <v>51.247502292697703</v>
      </c>
      <c r="K494" s="982">
        <v>0</v>
      </c>
      <c r="L494" s="735">
        <v>3470</v>
      </c>
      <c r="M494" s="735">
        <v>3731</v>
      </c>
      <c r="N494" s="845">
        <f t="shared" si="48"/>
        <v>7.521613832853026E-2</v>
      </c>
      <c r="O494" s="735">
        <v>1.329046641839603</v>
      </c>
      <c r="P494" s="735">
        <f t="shared" si="49"/>
        <v>2807.2754428209741</v>
      </c>
      <c r="Q494" s="849">
        <v>53.3</v>
      </c>
      <c r="R494" s="71">
        <v>102708</v>
      </c>
      <c r="S494" s="845">
        <v>3.0626196335794366E-2</v>
      </c>
      <c r="T494" s="845">
        <v>1.3000000000000001E-2</v>
      </c>
      <c r="U494" s="845">
        <v>1.7000000000000001E-2</v>
      </c>
      <c r="V494" s="845">
        <v>0</v>
      </c>
      <c r="W494" s="845">
        <v>2.3708206686930092E-2</v>
      </c>
      <c r="X494" s="845">
        <v>0.84615384615384615</v>
      </c>
      <c r="Y494" s="845">
        <v>0.92307692307692313</v>
      </c>
      <c r="Z494" s="845">
        <v>2.8410613776467437E-2</v>
      </c>
      <c r="AA494" s="845">
        <v>0</v>
      </c>
      <c r="AB494" s="845">
        <v>1.3133208255159476E-2</v>
      </c>
      <c r="AC494" s="845">
        <v>0</v>
      </c>
      <c r="AD494" s="845">
        <v>2.9482712409541678E-3</v>
      </c>
      <c r="AE494" s="845">
        <v>3.2430983650495848E-2</v>
      </c>
      <c r="AF494" s="845">
        <v>1.4473331546502278E-2</v>
      </c>
      <c r="AG494" s="845">
        <v>0.92307692307692313</v>
      </c>
      <c r="AH494" s="20" t="str">
        <f t="shared" si="50"/>
        <v>Yes</v>
      </c>
      <c r="AI494" s="25"/>
      <c r="AJ494" s="20">
        <v>43068</v>
      </c>
      <c r="AK494" s="20" t="s">
        <v>777</v>
      </c>
      <c r="AL494" s="20">
        <v>39049</v>
      </c>
      <c r="AM494" s="20" t="s">
        <v>31</v>
      </c>
      <c r="AN494" s="37">
        <f t="shared" si="51"/>
        <v>18140</v>
      </c>
      <c r="AO494" s="37" t="str">
        <f t="shared" si="52"/>
        <v>Columbus, OH</v>
      </c>
      <c r="AP494" s="20" t="s">
        <v>8</v>
      </c>
      <c r="AQ494" s="25"/>
      <c r="AR494" s="25"/>
      <c r="AS494" s="25"/>
      <c r="AT494" s="25"/>
      <c r="AU494" s="36"/>
      <c r="AV494" s="36"/>
      <c r="AW494" s="36"/>
      <c r="AX494" s="25"/>
      <c r="AY494" s="25"/>
      <c r="AZ494" s="25"/>
      <c r="BA494" s="25"/>
      <c r="BB494" s="25"/>
      <c r="BC494" s="25"/>
      <c r="BD494" s="25"/>
      <c r="BE494" s="25"/>
      <c r="BF494" s="25"/>
      <c r="BG494" s="25"/>
      <c r="BH494" s="25"/>
      <c r="BI494" s="25"/>
      <c r="BJ494" s="25"/>
      <c r="BK494" s="25"/>
      <c r="BL494" s="25"/>
      <c r="BM494" s="25"/>
      <c r="BN494" s="25"/>
      <c r="BO494" s="25"/>
      <c r="BP494" s="25"/>
      <c r="BQ494" s="25"/>
      <c r="BR494" s="25"/>
      <c r="BS494" s="25"/>
      <c r="BT494" s="25"/>
      <c r="BU494" s="39">
        <v>43116</v>
      </c>
      <c r="BV494" s="39" t="s">
        <v>802</v>
      </c>
      <c r="BW494" s="39" t="s">
        <v>2882</v>
      </c>
      <c r="BX494" s="39" t="s">
        <v>303</v>
      </c>
      <c r="BY494" s="71">
        <v>1300</v>
      </c>
      <c r="BZ494" s="71">
        <v>1390</v>
      </c>
      <c r="CA494" s="71">
        <v>1670</v>
      </c>
      <c r="CB494" s="71">
        <v>2000</v>
      </c>
      <c r="CC494" s="71">
        <v>2250</v>
      </c>
      <c r="CD494" s="25"/>
      <c r="CE494" s="200"/>
      <c r="CF494" s="200"/>
      <c r="CG494" s="200"/>
      <c r="CH494" s="200"/>
      <c r="CI494" s="200"/>
      <c r="CJ494" s="200"/>
      <c r="CK494" s="200"/>
      <c r="CL494" s="200"/>
      <c r="CM494" s="200"/>
      <c r="CN494" s="200"/>
      <c r="CO494" s="200"/>
      <c r="CP494" s="200"/>
      <c r="CQ494" s="200"/>
      <c r="CR494" s="200"/>
      <c r="CS494" s="200"/>
      <c r="CT494" s="200"/>
      <c r="CU494" s="200"/>
    </row>
    <row r="495" spans="1:99" s="17" customFormat="1" x14ac:dyDescent="0.2">
      <c r="A495" s="25"/>
      <c r="B495" s="20">
        <v>39043041600</v>
      </c>
      <c r="C495" s="20">
        <v>416</v>
      </c>
      <c r="D495" s="20" t="s">
        <v>28</v>
      </c>
      <c r="E495" s="20" t="s">
        <v>2837</v>
      </c>
      <c r="F495" s="20" t="s">
        <v>8</v>
      </c>
      <c r="G495" s="861">
        <v>63.924692513300002</v>
      </c>
      <c r="H495" s="861">
        <v>56.912260339823199</v>
      </c>
      <c r="I495" s="861">
        <v>20.4676580207353</v>
      </c>
      <c r="J495" s="861">
        <v>40.540691395826997</v>
      </c>
      <c r="K495" s="982">
        <v>0</v>
      </c>
      <c r="L495" s="735">
        <v>5782</v>
      </c>
      <c r="M495" s="735">
        <v>5710</v>
      </c>
      <c r="N495" s="845">
        <f t="shared" si="48"/>
        <v>-1.2452438602559669E-2</v>
      </c>
      <c r="O495" s="735">
        <v>20.425540872463696</v>
      </c>
      <c r="P495" s="735">
        <f t="shared" si="49"/>
        <v>279.5519607364634</v>
      </c>
      <c r="Q495" s="849">
        <v>42.4</v>
      </c>
      <c r="R495" s="71">
        <v>79297</v>
      </c>
      <c r="S495" s="845">
        <v>1.3964999116139297E-2</v>
      </c>
      <c r="T495" s="845">
        <v>0.01</v>
      </c>
      <c r="U495" s="845">
        <v>2.2000000000000002E-2</v>
      </c>
      <c r="V495" s="845">
        <v>0</v>
      </c>
      <c r="W495" s="845">
        <v>0.16486613433536873</v>
      </c>
      <c r="X495" s="845">
        <v>0.28205128205128205</v>
      </c>
      <c r="Y495" s="845">
        <v>0.93782837127845886</v>
      </c>
      <c r="Z495" s="845">
        <v>1.8038528896672505E-2</v>
      </c>
      <c r="AA495" s="845">
        <v>0</v>
      </c>
      <c r="AB495" s="845">
        <v>0</v>
      </c>
      <c r="AC495" s="845">
        <v>0</v>
      </c>
      <c r="AD495" s="845">
        <v>0</v>
      </c>
      <c r="AE495" s="845">
        <v>4.4133099824868655E-2</v>
      </c>
      <c r="AF495" s="845">
        <v>1.7513134851138354E-3</v>
      </c>
      <c r="AG495" s="845">
        <v>0.93782837127845886</v>
      </c>
      <c r="AH495" s="20" t="str">
        <f t="shared" si="50"/>
        <v>Yes</v>
      </c>
      <c r="AI495" s="25"/>
      <c r="AJ495" s="20">
        <v>43081</v>
      </c>
      <c r="AK495" s="20" t="s">
        <v>786</v>
      </c>
      <c r="AL495" s="20">
        <v>39049</v>
      </c>
      <c r="AM495" s="20" t="s">
        <v>31</v>
      </c>
      <c r="AN495" s="37">
        <f t="shared" si="51"/>
        <v>18140</v>
      </c>
      <c r="AO495" s="37" t="str">
        <f t="shared" si="52"/>
        <v>Columbus, OH</v>
      </c>
      <c r="AP495" s="20" t="s">
        <v>8</v>
      </c>
      <c r="AQ495" s="25"/>
      <c r="AR495" s="25"/>
      <c r="AS495" s="25"/>
      <c r="AT495" s="25"/>
      <c r="AU495" s="36"/>
      <c r="AV495" s="36"/>
      <c r="AW495" s="36"/>
      <c r="AX495" s="25"/>
      <c r="AY495" s="25"/>
      <c r="AZ495" s="25"/>
      <c r="BA495" s="25"/>
      <c r="BB495" s="25"/>
      <c r="BC495" s="25"/>
      <c r="BD495" s="25"/>
      <c r="BE495" s="25"/>
      <c r="BF495" s="25"/>
      <c r="BG495" s="25"/>
      <c r="BH495" s="25"/>
      <c r="BI495" s="25"/>
      <c r="BJ495" s="25"/>
      <c r="BK495" s="25"/>
      <c r="BL495" s="25"/>
      <c r="BM495" s="25"/>
      <c r="BN495" s="25"/>
      <c r="BO495" s="25"/>
      <c r="BP495" s="25"/>
      <c r="BQ495" s="25"/>
      <c r="BR495" s="25"/>
      <c r="BS495" s="25"/>
      <c r="BT495" s="25"/>
      <c r="BU495" s="39">
        <v>43117</v>
      </c>
      <c r="BV495" s="39" t="s">
        <v>803</v>
      </c>
      <c r="BW495" s="39" t="s">
        <v>2882</v>
      </c>
      <c r="BX495" s="39" t="s">
        <v>303</v>
      </c>
      <c r="BY495" s="71">
        <v>850</v>
      </c>
      <c r="BZ495" s="71">
        <v>910</v>
      </c>
      <c r="CA495" s="71">
        <v>1090</v>
      </c>
      <c r="CB495" s="71">
        <v>1310</v>
      </c>
      <c r="CC495" s="71">
        <v>1470</v>
      </c>
      <c r="CD495" s="25"/>
      <c r="CE495" s="200"/>
      <c r="CF495" s="200"/>
      <c r="CG495" s="200"/>
      <c r="CH495" s="200"/>
      <c r="CI495" s="200"/>
      <c r="CJ495" s="200"/>
      <c r="CK495" s="200"/>
      <c r="CL495" s="200"/>
      <c r="CM495" s="200"/>
      <c r="CN495" s="200"/>
      <c r="CO495" s="200"/>
      <c r="CP495" s="200"/>
      <c r="CQ495" s="200"/>
      <c r="CR495" s="200"/>
      <c r="CS495" s="200"/>
      <c r="CT495" s="200"/>
      <c r="CU495" s="200"/>
    </row>
    <row r="496" spans="1:99" s="17" customFormat="1" x14ac:dyDescent="0.2">
      <c r="A496" s="25"/>
      <c r="B496" s="20">
        <v>39151711900</v>
      </c>
      <c r="C496" s="20">
        <v>7119</v>
      </c>
      <c r="D496" s="20" t="s">
        <v>81</v>
      </c>
      <c r="E496" s="20" t="s">
        <v>2844</v>
      </c>
      <c r="F496" s="20" t="s">
        <v>8</v>
      </c>
      <c r="G496" s="861">
        <v>63.892545986765597</v>
      </c>
      <c r="H496" s="861">
        <v>57.137552552293201</v>
      </c>
      <c r="I496" s="861">
        <v>28.9629606951687</v>
      </c>
      <c r="J496" s="861">
        <v>40.558551289660102</v>
      </c>
      <c r="K496" s="982">
        <v>0</v>
      </c>
      <c r="L496" s="735">
        <v>5000</v>
      </c>
      <c r="M496" s="735">
        <v>5320</v>
      </c>
      <c r="N496" s="845">
        <f t="shared" si="48"/>
        <v>6.4000000000000001E-2</v>
      </c>
      <c r="O496" s="735">
        <v>2.3708112698633199</v>
      </c>
      <c r="P496" s="735">
        <f t="shared" si="49"/>
        <v>2243.9576138452826</v>
      </c>
      <c r="Q496" s="849">
        <v>44</v>
      </c>
      <c r="R496" s="71">
        <v>70552</v>
      </c>
      <c r="S496" s="845">
        <v>7.4583494769469197E-2</v>
      </c>
      <c r="T496" s="845">
        <v>3.4000000000000002E-2</v>
      </c>
      <c r="U496" s="845">
        <v>8.0000000000000002E-3</v>
      </c>
      <c r="V496" s="845">
        <v>0</v>
      </c>
      <c r="W496" s="845">
        <v>0.37519500780031201</v>
      </c>
      <c r="X496" s="845">
        <v>0.3180873180873181</v>
      </c>
      <c r="Y496" s="845">
        <v>0.96127819548872184</v>
      </c>
      <c r="Z496" s="845">
        <v>1.2406015037593985E-2</v>
      </c>
      <c r="AA496" s="845">
        <v>0</v>
      </c>
      <c r="AB496" s="845">
        <v>0</v>
      </c>
      <c r="AC496" s="845">
        <v>0</v>
      </c>
      <c r="AD496" s="845">
        <v>5.4511278195488724E-3</v>
      </c>
      <c r="AE496" s="845">
        <v>2.0864661654135339E-2</v>
      </c>
      <c r="AF496" s="845">
        <v>3.1390977443609025E-2</v>
      </c>
      <c r="AG496" s="845">
        <v>0.93533834586466169</v>
      </c>
      <c r="AH496" s="20" t="str">
        <f t="shared" si="50"/>
        <v>Yes</v>
      </c>
      <c r="AI496" s="25"/>
      <c r="AJ496" s="20">
        <v>43085</v>
      </c>
      <c r="AK496" s="20" t="s">
        <v>789</v>
      </c>
      <c r="AL496" s="20">
        <v>39049</v>
      </c>
      <c r="AM496" s="20" t="s">
        <v>31</v>
      </c>
      <c r="AN496" s="37">
        <f t="shared" si="51"/>
        <v>18140</v>
      </c>
      <c r="AO496" s="37" t="str">
        <f t="shared" si="52"/>
        <v>Columbus, OH</v>
      </c>
      <c r="AP496" s="20" t="s">
        <v>8</v>
      </c>
      <c r="AQ496" s="25"/>
      <c r="AR496" s="25"/>
      <c r="AS496" s="25"/>
      <c r="AT496" s="25"/>
      <c r="AU496" s="36"/>
      <c r="AV496" s="36"/>
      <c r="AW496" s="36"/>
      <c r="AX496" s="25"/>
      <c r="AY496" s="25"/>
      <c r="AZ496" s="25"/>
      <c r="BA496" s="25"/>
      <c r="BB496" s="25"/>
      <c r="BC496" s="25"/>
      <c r="BD496" s="25"/>
      <c r="BE496" s="25"/>
      <c r="BF496" s="25"/>
      <c r="BG496" s="25"/>
      <c r="BH496" s="25"/>
      <c r="BI496" s="25"/>
      <c r="BJ496" s="25"/>
      <c r="BK496" s="25"/>
      <c r="BL496" s="25"/>
      <c r="BM496" s="25"/>
      <c r="BN496" s="25"/>
      <c r="BO496" s="25"/>
      <c r="BP496" s="25"/>
      <c r="BQ496" s="25"/>
      <c r="BR496" s="25"/>
      <c r="BS496" s="25"/>
      <c r="BT496" s="25"/>
      <c r="BU496" s="39">
        <v>43119</v>
      </c>
      <c r="BV496" s="39" t="s">
        <v>804</v>
      </c>
      <c r="BW496" s="39" t="s">
        <v>2882</v>
      </c>
      <c r="BX496" s="39" t="s">
        <v>303</v>
      </c>
      <c r="BY496" s="71">
        <v>1180</v>
      </c>
      <c r="BZ496" s="71">
        <v>1270</v>
      </c>
      <c r="CA496" s="71">
        <v>1520</v>
      </c>
      <c r="CB496" s="71">
        <v>1820</v>
      </c>
      <c r="CC496" s="71">
        <v>2050</v>
      </c>
      <c r="CD496" s="25"/>
      <c r="CE496" s="200"/>
      <c r="CF496" s="200"/>
      <c r="CG496" s="200"/>
      <c r="CH496" s="200"/>
      <c r="CI496" s="200"/>
      <c r="CJ496" s="200"/>
      <c r="CK496" s="200"/>
      <c r="CL496" s="200"/>
      <c r="CM496" s="200"/>
      <c r="CN496" s="200"/>
      <c r="CO496" s="200"/>
      <c r="CP496" s="200"/>
      <c r="CQ496" s="200"/>
      <c r="CR496" s="200"/>
      <c r="CS496" s="200"/>
      <c r="CT496" s="200"/>
      <c r="CU496" s="200"/>
    </row>
    <row r="497" spans="1:99" s="17" customFormat="1" x14ac:dyDescent="0.2">
      <c r="A497" s="25"/>
      <c r="B497" s="20">
        <v>39143960900</v>
      </c>
      <c r="C497" s="20">
        <v>9609</v>
      </c>
      <c r="D497" s="20" t="s">
        <v>77</v>
      </c>
      <c r="E497" s="20" t="s">
        <v>265</v>
      </c>
      <c r="F497" s="20" t="s">
        <v>8</v>
      </c>
      <c r="G497" s="861">
        <v>63.891026736881798</v>
      </c>
      <c r="H497" s="861">
        <v>67.578403659740104</v>
      </c>
      <c r="I497" s="861">
        <v>16.361084043360201</v>
      </c>
      <c r="J497" s="861">
        <v>55.738947433227899</v>
      </c>
      <c r="K497" s="982">
        <v>0</v>
      </c>
      <c r="L497" s="735">
        <v>3498</v>
      </c>
      <c r="M497" s="735">
        <v>2772</v>
      </c>
      <c r="N497" s="845">
        <f t="shared" si="48"/>
        <v>-0.20754716981132076</v>
      </c>
      <c r="O497" s="735">
        <v>63.692980814494938</v>
      </c>
      <c r="P497" s="735">
        <f t="shared" si="49"/>
        <v>43.521279182605973</v>
      </c>
      <c r="Q497" s="849">
        <v>50.9</v>
      </c>
      <c r="R497" s="71">
        <v>100357</v>
      </c>
      <c r="S497" s="845">
        <v>4.3745480838756325E-2</v>
      </c>
      <c r="T497" s="845">
        <v>0.02</v>
      </c>
      <c r="U497" s="845">
        <v>0</v>
      </c>
      <c r="V497" s="845">
        <v>0</v>
      </c>
      <c r="W497" s="845">
        <v>9.6660808435852369E-2</v>
      </c>
      <c r="X497" s="845">
        <v>9.0909090909090905E-3</v>
      </c>
      <c r="Y497" s="845">
        <v>0.95923520923520922</v>
      </c>
      <c r="Z497" s="845">
        <v>7.215007215007215E-3</v>
      </c>
      <c r="AA497" s="845">
        <v>3.968253968253968E-3</v>
      </c>
      <c r="AB497" s="845">
        <v>1.3708513708513708E-2</v>
      </c>
      <c r="AC497" s="845">
        <v>0</v>
      </c>
      <c r="AD497" s="845">
        <v>5.772005772005772E-3</v>
      </c>
      <c r="AE497" s="845">
        <v>1.0101010101010102E-2</v>
      </c>
      <c r="AF497" s="845">
        <v>4.1125541125541128E-2</v>
      </c>
      <c r="AG497" s="845">
        <v>0.9347041847041847</v>
      </c>
      <c r="AH497" s="20" t="str">
        <f t="shared" si="50"/>
        <v>Yes</v>
      </c>
      <c r="AI497" s="25"/>
      <c r="AJ497" s="20">
        <v>43109</v>
      </c>
      <c r="AK497" s="20" t="s">
        <v>796</v>
      </c>
      <c r="AL497" s="20">
        <v>39049</v>
      </c>
      <c r="AM497" s="20" t="s">
        <v>31</v>
      </c>
      <c r="AN497" s="37">
        <f t="shared" si="51"/>
        <v>18140</v>
      </c>
      <c r="AO497" s="37" t="str">
        <f t="shared" si="52"/>
        <v>Columbus, OH</v>
      </c>
      <c r="AP497" s="20" t="s">
        <v>8</v>
      </c>
      <c r="AQ497" s="25"/>
      <c r="AR497" s="25"/>
      <c r="AS497" s="25"/>
      <c r="AT497" s="25"/>
      <c r="AU497" s="36"/>
      <c r="AV497" s="36"/>
      <c r="AW497" s="36"/>
      <c r="AX497" s="25"/>
      <c r="AY497" s="25"/>
      <c r="AZ497" s="25"/>
      <c r="BA497" s="25"/>
      <c r="BB497" s="25"/>
      <c r="BC497" s="25"/>
      <c r="BD497" s="25"/>
      <c r="BE497" s="25"/>
      <c r="BF497" s="25"/>
      <c r="BG497" s="25"/>
      <c r="BH497" s="25"/>
      <c r="BI497" s="25"/>
      <c r="BJ497" s="25"/>
      <c r="BK497" s="25"/>
      <c r="BL497" s="25"/>
      <c r="BM497" s="25"/>
      <c r="BN497" s="25"/>
      <c r="BO497" s="25"/>
      <c r="BP497" s="25"/>
      <c r="BQ497" s="25"/>
      <c r="BR497" s="25"/>
      <c r="BS497" s="25"/>
      <c r="BT497" s="25"/>
      <c r="BU497" s="39">
        <v>43123</v>
      </c>
      <c r="BV497" s="39" t="s">
        <v>805</v>
      </c>
      <c r="BW497" s="39" t="s">
        <v>2882</v>
      </c>
      <c r="BX497" s="39" t="s">
        <v>303</v>
      </c>
      <c r="BY497" s="71">
        <v>1110</v>
      </c>
      <c r="BZ497" s="71">
        <v>1190</v>
      </c>
      <c r="CA497" s="71">
        <v>1430</v>
      </c>
      <c r="CB497" s="71">
        <v>1710</v>
      </c>
      <c r="CC497" s="71">
        <v>1930</v>
      </c>
      <c r="CD497" s="25"/>
      <c r="CE497" s="200"/>
      <c r="CF497" s="200"/>
      <c r="CG497" s="200"/>
      <c r="CH497" s="200"/>
      <c r="CI497" s="200"/>
      <c r="CJ497" s="200"/>
      <c r="CK497" s="200"/>
      <c r="CL497" s="200"/>
      <c r="CM497" s="200"/>
      <c r="CN497" s="200"/>
      <c r="CO497" s="200"/>
      <c r="CP497" s="200"/>
      <c r="CQ497" s="200"/>
      <c r="CR497" s="200"/>
      <c r="CS497" s="200"/>
      <c r="CT497" s="200"/>
      <c r="CU497" s="200"/>
    </row>
    <row r="498" spans="1:99" s="17" customFormat="1" x14ac:dyDescent="0.2">
      <c r="A498" s="25"/>
      <c r="B498" s="20">
        <v>39045032800</v>
      </c>
      <c r="C498" s="20">
        <v>328</v>
      </c>
      <c r="D498" s="20" t="s">
        <v>29</v>
      </c>
      <c r="E498" s="20" t="s">
        <v>2830</v>
      </c>
      <c r="F498" s="20" t="s">
        <v>8</v>
      </c>
      <c r="G498" s="861">
        <v>63.871067154057599</v>
      </c>
      <c r="H498" s="861">
        <v>71.960466472028301</v>
      </c>
      <c r="I498" s="861">
        <v>16.765677217767099</v>
      </c>
      <c r="J498" s="861">
        <v>40.557512028183098</v>
      </c>
      <c r="K498" s="982">
        <v>0</v>
      </c>
      <c r="L498" s="735">
        <v>4121</v>
      </c>
      <c r="M498" s="735">
        <v>4389</v>
      </c>
      <c r="N498" s="845">
        <f t="shared" si="48"/>
        <v>6.5032759039068189E-2</v>
      </c>
      <c r="O498" s="735">
        <v>1.3254632277057057</v>
      </c>
      <c r="P498" s="735">
        <f t="shared" si="49"/>
        <v>3311.2951821357469</v>
      </c>
      <c r="Q498" s="849">
        <v>40.1</v>
      </c>
      <c r="R498" s="71">
        <v>132031</v>
      </c>
      <c r="S498" s="845">
        <v>2.9049500348594003E-2</v>
      </c>
      <c r="T498" s="845">
        <v>2.2000000000000002E-2</v>
      </c>
      <c r="U498" s="845">
        <v>0</v>
      </c>
      <c r="V498" s="845">
        <v>0</v>
      </c>
      <c r="W498" s="845">
        <v>4.7879616963064295E-2</v>
      </c>
      <c r="X498" s="845">
        <v>0.3</v>
      </c>
      <c r="Y498" s="845">
        <v>0.79220779220779225</v>
      </c>
      <c r="Z498" s="845">
        <v>0.10298473456368193</v>
      </c>
      <c r="AA498" s="845">
        <v>1.139211665527455E-3</v>
      </c>
      <c r="AB498" s="845">
        <v>2.8480291638186377E-2</v>
      </c>
      <c r="AC498" s="845">
        <v>0</v>
      </c>
      <c r="AD498" s="845">
        <v>1.0480747322852585E-2</v>
      </c>
      <c r="AE498" s="845">
        <v>6.4707222601959449E-2</v>
      </c>
      <c r="AF498" s="845">
        <v>3.9188881294144454E-2</v>
      </c>
      <c r="AG498" s="845">
        <v>0.79220779220779225</v>
      </c>
      <c r="AH498" s="20" t="str">
        <f t="shared" si="50"/>
        <v>No</v>
      </c>
      <c r="AI498" s="25"/>
      <c r="AJ498" s="20">
        <v>43110</v>
      </c>
      <c r="AK498" s="20" t="s">
        <v>797</v>
      </c>
      <c r="AL498" s="20">
        <v>39049</v>
      </c>
      <c r="AM498" s="20" t="s">
        <v>31</v>
      </c>
      <c r="AN498" s="37">
        <f t="shared" si="51"/>
        <v>18140</v>
      </c>
      <c r="AO498" s="37" t="str">
        <f t="shared" si="52"/>
        <v>Columbus, OH</v>
      </c>
      <c r="AP498" s="20" t="s">
        <v>8</v>
      </c>
      <c r="AQ498" s="25"/>
      <c r="AR498" s="25"/>
      <c r="AS498" s="25"/>
      <c r="AT498" s="25"/>
      <c r="AU498" s="36"/>
      <c r="AV498" s="36"/>
      <c r="AW498" s="36"/>
      <c r="AX498" s="25"/>
      <c r="AY498" s="25"/>
      <c r="AZ498" s="25"/>
      <c r="BA498" s="25"/>
      <c r="BB498" s="25"/>
      <c r="BC498" s="25"/>
      <c r="BD498" s="25"/>
      <c r="BE498" s="25"/>
      <c r="BF498" s="25"/>
      <c r="BG498" s="25"/>
      <c r="BH498" s="25"/>
      <c r="BI498" s="25"/>
      <c r="BJ498" s="25"/>
      <c r="BK498" s="25"/>
      <c r="BL498" s="25"/>
      <c r="BM498" s="25"/>
      <c r="BN498" s="25"/>
      <c r="BO498" s="25"/>
      <c r="BP498" s="25"/>
      <c r="BQ498" s="25"/>
      <c r="BR498" s="25"/>
      <c r="BS498" s="25"/>
      <c r="BT498" s="25"/>
      <c r="BU498" s="39">
        <v>43125</v>
      </c>
      <c r="BV498" s="39" t="s">
        <v>806</v>
      </c>
      <c r="BW498" s="39" t="s">
        <v>2882</v>
      </c>
      <c r="BX498" s="39" t="s">
        <v>303</v>
      </c>
      <c r="BY498" s="71">
        <v>1100</v>
      </c>
      <c r="BZ498" s="71">
        <v>1190</v>
      </c>
      <c r="CA498" s="71">
        <v>1420</v>
      </c>
      <c r="CB498" s="71">
        <v>1700</v>
      </c>
      <c r="CC498" s="71">
        <v>1910</v>
      </c>
      <c r="CD498" s="25"/>
      <c r="CE498" s="200"/>
      <c r="CF498" s="200"/>
      <c r="CG498" s="200"/>
      <c r="CH498" s="200"/>
      <c r="CI498" s="200"/>
      <c r="CJ498" s="200"/>
      <c r="CK498" s="200"/>
      <c r="CL498" s="200"/>
      <c r="CM498" s="200"/>
      <c r="CN498" s="200"/>
      <c r="CO498" s="200"/>
      <c r="CP498" s="200"/>
      <c r="CQ498" s="200"/>
      <c r="CR498" s="200"/>
      <c r="CS498" s="200"/>
      <c r="CT498" s="200"/>
      <c r="CU498" s="200"/>
    </row>
    <row r="499" spans="1:99" s="17" customFormat="1" x14ac:dyDescent="0.2">
      <c r="A499" s="25"/>
      <c r="B499" s="20">
        <v>39077916000</v>
      </c>
      <c r="C499" s="20">
        <v>9160</v>
      </c>
      <c r="D499" s="20" t="s">
        <v>45</v>
      </c>
      <c r="E499" s="20" t="s">
        <v>265</v>
      </c>
      <c r="F499" s="20" t="s">
        <v>8</v>
      </c>
      <c r="G499" s="861">
        <v>63.813856550224898</v>
      </c>
      <c r="H499" s="861">
        <v>55.987482345483997</v>
      </c>
      <c r="I499" s="861">
        <v>31.0946021720668</v>
      </c>
      <c r="J499" s="861">
        <v>45.298809406272497</v>
      </c>
      <c r="K499" s="982">
        <v>0</v>
      </c>
      <c r="L499" s="735">
        <v>3974</v>
      </c>
      <c r="M499" s="735">
        <v>3881</v>
      </c>
      <c r="N499" s="845">
        <f t="shared" si="48"/>
        <v>-2.3402113739305487E-2</v>
      </c>
      <c r="O499" s="735">
        <v>7.1893465178880689</v>
      </c>
      <c r="P499" s="735">
        <f t="shared" si="49"/>
        <v>539.82653226458706</v>
      </c>
      <c r="Q499" s="849">
        <v>35.5</v>
      </c>
      <c r="R499" s="71">
        <v>62563</v>
      </c>
      <c r="S499" s="845">
        <v>0.10018120631633445</v>
      </c>
      <c r="T499" s="845">
        <v>4.0999999999999995E-2</v>
      </c>
      <c r="U499" s="845">
        <v>0</v>
      </c>
      <c r="V499" s="845">
        <v>0.14099999999999999</v>
      </c>
      <c r="W499" s="845">
        <v>0.3005398920215957</v>
      </c>
      <c r="X499" s="845">
        <v>0.22155688622754491</v>
      </c>
      <c r="Y499" s="845">
        <v>0.91986601391393974</v>
      </c>
      <c r="Z499" s="845">
        <v>5.1533110023189903E-3</v>
      </c>
      <c r="AA499" s="845">
        <v>0</v>
      </c>
      <c r="AB499" s="845">
        <v>1.8809585158464315E-2</v>
      </c>
      <c r="AC499" s="845">
        <v>0</v>
      </c>
      <c r="AD499" s="845">
        <v>0</v>
      </c>
      <c r="AE499" s="845">
        <v>5.6171089925276987E-2</v>
      </c>
      <c r="AF499" s="845">
        <v>7.2661685132697759E-2</v>
      </c>
      <c r="AG499" s="845">
        <v>0.88868848234990983</v>
      </c>
      <c r="AH499" s="20" t="str">
        <f t="shared" si="50"/>
        <v>No</v>
      </c>
      <c r="AI499" s="25"/>
      <c r="AJ499" s="20">
        <v>43119</v>
      </c>
      <c r="AK499" s="20" t="s">
        <v>804</v>
      </c>
      <c r="AL499" s="20">
        <v>39049</v>
      </c>
      <c r="AM499" s="20" t="s">
        <v>31</v>
      </c>
      <c r="AN499" s="37">
        <f t="shared" si="51"/>
        <v>18140</v>
      </c>
      <c r="AO499" s="37" t="str">
        <f t="shared" si="52"/>
        <v>Columbus, OH</v>
      </c>
      <c r="AP499" s="20" t="s">
        <v>8</v>
      </c>
      <c r="AQ499" s="25"/>
      <c r="AR499" s="25"/>
      <c r="AS499" s="25"/>
      <c r="AT499" s="25"/>
      <c r="AU499" s="36"/>
      <c r="AV499" s="36"/>
      <c r="AW499" s="36"/>
      <c r="AX499" s="25"/>
      <c r="AY499" s="25"/>
      <c r="AZ499" s="25"/>
      <c r="BA499" s="25"/>
      <c r="BB499" s="25"/>
      <c r="BC499" s="25"/>
      <c r="BD499" s="25"/>
      <c r="BE499" s="25"/>
      <c r="BF499" s="25"/>
      <c r="BG499" s="25"/>
      <c r="BH499" s="25"/>
      <c r="BI499" s="25"/>
      <c r="BJ499" s="25"/>
      <c r="BK499" s="25"/>
      <c r="BL499" s="25"/>
      <c r="BM499" s="25"/>
      <c r="BN499" s="25"/>
      <c r="BO499" s="25"/>
      <c r="BP499" s="25"/>
      <c r="BQ499" s="25"/>
      <c r="BR499" s="25"/>
      <c r="BS499" s="25"/>
      <c r="BT499" s="25"/>
      <c r="BU499" s="39">
        <v>43126</v>
      </c>
      <c r="BV499" s="39" t="s">
        <v>807</v>
      </c>
      <c r="BW499" s="39" t="s">
        <v>2882</v>
      </c>
      <c r="BX499" s="39" t="s">
        <v>303</v>
      </c>
      <c r="BY499" s="71">
        <v>1040</v>
      </c>
      <c r="BZ499" s="71">
        <v>1120</v>
      </c>
      <c r="CA499" s="71">
        <v>1340</v>
      </c>
      <c r="CB499" s="71">
        <v>1610</v>
      </c>
      <c r="CC499" s="71">
        <v>1810</v>
      </c>
      <c r="CD499" s="25"/>
      <c r="CE499" s="200"/>
      <c r="CF499" s="200"/>
      <c r="CG499" s="200"/>
      <c r="CH499" s="200"/>
      <c r="CI499" s="200"/>
      <c r="CJ499" s="200"/>
      <c r="CK499" s="200"/>
      <c r="CL499" s="200"/>
      <c r="CM499" s="200"/>
      <c r="CN499" s="200"/>
      <c r="CO499" s="200"/>
      <c r="CP499" s="200"/>
      <c r="CQ499" s="200"/>
      <c r="CR499" s="200"/>
      <c r="CS499" s="200"/>
      <c r="CT499" s="200"/>
      <c r="CU499" s="200"/>
    </row>
    <row r="500" spans="1:99" s="17" customFormat="1" x14ac:dyDescent="0.2">
      <c r="A500" s="25"/>
      <c r="B500" s="20">
        <v>39061022200</v>
      </c>
      <c r="C500" s="20">
        <v>222</v>
      </c>
      <c r="D500" s="20" t="s">
        <v>37</v>
      </c>
      <c r="E500" s="20" t="s">
        <v>2828</v>
      </c>
      <c r="F500" s="20" t="s">
        <v>8</v>
      </c>
      <c r="G500" s="861">
        <v>63.803695123562598</v>
      </c>
      <c r="H500" s="861">
        <v>63.296735393667902</v>
      </c>
      <c r="I500" s="861">
        <v>28.557759317805498</v>
      </c>
      <c r="J500" s="861">
        <v>57.674869642387698</v>
      </c>
      <c r="K500" s="982">
        <v>0</v>
      </c>
      <c r="L500" s="735">
        <v>4431</v>
      </c>
      <c r="M500" s="735">
        <v>4519</v>
      </c>
      <c r="N500" s="845">
        <f t="shared" si="48"/>
        <v>1.9860076732114647E-2</v>
      </c>
      <c r="O500" s="735">
        <v>2.2043842510149596</v>
      </c>
      <c r="P500" s="735">
        <f t="shared" si="49"/>
        <v>2050.0055731750613</v>
      </c>
      <c r="Q500" s="849">
        <v>47</v>
      </c>
      <c r="R500" s="71">
        <v>77023</v>
      </c>
      <c r="S500" s="845">
        <v>0.15750996898537883</v>
      </c>
      <c r="T500" s="845">
        <v>1.7000000000000001E-2</v>
      </c>
      <c r="U500" s="845">
        <v>0</v>
      </c>
      <c r="V500" s="845">
        <v>0</v>
      </c>
      <c r="W500" s="845">
        <v>0.13063763608087092</v>
      </c>
      <c r="X500" s="845">
        <v>0.56349206349206349</v>
      </c>
      <c r="Y500" s="845">
        <v>0.55587519362690863</v>
      </c>
      <c r="Z500" s="845">
        <v>0.27041380836468243</v>
      </c>
      <c r="AA500" s="845">
        <v>0</v>
      </c>
      <c r="AB500" s="845">
        <v>2.8103562735118388E-2</v>
      </c>
      <c r="AC500" s="845">
        <v>0</v>
      </c>
      <c r="AD500" s="845">
        <v>0</v>
      </c>
      <c r="AE500" s="845">
        <v>0.14560743527329056</v>
      </c>
      <c r="AF500" s="845">
        <v>9.8251825625138303E-2</v>
      </c>
      <c r="AG500" s="845">
        <v>0.55587519362690863</v>
      </c>
      <c r="AH500" s="20" t="str">
        <f t="shared" si="50"/>
        <v>No</v>
      </c>
      <c r="AI500" s="25"/>
      <c r="AJ500" s="20">
        <v>43123</v>
      </c>
      <c r="AK500" s="20" t="s">
        <v>805</v>
      </c>
      <c r="AL500" s="20">
        <v>39049</v>
      </c>
      <c r="AM500" s="20" t="s">
        <v>31</v>
      </c>
      <c r="AN500" s="37">
        <f t="shared" si="51"/>
        <v>18140</v>
      </c>
      <c r="AO500" s="37" t="str">
        <f t="shared" si="52"/>
        <v>Columbus, OH</v>
      </c>
      <c r="AP500" s="20" t="s">
        <v>8</v>
      </c>
      <c r="AQ500" s="25"/>
      <c r="AR500" s="25"/>
      <c r="AS500" s="25"/>
      <c r="AT500" s="25"/>
      <c r="AU500" s="36"/>
      <c r="AV500" s="36"/>
      <c r="AW500" s="36"/>
      <c r="AX500" s="25"/>
      <c r="AY500" s="25"/>
      <c r="AZ500" s="25"/>
      <c r="BA500" s="25"/>
      <c r="BB500" s="25"/>
      <c r="BC500" s="25"/>
      <c r="BD500" s="25"/>
      <c r="BE500" s="25"/>
      <c r="BF500" s="25"/>
      <c r="BG500" s="25"/>
      <c r="BH500" s="25"/>
      <c r="BI500" s="25"/>
      <c r="BJ500" s="25"/>
      <c r="BK500" s="25"/>
      <c r="BL500" s="25"/>
      <c r="BM500" s="25"/>
      <c r="BN500" s="25"/>
      <c r="BO500" s="25"/>
      <c r="BP500" s="25"/>
      <c r="BQ500" s="25"/>
      <c r="BR500" s="25"/>
      <c r="BS500" s="25"/>
      <c r="BT500" s="25"/>
      <c r="BU500" s="39">
        <v>43130</v>
      </c>
      <c r="BV500" s="39" t="s">
        <v>810</v>
      </c>
      <c r="BW500" s="39" t="s">
        <v>2882</v>
      </c>
      <c r="BX500" s="39" t="s">
        <v>303</v>
      </c>
      <c r="BY500" s="71">
        <v>910</v>
      </c>
      <c r="BZ500" s="71">
        <v>980</v>
      </c>
      <c r="CA500" s="71">
        <v>1170</v>
      </c>
      <c r="CB500" s="71">
        <v>1400</v>
      </c>
      <c r="CC500" s="71">
        <v>1580</v>
      </c>
      <c r="CD500" s="25"/>
      <c r="CE500" s="200"/>
      <c r="CF500" s="200"/>
      <c r="CG500" s="200"/>
      <c r="CH500" s="200"/>
      <c r="CI500" s="200"/>
      <c r="CJ500" s="200"/>
      <c r="CK500" s="200"/>
      <c r="CL500" s="200"/>
      <c r="CM500" s="200"/>
      <c r="CN500" s="200"/>
      <c r="CO500" s="200"/>
      <c r="CP500" s="200"/>
      <c r="CQ500" s="200"/>
      <c r="CR500" s="200"/>
      <c r="CS500" s="200"/>
      <c r="CT500" s="200"/>
      <c r="CU500" s="200"/>
    </row>
    <row r="501" spans="1:99" s="17" customFormat="1" x14ac:dyDescent="0.2">
      <c r="A501" s="25"/>
      <c r="B501" s="20">
        <v>39103408305</v>
      </c>
      <c r="C501" s="20">
        <v>4083.05</v>
      </c>
      <c r="D501" s="20" t="s">
        <v>57</v>
      </c>
      <c r="E501" s="20" t="s">
        <v>2829</v>
      </c>
      <c r="F501" s="20" t="s">
        <v>8</v>
      </c>
      <c r="G501" s="861">
        <v>63.802075752952597</v>
      </c>
      <c r="H501" s="861">
        <v>57.825494975896902</v>
      </c>
      <c r="I501" s="861">
        <v>11.9548075147968</v>
      </c>
      <c r="J501" s="861">
        <v>64.560702648537998</v>
      </c>
      <c r="K501" s="982">
        <v>0</v>
      </c>
      <c r="L501" s="735" t="s">
        <v>2466</v>
      </c>
      <c r="M501" s="735">
        <v>2772</v>
      </c>
      <c r="N501" s="845" t="str">
        <f t="shared" si="48"/>
        <v/>
      </c>
      <c r="O501" s="735">
        <v>1.4012628034805921</v>
      </c>
      <c r="P501" s="735">
        <f t="shared" si="49"/>
        <v>1978.215644570482</v>
      </c>
      <c r="Q501" s="849">
        <v>40.700000000000003</v>
      </c>
      <c r="R501" s="71">
        <v>158281</v>
      </c>
      <c r="S501" s="845">
        <v>1.443001443001443E-3</v>
      </c>
      <c r="T501" s="845">
        <v>4.9000000000000002E-2</v>
      </c>
      <c r="U501" s="845">
        <v>0</v>
      </c>
      <c r="V501" s="845">
        <v>0</v>
      </c>
      <c r="W501" s="845">
        <v>6.4143007360672979E-2</v>
      </c>
      <c r="X501" s="845">
        <v>0.11475409836065574</v>
      </c>
      <c r="Y501" s="845">
        <v>0.85642135642135642</v>
      </c>
      <c r="Z501" s="845">
        <v>7.9365079365079361E-3</v>
      </c>
      <c r="AA501" s="845">
        <v>0</v>
      </c>
      <c r="AB501" s="845">
        <v>3.968253968253968E-3</v>
      </c>
      <c r="AC501" s="845">
        <v>0</v>
      </c>
      <c r="AD501" s="845">
        <v>1.8037518037518036E-2</v>
      </c>
      <c r="AE501" s="845">
        <v>0.11363636363636363</v>
      </c>
      <c r="AF501" s="845">
        <v>6.4213564213564209E-2</v>
      </c>
      <c r="AG501" s="845">
        <v>0.84920634920634919</v>
      </c>
      <c r="AH501" s="20" t="str">
        <f t="shared" si="50"/>
        <v>No</v>
      </c>
      <c r="AI501" s="25"/>
      <c r="AJ501" s="20">
        <v>43125</v>
      </c>
      <c r="AK501" s="20" t="s">
        <v>806</v>
      </c>
      <c r="AL501" s="20">
        <v>39049</v>
      </c>
      <c r="AM501" s="20" t="s">
        <v>31</v>
      </c>
      <c r="AN501" s="37">
        <f t="shared" si="51"/>
        <v>18140</v>
      </c>
      <c r="AO501" s="37" t="str">
        <f t="shared" si="52"/>
        <v>Columbus, OH</v>
      </c>
      <c r="AP501" s="20" t="s">
        <v>8</v>
      </c>
      <c r="AQ501" s="25"/>
      <c r="AR501" s="25"/>
      <c r="AS501" s="25"/>
      <c r="AT501" s="25"/>
      <c r="AU501" s="36"/>
      <c r="AV501" s="36"/>
      <c r="AW501" s="36"/>
      <c r="AX501" s="25"/>
      <c r="AY501" s="25"/>
      <c r="AZ501" s="25"/>
      <c r="BA501" s="25"/>
      <c r="BB501" s="25"/>
      <c r="BC501" s="25"/>
      <c r="BD501" s="25"/>
      <c r="BE501" s="25"/>
      <c r="BF501" s="25"/>
      <c r="BG501" s="25"/>
      <c r="BH501" s="25"/>
      <c r="BI501" s="25"/>
      <c r="BJ501" s="25"/>
      <c r="BK501" s="25"/>
      <c r="BL501" s="25"/>
      <c r="BM501" s="25"/>
      <c r="BN501" s="25"/>
      <c r="BO501" s="25"/>
      <c r="BP501" s="25"/>
      <c r="BQ501" s="25"/>
      <c r="BR501" s="25"/>
      <c r="BS501" s="25"/>
      <c r="BT501" s="25"/>
      <c r="BU501" s="39">
        <v>43135</v>
      </c>
      <c r="BV501" s="39" t="s">
        <v>811</v>
      </c>
      <c r="BW501" s="39" t="s">
        <v>2882</v>
      </c>
      <c r="BX501" s="39" t="s">
        <v>303</v>
      </c>
      <c r="BY501" s="71">
        <v>800</v>
      </c>
      <c r="BZ501" s="71">
        <v>870</v>
      </c>
      <c r="CA501" s="71">
        <v>1070</v>
      </c>
      <c r="CB501" s="71">
        <v>1310</v>
      </c>
      <c r="CC501" s="71">
        <v>1430</v>
      </c>
      <c r="CD501" s="25"/>
      <c r="CE501" s="200"/>
      <c r="CF501" s="200"/>
      <c r="CG501" s="200"/>
      <c r="CH501" s="200"/>
      <c r="CI501" s="200"/>
      <c r="CJ501" s="200"/>
      <c r="CK501" s="200"/>
      <c r="CL501" s="200"/>
      <c r="CM501" s="200"/>
      <c r="CN501" s="200"/>
      <c r="CO501" s="200"/>
      <c r="CP501" s="200"/>
      <c r="CQ501" s="200"/>
      <c r="CR501" s="200"/>
      <c r="CS501" s="200"/>
      <c r="CT501" s="200"/>
      <c r="CU501" s="200"/>
    </row>
    <row r="502" spans="1:99" s="17" customFormat="1" x14ac:dyDescent="0.2">
      <c r="A502" s="25"/>
      <c r="B502" s="20">
        <v>39169000300</v>
      </c>
      <c r="C502" s="20">
        <v>3</v>
      </c>
      <c r="D502" s="20" t="s">
        <v>90</v>
      </c>
      <c r="E502" s="20" t="s">
        <v>265</v>
      </c>
      <c r="F502" s="20" t="s">
        <v>8</v>
      </c>
      <c r="G502" s="861">
        <v>63.801264997806101</v>
      </c>
      <c r="H502" s="861">
        <v>52.857003644986897</v>
      </c>
      <c r="I502" s="861">
        <v>36.5430879211169</v>
      </c>
      <c r="J502" s="861">
        <v>37.069842053569403</v>
      </c>
      <c r="K502" s="982">
        <v>1</v>
      </c>
      <c r="L502" s="735">
        <v>2738</v>
      </c>
      <c r="M502" s="735">
        <v>2439</v>
      </c>
      <c r="N502" s="845">
        <f t="shared" si="48"/>
        <v>-0.10920379839298758</v>
      </c>
      <c r="O502" s="735">
        <v>0.92254979502589307</v>
      </c>
      <c r="P502" s="735">
        <f t="shared" si="49"/>
        <v>2643.7597332418732</v>
      </c>
      <c r="Q502" s="849">
        <v>41.3</v>
      </c>
      <c r="R502" s="71">
        <v>83529</v>
      </c>
      <c r="S502" s="845">
        <v>6.3492063492063489E-2</v>
      </c>
      <c r="T502" s="845">
        <v>2.4E-2</v>
      </c>
      <c r="U502" s="845">
        <v>0</v>
      </c>
      <c r="V502" s="845">
        <v>3.6000000000000004E-2</v>
      </c>
      <c r="W502" s="845">
        <v>0.52117863720073665</v>
      </c>
      <c r="X502" s="845">
        <v>0.51060070671378088</v>
      </c>
      <c r="Y502" s="845">
        <v>0.84050840508405089</v>
      </c>
      <c r="Z502" s="845">
        <v>4.3870438704387046E-2</v>
      </c>
      <c r="AA502" s="845">
        <v>0</v>
      </c>
      <c r="AB502" s="845">
        <v>4.9610496104961051E-2</v>
      </c>
      <c r="AC502" s="845">
        <v>0</v>
      </c>
      <c r="AD502" s="845">
        <v>0</v>
      </c>
      <c r="AE502" s="845">
        <v>6.601066010660106E-2</v>
      </c>
      <c r="AF502" s="845">
        <v>3.1980319803198029E-2</v>
      </c>
      <c r="AG502" s="845">
        <v>0.8388683886838868</v>
      </c>
      <c r="AH502" s="20" t="str">
        <f t="shared" si="50"/>
        <v>No</v>
      </c>
      <c r="AI502" s="25"/>
      <c r="AJ502" s="20">
        <v>43126</v>
      </c>
      <c r="AK502" s="20" t="s">
        <v>807</v>
      </c>
      <c r="AL502" s="20">
        <v>39049</v>
      </c>
      <c r="AM502" s="20" t="s">
        <v>31</v>
      </c>
      <c r="AN502" s="37">
        <f t="shared" si="51"/>
        <v>18140</v>
      </c>
      <c r="AO502" s="37" t="str">
        <f t="shared" si="52"/>
        <v>Columbus, OH</v>
      </c>
      <c r="AP502" s="20" t="s">
        <v>8</v>
      </c>
      <c r="AQ502" s="25"/>
      <c r="AR502" s="25"/>
      <c r="AS502" s="25"/>
      <c r="AT502" s="25"/>
      <c r="AU502" s="36"/>
      <c r="AV502" s="36"/>
      <c r="AW502" s="36"/>
      <c r="AX502" s="25"/>
      <c r="AY502" s="25"/>
      <c r="AZ502" s="25"/>
      <c r="BA502" s="25"/>
      <c r="BB502" s="25"/>
      <c r="BC502" s="25"/>
      <c r="BD502" s="25"/>
      <c r="BE502" s="25"/>
      <c r="BF502" s="25"/>
      <c r="BG502" s="25"/>
      <c r="BH502" s="25"/>
      <c r="BI502" s="25"/>
      <c r="BJ502" s="25"/>
      <c r="BK502" s="25"/>
      <c r="BL502" s="25"/>
      <c r="BM502" s="25"/>
      <c r="BN502" s="25"/>
      <c r="BO502" s="25"/>
      <c r="BP502" s="25"/>
      <c r="BQ502" s="25"/>
      <c r="BR502" s="25"/>
      <c r="BS502" s="25"/>
      <c r="BT502" s="25"/>
      <c r="BU502" s="39">
        <v>43136</v>
      </c>
      <c r="BV502" s="39" t="s">
        <v>812</v>
      </c>
      <c r="BW502" s="39" t="s">
        <v>2882</v>
      </c>
      <c r="BX502" s="39" t="s">
        <v>303</v>
      </c>
      <c r="BY502" s="71">
        <v>1110</v>
      </c>
      <c r="BZ502" s="71">
        <v>1190</v>
      </c>
      <c r="CA502" s="71">
        <v>1430</v>
      </c>
      <c r="CB502" s="71">
        <v>1710</v>
      </c>
      <c r="CC502" s="71">
        <v>1930</v>
      </c>
      <c r="CD502" s="25"/>
      <c r="CE502" s="200"/>
      <c r="CF502" s="200"/>
      <c r="CG502" s="200"/>
      <c r="CH502" s="200"/>
      <c r="CI502" s="200"/>
      <c r="CJ502" s="200"/>
      <c r="CK502" s="200"/>
      <c r="CL502" s="200"/>
      <c r="CM502" s="200"/>
      <c r="CN502" s="200"/>
      <c r="CO502" s="200"/>
      <c r="CP502" s="200"/>
      <c r="CQ502" s="200"/>
      <c r="CR502" s="200"/>
      <c r="CS502" s="200"/>
      <c r="CT502" s="200"/>
      <c r="CU502" s="200"/>
    </row>
    <row r="503" spans="1:99" s="17" customFormat="1" x14ac:dyDescent="0.2">
      <c r="A503" s="25"/>
      <c r="B503" s="20">
        <v>39151712113</v>
      </c>
      <c r="C503" s="20">
        <v>7121.13</v>
      </c>
      <c r="D503" s="20" t="s">
        <v>81</v>
      </c>
      <c r="E503" s="20" t="s">
        <v>2844</v>
      </c>
      <c r="F503" s="20" t="s">
        <v>8</v>
      </c>
      <c r="G503" s="861">
        <v>63.795018698959503</v>
      </c>
      <c r="H503" s="861">
        <v>68.237302740266401</v>
      </c>
      <c r="I503" s="861">
        <v>32.156822149700901</v>
      </c>
      <c r="J503" s="861">
        <v>42.508421249783702</v>
      </c>
      <c r="K503" s="982">
        <v>0</v>
      </c>
      <c r="L503" s="735" t="s">
        <v>2466</v>
      </c>
      <c r="M503" s="735">
        <v>1218</v>
      </c>
      <c r="N503" s="845" t="str">
        <f t="shared" si="48"/>
        <v/>
      </c>
      <c r="O503" s="735">
        <v>1.4240555722087853</v>
      </c>
      <c r="P503" s="735">
        <f t="shared" si="49"/>
        <v>855.30370005913301</v>
      </c>
      <c r="Q503" s="849">
        <v>41.2</v>
      </c>
      <c r="R503" s="71">
        <v>98594</v>
      </c>
      <c r="S503" s="845">
        <v>2.5451559934318555E-2</v>
      </c>
      <c r="T503" s="845">
        <v>0</v>
      </c>
      <c r="U503" s="845">
        <v>0</v>
      </c>
      <c r="V503" s="845">
        <v>0.222</v>
      </c>
      <c r="W503" s="845">
        <v>0.33641404805914971</v>
      </c>
      <c r="X503" s="845">
        <v>0.40659340659340659</v>
      </c>
      <c r="Y503" s="845">
        <v>0.91461412151067323</v>
      </c>
      <c r="Z503" s="845">
        <v>2.4630541871921183E-2</v>
      </c>
      <c r="AA503" s="845">
        <v>0</v>
      </c>
      <c r="AB503" s="845">
        <v>5.1724137931034482E-2</v>
      </c>
      <c r="AC503" s="845">
        <v>0</v>
      </c>
      <c r="AD503" s="845">
        <v>9.0311986863710995E-3</v>
      </c>
      <c r="AE503" s="845">
        <v>0</v>
      </c>
      <c r="AF503" s="845">
        <v>9.0311986863710995E-3</v>
      </c>
      <c r="AG503" s="845">
        <v>0.91461412151067323</v>
      </c>
      <c r="AH503" s="20" t="str">
        <f t="shared" si="50"/>
        <v>Yes</v>
      </c>
      <c r="AI503" s="25"/>
      <c r="AJ503" s="37">
        <v>43137</v>
      </c>
      <c r="AK503" s="37" t="s">
        <v>813</v>
      </c>
      <c r="AL503" s="37">
        <v>39049</v>
      </c>
      <c r="AM503" s="37" t="s">
        <v>31</v>
      </c>
      <c r="AN503" s="37">
        <f t="shared" si="51"/>
        <v>18140</v>
      </c>
      <c r="AO503" s="37" t="str">
        <f t="shared" si="52"/>
        <v>Columbus, OH</v>
      </c>
      <c r="AP503" s="20" t="s">
        <v>8</v>
      </c>
      <c r="AQ503" s="25"/>
      <c r="AR503" s="25"/>
      <c r="AS503" s="25"/>
      <c r="AT503" s="25"/>
      <c r="AU503" s="36"/>
      <c r="AV503" s="36"/>
      <c r="AW503" s="36"/>
      <c r="AX503" s="25"/>
      <c r="AY503" s="25"/>
      <c r="AZ503" s="25"/>
      <c r="BA503" s="25"/>
      <c r="BB503" s="25"/>
      <c r="BC503" s="25"/>
      <c r="BD503" s="25"/>
      <c r="BE503" s="25"/>
      <c r="BF503" s="25"/>
      <c r="BG503" s="25"/>
      <c r="BH503" s="25"/>
      <c r="BI503" s="25"/>
      <c r="BJ503" s="25"/>
      <c r="BK503" s="25"/>
      <c r="BL503" s="25"/>
      <c r="BM503" s="25"/>
      <c r="BN503" s="25"/>
      <c r="BO503" s="25"/>
      <c r="BP503" s="25"/>
      <c r="BQ503" s="25"/>
      <c r="BR503" s="25"/>
      <c r="BS503" s="25"/>
      <c r="BT503" s="25"/>
      <c r="BU503" s="39">
        <v>43137</v>
      </c>
      <c r="BV503" s="39" t="s">
        <v>813</v>
      </c>
      <c r="BW503" s="39" t="s">
        <v>2882</v>
      </c>
      <c r="BX503" s="39" t="s">
        <v>303</v>
      </c>
      <c r="BY503" s="71">
        <v>1070</v>
      </c>
      <c r="BZ503" s="71">
        <v>1150</v>
      </c>
      <c r="CA503" s="71">
        <v>1380</v>
      </c>
      <c r="CB503" s="71">
        <v>1650</v>
      </c>
      <c r="CC503" s="71">
        <v>1860</v>
      </c>
      <c r="CD503" s="25"/>
      <c r="CE503" s="200"/>
      <c r="CF503" s="200"/>
      <c r="CG503" s="200"/>
      <c r="CH503" s="200"/>
      <c r="CI503" s="200"/>
      <c r="CJ503" s="200"/>
      <c r="CK503" s="200"/>
      <c r="CL503" s="200"/>
      <c r="CM503" s="200"/>
      <c r="CN503" s="200"/>
      <c r="CO503" s="200"/>
      <c r="CP503" s="200"/>
      <c r="CQ503" s="200"/>
      <c r="CR503" s="200"/>
      <c r="CS503" s="200"/>
      <c r="CT503" s="200"/>
      <c r="CU503" s="200"/>
    </row>
    <row r="504" spans="1:99" s="17" customFormat="1" x14ac:dyDescent="0.2">
      <c r="A504" s="25"/>
      <c r="B504" s="20">
        <v>39049009900</v>
      </c>
      <c r="C504" s="20">
        <v>99</v>
      </c>
      <c r="D504" s="20" t="s">
        <v>31</v>
      </c>
      <c r="E504" s="20" t="s">
        <v>2830</v>
      </c>
      <c r="F504" s="20" t="s">
        <v>6</v>
      </c>
      <c r="G504" s="861">
        <v>63.687295246336497</v>
      </c>
      <c r="H504" s="861">
        <v>73.061833146675298</v>
      </c>
      <c r="I504" s="861">
        <v>52.649825776602597</v>
      </c>
      <c r="J504" s="861">
        <v>32.342640525405898</v>
      </c>
      <c r="K504" s="982">
        <v>0</v>
      </c>
      <c r="L504" s="735">
        <v>1585</v>
      </c>
      <c r="M504" s="735">
        <v>1688</v>
      </c>
      <c r="N504" s="845">
        <f t="shared" si="48"/>
        <v>6.4984227129337546E-2</v>
      </c>
      <c r="O504" s="735">
        <v>1.0905080950352317</v>
      </c>
      <c r="P504" s="735">
        <f t="shared" si="49"/>
        <v>1547.9023105697026</v>
      </c>
      <c r="Q504" s="849">
        <v>30.8</v>
      </c>
      <c r="R504" s="71">
        <v>36404</v>
      </c>
      <c r="S504" s="845">
        <v>0.1328125</v>
      </c>
      <c r="T504" s="845">
        <v>5.0999999999999997E-2</v>
      </c>
      <c r="U504" s="845" t="s">
        <v>2466</v>
      </c>
      <c r="V504" s="845">
        <v>0.01</v>
      </c>
      <c r="W504" s="845">
        <v>1</v>
      </c>
      <c r="X504" s="845">
        <v>0.4911242603550296</v>
      </c>
      <c r="Y504" s="845">
        <v>0.19075829383886256</v>
      </c>
      <c r="Z504" s="845">
        <v>0.49881516587677727</v>
      </c>
      <c r="AA504" s="845">
        <v>0</v>
      </c>
      <c r="AB504" s="845">
        <v>1.8364928909952605E-2</v>
      </c>
      <c r="AC504" s="845">
        <v>0</v>
      </c>
      <c r="AD504" s="845">
        <v>3.6137440758293837E-2</v>
      </c>
      <c r="AE504" s="845">
        <v>0.25592417061611372</v>
      </c>
      <c r="AF504" s="845">
        <v>0.27073459715639808</v>
      </c>
      <c r="AG504" s="845">
        <v>0.19075829383886256</v>
      </c>
      <c r="AH504" s="20" t="str">
        <f t="shared" si="50"/>
        <v>No</v>
      </c>
      <c r="AI504" s="25"/>
      <c r="AJ504" s="20">
        <v>43140</v>
      </c>
      <c r="AK504" s="20" t="s">
        <v>815</v>
      </c>
      <c r="AL504" s="20">
        <v>39049</v>
      </c>
      <c r="AM504" s="20" t="s">
        <v>31</v>
      </c>
      <c r="AN504" s="37">
        <f t="shared" si="51"/>
        <v>18140</v>
      </c>
      <c r="AO504" s="37" t="str">
        <f t="shared" si="52"/>
        <v>Columbus, OH</v>
      </c>
      <c r="AP504" s="20" t="s">
        <v>8</v>
      </c>
      <c r="AQ504" s="25"/>
      <c r="AR504" s="25"/>
      <c r="AS504" s="25"/>
      <c r="AT504" s="25"/>
      <c r="AU504" s="36"/>
      <c r="AV504" s="36"/>
      <c r="AW504" s="36"/>
      <c r="AX504" s="25"/>
      <c r="AY504" s="25"/>
      <c r="AZ504" s="25"/>
      <c r="BA504" s="25"/>
      <c r="BB504" s="25"/>
      <c r="BC504" s="25"/>
      <c r="BD504" s="25"/>
      <c r="BE504" s="25"/>
      <c r="BF504" s="25"/>
      <c r="BG504" s="25"/>
      <c r="BH504" s="25"/>
      <c r="BI504" s="25"/>
      <c r="BJ504" s="25"/>
      <c r="BK504" s="25"/>
      <c r="BL504" s="25"/>
      <c r="BM504" s="25"/>
      <c r="BN504" s="25"/>
      <c r="BO504" s="25"/>
      <c r="BP504" s="25"/>
      <c r="BQ504" s="25"/>
      <c r="BR504" s="25"/>
      <c r="BS504" s="25"/>
      <c r="BT504" s="25"/>
      <c r="BU504" s="39">
        <v>43140</v>
      </c>
      <c r="BV504" s="39" t="s">
        <v>815</v>
      </c>
      <c r="BW504" s="39" t="s">
        <v>2882</v>
      </c>
      <c r="BX504" s="39" t="s">
        <v>303</v>
      </c>
      <c r="BY504" s="71">
        <v>900</v>
      </c>
      <c r="BZ504" s="71">
        <v>970</v>
      </c>
      <c r="CA504" s="71">
        <v>1160</v>
      </c>
      <c r="CB504" s="71">
        <v>1390</v>
      </c>
      <c r="CC504" s="71">
        <v>1560</v>
      </c>
      <c r="CD504" s="25"/>
      <c r="CE504" s="200"/>
      <c r="CF504" s="200"/>
      <c r="CG504" s="200"/>
      <c r="CH504" s="200"/>
      <c r="CI504" s="200"/>
      <c r="CJ504" s="200"/>
      <c r="CK504" s="200"/>
      <c r="CL504" s="200"/>
      <c r="CM504" s="200"/>
      <c r="CN504" s="200"/>
      <c r="CO504" s="200"/>
      <c r="CP504" s="200"/>
      <c r="CQ504" s="200"/>
      <c r="CR504" s="200"/>
      <c r="CS504" s="200"/>
      <c r="CT504" s="200"/>
      <c r="CU504" s="200"/>
    </row>
    <row r="505" spans="1:99" s="17" customFormat="1" x14ac:dyDescent="0.2">
      <c r="A505" s="25"/>
      <c r="B505" s="20">
        <v>39035171206</v>
      </c>
      <c r="C505" s="20">
        <v>1712.06</v>
      </c>
      <c r="D505" s="20" t="s">
        <v>24</v>
      </c>
      <c r="E505" s="20" t="s">
        <v>2829</v>
      </c>
      <c r="F505" s="20" t="s">
        <v>8</v>
      </c>
      <c r="G505" s="861">
        <v>63.687207467376702</v>
      </c>
      <c r="H505" s="861">
        <v>42.739413621357301</v>
      </c>
      <c r="I505" s="861">
        <v>38.174548771938703</v>
      </c>
      <c r="J505" s="861">
        <v>57.0584518363722</v>
      </c>
      <c r="K505" s="982">
        <v>0</v>
      </c>
      <c r="L505" s="735">
        <v>2377</v>
      </c>
      <c r="M505" s="735">
        <v>2130</v>
      </c>
      <c r="N505" s="845">
        <f t="shared" si="48"/>
        <v>-0.10391249474127051</v>
      </c>
      <c r="O505" s="735">
        <v>0.68398267666178592</v>
      </c>
      <c r="P505" s="735">
        <f t="shared" si="49"/>
        <v>3114.1139573820483</v>
      </c>
      <c r="Q505" s="849">
        <v>41.2</v>
      </c>
      <c r="R505" s="71">
        <v>51058</v>
      </c>
      <c r="S505" s="845">
        <v>2.2136669874879691E-2</v>
      </c>
      <c r="T505" s="845">
        <v>0.14300000000000002</v>
      </c>
      <c r="U505" s="845">
        <v>3.9E-2</v>
      </c>
      <c r="V505" s="845">
        <v>0</v>
      </c>
      <c r="W505" s="845">
        <v>0.146779303062302</v>
      </c>
      <c r="X505" s="845">
        <v>0.35971223021582732</v>
      </c>
      <c r="Y505" s="845">
        <v>0.3976525821596244</v>
      </c>
      <c r="Z505" s="845">
        <v>0.5737089201877934</v>
      </c>
      <c r="AA505" s="845">
        <v>0</v>
      </c>
      <c r="AB505" s="845">
        <v>0</v>
      </c>
      <c r="AC505" s="845">
        <v>0</v>
      </c>
      <c r="AD505" s="845">
        <v>4.6948356807511736E-4</v>
      </c>
      <c r="AE505" s="845">
        <v>2.8169014084507043E-2</v>
      </c>
      <c r="AF505" s="845">
        <v>1.6901408450704224E-2</v>
      </c>
      <c r="AG505" s="845">
        <v>0.39389671361502349</v>
      </c>
      <c r="AH505" s="20" t="str">
        <f t="shared" si="50"/>
        <v>No</v>
      </c>
      <c r="AI505" s="25"/>
      <c r="AJ505" s="37">
        <v>43146</v>
      </c>
      <c r="AK505" s="37" t="s">
        <v>820</v>
      </c>
      <c r="AL505" s="37">
        <v>39049</v>
      </c>
      <c r="AM505" s="37" t="s">
        <v>31</v>
      </c>
      <c r="AN505" s="37">
        <f t="shared" si="51"/>
        <v>18140</v>
      </c>
      <c r="AO505" s="37" t="str">
        <f t="shared" si="52"/>
        <v>Columbus, OH</v>
      </c>
      <c r="AP505" s="20" t="s">
        <v>8</v>
      </c>
      <c r="AQ505" s="25"/>
      <c r="AR505" s="25"/>
      <c r="AS505" s="25"/>
      <c r="AT505" s="25"/>
      <c r="AU505" s="36"/>
      <c r="AV505" s="36"/>
      <c r="AW505" s="36"/>
      <c r="AX505" s="25"/>
      <c r="AY505" s="25"/>
      <c r="AZ505" s="25"/>
      <c r="BA505" s="25"/>
      <c r="BB505" s="25"/>
      <c r="BC505" s="25"/>
      <c r="BD505" s="25"/>
      <c r="BE505" s="25"/>
      <c r="BF505" s="25"/>
      <c r="BG505" s="25"/>
      <c r="BH505" s="25"/>
      <c r="BI505" s="25"/>
      <c r="BJ505" s="25"/>
      <c r="BK505" s="25"/>
      <c r="BL505" s="25"/>
      <c r="BM505" s="25"/>
      <c r="BN505" s="25"/>
      <c r="BO505" s="25"/>
      <c r="BP505" s="25"/>
      <c r="BQ505" s="25"/>
      <c r="BR505" s="25"/>
      <c r="BS505" s="25"/>
      <c r="BT505" s="25"/>
      <c r="BU505" s="39">
        <v>43143</v>
      </c>
      <c r="BV505" s="39" t="s">
        <v>817</v>
      </c>
      <c r="BW505" s="39" t="s">
        <v>2882</v>
      </c>
      <c r="BX505" s="39" t="s">
        <v>303</v>
      </c>
      <c r="BY505" s="71">
        <v>920</v>
      </c>
      <c r="BZ505" s="71">
        <v>990</v>
      </c>
      <c r="CA505" s="71">
        <v>1180</v>
      </c>
      <c r="CB505" s="71">
        <v>1430</v>
      </c>
      <c r="CC505" s="71">
        <v>1600</v>
      </c>
      <c r="CD505" s="25"/>
      <c r="CE505" s="200"/>
      <c r="CF505" s="200"/>
      <c r="CG505" s="200"/>
      <c r="CH505" s="200"/>
      <c r="CI505" s="200"/>
      <c r="CJ505" s="200"/>
      <c r="CK505" s="200"/>
      <c r="CL505" s="200"/>
      <c r="CM505" s="200"/>
      <c r="CN505" s="200"/>
      <c r="CO505" s="200"/>
      <c r="CP505" s="200"/>
      <c r="CQ505" s="200"/>
      <c r="CR505" s="200"/>
      <c r="CS505" s="200"/>
      <c r="CT505" s="200"/>
      <c r="CU505" s="200"/>
    </row>
    <row r="506" spans="1:99" s="17" customFormat="1" x14ac:dyDescent="0.2">
      <c r="A506" s="25"/>
      <c r="B506" s="20">
        <v>39085201000</v>
      </c>
      <c r="C506" s="20">
        <v>2010</v>
      </c>
      <c r="D506" s="20" t="s">
        <v>48</v>
      </c>
      <c r="E506" s="20" t="s">
        <v>2829</v>
      </c>
      <c r="F506" s="20" t="s">
        <v>8</v>
      </c>
      <c r="G506" s="861">
        <v>63.660752423254102</v>
      </c>
      <c r="H506" s="861">
        <v>59.715326984303502</v>
      </c>
      <c r="I506" s="861">
        <v>43.950676374520199</v>
      </c>
      <c r="J506" s="861">
        <v>43.913945540170502</v>
      </c>
      <c r="K506" s="982">
        <v>0</v>
      </c>
      <c r="L506" s="735">
        <v>4900</v>
      </c>
      <c r="M506" s="735">
        <v>5293</v>
      </c>
      <c r="N506" s="845">
        <f t="shared" si="48"/>
        <v>8.0204081632653065E-2</v>
      </c>
      <c r="O506" s="735">
        <v>3.976772310356282</v>
      </c>
      <c r="P506" s="735">
        <f t="shared" si="49"/>
        <v>1330.9788911515018</v>
      </c>
      <c r="Q506" s="849">
        <v>36.200000000000003</v>
      </c>
      <c r="R506" s="71">
        <v>46930</v>
      </c>
      <c r="S506" s="845">
        <v>0.10296618174948044</v>
      </c>
      <c r="T506" s="845">
        <v>9.3000000000000013E-2</v>
      </c>
      <c r="U506" s="845">
        <v>0</v>
      </c>
      <c r="V506" s="845">
        <v>3.3000000000000002E-2</v>
      </c>
      <c r="W506" s="845">
        <v>0.58830022075055188</v>
      </c>
      <c r="X506" s="845">
        <v>0.50719199499687306</v>
      </c>
      <c r="Y506" s="845">
        <v>0.6308331758926885</v>
      </c>
      <c r="Z506" s="845">
        <v>0.30946533156999811</v>
      </c>
      <c r="AA506" s="845">
        <v>2.0782165123748348E-3</v>
      </c>
      <c r="AB506" s="845">
        <v>2.94728887209522E-2</v>
      </c>
      <c r="AC506" s="845">
        <v>0</v>
      </c>
      <c r="AD506" s="845">
        <v>1.5114301908180616E-2</v>
      </c>
      <c r="AE506" s="845">
        <v>1.3036085395805782E-2</v>
      </c>
      <c r="AF506" s="845">
        <v>2.5316455696202531E-2</v>
      </c>
      <c r="AG506" s="845">
        <v>0.62686567164179108</v>
      </c>
      <c r="AH506" s="20" t="str">
        <f t="shared" si="50"/>
        <v>No</v>
      </c>
      <c r="AI506" s="25"/>
      <c r="AJ506" s="20">
        <v>43147</v>
      </c>
      <c r="AK506" s="20" t="s">
        <v>821</v>
      </c>
      <c r="AL506" s="20">
        <v>39049</v>
      </c>
      <c r="AM506" s="20" t="s">
        <v>31</v>
      </c>
      <c r="AN506" s="37">
        <f t="shared" si="51"/>
        <v>18140</v>
      </c>
      <c r="AO506" s="37" t="str">
        <f t="shared" si="52"/>
        <v>Columbus, OH</v>
      </c>
      <c r="AP506" s="20" t="s">
        <v>8</v>
      </c>
      <c r="AQ506" s="25"/>
      <c r="AR506" s="25"/>
      <c r="AS506" s="25"/>
      <c r="AT506" s="25"/>
      <c r="AU506" s="36"/>
      <c r="AV506" s="36"/>
      <c r="AW506" s="36"/>
      <c r="AX506" s="25"/>
      <c r="AY506" s="25"/>
      <c r="AZ506" s="25"/>
      <c r="BA506" s="25"/>
      <c r="BB506" s="25"/>
      <c r="BC506" s="25"/>
      <c r="BD506" s="25"/>
      <c r="BE506" s="25"/>
      <c r="BF506" s="25"/>
      <c r="BG506" s="25"/>
      <c r="BH506" s="25"/>
      <c r="BI506" s="25"/>
      <c r="BJ506" s="25"/>
      <c r="BK506" s="25"/>
      <c r="BL506" s="25"/>
      <c r="BM506" s="25"/>
      <c r="BN506" s="25"/>
      <c r="BO506" s="25"/>
      <c r="BP506" s="25"/>
      <c r="BQ506" s="25"/>
      <c r="BR506" s="25"/>
      <c r="BS506" s="25"/>
      <c r="BT506" s="25"/>
      <c r="BU506" s="39">
        <v>43145</v>
      </c>
      <c r="BV506" s="39" t="s">
        <v>819</v>
      </c>
      <c r="BW506" s="39" t="s">
        <v>2882</v>
      </c>
      <c r="BX506" s="39" t="s">
        <v>303</v>
      </c>
      <c r="BY506" s="71">
        <v>880</v>
      </c>
      <c r="BZ506" s="71">
        <v>960</v>
      </c>
      <c r="CA506" s="71">
        <v>1150</v>
      </c>
      <c r="CB506" s="71">
        <v>1410</v>
      </c>
      <c r="CC506" s="71">
        <v>1580</v>
      </c>
      <c r="CD506" s="25"/>
      <c r="CE506" s="200"/>
      <c r="CF506" s="200"/>
      <c r="CG506" s="200"/>
      <c r="CH506" s="200"/>
      <c r="CI506" s="200"/>
      <c r="CJ506" s="200"/>
      <c r="CK506" s="200"/>
      <c r="CL506" s="200"/>
      <c r="CM506" s="200"/>
      <c r="CN506" s="200"/>
      <c r="CO506" s="200"/>
      <c r="CP506" s="200"/>
      <c r="CQ506" s="200"/>
      <c r="CR506" s="200"/>
      <c r="CS506" s="200"/>
      <c r="CT506" s="200"/>
      <c r="CU506" s="200"/>
    </row>
    <row r="507" spans="1:99" s="17" customFormat="1" x14ac:dyDescent="0.2">
      <c r="A507" s="25"/>
      <c r="B507" s="20">
        <v>39035186205</v>
      </c>
      <c r="C507" s="20">
        <v>1862.05</v>
      </c>
      <c r="D507" s="20" t="s">
        <v>24</v>
      </c>
      <c r="E507" s="20" t="s">
        <v>2829</v>
      </c>
      <c r="F507" s="20" t="s">
        <v>8</v>
      </c>
      <c r="G507" s="861">
        <v>63.6449131410373</v>
      </c>
      <c r="H507" s="861">
        <v>65.024169928480106</v>
      </c>
      <c r="I507" s="861">
        <v>17.0715905730782</v>
      </c>
      <c r="J507" s="861">
        <v>37.3744077937436</v>
      </c>
      <c r="K507" s="982">
        <v>0</v>
      </c>
      <c r="L507" s="735">
        <v>5034</v>
      </c>
      <c r="M507" s="735">
        <v>5658</v>
      </c>
      <c r="N507" s="845">
        <f t="shared" si="48"/>
        <v>0.12395709177592372</v>
      </c>
      <c r="O507" s="735">
        <v>1.8331319675440518</v>
      </c>
      <c r="P507" s="735">
        <f t="shared" si="49"/>
        <v>3086.520828928828</v>
      </c>
      <c r="Q507" s="849">
        <v>40.6</v>
      </c>
      <c r="R507" s="71">
        <v>121563</v>
      </c>
      <c r="S507" s="845">
        <v>3.0222693531283137E-2</v>
      </c>
      <c r="T507" s="845">
        <v>2.7000000000000003E-2</v>
      </c>
      <c r="U507" s="845">
        <v>1.3000000000000001E-2</v>
      </c>
      <c r="V507" s="845">
        <v>5.0999999999999997E-2</v>
      </c>
      <c r="W507" s="845">
        <v>6.9877242681775253E-2</v>
      </c>
      <c r="X507" s="845">
        <v>0.36486486486486486</v>
      </c>
      <c r="Y507" s="845">
        <v>0.89183457051961823</v>
      </c>
      <c r="Z507" s="845">
        <v>1.8734535171438672E-2</v>
      </c>
      <c r="AA507" s="845">
        <v>0</v>
      </c>
      <c r="AB507" s="845">
        <v>3.1106398020501944E-2</v>
      </c>
      <c r="AC507" s="845">
        <v>0</v>
      </c>
      <c r="AD507" s="845">
        <v>1.5022976316719689E-2</v>
      </c>
      <c r="AE507" s="845">
        <v>4.3301519971721457E-2</v>
      </c>
      <c r="AF507" s="845">
        <v>4.4892188052315304E-2</v>
      </c>
      <c r="AG507" s="845">
        <v>0.87769529869211738</v>
      </c>
      <c r="AH507" s="20" t="str">
        <f t="shared" si="50"/>
        <v>No</v>
      </c>
      <c r="AI507" s="25"/>
      <c r="AJ507" s="20">
        <v>43201</v>
      </c>
      <c r="AK507" s="20" t="s">
        <v>836</v>
      </c>
      <c r="AL507" s="20">
        <v>39049</v>
      </c>
      <c r="AM507" s="20" t="s">
        <v>31</v>
      </c>
      <c r="AN507" s="37">
        <f t="shared" si="51"/>
        <v>18140</v>
      </c>
      <c r="AO507" s="37" t="str">
        <f t="shared" si="52"/>
        <v>Columbus, OH</v>
      </c>
      <c r="AP507" s="20" t="s">
        <v>8</v>
      </c>
      <c r="AQ507" s="25"/>
      <c r="AR507" s="25"/>
      <c r="AS507" s="25"/>
      <c r="AT507" s="25"/>
      <c r="AU507" s="36"/>
      <c r="AV507" s="36"/>
      <c r="AW507" s="36"/>
      <c r="AX507" s="25"/>
      <c r="AY507" s="25"/>
      <c r="AZ507" s="25"/>
      <c r="BA507" s="25"/>
      <c r="BB507" s="25"/>
      <c r="BC507" s="25"/>
      <c r="BD507" s="25"/>
      <c r="BE507" s="25"/>
      <c r="BF507" s="25"/>
      <c r="BG507" s="25"/>
      <c r="BH507" s="25"/>
      <c r="BI507" s="25"/>
      <c r="BJ507" s="25"/>
      <c r="BK507" s="25"/>
      <c r="BL507" s="25"/>
      <c r="BM507" s="25"/>
      <c r="BN507" s="25"/>
      <c r="BO507" s="25"/>
      <c r="BP507" s="25"/>
      <c r="BQ507" s="25"/>
      <c r="BR507" s="25"/>
      <c r="BS507" s="25"/>
      <c r="BT507" s="25"/>
      <c r="BU507" s="39">
        <v>43146</v>
      </c>
      <c r="BV507" s="39" t="s">
        <v>820</v>
      </c>
      <c r="BW507" s="39" t="s">
        <v>2882</v>
      </c>
      <c r="BX507" s="39" t="s">
        <v>303</v>
      </c>
      <c r="BY507" s="71">
        <v>850</v>
      </c>
      <c r="BZ507" s="71">
        <v>910</v>
      </c>
      <c r="CA507" s="71">
        <v>1090</v>
      </c>
      <c r="CB507" s="71">
        <v>1310</v>
      </c>
      <c r="CC507" s="71">
        <v>1470</v>
      </c>
      <c r="CD507" s="25"/>
      <c r="CE507" s="200"/>
      <c r="CF507" s="200"/>
      <c r="CG507" s="200"/>
      <c r="CH507" s="200"/>
      <c r="CI507" s="200"/>
      <c r="CJ507" s="200"/>
      <c r="CK507" s="200"/>
      <c r="CL507" s="200"/>
      <c r="CM507" s="200"/>
      <c r="CN507" s="200"/>
      <c r="CO507" s="200"/>
      <c r="CP507" s="200"/>
      <c r="CQ507" s="200"/>
      <c r="CR507" s="200"/>
      <c r="CS507" s="200"/>
      <c r="CT507" s="200"/>
      <c r="CU507" s="200"/>
    </row>
    <row r="508" spans="1:99" s="17" customFormat="1" x14ac:dyDescent="0.2">
      <c r="A508" s="25"/>
      <c r="B508" s="20">
        <v>39151713401</v>
      </c>
      <c r="C508" s="20">
        <v>7134.01</v>
      </c>
      <c r="D508" s="20" t="s">
        <v>81</v>
      </c>
      <c r="E508" s="20" t="s">
        <v>2844</v>
      </c>
      <c r="F508" s="20" t="s">
        <v>8</v>
      </c>
      <c r="G508" s="861">
        <v>63.641201779816598</v>
      </c>
      <c r="H508" s="861">
        <v>55.858092755541499</v>
      </c>
      <c r="I508" s="861">
        <v>35.8844833917099</v>
      </c>
      <c r="J508" s="861">
        <v>34.196436887390597</v>
      </c>
      <c r="K508" s="982">
        <v>0</v>
      </c>
      <c r="L508" s="735">
        <v>5504</v>
      </c>
      <c r="M508" s="735">
        <v>4197</v>
      </c>
      <c r="N508" s="845">
        <f t="shared" si="48"/>
        <v>-0.23746366279069767</v>
      </c>
      <c r="O508" s="735">
        <v>1.8459266208754912</v>
      </c>
      <c r="P508" s="735">
        <f t="shared" si="49"/>
        <v>2273.6548422544743</v>
      </c>
      <c r="Q508" s="849">
        <v>42.6</v>
      </c>
      <c r="R508" s="71">
        <v>59983</v>
      </c>
      <c r="S508" s="845">
        <v>0.10340719561591613</v>
      </c>
      <c r="T508" s="845">
        <v>0.02</v>
      </c>
      <c r="U508" s="845">
        <v>1.2E-2</v>
      </c>
      <c r="V508" s="845">
        <v>0.13100000000000001</v>
      </c>
      <c r="W508" s="845">
        <v>0.15962441314553991</v>
      </c>
      <c r="X508" s="845">
        <v>0.71568627450980393</v>
      </c>
      <c r="Y508" s="845">
        <v>0.93614486538003339</v>
      </c>
      <c r="Z508" s="845">
        <v>3.335715987610198E-2</v>
      </c>
      <c r="AA508" s="845">
        <v>0</v>
      </c>
      <c r="AB508" s="845">
        <v>0</v>
      </c>
      <c r="AC508" s="845">
        <v>0</v>
      </c>
      <c r="AD508" s="845">
        <v>9.0540862520848229E-3</v>
      </c>
      <c r="AE508" s="845">
        <v>2.1443888491779844E-2</v>
      </c>
      <c r="AF508" s="845">
        <v>2.1205623064093401E-2</v>
      </c>
      <c r="AG508" s="845">
        <v>0.93614486538003339</v>
      </c>
      <c r="AH508" s="20" t="str">
        <f t="shared" si="50"/>
        <v>Yes</v>
      </c>
      <c r="AI508" s="25"/>
      <c r="AJ508" s="20">
        <v>43202</v>
      </c>
      <c r="AK508" s="20" t="s">
        <v>837</v>
      </c>
      <c r="AL508" s="20">
        <v>39049</v>
      </c>
      <c r="AM508" s="20" t="s">
        <v>31</v>
      </c>
      <c r="AN508" s="37">
        <f t="shared" si="51"/>
        <v>18140</v>
      </c>
      <c r="AO508" s="37" t="str">
        <f t="shared" si="52"/>
        <v>Columbus, OH</v>
      </c>
      <c r="AP508" s="20" t="s">
        <v>8</v>
      </c>
      <c r="AQ508" s="25"/>
      <c r="AR508" s="25"/>
      <c r="AS508" s="25"/>
      <c r="AT508" s="25"/>
      <c r="AU508" s="36"/>
      <c r="AV508" s="36"/>
      <c r="AW508" s="36"/>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39">
        <v>43147</v>
      </c>
      <c r="BV508" s="39" t="s">
        <v>821</v>
      </c>
      <c r="BW508" s="39" t="s">
        <v>2882</v>
      </c>
      <c r="BX508" s="39" t="s">
        <v>303</v>
      </c>
      <c r="BY508" s="71">
        <v>1420</v>
      </c>
      <c r="BZ508" s="71">
        <v>1530</v>
      </c>
      <c r="CA508" s="71">
        <v>1830</v>
      </c>
      <c r="CB508" s="71">
        <v>2190</v>
      </c>
      <c r="CC508" s="71">
        <v>2470</v>
      </c>
      <c r="CD508" s="25"/>
      <c r="CE508" s="200"/>
      <c r="CF508" s="200"/>
      <c r="CG508" s="200"/>
      <c r="CH508" s="200"/>
      <c r="CI508" s="200"/>
      <c r="CJ508" s="200"/>
      <c r="CK508" s="200"/>
      <c r="CL508" s="200"/>
      <c r="CM508" s="200"/>
      <c r="CN508" s="200"/>
      <c r="CO508" s="200"/>
      <c r="CP508" s="200"/>
      <c r="CQ508" s="200"/>
      <c r="CR508" s="200"/>
      <c r="CS508" s="200"/>
      <c r="CT508" s="200"/>
      <c r="CU508" s="200"/>
    </row>
    <row r="509" spans="1:99" s="17" customFormat="1" x14ac:dyDescent="0.2">
      <c r="A509" s="25"/>
      <c r="B509" s="20">
        <v>39057210202</v>
      </c>
      <c r="C509" s="20">
        <v>2102.02</v>
      </c>
      <c r="D509" s="20" t="s">
        <v>35</v>
      </c>
      <c r="E509" s="20" t="s">
        <v>2833</v>
      </c>
      <c r="F509" s="20" t="s">
        <v>8</v>
      </c>
      <c r="G509" s="861">
        <v>63.624199335235701</v>
      </c>
      <c r="H509" s="861">
        <v>72.310558355299406</v>
      </c>
      <c r="I509" s="861">
        <v>18.4946785904961</v>
      </c>
      <c r="J509" s="861">
        <v>37.272952527889601</v>
      </c>
      <c r="K509" s="982">
        <v>0</v>
      </c>
      <c r="L509" s="735" t="s">
        <v>2466</v>
      </c>
      <c r="M509" s="735">
        <v>3659</v>
      </c>
      <c r="N509" s="845" t="str">
        <f t="shared" si="48"/>
        <v/>
      </c>
      <c r="O509" s="735">
        <v>2.1068594789803883</v>
      </c>
      <c r="P509" s="735">
        <f t="shared" si="49"/>
        <v>1736.7081366863479</v>
      </c>
      <c r="Q509" s="849">
        <v>37.4</v>
      </c>
      <c r="R509" s="71">
        <v>124125</v>
      </c>
      <c r="S509" s="845">
        <v>3.6895326591965018E-2</v>
      </c>
      <c r="T509" s="845">
        <v>2.8999999999999998E-2</v>
      </c>
      <c r="U509" s="845">
        <v>0</v>
      </c>
      <c r="V509" s="845">
        <v>0</v>
      </c>
      <c r="W509" s="845">
        <v>6.3175394846217786E-2</v>
      </c>
      <c r="X509" s="845">
        <v>0.44736842105263158</v>
      </c>
      <c r="Y509" s="845">
        <v>0.81251708116971855</v>
      </c>
      <c r="Z509" s="845">
        <v>2.7329871549603714E-4</v>
      </c>
      <c r="AA509" s="845">
        <v>3.0062858704564088E-3</v>
      </c>
      <c r="AB509" s="845">
        <v>3.6895326591965018E-2</v>
      </c>
      <c r="AC509" s="845">
        <v>0</v>
      </c>
      <c r="AD509" s="845">
        <v>1.7217819076250342E-2</v>
      </c>
      <c r="AE509" s="845">
        <v>0.13009018857611368</v>
      </c>
      <c r="AF509" s="845">
        <v>8.6362394096747744E-2</v>
      </c>
      <c r="AG509" s="845">
        <v>0.79775895053293244</v>
      </c>
      <c r="AH509" s="20" t="str">
        <f t="shared" si="50"/>
        <v>No</v>
      </c>
      <c r="AI509" s="25"/>
      <c r="AJ509" s="20">
        <v>43203</v>
      </c>
      <c r="AK509" s="20" t="s">
        <v>838</v>
      </c>
      <c r="AL509" s="20">
        <v>39049</v>
      </c>
      <c r="AM509" s="20" t="s">
        <v>31</v>
      </c>
      <c r="AN509" s="37">
        <f t="shared" si="51"/>
        <v>18140</v>
      </c>
      <c r="AO509" s="37" t="str">
        <f t="shared" si="52"/>
        <v>Columbus, OH</v>
      </c>
      <c r="AP509" s="20" t="s">
        <v>8</v>
      </c>
      <c r="AQ509" s="25"/>
      <c r="AR509" s="25"/>
      <c r="AS509" s="25"/>
      <c r="AT509" s="25"/>
      <c r="AU509" s="36"/>
      <c r="AV509" s="36"/>
      <c r="AW509" s="36"/>
      <c r="AX509" s="25"/>
      <c r="AY509" s="25"/>
      <c r="AZ509" s="25"/>
      <c r="BA509" s="25"/>
      <c r="BB509" s="25"/>
      <c r="BC509" s="25"/>
      <c r="BD509" s="25"/>
      <c r="BE509" s="25"/>
      <c r="BF509" s="25"/>
      <c r="BG509" s="25"/>
      <c r="BH509" s="25"/>
      <c r="BI509" s="25"/>
      <c r="BJ509" s="25"/>
      <c r="BK509" s="25"/>
      <c r="BL509" s="25"/>
      <c r="BM509" s="25"/>
      <c r="BN509" s="25"/>
      <c r="BO509" s="25"/>
      <c r="BP509" s="25"/>
      <c r="BQ509" s="25"/>
      <c r="BR509" s="25"/>
      <c r="BS509" s="25"/>
      <c r="BT509" s="25"/>
      <c r="BU509" s="39">
        <v>43148</v>
      </c>
      <c r="BV509" s="39" t="s">
        <v>822</v>
      </c>
      <c r="BW509" s="39" t="s">
        <v>2882</v>
      </c>
      <c r="BX509" s="39" t="s">
        <v>303</v>
      </c>
      <c r="BY509" s="71">
        <v>960</v>
      </c>
      <c r="BZ509" s="71">
        <v>1030</v>
      </c>
      <c r="CA509" s="71">
        <v>1230</v>
      </c>
      <c r="CB509" s="71">
        <v>1480</v>
      </c>
      <c r="CC509" s="71">
        <v>1680</v>
      </c>
      <c r="CD509" s="25"/>
      <c r="CE509" s="200"/>
      <c r="CF509" s="200"/>
      <c r="CG509" s="200"/>
      <c r="CH509" s="200"/>
      <c r="CI509" s="200"/>
      <c r="CJ509" s="200"/>
      <c r="CK509" s="200"/>
      <c r="CL509" s="200"/>
      <c r="CM509" s="200"/>
      <c r="CN509" s="200"/>
      <c r="CO509" s="200"/>
      <c r="CP509" s="200"/>
      <c r="CQ509" s="200"/>
      <c r="CR509" s="200"/>
      <c r="CS509" s="200"/>
      <c r="CT509" s="200"/>
      <c r="CU509" s="200"/>
    </row>
    <row r="510" spans="1:99" s="17" customFormat="1" x14ac:dyDescent="0.2">
      <c r="A510" s="25"/>
      <c r="B510" s="20">
        <v>39035141602</v>
      </c>
      <c r="C510" s="20">
        <v>1416.02</v>
      </c>
      <c r="D510" s="20" t="s">
        <v>24</v>
      </c>
      <c r="E510" s="20" t="s">
        <v>2829</v>
      </c>
      <c r="F510" s="20" t="s">
        <v>8</v>
      </c>
      <c r="G510" s="861">
        <v>63.6219808054596</v>
      </c>
      <c r="H510" s="861">
        <v>66.299386820859297</v>
      </c>
      <c r="I510" s="861">
        <v>37.906807076089898</v>
      </c>
      <c r="J510" s="861">
        <v>39.030220136174897</v>
      </c>
      <c r="K510" s="982">
        <v>0</v>
      </c>
      <c r="L510" s="735">
        <v>1411</v>
      </c>
      <c r="M510" s="735">
        <v>1565</v>
      </c>
      <c r="N510" s="845">
        <f t="shared" si="48"/>
        <v>0.10914245216158752</v>
      </c>
      <c r="O510" s="735">
        <v>0.20097543999922071</v>
      </c>
      <c r="P510" s="735">
        <f t="shared" si="49"/>
        <v>7787.0211405237787</v>
      </c>
      <c r="Q510" s="849">
        <v>36.1</v>
      </c>
      <c r="R510" s="71">
        <v>78235</v>
      </c>
      <c r="S510" s="845">
        <v>0.23067092651757187</v>
      </c>
      <c r="T510" s="845">
        <v>5.4000000000000006E-2</v>
      </c>
      <c r="U510" s="845">
        <v>0</v>
      </c>
      <c r="V510" s="845">
        <v>3.3000000000000002E-2</v>
      </c>
      <c r="W510" s="845">
        <v>0.2857142857142857</v>
      </c>
      <c r="X510" s="845">
        <v>0.33522727272727271</v>
      </c>
      <c r="Y510" s="845">
        <v>0.4217252396166134</v>
      </c>
      <c r="Z510" s="845">
        <v>0.41405750798722046</v>
      </c>
      <c r="AA510" s="845">
        <v>1.9169329073482429E-3</v>
      </c>
      <c r="AB510" s="845">
        <v>5.4313099041533544E-2</v>
      </c>
      <c r="AC510" s="845">
        <v>0</v>
      </c>
      <c r="AD510" s="845">
        <v>0</v>
      </c>
      <c r="AE510" s="845">
        <v>0.10798722044728434</v>
      </c>
      <c r="AF510" s="845">
        <v>0</v>
      </c>
      <c r="AG510" s="845">
        <v>0.4217252396166134</v>
      </c>
      <c r="AH510" s="20" t="str">
        <f t="shared" si="50"/>
        <v>No</v>
      </c>
      <c r="AI510" s="25"/>
      <c r="AJ510" s="20">
        <v>43204</v>
      </c>
      <c r="AK510" s="20" t="s">
        <v>839</v>
      </c>
      <c r="AL510" s="20">
        <v>39049</v>
      </c>
      <c r="AM510" s="20" t="s">
        <v>31</v>
      </c>
      <c r="AN510" s="37">
        <f t="shared" si="51"/>
        <v>18140</v>
      </c>
      <c r="AO510" s="37" t="str">
        <f t="shared" si="52"/>
        <v>Columbus, OH</v>
      </c>
      <c r="AP510" s="20" t="s">
        <v>8</v>
      </c>
      <c r="AQ510" s="25"/>
      <c r="AR510" s="25"/>
      <c r="AS510" s="25"/>
      <c r="AT510" s="25"/>
      <c r="AU510" s="36"/>
      <c r="AV510" s="36"/>
      <c r="AW510" s="36"/>
      <c r="AX510" s="25"/>
      <c r="AY510" s="25"/>
      <c r="AZ510" s="25"/>
      <c r="BA510" s="25"/>
      <c r="BB510" s="25"/>
      <c r="BC510" s="25"/>
      <c r="BD510" s="25"/>
      <c r="BE510" s="25"/>
      <c r="BF510" s="25"/>
      <c r="BG510" s="25"/>
      <c r="BH510" s="25"/>
      <c r="BI510" s="25"/>
      <c r="BJ510" s="25"/>
      <c r="BK510" s="25"/>
      <c r="BL510" s="25"/>
      <c r="BM510" s="25"/>
      <c r="BN510" s="25"/>
      <c r="BO510" s="25"/>
      <c r="BP510" s="25"/>
      <c r="BQ510" s="25"/>
      <c r="BR510" s="25"/>
      <c r="BS510" s="25"/>
      <c r="BT510" s="25"/>
      <c r="BU510" s="39">
        <v>43150</v>
      </c>
      <c r="BV510" s="39" t="s">
        <v>824</v>
      </c>
      <c r="BW510" s="39" t="s">
        <v>2882</v>
      </c>
      <c r="BX510" s="39" t="s">
        <v>303</v>
      </c>
      <c r="BY510" s="71">
        <v>800</v>
      </c>
      <c r="BZ510" s="71">
        <v>870</v>
      </c>
      <c r="CA510" s="71">
        <v>1070</v>
      </c>
      <c r="CB510" s="71">
        <v>1280</v>
      </c>
      <c r="CC510" s="71">
        <v>1430</v>
      </c>
      <c r="CD510" s="25"/>
      <c r="CE510" s="200"/>
      <c r="CF510" s="200"/>
      <c r="CG510" s="200"/>
      <c r="CH510" s="200"/>
      <c r="CI510" s="200"/>
      <c r="CJ510" s="200"/>
      <c r="CK510" s="200"/>
      <c r="CL510" s="200"/>
      <c r="CM510" s="200"/>
      <c r="CN510" s="200"/>
      <c r="CO510" s="200"/>
      <c r="CP510" s="200"/>
      <c r="CQ510" s="200"/>
      <c r="CR510" s="200"/>
      <c r="CS510" s="200"/>
      <c r="CT510" s="200"/>
      <c r="CU510" s="200"/>
    </row>
    <row r="511" spans="1:99" s="17" customFormat="1" x14ac:dyDescent="0.2">
      <c r="A511" s="25"/>
      <c r="B511" s="20">
        <v>39045032701</v>
      </c>
      <c r="C511" s="20">
        <v>327.01</v>
      </c>
      <c r="D511" s="20" t="s">
        <v>29</v>
      </c>
      <c r="E511" s="20" t="s">
        <v>2830</v>
      </c>
      <c r="F511" s="20" t="s">
        <v>8</v>
      </c>
      <c r="G511" s="861">
        <v>63.621829605219602</v>
      </c>
      <c r="H511" s="861">
        <v>71.629103219185595</v>
      </c>
      <c r="I511" s="861">
        <v>22.134135528450901</v>
      </c>
      <c r="J511" s="861">
        <v>62.202877555721003</v>
      </c>
      <c r="K511" s="982">
        <v>0</v>
      </c>
      <c r="L511" s="735">
        <v>4228</v>
      </c>
      <c r="M511" s="735">
        <v>4929</v>
      </c>
      <c r="N511" s="845">
        <f t="shared" si="48"/>
        <v>0.16579943235572375</v>
      </c>
      <c r="O511" s="735">
        <v>1.3439559766936537</v>
      </c>
      <c r="P511" s="735">
        <f t="shared" si="49"/>
        <v>3667.5308458586023</v>
      </c>
      <c r="Q511" s="849">
        <v>39.9</v>
      </c>
      <c r="R511" s="71">
        <v>94361</v>
      </c>
      <c r="S511" s="845">
        <v>8.2317073170731711E-2</v>
      </c>
      <c r="T511" s="845">
        <v>1.6E-2</v>
      </c>
      <c r="U511" s="845">
        <v>0</v>
      </c>
      <c r="V511" s="845">
        <v>0</v>
      </c>
      <c r="W511" s="845">
        <v>0.23925729442970822</v>
      </c>
      <c r="X511" s="845">
        <v>0.25055432372505543</v>
      </c>
      <c r="Y511" s="845">
        <v>0.57252992493406374</v>
      </c>
      <c r="Z511" s="845">
        <v>0.3134510042604991</v>
      </c>
      <c r="AA511" s="845">
        <v>0</v>
      </c>
      <c r="AB511" s="845">
        <v>4.5851085412862647E-2</v>
      </c>
      <c r="AC511" s="845">
        <v>0</v>
      </c>
      <c r="AD511" s="845">
        <v>1.6230472712517752E-3</v>
      </c>
      <c r="AE511" s="845">
        <v>6.6544938121322783E-2</v>
      </c>
      <c r="AF511" s="845">
        <v>1.7244877257050113E-2</v>
      </c>
      <c r="AG511" s="845">
        <v>0.57110975857171842</v>
      </c>
      <c r="AH511" s="20" t="str">
        <f t="shared" si="50"/>
        <v>No</v>
      </c>
      <c r="AI511" s="25"/>
      <c r="AJ511" s="20">
        <v>43205</v>
      </c>
      <c r="AK511" s="20" t="s">
        <v>840</v>
      </c>
      <c r="AL511" s="20">
        <v>39049</v>
      </c>
      <c r="AM511" s="20" t="s">
        <v>31</v>
      </c>
      <c r="AN511" s="37">
        <f t="shared" si="51"/>
        <v>18140</v>
      </c>
      <c r="AO511" s="37" t="str">
        <f t="shared" si="52"/>
        <v>Columbus, OH</v>
      </c>
      <c r="AP511" s="20" t="s">
        <v>8</v>
      </c>
      <c r="AQ511" s="25"/>
      <c r="AR511" s="25"/>
      <c r="AS511" s="25"/>
      <c r="AT511" s="25"/>
      <c r="AU511" s="36"/>
      <c r="AV511" s="36"/>
      <c r="AW511" s="36"/>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39">
        <v>43151</v>
      </c>
      <c r="BV511" s="39" t="s">
        <v>825</v>
      </c>
      <c r="BW511" s="39" t="s">
        <v>2882</v>
      </c>
      <c r="BX511" s="39" t="s">
        <v>303</v>
      </c>
      <c r="BY511" s="71">
        <v>920</v>
      </c>
      <c r="BZ511" s="71">
        <v>980</v>
      </c>
      <c r="CA511" s="71">
        <v>1180</v>
      </c>
      <c r="CB511" s="71">
        <v>1410</v>
      </c>
      <c r="CC511" s="71">
        <v>1590</v>
      </c>
      <c r="CD511" s="25"/>
      <c r="CE511" s="200"/>
      <c r="CF511" s="200"/>
      <c r="CG511" s="200"/>
      <c r="CH511" s="200"/>
      <c r="CI511" s="200"/>
      <c r="CJ511" s="200"/>
      <c r="CK511" s="200"/>
      <c r="CL511" s="200"/>
      <c r="CM511" s="200"/>
      <c r="CN511" s="200"/>
      <c r="CO511" s="200"/>
      <c r="CP511" s="200"/>
      <c r="CQ511" s="200"/>
      <c r="CR511" s="200"/>
      <c r="CS511" s="200"/>
      <c r="CT511" s="200"/>
      <c r="CU511" s="200"/>
    </row>
    <row r="512" spans="1:99" s="17" customFormat="1" x14ac:dyDescent="0.2">
      <c r="A512" s="25"/>
      <c r="B512" s="20">
        <v>39037550100</v>
      </c>
      <c r="C512" s="20">
        <v>5501</v>
      </c>
      <c r="D512" s="20" t="s">
        <v>25</v>
      </c>
      <c r="E512" s="20" t="s">
        <v>265</v>
      </c>
      <c r="F512" s="20" t="s">
        <v>8</v>
      </c>
      <c r="G512" s="861">
        <v>63.585608691916399</v>
      </c>
      <c r="H512" s="861">
        <v>70.891071371023202</v>
      </c>
      <c r="I512" s="861">
        <v>13.9685575635171</v>
      </c>
      <c r="J512" s="861">
        <v>51.225018307404497</v>
      </c>
      <c r="K512" s="982">
        <v>0</v>
      </c>
      <c r="L512" s="735">
        <v>3519</v>
      </c>
      <c r="M512" s="735">
        <v>3417</v>
      </c>
      <c r="N512" s="845">
        <f t="shared" si="48"/>
        <v>-2.8985507246376812E-2</v>
      </c>
      <c r="O512" s="735">
        <v>39.626368014484825</v>
      </c>
      <c r="P512" s="735">
        <f t="shared" si="49"/>
        <v>86.230461463209721</v>
      </c>
      <c r="Q512" s="849">
        <v>46</v>
      </c>
      <c r="R512" s="71">
        <v>71573</v>
      </c>
      <c r="S512" s="845">
        <v>6.52619256657887E-2</v>
      </c>
      <c r="T512" s="845">
        <v>0</v>
      </c>
      <c r="U512" s="845">
        <v>0</v>
      </c>
      <c r="V512" s="845">
        <v>0</v>
      </c>
      <c r="W512" s="845">
        <v>0.10271460014673514</v>
      </c>
      <c r="X512" s="845">
        <v>0</v>
      </c>
      <c r="Y512" s="845">
        <v>0.97834357623646473</v>
      </c>
      <c r="Z512" s="845">
        <v>6.7310506292069068E-3</v>
      </c>
      <c r="AA512" s="845">
        <v>0</v>
      </c>
      <c r="AB512" s="845">
        <v>0</v>
      </c>
      <c r="AC512" s="845">
        <v>0</v>
      </c>
      <c r="AD512" s="845">
        <v>0</v>
      </c>
      <c r="AE512" s="845">
        <v>1.4925373134328358E-2</v>
      </c>
      <c r="AF512" s="845">
        <v>1.0828211881767632E-2</v>
      </c>
      <c r="AG512" s="845">
        <v>0.97834357623646473</v>
      </c>
      <c r="AH512" s="20" t="str">
        <f t="shared" si="50"/>
        <v>Yes</v>
      </c>
      <c r="AI512" s="25"/>
      <c r="AJ512" s="37">
        <v>43206</v>
      </c>
      <c r="AK512" s="37" t="s">
        <v>841</v>
      </c>
      <c r="AL512" s="37">
        <v>39049</v>
      </c>
      <c r="AM512" s="37" t="s">
        <v>31</v>
      </c>
      <c r="AN512" s="37">
        <f t="shared" si="51"/>
        <v>18140</v>
      </c>
      <c r="AO512" s="37" t="str">
        <f t="shared" si="52"/>
        <v>Columbus, OH</v>
      </c>
      <c r="AP512" s="20" t="s">
        <v>8</v>
      </c>
      <c r="AQ512" s="25"/>
      <c r="AR512" s="25"/>
      <c r="AS512" s="25"/>
      <c r="AT512" s="25"/>
      <c r="AU512" s="36"/>
      <c r="AV512" s="36"/>
      <c r="AW512" s="36"/>
      <c r="AX512" s="25"/>
      <c r="AY512" s="25"/>
      <c r="AZ512" s="25"/>
      <c r="BA512" s="25"/>
      <c r="BB512" s="25"/>
      <c r="BC512" s="25"/>
      <c r="BD512" s="25"/>
      <c r="BE512" s="25"/>
      <c r="BF512" s="25"/>
      <c r="BG512" s="25"/>
      <c r="BH512" s="25"/>
      <c r="BI512" s="25"/>
      <c r="BJ512" s="25"/>
      <c r="BK512" s="25"/>
      <c r="BL512" s="25"/>
      <c r="BM512" s="25"/>
      <c r="BN512" s="25"/>
      <c r="BO512" s="25"/>
      <c r="BP512" s="25"/>
      <c r="BQ512" s="25"/>
      <c r="BR512" s="25"/>
      <c r="BS512" s="25"/>
      <c r="BT512" s="25"/>
      <c r="BU512" s="39">
        <v>43153</v>
      </c>
      <c r="BV512" s="39" t="s">
        <v>827</v>
      </c>
      <c r="BW512" s="39" t="s">
        <v>2882</v>
      </c>
      <c r="BX512" s="39" t="s">
        <v>303</v>
      </c>
      <c r="BY512" s="71">
        <v>1010</v>
      </c>
      <c r="BZ512" s="71">
        <v>1090</v>
      </c>
      <c r="CA512" s="71">
        <v>1330</v>
      </c>
      <c r="CB512" s="71">
        <v>1610</v>
      </c>
      <c r="CC512" s="71">
        <v>1820</v>
      </c>
      <c r="CD512" s="25"/>
      <c r="CE512" s="200"/>
      <c r="CF512" s="200"/>
      <c r="CG512" s="200"/>
      <c r="CH512" s="200"/>
      <c r="CI512" s="200"/>
      <c r="CJ512" s="200"/>
      <c r="CK512" s="200"/>
      <c r="CL512" s="200"/>
      <c r="CM512" s="200"/>
      <c r="CN512" s="200"/>
      <c r="CO512" s="200"/>
      <c r="CP512" s="200"/>
      <c r="CQ512" s="200"/>
      <c r="CR512" s="200"/>
      <c r="CS512" s="200"/>
      <c r="CT512" s="200"/>
      <c r="CU512" s="200"/>
    </row>
    <row r="513" spans="1:99" s="17" customFormat="1" x14ac:dyDescent="0.2">
      <c r="A513" s="25"/>
      <c r="B513" s="20">
        <v>39123050700</v>
      </c>
      <c r="C513" s="20">
        <v>507</v>
      </c>
      <c r="D513" s="20" t="s">
        <v>67</v>
      </c>
      <c r="E513" s="20" t="s">
        <v>2837</v>
      </c>
      <c r="F513" s="20" t="s">
        <v>8</v>
      </c>
      <c r="G513" s="861">
        <v>63.541889359908097</v>
      </c>
      <c r="H513" s="861">
        <v>55.758883139343197</v>
      </c>
      <c r="I513" s="861">
        <v>26.752060543823902</v>
      </c>
      <c r="J513" s="861">
        <v>44.396343909577602</v>
      </c>
      <c r="K513" s="982">
        <v>0</v>
      </c>
      <c r="L513" s="735">
        <v>3372</v>
      </c>
      <c r="M513" s="735">
        <v>3265</v>
      </c>
      <c r="N513" s="845">
        <f t="shared" si="48"/>
        <v>-3.1731909845788851E-2</v>
      </c>
      <c r="O513" s="735">
        <v>5.4393408006803554</v>
      </c>
      <c r="P513" s="735">
        <f t="shared" si="49"/>
        <v>600.25656042578032</v>
      </c>
      <c r="Q513" s="849">
        <v>38.6</v>
      </c>
      <c r="R513" s="71">
        <v>50368</v>
      </c>
      <c r="S513" s="845">
        <v>6.2092517851598882E-2</v>
      </c>
      <c r="T513" s="845">
        <v>1.3999999999999999E-2</v>
      </c>
      <c r="U513" s="845">
        <v>0</v>
      </c>
      <c r="V513" s="845">
        <v>0</v>
      </c>
      <c r="W513" s="845">
        <v>0.27559562137797811</v>
      </c>
      <c r="X513" s="845">
        <v>0.29439252336448596</v>
      </c>
      <c r="Y513" s="845">
        <v>0.92802450229709033</v>
      </c>
      <c r="Z513" s="845">
        <v>0</v>
      </c>
      <c r="AA513" s="845">
        <v>0</v>
      </c>
      <c r="AB513" s="845">
        <v>3.9816232771822356E-3</v>
      </c>
      <c r="AC513" s="845">
        <v>2.450229709035222E-3</v>
      </c>
      <c r="AD513" s="845">
        <v>3.4609494640122508E-2</v>
      </c>
      <c r="AE513" s="845">
        <v>3.0934150076569678E-2</v>
      </c>
      <c r="AF513" s="845">
        <v>8.4532924961715161E-2</v>
      </c>
      <c r="AG513" s="845">
        <v>0.89678407350689127</v>
      </c>
      <c r="AH513" s="20" t="str">
        <f t="shared" si="50"/>
        <v>No</v>
      </c>
      <c r="AI513" s="25"/>
      <c r="AJ513" s="20">
        <v>43207</v>
      </c>
      <c r="AK513" s="20" t="s">
        <v>842</v>
      </c>
      <c r="AL513" s="20">
        <v>39049</v>
      </c>
      <c r="AM513" s="20" t="s">
        <v>31</v>
      </c>
      <c r="AN513" s="37">
        <f t="shared" si="51"/>
        <v>18140</v>
      </c>
      <c r="AO513" s="37" t="str">
        <f t="shared" si="52"/>
        <v>Columbus, OH</v>
      </c>
      <c r="AP513" s="20" t="s">
        <v>8</v>
      </c>
      <c r="AQ513" s="25"/>
      <c r="AR513" s="25"/>
      <c r="AS513" s="25"/>
      <c r="AT513" s="25"/>
      <c r="AU513" s="36"/>
      <c r="AV513" s="36"/>
      <c r="AW513" s="36"/>
      <c r="AX513" s="25"/>
      <c r="AY513" s="25"/>
      <c r="AZ513" s="25"/>
      <c r="BA513" s="25"/>
      <c r="BB513" s="25"/>
      <c r="BC513" s="25"/>
      <c r="BD513" s="25"/>
      <c r="BE513" s="25"/>
      <c r="BF513" s="25"/>
      <c r="BG513" s="25"/>
      <c r="BH513" s="25"/>
      <c r="BI513" s="25"/>
      <c r="BJ513" s="25"/>
      <c r="BK513" s="25"/>
      <c r="BL513" s="25"/>
      <c r="BM513" s="25"/>
      <c r="BN513" s="25"/>
      <c r="BO513" s="25"/>
      <c r="BP513" s="25"/>
      <c r="BQ513" s="25"/>
      <c r="BR513" s="25"/>
      <c r="BS513" s="25"/>
      <c r="BT513" s="25"/>
      <c r="BU513" s="39">
        <v>43154</v>
      </c>
      <c r="BV513" s="39" t="s">
        <v>828</v>
      </c>
      <c r="BW513" s="39" t="s">
        <v>2882</v>
      </c>
      <c r="BX513" s="39" t="s">
        <v>303</v>
      </c>
      <c r="BY513" s="71">
        <v>980</v>
      </c>
      <c r="BZ513" s="71">
        <v>1050</v>
      </c>
      <c r="CA513" s="71">
        <v>1260</v>
      </c>
      <c r="CB513" s="71">
        <v>1510</v>
      </c>
      <c r="CC513" s="71">
        <v>1700</v>
      </c>
      <c r="CD513" s="25"/>
      <c r="CE513" s="200"/>
      <c r="CF513" s="200"/>
      <c r="CG513" s="200"/>
      <c r="CH513" s="200"/>
      <c r="CI513" s="200"/>
      <c r="CJ513" s="200"/>
      <c r="CK513" s="200"/>
      <c r="CL513" s="200"/>
      <c r="CM513" s="200"/>
      <c r="CN513" s="200"/>
      <c r="CO513" s="200"/>
      <c r="CP513" s="200"/>
      <c r="CQ513" s="200"/>
      <c r="CR513" s="200"/>
      <c r="CS513" s="200"/>
      <c r="CT513" s="200"/>
      <c r="CU513" s="200"/>
    </row>
    <row r="514" spans="1:99" s="17" customFormat="1" x14ac:dyDescent="0.2">
      <c r="A514" s="25"/>
      <c r="B514" s="20">
        <v>39099811600</v>
      </c>
      <c r="C514" s="20">
        <v>8116</v>
      </c>
      <c r="D514" s="20" t="s">
        <v>55</v>
      </c>
      <c r="E514" s="20" t="s">
        <v>2842</v>
      </c>
      <c r="F514" s="20" t="s">
        <v>8</v>
      </c>
      <c r="G514" s="861">
        <v>63.526375466289302</v>
      </c>
      <c r="H514" s="861">
        <v>57.246036234755003</v>
      </c>
      <c r="I514" s="861">
        <v>27.783553709703099</v>
      </c>
      <c r="J514" s="861">
        <v>46.273219682479301</v>
      </c>
      <c r="K514" s="982">
        <v>0</v>
      </c>
      <c r="L514" s="735">
        <v>3557</v>
      </c>
      <c r="M514" s="735">
        <v>3608</v>
      </c>
      <c r="N514" s="845">
        <f t="shared" si="48"/>
        <v>1.4337925217880236E-2</v>
      </c>
      <c r="O514" s="735">
        <v>1.4434413754895579</v>
      </c>
      <c r="P514" s="735">
        <f t="shared" si="49"/>
        <v>2499.5819444182898</v>
      </c>
      <c r="Q514" s="849">
        <v>54.3</v>
      </c>
      <c r="R514" s="71">
        <v>72169</v>
      </c>
      <c r="S514" s="845">
        <v>9.1669068895935429E-2</v>
      </c>
      <c r="T514" s="845">
        <v>3.1E-2</v>
      </c>
      <c r="U514" s="845">
        <v>1.4999999999999999E-2</v>
      </c>
      <c r="V514" s="845">
        <v>0</v>
      </c>
      <c r="W514" s="845">
        <v>0.2732884399551066</v>
      </c>
      <c r="X514" s="845">
        <v>0.21560574948665298</v>
      </c>
      <c r="Y514" s="845">
        <v>0.83481152993348118</v>
      </c>
      <c r="Z514" s="845">
        <v>5.3215077605321508E-2</v>
      </c>
      <c r="AA514" s="845">
        <v>0</v>
      </c>
      <c r="AB514" s="845">
        <v>8.869179600886918E-3</v>
      </c>
      <c r="AC514" s="845">
        <v>0</v>
      </c>
      <c r="AD514" s="845">
        <v>1.1086474501108647E-3</v>
      </c>
      <c r="AE514" s="845">
        <v>0.10199556541019955</v>
      </c>
      <c r="AF514" s="845">
        <v>4.2682926829268296E-2</v>
      </c>
      <c r="AG514" s="845">
        <v>0.8137472283813747</v>
      </c>
      <c r="AH514" s="20" t="str">
        <f t="shared" si="50"/>
        <v>No</v>
      </c>
      <c r="AI514" s="25"/>
      <c r="AJ514" s="20">
        <v>43209</v>
      </c>
      <c r="AK514" s="20" t="s">
        <v>843</v>
      </c>
      <c r="AL514" s="20">
        <v>39049</v>
      </c>
      <c r="AM514" s="20" t="s">
        <v>31</v>
      </c>
      <c r="AN514" s="37">
        <f t="shared" si="51"/>
        <v>18140</v>
      </c>
      <c r="AO514" s="37" t="str">
        <f t="shared" si="52"/>
        <v>Columbus, OH</v>
      </c>
      <c r="AP514" s="20" t="s">
        <v>8</v>
      </c>
      <c r="AQ514" s="25"/>
      <c r="AR514" s="25"/>
      <c r="AS514" s="25"/>
      <c r="AT514" s="25"/>
      <c r="AU514" s="36"/>
      <c r="AV514" s="36"/>
      <c r="AW514" s="36"/>
      <c r="AX514" s="25"/>
      <c r="AY514" s="25"/>
      <c r="AZ514" s="25"/>
      <c r="BA514" s="25"/>
      <c r="BB514" s="25"/>
      <c r="BC514" s="25"/>
      <c r="BD514" s="25"/>
      <c r="BE514" s="25"/>
      <c r="BF514" s="25"/>
      <c r="BG514" s="25"/>
      <c r="BH514" s="25"/>
      <c r="BI514" s="25"/>
      <c r="BJ514" s="25"/>
      <c r="BK514" s="25"/>
      <c r="BL514" s="25"/>
      <c r="BM514" s="25"/>
      <c r="BN514" s="25"/>
      <c r="BO514" s="25"/>
      <c r="BP514" s="25"/>
      <c r="BQ514" s="25"/>
      <c r="BR514" s="25"/>
      <c r="BS514" s="25"/>
      <c r="BT514" s="25"/>
      <c r="BU514" s="39">
        <v>43155</v>
      </c>
      <c r="BV514" s="39" t="s">
        <v>829</v>
      </c>
      <c r="BW514" s="39" t="s">
        <v>2882</v>
      </c>
      <c r="BX514" s="39" t="s">
        <v>303</v>
      </c>
      <c r="BY514" s="71">
        <v>860</v>
      </c>
      <c r="BZ514" s="71">
        <v>900</v>
      </c>
      <c r="CA514" s="71">
        <v>1120</v>
      </c>
      <c r="CB514" s="71">
        <v>1450</v>
      </c>
      <c r="CC514" s="71">
        <v>1560</v>
      </c>
      <c r="CD514" s="25"/>
      <c r="CE514" s="200"/>
      <c r="CF514" s="200"/>
      <c r="CG514" s="200"/>
      <c r="CH514" s="200"/>
      <c r="CI514" s="200"/>
      <c r="CJ514" s="200"/>
      <c r="CK514" s="200"/>
      <c r="CL514" s="200"/>
      <c r="CM514" s="200"/>
      <c r="CN514" s="200"/>
      <c r="CO514" s="200"/>
      <c r="CP514" s="200"/>
      <c r="CQ514" s="200"/>
      <c r="CR514" s="200"/>
      <c r="CS514" s="200"/>
      <c r="CT514" s="200"/>
      <c r="CU514" s="200"/>
    </row>
    <row r="515" spans="1:99" s="17" customFormat="1" x14ac:dyDescent="0.2">
      <c r="A515" s="25"/>
      <c r="B515" s="20">
        <v>39113050503</v>
      </c>
      <c r="C515" s="20">
        <v>505.03</v>
      </c>
      <c r="D515" s="20" t="s">
        <v>62</v>
      </c>
      <c r="E515" s="20" t="s">
        <v>2833</v>
      </c>
      <c r="F515" s="20" t="s">
        <v>8</v>
      </c>
      <c r="G515" s="861">
        <v>63.474254115347101</v>
      </c>
      <c r="H515" s="861">
        <v>60.633771467892501</v>
      </c>
      <c r="I515" s="861">
        <v>37.411901329691702</v>
      </c>
      <c r="J515" s="861">
        <v>43.451597846765203</v>
      </c>
      <c r="K515" s="982">
        <v>0</v>
      </c>
      <c r="L515" s="735">
        <v>6360</v>
      </c>
      <c r="M515" s="735">
        <v>7200</v>
      </c>
      <c r="N515" s="845">
        <f t="shared" si="48"/>
        <v>0.13207547169811321</v>
      </c>
      <c r="O515" s="735">
        <v>2.8928047858876078</v>
      </c>
      <c r="P515" s="735">
        <f t="shared" si="49"/>
        <v>2488.9339353712398</v>
      </c>
      <c r="Q515" s="849">
        <v>41.4</v>
      </c>
      <c r="R515" s="71">
        <v>87530</v>
      </c>
      <c r="S515" s="845">
        <v>0.10520998701111271</v>
      </c>
      <c r="T515" s="845">
        <v>0.14499999999999999</v>
      </c>
      <c r="U515" s="845">
        <v>0</v>
      </c>
      <c r="V515" s="845">
        <v>0</v>
      </c>
      <c r="W515" s="845">
        <v>0.42673921492421296</v>
      </c>
      <c r="X515" s="845">
        <v>0.34881602914389798</v>
      </c>
      <c r="Y515" s="845">
        <v>0.92888888888888888</v>
      </c>
      <c r="Z515" s="845">
        <v>2.361111111111111E-2</v>
      </c>
      <c r="AA515" s="845">
        <v>0</v>
      </c>
      <c r="AB515" s="845">
        <v>3.0555555555555557E-3</v>
      </c>
      <c r="AC515" s="845">
        <v>0</v>
      </c>
      <c r="AD515" s="845">
        <v>6.6666666666666671E-3</v>
      </c>
      <c r="AE515" s="845">
        <v>3.7777777777777778E-2</v>
      </c>
      <c r="AF515" s="845">
        <v>2.0555555555555556E-2</v>
      </c>
      <c r="AG515" s="845">
        <v>0.92583333333333329</v>
      </c>
      <c r="AH515" s="20" t="str">
        <f t="shared" si="50"/>
        <v>Yes</v>
      </c>
      <c r="AI515" s="25"/>
      <c r="AJ515" s="37">
        <v>43210</v>
      </c>
      <c r="AK515" s="37" t="s">
        <v>844</v>
      </c>
      <c r="AL515" s="37">
        <v>39049</v>
      </c>
      <c r="AM515" s="37" t="s">
        <v>31</v>
      </c>
      <c r="AN515" s="37">
        <f t="shared" si="51"/>
        <v>18140</v>
      </c>
      <c r="AO515" s="37" t="str">
        <f t="shared" si="52"/>
        <v>Columbus, OH</v>
      </c>
      <c r="AP515" s="20" t="s">
        <v>8</v>
      </c>
      <c r="AQ515" s="25"/>
      <c r="AR515" s="25"/>
      <c r="AS515" s="25"/>
      <c r="AT515" s="25"/>
      <c r="AU515" s="36"/>
      <c r="AV515" s="36"/>
      <c r="AW515" s="36"/>
      <c r="AX515" s="25"/>
      <c r="AY515" s="25"/>
      <c r="AZ515" s="25"/>
      <c r="BA515" s="25"/>
      <c r="BB515" s="25"/>
      <c r="BC515" s="25"/>
      <c r="BD515" s="25"/>
      <c r="BE515" s="25"/>
      <c r="BF515" s="25"/>
      <c r="BG515" s="25"/>
      <c r="BH515" s="25"/>
      <c r="BI515" s="25"/>
      <c r="BJ515" s="25"/>
      <c r="BK515" s="25"/>
      <c r="BL515" s="25"/>
      <c r="BM515" s="25"/>
      <c r="BN515" s="25"/>
      <c r="BO515" s="25"/>
      <c r="BP515" s="25"/>
      <c r="BQ515" s="25"/>
      <c r="BR515" s="25"/>
      <c r="BS515" s="25"/>
      <c r="BT515" s="25"/>
      <c r="BU515" s="39">
        <v>43156</v>
      </c>
      <c r="BV515" s="39" t="s">
        <v>830</v>
      </c>
      <c r="BW515" s="39" t="s">
        <v>2882</v>
      </c>
      <c r="BX515" s="39" t="s">
        <v>303</v>
      </c>
      <c r="BY515" s="71">
        <v>800</v>
      </c>
      <c r="BZ515" s="71">
        <v>870</v>
      </c>
      <c r="CA515" s="71">
        <v>1070</v>
      </c>
      <c r="CB515" s="71">
        <v>1280</v>
      </c>
      <c r="CC515" s="71">
        <v>1430</v>
      </c>
      <c r="CD515" s="25"/>
      <c r="CE515" s="200"/>
      <c r="CF515" s="200"/>
      <c r="CG515" s="200"/>
      <c r="CH515" s="200"/>
      <c r="CI515" s="200"/>
      <c r="CJ515" s="200"/>
      <c r="CK515" s="200"/>
      <c r="CL515" s="200"/>
      <c r="CM515" s="200"/>
      <c r="CN515" s="200"/>
      <c r="CO515" s="200"/>
      <c r="CP515" s="200"/>
      <c r="CQ515" s="200"/>
      <c r="CR515" s="200"/>
      <c r="CS515" s="200"/>
      <c r="CT515" s="200"/>
      <c r="CU515" s="200"/>
    </row>
    <row r="516" spans="1:99" s="17" customFormat="1" x14ac:dyDescent="0.2">
      <c r="A516" s="25"/>
      <c r="B516" s="20">
        <v>39041011766</v>
      </c>
      <c r="C516" s="20">
        <v>117.66</v>
      </c>
      <c r="D516" s="20" t="s">
        <v>27</v>
      </c>
      <c r="E516" s="20" t="s">
        <v>2830</v>
      </c>
      <c r="F516" s="20" t="s">
        <v>8</v>
      </c>
      <c r="G516" s="861">
        <v>63.453612802585802</v>
      </c>
      <c r="H516" s="861">
        <v>68.459117183770701</v>
      </c>
      <c r="I516" s="861">
        <v>23.975937419548199</v>
      </c>
      <c r="J516" s="861">
        <v>33.225908693414297</v>
      </c>
      <c r="K516" s="982">
        <v>0</v>
      </c>
      <c r="L516" s="735" t="s">
        <v>2466</v>
      </c>
      <c r="M516" s="735">
        <v>4670</v>
      </c>
      <c r="N516" s="845" t="str">
        <f t="shared" si="48"/>
        <v/>
      </c>
      <c r="O516" s="735">
        <v>1.7059020398360054</v>
      </c>
      <c r="P516" s="735">
        <f t="shared" si="49"/>
        <v>2737.5546138915129</v>
      </c>
      <c r="Q516" s="849">
        <v>39.299999999999997</v>
      </c>
      <c r="R516" s="71">
        <v>126029</v>
      </c>
      <c r="S516" s="845">
        <v>1.1349036402569594E-2</v>
      </c>
      <c r="T516" s="845">
        <v>2.5000000000000001E-2</v>
      </c>
      <c r="U516" s="845">
        <v>0</v>
      </c>
      <c r="V516" s="845">
        <v>0</v>
      </c>
      <c r="W516" s="845">
        <v>1.9583843329253364E-2</v>
      </c>
      <c r="X516" s="845">
        <v>0</v>
      </c>
      <c r="Y516" s="845">
        <v>0.84389721627408998</v>
      </c>
      <c r="Z516" s="845">
        <v>8.308351177730193E-2</v>
      </c>
      <c r="AA516" s="845">
        <v>0</v>
      </c>
      <c r="AB516" s="845">
        <v>3.0406852248394005E-2</v>
      </c>
      <c r="AC516" s="845">
        <v>6.6381156316916486E-3</v>
      </c>
      <c r="AD516" s="845">
        <v>0</v>
      </c>
      <c r="AE516" s="845">
        <v>3.5974304068522485E-2</v>
      </c>
      <c r="AF516" s="845">
        <v>2.955032119914347E-2</v>
      </c>
      <c r="AG516" s="845">
        <v>0.8325481798715203</v>
      </c>
      <c r="AH516" s="20" t="str">
        <f t="shared" si="50"/>
        <v>No</v>
      </c>
      <c r="AI516" s="25"/>
      <c r="AJ516" s="20">
        <v>43211</v>
      </c>
      <c r="AK516" s="20" t="s">
        <v>845</v>
      </c>
      <c r="AL516" s="20">
        <v>39049</v>
      </c>
      <c r="AM516" s="20" t="s">
        <v>31</v>
      </c>
      <c r="AN516" s="37">
        <f t="shared" si="51"/>
        <v>18140</v>
      </c>
      <c r="AO516" s="37" t="str">
        <f t="shared" si="52"/>
        <v>Columbus, OH</v>
      </c>
      <c r="AP516" s="20" t="s">
        <v>8</v>
      </c>
      <c r="AQ516" s="25"/>
      <c r="AR516" s="25"/>
      <c r="AS516" s="25"/>
      <c r="AT516" s="25"/>
      <c r="AU516" s="36"/>
      <c r="AV516" s="36"/>
      <c r="AW516" s="36"/>
      <c r="AX516" s="25"/>
      <c r="AY516" s="25"/>
      <c r="AZ516" s="25"/>
      <c r="BA516" s="25"/>
      <c r="BB516" s="25"/>
      <c r="BC516" s="25"/>
      <c r="BD516" s="25"/>
      <c r="BE516" s="25"/>
      <c r="BF516" s="25"/>
      <c r="BG516" s="25"/>
      <c r="BH516" s="25"/>
      <c r="BI516" s="25"/>
      <c r="BJ516" s="25"/>
      <c r="BK516" s="25"/>
      <c r="BL516" s="25"/>
      <c r="BM516" s="25"/>
      <c r="BN516" s="25"/>
      <c r="BO516" s="25"/>
      <c r="BP516" s="25"/>
      <c r="BQ516" s="25"/>
      <c r="BR516" s="25"/>
      <c r="BS516" s="25"/>
      <c r="BT516" s="25"/>
      <c r="BU516" s="39">
        <v>43157</v>
      </c>
      <c r="BV516" s="39" t="s">
        <v>831</v>
      </c>
      <c r="BW516" s="39" t="s">
        <v>2882</v>
      </c>
      <c r="BX516" s="39" t="s">
        <v>303</v>
      </c>
      <c r="BY516" s="71">
        <v>960</v>
      </c>
      <c r="BZ516" s="71">
        <v>1040</v>
      </c>
      <c r="CA516" s="71">
        <v>1240</v>
      </c>
      <c r="CB516" s="71">
        <v>1490</v>
      </c>
      <c r="CC516" s="71">
        <v>1670</v>
      </c>
      <c r="CD516" s="25"/>
      <c r="CE516" s="200"/>
      <c r="CF516" s="200"/>
      <c r="CG516" s="200"/>
      <c r="CH516" s="200"/>
      <c r="CI516" s="200"/>
      <c r="CJ516" s="200"/>
      <c r="CK516" s="200"/>
      <c r="CL516" s="200"/>
      <c r="CM516" s="200"/>
      <c r="CN516" s="200"/>
      <c r="CO516" s="200"/>
      <c r="CP516" s="200"/>
      <c r="CQ516" s="200"/>
      <c r="CR516" s="200"/>
      <c r="CS516" s="200"/>
      <c r="CT516" s="200"/>
      <c r="CU516" s="200"/>
    </row>
    <row r="517" spans="1:99" s="17" customFormat="1" x14ac:dyDescent="0.2">
      <c r="A517" s="25"/>
      <c r="B517" s="20">
        <v>39049006301</v>
      </c>
      <c r="C517" s="20">
        <v>63.01</v>
      </c>
      <c r="D517" s="20" t="s">
        <v>31</v>
      </c>
      <c r="E517" s="20" t="s">
        <v>2830</v>
      </c>
      <c r="F517" s="20" t="s">
        <v>8</v>
      </c>
      <c r="G517" s="861">
        <v>63.445764238182797</v>
      </c>
      <c r="H517" s="861">
        <v>72.084632514483104</v>
      </c>
      <c r="I517" s="861">
        <v>37.702924990880298</v>
      </c>
      <c r="J517" s="861">
        <v>50.750744688568403</v>
      </c>
      <c r="K517" s="982">
        <v>0</v>
      </c>
      <c r="L517" s="735" t="s">
        <v>2466</v>
      </c>
      <c r="M517" s="735">
        <v>2678</v>
      </c>
      <c r="N517" s="845" t="str">
        <f t="shared" si="48"/>
        <v/>
      </c>
      <c r="O517" s="735">
        <v>0.66984477392060304</v>
      </c>
      <c r="P517" s="735">
        <f t="shared" si="49"/>
        <v>3997.9411712442866</v>
      </c>
      <c r="Q517" s="849">
        <v>36</v>
      </c>
      <c r="R517" s="71">
        <v>96667</v>
      </c>
      <c r="S517" s="845">
        <v>8.5628064881176913E-2</v>
      </c>
      <c r="T517" s="845">
        <v>1.9E-2</v>
      </c>
      <c r="U517" s="845">
        <v>0.03</v>
      </c>
      <c r="V517" s="845">
        <v>0.11699999999999999</v>
      </c>
      <c r="W517" s="845">
        <v>0.47563025210084031</v>
      </c>
      <c r="X517" s="845">
        <v>0.58127208480565373</v>
      </c>
      <c r="Y517" s="845">
        <v>0.69940253920836448</v>
      </c>
      <c r="Z517" s="845">
        <v>8.2524271844660199E-2</v>
      </c>
      <c r="AA517" s="845">
        <v>2.2404779686333084E-3</v>
      </c>
      <c r="AB517" s="845">
        <v>3.8088125466766244E-2</v>
      </c>
      <c r="AC517" s="845">
        <v>0</v>
      </c>
      <c r="AD517" s="845">
        <v>5.227781926811053E-2</v>
      </c>
      <c r="AE517" s="845">
        <v>0.12546676624346528</v>
      </c>
      <c r="AF517" s="845">
        <v>0.11949215832710978</v>
      </c>
      <c r="AG517" s="845">
        <v>0.69230769230769229</v>
      </c>
      <c r="AH517" s="20" t="str">
        <f t="shared" si="50"/>
        <v>No</v>
      </c>
      <c r="AI517" s="25"/>
      <c r="AJ517" s="20">
        <v>43212</v>
      </c>
      <c r="AK517" s="20" t="s">
        <v>846</v>
      </c>
      <c r="AL517" s="20">
        <v>39049</v>
      </c>
      <c r="AM517" s="20" t="s">
        <v>31</v>
      </c>
      <c r="AN517" s="37">
        <f t="shared" si="51"/>
        <v>18140</v>
      </c>
      <c r="AO517" s="37" t="str">
        <f t="shared" si="52"/>
        <v>Columbus, OH</v>
      </c>
      <c r="AP517" s="20" t="s">
        <v>8</v>
      </c>
      <c r="AQ517" s="25"/>
      <c r="AR517" s="25"/>
      <c r="AS517" s="25"/>
      <c r="AT517" s="25"/>
      <c r="AU517" s="36"/>
      <c r="AV517" s="36"/>
      <c r="AW517" s="36"/>
      <c r="AX517" s="25"/>
      <c r="AY517" s="25"/>
      <c r="AZ517" s="25"/>
      <c r="BA517" s="25"/>
      <c r="BB517" s="25"/>
      <c r="BC517" s="25"/>
      <c r="BD517" s="25"/>
      <c r="BE517" s="25"/>
      <c r="BF517" s="25"/>
      <c r="BG517" s="25"/>
      <c r="BH517" s="25"/>
      <c r="BI517" s="25"/>
      <c r="BJ517" s="25"/>
      <c r="BK517" s="25"/>
      <c r="BL517" s="25"/>
      <c r="BM517" s="25"/>
      <c r="BN517" s="25"/>
      <c r="BO517" s="25"/>
      <c r="BP517" s="25"/>
      <c r="BQ517" s="25"/>
      <c r="BR517" s="25"/>
      <c r="BS517" s="25"/>
      <c r="BT517" s="25"/>
      <c r="BU517" s="39">
        <v>43162</v>
      </c>
      <c r="BV517" s="39" t="s">
        <v>834</v>
      </c>
      <c r="BW517" s="39" t="s">
        <v>2882</v>
      </c>
      <c r="BX517" s="39" t="s">
        <v>303</v>
      </c>
      <c r="BY517" s="71">
        <v>910</v>
      </c>
      <c r="BZ517" s="71">
        <v>980</v>
      </c>
      <c r="CA517" s="71">
        <v>1170</v>
      </c>
      <c r="CB517" s="71">
        <v>1400</v>
      </c>
      <c r="CC517" s="71">
        <v>1580</v>
      </c>
      <c r="CD517" s="25"/>
      <c r="CE517" s="200"/>
      <c r="CF517" s="200"/>
      <c r="CG517" s="200"/>
      <c r="CH517" s="200"/>
      <c r="CI517" s="200"/>
      <c r="CJ517" s="200"/>
      <c r="CK517" s="200"/>
      <c r="CL517" s="200"/>
      <c r="CM517" s="200"/>
      <c r="CN517" s="200"/>
      <c r="CO517" s="200"/>
      <c r="CP517" s="200"/>
      <c r="CQ517" s="200"/>
      <c r="CR517" s="200"/>
      <c r="CS517" s="200"/>
      <c r="CT517" s="200"/>
      <c r="CU517" s="200"/>
    </row>
    <row r="518" spans="1:99" s="17" customFormat="1" x14ac:dyDescent="0.2">
      <c r="A518" s="25"/>
      <c r="B518" s="20">
        <v>39165032010</v>
      </c>
      <c r="C518" s="20">
        <v>320.10000000000002</v>
      </c>
      <c r="D518" s="20" t="s">
        <v>88</v>
      </c>
      <c r="E518" s="20" t="s">
        <v>2828</v>
      </c>
      <c r="F518" s="20" t="s">
        <v>8</v>
      </c>
      <c r="G518" s="861">
        <v>63.434930624516397</v>
      </c>
      <c r="H518" s="861">
        <v>70.396219617382798</v>
      </c>
      <c r="I518" s="861">
        <v>13.727749495975701</v>
      </c>
      <c r="J518" s="861">
        <v>57.306971761070201</v>
      </c>
      <c r="K518" s="982">
        <v>0</v>
      </c>
      <c r="L518" s="735" t="s">
        <v>2466</v>
      </c>
      <c r="M518" s="735">
        <v>3443</v>
      </c>
      <c r="N518" s="845" t="str">
        <f t="shared" si="48"/>
        <v/>
      </c>
      <c r="O518" s="735">
        <v>1.7043526118735735</v>
      </c>
      <c r="P518" s="735">
        <f t="shared" si="49"/>
        <v>2020.1218785443425</v>
      </c>
      <c r="Q518" s="849">
        <v>44.9</v>
      </c>
      <c r="R518" s="71">
        <v>127964</v>
      </c>
      <c r="S518" s="845">
        <v>1.6845774034272436E-2</v>
      </c>
      <c r="T518" s="845">
        <v>8.0000000000000002E-3</v>
      </c>
      <c r="U518" s="845">
        <v>0</v>
      </c>
      <c r="V518" s="845">
        <v>0</v>
      </c>
      <c r="W518" s="845">
        <v>4.919292851652575E-2</v>
      </c>
      <c r="X518" s="845">
        <v>0.40625</v>
      </c>
      <c r="Y518" s="845">
        <v>0.89660180075515539</v>
      </c>
      <c r="Z518" s="845">
        <v>0</v>
      </c>
      <c r="AA518" s="845">
        <v>0</v>
      </c>
      <c r="AB518" s="845">
        <v>2.6139994191112403E-2</v>
      </c>
      <c r="AC518" s="845">
        <v>0</v>
      </c>
      <c r="AD518" s="845">
        <v>2.9044437990124891E-2</v>
      </c>
      <c r="AE518" s="845">
        <v>4.8213767063607318E-2</v>
      </c>
      <c r="AF518" s="845">
        <v>3.630554748765611E-2</v>
      </c>
      <c r="AG518" s="845">
        <v>0.88440313679930294</v>
      </c>
      <c r="AH518" s="20" t="str">
        <f t="shared" si="50"/>
        <v>No</v>
      </c>
      <c r="AI518" s="25"/>
      <c r="AJ518" s="20">
        <v>43213</v>
      </c>
      <c r="AK518" s="20" t="s">
        <v>847</v>
      </c>
      <c r="AL518" s="20">
        <v>39049</v>
      </c>
      <c r="AM518" s="20" t="s">
        <v>31</v>
      </c>
      <c r="AN518" s="37">
        <f t="shared" si="51"/>
        <v>18140</v>
      </c>
      <c r="AO518" s="37" t="str">
        <f t="shared" si="52"/>
        <v>Columbus, OH</v>
      </c>
      <c r="AP518" s="20" t="s">
        <v>8</v>
      </c>
      <c r="AQ518" s="25"/>
      <c r="AR518" s="25"/>
      <c r="AS518" s="25"/>
      <c r="AT518" s="25"/>
      <c r="AU518" s="36"/>
      <c r="AV518" s="36"/>
      <c r="AW518" s="36"/>
      <c r="AX518" s="25"/>
      <c r="AY518" s="25"/>
      <c r="AZ518" s="25"/>
      <c r="BA518" s="25"/>
      <c r="BB518" s="25"/>
      <c r="BC518" s="25"/>
      <c r="BD518" s="25"/>
      <c r="BE518" s="25"/>
      <c r="BF518" s="25"/>
      <c r="BG518" s="25"/>
      <c r="BH518" s="25"/>
      <c r="BI518" s="25"/>
      <c r="BJ518" s="25"/>
      <c r="BK518" s="25"/>
      <c r="BL518" s="25"/>
      <c r="BM518" s="25"/>
      <c r="BN518" s="25"/>
      <c r="BO518" s="25"/>
      <c r="BP518" s="25"/>
      <c r="BQ518" s="25"/>
      <c r="BR518" s="25"/>
      <c r="BS518" s="25"/>
      <c r="BT518" s="25"/>
      <c r="BU518" s="39">
        <v>43164</v>
      </c>
      <c r="BV518" s="39" t="s">
        <v>835</v>
      </c>
      <c r="BW518" s="39" t="s">
        <v>2882</v>
      </c>
      <c r="BX518" s="39" t="s">
        <v>303</v>
      </c>
      <c r="BY518" s="71">
        <v>960</v>
      </c>
      <c r="BZ518" s="71">
        <v>1040</v>
      </c>
      <c r="CA518" s="71">
        <v>1240</v>
      </c>
      <c r="CB518" s="71">
        <v>1490</v>
      </c>
      <c r="CC518" s="71">
        <v>1670</v>
      </c>
      <c r="CD518" s="25"/>
      <c r="CE518" s="200"/>
      <c r="CF518" s="200"/>
      <c r="CG518" s="200"/>
      <c r="CH518" s="200"/>
      <c r="CI518" s="200"/>
      <c r="CJ518" s="200"/>
      <c r="CK518" s="200"/>
      <c r="CL518" s="200"/>
      <c r="CM518" s="200"/>
      <c r="CN518" s="200"/>
      <c r="CO518" s="200"/>
      <c r="CP518" s="200"/>
      <c r="CQ518" s="200"/>
      <c r="CR518" s="200"/>
      <c r="CS518" s="200"/>
      <c r="CT518" s="200"/>
      <c r="CU518" s="200"/>
    </row>
    <row r="519" spans="1:99" s="17" customFormat="1" x14ac:dyDescent="0.2">
      <c r="A519" s="25"/>
      <c r="B519" s="20">
        <v>39153530700</v>
      </c>
      <c r="C519" s="20">
        <v>5307</v>
      </c>
      <c r="D519" s="20" t="s">
        <v>82</v>
      </c>
      <c r="E519" s="20" t="s">
        <v>2843</v>
      </c>
      <c r="F519" s="20" t="s">
        <v>8</v>
      </c>
      <c r="G519" s="861">
        <v>63.422359743297697</v>
      </c>
      <c r="H519" s="861">
        <v>67.682809375660298</v>
      </c>
      <c r="I519" s="861">
        <v>20.052805115061801</v>
      </c>
      <c r="J519" s="861">
        <v>56.233522064392901</v>
      </c>
      <c r="K519" s="982">
        <v>0</v>
      </c>
      <c r="L519" s="735">
        <v>2520</v>
      </c>
      <c r="M519" s="735">
        <v>2514</v>
      </c>
      <c r="N519" s="845">
        <f t="shared" si="48"/>
        <v>-2.3809523809523812E-3</v>
      </c>
      <c r="O519" s="735">
        <v>1.4181686725967249</v>
      </c>
      <c r="P519" s="735">
        <f t="shared" si="49"/>
        <v>1772.7087395018839</v>
      </c>
      <c r="Q519" s="849">
        <v>52.5</v>
      </c>
      <c r="R519" s="71">
        <v>142083</v>
      </c>
      <c r="S519" s="845">
        <v>2.6252983293556086E-2</v>
      </c>
      <c r="T519" s="845">
        <v>3.3000000000000002E-2</v>
      </c>
      <c r="U519" s="845">
        <v>0</v>
      </c>
      <c r="V519" s="845">
        <v>0</v>
      </c>
      <c r="W519" s="845">
        <v>7.8674948240165632E-2</v>
      </c>
      <c r="X519" s="845">
        <v>9.2105263157894732E-2</v>
      </c>
      <c r="Y519" s="845">
        <v>0.89737470167064437</v>
      </c>
      <c r="Z519" s="845">
        <v>2.7048528241845664E-2</v>
      </c>
      <c r="AA519" s="845">
        <v>0</v>
      </c>
      <c r="AB519" s="845">
        <v>1.0739856801909307E-2</v>
      </c>
      <c r="AC519" s="845">
        <v>0</v>
      </c>
      <c r="AD519" s="845">
        <v>0</v>
      </c>
      <c r="AE519" s="845">
        <v>6.4836913285600636E-2</v>
      </c>
      <c r="AF519" s="845">
        <v>1.5513126491646777E-2</v>
      </c>
      <c r="AG519" s="845">
        <v>0.89737470167064437</v>
      </c>
      <c r="AH519" s="20" t="str">
        <f t="shared" si="50"/>
        <v>No</v>
      </c>
      <c r="AI519" s="25"/>
      <c r="AJ519" s="37">
        <v>43214</v>
      </c>
      <c r="AK519" s="37" t="s">
        <v>848</v>
      </c>
      <c r="AL519" s="37">
        <v>39049</v>
      </c>
      <c r="AM519" s="37" t="s">
        <v>31</v>
      </c>
      <c r="AN519" s="37">
        <f t="shared" si="51"/>
        <v>18140</v>
      </c>
      <c r="AO519" s="37" t="str">
        <f t="shared" si="52"/>
        <v>Columbus, OH</v>
      </c>
      <c r="AP519" s="20" t="s">
        <v>8</v>
      </c>
      <c r="AQ519" s="25"/>
      <c r="AR519" s="25"/>
      <c r="AS519" s="25"/>
      <c r="AT519" s="25"/>
      <c r="AU519" s="36"/>
      <c r="AV519" s="36"/>
      <c r="AW519" s="36"/>
      <c r="AX519" s="25"/>
      <c r="AY519" s="25"/>
      <c r="AZ519" s="25"/>
      <c r="BA519" s="25"/>
      <c r="BB519" s="25"/>
      <c r="BC519" s="25"/>
      <c r="BD519" s="25"/>
      <c r="BE519" s="25"/>
      <c r="BF519" s="25"/>
      <c r="BG519" s="25"/>
      <c r="BH519" s="25"/>
      <c r="BI519" s="25"/>
      <c r="BJ519" s="25"/>
      <c r="BK519" s="25"/>
      <c r="BL519" s="25"/>
      <c r="BM519" s="25"/>
      <c r="BN519" s="25"/>
      <c r="BO519" s="25"/>
      <c r="BP519" s="25"/>
      <c r="BQ519" s="25"/>
      <c r="BR519" s="25"/>
      <c r="BS519" s="25"/>
      <c r="BT519" s="25"/>
      <c r="BU519" s="39">
        <v>43201</v>
      </c>
      <c r="BV519" s="39" t="s">
        <v>836</v>
      </c>
      <c r="BW519" s="39" t="s">
        <v>2882</v>
      </c>
      <c r="BX519" s="39" t="s">
        <v>303</v>
      </c>
      <c r="BY519" s="71">
        <v>1200</v>
      </c>
      <c r="BZ519" s="71">
        <v>1290</v>
      </c>
      <c r="CA519" s="71">
        <v>1540</v>
      </c>
      <c r="CB519" s="71">
        <v>1850</v>
      </c>
      <c r="CC519" s="71">
        <v>2080</v>
      </c>
      <c r="CD519" s="25"/>
      <c r="CE519" s="200"/>
      <c r="CF519" s="200"/>
      <c r="CG519" s="200"/>
      <c r="CH519" s="200"/>
      <c r="CI519" s="200"/>
      <c r="CJ519" s="200"/>
      <c r="CK519" s="200"/>
      <c r="CL519" s="200"/>
      <c r="CM519" s="200"/>
      <c r="CN519" s="200"/>
      <c r="CO519" s="200"/>
      <c r="CP519" s="200"/>
      <c r="CQ519" s="200"/>
      <c r="CR519" s="200"/>
      <c r="CS519" s="200"/>
      <c r="CT519" s="200"/>
      <c r="CU519" s="200"/>
    </row>
    <row r="520" spans="1:99" s="17" customFormat="1" x14ac:dyDescent="0.2">
      <c r="A520" s="25"/>
      <c r="B520" s="20">
        <v>39045033000</v>
      </c>
      <c r="C520" s="20">
        <v>330</v>
      </c>
      <c r="D520" s="20" t="s">
        <v>29</v>
      </c>
      <c r="E520" s="20" t="s">
        <v>2830</v>
      </c>
      <c r="F520" s="20" t="s">
        <v>8</v>
      </c>
      <c r="G520" s="861">
        <v>63.413457025543501</v>
      </c>
      <c r="H520" s="861">
        <v>63.868461587679903</v>
      </c>
      <c r="I520" s="861">
        <v>29.860255502341101</v>
      </c>
      <c r="J520" s="861">
        <v>51.5731196599301</v>
      </c>
      <c r="K520" s="982">
        <v>0</v>
      </c>
      <c r="L520" s="735">
        <v>4220</v>
      </c>
      <c r="M520" s="735">
        <v>5733</v>
      </c>
      <c r="N520" s="845">
        <f t="shared" si="48"/>
        <v>0.3585308056872038</v>
      </c>
      <c r="O520" s="735">
        <v>15.442311045976192</v>
      </c>
      <c r="P520" s="735">
        <f t="shared" si="49"/>
        <v>371.252721366071</v>
      </c>
      <c r="Q520" s="849">
        <v>41.1</v>
      </c>
      <c r="R520" s="71">
        <v>117740</v>
      </c>
      <c r="S520" s="845">
        <v>3.523460666317809E-2</v>
      </c>
      <c r="T520" s="845">
        <v>9.0000000000000011E-3</v>
      </c>
      <c r="U520" s="845">
        <v>0</v>
      </c>
      <c r="V520" s="845">
        <v>0</v>
      </c>
      <c r="W520" s="845">
        <v>0.12946216087577345</v>
      </c>
      <c r="X520" s="845">
        <v>0.28676470588235292</v>
      </c>
      <c r="Y520" s="845">
        <v>0.76330019187162046</v>
      </c>
      <c r="Z520" s="845">
        <v>0.16971916971916973</v>
      </c>
      <c r="AA520" s="845">
        <v>0</v>
      </c>
      <c r="AB520" s="845">
        <v>1.5698587127158557E-3</v>
      </c>
      <c r="AC520" s="845">
        <v>0</v>
      </c>
      <c r="AD520" s="845">
        <v>4.5351473922902496E-3</v>
      </c>
      <c r="AE520" s="845">
        <v>6.0875632304203731E-2</v>
      </c>
      <c r="AF520" s="845">
        <v>1.3954299668585383E-2</v>
      </c>
      <c r="AG520" s="845">
        <v>0.75911390197104478</v>
      </c>
      <c r="AH520" s="20" t="str">
        <f t="shared" si="50"/>
        <v>No</v>
      </c>
      <c r="AI520" s="25"/>
      <c r="AJ520" s="20">
        <v>43217</v>
      </c>
      <c r="AK520" s="20" t="s">
        <v>850</v>
      </c>
      <c r="AL520" s="20">
        <v>39049</v>
      </c>
      <c r="AM520" s="20" t="s">
        <v>31</v>
      </c>
      <c r="AN520" s="37">
        <f t="shared" si="51"/>
        <v>18140</v>
      </c>
      <c r="AO520" s="37" t="str">
        <f t="shared" si="52"/>
        <v>Columbus, OH</v>
      </c>
      <c r="AP520" s="20" t="s">
        <v>8</v>
      </c>
      <c r="AQ520" s="25"/>
      <c r="AR520" s="25"/>
      <c r="AS520" s="25"/>
      <c r="AT520" s="25"/>
      <c r="AU520" s="36"/>
      <c r="AV520" s="36"/>
      <c r="AW520" s="36"/>
      <c r="AX520" s="25"/>
      <c r="AY520" s="25"/>
      <c r="AZ520" s="25"/>
      <c r="BA520" s="25"/>
      <c r="BB520" s="25"/>
      <c r="BC520" s="25"/>
      <c r="BD520" s="25"/>
      <c r="BE520" s="25"/>
      <c r="BF520" s="25"/>
      <c r="BG520" s="25"/>
      <c r="BH520" s="25"/>
      <c r="BI520" s="25"/>
      <c r="BJ520" s="25"/>
      <c r="BK520" s="25"/>
      <c r="BL520" s="25"/>
      <c r="BM520" s="25"/>
      <c r="BN520" s="25"/>
      <c r="BO520" s="25"/>
      <c r="BP520" s="25"/>
      <c r="BQ520" s="25"/>
      <c r="BR520" s="25"/>
      <c r="BS520" s="25"/>
      <c r="BT520" s="25"/>
      <c r="BU520" s="39">
        <v>43202</v>
      </c>
      <c r="BV520" s="39" t="s">
        <v>837</v>
      </c>
      <c r="BW520" s="39" t="s">
        <v>2882</v>
      </c>
      <c r="BX520" s="39" t="s">
        <v>303</v>
      </c>
      <c r="BY520" s="71">
        <v>1070</v>
      </c>
      <c r="BZ520" s="71">
        <v>1150</v>
      </c>
      <c r="CA520" s="71">
        <v>1380</v>
      </c>
      <c r="CB520" s="71">
        <v>1650</v>
      </c>
      <c r="CC520" s="71">
        <v>1860</v>
      </c>
      <c r="CD520" s="25"/>
      <c r="CE520" s="200"/>
      <c r="CF520" s="200"/>
      <c r="CG520" s="200"/>
      <c r="CH520" s="200"/>
      <c r="CI520" s="200"/>
      <c r="CJ520" s="200"/>
      <c r="CK520" s="200"/>
      <c r="CL520" s="200"/>
      <c r="CM520" s="200"/>
      <c r="CN520" s="200"/>
      <c r="CO520" s="200"/>
      <c r="CP520" s="200"/>
      <c r="CQ520" s="200"/>
      <c r="CR520" s="200"/>
      <c r="CS520" s="200"/>
      <c r="CT520" s="200"/>
      <c r="CU520" s="200"/>
    </row>
    <row r="521" spans="1:99" s="17" customFormat="1" x14ac:dyDescent="0.2">
      <c r="A521" s="25"/>
      <c r="B521" s="20">
        <v>39023002200</v>
      </c>
      <c r="C521" s="20">
        <v>22</v>
      </c>
      <c r="D521" s="20" t="s">
        <v>18</v>
      </c>
      <c r="E521" s="20" t="s">
        <v>2838</v>
      </c>
      <c r="F521" s="20" t="s">
        <v>8</v>
      </c>
      <c r="G521" s="861">
        <v>63.412808477257698</v>
      </c>
      <c r="H521" s="861">
        <v>50.614662414871397</v>
      </c>
      <c r="I521" s="861">
        <v>23.199021636357202</v>
      </c>
      <c r="J521" s="861">
        <v>53.960032365487002</v>
      </c>
      <c r="K521" s="982">
        <v>0</v>
      </c>
      <c r="L521" s="735">
        <v>4259</v>
      </c>
      <c r="M521" s="735">
        <v>4212</v>
      </c>
      <c r="N521" s="845">
        <f t="shared" si="48"/>
        <v>-1.1035454332002818E-2</v>
      </c>
      <c r="O521" s="735">
        <v>21.303997028774006</v>
      </c>
      <c r="P521" s="735">
        <f t="shared" si="49"/>
        <v>197.70937793086946</v>
      </c>
      <c r="Q521" s="849">
        <v>45.7</v>
      </c>
      <c r="R521" s="71">
        <v>106711</v>
      </c>
      <c r="S521" s="845">
        <v>2.8999286902781078E-2</v>
      </c>
      <c r="T521" s="845">
        <v>3.0000000000000001E-3</v>
      </c>
      <c r="U521" s="845">
        <v>3.2000000000000001E-2</v>
      </c>
      <c r="V521" s="845">
        <v>0</v>
      </c>
      <c r="W521" s="845">
        <v>8.531746031746032E-2</v>
      </c>
      <c r="X521" s="845">
        <v>0.30232558139534882</v>
      </c>
      <c r="Y521" s="845">
        <v>0.93660968660968658</v>
      </c>
      <c r="Z521" s="845">
        <v>5.4605887939221274E-3</v>
      </c>
      <c r="AA521" s="845">
        <v>0</v>
      </c>
      <c r="AB521" s="845">
        <v>0</v>
      </c>
      <c r="AC521" s="845">
        <v>0</v>
      </c>
      <c r="AD521" s="845">
        <v>1.0446343779677113E-2</v>
      </c>
      <c r="AE521" s="845">
        <v>4.7483380816714153E-2</v>
      </c>
      <c r="AF521" s="845">
        <v>7.8347578347578353E-3</v>
      </c>
      <c r="AG521" s="845">
        <v>0.93518518518518523</v>
      </c>
      <c r="AH521" s="20" t="str">
        <f t="shared" si="50"/>
        <v>Yes</v>
      </c>
      <c r="AI521" s="25"/>
      <c r="AJ521" s="20">
        <v>43218</v>
      </c>
      <c r="AK521" s="20" t="s">
        <v>851</v>
      </c>
      <c r="AL521" s="20">
        <v>39049</v>
      </c>
      <c r="AM521" s="20" t="s">
        <v>31</v>
      </c>
      <c r="AN521" s="37">
        <f t="shared" si="51"/>
        <v>18140</v>
      </c>
      <c r="AO521" s="37" t="str">
        <f t="shared" si="52"/>
        <v>Columbus, OH</v>
      </c>
      <c r="AP521" s="20" t="s">
        <v>8</v>
      </c>
      <c r="AQ521" s="25"/>
      <c r="AR521" s="25"/>
      <c r="AS521" s="25"/>
      <c r="AT521" s="25"/>
      <c r="AU521" s="36"/>
      <c r="AV521" s="36"/>
      <c r="AW521" s="36"/>
      <c r="AX521" s="25"/>
      <c r="AY521" s="25"/>
      <c r="AZ521" s="25"/>
      <c r="BA521" s="25"/>
      <c r="BB521" s="25"/>
      <c r="BC521" s="25"/>
      <c r="BD521" s="25"/>
      <c r="BE521" s="25"/>
      <c r="BF521" s="25"/>
      <c r="BG521" s="25"/>
      <c r="BH521" s="25"/>
      <c r="BI521" s="25"/>
      <c r="BJ521" s="25"/>
      <c r="BK521" s="25"/>
      <c r="BL521" s="25"/>
      <c r="BM521" s="25"/>
      <c r="BN521" s="25"/>
      <c r="BO521" s="25"/>
      <c r="BP521" s="25"/>
      <c r="BQ521" s="25"/>
      <c r="BR521" s="25"/>
      <c r="BS521" s="25"/>
      <c r="BT521" s="25"/>
      <c r="BU521" s="39">
        <v>43203</v>
      </c>
      <c r="BV521" s="39" t="s">
        <v>838</v>
      </c>
      <c r="BW521" s="39" t="s">
        <v>2882</v>
      </c>
      <c r="BX521" s="39" t="s">
        <v>303</v>
      </c>
      <c r="BY521" s="71">
        <v>890</v>
      </c>
      <c r="BZ521" s="71">
        <v>950</v>
      </c>
      <c r="CA521" s="71">
        <v>1140</v>
      </c>
      <c r="CB521" s="71">
        <v>1370</v>
      </c>
      <c r="CC521" s="71">
        <v>1540</v>
      </c>
      <c r="CD521" s="25"/>
      <c r="CE521" s="200"/>
      <c r="CF521" s="200"/>
      <c r="CG521" s="200"/>
      <c r="CH521" s="200"/>
      <c r="CI521" s="200"/>
      <c r="CJ521" s="200"/>
      <c r="CK521" s="200"/>
      <c r="CL521" s="200"/>
      <c r="CM521" s="200"/>
      <c r="CN521" s="200"/>
      <c r="CO521" s="200"/>
      <c r="CP521" s="200"/>
      <c r="CQ521" s="200"/>
      <c r="CR521" s="200"/>
      <c r="CS521" s="200"/>
      <c r="CT521" s="200"/>
      <c r="CU521" s="200"/>
    </row>
    <row r="522" spans="1:99" s="17" customFormat="1" x14ac:dyDescent="0.2">
      <c r="A522" s="25"/>
      <c r="B522" s="20">
        <v>39103417100</v>
      </c>
      <c r="C522" s="20">
        <v>4171</v>
      </c>
      <c r="D522" s="20" t="s">
        <v>57</v>
      </c>
      <c r="E522" s="20" t="s">
        <v>2829</v>
      </c>
      <c r="F522" s="20" t="s">
        <v>8</v>
      </c>
      <c r="G522" s="861">
        <v>63.411003242603002</v>
      </c>
      <c r="H522" s="861">
        <v>59.507417955063097</v>
      </c>
      <c r="I522" s="861">
        <v>22.4632696476482</v>
      </c>
      <c r="J522" s="861">
        <v>43.977898766513903</v>
      </c>
      <c r="K522" s="982">
        <v>0</v>
      </c>
      <c r="L522" s="735">
        <v>6205</v>
      </c>
      <c r="M522" s="735">
        <v>7119</v>
      </c>
      <c r="N522" s="845">
        <f t="shared" si="48"/>
        <v>0.14730056406124092</v>
      </c>
      <c r="O522" s="735">
        <v>5.4236067516155515</v>
      </c>
      <c r="P522" s="735">
        <f t="shared" si="49"/>
        <v>1312.5951651784922</v>
      </c>
      <c r="Q522" s="849">
        <v>42.2</v>
      </c>
      <c r="R522" s="71">
        <v>83830</v>
      </c>
      <c r="S522" s="845">
        <v>5.3695068531863781E-2</v>
      </c>
      <c r="T522" s="845">
        <v>1.1000000000000001E-2</v>
      </c>
      <c r="U522" s="845">
        <v>0</v>
      </c>
      <c r="V522" s="845">
        <v>5.9000000000000004E-2</v>
      </c>
      <c r="W522" s="845">
        <v>0.25393184796854523</v>
      </c>
      <c r="X522" s="845">
        <v>0.32645161290322583</v>
      </c>
      <c r="Y522" s="845">
        <v>0.93594605983986512</v>
      </c>
      <c r="Z522" s="845">
        <v>2.8374771737603596E-2</v>
      </c>
      <c r="AA522" s="845">
        <v>0</v>
      </c>
      <c r="AB522" s="845">
        <v>2.5424919230228965E-2</v>
      </c>
      <c r="AC522" s="845">
        <v>0</v>
      </c>
      <c r="AD522" s="845">
        <v>0</v>
      </c>
      <c r="AE522" s="845">
        <v>1.025424919230229E-2</v>
      </c>
      <c r="AF522" s="845">
        <v>1.8822868380390503E-2</v>
      </c>
      <c r="AG522" s="845">
        <v>0.92864166315493746</v>
      </c>
      <c r="AH522" s="20" t="str">
        <f t="shared" si="50"/>
        <v>Yes</v>
      </c>
      <c r="AI522" s="25"/>
      <c r="AJ522" s="37">
        <v>43219</v>
      </c>
      <c r="AK522" s="37" t="s">
        <v>852</v>
      </c>
      <c r="AL522" s="37">
        <v>39049</v>
      </c>
      <c r="AM522" s="37" t="s">
        <v>31</v>
      </c>
      <c r="AN522" s="37">
        <f t="shared" si="51"/>
        <v>18140</v>
      </c>
      <c r="AO522" s="37" t="str">
        <f t="shared" si="52"/>
        <v>Columbus, OH</v>
      </c>
      <c r="AP522" s="20" t="s">
        <v>8</v>
      </c>
      <c r="AQ522" s="25"/>
      <c r="AR522" s="25"/>
      <c r="AS522" s="25"/>
      <c r="AT522" s="25"/>
      <c r="AU522" s="36"/>
      <c r="AV522" s="36"/>
      <c r="AW522" s="36"/>
      <c r="AX522" s="25"/>
      <c r="AY522" s="25"/>
      <c r="AZ522" s="25"/>
      <c r="BA522" s="25"/>
      <c r="BB522" s="25"/>
      <c r="BC522" s="25"/>
      <c r="BD522" s="25"/>
      <c r="BE522" s="25"/>
      <c r="BF522" s="25"/>
      <c r="BG522" s="25"/>
      <c r="BH522" s="25"/>
      <c r="BI522" s="25"/>
      <c r="BJ522" s="25"/>
      <c r="BK522" s="25"/>
      <c r="BL522" s="25"/>
      <c r="BM522" s="25"/>
      <c r="BN522" s="25"/>
      <c r="BO522" s="25"/>
      <c r="BP522" s="25"/>
      <c r="BQ522" s="25"/>
      <c r="BR522" s="25"/>
      <c r="BS522" s="25"/>
      <c r="BT522" s="25"/>
      <c r="BU522" s="39">
        <v>43204</v>
      </c>
      <c r="BV522" s="39" t="s">
        <v>839</v>
      </c>
      <c r="BW522" s="39" t="s">
        <v>2882</v>
      </c>
      <c r="BX522" s="39" t="s">
        <v>303</v>
      </c>
      <c r="BY522" s="71">
        <v>1010</v>
      </c>
      <c r="BZ522" s="71">
        <v>1090</v>
      </c>
      <c r="CA522" s="71">
        <v>1300</v>
      </c>
      <c r="CB522" s="71">
        <v>1560</v>
      </c>
      <c r="CC522" s="71">
        <v>1750</v>
      </c>
      <c r="CD522" s="25"/>
      <c r="CE522" s="200"/>
      <c r="CF522" s="200"/>
      <c r="CG522" s="200"/>
      <c r="CH522" s="200"/>
      <c r="CI522" s="200"/>
      <c r="CJ522" s="200"/>
      <c r="CK522" s="200"/>
      <c r="CL522" s="200"/>
      <c r="CM522" s="200"/>
      <c r="CN522" s="200"/>
      <c r="CO522" s="200"/>
      <c r="CP522" s="200"/>
      <c r="CQ522" s="200"/>
      <c r="CR522" s="200"/>
      <c r="CS522" s="200"/>
      <c r="CT522" s="200"/>
      <c r="CU522" s="200"/>
    </row>
    <row r="523" spans="1:99" s="17" customFormat="1" x14ac:dyDescent="0.2">
      <c r="A523" s="25"/>
      <c r="B523" s="20">
        <v>39055310800</v>
      </c>
      <c r="C523" s="20">
        <v>3108</v>
      </c>
      <c r="D523" s="20" t="s">
        <v>34</v>
      </c>
      <c r="E523" s="20" t="s">
        <v>2829</v>
      </c>
      <c r="F523" s="20" t="s">
        <v>8</v>
      </c>
      <c r="G523" s="861">
        <v>63.385835703204002</v>
      </c>
      <c r="H523" s="861">
        <v>69.435734658567696</v>
      </c>
      <c r="I523" s="861">
        <v>18.942100963774301</v>
      </c>
      <c r="J523" s="861">
        <v>55.018485089155803</v>
      </c>
      <c r="K523" s="982">
        <v>0</v>
      </c>
      <c r="L523" s="735">
        <v>6648</v>
      </c>
      <c r="M523" s="735">
        <v>7077</v>
      </c>
      <c r="N523" s="845">
        <f t="shared" ref="N523:N586" si="53">IF(OR(L523="",M523=""),"",(M523-L523)/L523)</f>
        <v>6.4530685920577618E-2</v>
      </c>
      <c r="O523" s="735">
        <v>25.249704717756408</v>
      </c>
      <c r="P523" s="735">
        <f t="shared" ref="P523:P586" si="54">M523/O523</f>
        <v>280.28050542005843</v>
      </c>
      <c r="Q523" s="849">
        <v>48.9</v>
      </c>
      <c r="R523" s="71">
        <v>133209</v>
      </c>
      <c r="S523" s="845">
        <v>2.2823701536210682E-2</v>
      </c>
      <c r="T523" s="845">
        <v>4.9000000000000002E-2</v>
      </c>
      <c r="U523" s="845">
        <v>0</v>
      </c>
      <c r="V523" s="845">
        <v>0.32</v>
      </c>
      <c r="W523" s="845">
        <v>3.3760186263096625E-2</v>
      </c>
      <c r="X523" s="845">
        <v>0.62068965517241381</v>
      </c>
      <c r="Y523" s="845">
        <v>0.95845697329376855</v>
      </c>
      <c r="Z523" s="845">
        <v>4.5216899816306342E-3</v>
      </c>
      <c r="AA523" s="845">
        <v>0</v>
      </c>
      <c r="AB523" s="845">
        <v>0</v>
      </c>
      <c r="AC523" s="845">
        <v>0</v>
      </c>
      <c r="AD523" s="845">
        <v>7.3477462201497808E-3</v>
      </c>
      <c r="AE523" s="845">
        <v>2.967359050445104E-2</v>
      </c>
      <c r="AF523" s="845">
        <v>1.2293344637558287E-2</v>
      </c>
      <c r="AG523" s="845">
        <v>0.95110922707361878</v>
      </c>
      <c r="AH523" s="20" t="str">
        <f t="shared" ref="AH523:AH586" si="55">IF(AG523&gt;=0.9,"Yes","No")</f>
        <v>Yes</v>
      </c>
      <c r="AI523" s="25"/>
      <c r="AJ523" s="20">
        <v>43220</v>
      </c>
      <c r="AK523" s="20" t="s">
        <v>853</v>
      </c>
      <c r="AL523" s="20">
        <v>39049</v>
      </c>
      <c r="AM523" s="20" t="s">
        <v>31</v>
      </c>
      <c r="AN523" s="37">
        <f t="shared" ref="AN523:AN586" si="56">VLOOKUP(AM523,$CY$11:$DA$98,2,FALSE)</f>
        <v>18140</v>
      </c>
      <c r="AO523" s="37" t="str">
        <f t="shared" ref="AO523:AO586" si="57">VLOOKUP(AM523,$CY$11:$DA$98,3,FALSE)</f>
        <v>Columbus, OH</v>
      </c>
      <c r="AP523" s="20" t="s">
        <v>8</v>
      </c>
      <c r="AQ523" s="25"/>
      <c r="AR523" s="25"/>
      <c r="AS523" s="25"/>
      <c r="AT523" s="25"/>
      <c r="AU523" s="36"/>
      <c r="AV523" s="36"/>
      <c r="AW523" s="36"/>
      <c r="AX523" s="25"/>
      <c r="AY523" s="25"/>
      <c r="AZ523" s="25"/>
      <c r="BA523" s="25"/>
      <c r="BB523" s="25"/>
      <c r="BC523" s="25"/>
      <c r="BD523" s="25"/>
      <c r="BE523" s="25"/>
      <c r="BF523" s="25"/>
      <c r="BG523" s="25"/>
      <c r="BH523" s="25"/>
      <c r="BI523" s="25"/>
      <c r="BJ523" s="25"/>
      <c r="BK523" s="25"/>
      <c r="BL523" s="25"/>
      <c r="BM523" s="25"/>
      <c r="BN523" s="25"/>
      <c r="BO523" s="25"/>
      <c r="BP523" s="25"/>
      <c r="BQ523" s="25"/>
      <c r="BR523" s="25"/>
      <c r="BS523" s="25"/>
      <c r="BT523" s="25"/>
      <c r="BU523" s="39">
        <v>43205</v>
      </c>
      <c r="BV523" s="39" t="s">
        <v>840</v>
      </c>
      <c r="BW523" s="39" t="s">
        <v>2882</v>
      </c>
      <c r="BX523" s="39" t="s">
        <v>303</v>
      </c>
      <c r="BY523" s="71">
        <v>940</v>
      </c>
      <c r="BZ523" s="71">
        <v>1010</v>
      </c>
      <c r="CA523" s="71">
        <v>1210</v>
      </c>
      <c r="CB523" s="71">
        <v>1450</v>
      </c>
      <c r="CC523" s="71">
        <v>1630</v>
      </c>
      <c r="CD523" s="25"/>
      <c r="CE523" s="200"/>
      <c r="CF523" s="200"/>
      <c r="CG523" s="200"/>
      <c r="CH523" s="200"/>
      <c r="CI523" s="200"/>
      <c r="CJ523" s="200"/>
      <c r="CK523" s="200"/>
      <c r="CL523" s="200"/>
      <c r="CM523" s="200"/>
      <c r="CN523" s="200"/>
      <c r="CO523" s="200"/>
      <c r="CP523" s="200"/>
      <c r="CQ523" s="200"/>
      <c r="CR523" s="200"/>
      <c r="CS523" s="200"/>
      <c r="CT523" s="200"/>
      <c r="CU523" s="200"/>
    </row>
    <row r="524" spans="1:99" s="17" customFormat="1" x14ac:dyDescent="0.2">
      <c r="A524" s="25"/>
      <c r="B524" s="20">
        <v>39061025300</v>
      </c>
      <c r="C524" s="20">
        <v>253</v>
      </c>
      <c r="D524" s="20" t="s">
        <v>37</v>
      </c>
      <c r="E524" s="20" t="s">
        <v>2828</v>
      </c>
      <c r="F524" s="20" t="s">
        <v>8</v>
      </c>
      <c r="G524" s="861">
        <v>63.373432919236102</v>
      </c>
      <c r="H524" s="861">
        <v>53.418535676464401</v>
      </c>
      <c r="I524" s="861">
        <v>55.847866736264201</v>
      </c>
      <c r="J524" s="861">
        <v>58.011697359456299</v>
      </c>
      <c r="K524" s="982">
        <v>0</v>
      </c>
      <c r="L524" s="735">
        <v>2942</v>
      </c>
      <c r="M524" s="735">
        <v>2836</v>
      </c>
      <c r="N524" s="845">
        <f t="shared" si="53"/>
        <v>-3.6029911624745073E-2</v>
      </c>
      <c r="O524" s="735">
        <v>0.61348737234164374</v>
      </c>
      <c r="P524" s="735">
        <f t="shared" si="54"/>
        <v>4622.7520367292345</v>
      </c>
      <c r="Q524" s="849">
        <v>28.5</v>
      </c>
      <c r="R524" s="71">
        <v>62230</v>
      </c>
      <c r="S524" s="845">
        <v>0.2390691114245416</v>
      </c>
      <c r="T524" s="845">
        <v>3.0000000000000001E-3</v>
      </c>
      <c r="U524" s="845">
        <v>0</v>
      </c>
      <c r="V524" s="845">
        <v>4.2999999999999997E-2</v>
      </c>
      <c r="W524" s="845">
        <v>0.52841328413284128</v>
      </c>
      <c r="X524" s="845">
        <v>0.51536312849162014</v>
      </c>
      <c r="Y524" s="845">
        <v>0.67983074753173489</v>
      </c>
      <c r="Z524" s="845">
        <v>0.24294781382228492</v>
      </c>
      <c r="AA524" s="845">
        <v>7.0521861777150916E-4</v>
      </c>
      <c r="AB524" s="845">
        <v>0</v>
      </c>
      <c r="AC524" s="845">
        <v>0</v>
      </c>
      <c r="AD524" s="845">
        <v>1.3751763046544428E-2</v>
      </c>
      <c r="AE524" s="845">
        <v>6.2764456981664316E-2</v>
      </c>
      <c r="AF524" s="845">
        <v>0.16431593794076163</v>
      </c>
      <c r="AG524" s="845">
        <v>0.56770098730606489</v>
      </c>
      <c r="AH524" s="20" t="str">
        <f t="shared" si="55"/>
        <v>No</v>
      </c>
      <c r="AI524" s="25"/>
      <c r="AJ524" s="20">
        <v>43221</v>
      </c>
      <c r="AK524" s="20" t="s">
        <v>854</v>
      </c>
      <c r="AL524" s="20">
        <v>39049</v>
      </c>
      <c r="AM524" s="20" t="s">
        <v>31</v>
      </c>
      <c r="AN524" s="37">
        <f t="shared" si="56"/>
        <v>18140</v>
      </c>
      <c r="AO524" s="37" t="str">
        <f t="shared" si="57"/>
        <v>Columbus, OH</v>
      </c>
      <c r="AP524" s="20" t="s">
        <v>8</v>
      </c>
      <c r="AQ524" s="25"/>
      <c r="AR524" s="25"/>
      <c r="AS524" s="25"/>
      <c r="AT524" s="25"/>
      <c r="AU524" s="36"/>
      <c r="AV524" s="36"/>
      <c r="AW524" s="36"/>
      <c r="AX524" s="25"/>
      <c r="AY524" s="25"/>
      <c r="AZ524" s="25"/>
      <c r="BA524" s="25"/>
      <c r="BB524" s="25"/>
      <c r="BC524" s="25"/>
      <c r="BD524" s="25"/>
      <c r="BE524" s="25"/>
      <c r="BF524" s="25"/>
      <c r="BG524" s="25"/>
      <c r="BH524" s="25"/>
      <c r="BI524" s="25"/>
      <c r="BJ524" s="25"/>
      <c r="BK524" s="25"/>
      <c r="BL524" s="25"/>
      <c r="BM524" s="25"/>
      <c r="BN524" s="25"/>
      <c r="BO524" s="25"/>
      <c r="BP524" s="25"/>
      <c r="BQ524" s="25"/>
      <c r="BR524" s="25"/>
      <c r="BS524" s="25"/>
      <c r="BT524" s="25"/>
      <c r="BU524" s="39">
        <v>43206</v>
      </c>
      <c r="BV524" s="39" t="s">
        <v>841</v>
      </c>
      <c r="BW524" s="39" t="s">
        <v>2882</v>
      </c>
      <c r="BX524" s="39" t="s">
        <v>303</v>
      </c>
      <c r="BY524" s="71">
        <v>1130</v>
      </c>
      <c r="BZ524" s="71">
        <v>1210</v>
      </c>
      <c r="CA524" s="71">
        <v>1450</v>
      </c>
      <c r="CB524" s="71">
        <v>1740</v>
      </c>
      <c r="CC524" s="71">
        <v>1950</v>
      </c>
      <c r="CD524" s="25"/>
      <c r="CE524" s="200"/>
      <c r="CF524" s="200"/>
      <c r="CG524" s="200"/>
      <c r="CH524" s="200"/>
      <c r="CI524" s="200"/>
      <c r="CJ524" s="200"/>
      <c r="CK524" s="200"/>
      <c r="CL524" s="200"/>
      <c r="CM524" s="200"/>
      <c r="CN524" s="200"/>
      <c r="CO524" s="200"/>
      <c r="CP524" s="200"/>
      <c r="CQ524" s="200"/>
      <c r="CR524" s="200"/>
      <c r="CS524" s="200"/>
      <c r="CT524" s="200"/>
      <c r="CU524" s="200"/>
    </row>
    <row r="525" spans="1:99" s="17" customFormat="1" x14ac:dyDescent="0.2">
      <c r="A525" s="25"/>
      <c r="B525" s="20">
        <v>39055311400</v>
      </c>
      <c r="C525" s="20">
        <v>3114</v>
      </c>
      <c r="D525" s="20" t="s">
        <v>34</v>
      </c>
      <c r="E525" s="20" t="s">
        <v>2829</v>
      </c>
      <c r="F525" s="20" t="s">
        <v>8</v>
      </c>
      <c r="G525" s="861">
        <v>63.355810519626203</v>
      </c>
      <c r="H525" s="861">
        <v>63.953923904534001</v>
      </c>
      <c r="I525" s="861">
        <v>19.525802952826599</v>
      </c>
      <c r="J525" s="861">
        <v>51.590362647499099</v>
      </c>
      <c r="K525" s="982">
        <v>0</v>
      </c>
      <c r="L525" s="735">
        <v>5574</v>
      </c>
      <c r="M525" s="735">
        <v>5246</v>
      </c>
      <c r="N525" s="845">
        <f t="shared" si="53"/>
        <v>-5.8844635809113741E-2</v>
      </c>
      <c r="O525" s="735">
        <v>27.741596080145712</v>
      </c>
      <c r="P525" s="735">
        <f t="shared" si="54"/>
        <v>189.10231353827879</v>
      </c>
      <c r="Q525" s="849">
        <v>48.7</v>
      </c>
      <c r="R525" s="71">
        <v>93443</v>
      </c>
      <c r="S525" s="845">
        <v>4.8681148176881302E-2</v>
      </c>
      <c r="T525" s="845">
        <v>2.2000000000000002E-2</v>
      </c>
      <c r="U525" s="845">
        <v>0</v>
      </c>
      <c r="V525" s="845">
        <v>0.187</v>
      </c>
      <c r="W525" s="845">
        <v>5.2003816793893133E-2</v>
      </c>
      <c r="X525" s="845">
        <v>0.68807339449541283</v>
      </c>
      <c r="Y525" s="845">
        <v>0.94205108654212732</v>
      </c>
      <c r="Z525" s="845">
        <v>8.1967213114754103E-3</v>
      </c>
      <c r="AA525" s="845">
        <v>7.6248570339306138E-4</v>
      </c>
      <c r="AB525" s="845">
        <v>0</v>
      </c>
      <c r="AC525" s="845">
        <v>0</v>
      </c>
      <c r="AD525" s="845">
        <v>7.8154784597788789E-3</v>
      </c>
      <c r="AE525" s="845">
        <v>4.1174227983225314E-2</v>
      </c>
      <c r="AF525" s="845">
        <v>9.1498284407167361E-3</v>
      </c>
      <c r="AG525" s="845">
        <v>0.93728555089592069</v>
      </c>
      <c r="AH525" s="20" t="str">
        <f t="shared" si="55"/>
        <v>Yes</v>
      </c>
      <c r="AI525" s="25"/>
      <c r="AJ525" s="37">
        <v>43222</v>
      </c>
      <c r="AK525" s="37" t="s">
        <v>855</v>
      </c>
      <c r="AL525" s="37">
        <v>39049</v>
      </c>
      <c r="AM525" s="37" t="s">
        <v>31</v>
      </c>
      <c r="AN525" s="37">
        <f t="shared" si="56"/>
        <v>18140</v>
      </c>
      <c r="AO525" s="37" t="str">
        <f t="shared" si="57"/>
        <v>Columbus, OH</v>
      </c>
      <c r="AP525" s="20" t="s">
        <v>8</v>
      </c>
      <c r="AQ525" s="25"/>
      <c r="AR525" s="25"/>
      <c r="AS525" s="25"/>
      <c r="AT525" s="25"/>
      <c r="AU525" s="36"/>
      <c r="AV525" s="36"/>
      <c r="AW525" s="36"/>
      <c r="AX525" s="25"/>
      <c r="AY525" s="25"/>
      <c r="AZ525" s="25"/>
      <c r="BA525" s="25"/>
      <c r="BB525" s="25"/>
      <c r="BC525" s="25"/>
      <c r="BD525" s="25"/>
      <c r="BE525" s="25"/>
      <c r="BF525" s="25"/>
      <c r="BG525" s="25"/>
      <c r="BH525" s="25"/>
      <c r="BI525" s="25"/>
      <c r="BJ525" s="25"/>
      <c r="BK525" s="25"/>
      <c r="BL525" s="25"/>
      <c r="BM525" s="25"/>
      <c r="BN525" s="25"/>
      <c r="BO525" s="25"/>
      <c r="BP525" s="25"/>
      <c r="BQ525" s="25"/>
      <c r="BR525" s="25"/>
      <c r="BS525" s="25"/>
      <c r="BT525" s="25"/>
      <c r="BU525" s="39">
        <v>43207</v>
      </c>
      <c r="BV525" s="39" t="s">
        <v>842</v>
      </c>
      <c r="BW525" s="39" t="s">
        <v>2882</v>
      </c>
      <c r="BX525" s="39" t="s">
        <v>303</v>
      </c>
      <c r="BY525" s="71">
        <v>960</v>
      </c>
      <c r="BZ525" s="71">
        <v>1040</v>
      </c>
      <c r="CA525" s="71">
        <v>1240</v>
      </c>
      <c r="CB525" s="71">
        <v>1490</v>
      </c>
      <c r="CC525" s="71">
        <v>1670</v>
      </c>
      <c r="CD525" s="25"/>
      <c r="CE525" s="200"/>
      <c r="CF525" s="200"/>
      <c r="CG525" s="200"/>
      <c r="CH525" s="200"/>
      <c r="CI525" s="200"/>
      <c r="CJ525" s="200"/>
      <c r="CK525" s="200"/>
      <c r="CL525" s="200"/>
      <c r="CM525" s="200"/>
      <c r="CN525" s="200"/>
      <c r="CO525" s="200"/>
      <c r="CP525" s="200"/>
      <c r="CQ525" s="200"/>
      <c r="CR525" s="200"/>
      <c r="CS525" s="200"/>
      <c r="CT525" s="200"/>
      <c r="CU525" s="200"/>
    </row>
    <row r="526" spans="1:99" s="17" customFormat="1" x14ac:dyDescent="0.2">
      <c r="A526" s="25"/>
      <c r="B526" s="20">
        <v>39103415100</v>
      </c>
      <c r="C526" s="20">
        <v>4151</v>
      </c>
      <c r="D526" s="20" t="s">
        <v>57</v>
      </c>
      <c r="E526" s="20" t="s">
        <v>2829</v>
      </c>
      <c r="F526" s="20" t="s">
        <v>8</v>
      </c>
      <c r="G526" s="861">
        <v>63.339749070594102</v>
      </c>
      <c r="H526" s="861">
        <v>65.525749002172105</v>
      </c>
      <c r="I526" s="861">
        <v>15.738456644074599</v>
      </c>
      <c r="J526" s="861">
        <v>46.414811761732402</v>
      </c>
      <c r="K526" s="982">
        <v>0</v>
      </c>
      <c r="L526" s="735">
        <v>4039</v>
      </c>
      <c r="M526" s="735">
        <v>4682</v>
      </c>
      <c r="N526" s="845">
        <f t="shared" si="53"/>
        <v>0.1591978212428819</v>
      </c>
      <c r="O526" s="735">
        <v>2.4696233064946389</v>
      </c>
      <c r="P526" s="735">
        <f t="shared" si="54"/>
        <v>1895.8356878505447</v>
      </c>
      <c r="Q526" s="849">
        <v>36.9</v>
      </c>
      <c r="R526" s="71">
        <v>123375</v>
      </c>
      <c r="S526" s="845">
        <v>2.0931225971806921E-2</v>
      </c>
      <c r="T526" s="845">
        <v>1.2E-2</v>
      </c>
      <c r="U526" s="845">
        <v>0</v>
      </c>
      <c r="V526" s="845">
        <v>0.38799999999999996</v>
      </c>
      <c r="W526" s="845">
        <v>3.2786885245901641E-2</v>
      </c>
      <c r="X526" s="845">
        <v>0.46153846153846156</v>
      </c>
      <c r="Y526" s="845">
        <v>0.96796240922682619</v>
      </c>
      <c r="Z526" s="845">
        <v>1.0679196924391287E-3</v>
      </c>
      <c r="AA526" s="845">
        <v>0</v>
      </c>
      <c r="AB526" s="845">
        <v>4.6988466467321657E-3</v>
      </c>
      <c r="AC526" s="845">
        <v>0</v>
      </c>
      <c r="AD526" s="845">
        <v>2.7765912003417342E-3</v>
      </c>
      <c r="AE526" s="845">
        <v>2.349423323366083E-2</v>
      </c>
      <c r="AF526" s="845">
        <v>2.7765912003417342E-3</v>
      </c>
      <c r="AG526" s="845">
        <v>0.96796240922682619</v>
      </c>
      <c r="AH526" s="20" t="str">
        <f t="shared" si="55"/>
        <v>Yes</v>
      </c>
      <c r="AI526" s="25"/>
      <c r="AJ526" s="37">
        <v>43223</v>
      </c>
      <c r="AK526" s="37" t="s">
        <v>856</v>
      </c>
      <c r="AL526" s="37">
        <v>39049</v>
      </c>
      <c r="AM526" s="37" t="s">
        <v>31</v>
      </c>
      <c r="AN526" s="37">
        <f t="shared" si="56"/>
        <v>18140</v>
      </c>
      <c r="AO526" s="37" t="str">
        <f t="shared" si="57"/>
        <v>Columbus, OH</v>
      </c>
      <c r="AP526" s="20" t="s">
        <v>8</v>
      </c>
      <c r="AQ526" s="25"/>
      <c r="AR526" s="25"/>
      <c r="AS526" s="25"/>
      <c r="AT526" s="25"/>
      <c r="AU526" s="36"/>
      <c r="AV526" s="36"/>
      <c r="AW526" s="36"/>
      <c r="AX526" s="25"/>
      <c r="AY526" s="25"/>
      <c r="AZ526" s="25"/>
      <c r="BA526" s="25"/>
      <c r="BB526" s="25"/>
      <c r="BC526" s="25"/>
      <c r="BD526" s="25"/>
      <c r="BE526" s="25"/>
      <c r="BF526" s="25"/>
      <c r="BG526" s="25"/>
      <c r="BH526" s="25"/>
      <c r="BI526" s="25"/>
      <c r="BJ526" s="25"/>
      <c r="BK526" s="25"/>
      <c r="BL526" s="25"/>
      <c r="BM526" s="25"/>
      <c r="BN526" s="25"/>
      <c r="BO526" s="25"/>
      <c r="BP526" s="25"/>
      <c r="BQ526" s="25"/>
      <c r="BR526" s="25"/>
      <c r="BS526" s="25"/>
      <c r="BT526" s="25"/>
      <c r="BU526" s="39">
        <v>43209</v>
      </c>
      <c r="BV526" s="39" t="s">
        <v>843</v>
      </c>
      <c r="BW526" s="39" t="s">
        <v>2882</v>
      </c>
      <c r="BX526" s="39" t="s">
        <v>303</v>
      </c>
      <c r="BY526" s="71">
        <v>1040</v>
      </c>
      <c r="BZ526" s="71">
        <v>1120</v>
      </c>
      <c r="CA526" s="71">
        <v>1340</v>
      </c>
      <c r="CB526" s="71">
        <v>1610</v>
      </c>
      <c r="CC526" s="71">
        <v>1810</v>
      </c>
      <c r="CD526" s="25"/>
      <c r="CE526" s="200"/>
      <c r="CF526" s="200"/>
      <c r="CG526" s="200"/>
      <c r="CH526" s="200"/>
      <c r="CI526" s="200"/>
      <c r="CJ526" s="200"/>
      <c r="CK526" s="200"/>
      <c r="CL526" s="200"/>
      <c r="CM526" s="200"/>
      <c r="CN526" s="200"/>
      <c r="CO526" s="200"/>
      <c r="CP526" s="200"/>
      <c r="CQ526" s="200"/>
      <c r="CR526" s="200"/>
      <c r="CS526" s="200"/>
      <c r="CT526" s="200"/>
      <c r="CU526" s="200"/>
    </row>
    <row r="527" spans="1:99" s="17" customFormat="1" x14ac:dyDescent="0.2">
      <c r="A527" s="25"/>
      <c r="B527" s="20">
        <v>39061020811</v>
      </c>
      <c r="C527" s="20">
        <v>208.11</v>
      </c>
      <c r="D527" s="20" t="s">
        <v>37</v>
      </c>
      <c r="E527" s="20" t="s">
        <v>2828</v>
      </c>
      <c r="F527" s="20" t="s">
        <v>8</v>
      </c>
      <c r="G527" s="861">
        <v>63.324229253159601</v>
      </c>
      <c r="H527" s="861">
        <v>66.422416875894896</v>
      </c>
      <c r="I527" s="861">
        <v>26.979352803232501</v>
      </c>
      <c r="J527" s="861">
        <v>30.740957218190701</v>
      </c>
      <c r="K527" s="982">
        <v>0</v>
      </c>
      <c r="L527" s="735">
        <v>6491</v>
      </c>
      <c r="M527" s="735">
        <v>5498</v>
      </c>
      <c r="N527" s="845">
        <f t="shared" si="53"/>
        <v>-0.15298105068556464</v>
      </c>
      <c r="O527" s="735">
        <v>1.8423964888394797</v>
      </c>
      <c r="P527" s="735">
        <f t="shared" si="54"/>
        <v>2984.1567943191071</v>
      </c>
      <c r="Q527" s="849">
        <v>38.200000000000003</v>
      </c>
      <c r="R527" s="71">
        <v>66000</v>
      </c>
      <c r="S527" s="845">
        <v>4.8239178283198826E-2</v>
      </c>
      <c r="T527" s="845">
        <v>2.3E-2</v>
      </c>
      <c r="U527" s="845">
        <v>0</v>
      </c>
      <c r="V527" s="845">
        <v>0.13100000000000001</v>
      </c>
      <c r="W527" s="845">
        <v>0.30413223140495865</v>
      </c>
      <c r="X527" s="845">
        <v>0.34918478260869568</v>
      </c>
      <c r="Y527" s="845">
        <v>0.68461258639505274</v>
      </c>
      <c r="Z527" s="845">
        <v>0.1336849763550382</v>
      </c>
      <c r="AA527" s="845">
        <v>0</v>
      </c>
      <c r="AB527" s="845">
        <v>9.239723535831211E-2</v>
      </c>
      <c r="AC527" s="845">
        <v>0</v>
      </c>
      <c r="AD527" s="845">
        <v>0</v>
      </c>
      <c r="AE527" s="845">
        <v>8.930520189159695E-2</v>
      </c>
      <c r="AF527" s="845">
        <v>1.5460167333575846E-2</v>
      </c>
      <c r="AG527" s="845">
        <v>0.68461258639505274</v>
      </c>
      <c r="AH527" s="20" t="str">
        <f t="shared" si="55"/>
        <v>No</v>
      </c>
      <c r="AI527" s="25"/>
      <c r="AJ527" s="37">
        <v>43224</v>
      </c>
      <c r="AK527" s="37" t="s">
        <v>857</v>
      </c>
      <c r="AL527" s="37">
        <v>39049</v>
      </c>
      <c r="AM527" s="37" t="s">
        <v>31</v>
      </c>
      <c r="AN527" s="37">
        <f t="shared" si="56"/>
        <v>18140</v>
      </c>
      <c r="AO527" s="37" t="str">
        <f t="shared" si="57"/>
        <v>Columbus, OH</v>
      </c>
      <c r="AP527" s="20" t="s">
        <v>8</v>
      </c>
      <c r="AQ527" s="25"/>
      <c r="AR527" s="25"/>
      <c r="AS527" s="25"/>
      <c r="AT527" s="25"/>
      <c r="AU527" s="36"/>
      <c r="AV527" s="36"/>
      <c r="AW527" s="36"/>
      <c r="AX527" s="25"/>
      <c r="AY527" s="25"/>
      <c r="AZ527" s="25"/>
      <c r="BA527" s="25"/>
      <c r="BB527" s="25"/>
      <c r="BC527" s="25"/>
      <c r="BD527" s="25"/>
      <c r="BE527" s="25"/>
      <c r="BF527" s="25"/>
      <c r="BG527" s="25"/>
      <c r="BH527" s="25"/>
      <c r="BI527" s="25"/>
      <c r="BJ527" s="25"/>
      <c r="BK527" s="25"/>
      <c r="BL527" s="25"/>
      <c r="BM527" s="25"/>
      <c r="BN527" s="25"/>
      <c r="BO527" s="25"/>
      <c r="BP527" s="25"/>
      <c r="BQ527" s="25"/>
      <c r="BR527" s="25"/>
      <c r="BS527" s="25"/>
      <c r="BT527" s="25"/>
      <c r="BU527" s="39">
        <v>43210</v>
      </c>
      <c r="BV527" s="39" t="s">
        <v>844</v>
      </c>
      <c r="BW527" s="39" t="s">
        <v>2882</v>
      </c>
      <c r="BX527" s="39" t="s">
        <v>303</v>
      </c>
      <c r="BY527" s="71">
        <v>800</v>
      </c>
      <c r="BZ527" s="71">
        <v>870</v>
      </c>
      <c r="CA527" s="71">
        <v>1070</v>
      </c>
      <c r="CB527" s="71">
        <v>1280</v>
      </c>
      <c r="CC527" s="71">
        <v>1430</v>
      </c>
      <c r="CD527" s="25"/>
      <c r="CE527" s="200"/>
      <c r="CF527" s="200"/>
      <c r="CG527" s="200"/>
      <c r="CH527" s="200"/>
      <c r="CI527" s="200"/>
      <c r="CJ527" s="200"/>
      <c r="CK527" s="200"/>
      <c r="CL527" s="200"/>
      <c r="CM527" s="200"/>
      <c r="CN527" s="200"/>
      <c r="CO527" s="200"/>
      <c r="CP527" s="200"/>
      <c r="CQ527" s="200"/>
      <c r="CR527" s="200"/>
      <c r="CS527" s="200"/>
      <c r="CT527" s="200"/>
      <c r="CU527" s="200"/>
    </row>
    <row r="528" spans="1:99" s="17" customFormat="1" x14ac:dyDescent="0.2">
      <c r="A528" s="25"/>
      <c r="B528" s="20">
        <v>39049008110</v>
      </c>
      <c r="C528" s="20">
        <v>81.099999999999994</v>
      </c>
      <c r="D528" s="20" t="s">
        <v>31</v>
      </c>
      <c r="E528" s="20" t="s">
        <v>2830</v>
      </c>
      <c r="F528" s="20" t="s">
        <v>8</v>
      </c>
      <c r="G528" s="861">
        <v>63.3101226172856</v>
      </c>
      <c r="H528" s="861">
        <v>70.554474856541304</v>
      </c>
      <c r="I528" s="861">
        <v>37.057753973546902</v>
      </c>
      <c r="J528" s="861">
        <v>41.809543846553503</v>
      </c>
      <c r="K528" s="982">
        <v>0</v>
      </c>
      <c r="L528" s="735">
        <v>3823</v>
      </c>
      <c r="M528" s="735">
        <v>4200</v>
      </c>
      <c r="N528" s="845">
        <f t="shared" si="53"/>
        <v>9.8613654198273601E-2</v>
      </c>
      <c r="O528" s="735">
        <v>0.794458087299868</v>
      </c>
      <c r="P528" s="735">
        <f t="shared" si="54"/>
        <v>5286.6225004701992</v>
      </c>
      <c r="Q528" s="849">
        <v>38.6</v>
      </c>
      <c r="R528" s="71">
        <v>57625</v>
      </c>
      <c r="S528" s="845">
        <v>0.12261904761904761</v>
      </c>
      <c r="T528" s="845">
        <v>9.0000000000000011E-3</v>
      </c>
      <c r="U528" s="845">
        <v>0</v>
      </c>
      <c r="V528" s="845">
        <v>0.152</v>
      </c>
      <c r="W528" s="845">
        <v>0.42786069651741293</v>
      </c>
      <c r="X528" s="845">
        <v>0.34754521963824292</v>
      </c>
      <c r="Y528" s="845">
        <v>0.66952380952380952</v>
      </c>
      <c r="Z528" s="845">
        <v>0.13261904761904761</v>
      </c>
      <c r="AA528" s="845">
        <v>3.3333333333333335E-3</v>
      </c>
      <c r="AB528" s="845">
        <v>1.5476190476190477E-2</v>
      </c>
      <c r="AC528" s="845">
        <v>0</v>
      </c>
      <c r="AD528" s="845">
        <v>4.3095238095238096E-2</v>
      </c>
      <c r="AE528" s="845">
        <v>0.13595238095238096</v>
      </c>
      <c r="AF528" s="845">
        <v>0.18238095238095239</v>
      </c>
      <c r="AG528" s="845">
        <v>0.61880952380952381</v>
      </c>
      <c r="AH528" s="20" t="str">
        <f t="shared" si="55"/>
        <v>No</v>
      </c>
      <c r="AI528" s="25"/>
      <c r="AJ528" s="37">
        <v>43227</v>
      </c>
      <c r="AK528" s="37" t="s">
        <v>858</v>
      </c>
      <c r="AL528" s="37">
        <v>39049</v>
      </c>
      <c r="AM528" s="37" t="s">
        <v>31</v>
      </c>
      <c r="AN528" s="37">
        <f t="shared" si="56"/>
        <v>18140</v>
      </c>
      <c r="AO528" s="37" t="str">
        <f t="shared" si="57"/>
        <v>Columbus, OH</v>
      </c>
      <c r="AP528" s="20" t="s">
        <v>8</v>
      </c>
      <c r="AQ528" s="25"/>
      <c r="AR528" s="25"/>
      <c r="AS528" s="25"/>
      <c r="AT528" s="25"/>
      <c r="AU528" s="36"/>
      <c r="AV528" s="36"/>
      <c r="AW528" s="36"/>
      <c r="AX528" s="25"/>
      <c r="AY528" s="25"/>
      <c r="AZ528" s="25"/>
      <c r="BA528" s="25"/>
      <c r="BB528" s="25"/>
      <c r="BC528" s="25"/>
      <c r="BD528" s="25"/>
      <c r="BE528" s="25"/>
      <c r="BF528" s="25"/>
      <c r="BG528" s="25"/>
      <c r="BH528" s="25"/>
      <c r="BI528" s="25"/>
      <c r="BJ528" s="25"/>
      <c r="BK528" s="25"/>
      <c r="BL528" s="25"/>
      <c r="BM528" s="25"/>
      <c r="BN528" s="25"/>
      <c r="BO528" s="25"/>
      <c r="BP528" s="25"/>
      <c r="BQ528" s="25"/>
      <c r="BR528" s="25"/>
      <c r="BS528" s="25"/>
      <c r="BT528" s="25"/>
      <c r="BU528" s="39">
        <v>43211</v>
      </c>
      <c r="BV528" s="39" t="s">
        <v>845</v>
      </c>
      <c r="BW528" s="39" t="s">
        <v>2882</v>
      </c>
      <c r="BX528" s="39" t="s">
        <v>303</v>
      </c>
      <c r="BY528" s="71">
        <v>920</v>
      </c>
      <c r="BZ528" s="71">
        <v>980</v>
      </c>
      <c r="CA528" s="71">
        <v>1180</v>
      </c>
      <c r="CB528" s="71">
        <v>1410</v>
      </c>
      <c r="CC528" s="71">
        <v>1590</v>
      </c>
      <c r="CD528" s="25"/>
      <c r="CE528" s="200"/>
      <c r="CF528" s="200"/>
      <c r="CG528" s="200"/>
      <c r="CH528" s="200"/>
      <c r="CI528" s="200"/>
      <c r="CJ528" s="200"/>
      <c r="CK528" s="200"/>
      <c r="CL528" s="200"/>
      <c r="CM528" s="200"/>
      <c r="CN528" s="200"/>
      <c r="CO528" s="200"/>
      <c r="CP528" s="200"/>
      <c r="CQ528" s="200"/>
      <c r="CR528" s="200"/>
      <c r="CS528" s="200"/>
      <c r="CT528" s="200"/>
      <c r="CU528" s="200"/>
    </row>
    <row r="529" spans="1:99" s="17" customFormat="1" x14ac:dyDescent="0.2">
      <c r="A529" s="25"/>
      <c r="B529" s="20">
        <v>39049007209</v>
      </c>
      <c r="C529" s="20">
        <v>72.09</v>
      </c>
      <c r="D529" s="20" t="s">
        <v>31</v>
      </c>
      <c r="E529" s="20" t="s">
        <v>2830</v>
      </c>
      <c r="F529" s="20" t="s">
        <v>8</v>
      </c>
      <c r="G529" s="861">
        <v>63.291687482471197</v>
      </c>
      <c r="H529" s="861">
        <v>59.818851179441999</v>
      </c>
      <c r="I529" s="861">
        <v>28.372674351931899</v>
      </c>
      <c r="J529" s="861">
        <v>46.990094994940499</v>
      </c>
      <c r="K529" s="982">
        <v>1</v>
      </c>
      <c r="L529" s="735">
        <v>6476</v>
      </c>
      <c r="M529" s="735">
        <v>9599</v>
      </c>
      <c r="N529" s="845">
        <f t="shared" si="53"/>
        <v>0.48224212476837552</v>
      </c>
      <c r="O529" s="735">
        <v>2.2060815561041323</v>
      </c>
      <c r="P529" s="735">
        <f t="shared" si="54"/>
        <v>4351.1537338408825</v>
      </c>
      <c r="Q529" s="849">
        <v>31</v>
      </c>
      <c r="R529" s="71">
        <v>98678</v>
      </c>
      <c r="S529" s="845">
        <v>2.1955876113703861E-2</v>
      </c>
      <c r="T529" s="845">
        <v>2.2000000000000002E-2</v>
      </c>
      <c r="U529" s="845">
        <v>5.7999999999999996E-2</v>
      </c>
      <c r="V529" s="845">
        <v>6.4000000000000001E-2</v>
      </c>
      <c r="W529" s="845">
        <v>0.59941322500564209</v>
      </c>
      <c r="X529" s="845">
        <v>0.34902108433734941</v>
      </c>
      <c r="Y529" s="845">
        <v>0.67204917178872803</v>
      </c>
      <c r="Z529" s="845">
        <v>0.18460256276695489</v>
      </c>
      <c r="AA529" s="845">
        <v>0</v>
      </c>
      <c r="AB529" s="845">
        <v>4.8025836024585891E-2</v>
      </c>
      <c r="AC529" s="845">
        <v>0</v>
      </c>
      <c r="AD529" s="845">
        <v>1.1563704552557558E-2</v>
      </c>
      <c r="AE529" s="845">
        <v>8.3758724867173659E-2</v>
      </c>
      <c r="AF529" s="845">
        <v>3.1878320658401918E-2</v>
      </c>
      <c r="AG529" s="845">
        <v>0.66308990519845812</v>
      </c>
      <c r="AH529" s="20" t="str">
        <f t="shared" si="55"/>
        <v>No</v>
      </c>
      <c r="AI529" s="25"/>
      <c r="AJ529" s="20">
        <v>43228</v>
      </c>
      <c r="AK529" s="20" t="s">
        <v>859</v>
      </c>
      <c r="AL529" s="20">
        <v>39049</v>
      </c>
      <c r="AM529" s="20" t="s">
        <v>31</v>
      </c>
      <c r="AN529" s="37">
        <f t="shared" si="56"/>
        <v>18140</v>
      </c>
      <c r="AO529" s="37" t="str">
        <f t="shared" si="57"/>
        <v>Columbus, OH</v>
      </c>
      <c r="AP529" s="20" t="s">
        <v>8</v>
      </c>
      <c r="AQ529" s="25"/>
      <c r="AR529" s="25"/>
      <c r="AS529" s="25"/>
      <c r="AT529" s="25"/>
      <c r="AU529" s="36"/>
      <c r="AV529" s="36"/>
      <c r="AW529" s="36"/>
      <c r="AX529" s="25"/>
      <c r="AY529" s="25"/>
      <c r="AZ529" s="25"/>
      <c r="BA529" s="25"/>
      <c r="BB529" s="25"/>
      <c r="BC529" s="25"/>
      <c r="BD529" s="25"/>
      <c r="BE529" s="25"/>
      <c r="BF529" s="25"/>
      <c r="BG529" s="25"/>
      <c r="BH529" s="25"/>
      <c r="BI529" s="25"/>
      <c r="BJ529" s="25"/>
      <c r="BK529" s="25"/>
      <c r="BL529" s="25"/>
      <c r="BM529" s="25"/>
      <c r="BN529" s="25"/>
      <c r="BO529" s="25"/>
      <c r="BP529" s="25"/>
      <c r="BQ529" s="25"/>
      <c r="BR529" s="25"/>
      <c r="BS529" s="25"/>
      <c r="BT529" s="25"/>
      <c r="BU529" s="39">
        <v>43212</v>
      </c>
      <c r="BV529" s="39" t="s">
        <v>846</v>
      </c>
      <c r="BW529" s="39" t="s">
        <v>2882</v>
      </c>
      <c r="BX529" s="39" t="s">
        <v>303</v>
      </c>
      <c r="BY529" s="71">
        <v>1230</v>
      </c>
      <c r="BZ529" s="71">
        <v>1320</v>
      </c>
      <c r="CA529" s="71">
        <v>1580</v>
      </c>
      <c r="CB529" s="71">
        <v>1890</v>
      </c>
      <c r="CC529" s="71">
        <v>2130</v>
      </c>
      <c r="CD529" s="25"/>
      <c r="CE529" s="200"/>
      <c r="CF529" s="200"/>
      <c r="CG529" s="200"/>
      <c r="CH529" s="200"/>
      <c r="CI529" s="200"/>
      <c r="CJ529" s="200"/>
      <c r="CK529" s="200"/>
      <c r="CL529" s="200"/>
      <c r="CM529" s="200"/>
      <c r="CN529" s="200"/>
      <c r="CO529" s="200"/>
      <c r="CP529" s="200"/>
      <c r="CQ529" s="200"/>
      <c r="CR529" s="200"/>
      <c r="CS529" s="200"/>
      <c r="CT529" s="200"/>
      <c r="CU529" s="200"/>
    </row>
    <row r="530" spans="1:99" s="17" customFormat="1" x14ac:dyDescent="0.2">
      <c r="A530" s="25"/>
      <c r="B530" s="20">
        <v>39085203700</v>
      </c>
      <c r="C530" s="20">
        <v>2037</v>
      </c>
      <c r="D530" s="20" t="s">
        <v>48</v>
      </c>
      <c r="E530" s="20" t="s">
        <v>2829</v>
      </c>
      <c r="F530" s="20" t="s">
        <v>8</v>
      </c>
      <c r="G530" s="861">
        <v>63.232874117216902</v>
      </c>
      <c r="H530" s="861">
        <v>66.056550451346794</v>
      </c>
      <c r="I530" s="861">
        <v>22.839022007219601</v>
      </c>
      <c r="J530" s="861">
        <v>53.254452964928298</v>
      </c>
      <c r="K530" s="982">
        <v>0</v>
      </c>
      <c r="L530" s="735">
        <v>3420</v>
      </c>
      <c r="M530" s="735">
        <v>3419</v>
      </c>
      <c r="N530" s="845">
        <f t="shared" si="53"/>
        <v>-2.9239766081871346E-4</v>
      </c>
      <c r="O530" s="735">
        <v>11.520160607995996</v>
      </c>
      <c r="P530" s="735">
        <f t="shared" si="54"/>
        <v>296.78405678015599</v>
      </c>
      <c r="Q530" s="849">
        <v>48.3</v>
      </c>
      <c r="R530" s="71">
        <v>118235</v>
      </c>
      <c r="S530" s="845">
        <v>6.8850470124355481E-2</v>
      </c>
      <c r="T530" s="845">
        <v>0.03</v>
      </c>
      <c r="U530" s="845">
        <v>3.0000000000000001E-3</v>
      </c>
      <c r="V530" s="845">
        <v>0</v>
      </c>
      <c r="W530" s="845">
        <v>0.11961722488038277</v>
      </c>
      <c r="X530" s="845">
        <v>0.18666666666666668</v>
      </c>
      <c r="Y530" s="845">
        <v>0.9233694062591401</v>
      </c>
      <c r="Z530" s="845">
        <v>7.6045627376425855E-3</v>
      </c>
      <c r="AA530" s="845">
        <v>0</v>
      </c>
      <c r="AB530" s="845">
        <v>1.1406844106463879E-2</v>
      </c>
      <c r="AC530" s="845">
        <v>0</v>
      </c>
      <c r="AD530" s="845">
        <v>2.3398654577361801E-3</v>
      </c>
      <c r="AE530" s="845">
        <v>5.5279321439017259E-2</v>
      </c>
      <c r="AF530" s="845">
        <v>1.1991810470897923E-2</v>
      </c>
      <c r="AG530" s="845">
        <v>0.91751974261479963</v>
      </c>
      <c r="AH530" s="20" t="str">
        <f t="shared" si="55"/>
        <v>Yes</v>
      </c>
      <c r="AI530" s="25"/>
      <c r="AJ530" s="20">
        <v>43229</v>
      </c>
      <c r="AK530" s="20" t="s">
        <v>860</v>
      </c>
      <c r="AL530" s="20">
        <v>39049</v>
      </c>
      <c r="AM530" s="20" t="s">
        <v>31</v>
      </c>
      <c r="AN530" s="37">
        <f t="shared" si="56"/>
        <v>18140</v>
      </c>
      <c r="AO530" s="37" t="str">
        <f t="shared" si="57"/>
        <v>Columbus, OH</v>
      </c>
      <c r="AP530" s="20" t="s">
        <v>8</v>
      </c>
      <c r="AQ530" s="25"/>
      <c r="AR530" s="25"/>
      <c r="AS530" s="25"/>
      <c r="AT530" s="25"/>
      <c r="AU530" s="36"/>
      <c r="AV530" s="36"/>
      <c r="AW530" s="36"/>
      <c r="AX530" s="25"/>
      <c r="AY530" s="25"/>
      <c r="AZ530" s="25"/>
      <c r="BA530" s="25"/>
      <c r="BB530" s="25"/>
      <c r="BC530" s="25"/>
      <c r="BD530" s="25"/>
      <c r="BE530" s="25"/>
      <c r="BF530" s="25"/>
      <c r="BG530" s="25"/>
      <c r="BH530" s="25"/>
      <c r="BI530" s="25"/>
      <c r="BJ530" s="25"/>
      <c r="BK530" s="25"/>
      <c r="BL530" s="25"/>
      <c r="BM530" s="25"/>
      <c r="BN530" s="25"/>
      <c r="BO530" s="25"/>
      <c r="BP530" s="25"/>
      <c r="BQ530" s="25"/>
      <c r="BR530" s="25"/>
      <c r="BS530" s="25"/>
      <c r="BT530" s="25"/>
      <c r="BU530" s="39">
        <v>43213</v>
      </c>
      <c r="BV530" s="39" t="s">
        <v>847</v>
      </c>
      <c r="BW530" s="39" t="s">
        <v>2882</v>
      </c>
      <c r="BX530" s="39" t="s">
        <v>303</v>
      </c>
      <c r="BY530" s="71">
        <v>1000</v>
      </c>
      <c r="BZ530" s="71">
        <v>1080</v>
      </c>
      <c r="CA530" s="71">
        <v>1290</v>
      </c>
      <c r="CB530" s="71">
        <v>1550</v>
      </c>
      <c r="CC530" s="71">
        <v>1740</v>
      </c>
      <c r="CD530" s="25"/>
      <c r="CE530" s="200"/>
      <c r="CF530" s="200"/>
      <c r="CG530" s="200"/>
      <c r="CH530" s="200"/>
      <c r="CI530" s="200"/>
      <c r="CJ530" s="200"/>
      <c r="CK530" s="200"/>
      <c r="CL530" s="200"/>
      <c r="CM530" s="200"/>
      <c r="CN530" s="200"/>
      <c r="CO530" s="200"/>
      <c r="CP530" s="200"/>
      <c r="CQ530" s="200"/>
      <c r="CR530" s="200"/>
      <c r="CS530" s="200"/>
      <c r="CT530" s="200"/>
      <c r="CU530" s="200"/>
    </row>
    <row r="531" spans="1:99" s="17" customFormat="1" x14ac:dyDescent="0.2">
      <c r="A531" s="25"/>
      <c r="B531" s="20">
        <v>39035177406</v>
      </c>
      <c r="C531" s="20">
        <v>1774.06</v>
      </c>
      <c r="D531" s="20" t="s">
        <v>24</v>
      </c>
      <c r="E531" s="20" t="s">
        <v>2829</v>
      </c>
      <c r="F531" s="20" t="s">
        <v>8</v>
      </c>
      <c r="G531" s="861">
        <v>63.224702292059398</v>
      </c>
      <c r="H531" s="861">
        <v>79.100834929252699</v>
      </c>
      <c r="I531" s="861">
        <v>22.117064044015699</v>
      </c>
      <c r="J531" s="861">
        <v>48.836513302910497</v>
      </c>
      <c r="K531" s="982">
        <v>0</v>
      </c>
      <c r="L531" s="735">
        <v>4181</v>
      </c>
      <c r="M531" s="735">
        <v>3831</v>
      </c>
      <c r="N531" s="845">
        <f t="shared" si="53"/>
        <v>-8.3712030614685476E-2</v>
      </c>
      <c r="O531" s="735">
        <v>0.54089360278955101</v>
      </c>
      <c r="P531" s="735">
        <f t="shared" si="54"/>
        <v>7082.7238115636437</v>
      </c>
      <c r="Q531" s="849">
        <v>36.4</v>
      </c>
      <c r="R531" s="71">
        <v>76216</v>
      </c>
      <c r="S531" s="845">
        <v>3.5331065166186865E-2</v>
      </c>
      <c r="T531" s="845">
        <v>4.5999999999999999E-2</v>
      </c>
      <c r="U531" s="845">
        <v>0</v>
      </c>
      <c r="V531" s="845">
        <v>0</v>
      </c>
      <c r="W531" s="845">
        <v>0.20995962314939434</v>
      </c>
      <c r="X531" s="845">
        <v>0.3141025641025641</v>
      </c>
      <c r="Y531" s="845">
        <v>0.88514748107543717</v>
      </c>
      <c r="Z531" s="845">
        <v>7.9613677890890105E-2</v>
      </c>
      <c r="AA531" s="845">
        <v>0</v>
      </c>
      <c r="AB531" s="845">
        <v>2.0882276168102325E-3</v>
      </c>
      <c r="AC531" s="845">
        <v>0</v>
      </c>
      <c r="AD531" s="845">
        <v>6.2646828504306969E-3</v>
      </c>
      <c r="AE531" s="845">
        <v>2.6885930566431741E-2</v>
      </c>
      <c r="AF531" s="845">
        <v>2.6102845210127904E-2</v>
      </c>
      <c r="AG531" s="845">
        <v>0.87418428608718346</v>
      </c>
      <c r="AH531" s="20" t="str">
        <f t="shared" si="55"/>
        <v>No</v>
      </c>
      <c r="AI531" s="25"/>
      <c r="AJ531" s="20">
        <v>43230</v>
      </c>
      <c r="AK531" s="20" t="s">
        <v>861</v>
      </c>
      <c r="AL531" s="20">
        <v>39049</v>
      </c>
      <c r="AM531" s="20" t="s">
        <v>31</v>
      </c>
      <c r="AN531" s="37">
        <f t="shared" si="56"/>
        <v>18140</v>
      </c>
      <c r="AO531" s="37" t="str">
        <f t="shared" si="57"/>
        <v>Columbus, OH</v>
      </c>
      <c r="AP531" s="20" t="s">
        <v>8</v>
      </c>
      <c r="AQ531" s="25"/>
      <c r="AR531" s="25"/>
      <c r="AS531" s="25"/>
      <c r="AT531" s="25"/>
      <c r="AU531" s="36"/>
      <c r="AV531" s="36"/>
      <c r="AW531" s="36"/>
      <c r="AX531" s="25"/>
      <c r="AY531" s="25"/>
      <c r="AZ531" s="25"/>
      <c r="BA531" s="25"/>
      <c r="BB531" s="25"/>
      <c r="BC531" s="25"/>
      <c r="BD531" s="25"/>
      <c r="BE531" s="25"/>
      <c r="BF531" s="25"/>
      <c r="BG531" s="25"/>
      <c r="BH531" s="25"/>
      <c r="BI531" s="25"/>
      <c r="BJ531" s="25"/>
      <c r="BK531" s="25"/>
      <c r="BL531" s="25"/>
      <c r="BM531" s="25"/>
      <c r="BN531" s="25"/>
      <c r="BO531" s="25"/>
      <c r="BP531" s="25"/>
      <c r="BQ531" s="25"/>
      <c r="BR531" s="25"/>
      <c r="BS531" s="25"/>
      <c r="BT531" s="25"/>
      <c r="BU531" s="39">
        <v>43214</v>
      </c>
      <c r="BV531" s="39" t="s">
        <v>848</v>
      </c>
      <c r="BW531" s="39" t="s">
        <v>2882</v>
      </c>
      <c r="BX531" s="39" t="s">
        <v>303</v>
      </c>
      <c r="BY531" s="71">
        <v>1110</v>
      </c>
      <c r="BZ531" s="71">
        <v>1190</v>
      </c>
      <c r="CA531" s="71">
        <v>1430</v>
      </c>
      <c r="CB531" s="71">
        <v>1710</v>
      </c>
      <c r="CC531" s="71">
        <v>1930</v>
      </c>
      <c r="CD531" s="25"/>
      <c r="CE531" s="200"/>
      <c r="CF531" s="200"/>
      <c r="CG531" s="200"/>
      <c r="CH531" s="200"/>
      <c r="CI531" s="200"/>
      <c r="CJ531" s="200"/>
      <c r="CK531" s="200"/>
      <c r="CL531" s="200"/>
      <c r="CM531" s="200"/>
      <c r="CN531" s="200"/>
      <c r="CO531" s="200"/>
      <c r="CP531" s="200"/>
      <c r="CQ531" s="200"/>
      <c r="CR531" s="200"/>
      <c r="CS531" s="200"/>
      <c r="CT531" s="200"/>
      <c r="CU531" s="200"/>
    </row>
    <row r="532" spans="1:99" s="17" customFormat="1" x14ac:dyDescent="0.2">
      <c r="A532" s="25"/>
      <c r="B532" s="20">
        <v>39057210201</v>
      </c>
      <c r="C532" s="20">
        <v>2102.0100000000002</v>
      </c>
      <c r="D532" s="20" t="s">
        <v>35</v>
      </c>
      <c r="E532" s="20" t="s">
        <v>2833</v>
      </c>
      <c r="F532" s="20" t="s">
        <v>8</v>
      </c>
      <c r="G532" s="861">
        <v>63.218830175721699</v>
      </c>
      <c r="H532" s="861">
        <v>57.496432215960397</v>
      </c>
      <c r="I532" s="861">
        <v>21.9203848827961</v>
      </c>
      <c r="J532" s="861">
        <v>37.682158740677899</v>
      </c>
      <c r="K532" s="982">
        <v>0</v>
      </c>
      <c r="L532" s="735" t="s">
        <v>2466</v>
      </c>
      <c r="M532" s="735">
        <v>4705</v>
      </c>
      <c r="N532" s="845" t="str">
        <f t="shared" si="53"/>
        <v/>
      </c>
      <c r="O532" s="735">
        <v>2.0732589386288729</v>
      </c>
      <c r="P532" s="735">
        <f t="shared" si="54"/>
        <v>2269.3740334777481</v>
      </c>
      <c r="Q532" s="849">
        <v>41.4</v>
      </c>
      <c r="R532" s="71">
        <v>103884</v>
      </c>
      <c r="S532" s="845">
        <v>1.4379084967320261E-2</v>
      </c>
      <c r="T532" s="845">
        <v>3.2000000000000001E-2</v>
      </c>
      <c r="U532" s="845">
        <v>0</v>
      </c>
      <c r="V532" s="845">
        <v>0</v>
      </c>
      <c r="W532" s="845">
        <v>8.5578446909667191E-2</v>
      </c>
      <c r="X532" s="845">
        <v>0.19753086419753085</v>
      </c>
      <c r="Y532" s="845">
        <v>0.88501594048884169</v>
      </c>
      <c r="Z532" s="845">
        <v>1.0626992561105207E-3</v>
      </c>
      <c r="AA532" s="845">
        <v>0</v>
      </c>
      <c r="AB532" s="845">
        <v>4.6971307120085015E-2</v>
      </c>
      <c r="AC532" s="845">
        <v>0</v>
      </c>
      <c r="AD532" s="845">
        <v>5.5260361317747081E-3</v>
      </c>
      <c r="AE532" s="845">
        <v>6.14240170031881E-2</v>
      </c>
      <c r="AF532" s="845">
        <v>2.7205100956429331E-2</v>
      </c>
      <c r="AG532" s="845">
        <v>0.87013815090329438</v>
      </c>
      <c r="AH532" s="20" t="str">
        <f t="shared" si="55"/>
        <v>No</v>
      </c>
      <c r="AI532" s="25"/>
      <c r="AJ532" s="20">
        <v>43231</v>
      </c>
      <c r="AK532" s="20" t="s">
        <v>862</v>
      </c>
      <c r="AL532" s="20">
        <v>39049</v>
      </c>
      <c r="AM532" s="20" t="s">
        <v>31</v>
      </c>
      <c r="AN532" s="37">
        <f t="shared" si="56"/>
        <v>18140</v>
      </c>
      <c r="AO532" s="37" t="str">
        <f t="shared" si="57"/>
        <v>Columbus, OH</v>
      </c>
      <c r="AP532" s="20" t="s">
        <v>8</v>
      </c>
      <c r="AQ532" s="25"/>
      <c r="AR532" s="25"/>
      <c r="AS532" s="25"/>
      <c r="AT532" s="25"/>
      <c r="AU532" s="36"/>
      <c r="AV532" s="36"/>
      <c r="AW532" s="36"/>
      <c r="AX532" s="25"/>
      <c r="AY532" s="25"/>
      <c r="AZ532" s="25"/>
      <c r="BA532" s="25"/>
      <c r="BB532" s="25"/>
      <c r="BC532" s="25"/>
      <c r="BD532" s="25"/>
      <c r="BE532" s="25"/>
      <c r="BF532" s="25"/>
      <c r="BG532" s="25"/>
      <c r="BH532" s="25"/>
      <c r="BI532" s="25"/>
      <c r="BJ532" s="25"/>
      <c r="BK532" s="25"/>
      <c r="BL532" s="25"/>
      <c r="BM532" s="25"/>
      <c r="BN532" s="25"/>
      <c r="BO532" s="25"/>
      <c r="BP532" s="25"/>
      <c r="BQ532" s="25"/>
      <c r="BR532" s="25"/>
      <c r="BS532" s="25"/>
      <c r="BT532" s="25"/>
      <c r="BU532" s="39">
        <v>43215</v>
      </c>
      <c r="BV532" s="39" t="s">
        <v>849</v>
      </c>
      <c r="BW532" s="39" t="s">
        <v>2882</v>
      </c>
      <c r="BX532" s="39" t="s">
        <v>303</v>
      </c>
      <c r="BY532" s="71">
        <v>1670</v>
      </c>
      <c r="BZ532" s="71">
        <v>1790</v>
      </c>
      <c r="CA532" s="71">
        <v>2150</v>
      </c>
      <c r="CB532" s="71">
        <v>2580</v>
      </c>
      <c r="CC532" s="71">
        <v>2900</v>
      </c>
      <c r="CD532" s="25"/>
      <c r="CE532" s="200"/>
      <c r="CF532" s="200"/>
      <c r="CG532" s="200"/>
      <c r="CH532" s="200"/>
      <c r="CI532" s="200"/>
      <c r="CJ532" s="200"/>
      <c r="CK532" s="200"/>
      <c r="CL532" s="200"/>
      <c r="CM532" s="200"/>
      <c r="CN532" s="200"/>
      <c r="CO532" s="200"/>
      <c r="CP532" s="200"/>
      <c r="CQ532" s="200"/>
      <c r="CR532" s="200"/>
      <c r="CS532" s="200"/>
      <c r="CT532" s="200"/>
      <c r="CU532" s="200"/>
    </row>
    <row r="533" spans="1:99" s="17" customFormat="1" x14ac:dyDescent="0.2">
      <c r="A533" s="25"/>
      <c r="B533" s="20">
        <v>39103417001</v>
      </c>
      <c r="C533" s="20">
        <v>4170.01</v>
      </c>
      <c r="D533" s="20" t="s">
        <v>57</v>
      </c>
      <c r="E533" s="20" t="s">
        <v>2829</v>
      </c>
      <c r="F533" s="20" t="s">
        <v>8</v>
      </c>
      <c r="G533" s="861">
        <v>63.218775953987397</v>
      </c>
      <c r="H533" s="861">
        <v>67.476379007928699</v>
      </c>
      <c r="I533" s="861">
        <v>24.3918892748278</v>
      </c>
      <c r="J533" s="861">
        <v>31.1020432546938</v>
      </c>
      <c r="K533" s="982">
        <v>0</v>
      </c>
      <c r="L533" s="735" t="s">
        <v>2466</v>
      </c>
      <c r="M533" s="735">
        <v>4464</v>
      </c>
      <c r="N533" s="845" t="str">
        <f t="shared" si="53"/>
        <v/>
      </c>
      <c r="O533" s="735">
        <v>2.1231224880024642</v>
      </c>
      <c r="P533" s="735">
        <f t="shared" si="54"/>
        <v>2102.563570978868</v>
      </c>
      <c r="Q533" s="849">
        <v>41</v>
      </c>
      <c r="R533" s="71">
        <v>81250</v>
      </c>
      <c r="S533" s="845">
        <v>0.11693548387096774</v>
      </c>
      <c r="T533" s="845">
        <v>4.2999999999999997E-2</v>
      </c>
      <c r="U533" s="845">
        <v>0</v>
      </c>
      <c r="V533" s="845">
        <v>0.115</v>
      </c>
      <c r="W533" s="845">
        <v>0.22993119266055045</v>
      </c>
      <c r="X533" s="845">
        <v>0.32917705735660846</v>
      </c>
      <c r="Y533" s="845">
        <v>0.948252688172043</v>
      </c>
      <c r="Z533" s="845">
        <v>0</v>
      </c>
      <c r="AA533" s="845">
        <v>0</v>
      </c>
      <c r="AB533" s="845">
        <v>0</v>
      </c>
      <c r="AC533" s="845">
        <v>0</v>
      </c>
      <c r="AD533" s="845">
        <v>0</v>
      </c>
      <c r="AE533" s="845">
        <v>5.1747311827956992E-2</v>
      </c>
      <c r="AF533" s="845">
        <v>1.7921146953405018E-3</v>
      </c>
      <c r="AG533" s="845">
        <v>0.94646057347670254</v>
      </c>
      <c r="AH533" s="20" t="str">
        <f t="shared" si="55"/>
        <v>Yes</v>
      </c>
      <c r="AI533" s="25"/>
      <c r="AJ533" s="37">
        <v>43232</v>
      </c>
      <c r="AK533" s="37" t="s">
        <v>863</v>
      </c>
      <c r="AL533" s="37">
        <v>39049</v>
      </c>
      <c r="AM533" s="37" t="s">
        <v>31</v>
      </c>
      <c r="AN533" s="37">
        <f t="shared" si="56"/>
        <v>18140</v>
      </c>
      <c r="AO533" s="37" t="str">
        <f t="shared" si="57"/>
        <v>Columbus, OH</v>
      </c>
      <c r="AP533" s="20" t="s">
        <v>8</v>
      </c>
      <c r="AQ533" s="25"/>
      <c r="AR533" s="25"/>
      <c r="AS533" s="25"/>
      <c r="AT533" s="25"/>
      <c r="AU533" s="36"/>
      <c r="AV533" s="36"/>
      <c r="AW533" s="36"/>
      <c r="AX533" s="25"/>
      <c r="AY533" s="25"/>
      <c r="AZ533" s="25"/>
      <c r="BA533" s="25"/>
      <c r="BB533" s="25"/>
      <c r="BC533" s="25"/>
      <c r="BD533" s="25"/>
      <c r="BE533" s="25"/>
      <c r="BF533" s="25"/>
      <c r="BG533" s="25"/>
      <c r="BH533" s="25"/>
      <c r="BI533" s="25"/>
      <c r="BJ533" s="25"/>
      <c r="BK533" s="25"/>
      <c r="BL533" s="25"/>
      <c r="BM533" s="25"/>
      <c r="BN533" s="25"/>
      <c r="BO533" s="25"/>
      <c r="BP533" s="25"/>
      <c r="BQ533" s="25"/>
      <c r="BR533" s="25"/>
      <c r="BS533" s="25"/>
      <c r="BT533" s="25"/>
      <c r="BU533" s="39">
        <v>43217</v>
      </c>
      <c r="BV533" s="39" t="s">
        <v>850</v>
      </c>
      <c r="BW533" s="39" t="s">
        <v>2882</v>
      </c>
      <c r="BX533" s="39" t="s">
        <v>303</v>
      </c>
      <c r="BY533" s="71">
        <v>1030</v>
      </c>
      <c r="BZ533" s="71">
        <v>1110</v>
      </c>
      <c r="CA533" s="71">
        <v>1330</v>
      </c>
      <c r="CB533" s="71">
        <v>1590</v>
      </c>
      <c r="CC533" s="71">
        <v>1790</v>
      </c>
      <c r="CD533" s="25"/>
      <c r="CE533" s="200"/>
      <c r="CF533" s="200"/>
      <c r="CG533" s="200"/>
      <c r="CH533" s="200"/>
      <c r="CI533" s="200"/>
      <c r="CJ533" s="200"/>
      <c r="CK533" s="200"/>
      <c r="CL533" s="200"/>
      <c r="CM533" s="200"/>
      <c r="CN533" s="200"/>
      <c r="CO533" s="200"/>
      <c r="CP533" s="200"/>
      <c r="CQ533" s="200"/>
      <c r="CR533" s="200"/>
      <c r="CS533" s="200"/>
      <c r="CT533" s="200"/>
      <c r="CU533" s="200"/>
    </row>
    <row r="534" spans="1:99" s="17" customFormat="1" x14ac:dyDescent="0.2">
      <c r="A534" s="25"/>
      <c r="B534" s="20">
        <v>39061021304</v>
      </c>
      <c r="C534" s="20">
        <v>213.04</v>
      </c>
      <c r="D534" s="20" t="s">
        <v>37</v>
      </c>
      <c r="E534" s="20" t="s">
        <v>2828</v>
      </c>
      <c r="F534" s="20" t="s">
        <v>8</v>
      </c>
      <c r="G534" s="861">
        <v>63.215657824075201</v>
      </c>
      <c r="H534" s="861">
        <v>62.481290158645699</v>
      </c>
      <c r="I534" s="861">
        <v>24.784043985462201</v>
      </c>
      <c r="J534" s="861">
        <v>39.270665868204702</v>
      </c>
      <c r="K534" s="982">
        <v>0</v>
      </c>
      <c r="L534" s="735">
        <v>5052</v>
      </c>
      <c r="M534" s="735">
        <v>4740</v>
      </c>
      <c r="N534" s="845">
        <f t="shared" si="53"/>
        <v>-6.1757719714964368E-2</v>
      </c>
      <c r="O534" s="735">
        <v>2.0966636792784352</v>
      </c>
      <c r="P534" s="735">
        <f t="shared" si="54"/>
        <v>2260.7345407114917</v>
      </c>
      <c r="Q534" s="849">
        <v>44.3</v>
      </c>
      <c r="R534" s="71">
        <v>80337</v>
      </c>
      <c r="S534" s="845">
        <v>3.5100117785630151E-2</v>
      </c>
      <c r="T534" s="845">
        <v>1.6E-2</v>
      </c>
      <c r="U534" s="845">
        <v>0</v>
      </c>
      <c r="V534" s="845">
        <v>9.8000000000000004E-2</v>
      </c>
      <c r="W534" s="845">
        <v>0.14326978625072212</v>
      </c>
      <c r="X534" s="845">
        <v>0.31451612903225806</v>
      </c>
      <c r="Y534" s="845">
        <v>0.94113924050632913</v>
      </c>
      <c r="Z534" s="845">
        <v>3.2278481012658226E-2</v>
      </c>
      <c r="AA534" s="845">
        <v>1.2658227848101266E-3</v>
      </c>
      <c r="AB534" s="845">
        <v>1.1181434599156118E-2</v>
      </c>
      <c r="AC534" s="845">
        <v>0</v>
      </c>
      <c r="AD534" s="845">
        <v>2.1097046413502108E-3</v>
      </c>
      <c r="AE534" s="845">
        <v>1.2025316455696202E-2</v>
      </c>
      <c r="AF534" s="845">
        <v>0</v>
      </c>
      <c r="AG534" s="845">
        <v>0.94113924050632913</v>
      </c>
      <c r="AH534" s="20" t="str">
        <f t="shared" si="55"/>
        <v>Yes</v>
      </c>
      <c r="AI534" s="25"/>
      <c r="AJ534" s="37">
        <v>43235</v>
      </c>
      <c r="AK534" s="37" t="s">
        <v>864</v>
      </c>
      <c r="AL534" s="37">
        <v>39049</v>
      </c>
      <c r="AM534" s="37" t="s">
        <v>31</v>
      </c>
      <c r="AN534" s="37">
        <f t="shared" si="56"/>
        <v>18140</v>
      </c>
      <c r="AO534" s="37" t="str">
        <f t="shared" si="57"/>
        <v>Columbus, OH</v>
      </c>
      <c r="AP534" s="20" t="s">
        <v>8</v>
      </c>
      <c r="AQ534" s="25"/>
      <c r="AR534" s="25"/>
      <c r="AS534" s="25"/>
      <c r="AT534" s="25"/>
      <c r="AU534" s="36"/>
      <c r="AV534" s="36"/>
      <c r="AW534" s="36"/>
      <c r="AX534" s="25"/>
      <c r="AY534" s="25"/>
      <c r="AZ534" s="25"/>
      <c r="BA534" s="25"/>
      <c r="BB534" s="25"/>
      <c r="BC534" s="25"/>
      <c r="BD534" s="25"/>
      <c r="BE534" s="25"/>
      <c r="BF534" s="25"/>
      <c r="BG534" s="25"/>
      <c r="BH534" s="25"/>
      <c r="BI534" s="25"/>
      <c r="BJ534" s="25"/>
      <c r="BK534" s="25"/>
      <c r="BL534" s="25"/>
      <c r="BM534" s="25"/>
      <c r="BN534" s="25"/>
      <c r="BO534" s="25"/>
      <c r="BP534" s="25"/>
      <c r="BQ534" s="25"/>
      <c r="BR534" s="25"/>
      <c r="BS534" s="25"/>
      <c r="BT534" s="25"/>
      <c r="BU534" s="39">
        <v>43218</v>
      </c>
      <c r="BV534" s="39" t="s">
        <v>851</v>
      </c>
      <c r="BW534" s="39" t="s">
        <v>2882</v>
      </c>
      <c r="BX534" s="39" t="s">
        <v>303</v>
      </c>
      <c r="BY534" s="71">
        <v>1130</v>
      </c>
      <c r="BZ534" s="71">
        <v>1210</v>
      </c>
      <c r="CA534" s="71">
        <v>1450</v>
      </c>
      <c r="CB534" s="71">
        <v>1740</v>
      </c>
      <c r="CC534" s="71">
        <v>1950</v>
      </c>
      <c r="CD534" s="25"/>
      <c r="CE534" s="200"/>
      <c r="CF534" s="200"/>
      <c r="CG534" s="200"/>
      <c r="CH534" s="200"/>
      <c r="CI534" s="200"/>
      <c r="CJ534" s="200"/>
      <c r="CK534" s="200"/>
      <c r="CL534" s="200"/>
      <c r="CM534" s="200"/>
      <c r="CN534" s="200"/>
      <c r="CO534" s="200"/>
      <c r="CP534" s="200"/>
      <c r="CQ534" s="200"/>
      <c r="CR534" s="200"/>
      <c r="CS534" s="200"/>
      <c r="CT534" s="200"/>
      <c r="CU534" s="200"/>
    </row>
    <row r="535" spans="1:99" s="17" customFormat="1" x14ac:dyDescent="0.2">
      <c r="A535" s="25"/>
      <c r="B535" s="20">
        <v>39169001100</v>
      </c>
      <c r="C535" s="20">
        <v>11</v>
      </c>
      <c r="D535" s="20" t="s">
        <v>90</v>
      </c>
      <c r="E535" s="20" t="s">
        <v>265</v>
      </c>
      <c r="F535" s="20" t="s">
        <v>8</v>
      </c>
      <c r="G535" s="861">
        <v>63.187494834252803</v>
      </c>
      <c r="H535" s="861">
        <v>62.2935071719847</v>
      </c>
      <c r="I535" s="861">
        <v>33.734585677193401</v>
      </c>
      <c r="J535" s="861">
        <v>39.866404116781297</v>
      </c>
      <c r="K535" s="982">
        <v>0</v>
      </c>
      <c r="L535" s="735">
        <v>1422</v>
      </c>
      <c r="M535" s="735">
        <v>1355</v>
      </c>
      <c r="N535" s="845">
        <f t="shared" si="53"/>
        <v>-4.7116736990154715E-2</v>
      </c>
      <c r="O535" s="735">
        <v>7.7087994817088177</v>
      </c>
      <c r="P535" s="735">
        <f t="shared" si="54"/>
        <v>175.77315420061177</v>
      </c>
      <c r="Q535" s="849">
        <v>48.1</v>
      </c>
      <c r="R535" s="71">
        <v>66373</v>
      </c>
      <c r="S535" s="845">
        <v>4.2804428044280446E-2</v>
      </c>
      <c r="T535" s="845">
        <v>1.6E-2</v>
      </c>
      <c r="U535" s="845">
        <v>0</v>
      </c>
      <c r="V535" s="845">
        <v>0</v>
      </c>
      <c r="W535" s="845">
        <v>0.38945578231292516</v>
      </c>
      <c r="X535" s="845">
        <v>0.29257641921397382</v>
      </c>
      <c r="Y535" s="845">
        <v>0.92546125461254614</v>
      </c>
      <c r="Z535" s="845">
        <v>1.4022140221402213E-2</v>
      </c>
      <c r="AA535" s="845">
        <v>7.3800738007380072E-4</v>
      </c>
      <c r="AB535" s="845">
        <v>7.3800738007380072E-3</v>
      </c>
      <c r="AC535" s="845">
        <v>0</v>
      </c>
      <c r="AD535" s="845">
        <v>4.4280442804428043E-3</v>
      </c>
      <c r="AE535" s="845">
        <v>4.797047970479705E-2</v>
      </c>
      <c r="AF535" s="845">
        <v>8.7822878228782292E-2</v>
      </c>
      <c r="AG535" s="845">
        <v>0.83763837638376382</v>
      </c>
      <c r="AH535" s="20" t="str">
        <f t="shared" si="55"/>
        <v>No</v>
      </c>
      <c r="AI535" s="25"/>
      <c r="AJ535" s="37">
        <v>43102</v>
      </c>
      <c r="AK535" s="37" t="s">
        <v>791</v>
      </c>
      <c r="AL535" s="37">
        <v>39073</v>
      </c>
      <c r="AM535" s="37" t="s">
        <v>43</v>
      </c>
      <c r="AN535" s="37">
        <f t="shared" si="56"/>
        <v>18140</v>
      </c>
      <c r="AO535" s="37" t="str">
        <f t="shared" si="57"/>
        <v>Columbus, OH</v>
      </c>
      <c r="AP535" s="20" t="s">
        <v>8</v>
      </c>
      <c r="AQ535" s="25"/>
      <c r="AR535" s="25"/>
      <c r="AS535" s="25"/>
      <c r="AT535" s="25"/>
      <c r="AU535" s="36"/>
      <c r="AV535" s="36"/>
      <c r="AW535" s="36"/>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39">
        <v>43219</v>
      </c>
      <c r="BV535" s="39" t="s">
        <v>852</v>
      </c>
      <c r="BW535" s="39" t="s">
        <v>2882</v>
      </c>
      <c r="BX535" s="39" t="s">
        <v>303</v>
      </c>
      <c r="BY535" s="71">
        <v>1100</v>
      </c>
      <c r="BZ535" s="71">
        <v>1190</v>
      </c>
      <c r="CA535" s="71">
        <v>1420</v>
      </c>
      <c r="CB535" s="71">
        <v>1700</v>
      </c>
      <c r="CC535" s="71">
        <v>1910</v>
      </c>
      <c r="CD535" s="25"/>
      <c r="CE535" s="200"/>
      <c r="CF535" s="200"/>
      <c r="CG535" s="200"/>
      <c r="CH535" s="200"/>
      <c r="CI535" s="200"/>
      <c r="CJ535" s="200"/>
      <c r="CK535" s="200"/>
      <c r="CL535" s="200"/>
      <c r="CM535" s="200"/>
      <c r="CN535" s="200"/>
      <c r="CO535" s="200"/>
      <c r="CP535" s="200"/>
      <c r="CQ535" s="200"/>
      <c r="CR535" s="200"/>
      <c r="CS535" s="200"/>
      <c r="CT535" s="200"/>
      <c r="CU535" s="200"/>
    </row>
    <row r="536" spans="1:99" s="17" customFormat="1" x14ac:dyDescent="0.2">
      <c r="A536" s="25"/>
      <c r="B536" s="20">
        <v>39095008802</v>
      </c>
      <c r="C536" s="20">
        <v>88.02</v>
      </c>
      <c r="D536" s="20" t="s">
        <v>53</v>
      </c>
      <c r="E536" s="20" t="s">
        <v>2839</v>
      </c>
      <c r="F536" s="20" t="s">
        <v>8</v>
      </c>
      <c r="G536" s="861">
        <v>63.184341728336598</v>
      </c>
      <c r="H536" s="861">
        <v>56.854976676851201</v>
      </c>
      <c r="I536" s="861">
        <v>36.589799806296497</v>
      </c>
      <c r="J536" s="861">
        <v>41.434919046920399</v>
      </c>
      <c r="K536" s="982">
        <v>0</v>
      </c>
      <c r="L536" s="735" t="s">
        <v>2466</v>
      </c>
      <c r="M536" s="735">
        <v>3264</v>
      </c>
      <c r="N536" s="845" t="str">
        <f t="shared" si="53"/>
        <v/>
      </c>
      <c r="O536" s="735">
        <v>2.3091546161576781</v>
      </c>
      <c r="P536" s="735">
        <f t="shared" si="54"/>
        <v>1413.5043089627054</v>
      </c>
      <c r="Q536" s="849">
        <v>54.8</v>
      </c>
      <c r="R536" s="71">
        <v>65417</v>
      </c>
      <c r="S536" s="845">
        <v>9.0033222591362122E-2</v>
      </c>
      <c r="T536" s="845">
        <v>1.3999999999999999E-2</v>
      </c>
      <c r="U536" s="845">
        <v>0</v>
      </c>
      <c r="V536" s="845">
        <v>4.2999999999999997E-2</v>
      </c>
      <c r="W536" s="845">
        <v>0.38333333333333336</v>
      </c>
      <c r="X536" s="845">
        <v>0.56159420289855078</v>
      </c>
      <c r="Y536" s="845">
        <v>0.81127450980392157</v>
      </c>
      <c r="Z536" s="845">
        <v>7.169117647058823E-2</v>
      </c>
      <c r="AA536" s="845">
        <v>6.1274509803921568E-4</v>
      </c>
      <c r="AB536" s="845">
        <v>4.6875E-2</v>
      </c>
      <c r="AC536" s="845">
        <v>2.4816176470588234E-2</v>
      </c>
      <c r="AD536" s="845">
        <v>0</v>
      </c>
      <c r="AE536" s="845">
        <v>4.4730392156862746E-2</v>
      </c>
      <c r="AF536" s="845">
        <v>5.5453431372549017E-2</v>
      </c>
      <c r="AG536" s="845">
        <v>0.79074754901960786</v>
      </c>
      <c r="AH536" s="20" t="str">
        <f t="shared" si="55"/>
        <v>No</v>
      </c>
      <c r="AI536" s="25"/>
      <c r="AJ536" s="20">
        <v>43107</v>
      </c>
      <c r="AK536" s="20" t="s">
        <v>795</v>
      </c>
      <c r="AL536" s="20">
        <v>39073</v>
      </c>
      <c r="AM536" s="20" t="s">
        <v>43</v>
      </c>
      <c r="AN536" s="37">
        <f t="shared" si="56"/>
        <v>18140</v>
      </c>
      <c r="AO536" s="37" t="str">
        <f t="shared" si="57"/>
        <v>Columbus, OH</v>
      </c>
      <c r="AP536" s="20" t="s">
        <v>8</v>
      </c>
      <c r="AQ536" s="25"/>
      <c r="AR536" s="25"/>
      <c r="AS536" s="25"/>
      <c r="AT536" s="25"/>
      <c r="AU536" s="36"/>
      <c r="AV536" s="36"/>
      <c r="AW536" s="36"/>
      <c r="AX536" s="25"/>
      <c r="AY536" s="25"/>
      <c r="AZ536" s="25"/>
      <c r="BA536" s="25"/>
      <c r="BB536" s="25"/>
      <c r="BC536" s="25"/>
      <c r="BD536" s="25"/>
      <c r="BE536" s="25"/>
      <c r="BF536" s="25"/>
      <c r="BG536" s="25"/>
      <c r="BH536" s="25"/>
      <c r="BI536" s="25"/>
      <c r="BJ536" s="25"/>
      <c r="BK536" s="25"/>
      <c r="BL536" s="25"/>
      <c r="BM536" s="25"/>
      <c r="BN536" s="25"/>
      <c r="BO536" s="25"/>
      <c r="BP536" s="25"/>
      <c r="BQ536" s="25"/>
      <c r="BR536" s="25"/>
      <c r="BS536" s="25"/>
      <c r="BT536" s="25"/>
      <c r="BU536" s="39">
        <v>43220</v>
      </c>
      <c r="BV536" s="39" t="s">
        <v>853</v>
      </c>
      <c r="BW536" s="39" t="s">
        <v>2882</v>
      </c>
      <c r="BX536" s="39" t="s">
        <v>303</v>
      </c>
      <c r="BY536" s="71">
        <v>1150</v>
      </c>
      <c r="BZ536" s="71">
        <v>1240</v>
      </c>
      <c r="CA536" s="71">
        <v>1480</v>
      </c>
      <c r="CB536" s="71">
        <v>1770</v>
      </c>
      <c r="CC536" s="71">
        <v>1990</v>
      </c>
      <c r="CD536" s="25"/>
      <c r="CE536" s="200"/>
      <c r="CF536" s="200"/>
      <c r="CG536" s="200"/>
      <c r="CH536" s="200"/>
      <c r="CI536" s="200"/>
      <c r="CJ536" s="200"/>
      <c r="CK536" s="200"/>
      <c r="CL536" s="200"/>
      <c r="CM536" s="200"/>
      <c r="CN536" s="200"/>
      <c r="CO536" s="200"/>
      <c r="CP536" s="200"/>
      <c r="CQ536" s="200"/>
      <c r="CR536" s="200"/>
      <c r="CS536" s="200"/>
      <c r="CT536" s="200"/>
      <c r="CU536" s="200"/>
    </row>
    <row r="537" spans="1:99" s="17" customFormat="1" x14ac:dyDescent="0.2">
      <c r="A537" s="25"/>
      <c r="B537" s="20">
        <v>39147963100</v>
      </c>
      <c r="C537" s="20">
        <v>9631</v>
      </c>
      <c r="D537" s="20" t="s">
        <v>79</v>
      </c>
      <c r="E537" s="20" t="s">
        <v>265</v>
      </c>
      <c r="F537" s="20" t="s">
        <v>8</v>
      </c>
      <c r="G537" s="861">
        <v>63.143182441130698</v>
      </c>
      <c r="H537" s="861">
        <v>52.955121522487197</v>
      </c>
      <c r="I537" s="861">
        <v>17.3206376624711</v>
      </c>
      <c r="J537" s="861">
        <v>54.882241909918399</v>
      </c>
      <c r="K537" s="982">
        <v>0</v>
      </c>
      <c r="L537" s="735">
        <v>4513</v>
      </c>
      <c r="M537" s="735">
        <v>4365</v>
      </c>
      <c r="N537" s="845">
        <f t="shared" si="53"/>
        <v>-3.2794150232661204E-2</v>
      </c>
      <c r="O537" s="735">
        <v>99.084610855607366</v>
      </c>
      <c r="P537" s="735">
        <f t="shared" si="54"/>
        <v>44.053258748333441</v>
      </c>
      <c r="Q537" s="849">
        <v>40.9</v>
      </c>
      <c r="R537" s="71">
        <v>76935</v>
      </c>
      <c r="S537" s="845">
        <v>4.0165251319715399E-2</v>
      </c>
      <c r="T537" s="845">
        <v>1E-3</v>
      </c>
      <c r="U537" s="845">
        <v>0</v>
      </c>
      <c r="V537" s="845">
        <v>0</v>
      </c>
      <c r="W537" s="845">
        <v>0.12787878787878787</v>
      </c>
      <c r="X537" s="845">
        <v>6.1611374407582936E-2</v>
      </c>
      <c r="Y537" s="845">
        <v>0.96265750286368845</v>
      </c>
      <c r="Z537" s="845">
        <v>2.290950744558992E-4</v>
      </c>
      <c r="AA537" s="845">
        <v>0</v>
      </c>
      <c r="AB537" s="845">
        <v>0</v>
      </c>
      <c r="AC537" s="845">
        <v>0</v>
      </c>
      <c r="AD537" s="845">
        <v>9.8510882016036652E-3</v>
      </c>
      <c r="AE537" s="845">
        <v>2.7262313860252005E-2</v>
      </c>
      <c r="AF537" s="845">
        <v>5.7273768613974797E-2</v>
      </c>
      <c r="AG537" s="845">
        <v>0.9257731958762887</v>
      </c>
      <c r="AH537" s="20" t="str">
        <f t="shared" si="55"/>
        <v>Yes</v>
      </c>
      <c r="AI537" s="25"/>
      <c r="AJ537" s="37">
        <v>43111</v>
      </c>
      <c r="AK537" s="37" t="s">
        <v>798</v>
      </c>
      <c r="AL537" s="37">
        <v>39073</v>
      </c>
      <c r="AM537" s="37" t="s">
        <v>43</v>
      </c>
      <c r="AN537" s="37">
        <f t="shared" si="56"/>
        <v>18140</v>
      </c>
      <c r="AO537" s="37" t="str">
        <f t="shared" si="57"/>
        <v>Columbus, OH</v>
      </c>
      <c r="AP537" s="20" t="s">
        <v>8</v>
      </c>
      <c r="AQ537" s="25"/>
      <c r="AR537" s="25"/>
      <c r="AS537" s="25"/>
      <c r="AT537" s="25"/>
      <c r="AU537" s="36"/>
      <c r="AV537" s="36"/>
      <c r="AW537" s="36"/>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39">
        <v>43221</v>
      </c>
      <c r="BV537" s="39" t="s">
        <v>854</v>
      </c>
      <c r="BW537" s="39" t="s">
        <v>2882</v>
      </c>
      <c r="BX537" s="39" t="s">
        <v>303</v>
      </c>
      <c r="BY537" s="71">
        <v>1360</v>
      </c>
      <c r="BZ537" s="71">
        <v>1460</v>
      </c>
      <c r="CA537" s="71">
        <v>1750</v>
      </c>
      <c r="CB537" s="71">
        <v>2100</v>
      </c>
      <c r="CC537" s="71">
        <v>2360</v>
      </c>
      <c r="CD537" s="25"/>
      <c r="CE537" s="200"/>
      <c r="CF537" s="200"/>
      <c r="CG537" s="200"/>
      <c r="CH537" s="200"/>
      <c r="CI537" s="200"/>
      <c r="CJ537" s="200"/>
      <c r="CK537" s="200"/>
      <c r="CL537" s="200"/>
      <c r="CM537" s="200"/>
      <c r="CN537" s="200"/>
      <c r="CO537" s="200"/>
      <c r="CP537" s="200"/>
      <c r="CQ537" s="200"/>
      <c r="CR537" s="200"/>
      <c r="CS537" s="200"/>
      <c r="CT537" s="200"/>
      <c r="CU537" s="200"/>
    </row>
    <row r="538" spans="1:99" s="17" customFormat="1" x14ac:dyDescent="0.2">
      <c r="A538" s="25"/>
      <c r="B538" s="20">
        <v>39175938100</v>
      </c>
      <c r="C538" s="20">
        <v>9381</v>
      </c>
      <c r="D538" s="20" t="s">
        <v>93</v>
      </c>
      <c r="E538" s="20" t="s">
        <v>265</v>
      </c>
      <c r="F538" s="20" t="s">
        <v>8</v>
      </c>
      <c r="G538" s="861">
        <v>63.130974523109103</v>
      </c>
      <c r="H538" s="861">
        <v>56.959424742781302</v>
      </c>
      <c r="I538" s="861">
        <v>37.358118082024497</v>
      </c>
      <c r="J538" s="861">
        <v>51.238624114390198</v>
      </c>
      <c r="K538" s="982">
        <v>0</v>
      </c>
      <c r="L538" s="735">
        <v>4641</v>
      </c>
      <c r="M538" s="735">
        <v>4516</v>
      </c>
      <c r="N538" s="845">
        <f t="shared" si="53"/>
        <v>-2.6933850463262229E-2</v>
      </c>
      <c r="O538" s="735">
        <v>27.157880273048821</v>
      </c>
      <c r="P538" s="735">
        <f t="shared" si="54"/>
        <v>166.28691026676438</v>
      </c>
      <c r="Q538" s="849">
        <v>38.4</v>
      </c>
      <c r="R538" s="71">
        <v>73208</v>
      </c>
      <c r="S538" s="845">
        <v>8.9238263950398578E-2</v>
      </c>
      <c r="T538" s="845">
        <v>2.1000000000000001E-2</v>
      </c>
      <c r="U538" s="845">
        <v>0</v>
      </c>
      <c r="V538" s="845">
        <v>9.3000000000000013E-2</v>
      </c>
      <c r="W538" s="845">
        <v>0.35571196534921495</v>
      </c>
      <c r="X538" s="845">
        <v>0.20395738203957381</v>
      </c>
      <c r="Y538" s="845">
        <v>0.97143489813994688</v>
      </c>
      <c r="Z538" s="845">
        <v>8.8573959255978745E-4</v>
      </c>
      <c r="AA538" s="845">
        <v>0</v>
      </c>
      <c r="AB538" s="845">
        <v>0</v>
      </c>
      <c r="AC538" s="845">
        <v>0</v>
      </c>
      <c r="AD538" s="845">
        <v>1.2400354295837024E-2</v>
      </c>
      <c r="AE538" s="845">
        <v>1.5279007971656332E-2</v>
      </c>
      <c r="AF538" s="845">
        <v>7.7502214348981399E-3</v>
      </c>
      <c r="AG538" s="845">
        <v>0.97143489813994688</v>
      </c>
      <c r="AH538" s="20" t="str">
        <f t="shared" si="55"/>
        <v>Yes</v>
      </c>
      <c r="AI538" s="25"/>
      <c r="AJ538" s="20">
        <v>43127</v>
      </c>
      <c r="AK538" s="20" t="s">
        <v>808</v>
      </c>
      <c r="AL538" s="20">
        <v>39073</v>
      </c>
      <c r="AM538" s="20" t="s">
        <v>43</v>
      </c>
      <c r="AN538" s="37">
        <f t="shared" si="56"/>
        <v>18140</v>
      </c>
      <c r="AO538" s="37" t="str">
        <f t="shared" si="57"/>
        <v>Columbus, OH</v>
      </c>
      <c r="AP538" s="20" t="s">
        <v>8</v>
      </c>
      <c r="AQ538" s="25"/>
      <c r="AR538" s="25"/>
      <c r="AS538" s="25"/>
      <c r="AT538" s="25"/>
      <c r="AU538" s="36"/>
      <c r="AV538" s="36"/>
      <c r="AW538" s="36"/>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39">
        <v>43222</v>
      </c>
      <c r="BV538" s="39" t="s">
        <v>855</v>
      </c>
      <c r="BW538" s="39" t="s">
        <v>2882</v>
      </c>
      <c r="BX538" s="39" t="s">
        <v>303</v>
      </c>
      <c r="BY538" s="71">
        <v>840</v>
      </c>
      <c r="BZ538" s="71">
        <v>900</v>
      </c>
      <c r="CA538" s="71">
        <v>1080</v>
      </c>
      <c r="CB538" s="71">
        <v>1290</v>
      </c>
      <c r="CC538" s="71">
        <v>1460</v>
      </c>
      <c r="CD538" s="25"/>
      <c r="CE538" s="200"/>
      <c r="CF538" s="200"/>
      <c r="CG538" s="200"/>
      <c r="CH538" s="200"/>
      <c r="CI538" s="200"/>
      <c r="CJ538" s="200"/>
      <c r="CK538" s="200"/>
      <c r="CL538" s="200"/>
      <c r="CM538" s="200"/>
      <c r="CN538" s="200"/>
      <c r="CO538" s="200"/>
      <c r="CP538" s="200"/>
      <c r="CQ538" s="200"/>
      <c r="CR538" s="200"/>
      <c r="CS538" s="200"/>
      <c r="CT538" s="200"/>
      <c r="CU538" s="200"/>
    </row>
    <row r="539" spans="1:99" s="17" customFormat="1" x14ac:dyDescent="0.2">
      <c r="A539" s="25"/>
      <c r="B539" s="20">
        <v>39017011137</v>
      </c>
      <c r="C539" s="20">
        <v>111.37</v>
      </c>
      <c r="D539" s="20" t="s">
        <v>15</v>
      </c>
      <c r="E539" s="20" t="s">
        <v>2828</v>
      </c>
      <c r="F539" s="20" t="s">
        <v>8</v>
      </c>
      <c r="G539" s="861">
        <v>63.113240660816999</v>
      </c>
      <c r="H539" s="861">
        <v>64.677484632055695</v>
      </c>
      <c r="I539" s="861">
        <v>11.766906708324401</v>
      </c>
      <c r="J539" s="861">
        <v>42.646108543484303</v>
      </c>
      <c r="K539" s="982">
        <v>0</v>
      </c>
      <c r="L539" s="735" t="s">
        <v>2466</v>
      </c>
      <c r="M539" s="735">
        <v>3411</v>
      </c>
      <c r="N539" s="845" t="str">
        <f t="shared" si="53"/>
        <v/>
      </c>
      <c r="O539" s="735">
        <v>1.6265047641473536</v>
      </c>
      <c r="P539" s="735">
        <f t="shared" si="54"/>
        <v>2097.134957848165</v>
      </c>
      <c r="Q539" s="849">
        <v>35.700000000000003</v>
      </c>
      <c r="R539" s="71">
        <v>173553</v>
      </c>
      <c r="S539" s="845">
        <v>9.4200765381218729E-3</v>
      </c>
      <c r="T539" s="845">
        <v>2.7000000000000003E-2</v>
      </c>
      <c r="U539" s="845">
        <v>0</v>
      </c>
      <c r="V539" s="845">
        <v>0</v>
      </c>
      <c r="W539" s="845">
        <v>7.8585461689587424E-2</v>
      </c>
      <c r="X539" s="845">
        <v>0</v>
      </c>
      <c r="Y539" s="845">
        <v>0.81383758428613306</v>
      </c>
      <c r="Z539" s="845">
        <v>3.8698328935795952E-2</v>
      </c>
      <c r="AA539" s="845">
        <v>0</v>
      </c>
      <c r="AB539" s="845">
        <v>7.446496628554676E-2</v>
      </c>
      <c r="AC539" s="845">
        <v>0</v>
      </c>
      <c r="AD539" s="845">
        <v>6.156552330694811E-3</v>
      </c>
      <c r="AE539" s="845">
        <v>6.6842568161829374E-2</v>
      </c>
      <c r="AF539" s="845">
        <v>1.7883318674875404E-2</v>
      </c>
      <c r="AG539" s="845">
        <v>0.81383758428613306</v>
      </c>
      <c r="AH539" s="20" t="str">
        <f t="shared" si="55"/>
        <v>No</v>
      </c>
      <c r="AI539" s="25"/>
      <c r="AJ539" s="20">
        <v>43130</v>
      </c>
      <c r="AK539" s="20" t="s">
        <v>810</v>
      </c>
      <c r="AL539" s="20">
        <v>39073</v>
      </c>
      <c r="AM539" s="20" t="s">
        <v>43</v>
      </c>
      <c r="AN539" s="37">
        <f t="shared" si="56"/>
        <v>18140</v>
      </c>
      <c r="AO539" s="37" t="str">
        <f t="shared" si="57"/>
        <v>Columbus, OH</v>
      </c>
      <c r="AP539" s="20" t="s">
        <v>8</v>
      </c>
      <c r="AQ539" s="25"/>
      <c r="AR539" s="25"/>
      <c r="AS539" s="25"/>
      <c r="AT539" s="25"/>
      <c r="AU539" s="36"/>
      <c r="AV539" s="36"/>
      <c r="AW539" s="36"/>
      <c r="AX539" s="25"/>
      <c r="AY539" s="25"/>
      <c r="AZ539" s="25"/>
      <c r="BA539" s="25"/>
      <c r="BB539" s="25"/>
      <c r="BC539" s="25"/>
      <c r="BD539" s="25"/>
      <c r="BE539" s="25"/>
      <c r="BF539" s="25"/>
      <c r="BG539" s="25"/>
      <c r="BH539" s="25"/>
      <c r="BI539" s="25"/>
      <c r="BJ539" s="25"/>
      <c r="BK539" s="25"/>
      <c r="BL539" s="25"/>
      <c r="BM539" s="25"/>
      <c r="BN539" s="25"/>
      <c r="BO539" s="25"/>
      <c r="BP539" s="25"/>
      <c r="BQ539" s="25"/>
      <c r="BR539" s="25"/>
      <c r="BS539" s="25"/>
      <c r="BT539" s="25"/>
      <c r="BU539" s="39">
        <v>43223</v>
      </c>
      <c r="BV539" s="39" t="s">
        <v>856</v>
      </c>
      <c r="BW539" s="39" t="s">
        <v>2882</v>
      </c>
      <c r="BX539" s="39" t="s">
        <v>303</v>
      </c>
      <c r="BY539" s="71">
        <v>980</v>
      </c>
      <c r="BZ539" s="71">
        <v>1050</v>
      </c>
      <c r="CA539" s="71">
        <v>1260</v>
      </c>
      <c r="CB539" s="71">
        <v>1510</v>
      </c>
      <c r="CC539" s="71">
        <v>1700</v>
      </c>
      <c r="CD539" s="25"/>
      <c r="CE539" s="200"/>
      <c r="CF539" s="200"/>
      <c r="CG539" s="200"/>
      <c r="CH539" s="200"/>
      <c r="CI539" s="200"/>
      <c r="CJ539" s="200"/>
      <c r="CK539" s="200"/>
      <c r="CL539" s="200"/>
      <c r="CM539" s="200"/>
      <c r="CN539" s="200"/>
      <c r="CO539" s="200"/>
      <c r="CP539" s="200"/>
      <c r="CQ539" s="200"/>
      <c r="CR539" s="200"/>
      <c r="CS539" s="200"/>
      <c r="CT539" s="200"/>
      <c r="CU539" s="200"/>
    </row>
    <row r="540" spans="1:99" s="17" customFormat="1" x14ac:dyDescent="0.2">
      <c r="A540" s="25"/>
      <c r="B540" s="20">
        <v>39151711501</v>
      </c>
      <c r="C540" s="20">
        <v>7115.01</v>
      </c>
      <c r="D540" s="20" t="s">
        <v>81</v>
      </c>
      <c r="E540" s="20" t="s">
        <v>2844</v>
      </c>
      <c r="F540" s="20" t="s">
        <v>8</v>
      </c>
      <c r="G540" s="861">
        <v>63.090767310022102</v>
      </c>
      <c r="H540" s="861">
        <v>53.642394440235698</v>
      </c>
      <c r="I540" s="861">
        <v>36.894704450787003</v>
      </c>
      <c r="J540" s="861">
        <v>46.077677973223103</v>
      </c>
      <c r="K540" s="982">
        <v>0</v>
      </c>
      <c r="L540" s="735">
        <v>3948</v>
      </c>
      <c r="M540" s="735">
        <v>3755</v>
      </c>
      <c r="N540" s="845">
        <f t="shared" si="53"/>
        <v>-4.88855116514691E-2</v>
      </c>
      <c r="O540" s="735">
        <v>2.4712503409909479</v>
      </c>
      <c r="P540" s="735">
        <f t="shared" si="54"/>
        <v>1519.4737407681168</v>
      </c>
      <c r="Q540" s="849">
        <v>56.2</v>
      </c>
      <c r="R540" s="71">
        <v>74071</v>
      </c>
      <c r="S540" s="845">
        <v>6.6630405221648079E-2</v>
      </c>
      <c r="T540" s="845">
        <v>0.02</v>
      </c>
      <c r="U540" s="845">
        <v>5.2000000000000005E-2</v>
      </c>
      <c r="V540" s="845">
        <v>7.5999999999999998E-2</v>
      </c>
      <c r="W540" s="845">
        <v>0.42469705712637046</v>
      </c>
      <c r="X540" s="845">
        <v>0.50407608695652173</v>
      </c>
      <c r="Y540" s="845">
        <v>0.84021304926764317</v>
      </c>
      <c r="Z540" s="845">
        <v>5.9653794940079892E-2</v>
      </c>
      <c r="AA540" s="845">
        <v>0</v>
      </c>
      <c r="AB540" s="845">
        <v>3.9414114513981358E-2</v>
      </c>
      <c r="AC540" s="845">
        <v>0</v>
      </c>
      <c r="AD540" s="845">
        <v>2.6631158455392811E-3</v>
      </c>
      <c r="AE540" s="845">
        <v>5.8055925432756325E-2</v>
      </c>
      <c r="AF540" s="845">
        <v>3.2223701731025296E-2</v>
      </c>
      <c r="AG540" s="845">
        <v>0.82157123834886814</v>
      </c>
      <c r="AH540" s="20" t="str">
        <f t="shared" si="55"/>
        <v>No</v>
      </c>
      <c r="AI540" s="25"/>
      <c r="AJ540" s="20">
        <v>43135</v>
      </c>
      <c r="AK540" s="20" t="s">
        <v>811</v>
      </c>
      <c r="AL540" s="20">
        <v>39073</v>
      </c>
      <c r="AM540" s="20" t="s">
        <v>43</v>
      </c>
      <c r="AN540" s="37">
        <f t="shared" si="56"/>
        <v>18140</v>
      </c>
      <c r="AO540" s="37" t="str">
        <f t="shared" si="57"/>
        <v>Columbus, OH</v>
      </c>
      <c r="AP540" s="20" t="s">
        <v>8</v>
      </c>
      <c r="AQ540" s="25"/>
      <c r="AR540" s="25"/>
      <c r="AS540" s="25"/>
      <c r="AT540" s="25"/>
      <c r="AU540" s="36"/>
      <c r="AV540" s="36"/>
      <c r="AW540" s="36"/>
      <c r="AX540" s="25"/>
      <c r="AY540" s="25"/>
      <c r="AZ540" s="25"/>
      <c r="BA540" s="25"/>
      <c r="BB540" s="25"/>
      <c r="BC540" s="25"/>
      <c r="BD540" s="25"/>
      <c r="BE540" s="25"/>
      <c r="BF540" s="25"/>
      <c r="BG540" s="25"/>
      <c r="BH540" s="25"/>
      <c r="BI540" s="25"/>
      <c r="BJ540" s="25"/>
      <c r="BK540" s="25"/>
      <c r="BL540" s="25"/>
      <c r="BM540" s="25"/>
      <c r="BN540" s="25"/>
      <c r="BO540" s="25"/>
      <c r="BP540" s="25"/>
      <c r="BQ540" s="25"/>
      <c r="BR540" s="25"/>
      <c r="BS540" s="25"/>
      <c r="BT540" s="25"/>
      <c r="BU540" s="39">
        <v>43224</v>
      </c>
      <c r="BV540" s="39" t="s">
        <v>857</v>
      </c>
      <c r="BW540" s="39" t="s">
        <v>2882</v>
      </c>
      <c r="BX540" s="39" t="s">
        <v>303</v>
      </c>
      <c r="BY540" s="71">
        <v>920</v>
      </c>
      <c r="BZ540" s="71">
        <v>990</v>
      </c>
      <c r="CA540" s="71">
        <v>1190</v>
      </c>
      <c r="CB540" s="71">
        <v>1430</v>
      </c>
      <c r="CC540" s="71">
        <v>1600</v>
      </c>
      <c r="CD540" s="25"/>
      <c r="CE540" s="200"/>
      <c r="CF540" s="200"/>
      <c r="CG540" s="200"/>
      <c r="CH540" s="200"/>
      <c r="CI540" s="200"/>
      <c r="CJ540" s="200"/>
      <c r="CK540" s="200"/>
      <c r="CL540" s="200"/>
      <c r="CM540" s="200"/>
      <c r="CN540" s="200"/>
      <c r="CO540" s="200"/>
      <c r="CP540" s="200"/>
      <c r="CQ540" s="200"/>
      <c r="CR540" s="200"/>
      <c r="CS540" s="200"/>
      <c r="CT540" s="200"/>
      <c r="CU540" s="200"/>
    </row>
    <row r="541" spans="1:99" s="17" customFormat="1" x14ac:dyDescent="0.2">
      <c r="A541" s="25"/>
      <c r="B541" s="20">
        <v>39049007198</v>
      </c>
      <c r="C541" s="20">
        <v>71.98</v>
      </c>
      <c r="D541" s="20" t="s">
        <v>31</v>
      </c>
      <c r="E541" s="20" t="s">
        <v>2830</v>
      </c>
      <c r="F541" s="20" t="s">
        <v>8</v>
      </c>
      <c r="G541" s="861">
        <v>63.040910721374999</v>
      </c>
      <c r="H541" s="861">
        <v>74.748045485240596</v>
      </c>
      <c r="I541" s="861">
        <v>28.139496906972099</v>
      </c>
      <c r="J541" s="861">
        <v>45.206308565156597</v>
      </c>
      <c r="K541" s="982">
        <v>0</v>
      </c>
      <c r="L541" s="735">
        <v>2948</v>
      </c>
      <c r="M541" s="735">
        <v>3031</v>
      </c>
      <c r="N541" s="845">
        <f t="shared" si="53"/>
        <v>2.8154681139755767E-2</v>
      </c>
      <c r="O541" s="735">
        <v>0.59085483600926647</v>
      </c>
      <c r="P541" s="735">
        <f t="shared" si="54"/>
        <v>5129.8556181276044</v>
      </c>
      <c r="Q541" s="849">
        <v>34.4</v>
      </c>
      <c r="R541" s="71">
        <v>96326</v>
      </c>
      <c r="S541" s="845">
        <v>3.7611349389640385E-2</v>
      </c>
      <c r="T541" s="845">
        <v>5.5E-2</v>
      </c>
      <c r="U541" s="845">
        <v>0</v>
      </c>
      <c r="V541" s="845">
        <v>0</v>
      </c>
      <c r="W541" s="845">
        <v>0.31189427312775331</v>
      </c>
      <c r="X541" s="845">
        <v>0.44915254237288138</v>
      </c>
      <c r="Y541" s="845">
        <v>0.63873309138898049</v>
      </c>
      <c r="Z541" s="845">
        <v>0.1441768393269548</v>
      </c>
      <c r="AA541" s="845">
        <v>0</v>
      </c>
      <c r="AB541" s="845">
        <v>4.1240514681623229E-2</v>
      </c>
      <c r="AC541" s="845">
        <v>0</v>
      </c>
      <c r="AD541" s="845">
        <v>0</v>
      </c>
      <c r="AE541" s="845">
        <v>0.17584955460244145</v>
      </c>
      <c r="AF541" s="845">
        <v>7.7862091718904652E-2</v>
      </c>
      <c r="AG541" s="845">
        <v>0.62520620257340809</v>
      </c>
      <c r="AH541" s="20" t="str">
        <f t="shared" si="55"/>
        <v>No</v>
      </c>
      <c r="AI541" s="25"/>
      <c r="AJ541" s="20">
        <v>43138</v>
      </c>
      <c r="AK541" s="20" t="s">
        <v>814</v>
      </c>
      <c r="AL541" s="20">
        <v>39073</v>
      </c>
      <c r="AM541" s="20" t="s">
        <v>43</v>
      </c>
      <c r="AN541" s="37">
        <f t="shared" si="56"/>
        <v>18140</v>
      </c>
      <c r="AO541" s="37" t="str">
        <f t="shared" si="57"/>
        <v>Columbus, OH</v>
      </c>
      <c r="AP541" s="20" t="s">
        <v>8</v>
      </c>
      <c r="AQ541" s="25"/>
      <c r="AR541" s="25"/>
      <c r="AS541" s="25"/>
      <c r="AT541" s="25"/>
      <c r="AU541" s="36"/>
      <c r="AV541" s="36"/>
      <c r="AW541" s="36"/>
      <c r="AX541" s="25"/>
      <c r="AY541" s="25"/>
      <c r="AZ541" s="25"/>
      <c r="BA541" s="25"/>
      <c r="BB541" s="25"/>
      <c r="BC541" s="25"/>
      <c r="BD541" s="25"/>
      <c r="BE541" s="25"/>
      <c r="BF541" s="25"/>
      <c r="BG541" s="25"/>
      <c r="BH541" s="25"/>
      <c r="BI541" s="25"/>
      <c r="BJ541" s="25"/>
      <c r="BK541" s="25"/>
      <c r="BL541" s="25"/>
      <c r="BM541" s="25"/>
      <c r="BN541" s="25"/>
      <c r="BO541" s="25"/>
      <c r="BP541" s="25"/>
      <c r="BQ541" s="25"/>
      <c r="BR541" s="25"/>
      <c r="BS541" s="25"/>
      <c r="BT541" s="25"/>
      <c r="BU541" s="39">
        <v>43227</v>
      </c>
      <c r="BV541" s="39" t="s">
        <v>858</v>
      </c>
      <c r="BW541" s="39" t="s">
        <v>2882</v>
      </c>
      <c r="BX541" s="39" t="s">
        <v>303</v>
      </c>
      <c r="BY541" s="71">
        <v>1050</v>
      </c>
      <c r="BZ541" s="71">
        <v>1130</v>
      </c>
      <c r="CA541" s="71">
        <v>1350</v>
      </c>
      <c r="CB541" s="71">
        <v>1620</v>
      </c>
      <c r="CC541" s="71">
        <v>1820</v>
      </c>
      <c r="CD541" s="25"/>
      <c r="CE541" s="200"/>
      <c r="CF541" s="200"/>
      <c r="CG541" s="200"/>
      <c r="CH541" s="200"/>
      <c r="CI541" s="200"/>
      <c r="CJ541" s="200"/>
      <c r="CK541" s="200"/>
      <c r="CL541" s="200"/>
      <c r="CM541" s="200"/>
      <c r="CN541" s="200"/>
      <c r="CO541" s="200"/>
      <c r="CP541" s="200"/>
      <c r="CQ541" s="200"/>
      <c r="CR541" s="200"/>
      <c r="CS541" s="200"/>
      <c r="CT541" s="200"/>
      <c r="CU541" s="200"/>
    </row>
    <row r="542" spans="1:99" s="17" customFormat="1" x14ac:dyDescent="0.2">
      <c r="A542" s="25"/>
      <c r="B542" s="20">
        <v>39143961700</v>
      </c>
      <c r="C542" s="20">
        <v>9617</v>
      </c>
      <c r="D542" s="20" t="s">
        <v>77</v>
      </c>
      <c r="E542" s="20" t="s">
        <v>265</v>
      </c>
      <c r="F542" s="20" t="s">
        <v>8</v>
      </c>
      <c r="G542" s="861">
        <v>63.014815257147497</v>
      </c>
      <c r="H542" s="861">
        <v>57.025607901321301</v>
      </c>
      <c r="I542" s="861">
        <v>40.059707362270601</v>
      </c>
      <c r="J542" s="861">
        <v>51.698318852653898</v>
      </c>
      <c r="K542" s="982">
        <v>0</v>
      </c>
      <c r="L542" s="735">
        <v>2952</v>
      </c>
      <c r="M542" s="735">
        <v>3012</v>
      </c>
      <c r="N542" s="845">
        <f t="shared" si="53"/>
        <v>2.032520325203252E-2</v>
      </c>
      <c r="O542" s="735">
        <v>3.3207391828528512</v>
      </c>
      <c r="P542" s="735">
        <f t="shared" si="54"/>
        <v>907.02697024593999</v>
      </c>
      <c r="Q542" s="849">
        <v>42.7</v>
      </c>
      <c r="R542" s="71">
        <v>68589</v>
      </c>
      <c r="S542" s="845">
        <v>6.3110181311018129E-2</v>
      </c>
      <c r="T542" s="845">
        <v>2.6000000000000002E-2</v>
      </c>
      <c r="U542" s="845">
        <v>0</v>
      </c>
      <c r="V542" s="845">
        <v>0</v>
      </c>
      <c r="W542" s="845">
        <v>0.2522448979591837</v>
      </c>
      <c r="X542" s="845">
        <v>0.39805825242718446</v>
      </c>
      <c r="Y542" s="845">
        <v>0.69389110225763617</v>
      </c>
      <c r="Z542" s="845">
        <v>7.3041168658698544E-2</v>
      </c>
      <c r="AA542" s="845">
        <v>0</v>
      </c>
      <c r="AB542" s="845">
        <v>0</v>
      </c>
      <c r="AC542" s="845">
        <v>0</v>
      </c>
      <c r="AD542" s="845">
        <v>0.14375830013280214</v>
      </c>
      <c r="AE542" s="845">
        <v>8.9309428950863218E-2</v>
      </c>
      <c r="AF542" s="845">
        <v>0.28120849933598935</v>
      </c>
      <c r="AG542" s="845">
        <v>0.61420982735723773</v>
      </c>
      <c r="AH542" s="20" t="str">
        <f t="shared" si="55"/>
        <v>No</v>
      </c>
      <c r="AI542" s="25"/>
      <c r="AJ542" s="20">
        <v>43144</v>
      </c>
      <c r="AK542" s="20" t="s">
        <v>818</v>
      </c>
      <c r="AL542" s="20">
        <v>39073</v>
      </c>
      <c r="AM542" s="20" t="s">
        <v>43</v>
      </c>
      <c r="AN542" s="37">
        <f t="shared" si="56"/>
        <v>18140</v>
      </c>
      <c r="AO542" s="37" t="str">
        <f t="shared" si="57"/>
        <v>Columbus, OH</v>
      </c>
      <c r="AP542" s="20" t="s">
        <v>8</v>
      </c>
      <c r="AQ542" s="25"/>
      <c r="AR542" s="25"/>
      <c r="AS542" s="25"/>
      <c r="AT542" s="25"/>
      <c r="AU542" s="36"/>
      <c r="AV542" s="36"/>
      <c r="AW542" s="36"/>
      <c r="AX542" s="25"/>
      <c r="AY542" s="25"/>
      <c r="AZ542" s="25"/>
      <c r="BA542" s="25"/>
      <c r="BB542" s="25"/>
      <c r="BC542" s="25"/>
      <c r="BD542" s="25"/>
      <c r="BE542" s="25"/>
      <c r="BF542" s="25"/>
      <c r="BG542" s="25"/>
      <c r="BH542" s="25"/>
      <c r="BI542" s="25"/>
      <c r="BJ542" s="25"/>
      <c r="BK542" s="25"/>
      <c r="BL542" s="25"/>
      <c r="BM542" s="25"/>
      <c r="BN542" s="25"/>
      <c r="BO542" s="25"/>
      <c r="BP542" s="25"/>
      <c r="BQ542" s="25"/>
      <c r="BR542" s="25"/>
      <c r="BS542" s="25"/>
      <c r="BT542" s="25"/>
      <c r="BU542" s="39">
        <v>43228</v>
      </c>
      <c r="BV542" s="39" t="s">
        <v>859</v>
      </c>
      <c r="BW542" s="39" t="s">
        <v>2882</v>
      </c>
      <c r="BX542" s="39" t="s">
        <v>303</v>
      </c>
      <c r="BY542" s="71">
        <v>1050</v>
      </c>
      <c r="BZ542" s="71">
        <v>1130</v>
      </c>
      <c r="CA542" s="71">
        <v>1350</v>
      </c>
      <c r="CB542" s="71">
        <v>1620</v>
      </c>
      <c r="CC542" s="71">
        <v>1820</v>
      </c>
      <c r="CD542" s="25"/>
      <c r="CE542" s="200"/>
      <c r="CF542" s="200"/>
      <c r="CG542" s="200"/>
      <c r="CH542" s="200"/>
      <c r="CI542" s="200"/>
      <c r="CJ542" s="200"/>
      <c r="CK542" s="200"/>
      <c r="CL542" s="200"/>
      <c r="CM542" s="200"/>
      <c r="CN542" s="200"/>
      <c r="CO542" s="200"/>
      <c r="CP542" s="200"/>
      <c r="CQ542" s="200"/>
      <c r="CR542" s="200"/>
      <c r="CS542" s="200"/>
      <c r="CT542" s="200"/>
      <c r="CU542" s="200"/>
    </row>
    <row r="543" spans="1:99" s="17" customFormat="1" x14ac:dyDescent="0.2">
      <c r="A543" s="25"/>
      <c r="B543" s="20">
        <v>39035130106</v>
      </c>
      <c r="C543" s="20">
        <v>1301.06</v>
      </c>
      <c r="D543" s="20" t="s">
        <v>24</v>
      </c>
      <c r="E543" s="20" t="s">
        <v>2829</v>
      </c>
      <c r="F543" s="20" t="s">
        <v>8</v>
      </c>
      <c r="G543" s="861">
        <v>62.998548753593703</v>
      </c>
      <c r="H543" s="861">
        <v>62.082843031361001</v>
      </c>
      <c r="I543" s="861">
        <v>27.9487074758283</v>
      </c>
      <c r="J543" s="861">
        <v>43.479976617499801</v>
      </c>
      <c r="K543" s="982">
        <v>0</v>
      </c>
      <c r="L543" s="735">
        <v>3421</v>
      </c>
      <c r="M543" s="735">
        <v>3125</v>
      </c>
      <c r="N543" s="845">
        <f t="shared" si="53"/>
        <v>-8.652440806781643E-2</v>
      </c>
      <c r="O543" s="735">
        <v>0.94123520899097879</v>
      </c>
      <c r="P543" s="735">
        <f t="shared" si="54"/>
        <v>3320.1052937129889</v>
      </c>
      <c r="Q543" s="849">
        <v>48.3</v>
      </c>
      <c r="R543" s="71">
        <v>111705</v>
      </c>
      <c r="S543" s="845">
        <v>4.7466324567030149E-2</v>
      </c>
      <c r="T543" s="845">
        <v>6.9999999999999993E-3</v>
      </c>
      <c r="U543" s="845">
        <v>0</v>
      </c>
      <c r="V543" s="845">
        <v>0.188</v>
      </c>
      <c r="W543" s="845">
        <v>7.8984485190409029E-2</v>
      </c>
      <c r="X543" s="845">
        <v>0.15178571428571427</v>
      </c>
      <c r="Y543" s="845">
        <v>0.91839999999999999</v>
      </c>
      <c r="Z543" s="845">
        <v>1.856E-2</v>
      </c>
      <c r="AA543" s="845">
        <v>7.6800000000000002E-3</v>
      </c>
      <c r="AB543" s="845">
        <v>5.7600000000000004E-3</v>
      </c>
      <c r="AC543" s="845">
        <v>0</v>
      </c>
      <c r="AD543" s="845">
        <v>6.4000000000000003E-3</v>
      </c>
      <c r="AE543" s="845">
        <v>4.3200000000000002E-2</v>
      </c>
      <c r="AF543" s="845">
        <v>4.8959999999999997E-2</v>
      </c>
      <c r="AG543" s="845">
        <v>0.91168000000000005</v>
      </c>
      <c r="AH543" s="20" t="str">
        <f t="shared" si="55"/>
        <v>Yes</v>
      </c>
      <c r="AI543" s="25"/>
      <c r="AJ543" s="20">
        <v>43149</v>
      </c>
      <c r="AK543" s="20" t="s">
        <v>823</v>
      </c>
      <c r="AL543" s="20">
        <v>39073</v>
      </c>
      <c r="AM543" s="20" t="s">
        <v>43</v>
      </c>
      <c r="AN543" s="37">
        <f t="shared" si="56"/>
        <v>18140</v>
      </c>
      <c r="AO543" s="37" t="str">
        <f t="shared" si="57"/>
        <v>Columbus, OH</v>
      </c>
      <c r="AP543" s="20" t="s">
        <v>8</v>
      </c>
      <c r="AQ543" s="25"/>
      <c r="AR543" s="25"/>
      <c r="AS543" s="25"/>
      <c r="AT543" s="25"/>
      <c r="AU543" s="36"/>
      <c r="AV543" s="36"/>
      <c r="AW543" s="36"/>
      <c r="AX543" s="25"/>
      <c r="AY543" s="25"/>
      <c r="AZ543" s="25"/>
      <c r="BA543" s="25"/>
      <c r="BB543" s="25"/>
      <c r="BC543" s="25"/>
      <c r="BD543" s="25"/>
      <c r="BE543" s="25"/>
      <c r="BF543" s="25"/>
      <c r="BG543" s="25"/>
      <c r="BH543" s="25"/>
      <c r="BI543" s="25"/>
      <c r="BJ543" s="25"/>
      <c r="BK543" s="25"/>
      <c r="BL543" s="25"/>
      <c r="BM543" s="25"/>
      <c r="BN543" s="25"/>
      <c r="BO543" s="25"/>
      <c r="BP543" s="25"/>
      <c r="BQ543" s="25"/>
      <c r="BR543" s="25"/>
      <c r="BS543" s="25"/>
      <c r="BT543" s="25"/>
      <c r="BU543" s="39">
        <v>43229</v>
      </c>
      <c r="BV543" s="39" t="s">
        <v>860</v>
      </c>
      <c r="BW543" s="39" t="s">
        <v>2882</v>
      </c>
      <c r="BX543" s="39" t="s">
        <v>303</v>
      </c>
      <c r="BY543" s="71">
        <v>1010</v>
      </c>
      <c r="BZ543" s="71">
        <v>1090</v>
      </c>
      <c r="CA543" s="71">
        <v>1300</v>
      </c>
      <c r="CB543" s="71">
        <v>1560</v>
      </c>
      <c r="CC543" s="71">
        <v>1750</v>
      </c>
      <c r="CD543" s="25"/>
      <c r="CE543" s="200"/>
      <c r="CF543" s="200"/>
      <c r="CG543" s="200"/>
      <c r="CH543" s="200"/>
      <c r="CI543" s="200"/>
      <c r="CJ543" s="200"/>
      <c r="CK543" s="200"/>
      <c r="CL543" s="200"/>
      <c r="CM543" s="200"/>
      <c r="CN543" s="200"/>
      <c r="CO543" s="200"/>
      <c r="CP543" s="200"/>
      <c r="CQ543" s="200"/>
      <c r="CR543" s="200"/>
      <c r="CS543" s="200"/>
      <c r="CT543" s="200"/>
      <c r="CU543" s="200"/>
    </row>
    <row r="544" spans="1:99" s="17" customFormat="1" x14ac:dyDescent="0.2">
      <c r="A544" s="25"/>
      <c r="B544" s="20">
        <v>39049009405</v>
      </c>
      <c r="C544" s="20">
        <v>94.05</v>
      </c>
      <c r="D544" s="20" t="s">
        <v>31</v>
      </c>
      <c r="E544" s="20" t="s">
        <v>2830</v>
      </c>
      <c r="F544" s="20" t="s">
        <v>8</v>
      </c>
      <c r="G544" s="861">
        <v>62.956207193623897</v>
      </c>
      <c r="H544" s="861">
        <v>70.586500746541304</v>
      </c>
      <c r="I544" s="861">
        <v>20.413825751315599</v>
      </c>
      <c r="J544" s="861">
        <v>64.305943468742697</v>
      </c>
      <c r="K544" s="982">
        <v>0</v>
      </c>
      <c r="L544" s="735" t="s">
        <v>2466</v>
      </c>
      <c r="M544" s="735">
        <v>4035</v>
      </c>
      <c r="N544" s="845" t="str">
        <f t="shared" si="53"/>
        <v/>
      </c>
      <c r="O544" s="735">
        <v>2.2297523211409649</v>
      </c>
      <c r="P544" s="735">
        <f t="shared" si="54"/>
        <v>1809.6180287572431</v>
      </c>
      <c r="Q544" s="849">
        <v>44.1</v>
      </c>
      <c r="R544" s="71">
        <v>138857</v>
      </c>
      <c r="S544" s="845">
        <v>3.4190167207387073E-2</v>
      </c>
      <c r="T544" s="845">
        <v>1.3999999999999999E-2</v>
      </c>
      <c r="U544" s="845">
        <v>0</v>
      </c>
      <c r="V544" s="845">
        <v>0</v>
      </c>
      <c r="W544" s="845">
        <v>3.5420619860847567E-2</v>
      </c>
      <c r="X544" s="845">
        <v>0.16071428571428573</v>
      </c>
      <c r="Y544" s="845">
        <v>0.83444857496902103</v>
      </c>
      <c r="Z544" s="845">
        <v>0.14845105328376704</v>
      </c>
      <c r="AA544" s="845">
        <v>0</v>
      </c>
      <c r="AB544" s="845">
        <v>0</v>
      </c>
      <c r="AC544" s="845">
        <v>0</v>
      </c>
      <c r="AD544" s="845">
        <v>0</v>
      </c>
      <c r="AE544" s="845">
        <v>1.7100371747211896E-2</v>
      </c>
      <c r="AF544" s="845">
        <v>5.700123915737299E-3</v>
      </c>
      <c r="AG544" s="845">
        <v>0.82874845105328376</v>
      </c>
      <c r="AH544" s="20" t="str">
        <f t="shared" si="55"/>
        <v>No</v>
      </c>
      <c r="AI544" s="25"/>
      <c r="AJ544" s="20">
        <v>43152</v>
      </c>
      <c r="AK544" s="20" t="s">
        <v>826</v>
      </c>
      <c r="AL544" s="20">
        <v>39073</v>
      </c>
      <c r="AM544" s="20" t="s">
        <v>43</v>
      </c>
      <c r="AN544" s="37">
        <f t="shared" si="56"/>
        <v>18140</v>
      </c>
      <c r="AO544" s="37" t="str">
        <f t="shared" si="57"/>
        <v>Columbus, OH</v>
      </c>
      <c r="AP544" s="20" t="s">
        <v>8</v>
      </c>
      <c r="AQ544" s="25"/>
      <c r="AR544" s="25"/>
      <c r="AS544" s="25"/>
      <c r="AT544" s="25"/>
      <c r="AU544" s="36"/>
      <c r="AV544" s="36"/>
      <c r="AW544" s="36"/>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39">
        <v>43230</v>
      </c>
      <c r="BV544" s="39" t="s">
        <v>861</v>
      </c>
      <c r="BW544" s="39" t="s">
        <v>2882</v>
      </c>
      <c r="BX544" s="39" t="s">
        <v>303</v>
      </c>
      <c r="BY544" s="71">
        <v>1320</v>
      </c>
      <c r="BZ544" s="71">
        <v>1420</v>
      </c>
      <c r="CA544" s="71">
        <v>1700</v>
      </c>
      <c r="CB544" s="71">
        <v>2040</v>
      </c>
      <c r="CC544" s="71">
        <v>2290</v>
      </c>
      <c r="CD544" s="25"/>
      <c r="CE544" s="200"/>
      <c r="CF544" s="200"/>
      <c r="CG544" s="200"/>
      <c r="CH544" s="200"/>
      <c r="CI544" s="200"/>
      <c r="CJ544" s="200"/>
      <c r="CK544" s="200"/>
      <c r="CL544" s="200"/>
      <c r="CM544" s="200"/>
      <c r="CN544" s="200"/>
      <c r="CO544" s="200"/>
      <c r="CP544" s="200"/>
      <c r="CQ544" s="200"/>
      <c r="CR544" s="200"/>
      <c r="CS544" s="200"/>
      <c r="CT544" s="200"/>
      <c r="CU544" s="200"/>
    </row>
    <row r="545" spans="1:99" s="17" customFormat="1" x14ac:dyDescent="0.2">
      <c r="A545" s="25"/>
      <c r="B545" s="20">
        <v>39057210402</v>
      </c>
      <c r="C545" s="20">
        <v>2104.02</v>
      </c>
      <c r="D545" s="20" t="s">
        <v>35</v>
      </c>
      <c r="E545" s="20" t="s">
        <v>2833</v>
      </c>
      <c r="F545" s="20" t="s">
        <v>8</v>
      </c>
      <c r="G545" s="861">
        <v>62.942775924136399</v>
      </c>
      <c r="H545" s="861">
        <v>63.717159103189701</v>
      </c>
      <c r="I545" s="861">
        <v>18.2321004232371</v>
      </c>
      <c r="J545" s="861">
        <v>43.241264491939702</v>
      </c>
      <c r="K545" s="982">
        <v>0</v>
      </c>
      <c r="L545" s="735">
        <v>5210</v>
      </c>
      <c r="M545" s="735">
        <v>4748</v>
      </c>
      <c r="N545" s="845">
        <f t="shared" si="53"/>
        <v>-8.8675623800383879E-2</v>
      </c>
      <c r="O545" s="735">
        <v>2.6873961209034278</v>
      </c>
      <c r="P545" s="735">
        <f t="shared" si="54"/>
        <v>1766.7659646706099</v>
      </c>
      <c r="Q545" s="849">
        <v>48</v>
      </c>
      <c r="R545" s="71">
        <v>107384</v>
      </c>
      <c r="S545" s="845">
        <v>4.1916167664670656E-2</v>
      </c>
      <c r="T545" s="845">
        <v>2.1000000000000001E-2</v>
      </c>
      <c r="U545" s="845">
        <v>4.0999999999999995E-2</v>
      </c>
      <c r="V545" s="845">
        <v>0</v>
      </c>
      <c r="W545" s="845">
        <v>0.20239234449760765</v>
      </c>
      <c r="X545" s="845">
        <v>0.27895981087470451</v>
      </c>
      <c r="Y545" s="845">
        <v>0.8601516427969671</v>
      </c>
      <c r="Z545" s="845">
        <v>3.3277169334456611E-2</v>
      </c>
      <c r="AA545" s="845">
        <v>0</v>
      </c>
      <c r="AB545" s="845">
        <v>4.0648694187026116E-2</v>
      </c>
      <c r="AC545" s="845">
        <v>0</v>
      </c>
      <c r="AD545" s="845">
        <v>3.8963774220724515E-2</v>
      </c>
      <c r="AE545" s="845">
        <v>2.6958719460825609E-2</v>
      </c>
      <c r="AF545" s="845">
        <v>1.7059814658803706E-2</v>
      </c>
      <c r="AG545" s="845">
        <v>0.85909856781802862</v>
      </c>
      <c r="AH545" s="20" t="str">
        <f t="shared" si="55"/>
        <v>No</v>
      </c>
      <c r="AI545" s="25"/>
      <c r="AJ545" s="20">
        <v>43155</v>
      </c>
      <c r="AK545" s="20" t="s">
        <v>829</v>
      </c>
      <c r="AL545" s="20">
        <v>39073</v>
      </c>
      <c r="AM545" s="20" t="s">
        <v>43</v>
      </c>
      <c r="AN545" s="37">
        <f t="shared" si="56"/>
        <v>18140</v>
      </c>
      <c r="AO545" s="37" t="str">
        <f t="shared" si="57"/>
        <v>Columbus, OH</v>
      </c>
      <c r="AP545" s="20" t="s">
        <v>8</v>
      </c>
      <c r="AQ545" s="25"/>
      <c r="AR545" s="25"/>
      <c r="AS545" s="25"/>
      <c r="AT545" s="25"/>
      <c r="AU545" s="36"/>
      <c r="AV545" s="36"/>
      <c r="AW545" s="36"/>
      <c r="AX545" s="25"/>
      <c r="AY545" s="25"/>
      <c r="AZ545" s="25"/>
      <c r="BA545" s="25"/>
      <c r="BB545" s="25"/>
      <c r="BC545" s="25"/>
      <c r="BD545" s="25"/>
      <c r="BE545" s="25"/>
      <c r="BF545" s="25"/>
      <c r="BG545" s="25"/>
      <c r="BH545" s="25"/>
      <c r="BI545" s="25"/>
      <c r="BJ545" s="25"/>
      <c r="BK545" s="25"/>
      <c r="BL545" s="25"/>
      <c r="BM545" s="25"/>
      <c r="BN545" s="25"/>
      <c r="BO545" s="25"/>
      <c r="BP545" s="25"/>
      <c r="BQ545" s="25"/>
      <c r="BR545" s="25"/>
      <c r="BS545" s="25"/>
      <c r="BT545" s="25"/>
      <c r="BU545" s="39">
        <v>43231</v>
      </c>
      <c r="BV545" s="39" t="s">
        <v>862</v>
      </c>
      <c r="BW545" s="39" t="s">
        <v>2882</v>
      </c>
      <c r="BX545" s="39" t="s">
        <v>303</v>
      </c>
      <c r="BY545" s="71">
        <v>1050</v>
      </c>
      <c r="BZ545" s="71">
        <v>1130</v>
      </c>
      <c r="CA545" s="71">
        <v>1350</v>
      </c>
      <c r="CB545" s="71">
        <v>1620</v>
      </c>
      <c r="CC545" s="71">
        <v>1820</v>
      </c>
      <c r="CD545" s="25"/>
      <c r="CE545" s="200"/>
      <c r="CF545" s="200"/>
      <c r="CG545" s="200"/>
      <c r="CH545" s="200"/>
      <c r="CI545" s="200"/>
      <c r="CJ545" s="200"/>
      <c r="CK545" s="200"/>
      <c r="CL545" s="200"/>
      <c r="CM545" s="200"/>
      <c r="CN545" s="200"/>
      <c r="CO545" s="200"/>
      <c r="CP545" s="200"/>
      <c r="CQ545" s="200"/>
      <c r="CR545" s="200"/>
      <c r="CS545" s="200"/>
      <c r="CT545" s="200"/>
      <c r="CU545" s="200"/>
    </row>
    <row r="546" spans="1:99" s="17" customFormat="1" x14ac:dyDescent="0.2">
      <c r="A546" s="25"/>
      <c r="B546" s="20">
        <v>39041011200</v>
      </c>
      <c r="C546" s="20">
        <v>112</v>
      </c>
      <c r="D546" s="20" t="s">
        <v>27</v>
      </c>
      <c r="E546" s="20" t="s">
        <v>2830</v>
      </c>
      <c r="F546" s="20" t="s">
        <v>8</v>
      </c>
      <c r="G546" s="861">
        <v>62.883686530821201</v>
      </c>
      <c r="H546" s="861">
        <v>62.070442325961601</v>
      </c>
      <c r="I546" s="861">
        <v>24.220047582548499</v>
      </c>
      <c r="J546" s="861">
        <v>54.415352562273803</v>
      </c>
      <c r="K546" s="982">
        <v>0</v>
      </c>
      <c r="L546" s="735">
        <v>3112</v>
      </c>
      <c r="M546" s="735">
        <v>3650</v>
      </c>
      <c r="N546" s="845">
        <f t="shared" si="53"/>
        <v>0.17287917737789202</v>
      </c>
      <c r="O546" s="735">
        <v>35.952452692919891</v>
      </c>
      <c r="P546" s="735">
        <f t="shared" si="54"/>
        <v>101.52297622573032</v>
      </c>
      <c r="Q546" s="849">
        <v>46.7</v>
      </c>
      <c r="R546" s="71">
        <v>84531</v>
      </c>
      <c r="S546" s="845">
        <v>0.13992117117117117</v>
      </c>
      <c r="T546" s="845">
        <v>2.8999999999999998E-2</v>
      </c>
      <c r="U546" s="845">
        <v>0</v>
      </c>
      <c r="V546" s="845">
        <v>0</v>
      </c>
      <c r="W546" s="845">
        <v>0.22424242424242424</v>
      </c>
      <c r="X546" s="845">
        <v>0.3963963963963964</v>
      </c>
      <c r="Y546" s="845">
        <v>0.87123287671232874</v>
      </c>
      <c r="Z546" s="845">
        <v>6.6575342465753432E-2</v>
      </c>
      <c r="AA546" s="845">
        <v>0</v>
      </c>
      <c r="AB546" s="845">
        <v>6.8493150684931503E-3</v>
      </c>
      <c r="AC546" s="845">
        <v>0</v>
      </c>
      <c r="AD546" s="845">
        <v>1.315068493150685E-2</v>
      </c>
      <c r="AE546" s="845">
        <v>4.219178082191781E-2</v>
      </c>
      <c r="AF546" s="845">
        <v>2.4109589041095891E-2</v>
      </c>
      <c r="AG546" s="845">
        <v>0.87123287671232874</v>
      </c>
      <c r="AH546" s="20" t="str">
        <f t="shared" si="55"/>
        <v>No</v>
      </c>
      <c r="AI546" s="25"/>
      <c r="AJ546" s="37">
        <v>43158</v>
      </c>
      <c r="AK546" s="37" t="s">
        <v>832</v>
      </c>
      <c r="AL546" s="37">
        <v>39073</v>
      </c>
      <c r="AM546" s="37" t="s">
        <v>43</v>
      </c>
      <c r="AN546" s="37">
        <f t="shared" si="56"/>
        <v>18140</v>
      </c>
      <c r="AO546" s="37" t="str">
        <f t="shared" si="57"/>
        <v>Columbus, OH</v>
      </c>
      <c r="AP546" s="20" t="s">
        <v>8</v>
      </c>
      <c r="AQ546" s="25"/>
      <c r="AR546" s="25"/>
      <c r="AS546" s="25"/>
      <c r="AT546" s="25"/>
      <c r="AU546" s="36"/>
      <c r="AV546" s="36"/>
      <c r="AW546" s="36"/>
      <c r="AX546" s="25"/>
      <c r="AY546" s="25"/>
      <c r="AZ546" s="25"/>
      <c r="BA546" s="25"/>
      <c r="BB546" s="25"/>
      <c r="BC546" s="25"/>
      <c r="BD546" s="25"/>
      <c r="BE546" s="25"/>
      <c r="BF546" s="25"/>
      <c r="BG546" s="25"/>
      <c r="BH546" s="25"/>
      <c r="BI546" s="25"/>
      <c r="BJ546" s="25"/>
      <c r="BK546" s="25"/>
      <c r="BL546" s="25"/>
      <c r="BM546" s="25"/>
      <c r="BN546" s="25"/>
      <c r="BO546" s="25"/>
      <c r="BP546" s="25"/>
      <c r="BQ546" s="25"/>
      <c r="BR546" s="25"/>
      <c r="BS546" s="25"/>
      <c r="BT546" s="25"/>
      <c r="BU546" s="39">
        <v>43232</v>
      </c>
      <c r="BV546" s="39" t="s">
        <v>863</v>
      </c>
      <c r="BW546" s="39" t="s">
        <v>2882</v>
      </c>
      <c r="BX546" s="39" t="s">
        <v>303</v>
      </c>
      <c r="BY546" s="71">
        <v>970</v>
      </c>
      <c r="BZ546" s="71">
        <v>1040</v>
      </c>
      <c r="CA546" s="71">
        <v>1250</v>
      </c>
      <c r="CB546" s="71">
        <v>1500</v>
      </c>
      <c r="CC546" s="71">
        <v>1680</v>
      </c>
      <c r="CD546" s="25"/>
      <c r="CE546" s="200"/>
      <c r="CF546" s="200"/>
      <c r="CG546" s="200"/>
      <c r="CH546" s="200"/>
      <c r="CI546" s="200"/>
      <c r="CJ546" s="200"/>
      <c r="CK546" s="200"/>
      <c r="CL546" s="200"/>
      <c r="CM546" s="200"/>
      <c r="CN546" s="200"/>
      <c r="CO546" s="200"/>
      <c r="CP546" s="200"/>
      <c r="CQ546" s="200"/>
      <c r="CR546" s="200"/>
      <c r="CS546" s="200"/>
      <c r="CT546" s="200"/>
      <c r="CU546" s="200"/>
    </row>
    <row r="547" spans="1:99" s="17" customFormat="1" x14ac:dyDescent="0.2">
      <c r="A547" s="25"/>
      <c r="B547" s="20">
        <v>39033974200</v>
      </c>
      <c r="C547" s="20">
        <v>9742</v>
      </c>
      <c r="D547" s="20" t="s">
        <v>23</v>
      </c>
      <c r="E547" s="20" t="s">
        <v>265</v>
      </c>
      <c r="F547" s="20" t="s">
        <v>8</v>
      </c>
      <c r="G547" s="861">
        <v>62.869705383426897</v>
      </c>
      <c r="H547" s="861">
        <v>67.065307481670601</v>
      </c>
      <c r="I547" s="861">
        <v>13.262113563923499</v>
      </c>
      <c r="J547" s="861">
        <v>50.963426443207098</v>
      </c>
      <c r="K547" s="982">
        <v>0</v>
      </c>
      <c r="L547" s="735">
        <v>4135</v>
      </c>
      <c r="M547" s="735">
        <v>3987</v>
      </c>
      <c r="N547" s="845">
        <f t="shared" si="53"/>
        <v>-3.5792019347037483E-2</v>
      </c>
      <c r="O547" s="735">
        <v>152.05703357456727</v>
      </c>
      <c r="P547" s="735">
        <f t="shared" si="54"/>
        <v>26.220424706922977</v>
      </c>
      <c r="Q547" s="849">
        <v>43.3</v>
      </c>
      <c r="R547" s="71">
        <v>78167</v>
      </c>
      <c r="S547" s="845">
        <v>1.4724549378014725E-2</v>
      </c>
      <c r="T547" s="845">
        <v>8.0000000000000002E-3</v>
      </c>
      <c r="U547" s="845">
        <v>0</v>
      </c>
      <c r="V547" s="845">
        <v>0</v>
      </c>
      <c r="W547" s="845">
        <v>7.7575757575757576E-2</v>
      </c>
      <c r="X547" s="845">
        <v>5.46875E-2</v>
      </c>
      <c r="Y547" s="845">
        <v>0.98269375470278408</v>
      </c>
      <c r="Z547" s="845">
        <v>0</v>
      </c>
      <c r="AA547" s="845">
        <v>0</v>
      </c>
      <c r="AB547" s="845">
        <v>0</v>
      </c>
      <c r="AC547" s="845">
        <v>0</v>
      </c>
      <c r="AD547" s="845">
        <v>0</v>
      </c>
      <c r="AE547" s="845">
        <v>1.7306245297215951E-2</v>
      </c>
      <c r="AF547" s="845">
        <v>0</v>
      </c>
      <c r="AG547" s="845">
        <v>0.98269375470278408</v>
      </c>
      <c r="AH547" s="20" t="str">
        <f t="shared" si="55"/>
        <v>Yes</v>
      </c>
      <c r="AI547" s="25"/>
      <c r="AJ547" s="20">
        <v>43766</v>
      </c>
      <c r="AK547" s="20" t="s">
        <v>1058</v>
      </c>
      <c r="AL547" s="20">
        <v>39073</v>
      </c>
      <c r="AM547" s="20" t="s">
        <v>43</v>
      </c>
      <c r="AN547" s="37">
        <f t="shared" si="56"/>
        <v>18140</v>
      </c>
      <c r="AO547" s="37" t="str">
        <f t="shared" si="57"/>
        <v>Columbus, OH</v>
      </c>
      <c r="AP547" s="20" t="s">
        <v>8</v>
      </c>
      <c r="AQ547" s="25"/>
      <c r="AR547" s="25"/>
      <c r="AS547" s="25"/>
      <c r="AT547" s="25"/>
      <c r="AU547" s="36"/>
      <c r="AV547" s="36"/>
      <c r="AW547" s="36"/>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39">
        <v>43235</v>
      </c>
      <c r="BV547" s="39" t="s">
        <v>864</v>
      </c>
      <c r="BW547" s="39" t="s">
        <v>2882</v>
      </c>
      <c r="BX547" s="39" t="s">
        <v>303</v>
      </c>
      <c r="BY547" s="71">
        <v>1310</v>
      </c>
      <c r="BZ547" s="71">
        <v>1410</v>
      </c>
      <c r="CA547" s="71">
        <v>1690</v>
      </c>
      <c r="CB547" s="71">
        <v>2030</v>
      </c>
      <c r="CC547" s="71">
        <v>2280</v>
      </c>
      <c r="CD547" s="25"/>
      <c r="CE547" s="200"/>
      <c r="CF547" s="200"/>
      <c r="CG547" s="200"/>
      <c r="CH547" s="200"/>
      <c r="CI547" s="200"/>
      <c r="CJ547" s="200"/>
      <c r="CK547" s="200"/>
      <c r="CL547" s="200"/>
      <c r="CM547" s="200"/>
      <c r="CN547" s="200"/>
      <c r="CO547" s="200"/>
      <c r="CP547" s="200"/>
      <c r="CQ547" s="200"/>
      <c r="CR547" s="200"/>
      <c r="CS547" s="200"/>
      <c r="CT547" s="200"/>
      <c r="CU547" s="200"/>
    </row>
    <row r="548" spans="1:99" s="17" customFormat="1" x14ac:dyDescent="0.2">
      <c r="A548" s="25"/>
      <c r="B548" s="20">
        <v>39061021003</v>
      </c>
      <c r="C548" s="20">
        <v>210.03</v>
      </c>
      <c r="D548" s="20" t="s">
        <v>37</v>
      </c>
      <c r="E548" s="20" t="s">
        <v>2828</v>
      </c>
      <c r="F548" s="20" t="s">
        <v>8</v>
      </c>
      <c r="G548" s="861">
        <v>62.8572766881856</v>
      </c>
      <c r="H548" s="861">
        <v>69.842168550191303</v>
      </c>
      <c r="I548" s="861">
        <v>21.909107163347901</v>
      </c>
      <c r="J548" s="861">
        <v>53.053779254654401</v>
      </c>
      <c r="K548" s="982">
        <v>0</v>
      </c>
      <c r="L548" s="735">
        <v>3208</v>
      </c>
      <c r="M548" s="735">
        <v>3227</v>
      </c>
      <c r="N548" s="845">
        <f t="shared" si="53"/>
        <v>5.9226932668329174E-3</v>
      </c>
      <c r="O548" s="735">
        <v>0.52168231768446227</v>
      </c>
      <c r="P548" s="735">
        <f t="shared" si="54"/>
        <v>6185.7569072368669</v>
      </c>
      <c r="Q548" s="849">
        <v>36.5</v>
      </c>
      <c r="R548" s="71">
        <v>80156</v>
      </c>
      <c r="S548" s="845">
        <v>8.8382261086820735E-2</v>
      </c>
      <c r="T548" s="845">
        <v>2.7999999999999997E-2</v>
      </c>
      <c r="U548" s="845">
        <v>0</v>
      </c>
      <c r="V548" s="845">
        <v>0</v>
      </c>
      <c r="W548" s="845">
        <v>0.14128595600676819</v>
      </c>
      <c r="X548" s="845">
        <v>0.15568862275449102</v>
      </c>
      <c r="Y548" s="845">
        <v>0.88875116207003413</v>
      </c>
      <c r="Z548" s="845">
        <v>1.8283235202974899E-2</v>
      </c>
      <c r="AA548" s="845">
        <v>0</v>
      </c>
      <c r="AB548" s="845">
        <v>0</v>
      </c>
      <c r="AC548" s="845">
        <v>0</v>
      </c>
      <c r="AD548" s="845">
        <v>7.1273628757359776E-3</v>
      </c>
      <c r="AE548" s="845">
        <v>8.5838239851255035E-2</v>
      </c>
      <c r="AF548" s="845">
        <v>2.7579795475674001E-2</v>
      </c>
      <c r="AG548" s="845">
        <v>0.88875116207003413</v>
      </c>
      <c r="AH548" s="20" t="str">
        <f t="shared" si="55"/>
        <v>No</v>
      </c>
      <c r="AI548" s="25"/>
      <c r="AJ548" s="20">
        <v>45622</v>
      </c>
      <c r="AK548" s="20" t="s">
        <v>1778</v>
      </c>
      <c r="AL548" s="20">
        <v>39073</v>
      </c>
      <c r="AM548" s="20" t="s">
        <v>43</v>
      </c>
      <c r="AN548" s="37">
        <f t="shared" si="56"/>
        <v>18140</v>
      </c>
      <c r="AO548" s="37" t="str">
        <f t="shared" si="57"/>
        <v>Columbus, OH</v>
      </c>
      <c r="AP548" s="20" t="s">
        <v>8</v>
      </c>
      <c r="AQ548" s="25"/>
      <c r="AR548" s="25"/>
      <c r="AS548" s="25"/>
      <c r="AT548" s="25"/>
      <c r="AU548" s="36"/>
      <c r="AV548" s="36"/>
      <c r="AW548" s="36"/>
      <c r="AX548" s="25"/>
      <c r="AY548" s="25"/>
      <c r="AZ548" s="25"/>
      <c r="BA548" s="25"/>
      <c r="BB548" s="25"/>
      <c r="BC548" s="25"/>
      <c r="BD548" s="25"/>
      <c r="BE548" s="25"/>
      <c r="BF548" s="25"/>
      <c r="BG548" s="25"/>
      <c r="BH548" s="25"/>
      <c r="BI548" s="25"/>
      <c r="BJ548" s="25"/>
      <c r="BK548" s="25"/>
      <c r="BL548" s="25"/>
      <c r="BM548" s="25"/>
      <c r="BN548" s="25"/>
      <c r="BO548" s="25"/>
      <c r="BP548" s="25"/>
      <c r="BQ548" s="25"/>
      <c r="BR548" s="25"/>
      <c r="BS548" s="25"/>
      <c r="BT548" s="25"/>
      <c r="BU548" s="39">
        <v>43240</v>
      </c>
      <c r="BV548" s="39" t="s">
        <v>865</v>
      </c>
      <c r="BW548" s="39" t="s">
        <v>2882</v>
      </c>
      <c r="BX548" s="39" t="s">
        <v>303</v>
      </c>
      <c r="BY548" s="71">
        <v>1360</v>
      </c>
      <c r="BZ548" s="71">
        <v>1460</v>
      </c>
      <c r="CA548" s="71">
        <v>1750</v>
      </c>
      <c r="CB548" s="71">
        <v>2100</v>
      </c>
      <c r="CC548" s="71">
        <v>2360</v>
      </c>
      <c r="CD548" s="25"/>
      <c r="CE548" s="200"/>
      <c r="CF548" s="200"/>
      <c r="CG548" s="200"/>
      <c r="CH548" s="200"/>
      <c r="CI548" s="200"/>
      <c r="CJ548" s="200"/>
      <c r="CK548" s="200"/>
      <c r="CL548" s="200"/>
      <c r="CM548" s="200"/>
      <c r="CN548" s="200"/>
      <c r="CO548" s="200"/>
      <c r="CP548" s="200"/>
      <c r="CQ548" s="200"/>
      <c r="CR548" s="200"/>
      <c r="CS548" s="200"/>
      <c r="CT548" s="200"/>
      <c r="CU548" s="200"/>
    </row>
    <row r="549" spans="1:99" s="17" customFormat="1" x14ac:dyDescent="0.2">
      <c r="A549" s="25"/>
      <c r="B549" s="20">
        <v>39045032901</v>
      </c>
      <c r="C549" s="20">
        <v>329.01</v>
      </c>
      <c r="D549" s="20" t="s">
        <v>29</v>
      </c>
      <c r="E549" s="20" t="s">
        <v>2830</v>
      </c>
      <c r="F549" s="20" t="s">
        <v>8</v>
      </c>
      <c r="G549" s="861">
        <v>62.845927508519999</v>
      </c>
      <c r="H549" s="861">
        <v>56.652046223497997</v>
      </c>
      <c r="I549" s="861">
        <v>13.470095281319299</v>
      </c>
      <c r="J549" s="861">
        <v>62.567625153908502</v>
      </c>
      <c r="K549" s="982">
        <v>0</v>
      </c>
      <c r="L549" s="735" t="s">
        <v>2466</v>
      </c>
      <c r="M549" s="735">
        <v>6656</v>
      </c>
      <c r="N549" s="845" t="str">
        <f t="shared" si="53"/>
        <v/>
      </c>
      <c r="O549" s="735">
        <v>7.7431181720753157</v>
      </c>
      <c r="P549" s="735">
        <f t="shared" si="54"/>
        <v>859.60201718270491</v>
      </c>
      <c r="Q549" s="849">
        <v>37.5</v>
      </c>
      <c r="R549" s="71">
        <v>142898</v>
      </c>
      <c r="S549" s="845">
        <v>2.0582932692307692E-2</v>
      </c>
      <c r="T549" s="845">
        <v>7.2999999999999995E-2</v>
      </c>
      <c r="U549" s="845">
        <v>2.5000000000000001E-2</v>
      </c>
      <c r="V549" s="845">
        <v>0</v>
      </c>
      <c r="W549" s="845">
        <v>4.6261682242990654E-2</v>
      </c>
      <c r="X549" s="845">
        <v>0.25252525252525254</v>
      </c>
      <c r="Y549" s="845">
        <v>0.72490985576923073</v>
      </c>
      <c r="Z549" s="845">
        <v>0.19140625</v>
      </c>
      <c r="AA549" s="845">
        <v>0</v>
      </c>
      <c r="AB549" s="845">
        <v>2.013221153846154E-2</v>
      </c>
      <c r="AC549" s="845">
        <v>0</v>
      </c>
      <c r="AD549" s="845">
        <v>0</v>
      </c>
      <c r="AE549" s="845">
        <v>6.3551682692307696E-2</v>
      </c>
      <c r="AF549" s="845">
        <v>1.337139423076923E-2</v>
      </c>
      <c r="AG549" s="845">
        <v>0.72430889423076927</v>
      </c>
      <c r="AH549" s="20" t="str">
        <f t="shared" si="55"/>
        <v>No</v>
      </c>
      <c r="AI549" s="25"/>
      <c r="AJ549" s="20">
        <v>45654</v>
      </c>
      <c r="AK549" s="20" t="s">
        <v>1799</v>
      </c>
      <c r="AL549" s="20">
        <v>39073</v>
      </c>
      <c r="AM549" s="20" t="s">
        <v>43</v>
      </c>
      <c r="AN549" s="37">
        <f t="shared" si="56"/>
        <v>18140</v>
      </c>
      <c r="AO549" s="37" t="str">
        <f t="shared" si="57"/>
        <v>Columbus, OH</v>
      </c>
      <c r="AP549" s="20" t="s">
        <v>8</v>
      </c>
      <c r="AQ549" s="25"/>
      <c r="AR549" s="25"/>
      <c r="AS549" s="25"/>
      <c r="AT549" s="25"/>
      <c r="AU549" s="36"/>
      <c r="AV549" s="36"/>
      <c r="AW549" s="36"/>
      <c r="AX549" s="25"/>
      <c r="AY549" s="25"/>
      <c r="AZ549" s="25"/>
      <c r="BA549" s="25"/>
      <c r="BB549" s="25"/>
      <c r="BC549" s="25"/>
      <c r="BD549" s="25"/>
      <c r="BE549" s="25"/>
      <c r="BF549" s="25"/>
      <c r="BG549" s="25"/>
      <c r="BH549" s="25"/>
      <c r="BI549" s="25"/>
      <c r="BJ549" s="25"/>
      <c r="BK549" s="25"/>
      <c r="BL549" s="25"/>
      <c r="BM549" s="25"/>
      <c r="BN549" s="25"/>
      <c r="BO549" s="25"/>
      <c r="BP549" s="25"/>
      <c r="BQ549" s="25"/>
      <c r="BR549" s="25"/>
      <c r="BS549" s="25"/>
      <c r="BT549" s="25"/>
      <c r="BU549" s="39">
        <v>43314</v>
      </c>
      <c r="BV549" s="39" t="s">
        <v>869</v>
      </c>
      <c r="BW549" s="39" t="s">
        <v>2882</v>
      </c>
      <c r="BX549" s="39" t="s">
        <v>303</v>
      </c>
      <c r="BY549" s="71">
        <v>800</v>
      </c>
      <c r="BZ549" s="71">
        <v>870</v>
      </c>
      <c r="CA549" s="71">
        <v>1070</v>
      </c>
      <c r="CB549" s="71">
        <v>1280</v>
      </c>
      <c r="CC549" s="71">
        <v>1430</v>
      </c>
      <c r="CD549" s="25"/>
      <c r="CE549" s="200"/>
      <c r="CF549" s="200"/>
      <c r="CG549" s="200"/>
      <c r="CH549" s="200"/>
      <c r="CI549" s="200"/>
      <c r="CJ549" s="200"/>
      <c r="CK549" s="200"/>
      <c r="CL549" s="200"/>
      <c r="CM549" s="200"/>
      <c r="CN549" s="200"/>
      <c r="CO549" s="200"/>
      <c r="CP549" s="200"/>
      <c r="CQ549" s="200"/>
      <c r="CR549" s="200"/>
      <c r="CS549" s="200"/>
      <c r="CT549" s="200"/>
      <c r="CU549" s="200"/>
    </row>
    <row r="550" spans="1:99" s="17" customFormat="1" x14ac:dyDescent="0.2">
      <c r="A550" s="25"/>
      <c r="B550" s="20">
        <v>39061007000</v>
      </c>
      <c r="C550" s="20">
        <v>70</v>
      </c>
      <c r="D550" s="20" t="s">
        <v>37</v>
      </c>
      <c r="E550" s="20" t="s">
        <v>2828</v>
      </c>
      <c r="F550" s="20" t="s">
        <v>8</v>
      </c>
      <c r="G550" s="861">
        <v>62.835139652794098</v>
      </c>
      <c r="H550" s="861">
        <v>83.500255629400797</v>
      </c>
      <c r="I550" s="861">
        <v>36.994163521108902</v>
      </c>
      <c r="J550" s="861">
        <v>50.553681646211402</v>
      </c>
      <c r="K550" s="982">
        <v>0</v>
      </c>
      <c r="L550" s="735">
        <v>2653</v>
      </c>
      <c r="M550" s="735">
        <v>2279</v>
      </c>
      <c r="N550" s="845">
        <f t="shared" si="53"/>
        <v>-0.14097248398039955</v>
      </c>
      <c r="O550" s="735">
        <v>0.71899055938137113</v>
      </c>
      <c r="P550" s="735">
        <f t="shared" si="54"/>
        <v>3169.7217303671991</v>
      </c>
      <c r="Q550" s="849">
        <v>31.9</v>
      </c>
      <c r="R550" s="71">
        <v>70417</v>
      </c>
      <c r="S550" s="845">
        <v>0.14839277851166888</v>
      </c>
      <c r="T550" s="845">
        <v>2.7999999999999997E-2</v>
      </c>
      <c r="U550" s="845">
        <v>0</v>
      </c>
      <c r="V550" s="845">
        <v>8.5000000000000006E-2</v>
      </c>
      <c r="W550" s="845">
        <v>0.58707360861759428</v>
      </c>
      <c r="X550" s="845">
        <v>0.29510703363914376</v>
      </c>
      <c r="Y550" s="845">
        <v>0.67573497147871875</v>
      </c>
      <c r="Z550" s="845">
        <v>0.14304519526107942</v>
      </c>
      <c r="AA550" s="845">
        <v>0</v>
      </c>
      <c r="AB550" s="845">
        <v>0.12198332602018429</v>
      </c>
      <c r="AC550" s="845">
        <v>0</v>
      </c>
      <c r="AD550" s="845">
        <v>1.0969723562966213E-2</v>
      </c>
      <c r="AE550" s="845">
        <v>4.8266783677051339E-2</v>
      </c>
      <c r="AF550" s="845">
        <v>8.2053532250987271E-2</v>
      </c>
      <c r="AG550" s="845">
        <v>0.62044756472136897</v>
      </c>
      <c r="AH550" s="20" t="str">
        <f t="shared" si="55"/>
        <v>No</v>
      </c>
      <c r="AI550" s="25"/>
      <c r="AJ550" s="20">
        <v>45764</v>
      </c>
      <c r="AK550" s="20" t="s">
        <v>1859</v>
      </c>
      <c r="AL550" s="20">
        <v>39073</v>
      </c>
      <c r="AM550" s="20" t="s">
        <v>43</v>
      </c>
      <c r="AN550" s="37">
        <f t="shared" si="56"/>
        <v>18140</v>
      </c>
      <c r="AO550" s="37" t="str">
        <f t="shared" si="57"/>
        <v>Columbus, OH</v>
      </c>
      <c r="AP550" s="20" t="s">
        <v>8</v>
      </c>
      <c r="AQ550" s="25"/>
      <c r="AR550" s="25"/>
      <c r="AS550" s="25"/>
      <c r="AT550" s="25"/>
      <c r="AU550" s="36"/>
      <c r="AV550" s="36"/>
      <c r="AW550" s="36"/>
      <c r="AX550" s="25"/>
      <c r="AY550" s="25"/>
      <c r="AZ550" s="25"/>
      <c r="BA550" s="25"/>
      <c r="BB550" s="25"/>
      <c r="BC550" s="25"/>
      <c r="BD550" s="25"/>
      <c r="BE550" s="25"/>
      <c r="BF550" s="25"/>
      <c r="BG550" s="25"/>
      <c r="BH550" s="25"/>
      <c r="BI550" s="25"/>
      <c r="BJ550" s="25"/>
      <c r="BK550" s="25"/>
      <c r="BL550" s="25"/>
      <c r="BM550" s="25"/>
      <c r="BN550" s="25"/>
      <c r="BO550" s="25"/>
      <c r="BP550" s="25"/>
      <c r="BQ550" s="25"/>
      <c r="BR550" s="25"/>
      <c r="BS550" s="25"/>
      <c r="BT550" s="25"/>
      <c r="BU550" s="39">
        <v>43315</v>
      </c>
      <c r="BV550" s="39" t="s">
        <v>870</v>
      </c>
      <c r="BW550" s="39" t="s">
        <v>2882</v>
      </c>
      <c r="BX550" s="39" t="s">
        <v>303</v>
      </c>
      <c r="BY550" s="71">
        <v>900</v>
      </c>
      <c r="BZ550" s="71">
        <v>960</v>
      </c>
      <c r="CA550" s="71">
        <v>1160</v>
      </c>
      <c r="CB550" s="71">
        <v>1390</v>
      </c>
      <c r="CC550" s="71">
        <v>1560</v>
      </c>
      <c r="CD550" s="25"/>
      <c r="CE550" s="200"/>
      <c r="CF550" s="200"/>
      <c r="CG550" s="200"/>
      <c r="CH550" s="200"/>
      <c r="CI550" s="200"/>
      <c r="CJ550" s="200"/>
      <c r="CK550" s="200"/>
      <c r="CL550" s="200"/>
      <c r="CM550" s="200"/>
      <c r="CN550" s="200"/>
      <c r="CO550" s="200"/>
      <c r="CP550" s="200"/>
      <c r="CQ550" s="200"/>
      <c r="CR550" s="200"/>
      <c r="CS550" s="200"/>
      <c r="CT550" s="200"/>
      <c r="CU550" s="200"/>
    </row>
    <row r="551" spans="1:99" s="17" customFormat="1" x14ac:dyDescent="0.2">
      <c r="A551" s="25"/>
      <c r="B551" s="20">
        <v>39035183605</v>
      </c>
      <c r="C551" s="20">
        <v>1836.05</v>
      </c>
      <c r="D551" s="20" t="s">
        <v>24</v>
      </c>
      <c r="E551" s="20" t="s">
        <v>2829</v>
      </c>
      <c r="F551" s="20" t="s">
        <v>8</v>
      </c>
      <c r="G551" s="861">
        <v>62.834886725216897</v>
      </c>
      <c r="H551" s="861">
        <v>58.2918290900964</v>
      </c>
      <c r="I551" s="861">
        <v>36.917033901928001</v>
      </c>
      <c r="J551" s="861">
        <v>31.271417353678501</v>
      </c>
      <c r="K551" s="982">
        <v>0</v>
      </c>
      <c r="L551" s="735">
        <v>2816</v>
      </c>
      <c r="M551" s="735">
        <v>2639</v>
      </c>
      <c r="N551" s="845">
        <f t="shared" si="53"/>
        <v>-6.2855113636363633E-2</v>
      </c>
      <c r="O551" s="735">
        <v>0.35708001763760994</v>
      </c>
      <c r="P551" s="735">
        <f t="shared" si="54"/>
        <v>7390.5003630817673</v>
      </c>
      <c r="Q551" s="849">
        <v>44.6</v>
      </c>
      <c r="R551" s="71">
        <v>73150</v>
      </c>
      <c r="S551" s="845">
        <v>0.1368909512761021</v>
      </c>
      <c r="T551" s="845">
        <v>0.106</v>
      </c>
      <c r="U551" s="845">
        <v>0</v>
      </c>
      <c r="V551" s="845">
        <v>5.2000000000000005E-2</v>
      </c>
      <c r="W551" s="845">
        <v>0.50124688279301743</v>
      </c>
      <c r="X551" s="845">
        <v>0.57048092868988387</v>
      </c>
      <c r="Y551" s="845">
        <v>0.46798029556650245</v>
      </c>
      <c r="Z551" s="845">
        <v>0.44486547934823795</v>
      </c>
      <c r="AA551" s="845">
        <v>0</v>
      </c>
      <c r="AB551" s="845">
        <v>3.2967032967032968E-2</v>
      </c>
      <c r="AC551" s="845">
        <v>0</v>
      </c>
      <c r="AD551" s="845">
        <v>0</v>
      </c>
      <c r="AE551" s="845">
        <v>5.4187192118226604E-2</v>
      </c>
      <c r="AF551" s="845">
        <v>0</v>
      </c>
      <c r="AG551" s="845">
        <v>0.46798029556650245</v>
      </c>
      <c r="AH551" s="20" t="str">
        <f t="shared" si="55"/>
        <v>No</v>
      </c>
      <c r="AI551" s="25"/>
      <c r="AJ551" s="37">
        <v>43001</v>
      </c>
      <c r="AK551" s="37" t="s">
        <v>728</v>
      </c>
      <c r="AL551" s="37">
        <v>39089</v>
      </c>
      <c r="AM551" s="37" t="s">
        <v>50</v>
      </c>
      <c r="AN551" s="37">
        <f t="shared" si="56"/>
        <v>18140</v>
      </c>
      <c r="AO551" s="37" t="str">
        <f t="shared" si="57"/>
        <v>Columbus, OH</v>
      </c>
      <c r="AP551" s="20" t="s">
        <v>8</v>
      </c>
      <c r="AQ551" s="25"/>
      <c r="AR551" s="25"/>
      <c r="AS551" s="25"/>
      <c r="AT551" s="25"/>
      <c r="AU551" s="36"/>
      <c r="AV551" s="36"/>
      <c r="AW551" s="36"/>
      <c r="AX551" s="25"/>
      <c r="AY551" s="25"/>
      <c r="AZ551" s="25"/>
      <c r="BA551" s="25"/>
      <c r="BB551" s="25"/>
      <c r="BC551" s="25"/>
      <c r="BD551" s="25"/>
      <c r="BE551" s="25"/>
      <c r="BF551" s="25"/>
      <c r="BG551" s="25"/>
      <c r="BH551" s="25"/>
      <c r="BI551" s="25"/>
      <c r="BJ551" s="25"/>
      <c r="BK551" s="25"/>
      <c r="BL551" s="25"/>
      <c r="BM551" s="25"/>
      <c r="BN551" s="25"/>
      <c r="BO551" s="25"/>
      <c r="BP551" s="25"/>
      <c r="BQ551" s="25"/>
      <c r="BR551" s="25"/>
      <c r="BS551" s="25"/>
      <c r="BT551" s="25"/>
      <c r="BU551" s="39">
        <v>43317</v>
      </c>
      <c r="BV551" s="39" t="s">
        <v>872</v>
      </c>
      <c r="BW551" s="39" t="s">
        <v>2882</v>
      </c>
      <c r="BX551" s="39" t="s">
        <v>303</v>
      </c>
      <c r="BY551" s="71">
        <v>940</v>
      </c>
      <c r="BZ551" s="71">
        <v>1010</v>
      </c>
      <c r="CA551" s="71">
        <v>1210</v>
      </c>
      <c r="CB551" s="71">
        <v>1450</v>
      </c>
      <c r="CC551" s="71">
        <v>1630</v>
      </c>
      <c r="CD551" s="25"/>
      <c r="CE551" s="200"/>
      <c r="CF551" s="200"/>
      <c r="CG551" s="200"/>
      <c r="CH551" s="200"/>
      <c r="CI551" s="200"/>
      <c r="CJ551" s="200"/>
      <c r="CK551" s="200"/>
      <c r="CL551" s="200"/>
      <c r="CM551" s="200"/>
      <c r="CN551" s="200"/>
      <c r="CO551" s="200"/>
      <c r="CP551" s="200"/>
      <c r="CQ551" s="200"/>
      <c r="CR551" s="200"/>
      <c r="CS551" s="200"/>
      <c r="CT551" s="200"/>
      <c r="CU551" s="200"/>
    </row>
    <row r="552" spans="1:99" s="17" customFormat="1" x14ac:dyDescent="0.2">
      <c r="A552" s="25"/>
      <c r="B552" s="20">
        <v>39153506400</v>
      </c>
      <c r="C552" s="20">
        <v>5064</v>
      </c>
      <c r="D552" s="20" t="s">
        <v>82</v>
      </c>
      <c r="E552" s="20" t="s">
        <v>2843</v>
      </c>
      <c r="F552" s="20" t="s">
        <v>8</v>
      </c>
      <c r="G552" s="861">
        <v>62.816757521129503</v>
      </c>
      <c r="H552" s="861">
        <v>80.001073781432297</v>
      </c>
      <c r="I552" s="861">
        <v>36.457561013184304</v>
      </c>
      <c r="J552" s="861">
        <v>51.146892416060503</v>
      </c>
      <c r="K552" s="982">
        <v>0</v>
      </c>
      <c r="L552" s="735">
        <v>3071</v>
      </c>
      <c r="M552" s="735">
        <v>2854</v>
      </c>
      <c r="N552" s="845">
        <f t="shared" si="53"/>
        <v>-7.0661022468251386E-2</v>
      </c>
      <c r="O552" s="735">
        <v>0.33828533676164252</v>
      </c>
      <c r="P552" s="735">
        <f t="shared" si="54"/>
        <v>8436.6648206538794</v>
      </c>
      <c r="Q552" s="849">
        <v>42.3</v>
      </c>
      <c r="R552" s="71">
        <v>60285</v>
      </c>
      <c r="S552" s="845">
        <v>0.21416053277252015</v>
      </c>
      <c r="T552" s="845">
        <v>2.5000000000000001E-2</v>
      </c>
      <c r="U552" s="845">
        <v>0</v>
      </c>
      <c r="V552" s="845">
        <v>4.9000000000000002E-2</v>
      </c>
      <c r="W552" s="845">
        <v>0.43647977288857348</v>
      </c>
      <c r="X552" s="845">
        <v>0.38536585365853659</v>
      </c>
      <c r="Y552" s="845">
        <v>0.54274702172389633</v>
      </c>
      <c r="Z552" s="845">
        <v>0.31569726699369305</v>
      </c>
      <c r="AA552" s="845">
        <v>0</v>
      </c>
      <c r="AB552" s="845">
        <v>4.6250875963559916E-2</v>
      </c>
      <c r="AC552" s="845">
        <v>0</v>
      </c>
      <c r="AD552" s="845">
        <v>3.5038542396636299E-3</v>
      </c>
      <c r="AE552" s="845">
        <v>9.1800981079187105E-2</v>
      </c>
      <c r="AF552" s="845">
        <v>6.657323055360897E-3</v>
      </c>
      <c r="AG552" s="845">
        <v>0.54274702172389633</v>
      </c>
      <c r="AH552" s="20" t="str">
        <f t="shared" si="55"/>
        <v>No</v>
      </c>
      <c r="AI552" s="25"/>
      <c r="AJ552" s="20">
        <v>43008</v>
      </c>
      <c r="AK552" s="20" t="s">
        <v>735</v>
      </c>
      <c r="AL552" s="20">
        <v>39089</v>
      </c>
      <c r="AM552" s="20" t="s">
        <v>50</v>
      </c>
      <c r="AN552" s="37">
        <f t="shared" si="56"/>
        <v>18140</v>
      </c>
      <c r="AO552" s="37" t="str">
        <f t="shared" si="57"/>
        <v>Columbus, OH</v>
      </c>
      <c r="AP552" s="20" t="s">
        <v>8</v>
      </c>
      <c r="AQ552" s="25"/>
      <c r="AR552" s="25"/>
      <c r="AS552" s="25"/>
      <c r="AT552" s="25"/>
      <c r="AU552" s="36"/>
      <c r="AV552" s="36"/>
      <c r="AW552" s="36"/>
      <c r="AX552" s="25"/>
      <c r="AY552" s="25"/>
      <c r="AZ552" s="25"/>
      <c r="BA552" s="25"/>
      <c r="BB552" s="25"/>
      <c r="BC552" s="25"/>
      <c r="BD552" s="25"/>
      <c r="BE552" s="25"/>
      <c r="BF552" s="25"/>
      <c r="BG552" s="25"/>
      <c r="BH552" s="25"/>
      <c r="BI552" s="25"/>
      <c r="BJ552" s="25"/>
      <c r="BK552" s="25"/>
      <c r="BL552" s="25"/>
      <c r="BM552" s="25"/>
      <c r="BN552" s="25"/>
      <c r="BO552" s="25"/>
      <c r="BP552" s="25"/>
      <c r="BQ552" s="25"/>
      <c r="BR552" s="25"/>
      <c r="BS552" s="25"/>
      <c r="BT552" s="25"/>
      <c r="BU552" s="39">
        <v>43320</v>
      </c>
      <c r="BV552" s="39" t="s">
        <v>875</v>
      </c>
      <c r="BW552" s="39" t="s">
        <v>2882</v>
      </c>
      <c r="BX552" s="39" t="s">
        <v>303</v>
      </c>
      <c r="BY552" s="71">
        <v>910</v>
      </c>
      <c r="BZ552" s="71">
        <v>990</v>
      </c>
      <c r="CA552" s="71">
        <v>1190</v>
      </c>
      <c r="CB552" s="71">
        <v>1440</v>
      </c>
      <c r="CC552" s="71">
        <v>1600</v>
      </c>
      <c r="CD552" s="25"/>
      <c r="CE552" s="200"/>
      <c r="CF552" s="200"/>
      <c r="CG552" s="200"/>
      <c r="CH552" s="200"/>
      <c r="CI552" s="200"/>
      <c r="CJ552" s="200"/>
      <c r="CK552" s="200"/>
      <c r="CL552" s="200"/>
      <c r="CM552" s="200"/>
      <c r="CN552" s="200"/>
      <c r="CO552" s="200"/>
      <c r="CP552" s="200"/>
      <c r="CQ552" s="200"/>
      <c r="CR552" s="200"/>
      <c r="CS552" s="200"/>
      <c r="CT552" s="200"/>
      <c r="CU552" s="200"/>
    </row>
    <row r="553" spans="1:99" s="17" customFormat="1" x14ac:dyDescent="0.2">
      <c r="A553" s="25"/>
      <c r="B553" s="20">
        <v>39035161200</v>
      </c>
      <c r="C553" s="20">
        <v>1612</v>
      </c>
      <c r="D553" s="20" t="s">
        <v>24</v>
      </c>
      <c r="E553" s="20" t="s">
        <v>2829</v>
      </c>
      <c r="F553" s="20" t="s">
        <v>8</v>
      </c>
      <c r="G553" s="861">
        <v>62.8113717720694</v>
      </c>
      <c r="H553" s="861">
        <v>56.283206229936297</v>
      </c>
      <c r="I553" s="861">
        <v>37.614447319201297</v>
      </c>
      <c r="J553" s="861">
        <v>42.294291187294903</v>
      </c>
      <c r="K553" s="982">
        <v>0</v>
      </c>
      <c r="L553" s="735">
        <v>2906</v>
      </c>
      <c r="M553" s="735">
        <v>2900</v>
      </c>
      <c r="N553" s="845">
        <f t="shared" si="53"/>
        <v>-2.0646937370956643E-3</v>
      </c>
      <c r="O553" s="735">
        <v>0.27303059704007676</v>
      </c>
      <c r="P553" s="735">
        <f t="shared" si="54"/>
        <v>10621.520193849643</v>
      </c>
      <c r="Q553" s="849">
        <v>35.9</v>
      </c>
      <c r="R553" s="71">
        <v>64088</v>
      </c>
      <c r="S553" s="845">
        <v>0.10689170182841069</v>
      </c>
      <c r="T553" s="845">
        <v>2.2000000000000002E-2</v>
      </c>
      <c r="U553" s="845">
        <v>0</v>
      </c>
      <c r="V553" s="845">
        <v>0.10099999999999999</v>
      </c>
      <c r="W553" s="845">
        <v>0.43862167982771</v>
      </c>
      <c r="X553" s="845">
        <v>0.25531914893617019</v>
      </c>
      <c r="Y553" s="845">
        <v>0.86241379310344823</v>
      </c>
      <c r="Z553" s="845">
        <v>3.1379310344827584E-2</v>
      </c>
      <c r="AA553" s="845">
        <v>0</v>
      </c>
      <c r="AB553" s="845">
        <v>1.6206896551724137E-2</v>
      </c>
      <c r="AC553" s="845">
        <v>0</v>
      </c>
      <c r="AD553" s="845">
        <v>0</v>
      </c>
      <c r="AE553" s="845">
        <v>0.09</v>
      </c>
      <c r="AF553" s="845">
        <v>1.2758620689655173E-2</v>
      </c>
      <c r="AG553" s="845">
        <v>0.84965517241379307</v>
      </c>
      <c r="AH553" s="20" t="str">
        <f t="shared" si="55"/>
        <v>No</v>
      </c>
      <c r="AI553" s="25"/>
      <c r="AJ553" s="20">
        <v>43011</v>
      </c>
      <c r="AK553" s="20" t="s">
        <v>738</v>
      </c>
      <c r="AL553" s="20">
        <v>39089</v>
      </c>
      <c r="AM553" s="20" t="s">
        <v>50</v>
      </c>
      <c r="AN553" s="37">
        <f t="shared" si="56"/>
        <v>18140</v>
      </c>
      <c r="AO553" s="37" t="str">
        <f t="shared" si="57"/>
        <v>Columbus, OH</v>
      </c>
      <c r="AP553" s="20" t="s">
        <v>8</v>
      </c>
      <c r="AQ553" s="25"/>
      <c r="AR553" s="25"/>
      <c r="AS553" s="25"/>
      <c r="AT553" s="25"/>
      <c r="AU553" s="36"/>
      <c r="AV553" s="36"/>
      <c r="AW553" s="36"/>
      <c r="AX553" s="25"/>
      <c r="AY553" s="25"/>
      <c r="AZ553" s="25"/>
      <c r="BA553" s="25"/>
      <c r="BB553" s="25"/>
      <c r="BC553" s="25"/>
      <c r="BD553" s="25"/>
      <c r="BE553" s="25"/>
      <c r="BF553" s="25"/>
      <c r="BG553" s="25"/>
      <c r="BH553" s="25"/>
      <c r="BI553" s="25"/>
      <c r="BJ553" s="25"/>
      <c r="BK553" s="25"/>
      <c r="BL553" s="25"/>
      <c r="BM553" s="25"/>
      <c r="BN553" s="25"/>
      <c r="BO553" s="25"/>
      <c r="BP553" s="25"/>
      <c r="BQ553" s="25"/>
      <c r="BR553" s="25"/>
      <c r="BS553" s="25"/>
      <c r="BT553" s="25"/>
      <c r="BU553" s="39">
        <v>43321</v>
      </c>
      <c r="BV553" s="39" t="s">
        <v>876</v>
      </c>
      <c r="BW553" s="39" t="s">
        <v>2882</v>
      </c>
      <c r="BX553" s="39" t="s">
        <v>303</v>
      </c>
      <c r="BY553" s="71">
        <v>850</v>
      </c>
      <c r="BZ553" s="71">
        <v>920</v>
      </c>
      <c r="CA553" s="71">
        <v>1100</v>
      </c>
      <c r="CB553" s="71">
        <v>1320</v>
      </c>
      <c r="CC553" s="71">
        <v>1480</v>
      </c>
      <c r="CD553" s="25"/>
      <c r="CE553" s="200"/>
      <c r="CF553" s="200"/>
      <c r="CG553" s="200"/>
      <c r="CH553" s="200"/>
      <c r="CI553" s="200"/>
      <c r="CJ553" s="200"/>
      <c r="CK553" s="200"/>
      <c r="CL553" s="200"/>
      <c r="CM553" s="200"/>
      <c r="CN553" s="200"/>
      <c r="CO553" s="200"/>
      <c r="CP553" s="200"/>
      <c r="CQ553" s="200"/>
      <c r="CR553" s="200"/>
      <c r="CS553" s="200"/>
      <c r="CT553" s="200"/>
      <c r="CU553" s="200"/>
    </row>
    <row r="554" spans="1:99" s="17" customFormat="1" x14ac:dyDescent="0.2">
      <c r="A554" s="25"/>
      <c r="B554" s="20">
        <v>39095008303</v>
      </c>
      <c r="C554" s="20">
        <v>83.03</v>
      </c>
      <c r="D554" s="20" t="s">
        <v>53</v>
      </c>
      <c r="E554" s="20" t="s">
        <v>2839</v>
      </c>
      <c r="F554" s="20" t="s">
        <v>8</v>
      </c>
      <c r="G554" s="861">
        <v>62.8029066897927</v>
      </c>
      <c r="H554" s="861">
        <v>63.1682263769126</v>
      </c>
      <c r="I554" s="861">
        <v>33.9953193474242</v>
      </c>
      <c r="J554" s="861">
        <v>26.348903695865602</v>
      </c>
      <c r="K554" s="982">
        <v>0</v>
      </c>
      <c r="L554" s="735" t="s">
        <v>2466</v>
      </c>
      <c r="M554" s="735">
        <v>3140</v>
      </c>
      <c r="N554" s="845" t="str">
        <f t="shared" si="53"/>
        <v/>
      </c>
      <c r="O554" s="735">
        <v>1.2109225474398029</v>
      </c>
      <c r="P554" s="735">
        <f t="shared" si="54"/>
        <v>2593.0642770165241</v>
      </c>
      <c r="Q554" s="849">
        <v>39.200000000000003</v>
      </c>
      <c r="R554" s="71">
        <v>68708</v>
      </c>
      <c r="S554" s="845">
        <v>0.12834394904458599</v>
      </c>
      <c r="T554" s="845">
        <v>6.4000000000000001E-2</v>
      </c>
      <c r="U554" s="845">
        <v>0</v>
      </c>
      <c r="V554" s="845">
        <v>9.0999999999999998E-2</v>
      </c>
      <c r="W554" s="845">
        <v>0.40730136005726558</v>
      </c>
      <c r="X554" s="845">
        <v>0.42706502636203869</v>
      </c>
      <c r="Y554" s="845">
        <v>0.7974522292993631</v>
      </c>
      <c r="Z554" s="845">
        <v>7.4840764331210188E-2</v>
      </c>
      <c r="AA554" s="845">
        <v>0</v>
      </c>
      <c r="AB554" s="845">
        <v>3.7579617834394903E-2</v>
      </c>
      <c r="AC554" s="845">
        <v>0</v>
      </c>
      <c r="AD554" s="845">
        <v>7.3248407643312103E-3</v>
      </c>
      <c r="AE554" s="845">
        <v>8.2802547770700632E-2</v>
      </c>
      <c r="AF554" s="845">
        <v>0.13343949044585987</v>
      </c>
      <c r="AG554" s="845">
        <v>0.72707006369426752</v>
      </c>
      <c r="AH554" s="20" t="str">
        <f t="shared" si="55"/>
        <v>No</v>
      </c>
      <c r="AI554" s="25"/>
      <c r="AJ554" s="20">
        <v>43013</v>
      </c>
      <c r="AK554" s="20" t="s">
        <v>739</v>
      </c>
      <c r="AL554" s="20">
        <v>39089</v>
      </c>
      <c r="AM554" s="20" t="s">
        <v>50</v>
      </c>
      <c r="AN554" s="37">
        <f t="shared" si="56"/>
        <v>18140</v>
      </c>
      <c r="AO554" s="37" t="str">
        <f t="shared" si="57"/>
        <v>Columbus, OH</v>
      </c>
      <c r="AP554" s="20" t="s">
        <v>8</v>
      </c>
      <c r="AQ554" s="25"/>
      <c r="AR554" s="25"/>
      <c r="AS554" s="25"/>
      <c r="AT554" s="25"/>
      <c r="AU554" s="36"/>
      <c r="AV554" s="36"/>
      <c r="AW554" s="36"/>
      <c r="AX554" s="25"/>
      <c r="AY554" s="25"/>
      <c r="AZ554" s="25"/>
      <c r="BA554" s="25"/>
      <c r="BB554" s="25"/>
      <c r="BC554" s="25"/>
      <c r="BD554" s="25"/>
      <c r="BE554" s="25"/>
      <c r="BF554" s="25"/>
      <c r="BG554" s="25"/>
      <c r="BH554" s="25"/>
      <c r="BI554" s="25"/>
      <c r="BJ554" s="25"/>
      <c r="BK554" s="25"/>
      <c r="BL554" s="25"/>
      <c r="BM554" s="25"/>
      <c r="BN554" s="25"/>
      <c r="BO554" s="25"/>
      <c r="BP554" s="25"/>
      <c r="BQ554" s="25"/>
      <c r="BR554" s="25"/>
      <c r="BS554" s="25"/>
      <c r="BT554" s="25"/>
      <c r="BU554" s="39">
        <v>43325</v>
      </c>
      <c r="BV554" s="39" t="s">
        <v>880</v>
      </c>
      <c r="BW554" s="39" t="s">
        <v>2882</v>
      </c>
      <c r="BX554" s="39" t="s">
        <v>303</v>
      </c>
      <c r="BY554" s="71">
        <v>800</v>
      </c>
      <c r="BZ554" s="71">
        <v>870</v>
      </c>
      <c r="CA554" s="71">
        <v>1070</v>
      </c>
      <c r="CB554" s="71">
        <v>1300</v>
      </c>
      <c r="CC554" s="71">
        <v>1430</v>
      </c>
      <c r="CD554" s="25"/>
      <c r="CE554" s="200"/>
      <c r="CF554" s="200"/>
      <c r="CG554" s="200"/>
      <c r="CH554" s="200"/>
      <c r="CI554" s="200"/>
      <c r="CJ554" s="200"/>
      <c r="CK554" s="200"/>
      <c r="CL554" s="200"/>
      <c r="CM554" s="200"/>
      <c r="CN554" s="200"/>
      <c r="CO554" s="200"/>
      <c r="CP554" s="200"/>
      <c r="CQ554" s="200"/>
      <c r="CR554" s="200"/>
      <c r="CS554" s="200"/>
      <c r="CT554" s="200"/>
      <c r="CU554" s="200"/>
    </row>
    <row r="555" spans="1:99" s="17" customFormat="1" x14ac:dyDescent="0.2">
      <c r="A555" s="25"/>
      <c r="B555" s="20">
        <v>39061005701</v>
      </c>
      <c r="C555" s="20">
        <v>57.01</v>
      </c>
      <c r="D555" s="20" t="s">
        <v>37</v>
      </c>
      <c r="E555" s="20" t="s">
        <v>2828</v>
      </c>
      <c r="F555" s="20" t="s">
        <v>8</v>
      </c>
      <c r="G555" s="861">
        <v>62.7796538130629</v>
      </c>
      <c r="H555" s="861">
        <v>73.782340997245598</v>
      </c>
      <c r="I555" s="861">
        <v>37.249989410133402</v>
      </c>
      <c r="J555" s="861">
        <v>38.405209578194601</v>
      </c>
      <c r="K555" s="982">
        <v>0</v>
      </c>
      <c r="L555" s="735">
        <v>3067</v>
      </c>
      <c r="M555" s="735">
        <v>3398</v>
      </c>
      <c r="N555" s="845">
        <f t="shared" si="53"/>
        <v>0.10792305184219107</v>
      </c>
      <c r="O555" s="735">
        <v>0.64796050357157819</v>
      </c>
      <c r="P555" s="735">
        <f t="shared" si="54"/>
        <v>5244.1467979454301</v>
      </c>
      <c r="Q555" s="849">
        <v>34.6</v>
      </c>
      <c r="R555" s="71">
        <v>68211</v>
      </c>
      <c r="S555" s="845">
        <v>0.19852507374631267</v>
      </c>
      <c r="T555" s="845">
        <v>4.5999999999999999E-2</v>
      </c>
      <c r="U555" s="845">
        <v>0</v>
      </c>
      <c r="V555" s="845">
        <v>0</v>
      </c>
      <c r="W555" s="845">
        <v>0.5240071132187315</v>
      </c>
      <c r="X555" s="845">
        <v>0.33144796380090497</v>
      </c>
      <c r="Y555" s="845">
        <v>0.67686874632136551</v>
      </c>
      <c r="Z555" s="845">
        <v>0.18746321365509122</v>
      </c>
      <c r="AA555" s="845">
        <v>0</v>
      </c>
      <c r="AB555" s="845">
        <v>7.6515597410241314E-3</v>
      </c>
      <c r="AC555" s="845">
        <v>0</v>
      </c>
      <c r="AD555" s="845">
        <v>6.2389640965273691E-2</v>
      </c>
      <c r="AE555" s="845">
        <v>6.5626839317245445E-2</v>
      </c>
      <c r="AF555" s="845">
        <v>1.5891701000588582E-2</v>
      </c>
      <c r="AG555" s="845">
        <v>0.66127133608004707</v>
      </c>
      <c r="AH555" s="20" t="str">
        <f t="shared" si="55"/>
        <v>No</v>
      </c>
      <c r="AI555" s="25"/>
      <c r="AJ555" s="37">
        <v>43018</v>
      </c>
      <c r="AK555" s="37" t="s">
        <v>744</v>
      </c>
      <c r="AL555" s="37">
        <v>39089</v>
      </c>
      <c r="AM555" s="37" t="s">
        <v>50</v>
      </c>
      <c r="AN555" s="37">
        <f t="shared" si="56"/>
        <v>18140</v>
      </c>
      <c r="AO555" s="37" t="str">
        <f t="shared" si="57"/>
        <v>Columbus, OH</v>
      </c>
      <c r="AP555" s="20" t="s">
        <v>8</v>
      </c>
      <c r="AQ555" s="25"/>
      <c r="AR555" s="25"/>
      <c r="AS555" s="25"/>
      <c r="AT555" s="25"/>
      <c r="AU555" s="36"/>
      <c r="AV555" s="36"/>
      <c r="AW555" s="36"/>
      <c r="AX555" s="25"/>
      <c r="AY555" s="25"/>
      <c r="AZ555" s="25"/>
      <c r="BA555" s="25"/>
      <c r="BB555" s="25"/>
      <c r="BC555" s="25"/>
      <c r="BD555" s="25"/>
      <c r="BE555" s="25"/>
      <c r="BF555" s="25"/>
      <c r="BG555" s="25"/>
      <c r="BH555" s="25"/>
      <c r="BI555" s="25"/>
      <c r="BJ555" s="25"/>
      <c r="BK555" s="25"/>
      <c r="BL555" s="25"/>
      <c r="BM555" s="25"/>
      <c r="BN555" s="25"/>
      <c r="BO555" s="25"/>
      <c r="BP555" s="25"/>
      <c r="BQ555" s="25"/>
      <c r="BR555" s="25"/>
      <c r="BS555" s="25"/>
      <c r="BT555" s="25"/>
      <c r="BU555" s="39">
        <v>43334</v>
      </c>
      <c r="BV555" s="39" t="s">
        <v>886</v>
      </c>
      <c r="BW555" s="39" t="s">
        <v>2882</v>
      </c>
      <c r="BX555" s="39" t="s">
        <v>303</v>
      </c>
      <c r="BY555" s="71">
        <v>880</v>
      </c>
      <c r="BZ555" s="71">
        <v>940</v>
      </c>
      <c r="CA555" s="71">
        <v>1130</v>
      </c>
      <c r="CB555" s="71">
        <v>1350</v>
      </c>
      <c r="CC555" s="71">
        <v>1520</v>
      </c>
      <c r="CD555" s="25"/>
      <c r="CE555" s="200"/>
      <c r="CF555" s="200"/>
      <c r="CG555" s="200"/>
      <c r="CH555" s="200"/>
      <c r="CI555" s="200"/>
      <c r="CJ555" s="200"/>
      <c r="CK555" s="200"/>
      <c r="CL555" s="200"/>
      <c r="CM555" s="200"/>
      <c r="CN555" s="200"/>
      <c r="CO555" s="200"/>
      <c r="CP555" s="200"/>
      <c r="CQ555" s="200"/>
      <c r="CR555" s="200"/>
      <c r="CS555" s="200"/>
      <c r="CT555" s="200"/>
      <c r="CU555" s="200"/>
    </row>
    <row r="556" spans="1:99" s="17" customFormat="1" x14ac:dyDescent="0.2">
      <c r="A556" s="25"/>
      <c r="B556" s="20">
        <v>39035138105</v>
      </c>
      <c r="C556" s="20">
        <v>1381.05</v>
      </c>
      <c r="D556" s="20" t="s">
        <v>24</v>
      </c>
      <c r="E556" s="20" t="s">
        <v>2829</v>
      </c>
      <c r="F556" s="20" t="s">
        <v>8</v>
      </c>
      <c r="G556" s="861">
        <v>62.779376304200603</v>
      </c>
      <c r="H556" s="861">
        <v>57.359612888719298</v>
      </c>
      <c r="I556" s="861">
        <v>39.902633007558002</v>
      </c>
      <c r="J556" s="861">
        <v>62.742826958432502</v>
      </c>
      <c r="K556" s="982">
        <v>0</v>
      </c>
      <c r="L556" s="735">
        <v>1310</v>
      </c>
      <c r="M556" s="735">
        <v>1300</v>
      </c>
      <c r="N556" s="845">
        <f t="shared" si="53"/>
        <v>-7.6335877862595417E-3</v>
      </c>
      <c r="O556" s="735">
        <v>1.5461989900795337</v>
      </c>
      <c r="P556" s="735">
        <f t="shared" si="54"/>
        <v>840.77147142175431</v>
      </c>
      <c r="Q556" s="849">
        <v>32.799999999999997</v>
      </c>
      <c r="R556" s="71">
        <v>65697</v>
      </c>
      <c r="S556" s="845">
        <v>0.13962558502340094</v>
      </c>
      <c r="T556" s="845">
        <v>1E-3</v>
      </c>
      <c r="U556" s="845">
        <v>0</v>
      </c>
      <c r="V556" s="845">
        <v>0</v>
      </c>
      <c r="W556" s="845">
        <v>0.45896147403685095</v>
      </c>
      <c r="X556" s="845">
        <v>0.41605839416058393</v>
      </c>
      <c r="Y556" s="845">
        <v>0.59615384615384615</v>
      </c>
      <c r="Z556" s="845">
        <v>0.30692307692307691</v>
      </c>
      <c r="AA556" s="845">
        <v>0</v>
      </c>
      <c r="AB556" s="845">
        <v>0.02</v>
      </c>
      <c r="AC556" s="845">
        <v>0</v>
      </c>
      <c r="AD556" s="845">
        <v>0</v>
      </c>
      <c r="AE556" s="845">
        <v>7.6923076923076927E-2</v>
      </c>
      <c r="AF556" s="845">
        <v>6.076923076923077E-2</v>
      </c>
      <c r="AG556" s="845">
        <v>0.53538461538461535</v>
      </c>
      <c r="AH556" s="20" t="str">
        <f t="shared" si="55"/>
        <v>No</v>
      </c>
      <c r="AI556" s="25"/>
      <c r="AJ556" s="20">
        <v>43023</v>
      </c>
      <c r="AK556" s="20" t="s">
        <v>748</v>
      </c>
      <c r="AL556" s="20">
        <v>39089</v>
      </c>
      <c r="AM556" s="20" t="s">
        <v>50</v>
      </c>
      <c r="AN556" s="37">
        <f t="shared" si="56"/>
        <v>18140</v>
      </c>
      <c r="AO556" s="37" t="str">
        <f t="shared" si="57"/>
        <v>Columbus, OH</v>
      </c>
      <c r="AP556" s="20" t="s">
        <v>8</v>
      </c>
      <c r="AQ556" s="25"/>
      <c r="AR556" s="25"/>
      <c r="AS556" s="25"/>
      <c r="AT556" s="25"/>
      <c r="AU556" s="36"/>
      <c r="AV556" s="36"/>
      <c r="AW556" s="36"/>
      <c r="AX556" s="25"/>
      <c r="AY556" s="25"/>
      <c r="AZ556" s="25"/>
      <c r="BA556" s="25"/>
      <c r="BB556" s="25"/>
      <c r="BC556" s="25"/>
      <c r="BD556" s="25"/>
      <c r="BE556" s="25"/>
      <c r="BF556" s="25"/>
      <c r="BG556" s="25"/>
      <c r="BH556" s="25"/>
      <c r="BI556" s="25"/>
      <c r="BJ556" s="25"/>
      <c r="BK556" s="25"/>
      <c r="BL556" s="25"/>
      <c r="BM556" s="25"/>
      <c r="BN556" s="25"/>
      <c r="BO556" s="25"/>
      <c r="BP556" s="25"/>
      <c r="BQ556" s="25"/>
      <c r="BR556" s="25"/>
      <c r="BS556" s="25"/>
      <c r="BT556" s="25"/>
      <c r="BU556" s="39">
        <v>43338</v>
      </c>
      <c r="BV556" s="39" t="s">
        <v>889</v>
      </c>
      <c r="BW556" s="39" t="s">
        <v>2882</v>
      </c>
      <c r="BX556" s="39" t="s">
        <v>303</v>
      </c>
      <c r="BY556" s="71">
        <v>870</v>
      </c>
      <c r="BZ556" s="71">
        <v>930</v>
      </c>
      <c r="CA556" s="71">
        <v>1120</v>
      </c>
      <c r="CB556" s="71">
        <v>1340</v>
      </c>
      <c r="CC556" s="71">
        <v>1510</v>
      </c>
      <c r="CD556" s="25"/>
      <c r="CE556" s="200"/>
      <c r="CF556" s="200"/>
      <c r="CG556" s="200"/>
      <c r="CH556" s="200"/>
      <c r="CI556" s="200"/>
      <c r="CJ556" s="200"/>
      <c r="CK556" s="200"/>
      <c r="CL556" s="200"/>
      <c r="CM556" s="200"/>
      <c r="CN556" s="200"/>
      <c r="CO556" s="200"/>
      <c r="CP556" s="200"/>
      <c r="CQ556" s="200"/>
      <c r="CR556" s="200"/>
      <c r="CS556" s="200"/>
      <c r="CT556" s="200"/>
      <c r="CU556" s="200"/>
    </row>
    <row r="557" spans="1:99" s="17" customFormat="1" x14ac:dyDescent="0.2">
      <c r="A557" s="25"/>
      <c r="B557" s="20">
        <v>39113021000</v>
      </c>
      <c r="C557" s="20">
        <v>210</v>
      </c>
      <c r="D557" s="20" t="s">
        <v>62</v>
      </c>
      <c r="E557" s="20" t="s">
        <v>2833</v>
      </c>
      <c r="F557" s="20" t="s">
        <v>8</v>
      </c>
      <c r="G557" s="861">
        <v>62.779109990957302</v>
      </c>
      <c r="H557" s="861">
        <v>60.358254874212498</v>
      </c>
      <c r="I557" s="861">
        <v>31.790076987410501</v>
      </c>
      <c r="J557" s="861">
        <v>44.666134636077501</v>
      </c>
      <c r="K557" s="982">
        <v>0</v>
      </c>
      <c r="L557" s="735">
        <v>1681</v>
      </c>
      <c r="M557" s="735">
        <v>1783</v>
      </c>
      <c r="N557" s="845">
        <f t="shared" si="53"/>
        <v>6.0678167757287328E-2</v>
      </c>
      <c r="O557" s="735">
        <v>0.65966132948772493</v>
      </c>
      <c r="P557" s="735">
        <f t="shared" si="54"/>
        <v>2702.902110973565</v>
      </c>
      <c r="Q557" s="849">
        <v>34.200000000000003</v>
      </c>
      <c r="R557" s="71">
        <v>60208</v>
      </c>
      <c r="S557" s="845">
        <v>8.1725312145289442E-2</v>
      </c>
      <c r="T557" s="845">
        <v>1.7000000000000001E-2</v>
      </c>
      <c r="U557" s="845">
        <v>0</v>
      </c>
      <c r="V557" s="845">
        <v>0</v>
      </c>
      <c r="W557" s="845">
        <v>0.40620782726045884</v>
      </c>
      <c r="X557" s="845">
        <v>0.4850498338870432</v>
      </c>
      <c r="Y557" s="845">
        <v>0.84744812114413914</v>
      </c>
      <c r="Z557" s="845">
        <v>4.7672462142456531E-2</v>
      </c>
      <c r="AA557" s="845">
        <v>0</v>
      </c>
      <c r="AB557" s="845">
        <v>1.2899607403252944E-2</v>
      </c>
      <c r="AC557" s="845">
        <v>0</v>
      </c>
      <c r="AD557" s="845">
        <v>8.9736399326977006E-3</v>
      </c>
      <c r="AE557" s="845">
        <v>8.3006169377453726E-2</v>
      </c>
      <c r="AF557" s="845">
        <v>1.6825574873808188E-2</v>
      </c>
      <c r="AG557" s="845">
        <v>0.83791362871564778</v>
      </c>
      <c r="AH557" s="20" t="str">
        <f t="shared" si="55"/>
        <v>No</v>
      </c>
      <c r="AI557" s="25"/>
      <c r="AJ557" s="37">
        <v>43025</v>
      </c>
      <c r="AK557" s="37" t="s">
        <v>749</v>
      </c>
      <c r="AL557" s="37">
        <v>39089</v>
      </c>
      <c r="AM557" s="37" t="s">
        <v>50</v>
      </c>
      <c r="AN557" s="37">
        <f t="shared" si="56"/>
        <v>18140</v>
      </c>
      <c r="AO557" s="37" t="str">
        <f t="shared" si="57"/>
        <v>Columbus, OH</v>
      </c>
      <c r="AP557" s="20" t="s">
        <v>8</v>
      </c>
      <c r="AQ557" s="25"/>
      <c r="AR557" s="25"/>
      <c r="AS557" s="25"/>
      <c r="AT557" s="25"/>
      <c r="AU557" s="36"/>
      <c r="AV557" s="36"/>
      <c r="AW557" s="36"/>
      <c r="AX557" s="25"/>
      <c r="AY557" s="25"/>
      <c r="AZ557" s="25"/>
      <c r="BA557" s="25"/>
      <c r="BB557" s="25"/>
      <c r="BC557" s="25"/>
      <c r="BD557" s="25"/>
      <c r="BE557" s="25"/>
      <c r="BF557" s="25"/>
      <c r="BG557" s="25"/>
      <c r="BH557" s="25"/>
      <c r="BI557" s="25"/>
      <c r="BJ557" s="25"/>
      <c r="BK557" s="25"/>
      <c r="BL557" s="25"/>
      <c r="BM557" s="25"/>
      <c r="BN557" s="25"/>
      <c r="BO557" s="25"/>
      <c r="BP557" s="25"/>
      <c r="BQ557" s="25"/>
      <c r="BR557" s="25"/>
      <c r="BS557" s="25"/>
      <c r="BT557" s="25"/>
      <c r="BU557" s="39">
        <v>43342</v>
      </c>
      <c r="BV557" s="39" t="s">
        <v>892</v>
      </c>
      <c r="BW557" s="39" t="s">
        <v>2882</v>
      </c>
      <c r="BX557" s="39" t="s">
        <v>303</v>
      </c>
      <c r="BY557" s="71">
        <v>950</v>
      </c>
      <c r="BZ557" s="71">
        <v>950</v>
      </c>
      <c r="CA557" s="71">
        <v>1250</v>
      </c>
      <c r="CB557" s="71">
        <v>1500</v>
      </c>
      <c r="CC557" s="71">
        <v>1660</v>
      </c>
      <c r="CD557" s="25"/>
      <c r="CE557" s="200"/>
      <c r="CF557" s="200"/>
      <c r="CG557" s="200"/>
      <c r="CH557" s="200"/>
      <c r="CI557" s="200"/>
      <c r="CJ557" s="200"/>
      <c r="CK557" s="200"/>
      <c r="CL557" s="200"/>
      <c r="CM557" s="200"/>
      <c r="CN557" s="200"/>
      <c r="CO557" s="200"/>
      <c r="CP557" s="200"/>
      <c r="CQ557" s="200"/>
      <c r="CR557" s="200"/>
      <c r="CS557" s="200"/>
      <c r="CT557" s="200"/>
      <c r="CU557" s="200"/>
    </row>
    <row r="558" spans="1:99" s="17" customFormat="1" x14ac:dyDescent="0.2">
      <c r="A558" s="25"/>
      <c r="B558" s="20">
        <v>39153530401</v>
      </c>
      <c r="C558" s="20">
        <v>5304.01</v>
      </c>
      <c r="D558" s="20" t="s">
        <v>82</v>
      </c>
      <c r="E558" s="20" t="s">
        <v>2843</v>
      </c>
      <c r="F558" s="20" t="s">
        <v>8</v>
      </c>
      <c r="G558" s="861">
        <v>62.759029575851997</v>
      </c>
      <c r="H558" s="861">
        <v>63.386272836716003</v>
      </c>
      <c r="I558" s="861">
        <v>25.968181637842498</v>
      </c>
      <c r="J558" s="861">
        <v>42.6971439222961</v>
      </c>
      <c r="K558" s="982">
        <v>0</v>
      </c>
      <c r="L558" s="735">
        <v>3585</v>
      </c>
      <c r="M558" s="735">
        <v>3399</v>
      </c>
      <c r="N558" s="845">
        <f t="shared" si="53"/>
        <v>-5.1882845188284517E-2</v>
      </c>
      <c r="O558" s="735">
        <v>1.1484886700889141</v>
      </c>
      <c r="P558" s="735">
        <f t="shared" si="54"/>
        <v>2959.5416032592252</v>
      </c>
      <c r="Q558" s="849">
        <v>47.9</v>
      </c>
      <c r="R558" s="71">
        <v>111172</v>
      </c>
      <c r="S558" s="845">
        <v>4.7232250300842361E-2</v>
      </c>
      <c r="T558" s="845">
        <v>3.5000000000000003E-2</v>
      </c>
      <c r="U558" s="845">
        <v>2.7999999999999997E-2</v>
      </c>
      <c r="V558" s="845">
        <v>0</v>
      </c>
      <c r="W558" s="845">
        <v>0.23197026022304831</v>
      </c>
      <c r="X558" s="845">
        <v>0.59615384615384615</v>
      </c>
      <c r="Y558" s="845">
        <v>0.93350985583995294</v>
      </c>
      <c r="Z558" s="845">
        <v>2.0888496616651958E-2</v>
      </c>
      <c r="AA558" s="845">
        <v>0</v>
      </c>
      <c r="AB558" s="845">
        <v>3.295086790232421E-2</v>
      </c>
      <c r="AC558" s="845">
        <v>0</v>
      </c>
      <c r="AD558" s="845">
        <v>2.3536334215945864E-3</v>
      </c>
      <c r="AE558" s="845">
        <v>1.0297146219476317E-2</v>
      </c>
      <c r="AF558" s="845">
        <v>2.3536334215945864E-3</v>
      </c>
      <c r="AG558" s="845">
        <v>0.93350985583995294</v>
      </c>
      <c r="AH558" s="20" t="str">
        <f t="shared" si="55"/>
        <v>Yes</v>
      </c>
      <c r="AI558" s="25"/>
      <c r="AJ558" s="20">
        <v>43027</v>
      </c>
      <c r="AK558" s="20" t="s">
        <v>751</v>
      </c>
      <c r="AL558" s="20">
        <v>39089</v>
      </c>
      <c r="AM558" s="20" t="s">
        <v>50</v>
      </c>
      <c r="AN558" s="37">
        <f t="shared" si="56"/>
        <v>18140</v>
      </c>
      <c r="AO558" s="37" t="str">
        <f t="shared" si="57"/>
        <v>Columbus, OH</v>
      </c>
      <c r="AP558" s="20" t="s">
        <v>8</v>
      </c>
      <c r="AQ558" s="25"/>
      <c r="AR558" s="25"/>
      <c r="AS558" s="25"/>
      <c r="AT558" s="25"/>
      <c r="AU558" s="36"/>
      <c r="AV558" s="36"/>
      <c r="AW558" s="36"/>
      <c r="AX558" s="25"/>
      <c r="AY558" s="25"/>
      <c r="AZ558" s="25"/>
      <c r="BA558" s="25"/>
      <c r="BB558" s="25"/>
      <c r="BC558" s="25"/>
      <c r="BD558" s="25"/>
      <c r="BE558" s="25"/>
      <c r="BF558" s="25"/>
      <c r="BG558" s="25"/>
      <c r="BH558" s="25"/>
      <c r="BI558" s="25"/>
      <c r="BJ558" s="25"/>
      <c r="BK558" s="25"/>
      <c r="BL558" s="25"/>
      <c r="BM558" s="25"/>
      <c r="BN558" s="25"/>
      <c r="BO558" s="25"/>
      <c r="BP558" s="25"/>
      <c r="BQ558" s="25"/>
      <c r="BR558" s="25"/>
      <c r="BS558" s="25"/>
      <c r="BT558" s="25"/>
      <c r="BU558" s="39">
        <v>43344</v>
      </c>
      <c r="BV558" s="39" t="s">
        <v>894</v>
      </c>
      <c r="BW558" s="39" t="s">
        <v>2882</v>
      </c>
      <c r="BX558" s="39" t="s">
        <v>303</v>
      </c>
      <c r="BY558" s="71">
        <v>800</v>
      </c>
      <c r="BZ558" s="71">
        <v>870</v>
      </c>
      <c r="CA558" s="71">
        <v>1070</v>
      </c>
      <c r="CB558" s="71">
        <v>1280</v>
      </c>
      <c r="CC558" s="71">
        <v>1430</v>
      </c>
      <c r="CD558" s="25"/>
      <c r="CE558" s="200"/>
      <c r="CF558" s="200"/>
      <c r="CG558" s="200"/>
      <c r="CH558" s="200"/>
      <c r="CI558" s="200"/>
      <c r="CJ558" s="200"/>
      <c r="CK558" s="200"/>
      <c r="CL558" s="200"/>
      <c r="CM558" s="200"/>
      <c r="CN558" s="200"/>
      <c r="CO558" s="200"/>
      <c r="CP558" s="200"/>
      <c r="CQ558" s="200"/>
      <c r="CR558" s="200"/>
      <c r="CS558" s="200"/>
      <c r="CT558" s="200"/>
      <c r="CU558" s="200"/>
    </row>
    <row r="559" spans="1:99" s="17" customFormat="1" x14ac:dyDescent="0.2">
      <c r="A559" s="25"/>
      <c r="B559" s="20">
        <v>39099811901</v>
      </c>
      <c r="C559" s="20">
        <v>8119.01</v>
      </c>
      <c r="D559" s="20" t="s">
        <v>55</v>
      </c>
      <c r="E559" s="20" t="s">
        <v>2842</v>
      </c>
      <c r="F559" s="20" t="s">
        <v>8</v>
      </c>
      <c r="G559" s="861">
        <v>62.740728227055897</v>
      </c>
      <c r="H559" s="861">
        <v>60.5508689455908</v>
      </c>
      <c r="I559" s="861">
        <v>26.185217625393701</v>
      </c>
      <c r="J559" s="861">
        <v>31.537070157417801</v>
      </c>
      <c r="K559" s="982">
        <v>0</v>
      </c>
      <c r="L559" s="735">
        <v>4232</v>
      </c>
      <c r="M559" s="735">
        <v>4012</v>
      </c>
      <c r="N559" s="845">
        <f t="shared" si="53"/>
        <v>-5.1984877126654061E-2</v>
      </c>
      <c r="O559" s="735">
        <v>1.937712370424743</v>
      </c>
      <c r="P559" s="735">
        <f t="shared" si="54"/>
        <v>2070.4827306854509</v>
      </c>
      <c r="Q559" s="849">
        <v>42.4</v>
      </c>
      <c r="R559" s="71">
        <v>84375</v>
      </c>
      <c r="S559" s="845">
        <v>8.7487537387836489E-2</v>
      </c>
      <c r="T559" s="845">
        <v>0.04</v>
      </c>
      <c r="U559" s="845">
        <v>0</v>
      </c>
      <c r="V559" s="845">
        <v>8.4000000000000005E-2</v>
      </c>
      <c r="W559" s="845">
        <v>0.17055555555555554</v>
      </c>
      <c r="X559" s="845">
        <v>0.4201954397394137</v>
      </c>
      <c r="Y559" s="845">
        <v>0.89282153539381859</v>
      </c>
      <c r="Z559" s="845">
        <v>2.1684945164506482E-2</v>
      </c>
      <c r="AA559" s="845">
        <v>1.4955134596211365E-2</v>
      </c>
      <c r="AB559" s="845">
        <v>1.8195413758723827E-2</v>
      </c>
      <c r="AC559" s="845">
        <v>0</v>
      </c>
      <c r="AD559" s="845">
        <v>7.9760717846460612E-3</v>
      </c>
      <c r="AE559" s="845">
        <v>4.4366899302093719E-2</v>
      </c>
      <c r="AF559" s="845">
        <v>4.312063808574277E-2</v>
      </c>
      <c r="AG559" s="845">
        <v>0.87936191425722832</v>
      </c>
      <c r="AH559" s="20" t="str">
        <f t="shared" si="55"/>
        <v>No</v>
      </c>
      <c r="AI559" s="25"/>
      <c r="AJ559" s="20">
        <v>43030</v>
      </c>
      <c r="AK559" s="20" t="s">
        <v>754</v>
      </c>
      <c r="AL559" s="20">
        <v>39089</v>
      </c>
      <c r="AM559" s="20" t="s">
        <v>50</v>
      </c>
      <c r="AN559" s="37">
        <f t="shared" si="56"/>
        <v>18140</v>
      </c>
      <c r="AO559" s="37" t="str">
        <f t="shared" si="57"/>
        <v>Columbus, OH</v>
      </c>
      <c r="AP559" s="20" t="s">
        <v>8</v>
      </c>
      <c r="AQ559" s="25"/>
      <c r="AR559" s="25"/>
      <c r="AS559" s="25"/>
      <c r="AT559" s="25"/>
      <c r="AU559" s="36"/>
      <c r="AV559" s="36"/>
      <c r="AW559" s="36"/>
      <c r="AX559" s="25"/>
      <c r="AY559" s="25"/>
      <c r="AZ559" s="25"/>
      <c r="BA559" s="25"/>
      <c r="BB559" s="25"/>
      <c r="BC559" s="25"/>
      <c r="BD559" s="25"/>
      <c r="BE559" s="25"/>
      <c r="BF559" s="25"/>
      <c r="BG559" s="25"/>
      <c r="BH559" s="25"/>
      <c r="BI559" s="25"/>
      <c r="BJ559" s="25"/>
      <c r="BK559" s="25"/>
      <c r="BL559" s="25"/>
      <c r="BM559" s="25"/>
      <c r="BN559" s="25"/>
      <c r="BO559" s="25"/>
      <c r="BP559" s="25"/>
      <c r="BQ559" s="25"/>
      <c r="BR559" s="25"/>
      <c r="BS559" s="25"/>
      <c r="BT559" s="25"/>
      <c r="BU559" s="39">
        <v>43350</v>
      </c>
      <c r="BV559" s="39" t="s">
        <v>899</v>
      </c>
      <c r="BW559" s="39" t="s">
        <v>2882</v>
      </c>
      <c r="BX559" s="39" t="s">
        <v>303</v>
      </c>
      <c r="BY559" s="71">
        <v>1070</v>
      </c>
      <c r="BZ559" s="71">
        <v>1150</v>
      </c>
      <c r="CA559" s="71">
        <v>1380</v>
      </c>
      <c r="CB559" s="71">
        <v>1650</v>
      </c>
      <c r="CC559" s="71">
        <v>1860</v>
      </c>
      <c r="CD559" s="25"/>
      <c r="CE559" s="200"/>
      <c r="CF559" s="200"/>
      <c r="CG559" s="200"/>
      <c r="CH559" s="200"/>
      <c r="CI559" s="200"/>
      <c r="CJ559" s="200"/>
      <c r="CK559" s="200"/>
      <c r="CL559" s="200"/>
      <c r="CM559" s="200"/>
      <c r="CN559" s="200"/>
      <c r="CO559" s="200"/>
      <c r="CP559" s="200"/>
      <c r="CQ559" s="200"/>
      <c r="CR559" s="200"/>
      <c r="CS559" s="200"/>
      <c r="CT559" s="200"/>
      <c r="CU559" s="200"/>
    </row>
    <row r="560" spans="1:99" s="17" customFormat="1" x14ac:dyDescent="0.2">
      <c r="A560" s="25"/>
      <c r="B560" s="20">
        <v>39061026700</v>
      </c>
      <c r="C560" s="20">
        <v>267</v>
      </c>
      <c r="D560" s="20" t="s">
        <v>37</v>
      </c>
      <c r="E560" s="20" t="s">
        <v>2828</v>
      </c>
      <c r="F560" s="20" t="s">
        <v>6</v>
      </c>
      <c r="G560" s="861">
        <v>62.736420546284698</v>
      </c>
      <c r="H560" s="861">
        <v>68.874090514377102</v>
      </c>
      <c r="I560" s="861">
        <v>57.7965630168801</v>
      </c>
      <c r="J560" s="861">
        <v>71.232639542840602</v>
      </c>
      <c r="K560" s="982">
        <v>3</v>
      </c>
      <c r="L560" s="735">
        <v>1235</v>
      </c>
      <c r="M560" s="735">
        <v>1810</v>
      </c>
      <c r="N560" s="845">
        <f t="shared" si="53"/>
        <v>0.46558704453441296</v>
      </c>
      <c r="O560" s="735">
        <v>0.45685885407404442</v>
      </c>
      <c r="P560" s="735">
        <f t="shared" si="54"/>
        <v>3961.8363174081073</v>
      </c>
      <c r="Q560" s="849">
        <v>32.5</v>
      </c>
      <c r="R560" s="71">
        <v>36723</v>
      </c>
      <c r="S560" s="845">
        <v>0.34848484848484851</v>
      </c>
      <c r="T560" s="845">
        <v>2.7000000000000003E-2</v>
      </c>
      <c r="U560" s="845">
        <v>0</v>
      </c>
      <c r="V560" s="845">
        <v>0.113</v>
      </c>
      <c r="W560" s="845">
        <v>0.7165242165242165</v>
      </c>
      <c r="X560" s="845">
        <v>0.39960238568588469</v>
      </c>
      <c r="Y560" s="845">
        <v>0.25027624309392266</v>
      </c>
      <c r="Z560" s="845">
        <v>0.5917127071823205</v>
      </c>
      <c r="AA560" s="845">
        <v>0</v>
      </c>
      <c r="AB560" s="845">
        <v>7.7348066298342545E-3</v>
      </c>
      <c r="AC560" s="845">
        <v>0</v>
      </c>
      <c r="AD560" s="845">
        <v>0</v>
      </c>
      <c r="AE560" s="845">
        <v>0.15027624309392265</v>
      </c>
      <c r="AF560" s="845">
        <v>6.8508287292817674E-2</v>
      </c>
      <c r="AG560" s="845">
        <v>0.25027624309392266</v>
      </c>
      <c r="AH560" s="20" t="str">
        <f t="shared" si="55"/>
        <v>No</v>
      </c>
      <c r="AI560" s="25"/>
      <c r="AJ560" s="37">
        <v>43031</v>
      </c>
      <c r="AK560" s="37" t="s">
        <v>755</v>
      </c>
      <c r="AL560" s="37">
        <v>39089</v>
      </c>
      <c r="AM560" s="37" t="s">
        <v>50</v>
      </c>
      <c r="AN560" s="37">
        <f t="shared" si="56"/>
        <v>18140</v>
      </c>
      <c r="AO560" s="37" t="str">
        <f t="shared" si="57"/>
        <v>Columbus, OH</v>
      </c>
      <c r="AP560" s="20" t="s">
        <v>8</v>
      </c>
      <c r="AQ560" s="25"/>
      <c r="AR560" s="25"/>
      <c r="AS560" s="25"/>
      <c r="AT560" s="25"/>
      <c r="AU560" s="36"/>
      <c r="AV560" s="36"/>
      <c r="AW560" s="36"/>
      <c r="AX560" s="25"/>
      <c r="AY560" s="25"/>
      <c r="AZ560" s="25"/>
      <c r="BA560" s="25"/>
      <c r="BB560" s="25"/>
      <c r="BC560" s="25"/>
      <c r="BD560" s="25"/>
      <c r="BE560" s="25"/>
      <c r="BF560" s="25"/>
      <c r="BG560" s="25"/>
      <c r="BH560" s="25"/>
      <c r="BI560" s="25"/>
      <c r="BJ560" s="25"/>
      <c r="BK560" s="25"/>
      <c r="BL560" s="25"/>
      <c r="BM560" s="25"/>
      <c r="BN560" s="25"/>
      <c r="BO560" s="25"/>
      <c r="BP560" s="25"/>
      <c r="BQ560" s="25"/>
      <c r="BR560" s="25"/>
      <c r="BS560" s="25"/>
      <c r="BT560" s="25"/>
      <c r="BU560" s="39">
        <v>43356</v>
      </c>
      <c r="BV560" s="39" t="s">
        <v>901</v>
      </c>
      <c r="BW560" s="39" t="s">
        <v>2882</v>
      </c>
      <c r="BX560" s="39" t="s">
        <v>303</v>
      </c>
      <c r="BY560" s="71">
        <v>880</v>
      </c>
      <c r="BZ560" s="71">
        <v>890</v>
      </c>
      <c r="CA560" s="71">
        <v>1160</v>
      </c>
      <c r="CB560" s="71">
        <v>1390</v>
      </c>
      <c r="CC560" s="71">
        <v>1540</v>
      </c>
      <c r="CD560" s="25"/>
      <c r="CE560" s="200"/>
      <c r="CF560" s="200"/>
      <c r="CG560" s="200"/>
      <c r="CH560" s="200"/>
      <c r="CI560" s="200"/>
      <c r="CJ560" s="200"/>
      <c r="CK560" s="200"/>
      <c r="CL560" s="200"/>
      <c r="CM560" s="200"/>
      <c r="CN560" s="200"/>
      <c r="CO560" s="200"/>
      <c r="CP560" s="200"/>
      <c r="CQ560" s="200"/>
      <c r="CR560" s="200"/>
      <c r="CS560" s="200"/>
      <c r="CT560" s="200"/>
      <c r="CU560" s="200"/>
    </row>
    <row r="561" spans="1:99" s="17" customFormat="1" x14ac:dyDescent="0.2">
      <c r="A561" s="25"/>
      <c r="B561" s="20">
        <v>39095007003</v>
      </c>
      <c r="C561" s="20">
        <v>70.03</v>
      </c>
      <c r="D561" s="20" t="s">
        <v>53</v>
      </c>
      <c r="E561" s="20" t="s">
        <v>2839</v>
      </c>
      <c r="F561" s="20" t="s">
        <v>8</v>
      </c>
      <c r="G561" s="861">
        <v>62.734451355645</v>
      </c>
      <c r="H561" s="861">
        <v>57.322934906537199</v>
      </c>
      <c r="I561" s="861">
        <v>29.3135856851268</v>
      </c>
      <c r="J561" s="861">
        <v>46.510853817326101</v>
      </c>
      <c r="K561" s="982">
        <v>0</v>
      </c>
      <c r="L561" s="735" t="s">
        <v>2466</v>
      </c>
      <c r="M561" s="735">
        <v>1957</v>
      </c>
      <c r="N561" s="845" t="str">
        <f t="shared" si="53"/>
        <v/>
      </c>
      <c r="O561" s="735">
        <v>0.39163075540142156</v>
      </c>
      <c r="P561" s="735">
        <f t="shared" si="54"/>
        <v>4997.0539162433115</v>
      </c>
      <c r="Q561" s="849">
        <v>31.7</v>
      </c>
      <c r="R561" s="71">
        <v>79293</v>
      </c>
      <c r="S561" s="845">
        <v>3.464322647362978E-2</v>
      </c>
      <c r="T561" s="845">
        <v>2.5000000000000001E-2</v>
      </c>
      <c r="U561" s="845">
        <v>1.4999999999999999E-2</v>
      </c>
      <c r="V561" s="845">
        <v>0</v>
      </c>
      <c r="W561" s="845">
        <v>0.29135802469135802</v>
      </c>
      <c r="X561" s="845">
        <v>0.44491525423728812</v>
      </c>
      <c r="Y561" s="845">
        <v>0.93152784874808381</v>
      </c>
      <c r="Z561" s="845">
        <v>3.6280020439448134E-2</v>
      </c>
      <c r="AA561" s="845">
        <v>7.6647930505876344E-3</v>
      </c>
      <c r="AB561" s="845">
        <v>0</v>
      </c>
      <c r="AC561" s="845">
        <v>0</v>
      </c>
      <c r="AD561" s="845">
        <v>0</v>
      </c>
      <c r="AE561" s="845">
        <v>2.452733776188043E-2</v>
      </c>
      <c r="AF561" s="845">
        <v>4.905467552376086E-2</v>
      </c>
      <c r="AG561" s="845">
        <v>0.91875319366377106</v>
      </c>
      <c r="AH561" s="20" t="str">
        <f t="shared" si="55"/>
        <v>Yes</v>
      </c>
      <c r="AI561" s="25"/>
      <c r="AJ561" s="20">
        <v>43033</v>
      </c>
      <c r="AK561" s="20" t="s">
        <v>757</v>
      </c>
      <c r="AL561" s="20">
        <v>39089</v>
      </c>
      <c r="AM561" s="20" t="s">
        <v>50</v>
      </c>
      <c r="AN561" s="37">
        <f t="shared" si="56"/>
        <v>18140</v>
      </c>
      <c r="AO561" s="37" t="str">
        <f t="shared" si="57"/>
        <v>Columbus, OH</v>
      </c>
      <c r="AP561" s="20" t="s">
        <v>8</v>
      </c>
      <c r="AQ561" s="25"/>
      <c r="AR561" s="25"/>
      <c r="AS561" s="25"/>
      <c r="AT561" s="25"/>
      <c r="AU561" s="36"/>
      <c r="AV561" s="36"/>
      <c r="AW561" s="36"/>
      <c r="AX561" s="25"/>
      <c r="AY561" s="25"/>
      <c r="AZ561" s="25"/>
      <c r="BA561" s="25"/>
      <c r="BB561" s="25"/>
      <c r="BC561" s="25"/>
      <c r="BD561" s="25"/>
      <c r="BE561" s="25"/>
      <c r="BF561" s="25"/>
      <c r="BG561" s="25"/>
      <c r="BH561" s="25"/>
      <c r="BI561" s="25"/>
      <c r="BJ561" s="25"/>
      <c r="BK561" s="25"/>
      <c r="BL561" s="25"/>
      <c r="BM561" s="25"/>
      <c r="BN561" s="25"/>
      <c r="BO561" s="25"/>
      <c r="BP561" s="25"/>
      <c r="BQ561" s="25"/>
      <c r="BR561" s="25"/>
      <c r="BS561" s="25"/>
      <c r="BT561" s="25"/>
      <c r="BU561" s="39">
        <v>43721</v>
      </c>
      <c r="BV561" s="39" t="s">
        <v>1027</v>
      </c>
      <c r="BW561" s="39" t="s">
        <v>2882</v>
      </c>
      <c r="BX561" s="39" t="s">
        <v>303</v>
      </c>
      <c r="BY561" s="71">
        <v>950</v>
      </c>
      <c r="BZ561" s="71">
        <v>980</v>
      </c>
      <c r="CA561" s="71">
        <v>1190</v>
      </c>
      <c r="CB561" s="71">
        <v>1460</v>
      </c>
      <c r="CC561" s="71">
        <v>1690</v>
      </c>
      <c r="CD561" s="25"/>
      <c r="CE561" s="200"/>
      <c r="CF561" s="200"/>
      <c r="CG561" s="200"/>
      <c r="CH561" s="200"/>
      <c r="CI561" s="200"/>
      <c r="CJ561" s="200"/>
      <c r="CK561" s="200"/>
      <c r="CL561" s="200"/>
      <c r="CM561" s="200"/>
      <c r="CN561" s="200"/>
      <c r="CO561" s="200"/>
      <c r="CP561" s="200"/>
      <c r="CQ561" s="200"/>
      <c r="CR561" s="200"/>
      <c r="CS561" s="200"/>
      <c r="CT561" s="200"/>
      <c r="CU561" s="200"/>
    </row>
    <row r="562" spans="1:99" s="17" customFormat="1" x14ac:dyDescent="0.2">
      <c r="A562" s="25"/>
      <c r="B562" s="20">
        <v>39159050702</v>
      </c>
      <c r="C562" s="20">
        <v>507.02</v>
      </c>
      <c r="D562" s="20" t="s">
        <v>85</v>
      </c>
      <c r="E562" s="20" t="s">
        <v>2830</v>
      </c>
      <c r="F562" s="20" t="s">
        <v>8</v>
      </c>
      <c r="G562" s="861">
        <v>62.733983023240299</v>
      </c>
      <c r="H562" s="861">
        <v>60.735684258792801</v>
      </c>
      <c r="I562" s="861">
        <v>17.0096218164657</v>
      </c>
      <c r="J562" s="861">
        <v>24.893076433546302</v>
      </c>
      <c r="K562" s="982">
        <v>0</v>
      </c>
      <c r="L562" s="735" t="s">
        <v>2466</v>
      </c>
      <c r="M562" s="735">
        <v>3079</v>
      </c>
      <c r="N562" s="845" t="str">
        <f t="shared" si="53"/>
        <v/>
      </c>
      <c r="O562" s="735">
        <v>54.152403425512254</v>
      </c>
      <c r="P562" s="735">
        <f t="shared" si="54"/>
        <v>56.858048862692272</v>
      </c>
      <c r="Q562" s="849">
        <v>37.6</v>
      </c>
      <c r="R562" s="71">
        <v>92569</v>
      </c>
      <c r="S562" s="845">
        <v>2.3059434881455017E-2</v>
      </c>
      <c r="T562" s="845">
        <v>4.4999999999999998E-2</v>
      </c>
      <c r="U562" s="845">
        <v>0</v>
      </c>
      <c r="V562" s="845">
        <v>0</v>
      </c>
      <c r="W562" s="845">
        <v>0.16294227188081936</v>
      </c>
      <c r="X562" s="845">
        <v>0.11428571428571428</v>
      </c>
      <c r="Y562" s="845">
        <v>0.82721662877557645</v>
      </c>
      <c r="Z562" s="845">
        <v>3.4101981162715164E-2</v>
      </c>
      <c r="AA562" s="845">
        <v>3.8973692757388761E-3</v>
      </c>
      <c r="AB562" s="845">
        <v>6.4956154595647935E-4</v>
      </c>
      <c r="AC562" s="845">
        <v>0</v>
      </c>
      <c r="AD562" s="845">
        <v>7.6323481649886324E-2</v>
      </c>
      <c r="AE562" s="845">
        <v>5.7810977590126662E-2</v>
      </c>
      <c r="AF562" s="845">
        <v>2.6956804157193894E-2</v>
      </c>
      <c r="AG562" s="845">
        <v>0.82559272491068525</v>
      </c>
      <c r="AH562" s="20" t="str">
        <f t="shared" si="55"/>
        <v>No</v>
      </c>
      <c r="AI562" s="25"/>
      <c r="AJ562" s="37">
        <v>43046</v>
      </c>
      <c r="AK562" s="37" t="s">
        <v>764</v>
      </c>
      <c r="AL562" s="37">
        <v>39089</v>
      </c>
      <c r="AM562" s="37" t="s">
        <v>50</v>
      </c>
      <c r="AN562" s="37">
        <f t="shared" si="56"/>
        <v>18140</v>
      </c>
      <c r="AO562" s="37" t="str">
        <f t="shared" si="57"/>
        <v>Columbus, OH</v>
      </c>
      <c r="AP562" s="20" t="s">
        <v>8</v>
      </c>
      <c r="AQ562" s="25"/>
      <c r="AR562" s="25"/>
      <c r="AS562" s="25"/>
      <c r="AT562" s="25"/>
      <c r="AU562" s="36"/>
      <c r="AV562" s="36"/>
      <c r="AW562" s="36"/>
      <c r="AX562" s="25"/>
      <c r="AY562" s="25"/>
      <c r="AZ562" s="25"/>
      <c r="BA562" s="25"/>
      <c r="BB562" s="25"/>
      <c r="BC562" s="25"/>
      <c r="BD562" s="25"/>
      <c r="BE562" s="25"/>
      <c r="BF562" s="25"/>
      <c r="BG562" s="25"/>
      <c r="BH562" s="25"/>
      <c r="BI562" s="25"/>
      <c r="BJ562" s="25"/>
      <c r="BK562" s="25"/>
      <c r="BL562" s="25"/>
      <c r="BM562" s="25"/>
      <c r="BN562" s="25"/>
      <c r="BO562" s="25"/>
      <c r="BP562" s="25"/>
      <c r="BQ562" s="25"/>
      <c r="BR562" s="25"/>
      <c r="BS562" s="25"/>
      <c r="BT562" s="25"/>
      <c r="BU562" s="39">
        <v>43739</v>
      </c>
      <c r="BV562" s="39" t="s">
        <v>1042</v>
      </c>
      <c r="BW562" s="39" t="s">
        <v>2882</v>
      </c>
      <c r="BX562" s="39" t="s">
        <v>303</v>
      </c>
      <c r="BY562" s="71">
        <v>960</v>
      </c>
      <c r="BZ562" s="71">
        <v>990</v>
      </c>
      <c r="CA562" s="71">
        <v>1200</v>
      </c>
      <c r="CB562" s="71">
        <v>1470</v>
      </c>
      <c r="CC562" s="71">
        <v>1700</v>
      </c>
      <c r="CD562" s="25"/>
      <c r="CE562" s="200"/>
      <c r="CF562" s="200"/>
      <c r="CG562" s="200"/>
      <c r="CH562" s="200"/>
      <c r="CI562" s="200"/>
      <c r="CJ562" s="200"/>
      <c r="CK562" s="200"/>
      <c r="CL562" s="200"/>
      <c r="CM562" s="200"/>
      <c r="CN562" s="200"/>
      <c r="CO562" s="200"/>
      <c r="CP562" s="200"/>
      <c r="CQ562" s="200"/>
      <c r="CR562" s="200"/>
      <c r="CS562" s="200"/>
      <c r="CT562" s="200"/>
      <c r="CU562" s="200"/>
    </row>
    <row r="563" spans="1:99" s="17" customFormat="1" x14ac:dyDescent="0.2">
      <c r="A563" s="25"/>
      <c r="B563" s="20">
        <v>39161020200</v>
      </c>
      <c r="C563" s="20">
        <v>202</v>
      </c>
      <c r="D563" s="20" t="s">
        <v>86</v>
      </c>
      <c r="E563" s="20" t="s">
        <v>265</v>
      </c>
      <c r="F563" s="20" t="s">
        <v>8</v>
      </c>
      <c r="G563" s="861">
        <v>62.728553624146102</v>
      </c>
      <c r="H563" s="861">
        <v>56.552377275604101</v>
      </c>
      <c r="I563" s="861">
        <v>17.3668996425689</v>
      </c>
      <c r="J563" s="861">
        <v>63.045151263889501</v>
      </c>
      <c r="K563" s="982">
        <v>0</v>
      </c>
      <c r="L563" s="735">
        <v>4429</v>
      </c>
      <c r="M563" s="735">
        <v>4631</v>
      </c>
      <c r="N563" s="845">
        <f t="shared" si="53"/>
        <v>4.5608489501016029E-2</v>
      </c>
      <c r="O563" s="735">
        <v>100.89400178752173</v>
      </c>
      <c r="P563" s="735">
        <f t="shared" si="54"/>
        <v>45.899656252635111</v>
      </c>
      <c r="Q563" s="849">
        <v>39.299999999999997</v>
      </c>
      <c r="R563" s="71">
        <v>83125</v>
      </c>
      <c r="S563" s="845">
        <v>0.10415307675581648</v>
      </c>
      <c r="T563" s="845">
        <v>3.6000000000000004E-2</v>
      </c>
      <c r="U563" s="845">
        <v>3.0000000000000001E-3</v>
      </c>
      <c r="V563" s="845">
        <v>1.6E-2</v>
      </c>
      <c r="W563" s="845">
        <v>0.13923337091319052</v>
      </c>
      <c r="X563" s="845">
        <v>0.26720647773279355</v>
      </c>
      <c r="Y563" s="845">
        <v>0.97257611746922912</v>
      </c>
      <c r="Z563" s="845">
        <v>0</v>
      </c>
      <c r="AA563" s="845">
        <v>0</v>
      </c>
      <c r="AB563" s="845">
        <v>9.7171237313755134E-3</v>
      </c>
      <c r="AC563" s="845">
        <v>0</v>
      </c>
      <c r="AD563" s="845">
        <v>3.4549773267112936E-3</v>
      </c>
      <c r="AE563" s="845">
        <v>1.4251781472684086E-2</v>
      </c>
      <c r="AF563" s="845">
        <v>2.9583243359965452E-2</v>
      </c>
      <c r="AG563" s="845">
        <v>0.9531418700064781</v>
      </c>
      <c r="AH563" s="20" t="str">
        <f t="shared" si="55"/>
        <v>Yes</v>
      </c>
      <c r="AI563" s="25"/>
      <c r="AJ563" s="20">
        <v>43055</v>
      </c>
      <c r="AK563" s="20" t="s">
        <v>768</v>
      </c>
      <c r="AL563" s="20">
        <v>39089</v>
      </c>
      <c r="AM563" s="20" t="s">
        <v>50</v>
      </c>
      <c r="AN563" s="37">
        <f t="shared" si="56"/>
        <v>18140</v>
      </c>
      <c r="AO563" s="37" t="str">
        <f t="shared" si="57"/>
        <v>Columbus, OH</v>
      </c>
      <c r="AP563" s="20" t="s">
        <v>8</v>
      </c>
      <c r="AQ563" s="25"/>
      <c r="AR563" s="25"/>
      <c r="AS563" s="25"/>
      <c r="AT563" s="25"/>
      <c r="AU563" s="36"/>
      <c r="AV563" s="36"/>
      <c r="AW563" s="36"/>
      <c r="AX563" s="25"/>
      <c r="AY563" s="25"/>
      <c r="AZ563" s="25"/>
      <c r="BA563" s="25"/>
      <c r="BB563" s="25"/>
      <c r="BC563" s="25"/>
      <c r="BD563" s="25"/>
      <c r="BE563" s="25"/>
      <c r="BF563" s="25"/>
      <c r="BG563" s="25"/>
      <c r="BH563" s="25"/>
      <c r="BI563" s="25"/>
      <c r="BJ563" s="25"/>
      <c r="BK563" s="25"/>
      <c r="BL563" s="25"/>
      <c r="BM563" s="25"/>
      <c r="BN563" s="25"/>
      <c r="BO563" s="25"/>
      <c r="BP563" s="25"/>
      <c r="BQ563" s="25"/>
      <c r="BR563" s="25"/>
      <c r="BS563" s="25"/>
      <c r="BT563" s="25"/>
      <c r="BU563" s="39">
        <v>43740</v>
      </c>
      <c r="BV563" s="39" t="s">
        <v>1043</v>
      </c>
      <c r="BW563" s="39" t="s">
        <v>2882</v>
      </c>
      <c r="BX563" s="39" t="s">
        <v>303</v>
      </c>
      <c r="BY563" s="71">
        <v>920</v>
      </c>
      <c r="BZ563" s="71">
        <v>970</v>
      </c>
      <c r="CA563" s="71">
        <v>1150</v>
      </c>
      <c r="CB563" s="71">
        <v>1450</v>
      </c>
      <c r="CC563" s="71">
        <v>1610</v>
      </c>
      <c r="CD563" s="25"/>
      <c r="CE563" s="200"/>
      <c r="CF563" s="200"/>
      <c r="CG563" s="200"/>
      <c r="CH563" s="200"/>
      <c r="CI563" s="200"/>
      <c r="CJ563" s="200"/>
      <c r="CK563" s="200"/>
      <c r="CL563" s="200"/>
      <c r="CM563" s="200"/>
      <c r="CN563" s="200"/>
      <c r="CO563" s="200"/>
      <c r="CP563" s="200"/>
      <c r="CQ563" s="200"/>
      <c r="CR563" s="200"/>
      <c r="CS563" s="200"/>
      <c r="CT563" s="200"/>
      <c r="CU563" s="200"/>
    </row>
    <row r="564" spans="1:99" s="17" customFormat="1" x14ac:dyDescent="0.2">
      <c r="A564" s="25"/>
      <c r="B564" s="20">
        <v>39113021700</v>
      </c>
      <c r="C564" s="20">
        <v>217</v>
      </c>
      <c r="D564" s="20" t="s">
        <v>62</v>
      </c>
      <c r="E564" s="20" t="s">
        <v>2833</v>
      </c>
      <c r="F564" s="20" t="s">
        <v>8</v>
      </c>
      <c r="G564" s="861">
        <v>62.7264679004846</v>
      </c>
      <c r="H564" s="861">
        <v>47.4916331026904</v>
      </c>
      <c r="I564" s="861">
        <v>39.3476452202476</v>
      </c>
      <c r="J564" s="861">
        <v>48.954259018562098</v>
      </c>
      <c r="K564" s="982">
        <v>0</v>
      </c>
      <c r="L564" s="735">
        <v>2433</v>
      </c>
      <c r="M564" s="735">
        <v>2442</v>
      </c>
      <c r="N564" s="845">
        <f t="shared" si="53"/>
        <v>3.6991368680641184E-3</v>
      </c>
      <c r="O564" s="735">
        <v>0.75607181069259821</v>
      </c>
      <c r="P564" s="735">
        <f t="shared" si="54"/>
        <v>3229.8519339889294</v>
      </c>
      <c r="Q564" s="849">
        <v>42</v>
      </c>
      <c r="R564" s="71">
        <v>54435</v>
      </c>
      <c r="S564" s="845">
        <v>5.4231717337715694E-2</v>
      </c>
      <c r="T564" s="845">
        <v>4.5999999999999999E-2</v>
      </c>
      <c r="U564" s="845">
        <v>0.02</v>
      </c>
      <c r="V564" s="845">
        <v>0</v>
      </c>
      <c r="W564" s="845">
        <v>0.62123613312202852</v>
      </c>
      <c r="X564" s="845">
        <v>0.44260204081632654</v>
      </c>
      <c r="Y564" s="845">
        <v>0.86650286650286645</v>
      </c>
      <c r="Z564" s="845">
        <v>7.2072072072072071E-2</v>
      </c>
      <c r="AA564" s="845">
        <v>0</v>
      </c>
      <c r="AB564" s="845">
        <v>4.5045045045045045E-3</v>
      </c>
      <c r="AC564" s="845">
        <v>0</v>
      </c>
      <c r="AD564" s="845">
        <v>1.8018018018018018E-2</v>
      </c>
      <c r="AE564" s="845">
        <v>3.8902538902538905E-2</v>
      </c>
      <c r="AF564" s="845">
        <v>1.1875511875511875E-2</v>
      </c>
      <c r="AG564" s="845">
        <v>0.85462735462735462</v>
      </c>
      <c r="AH564" s="20" t="str">
        <f t="shared" si="55"/>
        <v>No</v>
      </c>
      <c r="AI564" s="25"/>
      <c r="AJ564" s="37">
        <v>43056</v>
      </c>
      <c r="AK564" s="37" t="s">
        <v>769</v>
      </c>
      <c r="AL564" s="37">
        <v>39089</v>
      </c>
      <c r="AM564" s="37" t="s">
        <v>50</v>
      </c>
      <c r="AN564" s="37">
        <f t="shared" si="56"/>
        <v>18140</v>
      </c>
      <c r="AO564" s="37" t="str">
        <f t="shared" si="57"/>
        <v>Columbus, OH</v>
      </c>
      <c r="AP564" s="20" t="s">
        <v>8</v>
      </c>
      <c r="AQ564" s="25"/>
      <c r="AR564" s="25"/>
      <c r="AS564" s="25"/>
      <c r="AT564" s="25"/>
      <c r="AU564" s="36"/>
      <c r="AV564" s="36"/>
      <c r="AW564" s="36"/>
      <c r="AX564" s="25"/>
      <c r="AY564" s="25"/>
      <c r="AZ564" s="25"/>
      <c r="BA564" s="25"/>
      <c r="BB564" s="25"/>
      <c r="BC564" s="25"/>
      <c r="BD564" s="25"/>
      <c r="BE564" s="25"/>
      <c r="BF564" s="25"/>
      <c r="BG564" s="25"/>
      <c r="BH564" s="25"/>
      <c r="BI564" s="25"/>
      <c r="BJ564" s="25"/>
      <c r="BK564" s="25"/>
      <c r="BL564" s="25"/>
      <c r="BM564" s="25"/>
      <c r="BN564" s="25"/>
      <c r="BO564" s="25"/>
      <c r="BP564" s="25"/>
      <c r="BQ564" s="25"/>
      <c r="BR564" s="25"/>
      <c r="BS564" s="25"/>
      <c r="BT564" s="25"/>
      <c r="BU564" s="39">
        <v>43746</v>
      </c>
      <c r="BV564" s="39" t="s">
        <v>1044</v>
      </c>
      <c r="BW564" s="39" t="s">
        <v>2882</v>
      </c>
      <c r="BX564" s="39" t="s">
        <v>303</v>
      </c>
      <c r="BY564" s="71">
        <v>920</v>
      </c>
      <c r="BZ564" s="71">
        <v>940</v>
      </c>
      <c r="CA564" s="71">
        <v>1130</v>
      </c>
      <c r="CB564" s="71">
        <v>1470</v>
      </c>
      <c r="CC564" s="71">
        <v>1610</v>
      </c>
      <c r="CD564" s="25"/>
      <c r="CE564" s="200"/>
      <c r="CF564" s="200"/>
      <c r="CG564" s="200"/>
      <c r="CH564" s="200"/>
      <c r="CI564" s="200"/>
      <c r="CJ564" s="200"/>
      <c r="CK564" s="200"/>
      <c r="CL564" s="200"/>
      <c r="CM564" s="200"/>
      <c r="CN564" s="200"/>
      <c r="CO564" s="200"/>
      <c r="CP564" s="200"/>
      <c r="CQ564" s="200"/>
      <c r="CR564" s="200"/>
      <c r="CS564" s="200"/>
      <c r="CT564" s="200"/>
      <c r="CU564" s="200"/>
    </row>
    <row r="565" spans="1:99" s="17" customFormat="1" x14ac:dyDescent="0.2">
      <c r="A565" s="25"/>
      <c r="B565" s="20">
        <v>39103403002</v>
      </c>
      <c r="C565" s="20">
        <v>4030.02</v>
      </c>
      <c r="D565" s="20" t="s">
        <v>57</v>
      </c>
      <c r="E565" s="20" t="s">
        <v>2829</v>
      </c>
      <c r="F565" s="20" t="s">
        <v>8</v>
      </c>
      <c r="G565" s="861">
        <v>62.708131867721697</v>
      </c>
      <c r="H565" s="861">
        <v>64.065783828034398</v>
      </c>
      <c r="I565" s="861">
        <v>22.613815720486802</v>
      </c>
      <c r="J565" s="861">
        <v>36.640860433582297</v>
      </c>
      <c r="K565" s="982">
        <v>0</v>
      </c>
      <c r="L565" s="735">
        <v>3187</v>
      </c>
      <c r="M565" s="735">
        <v>3568</v>
      </c>
      <c r="N565" s="845">
        <f t="shared" si="53"/>
        <v>0.11954816441794791</v>
      </c>
      <c r="O565" s="735">
        <v>16.865034951839991</v>
      </c>
      <c r="P565" s="735">
        <f t="shared" si="54"/>
        <v>211.56196890126978</v>
      </c>
      <c r="Q565" s="849">
        <v>49.8</v>
      </c>
      <c r="R565" s="71">
        <v>90625</v>
      </c>
      <c r="S565" s="845">
        <v>2.8867713004484305E-2</v>
      </c>
      <c r="T565" s="845">
        <v>5.2999999999999999E-2</v>
      </c>
      <c r="U565" s="845">
        <v>0</v>
      </c>
      <c r="V565" s="845">
        <v>0</v>
      </c>
      <c r="W565" s="845">
        <v>5.5309734513274339E-2</v>
      </c>
      <c r="X565" s="845">
        <v>0.57333333333333336</v>
      </c>
      <c r="Y565" s="845">
        <v>0.95151345291479816</v>
      </c>
      <c r="Z565" s="845">
        <v>1.2612107623318386E-2</v>
      </c>
      <c r="AA565" s="845">
        <v>3.6434977578475337E-3</v>
      </c>
      <c r="AB565" s="845">
        <v>8.9686098654708519E-3</v>
      </c>
      <c r="AC565" s="845">
        <v>0</v>
      </c>
      <c r="AD565" s="845">
        <v>5.6053811659192824E-4</v>
      </c>
      <c r="AE565" s="845">
        <v>2.2701793721973094E-2</v>
      </c>
      <c r="AF565" s="845">
        <v>2.3262331838565024E-2</v>
      </c>
      <c r="AG565" s="845">
        <v>0.93665919282511212</v>
      </c>
      <c r="AH565" s="20" t="str">
        <f t="shared" si="55"/>
        <v>Yes</v>
      </c>
      <c r="AI565" s="25"/>
      <c r="AJ565" s="20">
        <v>43062</v>
      </c>
      <c r="AK565" s="20" t="s">
        <v>772</v>
      </c>
      <c r="AL565" s="20">
        <v>39089</v>
      </c>
      <c r="AM565" s="20" t="s">
        <v>50</v>
      </c>
      <c r="AN565" s="37">
        <f t="shared" si="56"/>
        <v>18140</v>
      </c>
      <c r="AO565" s="37" t="str">
        <f t="shared" si="57"/>
        <v>Columbus, OH</v>
      </c>
      <c r="AP565" s="20" t="s">
        <v>8</v>
      </c>
      <c r="AQ565" s="25"/>
      <c r="AR565" s="25"/>
      <c r="AS565" s="25"/>
      <c r="AT565" s="25"/>
      <c r="AU565" s="36"/>
      <c r="AV565" s="36"/>
      <c r="AW565" s="36"/>
      <c r="AX565" s="25"/>
      <c r="AY565" s="25"/>
      <c r="AZ565" s="25"/>
      <c r="BA565" s="25"/>
      <c r="BB565" s="25"/>
      <c r="BC565" s="25"/>
      <c r="BD565" s="25"/>
      <c r="BE565" s="25"/>
      <c r="BF565" s="25"/>
      <c r="BG565" s="25"/>
      <c r="BH565" s="25"/>
      <c r="BI565" s="25"/>
      <c r="BJ565" s="25"/>
      <c r="BK565" s="25"/>
      <c r="BL565" s="25"/>
      <c r="BM565" s="25"/>
      <c r="BN565" s="25"/>
      <c r="BO565" s="25"/>
      <c r="BP565" s="25"/>
      <c r="BQ565" s="25"/>
      <c r="BR565" s="25"/>
      <c r="BS565" s="25"/>
      <c r="BT565" s="25"/>
      <c r="BU565" s="39">
        <v>43760</v>
      </c>
      <c r="BV565" s="39" t="s">
        <v>1054</v>
      </c>
      <c r="BW565" s="39" t="s">
        <v>2882</v>
      </c>
      <c r="BX565" s="39" t="s">
        <v>303</v>
      </c>
      <c r="BY565" s="71">
        <v>900</v>
      </c>
      <c r="BZ565" s="71">
        <v>930</v>
      </c>
      <c r="CA565" s="71">
        <v>1120</v>
      </c>
      <c r="CB565" s="71">
        <v>1400</v>
      </c>
      <c r="CC565" s="71">
        <v>1610</v>
      </c>
      <c r="CD565" s="25"/>
      <c r="CE565" s="200"/>
      <c r="CF565" s="200"/>
      <c r="CG565" s="200"/>
      <c r="CH565" s="200"/>
      <c r="CI565" s="200"/>
      <c r="CJ565" s="200"/>
      <c r="CK565" s="200"/>
      <c r="CL565" s="200"/>
      <c r="CM565" s="200"/>
      <c r="CN565" s="200"/>
      <c r="CO565" s="200"/>
      <c r="CP565" s="200"/>
      <c r="CQ565" s="200"/>
      <c r="CR565" s="200"/>
      <c r="CS565" s="200"/>
      <c r="CT565" s="200"/>
      <c r="CU565" s="200"/>
    </row>
    <row r="566" spans="1:99" s="17" customFormat="1" x14ac:dyDescent="0.2">
      <c r="A566" s="25"/>
      <c r="B566" s="20">
        <v>39151713402</v>
      </c>
      <c r="C566" s="20">
        <v>7134.02</v>
      </c>
      <c r="D566" s="20" t="s">
        <v>81</v>
      </c>
      <c r="E566" s="20" t="s">
        <v>2844</v>
      </c>
      <c r="F566" s="20" t="s">
        <v>8</v>
      </c>
      <c r="G566" s="861">
        <v>62.654797977973097</v>
      </c>
      <c r="H566" s="861">
        <v>65.642055575482104</v>
      </c>
      <c r="I566" s="861">
        <v>30.2106897961595</v>
      </c>
      <c r="J566" s="861">
        <v>50.916680278561202</v>
      </c>
      <c r="K566" s="982">
        <v>0</v>
      </c>
      <c r="L566" s="735">
        <v>4253</v>
      </c>
      <c r="M566" s="735">
        <v>4704</v>
      </c>
      <c r="N566" s="845">
        <f t="shared" si="53"/>
        <v>0.10604279332236069</v>
      </c>
      <c r="O566" s="735">
        <v>2.0744342335996286</v>
      </c>
      <c r="P566" s="735">
        <f t="shared" si="54"/>
        <v>2267.6062339356304</v>
      </c>
      <c r="Q566" s="849">
        <v>43.2</v>
      </c>
      <c r="R566" s="71">
        <v>64375</v>
      </c>
      <c r="S566" s="845">
        <v>6.9965870307167236E-2</v>
      </c>
      <c r="T566" s="845">
        <v>2.3E-2</v>
      </c>
      <c r="U566" s="845">
        <v>3.0000000000000001E-3</v>
      </c>
      <c r="V566" s="845">
        <v>8.3000000000000004E-2</v>
      </c>
      <c r="W566" s="845">
        <v>0.24845679012345678</v>
      </c>
      <c r="X566" s="845">
        <v>0.35403726708074534</v>
      </c>
      <c r="Y566" s="845">
        <v>0.89965986394557829</v>
      </c>
      <c r="Z566" s="845">
        <v>1.6581632653061226E-2</v>
      </c>
      <c r="AA566" s="845">
        <v>0</v>
      </c>
      <c r="AB566" s="845">
        <v>1.5093537414965986E-2</v>
      </c>
      <c r="AC566" s="845">
        <v>0</v>
      </c>
      <c r="AD566" s="845">
        <v>1.6156462585034014E-2</v>
      </c>
      <c r="AE566" s="845">
        <v>5.2508503401360547E-2</v>
      </c>
      <c r="AF566" s="845">
        <v>2.9974489795918366E-2</v>
      </c>
      <c r="AG566" s="845">
        <v>0.89965986394557829</v>
      </c>
      <c r="AH566" s="20" t="str">
        <f t="shared" si="55"/>
        <v>No</v>
      </c>
      <c r="AI566" s="25"/>
      <c r="AJ566" s="37">
        <v>43068</v>
      </c>
      <c r="AK566" s="37" t="s">
        <v>777</v>
      </c>
      <c r="AL566" s="37">
        <v>39089</v>
      </c>
      <c r="AM566" s="37" t="s">
        <v>50</v>
      </c>
      <c r="AN566" s="37">
        <f t="shared" si="56"/>
        <v>18140</v>
      </c>
      <c r="AO566" s="37" t="str">
        <f t="shared" si="57"/>
        <v>Columbus, OH</v>
      </c>
      <c r="AP566" s="20" t="s">
        <v>8</v>
      </c>
      <c r="AQ566" s="25"/>
      <c r="AR566" s="25"/>
      <c r="AS566" s="25"/>
      <c r="AT566" s="25"/>
      <c r="AU566" s="36"/>
      <c r="AV566" s="36"/>
      <c r="AW566" s="36"/>
      <c r="AX566" s="25"/>
      <c r="AY566" s="25"/>
      <c r="AZ566" s="25"/>
      <c r="BA566" s="25"/>
      <c r="BB566" s="25"/>
      <c r="BC566" s="25"/>
      <c r="BD566" s="25"/>
      <c r="BE566" s="25"/>
      <c r="BF566" s="25"/>
      <c r="BG566" s="25"/>
      <c r="BH566" s="25"/>
      <c r="BI566" s="25"/>
      <c r="BJ566" s="25"/>
      <c r="BK566" s="25"/>
      <c r="BL566" s="25"/>
      <c r="BM566" s="25"/>
      <c r="BN566" s="25"/>
      <c r="BO566" s="25"/>
      <c r="BP566" s="25"/>
      <c r="BQ566" s="25"/>
      <c r="BR566" s="25"/>
      <c r="BS566" s="25"/>
      <c r="BT566" s="25"/>
      <c r="BU566" s="39">
        <v>43822</v>
      </c>
      <c r="BV566" s="39" t="s">
        <v>1081</v>
      </c>
      <c r="BW566" s="39" t="s">
        <v>2882</v>
      </c>
      <c r="BX566" s="39" t="s">
        <v>303</v>
      </c>
      <c r="BY566" s="71">
        <v>800</v>
      </c>
      <c r="BZ566" s="71">
        <v>870</v>
      </c>
      <c r="CA566" s="71">
        <v>1070</v>
      </c>
      <c r="CB566" s="71">
        <v>1280</v>
      </c>
      <c r="CC566" s="71">
        <v>1430</v>
      </c>
      <c r="CD566" s="25"/>
      <c r="CE566" s="200"/>
      <c r="CF566" s="200"/>
      <c r="CG566" s="200"/>
      <c r="CH566" s="200"/>
      <c r="CI566" s="200"/>
      <c r="CJ566" s="200"/>
      <c r="CK566" s="200"/>
      <c r="CL566" s="200"/>
      <c r="CM566" s="200"/>
      <c r="CN566" s="200"/>
      <c r="CO566" s="200"/>
      <c r="CP566" s="200"/>
      <c r="CQ566" s="200"/>
      <c r="CR566" s="200"/>
      <c r="CS566" s="200"/>
      <c r="CT566" s="200"/>
      <c r="CU566" s="200"/>
    </row>
    <row r="567" spans="1:99" s="17" customFormat="1" x14ac:dyDescent="0.2">
      <c r="A567" s="25"/>
      <c r="B567" s="20">
        <v>39147963600</v>
      </c>
      <c r="C567" s="20">
        <v>9636</v>
      </c>
      <c r="D567" s="20" t="s">
        <v>79</v>
      </c>
      <c r="E567" s="20" t="s">
        <v>265</v>
      </c>
      <c r="F567" s="20" t="s">
        <v>8</v>
      </c>
      <c r="G567" s="861">
        <v>62.649600248144203</v>
      </c>
      <c r="H567" s="861">
        <v>66.709170622768397</v>
      </c>
      <c r="I567" s="861">
        <v>24.818343834045599</v>
      </c>
      <c r="J567" s="861">
        <v>45.7901312189083</v>
      </c>
      <c r="K567" s="982">
        <v>0</v>
      </c>
      <c r="L567" s="735">
        <v>4488</v>
      </c>
      <c r="M567" s="735">
        <v>4136</v>
      </c>
      <c r="N567" s="845">
        <f t="shared" si="53"/>
        <v>-7.8431372549019607E-2</v>
      </c>
      <c r="O567" s="735">
        <v>7.7793758674822646</v>
      </c>
      <c r="P567" s="735">
        <f t="shared" si="54"/>
        <v>531.66218864529355</v>
      </c>
      <c r="Q567" s="849">
        <v>34.4</v>
      </c>
      <c r="R567" s="71">
        <v>75375</v>
      </c>
      <c r="S567" s="845">
        <v>7.1603593792540152E-2</v>
      </c>
      <c r="T567" s="845">
        <v>1.7000000000000001E-2</v>
      </c>
      <c r="U567" s="845">
        <v>0</v>
      </c>
      <c r="V567" s="845">
        <v>0.153</v>
      </c>
      <c r="W567" s="845">
        <v>0.24876543209876542</v>
      </c>
      <c r="X567" s="845">
        <v>0.11910669975186104</v>
      </c>
      <c r="Y567" s="845">
        <v>0.88684719535783363</v>
      </c>
      <c r="Z567" s="845">
        <v>3.5299806576402318E-2</v>
      </c>
      <c r="AA567" s="845">
        <v>0</v>
      </c>
      <c r="AB567" s="845">
        <v>7.4951644100580269E-3</v>
      </c>
      <c r="AC567" s="845">
        <v>0</v>
      </c>
      <c r="AD567" s="845">
        <v>2.7079303675048357E-2</v>
      </c>
      <c r="AE567" s="845">
        <v>4.3278529980657642E-2</v>
      </c>
      <c r="AF567" s="845">
        <v>4.5454545454545456E-2</v>
      </c>
      <c r="AG567" s="845">
        <v>0.87693423597678921</v>
      </c>
      <c r="AH567" s="20" t="str">
        <f t="shared" si="55"/>
        <v>No</v>
      </c>
      <c r="AI567" s="25"/>
      <c r="AJ567" s="20">
        <v>43071</v>
      </c>
      <c r="AK567" s="20" t="s">
        <v>779</v>
      </c>
      <c r="AL567" s="20">
        <v>39089</v>
      </c>
      <c r="AM567" s="20" t="s">
        <v>50</v>
      </c>
      <c r="AN567" s="37">
        <f t="shared" si="56"/>
        <v>18140</v>
      </c>
      <c r="AO567" s="37" t="str">
        <f t="shared" si="57"/>
        <v>Columbus, OH</v>
      </c>
      <c r="AP567" s="20" t="s">
        <v>8</v>
      </c>
      <c r="AQ567" s="25"/>
      <c r="AR567" s="25"/>
      <c r="AS567" s="25"/>
      <c r="AT567" s="25"/>
      <c r="AU567" s="36"/>
      <c r="AV567" s="36"/>
      <c r="AW567" s="36"/>
      <c r="AX567" s="25"/>
      <c r="AY567" s="25"/>
      <c r="AZ567" s="25"/>
      <c r="BA567" s="25"/>
      <c r="BB567" s="25"/>
      <c r="BC567" s="25"/>
      <c r="BD567" s="25"/>
      <c r="BE567" s="25"/>
      <c r="BF567" s="25"/>
      <c r="BG567" s="25"/>
      <c r="BH567" s="25"/>
      <c r="BI567" s="25"/>
      <c r="BJ567" s="25"/>
      <c r="BK567" s="25"/>
      <c r="BL567" s="25"/>
      <c r="BM567" s="25"/>
      <c r="BN567" s="25"/>
      <c r="BO567" s="25"/>
      <c r="BP567" s="25"/>
      <c r="BQ567" s="25"/>
      <c r="BR567" s="25"/>
      <c r="BS567" s="25"/>
      <c r="BT567" s="25"/>
      <c r="BU567" s="39">
        <v>43830</v>
      </c>
      <c r="BV567" s="39" t="s">
        <v>1083</v>
      </c>
      <c r="BW567" s="39" t="s">
        <v>2882</v>
      </c>
      <c r="BX567" s="39" t="s">
        <v>303</v>
      </c>
      <c r="BY567" s="71">
        <v>940</v>
      </c>
      <c r="BZ567" s="71">
        <v>940</v>
      </c>
      <c r="CA567" s="71">
        <v>1120</v>
      </c>
      <c r="CB567" s="71">
        <v>1520</v>
      </c>
      <c r="CC567" s="71">
        <v>1650</v>
      </c>
      <c r="CD567" s="25"/>
      <c r="CE567" s="200"/>
      <c r="CF567" s="200"/>
      <c r="CG567" s="200"/>
      <c r="CH567" s="200"/>
      <c r="CI567" s="200"/>
      <c r="CJ567" s="200"/>
      <c r="CK567" s="200"/>
      <c r="CL567" s="200"/>
      <c r="CM567" s="200"/>
      <c r="CN567" s="200"/>
      <c r="CO567" s="200"/>
      <c r="CP567" s="200"/>
      <c r="CQ567" s="200"/>
      <c r="CR567" s="200"/>
      <c r="CS567" s="200"/>
      <c r="CT567" s="200"/>
      <c r="CU567" s="200"/>
    </row>
    <row r="568" spans="1:99" s="17" customFormat="1" x14ac:dyDescent="0.2">
      <c r="A568" s="25"/>
      <c r="B568" s="20">
        <v>39153533101</v>
      </c>
      <c r="C568" s="20">
        <v>5331.01</v>
      </c>
      <c r="D568" s="20" t="s">
        <v>82</v>
      </c>
      <c r="E568" s="20" t="s">
        <v>2843</v>
      </c>
      <c r="F568" s="20" t="s">
        <v>8</v>
      </c>
      <c r="G568" s="861">
        <v>62.632509686941503</v>
      </c>
      <c r="H568" s="861">
        <v>68.016860983701406</v>
      </c>
      <c r="I568" s="861">
        <v>21.416634799853998</v>
      </c>
      <c r="J568" s="861">
        <v>39.370116162003903</v>
      </c>
      <c r="K568" s="982">
        <v>0</v>
      </c>
      <c r="L568" s="735">
        <v>4947</v>
      </c>
      <c r="M568" s="735">
        <v>4855</v>
      </c>
      <c r="N568" s="845">
        <f t="shared" si="53"/>
        <v>-1.8597129573478876E-2</v>
      </c>
      <c r="O568" s="735">
        <v>4.0010581361317525</v>
      </c>
      <c r="P568" s="735">
        <f t="shared" si="54"/>
        <v>1213.4290067311654</v>
      </c>
      <c r="Q568" s="849">
        <v>40.9</v>
      </c>
      <c r="R568" s="71">
        <v>191250</v>
      </c>
      <c r="S568" s="845">
        <v>2.4098867147270855E-2</v>
      </c>
      <c r="T568" s="845">
        <v>2.3E-2</v>
      </c>
      <c r="U568" s="845">
        <v>0</v>
      </c>
      <c r="V568" s="845">
        <v>0</v>
      </c>
      <c r="W568" s="845">
        <v>1.5686274509803921E-2</v>
      </c>
      <c r="X568" s="845">
        <v>0.45833333333333331</v>
      </c>
      <c r="Y568" s="845">
        <v>0.92873326467559214</v>
      </c>
      <c r="Z568" s="845">
        <v>0</v>
      </c>
      <c r="AA568" s="845">
        <v>1.8537590113285273E-3</v>
      </c>
      <c r="AB568" s="845">
        <v>1.9773429454170956E-2</v>
      </c>
      <c r="AC568" s="845">
        <v>0</v>
      </c>
      <c r="AD568" s="845">
        <v>4.5314109165808447E-3</v>
      </c>
      <c r="AE568" s="845">
        <v>4.5108135942327494E-2</v>
      </c>
      <c r="AF568" s="845">
        <v>8.444902162718846E-3</v>
      </c>
      <c r="AG568" s="845">
        <v>0.92028836251287338</v>
      </c>
      <c r="AH568" s="20" t="str">
        <f t="shared" si="55"/>
        <v>Yes</v>
      </c>
      <c r="AI568" s="25"/>
      <c r="AJ568" s="20">
        <v>43074</v>
      </c>
      <c r="AK568" s="20" t="s">
        <v>781</v>
      </c>
      <c r="AL568" s="20">
        <v>39089</v>
      </c>
      <c r="AM568" s="20" t="s">
        <v>50</v>
      </c>
      <c r="AN568" s="37">
        <f t="shared" si="56"/>
        <v>18140</v>
      </c>
      <c r="AO568" s="37" t="str">
        <f t="shared" si="57"/>
        <v>Columbus, OH</v>
      </c>
      <c r="AP568" s="20" t="s">
        <v>8</v>
      </c>
      <c r="AQ568" s="25"/>
      <c r="AR568" s="25"/>
      <c r="AS568" s="25"/>
      <c r="AT568" s="25"/>
      <c r="AU568" s="36"/>
      <c r="AV568" s="36"/>
      <c r="AW568" s="36"/>
      <c r="AX568" s="25"/>
      <c r="AY568" s="25"/>
      <c r="AZ568" s="25"/>
      <c r="BA568" s="25"/>
      <c r="BB568" s="25"/>
      <c r="BC568" s="25"/>
      <c r="BD568" s="25"/>
      <c r="BE568" s="25"/>
      <c r="BF568" s="25"/>
      <c r="BG568" s="25"/>
      <c r="BH568" s="25"/>
      <c r="BI568" s="25"/>
      <c r="BJ568" s="25"/>
      <c r="BK568" s="25"/>
      <c r="BL568" s="25"/>
      <c r="BM568" s="25"/>
      <c r="BN568" s="25"/>
      <c r="BO568" s="25"/>
      <c r="BP568" s="25"/>
      <c r="BQ568" s="25"/>
      <c r="BR568" s="25"/>
      <c r="BS568" s="25"/>
      <c r="BT568" s="25"/>
      <c r="BU568" s="39">
        <v>44813</v>
      </c>
      <c r="BV568" s="39" t="s">
        <v>1471</v>
      </c>
      <c r="BW568" s="39" t="s">
        <v>2882</v>
      </c>
      <c r="BX568" s="39" t="s">
        <v>303</v>
      </c>
      <c r="BY568" s="71">
        <v>800</v>
      </c>
      <c r="BZ568" s="71">
        <v>870</v>
      </c>
      <c r="CA568" s="71">
        <v>1070</v>
      </c>
      <c r="CB568" s="71">
        <v>1370</v>
      </c>
      <c r="CC568" s="71">
        <v>1590</v>
      </c>
      <c r="CD568" s="25"/>
      <c r="CE568" s="200"/>
      <c r="CF568" s="200"/>
      <c r="CG568" s="200"/>
      <c r="CH568" s="200"/>
      <c r="CI568" s="200"/>
      <c r="CJ568" s="200"/>
      <c r="CK568" s="200"/>
      <c r="CL568" s="200"/>
      <c r="CM568" s="200"/>
      <c r="CN568" s="200"/>
      <c r="CO568" s="200"/>
      <c r="CP568" s="200"/>
      <c r="CQ568" s="200"/>
      <c r="CR568" s="200"/>
      <c r="CS568" s="200"/>
      <c r="CT568" s="200"/>
      <c r="CU568" s="200"/>
    </row>
    <row r="569" spans="1:99" s="17" customFormat="1" x14ac:dyDescent="0.2">
      <c r="A569" s="25"/>
      <c r="B569" s="20">
        <v>39157021100</v>
      </c>
      <c r="C569" s="20">
        <v>211</v>
      </c>
      <c r="D569" s="20" t="s">
        <v>84</v>
      </c>
      <c r="E569" s="20" t="s">
        <v>265</v>
      </c>
      <c r="F569" s="20" t="s">
        <v>8</v>
      </c>
      <c r="G569" s="861">
        <v>62.601786504786098</v>
      </c>
      <c r="H569" s="861">
        <v>55.642125771636998</v>
      </c>
      <c r="I569" s="861">
        <v>42.250630247323201</v>
      </c>
      <c r="J569" s="861">
        <v>47.175281482096104</v>
      </c>
      <c r="K569" s="982">
        <v>0</v>
      </c>
      <c r="L569" s="735">
        <v>2699</v>
      </c>
      <c r="M569" s="735">
        <v>2691</v>
      </c>
      <c r="N569" s="845">
        <f t="shared" si="53"/>
        <v>-2.9640607632456465E-3</v>
      </c>
      <c r="O569" s="735">
        <v>1.7226901477937673</v>
      </c>
      <c r="P569" s="735">
        <f t="shared" si="54"/>
        <v>1562.091710715556</v>
      </c>
      <c r="Q569" s="849">
        <v>41.5</v>
      </c>
      <c r="R569" s="71">
        <v>58631</v>
      </c>
      <c r="S569" s="845">
        <v>8.4523809523809529E-2</v>
      </c>
      <c r="T569" s="845">
        <v>8.1000000000000003E-2</v>
      </c>
      <c r="U569" s="845">
        <v>0</v>
      </c>
      <c r="V569" s="845">
        <v>3.4000000000000002E-2</v>
      </c>
      <c r="W569" s="845">
        <v>0.56786703601108035</v>
      </c>
      <c r="X569" s="845">
        <v>0.42113821138211383</v>
      </c>
      <c r="Y569" s="845">
        <v>0.94017094017094016</v>
      </c>
      <c r="Z569" s="845">
        <v>3.3444816053511705E-3</v>
      </c>
      <c r="AA569" s="845">
        <v>0</v>
      </c>
      <c r="AB569" s="845">
        <v>0</v>
      </c>
      <c r="AC569" s="845">
        <v>0</v>
      </c>
      <c r="AD569" s="845">
        <v>1.0033444816053512E-2</v>
      </c>
      <c r="AE569" s="845">
        <v>4.6451133407655144E-2</v>
      </c>
      <c r="AF569" s="845">
        <v>2.1553325901151988E-2</v>
      </c>
      <c r="AG569" s="845">
        <v>0.93571163136380531</v>
      </c>
      <c r="AH569" s="20" t="str">
        <f t="shared" si="55"/>
        <v>Yes</v>
      </c>
      <c r="AI569" s="25"/>
      <c r="AJ569" s="20">
        <v>43076</v>
      </c>
      <c r="AK569" s="20" t="s">
        <v>782</v>
      </c>
      <c r="AL569" s="20">
        <v>39089</v>
      </c>
      <c r="AM569" s="20" t="s">
        <v>50</v>
      </c>
      <c r="AN569" s="37">
        <f t="shared" si="56"/>
        <v>18140</v>
      </c>
      <c r="AO569" s="37" t="str">
        <f t="shared" si="57"/>
        <v>Columbus, OH</v>
      </c>
      <c r="AP569" s="20" t="s">
        <v>8</v>
      </c>
      <c r="AQ569" s="25"/>
      <c r="AR569" s="25"/>
      <c r="AS569" s="25"/>
      <c r="AT569" s="25"/>
      <c r="AU569" s="36"/>
      <c r="AV569" s="36"/>
      <c r="AW569" s="36"/>
      <c r="AX569" s="25"/>
      <c r="AY569" s="25"/>
      <c r="AZ569" s="25"/>
      <c r="BA569" s="25"/>
      <c r="BB569" s="25"/>
      <c r="BC569" s="25"/>
      <c r="BD569" s="25"/>
      <c r="BE569" s="25"/>
      <c r="BF569" s="25"/>
      <c r="BG569" s="25"/>
      <c r="BH569" s="25"/>
      <c r="BI569" s="25"/>
      <c r="BJ569" s="25"/>
      <c r="BK569" s="25"/>
      <c r="BL569" s="25"/>
      <c r="BM569" s="25"/>
      <c r="BN569" s="25"/>
      <c r="BO569" s="25"/>
      <c r="BP569" s="25"/>
      <c r="BQ569" s="25"/>
      <c r="BR569" s="25"/>
      <c r="BS569" s="25"/>
      <c r="BT569" s="25"/>
      <c r="BU569" s="39">
        <v>44833</v>
      </c>
      <c r="BV569" s="39" t="s">
        <v>1484</v>
      </c>
      <c r="BW569" s="39" t="s">
        <v>2882</v>
      </c>
      <c r="BX569" s="39" t="s">
        <v>303</v>
      </c>
      <c r="BY569" s="71">
        <v>800</v>
      </c>
      <c r="BZ569" s="71">
        <v>870</v>
      </c>
      <c r="CA569" s="71">
        <v>1070</v>
      </c>
      <c r="CB569" s="71">
        <v>1300</v>
      </c>
      <c r="CC569" s="71">
        <v>1430</v>
      </c>
      <c r="CD569" s="25"/>
      <c r="CE569" s="200"/>
      <c r="CF569" s="200"/>
      <c r="CG569" s="200"/>
      <c r="CH569" s="200"/>
      <c r="CI569" s="200"/>
      <c r="CJ569" s="200"/>
      <c r="CK569" s="200"/>
      <c r="CL569" s="200"/>
      <c r="CM569" s="200"/>
      <c r="CN569" s="200"/>
      <c r="CO569" s="200"/>
      <c r="CP569" s="200"/>
      <c r="CQ569" s="200"/>
      <c r="CR569" s="200"/>
      <c r="CS569" s="200"/>
      <c r="CT569" s="200"/>
      <c r="CU569" s="200"/>
    </row>
    <row r="570" spans="1:99" s="17" customFormat="1" x14ac:dyDescent="0.2">
      <c r="A570" s="25"/>
      <c r="B570" s="20">
        <v>39151710700</v>
      </c>
      <c r="C570" s="20">
        <v>7107</v>
      </c>
      <c r="D570" s="20" t="s">
        <v>81</v>
      </c>
      <c r="E570" s="20" t="s">
        <v>2844</v>
      </c>
      <c r="F570" s="20" t="s">
        <v>8</v>
      </c>
      <c r="G570" s="861">
        <v>62.554596656304597</v>
      </c>
      <c r="H570" s="861">
        <v>65.9881774965761</v>
      </c>
      <c r="I570" s="861">
        <v>18.04037683932</v>
      </c>
      <c r="J570" s="861">
        <v>45.871001984233601</v>
      </c>
      <c r="K570" s="982">
        <v>0</v>
      </c>
      <c r="L570" s="735">
        <v>3544</v>
      </c>
      <c r="M570" s="735">
        <v>3245</v>
      </c>
      <c r="N570" s="845">
        <f t="shared" si="53"/>
        <v>-8.4367945823927759E-2</v>
      </c>
      <c r="O570" s="735">
        <v>1.1193696174921823</v>
      </c>
      <c r="P570" s="735">
        <f t="shared" si="54"/>
        <v>2898.9530797432626</v>
      </c>
      <c r="Q570" s="849">
        <v>32</v>
      </c>
      <c r="R570" s="71">
        <v>69419</v>
      </c>
      <c r="S570" s="845">
        <v>0.14155666818388712</v>
      </c>
      <c r="T570" s="845">
        <v>1.1000000000000001E-2</v>
      </c>
      <c r="U570" s="845">
        <v>0</v>
      </c>
      <c r="V570" s="845">
        <v>0</v>
      </c>
      <c r="W570" s="845">
        <v>0.26422018348623855</v>
      </c>
      <c r="X570" s="845">
        <v>8.3333333333333329E-2</v>
      </c>
      <c r="Y570" s="845">
        <v>0.9180277349768875</v>
      </c>
      <c r="Z570" s="845">
        <v>5.1155624036979971E-2</v>
      </c>
      <c r="AA570" s="845">
        <v>0</v>
      </c>
      <c r="AB570" s="845">
        <v>7.395993836671803E-3</v>
      </c>
      <c r="AC570" s="845">
        <v>0</v>
      </c>
      <c r="AD570" s="845">
        <v>0</v>
      </c>
      <c r="AE570" s="845">
        <v>2.342064714946071E-2</v>
      </c>
      <c r="AF570" s="845">
        <v>9.5531587057010783E-3</v>
      </c>
      <c r="AG570" s="845">
        <v>0.91063174114021572</v>
      </c>
      <c r="AH570" s="20" t="str">
        <f t="shared" si="55"/>
        <v>Yes</v>
      </c>
      <c r="AI570" s="25"/>
      <c r="AJ570" s="20">
        <v>43080</v>
      </c>
      <c r="AK570" s="20" t="s">
        <v>785</v>
      </c>
      <c r="AL570" s="20">
        <v>39089</v>
      </c>
      <c r="AM570" s="20" t="s">
        <v>50</v>
      </c>
      <c r="AN570" s="37">
        <f t="shared" si="56"/>
        <v>18140</v>
      </c>
      <c r="AO570" s="37" t="str">
        <f t="shared" si="57"/>
        <v>Columbus, OH</v>
      </c>
      <c r="AP570" s="20" t="s">
        <v>8</v>
      </c>
      <c r="AQ570" s="25"/>
      <c r="AR570" s="25"/>
      <c r="AS570" s="25"/>
      <c r="AT570" s="25"/>
      <c r="AU570" s="36"/>
      <c r="AV570" s="36"/>
      <c r="AW570" s="36"/>
      <c r="AX570" s="25"/>
      <c r="AY570" s="25"/>
      <c r="AZ570" s="25"/>
      <c r="BA570" s="25"/>
      <c r="BB570" s="25"/>
      <c r="BC570" s="25"/>
      <c r="BD570" s="25"/>
      <c r="BE570" s="25"/>
      <c r="BF570" s="25"/>
      <c r="BG570" s="25"/>
      <c r="BH570" s="25"/>
      <c r="BI570" s="25"/>
      <c r="BJ570" s="25"/>
      <c r="BK570" s="25"/>
      <c r="BL570" s="25"/>
      <c r="BM570" s="25"/>
      <c r="BN570" s="25"/>
      <c r="BO570" s="25"/>
      <c r="BP570" s="25"/>
      <c r="BQ570" s="25"/>
      <c r="BR570" s="25"/>
      <c r="BS570" s="25"/>
      <c r="BT570" s="25"/>
      <c r="BU570" s="39">
        <v>44903</v>
      </c>
      <c r="BV570" s="39" t="s">
        <v>1523</v>
      </c>
      <c r="BW570" s="39" t="s">
        <v>2882</v>
      </c>
      <c r="BX570" s="39" t="s">
        <v>303</v>
      </c>
      <c r="BY570" s="71">
        <v>800</v>
      </c>
      <c r="BZ570" s="71">
        <v>870</v>
      </c>
      <c r="CA570" s="71">
        <v>1070</v>
      </c>
      <c r="CB570" s="71">
        <v>1350</v>
      </c>
      <c r="CC570" s="71">
        <v>1570</v>
      </c>
      <c r="CD570" s="25"/>
      <c r="CE570" s="200"/>
      <c r="CF570" s="200"/>
      <c r="CG570" s="200"/>
      <c r="CH570" s="200"/>
      <c r="CI570" s="200"/>
      <c r="CJ570" s="200"/>
      <c r="CK570" s="200"/>
      <c r="CL570" s="200"/>
      <c r="CM570" s="200"/>
      <c r="CN570" s="200"/>
      <c r="CO570" s="200"/>
      <c r="CP570" s="200"/>
      <c r="CQ570" s="200"/>
      <c r="CR570" s="200"/>
      <c r="CS570" s="200"/>
      <c r="CT570" s="200"/>
      <c r="CU570" s="200"/>
    </row>
    <row r="571" spans="1:99" s="17" customFormat="1" x14ac:dyDescent="0.2">
      <c r="A571" s="25"/>
      <c r="B571" s="20">
        <v>39035132200</v>
      </c>
      <c r="C571" s="20">
        <v>1322</v>
      </c>
      <c r="D571" s="20" t="s">
        <v>24</v>
      </c>
      <c r="E571" s="20" t="s">
        <v>2829</v>
      </c>
      <c r="F571" s="20" t="s">
        <v>8</v>
      </c>
      <c r="G571" s="861">
        <v>62.547590696177998</v>
      </c>
      <c r="H571" s="861">
        <v>63.851840989191103</v>
      </c>
      <c r="I571" s="861">
        <v>24.779447128117798</v>
      </c>
      <c r="J571" s="861">
        <v>49.5210164097874</v>
      </c>
      <c r="K571" s="982">
        <v>0</v>
      </c>
      <c r="L571" s="735">
        <v>2842</v>
      </c>
      <c r="M571" s="735">
        <v>3058</v>
      </c>
      <c r="N571" s="845">
        <f t="shared" si="53"/>
        <v>7.6002814919071071E-2</v>
      </c>
      <c r="O571" s="735">
        <v>1.4288509610185045</v>
      </c>
      <c r="P571" s="735">
        <f t="shared" si="54"/>
        <v>2140.1812249335057</v>
      </c>
      <c r="Q571" s="849">
        <v>42.6</v>
      </c>
      <c r="R571" s="71">
        <v>75250</v>
      </c>
      <c r="S571" s="845">
        <v>3.4663178548070633E-2</v>
      </c>
      <c r="T571" s="845">
        <v>5.7999999999999996E-2</v>
      </c>
      <c r="U571" s="845">
        <v>0</v>
      </c>
      <c r="V571" s="845">
        <v>0.20899999999999999</v>
      </c>
      <c r="W571" s="845">
        <v>0.13538205980066445</v>
      </c>
      <c r="X571" s="845">
        <v>0.25153374233128833</v>
      </c>
      <c r="Y571" s="845">
        <v>0.49705689993459778</v>
      </c>
      <c r="Z571" s="845">
        <v>0.43721386527141926</v>
      </c>
      <c r="AA571" s="845">
        <v>0</v>
      </c>
      <c r="AB571" s="845">
        <v>0</v>
      </c>
      <c r="AC571" s="845">
        <v>0</v>
      </c>
      <c r="AD571" s="845">
        <v>0</v>
      </c>
      <c r="AE571" s="845">
        <v>6.5729234793983002E-2</v>
      </c>
      <c r="AF571" s="845">
        <v>9.1563113145846954E-3</v>
      </c>
      <c r="AG571" s="845">
        <v>0.48790058862001306</v>
      </c>
      <c r="AH571" s="20" t="str">
        <f t="shared" si="55"/>
        <v>No</v>
      </c>
      <c r="AI571" s="25"/>
      <c r="AJ571" s="37">
        <v>43105</v>
      </c>
      <c r="AK571" s="37" t="s">
        <v>793</v>
      </c>
      <c r="AL571" s="37">
        <v>39089</v>
      </c>
      <c r="AM571" s="37" t="s">
        <v>50</v>
      </c>
      <c r="AN571" s="37">
        <f t="shared" si="56"/>
        <v>18140</v>
      </c>
      <c r="AO571" s="37" t="str">
        <f t="shared" si="57"/>
        <v>Columbus, OH</v>
      </c>
      <c r="AP571" s="20" t="s">
        <v>8</v>
      </c>
      <c r="AQ571" s="25"/>
      <c r="AR571" s="25"/>
      <c r="AS571" s="25"/>
      <c r="AT571" s="25"/>
      <c r="AU571" s="36"/>
      <c r="AV571" s="36"/>
      <c r="AW571" s="36"/>
      <c r="AX571" s="25"/>
      <c r="AY571" s="25"/>
      <c r="AZ571" s="25"/>
      <c r="BA571" s="25"/>
      <c r="BB571" s="25"/>
      <c r="BC571" s="25"/>
      <c r="BD571" s="25"/>
      <c r="BE571" s="25"/>
      <c r="BF571" s="25"/>
      <c r="BG571" s="25"/>
      <c r="BH571" s="25"/>
      <c r="BI571" s="25"/>
      <c r="BJ571" s="25"/>
      <c r="BK571" s="25"/>
      <c r="BL571" s="25"/>
      <c r="BM571" s="25"/>
      <c r="BN571" s="25"/>
      <c r="BO571" s="25"/>
      <c r="BP571" s="25"/>
      <c r="BQ571" s="25"/>
      <c r="BR571" s="25"/>
      <c r="BS571" s="25"/>
      <c r="BT571" s="25"/>
      <c r="BU571" s="39">
        <v>44904</v>
      </c>
      <c r="BV571" s="39" t="s">
        <v>1524</v>
      </c>
      <c r="BW571" s="39" t="s">
        <v>2882</v>
      </c>
      <c r="BX571" s="39" t="s">
        <v>303</v>
      </c>
      <c r="BY571" s="71">
        <v>800</v>
      </c>
      <c r="BZ571" s="71">
        <v>870</v>
      </c>
      <c r="CA571" s="71">
        <v>1070</v>
      </c>
      <c r="CB571" s="71">
        <v>1290</v>
      </c>
      <c r="CC571" s="71">
        <v>1500</v>
      </c>
      <c r="CD571" s="25"/>
      <c r="CE571" s="200"/>
      <c r="CF571" s="200"/>
      <c r="CG571" s="200"/>
      <c r="CH571" s="200"/>
      <c r="CI571" s="200"/>
      <c r="CJ571" s="200"/>
      <c r="CK571" s="200"/>
      <c r="CL571" s="200"/>
      <c r="CM571" s="200"/>
      <c r="CN571" s="200"/>
      <c r="CO571" s="200"/>
      <c r="CP571" s="200"/>
      <c r="CQ571" s="200"/>
      <c r="CR571" s="200"/>
      <c r="CS571" s="200"/>
      <c r="CT571" s="200"/>
      <c r="CU571" s="200"/>
    </row>
    <row r="572" spans="1:99" s="17" customFormat="1" x14ac:dyDescent="0.2">
      <c r="A572" s="25"/>
      <c r="B572" s="20">
        <v>39035180102</v>
      </c>
      <c r="C572" s="20">
        <v>1801.02</v>
      </c>
      <c r="D572" s="20" t="s">
        <v>24</v>
      </c>
      <c r="E572" s="20" t="s">
        <v>2829</v>
      </c>
      <c r="F572" s="20" t="s">
        <v>8</v>
      </c>
      <c r="G572" s="861">
        <v>62.538777605930399</v>
      </c>
      <c r="H572" s="861">
        <v>58.053627427611701</v>
      </c>
      <c r="I572" s="861">
        <v>33.476152235274697</v>
      </c>
      <c r="J572" s="861">
        <v>40.612762288870698</v>
      </c>
      <c r="K572" s="982">
        <v>0</v>
      </c>
      <c r="L572" s="735">
        <v>3863</v>
      </c>
      <c r="M572" s="735">
        <v>4010</v>
      </c>
      <c r="N572" s="845">
        <f t="shared" si="53"/>
        <v>3.8053326430235568E-2</v>
      </c>
      <c r="O572" s="735">
        <v>1.6110363533676608</v>
      </c>
      <c r="P572" s="735">
        <f t="shared" si="54"/>
        <v>2489.081013980609</v>
      </c>
      <c r="Q572" s="849">
        <v>55.7</v>
      </c>
      <c r="R572" s="71">
        <v>71838</v>
      </c>
      <c r="S572" s="845">
        <v>0.10505050505050505</v>
      </c>
      <c r="T572" s="845">
        <v>0.14599999999999999</v>
      </c>
      <c r="U572" s="845">
        <v>4.0000000000000001E-3</v>
      </c>
      <c r="V572" s="845">
        <v>0.23300000000000001</v>
      </c>
      <c r="W572" s="845">
        <v>5.8151609553478714E-2</v>
      </c>
      <c r="X572" s="845">
        <v>0.4642857142857143</v>
      </c>
      <c r="Y572" s="845">
        <v>0.40423940149625937</v>
      </c>
      <c r="Z572" s="845">
        <v>0.51895261845386531</v>
      </c>
      <c r="AA572" s="845">
        <v>6.7331670822942643E-3</v>
      </c>
      <c r="AB572" s="845">
        <v>1.6458852867830425E-2</v>
      </c>
      <c r="AC572" s="845">
        <v>0</v>
      </c>
      <c r="AD572" s="845">
        <v>0</v>
      </c>
      <c r="AE572" s="845">
        <v>5.3615960099750622E-2</v>
      </c>
      <c r="AF572" s="845">
        <v>3.541147132169576E-2</v>
      </c>
      <c r="AG572" s="845">
        <v>0.40423940149625937</v>
      </c>
      <c r="AH572" s="20" t="str">
        <f t="shared" si="55"/>
        <v>No</v>
      </c>
      <c r="AI572" s="25"/>
      <c r="AJ572" s="37">
        <v>43147</v>
      </c>
      <c r="AK572" s="37" t="s">
        <v>821</v>
      </c>
      <c r="AL572" s="37">
        <v>39089</v>
      </c>
      <c r="AM572" s="37" t="s">
        <v>50</v>
      </c>
      <c r="AN572" s="37">
        <f t="shared" si="56"/>
        <v>18140</v>
      </c>
      <c r="AO572" s="37" t="str">
        <f t="shared" si="57"/>
        <v>Columbus, OH</v>
      </c>
      <c r="AP572" s="20" t="s">
        <v>8</v>
      </c>
      <c r="AQ572" s="25"/>
      <c r="AR572" s="25"/>
      <c r="AS572" s="25"/>
      <c r="AT572" s="25"/>
      <c r="AU572" s="36"/>
      <c r="AV572" s="36"/>
      <c r="AW572" s="36"/>
      <c r="AX572" s="25"/>
      <c r="AY572" s="25"/>
      <c r="AZ572" s="25"/>
      <c r="BA572" s="25"/>
      <c r="BB572" s="25"/>
      <c r="BC572" s="25"/>
      <c r="BD572" s="25"/>
      <c r="BE572" s="25"/>
      <c r="BF572" s="25"/>
      <c r="BG572" s="25"/>
      <c r="BH572" s="25"/>
      <c r="BI572" s="25"/>
      <c r="BJ572" s="25"/>
      <c r="BK572" s="25"/>
      <c r="BL572" s="25"/>
      <c r="BM572" s="25"/>
      <c r="BN572" s="25"/>
      <c r="BO572" s="25"/>
      <c r="BP572" s="25"/>
      <c r="BQ572" s="25"/>
      <c r="BR572" s="25"/>
      <c r="BS572" s="25"/>
      <c r="BT572" s="25"/>
      <c r="BU572" s="39">
        <v>45369</v>
      </c>
      <c r="BV572" s="39" t="s">
        <v>1715</v>
      </c>
      <c r="BW572" s="39" t="s">
        <v>2882</v>
      </c>
      <c r="BX572" s="39" t="s">
        <v>303</v>
      </c>
      <c r="BY572" s="71">
        <v>800</v>
      </c>
      <c r="BZ572" s="71">
        <v>870</v>
      </c>
      <c r="CA572" s="71">
        <v>1120</v>
      </c>
      <c r="CB572" s="71">
        <v>1370</v>
      </c>
      <c r="CC572" s="71">
        <v>1590</v>
      </c>
      <c r="CD572" s="25"/>
      <c r="CE572" s="200"/>
      <c r="CF572" s="200"/>
      <c r="CG572" s="200"/>
      <c r="CH572" s="200"/>
      <c r="CI572" s="200"/>
      <c r="CJ572" s="200"/>
      <c r="CK572" s="200"/>
      <c r="CL572" s="200"/>
      <c r="CM572" s="200"/>
      <c r="CN572" s="200"/>
      <c r="CO572" s="200"/>
      <c r="CP572" s="200"/>
      <c r="CQ572" s="200"/>
      <c r="CR572" s="200"/>
      <c r="CS572" s="200"/>
      <c r="CT572" s="200"/>
      <c r="CU572" s="200"/>
    </row>
    <row r="573" spans="1:99" s="17" customFormat="1" x14ac:dyDescent="0.2">
      <c r="A573" s="25"/>
      <c r="B573" s="20">
        <v>39049007955</v>
      </c>
      <c r="C573" s="20">
        <v>79.55</v>
      </c>
      <c r="D573" s="20" t="s">
        <v>31</v>
      </c>
      <c r="E573" s="20" t="s">
        <v>2830</v>
      </c>
      <c r="F573" s="20" t="s">
        <v>8</v>
      </c>
      <c r="G573" s="861">
        <v>62.522903017110202</v>
      </c>
      <c r="H573" s="861">
        <v>72.898930540830506</v>
      </c>
      <c r="I573" s="861">
        <v>33.457167297389297</v>
      </c>
      <c r="J573" s="861">
        <v>33.023051826087602</v>
      </c>
      <c r="K573" s="982">
        <v>0</v>
      </c>
      <c r="L573" s="735" t="s">
        <v>2466</v>
      </c>
      <c r="M573" s="735">
        <v>2668</v>
      </c>
      <c r="N573" s="845" t="str">
        <f t="shared" si="53"/>
        <v/>
      </c>
      <c r="O573" s="735">
        <v>0.55380987830094708</v>
      </c>
      <c r="P573" s="735">
        <f t="shared" si="54"/>
        <v>4817.5377589602622</v>
      </c>
      <c r="Q573" s="849">
        <v>35</v>
      </c>
      <c r="R573" s="71">
        <v>96033</v>
      </c>
      <c r="S573" s="845">
        <v>6.0548362528560551E-2</v>
      </c>
      <c r="T573" s="845">
        <v>3.4000000000000002E-2</v>
      </c>
      <c r="U573" s="845">
        <v>0</v>
      </c>
      <c r="V573" s="845">
        <v>0</v>
      </c>
      <c r="W573" s="845">
        <v>7.5438596491228069E-2</v>
      </c>
      <c r="X573" s="845">
        <v>0.60465116279069764</v>
      </c>
      <c r="Y573" s="845">
        <v>0.828335832083958</v>
      </c>
      <c r="Z573" s="845">
        <v>4.0104947526236882E-2</v>
      </c>
      <c r="AA573" s="845">
        <v>0</v>
      </c>
      <c r="AB573" s="845">
        <v>6.296851574212893E-2</v>
      </c>
      <c r="AC573" s="845">
        <v>0</v>
      </c>
      <c r="AD573" s="845">
        <v>0</v>
      </c>
      <c r="AE573" s="845">
        <v>6.8590704647676165E-2</v>
      </c>
      <c r="AF573" s="845">
        <v>1.0494752623688156E-2</v>
      </c>
      <c r="AG573" s="845">
        <v>0.828335832083958</v>
      </c>
      <c r="AH573" s="20" t="str">
        <f t="shared" si="55"/>
        <v>No</v>
      </c>
      <c r="AI573" s="25"/>
      <c r="AJ573" s="37">
        <v>43721</v>
      </c>
      <c r="AK573" s="37" t="s">
        <v>1027</v>
      </c>
      <c r="AL573" s="37">
        <v>39089</v>
      </c>
      <c r="AM573" s="37" t="s">
        <v>50</v>
      </c>
      <c r="AN573" s="37">
        <f t="shared" si="56"/>
        <v>18140</v>
      </c>
      <c r="AO573" s="37" t="str">
        <f t="shared" si="57"/>
        <v>Columbus, OH</v>
      </c>
      <c r="AP573" s="20" t="s">
        <v>8</v>
      </c>
      <c r="AQ573" s="25"/>
      <c r="AR573" s="25"/>
      <c r="AS573" s="25"/>
      <c r="AT573" s="25"/>
      <c r="AU573" s="36"/>
      <c r="AV573" s="36"/>
      <c r="AW573" s="36"/>
      <c r="AX573" s="25"/>
      <c r="AY573" s="25"/>
      <c r="AZ573" s="25"/>
      <c r="BA573" s="25"/>
      <c r="BB573" s="25"/>
      <c r="BC573" s="25"/>
      <c r="BD573" s="25"/>
      <c r="BE573" s="25"/>
      <c r="BF573" s="25"/>
      <c r="BG573" s="25"/>
      <c r="BH573" s="25"/>
      <c r="BI573" s="25"/>
      <c r="BJ573" s="25"/>
      <c r="BK573" s="25"/>
      <c r="BL573" s="25"/>
      <c r="BM573" s="25"/>
      <c r="BN573" s="25"/>
      <c r="BO573" s="25"/>
      <c r="BP573" s="25"/>
      <c r="BQ573" s="25"/>
      <c r="BR573" s="25"/>
      <c r="BS573" s="25"/>
      <c r="BT573" s="25"/>
      <c r="BU573" s="39">
        <v>45644</v>
      </c>
      <c r="BV573" s="39" t="s">
        <v>1790</v>
      </c>
      <c r="BW573" s="39" t="s">
        <v>2882</v>
      </c>
      <c r="BX573" s="39" t="s">
        <v>303</v>
      </c>
      <c r="BY573" s="71">
        <v>800</v>
      </c>
      <c r="BZ573" s="71">
        <v>870</v>
      </c>
      <c r="CA573" s="71">
        <v>1070</v>
      </c>
      <c r="CB573" s="71">
        <v>1280</v>
      </c>
      <c r="CC573" s="71">
        <v>1430</v>
      </c>
      <c r="CD573" s="25"/>
      <c r="CE573" s="200"/>
      <c r="CF573" s="200"/>
      <c r="CG573" s="200"/>
      <c r="CH573" s="200"/>
      <c r="CI573" s="200"/>
      <c r="CJ573" s="200"/>
      <c r="CK573" s="200"/>
      <c r="CL573" s="200"/>
      <c r="CM573" s="200"/>
      <c r="CN573" s="200"/>
      <c r="CO573" s="200"/>
      <c r="CP573" s="200"/>
      <c r="CQ573" s="200"/>
      <c r="CR573" s="200"/>
      <c r="CS573" s="200"/>
      <c r="CT573" s="200"/>
      <c r="CU573" s="200"/>
    </row>
    <row r="574" spans="1:99" s="17" customFormat="1" x14ac:dyDescent="0.2">
      <c r="A574" s="25"/>
      <c r="B574" s="20">
        <v>39085202901</v>
      </c>
      <c r="C574" s="20">
        <v>2029.01</v>
      </c>
      <c r="D574" s="20" t="s">
        <v>48</v>
      </c>
      <c r="E574" s="20" t="s">
        <v>2829</v>
      </c>
      <c r="F574" s="20" t="s">
        <v>8</v>
      </c>
      <c r="G574" s="861">
        <v>62.4925899510622</v>
      </c>
      <c r="H574" s="861">
        <v>68.790424724349705</v>
      </c>
      <c r="I574" s="861">
        <v>18.869701084449801</v>
      </c>
      <c r="J574" s="861">
        <v>42.697577829472003</v>
      </c>
      <c r="K574" s="982">
        <v>0</v>
      </c>
      <c r="L574" s="735" t="s">
        <v>2466</v>
      </c>
      <c r="M574" s="735">
        <v>4980</v>
      </c>
      <c r="N574" s="845" t="str">
        <f t="shared" si="53"/>
        <v/>
      </c>
      <c r="O574" s="735">
        <v>1.5308966032280358</v>
      </c>
      <c r="P574" s="735">
        <f t="shared" si="54"/>
        <v>3252.9956559438524</v>
      </c>
      <c r="Q574" s="849">
        <v>46.7</v>
      </c>
      <c r="R574" s="71">
        <v>98082</v>
      </c>
      <c r="S574" s="845">
        <v>4.7991967871485942E-2</v>
      </c>
      <c r="T574" s="845">
        <v>3.0000000000000001E-3</v>
      </c>
      <c r="U574" s="845">
        <v>0</v>
      </c>
      <c r="V574" s="845">
        <v>0</v>
      </c>
      <c r="W574" s="845">
        <v>0.14424477901894123</v>
      </c>
      <c r="X574" s="845">
        <v>0.18181818181818182</v>
      </c>
      <c r="Y574" s="845">
        <v>0.96305220883534137</v>
      </c>
      <c r="Z574" s="845">
        <v>2.2489959839357431E-2</v>
      </c>
      <c r="AA574" s="845">
        <v>0</v>
      </c>
      <c r="AB574" s="845">
        <v>1.004016064257028E-3</v>
      </c>
      <c r="AC574" s="845">
        <v>0</v>
      </c>
      <c r="AD574" s="845">
        <v>6.4257028112449802E-3</v>
      </c>
      <c r="AE574" s="845">
        <v>7.0281124497991966E-3</v>
      </c>
      <c r="AF574" s="845">
        <v>6.6265060240963854E-3</v>
      </c>
      <c r="AG574" s="845">
        <v>0.96305220883534137</v>
      </c>
      <c r="AH574" s="20" t="str">
        <f t="shared" si="55"/>
        <v>Yes</v>
      </c>
      <c r="AI574" s="25"/>
      <c r="AJ574" s="20">
        <v>43739</v>
      </c>
      <c r="AK574" s="20" t="s">
        <v>1042</v>
      </c>
      <c r="AL574" s="20">
        <v>39089</v>
      </c>
      <c r="AM574" s="20" t="s">
        <v>50</v>
      </c>
      <c r="AN574" s="37">
        <f t="shared" si="56"/>
        <v>18140</v>
      </c>
      <c r="AO574" s="37" t="str">
        <f t="shared" si="57"/>
        <v>Columbus, OH</v>
      </c>
      <c r="AP574" s="20" t="s">
        <v>8</v>
      </c>
      <c r="AQ574" s="25"/>
      <c r="AR574" s="25"/>
      <c r="AS574" s="25"/>
      <c r="AT574" s="25"/>
      <c r="AU574" s="36"/>
      <c r="AV574" s="36"/>
      <c r="AW574" s="36"/>
      <c r="AX574" s="25"/>
      <c r="AY574" s="25"/>
      <c r="AZ574" s="25"/>
      <c r="BA574" s="25"/>
      <c r="BB574" s="25"/>
      <c r="BC574" s="25"/>
      <c r="BD574" s="25"/>
      <c r="BE574" s="25"/>
      <c r="BF574" s="25"/>
      <c r="BG574" s="25"/>
      <c r="BH574" s="25"/>
      <c r="BI574" s="25"/>
      <c r="BJ574" s="25"/>
      <c r="BK574" s="25"/>
      <c r="BL574" s="25"/>
      <c r="BM574" s="25"/>
      <c r="BN574" s="25"/>
      <c r="BO574" s="25"/>
      <c r="BP574" s="25"/>
      <c r="BQ574" s="25"/>
      <c r="BR574" s="25"/>
      <c r="BS574" s="25"/>
      <c r="BT574" s="25"/>
      <c r="BU574" s="39">
        <v>43006</v>
      </c>
      <c r="BV574" s="39" t="s">
        <v>733</v>
      </c>
      <c r="BW574" s="39" t="s">
        <v>2902</v>
      </c>
      <c r="BX574" s="39" t="s">
        <v>2903</v>
      </c>
      <c r="BY574" s="71">
        <v>790</v>
      </c>
      <c r="BZ574" s="71">
        <v>830</v>
      </c>
      <c r="CA574" s="71">
        <v>1040</v>
      </c>
      <c r="CB574" s="71">
        <v>1320</v>
      </c>
      <c r="CC574" s="71">
        <v>1470</v>
      </c>
      <c r="CD574" s="25"/>
      <c r="CE574" s="200"/>
      <c r="CF574" s="200"/>
      <c r="CG574" s="200"/>
      <c r="CH574" s="200"/>
      <c r="CI574" s="200"/>
      <c r="CJ574" s="200"/>
      <c r="CK574" s="200"/>
      <c r="CL574" s="200"/>
      <c r="CM574" s="200"/>
      <c r="CN574" s="200"/>
      <c r="CO574" s="200"/>
      <c r="CP574" s="200"/>
      <c r="CQ574" s="200"/>
      <c r="CR574" s="200"/>
      <c r="CS574" s="200"/>
      <c r="CT574" s="200"/>
      <c r="CU574" s="200"/>
    </row>
    <row r="575" spans="1:99" s="17" customFormat="1" x14ac:dyDescent="0.2">
      <c r="A575" s="25"/>
      <c r="B575" s="20">
        <v>39093010400</v>
      </c>
      <c r="C575" s="20">
        <v>104</v>
      </c>
      <c r="D575" s="20" t="s">
        <v>52</v>
      </c>
      <c r="E575" s="20" t="s">
        <v>2829</v>
      </c>
      <c r="F575" s="20" t="s">
        <v>8</v>
      </c>
      <c r="G575" s="861">
        <v>62.435595907734999</v>
      </c>
      <c r="H575" s="861">
        <v>52.130425809750498</v>
      </c>
      <c r="I575" s="861">
        <v>27.643404040602402</v>
      </c>
      <c r="J575" s="861">
        <v>55.6638000799352</v>
      </c>
      <c r="K575" s="982">
        <v>0</v>
      </c>
      <c r="L575" s="735">
        <v>2810</v>
      </c>
      <c r="M575" s="735">
        <v>4473</v>
      </c>
      <c r="N575" s="845">
        <f t="shared" si="53"/>
        <v>0.59181494661921707</v>
      </c>
      <c r="O575" s="735">
        <v>3.3170078915922128</v>
      </c>
      <c r="P575" s="735">
        <f t="shared" si="54"/>
        <v>1348.5044793948</v>
      </c>
      <c r="Q575" s="849">
        <v>42.8</v>
      </c>
      <c r="R575" s="71">
        <v>90778</v>
      </c>
      <c r="S575" s="845">
        <v>7.4356103023516237E-2</v>
      </c>
      <c r="T575" s="845">
        <v>2.7000000000000003E-2</v>
      </c>
      <c r="U575" s="845">
        <v>0</v>
      </c>
      <c r="V575" s="845">
        <v>0</v>
      </c>
      <c r="W575" s="845">
        <v>0.45511669658886894</v>
      </c>
      <c r="X575" s="845">
        <v>0.24260355029585798</v>
      </c>
      <c r="Y575" s="845">
        <v>0.86765034652358597</v>
      </c>
      <c r="Z575" s="845">
        <v>4.9183992845964674E-3</v>
      </c>
      <c r="AA575" s="845">
        <v>0</v>
      </c>
      <c r="AB575" s="845">
        <v>8.2718533422758769E-2</v>
      </c>
      <c r="AC575" s="845">
        <v>0</v>
      </c>
      <c r="AD575" s="845">
        <v>1.2519561815336464E-2</v>
      </c>
      <c r="AE575" s="845">
        <v>3.2193158953722337E-2</v>
      </c>
      <c r="AF575" s="845">
        <v>1.7885088307623517E-2</v>
      </c>
      <c r="AG575" s="845">
        <v>0.86116700201207241</v>
      </c>
      <c r="AH575" s="20" t="str">
        <f t="shared" si="55"/>
        <v>No</v>
      </c>
      <c r="AI575" s="25"/>
      <c r="AJ575" s="37">
        <v>43740</v>
      </c>
      <c r="AK575" s="37" t="s">
        <v>1043</v>
      </c>
      <c r="AL575" s="37">
        <v>39089</v>
      </c>
      <c r="AM575" s="37" t="s">
        <v>50</v>
      </c>
      <c r="AN575" s="37">
        <f t="shared" si="56"/>
        <v>18140</v>
      </c>
      <c r="AO575" s="37" t="str">
        <f t="shared" si="57"/>
        <v>Columbus, OH</v>
      </c>
      <c r="AP575" s="20" t="s">
        <v>8</v>
      </c>
      <c r="AQ575" s="25"/>
      <c r="AR575" s="25"/>
      <c r="AS575" s="25"/>
      <c r="AT575" s="25"/>
      <c r="AU575" s="36"/>
      <c r="AV575" s="36"/>
      <c r="AW575" s="36"/>
      <c r="AX575" s="25"/>
      <c r="AY575" s="25"/>
      <c r="AZ575" s="25"/>
      <c r="BA575" s="25"/>
      <c r="BB575" s="25"/>
      <c r="BC575" s="25"/>
      <c r="BD575" s="25"/>
      <c r="BE575" s="25"/>
      <c r="BF575" s="25"/>
      <c r="BG575" s="25"/>
      <c r="BH575" s="25"/>
      <c r="BI575" s="25"/>
      <c r="BJ575" s="25"/>
      <c r="BK575" s="25"/>
      <c r="BL575" s="25"/>
      <c r="BM575" s="25"/>
      <c r="BN575" s="25"/>
      <c r="BO575" s="25"/>
      <c r="BP575" s="25"/>
      <c r="BQ575" s="25"/>
      <c r="BR575" s="25"/>
      <c r="BS575" s="25"/>
      <c r="BT575" s="25"/>
      <c r="BU575" s="39">
        <v>43749</v>
      </c>
      <c r="BV575" s="39" t="s">
        <v>1047</v>
      </c>
      <c r="BW575" s="39" t="s">
        <v>2902</v>
      </c>
      <c r="BX575" s="39" t="s">
        <v>2903</v>
      </c>
      <c r="BY575" s="71">
        <v>770</v>
      </c>
      <c r="BZ575" s="71">
        <v>790</v>
      </c>
      <c r="CA575" s="71">
        <v>1000</v>
      </c>
      <c r="CB575" s="71">
        <v>1310</v>
      </c>
      <c r="CC575" s="71">
        <v>1570</v>
      </c>
      <c r="CD575" s="25"/>
      <c r="CE575" s="200"/>
      <c r="CF575" s="200"/>
      <c r="CG575" s="200"/>
      <c r="CH575" s="200"/>
      <c r="CI575" s="200"/>
      <c r="CJ575" s="200"/>
      <c r="CK575" s="200"/>
      <c r="CL575" s="200"/>
      <c r="CM575" s="200"/>
      <c r="CN575" s="200"/>
      <c r="CO575" s="200"/>
      <c r="CP575" s="200"/>
      <c r="CQ575" s="200"/>
      <c r="CR575" s="200"/>
      <c r="CS575" s="200"/>
      <c r="CT575" s="200"/>
      <c r="CU575" s="200"/>
    </row>
    <row r="576" spans="1:99" s="17" customFormat="1" x14ac:dyDescent="0.2">
      <c r="A576" s="25"/>
      <c r="B576" s="20">
        <v>39049007941</v>
      </c>
      <c r="C576" s="20">
        <v>79.41</v>
      </c>
      <c r="D576" s="20" t="s">
        <v>31</v>
      </c>
      <c r="E576" s="20" t="s">
        <v>2830</v>
      </c>
      <c r="F576" s="20" t="s">
        <v>8</v>
      </c>
      <c r="G576" s="861">
        <v>62.434156272420303</v>
      </c>
      <c r="H576" s="861">
        <v>68.253889845960998</v>
      </c>
      <c r="I576" s="861">
        <v>28.489254878340901</v>
      </c>
      <c r="J576" s="861">
        <v>52.0657216785862</v>
      </c>
      <c r="K576" s="982">
        <v>0</v>
      </c>
      <c r="L576" s="735">
        <v>2684</v>
      </c>
      <c r="M576" s="735">
        <v>3126</v>
      </c>
      <c r="N576" s="845">
        <f t="shared" si="53"/>
        <v>0.1646795827123696</v>
      </c>
      <c r="O576" s="735">
        <v>2.9015642855595969</v>
      </c>
      <c r="P576" s="735">
        <f t="shared" si="54"/>
        <v>1077.3499024499877</v>
      </c>
      <c r="Q576" s="849">
        <v>32.6</v>
      </c>
      <c r="R576" s="71">
        <v>105268</v>
      </c>
      <c r="S576" s="845">
        <v>0.12455971821966058</v>
      </c>
      <c r="T576" s="845">
        <v>6.9999999999999993E-3</v>
      </c>
      <c r="U576" s="845">
        <v>0</v>
      </c>
      <c r="V576" s="845">
        <v>5.4000000000000006E-2</v>
      </c>
      <c r="W576" s="845">
        <v>0.41223597960670066</v>
      </c>
      <c r="X576" s="845">
        <v>0.54593639575971731</v>
      </c>
      <c r="Y576" s="845">
        <v>0.74024312220089572</v>
      </c>
      <c r="Z576" s="845">
        <v>5.694177863083813E-2</v>
      </c>
      <c r="AA576" s="845">
        <v>0</v>
      </c>
      <c r="AB576" s="845">
        <v>5.2143314139475365E-2</v>
      </c>
      <c r="AC576" s="845">
        <v>0</v>
      </c>
      <c r="AD576" s="845">
        <v>0.11420345489443379</v>
      </c>
      <c r="AE576" s="845">
        <v>3.6468330134357005E-2</v>
      </c>
      <c r="AF576" s="845">
        <v>0.13403710812539987</v>
      </c>
      <c r="AG576" s="845">
        <v>0.72008957133717211</v>
      </c>
      <c r="AH576" s="20" t="str">
        <f t="shared" si="55"/>
        <v>No</v>
      </c>
      <c r="AI576" s="25"/>
      <c r="AJ576" s="20">
        <v>43746</v>
      </c>
      <c r="AK576" s="20" t="s">
        <v>1044</v>
      </c>
      <c r="AL576" s="20">
        <v>39089</v>
      </c>
      <c r="AM576" s="20" t="s">
        <v>50</v>
      </c>
      <c r="AN576" s="37">
        <f t="shared" si="56"/>
        <v>18140</v>
      </c>
      <c r="AO576" s="37" t="str">
        <f t="shared" si="57"/>
        <v>Columbus, OH</v>
      </c>
      <c r="AP576" s="20" t="s">
        <v>8</v>
      </c>
      <c r="AQ576" s="25"/>
      <c r="AR576" s="25"/>
      <c r="AS576" s="25"/>
      <c r="AT576" s="25"/>
      <c r="AU576" s="36"/>
      <c r="AV576" s="36"/>
      <c r="AW576" s="36"/>
      <c r="AX576" s="25"/>
      <c r="AY576" s="25"/>
      <c r="AZ576" s="25"/>
      <c r="BA576" s="25"/>
      <c r="BB576" s="25"/>
      <c r="BC576" s="25"/>
      <c r="BD576" s="25"/>
      <c r="BE576" s="25"/>
      <c r="BF576" s="25"/>
      <c r="BG576" s="25"/>
      <c r="BH576" s="25"/>
      <c r="BI576" s="25"/>
      <c r="BJ576" s="25"/>
      <c r="BK576" s="25"/>
      <c r="BL576" s="25"/>
      <c r="BM576" s="25"/>
      <c r="BN576" s="25"/>
      <c r="BO576" s="25"/>
      <c r="BP576" s="25"/>
      <c r="BQ576" s="25"/>
      <c r="BR576" s="25"/>
      <c r="BS576" s="25"/>
      <c r="BT576" s="25"/>
      <c r="BU576" s="39">
        <v>43804</v>
      </c>
      <c r="BV576" s="39" t="s">
        <v>1076</v>
      </c>
      <c r="BW576" s="39" t="s">
        <v>2902</v>
      </c>
      <c r="BX576" s="39" t="s">
        <v>2903</v>
      </c>
      <c r="BY576" s="71">
        <v>830</v>
      </c>
      <c r="BZ576" s="71">
        <v>850</v>
      </c>
      <c r="CA576" s="71">
        <v>1100</v>
      </c>
      <c r="CB576" s="71">
        <v>1380</v>
      </c>
      <c r="CC576" s="71">
        <v>1540</v>
      </c>
      <c r="CD576" s="25"/>
      <c r="CE576" s="200"/>
      <c r="CF576" s="200"/>
      <c r="CG576" s="200"/>
      <c r="CH576" s="200"/>
      <c r="CI576" s="200"/>
      <c r="CJ576" s="200"/>
      <c r="CK576" s="200"/>
      <c r="CL576" s="200"/>
      <c r="CM576" s="200"/>
      <c r="CN576" s="200"/>
      <c r="CO576" s="200"/>
      <c r="CP576" s="200"/>
      <c r="CQ576" s="200"/>
      <c r="CR576" s="200"/>
      <c r="CS576" s="200"/>
      <c r="CT576" s="200"/>
      <c r="CU576" s="200"/>
    </row>
    <row r="577" spans="1:99" s="17" customFormat="1" x14ac:dyDescent="0.2">
      <c r="A577" s="25"/>
      <c r="B577" s="20">
        <v>39025041406</v>
      </c>
      <c r="C577" s="20">
        <v>414.06</v>
      </c>
      <c r="D577" s="20" t="s">
        <v>19</v>
      </c>
      <c r="E577" s="20" t="s">
        <v>2828</v>
      </c>
      <c r="F577" s="20" t="s">
        <v>8</v>
      </c>
      <c r="G577" s="861">
        <v>62.4269362747484</v>
      </c>
      <c r="H577" s="861">
        <v>60.231830019489301</v>
      </c>
      <c r="I577" s="861">
        <v>16.957013085267601</v>
      </c>
      <c r="J577" s="861">
        <v>47.3834624742343</v>
      </c>
      <c r="K577" s="982">
        <v>0</v>
      </c>
      <c r="L577" s="735">
        <v>4954</v>
      </c>
      <c r="M577" s="735">
        <v>5397</v>
      </c>
      <c r="N577" s="845">
        <f t="shared" si="53"/>
        <v>8.9422688736374642E-2</v>
      </c>
      <c r="O577" s="735">
        <v>4.3512168864744325</v>
      </c>
      <c r="P577" s="735">
        <f t="shared" si="54"/>
        <v>1240.3426767294313</v>
      </c>
      <c r="Q577" s="849">
        <v>42.1</v>
      </c>
      <c r="R577" s="71">
        <v>154050</v>
      </c>
      <c r="S577" s="845">
        <v>9.4901377000372166E-3</v>
      </c>
      <c r="T577" s="845">
        <v>3.3000000000000002E-2</v>
      </c>
      <c r="U577" s="845">
        <v>0</v>
      </c>
      <c r="V577" s="845">
        <v>0</v>
      </c>
      <c r="W577" s="845">
        <v>3.802083333333333E-2</v>
      </c>
      <c r="X577" s="845">
        <v>0.17808219178082191</v>
      </c>
      <c r="Y577" s="845">
        <v>0.8938299055030573</v>
      </c>
      <c r="Z577" s="845">
        <v>2.5940337224383916E-3</v>
      </c>
      <c r="AA577" s="845">
        <v>0</v>
      </c>
      <c r="AB577" s="845">
        <v>4.6692607003891051E-2</v>
      </c>
      <c r="AC577" s="845">
        <v>0</v>
      </c>
      <c r="AD577" s="845">
        <v>8.337965536409116E-3</v>
      </c>
      <c r="AE577" s="845">
        <v>4.8545488234204189E-2</v>
      </c>
      <c r="AF577" s="845">
        <v>2.2790439132851583E-2</v>
      </c>
      <c r="AG577" s="845">
        <v>0.89049471928849355</v>
      </c>
      <c r="AH577" s="20" t="str">
        <f t="shared" si="55"/>
        <v>No</v>
      </c>
      <c r="AI577" s="25"/>
      <c r="AJ577" s="20">
        <v>43760</v>
      </c>
      <c r="AK577" s="20" t="s">
        <v>1054</v>
      </c>
      <c r="AL577" s="20">
        <v>39089</v>
      </c>
      <c r="AM577" s="20" t="s">
        <v>50</v>
      </c>
      <c r="AN577" s="37">
        <f t="shared" si="56"/>
        <v>18140</v>
      </c>
      <c r="AO577" s="37" t="str">
        <f t="shared" si="57"/>
        <v>Columbus, OH</v>
      </c>
      <c r="AP577" s="20" t="s">
        <v>8</v>
      </c>
      <c r="AQ577" s="25"/>
      <c r="AR577" s="25"/>
      <c r="AS577" s="25"/>
      <c r="AT577" s="25"/>
      <c r="AU577" s="36"/>
      <c r="AV577" s="36"/>
      <c r="AW577" s="36"/>
      <c r="AX577" s="25"/>
      <c r="AY577" s="25"/>
      <c r="AZ577" s="25"/>
      <c r="BA577" s="25"/>
      <c r="BB577" s="25"/>
      <c r="BC577" s="25"/>
      <c r="BD577" s="25"/>
      <c r="BE577" s="25"/>
      <c r="BF577" s="25"/>
      <c r="BG577" s="25"/>
      <c r="BH577" s="25"/>
      <c r="BI577" s="25"/>
      <c r="BJ577" s="25"/>
      <c r="BK577" s="25"/>
      <c r="BL577" s="25"/>
      <c r="BM577" s="25"/>
      <c r="BN577" s="25"/>
      <c r="BO577" s="25"/>
      <c r="BP577" s="25"/>
      <c r="BQ577" s="25"/>
      <c r="BR577" s="25"/>
      <c r="BS577" s="25"/>
      <c r="BT577" s="25"/>
      <c r="BU577" s="39">
        <v>43805</v>
      </c>
      <c r="BV577" s="39" t="s">
        <v>1077</v>
      </c>
      <c r="BW577" s="39" t="s">
        <v>2902</v>
      </c>
      <c r="BX577" s="39" t="s">
        <v>2903</v>
      </c>
      <c r="BY577" s="71">
        <v>790</v>
      </c>
      <c r="BZ577" s="71">
        <v>890</v>
      </c>
      <c r="CA577" s="71">
        <v>1050</v>
      </c>
      <c r="CB577" s="71">
        <v>1350</v>
      </c>
      <c r="CC577" s="71">
        <v>1760</v>
      </c>
      <c r="CD577" s="25"/>
      <c r="CE577" s="200"/>
      <c r="CF577" s="200"/>
      <c r="CG577" s="200"/>
      <c r="CH577" s="200"/>
      <c r="CI577" s="200"/>
      <c r="CJ577" s="200"/>
      <c r="CK577" s="200"/>
      <c r="CL577" s="200"/>
      <c r="CM577" s="200"/>
      <c r="CN577" s="200"/>
      <c r="CO577" s="200"/>
      <c r="CP577" s="200"/>
      <c r="CQ577" s="200"/>
      <c r="CR577" s="200"/>
      <c r="CS577" s="200"/>
      <c r="CT577" s="200"/>
      <c r="CU577" s="200"/>
    </row>
    <row r="578" spans="1:99" s="17" customFormat="1" x14ac:dyDescent="0.2">
      <c r="A578" s="25"/>
      <c r="B578" s="20">
        <v>39103416000</v>
      </c>
      <c r="C578" s="20">
        <v>4160</v>
      </c>
      <c r="D578" s="20" t="s">
        <v>57</v>
      </c>
      <c r="E578" s="20" t="s">
        <v>2829</v>
      </c>
      <c r="F578" s="20" t="s">
        <v>8</v>
      </c>
      <c r="G578" s="861">
        <v>62.4247111805008</v>
      </c>
      <c r="H578" s="861">
        <v>61.466376826876697</v>
      </c>
      <c r="I578" s="861">
        <v>26.019232064639901</v>
      </c>
      <c r="J578" s="861">
        <v>44.8168723570897</v>
      </c>
      <c r="K578" s="982">
        <v>0</v>
      </c>
      <c r="L578" s="735">
        <v>5481</v>
      </c>
      <c r="M578" s="735">
        <v>5632</v>
      </c>
      <c r="N578" s="845">
        <f t="shared" si="53"/>
        <v>2.7549717204889617E-2</v>
      </c>
      <c r="O578" s="735">
        <v>2.3126828176828966</v>
      </c>
      <c r="P578" s="735">
        <f t="shared" si="54"/>
        <v>2435.2669362773945</v>
      </c>
      <c r="Q578" s="849">
        <v>37.299999999999997</v>
      </c>
      <c r="R578" s="71">
        <v>79629</v>
      </c>
      <c r="S578" s="845">
        <v>7.0944741532976821E-2</v>
      </c>
      <c r="T578" s="845">
        <v>1.9E-2</v>
      </c>
      <c r="U578" s="845">
        <v>0</v>
      </c>
      <c r="V578" s="845">
        <v>6.5000000000000002E-2</v>
      </c>
      <c r="W578" s="845">
        <v>0.31097046413502111</v>
      </c>
      <c r="X578" s="845">
        <v>0.41926729986431477</v>
      </c>
      <c r="Y578" s="845">
        <v>0.9296875</v>
      </c>
      <c r="Z578" s="845">
        <v>3.90625E-3</v>
      </c>
      <c r="AA578" s="845">
        <v>0</v>
      </c>
      <c r="AB578" s="845">
        <v>1.5980113636363637E-3</v>
      </c>
      <c r="AC578" s="845">
        <v>0</v>
      </c>
      <c r="AD578" s="845">
        <v>1.953125E-3</v>
      </c>
      <c r="AE578" s="845">
        <v>6.2855113636363633E-2</v>
      </c>
      <c r="AF578" s="845">
        <v>5.6463068181818184E-2</v>
      </c>
      <c r="AG578" s="845">
        <v>0.9296875</v>
      </c>
      <c r="AH578" s="20" t="str">
        <f t="shared" si="55"/>
        <v>Yes</v>
      </c>
      <c r="AI578" s="25"/>
      <c r="AJ578" s="20">
        <v>43822</v>
      </c>
      <c r="AK578" s="20" t="s">
        <v>1081</v>
      </c>
      <c r="AL578" s="20">
        <v>39089</v>
      </c>
      <c r="AM578" s="20" t="s">
        <v>50</v>
      </c>
      <c r="AN578" s="37">
        <f t="shared" si="56"/>
        <v>18140</v>
      </c>
      <c r="AO578" s="37" t="str">
        <f t="shared" si="57"/>
        <v>Columbus, OH</v>
      </c>
      <c r="AP578" s="20" t="s">
        <v>8</v>
      </c>
      <c r="AQ578" s="25"/>
      <c r="AR578" s="25"/>
      <c r="AS578" s="25"/>
      <c r="AT578" s="25"/>
      <c r="AU578" s="36"/>
      <c r="AV578" s="36"/>
      <c r="AW578" s="36"/>
      <c r="AX578" s="25"/>
      <c r="AY578" s="25"/>
      <c r="AZ578" s="25"/>
      <c r="BA578" s="25"/>
      <c r="BB578" s="25"/>
      <c r="BC578" s="25"/>
      <c r="BD578" s="25"/>
      <c r="BE578" s="25"/>
      <c r="BF578" s="25"/>
      <c r="BG578" s="25"/>
      <c r="BH578" s="25"/>
      <c r="BI578" s="25"/>
      <c r="BJ578" s="25"/>
      <c r="BK578" s="25"/>
      <c r="BL578" s="25"/>
      <c r="BM578" s="25"/>
      <c r="BN578" s="25"/>
      <c r="BO578" s="25"/>
      <c r="BP578" s="25"/>
      <c r="BQ578" s="25"/>
      <c r="BR578" s="25"/>
      <c r="BS578" s="25"/>
      <c r="BT578" s="25"/>
      <c r="BU578" s="39">
        <v>43811</v>
      </c>
      <c r="BV578" s="39" t="s">
        <v>1078</v>
      </c>
      <c r="BW578" s="39" t="s">
        <v>2902</v>
      </c>
      <c r="BX578" s="39" t="s">
        <v>2903</v>
      </c>
      <c r="BY578" s="71">
        <v>900</v>
      </c>
      <c r="BZ578" s="71">
        <v>1010</v>
      </c>
      <c r="CA578" s="71">
        <v>1190</v>
      </c>
      <c r="CB578" s="71">
        <v>1530</v>
      </c>
      <c r="CC578" s="71">
        <v>2000</v>
      </c>
      <c r="CD578" s="25"/>
      <c r="CE578" s="200"/>
      <c r="CF578" s="200"/>
      <c r="CG578" s="200"/>
      <c r="CH578" s="200"/>
      <c r="CI578" s="200"/>
      <c r="CJ578" s="200"/>
      <c r="CK578" s="200"/>
      <c r="CL578" s="200"/>
      <c r="CM578" s="200"/>
      <c r="CN578" s="200"/>
      <c r="CO578" s="200"/>
      <c r="CP578" s="200"/>
      <c r="CQ578" s="200"/>
      <c r="CR578" s="200"/>
      <c r="CS578" s="200"/>
      <c r="CT578" s="200"/>
      <c r="CU578" s="200"/>
    </row>
    <row r="579" spans="1:99" s="17" customFormat="1" x14ac:dyDescent="0.2">
      <c r="A579" s="25"/>
      <c r="B579" s="20">
        <v>39035172202</v>
      </c>
      <c r="C579" s="20">
        <v>1722.02</v>
      </c>
      <c r="D579" s="20" t="s">
        <v>24</v>
      </c>
      <c r="E579" s="20" t="s">
        <v>2829</v>
      </c>
      <c r="F579" s="20" t="s">
        <v>8</v>
      </c>
      <c r="G579" s="861">
        <v>62.422848916731702</v>
      </c>
      <c r="H579" s="861">
        <v>60.625905347596301</v>
      </c>
      <c r="I579" s="861">
        <v>37.495097787781397</v>
      </c>
      <c r="J579" s="861">
        <v>38.178607760645697</v>
      </c>
      <c r="K579" s="982">
        <v>0</v>
      </c>
      <c r="L579" s="735">
        <v>3817</v>
      </c>
      <c r="M579" s="735">
        <v>4749</v>
      </c>
      <c r="N579" s="845">
        <f t="shared" si="53"/>
        <v>0.24417081477600211</v>
      </c>
      <c r="O579" s="735">
        <v>1.4849087473223961</v>
      </c>
      <c r="P579" s="735">
        <f t="shared" si="54"/>
        <v>3198.1763246822065</v>
      </c>
      <c r="Q579" s="849">
        <v>33.9</v>
      </c>
      <c r="R579" s="71">
        <v>48053</v>
      </c>
      <c r="S579" s="845">
        <v>0.10419313850063533</v>
      </c>
      <c r="T579" s="845">
        <v>0.12</v>
      </c>
      <c r="U579" s="845">
        <v>0</v>
      </c>
      <c r="V579" s="845">
        <v>0</v>
      </c>
      <c r="W579" s="845">
        <v>0.59832317073170727</v>
      </c>
      <c r="X579" s="845">
        <v>0.36496815286624201</v>
      </c>
      <c r="Y579" s="845">
        <v>0.5196883554432512</v>
      </c>
      <c r="Z579" s="845">
        <v>0.31985681196041271</v>
      </c>
      <c r="AA579" s="845">
        <v>0</v>
      </c>
      <c r="AB579" s="845">
        <v>2.0214782059380921E-2</v>
      </c>
      <c r="AC579" s="845">
        <v>0</v>
      </c>
      <c r="AD579" s="845">
        <v>2.9479890503263844E-3</v>
      </c>
      <c r="AE579" s="845">
        <v>0.13729206148662876</v>
      </c>
      <c r="AF579" s="845">
        <v>8.2122552116234995E-2</v>
      </c>
      <c r="AG579" s="845">
        <v>0.46894082964834705</v>
      </c>
      <c r="AH579" s="20" t="str">
        <f t="shared" si="55"/>
        <v>No</v>
      </c>
      <c r="AI579" s="25"/>
      <c r="AJ579" s="37">
        <v>43830</v>
      </c>
      <c r="AK579" s="37" t="s">
        <v>1083</v>
      </c>
      <c r="AL579" s="37">
        <v>39089</v>
      </c>
      <c r="AM579" s="37" t="s">
        <v>50</v>
      </c>
      <c r="AN579" s="37">
        <f t="shared" si="56"/>
        <v>18140</v>
      </c>
      <c r="AO579" s="37" t="str">
        <f t="shared" si="57"/>
        <v>Columbus, OH</v>
      </c>
      <c r="AP579" s="20" t="s">
        <v>8</v>
      </c>
      <c r="AQ579" s="25"/>
      <c r="AR579" s="25"/>
      <c r="AS579" s="25"/>
      <c r="AT579" s="25"/>
      <c r="AU579" s="36"/>
      <c r="AV579" s="36"/>
      <c r="AW579" s="36"/>
      <c r="AX579" s="25"/>
      <c r="AY579" s="25"/>
      <c r="AZ579" s="25"/>
      <c r="BA579" s="25"/>
      <c r="BB579" s="25"/>
      <c r="BC579" s="25"/>
      <c r="BD579" s="25"/>
      <c r="BE579" s="25"/>
      <c r="BF579" s="25"/>
      <c r="BG579" s="25"/>
      <c r="BH579" s="25"/>
      <c r="BI579" s="25"/>
      <c r="BJ579" s="25"/>
      <c r="BK579" s="25"/>
      <c r="BL579" s="25"/>
      <c r="BM579" s="25"/>
      <c r="BN579" s="25"/>
      <c r="BO579" s="25"/>
      <c r="BP579" s="25"/>
      <c r="BQ579" s="25"/>
      <c r="BR579" s="25"/>
      <c r="BS579" s="25"/>
      <c r="BT579" s="25"/>
      <c r="BU579" s="39">
        <v>43812</v>
      </c>
      <c r="BV579" s="39" t="s">
        <v>1079</v>
      </c>
      <c r="BW579" s="39" t="s">
        <v>2902</v>
      </c>
      <c r="BX579" s="39" t="s">
        <v>2903</v>
      </c>
      <c r="BY579" s="71">
        <v>740</v>
      </c>
      <c r="BZ579" s="71">
        <v>820</v>
      </c>
      <c r="CA579" s="71">
        <v>970</v>
      </c>
      <c r="CB579" s="71">
        <v>1250</v>
      </c>
      <c r="CC579" s="71">
        <v>1640</v>
      </c>
      <c r="CD579" s="25"/>
      <c r="CE579" s="200"/>
      <c r="CF579" s="200"/>
      <c r="CG579" s="200"/>
      <c r="CH579" s="200"/>
      <c r="CI579" s="200"/>
      <c r="CJ579" s="200"/>
      <c r="CK579" s="200"/>
      <c r="CL579" s="200"/>
      <c r="CM579" s="200"/>
      <c r="CN579" s="200"/>
      <c r="CO579" s="200"/>
      <c r="CP579" s="200"/>
      <c r="CQ579" s="200"/>
      <c r="CR579" s="200"/>
      <c r="CS579" s="200"/>
      <c r="CT579" s="200"/>
      <c r="CU579" s="200"/>
    </row>
    <row r="580" spans="1:99" s="17" customFormat="1" x14ac:dyDescent="0.2">
      <c r="A580" s="25"/>
      <c r="B580" s="20">
        <v>39061022000</v>
      </c>
      <c r="C580" s="20">
        <v>220</v>
      </c>
      <c r="D580" s="20" t="s">
        <v>37</v>
      </c>
      <c r="E580" s="20" t="s">
        <v>2828</v>
      </c>
      <c r="F580" s="20" t="s">
        <v>8</v>
      </c>
      <c r="G580" s="861">
        <v>62.4154257803702</v>
      </c>
      <c r="H580" s="861">
        <v>68.916810945011207</v>
      </c>
      <c r="I580" s="861">
        <v>29.9272857572536</v>
      </c>
      <c r="J580" s="861">
        <v>35.1529860358078</v>
      </c>
      <c r="K580" s="982">
        <v>0</v>
      </c>
      <c r="L580" s="735">
        <v>3818</v>
      </c>
      <c r="M580" s="735">
        <v>3815</v>
      </c>
      <c r="N580" s="845">
        <f t="shared" si="53"/>
        <v>-7.8575170246202204E-4</v>
      </c>
      <c r="O580" s="735">
        <v>1.6358766218428702</v>
      </c>
      <c r="P580" s="735">
        <f t="shared" si="54"/>
        <v>2332.0829633852668</v>
      </c>
      <c r="Q580" s="849">
        <v>39.799999999999997</v>
      </c>
      <c r="R580" s="71">
        <v>74617</v>
      </c>
      <c r="S580" s="845">
        <v>8.8746324512162522E-2</v>
      </c>
      <c r="T580" s="845">
        <v>2.1000000000000001E-2</v>
      </c>
      <c r="U580" s="845">
        <v>0</v>
      </c>
      <c r="V580" s="845">
        <v>0</v>
      </c>
      <c r="W580" s="845">
        <v>0.37216828478964403</v>
      </c>
      <c r="X580" s="845">
        <v>0.41217391304347828</v>
      </c>
      <c r="Y580" s="845">
        <v>0.6969855832241153</v>
      </c>
      <c r="Z580" s="845">
        <v>0.1724770642201835</v>
      </c>
      <c r="AA580" s="845">
        <v>2.6212319790301441E-4</v>
      </c>
      <c r="AB580" s="845">
        <v>6.0288335517693315E-3</v>
      </c>
      <c r="AC580" s="845">
        <v>0</v>
      </c>
      <c r="AD580" s="845">
        <v>1.1009174311926606E-2</v>
      </c>
      <c r="AE580" s="845">
        <v>0.11323722149410223</v>
      </c>
      <c r="AF580" s="845">
        <v>4.4298820445609434E-2</v>
      </c>
      <c r="AG580" s="845">
        <v>0.69148099606815205</v>
      </c>
      <c r="AH580" s="20" t="str">
        <f t="shared" si="55"/>
        <v>No</v>
      </c>
      <c r="AI580" s="25"/>
      <c r="AJ580" s="20">
        <v>43026</v>
      </c>
      <c r="AK580" s="20" t="s">
        <v>750</v>
      </c>
      <c r="AL580" s="20">
        <v>39097</v>
      </c>
      <c r="AM580" s="20" t="s">
        <v>54</v>
      </c>
      <c r="AN580" s="37">
        <f t="shared" si="56"/>
        <v>18140</v>
      </c>
      <c r="AO580" s="37" t="str">
        <f t="shared" si="57"/>
        <v>Columbus, OH</v>
      </c>
      <c r="AP580" s="20" t="s">
        <v>8</v>
      </c>
      <c r="AQ580" s="25"/>
      <c r="AR580" s="25"/>
      <c r="AS580" s="25"/>
      <c r="AT580" s="25"/>
      <c r="AU580" s="36"/>
      <c r="AV580" s="36"/>
      <c r="AW580" s="36"/>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39">
        <v>43821</v>
      </c>
      <c r="BV580" s="39" t="s">
        <v>1080</v>
      </c>
      <c r="BW580" s="39" t="s">
        <v>2902</v>
      </c>
      <c r="BX580" s="39" t="s">
        <v>2903</v>
      </c>
      <c r="BY580" s="71">
        <v>900</v>
      </c>
      <c r="BZ580" s="71">
        <v>920</v>
      </c>
      <c r="CA580" s="71">
        <v>1090</v>
      </c>
      <c r="CB580" s="71">
        <v>1480</v>
      </c>
      <c r="CC580" s="71">
        <v>1650</v>
      </c>
      <c r="CD580" s="25"/>
      <c r="CE580" s="200"/>
      <c r="CF580" s="200"/>
      <c r="CG580" s="200"/>
      <c r="CH580" s="200"/>
      <c r="CI580" s="200"/>
      <c r="CJ580" s="200"/>
      <c r="CK580" s="200"/>
      <c r="CL580" s="200"/>
      <c r="CM580" s="200"/>
      <c r="CN580" s="200"/>
      <c r="CO580" s="200"/>
      <c r="CP580" s="200"/>
      <c r="CQ580" s="200"/>
      <c r="CR580" s="200"/>
      <c r="CS580" s="200"/>
      <c r="CT580" s="200"/>
      <c r="CU580" s="200"/>
    </row>
    <row r="581" spans="1:99" s="17" customFormat="1" x14ac:dyDescent="0.2">
      <c r="A581" s="25"/>
      <c r="B581" s="20">
        <v>39153534100</v>
      </c>
      <c r="C581" s="20">
        <v>5341</v>
      </c>
      <c r="D581" s="20" t="s">
        <v>82</v>
      </c>
      <c r="E581" s="20" t="s">
        <v>2843</v>
      </c>
      <c r="F581" s="20" t="s">
        <v>8</v>
      </c>
      <c r="G581" s="861">
        <v>62.402388953587</v>
      </c>
      <c r="H581" s="861">
        <v>65.228993648632795</v>
      </c>
      <c r="I581" s="861">
        <v>14.0297329942823</v>
      </c>
      <c r="J581" s="861">
        <v>38.225251050525401</v>
      </c>
      <c r="K581" s="982">
        <v>0</v>
      </c>
      <c r="L581" s="735">
        <v>2730</v>
      </c>
      <c r="M581" s="735">
        <v>2638</v>
      </c>
      <c r="N581" s="845">
        <f t="shared" si="53"/>
        <v>-3.3699633699633698E-2</v>
      </c>
      <c r="O581" s="735">
        <v>3.8039726753803516</v>
      </c>
      <c r="P581" s="735">
        <f t="shared" si="54"/>
        <v>693.48552818829899</v>
      </c>
      <c r="Q581" s="849">
        <v>42.6</v>
      </c>
      <c r="R581" s="71">
        <v>225806</v>
      </c>
      <c r="S581" s="845">
        <v>1.5921152388172859E-2</v>
      </c>
      <c r="T581" s="845">
        <v>2.5000000000000001E-2</v>
      </c>
      <c r="U581" s="845">
        <v>0</v>
      </c>
      <c r="V581" s="845">
        <v>0</v>
      </c>
      <c r="W581" s="845">
        <v>1.5873015873015872E-2</v>
      </c>
      <c r="X581" s="845">
        <v>0</v>
      </c>
      <c r="Y581" s="845">
        <v>0.87642153146322976</v>
      </c>
      <c r="Z581" s="845">
        <v>4.9279757391963606E-3</v>
      </c>
      <c r="AA581" s="845">
        <v>0</v>
      </c>
      <c r="AB581" s="845">
        <v>5.3828658074298714E-2</v>
      </c>
      <c r="AC581" s="845">
        <v>0</v>
      </c>
      <c r="AD581" s="845">
        <v>3.3358605003790752E-2</v>
      </c>
      <c r="AE581" s="845">
        <v>3.146322971948446E-2</v>
      </c>
      <c r="AF581" s="845">
        <v>2.3881728582259287E-2</v>
      </c>
      <c r="AG581" s="845">
        <v>0.87376800606520089</v>
      </c>
      <c r="AH581" s="20" t="str">
        <f t="shared" si="55"/>
        <v>No</v>
      </c>
      <c r="AI581" s="25"/>
      <c r="AJ581" s="20">
        <v>43029</v>
      </c>
      <c r="AK581" s="20" t="s">
        <v>753</v>
      </c>
      <c r="AL581" s="20">
        <v>39097</v>
      </c>
      <c r="AM581" s="20" t="s">
        <v>54</v>
      </c>
      <c r="AN581" s="37">
        <f t="shared" si="56"/>
        <v>18140</v>
      </c>
      <c r="AO581" s="37" t="str">
        <f t="shared" si="57"/>
        <v>Columbus, OH</v>
      </c>
      <c r="AP581" s="20" t="s">
        <v>8</v>
      </c>
      <c r="AQ581" s="25"/>
      <c r="AR581" s="25"/>
      <c r="AS581" s="25"/>
      <c r="AT581" s="25"/>
      <c r="AU581" s="36"/>
      <c r="AV581" s="36"/>
      <c r="AW581" s="36"/>
      <c r="AX581" s="25"/>
      <c r="AY581" s="25"/>
      <c r="AZ581" s="25"/>
      <c r="BA581" s="25"/>
      <c r="BB581" s="25"/>
      <c r="BC581" s="25"/>
      <c r="BD581" s="25"/>
      <c r="BE581" s="25"/>
      <c r="BF581" s="25"/>
      <c r="BG581" s="25"/>
      <c r="BH581" s="25"/>
      <c r="BI581" s="25"/>
      <c r="BJ581" s="25"/>
      <c r="BK581" s="25"/>
      <c r="BL581" s="25"/>
      <c r="BM581" s="25"/>
      <c r="BN581" s="25"/>
      <c r="BO581" s="25"/>
      <c r="BP581" s="25"/>
      <c r="BQ581" s="25"/>
      <c r="BR581" s="25"/>
      <c r="BS581" s="25"/>
      <c r="BT581" s="25"/>
      <c r="BU581" s="39">
        <v>43824</v>
      </c>
      <c r="BV581" s="39" t="s">
        <v>1082</v>
      </c>
      <c r="BW581" s="39" t="s">
        <v>2902</v>
      </c>
      <c r="BX581" s="39" t="s">
        <v>2903</v>
      </c>
      <c r="BY581" s="71">
        <v>740</v>
      </c>
      <c r="BZ581" s="71">
        <v>820</v>
      </c>
      <c r="CA581" s="71">
        <v>970</v>
      </c>
      <c r="CB581" s="71">
        <v>1250</v>
      </c>
      <c r="CC581" s="71">
        <v>1630</v>
      </c>
      <c r="CD581" s="25"/>
      <c r="CE581" s="200"/>
      <c r="CF581" s="200"/>
      <c r="CG581" s="200"/>
      <c r="CH581" s="200"/>
      <c r="CI581" s="200"/>
      <c r="CJ581" s="200"/>
      <c r="CK581" s="200"/>
      <c r="CL581" s="200"/>
      <c r="CM581" s="200"/>
      <c r="CN581" s="200"/>
      <c r="CO581" s="200"/>
      <c r="CP581" s="200"/>
      <c r="CQ581" s="200"/>
      <c r="CR581" s="200"/>
      <c r="CS581" s="200"/>
      <c r="CT581" s="200"/>
      <c r="CU581" s="200"/>
    </row>
    <row r="582" spans="1:99" s="17" customFormat="1" x14ac:dyDescent="0.2">
      <c r="A582" s="25"/>
      <c r="B582" s="20">
        <v>39113090304</v>
      </c>
      <c r="C582" s="20">
        <v>903.04</v>
      </c>
      <c r="D582" s="20" t="s">
        <v>62</v>
      </c>
      <c r="E582" s="20" t="s">
        <v>2833</v>
      </c>
      <c r="F582" s="20" t="s">
        <v>8</v>
      </c>
      <c r="G582" s="861">
        <v>62.399090305198598</v>
      </c>
      <c r="H582" s="861">
        <v>59.915887915435398</v>
      </c>
      <c r="I582" s="861">
        <v>37.641754585564399</v>
      </c>
      <c r="J582" s="861">
        <v>53.437077014618602</v>
      </c>
      <c r="K582" s="982">
        <v>0</v>
      </c>
      <c r="L582" s="735">
        <v>7002</v>
      </c>
      <c r="M582" s="735">
        <v>6316</v>
      </c>
      <c r="N582" s="845">
        <f t="shared" si="53"/>
        <v>-9.7972007997714938E-2</v>
      </c>
      <c r="O582" s="735">
        <v>2.1232444962845798</v>
      </c>
      <c r="P582" s="735">
        <f t="shared" si="54"/>
        <v>2974.6927454903257</v>
      </c>
      <c r="Q582" s="849">
        <v>40.5</v>
      </c>
      <c r="R582" s="71">
        <v>111006</v>
      </c>
      <c r="S582" s="845">
        <v>5.6367432150313153E-2</v>
      </c>
      <c r="T582" s="845">
        <v>4.4999999999999998E-2</v>
      </c>
      <c r="U582" s="845">
        <v>0</v>
      </c>
      <c r="V582" s="845">
        <v>0</v>
      </c>
      <c r="W582" s="845">
        <v>0.21776061776061775</v>
      </c>
      <c r="X582" s="845">
        <v>0.1702127659574468</v>
      </c>
      <c r="Y582" s="845">
        <v>0.72308423052564919</v>
      </c>
      <c r="Z582" s="845">
        <v>0.11399620012666245</v>
      </c>
      <c r="AA582" s="845">
        <v>6.6497783407219761E-3</v>
      </c>
      <c r="AB582" s="845">
        <v>7.3939202026599107E-2</v>
      </c>
      <c r="AC582" s="845">
        <v>0</v>
      </c>
      <c r="AD582" s="845">
        <v>1.0291323622545916E-2</v>
      </c>
      <c r="AE582" s="845">
        <v>7.2039265357821403E-2</v>
      </c>
      <c r="AF582" s="845">
        <v>2.485750474984167E-2</v>
      </c>
      <c r="AG582" s="845">
        <v>0.71817606079797336</v>
      </c>
      <c r="AH582" s="20" t="str">
        <f t="shared" si="55"/>
        <v>No</v>
      </c>
      <c r="AI582" s="25"/>
      <c r="AJ582" s="20">
        <v>43044</v>
      </c>
      <c r="AK582" s="20" t="s">
        <v>762</v>
      </c>
      <c r="AL582" s="20">
        <v>39097</v>
      </c>
      <c r="AM582" s="20" t="s">
        <v>54</v>
      </c>
      <c r="AN582" s="37">
        <f t="shared" si="56"/>
        <v>18140</v>
      </c>
      <c r="AO582" s="37" t="str">
        <f t="shared" si="57"/>
        <v>Columbus, OH</v>
      </c>
      <c r="AP582" s="20" t="s">
        <v>8</v>
      </c>
      <c r="AQ582" s="25"/>
      <c r="AR582" s="25"/>
      <c r="AS582" s="25"/>
      <c r="AT582" s="25"/>
      <c r="AU582" s="36"/>
      <c r="AV582" s="36"/>
      <c r="AW582" s="36"/>
      <c r="AX582" s="25"/>
      <c r="AY582" s="25"/>
      <c r="AZ582" s="25"/>
      <c r="BA582" s="25"/>
      <c r="BB582" s="25"/>
      <c r="BC582" s="25"/>
      <c r="BD582" s="25"/>
      <c r="BE582" s="25"/>
      <c r="BF582" s="25"/>
      <c r="BG582" s="25"/>
      <c r="BH582" s="25"/>
      <c r="BI582" s="25"/>
      <c r="BJ582" s="25"/>
      <c r="BK582" s="25"/>
      <c r="BL582" s="25"/>
      <c r="BM582" s="25"/>
      <c r="BN582" s="25"/>
      <c r="BO582" s="25"/>
      <c r="BP582" s="25"/>
      <c r="BQ582" s="25"/>
      <c r="BR582" s="25"/>
      <c r="BS582" s="25"/>
      <c r="BT582" s="25"/>
      <c r="BU582" s="39">
        <v>43832</v>
      </c>
      <c r="BV582" s="39" t="s">
        <v>1084</v>
      </c>
      <c r="BW582" s="39" t="s">
        <v>2902</v>
      </c>
      <c r="BX582" s="39" t="s">
        <v>2903</v>
      </c>
      <c r="BY582" s="71">
        <v>740</v>
      </c>
      <c r="BZ582" s="71">
        <v>760</v>
      </c>
      <c r="CA582" s="71">
        <v>970</v>
      </c>
      <c r="CB582" s="71">
        <v>1250</v>
      </c>
      <c r="CC582" s="71">
        <v>1460</v>
      </c>
      <c r="CD582" s="25"/>
      <c r="CE582" s="200"/>
      <c r="CF582" s="200"/>
      <c r="CG582" s="200"/>
      <c r="CH582" s="200"/>
      <c r="CI582" s="200"/>
      <c r="CJ582" s="200"/>
      <c r="CK582" s="200"/>
      <c r="CL582" s="200"/>
      <c r="CM582" s="200"/>
      <c r="CN582" s="200"/>
      <c r="CO582" s="200"/>
      <c r="CP582" s="200"/>
      <c r="CQ582" s="200"/>
      <c r="CR582" s="200"/>
      <c r="CS582" s="200"/>
      <c r="CT582" s="200"/>
      <c r="CU582" s="200"/>
    </row>
    <row r="583" spans="1:99" s="17" customFormat="1" x14ac:dyDescent="0.2">
      <c r="A583" s="25"/>
      <c r="B583" s="20">
        <v>39035123400</v>
      </c>
      <c r="C583" s="20">
        <v>1234</v>
      </c>
      <c r="D583" s="20" t="s">
        <v>24</v>
      </c>
      <c r="E583" s="20" t="s">
        <v>2829</v>
      </c>
      <c r="F583" s="20" t="s">
        <v>8</v>
      </c>
      <c r="G583" s="861">
        <v>62.348499986184201</v>
      </c>
      <c r="H583" s="861">
        <v>66.067902067034495</v>
      </c>
      <c r="I583" s="861">
        <v>34.139249791646797</v>
      </c>
      <c r="J583" s="861">
        <v>43.1368106962803</v>
      </c>
      <c r="K583" s="982">
        <v>0</v>
      </c>
      <c r="L583" s="735">
        <v>3745</v>
      </c>
      <c r="M583" s="735">
        <v>3422</v>
      </c>
      <c r="N583" s="845">
        <f t="shared" si="53"/>
        <v>-8.6248331108144186E-2</v>
      </c>
      <c r="O583" s="735">
        <v>0.97329944885345443</v>
      </c>
      <c r="P583" s="735">
        <f t="shared" si="54"/>
        <v>3515.8758222159809</v>
      </c>
      <c r="Q583" s="849">
        <v>45.4</v>
      </c>
      <c r="R583" s="71">
        <v>81927</v>
      </c>
      <c r="S583" s="845">
        <v>8.0070134424313266E-2</v>
      </c>
      <c r="T583" s="845">
        <v>5.7000000000000002E-2</v>
      </c>
      <c r="U583" s="845">
        <v>0</v>
      </c>
      <c r="V583" s="845">
        <v>0</v>
      </c>
      <c r="W583" s="845">
        <v>0.34380892520427403</v>
      </c>
      <c r="X583" s="845">
        <v>0.34186471663619744</v>
      </c>
      <c r="Y583" s="845">
        <v>0.89596727060198711</v>
      </c>
      <c r="Z583" s="845">
        <v>9.6434833430742248E-3</v>
      </c>
      <c r="AA583" s="845">
        <v>0</v>
      </c>
      <c r="AB583" s="845">
        <v>2.4254821741671536E-2</v>
      </c>
      <c r="AC583" s="845">
        <v>0</v>
      </c>
      <c r="AD583" s="845">
        <v>1.6949152542372881E-2</v>
      </c>
      <c r="AE583" s="845">
        <v>5.3185271770894216E-2</v>
      </c>
      <c r="AF583" s="845">
        <v>6.7504383401519583E-2</v>
      </c>
      <c r="AG583" s="845">
        <v>0.88661601402688484</v>
      </c>
      <c r="AH583" s="20" t="str">
        <f t="shared" si="55"/>
        <v>No</v>
      </c>
      <c r="AI583" s="25"/>
      <c r="AJ583" s="37">
        <v>43064</v>
      </c>
      <c r="AK583" s="37" t="s">
        <v>773</v>
      </c>
      <c r="AL583" s="37">
        <v>39097</v>
      </c>
      <c r="AM583" s="37" t="s">
        <v>54</v>
      </c>
      <c r="AN583" s="37">
        <f t="shared" si="56"/>
        <v>18140</v>
      </c>
      <c r="AO583" s="37" t="str">
        <f t="shared" si="57"/>
        <v>Columbus, OH</v>
      </c>
      <c r="AP583" s="20" t="s">
        <v>8</v>
      </c>
      <c r="AQ583" s="25"/>
      <c r="AR583" s="25"/>
      <c r="AS583" s="25"/>
      <c r="AT583" s="25"/>
      <c r="AU583" s="36"/>
      <c r="AV583" s="36"/>
      <c r="AW583" s="36"/>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39">
        <v>43836</v>
      </c>
      <c r="BV583" s="39" t="s">
        <v>1085</v>
      </c>
      <c r="BW583" s="39" t="s">
        <v>2902</v>
      </c>
      <c r="BX583" s="39" t="s">
        <v>2903</v>
      </c>
      <c r="BY583" s="71">
        <v>740</v>
      </c>
      <c r="BZ583" s="71">
        <v>820</v>
      </c>
      <c r="CA583" s="71">
        <v>970</v>
      </c>
      <c r="CB583" s="71">
        <v>1250</v>
      </c>
      <c r="CC583" s="71">
        <v>1640</v>
      </c>
      <c r="CD583" s="25"/>
      <c r="CE583" s="200"/>
      <c r="CF583" s="200"/>
      <c r="CG583" s="200"/>
      <c r="CH583" s="200"/>
      <c r="CI583" s="200"/>
      <c r="CJ583" s="200"/>
      <c r="CK583" s="200"/>
      <c r="CL583" s="200"/>
      <c r="CM583" s="200"/>
      <c r="CN583" s="200"/>
      <c r="CO583" s="200"/>
      <c r="CP583" s="200"/>
      <c r="CQ583" s="200"/>
      <c r="CR583" s="200"/>
      <c r="CS583" s="200"/>
      <c r="CT583" s="200"/>
      <c r="CU583" s="200"/>
    </row>
    <row r="584" spans="1:99" s="17" customFormat="1" x14ac:dyDescent="0.2">
      <c r="A584" s="25"/>
      <c r="B584" s="20">
        <v>39153530103</v>
      </c>
      <c r="C584" s="20">
        <v>5301.03</v>
      </c>
      <c r="D584" s="20" t="s">
        <v>82</v>
      </c>
      <c r="E584" s="20" t="s">
        <v>2843</v>
      </c>
      <c r="F584" s="20" t="s">
        <v>8</v>
      </c>
      <c r="G584" s="861">
        <v>62.325046436748998</v>
      </c>
      <c r="H584" s="861">
        <v>57.299181618825799</v>
      </c>
      <c r="I584" s="861">
        <v>26.526101987279802</v>
      </c>
      <c r="J584" s="861">
        <v>39.538312925427803</v>
      </c>
      <c r="K584" s="982">
        <v>0</v>
      </c>
      <c r="L584" s="735">
        <v>4616</v>
      </c>
      <c r="M584" s="735">
        <v>4668</v>
      </c>
      <c r="N584" s="845">
        <f t="shared" si="53"/>
        <v>1.1265164644714038E-2</v>
      </c>
      <c r="O584" s="735">
        <v>2.7322808829419687</v>
      </c>
      <c r="P584" s="735">
        <f t="shared" si="54"/>
        <v>1708.4627093586939</v>
      </c>
      <c r="Q584" s="849">
        <v>46.3</v>
      </c>
      <c r="R584" s="71">
        <v>113125</v>
      </c>
      <c r="S584" s="845">
        <v>6.2621464046642192E-2</v>
      </c>
      <c r="T584" s="845">
        <v>4.7E-2</v>
      </c>
      <c r="U584" s="845">
        <v>6.9999999999999993E-3</v>
      </c>
      <c r="V584" s="845">
        <v>0.217</v>
      </c>
      <c r="W584" s="845">
        <v>7.6881134133042525E-2</v>
      </c>
      <c r="X584" s="845">
        <v>0.58865248226950351</v>
      </c>
      <c r="Y584" s="845">
        <v>0.67652099400171384</v>
      </c>
      <c r="Z584" s="845">
        <v>0.13667523564695802</v>
      </c>
      <c r="AA584" s="845">
        <v>0</v>
      </c>
      <c r="AB584" s="845">
        <v>7.1550985432733499E-2</v>
      </c>
      <c r="AC584" s="845">
        <v>0</v>
      </c>
      <c r="AD584" s="845">
        <v>3.8988860325621252E-2</v>
      </c>
      <c r="AE584" s="845">
        <v>7.6263924592973431E-2</v>
      </c>
      <c r="AF584" s="845">
        <v>6.2982005141388173E-2</v>
      </c>
      <c r="AG584" s="845">
        <v>0.63453299057412171</v>
      </c>
      <c r="AH584" s="20" t="str">
        <f t="shared" si="55"/>
        <v>No</v>
      </c>
      <c r="AI584" s="25"/>
      <c r="AJ584" s="20">
        <v>43119</v>
      </c>
      <c r="AK584" s="20" t="s">
        <v>804</v>
      </c>
      <c r="AL584" s="20">
        <v>39097</v>
      </c>
      <c r="AM584" s="20" t="s">
        <v>54</v>
      </c>
      <c r="AN584" s="37">
        <f t="shared" si="56"/>
        <v>18140</v>
      </c>
      <c r="AO584" s="37" t="str">
        <f t="shared" si="57"/>
        <v>Columbus, OH</v>
      </c>
      <c r="AP584" s="20" t="s">
        <v>8</v>
      </c>
      <c r="AQ584" s="25"/>
      <c r="AR584" s="25"/>
      <c r="AS584" s="25"/>
      <c r="AT584" s="25"/>
      <c r="AU584" s="36"/>
      <c r="AV584" s="36"/>
      <c r="AW584" s="36"/>
      <c r="AX584" s="25"/>
      <c r="AY584" s="25"/>
      <c r="AZ584" s="25"/>
      <c r="BA584" s="25"/>
      <c r="BB584" s="25"/>
      <c r="BC584" s="25"/>
      <c r="BD584" s="25"/>
      <c r="BE584" s="25"/>
      <c r="BF584" s="25"/>
      <c r="BG584" s="25"/>
      <c r="BH584" s="25"/>
      <c r="BI584" s="25"/>
      <c r="BJ584" s="25"/>
      <c r="BK584" s="25"/>
      <c r="BL584" s="25"/>
      <c r="BM584" s="25"/>
      <c r="BN584" s="25"/>
      <c r="BO584" s="25"/>
      <c r="BP584" s="25"/>
      <c r="BQ584" s="25"/>
      <c r="BR584" s="25"/>
      <c r="BS584" s="25"/>
      <c r="BT584" s="25"/>
      <c r="BU584" s="39">
        <v>43840</v>
      </c>
      <c r="BV584" s="39" t="s">
        <v>1087</v>
      </c>
      <c r="BW584" s="39" t="s">
        <v>2902</v>
      </c>
      <c r="BX584" s="39" t="s">
        <v>2903</v>
      </c>
      <c r="BY584" s="71">
        <v>740</v>
      </c>
      <c r="BZ584" s="71">
        <v>740</v>
      </c>
      <c r="CA584" s="71">
        <v>970</v>
      </c>
      <c r="CB584" s="71">
        <v>1250</v>
      </c>
      <c r="CC584" s="71">
        <v>1410</v>
      </c>
      <c r="CD584" s="25"/>
      <c r="CE584" s="200"/>
      <c r="CF584" s="200"/>
      <c r="CG584" s="200"/>
      <c r="CH584" s="200"/>
      <c r="CI584" s="200"/>
      <c r="CJ584" s="200"/>
      <c r="CK584" s="200"/>
      <c r="CL584" s="200"/>
      <c r="CM584" s="200"/>
      <c r="CN584" s="200"/>
      <c r="CO584" s="200"/>
      <c r="CP584" s="200"/>
      <c r="CQ584" s="200"/>
      <c r="CR584" s="200"/>
      <c r="CS584" s="200"/>
      <c r="CT584" s="200"/>
      <c r="CU584" s="200"/>
    </row>
    <row r="585" spans="1:99" s="17" customFormat="1" x14ac:dyDescent="0.2">
      <c r="A585" s="25"/>
      <c r="B585" s="20">
        <v>39097040600</v>
      </c>
      <c r="C585" s="20">
        <v>406</v>
      </c>
      <c r="D585" s="20" t="s">
        <v>54</v>
      </c>
      <c r="E585" s="20" t="s">
        <v>2830</v>
      </c>
      <c r="F585" s="20" t="s">
        <v>8</v>
      </c>
      <c r="G585" s="861">
        <v>62.319801594251203</v>
      </c>
      <c r="H585" s="861">
        <v>55.848607277187497</v>
      </c>
      <c r="I585" s="861">
        <v>32.145145024601497</v>
      </c>
      <c r="J585" s="861">
        <v>59.584149694039603</v>
      </c>
      <c r="K585" s="982">
        <v>0</v>
      </c>
      <c r="L585" s="735">
        <v>6237</v>
      </c>
      <c r="M585" s="735">
        <v>6193</v>
      </c>
      <c r="N585" s="845">
        <f t="shared" si="53"/>
        <v>-7.0546737213403876E-3</v>
      </c>
      <c r="O585" s="735">
        <v>9.6881182207434922</v>
      </c>
      <c r="P585" s="735">
        <f t="shared" si="54"/>
        <v>639.2366256163142</v>
      </c>
      <c r="Q585" s="849">
        <v>41.1</v>
      </c>
      <c r="R585" s="71">
        <v>74670</v>
      </c>
      <c r="S585" s="845">
        <v>0.13092513893429225</v>
      </c>
      <c r="T585" s="845">
        <v>1.9E-2</v>
      </c>
      <c r="U585" s="845">
        <v>0</v>
      </c>
      <c r="V585" s="845">
        <v>0.13900000000000001</v>
      </c>
      <c r="W585" s="845">
        <v>0.34523809523809523</v>
      </c>
      <c r="X585" s="845">
        <v>0.43678160919540232</v>
      </c>
      <c r="Y585" s="845">
        <v>0.93605683836589693</v>
      </c>
      <c r="Z585" s="845">
        <v>6.6203778459551109E-3</v>
      </c>
      <c r="AA585" s="845">
        <v>0</v>
      </c>
      <c r="AB585" s="845">
        <v>3.0518327143549167E-2</v>
      </c>
      <c r="AC585" s="845">
        <v>3.2294526077829809E-4</v>
      </c>
      <c r="AD585" s="845">
        <v>2.5835620862263847E-3</v>
      </c>
      <c r="AE585" s="845">
        <v>2.3897949297594059E-2</v>
      </c>
      <c r="AF585" s="845">
        <v>0</v>
      </c>
      <c r="AG585" s="845">
        <v>0.93605683836589693</v>
      </c>
      <c r="AH585" s="20" t="str">
        <f t="shared" si="55"/>
        <v>Yes</v>
      </c>
      <c r="AI585" s="25"/>
      <c r="AJ585" s="20">
        <v>43140</v>
      </c>
      <c r="AK585" s="20" t="s">
        <v>815</v>
      </c>
      <c r="AL585" s="20">
        <v>39097</v>
      </c>
      <c r="AM585" s="20" t="s">
        <v>54</v>
      </c>
      <c r="AN585" s="37">
        <f t="shared" si="56"/>
        <v>18140</v>
      </c>
      <c r="AO585" s="37" t="str">
        <f t="shared" si="57"/>
        <v>Columbus, OH</v>
      </c>
      <c r="AP585" s="20" t="s">
        <v>8</v>
      </c>
      <c r="AQ585" s="25"/>
      <c r="AR585" s="25"/>
      <c r="AS585" s="25"/>
      <c r="AT585" s="25"/>
      <c r="AU585" s="36"/>
      <c r="AV585" s="36"/>
      <c r="AW585" s="36"/>
      <c r="AX585" s="25"/>
      <c r="AY585" s="25"/>
      <c r="AZ585" s="25"/>
      <c r="BA585" s="25"/>
      <c r="BB585" s="25"/>
      <c r="BC585" s="25"/>
      <c r="BD585" s="25"/>
      <c r="BE585" s="25"/>
      <c r="BF585" s="25"/>
      <c r="BG585" s="25"/>
      <c r="BH585" s="25"/>
      <c r="BI585" s="25"/>
      <c r="BJ585" s="25"/>
      <c r="BK585" s="25"/>
      <c r="BL585" s="25"/>
      <c r="BM585" s="25"/>
      <c r="BN585" s="25"/>
      <c r="BO585" s="25"/>
      <c r="BP585" s="25"/>
      <c r="BQ585" s="25"/>
      <c r="BR585" s="25"/>
      <c r="BS585" s="25"/>
      <c r="BT585" s="25"/>
      <c r="BU585" s="39">
        <v>43843</v>
      </c>
      <c r="BV585" s="39" t="s">
        <v>1089</v>
      </c>
      <c r="BW585" s="39" t="s">
        <v>2902</v>
      </c>
      <c r="BX585" s="39" t="s">
        <v>2903</v>
      </c>
      <c r="BY585" s="71">
        <v>870</v>
      </c>
      <c r="BZ585" s="71">
        <v>940</v>
      </c>
      <c r="CA585" s="71">
        <v>1140</v>
      </c>
      <c r="CB585" s="71">
        <v>1490</v>
      </c>
      <c r="CC585" s="71">
        <v>1660</v>
      </c>
      <c r="CD585" s="25"/>
      <c r="CE585" s="200"/>
      <c r="CF585" s="200"/>
      <c r="CG585" s="200"/>
      <c r="CH585" s="200"/>
      <c r="CI585" s="200"/>
      <c r="CJ585" s="200"/>
      <c r="CK585" s="200"/>
      <c r="CL585" s="200"/>
      <c r="CM585" s="200"/>
      <c r="CN585" s="200"/>
      <c r="CO585" s="200"/>
      <c r="CP585" s="200"/>
      <c r="CQ585" s="200"/>
      <c r="CR585" s="200"/>
      <c r="CS585" s="200"/>
      <c r="CT585" s="200"/>
      <c r="CU585" s="200"/>
    </row>
    <row r="586" spans="1:99" s="17" customFormat="1" x14ac:dyDescent="0.2">
      <c r="A586" s="25"/>
      <c r="B586" s="20">
        <v>39109315002</v>
      </c>
      <c r="C586" s="20">
        <v>3150.02</v>
      </c>
      <c r="D586" s="20" t="s">
        <v>60</v>
      </c>
      <c r="E586" s="20" t="s">
        <v>2833</v>
      </c>
      <c r="F586" s="20" t="s">
        <v>8</v>
      </c>
      <c r="G586" s="861">
        <v>62.237980130650698</v>
      </c>
      <c r="H586" s="861">
        <v>52.576842928082399</v>
      </c>
      <c r="I586" s="861">
        <v>31.559046457266501</v>
      </c>
      <c r="J586" s="861">
        <v>57.656039844252398</v>
      </c>
      <c r="K586" s="982">
        <v>1</v>
      </c>
      <c r="L586" s="735">
        <v>4862</v>
      </c>
      <c r="M586" s="735">
        <v>3726</v>
      </c>
      <c r="N586" s="845">
        <f t="shared" si="53"/>
        <v>-0.23364870423693954</v>
      </c>
      <c r="O586" s="735">
        <v>10.94781164844807</v>
      </c>
      <c r="P586" s="735">
        <f t="shared" si="54"/>
        <v>340.34198976451944</v>
      </c>
      <c r="Q586" s="849">
        <v>37.299999999999997</v>
      </c>
      <c r="R586" s="71">
        <v>67240</v>
      </c>
      <c r="S586" s="845">
        <v>0.11723009814612868</v>
      </c>
      <c r="T586" s="845">
        <v>3.0000000000000001E-3</v>
      </c>
      <c r="U586" s="845">
        <v>6.0000000000000001E-3</v>
      </c>
      <c r="V586" s="845">
        <v>6.5000000000000002E-2</v>
      </c>
      <c r="W586" s="845">
        <v>0.36964078794901506</v>
      </c>
      <c r="X586" s="845">
        <v>0.31191222570532917</v>
      </c>
      <c r="Y586" s="845">
        <v>0.89586688137412773</v>
      </c>
      <c r="Z586" s="845">
        <v>5.1261406333870101E-2</v>
      </c>
      <c r="AA586" s="845">
        <v>0</v>
      </c>
      <c r="AB586" s="845">
        <v>4.5625335480407947E-3</v>
      </c>
      <c r="AC586" s="845">
        <v>0</v>
      </c>
      <c r="AD586" s="845">
        <v>1.3419216317767043E-3</v>
      </c>
      <c r="AE586" s="845">
        <v>4.6967257112184649E-2</v>
      </c>
      <c r="AF586" s="845">
        <v>0</v>
      </c>
      <c r="AG586" s="845">
        <v>0.89586688137412773</v>
      </c>
      <c r="AH586" s="20" t="str">
        <f t="shared" si="55"/>
        <v>No</v>
      </c>
      <c r="AI586" s="25"/>
      <c r="AJ586" s="20">
        <v>43143</v>
      </c>
      <c r="AK586" s="20" t="s">
        <v>817</v>
      </c>
      <c r="AL586" s="20">
        <v>39097</v>
      </c>
      <c r="AM586" s="20" t="s">
        <v>54</v>
      </c>
      <c r="AN586" s="37">
        <f t="shared" si="56"/>
        <v>18140</v>
      </c>
      <c r="AO586" s="37" t="str">
        <f t="shared" si="57"/>
        <v>Columbus, OH</v>
      </c>
      <c r="AP586" s="20" t="s">
        <v>8</v>
      </c>
      <c r="AQ586" s="25"/>
      <c r="AR586" s="25"/>
      <c r="AS586" s="25"/>
      <c r="AT586" s="25"/>
      <c r="AU586" s="36"/>
      <c r="AV586" s="36"/>
      <c r="AW586" s="36"/>
      <c r="AX586" s="25"/>
      <c r="AY586" s="25"/>
      <c r="AZ586" s="25"/>
      <c r="BA586" s="25"/>
      <c r="BB586" s="25"/>
      <c r="BC586" s="25"/>
      <c r="BD586" s="25"/>
      <c r="BE586" s="25"/>
      <c r="BF586" s="25"/>
      <c r="BG586" s="25"/>
      <c r="BH586" s="25"/>
      <c r="BI586" s="25"/>
      <c r="BJ586" s="25"/>
      <c r="BK586" s="25"/>
      <c r="BL586" s="25"/>
      <c r="BM586" s="25"/>
      <c r="BN586" s="25"/>
      <c r="BO586" s="25"/>
      <c r="BP586" s="25"/>
      <c r="BQ586" s="25"/>
      <c r="BR586" s="25"/>
      <c r="BS586" s="25"/>
      <c r="BT586" s="25"/>
      <c r="BU586" s="39">
        <v>43844</v>
      </c>
      <c r="BV586" s="39" t="s">
        <v>1090</v>
      </c>
      <c r="BW586" s="39" t="s">
        <v>2902</v>
      </c>
      <c r="BX586" s="39" t="s">
        <v>2903</v>
      </c>
      <c r="BY586" s="71">
        <v>790</v>
      </c>
      <c r="BZ586" s="71">
        <v>890</v>
      </c>
      <c r="CA586" s="71">
        <v>1050</v>
      </c>
      <c r="CB586" s="71">
        <v>1350</v>
      </c>
      <c r="CC586" s="71">
        <v>1760</v>
      </c>
      <c r="CD586" s="25"/>
      <c r="CE586" s="200"/>
      <c r="CF586" s="200"/>
      <c r="CG586" s="200"/>
      <c r="CH586" s="200"/>
      <c r="CI586" s="200"/>
      <c r="CJ586" s="200"/>
      <c r="CK586" s="200"/>
      <c r="CL586" s="200"/>
      <c r="CM586" s="200"/>
      <c r="CN586" s="200"/>
      <c r="CO586" s="200"/>
      <c r="CP586" s="200"/>
      <c r="CQ586" s="200"/>
      <c r="CR586" s="200"/>
      <c r="CS586" s="200"/>
      <c r="CT586" s="200"/>
      <c r="CU586" s="200"/>
    </row>
    <row r="587" spans="1:99" s="17" customFormat="1" x14ac:dyDescent="0.2">
      <c r="A587" s="25"/>
      <c r="B587" s="20">
        <v>39109350102</v>
      </c>
      <c r="C587" s="20">
        <v>3501.02</v>
      </c>
      <c r="D587" s="20" t="s">
        <v>60</v>
      </c>
      <c r="E587" s="20" t="s">
        <v>2833</v>
      </c>
      <c r="F587" s="20" t="s">
        <v>8</v>
      </c>
      <c r="G587" s="861">
        <v>62.224592385604502</v>
      </c>
      <c r="H587" s="861">
        <v>61.094205631232597</v>
      </c>
      <c r="I587" s="861">
        <v>21.554626355729098</v>
      </c>
      <c r="J587" s="861">
        <v>56.577396148414103</v>
      </c>
      <c r="K587" s="982">
        <v>0</v>
      </c>
      <c r="L587" s="735" t="s">
        <v>2466</v>
      </c>
      <c r="M587" s="735">
        <v>3448</v>
      </c>
      <c r="N587" s="845" t="str">
        <f t="shared" ref="N587:N650" si="58">IF(OR(L587="",M587=""),"",(M587-L587)/L587)</f>
        <v/>
      </c>
      <c r="O587" s="735">
        <v>9.0322503449639395</v>
      </c>
      <c r="P587" s="735">
        <f t="shared" ref="P587:P650" si="59">M587/O587</f>
        <v>381.74318340528305</v>
      </c>
      <c r="Q587" s="849">
        <v>40.4</v>
      </c>
      <c r="R587" s="71">
        <v>104925</v>
      </c>
      <c r="S587" s="845">
        <v>2.1171693735498841E-2</v>
      </c>
      <c r="T587" s="845">
        <v>1.3000000000000001E-2</v>
      </c>
      <c r="U587" s="845">
        <v>0</v>
      </c>
      <c r="V587" s="845">
        <v>0</v>
      </c>
      <c r="W587" s="845">
        <v>0.21085271317829457</v>
      </c>
      <c r="X587" s="845">
        <v>0.51102941176470584</v>
      </c>
      <c r="Y587" s="845">
        <v>0.91531322505800461</v>
      </c>
      <c r="Z587" s="845">
        <v>1.1310904872389791E-2</v>
      </c>
      <c r="AA587" s="845">
        <v>0</v>
      </c>
      <c r="AB587" s="845">
        <v>2.697215777262181E-2</v>
      </c>
      <c r="AC587" s="845">
        <v>0</v>
      </c>
      <c r="AD587" s="845">
        <v>0</v>
      </c>
      <c r="AE587" s="845">
        <v>4.6403712296983757E-2</v>
      </c>
      <c r="AF587" s="845">
        <v>6.9605568445475635E-3</v>
      </c>
      <c r="AG587" s="845">
        <v>0.91531322505800461</v>
      </c>
      <c r="AH587" s="20" t="str">
        <f t="shared" ref="AH587:AH650" si="60">IF(AG587&gt;=0.9,"Yes","No")</f>
        <v>Yes</v>
      </c>
      <c r="AI587" s="25"/>
      <c r="AJ587" s="20">
        <v>43146</v>
      </c>
      <c r="AK587" s="20" t="s">
        <v>820</v>
      </c>
      <c r="AL587" s="20">
        <v>39097</v>
      </c>
      <c r="AM587" s="20" t="s">
        <v>54</v>
      </c>
      <c r="AN587" s="37">
        <f t="shared" ref="AN587:AN650" si="61">VLOOKUP(AM587,$CY$11:$DA$98,2,FALSE)</f>
        <v>18140</v>
      </c>
      <c r="AO587" s="37" t="str">
        <f t="shared" ref="AO587:AO650" si="62">VLOOKUP(AM587,$CY$11:$DA$98,3,FALSE)</f>
        <v>Columbus, OH</v>
      </c>
      <c r="AP587" s="20" t="s">
        <v>8</v>
      </c>
      <c r="AQ587" s="25"/>
      <c r="AR587" s="25"/>
      <c r="AS587" s="25"/>
      <c r="AT587" s="25"/>
      <c r="AU587" s="36"/>
      <c r="AV587" s="36"/>
      <c r="AW587" s="36"/>
      <c r="AX587" s="25"/>
      <c r="AY587" s="25"/>
      <c r="AZ587" s="25"/>
      <c r="BA587" s="25"/>
      <c r="BB587" s="25"/>
      <c r="BC587" s="25"/>
      <c r="BD587" s="25"/>
      <c r="BE587" s="25"/>
      <c r="BF587" s="25"/>
      <c r="BG587" s="25"/>
      <c r="BH587" s="25"/>
      <c r="BI587" s="25"/>
      <c r="BJ587" s="25"/>
      <c r="BK587" s="25"/>
      <c r="BL587" s="25"/>
      <c r="BM587" s="25"/>
      <c r="BN587" s="25"/>
      <c r="BO587" s="25"/>
      <c r="BP587" s="25"/>
      <c r="BQ587" s="25"/>
      <c r="BR587" s="25"/>
      <c r="BS587" s="25"/>
      <c r="BT587" s="25"/>
      <c r="BU587" s="39">
        <v>43845</v>
      </c>
      <c r="BV587" s="39" t="s">
        <v>1091</v>
      </c>
      <c r="BW587" s="39" t="s">
        <v>2902</v>
      </c>
      <c r="BX587" s="39" t="s">
        <v>2903</v>
      </c>
      <c r="BY587" s="71">
        <v>740</v>
      </c>
      <c r="BZ587" s="71">
        <v>820</v>
      </c>
      <c r="CA587" s="71">
        <v>970</v>
      </c>
      <c r="CB587" s="71">
        <v>1250</v>
      </c>
      <c r="CC587" s="71">
        <v>1640</v>
      </c>
      <c r="CD587" s="25"/>
      <c r="CE587" s="200"/>
      <c r="CF587" s="200"/>
      <c r="CG587" s="200"/>
      <c r="CH587" s="200"/>
      <c r="CI587" s="200"/>
      <c r="CJ587" s="200"/>
      <c r="CK587" s="200"/>
      <c r="CL587" s="200"/>
      <c r="CM587" s="200"/>
      <c r="CN587" s="200"/>
      <c r="CO587" s="200"/>
      <c r="CP587" s="200"/>
      <c r="CQ587" s="200"/>
      <c r="CR587" s="200"/>
      <c r="CS587" s="200"/>
      <c r="CT587" s="200"/>
      <c r="CU587" s="200"/>
    </row>
    <row r="588" spans="1:99" s="17" customFormat="1" x14ac:dyDescent="0.2">
      <c r="A588" s="25"/>
      <c r="B588" s="20">
        <v>39049008382</v>
      </c>
      <c r="C588" s="20">
        <v>83.82</v>
      </c>
      <c r="D588" s="20" t="s">
        <v>31</v>
      </c>
      <c r="E588" s="20" t="s">
        <v>2830</v>
      </c>
      <c r="F588" s="20" t="s">
        <v>8</v>
      </c>
      <c r="G588" s="861">
        <v>62.201146772324599</v>
      </c>
      <c r="H588" s="861">
        <v>67.022053427640898</v>
      </c>
      <c r="I588" s="861">
        <v>20.296441287596299</v>
      </c>
      <c r="J588" s="861">
        <v>59.724601197785297</v>
      </c>
      <c r="K588" s="982">
        <v>0</v>
      </c>
      <c r="L588" s="735" t="s">
        <v>2466</v>
      </c>
      <c r="M588" s="735">
        <v>3384</v>
      </c>
      <c r="N588" s="845" t="str">
        <f t="shared" si="58"/>
        <v/>
      </c>
      <c r="O588" s="735">
        <v>1.2570436085901568</v>
      </c>
      <c r="P588" s="735">
        <f t="shared" si="59"/>
        <v>2692.0307114844973</v>
      </c>
      <c r="Q588" s="849">
        <v>31.7</v>
      </c>
      <c r="R588" s="71">
        <v>84201</v>
      </c>
      <c r="S588" s="845">
        <v>1.7139479905437353E-2</v>
      </c>
      <c r="T588" s="845">
        <v>1.8000000000000002E-2</v>
      </c>
      <c r="U588" s="845">
        <v>0</v>
      </c>
      <c r="V588" s="845">
        <v>1.1000000000000001E-2</v>
      </c>
      <c r="W588" s="845">
        <v>0.33705357142857145</v>
      </c>
      <c r="X588" s="845">
        <v>0.2671081677704194</v>
      </c>
      <c r="Y588" s="845">
        <v>0.73049645390070927</v>
      </c>
      <c r="Z588" s="845">
        <v>6.3534278959810869E-2</v>
      </c>
      <c r="AA588" s="845">
        <v>0</v>
      </c>
      <c r="AB588" s="845">
        <v>1.3593380614657211E-2</v>
      </c>
      <c r="AC588" s="845">
        <v>0</v>
      </c>
      <c r="AD588" s="845">
        <v>6.5307328605200943E-2</v>
      </c>
      <c r="AE588" s="845">
        <v>0.12706855791962174</v>
      </c>
      <c r="AF588" s="845">
        <v>0.14864066193853429</v>
      </c>
      <c r="AG588" s="845">
        <v>0.68587470449172572</v>
      </c>
      <c r="AH588" s="20" t="str">
        <f t="shared" si="60"/>
        <v>No</v>
      </c>
      <c r="AI588" s="25"/>
      <c r="AJ588" s="20">
        <v>43151</v>
      </c>
      <c r="AK588" s="20" t="s">
        <v>825</v>
      </c>
      <c r="AL588" s="20">
        <v>39097</v>
      </c>
      <c r="AM588" s="20" t="s">
        <v>54</v>
      </c>
      <c r="AN588" s="37">
        <f t="shared" si="61"/>
        <v>18140</v>
      </c>
      <c r="AO588" s="37" t="str">
        <f t="shared" si="62"/>
        <v>Columbus, OH</v>
      </c>
      <c r="AP588" s="20" t="s">
        <v>8</v>
      </c>
      <c r="AQ588" s="25"/>
      <c r="AR588" s="25"/>
      <c r="AS588" s="25"/>
      <c r="AT588" s="25"/>
      <c r="AU588" s="36"/>
      <c r="AV588" s="36"/>
      <c r="AW588" s="36"/>
      <c r="AX588" s="25"/>
      <c r="AY588" s="25"/>
      <c r="AZ588" s="25"/>
      <c r="BA588" s="25"/>
      <c r="BB588" s="25"/>
      <c r="BC588" s="25"/>
      <c r="BD588" s="25"/>
      <c r="BE588" s="25"/>
      <c r="BF588" s="25"/>
      <c r="BG588" s="25"/>
      <c r="BH588" s="25"/>
      <c r="BI588" s="25"/>
      <c r="BJ588" s="25"/>
      <c r="BK588" s="25"/>
      <c r="BL588" s="25"/>
      <c r="BM588" s="25"/>
      <c r="BN588" s="25"/>
      <c r="BO588" s="25"/>
      <c r="BP588" s="25"/>
      <c r="BQ588" s="25"/>
      <c r="BR588" s="25"/>
      <c r="BS588" s="25"/>
      <c r="BT588" s="25"/>
      <c r="BU588" s="39">
        <v>44637</v>
      </c>
      <c r="BV588" s="39" t="s">
        <v>1405</v>
      </c>
      <c r="BW588" s="39" t="s">
        <v>2902</v>
      </c>
      <c r="BX588" s="39" t="s">
        <v>2903</v>
      </c>
      <c r="BY588" s="71">
        <v>810</v>
      </c>
      <c r="BZ588" s="71">
        <v>830</v>
      </c>
      <c r="CA588" s="71">
        <v>1070</v>
      </c>
      <c r="CB588" s="71">
        <v>1330</v>
      </c>
      <c r="CC588" s="71">
        <v>1460</v>
      </c>
      <c r="CD588" s="25"/>
      <c r="CE588" s="200"/>
      <c r="CF588" s="200"/>
      <c r="CG588" s="200"/>
      <c r="CH588" s="200"/>
      <c r="CI588" s="200"/>
      <c r="CJ588" s="200"/>
      <c r="CK588" s="200"/>
      <c r="CL588" s="200"/>
      <c r="CM588" s="200"/>
      <c r="CN588" s="200"/>
      <c r="CO588" s="200"/>
      <c r="CP588" s="200"/>
      <c r="CQ588" s="200"/>
      <c r="CR588" s="200"/>
      <c r="CS588" s="200"/>
      <c r="CT588" s="200"/>
      <c r="CU588" s="200"/>
    </row>
    <row r="589" spans="1:99" s="17" customFormat="1" x14ac:dyDescent="0.2">
      <c r="A589" s="25"/>
      <c r="B589" s="20">
        <v>39035187105</v>
      </c>
      <c r="C589" s="20">
        <v>1871.05</v>
      </c>
      <c r="D589" s="20" t="s">
        <v>24</v>
      </c>
      <c r="E589" s="20" t="s">
        <v>2829</v>
      </c>
      <c r="F589" s="20" t="s">
        <v>8</v>
      </c>
      <c r="G589" s="861">
        <v>62.199525901257999</v>
      </c>
      <c r="H589" s="861">
        <v>68.339573083141801</v>
      </c>
      <c r="I589" s="861">
        <v>39.7903854056066</v>
      </c>
      <c r="J589" s="861">
        <v>51.797517766405001</v>
      </c>
      <c r="K589" s="982">
        <v>0</v>
      </c>
      <c r="L589" s="735">
        <v>3123</v>
      </c>
      <c r="M589" s="735">
        <v>3020</v>
      </c>
      <c r="N589" s="845">
        <f t="shared" si="58"/>
        <v>-3.2981107909061801E-2</v>
      </c>
      <c r="O589" s="735">
        <v>0.48059487037567911</v>
      </c>
      <c r="P589" s="735">
        <f t="shared" si="59"/>
        <v>6283.8789719900215</v>
      </c>
      <c r="Q589" s="849">
        <v>23.5</v>
      </c>
      <c r="R589" s="71">
        <v>94688</v>
      </c>
      <c r="S589" s="845">
        <v>0.21991505427088248</v>
      </c>
      <c r="T589" s="845">
        <v>5.0999999999999997E-2</v>
      </c>
      <c r="U589" s="845">
        <v>1.3000000000000001E-2</v>
      </c>
      <c r="V589" s="845">
        <v>0</v>
      </c>
      <c r="W589" s="845">
        <v>0.36383207750269109</v>
      </c>
      <c r="X589" s="845">
        <v>0.60355029585798814</v>
      </c>
      <c r="Y589" s="845">
        <v>0.86059602649006628</v>
      </c>
      <c r="Z589" s="845">
        <v>7.1192052980132453E-2</v>
      </c>
      <c r="AA589" s="845">
        <v>0</v>
      </c>
      <c r="AB589" s="845">
        <v>4.0397350993377483E-2</v>
      </c>
      <c r="AC589" s="845">
        <v>0</v>
      </c>
      <c r="AD589" s="845">
        <v>1.9867549668874172E-3</v>
      </c>
      <c r="AE589" s="845">
        <v>2.5827814569536423E-2</v>
      </c>
      <c r="AF589" s="845">
        <v>2.4834437086092714E-2</v>
      </c>
      <c r="AG589" s="845">
        <v>0.84403973509933772</v>
      </c>
      <c r="AH589" s="20" t="str">
        <f t="shared" si="60"/>
        <v>No</v>
      </c>
      <c r="AI589" s="25"/>
      <c r="AJ589" s="37">
        <v>43153</v>
      </c>
      <c r="AK589" s="37" t="s">
        <v>827</v>
      </c>
      <c r="AL589" s="37">
        <v>39097</v>
      </c>
      <c r="AM589" s="37" t="s">
        <v>54</v>
      </c>
      <c r="AN589" s="37">
        <f t="shared" si="61"/>
        <v>18140</v>
      </c>
      <c r="AO589" s="37" t="str">
        <f t="shared" si="62"/>
        <v>Columbus, OH</v>
      </c>
      <c r="AP589" s="20" t="s">
        <v>8</v>
      </c>
      <c r="AQ589" s="25"/>
      <c r="AR589" s="25"/>
      <c r="AS589" s="25"/>
      <c r="AT589" s="25"/>
      <c r="AU589" s="36"/>
      <c r="AV589" s="36"/>
      <c r="AW589" s="36"/>
      <c r="AX589" s="25"/>
      <c r="AY589" s="25"/>
      <c r="AZ589" s="25"/>
      <c r="BA589" s="25"/>
      <c r="BB589" s="25"/>
      <c r="BC589" s="25"/>
      <c r="BD589" s="25"/>
      <c r="BE589" s="25"/>
      <c r="BF589" s="25"/>
      <c r="BG589" s="25"/>
      <c r="BH589" s="25"/>
      <c r="BI589" s="25"/>
      <c r="BJ589" s="25"/>
      <c r="BK589" s="25"/>
      <c r="BL589" s="25"/>
      <c r="BM589" s="25"/>
      <c r="BN589" s="25"/>
      <c r="BO589" s="25"/>
      <c r="BP589" s="25"/>
      <c r="BQ589" s="25"/>
      <c r="BR589" s="25"/>
      <c r="BS589" s="25"/>
      <c r="BT589" s="25"/>
      <c r="BU589" s="39">
        <v>44654</v>
      </c>
      <c r="BV589" s="39" t="s">
        <v>1418</v>
      </c>
      <c r="BW589" s="39" t="s">
        <v>2902</v>
      </c>
      <c r="BX589" s="39" t="s">
        <v>2903</v>
      </c>
      <c r="BY589" s="71">
        <v>740</v>
      </c>
      <c r="BZ589" s="71">
        <v>740</v>
      </c>
      <c r="CA589" s="71">
        <v>970</v>
      </c>
      <c r="CB589" s="71">
        <v>1200</v>
      </c>
      <c r="CC589" s="71">
        <v>1340</v>
      </c>
      <c r="CD589" s="25"/>
      <c r="CE589" s="200"/>
      <c r="CF589" s="200"/>
      <c r="CG589" s="200"/>
      <c r="CH589" s="200"/>
      <c r="CI589" s="200"/>
      <c r="CJ589" s="200"/>
      <c r="CK589" s="200"/>
      <c r="CL589" s="200"/>
      <c r="CM589" s="200"/>
      <c r="CN589" s="200"/>
      <c r="CO589" s="200"/>
      <c r="CP589" s="200"/>
      <c r="CQ589" s="200"/>
      <c r="CR589" s="200"/>
      <c r="CS589" s="200"/>
      <c r="CT589" s="200"/>
      <c r="CU589" s="200"/>
    </row>
    <row r="590" spans="1:99" s="17" customFormat="1" x14ac:dyDescent="0.2">
      <c r="A590" s="25"/>
      <c r="B590" s="20">
        <v>39165031904</v>
      </c>
      <c r="C590" s="20">
        <v>319.04000000000002</v>
      </c>
      <c r="D590" s="20" t="s">
        <v>88</v>
      </c>
      <c r="E590" s="20" t="s">
        <v>2828</v>
      </c>
      <c r="F590" s="20" t="s">
        <v>8</v>
      </c>
      <c r="G590" s="861">
        <v>62.173226858050903</v>
      </c>
      <c r="H590" s="861">
        <v>64.836858963286701</v>
      </c>
      <c r="I590" s="861">
        <v>21.092466169606698</v>
      </c>
      <c r="J590" s="861">
        <v>35.165679202121197</v>
      </c>
      <c r="K590" s="982">
        <v>0</v>
      </c>
      <c r="L590" s="735">
        <v>6378</v>
      </c>
      <c r="M590" s="735">
        <v>6401</v>
      </c>
      <c r="N590" s="845">
        <f t="shared" si="58"/>
        <v>3.6061461273126372E-3</v>
      </c>
      <c r="O590" s="735">
        <v>2.7034147272591147</v>
      </c>
      <c r="P590" s="735">
        <f t="shared" si="59"/>
        <v>2367.7462194229151</v>
      </c>
      <c r="Q590" s="849">
        <v>39.5</v>
      </c>
      <c r="R590" s="71">
        <v>108208</v>
      </c>
      <c r="S590" s="845">
        <v>5.3780703162626425E-2</v>
      </c>
      <c r="T590" s="845">
        <v>3.2000000000000001E-2</v>
      </c>
      <c r="U590" s="845">
        <v>0</v>
      </c>
      <c r="V590" s="845">
        <v>4.4999999999999998E-2</v>
      </c>
      <c r="W590" s="845">
        <v>0.35801063022019741</v>
      </c>
      <c r="X590" s="845">
        <v>0.2523860021208908</v>
      </c>
      <c r="Y590" s="845">
        <v>0.71192001249804715</v>
      </c>
      <c r="Z590" s="845">
        <v>1.0779565692860491E-2</v>
      </c>
      <c r="AA590" s="845">
        <v>7.8112794875800657E-4</v>
      </c>
      <c r="AB590" s="845">
        <v>0.2148101859084518</v>
      </c>
      <c r="AC590" s="845">
        <v>0</v>
      </c>
      <c r="AD590" s="845">
        <v>2.2808936103733791E-2</v>
      </c>
      <c r="AE590" s="845">
        <v>3.8900171848148729E-2</v>
      </c>
      <c r="AF590" s="845">
        <v>8.9048586158412754E-3</v>
      </c>
      <c r="AG590" s="845">
        <v>0.71192001249804715</v>
      </c>
      <c r="AH590" s="20" t="str">
        <f t="shared" si="60"/>
        <v>No</v>
      </c>
      <c r="AI590" s="25"/>
      <c r="AJ590" s="20">
        <v>43162</v>
      </c>
      <c r="AK590" s="20" t="s">
        <v>834</v>
      </c>
      <c r="AL590" s="20">
        <v>39097</v>
      </c>
      <c r="AM590" s="20" t="s">
        <v>54</v>
      </c>
      <c r="AN590" s="37">
        <f t="shared" si="61"/>
        <v>18140</v>
      </c>
      <c r="AO590" s="37" t="str">
        <f t="shared" si="62"/>
        <v>Columbus, OH</v>
      </c>
      <c r="AP590" s="20" t="s">
        <v>8</v>
      </c>
      <c r="AQ590" s="25"/>
      <c r="AR590" s="25"/>
      <c r="AS590" s="25"/>
      <c r="AT590" s="25"/>
      <c r="AU590" s="36"/>
      <c r="AV590" s="36"/>
      <c r="AW590" s="36"/>
      <c r="AX590" s="25"/>
      <c r="AY590" s="25"/>
      <c r="AZ590" s="25"/>
      <c r="BA590" s="25"/>
      <c r="BB590" s="25"/>
      <c r="BC590" s="25"/>
      <c r="BD590" s="25"/>
      <c r="BE590" s="25"/>
      <c r="BF590" s="25"/>
      <c r="BG590" s="25"/>
      <c r="BH590" s="25"/>
      <c r="BI590" s="25"/>
      <c r="BJ590" s="25"/>
      <c r="BK590" s="25"/>
      <c r="BL590" s="25"/>
      <c r="BM590" s="25"/>
      <c r="BN590" s="25"/>
      <c r="BO590" s="25"/>
      <c r="BP590" s="25"/>
      <c r="BQ590" s="25"/>
      <c r="BR590" s="25"/>
      <c r="BS590" s="25"/>
      <c r="BT590" s="25"/>
      <c r="BU590" s="39">
        <v>44818</v>
      </c>
      <c r="BV590" s="39" t="s">
        <v>1475</v>
      </c>
      <c r="BW590" s="39" t="s">
        <v>2940</v>
      </c>
      <c r="BX590" s="39" t="s">
        <v>2941</v>
      </c>
      <c r="BY590" s="71">
        <v>750</v>
      </c>
      <c r="BZ590" s="71">
        <v>760</v>
      </c>
      <c r="CA590" s="71">
        <v>970</v>
      </c>
      <c r="CB590" s="71">
        <v>1210</v>
      </c>
      <c r="CC590" s="71">
        <v>1290</v>
      </c>
      <c r="CD590" s="25"/>
      <c r="CE590" s="200"/>
      <c r="CF590" s="200"/>
      <c r="CG590" s="200"/>
      <c r="CH590" s="200"/>
      <c r="CI590" s="200"/>
      <c r="CJ590" s="200"/>
      <c r="CK590" s="200"/>
      <c r="CL590" s="200"/>
      <c r="CM590" s="200"/>
      <c r="CN590" s="200"/>
      <c r="CO590" s="200"/>
      <c r="CP590" s="200"/>
      <c r="CQ590" s="200"/>
      <c r="CR590" s="200"/>
      <c r="CS590" s="200"/>
      <c r="CT590" s="200"/>
      <c r="CU590" s="200"/>
    </row>
    <row r="591" spans="1:99" s="17" customFormat="1" x14ac:dyDescent="0.2">
      <c r="A591" s="25"/>
      <c r="B591" s="20">
        <v>39113125103</v>
      </c>
      <c r="C591" s="20">
        <v>1251.03</v>
      </c>
      <c r="D591" s="20" t="s">
        <v>62</v>
      </c>
      <c r="E591" s="20" t="s">
        <v>2833</v>
      </c>
      <c r="F591" s="20" t="s">
        <v>8</v>
      </c>
      <c r="G591" s="861">
        <v>62.159196200832703</v>
      </c>
      <c r="H591" s="861">
        <v>61.102105464292798</v>
      </c>
      <c r="I591" s="861">
        <v>27.173400132689199</v>
      </c>
      <c r="J591" s="861">
        <v>43.876643542537899</v>
      </c>
      <c r="K591" s="982">
        <v>0</v>
      </c>
      <c r="L591" s="735" t="s">
        <v>2466</v>
      </c>
      <c r="M591" s="735">
        <v>2575</v>
      </c>
      <c r="N591" s="845" t="str">
        <f t="shared" si="58"/>
        <v/>
      </c>
      <c r="O591" s="735">
        <v>2.0658229971565394</v>
      </c>
      <c r="P591" s="735">
        <f t="shared" si="59"/>
        <v>1246.4765875606511</v>
      </c>
      <c r="Q591" s="849">
        <v>50.7</v>
      </c>
      <c r="R591" s="71">
        <v>80395</v>
      </c>
      <c r="S591" s="845">
        <v>3.0679611650485435E-2</v>
      </c>
      <c r="T591" s="845">
        <v>2.1000000000000001E-2</v>
      </c>
      <c r="U591" s="845">
        <v>0</v>
      </c>
      <c r="V591" s="845">
        <v>0</v>
      </c>
      <c r="W591" s="845">
        <v>0.21217391304347827</v>
      </c>
      <c r="X591" s="845">
        <v>0.44262295081967212</v>
      </c>
      <c r="Y591" s="845">
        <v>0.77902912621359222</v>
      </c>
      <c r="Z591" s="845">
        <v>0.15184466019417475</v>
      </c>
      <c r="AA591" s="845">
        <v>0</v>
      </c>
      <c r="AB591" s="845">
        <v>0.04</v>
      </c>
      <c r="AC591" s="845">
        <v>0</v>
      </c>
      <c r="AD591" s="845">
        <v>0</v>
      </c>
      <c r="AE591" s="845">
        <v>2.9126213592233011E-2</v>
      </c>
      <c r="AF591" s="845">
        <v>0</v>
      </c>
      <c r="AG591" s="845">
        <v>0.77902912621359222</v>
      </c>
      <c r="AH591" s="20" t="str">
        <f t="shared" si="60"/>
        <v>No</v>
      </c>
      <c r="AI591" s="25"/>
      <c r="AJ591" s="20">
        <v>45369</v>
      </c>
      <c r="AK591" s="20" t="s">
        <v>1715</v>
      </c>
      <c r="AL591" s="20">
        <v>39097</v>
      </c>
      <c r="AM591" s="20" t="s">
        <v>54</v>
      </c>
      <c r="AN591" s="37">
        <f t="shared" si="61"/>
        <v>18140</v>
      </c>
      <c r="AO591" s="37" t="str">
        <f t="shared" si="62"/>
        <v>Columbus, OH</v>
      </c>
      <c r="AP591" s="20" t="s">
        <v>8</v>
      </c>
      <c r="AQ591" s="25"/>
      <c r="AR591" s="25"/>
      <c r="AS591" s="25"/>
      <c r="AT591" s="25"/>
      <c r="AU591" s="36"/>
      <c r="AV591" s="36"/>
      <c r="AW591" s="36"/>
      <c r="AX591" s="25"/>
      <c r="AY591" s="25"/>
      <c r="AZ591" s="25"/>
      <c r="BA591" s="25"/>
      <c r="BB591" s="25"/>
      <c r="BC591" s="25"/>
      <c r="BD591" s="25"/>
      <c r="BE591" s="25"/>
      <c r="BF591" s="25"/>
      <c r="BG591" s="25"/>
      <c r="BH591" s="25"/>
      <c r="BI591" s="25"/>
      <c r="BJ591" s="25"/>
      <c r="BK591" s="25"/>
      <c r="BL591" s="25"/>
      <c r="BM591" s="25"/>
      <c r="BN591" s="25"/>
      <c r="BO591" s="25"/>
      <c r="BP591" s="25"/>
      <c r="BQ591" s="25"/>
      <c r="BR591" s="25"/>
      <c r="BS591" s="25"/>
      <c r="BT591" s="25"/>
      <c r="BU591" s="39">
        <v>44820</v>
      </c>
      <c r="BV591" s="39" t="s">
        <v>1476</v>
      </c>
      <c r="BW591" s="39" t="s">
        <v>2940</v>
      </c>
      <c r="BX591" s="39" t="s">
        <v>2941</v>
      </c>
      <c r="BY591" s="71">
        <v>780</v>
      </c>
      <c r="BZ591" s="71">
        <v>810</v>
      </c>
      <c r="CA591" s="71">
        <v>970</v>
      </c>
      <c r="CB591" s="71">
        <v>1280</v>
      </c>
      <c r="CC591" s="71">
        <v>1290</v>
      </c>
      <c r="CD591" s="25"/>
      <c r="CE591" s="200"/>
      <c r="CF591" s="200"/>
      <c r="CG591" s="200"/>
      <c r="CH591" s="200"/>
      <c r="CI591" s="200"/>
      <c r="CJ591" s="200"/>
      <c r="CK591" s="200"/>
      <c r="CL591" s="200"/>
      <c r="CM591" s="200"/>
      <c r="CN591" s="200"/>
      <c r="CO591" s="200"/>
      <c r="CP591" s="200"/>
      <c r="CQ591" s="200"/>
      <c r="CR591" s="200"/>
      <c r="CS591" s="200"/>
      <c r="CT591" s="200"/>
      <c r="CU591" s="200"/>
    </row>
    <row r="592" spans="1:99" s="17" customFormat="1" x14ac:dyDescent="0.2">
      <c r="A592" s="25"/>
      <c r="B592" s="20">
        <v>39173021100</v>
      </c>
      <c r="C592" s="20">
        <v>211</v>
      </c>
      <c r="D592" s="20" t="s">
        <v>92</v>
      </c>
      <c r="E592" s="20" t="s">
        <v>2839</v>
      </c>
      <c r="F592" s="20" t="s">
        <v>8</v>
      </c>
      <c r="G592" s="861">
        <v>62.133708235141697</v>
      </c>
      <c r="H592" s="861">
        <v>60.892741043852901</v>
      </c>
      <c r="I592" s="861">
        <v>15.393203149782799</v>
      </c>
      <c r="J592" s="861">
        <v>49.2810645965981</v>
      </c>
      <c r="K592" s="982">
        <v>0</v>
      </c>
      <c r="L592" s="735">
        <v>3971</v>
      </c>
      <c r="M592" s="735">
        <v>3922</v>
      </c>
      <c r="N592" s="845">
        <f t="shared" si="58"/>
        <v>-1.2339461092923696E-2</v>
      </c>
      <c r="O592" s="735">
        <v>58.978179247317087</v>
      </c>
      <c r="P592" s="735">
        <f t="shared" si="59"/>
        <v>66.499170541593344</v>
      </c>
      <c r="Q592" s="849">
        <v>44.9</v>
      </c>
      <c r="R592" s="71">
        <v>92204</v>
      </c>
      <c r="S592" s="845">
        <v>3.1936637710781812E-2</v>
      </c>
      <c r="T592" s="845">
        <v>2.1000000000000001E-2</v>
      </c>
      <c r="U592" s="845">
        <v>9.0000000000000011E-3</v>
      </c>
      <c r="V592" s="845">
        <v>0</v>
      </c>
      <c r="W592" s="845">
        <v>0.12600869025450032</v>
      </c>
      <c r="X592" s="845">
        <v>0.18719211822660098</v>
      </c>
      <c r="Y592" s="845">
        <v>0.93013768485466597</v>
      </c>
      <c r="Z592" s="845">
        <v>1.7848036715961244E-3</v>
      </c>
      <c r="AA592" s="845">
        <v>0</v>
      </c>
      <c r="AB592" s="845">
        <v>3.0596634370219276E-3</v>
      </c>
      <c r="AC592" s="845">
        <v>1.1983681795002549E-2</v>
      </c>
      <c r="AD592" s="845">
        <v>5.6093829678735335E-3</v>
      </c>
      <c r="AE592" s="845">
        <v>4.7424783273839879E-2</v>
      </c>
      <c r="AF592" s="845">
        <v>4.9464558898521166E-2</v>
      </c>
      <c r="AG592" s="845">
        <v>0.91024987251402345</v>
      </c>
      <c r="AH592" s="20" t="str">
        <f t="shared" si="60"/>
        <v>Yes</v>
      </c>
      <c r="AI592" s="25"/>
      <c r="AJ592" s="20">
        <v>43003</v>
      </c>
      <c r="AK592" s="20" t="s">
        <v>730</v>
      </c>
      <c r="AL592" s="20">
        <v>39117</v>
      </c>
      <c r="AM592" s="20" t="s">
        <v>64</v>
      </c>
      <c r="AN592" s="37">
        <f t="shared" si="61"/>
        <v>18140</v>
      </c>
      <c r="AO592" s="37" t="str">
        <f t="shared" si="62"/>
        <v>Columbus, OH</v>
      </c>
      <c r="AP592" s="20" t="s">
        <v>8</v>
      </c>
      <c r="AQ592" s="25"/>
      <c r="AR592" s="25"/>
      <c r="AS592" s="25"/>
      <c r="AT592" s="25"/>
      <c r="AU592" s="36"/>
      <c r="AV592" s="36"/>
      <c r="AW592" s="36"/>
      <c r="AX592" s="25"/>
      <c r="AY592" s="25"/>
      <c r="AZ592" s="25"/>
      <c r="BA592" s="25"/>
      <c r="BB592" s="25"/>
      <c r="BC592" s="25"/>
      <c r="BD592" s="25"/>
      <c r="BE592" s="25"/>
      <c r="BF592" s="25"/>
      <c r="BG592" s="25"/>
      <c r="BH592" s="25"/>
      <c r="BI592" s="25"/>
      <c r="BJ592" s="25"/>
      <c r="BK592" s="25"/>
      <c r="BL592" s="25"/>
      <c r="BM592" s="25"/>
      <c r="BN592" s="25"/>
      <c r="BO592" s="25"/>
      <c r="BP592" s="25"/>
      <c r="BQ592" s="25"/>
      <c r="BR592" s="25"/>
      <c r="BS592" s="25"/>
      <c r="BT592" s="25"/>
      <c r="BU592" s="39">
        <v>44825</v>
      </c>
      <c r="BV592" s="39" t="s">
        <v>1479</v>
      </c>
      <c r="BW592" s="39" t="s">
        <v>2940</v>
      </c>
      <c r="BX592" s="39" t="s">
        <v>2941</v>
      </c>
      <c r="BY592" s="71">
        <v>790</v>
      </c>
      <c r="BZ592" s="71">
        <v>830</v>
      </c>
      <c r="CA592" s="71">
        <v>990</v>
      </c>
      <c r="CB592" s="71">
        <v>1310</v>
      </c>
      <c r="CC592" s="71">
        <v>1310</v>
      </c>
      <c r="CD592" s="25"/>
      <c r="CE592" s="200"/>
      <c r="CF592" s="200"/>
      <c r="CG592" s="200"/>
      <c r="CH592" s="200"/>
      <c r="CI592" s="200"/>
      <c r="CJ592" s="200"/>
      <c r="CK592" s="200"/>
      <c r="CL592" s="200"/>
      <c r="CM592" s="200"/>
      <c r="CN592" s="200"/>
      <c r="CO592" s="200"/>
      <c r="CP592" s="200"/>
      <c r="CQ592" s="200"/>
      <c r="CR592" s="200"/>
      <c r="CS592" s="200"/>
      <c r="CT592" s="200"/>
      <c r="CU592" s="200"/>
    </row>
    <row r="593" spans="1:99" s="17" customFormat="1" x14ac:dyDescent="0.2">
      <c r="A593" s="25"/>
      <c r="B593" s="20">
        <v>39061024324</v>
      </c>
      <c r="C593" s="20">
        <v>243.24</v>
      </c>
      <c r="D593" s="20" t="s">
        <v>37</v>
      </c>
      <c r="E593" s="20" t="s">
        <v>2828</v>
      </c>
      <c r="F593" s="20" t="s">
        <v>8</v>
      </c>
      <c r="G593" s="861">
        <v>62.126664865089403</v>
      </c>
      <c r="H593" s="861">
        <v>62.5827386185723</v>
      </c>
      <c r="I593" s="861">
        <v>25.4632419199372</v>
      </c>
      <c r="J593" s="861">
        <v>23.833178007240601</v>
      </c>
      <c r="K593" s="982">
        <v>0</v>
      </c>
      <c r="L593" s="735" t="s">
        <v>2466</v>
      </c>
      <c r="M593" s="735">
        <v>4111</v>
      </c>
      <c r="N593" s="845" t="str">
        <f t="shared" si="58"/>
        <v/>
      </c>
      <c r="O593" s="735">
        <v>1.6089135636997192</v>
      </c>
      <c r="P593" s="735">
        <f t="shared" si="59"/>
        <v>2555.1403709635579</v>
      </c>
      <c r="Q593" s="849">
        <v>39.299999999999997</v>
      </c>
      <c r="R593" s="71">
        <v>101341</v>
      </c>
      <c r="S593" s="845">
        <v>4.2490118577075096E-2</v>
      </c>
      <c r="T593" s="845">
        <v>2.8999999999999998E-2</v>
      </c>
      <c r="U593" s="845">
        <v>0</v>
      </c>
      <c r="V593" s="845">
        <v>0.16800000000000001</v>
      </c>
      <c r="W593" s="845">
        <v>0.28173190984578883</v>
      </c>
      <c r="X593" s="845">
        <v>0.29473684210526313</v>
      </c>
      <c r="Y593" s="845">
        <v>0.80734614449039166</v>
      </c>
      <c r="Z593" s="845">
        <v>0.11432741425443931</v>
      </c>
      <c r="AA593" s="845">
        <v>0</v>
      </c>
      <c r="AB593" s="845">
        <v>3.5027973729019703E-2</v>
      </c>
      <c r="AC593" s="845">
        <v>0</v>
      </c>
      <c r="AD593" s="845">
        <v>5.5947458039406466E-3</v>
      </c>
      <c r="AE593" s="845">
        <v>3.7703721722208705E-2</v>
      </c>
      <c r="AF593" s="845">
        <v>2.8460228654828508E-2</v>
      </c>
      <c r="AG593" s="845">
        <v>0.79372415470688396</v>
      </c>
      <c r="AH593" s="20" t="str">
        <f t="shared" si="60"/>
        <v>No</v>
      </c>
      <c r="AI593" s="25"/>
      <c r="AJ593" s="37">
        <v>43011</v>
      </c>
      <c r="AK593" s="37" t="s">
        <v>738</v>
      </c>
      <c r="AL593" s="37">
        <v>39117</v>
      </c>
      <c r="AM593" s="37" t="s">
        <v>64</v>
      </c>
      <c r="AN593" s="37">
        <f t="shared" si="61"/>
        <v>18140</v>
      </c>
      <c r="AO593" s="37" t="str">
        <f t="shared" si="62"/>
        <v>Columbus, OH</v>
      </c>
      <c r="AP593" s="20" t="s">
        <v>8</v>
      </c>
      <c r="AQ593" s="25"/>
      <c r="AR593" s="25"/>
      <c r="AS593" s="25"/>
      <c r="AT593" s="25"/>
      <c r="AU593" s="36"/>
      <c r="AV593" s="36"/>
      <c r="AW593" s="36"/>
      <c r="AX593" s="25"/>
      <c r="AY593" s="25"/>
      <c r="AZ593" s="25"/>
      <c r="BA593" s="25"/>
      <c r="BB593" s="25"/>
      <c r="BC593" s="25"/>
      <c r="BD593" s="25"/>
      <c r="BE593" s="25"/>
      <c r="BF593" s="25"/>
      <c r="BG593" s="25"/>
      <c r="BH593" s="25"/>
      <c r="BI593" s="25"/>
      <c r="BJ593" s="25"/>
      <c r="BK593" s="25"/>
      <c r="BL593" s="25"/>
      <c r="BM593" s="25"/>
      <c r="BN593" s="25"/>
      <c r="BO593" s="25"/>
      <c r="BP593" s="25"/>
      <c r="BQ593" s="25"/>
      <c r="BR593" s="25"/>
      <c r="BS593" s="25"/>
      <c r="BT593" s="25"/>
      <c r="BU593" s="39">
        <v>44849</v>
      </c>
      <c r="BV593" s="39" t="s">
        <v>1496</v>
      </c>
      <c r="BW593" s="39" t="s">
        <v>2940</v>
      </c>
      <c r="BX593" s="39" t="s">
        <v>2941</v>
      </c>
      <c r="BY593" s="71">
        <v>820</v>
      </c>
      <c r="BZ593" s="71">
        <v>890</v>
      </c>
      <c r="CA593" s="71">
        <v>1080</v>
      </c>
      <c r="CB593" s="71">
        <v>1390</v>
      </c>
      <c r="CC593" s="71">
        <v>1560</v>
      </c>
      <c r="CD593" s="25"/>
      <c r="CE593" s="200"/>
      <c r="CF593" s="200"/>
      <c r="CG593" s="200"/>
      <c r="CH593" s="200"/>
      <c r="CI593" s="200"/>
      <c r="CJ593" s="200"/>
      <c r="CK593" s="200"/>
      <c r="CL593" s="200"/>
      <c r="CM593" s="200"/>
      <c r="CN593" s="200"/>
      <c r="CO593" s="200"/>
      <c r="CP593" s="200"/>
      <c r="CQ593" s="200"/>
      <c r="CR593" s="200"/>
      <c r="CS593" s="200"/>
      <c r="CT593" s="200"/>
      <c r="CU593" s="200"/>
    </row>
    <row r="594" spans="1:99" s="17" customFormat="1" x14ac:dyDescent="0.2">
      <c r="A594" s="25"/>
      <c r="B594" s="20">
        <v>39035172102</v>
      </c>
      <c r="C594" s="20">
        <v>1721.02</v>
      </c>
      <c r="D594" s="20" t="s">
        <v>24</v>
      </c>
      <c r="E594" s="20" t="s">
        <v>2829</v>
      </c>
      <c r="F594" s="20" t="s">
        <v>8</v>
      </c>
      <c r="G594" s="861">
        <v>62.115871150888204</v>
      </c>
      <c r="H594" s="861">
        <v>65.025673877439601</v>
      </c>
      <c r="I594" s="861">
        <v>26.6056695326177</v>
      </c>
      <c r="J594" s="861">
        <v>44.171133040953599</v>
      </c>
      <c r="K594" s="982">
        <v>0</v>
      </c>
      <c r="L594" s="735">
        <v>3669</v>
      </c>
      <c r="M594" s="735">
        <v>3593</v>
      </c>
      <c r="N594" s="845">
        <f t="shared" si="58"/>
        <v>-2.0714091032979012E-2</v>
      </c>
      <c r="O594" s="735">
        <v>0.68374676824288594</v>
      </c>
      <c r="P594" s="735">
        <f t="shared" si="59"/>
        <v>5254.8694441853158</v>
      </c>
      <c r="Q594" s="849">
        <v>38.9</v>
      </c>
      <c r="R594" s="71">
        <v>79636</v>
      </c>
      <c r="S594" s="845">
        <v>6.6778429728974575E-2</v>
      </c>
      <c r="T594" s="845">
        <v>0.05</v>
      </c>
      <c r="U594" s="845">
        <v>0</v>
      </c>
      <c r="V594" s="845">
        <v>1.3999999999999999E-2</v>
      </c>
      <c r="W594" s="845">
        <v>0.32655502392344499</v>
      </c>
      <c r="X594" s="845">
        <v>0.23626373626373626</v>
      </c>
      <c r="Y594" s="845">
        <v>0.72251600333982746</v>
      </c>
      <c r="Z594" s="845">
        <v>0.15446701920400779</v>
      </c>
      <c r="AA594" s="845">
        <v>0</v>
      </c>
      <c r="AB594" s="845">
        <v>6.4569997216810462E-2</v>
      </c>
      <c r="AC594" s="845">
        <v>0</v>
      </c>
      <c r="AD594" s="845">
        <v>1.864736988588923E-2</v>
      </c>
      <c r="AE594" s="845">
        <v>3.9799610353465069E-2</v>
      </c>
      <c r="AF594" s="845">
        <v>3.4789869190091846E-2</v>
      </c>
      <c r="AG594" s="845">
        <v>0.71722794322293348</v>
      </c>
      <c r="AH594" s="20" t="str">
        <f t="shared" si="60"/>
        <v>No</v>
      </c>
      <c r="AI594" s="25"/>
      <c r="AJ594" s="20">
        <v>43019</v>
      </c>
      <c r="AK594" s="20" t="s">
        <v>745</v>
      </c>
      <c r="AL594" s="20">
        <v>39117</v>
      </c>
      <c r="AM594" s="20" t="s">
        <v>64</v>
      </c>
      <c r="AN594" s="37">
        <f t="shared" si="61"/>
        <v>18140</v>
      </c>
      <c r="AO594" s="37" t="str">
        <f t="shared" si="62"/>
        <v>Columbus, OH</v>
      </c>
      <c r="AP594" s="20" t="s">
        <v>8</v>
      </c>
      <c r="AQ594" s="25"/>
      <c r="AR594" s="25"/>
      <c r="AS594" s="25"/>
      <c r="AT594" s="25"/>
      <c r="AU594" s="36"/>
      <c r="AV594" s="36"/>
      <c r="AW594" s="36"/>
      <c r="AX594" s="25"/>
      <c r="AY594" s="25"/>
      <c r="AZ594" s="25"/>
      <c r="BA594" s="25"/>
      <c r="BB594" s="25"/>
      <c r="BC594" s="25"/>
      <c r="BD594" s="25"/>
      <c r="BE594" s="25"/>
      <c r="BF594" s="25"/>
      <c r="BG594" s="25"/>
      <c r="BH594" s="25"/>
      <c r="BI594" s="25"/>
      <c r="BJ594" s="25"/>
      <c r="BK594" s="25"/>
      <c r="BL594" s="25"/>
      <c r="BM594" s="25"/>
      <c r="BN594" s="25"/>
      <c r="BO594" s="25"/>
      <c r="BP594" s="25"/>
      <c r="BQ594" s="25"/>
      <c r="BR594" s="25"/>
      <c r="BS594" s="25"/>
      <c r="BT594" s="25"/>
      <c r="BU594" s="39">
        <v>44854</v>
      </c>
      <c r="BV594" s="39" t="s">
        <v>1500</v>
      </c>
      <c r="BW594" s="39" t="s">
        <v>2940</v>
      </c>
      <c r="BX594" s="39" t="s">
        <v>2941</v>
      </c>
      <c r="BY594" s="71">
        <v>840</v>
      </c>
      <c r="BZ594" s="71">
        <v>870</v>
      </c>
      <c r="CA594" s="71">
        <v>1050</v>
      </c>
      <c r="CB594" s="71">
        <v>1380</v>
      </c>
      <c r="CC594" s="71">
        <v>1390</v>
      </c>
      <c r="CD594" s="25"/>
      <c r="CE594" s="200"/>
      <c r="CF594" s="200"/>
      <c r="CG594" s="200"/>
      <c r="CH594" s="200"/>
      <c r="CI594" s="200"/>
      <c r="CJ594" s="200"/>
      <c r="CK594" s="200"/>
      <c r="CL594" s="200"/>
      <c r="CM594" s="200"/>
      <c r="CN594" s="200"/>
      <c r="CO594" s="200"/>
      <c r="CP594" s="200"/>
      <c r="CQ594" s="200"/>
      <c r="CR594" s="200"/>
      <c r="CS594" s="200"/>
      <c r="CT594" s="200"/>
      <c r="CU594" s="200"/>
    </row>
    <row r="595" spans="1:99" s="17" customFormat="1" x14ac:dyDescent="0.2">
      <c r="A595" s="25"/>
      <c r="B595" s="20">
        <v>39061011000</v>
      </c>
      <c r="C595" s="20">
        <v>110</v>
      </c>
      <c r="D595" s="20" t="s">
        <v>37</v>
      </c>
      <c r="E595" s="20" t="s">
        <v>2828</v>
      </c>
      <c r="F595" s="20" t="s">
        <v>6</v>
      </c>
      <c r="G595" s="861">
        <v>62.1029770499905</v>
      </c>
      <c r="H595" s="861">
        <v>58.0896009461609</v>
      </c>
      <c r="I595" s="861">
        <v>59.324391504161497</v>
      </c>
      <c r="J595" s="861">
        <v>61.985977477238997</v>
      </c>
      <c r="K595" s="982">
        <v>0</v>
      </c>
      <c r="L595" s="735">
        <v>2913</v>
      </c>
      <c r="M595" s="735">
        <v>2763</v>
      </c>
      <c r="N595" s="845">
        <f t="shared" si="58"/>
        <v>-5.1493305870236872E-2</v>
      </c>
      <c r="O595" s="735">
        <v>0.58181541227229805</v>
      </c>
      <c r="P595" s="735">
        <f t="shared" si="59"/>
        <v>4748.9288556468764</v>
      </c>
      <c r="Q595" s="849">
        <v>38.200000000000003</v>
      </c>
      <c r="R595" s="71">
        <v>46708</v>
      </c>
      <c r="S595" s="845">
        <v>0.25736665423349497</v>
      </c>
      <c r="T595" s="845">
        <v>4.0000000000000001E-3</v>
      </c>
      <c r="U595" s="845">
        <v>0</v>
      </c>
      <c r="V595" s="845">
        <v>6.9000000000000006E-2</v>
      </c>
      <c r="W595" s="845">
        <v>0.70051194539249151</v>
      </c>
      <c r="X595" s="845">
        <v>0.62362971985383675</v>
      </c>
      <c r="Y595" s="845">
        <v>0.14838943177705394</v>
      </c>
      <c r="Z595" s="845">
        <v>0.78031125588128847</v>
      </c>
      <c r="AA595" s="845">
        <v>0</v>
      </c>
      <c r="AB595" s="845">
        <v>0</v>
      </c>
      <c r="AC595" s="845">
        <v>0</v>
      </c>
      <c r="AD595" s="845">
        <v>0</v>
      </c>
      <c r="AE595" s="845">
        <v>7.1299312341657622E-2</v>
      </c>
      <c r="AF595" s="845">
        <v>0</v>
      </c>
      <c r="AG595" s="845">
        <v>0.14838943177705394</v>
      </c>
      <c r="AH595" s="20" t="str">
        <f t="shared" si="60"/>
        <v>No</v>
      </c>
      <c r="AI595" s="25"/>
      <c r="AJ595" s="37">
        <v>43050</v>
      </c>
      <c r="AK595" s="37" t="s">
        <v>766</v>
      </c>
      <c r="AL595" s="37">
        <v>39117</v>
      </c>
      <c r="AM595" s="37" t="s">
        <v>64</v>
      </c>
      <c r="AN595" s="37">
        <f t="shared" si="61"/>
        <v>18140</v>
      </c>
      <c r="AO595" s="37" t="str">
        <f t="shared" si="62"/>
        <v>Columbus, OH</v>
      </c>
      <c r="AP595" s="20" t="s">
        <v>8</v>
      </c>
      <c r="AQ595" s="25"/>
      <c r="AR595" s="25"/>
      <c r="AS595" s="25"/>
      <c r="AT595" s="25"/>
      <c r="AU595" s="36"/>
      <c r="AV595" s="36"/>
      <c r="AW595" s="36"/>
      <c r="AX595" s="25"/>
      <c r="AY595" s="25"/>
      <c r="AZ595" s="25"/>
      <c r="BA595" s="25"/>
      <c r="BB595" s="25"/>
      <c r="BC595" s="25"/>
      <c r="BD595" s="25"/>
      <c r="BE595" s="25"/>
      <c r="BF595" s="25"/>
      <c r="BG595" s="25"/>
      <c r="BH595" s="25"/>
      <c r="BI595" s="25"/>
      <c r="BJ595" s="25"/>
      <c r="BK595" s="25"/>
      <c r="BL595" s="25"/>
      <c r="BM595" s="25"/>
      <c r="BN595" s="25"/>
      <c r="BO595" s="25"/>
      <c r="BP595" s="25"/>
      <c r="BQ595" s="25"/>
      <c r="BR595" s="25"/>
      <c r="BS595" s="25"/>
      <c r="BT595" s="25"/>
      <c r="BU595" s="39">
        <v>44856</v>
      </c>
      <c r="BV595" s="39" t="s">
        <v>1502</v>
      </c>
      <c r="BW595" s="39" t="s">
        <v>2940</v>
      </c>
      <c r="BX595" s="39" t="s">
        <v>2941</v>
      </c>
      <c r="BY595" s="71">
        <v>780</v>
      </c>
      <c r="BZ595" s="71">
        <v>810</v>
      </c>
      <c r="CA595" s="71">
        <v>970</v>
      </c>
      <c r="CB595" s="71">
        <v>1280</v>
      </c>
      <c r="CC595" s="71">
        <v>1290</v>
      </c>
      <c r="CD595" s="25"/>
      <c r="CE595" s="200"/>
      <c r="CF595" s="200"/>
      <c r="CG595" s="200"/>
      <c r="CH595" s="200"/>
      <c r="CI595" s="200"/>
      <c r="CJ595" s="200"/>
      <c r="CK595" s="200"/>
      <c r="CL595" s="200"/>
      <c r="CM595" s="200"/>
      <c r="CN595" s="200"/>
      <c r="CO595" s="200"/>
      <c r="CP595" s="200"/>
      <c r="CQ595" s="200"/>
      <c r="CR595" s="200"/>
      <c r="CS595" s="200"/>
      <c r="CT595" s="200"/>
      <c r="CU595" s="200"/>
    </row>
    <row r="596" spans="1:99" s="17" customFormat="1" x14ac:dyDescent="0.2">
      <c r="A596" s="25"/>
      <c r="B596" s="20">
        <v>39039958100</v>
      </c>
      <c r="C596" s="20">
        <v>9581</v>
      </c>
      <c r="D596" s="20" t="s">
        <v>26</v>
      </c>
      <c r="E596" s="20" t="s">
        <v>265</v>
      </c>
      <c r="F596" s="20" t="s">
        <v>8</v>
      </c>
      <c r="G596" s="861">
        <v>62.100382495301801</v>
      </c>
      <c r="H596" s="861">
        <v>56.497744411782698</v>
      </c>
      <c r="I596" s="861">
        <v>15.4354304250888</v>
      </c>
      <c r="J596" s="861">
        <v>49.856040403235603</v>
      </c>
      <c r="K596" s="982">
        <v>0</v>
      </c>
      <c r="L596" s="735">
        <v>4408</v>
      </c>
      <c r="M596" s="735">
        <v>4407</v>
      </c>
      <c r="N596" s="845">
        <f t="shared" si="58"/>
        <v>-2.2686025408348456E-4</v>
      </c>
      <c r="O596" s="735">
        <v>94.238186290361</v>
      </c>
      <c r="P596" s="735">
        <f t="shared" si="59"/>
        <v>46.764482355607079</v>
      </c>
      <c r="Q596" s="849">
        <v>43.2</v>
      </c>
      <c r="R596" s="71">
        <v>90372</v>
      </c>
      <c r="S596" s="845">
        <v>5.2171914502413236E-2</v>
      </c>
      <c r="T596" s="845">
        <v>2.1000000000000001E-2</v>
      </c>
      <c r="U596" s="845">
        <v>0</v>
      </c>
      <c r="V596" s="845">
        <v>0.29899999999999999</v>
      </c>
      <c r="W596" s="845">
        <v>6.2307217766810613E-2</v>
      </c>
      <c r="X596" s="845">
        <v>0</v>
      </c>
      <c r="Y596" s="845">
        <v>0.94122986158384392</v>
      </c>
      <c r="Z596" s="845">
        <v>1.2253233492171545E-2</v>
      </c>
      <c r="AA596" s="845">
        <v>2.0422055820285907E-3</v>
      </c>
      <c r="AB596" s="845">
        <v>4.538234626730202E-3</v>
      </c>
      <c r="AC596" s="845">
        <v>0</v>
      </c>
      <c r="AD596" s="845">
        <v>2.722940776038121E-2</v>
      </c>
      <c r="AE596" s="845">
        <v>1.2707056954844566E-2</v>
      </c>
      <c r="AF596" s="845">
        <v>8.690719310188337E-2</v>
      </c>
      <c r="AG596" s="845">
        <v>0.88155207624234178</v>
      </c>
      <c r="AH596" s="20" t="str">
        <f t="shared" si="60"/>
        <v>No</v>
      </c>
      <c r="AI596" s="25"/>
      <c r="AJ596" s="37">
        <v>43314</v>
      </c>
      <c r="AK596" s="37" t="s">
        <v>869</v>
      </c>
      <c r="AL596" s="37">
        <v>39117</v>
      </c>
      <c r="AM596" s="37" t="s">
        <v>64</v>
      </c>
      <c r="AN596" s="37">
        <f t="shared" si="61"/>
        <v>18140</v>
      </c>
      <c r="AO596" s="37" t="str">
        <f t="shared" si="62"/>
        <v>Columbus, OH</v>
      </c>
      <c r="AP596" s="20" t="s">
        <v>8</v>
      </c>
      <c r="AQ596" s="25"/>
      <c r="AR596" s="25"/>
      <c r="AS596" s="25"/>
      <c r="AT596" s="25"/>
      <c r="AU596" s="36"/>
      <c r="AV596" s="36"/>
      <c r="AW596" s="36"/>
      <c r="AX596" s="25"/>
      <c r="AY596" s="25"/>
      <c r="AZ596" s="25"/>
      <c r="BA596" s="25"/>
      <c r="BB596" s="25"/>
      <c r="BC596" s="25"/>
      <c r="BD596" s="25"/>
      <c r="BE596" s="25"/>
      <c r="BF596" s="25"/>
      <c r="BG596" s="25"/>
      <c r="BH596" s="25"/>
      <c r="BI596" s="25"/>
      <c r="BJ596" s="25"/>
      <c r="BK596" s="25"/>
      <c r="BL596" s="25"/>
      <c r="BM596" s="25"/>
      <c r="BN596" s="25"/>
      <c r="BO596" s="25"/>
      <c r="BP596" s="25"/>
      <c r="BQ596" s="25"/>
      <c r="BR596" s="25"/>
      <c r="BS596" s="25"/>
      <c r="BT596" s="25"/>
      <c r="BU596" s="39">
        <v>44881</v>
      </c>
      <c r="BV596" s="39" t="s">
        <v>1515</v>
      </c>
      <c r="BW596" s="39" t="s">
        <v>2940</v>
      </c>
      <c r="BX596" s="39" t="s">
        <v>2941</v>
      </c>
      <c r="BY596" s="71">
        <v>780</v>
      </c>
      <c r="BZ596" s="71">
        <v>810</v>
      </c>
      <c r="CA596" s="71">
        <v>970</v>
      </c>
      <c r="CB596" s="71">
        <v>1280</v>
      </c>
      <c r="CC596" s="71">
        <v>1290</v>
      </c>
      <c r="CD596" s="25"/>
      <c r="CE596" s="200"/>
      <c r="CF596" s="200"/>
      <c r="CG596" s="200"/>
      <c r="CH596" s="200"/>
      <c r="CI596" s="200"/>
      <c r="CJ596" s="200"/>
      <c r="CK596" s="200"/>
      <c r="CL596" s="200"/>
      <c r="CM596" s="200"/>
      <c r="CN596" s="200"/>
      <c r="CO596" s="200"/>
      <c r="CP596" s="200"/>
      <c r="CQ596" s="200"/>
      <c r="CR596" s="200"/>
      <c r="CS596" s="200"/>
      <c r="CT596" s="200"/>
      <c r="CU596" s="200"/>
    </row>
    <row r="597" spans="1:99" s="17" customFormat="1" x14ac:dyDescent="0.2">
      <c r="A597" s="25"/>
      <c r="B597" s="20">
        <v>39061023002</v>
      </c>
      <c r="C597" s="20">
        <v>230.02</v>
      </c>
      <c r="D597" s="20" t="s">
        <v>37</v>
      </c>
      <c r="E597" s="20" t="s">
        <v>2828</v>
      </c>
      <c r="F597" s="20" t="s">
        <v>8</v>
      </c>
      <c r="G597" s="861">
        <v>62.085850996609203</v>
      </c>
      <c r="H597" s="861">
        <v>72.904607943608994</v>
      </c>
      <c r="I597" s="861">
        <v>25.898557466385402</v>
      </c>
      <c r="J597" s="861">
        <v>47.521234204975102</v>
      </c>
      <c r="K597" s="982">
        <v>0</v>
      </c>
      <c r="L597" s="735">
        <v>5220</v>
      </c>
      <c r="M597" s="735">
        <v>5237</v>
      </c>
      <c r="N597" s="845">
        <f t="shared" si="58"/>
        <v>3.2567049808429117E-3</v>
      </c>
      <c r="O597" s="735">
        <v>1.4453081794263527</v>
      </c>
      <c r="P597" s="735">
        <f t="shared" si="59"/>
        <v>3623.4486696661343</v>
      </c>
      <c r="Q597" s="849">
        <v>51.3</v>
      </c>
      <c r="R597" s="71">
        <v>86912</v>
      </c>
      <c r="S597" s="845">
        <v>4.1602465331278891E-2</v>
      </c>
      <c r="T597" s="845">
        <v>2.2000000000000002E-2</v>
      </c>
      <c r="U597" s="845">
        <v>0</v>
      </c>
      <c r="V597" s="845">
        <v>0</v>
      </c>
      <c r="W597" s="845">
        <v>0.24865073245952196</v>
      </c>
      <c r="X597" s="845">
        <v>0.41705426356589148</v>
      </c>
      <c r="Y597" s="845">
        <v>0.87397364903570751</v>
      </c>
      <c r="Z597" s="845">
        <v>6.2058430399083445E-2</v>
      </c>
      <c r="AA597" s="845">
        <v>0</v>
      </c>
      <c r="AB597" s="845">
        <v>1.4321176245942334E-2</v>
      </c>
      <c r="AC597" s="845">
        <v>0</v>
      </c>
      <c r="AD597" s="845">
        <v>0</v>
      </c>
      <c r="AE597" s="845">
        <v>4.9646744319266758E-2</v>
      </c>
      <c r="AF597" s="845">
        <v>1.1647890013366431E-2</v>
      </c>
      <c r="AG597" s="845">
        <v>0.87397364903570751</v>
      </c>
      <c r="AH597" s="20" t="str">
        <f t="shared" si="60"/>
        <v>No</v>
      </c>
      <c r="AI597" s="25"/>
      <c r="AJ597" s="37">
        <v>43315</v>
      </c>
      <c r="AK597" s="37" t="s">
        <v>870</v>
      </c>
      <c r="AL597" s="37">
        <v>39117</v>
      </c>
      <c r="AM597" s="37" t="s">
        <v>64</v>
      </c>
      <c r="AN597" s="37">
        <f t="shared" si="61"/>
        <v>18140</v>
      </c>
      <c r="AO597" s="37" t="str">
        <f t="shared" si="62"/>
        <v>Columbus, OH</v>
      </c>
      <c r="AP597" s="20" t="s">
        <v>8</v>
      </c>
      <c r="AQ597" s="25"/>
      <c r="AR597" s="25"/>
      <c r="AS597" s="25"/>
      <c r="AT597" s="25"/>
      <c r="AU597" s="36"/>
      <c r="AV597" s="36"/>
      <c r="AW597" s="36"/>
      <c r="AX597" s="25"/>
      <c r="AY597" s="25"/>
      <c r="AZ597" s="25"/>
      <c r="BA597" s="25"/>
      <c r="BB597" s="25"/>
      <c r="BC597" s="25"/>
      <c r="BD597" s="25"/>
      <c r="BE597" s="25"/>
      <c r="BF597" s="25"/>
      <c r="BG597" s="25"/>
      <c r="BH597" s="25"/>
      <c r="BI597" s="25"/>
      <c r="BJ597" s="25"/>
      <c r="BK597" s="25"/>
      <c r="BL597" s="25"/>
      <c r="BM597" s="25"/>
      <c r="BN597" s="25"/>
      <c r="BO597" s="25"/>
      <c r="BP597" s="25"/>
      <c r="BQ597" s="25"/>
      <c r="BR597" s="25"/>
      <c r="BS597" s="25"/>
      <c r="BT597" s="25"/>
      <c r="BU597" s="39">
        <v>44882</v>
      </c>
      <c r="BV597" s="39" t="s">
        <v>1516</v>
      </c>
      <c r="BW597" s="39" t="s">
        <v>2940</v>
      </c>
      <c r="BX597" s="39" t="s">
        <v>2941</v>
      </c>
      <c r="BY597" s="71">
        <v>750</v>
      </c>
      <c r="BZ597" s="71">
        <v>800</v>
      </c>
      <c r="CA597" s="71">
        <v>980</v>
      </c>
      <c r="CB597" s="71">
        <v>1260</v>
      </c>
      <c r="CC597" s="71">
        <v>1400</v>
      </c>
      <c r="CD597" s="25"/>
      <c r="CE597" s="200"/>
      <c r="CF597" s="200"/>
      <c r="CG597" s="200"/>
      <c r="CH597" s="200"/>
      <c r="CI597" s="200"/>
      <c r="CJ597" s="200"/>
      <c r="CK597" s="200"/>
      <c r="CL597" s="200"/>
      <c r="CM597" s="200"/>
      <c r="CN597" s="200"/>
      <c r="CO597" s="200"/>
      <c r="CP597" s="200"/>
      <c r="CQ597" s="200"/>
      <c r="CR597" s="200"/>
      <c r="CS597" s="200"/>
      <c r="CT597" s="200"/>
      <c r="CU597" s="200"/>
    </row>
    <row r="598" spans="1:99" s="17" customFormat="1" x14ac:dyDescent="0.2">
      <c r="A598" s="25"/>
      <c r="B598" s="20">
        <v>39045030400</v>
      </c>
      <c r="C598" s="20">
        <v>304</v>
      </c>
      <c r="D598" s="20" t="s">
        <v>29</v>
      </c>
      <c r="E598" s="20" t="s">
        <v>2830</v>
      </c>
      <c r="F598" s="20" t="s">
        <v>8</v>
      </c>
      <c r="G598" s="861">
        <v>62.068712903139897</v>
      </c>
      <c r="H598" s="861">
        <v>62.225159495760899</v>
      </c>
      <c r="I598" s="861">
        <v>16.6351003836003</v>
      </c>
      <c r="J598" s="861">
        <v>51.883535198383797</v>
      </c>
      <c r="K598" s="982">
        <v>0</v>
      </c>
      <c r="L598" s="735">
        <v>4615</v>
      </c>
      <c r="M598" s="735">
        <v>4796</v>
      </c>
      <c r="N598" s="845">
        <f t="shared" si="58"/>
        <v>3.9219934994582879E-2</v>
      </c>
      <c r="O598" s="735">
        <v>43.239644833736321</v>
      </c>
      <c r="P598" s="735">
        <f t="shared" si="59"/>
        <v>110.91672973821647</v>
      </c>
      <c r="Q598" s="849">
        <v>42</v>
      </c>
      <c r="R598" s="71">
        <v>123500</v>
      </c>
      <c r="S598" s="845">
        <v>3.1901584653878233E-2</v>
      </c>
      <c r="T598" s="845">
        <v>1.2E-2</v>
      </c>
      <c r="U598" s="845">
        <v>0</v>
      </c>
      <c r="V598" s="845">
        <v>0</v>
      </c>
      <c r="W598" s="845">
        <v>5.4195804195804193E-2</v>
      </c>
      <c r="X598" s="845">
        <v>0.35483870967741937</v>
      </c>
      <c r="Y598" s="845">
        <v>0.97894078398665552</v>
      </c>
      <c r="Z598" s="845">
        <v>0</v>
      </c>
      <c r="AA598" s="845">
        <v>0</v>
      </c>
      <c r="AB598" s="845">
        <v>1.4595496246872393E-3</v>
      </c>
      <c r="AC598" s="845">
        <v>0</v>
      </c>
      <c r="AD598" s="845">
        <v>0</v>
      </c>
      <c r="AE598" s="845">
        <v>1.9599666388657216E-2</v>
      </c>
      <c r="AF598" s="845">
        <v>6.0467055879899921E-3</v>
      </c>
      <c r="AG598" s="845">
        <v>0.97894078398665552</v>
      </c>
      <c r="AH598" s="20" t="str">
        <f t="shared" si="60"/>
        <v>Yes</v>
      </c>
      <c r="AI598" s="25"/>
      <c r="AJ598" s="37">
        <v>43317</v>
      </c>
      <c r="AK598" s="37" t="s">
        <v>872</v>
      </c>
      <c r="AL598" s="37">
        <v>39117</v>
      </c>
      <c r="AM598" s="37" t="s">
        <v>64</v>
      </c>
      <c r="AN598" s="37">
        <f t="shared" si="61"/>
        <v>18140</v>
      </c>
      <c r="AO598" s="37" t="str">
        <f t="shared" si="62"/>
        <v>Columbus, OH</v>
      </c>
      <c r="AP598" s="20" t="s">
        <v>8</v>
      </c>
      <c r="AQ598" s="25"/>
      <c r="AR598" s="25"/>
      <c r="AS598" s="25"/>
      <c r="AT598" s="25"/>
      <c r="AU598" s="36"/>
      <c r="AV598" s="36"/>
      <c r="AW598" s="36"/>
      <c r="AX598" s="25"/>
      <c r="AY598" s="25"/>
      <c r="AZ598" s="25"/>
      <c r="BA598" s="25"/>
      <c r="BB598" s="25"/>
      <c r="BC598" s="25"/>
      <c r="BD598" s="25"/>
      <c r="BE598" s="25"/>
      <c r="BF598" s="25"/>
      <c r="BG598" s="25"/>
      <c r="BH598" s="25"/>
      <c r="BI598" s="25"/>
      <c r="BJ598" s="25"/>
      <c r="BK598" s="25"/>
      <c r="BL598" s="25"/>
      <c r="BM598" s="25"/>
      <c r="BN598" s="25"/>
      <c r="BO598" s="25"/>
      <c r="BP598" s="25"/>
      <c r="BQ598" s="25"/>
      <c r="BR598" s="25"/>
      <c r="BS598" s="25"/>
      <c r="BT598" s="25"/>
      <c r="BU598" s="39">
        <v>44887</v>
      </c>
      <c r="BV598" s="39" t="s">
        <v>1518</v>
      </c>
      <c r="BW598" s="39" t="s">
        <v>2940</v>
      </c>
      <c r="BX598" s="39" t="s">
        <v>2941</v>
      </c>
      <c r="BY598" s="71">
        <v>780</v>
      </c>
      <c r="BZ598" s="71">
        <v>810</v>
      </c>
      <c r="CA598" s="71">
        <v>970</v>
      </c>
      <c r="CB598" s="71">
        <v>1280</v>
      </c>
      <c r="CC598" s="71">
        <v>1290</v>
      </c>
      <c r="CD598" s="25"/>
      <c r="CE598" s="200"/>
      <c r="CF598" s="200"/>
      <c r="CG598" s="200"/>
      <c r="CH598" s="200"/>
      <c r="CI598" s="200"/>
      <c r="CJ598" s="200"/>
      <c r="CK598" s="200"/>
      <c r="CL598" s="200"/>
      <c r="CM598" s="200"/>
      <c r="CN598" s="200"/>
      <c r="CO598" s="200"/>
      <c r="CP598" s="200"/>
      <c r="CQ598" s="200"/>
      <c r="CR598" s="200"/>
      <c r="CS598" s="200"/>
      <c r="CT598" s="200"/>
      <c r="CU598" s="200"/>
    </row>
    <row r="599" spans="1:99" s="17" customFormat="1" x14ac:dyDescent="0.2">
      <c r="A599" s="25"/>
      <c r="B599" s="20">
        <v>39089756203</v>
      </c>
      <c r="C599" s="20">
        <v>7562.03</v>
      </c>
      <c r="D599" s="20" t="s">
        <v>50</v>
      </c>
      <c r="E599" s="20" t="s">
        <v>2830</v>
      </c>
      <c r="F599" s="20" t="s">
        <v>8</v>
      </c>
      <c r="G599" s="861">
        <v>62.0602455162932</v>
      </c>
      <c r="H599" s="861">
        <v>71.588233207606507</v>
      </c>
      <c r="I599" s="861">
        <v>25.678713541292801</v>
      </c>
      <c r="J599" s="861">
        <v>48.086582504993203</v>
      </c>
      <c r="K599" s="982">
        <v>0</v>
      </c>
      <c r="L599" s="735" t="s">
        <v>2466</v>
      </c>
      <c r="M599" s="735">
        <v>3182</v>
      </c>
      <c r="N599" s="845" t="str">
        <f t="shared" si="58"/>
        <v/>
      </c>
      <c r="O599" s="735">
        <v>1.2457972249146736</v>
      </c>
      <c r="P599" s="735">
        <f t="shared" si="59"/>
        <v>2554.1877412818444</v>
      </c>
      <c r="Q599" s="849">
        <v>41</v>
      </c>
      <c r="R599" s="71">
        <v>122991</v>
      </c>
      <c r="S599" s="845">
        <v>9.036144578313253E-2</v>
      </c>
      <c r="T599" s="845">
        <v>2.1000000000000001E-2</v>
      </c>
      <c r="U599" s="845">
        <v>0</v>
      </c>
      <c r="V599" s="845">
        <v>0</v>
      </c>
      <c r="W599" s="845">
        <v>0.3032581453634085</v>
      </c>
      <c r="X599" s="845">
        <v>0.26446280991735538</v>
      </c>
      <c r="Y599" s="845">
        <v>0.48082966687617851</v>
      </c>
      <c r="Z599" s="845">
        <v>0.36172218730358263</v>
      </c>
      <c r="AA599" s="845">
        <v>0</v>
      </c>
      <c r="AB599" s="845">
        <v>6.1910747957259586E-2</v>
      </c>
      <c r="AC599" s="845">
        <v>0</v>
      </c>
      <c r="AD599" s="845">
        <v>0</v>
      </c>
      <c r="AE599" s="845">
        <v>9.5537397862979254E-2</v>
      </c>
      <c r="AF599" s="845">
        <v>0</v>
      </c>
      <c r="AG599" s="845">
        <v>0.48082966687617851</v>
      </c>
      <c r="AH599" s="20" t="str">
        <f t="shared" si="60"/>
        <v>No</v>
      </c>
      <c r="AI599" s="25"/>
      <c r="AJ599" s="37">
        <v>43320</v>
      </c>
      <c r="AK599" s="37" t="s">
        <v>875</v>
      </c>
      <c r="AL599" s="37">
        <v>39117</v>
      </c>
      <c r="AM599" s="37" t="s">
        <v>64</v>
      </c>
      <c r="AN599" s="37">
        <f t="shared" si="61"/>
        <v>18140</v>
      </c>
      <c r="AO599" s="37" t="str">
        <f t="shared" si="62"/>
        <v>Columbus, OH</v>
      </c>
      <c r="AP599" s="20" t="s">
        <v>8</v>
      </c>
      <c r="AQ599" s="25"/>
      <c r="AR599" s="25"/>
      <c r="AS599" s="25"/>
      <c r="AT599" s="25"/>
      <c r="AU599" s="36"/>
      <c r="AV599" s="36"/>
      <c r="AW599" s="36"/>
      <c r="AX599" s="25"/>
      <c r="AY599" s="25"/>
      <c r="AZ599" s="25"/>
      <c r="BA599" s="25"/>
      <c r="BB599" s="25"/>
      <c r="BC599" s="25"/>
      <c r="BD599" s="25"/>
      <c r="BE599" s="25"/>
      <c r="BF599" s="25"/>
      <c r="BG599" s="25"/>
      <c r="BH599" s="25"/>
      <c r="BI599" s="25"/>
      <c r="BJ599" s="25"/>
      <c r="BK599" s="25"/>
      <c r="BL599" s="25"/>
      <c r="BM599" s="25"/>
      <c r="BN599" s="25"/>
      <c r="BO599" s="25"/>
      <c r="BP599" s="25"/>
      <c r="BQ599" s="25"/>
      <c r="BR599" s="25"/>
      <c r="BS599" s="25"/>
      <c r="BT599" s="25"/>
      <c r="BU599" s="39">
        <v>45303</v>
      </c>
      <c r="BV599" s="39" t="s">
        <v>1657</v>
      </c>
      <c r="BW599" s="39" t="s">
        <v>2930</v>
      </c>
      <c r="BX599" s="39" t="s">
        <v>2931</v>
      </c>
      <c r="BY599" s="71">
        <v>800</v>
      </c>
      <c r="BZ599" s="71">
        <v>810</v>
      </c>
      <c r="CA599" s="71">
        <v>970</v>
      </c>
      <c r="CB599" s="71">
        <v>1290</v>
      </c>
      <c r="CC599" s="71">
        <v>1300</v>
      </c>
      <c r="CD599" s="25"/>
      <c r="CE599" s="200"/>
      <c r="CF599" s="200"/>
      <c r="CG599" s="200"/>
      <c r="CH599" s="200"/>
      <c r="CI599" s="200"/>
      <c r="CJ599" s="200"/>
      <c r="CK599" s="200"/>
      <c r="CL599" s="200"/>
      <c r="CM599" s="200"/>
      <c r="CN599" s="200"/>
      <c r="CO599" s="200"/>
      <c r="CP599" s="200"/>
      <c r="CQ599" s="200"/>
      <c r="CR599" s="200"/>
      <c r="CS599" s="200"/>
      <c r="CT599" s="200"/>
      <c r="CU599" s="200"/>
    </row>
    <row r="600" spans="1:99" s="17" customFormat="1" x14ac:dyDescent="0.2">
      <c r="A600" s="25"/>
      <c r="B600" s="20">
        <v>39049010202</v>
      </c>
      <c r="C600" s="20">
        <v>102.02</v>
      </c>
      <c r="D600" s="20" t="s">
        <v>31</v>
      </c>
      <c r="E600" s="20" t="s">
        <v>2830</v>
      </c>
      <c r="F600" s="20" t="s">
        <v>8</v>
      </c>
      <c r="G600" s="861">
        <v>62.055045043849297</v>
      </c>
      <c r="H600" s="861">
        <v>68.7055891916891</v>
      </c>
      <c r="I600" s="861">
        <v>23.026348915390798</v>
      </c>
      <c r="J600" s="861">
        <v>74.502261147702001</v>
      </c>
      <c r="K600" s="982">
        <v>0</v>
      </c>
      <c r="L600" s="735" t="s">
        <v>2466</v>
      </c>
      <c r="M600" s="735">
        <v>6156</v>
      </c>
      <c r="N600" s="845" t="str">
        <f t="shared" si="58"/>
        <v/>
      </c>
      <c r="O600" s="735">
        <v>1.8081766406255819</v>
      </c>
      <c r="P600" s="735">
        <f t="shared" si="59"/>
        <v>3404.5346354381531</v>
      </c>
      <c r="Q600" s="849">
        <v>25.8</v>
      </c>
      <c r="R600" s="71">
        <v>81274</v>
      </c>
      <c r="S600" s="845">
        <v>3.9311241065627028E-2</v>
      </c>
      <c r="T600" s="845">
        <v>2.3E-2</v>
      </c>
      <c r="U600" s="845">
        <v>0</v>
      </c>
      <c r="V600" s="845">
        <v>5.0999999999999997E-2</v>
      </c>
      <c r="W600" s="845">
        <v>0.26128133704735373</v>
      </c>
      <c r="X600" s="845">
        <v>0.24307036247334754</v>
      </c>
      <c r="Y600" s="845">
        <v>0.27306692657569853</v>
      </c>
      <c r="Z600" s="845">
        <v>0.44769330734243012</v>
      </c>
      <c r="AA600" s="845">
        <v>0</v>
      </c>
      <c r="AB600" s="845">
        <v>0.11159844054580896</v>
      </c>
      <c r="AC600" s="845">
        <v>0</v>
      </c>
      <c r="AD600" s="845">
        <v>0</v>
      </c>
      <c r="AE600" s="845">
        <v>0.16764132553606237</v>
      </c>
      <c r="AF600" s="845">
        <v>5.4580896686159841E-2</v>
      </c>
      <c r="AG600" s="845">
        <v>0.24935022742040286</v>
      </c>
      <c r="AH600" s="20" t="str">
        <f t="shared" si="60"/>
        <v>No</v>
      </c>
      <c r="AI600" s="25"/>
      <c r="AJ600" s="20">
        <v>43321</v>
      </c>
      <c r="AK600" s="20" t="s">
        <v>876</v>
      </c>
      <c r="AL600" s="20">
        <v>39117</v>
      </c>
      <c r="AM600" s="20" t="s">
        <v>64</v>
      </c>
      <c r="AN600" s="37">
        <f t="shared" si="61"/>
        <v>18140</v>
      </c>
      <c r="AO600" s="37" t="str">
        <f t="shared" si="62"/>
        <v>Columbus, OH</v>
      </c>
      <c r="AP600" s="20" t="s">
        <v>8</v>
      </c>
      <c r="AQ600" s="25"/>
      <c r="AR600" s="25"/>
      <c r="AS600" s="25"/>
      <c r="AT600" s="25"/>
      <c r="AU600" s="36"/>
      <c r="AV600" s="36"/>
      <c r="AW600" s="36"/>
      <c r="AX600" s="25"/>
      <c r="AY600" s="25"/>
      <c r="AZ600" s="25"/>
      <c r="BA600" s="25"/>
      <c r="BB600" s="25"/>
      <c r="BC600" s="25"/>
      <c r="BD600" s="25"/>
      <c r="BE600" s="25"/>
      <c r="BF600" s="25"/>
      <c r="BG600" s="25"/>
      <c r="BH600" s="25"/>
      <c r="BI600" s="25"/>
      <c r="BJ600" s="25"/>
      <c r="BK600" s="25"/>
      <c r="BL600" s="25"/>
      <c r="BM600" s="25"/>
      <c r="BN600" s="25"/>
      <c r="BO600" s="25"/>
      <c r="BP600" s="25"/>
      <c r="BQ600" s="25"/>
      <c r="BR600" s="25"/>
      <c r="BS600" s="25"/>
      <c r="BT600" s="25"/>
      <c r="BU600" s="39">
        <v>45310</v>
      </c>
      <c r="BV600" s="39" t="s">
        <v>1664</v>
      </c>
      <c r="BW600" s="39" t="s">
        <v>2930</v>
      </c>
      <c r="BX600" s="39" t="s">
        <v>2931</v>
      </c>
      <c r="BY600" s="71">
        <v>870</v>
      </c>
      <c r="BZ600" s="71">
        <v>900</v>
      </c>
      <c r="CA600" s="71">
        <v>1100</v>
      </c>
      <c r="CB600" s="71">
        <v>1450</v>
      </c>
      <c r="CC600" s="71">
        <v>1460</v>
      </c>
      <c r="CD600" s="25"/>
      <c r="CE600" s="200"/>
      <c r="CF600" s="200"/>
      <c r="CG600" s="200"/>
      <c r="CH600" s="200"/>
      <c r="CI600" s="200"/>
      <c r="CJ600" s="200"/>
      <c r="CK600" s="200"/>
      <c r="CL600" s="200"/>
      <c r="CM600" s="200"/>
      <c r="CN600" s="200"/>
      <c r="CO600" s="200"/>
      <c r="CP600" s="200"/>
      <c r="CQ600" s="200"/>
      <c r="CR600" s="200"/>
      <c r="CS600" s="200"/>
      <c r="CT600" s="200"/>
      <c r="CU600" s="200"/>
    </row>
    <row r="601" spans="1:99" s="17" customFormat="1" x14ac:dyDescent="0.2">
      <c r="A601" s="25"/>
      <c r="B601" s="20">
        <v>39077915600</v>
      </c>
      <c r="C601" s="20">
        <v>9156</v>
      </c>
      <c r="D601" s="20" t="s">
        <v>45</v>
      </c>
      <c r="E601" s="20" t="s">
        <v>265</v>
      </c>
      <c r="F601" s="20" t="s">
        <v>8</v>
      </c>
      <c r="G601" s="861">
        <v>62.046644391344998</v>
      </c>
      <c r="H601" s="861">
        <v>54.876285936174199</v>
      </c>
      <c r="I601" s="861">
        <v>39.069174738558303</v>
      </c>
      <c r="J601" s="861">
        <v>49.5169586398546</v>
      </c>
      <c r="K601" s="982">
        <v>0</v>
      </c>
      <c r="L601" s="735">
        <v>4958</v>
      </c>
      <c r="M601" s="735">
        <v>5577</v>
      </c>
      <c r="N601" s="845">
        <f t="shared" si="58"/>
        <v>0.12484872932634127</v>
      </c>
      <c r="O601" s="735">
        <v>3.3349558504343868</v>
      </c>
      <c r="P601" s="735">
        <f t="shared" si="59"/>
        <v>1672.2860062071229</v>
      </c>
      <c r="Q601" s="849">
        <v>38.5</v>
      </c>
      <c r="R601" s="71">
        <v>63909</v>
      </c>
      <c r="S601" s="845">
        <v>0.18829142962011378</v>
      </c>
      <c r="T601" s="845">
        <v>1.6E-2</v>
      </c>
      <c r="U601" s="845">
        <v>2E-3</v>
      </c>
      <c r="V601" s="845">
        <v>7.400000000000001E-2</v>
      </c>
      <c r="W601" s="845">
        <v>0.30775611779344669</v>
      </c>
      <c r="X601" s="845">
        <v>0.35983827493261455</v>
      </c>
      <c r="Y601" s="845">
        <v>0.90550475165859778</v>
      </c>
      <c r="Z601" s="845">
        <v>8.7860857091626322E-3</v>
      </c>
      <c r="AA601" s="845">
        <v>0</v>
      </c>
      <c r="AB601" s="845">
        <v>0</v>
      </c>
      <c r="AC601" s="845">
        <v>0</v>
      </c>
      <c r="AD601" s="845">
        <v>1.506186121570737E-2</v>
      </c>
      <c r="AE601" s="845">
        <v>7.0647301416532179E-2</v>
      </c>
      <c r="AF601" s="845">
        <v>0.10202617894925588</v>
      </c>
      <c r="AG601" s="845">
        <v>0.82876098260713649</v>
      </c>
      <c r="AH601" s="20" t="str">
        <f t="shared" si="60"/>
        <v>No</v>
      </c>
      <c r="AI601" s="25"/>
      <c r="AJ601" s="37">
        <v>43325</v>
      </c>
      <c r="AK601" s="37" t="s">
        <v>880</v>
      </c>
      <c r="AL601" s="37">
        <v>39117</v>
      </c>
      <c r="AM601" s="37" t="s">
        <v>64</v>
      </c>
      <c r="AN601" s="37">
        <f t="shared" si="61"/>
        <v>18140</v>
      </c>
      <c r="AO601" s="37" t="str">
        <f t="shared" si="62"/>
        <v>Columbus, OH</v>
      </c>
      <c r="AP601" s="20" t="s">
        <v>8</v>
      </c>
      <c r="AQ601" s="25"/>
      <c r="AR601" s="25"/>
      <c r="AS601" s="25"/>
      <c r="AT601" s="25"/>
      <c r="AU601" s="36"/>
      <c r="AV601" s="36"/>
      <c r="AW601" s="36"/>
      <c r="AX601" s="25"/>
      <c r="AY601" s="25"/>
      <c r="AZ601" s="25"/>
      <c r="BA601" s="25"/>
      <c r="BB601" s="25"/>
      <c r="BC601" s="25"/>
      <c r="BD601" s="25"/>
      <c r="BE601" s="25"/>
      <c r="BF601" s="25"/>
      <c r="BG601" s="25"/>
      <c r="BH601" s="25"/>
      <c r="BI601" s="25"/>
      <c r="BJ601" s="25"/>
      <c r="BK601" s="25"/>
      <c r="BL601" s="25"/>
      <c r="BM601" s="25"/>
      <c r="BN601" s="25"/>
      <c r="BO601" s="25"/>
      <c r="BP601" s="25"/>
      <c r="BQ601" s="25"/>
      <c r="BR601" s="25"/>
      <c r="BS601" s="25"/>
      <c r="BT601" s="25"/>
      <c r="BU601" s="39">
        <v>45328</v>
      </c>
      <c r="BV601" s="39" t="s">
        <v>1681</v>
      </c>
      <c r="BW601" s="39" t="s">
        <v>2930</v>
      </c>
      <c r="BX601" s="39" t="s">
        <v>2931</v>
      </c>
      <c r="BY601" s="71">
        <v>1000</v>
      </c>
      <c r="BZ601" s="71">
        <v>1010</v>
      </c>
      <c r="CA601" s="71">
        <v>1220</v>
      </c>
      <c r="CB601" s="71">
        <v>1620</v>
      </c>
      <c r="CC601" s="71">
        <v>1620</v>
      </c>
      <c r="CD601" s="25"/>
      <c r="CE601" s="200"/>
      <c r="CF601" s="200"/>
      <c r="CG601" s="200"/>
      <c r="CH601" s="200"/>
      <c r="CI601" s="200"/>
      <c r="CJ601" s="200"/>
      <c r="CK601" s="200"/>
      <c r="CL601" s="200"/>
      <c r="CM601" s="200"/>
      <c r="CN601" s="200"/>
      <c r="CO601" s="200"/>
      <c r="CP601" s="200"/>
      <c r="CQ601" s="200"/>
      <c r="CR601" s="200"/>
      <c r="CS601" s="200"/>
      <c r="CT601" s="200"/>
      <c r="CU601" s="200"/>
    </row>
    <row r="602" spans="1:99" s="17" customFormat="1" x14ac:dyDescent="0.2">
      <c r="A602" s="25"/>
      <c r="B602" s="20">
        <v>39095009901</v>
      </c>
      <c r="C602" s="20">
        <v>99.01</v>
      </c>
      <c r="D602" s="20" t="s">
        <v>53</v>
      </c>
      <c r="E602" s="20" t="s">
        <v>2839</v>
      </c>
      <c r="F602" s="20" t="s">
        <v>8</v>
      </c>
      <c r="G602" s="861">
        <v>62.036667341736397</v>
      </c>
      <c r="H602" s="861">
        <v>63.140281206556203</v>
      </c>
      <c r="I602" s="861">
        <v>38.4242970217894</v>
      </c>
      <c r="J602" s="861">
        <v>56.399478071749002</v>
      </c>
      <c r="K602" s="982">
        <v>0</v>
      </c>
      <c r="L602" s="735" t="s">
        <v>2466</v>
      </c>
      <c r="M602" s="735">
        <v>3221</v>
      </c>
      <c r="N602" s="845" t="str">
        <f t="shared" si="58"/>
        <v/>
      </c>
      <c r="O602" s="735">
        <v>3.5657086472107395</v>
      </c>
      <c r="P602" s="735">
        <f t="shared" si="59"/>
        <v>903.32674895342711</v>
      </c>
      <c r="Q602" s="849">
        <v>53.7</v>
      </c>
      <c r="R602" s="71">
        <v>108417</v>
      </c>
      <c r="S602" s="845">
        <v>1.6992625841615903E-2</v>
      </c>
      <c r="T602" s="845">
        <v>0.109</v>
      </c>
      <c r="U602" s="845">
        <v>0</v>
      </c>
      <c r="V602" s="845">
        <v>0</v>
      </c>
      <c r="W602" s="845">
        <v>0.24451173353520061</v>
      </c>
      <c r="X602" s="845">
        <v>0.30959752321981426</v>
      </c>
      <c r="Y602" s="845">
        <v>0.91679602607885746</v>
      </c>
      <c r="Z602" s="845">
        <v>4.9674014281279105E-3</v>
      </c>
      <c r="AA602" s="845">
        <v>0</v>
      </c>
      <c r="AB602" s="845">
        <v>4.3464762496119219E-2</v>
      </c>
      <c r="AC602" s="845">
        <v>0</v>
      </c>
      <c r="AD602" s="845">
        <v>7.1406395529338713E-3</v>
      </c>
      <c r="AE602" s="845">
        <v>2.7631170443961503E-2</v>
      </c>
      <c r="AF602" s="845">
        <v>1.3660353927351754E-2</v>
      </c>
      <c r="AG602" s="845">
        <v>0.91679602607885746</v>
      </c>
      <c r="AH602" s="20" t="str">
        <f t="shared" si="60"/>
        <v>Yes</v>
      </c>
      <c r="AI602" s="25"/>
      <c r="AJ602" s="37">
        <v>43334</v>
      </c>
      <c r="AK602" s="37" t="s">
        <v>886</v>
      </c>
      <c r="AL602" s="37">
        <v>39117</v>
      </c>
      <c r="AM602" s="37" t="s">
        <v>64</v>
      </c>
      <c r="AN602" s="37">
        <f t="shared" si="61"/>
        <v>18140</v>
      </c>
      <c r="AO602" s="37" t="str">
        <f t="shared" si="62"/>
        <v>Columbus, OH</v>
      </c>
      <c r="AP602" s="20" t="s">
        <v>8</v>
      </c>
      <c r="AQ602" s="25"/>
      <c r="AR602" s="25"/>
      <c r="AS602" s="25"/>
      <c r="AT602" s="25"/>
      <c r="AU602" s="36"/>
      <c r="AV602" s="36"/>
      <c r="AW602" s="36"/>
      <c r="AX602" s="25"/>
      <c r="AY602" s="25"/>
      <c r="AZ602" s="25"/>
      <c r="BA602" s="25"/>
      <c r="BB602" s="25"/>
      <c r="BC602" s="25"/>
      <c r="BD602" s="25"/>
      <c r="BE602" s="25"/>
      <c r="BF602" s="25"/>
      <c r="BG602" s="25"/>
      <c r="BH602" s="25"/>
      <c r="BI602" s="25"/>
      <c r="BJ602" s="25"/>
      <c r="BK602" s="25"/>
      <c r="BL602" s="25"/>
      <c r="BM602" s="25"/>
      <c r="BN602" s="25"/>
      <c r="BO602" s="25"/>
      <c r="BP602" s="25"/>
      <c r="BQ602" s="25"/>
      <c r="BR602" s="25"/>
      <c r="BS602" s="25"/>
      <c r="BT602" s="25"/>
      <c r="BU602" s="39">
        <v>45331</v>
      </c>
      <c r="BV602" s="39" t="s">
        <v>1683</v>
      </c>
      <c r="BW602" s="39" t="s">
        <v>2930</v>
      </c>
      <c r="BX602" s="39" t="s">
        <v>2931</v>
      </c>
      <c r="BY602" s="71">
        <v>800</v>
      </c>
      <c r="BZ602" s="71">
        <v>810</v>
      </c>
      <c r="CA602" s="71">
        <v>970</v>
      </c>
      <c r="CB602" s="71">
        <v>1290</v>
      </c>
      <c r="CC602" s="71">
        <v>1300</v>
      </c>
      <c r="CD602" s="25"/>
      <c r="CE602" s="200"/>
      <c r="CF602" s="200"/>
      <c r="CG602" s="200"/>
      <c r="CH602" s="200"/>
      <c r="CI602" s="200"/>
      <c r="CJ602" s="200"/>
      <c r="CK602" s="200"/>
      <c r="CL602" s="200"/>
      <c r="CM602" s="200"/>
      <c r="CN602" s="200"/>
      <c r="CO602" s="200"/>
      <c r="CP602" s="200"/>
      <c r="CQ602" s="200"/>
      <c r="CR602" s="200"/>
      <c r="CS602" s="200"/>
      <c r="CT602" s="200"/>
      <c r="CU602" s="200"/>
    </row>
    <row r="603" spans="1:99" s="17" customFormat="1" x14ac:dyDescent="0.2">
      <c r="A603" s="25"/>
      <c r="B603" s="20">
        <v>39049006397</v>
      </c>
      <c r="C603" s="20">
        <v>63.97</v>
      </c>
      <c r="D603" s="20" t="s">
        <v>31</v>
      </c>
      <c r="E603" s="20" t="s">
        <v>2830</v>
      </c>
      <c r="F603" s="20" t="s">
        <v>8</v>
      </c>
      <c r="G603" s="861">
        <v>62.0119837631878</v>
      </c>
      <c r="H603" s="861">
        <v>70.7378148301339</v>
      </c>
      <c r="I603" s="861">
        <v>46.501093313006102</v>
      </c>
      <c r="J603" s="861">
        <v>29.977748793067299</v>
      </c>
      <c r="K603" s="982">
        <v>0</v>
      </c>
      <c r="L603" s="735" t="s">
        <v>2466</v>
      </c>
      <c r="M603" s="735">
        <v>6589</v>
      </c>
      <c r="N603" s="845" t="str">
        <f t="shared" si="58"/>
        <v/>
      </c>
      <c r="O603" s="735">
        <v>0.89099096288901503</v>
      </c>
      <c r="P603" s="735">
        <f t="shared" si="59"/>
        <v>7395.1367347602927</v>
      </c>
      <c r="Q603" s="849">
        <v>33.799999999999997</v>
      </c>
      <c r="R603" s="71">
        <v>66455</v>
      </c>
      <c r="S603" s="845">
        <v>0.14013418725221105</v>
      </c>
      <c r="T603" s="845">
        <v>1.4999999999999999E-2</v>
      </c>
      <c r="U603" s="845">
        <v>0</v>
      </c>
      <c r="V603" s="845">
        <v>0</v>
      </c>
      <c r="W603" s="845">
        <v>0.66482707873436353</v>
      </c>
      <c r="X603" s="845">
        <v>0.54565578306585505</v>
      </c>
      <c r="Y603" s="845">
        <v>0.67825163150705725</v>
      </c>
      <c r="Z603" s="845">
        <v>0.11367430566095006</v>
      </c>
      <c r="AA603" s="845">
        <v>0</v>
      </c>
      <c r="AB603" s="845">
        <v>4.4771589011989681E-2</v>
      </c>
      <c r="AC603" s="845">
        <v>0</v>
      </c>
      <c r="AD603" s="845">
        <v>4.5530429503718321E-2</v>
      </c>
      <c r="AE603" s="845">
        <v>0.11777204431628471</v>
      </c>
      <c r="AF603" s="845">
        <v>0.11185308848080133</v>
      </c>
      <c r="AG603" s="845">
        <v>0.64197905600242833</v>
      </c>
      <c r="AH603" s="20" t="str">
        <f t="shared" si="60"/>
        <v>No</v>
      </c>
      <c r="AI603" s="25"/>
      <c r="AJ603" s="37">
        <v>43338</v>
      </c>
      <c r="AK603" s="37" t="s">
        <v>889</v>
      </c>
      <c r="AL603" s="37">
        <v>39117</v>
      </c>
      <c r="AM603" s="37" t="s">
        <v>64</v>
      </c>
      <c r="AN603" s="37">
        <f t="shared" si="61"/>
        <v>18140</v>
      </c>
      <c r="AO603" s="37" t="str">
        <f t="shared" si="62"/>
        <v>Columbus, OH</v>
      </c>
      <c r="AP603" s="20" t="s">
        <v>8</v>
      </c>
      <c r="AQ603" s="25"/>
      <c r="AR603" s="25"/>
      <c r="AS603" s="25"/>
      <c r="AT603" s="25"/>
      <c r="AU603" s="36"/>
      <c r="AV603" s="36"/>
      <c r="AW603" s="36"/>
      <c r="AX603" s="25"/>
      <c r="AY603" s="25"/>
      <c r="AZ603" s="25"/>
      <c r="BA603" s="25"/>
      <c r="BB603" s="25"/>
      <c r="BC603" s="25"/>
      <c r="BD603" s="25"/>
      <c r="BE603" s="25"/>
      <c r="BF603" s="25"/>
      <c r="BG603" s="25"/>
      <c r="BH603" s="25"/>
      <c r="BI603" s="25"/>
      <c r="BJ603" s="25"/>
      <c r="BK603" s="25"/>
      <c r="BL603" s="25"/>
      <c r="BM603" s="25"/>
      <c r="BN603" s="25"/>
      <c r="BO603" s="25"/>
      <c r="BP603" s="25"/>
      <c r="BQ603" s="25"/>
      <c r="BR603" s="25"/>
      <c r="BS603" s="25"/>
      <c r="BT603" s="25"/>
      <c r="BU603" s="39">
        <v>45332</v>
      </c>
      <c r="BV603" s="39" t="s">
        <v>1684</v>
      </c>
      <c r="BW603" s="39" t="s">
        <v>2930</v>
      </c>
      <c r="BX603" s="39" t="s">
        <v>2931</v>
      </c>
      <c r="BY603" s="71">
        <v>800</v>
      </c>
      <c r="BZ603" s="71">
        <v>850</v>
      </c>
      <c r="CA603" s="71">
        <v>1010</v>
      </c>
      <c r="CB603" s="71">
        <v>1350</v>
      </c>
      <c r="CC603" s="71">
        <v>1390</v>
      </c>
      <c r="CD603" s="25"/>
      <c r="CE603" s="200"/>
      <c r="CF603" s="200"/>
      <c r="CG603" s="200"/>
      <c r="CH603" s="200"/>
      <c r="CI603" s="200"/>
      <c r="CJ603" s="200"/>
      <c r="CK603" s="200"/>
      <c r="CL603" s="200"/>
      <c r="CM603" s="200"/>
      <c r="CN603" s="200"/>
      <c r="CO603" s="200"/>
      <c r="CP603" s="200"/>
      <c r="CQ603" s="200"/>
      <c r="CR603" s="200"/>
      <c r="CS603" s="200"/>
      <c r="CT603" s="200"/>
      <c r="CU603" s="200"/>
    </row>
    <row r="604" spans="1:99" s="17" customFormat="1" x14ac:dyDescent="0.2">
      <c r="A604" s="25"/>
      <c r="B604" s="20">
        <v>39133600303</v>
      </c>
      <c r="C604" s="20">
        <v>6003.03</v>
      </c>
      <c r="D604" s="20" t="s">
        <v>72</v>
      </c>
      <c r="E604" s="20" t="s">
        <v>2843</v>
      </c>
      <c r="F604" s="20" t="s">
        <v>8</v>
      </c>
      <c r="G604" s="861">
        <v>62.008309081584898</v>
      </c>
      <c r="H604" s="861">
        <v>51.687101807755901</v>
      </c>
      <c r="I604" s="861">
        <v>27.883999294861798</v>
      </c>
      <c r="J604" s="861">
        <v>67.406005882324706</v>
      </c>
      <c r="K604" s="982">
        <v>0</v>
      </c>
      <c r="L604" s="735" t="s">
        <v>2466</v>
      </c>
      <c r="M604" s="735">
        <v>4856</v>
      </c>
      <c r="N604" s="845" t="str">
        <f t="shared" si="58"/>
        <v/>
      </c>
      <c r="O604" s="735">
        <v>7.491825512666157</v>
      </c>
      <c r="P604" s="735">
        <f t="shared" si="59"/>
        <v>648.17313107334621</v>
      </c>
      <c r="Q604" s="849">
        <v>51.4</v>
      </c>
      <c r="R604" s="71">
        <v>126477</v>
      </c>
      <c r="S604" s="845">
        <v>1.6474464579901153E-2</v>
      </c>
      <c r="T604" s="845">
        <v>0.02</v>
      </c>
      <c r="U604" s="845">
        <v>0</v>
      </c>
      <c r="V604" s="845">
        <v>6.7000000000000004E-2</v>
      </c>
      <c r="W604" s="845">
        <v>0.33782527881040891</v>
      </c>
      <c r="X604" s="845">
        <v>0.44154057771664373</v>
      </c>
      <c r="Y604" s="845">
        <v>0.86696869851729819</v>
      </c>
      <c r="Z604" s="845">
        <v>6.9810543657331137E-2</v>
      </c>
      <c r="AA604" s="845">
        <v>0</v>
      </c>
      <c r="AB604" s="845">
        <v>2.1210873146622736E-2</v>
      </c>
      <c r="AC604" s="845">
        <v>0</v>
      </c>
      <c r="AD604" s="845">
        <v>1.4209225700164745E-2</v>
      </c>
      <c r="AE604" s="845">
        <v>2.7800658978583196E-2</v>
      </c>
      <c r="AF604" s="845">
        <v>2.327018121911038E-2</v>
      </c>
      <c r="AG604" s="845">
        <v>0.86696869851729819</v>
      </c>
      <c r="AH604" s="20" t="str">
        <f t="shared" si="60"/>
        <v>No</v>
      </c>
      <c r="AI604" s="25"/>
      <c r="AJ604" s="37">
        <v>43350</v>
      </c>
      <c r="AK604" s="37" t="s">
        <v>899</v>
      </c>
      <c r="AL604" s="37">
        <v>39117</v>
      </c>
      <c r="AM604" s="37" t="s">
        <v>64</v>
      </c>
      <c r="AN604" s="37">
        <f t="shared" si="61"/>
        <v>18140</v>
      </c>
      <c r="AO604" s="37" t="str">
        <f t="shared" si="62"/>
        <v>Columbus, OH</v>
      </c>
      <c r="AP604" s="37" t="s">
        <v>8</v>
      </c>
      <c r="AQ604" s="25"/>
      <c r="AR604" s="25"/>
      <c r="AS604" s="25"/>
      <c r="AT604" s="25"/>
      <c r="AU604" s="36"/>
      <c r="AV604" s="36"/>
      <c r="AW604" s="36"/>
      <c r="AX604" s="25"/>
      <c r="AY604" s="25"/>
      <c r="AZ604" s="25"/>
      <c r="BA604" s="25"/>
      <c r="BB604" s="25"/>
      <c r="BC604" s="25"/>
      <c r="BD604" s="25"/>
      <c r="BE604" s="25"/>
      <c r="BF604" s="25"/>
      <c r="BG604" s="25"/>
      <c r="BH604" s="25"/>
      <c r="BI604" s="25"/>
      <c r="BJ604" s="25"/>
      <c r="BK604" s="25"/>
      <c r="BL604" s="25"/>
      <c r="BM604" s="25"/>
      <c r="BN604" s="25"/>
      <c r="BO604" s="25"/>
      <c r="BP604" s="25"/>
      <c r="BQ604" s="25"/>
      <c r="BR604" s="25"/>
      <c r="BS604" s="25"/>
      <c r="BT604" s="25"/>
      <c r="BU604" s="39">
        <v>45346</v>
      </c>
      <c r="BV604" s="39" t="s">
        <v>1697</v>
      </c>
      <c r="BW604" s="39" t="s">
        <v>2930</v>
      </c>
      <c r="BX604" s="39" t="s">
        <v>2931</v>
      </c>
      <c r="BY604" s="71">
        <v>880</v>
      </c>
      <c r="BZ604" s="71">
        <v>890</v>
      </c>
      <c r="CA604" s="71">
        <v>1070</v>
      </c>
      <c r="CB604" s="71">
        <v>1420</v>
      </c>
      <c r="CC604" s="71">
        <v>1420</v>
      </c>
      <c r="CD604" s="25"/>
      <c r="CE604" s="200"/>
      <c r="CF604" s="200"/>
      <c r="CG604" s="200"/>
      <c r="CH604" s="200"/>
      <c r="CI604" s="200"/>
      <c r="CJ604" s="200"/>
      <c r="CK604" s="200"/>
      <c r="CL604" s="200"/>
      <c r="CM604" s="200"/>
      <c r="CN604" s="200"/>
      <c r="CO604" s="200"/>
      <c r="CP604" s="200"/>
      <c r="CQ604" s="200"/>
      <c r="CR604" s="200"/>
      <c r="CS604" s="200"/>
      <c r="CT604" s="200"/>
      <c r="CU604" s="200"/>
    </row>
    <row r="605" spans="1:99" s="17" customFormat="1" x14ac:dyDescent="0.2">
      <c r="A605" s="25"/>
      <c r="B605" s="20">
        <v>39143961900</v>
      </c>
      <c r="C605" s="20">
        <v>9619</v>
      </c>
      <c r="D605" s="20" t="s">
        <v>77</v>
      </c>
      <c r="E605" s="20" t="s">
        <v>265</v>
      </c>
      <c r="F605" s="20" t="s">
        <v>8</v>
      </c>
      <c r="G605" s="861">
        <v>61.998821527375597</v>
      </c>
      <c r="H605" s="861">
        <v>56.981349660866201</v>
      </c>
      <c r="I605" s="861">
        <v>16.5408880066915</v>
      </c>
      <c r="J605" s="861">
        <v>45.589839762388401</v>
      </c>
      <c r="K605" s="982">
        <v>0</v>
      </c>
      <c r="L605" s="735">
        <v>3801</v>
      </c>
      <c r="M605" s="735">
        <v>3599</v>
      </c>
      <c r="N605" s="845">
        <f t="shared" si="58"/>
        <v>-5.3143909497500655E-2</v>
      </c>
      <c r="O605" s="735">
        <v>29.413443137389539</v>
      </c>
      <c r="P605" s="735">
        <f t="shared" si="59"/>
        <v>122.35901737818151</v>
      </c>
      <c r="Q605" s="849">
        <v>41.9</v>
      </c>
      <c r="R605" s="71">
        <v>66833</v>
      </c>
      <c r="S605" s="845">
        <v>8.4946547240681888E-2</v>
      </c>
      <c r="T605" s="845">
        <v>0.03</v>
      </c>
      <c r="U605" s="845">
        <v>0</v>
      </c>
      <c r="V605" s="845">
        <v>0</v>
      </c>
      <c r="W605" s="845">
        <v>2.0209059233449476E-2</v>
      </c>
      <c r="X605" s="845">
        <v>0.10344827586206896</v>
      </c>
      <c r="Y605" s="845">
        <v>0.88913587107529868</v>
      </c>
      <c r="Z605" s="845">
        <v>4.7235343150875244E-3</v>
      </c>
      <c r="AA605" s="845">
        <v>0</v>
      </c>
      <c r="AB605" s="845">
        <v>0</v>
      </c>
      <c r="AC605" s="845">
        <v>0</v>
      </c>
      <c r="AD605" s="845">
        <v>9.7249235898860791E-3</v>
      </c>
      <c r="AE605" s="845">
        <v>9.64156710197277E-2</v>
      </c>
      <c r="AF605" s="845">
        <v>5.6960266740761323E-2</v>
      </c>
      <c r="AG605" s="845">
        <v>0.88746874131703246</v>
      </c>
      <c r="AH605" s="20" t="str">
        <f t="shared" si="60"/>
        <v>No</v>
      </c>
      <c r="AI605" s="25"/>
      <c r="AJ605" s="37">
        <v>43356</v>
      </c>
      <c r="AK605" s="37" t="s">
        <v>901</v>
      </c>
      <c r="AL605" s="37">
        <v>39117</v>
      </c>
      <c r="AM605" s="37" t="s">
        <v>64</v>
      </c>
      <c r="AN605" s="37">
        <f t="shared" si="61"/>
        <v>18140</v>
      </c>
      <c r="AO605" s="37" t="str">
        <f t="shared" si="62"/>
        <v>Columbus, OH</v>
      </c>
      <c r="AP605" s="37" t="s">
        <v>8</v>
      </c>
      <c r="AQ605" s="25"/>
      <c r="AR605" s="25"/>
      <c r="AS605" s="25"/>
      <c r="AT605" s="25"/>
      <c r="AU605" s="36"/>
      <c r="AV605" s="36"/>
      <c r="AW605" s="36"/>
      <c r="AX605" s="25"/>
      <c r="AY605" s="25"/>
      <c r="AZ605" s="25"/>
      <c r="BA605" s="25"/>
      <c r="BB605" s="25"/>
      <c r="BC605" s="25"/>
      <c r="BD605" s="25"/>
      <c r="BE605" s="25"/>
      <c r="BF605" s="25"/>
      <c r="BG605" s="25"/>
      <c r="BH605" s="25"/>
      <c r="BI605" s="25"/>
      <c r="BJ605" s="25"/>
      <c r="BK605" s="25"/>
      <c r="BL605" s="25"/>
      <c r="BM605" s="25"/>
      <c r="BN605" s="25"/>
      <c r="BO605" s="25"/>
      <c r="BP605" s="25"/>
      <c r="BQ605" s="25"/>
      <c r="BR605" s="25"/>
      <c r="BS605" s="25"/>
      <c r="BT605" s="25"/>
      <c r="BU605" s="39">
        <v>45347</v>
      </c>
      <c r="BV605" s="39" t="s">
        <v>1698</v>
      </c>
      <c r="BW605" s="39" t="s">
        <v>2930</v>
      </c>
      <c r="BX605" s="39" t="s">
        <v>2931</v>
      </c>
      <c r="BY605" s="71">
        <v>740</v>
      </c>
      <c r="BZ605" s="71">
        <v>750</v>
      </c>
      <c r="CA605" s="71">
        <v>970</v>
      </c>
      <c r="CB605" s="71">
        <v>1300</v>
      </c>
      <c r="CC605" s="71">
        <v>1410</v>
      </c>
      <c r="CD605" s="25"/>
      <c r="CE605" s="200"/>
      <c r="CF605" s="200"/>
      <c r="CG605" s="200"/>
      <c r="CH605" s="200"/>
      <c r="CI605" s="200"/>
      <c r="CJ605" s="200"/>
      <c r="CK605" s="200"/>
      <c r="CL605" s="200"/>
      <c r="CM605" s="200"/>
      <c r="CN605" s="200"/>
      <c r="CO605" s="200"/>
      <c r="CP605" s="200"/>
      <c r="CQ605" s="200"/>
      <c r="CR605" s="200"/>
      <c r="CS605" s="200"/>
      <c r="CT605" s="200"/>
      <c r="CU605" s="200"/>
    </row>
    <row r="606" spans="1:99" s="17" customFormat="1" x14ac:dyDescent="0.2">
      <c r="A606" s="25"/>
      <c r="B606" s="20">
        <v>39123050302</v>
      </c>
      <c r="C606" s="20">
        <v>503.02</v>
      </c>
      <c r="D606" s="20" t="s">
        <v>67</v>
      </c>
      <c r="E606" s="20" t="s">
        <v>2837</v>
      </c>
      <c r="F606" s="20" t="s">
        <v>8</v>
      </c>
      <c r="G606" s="861">
        <v>61.985192006505798</v>
      </c>
      <c r="H606" s="861">
        <v>51.836791711139703</v>
      </c>
      <c r="I606" s="861">
        <v>24.8430588851142</v>
      </c>
      <c r="J606" s="861">
        <v>59.332129659336303</v>
      </c>
      <c r="K606" s="982">
        <v>0</v>
      </c>
      <c r="L606" s="735">
        <v>2461</v>
      </c>
      <c r="M606" s="735">
        <v>2214</v>
      </c>
      <c r="N606" s="845">
        <f t="shared" si="58"/>
        <v>-0.10036570499796831</v>
      </c>
      <c r="O606" s="735">
        <v>6.6900870830638679</v>
      </c>
      <c r="P606" s="735">
        <f t="shared" si="59"/>
        <v>330.93739625673925</v>
      </c>
      <c r="Q606" s="849">
        <v>62.3</v>
      </c>
      <c r="R606" s="71">
        <v>87059</v>
      </c>
      <c r="S606" s="845">
        <v>2.4018475750577369E-2</v>
      </c>
      <c r="T606" s="845">
        <v>3.7999999999999999E-2</v>
      </c>
      <c r="U606" s="845">
        <v>1.1000000000000001E-2</v>
      </c>
      <c r="V606" s="845">
        <v>0.19500000000000001</v>
      </c>
      <c r="W606" s="845">
        <v>0.10311958405545928</v>
      </c>
      <c r="X606" s="845">
        <v>0.43697478991596639</v>
      </c>
      <c r="Y606" s="845">
        <v>0.95257452574525747</v>
      </c>
      <c r="Z606" s="845">
        <v>1.8066847335140017E-3</v>
      </c>
      <c r="AA606" s="845">
        <v>0</v>
      </c>
      <c r="AB606" s="845">
        <v>4.9683830171635048E-3</v>
      </c>
      <c r="AC606" s="845">
        <v>0</v>
      </c>
      <c r="AD606" s="845">
        <v>8.130081300813009E-3</v>
      </c>
      <c r="AE606" s="845">
        <v>3.2520325203252036E-2</v>
      </c>
      <c r="AF606" s="845">
        <v>2.4841915085817526E-2</v>
      </c>
      <c r="AG606" s="845">
        <v>0.93586269196025296</v>
      </c>
      <c r="AH606" s="20" t="str">
        <f t="shared" si="60"/>
        <v>Yes</v>
      </c>
      <c r="AI606" s="25"/>
      <c r="AJ606" s="37">
        <v>44813</v>
      </c>
      <c r="AK606" s="37" t="s">
        <v>1471</v>
      </c>
      <c r="AL606" s="37">
        <v>39117</v>
      </c>
      <c r="AM606" s="37" t="s">
        <v>64</v>
      </c>
      <c r="AN606" s="37">
        <f t="shared" si="61"/>
        <v>18140</v>
      </c>
      <c r="AO606" s="37" t="str">
        <f t="shared" si="62"/>
        <v>Columbus, OH</v>
      </c>
      <c r="AP606" s="37" t="s">
        <v>8</v>
      </c>
      <c r="AQ606" s="25"/>
      <c r="AR606" s="25"/>
      <c r="AS606" s="25"/>
      <c r="AT606" s="25"/>
      <c r="AU606" s="36"/>
      <c r="AV606" s="36"/>
      <c r="AW606" s="36"/>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39">
        <v>45348</v>
      </c>
      <c r="BV606" s="39" t="s">
        <v>1699</v>
      </c>
      <c r="BW606" s="39" t="s">
        <v>2930</v>
      </c>
      <c r="BX606" s="39" t="s">
        <v>2931</v>
      </c>
      <c r="BY606" s="71">
        <v>1100</v>
      </c>
      <c r="BZ606" s="71">
        <v>1100</v>
      </c>
      <c r="CA606" s="71">
        <v>1330</v>
      </c>
      <c r="CB606" s="71">
        <v>1760</v>
      </c>
      <c r="CC606" s="71">
        <v>1770</v>
      </c>
      <c r="CD606" s="25"/>
      <c r="CE606" s="200"/>
      <c r="CF606" s="200"/>
      <c r="CG606" s="200"/>
      <c r="CH606" s="200"/>
      <c r="CI606" s="200"/>
      <c r="CJ606" s="200"/>
      <c r="CK606" s="200"/>
      <c r="CL606" s="200"/>
      <c r="CM606" s="200"/>
      <c r="CN606" s="200"/>
      <c r="CO606" s="200"/>
      <c r="CP606" s="200"/>
      <c r="CQ606" s="200"/>
      <c r="CR606" s="200"/>
      <c r="CS606" s="200"/>
      <c r="CT606" s="200"/>
      <c r="CU606" s="200"/>
    </row>
    <row r="607" spans="1:99" s="17" customFormat="1" x14ac:dyDescent="0.2">
      <c r="A607" s="25"/>
      <c r="B607" s="20">
        <v>39095008209</v>
      </c>
      <c r="C607" s="20">
        <v>82.09</v>
      </c>
      <c r="D607" s="20" t="s">
        <v>53</v>
      </c>
      <c r="E607" s="20" t="s">
        <v>2839</v>
      </c>
      <c r="F607" s="20" t="s">
        <v>8</v>
      </c>
      <c r="G607" s="861">
        <v>61.982379702781301</v>
      </c>
      <c r="H607" s="861">
        <v>69.543261444491804</v>
      </c>
      <c r="I607" s="861">
        <v>20.849317570151801</v>
      </c>
      <c r="J607" s="861">
        <v>47.762517984269799</v>
      </c>
      <c r="K607" s="982">
        <v>0</v>
      </c>
      <c r="L607" s="735" t="s">
        <v>2466</v>
      </c>
      <c r="M607" s="735">
        <v>2949</v>
      </c>
      <c r="N607" s="845" t="str">
        <f t="shared" si="58"/>
        <v/>
      </c>
      <c r="O607" s="735">
        <v>0.64785741429523402</v>
      </c>
      <c r="P607" s="735">
        <f t="shared" si="59"/>
        <v>4551.9275305478195</v>
      </c>
      <c r="Q607" s="849">
        <v>39.6</v>
      </c>
      <c r="R607" s="71">
        <v>123838</v>
      </c>
      <c r="S607" s="845">
        <v>2.2380467955239063E-2</v>
      </c>
      <c r="T607" s="845">
        <v>4.9000000000000002E-2</v>
      </c>
      <c r="U607" s="845">
        <v>0</v>
      </c>
      <c r="V607" s="845">
        <v>0</v>
      </c>
      <c r="W607" s="845">
        <v>0.27051397655545534</v>
      </c>
      <c r="X607" s="845">
        <v>0.45333333333333331</v>
      </c>
      <c r="Y607" s="845">
        <v>0.91556459816887081</v>
      </c>
      <c r="Z607" s="845">
        <v>2.0684977958630044E-2</v>
      </c>
      <c r="AA607" s="845">
        <v>0</v>
      </c>
      <c r="AB607" s="845">
        <v>9.8338419803323165E-3</v>
      </c>
      <c r="AC607" s="845">
        <v>0</v>
      </c>
      <c r="AD607" s="845">
        <v>7.1210579857578843E-3</v>
      </c>
      <c r="AE607" s="845">
        <v>4.6795523906408953E-2</v>
      </c>
      <c r="AF607" s="845">
        <v>4.9169209901661577E-2</v>
      </c>
      <c r="AG607" s="845">
        <v>0.88335028823329942</v>
      </c>
      <c r="AH607" s="20" t="str">
        <f t="shared" si="60"/>
        <v>No</v>
      </c>
      <c r="AI607" s="25"/>
      <c r="AJ607" s="37">
        <v>44833</v>
      </c>
      <c r="AK607" s="37" t="s">
        <v>1484</v>
      </c>
      <c r="AL607" s="37">
        <v>39117</v>
      </c>
      <c r="AM607" s="37" t="s">
        <v>64</v>
      </c>
      <c r="AN607" s="37">
        <f t="shared" si="61"/>
        <v>18140</v>
      </c>
      <c r="AO607" s="37" t="str">
        <f t="shared" si="62"/>
        <v>Columbus, OH</v>
      </c>
      <c r="AP607" s="37" t="s">
        <v>8</v>
      </c>
      <c r="AQ607" s="25"/>
      <c r="AR607" s="25"/>
      <c r="AS607" s="25"/>
      <c r="AT607" s="25"/>
      <c r="AU607" s="36"/>
      <c r="AV607" s="36"/>
      <c r="AW607" s="36"/>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39">
        <v>45350</v>
      </c>
      <c r="BV607" s="39" t="s">
        <v>1701</v>
      </c>
      <c r="BW607" s="39" t="s">
        <v>2930</v>
      </c>
      <c r="BX607" s="39" t="s">
        <v>2931</v>
      </c>
      <c r="BY607" s="71">
        <v>910</v>
      </c>
      <c r="BZ607" s="71">
        <v>910</v>
      </c>
      <c r="CA607" s="71">
        <v>1100</v>
      </c>
      <c r="CB607" s="71">
        <v>1460</v>
      </c>
      <c r="CC607" s="71">
        <v>1470</v>
      </c>
      <c r="CD607" s="25"/>
      <c r="CE607" s="200"/>
      <c r="CF607" s="200"/>
      <c r="CG607" s="200"/>
      <c r="CH607" s="200"/>
      <c r="CI607" s="200"/>
      <c r="CJ607" s="200"/>
      <c r="CK607" s="200"/>
      <c r="CL607" s="200"/>
      <c r="CM607" s="200"/>
      <c r="CN607" s="200"/>
      <c r="CO607" s="200"/>
      <c r="CP607" s="200"/>
      <c r="CQ607" s="200"/>
      <c r="CR607" s="200"/>
      <c r="CS607" s="200"/>
      <c r="CT607" s="200"/>
      <c r="CU607" s="200"/>
    </row>
    <row r="608" spans="1:99" s="17" customFormat="1" x14ac:dyDescent="0.2">
      <c r="A608" s="25"/>
      <c r="B608" s="20">
        <v>39035141300</v>
      </c>
      <c r="C608" s="20">
        <v>1413</v>
      </c>
      <c r="D608" s="20" t="s">
        <v>24</v>
      </c>
      <c r="E608" s="20" t="s">
        <v>2829</v>
      </c>
      <c r="F608" s="20" t="s">
        <v>8</v>
      </c>
      <c r="G608" s="861">
        <v>61.958979103002697</v>
      </c>
      <c r="H608" s="861">
        <v>83.898693061644806</v>
      </c>
      <c r="I608" s="861">
        <v>55.866404482396902</v>
      </c>
      <c r="J608" s="861">
        <v>45.240298716976</v>
      </c>
      <c r="K608" s="982">
        <v>0</v>
      </c>
      <c r="L608" s="735">
        <v>2932</v>
      </c>
      <c r="M608" s="735">
        <v>2838</v>
      </c>
      <c r="N608" s="845">
        <f t="shared" si="58"/>
        <v>-3.2060027285129605E-2</v>
      </c>
      <c r="O608" s="735">
        <v>0.58640616693796332</v>
      </c>
      <c r="P608" s="735">
        <f t="shared" si="59"/>
        <v>4839.6489668912973</v>
      </c>
      <c r="Q608" s="849">
        <v>27</v>
      </c>
      <c r="R608" s="71">
        <v>110250</v>
      </c>
      <c r="S608" s="845">
        <v>0.13181411974977658</v>
      </c>
      <c r="T608" s="845">
        <v>2.3E-2</v>
      </c>
      <c r="U608" s="845">
        <v>0</v>
      </c>
      <c r="V608" s="845">
        <v>8.8000000000000009E-2</v>
      </c>
      <c r="W608" s="845">
        <v>0.39874081846799581</v>
      </c>
      <c r="X608" s="845">
        <v>0.31578947368421051</v>
      </c>
      <c r="Y608" s="845">
        <v>0.66384778012684986</v>
      </c>
      <c r="Z608" s="845">
        <v>0.10711768851303735</v>
      </c>
      <c r="AA608" s="845">
        <v>0</v>
      </c>
      <c r="AB608" s="845">
        <v>8.7385482734319939E-2</v>
      </c>
      <c r="AC608" s="845">
        <v>0</v>
      </c>
      <c r="AD608" s="845">
        <v>7.5405214940098664E-2</v>
      </c>
      <c r="AE608" s="845">
        <v>6.6243833685694156E-2</v>
      </c>
      <c r="AF608" s="845">
        <v>5.9196617336152217E-2</v>
      </c>
      <c r="AG608" s="845">
        <v>0.64552501761804082</v>
      </c>
      <c r="AH608" s="20" t="str">
        <f t="shared" si="60"/>
        <v>No</v>
      </c>
      <c r="AI608" s="25"/>
      <c r="AJ608" s="37">
        <v>44903</v>
      </c>
      <c r="AK608" s="37" t="s">
        <v>1523</v>
      </c>
      <c r="AL608" s="37">
        <v>39117</v>
      </c>
      <c r="AM608" s="37" t="s">
        <v>64</v>
      </c>
      <c r="AN608" s="37">
        <f t="shared" si="61"/>
        <v>18140</v>
      </c>
      <c r="AO608" s="37" t="str">
        <f t="shared" si="62"/>
        <v>Columbus, OH</v>
      </c>
      <c r="AP608" s="37" t="s">
        <v>8</v>
      </c>
      <c r="AQ608" s="25"/>
      <c r="AR608" s="25"/>
      <c r="AS608" s="25"/>
      <c r="AT608" s="25"/>
      <c r="AU608" s="36"/>
      <c r="AV608" s="36"/>
      <c r="AW608" s="36"/>
      <c r="AX608" s="25"/>
      <c r="AY608" s="25"/>
      <c r="AZ608" s="25"/>
      <c r="BA608" s="25"/>
      <c r="BB608" s="25"/>
      <c r="BC608" s="25"/>
      <c r="BD608" s="25"/>
      <c r="BE608" s="25"/>
      <c r="BF608" s="25"/>
      <c r="BG608" s="25"/>
      <c r="BH608" s="25"/>
      <c r="BI608" s="25"/>
      <c r="BJ608" s="25"/>
      <c r="BK608" s="25"/>
      <c r="BL608" s="25"/>
      <c r="BM608" s="25"/>
      <c r="BN608" s="25"/>
      <c r="BO608" s="25"/>
      <c r="BP608" s="25"/>
      <c r="BQ608" s="25"/>
      <c r="BR608" s="25"/>
      <c r="BS608" s="25"/>
      <c r="BT608" s="25"/>
      <c r="BU608" s="39">
        <v>45351</v>
      </c>
      <c r="BV608" s="39" t="s">
        <v>1702</v>
      </c>
      <c r="BW608" s="39" t="s">
        <v>2930</v>
      </c>
      <c r="BX608" s="39" t="s">
        <v>2931</v>
      </c>
      <c r="BY608" s="71">
        <v>820</v>
      </c>
      <c r="BZ608" s="71">
        <v>830</v>
      </c>
      <c r="CA608" s="71">
        <v>1000</v>
      </c>
      <c r="CB608" s="71">
        <v>1330</v>
      </c>
      <c r="CC608" s="71">
        <v>1330</v>
      </c>
      <c r="CD608" s="25"/>
      <c r="CE608" s="200"/>
      <c r="CF608" s="200"/>
      <c r="CG608" s="200"/>
      <c r="CH608" s="200"/>
      <c r="CI608" s="200"/>
      <c r="CJ608" s="200"/>
      <c r="CK608" s="200"/>
      <c r="CL608" s="200"/>
      <c r="CM608" s="200"/>
      <c r="CN608" s="200"/>
      <c r="CO608" s="200"/>
      <c r="CP608" s="200"/>
      <c r="CQ608" s="200"/>
      <c r="CR608" s="200"/>
      <c r="CS608" s="200"/>
      <c r="CT608" s="200"/>
      <c r="CU608" s="200"/>
    </row>
    <row r="609" spans="1:99" s="17" customFormat="1" x14ac:dyDescent="0.2">
      <c r="A609" s="25"/>
      <c r="B609" s="20">
        <v>39173020300</v>
      </c>
      <c r="C609" s="20">
        <v>203</v>
      </c>
      <c r="D609" s="20" t="s">
        <v>92</v>
      </c>
      <c r="E609" s="20" t="s">
        <v>2839</v>
      </c>
      <c r="F609" s="20" t="s">
        <v>8</v>
      </c>
      <c r="G609" s="861">
        <v>61.945782079548898</v>
      </c>
      <c r="H609" s="861">
        <v>59.900179713134897</v>
      </c>
      <c r="I609" s="861">
        <v>25.165040551747801</v>
      </c>
      <c r="J609" s="861">
        <v>42.202182897104201</v>
      </c>
      <c r="K609" s="982">
        <v>0</v>
      </c>
      <c r="L609" s="735">
        <v>4772</v>
      </c>
      <c r="M609" s="735">
        <v>4777</v>
      </c>
      <c r="N609" s="845">
        <f t="shared" si="58"/>
        <v>1.0477787091366304E-3</v>
      </c>
      <c r="O609" s="735">
        <v>3.2452936627573941</v>
      </c>
      <c r="P609" s="735">
        <f t="shared" si="59"/>
        <v>1471.9777303423375</v>
      </c>
      <c r="Q609" s="849">
        <v>48.3</v>
      </c>
      <c r="R609" s="71">
        <v>103409</v>
      </c>
      <c r="S609" s="845">
        <v>0.10633817645820173</v>
      </c>
      <c r="T609" s="845">
        <v>3.7999999999999999E-2</v>
      </c>
      <c r="U609" s="845">
        <v>3.2000000000000001E-2</v>
      </c>
      <c r="V609" s="845">
        <v>0</v>
      </c>
      <c r="W609" s="845">
        <v>0.25956022944550672</v>
      </c>
      <c r="X609" s="845">
        <v>0.43830570902394106</v>
      </c>
      <c r="Y609" s="845">
        <v>0.86351266485241784</v>
      </c>
      <c r="Z609" s="845">
        <v>2.3027004396064477E-2</v>
      </c>
      <c r="AA609" s="845">
        <v>0</v>
      </c>
      <c r="AB609" s="845">
        <v>3.1400460540087923E-3</v>
      </c>
      <c r="AC609" s="845">
        <v>3.9773916684111366E-3</v>
      </c>
      <c r="AD609" s="845">
        <v>0</v>
      </c>
      <c r="AE609" s="845">
        <v>0.10634289302909776</v>
      </c>
      <c r="AF609" s="845">
        <v>7.6617123717814525E-2</v>
      </c>
      <c r="AG609" s="845">
        <v>0.85220849905798624</v>
      </c>
      <c r="AH609" s="20" t="str">
        <f t="shared" si="60"/>
        <v>No</v>
      </c>
      <c r="AI609" s="25"/>
      <c r="AJ609" s="37">
        <v>44904</v>
      </c>
      <c r="AK609" s="37" t="s">
        <v>1524</v>
      </c>
      <c r="AL609" s="37">
        <v>39117</v>
      </c>
      <c r="AM609" s="37" t="s">
        <v>64</v>
      </c>
      <c r="AN609" s="37">
        <f t="shared" si="61"/>
        <v>18140</v>
      </c>
      <c r="AO609" s="37" t="str">
        <f t="shared" si="62"/>
        <v>Columbus, OH</v>
      </c>
      <c r="AP609" s="37" t="s">
        <v>8</v>
      </c>
      <c r="AQ609" s="25"/>
      <c r="AR609" s="25"/>
      <c r="AS609" s="25"/>
      <c r="AT609" s="25"/>
      <c r="AU609" s="36"/>
      <c r="AV609" s="36"/>
      <c r="AW609" s="36"/>
      <c r="AX609" s="25"/>
      <c r="AY609" s="25"/>
      <c r="AZ609" s="25"/>
      <c r="BA609" s="25"/>
      <c r="BB609" s="25"/>
      <c r="BC609" s="25"/>
      <c r="BD609" s="25"/>
      <c r="BE609" s="25"/>
      <c r="BF609" s="25"/>
      <c r="BG609" s="25"/>
      <c r="BH609" s="25"/>
      <c r="BI609" s="25"/>
      <c r="BJ609" s="25"/>
      <c r="BK609" s="25"/>
      <c r="BL609" s="25"/>
      <c r="BM609" s="25"/>
      <c r="BN609" s="25"/>
      <c r="BO609" s="25"/>
      <c r="BP609" s="25"/>
      <c r="BQ609" s="25"/>
      <c r="BR609" s="25"/>
      <c r="BS609" s="25"/>
      <c r="BT609" s="25"/>
      <c r="BU609" s="39">
        <v>45352</v>
      </c>
      <c r="BV609" s="39" t="s">
        <v>1703</v>
      </c>
      <c r="BW609" s="39" t="s">
        <v>2930</v>
      </c>
      <c r="BX609" s="39" t="s">
        <v>2931</v>
      </c>
      <c r="BY609" s="71">
        <v>800</v>
      </c>
      <c r="BZ609" s="71">
        <v>810</v>
      </c>
      <c r="CA609" s="71">
        <v>970</v>
      </c>
      <c r="CB609" s="71">
        <v>1290</v>
      </c>
      <c r="CC609" s="71">
        <v>1300</v>
      </c>
      <c r="CD609" s="25"/>
      <c r="CE609" s="200"/>
      <c r="CF609" s="200"/>
      <c r="CG609" s="200"/>
      <c r="CH609" s="200"/>
      <c r="CI609" s="200"/>
      <c r="CJ609" s="200"/>
      <c r="CK609" s="200"/>
      <c r="CL609" s="200"/>
      <c r="CM609" s="200"/>
      <c r="CN609" s="200"/>
      <c r="CO609" s="200"/>
      <c r="CP609" s="200"/>
      <c r="CQ609" s="200"/>
      <c r="CR609" s="200"/>
      <c r="CS609" s="200"/>
      <c r="CT609" s="200"/>
      <c r="CU609" s="200"/>
    </row>
    <row r="610" spans="1:99" s="17" customFormat="1" x14ac:dyDescent="0.2">
      <c r="A610" s="25"/>
      <c r="B610" s="20">
        <v>39003011600</v>
      </c>
      <c r="C610" s="20">
        <v>116</v>
      </c>
      <c r="D610" s="20" t="s">
        <v>7</v>
      </c>
      <c r="E610" s="20" t="s">
        <v>2835</v>
      </c>
      <c r="F610" s="20" t="s">
        <v>8</v>
      </c>
      <c r="G610" s="861">
        <v>61.930044009032102</v>
      </c>
      <c r="H610" s="861">
        <v>51.681354499668402</v>
      </c>
      <c r="I610" s="861">
        <v>35.101756334274903</v>
      </c>
      <c r="J610" s="861">
        <v>46.442243174892297</v>
      </c>
      <c r="K610" s="982">
        <v>0</v>
      </c>
      <c r="L610" s="735">
        <v>2584</v>
      </c>
      <c r="M610" s="735">
        <v>2732</v>
      </c>
      <c r="N610" s="845">
        <f t="shared" si="58"/>
        <v>5.7275541795665637E-2</v>
      </c>
      <c r="O610" s="735">
        <v>32.228355673802689</v>
      </c>
      <c r="P610" s="735">
        <f t="shared" si="59"/>
        <v>84.770071040910963</v>
      </c>
      <c r="Q610" s="849">
        <v>43.3</v>
      </c>
      <c r="R610" s="71">
        <v>54559</v>
      </c>
      <c r="S610" s="845">
        <v>0.10279329608938548</v>
      </c>
      <c r="T610" s="845">
        <v>2.3E-2</v>
      </c>
      <c r="U610" s="845">
        <v>0</v>
      </c>
      <c r="V610" s="845">
        <v>0</v>
      </c>
      <c r="W610" s="845">
        <v>0.19384057971014493</v>
      </c>
      <c r="X610" s="845">
        <v>0.16355140186915887</v>
      </c>
      <c r="Y610" s="845">
        <v>0.88689604685212298</v>
      </c>
      <c r="Z610" s="845">
        <v>5.8199121522693999E-2</v>
      </c>
      <c r="AA610" s="845">
        <v>0</v>
      </c>
      <c r="AB610" s="845">
        <v>0</v>
      </c>
      <c r="AC610" s="845">
        <v>0</v>
      </c>
      <c r="AD610" s="845">
        <v>3.2942898975109811E-3</v>
      </c>
      <c r="AE610" s="845">
        <v>5.1610541727672037E-2</v>
      </c>
      <c r="AF610" s="845">
        <v>2.8916544655929723E-2</v>
      </c>
      <c r="AG610" s="845">
        <v>0.88177159590043919</v>
      </c>
      <c r="AH610" s="20" t="str">
        <f t="shared" si="60"/>
        <v>No</v>
      </c>
      <c r="AI610" s="25"/>
      <c r="AJ610" s="37">
        <v>43076</v>
      </c>
      <c r="AK610" s="37" t="s">
        <v>782</v>
      </c>
      <c r="AL610" s="37">
        <v>39127</v>
      </c>
      <c r="AM610" s="37" t="s">
        <v>69</v>
      </c>
      <c r="AN610" s="37">
        <f t="shared" si="61"/>
        <v>18140</v>
      </c>
      <c r="AO610" s="37" t="str">
        <f t="shared" si="62"/>
        <v>Columbus, OH</v>
      </c>
      <c r="AP610" s="37" t="s">
        <v>8</v>
      </c>
      <c r="AQ610" s="25"/>
      <c r="AR610" s="25"/>
      <c r="AS610" s="25"/>
      <c r="AT610" s="25"/>
      <c r="AU610" s="36"/>
      <c r="AV610" s="36"/>
      <c r="AW610" s="36"/>
      <c r="AX610" s="25"/>
      <c r="AY610" s="25"/>
      <c r="AZ610" s="25"/>
      <c r="BA610" s="25"/>
      <c r="BB610" s="25"/>
      <c r="BC610" s="25"/>
      <c r="BD610" s="25"/>
      <c r="BE610" s="25"/>
      <c r="BF610" s="25"/>
      <c r="BG610" s="25"/>
      <c r="BH610" s="25"/>
      <c r="BI610" s="25"/>
      <c r="BJ610" s="25"/>
      <c r="BK610" s="25"/>
      <c r="BL610" s="25"/>
      <c r="BM610" s="25"/>
      <c r="BN610" s="25"/>
      <c r="BO610" s="25"/>
      <c r="BP610" s="25"/>
      <c r="BQ610" s="25"/>
      <c r="BR610" s="25"/>
      <c r="BS610" s="25"/>
      <c r="BT610" s="25"/>
      <c r="BU610" s="39">
        <v>45358</v>
      </c>
      <c r="BV610" s="39" t="s">
        <v>1707</v>
      </c>
      <c r="BW610" s="39" t="s">
        <v>2930</v>
      </c>
      <c r="BX610" s="39" t="s">
        <v>2931</v>
      </c>
      <c r="BY610" s="71">
        <v>870</v>
      </c>
      <c r="BZ610" s="71">
        <v>880</v>
      </c>
      <c r="CA610" s="71">
        <v>1060</v>
      </c>
      <c r="CB610" s="71">
        <v>1410</v>
      </c>
      <c r="CC610" s="71">
        <v>1410</v>
      </c>
      <c r="CD610" s="25"/>
      <c r="CE610" s="200"/>
      <c r="CF610" s="200"/>
      <c r="CG610" s="200"/>
      <c r="CH610" s="200"/>
      <c r="CI610" s="200"/>
      <c r="CJ610" s="200"/>
      <c r="CK610" s="200"/>
      <c r="CL610" s="200"/>
      <c r="CM610" s="200"/>
      <c r="CN610" s="200"/>
      <c r="CO610" s="200"/>
      <c r="CP610" s="200"/>
      <c r="CQ610" s="200"/>
      <c r="CR610" s="200"/>
      <c r="CS610" s="200"/>
      <c r="CT610" s="200"/>
      <c r="CU610" s="200"/>
    </row>
    <row r="611" spans="1:99" s="17" customFormat="1" x14ac:dyDescent="0.2">
      <c r="A611" s="25"/>
      <c r="B611" s="20">
        <v>39049009712</v>
      </c>
      <c r="C611" s="20">
        <v>97.12</v>
      </c>
      <c r="D611" s="20" t="s">
        <v>31</v>
      </c>
      <c r="E611" s="20" t="s">
        <v>2830</v>
      </c>
      <c r="F611" s="20" t="s">
        <v>8</v>
      </c>
      <c r="G611" s="861">
        <v>61.872504627321</v>
      </c>
      <c r="H611" s="861">
        <v>55.366023119790498</v>
      </c>
      <c r="I611" s="861">
        <v>27.797692891287099</v>
      </c>
      <c r="J611" s="861">
        <v>50.353782184768797</v>
      </c>
      <c r="K611" s="982">
        <v>0</v>
      </c>
      <c r="L611" s="735">
        <v>2660</v>
      </c>
      <c r="M611" s="735">
        <v>2695</v>
      </c>
      <c r="N611" s="845">
        <f t="shared" si="58"/>
        <v>1.3157894736842105E-2</v>
      </c>
      <c r="O611" s="735">
        <v>0.45567660926443404</v>
      </c>
      <c r="P611" s="735">
        <f t="shared" si="59"/>
        <v>5914.2820702391209</v>
      </c>
      <c r="Q611" s="849">
        <v>37.799999999999997</v>
      </c>
      <c r="R611" s="71">
        <v>71103</v>
      </c>
      <c r="S611" s="845">
        <v>0.13098330241187384</v>
      </c>
      <c r="T611" s="845">
        <v>4.2999999999999997E-2</v>
      </c>
      <c r="U611" s="845">
        <v>0</v>
      </c>
      <c r="V611" s="845">
        <v>0</v>
      </c>
      <c r="W611" s="845">
        <v>0.39454094292803971</v>
      </c>
      <c r="X611" s="845">
        <v>0.3249475890985325</v>
      </c>
      <c r="Y611" s="845">
        <v>0.88571428571428568</v>
      </c>
      <c r="Z611" s="845">
        <v>9.1280148423005567E-2</v>
      </c>
      <c r="AA611" s="845">
        <v>0</v>
      </c>
      <c r="AB611" s="845">
        <v>0</v>
      </c>
      <c r="AC611" s="845">
        <v>0</v>
      </c>
      <c r="AD611" s="845">
        <v>2.2263450834879408E-3</v>
      </c>
      <c r="AE611" s="845">
        <v>2.0779220779220779E-2</v>
      </c>
      <c r="AF611" s="845">
        <v>4.8237476808905382E-3</v>
      </c>
      <c r="AG611" s="845">
        <v>0.88311688311688308</v>
      </c>
      <c r="AH611" s="20" t="str">
        <f t="shared" si="60"/>
        <v>No</v>
      </c>
      <c r="AI611" s="25"/>
      <c r="AJ611" s="37">
        <v>43107</v>
      </c>
      <c r="AK611" s="37" t="s">
        <v>795</v>
      </c>
      <c r="AL611" s="37">
        <v>39127</v>
      </c>
      <c r="AM611" s="37" t="s">
        <v>69</v>
      </c>
      <c r="AN611" s="37">
        <f t="shared" si="61"/>
        <v>18140</v>
      </c>
      <c r="AO611" s="37" t="str">
        <f t="shared" si="62"/>
        <v>Columbus, OH</v>
      </c>
      <c r="AP611" s="37" t="s">
        <v>8</v>
      </c>
      <c r="AQ611" s="25"/>
      <c r="AR611" s="25"/>
      <c r="AS611" s="25"/>
      <c r="AT611" s="25"/>
      <c r="AU611" s="36"/>
      <c r="AV611" s="36"/>
      <c r="AW611" s="36"/>
      <c r="AX611" s="25"/>
      <c r="AY611" s="25"/>
      <c r="AZ611" s="25"/>
      <c r="BA611" s="25"/>
      <c r="BB611" s="25"/>
      <c r="BC611" s="25"/>
      <c r="BD611" s="25"/>
      <c r="BE611" s="25"/>
      <c r="BF611" s="25"/>
      <c r="BG611" s="25"/>
      <c r="BH611" s="25"/>
      <c r="BI611" s="25"/>
      <c r="BJ611" s="25"/>
      <c r="BK611" s="25"/>
      <c r="BL611" s="25"/>
      <c r="BM611" s="25"/>
      <c r="BN611" s="25"/>
      <c r="BO611" s="25"/>
      <c r="BP611" s="25"/>
      <c r="BQ611" s="25"/>
      <c r="BR611" s="25"/>
      <c r="BS611" s="25"/>
      <c r="BT611" s="25"/>
      <c r="BU611" s="39">
        <v>45362</v>
      </c>
      <c r="BV611" s="39" t="s">
        <v>1711</v>
      </c>
      <c r="BW611" s="39" t="s">
        <v>2930</v>
      </c>
      <c r="BX611" s="39" t="s">
        <v>2931</v>
      </c>
      <c r="BY611" s="71">
        <v>800</v>
      </c>
      <c r="BZ611" s="71">
        <v>810</v>
      </c>
      <c r="CA611" s="71">
        <v>970</v>
      </c>
      <c r="CB611" s="71">
        <v>1290</v>
      </c>
      <c r="CC611" s="71">
        <v>1300</v>
      </c>
      <c r="CD611" s="25"/>
      <c r="CE611" s="200"/>
      <c r="CF611" s="200"/>
      <c r="CG611" s="200"/>
      <c r="CH611" s="200"/>
      <c r="CI611" s="200"/>
      <c r="CJ611" s="200"/>
      <c r="CK611" s="200"/>
      <c r="CL611" s="200"/>
      <c r="CM611" s="200"/>
      <c r="CN611" s="200"/>
      <c r="CO611" s="200"/>
      <c r="CP611" s="200"/>
      <c r="CQ611" s="200"/>
      <c r="CR611" s="200"/>
      <c r="CS611" s="200"/>
      <c r="CT611" s="200"/>
      <c r="CU611" s="200"/>
    </row>
    <row r="612" spans="1:99" s="17" customFormat="1" x14ac:dyDescent="0.2">
      <c r="A612" s="25"/>
      <c r="B612" s="20">
        <v>39057210604</v>
      </c>
      <c r="C612" s="20">
        <v>2106.04</v>
      </c>
      <c r="D612" s="20" t="s">
        <v>35</v>
      </c>
      <c r="E612" s="20" t="s">
        <v>2833</v>
      </c>
      <c r="F612" s="20" t="s">
        <v>8</v>
      </c>
      <c r="G612" s="861">
        <v>61.820219429077902</v>
      </c>
      <c r="H612" s="861">
        <v>56.569738259172198</v>
      </c>
      <c r="I612" s="861">
        <v>25.318541329734799</v>
      </c>
      <c r="J612" s="861">
        <v>33.621028082282699</v>
      </c>
      <c r="K612" s="982">
        <v>0</v>
      </c>
      <c r="L612" s="735" t="s">
        <v>2466</v>
      </c>
      <c r="M612" s="735">
        <v>4981</v>
      </c>
      <c r="N612" s="845" t="str">
        <f t="shared" si="58"/>
        <v/>
      </c>
      <c r="O612" s="735">
        <v>3.0685422721882691</v>
      </c>
      <c r="P612" s="735">
        <f t="shared" si="59"/>
        <v>1623.246335937846</v>
      </c>
      <c r="Q612" s="849">
        <v>38.799999999999997</v>
      </c>
      <c r="R612" s="71">
        <v>93292</v>
      </c>
      <c r="S612" s="845">
        <v>8.4108370400323498E-2</v>
      </c>
      <c r="T612" s="845">
        <v>0</v>
      </c>
      <c r="U612" s="845">
        <v>0</v>
      </c>
      <c r="V612" s="845">
        <v>0</v>
      </c>
      <c r="W612" s="845">
        <v>0.5314307751639028</v>
      </c>
      <c r="X612" s="845">
        <v>0.23004354136429608</v>
      </c>
      <c r="Y612" s="845">
        <v>0.75787994378638823</v>
      </c>
      <c r="Z612" s="845">
        <v>5.8221240714715919E-2</v>
      </c>
      <c r="AA612" s="845">
        <v>1.8068660911463562E-3</v>
      </c>
      <c r="AB612" s="845">
        <v>7.8096767717325835E-2</v>
      </c>
      <c r="AC612" s="845">
        <v>0</v>
      </c>
      <c r="AD612" s="845">
        <v>0</v>
      </c>
      <c r="AE612" s="845">
        <v>0.10399518169042361</v>
      </c>
      <c r="AF612" s="845">
        <v>1.3250351335073279E-2</v>
      </c>
      <c r="AG612" s="845">
        <v>0.75787994378638823</v>
      </c>
      <c r="AH612" s="20" t="str">
        <f t="shared" si="60"/>
        <v>No</v>
      </c>
      <c r="AI612" s="25"/>
      <c r="AJ612" s="37">
        <v>43138</v>
      </c>
      <c r="AK612" s="37" t="s">
        <v>814</v>
      </c>
      <c r="AL612" s="37">
        <v>39127</v>
      </c>
      <c r="AM612" s="37" t="s">
        <v>69</v>
      </c>
      <c r="AN612" s="37">
        <f t="shared" si="61"/>
        <v>18140</v>
      </c>
      <c r="AO612" s="37" t="str">
        <f t="shared" si="62"/>
        <v>Columbus, OH</v>
      </c>
      <c r="AP612" s="37" t="s">
        <v>8</v>
      </c>
      <c r="AQ612" s="25"/>
      <c r="AR612" s="25"/>
      <c r="AS612" s="25"/>
      <c r="AT612" s="25"/>
      <c r="AU612" s="36"/>
      <c r="AV612" s="36"/>
      <c r="AW612" s="36"/>
      <c r="AX612" s="25"/>
      <c r="AY612" s="25"/>
      <c r="AZ612" s="25"/>
      <c r="BA612" s="25"/>
      <c r="BB612" s="25"/>
      <c r="BC612" s="25"/>
      <c r="BD612" s="25"/>
      <c r="BE612" s="25"/>
      <c r="BF612" s="25"/>
      <c r="BG612" s="25"/>
      <c r="BH612" s="25"/>
      <c r="BI612" s="25"/>
      <c r="BJ612" s="25"/>
      <c r="BK612" s="25"/>
      <c r="BL612" s="25"/>
      <c r="BM612" s="25"/>
      <c r="BN612" s="25"/>
      <c r="BO612" s="25"/>
      <c r="BP612" s="25"/>
      <c r="BQ612" s="25"/>
      <c r="BR612" s="25"/>
      <c r="BS612" s="25"/>
      <c r="BT612" s="25"/>
      <c r="BU612" s="39">
        <v>45363</v>
      </c>
      <c r="BV612" s="39" t="s">
        <v>1712</v>
      </c>
      <c r="BW612" s="39" t="s">
        <v>2930</v>
      </c>
      <c r="BX612" s="39" t="s">
        <v>2931</v>
      </c>
      <c r="BY612" s="71">
        <v>710</v>
      </c>
      <c r="BZ612" s="71">
        <v>780</v>
      </c>
      <c r="CA612" s="71">
        <v>1020</v>
      </c>
      <c r="CB612" s="71">
        <v>1370</v>
      </c>
      <c r="CC612" s="71">
        <v>1430</v>
      </c>
      <c r="CD612" s="25"/>
      <c r="CE612" s="200"/>
      <c r="CF612" s="200"/>
      <c r="CG612" s="200"/>
      <c r="CH612" s="200"/>
      <c r="CI612" s="200"/>
      <c r="CJ612" s="200"/>
      <c r="CK612" s="200"/>
      <c r="CL612" s="200"/>
      <c r="CM612" s="200"/>
      <c r="CN612" s="200"/>
      <c r="CO612" s="200"/>
      <c r="CP612" s="200"/>
      <c r="CQ612" s="200"/>
      <c r="CR612" s="200"/>
      <c r="CS612" s="200"/>
      <c r="CT612" s="200"/>
      <c r="CU612" s="200"/>
    </row>
    <row r="613" spans="1:99" s="17" customFormat="1" x14ac:dyDescent="0.2">
      <c r="A613" s="25"/>
      <c r="B613" s="20">
        <v>39113040204</v>
      </c>
      <c r="C613" s="20">
        <v>402.04</v>
      </c>
      <c r="D613" s="20" t="s">
        <v>62</v>
      </c>
      <c r="E613" s="20" t="s">
        <v>2833</v>
      </c>
      <c r="F613" s="20" t="s">
        <v>8</v>
      </c>
      <c r="G613" s="861">
        <v>61.771145189502803</v>
      </c>
      <c r="H613" s="861">
        <v>67.673958684181898</v>
      </c>
      <c r="I613" s="861">
        <v>27.986643395300401</v>
      </c>
      <c r="J613" s="861">
        <v>49.648852192714799</v>
      </c>
      <c r="K613" s="982">
        <v>0</v>
      </c>
      <c r="L613" s="735">
        <v>4962</v>
      </c>
      <c r="M613" s="735">
        <v>5400</v>
      </c>
      <c r="N613" s="845">
        <f t="shared" si="58"/>
        <v>8.8270858524788387E-2</v>
      </c>
      <c r="O613" s="735">
        <v>1.6342372320774863</v>
      </c>
      <c r="P613" s="735">
        <f t="shared" si="59"/>
        <v>3304.2938283417852</v>
      </c>
      <c r="Q613" s="849">
        <v>38.6</v>
      </c>
      <c r="R613" s="71">
        <v>69031</v>
      </c>
      <c r="S613" s="845">
        <v>6.0692541856925415E-2</v>
      </c>
      <c r="T613" s="845">
        <v>2.6000000000000002E-2</v>
      </c>
      <c r="U613" s="845">
        <v>0</v>
      </c>
      <c r="V613" s="845">
        <v>0</v>
      </c>
      <c r="W613" s="845">
        <v>0.47189349112426038</v>
      </c>
      <c r="X613" s="845">
        <v>0.30094043887147337</v>
      </c>
      <c r="Y613" s="845">
        <v>0.88962962962962966</v>
      </c>
      <c r="Z613" s="845">
        <v>6.8148148148148152E-2</v>
      </c>
      <c r="AA613" s="845">
        <v>1.6666666666666668E-3</v>
      </c>
      <c r="AB613" s="845">
        <v>2.1296296296296296E-2</v>
      </c>
      <c r="AC613" s="845">
        <v>0</v>
      </c>
      <c r="AD613" s="845">
        <v>5.5555555555555556E-4</v>
      </c>
      <c r="AE613" s="845">
        <v>1.8703703703703705E-2</v>
      </c>
      <c r="AF613" s="845">
        <v>1.7037037037037038E-2</v>
      </c>
      <c r="AG613" s="845">
        <v>0.87648148148148153</v>
      </c>
      <c r="AH613" s="20" t="str">
        <f t="shared" si="60"/>
        <v>No</v>
      </c>
      <c r="AI613" s="25"/>
      <c r="AJ613" s="37">
        <v>43148</v>
      </c>
      <c r="AK613" s="37" t="s">
        <v>822</v>
      </c>
      <c r="AL613" s="37">
        <v>39127</v>
      </c>
      <c r="AM613" s="37" t="s">
        <v>69</v>
      </c>
      <c r="AN613" s="37">
        <f t="shared" si="61"/>
        <v>18140</v>
      </c>
      <c r="AO613" s="37" t="str">
        <f t="shared" si="62"/>
        <v>Columbus, OH</v>
      </c>
      <c r="AP613" s="37" t="s">
        <v>8</v>
      </c>
      <c r="AQ613" s="25"/>
      <c r="AR613" s="25"/>
      <c r="AS613" s="25"/>
      <c r="AT613" s="25"/>
      <c r="AU613" s="36"/>
      <c r="AV613" s="36"/>
      <c r="AW613" s="36"/>
      <c r="AX613" s="25"/>
      <c r="AY613" s="25"/>
      <c r="AZ613" s="25"/>
      <c r="BA613" s="25"/>
      <c r="BB613" s="25"/>
      <c r="BC613" s="25"/>
      <c r="BD613" s="25"/>
      <c r="BE613" s="25"/>
      <c r="BF613" s="25"/>
      <c r="BG613" s="25"/>
      <c r="BH613" s="25"/>
      <c r="BI613" s="25"/>
      <c r="BJ613" s="25"/>
      <c r="BK613" s="25"/>
      <c r="BL613" s="25"/>
      <c r="BM613" s="25"/>
      <c r="BN613" s="25"/>
      <c r="BO613" s="25"/>
      <c r="BP613" s="25"/>
      <c r="BQ613" s="25"/>
      <c r="BR613" s="25"/>
      <c r="BS613" s="25"/>
      <c r="BT613" s="25"/>
      <c r="BU613" s="39">
        <v>45380</v>
      </c>
      <c r="BV613" s="39" t="s">
        <v>1722</v>
      </c>
      <c r="BW613" s="39" t="s">
        <v>2930</v>
      </c>
      <c r="BX613" s="39" t="s">
        <v>2931</v>
      </c>
      <c r="BY613" s="71">
        <v>800</v>
      </c>
      <c r="BZ613" s="71">
        <v>810</v>
      </c>
      <c r="CA613" s="71">
        <v>970</v>
      </c>
      <c r="CB613" s="71">
        <v>1290</v>
      </c>
      <c r="CC613" s="71">
        <v>1300</v>
      </c>
      <c r="CD613" s="25"/>
      <c r="CE613" s="200"/>
      <c r="CF613" s="200"/>
      <c r="CG613" s="200"/>
      <c r="CH613" s="200"/>
      <c r="CI613" s="200"/>
      <c r="CJ613" s="200"/>
      <c r="CK613" s="200"/>
      <c r="CL613" s="200"/>
      <c r="CM613" s="200"/>
      <c r="CN613" s="200"/>
      <c r="CO613" s="200"/>
      <c r="CP613" s="200"/>
      <c r="CQ613" s="200"/>
      <c r="CR613" s="200"/>
      <c r="CS613" s="200"/>
      <c r="CT613" s="200"/>
      <c r="CU613" s="200"/>
    </row>
    <row r="614" spans="1:99" s="17" customFormat="1" x14ac:dyDescent="0.2">
      <c r="A614" s="25"/>
      <c r="B614" s="20">
        <v>39035137101</v>
      </c>
      <c r="C614" s="20">
        <v>1371.01</v>
      </c>
      <c r="D614" s="20" t="s">
        <v>24</v>
      </c>
      <c r="E614" s="20" t="s">
        <v>2829</v>
      </c>
      <c r="F614" s="20" t="s">
        <v>8</v>
      </c>
      <c r="G614" s="861">
        <v>61.753475315467</v>
      </c>
      <c r="H614" s="861">
        <v>61.7794503867405</v>
      </c>
      <c r="I614" s="861">
        <v>35.747722671594602</v>
      </c>
      <c r="J614" s="861">
        <v>51.719254752832697</v>
      </c>
      <c r="K614" s="982">
        <v>0</v>
      </c>
      <c r="L614" s="735">
        <v>2512</v>
      </c>
      <c r="M614" s="735">
        <v>2532</v>
      </c>
      <c r="N614" s="845">
        <f t="shared" si="58"/>
        <v>7.9617834394904458E-3</v>
      </c>
      <c r="O614" s="735">
        <v>1.9978782836960591</v>
      </c>
      <c r="P614" s="735">
        <f t="shared" si="59"/>
        <v>1267.3444727152346</v>
      </c>
      <c r="Q614" s="849">
        <v>37.6</v>
      </c>
      <c r="R614" s="71">
        <v>56157</v>
      </c>
      <c r="S614" s="845">
        <v>5.3317535545023699E-2</v>
      </c>
      <c r="T614" s="845">
        <v>0.04</v>
      </c>
      <c r="U614" s="845">
        <v>0</v>
      </c>
      <c r="V614" s="845">
        <v>2.7000000000000003E-2</v>
      </c>
      <c r="W614" s="845">
        <v>0.63875598086124397</v>
      </c>
      <c r="X614" s="845">
        <v>0.40324594257178525</v>
      </c>
      <c r="Y614" s="845">
        <v>0.47432859399684046</v>
      </c>
      <c r="Z614" s="845">
        <v>0.20932069510268561</v>
      </c>
      <c r="AA614" s="845">
        <v>0</v>
      </c>
      <c r="AB614" s="845">
        <v>0.11453396524486571</v>
      </c>
      <c r="AC614" s="845">
        <v>0</v>
      </c>
      <c r="AD614" s="845">
        <v>0.1240126382306477</v>
      </c>
      <c r="AE614" s="845">
        <v>7.7804107424960509E-2</v>
      </c>
      <c r="AF614" s="845">
        <v>0.19865718799368087</v>
      </c>
      <c r="AG614" s="845">
        <v>0.44431279620853081</v>
      </c>
      <c r="AH614" s="20" t="str">
        <f t="shared" si="60"/>
        <v>No</v>
      </c>
      <c r="AI614" s="25"/>
      <c r="AJ614" s="37">
        <v>43150</v>
      </c>
      <c r="AK614" s="37" t="s">
        <v>824</v>
      </c>
      <c r="AL614" s="37">
        <v>39127</v>
      </c>
      <c r="AM614" s="37" t="s">
        <v>69</v>
      </c>
      <c r="AN614" s="37">
        <f t="shared" si="61"/>
        <v>18140</v>
      </c>
      <c r="AO614" s="37" t="str">
        <f t="shared" si="62"/>
        <v>Columbus, OH</v>
      </c>
      <c r="AP614" s="37" t="s">
        <v>8</v>
      </c>
      <c r="AQ614" s="25"/>
      <c r="AR614" s="25"/>
      <c r="AS614" s="25"/>
      <c r="AT614" s="25"/>
      <c r="AU614" s="36"/>
      <c r="AV614" s="36"/>
      <c r="AW614" s="36"/>
      <c r="AX614" s="25"/>
      <c r="AY614" s="25"/>
      <c r="AZ614" s="25"/>
      <c r="BA614" s="25"/>
      <c r="BB614" s="25"/>
      <c r="BC614" s="25"/>
      <c r="BD614" s="25"/>
      <c r="BE614" s="25"/>
      <c r="BF614" s="25"/>
      <c r="BG614" s="25"/>
      <c r="BH614" s="25"/>
      <c r="BI614" s="25"/>
      <c r="BJ614" s="25"/>
      <c r="BK614" s="25"/>
      <c r="BL614" s="25"/>
      <c r="BM614" s="25"/>
      <c r="BN614" s="25"/>
      <c r="BO614" s="25"/>
      <c r="BP614" s="25"/>
      <c r="BQ614" s="25"/>
      <c r="BR614" s="25"/>
      <c r="BS614" s="25"/>
      <c r="BT614" s="25"/>
      <c r="BU614" s="39">
        <v>45382</v>
      </c>
      <c r="BV614" s="39" t="s">
        <v>1724</v>
      </c>
      <c r="BW614" s="39" t="s">
        <v>2930</v>
      </c>
      <c r="BX614" s="39" t="s">
        <v>2931</v>
      </c>
      <c r="BY614" s="71">
        <v>910</v>
      </c>
      <c r="BZ614" s="71">
        <v>920</v>
      </c>
      <c r="CA614" s="71">
        <v>1180</v>
      </c>
      <c r="CB614" s="71">
        <v>1580</v>
      </c>
      <c r="CC614" s="71">
        <v>1700</v>
      </c>
      <c r="CD614" s="25"/>
      <c r="CE614" s="200"/>
      <c r="CF614" s="200"/>
      <c r="CG614" s="200"/>
      <c r="CH614" s="200"/>
      <c r="CI614" s="200"/>
      <c r="CJ614" s="200"/>
      <c r="CK614" s="200"/>
      <c r="CL614" s="200"/>
      <c r="CM614" s="200"/>
      <c r="CN614" s="200"/>
      <c r="CO614" s="200"/>
      <c r="CP614" s="200"/>
      <c r="CQ614" s="200"/>
      <c r="CR614" s="200"/>
      <c r="CS614" s="200"/>
      <c r="CT614" s="200"/>
      <c r="CU614" s="200"/>
    </row>
    <row r="615" spans="1:99" s="17" customFormat="1" x14ac:dyDescent="0.2">
      <c r="A615" s="25"/>
      <c r="B615" s="20">
        <v>39085200400</v>
      </c>
      <c r="C615" s="20">
        <v>2004</v>
      </c>
      <c r="D615" s="20" t="s">
        <v>48</v>
      </c>
      <c r="E615" s="20" t="s">
        <v>2829</v>
      </c>
      <c r="F615" s="20" t="s">
        <v>8</v>
      </c>
      <c r="G615" s="861">
        <v>61.719358166106403</v>
      </c>
      <c r="H615" s="861">
        <v>55.133937379910599</v>
      </c>
      <c r="I615" s="861">
        <v>31.718310989730298</v>
      </c>
      <c r="J615" s="861">
        <v>43.5618423541355</v>
      </c>
      <c r="K615" s="982">
        <v>0</v>
      </c>
      <c r="L615" s="735">
        <v>3330</v>
      </c>
      <c r="M615" s="735">
        <v>3595</v>
      </c>
      <c r="N615" s="845">
        <f t="shared" si="58"/>
        <v>7.9579579579579576E-2</v>
      </c>
      <c r="O615" s="735">
        <v>0.68520623440236572</v>
      </c>
      <c r="P615" s="735">
        <f t="shared" si="59"/>
        <v>5246.5955788267829</v>
      </c>
      <c r="Q615" s="849">
        <v>38</v>
      </c>
      <c r="R615" s="71">
        <v>66289</v>
      </c>
      <c r="S615" s="845">
        <v>7.677329624478442E-2</v>
      </c>
      <c r="T615" s="845">
        <v>7.2000000000000008E-2</v>
      </c>
      <c r="U615" s="845">
        <v>0</v>
      </c>
      <c r="V615" s="845">
        <v>0</v>
      </c>
      <c r="W615" s="845">
        <v>0.2130406714009038</v>
      </c>
      <c r="X615" s="845">
        <v>0.52424242424242429</v>
      </c>
      <c r="Y615" s="845">
        <v>0.91321279554937418</v>
      </c>
      <c r="Z615" s="845">
        <v>5.0625869262865088E-2</v>
      </c>
      <c r="AA615" s="845">
        <v>1.9471488178025036E-3</v>
      </c>
      <c r="AB615" s="845">
        <v>0</v>
      </c>
      <c r="AC615" s="845">
        <v>0</v>
      </c>
      <c r="AD615" s="845">
        <v>0</v>
      </c>
      <c r="AE615" s="845">
        <v>3.4214186369958273E-2</v>
      </c>
      <c r="AF615" s="845">
        <v>2.8094575799721837E-2</v>
      </c>
      <c r="AG615" s="845">
        <v>0.88511821974965232</v>
      </c>
      <c r="AH615" s="20" t="str">
        <f t="shared" si="60"/>
        <v>No</v>
      </c>
      <c r="AI615" s="25"/>
      <c r="AJ615" s="37">
        <v>43730</v>
      </c>
      <c r="AK615" s="37" t="s">
        <v>1034</v>
      </c>
      <c r="AL615" s="37">
        <v>39127</v>
      </c>
      <c r="AM615" s="37" t="s">
        <v>69</v>
      </c>
      <c r="AN615" s="37">
        <f t="shared" si="61"/>
        <v>18140</v>
      </c>
      <c r="AO615" s="37" t="str">
        <f t="shared" si="62"/>
        <v>Columbus, OH</v>
      </c>
      <c r="AP615" s="37" t="s">
        <v>8</v>
      </c>
      <c r="AQ615" s="25"/>
      <c r="AR615" s="25"/>
      <c r="AS615" s="25"/>
      <c r="AT615" s="25"/>
      <c r="AU615" s="36"/>
      <c r="AV615" s="36"/>
      <c r="AW615" s="36"/>
      <c r="AX615" s="25"/>
      <c r="AY615" s="25"/>
      <c r="AZ615" s="25"/>
      <c r="BA615" s="25"/>
      <c r="BB615" s="25"/>
      <c r="BC615" s="25"/>
      <c r="BD615" s="25"/>
      <c r="BE615" s="25"/>
      <c r="BF615" s="25"/>
      <c r="BG615" s="25"/>
      <c r="BH615" s="25"/>
      <c r="BI615" s="25"/>
      <c r="BJ615" s="25"/>
      <c r="BK615" s="25"/>
      <c r="BL615" s="25"/>
      <c r="BM615" s="25"/>
      <c r="BN615" s="25"/>
      <c r="BO615" s="25"/>
      <c r="BP615" s="25"/>
      <c r="BQ615" s="25"/>
      <c r="BR615" s="25"/>
      <c r="BS615" s="25"/>
      <c r="BT615" s="25"/>
      <c r="BU615" s="39">
        <v>45388</v>
      </c>
      <c r="BV615" s="39" t="s">
        <v>1729</v>
      </c>
      <c r="BW615" s="39" t="s">
        <v>2930</v>
      </c>
      <c r="BX615" s="39" t="s">
        <v>2931</v>
      </c>
      <c r="BY615" s="71">
        <v>800</v>
      </c>
      <c r="BZ615" s="71">
        <v>830</v>
      </c>
      <c r="CA615" s="71">
        <v>1020</v>
      </c>
      <c r="CB615" s="71">
        <v>1350</v>
      </c>
      <c r="CC615" s="71">
        <v>1370</v>
      </c>
      <c r="CD615" s="25"/>
      <c r="CE615" s="200"/>
      <c r="CF615" s="200"/>
      <c r="CG615" s="200"/>
      <c r="CH615" s="200"/>
      <c r="CI615" s="200"/>
      <c r="CJ615" s="200"/>
      <c r="CK615" s="200"/>
      <c r="CL615" s="200"/>
      <c r="CM615" s="200"/>
      <c r="CN615" s="200"/>
      <c r="CO615" s="200"/>
      <c r="CP615" s="200"/>
      <c r="CQ615" s="200"/>
      <c r="CR615" s="200"/>
      <c r="CS615" s="200"/>
      <c r="CT615" s="200"/>
      <c r="CU615" s="200"/>
    </row>
    <row r="616" spans="1:99" s="17" customFormat="1" x14ac:dyDescent="0.2">
      <c r="A616" s="25"/>
      <c r="B616" s="20">
        <v>39035184105</v>
      </c>
      <c r="C616" s="20">
        <v>1841.05</v>
      </c>
      <c r="D616" s="20" t="s">
        <v>24</v>
      </c>
      <c r="E616" s="20" t="s">
        <v>2829</v>
      </c>
      <c r="F616" s="20" t="s">
        <v>8</v>
      </c>
      <c r="G616" s="861">
        <v>61.709700838925897</v>
      </c>
      <c r="H616" s="861">
        <v>64.066098994205603</v>
      </c>
      <c r="I616" s="861">
        <v>24.820726782477202</v>
      </c>
      <c r="J616" s="861">
        <v>46.394411331248499</v>
      </c>
      <c r="K616" s="982">
        <v>0</v>
      </c>
      <c r="L616" s="735">
        <v>4761</v>
      </c>
      <c r="M616" s="735">
        <v>4381</v>
      </c>
      <c r="N616" s="845">
        <f t="shared" si="58"/>
        <v>-7.9815164881327449E-2</v>
      </c>
      <c r="O616" s="735">
        <v>1.2616015445723419</v>
      </c>
      <c r="P616" s="735">
        <f t="shared" si="59"/>
        <v>3472.5702571052834</v>
      </c>
      <c r="Q616" s="849">
        <v>35.700000000000003</v>
      </c>
      <c r="R616" s="71">
        <v>122778</v>
      </c>
      <c r="S616" s="845">
        <v>4.291257703720612E-2</v>
      </c>
      <c r="T616" s="845">
        <v>4.8000000000000001E-2</v>
      </c>
      <c r="U616" s="845">
        <v>0</v>
      </c>
      <c r="V616" s="845">
        <v>0</v>
      </c>
      <c r="W616" s="845">
        <v>0.23950617283950618</v>
      </c>
      <c r="X616" s="845">
        <v>0.21134020618556701</v>
      </c>
      <c r="Y616" s="845">
        <v>0.56630906185802332</v>
      </c>
      <c r="Z616" s="845">
        <v>0.23693220725861674</v>
      </c>
      <c r="AA616" s="845">
        <v>0</v>
      </c>
      <c r="AB616" s="845">
        <v>0.12097694590276192</v>
      </c>
      <c r="AC616" s="845">
        <v>1.3695503309746632E-3</v>
      </c>
      <c r="AD616" s="845">
        <v>0</v>
      </c>
      <c r="AE616" s="845">
        <v>7.4412234649623377E-2</v>
      </c>
      <c r="AF616" s="845">
        <v>3.2412691166400366E-2</v>
      </c>
      <c r="AG616" s="845">
        <v>0.56630906185802332</v>
      </c>
      <c r="AH616" s="20" t="str">
        <f t="shared" si="60"/>
        <v>No</v>
      </c>
      <c r="AI616" s="25"/>
      <c r="AJ616" s="37">
        <v>43731</v>
      </c>
      <c r="AK616" s="37" t="s">
        <v>1035</v>
      </c>
      <c r="AL616" s="37">
        <v>39127</v>
      </c>
      <c r="AM616" s="37" t="s">
        <v>69</v>
      </c>
      <c r="AN616" s="37">
        <f t="shared" si="61"/>
        <v>18140</v>
      </c>
      <c r="AO616" s="37" t="str">
        <f t="shared" si="62"/>
        <v>Columbus, OH</v>
      </c>
      <c r="AP616" s="37" t="s">
        <v>8</v>
      </c>
      <c r="AQ616" s="25"/>
      <c r="AR616" s="25"/>
      <c r="AS616" s="25"/>
      <c r="AT616" s="25"/>
      <c r="AU616" s="36"/>
      <c r="AV616" s="36"/>
      <c r="AW616" s="36"/>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39">
        <v>45390</v>
      </c>
      <c r="BV616" s="39" t="s">
        <v>1731</v>
      </c>
      <c r="BW616" s="39" t="s">
        <v>2930</v>
      </c>
      <c r="BX616" s="39" t="s">
        <v>2931</v>
      </c>
      <c r="BY616" s="71">
        <v>820</v>
      </c>
      <c r="BZ616" s="71">
        <v>830</v>
      </c>
      <c r="CA616" s="71">
        <v>1000</v>
      </c>
      <c r="CB616" s="71">
        <v>1330</v>
      </c>
      <c r="CC616" s="71">
        <v>1330</v>
      </c>
      <c r="CD616" s="25"/>
      <c r="CE616" s="200"/>
      <c r="CF616" s="200"/>
      <c r="CG616" s="200"/>
      <c r="CH616" s="200"/>
      <c r="CI616" s="200"/>
      <c r="CJ616" s="200"/>
      <c r="CK616" s="200"/>
      <c r="CL616" s="200"/>
      <c r="CM616" s="200"/>
      <c r="CN616" s="200"/>
      <c r="CO616" s="200"/>
      <c r="CP616" s="200"/>
      <c r="CQ616" s="200"/>
      <c r="CR616" s="200"/>
      <c r="CS616" s="200"/>
      <c r="CT616" s="200"/>
      <c r="CU616" s="200"/>
    </row>
    <row r="617" spans="1:99" s="17" customFormat="1" x14ac:dyDescent="0.2">
      <c r="A617" s="25"/>
      <c r="B617" s="20">
        <v>39035186104</v>
      </c>
      <c r="C617" s="20">
        <v>1861.04</v>
      </c>
      <c r="D617" s="20" t="s">
        <v>24</v>
      </c>
      <c r="E617" s="20" t="s">
        <v>2829</v>
      </c>
      <c r="F617" s="20" t="s">
        <v>8</v>
      </c>
      <c r="G617" s="861">
        <v>61.666819616912399</v>
      </c>
      <c r="H617" s="861">
        <v>65.711881101380001</v>
      </c>
      <c r="I617" s="861">
        <v>19.8887653216145</v>
      </c>
      <c r="J617" s="861">
        <v>40.860173729711804</v>
      </c>
      <c r="K617" s="982">
        <v>0</v>
      </c>
      <c r="L617" s="735">
        <v>2669</v>
      </c>
      <c r="M617" s="735">
        <v>2556</v>
      </c>
      <c r="N617" s="845">
        <f t="shared" si="58"/>
        <v>-4.2337954289996253E-2</v>
      </c>
      <c r="O617" s="735">
        <v>1.9164914235841801</v>
      </c>
      <c r="P617" s="735">
        <f t="shared" si="59"/>
        <v>1333.6871579732015</v>
      </c>
      <c r="Q617" s="849">
        <v>49.3</v>
      </c>
      <c r="R617" s="71">
        <v>97045</v>
      </c>
      <c r="S617" s="845">
        <v>8.1768388106416276E-2</v>
      </c>
      <c r="T617" s="845">
        <v>3.7999999999999999E-2</v>
      </c>
      <c r="U617" s="845">
        <v>8.0000000000000002E-3</v>
      </c>
      <c r="V617" s="845">
        <v>0</v>
      </c>
      <c r="W617" s="845">
        <v>0.12209302325581395</v>
      </c>
      <c r="X617" s="845">
        <v>0.37414965986394561</v>
      </c>
      <c r="Y617" s="845">
        <v>0.90453834115805942</v>
      </c>
      <c r="Z617" s="845">
        <v>7.8247261345852897E-3</v>
      </c>
      <c r="AA617" s="845">
        <v>0</v>
      </c>
      <c r="AB617" s="845">
        <v>4.8122065727699531E-2</v>
      </c>
      <c r="AC617" s="845">
        <v>0</v>
      </c>
      <c r="AD617" s="845">
        <v>0</v>
      </c>
      <c r="AE617" s="845">
        <v>3.9514866979655713E-2</v>
      </c>
      <c r="AF617" s="845">
        <v>4.4600938967136149E-2</v>
      </c>
      <c r="AG617" s="845">
        <v>0.87871674491392804</v>
      </c>
      <c r="AH617" s="20" t="str">
        <f t="shared" si="60"/>
        <v>No</v>
      </c>
      <c r="AI617" s="25"/>
      <c r="AJ617" s="37">
        <v>43739</v>
      </c>
      <c r="AK617" s="37" t="s">
        <v>1042</v>
      </c>
      <c r="AL617" s="37">
        <v>39127</v>
      </c>
      <c r="AM617" s="37" t="s">
        <v>69</v>
      </c>
      <c r="AN617" s="37">
        <f t="shared" si="61"/>
        <v>18140</v>
      </c>
      <c r="AO617" s="37" t="str">
        <f t="shared" si="62"/>
        <v>Columbus, OH</v>
      </c>
      <c r="AP617" s="37" t="s">
        <v>8</v>
      </c>
      <c r="AQ617" s="25"/>
      <c r="AR617" s="25"/>
      <c r="AS617" s="25"/>
      <c r="AT617" s="25"/>
      <c r="AU617" s="36"/>
      <c r="AV617" s="36"/>
      <c r="AW617" s="36"/>
      <c r="AX617" s="25"/>
      <c r="AY617" s="25"/>
      <c r="AZ617" s="25"/>
      <c r="BA617" s="25"/>
      <c r="BB617" s="25"/>
      <c r="BC617" s="25"/>
      <c r="BD617" s="25"/>
      <c r="BE617" s="25"/>
      <c r="BF617" s="25"/>
      <c r="BG617" s="25"/>
      <c r="BH617" s="25"/>
      <c r="BI617" s="25"/>
      <c r="BJ617" s="25"/>
      <c r="BK617" s="25"/>
      <c r="BL617" s="25"/>
      <c r="BM617" s="25"/>
      <c r="BN617" s="25"/>
      <c r="BO617" s="25"/>
      <c r="BP617" s="25"/>
      <c r="BQ617" s="25"/>
      <c r="BR617" s="25"/>
      <c r="BS617" s="25"/>
      <c r="BT617" s="25"/>
      <c r="BU617" s="39">
        <v>45846</v>
      </c>
      <c r="BV617" s="39" t="s">
        <v>1912</v>
      </c>
      <c r="BW617" s="39" t="s">
        <v>2930</v>
      </c>
      <c r="BX617" s="39" t="s">
        <v>2931</v>
      </c>
      <c r="BY617" s="71">
        <v>740</v>
      </c>
      <c r="BZ617" s="71">
        <v>780</v>
      </c>
      <c r="CA617" s="71">
        <v>970</v>
      </c>
      <c r="CB617" s="71">
        <v>1270</v>
      </c>
      <c r="CC617" s="71">
        <v>1290</v>
      </c>
      <c r="CD617" s="25"/>
      <c r="CE617" s="200"/>
      <c r="CF617" s="200"/>
      <c r="CG617" s="200"/>
      <c r="CH617" s="200"/>
      <c r="CI617" s="200"/>
      <c r="CJ617" s="200"/>
      <c r="CK617" s="200"/>
      <c r="CL617" s="200"/>
      <c r="CM617" s="200"/>
      <c r="CN617" s="200"/>
      <c r="CO617" s="200"/>
      <c r="CP617" s="200"/>
      <c r="CQ617" s="200"/>
      <c r="CR617" s="200"/>
      <c r="CS617" s="200"/>
      <c r="CT617" s="200"/>
      <c r="CU617" s="200"/>
    </row>
    <row r="618" spans="1:99" s="17" customFormat="1" x14ac:dyDescent="0.2">
      <c r="A618" s="25"/>
      <c r="B618" s="20">
        <v>39085200300</v>
      </c>
      <c r="C618" s="20">
        <v>2003</v>
      </c>
      <c r="D618" s="20" t="s">
        <v>48</v>
      </c>
      <c r="E618" s="20" t="s">
        <v>2829</v>
      </c>
      <c r="F618" s="20" t="s">
        <v>8</v>
      </c>
      <c r="G618" s="861">
        <v>61.647321840178201</v>
      </c>
      <c r="H618" s="861">
        <v>58.839475219237102</v>
      </c>
      <c r="I618" s="861">
        <v>18.738099561692501</v>
      </c>
      <c r="J618" s="861">
        <v>41.063162737681303</v>
      </c>
      <c r="K618" s="982">
        <v>0</v>
      </c>
      <c r="L618" s="735">
        <v>3133</v>
      </c>
      <c r="M618" s="735">
        <v>3125</v>
      </c>
      <c r="N618" s="845">
        <f t="shared" si="58"/>
        <v>-2.5534631343759975E-3</v>
      </c>
      <c r="O618" s="735">
        <v>0.57635322503468944</v>
      </c>
      <c r="P618" s="735">
        <f t="shared" si="59"/>
        <v>5422.0222326541389</v>
      </c>
      <c r="Q618" s="849">
        <v>40.5</v>
      </c>
      <c r="R618" s="71">
        <v>77115</v>
      </c>
      <c r="S618" s="845">
        <v>3.168E-2</v>
      </c>
      <c r="T618" s="845">
        <v>3.6000000000000004E-2</v>
      </c>
      <c r="U618" s="845">
        <v>0</v>
      </c>
      <c r="V618" s="845">
        <v>0</v>
      </c>
      <c r="W618" s="845">
        <v>0.22427652733118972</v>
      </c>
      <c r="X618" s="845">
        <v>0</v>
      </c>
      <c r="Y618" s="845">
        <v>0.89695999999999998</v>
      </c>
      <c r="Z618" s="845">
        <v>0</v>
      </c>
      <c r="AA618" s="845">
        <v>1.92E-3</v>
      </c>
      <c r="AB618" s="845">
        <v>8.3199999999999993E-3</v>
      </c>
      <c r="AC618" s="845">
        <v>0</v>
      </c>
      <c r="AD618" s="845">
        <v>6.0800000000000003E-3</v>
      </c>
      <c r="AE618" s="845">
        <v>8.6720000000000005E-2</v>
      </c>
      <c r="AF618" s="845">
        <v>5.824E-2</v>
      </c>
      <c r="AG618" s="845">
        <v>0.87263999999999997</v>
      </c>
      <c r="AH618" s="20" t="str">
        <f t="shared" si="60"/>
        <v>No</v>
      </c>
      <c r="AI618" s="25"/>
      <c r="AJ618" s="37">
        <v>43748</v>
      </c>
      <c r="AK618" s="37" t="s">
        <v>1046</v>
      </c>
      <c r="AL618" s="37">
        <v>39127</v>
      </c>
      <c r="AM618" s="37" t="s">
        <v>69</v>
      </c>
      <c r="AN618" s="37">
        <f t="shared" si="61"/>
        <v>18140</v>
      </c>
      <c r="AO618" s="37" t="str">
        <f t="shared" si="62"/>
        <v>Columbus, OH</v>
      </c>
      <c r="AP618" s="37" t="s">
        <v>8</v>
      </c>
      <c r="AQ618" s="25"/>
      <c r="AR618" s="25"/>
      <c r="AS618" s="25"/>
      <c r="AT618" s="25"/>
      <c r="AU618" s="36"/>
      <c r="AV618" s="36"/>
      <c r="AW618" s="36"/>
      <c r="AX618" s="25"/>
      <c r="AY618" s="25"/>
      <c r="AZ618" s="25"/>
      <c r="BA618" s="25"/>
      <c r="BB618" s="25"/>
      <c r="BC618" s="25"/>
      <c r="BD618" s="25"/>
      <c r="BE618" s="25"/>
      <c r="BF618" s="25"/>
      <c r="BG618" s="25"/>
      <c r="BH618" s="25"/>
      <c r="BI618" s="25"/>
      <c r="BJ618" s="25"/>
      <c r="BK618" s="25"/>
      <c r="BL618" s="25"/>
      <c r="BM618" s="25"/>
      <c r="BN618" s="25"/>
      <c r="BO618" s="25"/>
      <c r="BP618" s="25"/>
      <c r="BQ618" s="25"/>
      <c r="BR618" s="25"/>
      <c r="BS618" s="25"/>
      <c r="BT618" s="25"/>
      <c r="BU618" s="39">
        <v>45860</v>
      </c>
      <c r="BV618" s="39" t="s">
        <v>1923</v>
      </c>
      <c r="BW618" s="39" t="s">
        <v>2930</v>
      </c>
      <c r="BX618" s="39" t="s">
        <v>2931</v>
      </c>
      <c r="BY618" s="71">
        <v>740</v>
      </c>
      <c r="BZ618" s="71">
        <v>780</v>
      </c>
      <c r="CA618" s="71">
        <v>970</v>
      </c>
      <c r="CB618" s="71">
        <v>1270</v>
      </c>
      <c r="CC618" s="71">
        <v>1290</v>
      </c>
      <c r="CD618" s="25"/>
      <c r="CE618" s="200"/>
      <c r="CF618" s="200"/>
      <c r="CG618" s="200"/>
      <c r="CH618" s="200"/>
      <c r="CI618" s="200"/>
      <c r="CJ618" s="200"/>
      <c r="CK618" s="200"/>
      <c r="CL618" s="200"/>
      <c r="CM618" s="200"/>
      <c r="CN618" s="200"/>
      <c r="CO618" s="200"/>
      <c r="CP618" s="200"/>
      <c r="CQ618" s="200"/>
      <c r="CR618" s="200"/>
      <c r="CS618" s="200"/>
      <c r="CT618" s="200"/>
      <c r="CU618" s="200"/>
    </row>
    <row r="619" spans="1:99" s="17" customFormat="1" x14ac:dyDescent="0.2">
      <c r="A619" s="25"/>
      <c r="B619" s="20">
        <v>39107968000</v>
      </c>
      <c r="C619" s="20">
        <v>9680</v>
      </c>
      <c r="D619" s="20" t="s">
        <v>59</v>
      </c>
      <c r="E619" s="20" t="s">
        <v>265</v>
      </c>
      <c r="F619" s="20" t="s">
        <v>8</v>
      </c>
      <c r="G619" s="861">
        <v>61.6448514103595</v>
      </c>
      <c r="H619" s="861">
        <v>63.060446067315098</v>
      </c>
      <c r="I619" s="861">
        <v>15.3735342332006</v>
      </c>
      <c r="J619" s="861">
        <v>44.331500050807101</v>
      </c>
      <c r="K619" s="982">
        <v>0</v>
      </c>
      <c r="L619" s="735">
        <v>5022</v>
      </c>
      <c r="M619" s="735">
        <v>5096</v>
      </c>
      <c r="N619" s="845">
        <f t="shared" si="58"/>
        <v>1.4735165272799682E-2</v>
      </c>
      <c r="O619" s="735">
        <v>82.753816194160066</v>
      </c>
      <c r="P619" s="735">
        <f t="shared" si="59"/>
        <v>61.580241665756851</v>
      </c>
      <c r="Q619" s="849">
        <v>37.299999999999997</v>
      </c>
      <c r="R619" s="71">
        <v>99583</v>
      </c>
      <c r="S619" s="845">
        <v>3.7087912087912088E-2</v>
      </c>
      <c r="T619" s="845">
        <v>6.9999999999999993E-3</v>
      </c>
      <c r="U619" s="845">
        <v>9.0000000000000011E-3</v>
      </c>
      <c r="V619" s="845">
        <v>3.5000000000000003E-2</v>
      </c>
      <c r="W619" s="845">
        <v>9.5677233429394812E-2</v>
      </c>
      <c r="X619" s="845">
        <v>0.15662650602409639</v>
      </c>
      <c r="Y619" s="845">
        <v>0.99784144427001575</v>
      </c>
      <c r="Z619" s="845">
        <v>0</v>
      </c>
      <c r="AA619" s="845">
        <v>0</v>
      </c>
      <c r="AB619" s="845">
        <v>0</v>
      </c>
      <c r="AC619" s="845">
        <v>0</v>
      </c>
      <c r="AD619" s="845">
        <v>9.8116169544740965E-4</v>
      </c>
      <c r="AE619" s="845">
        <v>1.1773940345368916E-3</v>
      </c>
      <c r="AF619" s="845">
        <v>1.1970172684458399E-2</v>
      </c>
      <c r="AG619" s="845">
        <v>0.98685243328100469</v>
      </c>
      <c r="AH619" s="20" t="str">
        <f t="shared" si="60"/>
        <v>Yes</v>
      </c>
      <c r="AI619" s="25"/>
      <c r="AJ619" s="37">
        <v>43760</v>
      </c>
      <c r="AK619" s="37" t="s">
        <v>1054</v>
      </c>
      <c r="AL619" s="37">
        <v>39127</v>
      </c>
      <c r="AM619" s="37" t="s">
        <v>69</v>
      </c>
      <c r="AN619" s="37">
        <f t="shared" si="61"/>
        <v>18140</v>
      </c>
      <c r="AO619" s="37" t="str">
        <f t="shared" si="62"/>
        <v>Columbus, OH</v>
      </c>
      <c r="AP619" s="37" t="s">
        <v>8</v>
      </c>
      <c r="AQ619" s="25"/>
      <c r="AR619" s="25"/>
      <c r="AS619" s="25"/>
      <c r="AT619" s="25"/>
      <c r="AU619" s="36"/>
      <c r="AV619" s="36"/>
      <c r="AW619" s="36"/>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39">
        <v>45883</v>
      </c>
      <c r="BV619" s="39" t="s">
        <v>1945</v>
      </c>
      <c r="BW619" s="39" t="s">
        <v>2930</v>
      </c>
      <c r="BX619" s="39" t="s">
        <v>2931</v>
      </c>
      <c r="BY619" s="71">
        <v>740</v>
      </c>
      <c r="BZ619" s="71">
        <v>780</v>
      </c>
      <c r="CA619" s="71">
        <v>970</v>
      </c>
      <c r="CB619" s="71">
        <v>1270</v>
      </c>
      <c r="CC619" s="71">
        <v>1290</v>
      </c>
      <c r="CD619" s="25"/>
      <c r="CE619" s="200"/>
      <c r="CF619" s="200"/>
      <c r="CG619" s="200"/>
      <c r="CH619" s="200"/>
      <c r="CI619" s="200"/>
      <c r="CJ619" s="200"/>
      <c r="CK619" s="200"/>
      <c r="CL619" s="200"/>
      <c r="CM619" s="200"/>
      <c r="CN619" s="200"/>
      <c r="CO619" s="200"/>
      <c r="CP619" s="200"/>
      <c r="CQ619" s="200"/>
      <c r="CR619" s="200"/>
      <c r="CS619" s="200"/>
      <c r="CT619" s="200"/>
      <c r="CU619" s="200"/>
    </row>
    <row r="620" spans="1:99" s="17" customFormat="1" x14ac:dyDescent="0.2">
      <c r="A620" s="25"/>
      <c r="B620" s="20">
        <v>39113120101</v>
      </c>
      <c r="C620" s="20">
        <v>1201.01</v>
      </c>
      <c r="D620" s="20" t="s">
        <v>62</v>
      </c>
      <c r="E620" s="20" t="s">
        <v>2833</v>
      </c>
      <c r="F620" s="20" t="s">
        <v>8</v>
      </c>
      <c r="G620" s="861">
        <v>61.634766288005501</v>
      </c>
      <c r="H620" s="861">
        <v>61.872068571136403</v>
      </c>
      <c r="I620" s="861">
        <v>31.717371534597198</v>
      </c>
      <c r="J620" s="861">
        <v>55.369064331618198</v>
      </c>
      <c r="K620" s="982">
        <v>0</v>
      </c>
      <c r="L620" s="735">
        <v>5118</v>
      </c>
      <c r="M620" s="735">
        <v>4907</v>
      </c>
      <c r="N620" s="845">
        <f t="shared" si="58"/>
        <v>-4.1227041813208284E-2</v>
      </c>
      <c r="O620" s="735">
        <v>12.527075269082992</v>
      </c>
      <c r="P620" s="735">
        <f t="shared" si="59"/>
        <v>391.71154436267727</v>
      </c>
      <c r="Q620" s="849">
        <v>45.3</v>
      </c>
      <c r="R620" s="71">
        <v>92950</v>
      </c>
      <c r="S620" s="845">
        <v>3.271898943880721E-2</v>
      </c>
      <c r="T620" s="845">
        <v>0.01</v>
      </c>
      <c r="U620" s="845">
        <v>0</v>
      </c>
      <c r="V620" s="845">
        <v>0</v>
      </c>
      <c r="W620" s="845">
        <v>0.11198884758364312</v>
      </c>
      <c r="X620" s="845">
        <v>0.39834024896265557</v>
      </c>
      <c r="Y620" s="845">
        <v>0.71489708579580191</v>
      </c>
      <c r="Z620" s="845">
        <v>0.19665783574485429</v>
      </c>
      <c r="AA620" s="845">
        <v>1.0189525168127166E-3</v>
      </c>
      <c r="AB620" s="845">
        <v>1.0189525168127165E-2</v>
      </c>
      <c r="AC620" s="845">
        <v>0</v>
      </c>
      <c r="AD620" s="845">
        <v>1.1616058691664969E-2</v>
      </c>
      <c r="AE620" s="845">
        <v>6.5620542082738945E-2</v>
      </c>
      <c r="AF620" s="845">
        <v>2.0582840839616874E-2</v>
      </c>
      <c r="AG620" s="845">
        <v>0.6992052170368861</v>
      </c>
      <c r="AH620" s="20" t="str">
        <f t="shared" si="60"/>
        <v>No</v>
      </c>
      <c r="AI620" s="25"/>
      <c r="AJ620" s="37">
        <v>43761</v>
      </c>
      <c r="AK620" s="37" t="s">
        <v>1055</v>
      </c>
      <c r="AL620" s="37">
        <v>39127</v>
      </c>
      <c r="AM620" s="37" t="s">
        <v>69</v>
      </c>
      <c r="AN620" s="37">
        <f t="shared" si="61"/>
        <v>18140</v>
      </c>
      <c r="AO620" s="37" t="str">
        <f t="shared" si="62"/>
        <v>Columbus, OH</v>
      </c>
      <c r="AP620" s="37" t="s">
        <v>8</v>
      </c>
      <c r="AQ620" s="25"/>
      <c r="AR620" s="25"/>
      <c r="AS620" s="25"/>
      <c r="AT620" s="25"/>
      <c r="AU620" s="36"/>
      <c r="AV620" s="36"/>
      <c r="AW620" s="36"/>
      <c r="AX620" s="25"/>
      <c r="AY620" s="25"/>
      <c r="AZ620" s="25"/>
      <c r="BA620" s="25"/>
      <c r="BB620" s="25"/>
      <c r="BC620" s="25"/>
      <c r="BD620" s="25"/>
      <c r="BE620" s="25"/>
      <c r="BF620" s="25"/>
      <c r="BG620" s="25"/>
      <c r="BH620" s="25"/>
      <c r="BI620" s="25"/>
      <c r="BJ620" s="25"/>
      <c r="BK620" s="25"/>
      <c r="BL620" s="25"/>
      <c r="BM620" s="25"/>
      <c r="BN620" s="25"/>
      <c r="BO620" s="25"/>
      <c r="BP620" s="25"/>
      <c r="BQ620" s="25"/>
      <c r="BR620" s="25"/>
      <c r="BS620" s="25"/>
      <c r="BT620" s="25"/>
      <c r="BU620" s="39">
        <v>43128</v>
      </c>
      <c r="BV620" s="39" t="s">
        <v>809</v>
      </c>
      <c r="BW620" s="39" t="s">
        <v>2874</v>
      </c>
      <c r="BX620" s="39" t="s">
        <v>2853</v>
      </c>
      <c r="BY620" s="71">
        <v>740</v>
      </c>
      <c r="BZ620" s="71">
        <v>830</v>
      </c>
      <c r="CA620" s="71">
        <v>980</v>
      </c>
      <c r="CB620" s="71">
        <v>1260</v>
      </c>
      <c r="CC620" s="71">
        <v>1400</v>
      </c>
      <c r="CD620" s="25"/>
      <c r="CE620" s="200"/>
      <c r="CF620" s="200"/>
      <c r="CG620" s="200"/>
      <c r="CH620" s="200"/>
      <c r="CI620" s="200"/>
      <c r="CJ620" s="200"/>
      <c r="CK620" s="200"/>
      <c r="CL620" s="200"/>
      <c r="CM620" s="200"/>
      <c r="CN620" s="200"/>
      <c r="CO620" s="200"/>
      <c r="CP620" s="200"/>
      <c r="CQ620" s="200"/>
      <c r="CR620" s="200"/>
      <c r="CS620" s="200"/>
      <c r="CT620" s="200"/>
      <c r="CU620" s="200"/>
    </row>
    <row r="621" spans="1:99" s="17" customFormat="1" x14ac:dyDescent="0.2">
      <c r="A621" s="25"/>
      <c r="B621" s="20">
        <v>39013010901</v>
      </c>
      <c r="C621" s="20">
        <v>109.01</v>
      </c>
      <c r="D621" s="20" t="s">
        <v>13</v>
      </c>
      <c r="E621" s="20" t="s">
        <v>2841</v>
      </c>
      <c r="F621" s="20" t="s">
        <v>8</v>
      </c>
      <c r="G621" s="861">
        <v>61.634208076914703</v>
      </c>
      <c r="H621" s="861">
        <v>63.056406400421601</v>
      </c>
      <c r="I621" s="861">
        <v>21.345835380941899</v>
      </c>
      <c r="J621" s="861">
        <v>75.534620506073793</v>
      </c>
      <c r="K621" s="982">
        <v>0</v>
      </c>
      <c r="L621" s="735" t="s">
        <v>2466</v>
      </c>
      <c r="M621" s="735">
        <v>1676</v>
      </c>
      <c r="N621" s="845" t="str">
        <f t="shared" si="58"/>
        <v/>
      </c>
      <c r="O621" s="735">
        <v>39.339611871808941</v>
      </c>
      <c r="P621" s="735">
        <f t="shared" si="59"/>
        <v>42.603368977339457</v>
      </c>
      <c r="Q621" s="849">
        <v>48.2</v>
      </c>
      <c r="R621" s="71">
        <v>114063</v>
      </c>
      <c r="S621" s="845">
        <v>0.1649746192893401</v>
      </c>
      <c r="T621" s="845">
        <v>6.9999999999999993E-3</v>
      </c>
      <c r="U621" s="845">
        <v>0</v>
      </c>
      <c r="V621" s="845">
        <v>0</v>
      </c>
      <c r="W621" s="845">
        <v>7.4782608695652175E-2</v>
      </c>
      <c r="X621" s="845">
        <v>0.39534883720930231</v>
      </c>
      <c r="Y621" s="845">
        <v>0.97792362768496421</v>
      </c>
      <c r="Z621" s="845">
        <v>1.5513126491646777E-2</v>
      </c>
      <c r="AA621" s="845">
        <v>0</v>
      </c>
      <c r="AB621" s="845">
        <v>0</v>
      </c>
      <c r="AC621" s="845">
        <v>0</v>
      </c>
      <c r="AD621" s="845">
        <v>0</v>
      </c>
      <c r="AE621" s="845">
        <v>6.5632458233890216E-3</v>
      </c>
      <c r="AF621" s="845">
        <v>1.0143198090692125E-2</v>
      </c>
      <c r="AG621" s="845">
        <v>0.97434367541766109</v>
      </c>
      <c r="AH621" s="20" t="str">
        <f t="shared" si="60"/>
        <v>Yes</v>
      </c>
      <c r="AI621" s="25"/>
      <c r="AJ621" s="37">
        <v>43764</v>
      </c>
      <c r="AK621" s="37" t="s">
        <v>1057</v>
      </c>
      <c r="AL621" s="37">
        <v>39127</v>
      </c>
      <c r="AM621" s="37" t="s">
        <v>69</v>
      </c>
      <c r="AN621" s="37">
        <f t="shared" si="61"/>
        <v>18140</v>
      </c>
      <c r="AO621" s="37" t="str">
        <f t="shared" si="62"/>
        <v>Columbus, OH</v>
      </c>
      <c r="AP621" s="37" t="s">
        <v>8</v>
      </c>
      <c r="AQ621" s="25"/>
      <c r="AR621" s="25"/>
      <c r="AS621" s="25"/>
      <c r="AT621" s="25"/>
      <c r="AU621" s="36"/>
      <c r="AV621" s="36"/>
      <c r="AW621" s="36"/>
      <c r="AX621" s="25"/>
      <c r="AY621" s="25"/>
      <c r="AZ621" s="25"/>
      <c r="BA621" s="25"/>
      <c r="BB621" s="25"/>
      <c r="BC621" s="25"/>
      <c r="BD621" s="25"/>
      <c r="BE621" s="25"/>
      <c r="BF621" s="25"/>
      <c r="BG621" s="25"/>
      <c r="BH621" s="25"/>
      <c r="BI621" s="25"/>
      <c r="BJ621" s="25"/>
      <c r="BK621" s="25"/>
      <c r="BL621" s="25"/>
      <c r="BM621" s="25"/>
      <c r="BN621" s="25"/>
      <c r="BO621" s="25"/>
      <c r="BP621" s="25"/>
      <c r="BQ621" s="25"/>
      <c r="BR621" s="25"/>
      <c r="BS621" s="25"/>
      <c r="BT621" s="25"/>
      <c r="BU621" s="39">
        <v>45169</v>
      </c>
      <c r="BV621" s="39" t="s">
        <v>1603</v>
      </c>
      <c r="BW621" s="39" t="s">
        <v>2874</v>
      </c>
      <c r="BX621" s="39" t="s">
        <v>2853</v>
      </c>
      <c r="BY621" s="71">
        <v>740</v>
      </c>
      <c r="BZ621" s="71">
        <v>790</v>
      </c>
      <c r="CA621" s="71">
        <v>970</v>
      </c>
      <c r="CB621" s="71">
        <v>1270</v>
      </c>
      <c r="CC621" s="71">
        <v>1590</v>
      </c>
      <c r="CD621" s="25"/>
      <c r="CE621" s="200"/>
      <c r="CF621" s="200"/>
      <c r="CG621" s="200"/>
      <c r="CH621" s="200"/>
      <c r="CI621" s="200"/>
      <c r="CJ621" s="200"/>
      <c r="CK621" s="200"/>
      <c r="CL621" s="200"/>
      <c r="CM621" s="200"/>
      <c r="CN621" s="200"/>
      <c r="CO621" s="200"/>
      <c r="CP621" s="200"/>
      <c r="CQ621" s="200"/>
      <c r="CR621" s="200"/>
      <c r="CS621" s="200"/>
      <c r="CT621" s="200"/>
      <c r="CU621" s="200"/>
    </row>
    <row r="622" spans="1:99" s="17" customFormat="1" x14ac:dyDescent="0.2">
      <c r="A622" s="25"/>
      <c r="B622" s="20">
        <v>39045032100</v>
      </c>
      <c r="C622" s="20">
        <v>321</v>
      </c>
      <c r="D622" s="20" t="s">
        <v>29</v>
      </c>
      <c r="E622" s="20" t="s">
        <v>2830</v>
      </c>
      <c r="F622" s="20" t="s">
        <v>8</v>
      </c>
      <c r="G622" s="861">
        <v>61.594858939062703</v>
      </c>
      <c r="H622" s="861">
        <v>61.293126282868698</v>
      </c>
      <c r="I622" s="861">
        <v>34.529066425164999</v>
      </c>
      <c r="J622" s="861">
        <v>54.145674333409701</v>
      </c>
      <c r="K622" s="982">
        <v>0</v>
      </c>
      <c r="L622" s="735">
        <v>3629</v>
      </c>
      <c r="M622" s="735">
        <v>2856</v>
      </c>
      <c r="N622" s="845">
        <f t="shared" si="58"/>
        <v>-0.21300633783411407</v>
      </c>
      <c r="O622" s="735">
        <v>0.47321568592065855</v>
      </c>
      <c r="P622" s="735">
        <f t="shared" si="59"/>
        <v>6035.3028966982502</v>
      </c>
      <c r="Q622" s="849">
        <v>41.9</v>
      </c>
      <c r="R622" s="71">
        <v>64777</v>
      </c>
      <c r="S622" s="845">
        <v>8.0882352941176475E-2</v>
      </c>
      <c r="T622" s="845">
        <v>3.3000000000000002E-2</v>
      </c>
      <c r="U622" s="845">
        <v>0</v>
      </c>
      <c r="V622" s="845">
        <v>9.9000000000000005E-2</v>
      </c>
      <c r="W622" s="845">
        <v>0.26908541194255481</v>
      </c>
      <c r="X622" s="845">
        <v>0.6095505617977528</v>
      </c>
      <c r="Y622" s="845">
        <v>0.96253501400560226</v>
      </c>
      <c r="Z622" s="845">
        <v>3.8515406162464988E-3</v>
      </c>
      <c r="AA622" s="845">
        <v>0</v>
      </c>
      <c r="AB622" s="845">
        <v>2.1008403361344537E-3</v>
      </c>
      <c r="AC622" s="845">
        <v>0</v>
      </c>
      <c r="AD622" s="845">
        <v>3.1512605042016808E-3</v>
      </c>
      <c r="AE622" s="845">
        <v>2.8361344537815126E-2</v>
      </c>
      <c r="AF622" s="845">
        <v>6.6526610644257701E-3</v>
      </c>
      <c r="AG622" s="845">
        <v>0.96253501400560226</v>
      </c>
      <c r="AH622" s="20" t="str">
        <f t="shared" si="60"/>
        <v>Yes</v>
      </c>
      <c r="AI622" s="25"/>
      <c r="AJ622" s="37">
        <v>43766</v>
      </c>
      <c r="AK622" s="37" t="s">
        <v>1058</v>
      </c>
      <c r="AL622" s="37">
        <v>39127</v>
      </c>
      <c r="AM622" s="37" t="s">
        <v>69</v>
      </c>
      <c r="AN622" s="37">
        <f t="shared" si="61"/>
        <v>18140</v>
      </c>
      <c r="AO622" s="37" t="str">
        <f t="shared" si="62"/>
        <v>Columbus, OH</v>
      </c>
      <c r="AP622" s="37" t="s">
        <v>8</v>
      </c>
      <c r="AQ622" s="25"/>
      <c r="AR622" s="25"/>
      <c r="AS622" s="25"/>
      <c r="AT622" s="25"/>
      <c r="AU622" s="36"/>
      <c r="AV622" s="36"/>
      <c r="AW622" s="36"/>
      <c r="AX622" s="25"/>
      <c r="AY622" s="25"/>
      <c r="AZ622" s="25"/>
      <c r="BA622" s="25"/>
      <c r="BB622" s="25"/>
      <c r="BC622" s="25"/>
      <c r="BD622" s="25"/>
      <c r="BE622" s="25"/>
      <c r="BF622" s="25"/>
      <c r="BG622" s="25"/>
      <c r="BH622" s="25"/>
      <c r="BI622" s="25"/>
      <c r="BJ622" s="25"/>
      <c r="BK622" s="25"/>
      <c r="BL622" s="25"/>
      <c r="BM622" s="25"/>
      <c r="BN622" s="25"/>
      <c r="BO622" s="25"/>
      <c r="BP622" s="25"/>
      <c r="BQ622" s="25"/>
      <c r="BR622" s="25"/>
      <c r="BS622" s="25"/>
      <c r="BT622" s="25"/>
      <c r="BU622" s="39">
        <v>45301</v>
      </c>
      <c r="BV622" s="39" t="s">
        <v>1655</v>
      </c>
      <c r="BW622" s="39" t="s">
        <v>2874</v>
      </c>
      <c r="BX622" s="39" t="s">
        <v>2853</v>
      </c>
      <c r="BY622" s="71">
        <v>1230</v>
      </c>
      <c r="BZ622" s="71">
        <v>1330</v>
      </c>
      <c r="CA622" s="71">
        <v>1680</v>
      </c>
      <c r="CB622" s="71">
        <v>2180</v>
      </c>
      <c r="CC622" s="71">
        <v>2390</v>
      </c>
      <c r="CD622" s="25"/>
      <c r="CE622" s="200"/>
      <c r="CF622" s="200"/>
      <c r="CG622" s="200"/>
      <c r="CH622" s="200"/>
      <c r="CI622" s="200"/>
      <c r="CJ622" s="200"/>
      <c r="CK622" s="200"/>
      <c r="CL622" s="200"/>
      <c r="CM622" s="200"/>
      <c r="CN622" s="200"/>
      <c r="CO622" s="200"/>
      <c r="CP622" s="200"/>
      <c r="CQ622" s="200"/>
      <c r="CR622" s="200"/>
      <c r="CS622" s="200"/>
      <c r="CT622" s="200"/>
      <c r="CU622" s="200"/>
    </row>
    <row r="623" spans="1:99" s="17" customFormat="1" x14ac:dyDescent="0.2">
      <c r="A623" s="25"/>
      <c r="B623" s="20">
        <v>39095007002</v>
      </c>
      <c r="C623" s="20">
        <v>70.02</v>
      </c>
      <c r="D623" s="20" t="s">
        <v>53</v>
      </c>
      <c r="E623" s="20" t="s">
        <v>2839</v>
      </c>
      <c r="F623" s="20" t="s">
        <v>8</v>
      </c>
      <c r="G623" s="861">
        <v>61.589944931517202</v>
      </c>
      <c r="H623" s="861">
        <v>65.538193940496299</v>
      </c>
      <c r="I623" s="861">
        <v>21.768600596551401</v>
      </c>
      <c r="J623" s="861">
        <v>43.600979896445502</v>
      </c>
      <c r="K623" s="982">
        <v>0</v>
      </c>
      <c r="L623" s="735">
        <v>1986</v>
      </c>
      <c r="M623" s="735">
        <v>2029</v>
      </c>
      <c r="N623" s="845">
        <f t="shared" si="58"/>
        <v>2.1651560926485399E-2</v>
      </c>
      <c r="O623" s="735">
        <v>1.1157939254014568</v>
      </c>
      <c r="P623" s="735">
        <f t="shared" si="59"/>
        <v>1818.4361411270243</v>
      </c>
      <c r="Q623" s="849">
        <v>36.4</v>
      </c>
      <c r="R623" s="71">
        <v>89815</v>
      </c>
      <c r="S623" s="845">
        <v>3.3646709549727857E-2</v>
      </c>
      <c r="T623" s="845">
        <v>1.3999999999999999E-2</v>
      </c>
      <c r="U623" s="845">
        <v>0</v>
      </c>
      <c r="V623" s="845">
        <v>0</v>
      </c>
      <c r="W623" s="845">
        <v>0.18550368550368551</v>
      </c>
      <c r="X623" s="845">
        <v>0.29139072847682118</v>
      </c>
      <c r="Y623" s="845">
        <v>0.92853622474125186</v>
      </c>
      <c r="Z623" s="845">
        <v>6.8999507146377528E-3</v>
      </c>
      <c r="AA623" s="845">
        <v>0</v>
      </c>
      <c r="AB623" s="845">
        <v>0</v>
      </c>
      <c r="AC623" s="845">
        <v>0</v>
      </c>
      <c r="AD623" s="845">
        <v>1.429275505174963E-2</v>
      </c>
      <c r="AE623" s="845">
        <v>5.0271069492360772E-2</v>
      </c>
      <c r="AF623" s="845">
        <v>6.6042385411532775E-2</v>
      </c>
      <c r="AG623" s="845">
        <v>0.91177920157713155</v>
      </c>
      <c r="AH623" s="20" t="str">
        <f t="shared" si="60"/>
        <v>Yes</v>
      </c>
      <c r="AI623" s="25"/>
      <c r="AJ623" s="37">
        <v>43777</v>
      </c>
      <c r="AK623" s="37" t="s">
        <v>1064</v>
      </c>
      <c r="AL623" s="37">
        <v>39127</v>
      </c>
      <c r="AM623" s="37" t="s">
        <v>69</v>
      </c>
      <c r="AN623" s="37">
        <f t="shared" si="61"/>
        <v>18140</v>
      </c>
      <c r="AO623" s="37" t="str">
        <f t="shared" si="62"/>
        <v>Columbus, OH</v>
      </c>
      <c r="AP623" s="37" t="s">
        <v>8</v>
      </c>
      <c r="AQ623" s="25"/>
      <c r="AR623" s="25"/>
      <c r="AS623" s="25"/>
      <c r="AT623" s="25"/>
      <c r="AU623" s="36"/>
      <c r="AV623" s="36"/>
      <c r="AW623" s="36"/>
      <c r="AX623" s="25"/>
      <c r="AY623" s="25"/>
      <c r="AZ623" s="25"/>
      <c r="BA623" s="25"/>
      <c r="BB623" s="25"/>
      <c r="BC623" s="25"/>
      <c r="BD623" s="25"/>
      <c r="BE623" s="25"/>
      <c r="BF623" s="25"/>
      <c r="BG623" s="25"/>
      <c r="BH623" s="25"/>
      <c r="BI623" s="25"/>
      <c r="BJ623" s="25"/>
      <c r="BK623" s="25"/>
      <c r="BL623" s="25"/>
      <c r="BM623" s="25"/>
      <c r="BN623" s="25"/>
      <c r="BO623" s="25"/>
      <c r="BP623" s="25"/>
      <c r="BQ623" s="25"/>
      <c r="BR623" s="25"/>
      <c r="BS623" s="25"/>
      <c r="BT623" s="25"/>
      <c r="BU623" s="39">
        <v>45304</v>
      </c>
      <c r="BV623" s="39" t="s">
        <v>1658</v>
      </c>
      <c r="BW623" s="39" t="s">
        <v>2874</v>
      </c>
      <c r="BX623" s="39" t="s">
        <v>2853</v>
      </c>
      <c r="BY623" s="71">
        <v>850</v>
      </c>
      <c r="BZ623" s="71">
        <v>860</v>
      </c>
      <c r="CA623" s="71">
        <v>1040</v>
      </c>
      <c r="CB623" s="71">
        <v>1380</v>
      </c>
      <c r="CC623" s="71">
        <v>1390</v>
      </c>
      <c r="CD623" s="25"/>
      <c r="CE623" s="200"/>
      <c r="CF623" s="200"/>
      <c r="CG623" s="200"/>
      <c r="CH623" s="200"/>
      <c r="CI623" s="200"/>
      <c r="CJ623" s="200"/>
      <c r="CK623" s="200"/>
      <c r="CL623" s="200"/>
      <c r="CM623" s="200"/>
      <c r="CN623" s="200"/>
      <c r="CO623" s="200"/>
      <c r="CP623" s="200"/>
      <c r="CQ623" s="200"/>
      <c r="CR623" s="200"/>
      <c r="CS623" s="200"/>
      <c r="CT623" s="200"/>
      <c r="CU623" s="200"/>
    </row>
    <row r="624" spans="1:99" s="17" customFormat="1" x14ac:dyDescent="0.2">
      <c r="A624" s="25"/>
      <c r="B624" s="20">
        <v>39017011112</v>
      </c>
      <c r="C624" s="20">
        <v>111.12</v>
      </c>
      <c r="D624" s="20" t="s">
        <v>15</v>
      </c>
      <c r="E624" s="20" t="s">
        <v>2828</v>
      </c>
      <c r="F624" s="20" t="s">
        <v>8</v>
      </c>
      <c r="G624" s="861">
        <v>61.583073743973998</v>
      </c>
      <c r="H624" s="861">
        <v>58.073752278446698</v>
      </c>
      <c r="I624" s="861">
        <v>21.4973035924458</v>
      </c>
      <c r="J624" s="861">
        <v>41.520285517971402</v>
      </c>
      <c r="K624" s="982">
        <v>0</v>
      </c>
      <c r="L624" s="735">
        <v>5427</v>
      </c>
      <c r="M624" s="735">
        <v>6543</v>
      </c>
      <c r="N624" s="845">
        <f t="shared" si="58"/>
        <v>0.20563847429519072</v>
      </c>
      <c r="O624" s="735">
        <v>2.6386592176286094</v>
      </c>
      <c r="P624" s="735">
        <f t="shared" si="59"/>
        <v>2479.6684453554644</v>
      </c>
      <c r="Q624" s="849">
        <v>39.9</v>
      </c>
      <c r="R624" s="71">
        <v>186467</v>
      </c>
      <c r="S624" s="845">
        <v>6.9749458707083198E-2</v>
      </c>
      <c r="T624" s="845">
        <v>5.9000000000000004E-2</v>
      </c>
      <c r="U624" s="845">
        <v>0</v>
      </c>
      <c r="V624" s="845">
        <v>0</v>
      </c>
      <c r="W624" s="845">
        <v>4.4433827042522696E-2</v>
      </c>
      <c r="X624" s="845">
        <v>0.18279569892473119</v>
      </c>
      <c r="Y624" s="845">
        <v>0.74186153140761124</v>
      </c>
      <c r="Z624" s="845">
        <v>0.12242090784044017</v>
      </c>
      <c r="AA624" s="845">
        <v>0</v>
      </c>
      <c r="AB624" s="845">
        <v>8.6963166743084214E-2</v>
      </c>
      <c r="AC624" s="845">
        <v>0</v>
      </c>
      <c r="AD624" s="845">
        <v>0</v>
      </c>
      <c r="AE624" s="845">
        <v>4.8754394008864436E-2</v>
      </c>
      <c r="AF624" s="845">
        <v>6.2662387284120437E-3</v>
      </c>
      <c r="AG624" s="845">
        <v>0.7355952926791991</v>
      </c>
      <c r="AH624" s="20" t="str">
        <f t="shared" si="60"/>
        <v>No</v>
      </c>
      <c r="AI624" s="25"/>
      <c r="AJ624" s="37">
        <v>43782</v>
      </c>
      <c r="AK624" s="37" t="s">
        <v>1068</v>
      </c>
      <c r="AL624" s="37">
        <v>39127</v>
      </c>
      <c r="AM624" s="37" t="s">
        <v>69</v>
      </c>
      <c r="AN624" s="37">
        <f t="shared" si="61"/>
        <v>18140</v>
      </c>
      <c r="AO624" s="37" t="str">
        <f t="shared" si="62"/>
        <v>Columbus, OH</v>
      </c>
      <c r="AP624" s="37" t="s">
        <v>8</v>
      </c>
      <c r="AQ624" s="25"/>
      <c r="AR624" s="25"/>
      <c r="AS624" s="25"/>
      <c r="AT624" s="25"/>
      <c r="AU624" s="36"/>
      <c r="AV624" s="36"/>
      <c r="AW624" s="36"/>
      <c r="AX624" s="25"/>
      <c r="AY624" s="25"/>
      <c r="AZ624" s="25"/>
      <c r="BA624" s="25"/>
      <c r="BB624" s="25"/>
      <c r="BC624" s="25"/>
      <c r="BD624" s="25"/>
      <c r="BE624" s="25"/>
      <c r="BF624" s="25"/>
      <c r="BG624" s="25"/>
      <c r="BH624" s="25"/>
      <c r="BI624" s="25"/>
      <c r="BJ624" s="25"/>
      <c r="BK624" s="25"/>
      <c r="BL624" s="25"/>
      <c r="BM624" s="25"/>
      <c r="BN624" s="25"/>
      <c r="BO624" s="25"/>
      <c r="BP624" s="25"/>
      <c r="BQ624" s="25"/>
      <c r="BR624" s="25"/>
      <c r="BS624" s="25"/>
      <c r="BT624" s="25"/>
      <c r="BU624" s="39">
        <v>45305</v>
      </c>
      <c r="BV624" s="39" t="s">
        <v>1659</v>
      </c>
      <c r="BW624" s="39" t="s">
        <v>2874</v>
      </c>
      <c r="BX624" s="39" t="s">
        <v>2853</v>
      </c>
      <c r="BY624" s="71">
        <v>1090</v>
      </c>
      <c r="BZ624" s="71">
        <v>1190</v>
      </c>
      <c r="CA624" s="71">
        <v>1500</v>
      </c>
      <c r="CB624" s="71">
        <v>1950</v>
      </c>
      <c r="CC624" s="71">
        <v>2140</v>
      </c>
      <c r="CD624" s="25"/>
      <c r="CE624" s="200"/>
      <c r="CF624" s="200"/>
      <c r="CG624" s="200"/>
      <c r="CH624" s="200"/>
      <c r="CI624" s="200"/>
      <c r="CJ624" s="200"/>
      <c r="CK624" s="200"/>
      <c r="CL624" s="200"/>
      <c r="CM624" s="200"/>
      <c r="CN624" s="200"/>
      <c r="CO624" s="200"/>
      <c r="CP624" s="200"/>
      <c r="CQ624" s="200"/>
      <c r="CR624" s="200"/>
      <c r="CS624" s="200"/>
      <c r="CT624" s="200"/>
      <c r="CU624" s="200"/>
    </row>
    <row r="625" spans="1:99" s="17" customFormat="1" x14ac:dyDescent="0.2">
      <c r="A625" s="25"/>
      <c r="B625" s="20">
        <v>39095010001</v>
      </c>
      <c r="C625" s="20">
        <v>100.01</v>
      </c>
      <c r="D625" s="20" t="s">
        <v>53</v>
      </c>
      <c r="E625" s="20" t="s">
        <v>2839</v>
      </c>
      <c r="F625" s="20" t="s">
        <v>8</v>
      </c>
      <c r="G625" s="861">
        <v>61.582483803271401</v>
      </c>
      <c r="H625" s="861">
        <v>55.090850485495203</v>
      </c>
      <c r="I625" s="861">
        <v>27.980444972607799</v>
      </c>
      <c r="J625" s="861">
        <v>59.529816106853197</v>
      </c>
      <c r="K625" s="982">
        <v>0</v>
      </c>
      <c r="L625" s="735">
        <v>4101</v>
      </c>
      <c r="M625" s="735">
        <v>3952</v>
      </c>
      <c r="N625" s="845">
        <f t="shared" si="58"/>
        <v>-3.6332601804437939E-2</v>
      </c>
      <c r="O625" s="735">
        <v>1.0082563660881054</v>
      </c>
      <c r="P625" s="735">
        <f t="shared" si="59"/>
        <v>3919.6380334628689</v>
      </c>
      <c r="Q625" s="849">
        <v>43.6</v>
      </c>
      <c r="R625" s="71">
        <v>76361</v>
      </c>
      <c r="S625" s="845">
        <v>5.6006082108464271E-2</v>
      </c>
      <c r="T625" s="845">
        <v>3.3000000000000002E-2</v>
      </c>
      <c r="U625" s="845">
        <v>0</v>
      </c>
      <c r="V625" s="845">
        <v>0</v>
      </c>
      <c r="W625" s="845">
        <v>0.20011771630370806</v>
      </c>
      <c r="X625" s="845">
        <v>0.32058823529411767</v>
      </c>
      <c r="Y625" s="845">
        <v>0.8712044534412956</v>
      </c>
      <c r="Z625" s="845">
        <v>5.3137651821862347E-3</v>
      </c>
      <c r="AA625" s="845">
        <v>3.5425101214574899E-3</v>
      </c>
      <c r="AB625" s="845">
        <v>0</v>
      </c>
      <c r="AC625" s="845">
        <v>0</v>
      </c>
      <c r="AD625" s="845">
        <v>6.6548582995951414E-2</v>
      </c>
      <c r="AE625" s="845">
        <v>5.3390688259109309E-2</v>
      </c>
      <c r="AF625" s="845">
        <v>0.13841093117408906</v>
      </c>
      <c r="AG625" s="845">
        <v>0.83603238866396756</v>
      </c>
      <c r="AH625" s="20" t="str">
        <f t="shared" si="60"/>
        <v>No</v>
      </c>
      <c r="AI625" s="25"/>
      <c r="AJ625" s="37">
        <v>43783</v>
      </c>
      <c r="AK625" s="37" t="s">
        <v>1069</v>
      </c>
      <c r="AL625" s="37">
        <v>39127</v>
      </c>
      <c r="AM625" s="37" t="s">
        <v>69</v>
      </c>
      <c r="AN625" s="37">
        <f t="shared" si="61"/>
        <v>18140</v>
      </c>
      <c r="AO625" s="37" t="str">
        <f t="shared" si="62"/>
        <v>Columbus, OH</v>
      </c>
      <c r="AP625" s="37" t="s">
        <v>8</v>
      </c>
      <c r="AQ625" s="25"/>
      <c r="AR625" s="25"/>
      <c r="AS625" s="25"/>
      <c r="AT625" s="25"/>
      <c r="AU625" s="36"/>
      <c r="AV625" s="36"/>
      <c r="AW625" s="36"/>
      <c r="AX625" s="25"/>
      <c r="AY625" s="25"/>
      <c r="AZ625" s="25"/>
      <c r="BA625" s="25"/>
      <c r="BB625" s="25"/>
      <c r="BC625" s="25"/>
      <c r="BD625" s="25"/>
      <c r="BE625" s="25"/>
      <c r="BF625" s="25"/>
      <c r="BG625" s="25"/>
      <c r="BH625" s="25"/>
      <c r="BI625" s="25"/>
      <c r="BJ625" s="25"/>
      <c r="BK625" s="25"/>
      <c r="BL625" s="25"/>
      <c r="BM625" s="25"/>
      <c r="BN625" s="25"/>
      <c r="BO625" s="25"/>
      <c r="BP625" s="25"/>
      <c r="BQ625" s="25"/>
      <c r="BR625" s="25"/>
      <c r="BS625" s="25"/>
      <c r="BT625" s="25"/>
      <c r="BU625" s="39">
        <v>45307</v>
      </c>
      <c r="BV625" s="39" t="s">
        <v>1661</v>
      </c>
      <c r="BW625" s="39" t="s">
        <v>2874</v>
      </c>
      <c r="BX625" s="39" t="s">
        <v>2853</v>
      </c>
      <c r="BY625" s="71">
        <v>780</v>
      </c>
      <c r="BZ625" s="71">
        <v>850</v>
      </c>
      <c r="CA625" s="71">
        <v>1070</v>
      </c>
      <c r="CB625" s="71">
        <v>1390</v>
      </c>
      <c r="CC625" s="71">
        <v>1530</v>
      </c>
      <c r="CD625" s="25"/>
      <c r="CE625" s="200"/>
      <c r="CF625" s="200"/>
      <c r="CG625" s="200"/>
      <c r="CH625" s="200"/>
      <c r="CI625" s="200"/>
      <c r="CJ625" s="200"/>
      <c r="CK625" s="200"/>
      <c r="CL625" s="200"/>
      <c r="CM625" s="200"/>
      <c r="CN625" s="200"/>
      <c r="CO625" s="200"/>
      <c r="CP625" s="200"/>
      <c r="CQ625" s="200"/>
      <c r="CR625" s="200"/>
      <c r="CS625" s="200"/>
      <c r="CT625" s="200"/>
      <c r="CU625" s="200"/>
    </row>
    <row r="626" spans="1:99" s="17" customFormat="1" x14ac:dyDescent="0.2">
      <c r="A626" s="25"/>
      <c r="B626" s="20">
        <v>39049009395</v>
      </c>
      <c r="C626" s="20">
        <v>93.95</v>
      </c>
      <c r="D626" s="20" t="s">
        <v>31</v>
      </c>
      <c r="E626" s="20" t="s">
        <v>2830</v>
      </c>
      <c r="F626" s="20" t="s">
        <v>8</v>
      </c>
      <c r="G626" s="861">
        <v>61.581681950840199</v>
      </c>
      <c r="H626" s="861">
        <v>71.685908990633493</v>
      </c>
      <c r="I626" s="861">
        <v>19.784406182795902</v>
      </c>
      <c r="J626" s="861">
        <v>49.039466822920801</v>
      </c>
      <c r="K626" s="982">
        <v>0</v>
      </c>
      <c r="L626" s="735" t="s">
        <v>2466</v>
      </c>
      <c r="M626" s="735">
        <v>4615</v>
      </c>
      <c r="N626" s="845" t="str">
        <f t="shared" si="58"/>
        <v/>
      </c>
      <c r="O626" s="735">
        <v>0.98114813353332353</v>
      </c>
      <c r="P626" s="735">
        <f t="shared" si="59"/>
        <v>4703.6730155928662</v>
      </c>
      <c r="Q626" s="849">
        <v>51.7</v>
      </c>
      <c r="R626" s="71">
        <v>85855</v>
      </c>
      <c r="S626" s="845">
        <v>1.4734561213434453E-2</v>
      </c>
      <c r="T626" s="845">
        <v>9.6999999999999989E-2</v>
      </c>
      <c r="U626" s="845">
        <v>5.7999999999999996E-2</v>
      </c>
      <c r="V626" s="845">
        <v>0</v>
      </c>
      <c r="W626" s="845">
        <v>0.16552667578659372</v>
      </c>
      <c r="X626" s="845">
        <v>0.18457300275482094</v>
      </c>
      <c r="Y626" s="845">
        <v>0.62340195016251354</v>
      </c>
      <c r="Z626" s="845">
        <v>0.29122426868905743</v>
      </c>
      <c r="AA626" s="845">
        <v>0</v>
      </c>
      <c r="AB626" s="845">
        <v>2.1018418201516793E-2</v>
      </c>
      <c r="AC626" s="845">
        <v>0</v>
      </c>
      <c r="AD626" s="845">
        <v>1.7551462621885158E-2</v>
      </c>
      <c r="AE626" s="845">
        <v>4.6803900325027084E-2</v>
      </c>
      <c r="AF626" s="845">
        <v>1.1484290357529793E-2</v>
      </c>
      <c r="AG626" s="845">
        <v>0.62036836403033591</v>
      </c>
      <c r="AH626" s="20" t="str">
        <f t="shared" si="60"/>
        <v>No</v>
      </c>
      <c r="AI626" s="25"/>
      <c r="AJ626" s="37">
        <v>45732</v>
      </c>
      <c r="AK626" s="37" t="s">
        <v>1845</v>
      </c>
      <c r="AL626" s="37">
        <v>39127</v>
      </c>
      <c r="AM626" s="37" t="s">
        <v>69</v>
      </c>
      <c r="AN626" s="37">
        <f t="shared" si="61"/>
        <v>18140</v>
      </c>
      <c r="AO626" s="37" t="str">
        <f t="shared" si="62"/>
        <v>Columbus, OH</v>
      </c>
      <c r="AP626" s="37" t="s">
        <v>8</v>
      </c>
      <c r="AQ626" s="25"/>
      <c r="AR626" s="25"/>
      <c r="AS626" s="25"/>
      <c r="AT626" s="25"/>
      <c r="AU626" s="36"/>
      <c r="AV626" s="36"/>
      <c r="AW626" s="36"/>
      <c r="AX626" s="25"/>
      <c r="AY626" s="25"/>
      <c r="AZ626" s="25"/>
      <c r="BA626" s="25"/>
      <c r="BB626" s="25"/>
      <c r="BC626" s="25"/>
      <c r="BD626" s="25"/>
      <c r="BE626" s="25"/>
      <c r="BF626" s="25"/>
      <c r="BG626" s="25"/>
      <c r="BH626" s="25"/>
      <c r="BI626" s="25"/>
      <c r="BJ626" s="25"/>
      <c r="BK626" s="25"/>
      <c r="BL626" s="25"/>
      <c r="BM626" s="25"/>
      <c r="BN626" s="25"/>
      <c r="BO626" s="25"/>
      <c r="BP626" s="25"/>
      <c r="BQ626" s="25"/>
      <c r="BR626" s="25"/>
      <c r="BS626" s="25"/>
      <c r="BT626" s="25"/>
      <c r="BU626" s="39">
        <v>45308</v>
      </c>
      <c r="BV626" s="39" t="s">
        <v>1662</v>
      </c>
      <c r="BW626" s="39" t="s">
        <v>2874</v>
      </c>
      <c r="BX626" s="39" t="s">
        <v>2853</v>
      </c>
      <c r="BY626" s="71">
        <v>870</v>
      </c>
      <c r="BZ626" s="71">
        <v>900</v>
      </c>
      <c r="CA626" s="71">
        <v>1110</v>
      </c>
      <c r="CB626" s="71">
        <v>1460</v>
      </c>
      <c r="CC626" s="71">
        <v>1530</v>
      </c>
      <c r="CD626" s="25"/>
      <c r="CE626" s="200"/>
      <c r="CF626" s="200"/>
      <c r="CG626" s="200"/>
      <c r="CH626" s="200"/>
      <c r="CI626" s="200"/>
      <c r="CJ626" s="200"/>
      <c r="CK626" s="200"/>
      <c r="CL626" s="200"/>
      <c r="CM626" s="200"/>
      <c r="CN626" s="200"/>
      <c r="CO626" s="200"/>
      <c r="CP626" s="200"/>
      <c r="CQ626" s="200"/>
      <c r="CR626" s="200"/>
      <c r="CS626" s="200"/>
      <c r="CT626" s="200"/>
      <c r="CU626" s="200"/>
    </row>
    <row r="627" spans="1:99" s="17" customFormat="1" x14ac:dyDescent="0.2">
      <c r="A627" s="25"/>
      <c r="B627" s="20">
        <v>39031961700</v>
      </c>
      <c r="C627" s="20">
        <v>9617</v>
      </c>
      <c r="D627" s="20" t="s">
        <v>22</v>
      </c>
      <c r="E627" s="20" t="s">
        <v>265</v>
      </c>
      <c r="F627" s="20" t="s">
        <v>8</v>
      </c>
      <c r="G627" s="861">
        <v>61.576235611845199</v>
      </c>
      <c r="H627" s="861">
        <v>53.534003864583298</v>
      </c>
      <c r="I627" s="861">
        <v>28.214320009355699</v>
      </c>
      <c r="J627" s="861">
        <v>44.421406957882297</v>
      </c>
      <c r="K627" s="982">
        <v>0</v>
      </c>
      <c r="L627" s="735">
        <v>2798</v>
      </c>
      <c r="M627" s="735">
        <v>2799</v>
      </c>
      <c r="N627" s="845">
        <f t="shared" si="58"/>
        <v>3.5739814152966406E-4</v>
      </c>
      <c r="O627" s="735">
        <v>7.1649873327024656</v>
      </c>
      <c r="P627" s="735">
        <f t="shared" si="59"/>
        <v>390.64967878237445</v>
      </c>
      <c r="Q627" s="849">
        <v>50.1</v>
      </c>
      <c r="R627" s="71">
        <v>64583</v>
      </c>
      <c r="S627" s="845">
        <v>0.17413294797687862</v>
      </c>
      <c r="T627" s="845">
        <v>5.0000000000000001E-3</v>
      </c>
      <c r="U627" s="845">
        <v>4.4000000000000004E-2</v>
      </c>
      <c r="V627" s="845">
        <v>5.2000000000000005E-2</v>
      </c>
      <c r="W627" s="845">
        <v>0.29853181076672103</v>
      </c>
      <c r="X627" s="845">
        <v>0.4453551912568306</v>
      </c>
      <c r="Y627" s="845">
        <v>0.98713826366559487</v>
      </c>
      <c r="Z627" s="845">
        <v>9.2890317970703816E-3</v>
      </c>
      <c r="AA627" s="845">
        <v>0</v>
      </c>
      <c r="AB627" s="845">
        <v>0</v>
      </c>
      <c r="AC627" s="845">
        <v>0</v>
      </c>
      <c r="AD627" s="845">
        <v>0</v>
      </c>
      <c r="AE627" s="845">
        <v>3.5727045373347625E-3</v>
      </c>
      <c r="AF627" s="845">
        <v>1.7863522686673813E-3</v>
      </c>
      <c r="AG627" s="845">
        <v>0.98535191139692746</v>
      </c>
      <c r="AH627" s="20" t="str">
        <f t="shared" si="60"/>
        <v>Yes</v>
      </c>
      <c r="AI627" s="25"/>
      <c r="AJ627" s="37">
        <v>43102</v>
      </c>
      <c r="AK627" s="37" t="s">
        <v>791</v>
      </c>
      <c r="AL627" s="37">
        <v>39129</v>
      </c>
      <c r="AM627" s="37" t="s">
        <v>70</v>
      </c>
      <c r="AN627" s="37">
        <f t="shared" si="61"/>
        <v>18140</v>
      </c>
      <c r="AO627" s="37" t="str">
        <f t="shared" si="62"/>
        <v>Columbus, OH</v>
      </c>
      <c r="AP627" s="37" t="s">
        <v>8</v>
      </c>
      <c r="AQ627" s="25"/>
      <c r="AR627" s="25"/>
      <c r="AS627" s="25"/>
      <c r="AT627" s="25"/>
      <c r="AU627" s="36"/>
      <c r="AV627" s="36"/>
      <c r="AW627" s="36"/>
      <c r="AX627" s="25"/>
      <c r="AY627" s="25"/>
      <c r="AZ627" s="25"/>
      <c r="BA627" s="25"/>
      <c r="BB627" s="25"/>
      <c r="BC627" s="25"/>
      <c r="BD627" s="25"/>
      <c r="BE627" s="25"/>
      <c r="BF627" s="25"/>
      <c r="BG627" s="25"/>
      <c r="BH627" s="25"/>
      <c r="BI627" s="25"/>
      <c r="BJ627" s="25"/>
      <c r="BK627" s="25"/>
      <c r="BL627" s="25"/>
      <c r="BM627" s="25"/>
      <c r="BN627" s="25"/>
      <c r="BO627" s="25"/>
      <c r="BP627" s="25"/>
      <c r="BQ627" s="25"/>
      <c r="BR627" s="25"/>
      <c r="BS627" s="25"/>
      <c r="BT627" s="25"/>
      <c r="BU627" s="39">
        <v>45309</v>
      </c>
      <c r="BV627" s="39" t="s">
        <v>1663</v>
      </c>
      <c r="BW627" s="39" t="s">
        <v>2874</v>
      </c>
      <c r="BX627" s="39" t="s">
        <v>2853</v>
      </c>
      <c r="BY627" s="71">
        <v>900</v>
      </c>
      <c r="BZ627" s="71">
        <v>970</v>
      </c>
      <c r="CA627" s="71">
        <v>1230</v>
      </c>
      <c r="CB627" s="71">
        <v>1590</v>
      </c>
      <c r="CC627" s="71">
        <v>1750</v>
      </c>
      <c r="CD627" s="25"/>
      <c r="CE627" s="200"/>
      <c r="CF627" s="200"/>
      <c r="CG627" s="200"/>
      <c r="CH627" s="200"/>
      <c r="CI627" s="200"/>
      <c r="CJ627" s="200"/>
      <c r="CK627" s="200"/>
      <c r="CL627" s="200"/>
      <c r="CM627" s="200"/>
      <c r="CN627" s="200"/>
      <c r="CO627" s="200"/>
      <c r="CP627" s="200"/>
      <c r="CQ627" s="200"/>
      <c r="CR627" s="200"/>
      <c r="CS627" s="200"/>
      <c r="CT627" s="200"/>
      <c r="CU627" s="200"/>
    </row>
    <row r="628" spans="1:99" s="17" customFormat="1" x14ac:dyDescent="0.2">
      <c r="A628" s="25"/>
      <c r="B628" s="20">
        <v>39043040400</v>
      </c>
      <c r="C628" s="20">
        <v>404</v>
      </c>
      <c r="D628" s="20" t="s">
        <v>28</v>
      </c>
      <c r="E628" s="20" t="s">
        <v>2837</v>
      </c>
      <c r="F628" s="20" t="s">
        <v>8</v>
      </c>
      <c r="G628" s="861">
        <v>61.530418663178402</v>
      </c>
      <c r="H628" s="861">
        <v>52.870334374807101</v>
      </c>
      <c r="I628" s="861">
        <v>35.958046263659298</v>
      </c>
      <c r="J628" s="861">
        <v>33.6710441393382</v>
      </c>
      <c r="K628" s="982">
        <v>0</v>
      </c>
      <c r="L628" s="735">
        <v>5359</v>
      </c>
      <c r="M628" s="735">
        <v>6044</v>
      </c>
      <c r="N628" s="845">
        <f t="shared" si="58"/>
        <v>0.12782235491696212</v>
      </c>
      <c r="O628" s="735">
        <v>19.3785310466155</v>
      </c>
      <c r="P628" s="735">
        <f t="shared" si="59"/>
        <v>311.89154562133837</v>
      </c>
      <c r="Q628" s="849">
        <v>58.5</v>
      </c>
      <c r="R628" s="71">
        <v>85380</v>
      </c>
      <c r="S628" s="845">
        <v>7.7247427896778548E-2</v>
      </c>
      <c r="T628" s="845">
        <v>2.5000000000000001E-2</v>
      </c>
      <c r="U628" s="845">
        <v>0</v>
      </c>
      <c r="V628" s="845">
        <v>0.214</v>
      </c>
      <c r="W628" s="845">
        <v>0.11771217712177122</v>
      </c>
      <c r="X628" s="845">
        <v>0.47648902821316613</v>
      </c>
      <c r="Y628" s="845">
        <v>0.96690933156849768</v>
      </c>
      <c r="Z628" s="845">
        <v>3.9708802117802778E-3</v>
      </c>
      <c r="AA628" s="845">
        <v>0</v>
      </c>
      <c r="AB628" s="845">
        <v>1.3236267372600927E-2</v>
      </c>
      <c r="AC628" s="845">
        <v>0</v>
      </c>
      <c r="AD628" s="845">
        <v>8.438120450033091E-3</v>
      </c>
      <c r="AE628" s="845">
        <v>7.4454003970880209E-3</v>
      </c>
      <c r="AF628" s="845">
        <v>9.9272005294506957E-3</v>
      </c>
      <c r="AG628" s="845">
        <v>0.96542025148908006</v>
      </c>
      <c r="AH628" s="20" t="str">
        <f t="shared" si="60"/>
        <v>Yes</v>
      </c>
      <c r="AI628" s="25"/>
      <c r="AJ628" s="37">
        <v>43103</v>
      </c>
      <c r="AK628" s="37" t="s">
        <v>792</v>
      </c>
      <c r="AL628" s="37">
        <v>39129</v>
      </c>
      <c r="AM628" s="37" t="s">
        <v>70</v>
      </c>
      <c r="AN628" s="37">
        <f t="shared" si="61"/>
        <v>18140</v>
      </c>
      <c r="AO628" s="37" t="str">
        <f t="shared" si="62"/>
        <v>Columbus, OH</v>
      </c>
      <c r="AP628" s="37" t="s">
        <v>8</v>
      </c>
      <c r="AQ628" s="25"/>
      <c r="AR628" s="25"/>
      <c r="AS628" s="25"/>
      <c r="AT628" s="25"/>
      <c r="AU628" s="36"/>
      <c r="AV628" s="36"/>
      <c r="AW628" s="36"/>
      <c r="AX628" s="25"/>
      <c r="AY628" s="25"/>
      <c r="AZ628" s="25"/>
      <c r="BA628" s="25"/>
      <c r="BB628" s="25"/>
      <c r="BC628" s="25"/>
      <c r="BD628" s="25"/>
      <c r="BE628" s="25"/>
      <c r="BF628" s="25"/>
      <c r="BG628" s="25"/>
      <c r="BH628" s="25"/>
      <c r="BI628" s="25"/>
      <c r="BJ628" s="25"/>
      <c r="BK628" s="25"/>
      <c r="BL628" s="25"/>
      <c r="BM628" s="25"/>
      <c r="BN628" s="25"/>
      <c r="BO628" s="25"/>
      <c r="BP628" s="25"/>
      <c r="BQ628" s="25"/>
      <c r="BR628" s="25"/>
      <c r="BS628" s="25"/>
      <c r="BT628" s="25"/>
      <c r="BU628" s="39">
        <v>45312</v>
      </c>
      <c r="BV628" s="39" t="s">
        <v>1666</v>
      </c>
      <c r="BW628" s="39" t="s">
        <v>2874</v>
      </c>
      <c r="BX628" s="39" t="s">
        <v>2853</v>
      </c>
      <c r="BY628" s="71">
        <v>960</v>
      </c>
      <c r="BZ628" s="71">
        <v>1050</v>
      </c>
      <c r="CA628" s="71">
        <v>1320</v>
      </c>
      <c r="CB628" s="71">
        <v>1710</v>
      </c>
      <c r="CC628" s="71">
        <v>1880</v>
      </c>
      <c r="CD628" s="25"/>
      <c r="CE628" s="200"/>
      <c r="CF628" s="200"/>
      <c r="CG628" s="200"/>
      <c r="CH628" s="200"/>
      <c r="CI628" s="200"/>
      <c r="CJ628" s="200"/>
      <c r="CK628" s="200"/>
      <c r="CL628" s="200"/>
      <c r="CM628" s="200"/>
      <c r="CN628" s="200"/>
      <c r="CO628" s="200"/>
      <c r="CP628" s="200"/>
      <c r="CQ628" s="200"/>
      <c r="CR628" s="200"/>
      <c r="CS628" s="200"/>
      <c r="CT628" s="200"/>
      <c r="CU628" s="200"/>
    </row>
    <row r="629" spans="1:99" s="17" customFormat="1" x14ac:dyDescent="0.2">
      <c r="A629" s="25"/>
      <c r="B629" s="20">
        <v>39035178205</v>
      </c>
      <c r="C629" s="20">
        <v>1782.05</v>
      </c>
      <c r="D629" s="20" t="s">
        <v>24</v>
      </c>
      <c r="E629" s="20" t="s">
        <v>2829</v>
      </c>
      <c r="F629" s="20" t="s">
        <v>8</v>
      </c>
      <c r="G629" s="861">
        <v>61.473806975699503</v>
      </c>
      <c r="H629" s="861">
        <v>69.969471318531106</v>
      </c>
      <c r="I629" s="861">
        <v>33.132270202930101</v>
      </c>
      <c r="J629" s="861">
        <v>42.007614573047903</v>
      </c>
      <c r="K629" s="982">
        <v>0</v>
      </c>
      <c r="L629" s="735">
        <v>2061</v>
      </c>
      <c r="M629" s="735">
        <v>1961</v>
      </c>
      <c r="N629" s="845">
        <f t="shared" si="58"/>
        <v>-4.8520135856380396E-2</v>
      </c>
      <c r="O629" s="735">
        <v>0.44505416667723624</v>
      </c>
      <c r="P629" s="735">
        <f t="shared" si="59"/>
        <v>4406.2052370855872</v>
      </c>
      <c r="Q629" s="849">
        <v>48.3</v>
      </c>
      <c r="R629" s="71">
        <v>79167</v>
      </c>
      <c r="S629" s="845">
        <v>6.132596685082873E-2</v>
      </c>
      <c r="T629" s="845">
        <v>3.1E-2</v>
      </c>
      <c r="U629" s="845">
        <v>0</v>
      </c>
      <c r="V629" s="845">
        <v>0</v>
      </c>
      <c r="W629" s="845">
        <v>8.5507246376811591E-2</v>
      </c>
      <c r="X629" s="845">
        <v>0.23728813559322035</v>
      </c>
      <c r="Y629" s="845">
        <v>0.81693013768485467</v>
      </c>
      <c r="Z629" s="845">
        <v>4.5894951555328911E-2</v>
      </c>
      <c r="AA629" s="845">
        <v>0</v>
      </c>
      <c r="AB629" s="845">
        <v>2.9576746557878633E-2</v>
      </c>
      <c r="AC629" s="845">
        <v>8.6690464048954623E-3</v>
      </c>
      <c r="AD629" s="845">
        <v>6.1193268740438551E-3</v>
      </c>
      <c r="AE629" s="845">
        <v>9.2809790922998472E-2</v>
      </c>
      <c r="AF629" s="845">
        <v>6.5782763895971444E-2</v>
      </c>
      <c r="AG629" s="845">
        <v>0.79908210096889343</v>
      </c>
      <c r="AH629" s="20" t="str">
        <f t="shared" si="60"/>
        <v>No</v>
      </c>
      <c r="AI629" s="25"/>
      <c r="AJ629" s="37">
        <v>43110</v>
      </c>
      <c r="AK629" s="37" t="s">
        <v>797</v>
      </c>
      <c r="AL629" s="37">
        <v>39129</v>
      </c>
      <c r="AM629" s="37" t="s">
        <v>70</v>
      </c>
      <c r="AN629" s="37">
        <f t="shared" si="61"/>
        <v>18140</v>
      </c>
      <c r="AO629" s="37" t="str">
        <f t="shared" si="62"/>
        <v>Columbus, OH</v>
      </c>
      <c r="AP629" s="37" t="s">
        <v>8</v>
      </c>
      <c r="AQ629" s="25"/>
      <c r="AR629" s="25"/>
      <c r="AS629" s="25"/>
      <c r="AT629" s="25"/>
      <c r="AU629" s="36"/>
      <c r="AV629" s="36"/>
      <c r="AW629" s="36"/>
      <c r="AX629" s="25"/>
      <c r="AY629" s="25"/>
      <c r="AZ629" s="25"/>
      <c r="BA629" s="25"/>
      <c r="BB629" s="25"/>
      <c r="BC629" s="25"/>
      <c r="BD629" s="25"/>
      <c r="BE629" s="25"/>
      <c r="BF629" s="25"/>
      <c r="BG629" s="25"/>
      <c r="BH629" s="25"/>
      <c r="BI629" s="25"/>
      <c r="BJ629" s="25"/>
      <c r="BK629" s="25"/>
      <c r="BL629" s="25"/>
      <c r="BM629" s="25"/>
      <c r="BN629" s="25"/>
      <c r="BO629" s="25"/>
      <c r="BP629" s="25"/>
      <c r="BQ629" s="25"/>
      <c r="BR629" s="25"/>
      <c r="BS629" s="25"/>
      <c r="BT629" s="25"/>
      <c r="BU629" s="39">
        <v>45314</v>
      </c>
      <c r="BV629" s="39" t="s">
        <v>1667</v>
      </c>
      <c r="BW629" s="39" t="s">
        <v>2874</v>
      </c>
      <c r="BX629" s="39" t="s">
        <v>2853</v>
      </c>
      <c r="BY629" s="71">
        <v>820</v>
      </c>
      <c r="BZ629" s="71">
        <v>900</v>
      </c>
      <c r="CA629" s="71">
        <v>1130</v>
      </c>
      <c r="CB629" s="71">
        <v>1470</v>
      </c>
      <c r="CC629" s="71">
        <v>1610</v>
      </c>
      <c r="CD629" s="25"/>
      <c r="CE629" s="200"/>
      <c r="CF629" s="200"/>
      <c r="CG629" s="200"/>
      <c r="CH629" s="200"/>
      <c r="CI629" s="200"/>
      <c r="CJ629" s="200"/>
      <c r="CK629" s="200"/>
      <c r="CL629" s="200"/>
      <c r="CM629" s="200"/>
      <c r="CN629" s="200"/>
      <c r="CO629" s="200"/>
      <c r="CP629" s="200"/>
      <c r="CQ629" s="200"/>
      <c r="CR629" s="200"/>
      <c r="CS629" s="200"/>
      <c r="CT629" s="200"/>
      <c r="CU629" s="200"/>
    </row>
    <row r="630" spans="1:99" s="17" customFormat="1" x14ac:dyDescent="0.2">
      <c r="A630" s="25"/>
      <c r="B630" s="20">
        <v>39061004200</v>
      </c>
      <c r="C630" s="20">
        <v>42</v>
      </c>
      <c r="D630" s="20" t="s">
        <v>37</v>
      </c>
      <c r="E630" s="20" t="s">
        <v>2828</v>
      </c>
      <c r="F630" s="20" t="s">
        <v>8</v>
      </c>
      <c r="G630" s="861">
        <v>61.4667485263709</v>
      </c>
      <c r="H630" s="861">
        <v>71.379806629594896</v>
      </c>
      <c r="I630" s="861">
        <v>41.786700695902901</v>
      </c>
      <c r="J630" s="861">
        <v>48.1067318524074</v>
      </c>
      <c r="K630" s="982">
        <v>0</v>
      </c>
      <c r="L630" s="735">
        <v>1847</v>
      </c>
      <c r="M630" s="735">
        <v>1777</v>
      </c>
      <c r="N630" s="845">
        <f t="shared" si="58"/>
        <v>-3.7899296155928533E-2</v>
      </c>
      <c r="O630" s="735">
        <v>0.34392088386845915</v>
      </c>
      <c r="P630" s="735">
        <f t="shared" si="59"/>
        <v>5166.8860000943023</v>
      </c>
      <c r="Q630" s="849">
        <v>44.1</v>
      </c>
      <c r="R630" s="71">
        <v>74625</v>
      </c>
      <c r="S630" s="845">
        <v>0.10185706246482837</v>
      </c>
      <c r="T630" s="845">
        <v>1.2E-2</v>
      </c>
      <c r="U630" s="845">
        <v>0</v>
      </c>
      <c r="V630" s="845">
        <v>1.9E-2</v>
      </c>
      <c r="W630" s="845">
        <v>0.36961819658813971</v>
      </c>
      <c r="X630" s="845">
        <v>0.41318681318681316</v>
      </c>
      <c r="Y630" s="845">
        <v>0.7079347214406303</v>
      </c>
      <c r="Z630" s="845">
        <v>0.20371412492965674</v>
      </c>
      <c r="AA630" s="845">
        <v>0</v>
      </c>
      <c r="AB630" s="845">
        <v>2.8700056274620148E-2</v>
      </c>
      <c r="AC630" s="845">
        <v>0</v>
      </c>
      <c r="AD630" s="845">
        <v>2.0258863252673044E-2</v>
      </c>
      <c r="AE630" s="845">
        <v>3.9392234102419807E-2</v>
      </c>
      <c r="AF630" s="845">
        <v>3.3202025886325266E-2</v>
      </c>
      <c r="AG630" s="845">
        <v>0.7079347214406303</v>
      </c>
      <c r="AH630" s="20" t="str">
        <f t="shared" si="60"/>
        <v>No</v>
      </c>
      <c r="AI630" s="25"/>
      <c r="AJ630" s="37">
        <v>43113</v>
      </c>
      <c r="AK630" s="37" t="s">
        <v>800</v>
      </c>
      <c r="AL630" s="37">
        <v>39129</v>
      </c>
      <c r="AM630" s="37" t="s">
        <v>70</v>
      </c>
      <c r="AN630" s="37">
        <f t="shared" si="61"/>
        <v>18140</v>
      </c>
      <c r="AO630" s="37" t="str">
        <f t="shared" si="62"/>
        <v>Columbus, OH</v>
      </c>
      <c r="AP630" s="37" t="s">
        <v>8</v>
      </c>
      <c r="AQ630" s="25"/>
      <c r="AR630" s="25"/>
      <c r="AS630" s="25"/>
      <c r="AT630" s="25"/>
      <c r="AU630" s="36"/>
      <c r="AV630" s="36"/>
      <c r="AW630" s="36"/>
      <c r="AX630" s="25"/>
      <c r="AY630" s="25"/>
      <c r="AZ630" s="25"/>
      <c r="BA630" s="25"/>
      <c r="BB630" s="25"/>
      <c r="BC630" s="25"/>
      <c r="BD630" s="25"/>
      <c r="BE630" s="25"/>
      <c r="BF630" s="25"/>
      <c r="BG630" s="25"/>
      <c r="BH630" s="25"/>
      <c r="BI630" s="25"/>
      <c r="BJ630" s="25"/>
      <c r="BK630" s="25"/>
      <c r="BL630" s="25"/>
      <c r="BM630" s="25"/>
      <c r="BN630" s="25"/>
      <c r="BO630" s="25"/>
      <c r="BP630" s="25"/>
      <c r="BQ630" s="25"/>
      <c r="BR630" s="25"/>
      <c r="BS630" s="25"/>
      <c r="BT630" s="25"/>
      <c r="BU630" s="39">
        <v>45315</v>
      </c>
      <c r="BV630" s="39" t="s">
        <v>1668</v>
      </c>
      <c r="BW630" s="39" t="s">
        <v>2874</v>
      </c>
      <c r="BX630" s="39" t="s">
        <v>2853</v>
      </c>
      <c r="BY630" s="71">
        <v>870</v>
      </c>
      <c r="BZ630" s="71">
        <v>950</v>
      </c>
      <c r="CA630" s="71">
        <v>1200</v>
      </c>
      <c r="CB630" s="71">
        <v>1560</v>
      </c>
      <c r="CC630" s="71">
        <v>1710</v>
      </c>
      <c r="CD630" s="25"/>
      <c r="CE630" s="200"/>
      <c r="CF630" s="200"/>
      <c r="CG630" s="200"/>
      <c r="CH630" s="200"/>
      <c r="CI630" s="200"/>
      <c r="CJ630" s="200"/>
      <c r="CK630" s="200"/>
      <c r="CL630" s="200"/>
      <c r="CM630" s="200"/>
      <c r="CN630" s="200"/>
      <c r="CO630" s="200"/>
      <c r="CP630" s="200"/>
      <c r="CQ630" s="200"/>
      <c r="CR630" s="200"/>
      <c r="CS630" s="200"/>
      <c r="CT630" s="200"/>
      <c r="CU630" s="200"/>
    </row>
    <row r="631" spans="1:99" s="17" customFormat="1" x14ac:dyDescent="0.2">
      <c r="A631" s="25"/>
      <c r="B631" s="20">
        <v>39095008207</v>
      </c>
      <c r="C631" s="20">
        <v>82.07</v>
      </c>
      <c r="D631" s="20" t="s">
        <v>53</v>
      </c>
      <c r="E631" s="20" t="s">
        <v>2839</v>
      </c>
      <c r="F631" s="20" t="s">
        <v>8</v>
      </c>
      <c r="G631" s="861">
        <v>61.460786768371598</v>
      </c>
      <c r="H631" s="861">
        <v>62.073937770684402</v>
      </c>
      <c r="I631" s="861">
        <v>38.793830148361103</v>
      </c>
      <c r="J631" s="861">
        <v>13.7008991241009</v>
      </c>
      <c r="K631" s="982">
        <v>0</v>
      </c>
      <c r="L631" s="735" t="s">
        <v>2466</v>
      </c>
      <c r="M631" s="735">
        <v>2055</v>
      </c>
      <c r="N631" s="845" t="str">
        <f t="shared" si="58"/>
        <v/>
      </c>
      <c r="O631" s="735">
        <v>1.0948463388891774</v>
      </c>
      <c r="P631" s="735">
        <f t="shared" si="59"/>
        <v>1876.9757243605409</v>
      </c>
      <c r="Q631" s="849">
        <v>45.4</v>
      </c>
      <c r="R631" s="71">
        <v>83950</v>
      </c>
      <c r="S631" s="845">
        <v>7.1971913399648924E-2</v>
      </c>
      <c r="T631" s="845">
        <v>5.4000000000000006E-2</v>
      </c>
      <c r="U631" s="845">
        <v>0</v>
      </c>
      <c r="V631" s="845">
        <v>0.15</v>
      </c>
      <c r="W631" s="845">
        <v>0.4606741573033708</v>
      </c>
      <c r="X631" s="845">
        <v>0.38482384823848237</v>
      </c>
      <c r="Y631" s="845">
        <v>0.92019464720194644</v>
      </c>
      <c r="Z631" s="845">
        <v>2.9683698296836983E-2</v>
      </c>
      <c r="AA631" s="845">
        <v>0</v>
      </c>
      <c r="AB631" s="845">
        <v>1.167883211678832E-2</v>
      </c>
      <c r="AC631" s="845">
        <v>0</v>
      </c>
      <c r="AD631" s="845">
        <v>0</v>
      </c>
      <c r="AE631" s="845">
        <v>3.8442822384428227E-2</v>
      </c>
      <c r="AF631" s="845">
        <v>1.5085158150851581E-2</v>
      </c>
      <c r="AG631" s="845">
        <v>0.92019464720194644</v>
      </c>
      <c r="AH631" s="20" t="str">
        <f t="shared" si="60"/>
        <v>Yes</v>
      </c>
      <c r="AI631" s="25"/>
      <c r="AJ631" s="37">
        <v>43115</v>
      </c>
      <c r="AK631" s="37" t="s">
        <v>801</v>
      </c>
      <c r="AL631" s="37">
        <v>39129</v>
      </c>
      <c r="AM631" s="37" t="s">
        <v>70</v>
      </c>
      <c r="AN631" s="37">
        <f t="shared" si="61"/>
        <v>18140</v>
      </c>
      <c r="AO631" s="37" t="str">
        <f t="shared" si="62"/>
        <v>Columbus, OH</v>
      </c>
      <c r="AP631" s="37" t="s">
        <v>8</v>
      </c>
      <c r="AQ631" s="25"/>
      <c r="AR631" s="25"/>
      <c r="AS631" s="25"/>
      <c r="AT631" s="25"/>
      <c r="AU631" s="36"/>
      <c r="AV631" s="36"/>
      <c r="AW631" s="36"/>
      <c r="AX631" s="25"/>
      <c r="AY631" s="25"/>
      <c r="AZ631" s="25"/>
      <c r="BA631" s="25"/>
      <c r="BB631" s="25"/>
      <c r="BC631" s="25"/>
      <c r="BD631" s="25"/>
      <c r="BE631" s="25"/>
      <c r="BF631" s="25"/>
      <c r="BG631" s="25"/>
      <c r="BH631" s="25"/>
      <c r="BI631" s="25"/>
      <c r="BJ631" s="25"/>
      <c r="BK631" s="25"/>
      <c r="BL631" s="25"/>
      <c r="BM631" s="25"/>
      <c r="BN631" s="25"/>
      <c r="BO631" s="25"/>
      <c r="BP631" s="25"/>
      <c r="BQ631" s="25"/>
      <c r="BR631" s="25"/>
      <c r="BS631" s="25"/>
      <c r="BT631" s="25"/>
      <c r="BU631" s="39">
        <v>45316</v>
      </c>
      <c r="BV631" s="39" t="s">
        <v>1669</v>
      </c>
      <c r="BW631" s="39" t="s">
        <v>2874</v>
      </c>
      <c r="BX631" s="39" t="s">
        <v>2853</v>
      </c>
      <c r="BY631" s="71">
        <v>760</v>
      </c>
      <c r="BZ631" s="71">
        <v>840</v>
      </c>
      <c r="CA631" s="71">
        <v>1080</v>
      </c>
      <c r="CB631" s="71">
        <v>1360</v>
      </c>
      <c r="CC631" s="71">
        <v>1540</v>
      </c>
      <c r="CD631" s="25"/>
      <c r="CE631" s="200"/>
      <c r="CF631" s="200"/>
      <c r="CG631" s="200"/>
      <c r="CH631" s="200"/>
      <c r="CI631" s="200"/>
      <c r="CJ631" s="200"/>
      <c r="CK631" s="200"/>
      <c r="CL631" s="200"/>
      <c r="CM631" s="200"/>
      <c r="CN631" s="200"/>
      <c r="CO631" s="200"/>
      <c r="CP631" s="200"/>
      <c r="CQ631" s="200"/>
      <c r="CR631" s="200"/>
      <c r="CS631" s="200"/>
      <c r="CT631" s="200"/>
      <c r="CU631" s="200"/>
    </row>
    <row r="632" spans="1:99" s="17" customFormat="1" x14ac:dyDescent="0.2">
      <c r="A632" s="25"/>
      <c r="B632" s="20">
        <v>39017012500</v>
      </c>
      <c r="C632" s="20">
        <v>125</v>
      </c>
      <c r="D632" s="20" t="s">
        <v>15</v>
      </c>
      <c r="E632" s="20" t="s">
        <v>2828</v>
      </c>
      <c r="F632" s="20" t="s">
        <v>8</v>
      </c>
      <c r="G632" s="861">
        <v>61.438972881055598</v>
      </c>
      <c r="H632" s="861">
        <v>70.076717642003899</v>
      </c>
      <c r="I632" s="861">
        <v>16.4455788718926</v>
      </c>
      <c r="J632" s="861">
        <v>45.432394486317399</v>
      </c>
      <c r="K632" s="982">
        <v>0</v>
      </c>
      <c r="L632" s="735">
        <v>4870</v>
      </c>
      <c r="M632" s="735">
        <v>5362</v>
      </c>
      <c r="N632" s="845">
        <f t="shared" si="58"/>
        <v>0.10102669404517454</v>
      </c>
      <c r="O632" s="735">
        <v>1.6902842075209372</v>
      </c>
      <c r="P632" s="735">
        <f t="shared" si="59"/>
        <v>3172.2475877972029</v>
      </c>
      <c r="Q632" s="849">
        <v>42.3</v>
      </c>
      <c r="R632" s="71">
        <v>85694</v>
      </c>
      <c r="S632" s="845">
        <v>2.1109658135624883E-2</v>
      </c>
      <c r="T632" s="845">
        <v>3.2000000000000001E-2</v>
      </c>
      <c r="U632" s="845">
        <v>0</v>
      </c>
      <c r="V632" s="845">
        <v>0</v>
      </c>
      <c r="W632" s="845">
        <v>0.24778325123152709</v>
      </c>
      <c r="X632" s="845">
        <v>7.9522862823061632E-2</v>
      </c>
      <c r="Y632" s="845">
        <v>0.79820962327489742</v>
      </c>
      <c r="Z632" s="845">
        <v>0.17586721372622155</v>
      </c>
      <c r="AA632" s="845">
        <v>0</v>
      </c>
      <c r="AB632" s="845">
        <v>0</v>
      </c>
      <c r="AC632" s="845">
        <v>0</v>
      </c>
      <c r="AD632" s="845">
        <v>4.8489369638194703E-3</v>
      </c>
      <c r="AE632" s="845">
        <v>2.1074226035061545E-2</v>
      </c>
      <c r="AF632" s="845">
        <v>1.5292801193584483E-2</v>
      </c>
      <c r="AG632" s="845">
        <v>0.78944423722491608</v>
      </c>
      <c r="AH632" s="20" t="str">
        <f t="shared" si="60"/>
        <v>No</v>
      </c>
      <c r="AI632" s="25"/>
      <c r="AJ632" s="37">
        <v>43116</v>
      </c>
      <c r="AK632" s="37" t="s">
        <v>802</v>
      </c>
      <c r="AL632" s="37">
        <v>39129</v>
      </c>
      <c r="AM632" s="37" t="s">
        <v>70</v>
      </c>
      <c r="AN632" s="37">
        <f t="shared" si="61"/>
        <v>18140</v>
      </c>
      <c r="AO632" s="37" t="str">
        <f t="shared" si="62"/>
        <v>Columbus, OH</v>
      </c>
      <c r="AP632" s="37" t="s">
        <v>8</v>
      </c>
      <c r="AQ632" s="25"/>
      <c r="AR632" s="25"/>
      <c r="AS632" s="25"/>
      <c r="AT632" s="25"/>
      <c r="AU632" s="36"/>
      <c r="AV632" s="36"/>
      <c r="AW632" s="36"/>
      <c r="AX632" s="25"/>
      <c r="AY632" s="25"/>
      <c r="AZ632" s="25"/>
      <c r="BA632" s="25"/>
      <c r="BB632" s="25"/>
      <c r="BC632" s="25"/>
      <c r="BD632" s="25"/>
      <c r="BE632" s="25"/>
      <c r="BF632" s="25"/>
      <c r="BG632" s="25"/>
      <c r="BH632" s="25"/>
      <c r="BI632" s="25"/>
      <c r="BJ632" s="25"/>
      <c r="BK632" s="25"/>
      <c r="BL632" s="25"/>
      <c r="BM632" s="25"/>
      <c r="BN632" s="25"/>
      <c r="BO632" s="25"/>
      <c r="BP632" s="25"/>
      <c r="BQ632" s="25"/>
      <c r="BR632" s="25"/>
      <c r="BS632" s="25"/>
      <c r="BT632" s="25"/>
      <c r="BU632" s="39">
        <v>45317</v>
      </c>
      <c r="BV632" s="39" t="s">
        <v>1670</v>
      </c>
      <c r="BW632" s="39" t="s">
        <v>2874</v>
      </c>
      <c r="BX632" s="39" t="s">
        <v>2853</v>
      </c>
      <c r="BY632" s="71">
        <v>740</v>
      </c>
      <c r="BZ632" s="71">
        <v>800</v>
      </c>
      <c r="CA632" s="71">
        <v>1030</v>
      </c>
      <c r="CB632" s="71">
        <v>1320</v>
      </c>
      <c r="CC632" s="71">
        <v>1440</v>
      </c>
      <c r="CD632" s="25"/>
      <c r="CE632" s="200"/>
      <c r="CF632" s="200"/>
      <c r="CG632" s="200"/>
      <c r="CH632" s="200"/>
      <c r="CI632" s="200"/>
      <c r="CJ632" s="200"/>
      <c r="CK632" s="200"/>
      <c r="CL632" s="200"/>
      <c r="CM632" s="200"/>
      <c r="CN632" s="200"/>
      <c r="CO632" s="200"/>
      <c r="CP632" s="200"/>
      <c r="CQ632" s="200"/>
      <c r="CR632" s="200"/>
      <c r="CS632" s="200"/>
      <c r="CT632" s="200"/>
      <c r="CU632" s="200"/>
    </row>
    <row r="633" spans="1:99" s="17" customFormat="1" x14ac:dyDescent="0.2">
      <c r="A633" s="25"/>
      <c r="B633" s="20">
        <v>39165030902</v>
      </c>
      <c r="C633" s="20">
        <v>309.02</v>
      </c>
      <c r="D633" s="20" t="s">
        <v>88</v>
      </c>
      <c r="E633" s="20" t="s">
        <v>2828</v>
      </c>
      <c r="F633" s="20" t="s">
        <v>8</v>
      </c>
      <c r="G633" s="861">
        <v>61.427528811321999</v>
      </c>
      <c r="H633" s="861">
        <v>65.402692755189804</v>
      </c>
      <c r="I633" s="861">
        <v>16.585839881369999</v>
      </c>
      <c r="J633" s="861">
        <v>57.416768187454402</v>
      </c>
      <c r="K633" s="982">
        <v>0</v>
      </c>
      <c r="L633" s="735" t="s">
        <v>2466</v>
      </c>
      <c r="M633" s="735">
        <v>8318</v>
      </c>
      <c r="N633" s="845" t="str">
        <f t="shared" si="58"/>
        <v/>
      </c>
      <c r="O633" s="735">
        <v>11.400725696767774</v>
      </c>
      <c r="P633" s="735">
        <f t="shared" si="59"/>
        <v>729.60267804340219</v>
      </c>
      <c r="Q633" s="849">
        <v>41</v>
      </c>
      <c r="R633" s="71">
        <v>184130</v>
      </c>
      <c r="S633" s="845">
        <v>1.1781678288050011E-2</v>
      </c>
      <c r="T633" s="845">
        <v>1.2E-2</v>
      </c>
      <c r="U633" s="845">
        <v>0</v>
      </c>
      <c r="V633" s="845">
        <v>0</v>
      </c>
      <c r="W633" s="845">
        <v>3.0577956989247312E-2</v>
      </c>
      <c r="X633" s="845">
        <v>0</v>
      </c>
      <c r="Y633" s="845">
        <v>0.87052176003847082</v>
      </c>
      <c r="Z633" s="845">
        <v>8.5357056984852134E-3</v>
      </c>
      <c r="AA633" s="845">
        <v>2.8853089685020438E-3</v>
      </c>
      <c r="AB633" s="845">
        <v>6.287569127194037E-2</v>
      </c>
      <c r="AC633" s="845">
        <v>0</v>
      </c>
      <c r="AD633" s="845">
        <v>0</v>
      </c>
      <c r="AE633" s="845">
        <v>5.5181534022601585E-2</v>
      </c>
      <c r="AF633" s="845">
        <v>4.039432555902861E-2</v>
      </c>
      <c r="AG633" s="845">
        <v>0.8578985333012743</v>
      </c>
      <c r="AH633" s="20" t="str">
        <f t="shared" si="60"/>
        <v>No</v>
      </c>
      <c r="AI633" s="25"/>
      <c r="AJ633" s="37">
        <v>43117</v>
      </c>
      <c r="AK633" s="37" t="s">
        <v>803</v>
      </c>
      <c r="AL633" s="37">
        <v>39129</v>
      </c>
      <c r="AM633" s="37" t="s">
        <v>70</v>
      </c>
      <c r="AN633" s="37">
        <f t="shared" si="61"/>
        <v>18140</v>
      </c>
      <c r="AO633" s="37" t="str">
        <f t="shared" si="62"/>
        <v>Columbus, OH</v>
      </c>
      <c r="AP633" s="37" t="s">
        <v>8</v>
      </c>
      <c r="AQ633" s="25"/>
      <c r="AR633" s="25"/>
      <c r="AS633" s="25"/>
      <c r="AT633" s="25"/>
      <c r="AU633" s="36"/>
      <c r="AV633" s="36"/>
      <c r="AW633" s="36"/>
      <c r="AX633" s="25"/>
      <c r="AY633" s="25"/>
      <c r="AZ633" s="25"/>
      <c r="BA633" s="25"/>
      <c r="BB633" s="25"/>
      <c r="BC633" s="25"/>
      <c r="BD633" s="25"/>
      <c r="BE633" s="25"/>
      <c r="BF633" s="25"/>
      <c r="BG633" s="25"/>
      <c r="BH633" s="25"/>
      <c r="BI633" s="25"/>
      <c r="BJ633" s="25"/>
      <c r="BK633" s="25"/>
      <c r="BL633" s="25"/>
      <c r="BM633" s="25"/>
      <c r="BN633" s="25"/>
      <c r="BO633" s="25"/>
      <c r="BP633" s="25"/>
      <c r="BQ633" s="25"/>
      <c r="BR633" s="25"/>
      <c r="BS633" s="25"/>
      <c r="BT633" s="25"/>
      <c r="BU633" s="39">
        <v>45318</v>
      </c>
      <c r="BV633" s="39" t="s">
        <v>1671</v>
      </c>
      <c r="BW633" s="39" t="s">
        <v>2874</v>
      </c>
      <c r="BX633" s="39" t="s">
        <v>2853</v>
      </c>
      <c r="BY633" s="71">
        <v>720</v>
      </c>
      <c r="BZ633" s="71">
        <v>790</v>
      </c>
      <c r="CA633" s="71">
        <v>990</v>
      </c>
      <c r="CB633" s="71">
        <v>1280</v>
      </c>
      <c r="CC633" s="71">
        <v>1410</v>
      </c>
      <c r="CD633" s="25"/>
      <c r="CE633" s="200"/>
      <c r="CF633" s="200"/>
      <c r="CG633" s="200"/>
      <c r="CH633" s="200"/>
      <c r="CI633" s="200"/>
      <c r="CJ633" s="200"/>
      <c r="CK633" s="200"/>
      <c r="CL633" s="200"/>
      <c r="CM633" s="200"/>
      <c r="CN633" s="200"/>
      <c r="CO633" s="200"/>
      <c r="CP633" s="200"/>
      <c r="CQ633" s="200"/>
      <c r="CR633" s="200"/>
      <c r="CS633" s="200"/>
      <c r="CT633" s="200"/>
      <c r="CU633" s="200"/>
    </row>
    <row r="634" spans="1:99" s="17" customFormat="1" x14ac:dyDescent="0.2">
      <c r="A634" s="25"/>
      <c r="B634" s="20">
        <v>39085204000</v>
      </c>
      <c r="C634" s="20">
        <v>2040</v>
      </c>
      <c r="D634" s="20" t="s">
        <v>48</v>
      </c>
      <c r="E634" s="20" t="s">
        <v>2829</v>
      </c>
      <c r="F634" s="20" t="s">
        <v>8</v>
      </c>
      <c r="G634" s="861">
        <v>61.4153226583975</v>
      </c>
      <c r="H634" s="861">
        <v>60.690636958239303</v>
      </c>
      <c r="I634" s="861">
        <v>44.283725733850702</v>
      </c>
      <c r="J634" s="861">
        <v>46.212091154061604</v>
      </c>
      <c r="K634" s="982">
        <v>0</v>
      </c>
      <c r="L634" s="735">
        <v>3110</v>
      </c>
      <c r="M634" s="735">
        <v>3092</v>
      </c>
      <c r="N634" s="845">
        <f t="shared" si="58"/>
        <v>-5.7877813504823147E-3</v>
      </c>
      <c r="O634" s="735">
        <v>1.0270800046259672</v>
      </c>
      <c r="P634" s="735">
        <f t="shared" si="59"/>
        <v>3010.4762881894649</v>
      </c>
      <c r="Q634" s="849">
        <v>44.9</v>
      </c>
      <c r="R634" s="71">
        <v>56184</v>
      </c>
      <c r="S634" s="845">
        <v>0.21850649350649351</v>
      </c>
      <c r="T634" s="845">
        <v>8.1000000000000003E-2</v>
      </c>
      <c r="U634" s="845">
        <v>0</v>
      </c>
      <c r="V634" s="845">
        <v>5.5999999999999994E-2</v>
      </c>
      <c r="W634" s="845">
        <v>0.4144144144144144</v>
      </c>
      <c r="X634" s="845">
        <v>0.38664596273291924</v>
      </c>
      <c r="Y634" s="845">
        <v>0.8272962483829237</v>
      </c>
      <c r="Z634" s="845">
        <v>4.3337645536869342E-2</v>
      </c>
      <c r="AA634" s="845">
        <v>1.7787839586028462E-2</v>
      </c>
      <c r="AB634" s="845">
        <v>3.2341526520051749E-4</v>
      </c>
      <c r="AC634" s="845">
        <v>0</v>
      </c>
      <c r="AD634" s="845">
        <v>5.8214747736093142E-2</v>
      </c>
      <c r="AE634" s="845">
        <v>5.3040103492884863E-2</v>
      </c>
      <c r="AF634" s="845">
        <v>8.9909443725743859E-2</v>
      </c>
      <c r="AG634" s="845">
        <v>0.8272962483829237</v>
      </c>
      <c r="AH634" s="20" t="str">
        <f t="shared" si="60"/>
        <v>No</v>
      </c>
      <c r="AI634" s="25"/>
      <c r="AJ634" s="37">
        <v>43125</v>
      </c>
      <c r="AK634" s="37" t="s">
        <v>806</v>
      </c>
      <c r="AL634" s="37">
        <v>39129</v>
      </c>
      <c r="AM634" s="37" t="s">
        <v>70</v>
      </c>
      <c r="AN634" s="37">
        <f t="shared" si="61"/>
        <v>18140</v>
      </c>
      <c r="AO634" s="37" t="str">
        <f t="shared" si="62"/>
        <v>Columbus, OH</v>
      </c>
      <c r="AP634" s="37" t="s">
        <v>8</v>
      </c>
      <c r="AQ634" s="25"/>
      <c r="AR634" s="25"/>
      <c r="AS634" s="25"/>
      <c r="AT634" s="25"/>
      <c r="AU634" s="36"/>
      <c r="AV634" s="36"/>
      <c r="AW634" s="36"/>
      <c r="AX634" s="25"/>
      <c r="AY634" s="25"/>
      <c r="AZ634" s="25"/>
      <c r="BA634" s="25"/>
      <c r="BB634" s="25"/>
      <c r="BC634" s="25"/>
      <c r="BD634" s="25"/>
      <c r="BE634" s="25"/>
      <c r="BF634" s="25"/>
      <c r="BG634" s="25"/>
      <c r="BH634" s="25"/>
      <c r="BI634" s="25"/>
      <c r="BJ634" s="25"/>
      <c r="BK634" s="25"/>
      <c r="BL634" s="25"/>
      <c r="BM634" s="25"/>
      <c r="BN634" s="25"/>
      <c r="BO634" s="25"/>
      <c r="BP634" s="25"/>
      <c r="BQ634" s="25"/>
      <c r="BR634" s="25"/>
      <c r="BS634" s="25"/>
      <c r="BT634" s="25"/>
      <c r="BU634" s="39">
        <v>45322</v>
      </c>
      <c r="BV634" s="39" t="s">
        <v>1675</v>
      </c>
      <c r="BW634" s="39" t="s">
        <v>2874</v>
      </c>
      <c r="BX634" s="39" t="s">
        <v>2853</v>
      </c>
      <c r="BY634" s="71">
        <v>980</v>
      </c>
      <c r="BZ634" s="71">
        <v>1060</v>
      </c>
      <c r="CA634" s="71">
        <v>1340</v>
      </c>
      <c r="CB634" s="71">
        <v>1740</v>
      </c>
      <c r="CC634" s="71">
        <v>1910</v>
      </c>
      <c r="CD634" s="25"/>
      <c r="CE634" s="200"/>
      <c r="CF634" s="200"/>
      <c r="CG634" s="200"/>
      <c r="CH634" s="200"/>
      <c r="CI634" s="200"/>
      <c r="CJ634" s="200"/>
      <c r="CK634" s="200"/>
      <c r="CL634" s="200"/>
      <c r="CM634" s="200"/>
      <c r="CN634" s="200"/>
      <c r="CO634" s="200"/>
      <c r="CP634" s="200"/>
      <c r="CQ634" s="200"/>
      <c r="CR634" s="200"/>
      <c r="CS634" s="200"/>
      <c r="CT634" s="200"/>
      <c r="CU634" s="200"/>
    </row>
    <row r="635" spans="1:99" s="17" customFormat="1" x14ac:dyDescent="0.2">
      <c r="A635" s="25"/>
      <c r="B635" s="20">
        <v>39085206400</v>
      </c>
      <c r="C635" s="20">
        <v>2064</v>
      </c>
      <c r="D635" s="20" t="s">
        <v>48</v>
      </c>
      <c r="E635" s="20" t="s">
        <v>2829</v>
      </c>
      <c r="F635" s="20" t="s">
        <v>8</v>
      </c>
      <c r="G635" s="861">
        <v>61.376846331532398</v>
      </c>
      <c r="H635" s="861">
        <v>63.530755539740703</v>
      </c>
      <c r="I635" s="861">
        <v>21.738093862783899</v>
      </c>
      <c r="J635" s="861">
        <v>43.191040379201503</v>
      </c>
      <c r="K635" s="982">
        <v>0</v>
      </c>
      <c r="L635" s="735">
        <v>4549</v>
      </c>
      <c r="M635" s="735">
        <v>4640</v>
      </c>
      <c r="N635" s="845">
        <f t="shared" si="58"/>
        <v>2.0004396570674873E-2</v>
      </c>
      <c r="O635" s="735">
        <v>14.903466487342293</v>
      </c>
      <c r="P635" s="735">
        <f t="shared" si="59"/>
        <v>311.33696337968166</v>
      </c>
      <c r="Q635" s="849">
        <v>49.4</v>
      </c>
      <c r="R635" s="71">
        <v>129123</v>
      </c>
      <c r="S635" s="845">
        <v>3.3964728935336384E-2</v>
      </c>
      <c r="T635" s="845">
        <v>4.5999999999999999E-2</v>
      </c>
      <c r="U635" s="845">
        <v>4.0000000000000001E-3</v>
      </c>
      <c r="V635" s="845">
        <v>0</v>
      </c>
      <c r="W635" s="845">
        <v>3.1926406926406928E-2</v>
      </c>
      <c r="X635" s="845">
        <v>6.7796610169491525E-2</v>
      </c>
      <c r="Y635" s="845">
        <v>0.95021551724137931</v>
      </c>
      <c r="Z635" s="845">
        <v>4.3103448275862068E-3</v>
      </c>
      <c r="AA635" s="845">
        <v>0</v>
      </c>
      <c r="AB635" s="845">
        <v>6.4655172413793103E-3</v>
      </c>
      <c r="AC635" s="845">
        <v>0</v>
      </c>
      <c r="AD635" s="845">
        <v>1.271551724137931E-2</v>
      </c>
      <c r="AE635" s="845">
        <v>2.6293103448275863E-2</v>
      </c>
      <c r="AF635" s="845">
        <v>2.5000000000000001E-2</v>
      </c>
      <c r="AG635" s="845">
        <v>0.9422413793103448</v>
      </c>
      <c r="AH635" s="20" t="str">
        <f t="shared" si="60"/>
        <v>Yes</v>
      </c>
      <c r="AI635" s="25"/>
      <c r="AJ635" s="37">
        <v>43135</v>
      </c>
      <c r="AK635" s="37" t="s">
        <v>811</v>
      </c>
      <c r="AL635" s="37">
        <v>39129</v>
      </c>
      <c r="AM635" s="37" t="s">
        <v>70</v>
      </c>
      <c r="AN635" s="37">
        <f t="shared" si="61"/>
        <v>18140</v>
      </c>
      <c r="AO635" s="37" t="str">
        <f t="shared" si="62"/>
        <v>Columbus, OH</v>
      </c>
      <c r="AP635" s="37" t="s">
        <v>8</v>
      </c>
      <c r="AQ635" s="25"/>
      <c r="AR635" s="25"/>
      <c r="AS635" s="25"/>
      <c r="AT635" s="25"/>
      <c r="AU635" s="36"/>
      <c r="AV635" s="36"/>
      <c r="AW635" s="36"/>
      <c r="AX635" s="25"/>
      <c r="AY635" s="25"/>
      <c r="AZ635" s="25"/>
      <c r="BA635" s="25"/>
      <c r="BB635" s="25"/>
      <c r="BC635" s="25"/>
      <c r="BD635" s="25"/>
      <c r="BE635" s="25"/>
      <c r="BF635" s="25"/>
      <c r="BG635" s="25"/>
      <c r="BH635" s="25"/>
      <c r="BI635" s="25"/>
      <c r="BJ635" s="25"/>
      <c r="BK635" s="25"/>
      <c r="BL635" s="25"/>
      <c r="BM635" s="25"/>
      <c r="BN635" s="25"/>
      <c r="BO635" s="25"/>
      <c r="BP635" s="25"/>
      <c r="BQ635" s="25"/>
      <c r="BR635" s="25"/>
      <c r="BS635" s="25"/>
      <c r="BT635" s="25"/>
      <c r="BU635" s="39">
        <v>45324</v>
      </c>
      <c r="BV635" s="39" t="s">
        <v>1677</v>
      </c>
      <c r="BW635" s="39" t="s">
        <v>2874</v>
      </c>
      <c r="BX635" s="39" t="s">
        <v>2853</v>
      </c>
      <c r="BY635" s="71">
        <v>960</v>
      </c>
      <c r="BZ635" s="71">
        <v>1050</v>
      </c>
      <c r="CA635" s="71">
        <v>1330</v>
      </c>
      <c r="CB635" s="71">
        <v>1720</v>
      </c>
      <c r="CC635" s="71">
        <v>1890</v>
      </c>
      <c r="CD635" s="25"/>
      <c r="CE635" s="200"/>
      <c r="CF635" s="200"/>
      <c r="CG635" s="200"/>
      <c r="CH635" s="200"/>
      <c r="CI635" s="200"/>
      <c r="CJ635" s="200"/>
      <c r="CK635" s="200"/>
      <c r="CL635" s="200"/>
      <c r="CM635" s="200"/>
      <c r="CN635" s="200"/>
      <c r="CO635" s="200"/>
      <c r="CP635" s="200"/>
      <c r="CQ635" s="200"/>
      <c r="CR635" s="200"/>
      <c r="CS635" s="200"/>
      <c r="CT635" s="200"/>
      <c r="CU635" s="200"/>
    </row>
    <row r="636" spans="1:99" s="17" customFormat="1" x14ac:dyDescent="0.2">
      <c r="A636" s="25"/>
      <c r="B636" s="20">
        <v>39151712114</v>
      </c>
      <c r="C636" s="20">
        <v>7121.14</v>
      </c>
      <c r="D636" s="20" t="s">
        <v>81</v>
      </c>
      <c r="E636" s="20" t="s">
        <v>2844</v>
      </c>
      <c r="F636" s="20" t="s">
        <v>8</v>
      </c>
      <c r="G636" s="861">
        <v>61.374809994643797</v>
      </c>
      <c r="H636" s="861">
        <v>51.871366935240097</v>
      </c>
      <c r="I636" s="861">
        <v>30.2845993789728</v>
      </c>
      <c r="J636" s="861">
        <v>43.042919026525603</v>
      </c>
      <c r="K636" s="982">
        <v>0</v>
      </c>
      <c r="L636" s="735" t="s">
        <v>2466</v>
      </c>
      <c r="M636" s="735">
        <v>4407</v>
      </c>
      <c r="N636" s="845" t="str">
        <f t="shared" si="58"/>
        <v/>
      </c>
      <c r="O636" s="735">
        <v>1.4164377766197545</v>
      </c>
      <c r="P636" s="735">
        <f t="shared" si="59"/>
        <v>3111.3262246627214</v>
      </c>
      <c r="Q636" s="849">
        <v>43.8</v>
      </c>
      <c r="R636" s="71">
        <v>67530</v>
      </c>
      <c r="S636" s="845">
        <v>4.9466757431359198E-2</v>
      </c>
      <c r="T636" s="845">
        <v>1.3000000000000001E-2</v>
      </c>
      <c r="U636" s="845">
        <v>0</v>
      </c>
      <c r="V636" s="845">
        <v>3.5000000000000003E-2</v>
      </c>
      <c r="W636" s="845">
        <v>0.48578924355050285</v>
      </c>
      <c r="X636" s="845">
        <v>0.39153915391539151</v>
      </c>
      <c r="Y636" s="845">
        <v>0.92421148173360568</v>
      </c>
      <c r="Z636" s="845">
        <v>1.3614703880190605E-2</v>
      </c>
      <c r="AA636" s="845">
        <v>0</v>
      </c>
      <c r="AB636" s="845">
        <v>2.564102564102564E-2</v>
      </c>
      <c r="AC636" s="845">
        <v>0</v>
      </c>
      <c r="AD636" s="845">
        <v>6.1266167460857727E-3</v>
      </c>
      <c r="AE636" s="845">
        <v>3.0406171999092353E-2</v>
      </c>
      <c r="AF636" s="845">
        <v>1.2480145223508056E-2</v>
      </c>
      <c r="AG636" s="845">
        <v>0.92421148173360568</v>
      </c>
      <c r="AH636" s="20" t="str">
        <f t="shared" si="60"/>
        <v>Yes</v>
      </c>
      <c r="AI636" s="25"/>
      <c r="AJ636" s="37">
        <v>43137</v>
      </c>
      <c r="AK636" s="37" t="s">
        <v>813</v>
      </c>
      <c r="AL636" s="37">
        <v>39129</v>
      </c>
      <c r="AM636" s="37" t="s">
        <v>70</v>
      </c>
      <c r="AN636" s="37">
        <f t="shared" si="61"/>
        <v>18140</v>
      </c>
      <c r="AO636" s="37" t="str">
        <f t="shared" si="62"/>
        <v>Columbus, OH</v>
      </c>
      <c r="AP636" s="37" t="s">
        <v>8</v>
      </c>
      <c r="AQ636" s="25"/>
      <c r="AR636" s="25"/>
      <c r="AS636" s="25"/>
      <c r="AT636" s="25"/>
      <c r="AU636" s="36"/>
      <c r="AV636" s="36"/>
      <c r="AW636" s="36"/>
      <c r="AX636" s="25"/>
      <c r="AY636" s="25"/>
      <c r="AZ636" s="25"/>
      <c r="BA636" s="25"/>
      <c r="BB636" s="25"/>
      <c r="BC636" s="25"/>
      <c r="BD636" s="25"/>
      <c r="BE636" s="25"/>
      <c r="BF636" s="25"/>
      <c r="BG636" s="25"/>
      <c r="BH636" s="25"/>
      <c r="BI636" s="25"/>
      <c r="BJ636" s="25"/>
      <c r="BK636" s="25"/>
      <c r="BL636" s="25"/>
      <c r="BM636" s="25"/>
      <c r="BN636" s="25"/>
      <c r="BO636" s="25"/>
      <c r="BP636" s="25"/>
      <c r="BQ636" s="25"/>
      <c r="BR636" s="25"/>
      <c r="BS636" s="25"/>
      <c r="BT636" s="25"/>
      <c r="BU636" s="39">
        <v>45325</v>
      </c>
      <c r="BV636" s="39" t="s">
        <v>1678</v>
      </c>
      <c r="BW636" s="39" t="s">
        <v>2874</v>
      </c>
      <c r="BX636" s="39" t="s">
        <v>2853</v>
      </c>
      <c r="BY636" s="71">
        <v>1010</v>
      </c>
      <c r="BZ636" s="71">
        <v>1090</v>
      </c>
      <c r="CA636" s="71">
        <v>1380</v>
      </c>
      <c r="CB636" s="71">
        <v>1790</v>
      </c>
      <c r="CC636" s="71">
        <v>1970</v>
      </c>
      <c r="CD636" s="25"/>
      <c r="CE636" s="200"/>
      <c r="CF636" s="200"/>
      <c r="CG636" s="200"/>
      <c r="CH636" s="200"/>
      <c r="CI636" s="200"/>
      <c r="CJ636" s="200"/>
      <c r="CK636" s="200"/>
      <c r="CL636" s="200"/>
      <c r="CM636" s="200"/>
      <c r="CN636" s="200"/>
      <c r="CO636" s="200"/>
      <c r="CP636" s="200"/>
      <c r="CQ636" s="200"/>
      <c r="CR636" s="200"/>
      <c r="CS636" s="200"/>
      <c r="CT636" s="200"/>
      <c r="CU636" s="200"/>
    </row>
    <row r="637" spans="1:99" s="17" customFormat="1" x14ac:dyDescent="0.2">
      <c r="A637" s="25"/>
      <c r="B637" s="20">
        <v>39153532706</v>
      </c>
      <c r="C637" s="20">
        <v>5327.06</v>
      </c>
      <c r="D637" s="20" t="s">
        <v>82</v>
      </c>
      <c r="E637" s="20" t="s">
        <v>2843</v>
      </c>
      <c r="F637" s="20" t="s">
        <v>8</v>
      </c>
      <c r="G637" s="861">
        <v>61.3674964060422</v>
      </c>
      <c r="H637" s="861">
        <v>57.037808381888702</v>
      </c>
      <c r="I637" s="861">
        <v>22.3303490820863</v>
      </c>
      <c r="J637" s="861">
        <v>35.854695699594998</v>
      </c>
      <c r="K637" s="982">
        <v>0</v>
      </c>
      <c r="L637" s="735">
        <v>3700</v>
      </c>
      <c r="M637" s="735">
        <v>3617</v>
      </c>
      <c r="N637" s="845">
        <f t="shared" si="58"/>
        <v>-2.2432432432432432E-2</v>
      </c>
      <c r="O637" s="735">
        <v>4.6801021800829812</v>
      </c>
      <c r="P637" s="735">
        <f t="shared" si="59"/>
        <v>772.84637403704471</v>
      </c>
      <c r="Q637" s="849">
        <v>53.4</v>
      </c>
      <c r="R637" s="71">
        <v>85951</v>
      </c>
      <c r="S637" s="845">
        <v>3.1423804226918796E-2</v>
      </c>
      <c r="T637" s="845">
        <v>2.2000000000000002E-2</v>
      </c>
      <c r="U637" s="845">
        <v>0</v>
      </c>
      <c r="V637" s="845">
        <v>0.16</v>
      </c>
      <c r="W637" s="845">
        <v>0.16541353383458646</v>
      </c>
      <c r="X637" s="845">
        <v>8.7878787878787876E-2</v>
      </c>
      <c r="Y637" s="845">
        <v>0.9471938070223942</v>
      </c>
      <c r="Z637" s="845">
        <v>3.2623721316007742E-2</v>
      </c>
      <c r="AA637" s="845">
        <v>0</v>
      </c>
      <c r="AB637" s="845">
        <v>1.0782416367155101E-2</v>
      </c>
      <c r="AC637" s="845">
        <v>0</v>
      </c>
      <c r="AD637" s="845">
        <v>0</v>
      </c>
      <c r="AE637" s="845">
        <v>9.4000552944429085E-3</v>
      </c>
      <c r="AF637" s="845">
        <v>0</v>
      </c>
      <c r="AG637" s="845">
        <v>0.9471938070223942</v>
      </c>
      <c r="AH637" s="20" t="str">
        <f t="shared" si="60"/>
        <v>Yes</v>
      </c>
      <c r="AI637" s="25"/>
      <c r="AJ637" s="37">
        <v>43143</v>
      </c>
      <c r="AK637" s="37" t="s">
        <v>817</v>
      </c>
      <c r="AL637" s="37">
        <v>39129</v>
      </c>
      <c r="AM637" s="37" t="s">
        <v>70</v>
      </c>
      <c r="AN637" s="37">
        <f t="shared" si="61"/>
        <v>18140</v>
      </c>
      <c r="AO637" s="37" t="str">
        <f t="shared" si="62"/>
        <v>Columbus, OH</v>
      </c>
      <c r="AP637" s="37" t="s">
        <v>8</v>
      </c>
      <c r="AQ637" s="25"/>
      <c r="AR637" s="25"/>
      <c r="AS637" s="25"/>
      <c r="AT637" s="25"/>
      <c r="AU637" s="36"/>
      <c r="AV637" s="36"/>
      <c r="AW637" s="36"/>
      <c r="AX637" s="25"/>
      <c r="AY637" s="25"/>
      <c r="AZ637" s="25"/>
      <c r="BA637" s="25"/>
      <c r="BB637" s="25"/>
      <c r="BC637" s="25"/>
      <c r="BD637" s="25"/>
      <c r="BE637" s="25"/>
      <c r="BF637" s="25"/>
      <c r="BG637" s="25"/>
      <c r="BH637" s="25"/>
      <c r="BI637" s="25"/>
      <c r="BJ637" s="25"/>
      <c r="BK637" s="25"/>
      <c r="BL637" s="25"/>
      <c r="BM637" s="25"/>
      <c r="BN637" s="25"/>
      <c r="BO637" s="25"/>
      <c r="BP637" s="25"/>
      <c r="BQ637" s="25"/>
      <c r="BR637" s="25"/>
      <c r="BS637" s="25"/>
      <c r="BT637" s="25"/>
      <c r="BU637" s="39">
        <v>45326</v>
      </c>
      <c r="BV637" s="39" t="s">
        <v>1679</v>
      </c>
      <c r="BW637" s="39" t="s">
        <v>2874</v>
      </c>
      <c r="BX637" s="39" t="s">
        <v>2853</v>
      </c>
      <c r="BY637" s="71">
        <v>710</v>
      </c>
      <c r="BZ637" s="71">
        <v>770</v>
      </c>
      <c r="CA637" s="71">
        <v>970</v>
      </c>
      <c r="CB637" s="71">
        <v>1260</v>
      </c>
      <c r="CC637" s="71">
        <v>1390</v>
      </c>
      <c r="CD637" s="25"/>
      <c r="CE637" s="200"/>
      <c r="CF637" s="200"/>
      <c r="CG637" s="200"/>
      <c r="CH637" s="200"/>
      <c r="CI637" s="200"/>
      <c r="CJ637" s="200"/>
      <c r="CK637" s="200"/>
      <c r="CL637" s="200"/>
      <c r="CM637" s="200"/>
      <c r="CN637" s="200"/>
      <c r="CO637" s="200"/>
      <c r="CP637" s="200"/>
      <c r="CQ637" s="200"/>
      <c r="CR637" s="200"/>
      <c r="CS637" s="200"/>
      <c r="CT637" s="200"/>
      <c r="CU637" s="200"/>
    </row>
    <row r="638" spans="1:99" s="17" customFormat="1" x14ac:dyDescent="0.2">
      <c r="A638" s="25"/>
      <c r="B638" s="20">
        <v>39049008165</v>
      </c>
      <c r="C638" s="20">
        <v>81.650000000000006</v>
      </c>
      <c r="D638" s="20" t="s">
        <v>31</v>
      </c>
      <c r="E638" s="20" t="s">
        <v>2830</v>
      </c>
      <c r="F638" s="20" t="s">
        <v>8</v>
      </c>
      <c r="G638" s="861">
        <v>61.364768587412598</v>
      </c>
      <c r="H638" s="861">
        <v>75.920995242114699</v>
      </c>
      <c r="I638" s="861">
        <v>14.443080643184</v>
      </c>
      <c r="J638" s="861">
        <v>37.952821972819997</v>
      </c>
      <c r="K638" s="982">
        <v>0</v>
      </c>
      <c r="L638" s="735" t="s">
        <v>2466</v>
      </c>
      <c r="M638" s="735">
        <v>2064</v>
      </c>
      <c r="N638" s="845" t="str">
        <f t="shared" si="58"/>
        <v/>
      </c>
      <c r="O638" s="735">
        <v>0.51211702280749083</v>
      </c>
      <c r="P638" s="735">
        <f t="shared" si="59"/>
        <v>4030.3288273545149</v>
      </c>
      <c r="Q638" s="849">
        <v>33.6</v>
      </c>
      <c r="R638" s="71">
        <v>74010</v>
      </c>
      <c r="S638" s="845">
        <v>4.3585933630510151E-2</v>
      </c>
      <c r="T638" s="845">
        <v>0.04</v>
      </c>
      <c r="U638" s="845">
        <v>0</v>
      </c>
      <c r="V638" s="845">
        <v>2.3E-2</v>
      </c>
      <c r="W638" s="845">
        <v>0.52974186307519644</v>
      </c>
      <c r="X638" s="845">
        <v>0.1228813559322034</v>
      </c>
      <c r="Y638" s="845">
        <v>0.76647286821705429</v>
      </c>
      <c r="Z638" s="845">
        <v>9.6414728682170547E-2</v>
      </c>
      <c r="AA638" s="845">
        <v>0</v>
      </c>
      <c r="AB638" s="845">
        <v>2.4224806201550387E-3</v>
      </c>
      <c r="AC638" s="845">
        <v>0</v>
      </c>
      <c r="AD638" s="845">
        <v>4.8449612403100775E-3</v>
      </c>
      <c r="AE638" s="845">
        <v>0.12984496124031009</v>
      </c>
      <c r="AF638" s="845">
        <v>2.1317829457364341E-2</v>
      </c>
      <c r="AG638" s="845">
        <v>0.76647286821705429</v>
      </c>
      <c r="AH638" s="20" t="str">
        <f t="shared" si="60"/>
        <v>No</v>
      </c>
      <c r="AI638" s="25"/>
      <c r="AJ638" s="37">
        <v>43145</v>
      </c>
      <c r="AK638" s="37" t="s">
        <v>819</v>
      </c>
      <c r="AL638" s="37">
        <v>39129</v>
      </c>
      <c r="AM638" s="37" t="s">
        <v>70</v>
      </c>
      <c r="AN638" s="37">
        <f t="shared" si="61"/>
        <v>18140</v>
      </c>
      <c r="AO638" s="37" t="str">
        <f t="shared" si="62"/>
        <v>Columbus, OH</v>
      </c>
      <c r="AP638" s="37" t="s">
        <v>8</v>
      </c>
      <c r="AQ638" s="25"/>
      <c r="AR638" s="25"/>
      <c r="AS638" s="25"/>
      <c r="AT638" s="25"/>
      <c r="AU638" s="36"/>
      <c r="AV638" s="36"/>
      <c r="AW638" s="36"/>
      <c r="AX638" s="25"/>
      <c r="AY638" s="25"/>
      <c r="AZ638" s="25"/>
      <c r="BA638" s="25"/>
      <c r="BB638" s="25"/>
      <c r="BC638" s="25"/>
      <c r="BD638" s="25"/>
      <c r="BE638" s="25"/>
      <c r="BF638" s="25"/>
      <c r="BG638" s="25"/>
      <c r="BH638" s="25"/>
      <c r="BI638" s="25"/>
      <c r="BJ638" s="25"/>
      <c r="BK638" s="25"/>
      <c r="BL638" s="25"/>
      <c r="BM638" s="25"/>
      <c r="BN638" s="25"/>
      <c r="BO638" s="25"/>
      <c r="BP638" s="25"/>
      <c r="BQ638" s="25"/>
      <c r="BR638" s="25"/>
      <c r="BS638" s="25"/>
      <c r="BT638" s="25"/>
      <c r="BU638" s="39">
        <v>45335</v>
      </c>
      <c r="BV638" s="39" t="s">
        <v>1687</v>
      </c>
      <c r="BW638" s="39" t="s">
        <v>2874</v>
      </c>
      <c r="BX638" s="39" t="s">
        <v>2853</v>
      </c>
      <c r="BY638" s="71">
        <v>730</v>
      </c>
      <c r="BZ638" s="71">
        <v>790</v>
      </c>
      <c r="CA638" s="71">
        <v>1000</v>
      </c>
      <c r="CB638" s="71">
        <v>1300</v>
      </c>
      <c r="CC638" s="71">
        <v>1430</v>
      </c>
      <c r="CD638" s="25"/>
      <c r="CE638" s="200"/>
      <c r="CF638" s="200"/>
      <c r="CG638" s="200"/>
      <c r="CH638" s="200"/>
      <c r="CI638" s="200"/>
      <c r="CJ638" s="200"/>
      <c r="CK638" s="200"/>
      <c r="CL638" s="200"/>
      <c r="CM638" s="200"/>
      <c r="CN638" s="200"/>
      <c r="CO638" s="200"/>
      <c r="CP638" s="200"/>
      <c r="CQ638" s="200"/>
      <c r="CR638" s="200"/>
      <c r="CS638" s="200"/>
      <c r="CT638" s="200"/>
      <c r="CU638" s="200"/>
    </row>
    <row r="639" spans="1:99" s="17" customFormat="1" x14ac:dyDescent="0.2">
      <c r="A639" s="25"/>
      <c r="B639" s="20">
        <v>39083006900</v>
      </c>
      <c r="C639" s="20">
        <v>69</v>
      </c>
      <c r="D639" s="20" t="s">
        <v>114</v>
      </c>
      <c r="E639" s="20" t="s">
        <v>265</v>
      </c>
      <c r="F639" s="20" t="s">
        <v>8</v>
      </c>
      <c r="G639" s="861">
        <v>61.319161902376003</v>
      </c>
      <c r="H639" s="861">
        <v>55.206051773829699</v>
      </c>
      <c r="I639" s="861">
        <v>23.701557427486499</v>
      </c>
      <c r="J639" s="861">
        <v>55.492243725780298</v>
      </c>
      <c r="K639" s="982">
        <v>0</v>
      </c>
      <c r="L639" s="735">
        <v>6552</v>
      </c>
      <c r="M639" s="735">
        <v>6256</v>
      </c>
      <c r="N639" s="845">
        <f t="shared" si="58"/>
        <v>-4.5177045177045176E-2</v>
      </c>
      <c r="O639" s="735">
        <v>46.436552173978903</v>
      </c>
      <c r="P639" s="735">
        <f t="shared" si="59"/>
        <v>134.72145771204779</v>
      </c>
      <c r="Q639" s="849">
        <v>40.5</v>
      </c>
      <c r="R639" s="71">
        <v>70880</v>
      </c>
      <c r="S639" s="845">
        <v>0.10070332480818414</v>
      </c>
      <c r="T639" s="845">
        <v>2.8999999999999998E-2</v>
      </c>
      <c r="U639" s="845">
        <v>3.2000000000000001E-2</v>
      </c>
      <c r="V639" s="845">
        <v>4.7E-2</v>
      </c>
      <c r="W639" s="845">
        <v>0.15606694560669457</v>
      </c>
      <c r="X639" s="845">
        <v>0.31367292225201071</v>
      </c>
      <c r="Y639" s="845">
        <v>0.98081841432225059</v>
      </c>
      <c r="Z639" s="845">
        <v>2.237851662404092E-3</v>
      </c>
      <c r="AA639" s="845">
        <v>4.7953964194373403E-4</v>
      </c>
      <c r="AB639" s="845">
        <v>0</v>
      </c>
      <c r="AC639" s="845">
        <v>0</v>
      </c>
      <c r="AD639" s="845">
        <v>0</v>
      </c>
      <c r="AE639" s="845">
        <v>1.6464194373401533E-2</v>
      </c>
      <c r="AF639" s="845">
        <v>2.0780051150895143E-3</v>
      </c>
      <c r="AG639" s="845">
        <v>0.98081841432225059</v>
      </c>
      <c r="AH639" s="20" t="str">
        <f t="shared" si="60"/>
        <v>Yes</v>
      </c>
      <c r="AI639" s="25"/>
      <c r="AJ639" s="37">
        <v>43146</v>
      </c>
      <c r="AK639" s="37" t="s">
        <v>820</v>
      </c>
      <c r="AL639" s="37">
        <v>39129</v>
      </c>
      <c r="AM639" s="37" t="s">
        <v>70</v>
      </c>
      <c r="AN639" s="37">
        <f t="shared" si="61"/>
        <v>18140</v>
      </c>
      <c r="AO639" s="37" t="str">
        <f t="shared" si="62"/>
        <v>Columbus, OH</v>
      </c>
      <c r="AP639" s="37" t="s">
        <v>8</v>
      </c>
      <c r="AQ639" s="25"/>
      <c r="AR639" s="25"/>
      <c r="AS639" s="25"/>
      <c r="AT639" s="25"/>
      <c r="AU639" s="36"/>
      <c r="AV639" s="36"/>
      <c r="AW639" s="36"/>
      <c r="AX639" s="25"/>
      <c r="AY639" s="25"/>
      <c r="AZ639" s="25"/>
      <c r="BA639" s="25"/>
      <c r="BB639" s="25"/>
      <c r="BC639" s="25"/>
      <c r="BD639" s="25"/>
      <c r="BE639" s="25"/>
      <c r="BF639" s="25"/>
      <c r="BG639" s="25"/>
      <c r="BH639" s="25"/>
      <c r="BI639" s="25"/>
      <c r="BJ639" s="25"/>
      <c r="BK639" s="25"/>
      <c r="BL639" s="25"/>
      <c r="BM639" s="25"/>
      <c r="BN639" s="25"/>
      <c r="BO639" s="25"/>
      <c r="BP639" s="25"/>
      <c r="BQ639" s="25"/>
      <c r="BR639" s="25"/>
      <c r="BS639" s="25"/>
      <c r="BT639" s="25"/>
      <c r="BU639" s="39">
        <v>45337</v>
      </c>
      <c r="BV639" s="39" t="s">
        <v>1689</v>
      </c>
      <c r="BW639" s="39" t="s">
        <v>2874</v>
      </c>
      <c r="BX639" s="39" t="s">
        <v>2853</v>
      </c>
      <c r="BY639" s="71">
        <v>870</v>
      </c>
      <c r="BZ639" s="71">
        <v>920</v>
      </c>
      <c r="CA639" s="71">
        <v>1140</v>
      </c>
      <c r="CB639" s="71">
        <v>1500</v>
      </c>
      <c r="CC639" s="71">
        <v>1600</v>
      </c>
      <c r="CD639" s="25"/>
      <c r="CE639" s="200"/>
      <c r="CF639" s="200"/>
      <c r="CG639" s="200"/>
      <c r="CH639" s="200"/>
      <c r="CI639" s="200"/>
      <c r="CJ639" s="200"/>
      <c r="CK639" s="200"/>
      <c r="CL639" s="200"/>
      <c r="CM639" s="200"/>
      <c r="CN639" s="200"/>
      <c r="CO639" s="200"/>
      <c r="CP639" s="200"/>
      <c r="CQ639" s="200"/>
      <c r="CR639" s="200"/>
      <c r="CS639" s="200"/>
      <c r="CT639" s="200"/>
      <c r="CU639" s="200"/>
    </row>
    <row r="640" spans="1:99" s="17" customFormat="1" x14ac:dyDescent="0.2">
      <c r="A640" s="25"/>
      <c r="B640" s="20">
        <v>39057210102</v>
      </c>
      <c r="C640" s="20">
        <v>2101.02</v>
      </c>
      <c r="D640" s="20" t="s">
        <v>35</v>
      </c>
      <c r="E640" s="20" t="s">
        <v>2833</v>
      </c>
      <c r="F640" s="20" t="s">
        <v>8</v>
      </c>
      <c r="G640" s="861">
        <v>61.277981604649298</v>
      </c>
      <c r="H640" s="861">
        <v>67.094776958007699</v>
      </c>
      <c r="I640" s="861">
        <v>29.321940738384399</v>
      </c>
      <c r="J640" s="861">
        <v>45.850785074490098</v>
      </c>
      <c r="K640" s="982">
        <v>0</v>
      </c>
      <c r="L640" s="735" t="s">
        <v>2466</v>
      </c>
      <c r="M640" s="735">
        <v>2293</v>
      </c>
      <c r="N640" s="845" t="str">
        <f t="shared" si="58"/>
        <v/>
      </c>
      <c r="O640" s="735">
        <v>1.6851254965799825</v>
      </c>
      <c r="P640" s="735">
        <f t="shared" si="59"/>
        <v>1360.7295151926185</v>
      </c>
      <c r="Q640" s="849">
        <v>33.5</v>
      </c>
      <c r="R640" s="71">
        <v>89716</v>
      </c>
      <c r="S640" s="845">
        <v>0.10989969472307021</v>
      </c>
      <c r="T640" s="845">
        <v>1.9E-2</v>
      </c>
      <c r="U640" s="845">
        <v>0</v>
      </c>
      <c r="V640" s="845">
        <v>0</v>
      </c>
      <c r="W640" s="845">
        <v>0.50488599348534202</v>
      </c>
      <c r="X640" s="845">
        <v>0.35268817204301073</v>
      </c>
      <c r="Y640" s="845">
        <v>0.77583951155691233</v>
      </c>
      <c r="Z640" s="845">
        <v>4.1866550370693416E-2</v>
      </c>
      <c r="AA640" s="845">
        <v>1.7444395987788923E-3</v>
      </c>
      <c r="AB640" s="845">
        <v>7.0213693850850412E-2</v>
      </c>
      <c r="AC640" s="845">
        <v>0</v>
      </c>
      <c r="AD640" s="845">
        <v>9.1583078935891845E-3</v>
      </c>
      <c r="AE640" s="845">
        <v>0.10117749672917575</v>
      </c>
      <c r="AF640" s="845">
        <v>3.9686000872219802E-2</v>
      </c>
      <c r="AG640" s="845">
        <v>0.75403401657217617</v>
      </c>
      <c r="AH640" s="20" t="str">
        <f t="shared" si="60"/>
        <v>No</v>
      </c>
      <c r="AI640" s="25"/>
      <c r="AJ640" s="37">
        <v>43154</v>
      </c>
      <c r="AK640" s="37" t="s">
        <v>828</v>
      </c>
      <c r="AL640" s="37">
        <v>39129</v>
      </c>
      <c r="AM640" s="37" t="s">
        <v>70</v>
      </c>
      <c r="AN640" s="37">
        <f t="shared" si="61"/>
        <v>18140</v>
      </c>
      <c r="AO640" s="37" t="str">
        <f t="shared" si="62"/>
        <v>Columbus, OH</v>
      </c>
      <c r="AP640" s="37" t="s">
        <v>8</v>
      </c>
      <c r="AQ640" s="25"/>
      <c r="AR640" s="25"/>
      <c r="AS640" s="25"/>
      <c r="AT640" s="25"/>
      <c r="AU640" s="36"/>
      <c r="AV640" s="36"/>
      <c r="AW640" s="36"/>
      <c r="AX640" s="25"/>
      <c r="AY640" s="25"/>
      <c r="AZ640" s="25"/>
      <c r="BA640" s="25"/>
      <c r="BB640" s="25"/>
      <c r="BC640" s="25"/>
      <c r="BD640" s="25"/>
      <c r="BE640" s="25"/>
      <c r="BF640" s="25"/>
      <c r="BG640" s="25"/>
      <c r="BH640" s="25"/>
      <c r="BI640" s="25"/>
      <c r="BJ640" s="25"/>
      <c r="BK640" s="25"/>
      <c r="BL640" s="25"/>
      <c r="BM640" s="25"/>
      <c r="BN640" s="25"/>
      <c r="BO640" s="25"/>
      <c r="BP640" s="25"/>
      <c r="BQ640" s="25"/>
      <c r="BR640" s="25"/>
      <c r="BS640" s="25"/>
      <c r="BT640" s="25"/>
      <c r="BU640" s="39">
        <v>45338</v>
      </c>
      <c r="BV640" s="39" t="s">
        <v>1690</v>
      </c>
      <c r="BW640" s="39" t="s">
        <v>2874</v>
      </c>
      <c r="BX640" s="39" t="s">
        <v>2853</v>
      </c>
      <c r="BY640" s="71">
        <v>780</v>
      </c>
      <c r="BZ640" s="71">
        <v>780</v>
      </c>
      <c r="CA640" s="71">
        <v>1030</v>
      </c>
      <c r="CB640" s="71">
        <v>1370</v>
      </c>
      <c r="CC640" s="71">
        <v>1510</v>
      </c>
      <c r="CD640" s="25"/>
      <c r="CE640" s="200"/>
      <c r="CF640" s="200"/>
      <c r="CG640" s="200"/>
      <c r="CH640" s="200"/>
      <c r="CI640" s="200"/>
      <c r="CJ640" s="200"/>
      <c r="CK640" s="200"/>
      <c r="CL640" s="200"/>
      <c r="CM640" s="200"/>
      <c r="CN640" s="200"/>
      <c r="CO640" s="200"/>
      <c r="CP640" s="200"/>
      <c r="CQ640" s="200"/>
      <c r="CR640" s="200"/>
      <c r="CS640" s="200"/>
      <c r="CT640" s="200"/>
      <c r="CU640" s="200"/>
    </row>
    <row r="641" spans="1:99" s="17" customFormat="1" x14ac:dyDescent="0.2">
      <c r="A641" s="25"/>
      <c r="B641" s="20">
        <v>39049009757</v>
      </c>
      <c r="C641" s="20">
        <v>97.57</v>
      </c>
      <c r="D641" s="20" t="s">
        <v>31</v>
      </c>
      <c r="E641" s="20" t="s">
        <v>2830</v>
      </c>
      <c r="F641" s="20" t="s">
        <v>8</v>
      </c>
      <c r="G641" s="861">
        <v>61.265340025061498</v>
      </c>
      <c r="H641" s="861">
        <v>67.309443821670996</v>
      </c>
      <c r="I641" s="861">
        <v>35.825561454550602</v>
      </c>
      <c r="J641" s="861">
        <v>62.294371171087498</v>
      </c>
      <c r="K641" s="982">
        <v>0</v>
      </c>
      <c r="L641" s="735" t="s">
        <v>2466</v>
      </c>
      <c r="M641" s="735">
        <v>4302</v>
      </c>
      <c r="N641" s="845" t="str">
        <f t="shared" si="58"/>
        <v/>
      </c>
      <c r="O641" s="735">
        <v>1.4124562911603482</v>
      </c>
      <c r="P641" s="735">
        <f t="shared" si="59"/>
        <v>3045.7579656966659</v>
      </c>
      <c r="Q641" s="849">
        <v>40.200000000000003</v>
      </c>
      <c r="R641" s="71">
        <v>87818</v>
      </c>
      <c r="S641" s="845">
        <v>0.10976179355441383</v>
      </c>
      <c r="T641" s="845">
        <v>6.9999999999999993E-3</v>
      </c>
      <c r="U641" s="845">
        <v>4.7E-2</v>
      </c>
      <c r="V641" s="845">
        <v>0</v>
      </c>
      <c r="W641" s="845">
        <v>0.38975966562173459</v>
      </c>
      <c r="X641" s="845">
        <v>0.41152815013404825</v>
      </c>
      <c r="Y641" s="845">
        <v>0.92352394235239421</v>
      </c>
      <c r="Z641" s="845">
        <v>5.7647605764760579E-2</v>
      </c>
      <c r="AA641" s="845">
        <v>0</v>
      </c>
      <c r="AB641" s="845">
        <v>6.04370060437006E-3</v>
      </c>
      <c r="AC641" s="845">
        <v>0</v>
      </c>
      <c r="AD641" s="845">
        <v>0</v>
      </c>
      <c r="AE641" s="845">
        <v>1.2784751278475127E-2</v>
      </c>
      <c r="AF641" s="845">
        <v>0</v>
      </c>
      <c r="AG641" s="845">
        <v>0.92352394235239421</v>
      </c>
      <c r="AH641" s="20" t="str">
        <f t="shared" si="60"/>
        <v>Yes</v>
      </c>
      <c r="AI641" s="25"/>
      <c r="AJ641" s="37">
        <v>43156</v>
      </c>
      <c r="AK641" s="37" t="s">
        <v>830</v>
      </c>
      <c r="AL641" s="37">
        <v>39129</v>
      </c>
      <c r="AM641" s="37" t="s">
        <v>70</v>
      </c>
      <c r="AN641" s="37">
        <f t="shared" si="61"/>
        <v>18140</v>
      </c>
      <c r="AO641" s="37" t="str">
        <f t="shared" si="62"/>
        <v>Columbus, OH</v>
      </c>
      <c r="AP641" s="37" t="s">
        <v>8</v>
      </c>
      <c r="AQ641" s="25"/>
      <c r="AR641" s="25"/>
      <c r="AS641" s="25"/>
      <c r="AT641" s="25"/>
      <c r="AU641" s="36"/>
      <c r="AV641" s="36"/>
      <c r="AW641" s="36"/>
      <c r="AX641" s="25"/>
      <c r="AY641" s="25"/>
      <c r="AZ641" s="25"/>
      <c r="BA641" s="25"/>
      <c r="BB641" s="25"/>
      <c r="BC641" s="25"/>
      <c r="BD641" s="25"/>
      <c r="BE641" s="25"/>
      <c r="BF641" s="25"/>
      <c r="BG641" s="25"/>
      <c r="BH641" s="25"/>
      <c r="BI641" s="25"/>
      <c r="BJ641" s="25"/>
      <c r="BK641" s="25"/>
      <c r="BL641" s="25"/>
      <c r="BM641" s="25"/>
      <c r="BN641" s="25"/>
      <c r="BO641" s="25"/>
      <c r="BP641" s="25"/>
      <c r="BQ641" s="25"/>
      <c r="BR641" s="25"/>
      <c r="BS641" s="25"/>
      <c r="BT641" s="25"/>
      <c r="BU641" s="39">
        <v>45339</v>
      </c>
      <c r="BV641" s="39" t="s">
        <v>1691</v>
      </c>
      <c r="BW641" s="39" t="s">
        <v>2874</v>
      </c>
      <c r="BX641" s="39" t="s">
        <v>2853</v>
      </c>
      <c r="BY641" s="71">
        <v>890</v>
      </c>
      <c r="BZ641" s="71">
        <v>970</v>
      </c>
      <c r="CA641" s="71">
        <v>1220</v>
      </c>
      <c r="CB641" s="71">
        <v>1580</v>
      </c>
      <c r="CC641" s="71">
        <v>1740</v>
      </c>
      <c r="CD641" s="25"/>
      <c r="CE641" s="200"/>
      <c r="CF641" s="200"/>
      <c r="CG641" s="200"/>
      <c r="CH641" s="200"/>
      <c r="CI641" s="200"/>
      <c r="CJ641" s="200"/>
      <c r="CK641" s="200"/>
      <c r="CL641" s="200"/>
      <c r="CM641" s="200"/>
      <c r="CN641" s="200"/>
      <c r="CO641" s="200"/>
      <c r="CP641" s="200"/>
      <c r="CQ641" s="200"/>
      <c r="CR641" s="200"/>
      <c r="CS641" s="200"/>
      <c r="CT641" s="200"/>
      <c r="CU641" s="200"/>
    </row>
    <row r="642" spans="1:99" s="17" customFormat="1" x14ac:dyDescent="0.2">
      <c r="A642" s="25"/>
      <c r="B642" s="20">
        <v>39035185202</v>
      </c>
      <c r="C642" s="20">
        <v>1852.02</v>
      </c>
      <c r="D642" s="20" t="s">
        <v>24</v>
      </c>
      <c r="E642" s="20" t="s">
        <v>2829</v>
      </c>
      <c r="F642" s="20" t="s">
        <v>8</v>
      </c>
      <c r="G642" s="861">
        <v>61.256409593052901</v>
      </c>
      <c r="H642" s="861">
        <v>56.164486121702801</v>
      </c>
      <c r="I642" s="861">
        <v>39.477173257771298</v>
      </c>
      <c r="J642" s="861">
        <v>46.283934550371001</v>
      </c>
      <c r="K642" s="982">
        <v>0</v>
      </c>
      <c r="L642" s="735">
        <v>5190</v>
      </c>
      <c r="M642" s="735">
        <v>4446</v>
      </c>
      <c r="N642" s="845">
        <f t="shared" si="58"/>
        <v>-0.14335260115606938</v>
      </c>
      <c r="O642" s="735">
        <v>0.68320004758631891</v>
      </c>
      <c r="P642" s="735">
        <f t="shared" si="59"/>
        <v>6507.610787949001</v>
      </c>
      <c r="Q642" s="849">
        <v>36</v>
      </c>
      <c r="R642" s="71">
        <v>78762</v>
      </c>
      <c r="S642" s="845">
        <v>0.13135402609086819</v>
      </c>
      <c r="T642" s="845">
        <v>5.5999999999999994E-2</v>
      </c>
      <c r="U642" s="845">
        <v>0</v>
      </c>
      <c r="V642" s="845">
        <v>0</v>
      </c>
      <c r="W642" s="845">
        <v>0.14322514167954661</v>
      </c>
      <c r="X642" s="845">
        <v>0.57913669064748197</v>
      </c>
      <c r="Y642" s="845">
        <v>0.41790373369320738</v>
      </c>
      <c r="Z642" s="845">
        <v>0.49797570850202427</v>
      </c>
      <c r="AA642" s="845">
        <v>0</v>
      </c>
      <c r="AB642" s="845">
        <v>0</v>
      </c>
      <c r="AC642" s="845">
        <v>0</v>
      </c>
      <c r="AD642" s="845">
        <v>1.9793072424651371E-2</v>
      </c>
      <c r="AE642" s="845">
        <v>6.4327485380116955E-2</v>
      </c>
      <c r="AF642" s="845">
        <v>2.9239766081871343E-2</v>
      </c>
      <c r="AG642" s="845">
        <v>0.41790373369320738</v>
      </c>
      <c r="AH642" s="20" t="str">
        <f t="shared" si="60"/>
        <v>No</v>
      </c>
      <c r="AI642" s="25"/>
      <c r="AJ642" s="37">
        <v>43164</v>
      </c>
      <c r="AK642" s="37" t="s">
        <v>835</v>
      </c>
      <c r="AL642" s="37">
        <v>39129</v>
      </c>
      <c r="AM642" s="37" t="s">
        <v>70</v>
      </c>
      <c r="AN642" s="37">
        <f t="shared" si="61"/>
        <v>18140</v>
      </c>
      <c r="AO642" s="37" t="str">
        <f t="shared" si="62"/>
        <v>Columbus, OH</v>
      </c>
      <c r="AP642" s="37" t="s">
        <v>8</v>
      </c>
      <c r="AQ642" s="25"/>
      <c r="AR642" s="25"/>
      <c r="AS642" s="25"/>
      <c r="AT642" s="25"/>
      <c r="AU642" s="36"/>
      <c r="AV642" s="36"/>
      <c r="AW642" s="36"/>
      <c r="AX642" s="25"/>
      <c r="AY642" s="25"/>
      <c r="AZ642" s="25"/>
      <c r="BA642" s="25"/>
      <c r="BB642" s="25"/>
      <c r="BC642" s="25"/>
      <c r="BD642" s="25"/>
      <c r="BE642" s="25"/>
      <c r="BF642" s="25"/>
      <c r="BG642" s="25"/>
      <c r="BH642" s="25"/>
      <c r="BI642" s="25"/>
      <c r="BJ642" s="25"/>
      <c r="BK642" s="25"/>
      <c r="BL642" s="25"/>
      <c r="BM642" s="25"/>
      <c r="BN642" s="25"/>
      <c r="BO642" s="25"/>
      <c r="BP642" s="25"/>
      <c r="BQ642" s="25"/>
      <c r="BR642" s="25"/>
      <c r="BS642" s="25"/>
      <c r="BT642" s="25"/>
      <c r="BU642" s="39">
        <v>45344</v>
      </c>
      <c r="BV642" s="39" t="s">
        <v>1695</v>
      </c>
      <c r="BW642" s="39" t="s">
        <v>2874</v>
      </c>
      <c r="BX642" s="39" t="s">
        <v>2853</v>
      </c>
      <c r="BY642" s="71">
        <v>740</v>
      </c>
      <c r="BZ642" s="71">
        <v>810</v>
      </c>
      <c r="CA642" s="71">
        <v>1060</v>
      </c>
      <c r="CB642" s="71">
        <v>1310</v>
      </c>
      <c r="CC642" s="71">
        <v>1510</v>
      </c>
      <c r="CD642" s="25"/>
      <c r="CE642" s="200"/>
      <c r="CF642" s="200"/>
      <c r="CG642" s="200"/>
      <c r="CH642" s="200"/>
      <c r="CI642" s="200"/>
      <c r="CJ642" s="200"/>
      <c r="CK642" s="200"/>
      <c r="CL642" s="200"/>
      <c r="CM642" s="200"/>
      <c r="CN642" s="200"/>
      <c r="CO642" s="200"/>
      <c r="CP642" s="200"/>
      <c r="CQ642" s="200"/>
      <c r="CR642" s="200"/>
      <c r="CS642" s="200"/>
      <c r="CT642" s="200"/>
      <c r="CU642" s="200"/>
    </row>
    <row r="643" spans="1:99" s="17" customFormat="1" x14ac:dyDescent="0.2">
      <c r="A643" s="25"/>
      <c r="B643" s="20">
        <v>39113050502</v>
      </c>
      <c r="C643" s="20">
        <v>505.02</v>
      </c>
      <c r="D643" s="20" t="s">
        <v>62</v>
      </c>
      <c r="E643" s="20" t="s">
        <v>2833</v>
      </c>
      <c r="F643" s="20" t="s">
        <v>8</v>
      </c>
      <c r="G643" s="861">
        <v>61.240942991054901</v>
      </c>
      <c r="H643" s="861">
        <v>59.905251476706802</v>
      </c>
      <c r="I643" s="861">
        <v>38.427385144701901</v>
      </c>
      <c r="J643" s="861">
        <v>56.3788935193041</v>
      </c>
      <c r="K643" s="982">
        <v>0</v>
      </c>
      <c r="L643" s="735">
        <v>2885</v>
      </c>
      <c r="M643" s="735">
        <v>2713</v>
      </c>
      <c r="N643" s="845">
        <f t="shared" si="58"/>
        <v>-5.9618717504332758E-2</v>
      </c>
      <c r="O643" s="735">
        <v>4.9324766977405163</v>
      </c>
      <c r="P643" s="735">
        <f t="shared" si="59"/>
        <v>550.02794057654228</v>
      </c>
      <c r="Q643" s="849">
        <v>41</v>
      </c>
      <c r="R643" s="71">
        <v>103393</v>
      </c>
      <c r="S643" s="845">
        <v>7.298193881312201E-2</v>
      </c>
      <c r="T643" s="845">
        <v>5.0000000000000001E-3</v>
      </c>
      <c r="U643" s="845">
        <v>3.4000000000000002E-2</v>
      </c>
      <c r="V643" s="845">
        <v>0</v>
      </c>
      <c r="W643" s="845">
        <v>0.20080321285140562</v>
      </c>
      <c r="X643" s="845">
        <v>0.22500000000000001</v>
      </c>
      <c r="Y643" s="845">
        <v>0.9067453004054552</v>
      </c>
      <c r="Z643" s="845">
        <v>6.2292664946553632E-2</v>
      </c>
      <c r="AA643" s="845">
        <v>2.0272760781422778E-2</v>
      </c>
      <c r="AB643" s="845">
        <v>0</v>
      </c>
      <c r="AC643" s="845">
        <v>0</v>
      </c>
      <c r="AD643" s="845">
        <v>0</v>
      </c>
      <c r="AE643" s="845">
        <v>1.0689273866568375E-2</v>
      </c>
      <c r="AF643" s="845">
        <v>2.9487652045705861E-3</v>
      </c>
      <c r="AG643" s="845">
        <v>0.90379653520088465</v>
      </c>
      <c r="AH643" s="20" t="str">
        <f t="shared" si="60"/>
        <v>Yes</v>
      </c>
      <c r="AI643" s="25"/>
      <c r="AJ643" s="37">
        <v>45644</v>
      </c>
      <c r="AK643" s="37" t="s">
        <v>1790</v>
      </c>
      <c r="AL643" s="37">
        <v>39129</v>
      </c>
      <c r="AM643" s="37" t="s">
        <v>70</v>
      </c>
      <c r="AN643" s="37">
        <f t="shared" si="61"/>
        <v>18140</v>
      </c>
      <c r="AO643" s="37" t="str">
        <f t="shared" si="62"/>
        <v>Columbus, OH</v>
      </c>
      <c r="AP643" s="37" t="s">
        <v>8</v>
      </c>
      <c r="AQ643" s="25"/>
      <c r="AR643" s="25"/>
      <c r="AS643" s="25"/>
      <c r="AT643" s="25"/>
      <c r="AU643" s="36"/>
      <c r="AV643" s="36"/>
      <c r="AW643" s="36"/>
      <c r="AX643" s="25"/>
      <c r="AY643" s="25"/>
      <c r="AZ643" s="25"/>
      <c r="BA643" s="25"/>
      <c r="BB643" s="25"/>
      <c r="BC643" s="25"/>
      <c r="BD643" s="25"/>
      <c r="BE643" s="25"/>
      <c r="BF643" s="25"/>
      <c r="BG643" s="25"/>
      <c r="BH643" s="25"/>
      <c r="BI643" s="25"/>
      <c r="BJ643" s="25"/>
      <c r="BK643" s="25"/>
      <c r="BL643" s="25"/>
      <c r="BM643" s="25"/>
      <c r="BN643" s="25"/>
      <c r="BO643" s="25"/>
      <c r="BP643" s="25"/>
      <c r="BQ643" s="25"/>
      <c r="BR643" s="25"/>
      <c r="BS643" s="25"/>
      <c r="BT643" s="25"/>
      <c r="BU643" s="39">
        <v>45345</v>
      </c>
      <c r="BV643" s="39" t="s">
        <v>1696</v>
      </c>
      <c r="BW643" s="39" t="s">
        <v>2874</v>
      </c>
      <c r="BX643" s="39" t="s">
        <v>2853</v>
      </c>
      <c r="BY643" s="71">
        <v>780</v>
      </c>
      <c r="BZ643" s="71">
        <v>850</v>
      </c>
      <c r="CA643" s="71">
        <v>1070</v>
      </c>
      <c r="CB643" s="71">
        <v>1390</v>
      </c>
      <c r="CC643" s="71">
        <v>1530</v>
      </c>
      <c r="CD643" s="25"/>
      <c r="CE643" s="200"/>
      <c r="CF643" s="200"/>
      <c r="CG643" s="200"/>
      <c r="CH643" s="200"/>
      <c r="CI643" s="200"/>
      <c r="CJ643" s="200"/>
      <c r="CK643" s="200"/>
      <c r="CL643" s="200"/>
      <c r="CM643" s="200"/>
      <c r="CN643" s="200"/>
      <c r="CO643" s="200"/>
      <c r="CP643" s="200"/>
      <c r="CQ643" s="200"/>
      <c r="CR643" s="200"/>
      <c r="CS643" s="200"/>
      <c r="CT643" s="200"/>
      <c r="CU643" s="200"/>
    </row>
    <row r="644" spans="1:99" s="17" customFormat="1" x14ac:dyDescent="0.2">
      <c r="A644" s="25"/>
      <c r="B644" s="20">
        <v>39025041304</v>
      </c>
      <c r="C644" s="20">
        <v>413.04</v>
      </c>
      <c r="D644" s="20" t="s">
        <v>19</v>
      </c>
      <c r="E644" s="20" t="s">
        <v>2828</v>
      </c>
      <c r="F644" s="20" t="s">
        <v>8</v>
      </c>
      <c r="G644" s="861">
        <v>61.2014496878747</v>
      </c>
      <c r="H644" s="861">
        <v>88.387076597468507</v>
      </c>
      <c r="I644" s="861">
        <v>1.4514990242125301</v>
      </c>
      <c r="J644" s="861">
        <v>41.107446332255599</v>
      </c>
      <c r="K644" s="982">
        <v>0</v>
      </c>
      <c r="L644" s="735">
        <v>44</v>
      </c>
      <c r="M644" s="735">
        <v>9</v>
      </c>
      <c r="N644" s="845">
        <f t="shared" si="58"/>
        <v>-0.79545454545454541</v>
      </c>
      <c r="O644" s="735">
        <v>1.6709574778704295</v>
      </c>
      <c r="P644" s="735">
        <f t="shared" si="59"/>
        <v>5.3861334708948734</v>
      </c>
      <c r="Q644" s="849"/>
      <c r="R644" s="71"/>
      <c r="S644" s="845">
        <v>0</v>
      </c>
      <c r="T644" s="845">
        <v>0</v>
      </c>
      <c r="U644" s="845">
        <v>0</v>
      </c>
      <c r="V644" s="845" t="s">
        <v>2466</v>
      </c>
      <c r="W644" s="845">
        <v>0</v>
      </c>
      <c r="X644" s="845"/>
      <c r="Y644" s="845">
        <v>1</v>
      </c>
      <c r="Z644" s="845">
        <v>0</v>
      </c>
      <c r="AA644" s="845">
        <v>0</v>
      </c>
      <c r="AB644" s="845">
        <v>0</v>
      </c>
      <c r="AC644" s="845">
        <v>0</v>
      </c>
      <c r="AD644" s="845">
        <v>0</v>
      </c>
      <c r="AE644" s="845">
        <v>0</v>
      </c>
      <c r="AF644" s="845">
        <v>0</v>
      </c>
      <c r="AG644" s="845">
        <v>1</v>
      </c>
      <c r="AH644" s="20" t="str">
        <f t="shared" si="60"/>
        <v>Yes</v>
      </c>
      <c r="AI644" s="25"/>
      <c r="AJ644" s="37">
        <v>43007</v>
      </c>
      <c r="AK644" s="37" t="s">
        <v>734</v>
      </c>
      <c r="AL644" s="37">
        <v>39159</v>
      </c>
      <c r="AM644" s="37" t="s">
        <v>85</v>
      </c>
      <c r="AN644" s="37">
        <f t="shared" si="61"/>
        <v>18140</v>
      </c>
      <c r="AO644" s="37" t="str">
        <f t="shared" si="62"/>
        <v>Columbus, OH</v>
      </c>
      <c r="AP644" s="37" t="s">
        <v>8</v>
      </c>
      <c r="AQ644" s="25"/>
      <c r="AR644" s="25"/>
      <c r="AS644" s="25"/>
      <c r="AT644" s="25"/>
      <c r="AU644" s="36"/>
      <c r="AV644" s="36"/>
      <c r="AW644" s="36"/>
      <c r="AX644" s="25"/>
      <c r="AY644" s="25"/>
      <c r="AZ644" s="25"/>
      <c r="BA644" s="25"/>
      <c r="BB644" s="25"/>
      <c r="BC644" s="25"/>
      <c r="BD644" s="25"/>
      <c r="BE644" s="25"/>
      <c r="BF644" s="25"/>
      <c r="BG644" s="25"/>
      <c r="BH644" s="25"/>
      <c r="BI644" s="25"/>
      <c r="BJ644" s="25"/>
      <c r="BK644" s="25"/>
      <c r="BL644" s="25"/>
      <c r="BM644" s="25"/>
      <c r="BN644" s="25"/>
      <c r="BO644" s="25"/>
      <c r="BP644" s="25"/>
      <c r="BQ644" s="25"/>
      <c r="BR644" s="25"/>
      <c r="BS644" s="25"/>
      <c r="BT644" s="25"/>
      <c r="BU644" s="39">
        <v>45354</v>
      </c>
      <c r="BV644" s="39" t="s">
        <v>1705</v>
      </c>
      <c r="BW644" s="39" t="s">
        <v>2874</v>
      </c>
      <c r="BX644" s="39" t="s">
        <v>2853</v>
      </c>
      <c r="BY644" s="71">
        <v>1060</v>
      </c>
      <c r="BZ644" s="71">
        <v>1150</v>
      </c>
      <c r="CA644" s="71">
        <v>1460</v>
      </c>
      <c r="CB644" s="71">
        <v>1890</v>
      </c>
      <c r="CC644" s="71">
        <v>2080</v>
      </c>
      <c r="CD644" s="25"/>
      <c r="CE644" s="200"/>
      <c r="CF644" s="200"/>
      <c r="CG644" s="200"/>
      <c r="CH644" s="200"/>
      <c r="CI644" s="200"/>
      <c r="CJ644" s="200"/>
      <c r="CK644" s="200"/>
      <c r="CL644" s="200"/>
      <c r="CM644" s="200"/>
      <c r="CN644" s="200"/>
      <c r="CO644" s="200"/>
      <c r="CP644" s="200"/>
      <c r="CQ644" s="200"/>
      <c r="CR644" s="200"/>
      <c r="CS644" s="200"/>
      <c r="CT644" s="200"/>
      <c r="CU644" s="200"/>
    </row>
    <row r="645" spans="1:99" s="17" customFormat="1" x14ac:dyDescent="0.2">
      <c r="A645" s="25"/>
      <c r="B645" s="20">
        <v>39093080701</v>
      </c>
      <c r="C645" s="20">
        <v>807.01</v>
      </c>
      <c r="D645" s="20" t="s">
        <v>52</v>
      </c>
      <c r="E645" s="20" t="s">
        <v>2829</v>
      </c>
      <c r="F645" s="20" t="s">
        <v>8</v>
      </c>
      <c r="G645" s="861">
        <v>61.184953177732503</v>
      </c>
      <c r="H645" s="861">
        <v>41.043693906034903</v>
      </c>
      <c r="I645" s="861">
        <v>16.8634402596287</v>
      </c>
      <c r="J645" s="861">
        <v>54.008197564083098</v>
      </c>
      <c r="K645" s="982">
        <v>0</v>
      </c>
      <c r="L645" s="735" t="s">
        <v>2466</v>
      </c>
      <c r="M645" s="735">
        <v>5484</v>
      </c>
      <c r="N645" s="845" t="str">
        <f t="shared" si="58"/>
        <v/>
      </c>
      <c r="O645" s="735">
        <v>4.266365531693503</v>
      </c>
      <c r="P645" s="735">
        <f t="shared" si="59"/>
        <v>1285.4032218432924</v>
      </c>
      <c r="Q645" s="849">
        <v>42.1</v>
      </c>
      <c r="R645" s="71">
        <v>109495</v>
      </c>
      <c r="S645" s="845">
        <v>8.3880379285193284E-3</v>
      </c>
      <c r="T645" s="845">
        <v>2.3E-2</v>
      </c>
      <c r="U645" s="845">
        <v>0</v>
      </c>
      <c r="V645" s="845">
        <v>0</v>
      </c>
      <c r="W645" s="845">
        <v>4.7619047619047616E-2</v>
      </c>
      <c r="X645" s="845">
        <v>0</v>
      </c>
      <c r="Y645" s="845">
        <v>0.86925601750547044</v>
      </c>
      <c r="Z645" s="845">
        <v>2.3705324580598104E-3</v>
      </c>
      <c r="AA645" s="845">
        <v>0</v>
      </c>
      <c r="AB645" s="845">
        <v>1.2946754194018964E-2</v>
      </c>
      <c r="AC645" s="845">
        <v>0</v>
      </c>
      <c r="AD645" s="845">
        <v>3.2822757111597371E-2</v>
      </c>
      <c r="AE645" s="845">
        <v>8.2603938730853393E-2</v>
      </c>
      <c r="AF645" s="845">
        <v>7.5127644055433984E-2</v>
      </c>
      <c r="AG645" s="845">
        <v>0.86378555798687084</v>
      </c>
      <c r="AH645" s="20" t="str">
        <f t="shared" si="60"/>
        <v>No</v>
      </c>
      <c r="AI645" s="25"/>
      <c r="AJ645" s="37">
        <v>43015</v>
      </c>
      <c r="AK645" s="37" t="s">
        <v>741</v>
      </c>
      <c r="AL645" s="37">
        <v>39159</v>
      </c>
      <c r="AM645" s="37" t="s">
        <v>85</v>
      </c>
      <c r="AN645" s="37">
        <f t="shared" si="61"/>
        <v>18140</v>
      </c>
      <c r="AO645" s="37" t="str">
        <f t="shared" si="62"/>
        <v>Columbus, OH</v>
      </c>
      <c r="AP645" s="37" t="s">
        <v>8</v>
      </c>
      <c r="AQ645" s="25"/>
      <c r="AR645" s="25"/>
      <c r="AS645" s="25"/>
      <c r="AT645" s="25"/>
      <c r="AU645" s="36"/>
      <c r="AV645" s="36"/>
      <c r="AW645" s="36"/>
      <c r="AX645" s="25"/>
      <c r="AY645" s="25"/>
      <c r="AZ645" s="25"/>
      <c r="BA645" s="25"/>
      <c r="BB645" s="25"/>
      <c r="BC645" s="25"/>
      <c r="BD645" s="25"/>
      <c r="BE645" s="25"/>
      <c r="BF645" s="25"/>
      <c r="BG645" s="25"/>
      <c r="BH645" s="25"/>
      <c r="BI645" s="25"/>
      <c r="BJ645" s="25"/>
      <c r="BK645" s="25"/>
      <c r="BL645" s="25"/>
      <c r="BM645" s="25"/>
      <c r="BN645" s="25"/>
      <c r="BO645" s="25"/>
      <c r="BP645" s="25"/>
      <c r="BQ645" s="25"/>
      <c r="BR645" s="25"/>
      <c r="BS645" s="25"/>
      <c r="BT645" s="25"/>
      <c r="BU645" s="39">
        <v>45356</v>
      </c>
      <c r="BV645" s="39" t="s">
        <v>1706</v>
      </c>
      <c r="BW645" s="39" t="s">
        <v>2874</v>
      </c>
      <c r="BX645" s="39" t="s">
        <v>2853</v>
      </c>
      <c r="BY645" s="71">
        <v>890</v>
      </c>
      <c r="BZ645" s="71">
        <v>970</v>
      </c>
      <c r="CA645" s="71">
        <v>1220</v>
      </c>
      <c r="CB645" s="71">
        <v>1580</v>
      </c>
      <c r="CC645" s="71">
        <v>1740</v>
      </c>
      <c r="CD645" s="25"/>
      <c r="CE645" s="200"/>
      <c r="CF645" s="200"/>
      <c r="CG645" s="200"/>
      <c r="CH645" s="200"/>
      <c r="CI645" s="200"/>
      <c r="CJ645" s="200"/>
      <c r="CK645" s="200"/>
      <c r="CL645" s="200"/>
      <c r="CM645" s="200"/>
      <c r="CN645" s="200"/>
      <c r="CO645" s="200"/>
      <c r="CP645" s="200"/>
      <c r="CQ645" s="200"/>
      <c r="CR645" s="200"/>
      <c r="CS645" s="200"/>
      <c r="CT645" s="200"/>
      <c r="CU645" s="200"/>
    </row>
    <row r="646" spans="1:99" s="17" customFormat="1" x14ac:dyDescent="0.2">
      <c r="A646" s="25"/>
      <c r="B646" s="20">
        <v>39025040405</v>
      </c>
      <c r="C646" s="20">
        <v>404.05</v>
      </c>
      <c r="D646" s="20" t="s">
        <v>19</v>
      </c>
      <c r="E646" s="20" t="s">
        <v>2828</v>
      </c>
      <c r="F646" s="20" t="s">
        <v>8</v>
      </c>
      <c r="G646" s="861">
        <v>61.175066656530603</v>
      </c>
      <c r="H646" s="861">
        <v>61.672035806484303</v>
      </c>
      <c r="I646" s="861">
        <v>24.948428948764899</v>
      </c>
      <c r="J646" s="861">
        <v>57.722956156827301</v>
      </c>
      <c r="K646" s="982">
        <v>0</v>
      </c>
      <c r="L646" s="735">
        <v>2848</v>
      </c>
      <c r="M646" s="735">
        <v>3566</v>
      </c>
      <c r="N646" s="845">
        <f t="shared" si="58"/>
        <v>0.2521067415730337</v>
      </c>
      <c r="O646" s="735">
        <v>1.9812697132420427</v>
      </c>
      <c r="P646" s="735">
        <f t="shared" si="59"/>
        <v>1799.8559086459713</v>
      </c>
      <c r="Q646" s="849">
        <v>43.7</v>
      </c>
      <c r="R646" s="71">
        <v>118125</v>
      </c>
      <c r="S646" s="845">
        <v>1.7892644135188866E-2</v>
      </c>
      <c r="T646" s="845">
        <v>4.0999999999999995E-2</v>
      </c>
      <c r="U646" s="845">
        <v>0</v>
      </c>
      <c r="V646" s="845">
        <v>0</v>
      </c>
      <c r="W646" s="845">
        <v>0.35965541995692751</v>
      </c>
      <c r="X646" s="845">
        <v>0.28542914171656686</v>
      </c>
      <c r="Y646" s="845">
        <v>0.76836791923724057</v>
      </c>
      <c r="Z646" s="845">
        <v>5.3561413348289399E-2</v>
      </c>
      <c r="AA646" s="845">
        <v>1.6825574873808188E-3</v>
      </c>
      <c r="AB646" s="845">
        <v>3.3370723499719576E-2</v>
      </c>
      <c r="AC646" s="845">
        <v>0</v>
      </c>
      <c r="AD646" s="845">
        <v>5.3280987100392599E-3</v>
      </c>
      <c r="AE646" s="845">
        <v>0.13768928771733036</v>
      </c>
      <c r="AF646" s="845">
        <v>6.3376332024677504E-2</v>
      </c>
      <c r="AG646" s="845">
        <v>0.75911385305664614</v>
      </c>
      <c r="AH646" s="20" t="str">
        <f t="shared" si="60"/>
        <v>No</v>
      </c>
      <c r="AI646" s="25"/>
      <c r="AJ646" s="37">
        <v>43016</v>
      </c>
      <c r="AK646" s="37" t="s">
        <v>742</v>
      </c>
      <c r="AL646" s="37">
        <v>39159</v>
      </c>
      <c r="AM646" s="37" t="s">
        <v>85</v>
      </c>
      <c r="AN646" s="37">
        <f t="shared" si="61"/>
        <v>18140</v>
      </c>
      <c r="AO646" s="37" t="str">
        <f t="shared" si="62"/>
        <v>Columbus, OH</v>
      </c>
      <c r="AP646" s="37" t="s">
        <v>8</v>
      </c>
      <c r="AQ646" s="25"/>
      <c r="AR646" s="25"/>
      <c r="AS646" s="25"/>
      <c r="AT646" s="25"/>
      <c r="AU646" s="36"/>
      <c r="AV646" s="36"/>
      <c r="AW646" s="36"/>
      <c r="AX646" s="25"/>
      <c r="AY646" s="25"/>
      <c r="AZ646" s="25"/>
      <c r="BA646" s="25"/>
      <c r="BB646" s="25"/>
      <c r="BC646" s="25"/>
      <c r="BD646" s="25"/>
      <c r="BE646" s="25"/>
      <c r="BF646" s="25"/>
      <c r="BG646" s="25"/>
      <c r="BH646" s="25"/>
      <c r="BI646" s="25"/>
      <c r="BJ646" s="25"/>
      <c r="BK646" s="25"/>
      <c r="BL646" s="25"/>
      <c r="BM646" s="25"/>
      <c r="BN646" s="25"/>
      <c r="BO646" s="25"/>
      <c r="BP646" s="25"/>
      <c r="BQ646" s="25"/>
      <c r="BR646" s="25"/>
      <c r="BS646" s="25"/>
      <c r="BT646" s="25"/>
      <c r="BU646" s="39">
        <v>45359</v>
      </c>
      <c r="BV646" s="39" t="s">
        <v>1708</v>
      </c>
      <c r="BW646" s="39" t="s">
        <v>2874</v>
      </c>
      <c r="BX646" s="39" t="s">
        <v>2853</v>
      </c>
      <c r="BY646" s="71">
        <v>710</v>
      </c>
      <c r="BZ646" s="71">
        <v>770</v>
      </c>
      <c r="CA646" s="71">
        <v>970</v>
      </c>
      <c r="CB646" s="71">
        <v>1260</v>
      </c>
      <c r="CC646" s="71">
        <v>1390</v>
      </c>
      <c r="CD646" s="25"/>
      <c r="CE646" s="200"/>
      <c r="CF646" s="200"/>
      <c r="CG646" s="200"/>
      <c r="CH646" s="200"/>
      <c r="CI646" s="200"/>
      <c r="CJ646" s="200"/>
      <c r="CK646" s="200"/>
      <c r="CL646" s="200"/>
      <c r="CM646" s="200"/>
      <c r="CN646" s="200"/>
      <c r="CO646" s="200"/>
      <c r="CP646" s="200"/>
      <c r="CQ646" s="200"/>
      <c r="CR646" s="200"/>
      <c r="CS646" s="200"/>
      <c r="CT646" s="200"/>
      <c r="CU646" s="200"/>
    </row>
    <row r="647" spans="1:99" s="17" customFormat="1" x14ac:dyDescent="0.2">
      <c r="A647" s="25"/>
      <c r="B647" s="20">
        <v>39035173106</v>
      </c>
      <c r="C647" s="20">
        <v>1731.06</v>
      </c>
      <c r="D647" s="20" t="s">
        <v>24</v>
      </c>
      <c r="E647" s="20" t="s">
        <v>2829</v>
      </c>
      <c r="F647" s="20" t="s">
        <v>8</v>
      </c>
      <c r="G647" s="861">
        <v>61.100433707838803</v>
      </c>
      <c r="H647" s="861">
        <v>63.335696327834803</v>
      </c>
      <c r="I647" s="861">
        <v>24.418837241524599</v>
      </c>
      <c r="J647" s="861">
        <v>39.538745072668597</v>
      </c>
      <c r="K647" s="982">
        <v>0</v>
      </c>
      <c r="L647" s="735">
        <v>3784</v>
      </c>
      <c r="M647" s="735">
        <v>3991</v>
      </c>
      <c r="N647" s="845">
        <f t="shared" si="58"/>
        <v>5.4704016913319241E-2</v>
      </c>
      <c r="O647" s="735">
        <v>0.90718370131822734</v>
      </c>
      <c r="P647" s="735">
        <f t="shared" si="59"/>
        <v>4399.3294789144511</v>
      </c>
      <c r="Q647" s="849">
        <v>34.9</v>
      </c>
      <c r="R647" s="71">
        <v>79808</v>
      </c>
      <c r="S647" s="845">
        <v>4.8431618569636133E-2</v>
      </c>
      <c r="T647" s="845">
        <v>2.3E-2</v>
      </c>
      <c r="U647" s="845">
        <v>3.6000000000000004E-2</v>
      </c>
      <c r="V647" s="845">
        <v>5.5E-2</v>
      </c>
      <c r="W647" s="845">
        <v>0.63395810363836824</v>
      </c>
      <c r="X647" s="845">
        <v>0.26521739130434785</v>
      </c>
      <c r="Y647" s="845">
        <v>0.55449761964419941</v>
      </c>
      <c r="Z647" s="845">
        <v>2.8063142069656728E-2</v>
      </c>
      <c r="AA647" s="845">
        <v>0</v>
      </c>
      <c r="AB647" s="845">
        <v>0.29391130042595842</v>
      </c>
      <c r="AC647" s="845">
        <v>0</v>
      </c>
      <c r="AD647" s="845">
        <v>1.8792282635930843E-2</v>
      </c>
      <c r="AE647" s="845">
        <v>0.10473565522425457</v>
      </c>
      <c r="AF647" s="845">
        <v>0.10874467551991981</v>
      </c>
      <c r="AG647" s="845">
        <v>0.52668504134302185</v>
      </c>
      <c r="AH647" s="20" t="str">
        <f t="shared" si="60"/>
        <v>No</v>
      </c>
      <c r="AI647" s="25"/>
      <c r="AJ647" s="37">
        <v>43017</v>
      </c>
      <c r="AK647" s="37" t="s">
        <v>743</v>
      </c>
      <c r="AL647" s="37">
        <v>39159</v>
      </c>
      <c r="AM647" s="37" t="s">
        <v>85</v>
      </c>
      <c r="AN647" s="37">
        <f t="shared" si="61"/>
        <v>18140</v>
      </c>
      <c r="AO647" s="37" t="str">
        <f t="shared" si="62"/>
        <v>Columbus, OH</v>
      </c>
      <c r="AP647" s="37" t="s">
        <v>8</v>
      </c>
      <c r="AQ647" s="25"/>
      <c r="AR647" s="25"/>
      <c r="AS647" s="25"/>
      <c r="AT647" s="25"/>
      <c r="AU647" s="36"/>
      <c r="AV647" s="36"/>
      <c r="AW647" s="36"/>
      <c r="AX647" s="25"/>
      <c r="AY647" s="25"/>
      <c r="AZ647" s="25"/>
      <c r="BA647" s="25"/>
      <c r="BB647" s="25"/>
      <c r="BC647" s="25"/>
      <c r="BD647" s="25"/>
      <c r="BE647" s="25"/>
      <c r="BF647" s="25"/>
      <c r="BG647" s="25"/>
      <c r="BH647" s="25"/>
      <c r="BI647" s="25"/>
      <c r="BJ647" s="25"/>
      <c r="BK647" s="25"/>
      <c r="BL647" s="25"/>
      <c r="BM647" s="25"/>
      <c r="BN647" s="25"/>
      <c r="BO647" s="25"/>
      <c r="BP647" s="25"/>
      <c r="BQ647" s="25"/>
      <c r="BR647" s="25"/>
      <c r="BS647" s="25"/>
      <c r="BT647" s="25"/>
      <c r="BU647" s="39">
        <v>45361</v>
      </c>
      <c r="BV647" s="39" t="s">
        <v>1710</v>
      </c>
      <c r="BW647" s="39" t="s">
        <v>2874</v>
      </c>
      <c r="BX647" s="39" t="s">
        <v>2853</v>
      </c>
      <c r="BY647" s="71">
        <v>1270</v>
      </c>
      <c r="BZ647" s="71">
        <v>1380</v>
      </c>
      <c r="CA647" s="71">
        <v>1740</v>
      </c>
      <c r="CB647" s="71">
        <v>2260</v>
      </c>
      <c r="CC647" s="71">
        <v>2480</v>
      </c>
      <c r="CD647" s="25"/>
      <c r="CE647" s="200"/>
      <c r="CF647" s="200"/>
      <c r="CG647" s="200"/>
      <c r="CH647" s="200"/>
      <c r="CI647" s="200"/>
      <c r="CJ647" s="200"/>
      <c r="CK647" s="200"/>
      <c r="CL647" s="200"/>
      <c r="CM647" s="200"/>
      <c r="CN647" s="200"/>
      <c r="CO647" s="200"/>
      <c r="CP647" s="200"/>
      <c r="CQ647" s="200"/>
      <c r="CR647" s="200"/>
      <c r="CS647" s="200"/>
      <c r="CT647" s="200"/>
      <c r="CU647" s="200"/>
    </row>
    <row r="648" spans="1:99" s="17" customFormat="1" x14ac:dyDescent="0.2">
      <c r="A648" s="25"/>
      <c r="B648" s="20">
        <v>39049009752</v>
      </c>
      <c r="C648" s="20">
        <v>97.52</v>
      </c>
      <c r="D648" s="20" t="s">
        <v>31</v>
      </c>
      <c r="E648" s="20" t="s">
        <v>2830</v>
      </c>
      <c r="F648" s="20" t="s">
        <v>8</v>
      </c>
      <c r="G648" s="861">
        <v>61.0876035459112</v>
      </c>
      <c r="H648" s="861">
        <v>68.855986861754502</v>
      </c>
      <c r="I648" s="861">
        <v>17.269350417764901</v>
      </c>
      <c r="J648" s="861">
        <v>58.642695899503998</v>
      </c>
      <c r="K648" s="982">
        <v>0</v>
      </c>
      <c r="L648" s="735">
        <v>6077</v>
      </c>
      <c r="M648" s="735">
        <v>7133</v>
      </c>
      <c r="N648" s="845">
        <f t="shared" si="58"/>
        <v>0.17376995227908507</v>
      </c>
      <c r="O648" s="735">
        <v>3.1354078301154829</v>
      </c>
      <c r="P648" s="735">
        <f t="shared" si="59"/>
        <v>2274.9831557757125</v>
      </c>
      <c r="Q648" s="849">
        <v>40.200000000000003</v>
      </c>
      <c r="R648" s="71">
        <v>107737</v>
      </c>
      <c r="S648" s="845">
        <v>2.2991728585447919E-2</v>
      </c>
      <c r="T648" s="845">
        <v>0.04</v>
      </c>
      <c r="U648" s="845">
        <v>0</v>
      </c>
      <c r="V648" s="845">
        <v>0</v>
      </c>
      <c r="W648" s="845">
        <v>0.11294462779611295</v>
      </c>
      <c r="X648" s="845">
        <v>6.8181818181818177E-2</v>
      </c>
      <c r="Y648" s="845">
        <v>0.82167390999579415</v>
      </c>
      <c r="Z648" s="845">
        <v>2.6216178326090005E-2</v>
      </c>
      <c r="AA648" s="845">
        <v>5.6077386793775409E-4</v>
      </c>
      <c r="AB648" s="845">
        <v>4.5422683302958081E-2</v>
      </c>
      <c r="AC648" s="845">
        <v>0</v>
      </c>
      <c r="AD648" s="845">
        <v>3.028178886863872E-2</v>
      </c>
      <c r="AE648" s="845">
        <v>7.5844665638581249E-2</v>
      </c>
      <c r="AF648" s="845">
        <v>7.3881957100799103E-2</v>
      </c>
      <c r="AG648" s="845">
        <v>0.780036450301416</v>
      </c>
      <c r="AH648" s="20" t="str">
        <f t="shared" si="60"/>
        <v>No</v>
      </c>
      <c r="AI648" s="25"/>
      <c r="AJ648" s="37">
        <v>43029</v>
      </c>
      <c r="AK648" s="37" t="s">
        <v>753</v>
      </c>
      <c r="AL648" s="37">
        <v>39159</v>
      </c>
      <c r="AM648" s="37" t="s">
        <v>85</v>
      </c>
      <c r="AN648" s="37">
        <f t="shared" si="61"/>
        <v>18140</v>
      </c>
      <c r="AO648" s="37" t="str">
        <f t="shared" si="62"/>
        <v>Columbus, OH</v>
      </c>
      <c r="AP648" s="37" t="s">
        <v>8</v>
      </c>
      <c r="AQ648" s="25"/>
      <c r="AR648" s="25"/>
      <c r="AS648" s="25"/>
      <c r="AT648" s="25"/>
      <c r="AU648" s="36"/>
      <c r="AV648" s="36"/>
      <c r="AW648" s="36"/>
      <c r="AX648" s="25"/>
      <c r="AY648" s="25"/>
      <c r="AZ648" s="25"/>
      <c r="BA648" s="25"/>
      <c r="BB648" s="25"/>
      <c r="BC648" s="25"/>
      <c r="BD648" s="25"/>
      <c r="BE648" s="25"/>
      <c r="BF648" s="25"/>
      <c r="BG648" s="25"/>
      <c r="BH648" s="25"/>
      <c r="BI648" s="25"/>
      <c r="BJ648" s="25"/>
      <c r="BK648" s="25"/>
      <c r="BL648" s="25"/>
      <c r="BM648" s="25"/>
      <c r="BN648" s="25"/>
      <c r="BO648" s="25"/>
      <c r="BP648" s="25"/>
      <c r="BQ648" s="25"/>
      <c r="BR648" s="25"/>
      <c r="BS648" s="25"/>
      <c r="BT648" s="25"/>
      <c r="BU648" s="39">
        <v>45365</v>
      </c>
      <c r="BV648" s="39" t="s">
        <v>1713</v>
      </c>
      <c r="BW648" s="39" t="s">
        <v>2874</v>
      </c>
      <c r="BX648" s="39" t="s">
        <v>2853</v>
      </c>
      <c r="BY648" s="71">
        <v>710</v>
      </c>
      <c r="BZ648" s="71">
        <v>780</v>
      </c>
      <c r="CA648" s="71">
        <v>1020</v>
      </c>
      <c r="CB648" s="71">
        <v>1370</v>
      </c>
      <c r="CC648" s="71">
        <v>1430</v>
      </c>
      <c r="CD648" s="25"/>
      <c r="CE648" s="200"/>
      <c r="CF648" s="200"/>
      <c r="CG648" s="200"/>
      <c r="CH648" s="200"/>
      <c r="CI648" s="200"/>
      <c r="CJ648" s="200"/>
      <c r="CK648" s="200"/>
      <c r="CL648" s="200"/>
      <c r="CM648" s="200"/>
      <c r="CN648" s="200"/>
      <c r="CO648" s="200"/>
      <c r="CP648" s="200"/>
      <c r="CQ648" s="200"/>
      <c r="CR648" s="200"/>
      <c r="CS648" s="200"/>
      <c r="CT648" s="200"/>
      <c r="CU648" s="200"/>
    </row>
    <row r="649" spans="1:99" s="17" customFormat="1" x14ac:dyDescent="0.2">
      <c r="A649" s="25"/>
      <c r="B649" s="20">
        <v>39035184108</v>
      </c>
      <c r="C649" s="20">
        <v>1841.08</v>
      </c>
      <c r="D649" s="20" t="s">
        <v>24</v>
      </c>
      <c r="E649" s="20" t="s">
        <v>2829</v>
      </c>
      <c r="F649" s="20" t="s">
        <v>8</v>
      </c>
      <c r="G649" s="861">
        <v>61.076634050644699</v>
      </c>
      <c r="H649" s="861">
        <v>56.225981620415702</v>
      </c>
      <c r="I649" s="861">
        <v>30.878091770860198</v>
      </c>
      <c r="J649" s="861">
        <v>50.693098400695099</v>
      </c>
      <c r="K649" s="982">
        <v>0</v>
      </c>
      <c r="L649" s="735">
        <v>7324</v>
      </c>
      <c r="M649" s="735">
        <v>7162</v>
      </c>
      <c r="N649" s="845">
        <f t="shared" si="58"/>
        <v>-2.2119060622610594E-2</v>
      </c>
      <c r="O649" s="735">
        <v>7.0518497476808886</v>
      </c>
      <c r="P649" s="735">
        <f t="shared" si="59"/>
        <v>1015.620050945546</v>
      </c>
      <c r="Q649" s="849">
        <v>47.7</v>
      </c>
      <c r="R649" s="71">
        <v>135562</v>
      </c>
      <c r="S649" s="845">
        <v>2.7645908963976541E-2</v>
      </c>
      <c r="T649" s="845">
        <v>2.1000000000000001E-2</v>
      </c>
      <c r="U649" s="845">
        <v>0</v>
      </c>
      <c r="V649" s="845">
        <v>0</v>
      </c>
      <c r="W649" s="845">
        <v>0.21551724137931033</v>
      </c>
      <c r="X649" s="845">
        <v>0.68</v>
      </c>
      <c r="Y649" s="845">
        <v>0.61449315833566043</v>
      </c>
      <c r="Z649" s="845">
        <v>0.10960625523596761</v>
      </c>
      <c r="AA649" s="845">
        <v>2.6528902541189613E-3</v>
      </c>
      <c r="AB649" s="845">
        <v>0.21055571069533649</v>
      </c>
      <c r="AC649" s="845">
        <v>1.9547612398771292E-3</v>
      </c>
      <c r="AD649" s="845">
        <v>1.2147444847807875E-2</v>
      </c>
      <c r="AE649" s="845">
        <v>4.8589779391231498E-2</v>
      </c>
      <c r="AF649" s="845">
        <v>4.9427534208321695E-2</v>
      </c>
      <c r="AG649" s="845">
        <v>0.60904775202457417</v>
      </c>
      <c r="AH649" s="20" t="str">
        <f t="shared" si="60"/>
        <v>No</v>
      </c>
      <c r="AI649" s="25"/>
      <c r="AJ649" s="37">
        <v>43036</v>
      </c>
      <c r="AK649" s="37" t="s">
        <v>759</v>
      </c>
      <c r="AL649" s="37">
        <v>39159</v>
      </c>
      <c r="AM649" s="37" t="s">
        <v>85</v>
      </c>
      <c r="AN649" s="37">
        <f t="shared" si="61"/>
        <v>18140</v>
      </c>
      <c r="AO649" s="37" t="str">
        <f t="shared" si="62"/>
        <v>Columbus, OH</v>
      </c>
      <c r="AP649" s="37" t="s">
        <v>8</v>
      </c>
      <c r="AQ649" s="25"/>
      <c r="AR649" s="25"/>
      <c r="AS649" s="25"/>
      <c r="AT649" s="25"/>
      <c r="AU649" s="36"/>
      <c r="AV649" s="36"/>
      <c r="AW649" s="36"/>
      <c r="AX649" s="25"/>
      <c r="AY649" s="25"/>
      <c r="AZ649" s="25"/>
      <c r="BA649" s="25"/>
      <c r="BB649" s="25"/>
      <c r="BC649" s="25"/>
      <c r="BD649" s="25"/>
      <c r="BE649" s="25"/>
      <c r="BF649" s="25"/>
      <c r="BG649" s="25"/>
      <c r="BH649" s="25"/>
      <c r="BI649" s="25"/>
      <c r="BJ649" s="25"/>
      <c r="BK649" s="25"/>
      <c r="BL649" s="25"/>
      <c r="BM649" s="25"/>
      <c r="BN649" s="25"/>
      <c r="BO649" s="25"/>
      <c r="BP649" s="25"/>
      <c r="BQ649" s="25"/>
      <c r="BR649" s="25"/>
      <c r="BS649" s="25"/>
      <c r="BT649" s="25"/>
      <c r="BU649" s="39">
        <v>45368</v>
      </c>
      <c r="BV649" s="39" t="s">
        <v>1714</v>
      </c>
      <c r="BW649" s="39" t="s">
        <v>2874</v>
      </c>
      <c r="BX649" s="39" t="s">
        <v>2853</v>
      </c>
      <c r="BY649" s="71">
        <v>670</v>
      </c>
      <c r="BZ649" s="71">
        <v>740</v>
      </c>
      <c r="CA649" s="71">
        <v>970</v>
      </c>
      <c r="CB649" s="71">
        <v>1190</v>
      </c>
      <c r="CC649" s="71">
        <v>1380</v>
      </c>
      <c r="CD649" s="25"/>
      <c r="CE649" s="200"/>
      <c r="CF649" s="200"/>
      <c r="CG649" s="200"/>
      <c r="CH649" s="200"/>
      <c r="CI649" s="200"/>
      <c r="CJ649" s="200"/>
      <c r="CK649" s="200"/>
      <c r="CL649" s="200"/>
      <c r="CM649" s="200"/>
      <c r="CN649" s="200"/>
      <c r="CO649" s="200"/>
      <c r="CP649" s="200"/>
      <c r="CQ649" s="200"/>
      <c r="CR649" s="200"/>
      <c r="CS649" s="200"/>
      <c r="CT649" s="200"/>
      <c r="CU649" s="200"/>
    </row>
    <row r="650" spans="1:99" s="17" customFormat="1" x14ac:dyDescent="0.2">
      <c r="A650" s="25"/>
      <c r="B650" s="20">
        <v>39045031401</v>
      </c>
      <c r="C650" s="20">
        <v>314.01</v>
      </c>
      <c r="D650" s="20" t="s">
        <v>29</v>
      </c>
      <c r="E650" s="20" t="s">
        <v>2830</v>
      </c>
      <c r="F650" s="20" t="s">
        <v>8</v>
      </c>
      <c r="G650" s="861">
        <v>61.067795902904997</v>
      </c>
      <c r="H650" s="861">
        <v>61.179757190913001</v>
      </c>
      <c r="I650" s="861">
        <v>19.250726161197701</v>
      </c>
      <c r="J650" s="861">
        <v>57.472490293207898</v>
      </c>
      <c r="K650" s="982">
        <v>0</v>
      </c>
      <c r="L650" s="735" t="s">
        <v>2466</v>
      </c>
      <c r="M650" s="735">
        <v>2300</v>
      </c>
      <c r="N650" s="845" t="str">
        <f t="shared" si="58"/>
        <v/>
      </c>
      <c r="O650" s="735">
        <v>4.3350318700883923</v>
      </c>
      <c r="P650" s="735">
        <f t="shared" si="59"/>
        <v>530.56126665871602</v>
      </c>
      <c r="Q650" s="849">
        <v>46.6</v>
      </c>
      <c r="R650" s="71">
        <v>102604</v>
      </c>
      <c r="S650" s="845">
        <v>2.7987561083962682E-2</v>
      </c>
      <c r="T650" s="845">
        <v>1.9E-2</v>
      </c>
      <c r="U650" s="845">
        <v>2.4E-2</v>
      </c>
      <c r="V650" s="845">
        <v>0.40799999999999997</v>
      </c>
      <c r="W650" s="845">
        <v>6.6812705366922229E-2</v>
      </c>
      <c r="X650" s="845">
        <v>0.62295081967213117</v>
      </c>
      <c r="Y650" s="845">
        <v>0.98434782608695648</v>
      </c>
      <c r="Z650" s="845">
        <v>5.6521739130434784E-3</v>
      </c>
      <c r="AA650" s="845">
        <v>2.6086956521739132E-3</v>
      </c>
      <c r="AB650" s="845">
        <v>0</v>
      </c>
      <c r="AC650" s="845">
        <v>0</v>
      </c>
      <c r="AD650" s="845">
        <v>1.3043478260869566E-3</v>
      </c>
      <c r="AE650" s="845">
        <v>6.0869565217391303E-3</v>
      </c>
      <c r="AF650" s="845">
        <v>5.1304347826086956E-2</v>
      </c>
      <c r="AG650" s="845">
        <v>0.93304347826086953</v>
      </c>
      <c r="AH650" s="20" t="str">
        <f t="shared" si="60"/>
        <v>Yes</v>
      </c>
      <c r="AI650" s="25"/>
      <c r="AJ650" s="37">
        <v>43040</v>
      </c>
      <c r="AK650" s="37" t="s">
        <v>761</v>
      </c>
      <c r="AL650" s="37">
        <v>39159</v>
      </c>
      <c r="AM650" s="37" t="s">
        <v>85</v>
      </c>
      <c r="AN650" s="37">
        <f t="shared" si="61"/>
        <v>18140</v>
      </c>
      <c r="AO650" s="37" t="str">
        <f t="shared" si="62"/>
        <v>Columbus, OH</v>
      </c>
      <c r="AP650" s="37" t="s">
        <v>8</v>
      </c>
      <c r="AQ650" s="25"/>
      <c r="AR650" s="25"/>
      <c r="AS650" s="25"/>
      <c r="AT650" s="25"/>
      <c r="AU650" s="36"/>
      <c r="AV650" s="36"/>
      <c r="AW650" s="36"/>
      <c r="AX650" s="25"/>
      <c r="AY650" s="25"/>
      <c r="AZ650" s="25"/>
      <c r="BA650" s="25"/>
      <c r="BB650" s="25"/>
      <c r="BC650" s="25"/>
      <c r="BD650" s="25"/>
      <c r="BE650" s="25"/>
      <c r="BF650" s="25"/>
      <c r="BG650" s="25"/>
      <c r="BH650" s="25"/>
      <c r="BI650" s="25"/>
      <c r="BJ650" s="25"/>
      <c r="BK650" s="25"/>
      <c r="BL650" s="25"/>
      <c r="BM650" s="25"/>
      <c r="BN650" s="25"/>
      <c r="BO650" s="25"/>
      <c r="BP650" s="25"/>
      <c r="BQ650" s="25"/>
      <c r="BR650" s="25"/>
      <c r="BS650" s="25"/>
      <c r="BT650" s="25"/>
      <c r="BU650" s="39">
        <v>45370</v>
      </c>
      <c r="BV650" s="39" t="s">
        <v>1716</v>
      </c>
      <c r="BW650" s="39" t="s">
        <v>2874</v>
      </c>
      <c r="BX650" s="39" t="s">
        <v>2853</v>
      </c>
      <c r="BY650" s="71">
        <v>870</v>
      </c>
      <c r="BZ650" s="71">
        <v>950</v>
      </c>
      <c r="CA650" s="71">
        <v>1200</v>
      </c>
      <c r="CB650" s="71">
        <v>1560</v>
      </c>
      <c r="CC650" s="71">
        <v>1710</v>
      </c>
      <c r="CD650" s="25"/>
      <c r="CE650" s="200"/>
      <c r="CF650" s="200"/>
      <c r="CG650" s="200"/>
      <c r="CH650" s="200"/>
      <c r="CI650" s="200"/>
      <c r="CJ650" s="200"/>
      <c r="CK650" s="200"/>
      <c r="CL650" s="200"/>
      <c r="CM650" s="200"/>
      <c r="CN650" s="200"/>
      <c r="CO650" s="200"/>
      <c r="CP650" s="200"/>
      <c r="CQ650" s="200"/>
      <c r="CR650" s="200"/>
      <c r="CS650" s="200"/>
      <c r="CT650" s="200"/>
      <c r="CU650" s="200"/>
    </row>
    <row r="651" spans="1:99" s="17" customFormat="1" x14ac:dyDescent="0.2">
      <c r="A651" s="25"/>
      <c r="B651" s="20">
        <v>39057255000</v>
      </c>
      <c r="C651" s="20">
        <v>2550</v>
      </c>
      <c r="D651" s="20" t="s">
        <v>35</v>
      </c>
      <c r="E651" s="20" t="s">
        <v>2833</v>
      </c>
      <c r="F651" s="20" t="s">
        <v>8</v>
      </c>
      <c r="G651" s="861">
        <v>61.055383840957198</v>
      </c>
      <c r="H651" s="861">
        <v>62.734727164433899</v>
      </c>
      <c r="I651" s="861">
        <v>35.914792462265403</v>
      </c>
      <c r="J651" s="861">
        <v>63.483651153065701</v>
      </c>
      <c r="K651" s="982">
        <v>0</v>
      </c>
      <c r="L651" s="735">
        <v>3454</v>
      </c>
      <c r="M651" s="735">
        <v>3519</v>
      </c>
      <c r="N651" s="845">
        <f t="shared" ref="N651:N714" si="63">IF(OR(L651="",M651=""),"",(M651-L651)/L651)</f>
        <v>1.8818760856977416E-2</v>
      </c>
      <c r="O651" s="735">
        <v>2.4949906044163268</v>
      </c>
      <c r="P651" s="735">
        <f t="shared" ref="P651:P714" si="64">M651/O651</f>
        <v>1410.4261530168078</v>
      </c>
      <c r="Q651" s="849">
        <v>53.9</v>
      </c>
      <c r="R651" s="71">
        <v>71406</v>
      </c>
      <c r="S651" s="845">
        <v>6.5274919141428994E-2</v>
      </c>
      <c r="T651" s="845">
        <v>5.5999999999999994E-2</v>
      </c>
      <c r="U651" s="845">
        <v>0</v>
      </c>
      <c r="V651" s="845">
        <v>0</v>
      </c>
      <c r="W651" s="845">
        <v>0.35512465373961216</v>
      </c>
      <c r="X651" s="845">
        <v>0.41029641185647425</v>
      </c>
      <c r="Y651" s="845">
        <v>0.85223074737141236</v>
      </c>
      <c r="Z651" s="845">
        <v>7.7010514350667802E-2</v>
      </c>
      <c r="AA651" s="845">
        <v>0</v>
      </c>
      <c r="AB651" s="845">
        <v>0</v>
      </c>
      <c r="AC651" s="845">
        <v>0</v>
      </c>
      <c r="AD651" s="845">
        <v>8.5251491901108269E-4</v>
      </c>
      <c r="AE651" s="845">
        <v>6.9906223358908781E-2</v>
      </c>
      <c r="AF651" s="845">
        <v>3.3248081841432228E-2</v>
      </c>
      <c r="AG651" s="845">
        <v>0.84143222506393867</v>
      </c>
      <c r="AH651" s="20" t="str">
        <f t="shared" ref="AH651:AH714" si="65">IF(AG651&gt;=0.9,"Yes","No")</f>
        <v>No</v>
      </c>
      <c r="AI651" s="25"/>
      <c r="AJ651" s="37">
        <v>43045</v>
      </c>
      <c r="AK651" s="37" t="s">
        <v>763</v>
      </c>
      <c r="AL651" s="37">
        <v>39159</v>
      </c>
      <c r="AM651" s="37" t="s">
        <v>85</v>
      </c>
      <c r="AN651" s="37">
        <f t="shared" ref="AN651:AN714" si="66">VLOOKUP(AM651,$CY$11:$DA$98,2,FALSE)</f>
        <v>18140</v>
      </c>
      <c r="AO651" s="37" t="str">
        <f t="shared" ref="AO651:AO714" si="67">VLOOKUP(AM651,$CY$11:$DA$98,3,FALSE)</f>
        <v>Columbus, OH</v>
      </c>
      <c r="AP651" s="37" t="s">
        <v>8</v>
      </c>
      <c r="AQ651" s="25"/>
      <c r="AR651" s="25"/>
      <c r="AS651" s="25"/>
      <c r="AT651" s="25"/>
      <c r="AU651" s="36"/>
      <c r="AV651" s="36"/>
      <c r="AW651" s="36"/>
      <c r="AX651" s="25"/>
      <c r="AY651" s="25"/>
      <c r="AZ651" s="25"/>
      <c r="BA651" s="25"/>
      <c r="BB651" s="25"/>
      <c r="BC651" s="25"/>
      <c r="BD651" s="25"/>
      <c r="BE651" s="25"/>
      <c r="BF651" s="25"/>
      <c r="BG651" s="25"/>
      <c r="BH651" s="25"/>
      <c r="BI651" s="25"/>
      <c r="BJ651" s="25"/>
      <c r="BK651" s="25"/>
      <c r="BL651" s="25"/>
      <c r="BM651" s="25"/>
      <c r="BN651" s="25"/>
      <c r="BO651" s="25"/>
      <c r="BP651" s="25"/>
      <c r="BQ651" s="25"/>
      <c r="BR651" s="25"/>
      <c r="BS651" s="25"/>
      <c r="BT651" s="25"/>
      <c r="BU651" s="39">
        <v>45371</v>
      </c>
      <c r="BV651" s="39" t="s">
        <v>1717</v>
      </c>
      <c r="BW651" s="39" t="s">
        <v>2874</v>
      </c>
      <c r="BX651" s="39" t="s">
        <v>2853</v>
      </c>
      <c r="BY651" s="71">
        <v>1030</v>
      </c>
      <c r="BZ651" s="71">
        <v>1120</v>
      </c>
      <c r="CA651" s="71">
        <v>1410</v>
      </c>
      <c r="CB651" s="71">
        <v>1830</v>
      </c>
      <c r="CC651" s="71">
        <v>2010</v>
      </c>
      <c r="CD651" s="25"/>
      <c r="CE651" s="200"/>
      <c r="CF651" s="200"/>
      <c r="CG651" s="200"/>
      <c r="CH651" s="200"/>
      <c r="CI651" s="200"/>
      <c r="CJ651" s="200"/>
      <c r="CK651" s="200"/>
      <c r="CL651" s="200"/>
      <c r="CM651" s="200"/>
      <c r="CN651" s="200"/>
      <c r="CO651" s="200"/>
      <c r="CP651" s="200"/>
      <c r="CQ651" s="200"/>
      <c r="CR651" s="200"/>
      <c r="CS651" s="200"/>
      <c r="CT651" s="200"/>
      <c r="CU651" s="200"/>
    </row>
    <row r="652" spans="1:99" s="17" customFormat="1" x14ac:dyDescent="0.2">
      <c r="A652" s="25"/>
      <c r="B652" s="20">
        <v>39037500100</v>
      </c>
      <c r="C652" s="20">
        <v>5001</v>
      </c>
      <c r="D652" s="20" t="s">
        <v>25</v>
      </c>
      <c r="E652" s="20" t="s">
        <v>265</v>
      </c>
      <c r="F652" s="20" t="s">
        <v>8</v>
      </c>
      <c r="G652" s="861">
        <v>61.016743519212604</v>
      </c>
      <c r="H652" s="861">
        <v>52.474663727932402</v>
      </c>
      <c r="I652" s="861">
        <v>13.975510995774</v>
      </c>
      <c r="J652" s="861">
        <v>57.9283118543363</v>
      </c>
      <c r="K652" s="982">
        <v>0</v>
      </c>
      <c r="L652" s="735">
        <v>4029</v>
      </c>
      <c r="M652" s="735">
        <v>3963</v>
      </c>
      <c r="N652" s="845">
        <f t="shared" si="63"/>
        <v>-1.6381236038719285E-2</v>
      </c>
      <c r="O652" s="735">
        <v>106.77559751422952</v>
      </c>
      <c r="P652" s="735">
        <f t="shared" si="64"/>
        <v>37.115221944525935</v>
      </c>
      <c r="Q652" s="849">
        <v>42.2</v>
      </c>
      <c r="R652" s="71">
        <v>88304</v>
      </c>
      <c r="S652" s="845">
        <v>8.998988877654196E-2</v>
      </c>
      <c r="T652" s="845">
        <v>3.0000000000000001E-3</v>
      </c>
      <c r="U652" s="845">
        <v>0</v>
      </c>
      <c r="V652" s="845">
        <v>0</v>
      </c>
      <c r="W652" s="845">
        <v>0.11764705882352941</v>
      </c>
      <c r="X652" s="845">
        <v>0.22222222222222221</v>
      </c>
      <c r="Y652" s="845">
        <v>0.95811254100428966</v>
      </c>
      <c r="Z652" s="845">
        <v>2.7756749936916479E-2</v>
      </c>
      <c r="AA652" s="845">
        <v>0</v>
      </c>
      <c r="AB652" s="845">
        <v>1.2616704516780217E-3</v>
      </c>
      <c r="AC652" s="845">
        <v>0</v>
      </c>
      <c r="AD652" s="845">
        <v>2.0186727226848347E-3</v>
      </c>
      <c r="AE652" s="845">
        <v>1.0850365884430987E-2</v>
      </c>
      <c r="AF652" s="845">
        <v>2.0186727226848347E-3</v>
      </c>
      <c r="AG652" s="845">
        <v>0.95811254100428966</v>
      </c>
      <c r="AH652" s="20" t="str">
        <f t="shared" si="65"/>
        <v>Yes</v>
      </c>
      <c r="AI652" s="25"/>
      <c r="AJ652" s="37">
        <v>43060</v>
      </c>
      <c r="AK652" s="37" t="s">
        <v>770</v>
      </c>
      <c r="AL652" s="37">
        <v>39159</v>
      </c>
      <c r="AM652" s="37" t="s">
        <v>85</v>
      </c>
      <c r="AN652" s="37">
        <f t="shared" si="66"/>
        <v>18140</v>
      </c>
      <c r="AO652" s="37" t="str">
        <f t="shared" si="67"/>
        <v>Columbus, OH</v>
      </c>
      <c r="AP652" s="37" t="s">
        <v>8</v>
      </c>
      <c r="AQ652" s="25"/>
      <c r="AR652" s="25"/>
      <c r="AS652" s="25"/>
      <c r="AT652" s="25"/>
      <c r="AU652" s="36"/>
      <c r="AV652" s="36"/>
      <c r="AW652" s="36"/>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39">
        <v>45373</v>
      </c>
      <c r="BV652" s="39" t="s">
        <v>1719</v>
      </c>
      <c r="BW652" s="39" t="s">
        <v>2874</v>
      </c>
      <c r="BX652" s="39" t="s">
        <v>2853</v>
      </c>
      <c r="BY652" s="71">
        <v>870</v>
      </c>
      <c r="BZ652" s="71">
        <v>940</v>
      </c>
      <c r="CA652" s="71">
        <v>1190</v>
      </c>
      <c r="CB652" s="71">
        <v>1540</v>
      </c>
      <c r="CC652" s="71">
        <v>1700</v>
      </c>
      <c r="CD652" s="25"/>
      <c r="CE652" s="200"/>
      <c r="CF652" s="200"/>
      <c r="CG652" s="200"/>
      <c r="CH652" s="200"/>
      <c r="CI652" s="200"/>
      <c r="CJ652" s="200"/>
      <c r="CK652" s="200"/>
      <c r="CL652" s="200"/>
      <c r="CM652" s="200"/>
      <c r="CN652" s="200"/>
      <c r="CO652" s="200"/>
      <c r="CP652" s="200"/>
      <c r="CQ652" s="200"/>
      <c r="CR652" s="200"/>
      <c r="CS652" s="200"/>
      <c r="CT652" s="200"/>
      <c r="CU652" s="200"/>
    </row>
    <row r="653" spans="1:99" s="17" customFormat="1" x14ac:dyDescent="0.2">
      <c r="A653" s="25"/>
      <c r="B653" s="20">
        <v>39097040102</v>
      </c>
      <c r="C653" s="20">
        <v>401.02</v>
      </c>
      <c r="D653" s="20" t="s">
        <v>54</v>
      </c>
      <c r="E653" s="20" t="s">
        <v>2830</v>
      </c>
      <c r="F653" s="20" t="s">
        <v>8</v>
      </c>
      <c r="G653" s="861">
        <v>60.981530890325601</v>
      </c>
      <c r="H653" s="861">
        <v>66.164567037059101</v>
      </c>
      <c r="I653" s="861">
        <v>28.071038402289801</v>
      </c>
      <c r="J653" s="861">
        <v>39.775066862892302</v>
      </c>
      <c r="K653" s="982">
        <v>0</v>
      </c>
      <c r="L653" s="735">
        <v>5137</v>
      </c>
      <c r="M653" s="735">
        <v>5186</v>
      </c>
      <c r="N653" s="845">
        <f t="shared" si="63"/>
        <v>9.5386412302900531E-3</v>
      </c>
      <c r="O653" s="735">
        <v>24.00352525170473</v>
      </c>
      <c r="P653" s="735">
        <f t="shared" si="64"/>
        <v>216.05159848892157</v>
      </c>
      <c r="Q653" s="849">
        <v>34.9</v>
      </c>
      <c r="R653" s="71">
        <v>99227</v>
      </c>
      <c r="S653" s="845">
        <v>6.2149080348499516E-2</v>
      </c>
      <c r="T653" s="845">
        <v>3.7999999999999999E-2</v>
      </c>
      <c r="U653" s="845">
        <v>0</v>
      </c>
      <c r="V653" s="845">
        <v>6.4000000000000001E-2</v>
      </c>
      <c r="W653" s="845">
        <v>0.157765801077903</v>
      </c>
      <c r="X653" s="845">
        <v>0.42236024844720499</v>
      </c>
      <c r="Y653" s="845">
        <v>0.95082915541843427</v>
      </c>
      <c r="Z653" s="845">
        <v>0</v>
      </c>
      <c r="AA653" s="845">
        <v>0</v>
      </c>
      <c r="AB653" s="845">
        <v>0</v>
      </c>
      <c r="AC653" s="845">
        <v>0</v>
      </c>
      <c r="AD653" s="845">
        <v>0</v>
      </c>
      <c r="AE653" s="845">
        <v>4.9170844581565752E-2</v>
      </c>
      <c r="AF653" s="845">
        <v>4.627844195912071E-2</v>
      </c>
      <c r="AG653" s="845">
        <v>0.93790975703817969</v>
      </c>
      <c r="AH653" s="20" t="str">
        <f t="shared" si="65"/>
        <v>Yes</v>
      </c>
      <c r="AI653" s="25"/>
      <c r="AJ653" s="37">
        <v>43061</v>
      </c>
      <c r="AK653" s="37" t="s">
        <v>771</v>
      </c>
      <c r="AL653" s="37">
        <v>39159</v>
      </c>
      <c r="AM653" s="37" t="s">
        <v>85</v>
      </c>
      <c r="AN653" s="37">
        <f t="shared" si="66"/>
        <v>18140</v>
      </c>
      <c r="AO653" s="37" t="str">
        <f t="shared" si="67"/>
        <v>Columbus, OH</v>
      </c>
      <c r="AP653" s="37" t="s">
        <v>8</v>
      </c>
      <c r="AQ653" s="25"/>
      <c r="AR653" s="25"/>
      <c r="AS653" s="25"/>
      <c r="AT653" s="25"/>
      <c r="AU653" s="36"/>
      <c r="AV653" s="36"/>
      <c r="AW653" s="36"/>
      <c r="AX653" s="25"/>
      <c r="AY653" s="25"/>
      <c r="AZ653" s="25"/>
      <c r="BA653" s="25"/>
      <c r="BB653" s="25"/>
      <c r="BC653" s="25"/>
      <c r="BD653" s="25"/>
      <c r="BE653" s="25"/>
      <c r="BF653" s="25"/>
      <c r="BG653" s="25"/>
      <c r="BH653" s="25"/>
      <c r="BI653" s="25"/>
      <c r="BJ653" s="25"/>
      <c r="BK653" s="25"/>
      <c r="BL653" s="25"/>
      <c r="BM653" s="25"/>
      <c r="BN653" s="25"/>
      <c r="BO653" s="25"/>
      <c r="BP653" s="25"/>
      <c r="BQ653" s="25"/>
      <c r="BR653" s="25"/>
      <c r="BS653" s="25"/>
      <c r="BT653" s="25"/>
      <c r="BU653" s="39">
        <v>45377</v>
      </c>
      <c r="BV653" s="39" t="s">
        <v>1720</v>
      </c>
      <c r="BW653" s="39" t="s">
        <v>2874</v>
      </c>
      <c r="BX653" s="39" t="s">
        <v>2853</v>
      </c>
      <c r="BY653" s="71">
        <v>800</v>
      </c>
      <c r="BZ653" s="71">
        <v>870</v>
      </c>
      <c r="CA653" s="71">
        <v>1100</v>
      </c>
      <c r="CB653" s="71">
        <v>1430</v>
      </c>
      <c r="CC653" s="71">
        <v>1570</v>
      </c>
      <c r="CD653" s="25"/>
      <c r="CE653" s="200"/>
      <c r="CF653" s="200"/>
      <c r="CG653" s="200"/>
      <c r="CH653" s="200"/>
      <c r="CI653" s="200"/>
      <c r="CJ653" s="200"/>
      <c r="CK653" s="200"/>
      <c r="CL653" s="200"/>
      <c r="CM653" s="200"/>
      <c r="CN653" s="200"/>
      <c r="CO653" s="200"/>
      <c r="CP653" s="200"/>
      <c r="CQ653" s="200"/>
      <c r="CR653" s="200"/>
      <c r="CS653" s="200"/>
      <c r="CT653" s="200"/>
      <c r="CU653" s="200"/>
    </row>
    <row r="654" spans="1:99" s="17" customFormat="1" x14ac:dyDescent="0.2">
      <c r="A654" s="25"/>
      <c r="B654" s="20">
        <v>39049010602</v>
      </c>
      <c r="C654" s="20">
        <v>106.02</v>
      </c>
      <c r="D654" s="20" t="s">
        <v>31</v>
      </c>
      <c r="E654" s="20" t="s">
        <v>2830</v>
      </c>
      <c r="F654" s="20" t="s">
        <v>8</v>
      </c>
      <c r="G654" s="861">
        <v>60.980538655703398</v>
      </c>
      <c r="H654" s="861">
        <v>60.697536098954998</v>
      </c>
      <c r="I654" s="861">
        <v>37.711156311264297</v>
      </c>
      <c r="J654" s="861">
        <v>45.458801213651803</v>
      </c>
      <c r="K654" s="982">
        <v>0</v>
      </c>
      <c r="L654" s="735">
        <v>6493</v>
      </c>
      <c r="M654" s="735">
        <v>6156</v>
      </c>
      <c r="N654" s="845">
        <f t="shared" si="63"/>
        <v>-5.1902048359772066E-2</v>
      </c>
      <c r="O654" s="735">
        <v>1.3677846575133505</v>
      </c>
      <c r="P654" s="735">
        <f t="shared" si="64"/>
        <v>4500.7084749668738</v>
      </c>
      <c r="Q654" s="849">
        <v>39.299999999999997</v>
      </c>
      <c r="R654" s="71">
        <v>116705</v>
      </c>
      <c r="S654" s="845">
        <v>2.3451692815854665E-2</v>
      </c>
      <c r="T654" s="845">
        <v>2.2000000000000002E-2</v>
      </c>
      <c r="U654" s="845">
        <v>0</v>
      </c>
      <c r="V654" s="845">
        <v>0.217</v>
      </c>
      <c r="W654" s="845">
        <v>0.32605042016806723</v>
      </c>
      <c r="X654" s="845">
        <v>0.47422680412371132</v>
      </c>
      <c r="Y654" s="845">
        <v>0.73391812865497075</v>
      </c>
      <c r="Z654" s="845">
        <v>9.9090318388563997E-2</v>
      </c>
      <c r="AA654" s="845">
        <v>0</v>
      </c>
      <c r="AB654" s="845">
        <v>5.1819363222871992E-2</v>
      </c>
      <c r="AC654" s="845">
        <v>0</v>
      </c>
      <c r="AD654" s="845">
        <v>1.6244314489928524E-3</v>
      </c>
      <c r="AE654" s="845">
        <v>0.11354775828460038</v>
      </c>
      <c r="AF654" s="845">
        <v>8.5445094217024037E-2</v>
      </c>
      <c r="AG654" s="845">
        <v>0.72709551656920079</v>
      </c>
      <c r="AH654" s="20" t="str">
        <f t="shared" si="65"/>
        <v>No</v>
      </c>
      <c r="AI654" s="25"/>
      <c r="AJ654" s="37">
        <v>43064</v>
      </c>
      <c r="AK654" s="37" t="s">
        <v>773</v>
      </c>
      <c r="AL654" s="37">
        <v>39159</v>
      </c>
      <c r="AM654" s="37" t="s">
        <v>85</v>
      </c>
      <c r="AN654" s="37">
        <f t="shared" si="66"/>
        <v>18140</v>
      </c>
      <c r="AO654" s="37" t="str">
        <f t="shared" si="67"/>
        <v>Columbus, OH</v>
      </c>
      <c r="AP654" s="37" t="s">
        <v>8</v>
      </c>
      <c r="AQ654" s="25"/>
      <c r="AR654" s="25"/>
      <c r="AS654" s="25"/>
      <c r="AT654" s="25"/>
      <c r="AU654" s="36"/>
      <c r="AV654" s="36"/>
      <c r="AW654" s="36"/>
      <c r="AX654" s="25"/>
      <c r="AY654" s="25"/>
      <c r="AZ654" s="25"/>
      <c r="BA654" s="25"/>
      <c r="BB654" s="25"/>
      <c r="BC654" s="25"/>
      <c r="BD654" s="25"/>
      <c r="BE654" s="25"/>
      <c r="BF654" s="25"/>
      <c r="BG654" s="25"/>
      <c r="BH654" s="25"/>
      <c r="BI654" s="25"/>
      <c r="BJ654" s="25"/>
      <c r="BK654" s="25"/>
      <c r="BL654" s="25"/>
      <c r="BM654" s="25"/>
      <c r="BN654" s="25"/>
      <c r="BO654" s="25"/>
      <c r="BP654" s="25"/>
      <c r="BQ654" s="25"/>
      <c r="BR654" s="25"/>
      <c r="BS654" s="25"/>
      <c r="BT654" s="25"/>
      <c r="BU654" s="39">
        <v>45378</v>
      </c>
      <c r="BV654" s="39" t="s">
        <v>1721</v>
      </c>
      <c r="BW654" s="39" t="s">
        <v>2874</v>
      </c>
      <c r="BX654" s="39" t="s">
        <v>2853</v>
      </c>
      <c r="BY654" s="71">
        <v>870</v>
      </c>
      <c r="BZ654" s="71">
        <v>880</v>
      </c>
      <c r="CA654" s="71">
        <v>1150</v>
      </c>
      <c r="CB654" s="71">
        <v>1530</v>
      </c>
      <c r="CC654" s="71">
        <v>1680</v>
      </c>
      <c r="CD654" s="25"/>
      <c r="CE654" s="200"/>
      <c r="CF654" s="200"/>
      <c r="CG654" s="200"/>
      <c r="CH654" s="200"/>
      <c r="CI654" s="200"/>
      <c r="CJ654" s="200"/>
      <c r="CK654" s="200"/>
      <c r="CL654" s="200"/>
      <c r="CM654" s="200"/>
      <c r="CN654" s="200"/>
      <c r="CO654" s="200"/>
      <c r="CP654" s="200"/>
      <c r="CQ654" s="200"/>
      <c r="CR654" s="200"/>
      <c r="CS654" s="200"/>
      <c r="CT654" s="200"/>
      <c r="CU654" s="200"/>
    </row>
    <row r="655" spans="1:99" s="17" customFormat="1" x14ac:dyDescent="0.2">
      <c r="A655" s="25"/>
      <c r="B655" s="20">
        <v>39035174105</v>
      </c>
      <c r="C655" s="20">
        <v>1741.05</v>
      </c>
      <c r="D655" s="20" t="s">
        <v>24</v>
      </c>
      <c r="E655" s="20" t="s">
        <v>2829</v>
      </c>
      <c r="F655" s="20" t="s">
        <v>8</v>
      </c>
      <c r="G655" s="861">
        <v>60.962141225589299</v>
      </c>
      <c r="H655" s="861">
        <v>55.137523834025103</v>
      </c>
      <c r="I655" s="861">
        <v>25.961536356978002</v>
      </c>
      <c r="J655" s="861">
        <v>46.463675807835202</v>
      </c>
      <c r="K655" s="982">
        <v>0</v>
      </c>
      <c r="L655" s="735">
        <v>2955</v>
      </c>
      <c r="M655" s="735">
        <v>2854</v>
      </c>
      <c r="N655" s="845">
        <f t="shared" si="63"/>
        <v>-3.4179357021996613E-2</v>
      </c>
      <c r="O655" s="735">
        <v>0.98876052369213396</v>
      </c>
      <c r="P655" s="735">
        <f t="shared" si="64"/>
        <v>2886.4420975696612</v>
      </c>
      <c r="Q655" s="849">
        <v>40.700000000000003</v>
      </c>
      <c r="R655" s="71">
        <v>111250</v>
      </c>
      <c r="S655" s="845">
        <v>5.0805886475122637E-2</v>
      </c>
      <c r="T655" s="845">
        <v>2.7999999999999997E-2</v>
      </c>
      <c r="U655" s="845">
        <v>0</v>
      </c>
      <c r="V655" s="845">
        <v>0</v>
      </c>
      <c r="W655" s="845">
        <v>2.6802218114602587E-2</v>
      </c>
      <c r="X655" s="845">
        <v>0</v>
      </c>
      <c r="Y655" s="845">
        <v>0.90784863349684652</v>
      </c>
      <c r="Z655" s="845">
        <v>3.0133146461107218E-2</v>
      </c>
      <c r="AA655" s="845">
        <v>0</v>
      </c>
      <c r="AB655" s="845">
        <v>1.401541695865452E-2</v>
      </c>
      <c r="AC655" s="845">
        <v>0</v>
      </c>
      <c r="AD655" s="845">
        <v>0</v>
      </c>
      <c r="AE655" s="845">
        <v>4.8002803083391728E-2</v>
      </c>
      <c r="AF655" s="845">
        <v>4.309740714786265E-2</v>
      </c>
      <c r="AG655" s="845">
        <v>0.88297126839523477</v>
      </c>
      <c r="AH655" s="20" t="str">
        <f t="shared" si="65"/>
        <v>No</v>
      </c>
      <c r="AI655" s="25"/>
      <c r="AJ655" s="37">
        <v>43067</v>
      </c>
      <c r="AK655" s="37" t="s">
        <v>776</v>
      </c>
      <c r="AL655" s="37">
        <v>39159</v>
      </c>
      <c r="AM655" s="37" t="s">
        <v>85</v>
      </c>
      <c r="AN655" s="37">
        <f t="shared" si="66"/>
        <v>18140</v>
      </c>
      <c r="AO655" s="37" t="str">
        <f t="shared" si="67"/>
        <v>Columbus, OH</v>
      </c>
      <c r="AP655" s="37" t="s">
        <v>8</v>
      </c>
      <c r="AQ655" s="25"/>
      <c r="AR655" s="25"/>
      <c r="AS655" s="25"/>
      <c r="AT655" s="25"/>
      <c r="AU655" s="36"/>
      <c r="AV655" s="36"/>
      <c r="AW655" s="36"/>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39">
        <v>45381</v>
      </c>
      <c r="BV655" s="39" t="s">
        <v>1723</v>
      </c>
      <c r="BW655" s="39" t="s">
        <v>2874</v>
      </c>
      <c r="BX655" s="39" t="s">
        <v>2853</v>
      </c>
      <c r="BY655" s="71">
        <v>760</v>
      </c>
      <c r="BZ655" s="71">
        <v>770</v>
      </c>
      <c r="CA655" s="71">
        <v>1010</v>
      </c>
      <c r="CB655" s="71">
        <v>1340</v>
      </c>
      <c r="CC655" s="71">
        <v>1480</v>
      </c>
      <c r="CD655" s="25"/>
      <c r="CE655" s="200"/>
      <c r="CF655" s="200"/>
      <c r="CG655" s="200"/>
      <c r="CH655" s="200"/>
      <c r="CI655" s="200"/>
      <c r="CJ655" s="200"/>
      <c r="CK655" s="200"/>
      <c r="CL655" s="200"/>
      <c r="CM655" s="200"/>
      <c r="CN655" s="200"/>
      <c r="CO655" s="200"/>
      <c r="CP655" s="200"/>
      <c r="CQ655" s="200"/>
      <c r="CR655" s="200"/>
      <c r="CS655" s="200"/>
      <c r="CT655" s="200"/>
      <c r="CU655" s="200"/>
    </row>
    <row r="656" spans="1:99" s="17" customFormat="1" x14ac:dyDescent="0.2">
      <c r="A656" s="25"/>
      <c r="B656" s="20">
        <v>39113040201</v>
      </c>
      <c r="C656" s="20">
        <v>402.01</v>
      </c>
      <c r="D656" s="20" t="s">
        <v>62</v>
      </c>
      <c r="E656" s="20" t="s">
        <v>2833</v>
      </c>
      <c r="F656" s="20" t="s">
        <v>8</v>
      </c>
      <c r="G656" s="861">
        <v>60.933805755328699</v>
      </c>
      <c r="H656" s="861">
        <v>65.819963829098597</v>
      </c>
      <c r="I656" s="861">
        <v>14.5438135515101</v>
      </c>
      <c r="J656" s="861">
        <v>34.4575954545057</v>
      </c>
      <c r="K656" s="982">
        <v>0</v>
      </c>
      <c r="L656" s="735">
        <v>2791</v>
      </c>
      <c r="M656" s="735">
        <v>2858</v>
      </c>
      <c r="N656" s="845">
        <f t="shared" si="63"/>
        <v>2.4005732712289504E-2</v>
      </c>
      <c r="O656" s="735">
        <v>1.2413419921066742</v>
      </c>
      <c r="P656" s="735">
        <f t="shared" si="64"/>
        <v>2302.3469907351682</v>
      </c>
      <c r="Q656" s="849">
        <v>50.3</v>
      </c>
      <c r="R656" s="71">
        <v>91118</v>
      </c>
      <c r="S656" s="845">
        <v>4.5806906272022555E-3</v>
      </c>
      <c r="T656" s="845">
        <v>6.9999999999999993E-3</v>
      </c>
      <c r="U656" s="845">
        <v>0</v>
      </c>
      <c r="V656" s="845">
        <v>0</v>
      </c>
      <c r="W656" s="845">
        <v>0.12649164677804295</v>
      </c>
      <c r="X656" s="845">
        <v>0.28301886792452829</v>
      </c>
      <c r="Y656" s="845">
        <v>0.94366689993002095</v>
      </c>
      <c r="Z656" s="845">
        <v>2.0643806857942617E-2</v>
      </c>
      <c r="AA656" s="845">
        <v>0</v>
      </c>
      <c r="AB656" s="845">
        <v>1.9594121763470959E-2</v>
      </c>
      <c r="AC656" s="845">
        <v>0</v>
      </c>
      <c r="AD656" s="845">
        <v>0</v>
      </c>
      <c r="AE656" s="845">
        <v>1.609517144856543E-2</v>
      </c>
      <c r="AF656" s="845">
        <v>1.2246326102169349E-2</v>
      </c>
      <c r="AG656" s="845">
        <v>0.94366689993002095</v>
      </c>
      <c r="AH656" s="20" t="str">
        <f t="shared" si="65"/>
        <v>Yes</v>
      </c>
      <c r="AI656" s="25"/>
      <c r="AJ656" s="37">
        <v>43077</v>
      </c>
      <c r="AK656" s="37" t="s">
        <v>783</v>
      </c>
      <c r="AL656" s="37">
        <v>39159</v>
      </c>
      <c r="AM656" s="37" t="s">
        <v>85</v>
      </c>
      <c r="AN656" s="37">
        <f t="shared" si="66"/>
        <v>18140</v>
      </c>
      <c r="AO656" s="37" t="str">
        <f t="shared" si="67"/>
        <v>Columbus, OH</v>
      </c>
      <c r="AP656" s="37" t="s">
        <v>8</v>
      </c>
      <c r="AQ656" s="25"/>
      <c r="AR656" s="25"/>
      <c r="AS656" s="25"/>
      <c r="AT656" s="25"/>
      <c r="AU656" s="36"/>
      <c r="AV656" s="36"/>
      <c r="AW656" s="36"/>
      <c r="AX656" s="25"/>
      <c r="AY656" s="25"/>
      <c r="AZ656" s="25"/>
      <c r="BA656" s="25"/>
      <c r="BB656" s="25"/>
      <c r="BC656" s="25"/>
      <c r="BD656" s="25"/>
      <c r="BE656" s="25"/>
      <c r="BF656" s="25"/>
      <c r="BG656" s="25"/>
      <c r="BH656" s="25"/>
      <c r="BI656" s="25"/>
      <c r="BJ656" s="25"/>
      <c r="BK656" s="25"/>
      <c r="BL656" s="25"/>
      <c r="BM656" s="25"/>
      <c r="BN656" s="25"/>
      <c r="BO656" s="25"/>
      <c r="BP656" s="25"/>
      <c r="BQ656" s="25"/>
      <c r="BR656" s="25"/>
      <c r="BS656" s="25"/>
      <c r="BT656" s="25"/>
      <c r="BU656" s="39">
        <v>45383</v>
      </c>
      <c r="BV656" s="39" t="s">
        <v>1725</v>
      </c>
      <c r="BW656" s="39" t="s">
        <v>2874</v>
      </c>
      <c r="BX656" s="39" t="s">
        <v>2853</v>
      </c>
      <c r="BY656" s="71">
        <v>820</v>
      </c>
      <c r="BZ656" s="71">
        <v>900</v>
      </c>
      <c r="CA656" s="71">
        <v>1130</v>
      </c>
      <c r="CB656" s="71">
        <v>1470</v>
      </c>
      <c r="CC656" s="71">
        <v>1610</v>
      </c>
      <c r="CD656" s="25"/>
      <c r="CE656" s="200"/>
      <c r="CF656" s="200"/>
      <c r="CG656" s="200"/>
      <c r="CH656" s="200"/>
      <c r="CI656" s="200"/>
      <c r="CJ656" s="200"/>
      <c r="CK656" s="200"/>
      <c r="CL656" s="200"/>
      <c r="CM656" s="200"/>
      <c r="CN656" s="200"/>
      <c r="CO656" s="200"/>
      <c r="CP656" s="200"/>
      <c r="CQ656" s="200"/>
      <c r="CR656" s="200"/>
      <c r="CS656" s="200"/>
      <c r="CT656" s="200"/>
      <c r="CU656" s="200"/>
    </row>
    <row r="657" spans="1:99" s="17" customFormat="1" x14ac:dyDescent="0.2">
      <c r="A657" s="25"/>
      <c r="B657" s="20">
        <v>39149971400</v>
      </c>
      <c r="C657" s="20">
        <v>9714</v>
      </c>
      <c r="D657" s="20" t="s">
        <v>80</v>
      </c>
      <c r="E657" s="20" t="s">
        <v>265</v>
      </c>
      <c r="F657" s="20" t="s">
        <v>8</v>
      </c>
      <c r="G657" s="861">
        <v>60.925899922853297</v>
      </c>
      <c r="H657" s="861">
        <v>51.686098356861599</v>
      </c>
      <c r="I657" s="861">
        <v>21.9428458062564</v>
      </c>
      <c r="J657" s="861">
        <v>54.637093538353703</v>
      </c>
      <c r="K657" s="982">
        <v>0</v>
      </c>
      <c r="L657" s="735">
        <v>4403</v>
      </c>
      <c r="M657" s="735">
        <v>4267</v>
      </c>
      <c r="N657" s="845">
        <f t="shared" si="63"/>
        <v>-3.0888030888030889E-2</v>
      </c>
      <c r="O657" s="735">
        <v>76.025889169043339</v>
      </c>
      <c r="P657" s="735">
        <f t="shared" si="64"/>
        <v>56.125617820954886</v>
      </c>
      <c r="Q657" s="849">
        <v>38.5</v>
      </c>
      <c r="R657" s="71">
        <v>87560</v>
      </c>
      <c r="S657" s="845">
        <v>6.613508442776736E-2</v>
      </c>
      <c r="T657" s="845">
        <v>3.5000000000000003E-2</v>
      </c>
      <c r="U657" s="845">
        <v>0</v>
      </c>
      <c r="V657" s="845">
        <v>2.7999999999999997E-2</v>
      </c>
      <c r="W657" s="845">
        <v>0.19574734208880551</v>
      </c>
      <c r="X657" s="845">
        <v>0.2268370607028754</v>
      </c>
      <c r="Y657" s="845">
        <v>0.95992500585891727</v>
      </c>
      <c r="Z657" s="845">
        <v>0</v>
      </c>
      <c r="AA657" s="845">
        <v>4.6871338176704945E-4</v>
      </c>
      <c r="AB657" s="845">
        <v>1.2186547925943286E-2</v>
      </c>
      <c r="AC657" s="845">
        <v>0</v>
      </c>
      <c r="AD657" s="845">
        <v>7.0307007265057423E-4</v>
      </c>
      <c r="AE657" s="845">
        <v>2.6716662760721818E-2</v>
      </c>
      <c r="AF657" s="845">
        <v>3.5153503632528709E-3</v>
      </c>
      <c r="AG657" s="845">
        <v>0.95711272556831495</v>
      </c>
      <c r="AH657" s="20" t="str">
        <f t="shared" si="65"/>
        <v>Yes</v>
      </c>
      <c r="AI657" s="25"/>
      <c r="AJ657" s="37">
        <v>43084</v>
      </c>
      <c r="AK657" s="37" t="s">
        <v>788</v>
      </c>
      <c r="AL657" s="37">
        <v>39159</v>
      </c>
      <c r="AM657" s="37" t="s">
        <v>85</v>
      </c>
      <c r="AN657" s="37">
        <f t="shared" si="66"/>
        <v>18140</v>
      </c>
      <c r="AO657" s="37" t="str">
        <f t="shared" si="67"/>
        <v>Columbus, OH</v>
      </c>
      <c r="AP657" s="37" t="s">
        <v>8</v>
      </c>
      <c r="AQ657" s="25"/>
      <c r="AR657" s="25"/>
      <c r="AS657" s="25"/>
      <c r="AT657" s="25"/>
      <c r="AU657" s="36"/>
      <c r="AV657" s="36"/>
      <c r="AW657" s="36"/>
      <c r="AX657" s="25"/>
      <c r="AY657" s="25"/>
      <c r="AZ657" s="25"/>
      <c r="BA657" s="25"/>
      <c r="BB657" s="25"/>
      <c r="BC657" s="25"/>
      <c r="BD657" s="25"/>
      <c r="BE657" s="25"/>
      <c r="BF657" s="25"/>
      <c r="BG657" s="25"/>
      <c r="BH657" s="25"/>
      <c r="BI657" s="25"/>
      <c r="BJ657" s="25"/>
      <c r="BK657" s="25"/>
      <c r="BL657" s="25"/>
      <c r="BM657" s="25"/>
      <c r="BN657" s="25"/>
      <c r="BO657" s="25"/>
      <c r="BP657" s="25"/>
      <c r="BQ657" s="25"/>
      <c r="BR657" s="25"/>
      <c r="BS657" s="25"/>
      <c r="BT657" s="25"/>
      <c r="BU657" s="39">
        <v>45384</v>
      </c>
      <c r="BV657" s="39" t="s">
        <v>1726</v>
      </c>
      <c r="BW657" s="39" t="s">
        <v>2874</v>
      </c>
      <c r="BX657" s="39" t="s">
        <v>2853</v>
      </c>
      <c r="BY657" s="71">
        <v>870</v>
      </c>
      <c r="BZ657" s="71">
        <v>940</v>
      </c>
      <c r="CA657" s="71">
        <v>1190</v>
      </c>
      <c r="CB657" s="71">
        <v>1540</v>
      </c>
      <c r="CC657" s="71">
        <v>1700</v>
      </c>
      <c r="CD657" s="25"/>
      <c r="CE657" s="200"/>
      <c r="CF657" s="200"/>
      <c r="CG657" s="200"/>
      <c r="CH657" s="200"/>
      <c r="CI657" s="200"/>
      <c r="CJ657" s="200"/>
      <c r="CK657" s="200"/>
      <c r="CL657" s="200"/>
      <c r="CM657" s="200"/>
      <c r="CN657" s="200"/>
      <c r="CO657" s="200"/>
      <c r="CP657" s="200"/>
      <c r="CQ657" s="200"/>
      <c r="CR657" s="200"/>
      <c r="CS657" s="200"/>
      <c r="CT657" s="200"/>
      <c r="CU657" s="200"/>
    </row>
    <row r="658" spans="1:99" s="17" customFormat="1" x14ac:dyDescent="0.2">
      <c r="A658" s="25"/>
      <c r="B658" s="20">
        <v>39165031907</v>
      </c>
      <c r="C658" s="20">
        <v>319.07</v>
      </c>
      <c r="D658" s="20" t="s">
        <v>88</v>
      </c>
      <c r="E658" s="20" t="s">
        <v>2828</v>
      </c>
      <c r="F658" s="20" t="s">
        <v>8</v>
      </c>
      <c r="G658" s="861">
        <v>60.889236720801101</v>
      </c>
      <c r="H658" s="861">
        <v>53.681006434954803</v>
      </c>
      <c r="I658" s="861">
        <v>24.675324798788399</v>
      </c>
      <c r="J658" s="861">
        <v>60.878008100105298</v>
      </c>
      <c r="K658" s="982">
        <v>0</v>
      </c>
      <c r="L658" s="735" t="s">
        <v>2466</v>
      </c>
      <c r="M658" s="735">
        <v>13704</v>
      </c>
      <c r="N658" s="845" t="str">
        <f t="shared" si="63"/>
        <v/>
      </c>
      <c r="O658" s="735">
        <v>4.5366961163385424</v>
      </c>
      <c r="P658" s="735">
        <f t="shared" si="64"/>
        <v>3020.7004499697828</v>
      </c>
      <c r="Q658" s="849">
        <v>38.1</v>
      </c>
      <c r="R658" s="71">
        <v>166731</v>
      </c>
      <c r="S658" s="845">
        <v>8.0998248686514878E-3</v>
      </c>
      <c r="T658" s="845">
        <v>3.9E-2</v>
      </c>
      <c r="U658" s="845">
        <v>0</v>
      </c>
      <c r="V658" s="845">
        <v>0</v>
      </c>
      <c r="W658" s="845">
        <v>0.13914081145584725</v>
      </c>
      <c r="X658" s="845">
        <v>0.21440823327615779</v>
      </c>
      <c r="Y658" s="845">
        <v>0.76211325160537069</v>
      </c>
      <c r="Z658" s="845">
        <v>3.8309982486865152E-2</v>
      </c>
      <c r="AA658" s="845">
        <v>0</v>
      </c>
      <c r="AB658" s="845">
        <v>0.14762113251605372</v>
      </c>
      <c r="AC658" s="845">
        <v>0</v>
      </c>
      <c r="AD658" s="845">
        <v>4.7431406888499708E-3</v>
      </c>
      <c r="AE658" s="845">
        <v>4.721249270286048E-2</v>
      </c>
      <c r="AF658" s="845">
        <v>3.1888499708114422E-2</v>
      </c>
      <c r="AG658" s="845">
        <v>0.74795680093403383</v>
      </c>
      <c r="AH658" s="20" t="str">
        <f t="shared" si="65"/>
        <v>No</v>
      </c>
      <c r="AI658" s="25"/>
      <c r="AJ658" s="37">
        <v>43302</v>
      </c>
      <c r="AK658" s="37" t="s">
        <v>866</v>
      </c>
      <c r="AL658" s="37">
        <v>39159</v>
      </c>
      <c r="AM658" s="37" t="s">
        <v>85</v>
      </c>
      <c r="AN658" s="37">
        <f t="shared" si="66"/>
        <v>18140</v>
      </c>
      <c r="AO658" s="37" t="str">
        <f t="shared" si="67"/>
        <v>Columbus, OH</v>
      </c>
      <c r="AP658" s="37" t="s">
        <v>8</v>
      </c>
      <c r="AQ658" s="25"/>
      <c r="AR658" s="25"/>
      <c r="AS658" s="25"/>
      <c r="AT658" s="25"/>
      <c r="AU658" s="36"/>
      <c r="AV658" s="36"/>
      <c r="AW658" s="36"/>
      <c r="AX658" s="25"/>
      <c r="AY658" s="25"/>
      <c r="AZ658" s="25"/>
      <c r="BA658" s="25"/>
      <c r="BB658" s="25"/>
      <c r="BC658" s="25"/>
      <c r="BD658" s="25"/>
      <c r="BE658" s="25"/>
      <c r="BF658" s="25"/>
      <c r="BG658" s="25"/>
      <c r="BH658" s="25"/>
      <c r="BI658" s="25"/>
      <c r="BJ658" s="25"/>
      <c r="BK658" s="25"/>
      <c r="BL658" s="25"/>
      <c r="BM658" s="25"/>
      <c r="BN658" s="25"/>
      <c r="BO658" s="25"/>
      <c r="BP658" s="25"/>
      <c r="BQ658" s="25"/>
      <c r="BR658" s="25"/>
      <c r="BS658" s="25"/>
      <c r="BT658" s="25"/>
      <c r="BU658" s="39">
        <v>45385</v>
      </c>
      <c r="BV658" s="39" t="s">
        <v>1727</v>
      </c>
      <c r="BW658" s="39" t="s">
        <v>2874</v>
      </c>
      <c r="BX658" s="39" t="s">
        <v>2853</v>
      </c>
      <c r="BY658" s="71">
        <v>870</v>
      </c>
      <c r="BZ658" s="71">
        <v>940</v>
      </c>
      <c r="CA658" s="71">
        <v>1190</v>
      </c>
      <c r="CB658" s="71">
        <v>1540</v>
      </c>
      <c r="CC658" s="71">
        <v>1700</v>
      </c>
      <c r="CD658" s="25"/>
      <c r="CE658" s="200"/>
      <c r="CF658" s="200"/>
      <c r="CG658" s="200"/>
      <c r="CH658" s="200"/>
      <c r="CI658" s="200"/>
      <c r="CJ658" s="200"/>
      <c r="CK658" s="200"/>
      <c r="CL658" s="200"/>
      <c r="CM658" s="200"/>
      <c r="CN658" s="200"/>
      <c r="CO658" s="200"/>
      <c r="CP658" s="200"/>
      <c r="CQ658" s="200"/>
      <c r="CR658" s="200"/>
      <c r="CS658" s="200"/>
      <c r="CT658" s="200"/>
      <c r="CU658" s="200"/>
    </row>
    <row r="659" spans="1:99" s="17" customFormat="1" x14ac:dyDescent="0.2">
      <c r="A659" s="25"/>
      <c r="B659" s="20">
        <v>39049009497</v>
      </c>
      <c r="C659" s="20">
        <v>94.97</v>
      </c>
      <c r="D659" s="20" t="s">
        <v>31</v>
      </c>
      <c r="E659" s="20" t="s">
        <v>2830</v>
      </c>
      <c r="F659" s="20" t="s">
        <v>8</v>
      </c>
      <c r="G659" s="861">
        <v>60.8859269075895</v>
      </c>
      <c r="H659" s="861">
        <v>68.182964433785699</v>
      </c>
      <c r="I659" s="861">
        <v>26.648793589858499</v>
      </c>
      <c r="J659" s="861">
        <v>49.947978839359898</v>
      </c>
      <c r="K659" s="982">
        <v>0</v>
      </c>
      <c r="L659" s="735">
        <v>1639</v>
      </c>
      <c r="M659" s="735">
        <v>2061</v>
      </c>
      <c r="N659" s="845">
        <f t="shared" si="63"/>
        <v>0.25747406955460644</v>
      </c>
      <c r="O659" s="735">
        <v>15.636440894703568</v>
      </c>
      <c r="P659" s="735">
        <f t="shared" si="64"/>
        <v>131.80748828194717</v>
      </c>
      <c r="Q659" s="849">
        <v>52.4</v>
      </c>
      <c r="R659" s="71">
        <v>86548</v>
      </c>
      <c r="S659" s="845">
        <v>6.1135371179039298E-2</v>
      </c>
      <c r="T659" s="845">
        <v>3.2000000000000001E-2</v>
      </c>
      <c r="U659" s="845">
        <v>0</v>
      </c>
      <c r="V659" s="845">
        <v>0.20499999999999999</v>
      </c>
      <c r="W659" s="845">
        <v>0.17625899280575538</v>
      </c>
      <c r="X659" s="845">
        <v>0.7142857142857143</v>
      </c>
      <c r="Y659" s="845">
        <v>0.89665211062590977</v>
      </c>
      <c r="Z659" s="845">
        <v>6.8413391557496359E-2</v>
      </c>
      <c r="AA659" s="845">
        <v>0</v>
      </c>
      <c r="AB659" s="845">
        <v>1.2615235322658904E-2</v>
      </c>
      <c r="AC659" s="845">
        <v>0</v>
      </c>
      <c r="AD659" s="845">
        <v>8.7336244541484712E-3</v>
      </c>
      <c r="AE659" s="845">
        <v>1.3585638039786511E-2</v>
      </c>
      <c r="AF659" s="845">
        <v>2.4745269286754003E-2</v>
      </c>
      <c r="AG659" s="845">
        <v>0.88355167394468703</v>
      </c>
      <c r="AH659" s="20" t="str">
        <f t="shared" si="65"/>
        <v>No</v>
      </c>
      <c r="AI659" s="25"/>
      <c r="AJ659" s="37">
        <v>43319</v>
      </c>
      <c r="AK659" s="37" t="s">
        <v>874</v>
      </c>
      <c r="AL659" s="37">
        <v>39159</v>
      </c>
      <c r="AM659" s="37" t="s">
        <v>85</v>
      </c>
      <c r="AN659" s="37">
        <f t="shared" si="66"/>
        <v>18140</v>
      </c>
      <c r="AO659" s="37" t="str">
        <f t="shared" si="67"/>
        <v>Columbus, OH</v>
      </c>
      <c r="AP659" s="37" t="s">
        <v>8</v>
      </c>
      <c r="AQ659" s="25"/>
      <c r="AR659" s="25"/>
      <c r="AS659" s="25"/>
      <c r="AT659" s="25"/>
      <c r="AU659" s="36"/>
      <c r="AV659" s="36"/>
      <c r="AW659" s="36"/>
      <c r="AX659" s="25"/>
      <c r="AY659" s="25"/>
      <c r="AZ659" s="25"/>
      <c r="BA659" s="25"/>
      <c r="BB659" s="25"/>
      <c r="BC659" s="25"/>
      <c r="BD659" s="25"/>
      <c r="BE659" s="25"/>
      <c r="BF659" s="25"/>
      <c r="BG659" s="25"/>
      <c r="BH659" s="25"/>
      <c r="BI659" s="25"/>
      <c r="BJ659" s="25"/>
      <c r="BK659" s="25"/>
      <c r="BL659" s="25"/>
      <c r="BM659" s="25"/>
      <c r="BN659" s="25"/>
      <c r="BO659" s="25"/>
      <c r="BP659" s="25"/>
      <c r="BQ659" s="25"/>
      <c r="BR659" s="25"/>
      <c r="BS659" s="25"/>
      <c r="BT659" s="25"/>
      <c r="BU659" s="39">
        <v>45387</v>
      </c>
      <c r="BV659" s="39" t="s">
        <v>1728</v>
      </c>
      <c r="BW659" s="39" t="s">
        <v>2874</v>
      </c>
      <c r="BX659" s="39" t="s">
        <v>2853</v>
      </c>
      <c r="BY659" s="71">
        <v>840</v>
      </c>
      <c r="BZ659" s="71">
        <v>910</v>
      </c>
      <c r="CA659" s="71">
        <v>1150</v>
      </c>
      <c r="CB659" s="71">
        <v>1490</v>
      </c>
      <c r="CC659" s="71">
        <v>1640</v>
      </c>
      <c r="CD659" s="25"/>
      <c r="CE659" s="200"/>
      <c r="CF659" s="200"/>
      <c r="CG659" s="200"/>
      <c r="CH659" s="200"/>
      <c r="CI659" s="200"/>
      <c r="CJ659" s="200"/>
      <c r="CK659" s="200"/>
      <c r="CL659" s="200"/>
      <c r="CM659" s="200"/>
      <c r="CN659" s="200"/>
      <c r="CO659" s="200"/>
      <c r="CP659" s="200"/>
      <c r="CQ659" s="200"/>
      <c r="CR659" s="200"/>
      <c r="CS659" s="200"/>
      <c r="CT659" s="200"/>
      <c r="CU659" s="200"/>
    </row>
    <row r="660" spans="1:99" s="17" customFormat="1" x14ac:dyDescent="0.2">
      <c r="A660" s="25"/>
      <c r="B660" s="20">
        <v>39085205002</v>
      </c>
      <c r="C660" s="20">
        <v>2050.02</v>
      </c>
      <c r="D660" s="20" t="s">
        <v>48</v>
      </c>
      <c r="E660" s="20" t="s">
        <v>2829</v>
      </c>
      <c r="F660" s="20" t="s">
        <v>8</v>
      </c>
      <c r="G660" s="861">
        <v>60.861669412645199</v>
      </c>
      <c r="H660" s="861">
        <v>69.480086746371398</v>
      </c>
      <c r="I660" s="861">
        <v>14.7483873418382</v>
      </c>
      <c r="J660" s="861">
        <v>47.890859142196703</v>
      </c>
      <c r="K660" s="982">
        <v>0</v>
      </c>
      <c r="L660" s="735">
        <v>5812</v>
      </c>
      <c r="M660" s="735">
        <v>6212</v>
      </c>
      <c r="N660" s="845">
        <f t="shared" si="63"/>
        <v>6.8823124569855468E-2</v>
      </c>
      <c r="O660" s="735">
        <v>6.9281059363627735</v>
      </c>
      <c r="P660" s="735">
        <f t="shared" si="64"/>
        <v>896.63755968218834</v>
      </c>
      <c r="Q660" s="849">
        <v>49.1</v>
      </c>
      <c r="R660" s="71">
        <v>117120</v>
      </c>
      <c r="S660" s="845">
        <v>4.5982575024201354E-2</v>
      </c>
      <c r="T660" s="845">
        <v>1.6E-2</v>
      </c>
      <c r="U660" s="845">
        <v>0</v>
      </c>
      <c r="V660" s="845">
        <v>0</v>
      </c>
      <c r="W660" s="845">
        <v>7.6198279393691115E-2</v>
      </c>
      <c r="X660" s="845">
        <v>0</v>
      </c>
      <c r="Y660" s="845">
        <v>0.92804249839021247</v>
      </c>
      <c r="Z660" s="845">
        <v>1.4488087572440437E-3</v>
      </c>
      <c r="AA660" s="845">
        <v>0</v>
      </c>
      <c r="AB660" s="845">
        <v>9.9806825499034121E-3</v>
      </c>
      <c r="AC660" s="845">
        <v>0</v>
      </c>
      <c r="AD660" s="845">
        <v>1.2717321313586607E-2</v>
      </c>
      <c r="AE660" s="845">
        <v>4.7810688989053447E-2</v>
      </c>
      <c r="AF660" s="845">
        <v>6.5196394075981975E-2</v>
      </c>
      <c r="AG660" s="845">
        <v>0.86783644558918227</v>
      </c>
      <c r="AH660" s="20" t="str">
        <f t="shared" si="65"/>
        <v>No</v>
      </c>
      <c r="AI660" s="25"/>
      <c r="AJ660" s="37">
        <v>43340</v>
      </c>
      <c r="AK660" s="37" t="s">
        <v>890</v>
      </c>
      <c r="AL660" s="37">
        <v>39159</v>
      </c>
      <c r="AM660" s="37" t="s">
        <v>85</v>
      </c>
      <c r="AN660" s="37">
        <f t="shared" si="66"/>
        <v>18140</v>
      </c>
      <c r="AO660" s="37" t="str">
        <f t="shared" si="67"/>
        <v>Columbus, OH</v>
      </c>
      <c r="AP660" s="37" t="s">
        <v>8</v>
      </c>
      <c r="AQ660" s="25"/>
      <c r="AR660" s="25"/>
      <c r="AS660" s="25"/>
      <c r="AT660" s="25"/>
      <c r="AU660" s="36"/>
      <c r="AV660" s="36"/>
      <c r="AW660" s="36"/>
      <c r="AX660" s="25"/>
      <c r="AY660" s="25"/>
      <c r="AZ660" s="25"/>
      <c r="BA660" s="25"/>
      <c r="BB660" s="25"/>
      <c r="BC660" s="25"/>
      <c r="BD660" s="25"/>
      <c r="BE660" s="25"/>
      <c r="BF660" s="25"/>
      <c r="BG660" s="25"/>
      <c r="BH660" s="25"/>
      <c r="BI660" s="25"/>
      <c r="BJ660" s="25"/>
      <c r="BK660" s="25"/>
      <c r="BL660" s="25"/>
      <c r="BM660" s="25"/>
      <c r="BN660" s="25"/>
      <c r="BO660" s="25"/>
      <c r="BP660" s="25"/>
      <c r="BQ660" s="25"/>
      <c r="BR660" s="25"/>
      <c r="BS660" s="25"/>
      <c r="BT660" s="25"/>
      <c r="BU660" s="39">
        <v>45402</v>
      </c>
      <c r="BV660" s="39" t="s">
        <v>1732</v>
      </c>
      <c r="BW660" s="39" t="s">
        <v>2874</v>
      </c>
      <c r="BX660" s="39" t="s">
        <v>2853</v>
      </c>
      <c r="BY660" s="71">
        <v>980</v>
      </c>
      <c r="BZ660" s="71">
        <v>1060</v>
      </c>
      <c r="CA660" s="71">
        <v>1340</v>
      </c>
      <c r="CB660" s="71">
        <v>1740</v>
      </c>
      <c r="CC660" s="71">
        <v>1910</v>
      </c>
      <c r="CD660" s="25"/>
      <c r="CE660" s="200"/>
      <c r="CF660" s="200"/>
      <c r="CG660" s="200"/>
      <c r="CH660" s="200"/>
      <c r="CI660" s="200"/>
      <c r="CJ660" s="200"/>
      <c r="CK660" s="200"/>
      <c r="CL660" s="200"/>
      <c r="CM660" s="200"/>
      <c r="CN660" s="200"/>
      <c r="CO660" s="200"/>
      <c r="CP660" s="200"/>
      <c r="CQ660" s="200"/>
      <c r="CR660" s="200"/>
      <c r="CS660" s="200"/>
      <c r="CT660" s="200"/>
      <c r="CU660" s="200"/>
    </row>
    <row r="661" spans="1:99" s="17" customFormat="1" x14ac:dyDescent="0.2">
      <c r="A661" s="25"/>
      <c r="B661" s="20">
        <v>39153531407</v>
      </c>
      <c r="C661" s="20">
        <v>5314.07</v>
      </c>
      <c r="D661" s="20" t="s">
        <v>82</v>
      </c>
      <c r="E661" s="20" t="s">
        <v>2843</v>
      </c>
      <c r="F661" s="20" t="s">
        <v>8</v>
      </c>
      <c r="G661" s="861">
        <v>60.8522938950792</v>
      </c>
      <c r="H661" s="861">
        <v>65.351816236189293</v>
      </c>
      <c r="I661" s="861">
        <v>29.9848441135215</v>
      </c>
      <c r="J661" s="861">
        <v>43.079613452078803</v>
      </c>
      <c r="K661" s="982">
        <v>0</v>
      </c>
      <c r="L661" s="735" t="s">
        <v>2466</v>
      </c>
      <c r="M661" s="735">
        <v>2792</v>
      </c>
      <c r="N661" s="845" t="str">
        <f t="shared" si="63"/>
        <v/>
      </c>
      <c r="O661" s="735">
        <v>7.6021561349947664</v>
      </c>
      <c r="P661" s="735">
        <f t="shared" si="64"/>
        <v>367.26422746668857</v>
      </c>
      <c r="Q661" s="849">
        <v>32.9</v>
      </c>
      <c r="R661" s="71">
        <v>94904</v>
      </c>
      <c r="S661" s="845">
        <v>5.4617319439453825E-2</v>
      </c>
      <c r="T661" s="845">
        <v>1.2E-2</v>
      </c>
      <c r="U661" s="845">
        <v>0</v>
      </c>
      <c r="V661" s="845">
        <v>0.14499999999999999</v>
      </c>
      <c r="W661" s="845">
        <v>0.28310940499040305</v>
      </c>
      <c r="X661" s="845">
        <v>0.33898305084745761</v>
      </c>
      <c r="Y661" s="845">
        <v>0.95630372492836679</v>
      </c>
      <c r="Z661" s="845">
        <v>2.3997134670487107E-2</v>
      </c>
      <c r="AA661" s="845">
        <v>0</v>
      </c>
      <c r="AB661" s="845">
        <v>0</v>
      </c>
      <c r="AC661" s="845">
        <v>0</v>
      </c>
      <c r="AD661" s="845">
        <v>0</v>
      </c>
      <c r="AE661" s="845">
        <v>1.9699140401146131E-2</v>
      </c>
      <c r="AF661" s="845">
        <v>0</v>
      </c>
      <c r="AG661" s="845">
        <v>0.95630372492836679</v>
      </c>
      <c r="AH661" s="20" t="str">
        <f t="shared" si="65"/>
        <v>Yes</v>
      </c>
      <c r="AI661" s="25"/>
      <c r="AJ661" s="37">
        <v>43342</v>
      </c>
      <c r="AK661" s="37" t="s">
        <v>892</v>
      </c>
      <c r="AL661" s="37">
        <v>39159</v>
      </c>
      <c r="AM661" s="37" t="s">
        <v>85</v>
      </c>
      <c r="AN661" s="37">
        <f t="shared" si="66"/>
        <v>18140</v>
      </c>
      <c r="AO661" s="37" t="str">
        <f t="shared" si="67"/>
        <v>Columbus, OH</v>
      </c>
      <c r="AP661" s="37" t="s">
        <v>8</v>
      </c>
      <c r="AQ661" s="25"/>
      <c r="AR661" s="25"/>
      <c r="AS661" s="25"/>
      <c r="AT661" s="25"/>
      <c r="AU661" s="36"/>
      <c r="AV661" s="36"/>
      <c r="AW661" s="36"/>
      <c r="AX661" s="25"/>
      <c r="AY661" s="25"/>
      <c r="AZ661" s="25"/>
      <c r="BA661" s="25"/>
      <c r="BB661" s="25"/>
      <c r="BC661" s="25"/>
      <c r="BD661" s="25"/>
      <c r="BE661" s="25"/>
      <c r="BF661" s="25"/>
      <c r="BG661" s="25"/>
      <c r="BH661" s="25"/>
      <c r="BI661" s="25"/>
      <c r="BJ661" s="25"/>
      <c r="BK661" s="25"/>
      <c r="BL661" s="25"/>
      <c r="BM661" s="25"/>
      <c r="BN661" s="25"/>
      <c r="BO661" s="25"/>
      <c r="BP661" s="25"/>
      <c r="BQ661" s="25"/>
      <c r="BR661" s="25"/>
      <c r="BS661" s="25"/>
      <c r="BT661" s="25"/>
      <c r="BU661" s="39">
        <v>45403</v>
      </c>
      <c r="BV661" s="39" t="s">
        <v>1733</v>
      </c>
      <c r="BW661" s="39" t="s">
        <v>2874</v>
      </c>
      <c r="BX661" s="39" t="s">
        <v>2853</v>
      </c>
      <c r="BY661" s="71">
        <v>720</v>
      </c>
      <c r="BZ661" s="71">
        <v>790</v>
      </c>
      <c r="CA661" s="71">
        <v>990</v>
      </c>
      <c r="CB661" s="71">
        <v>1280</v>
      </c>
      <c r="CC661" s="71">
        <v>1410</v>
      </c>
      <c r="CD661" s="25"/>
      <c r="CE661" s="200"/>
      <c r="CF661" s="200"/>
      <c r="CG661" s="200"/>
      <c r="CH661" s="200"/>
      <c r="CI661" s="200"/>
      <c r="CJ661" s="200"/>
      <c r="CK661" s="200"/>
      <c r="CL661" s="200"/>
      <c r="CM661" s="200"/>
      <c r="CN661" s="200"/>
      <c r="CO661" s="200"/>
      <c r="CP661" s="200"/>
      <c r="CQ661" s="200"/>
      <c r="CR661" s="200"/>
      <c r="CS661" s="200"/>
      <c r="CT661" s="200"/>
      <c r="CU661" s="200"/>
    </row>
    <row r="662" spans="1:99" s="17" customFormat="1" x14ac:dyDescent="0.2">
      <c r="A662" s="25"/>
      <c r="B662" s="20">
        <v>39061022102</v>
      </c>
      <c r="C662" s="20">
        <v>221.02</v>
      </c>
      <c r="D662" s="20" t="s">
        <v>37</v>
      </c>
      <c r="E662" s="20" t="s">
        <v>2828</v>
      </c>
      <c r="F662" s="20" t="s">
        <v>8</v>
      </c>
      <c r="G662" s="861">
        <v>60.830082544809301</v>
      </c>
      <c r="H662" s="861">
        <v>72.998895774642307</v>
      </c>
      <c r="I662" s="861">
        <v>24.370234913405302</v>
      </c>
      <c r="J662" s="861">
        <v>37.155662267338897</v>
      </c>
      <c r="K662" s="982">
        <v>0</v>
      </c>
      <c r="L662" s="735">
        <v>6476</v>
      </c>
      <c r="M662" s="735">
        <v>6344</v>
      </c>
      <c r="N662" s="845">
        <f t="shared" si="63"/>
        <v>-2.0382952439777641E-2</v>
      </c>
      <c r="O662" s="735">
        <v>1.8879870456239276</v>
      </c>
      <c r="P662" s="735">
        <f t="shared" si="64"/>
        <v>3360.1925472446678</v>
      </c>
      <c r="Q662" s="849">
        <v>47.4</v>
      </c>
      <c r="R662" s="71">
        <v>87452</v>
      </c>
      <c r="S662" s="845">
        <v>8.5329103885804919E-2</v>
      </c>
      <c r="T662" s="845">
        <v>4.4999999999999998E-2</v>
      </c>
      <c r="U662" s="845">
        <v>0</v>
      </c>
      <c r="V662" s="845">
        <v>0</v>
      </c>
      <c r="W662" s="845">
        <v>0.12185031966904851</v>
      </c>
      <c r="X662" s="845">
        <v>0.4660493827160494</v>
      </c>
      <c r="Y662" s="845">
        <v>0.50866960907944514</v>
      </c>
      <c r="Z662" s="845">
        <v>0.32503152585119799</v>
      </c>
      <c r="AA662" s="845">
        <v>0</v>
      </c>
      <c r="AB662" s="845">
        <v>7.613493064312736E-2</v>
      </c>
      <c r="AC662" s="845">
        <v>0</v>
      </c>
      <c r="AD662" s="845">
        <v>0</v>
      </c>
      <c r="AE662" s="845">
        <v>9.0163934426229511E-2</v>
      </c>
      <c r="AF662" s="845">
        <v>2.3171500630517025E-2</v>
      </c>
      <c r="AG662" s="845">
        <v>0.48833543505674654</v>
      </c>
      <c r="AH662" s="20" t="str">
        <f t="shared" si="65"/>
        <v>No</v>
      </c>
      <c r="AI662" s="25"/>
      <c r="AJ662" s="37">
        <v>43344</v>
      </c>
      <c r="AK662" s="37" t="s">
        <v>894</v>
      </c>
      <c r="AL662" s="37">
        <v>39159</v>
      </c>
      <c r="AM662" s="37" t="s">
        <v>85</v>
      </c>
      <c r="AN662" s="37">
        <f t="shared" si="66"/>
        <v>18140</v>
      </c>
      <c r="AO662" s="37" t="str">
        <f t="shared" si="67"/>
        <v>Columbus, OH</v>
      </c>
      <c r="AP662" s="37" t="s">
        <v>8</v>
      </c>
      <c r="AQ662" s="25"/>
      <c r="AR662" s="25"/>
      <c r="AS662" s="25"/>
      <c r="AT662" s="25"/>
      <c r="AU662" s="36"/>
      <c r="AV662" s="36"/>
      <c r="AW662" s="36"/>
      <c r="AX662" s="25"/>
      <c r="AY662" s="25"/>
      <c r="AZ662" s="25"/>
      <c r="BA662" s="25"/>
      <c r="BB662" s="25"/>
      <c r="BC662" s="25"/>
      <c r="BD662" s="25"/>
      <c r="BE662" s="25"/>
      <c r="BF662" s="25"/>
      <c r="BG662" s="25"/>
      <c r="BH662" s="25"/>
      <c r="BI662" s="25"/>
      <c r="BJ662" s="25"/>
      <c r="BK662" s="25"/>
      <c r="BL662" s="25"/>
      <c r="BM662" s="25"/>
      <c r="BN662" s="25"/>
      <c r="BO662" s="25"/>
      <c r="BP662" s="25"/>
      <c r="BQ662" s="25"/>
      <c r="BR662" s="25"/>
      <c r="BS662" s="25"/>
      <c r="BT662" s="25"/>
      <c r="BU662" s="39">
        <v>45404</v>
      </c>
      <c r="BV662" s="39" t="s">
        <v>1734</v>
      </c>
      <c r="BW662" s="39" t="s">
        <v>2874</v>
      </c>
      <c r="BX662" s="39" t="s">
        <v>2853</v>
      </c>
      <c r="BY662" s="71">
        <v>880</v>
      </c>
      <c r="BZ662" s="71">
        <v>960</v>
      </c>
      <c r="CA662" s="71">
        <v>1210</v>
      </c>
      <c r="CB662" s="71">
        <v>1570</v>
      </c>
      <c r="CC662" s="71">
        <v>1730</v>
      </c>
      <c r="CD662" s="25"/>
      <c r="CE662" s="200"/>
      <c r="CF662" s="200"/>
      <c r="CG662" s="200"/>
      <c r="CH662" s="200"/>
      <c r="CI662" s="200"/>
      <c r="CJ662" s="200"/>
      <c r="CK662" s="200"/>
      <c r="CL662" s="200"/>
      <c r="CM662" s="200"/>
      <c r="CN662" s="200"/>
      <c r="CO662" s="200"/>
      <c r="CP662" s="200"/>
      <c r="CQ662" s="200"/>
      <c r="CR662" s="200"/>
      <c r="CS662" s="200"/>
      <c r="CT662" s="200"/>
      <c r="CU662" s="200"/>
    </row>
    <row r="663" spans="1:99" s="17" customFormat="1" x14ac:dyDescent="0.2">
      <c r="A663" s="25"/>
      <c r="B663" s="20">
        <v>39035189112</v>
      </c>
      <c r="C663" s="20">
        <v>1891.12</v>
      </c>
      <c r="D663" s="20" t="s">
        <v>24</v>
      </c>
      <c r="E663" s="20" t="s">
        <v>2829</v>
      </c>
      <c r="F663" s="20" t="s">
        <v>8</v>
      </c>
      <c r="G663" s="861">
        <v>60.825823722018697</v>
      </c>
      <c r="H663" s="861">
        <v>69.548395957831403</v>
      </c>
      <c r="I663" s="861">
        <v>16.0615153364521</v>
      </c>
      <c r="J663" s="861">
        <v>43.125566283978699</v>
      </c>
      <c r="K663" s="982">
        <v>0</v>
      </c>
      <c r="L663" s="735">
        <v>3889</v>
      </c>
      <c r="M663" s="735">
        <v>4536</v>
      </c>
      <c r="N663" s="845">
        <f t="shared" si="63"/>
        <v>0.16636667523785034</v>
      </c>
      <c r="O663" s="735">
        <v>1.4141335189372743</v>
      </c>
      <c r="P663" s="735">
        <f t="shared" si="64"/>
        <v>3207.6179082501471</v>
      </c>
      <c r="Q663" s="849">
        <v>44.6</v>
      </c>
      <c r="R663" s="71">
        <v>147778</v>
      </c>
      <c r="S663" s="845">
        <v>2.5573192239858905E-2</v>
      </c>
      <c r="T663" s="845">
        <v>1.8000000000000002E-2</v>
      </c>
      <c r="U663" s="845">
        <v>0</v>
      </c>
      <c r="V663" s="845">
        <v>0</v>
      </c>
      <c r="W663" s="845">
        <v>5.6166056166056168E-2</v>
      </c>
      <c r="X663" s="845">
        <v>0.38043478260869568</v>
      </c>
      <c r="Y663" s="845">
        <v>0.88910934744268078</v>
      </c>
      <c r="Z663" s="845">
        <v>3.5273368606701938E-3</v>
      </c>
      <c r="AA663" s="845">
        <v>8.8183421516754845E-4</v>
      </c>
      <c r="AB663" s="845">
        <v>4.1887125220458551E-2</v>
      </c>
      <c r="AC663" s="845">
        <v>0</v>
      </c>
      <c r="AD663" s="845">
        <v>0</v>
      </c>
      <c r="AE663" s="845">
        <v>6.4594356261022931E-2</v>
      </c>
      <c r="AF663" s="845">
        <v>1.7195767195767195E-2</v>
      </c>
      <c r="AG663" s="845">
        <v>0.88910934744268078</v>
      </c>
      <c r="AH663" s="20" t="str">
        <f t="shared" si="65"/>
        <v>No</v>
      </c>
      <c r="AI663" s="25"/>
      <c r="AJ663" s="37">
        <v>43345</v>
      </c>
      <c r="AK663" s="37" t="s">
        <v>895</v>
      </c>
      <c r="AL663" s="37">
        <v>39159</v>
      </c>
      <c r="AM663" s="37" t="s">
        <v>85</v>
      </c>
      <c r="AN663" s="37">
        <f t="shared" si="66"/>
        <v>18140</v>
      </c>
      <c r="AO663" s="37" t="str">
        <f t="shared" si="67"/>
        <v>Columbus, OH</v>
      </c>
      <c r="AP663" s="37" t="s">
        <v>8</v>
      </c>
      <c r="AQ663" s="25"/>
      <c r="AR663" s="25"/>
      <c r="AS663" s="25"/>
      <c r="AT663" s="25"/>
      <c r="AU663" s="36"/>
      <c r="AV663" s="36"/>
      <c r="AW663" s="36"/>
      <c r="AX663" s="25"/>
      <c r="AY663" s="25"/>
      <c r="AZ663" s="25"/>
      <c r="BA663" s="25"/>
      <c r="BB663" s="25"/>
      <c r="BC663" s="25"/>
      <c r="BD663" s="25"/>
      <c r="BE663" s="25"/>
      <c r="BF663" s="25"/>
      <c r="BG663" s="25"/>
      <c r="BH663" s="25"/>
      <c r="BI663" s="25"/>
      <c r="BJ663" s="25"/>
      <c r="BK663" s="25"/>
      <c r="BL663" s="25"/>
      <c r="BM663" s="25"/>
      <c r="BN663" s="25"/>
      <c r="BO663" s="25"/>
      <c r="BP663" s="25"/>
      <c r="BQ663" s="25"/>
      <c r="BR663" s="25"/>
      <c r="BS663" s="25"/>
      <c r="BT663" s="25"/>
      <c r="BU663" s="39">
        <v>45405</v>
      </c>
      <c r="BV663" s="39" t="s">
        <v>1735</v>
      </c>
      <c r="BW663" s="39" t="s">
        <v>2874</v>
      </c>
      <c r="BX663" s="39" t="s">
        <v>2853</v>
      </c>
      <c r="BY663" s="71">
        <v>780</v>
      </c>
      <c r="BZ663" s="71">
        <v>850</v>
      </c>
      <c r="CA663" s="71">
        <v>1070</v>
      </c>
      <c r="CB663" s="71">
        <v>1390</v>
      </c>
      <c r="CC663" s="71">
        <v>1530</v>
      </c>
      <c r="CD663" s="25"/>
      <c r="CE663" s="200"/>
      <c r="CF663" s="200"/>
      <c r="CG663" s="200"/>
      <c r="CH663" s="200"/>
      <c r="CI663" s="200"/>
      <c r="CJ663" s="200"/>
      <c r="CK663" s="200"/>
      <c r="CL663" s="200"/>
      <c r="CM663" s="200"/>
      <c r="CN663" s="200"/>
      <c r="CO663" s="200"/>
      <c r="CP663" s="200"/>
      <c r="CQ663" s="200"/>
      <c r="CR663" s="200"/>
      <c r="CS663" s="200"/>
      <c r="CT663" s="200"/>
      <c r="CU663" s="200"/>
    </row>
    <row r="664" spans="1:99" s="17" customFormat="1" x14ac:dyDescent="0.2">
      <c r="A664" s="25"/>
      <c r="B664" s="20">
        <v>39049003600</v>
      </c>
      <c r="C664" s="20">
        <v>36</v>
      </c>
      <c r="D664" s="20" t="s">
        <v>31</v>
      </c>
      <c r="E664" s="20" t="s">
        <v>2830</v>
      </c>
      <c r="F664" s="20" t="s">
        <v>8</v>
      </c>
      <c r="G664" s="861">
        <v>60.823823860279397</v>
      </c>
      <c r="H664" s="861">
        <v>72.760093169223495</v>
      </c>
      <c r="I664" s="861">
        <v>59.132924551150701</v>
      </c>
      <c r="J664" s="861">
        <v>45.530505818126997</v>
      </c>
      <c r="K664" s="982">
        <v>0</v>
      </c>
      <c r="L664" s="735">
        <v>1436</v>
      </c>
      <c r="M664" s="735">
        <v>2050</v>
      </c>
      <c r="N664" s="845">
        <f t="shared" si="63"/>
        <v>0.42757660167130918</v>
      </c>
      <c r="O664" s="735">
        <v>0.33675405560066451</v>
      </c>
      <c r="P664" s="735">
        <f t="shared" si="64"/>
        <v>6087.5287644077143</v>
      </c>
      <c r="Q664" s="849">
        <v>41.4</v>
      </c>
      <c r="R664" s="71">
        <v>51719</v>
      </c>
      <c r="S664" s="845">
        <v>0.20243902439024392</v>
      </c>
      <c r="T664" s="845">
        <v>4.4000000000000004E-2</v>
      </c>
      <c r="U664" s="845">
        <v>0</v>
      </c>
      <c r="V664" s="845">
        <v>9.1999999999999998E-2</v>
      </c>
      <c r="W664" s="845">
        <v>0.55526992287917742</v>
      </c>
      <c r="X664" s="845">
        <v>0.5</v>
      </c>
      <c r="Y664" s="845">
        <v>0.43073170731707316</v>
      </c>
      <c r="Z664" s="845">
        <v>0.3980487804878049</v>
      </c>
      <c r="AA664" s="845">
        <v>0</v>
      </c>
      <c r="AB664" s="845">
        <v>2.2439024390243902E-2</v>
      </c>
      <c r="AC664" s="845">
        <v>0</v>
      </c>
      <c r="AD664" s="845">
        <v>5.3658536585365858E-3</v>
      </c>
      <c r="AE664" s="845">
        <v>0.14341463414634145</v>
      </c>
      <c r="AF664" s="845">
        <v>2.1951219512195121E-2</v>
      </c>
      <c r="AG664" s="845">
        <v>0.42439024390243901</v>
      </c>
      <c r="AH664" s="20" t="str">
        <f t="shared" si="65"/>
        <v>No</v>
      </c>
      <c r="AI664" s="25"/>
      <c r="AJ664" s="37">
        <v>43358</v>
      </c>
      <c r="AK664" s="37" t="s">
        <v>903</v>
      </c>
      <c r="AL664" s="37">
        <v>39159</v>
      </c>
      <c r="AM664" s="37" t="s">
        <v>85</v>
      </c>
      <c r="AN664" s="37">
        <f t="shared" si="66"/>
        <v>18140</v>
      </c>
      <c r="AO664" s="37" t="str">
        <f t="shared" si="67"/>
        <v>Columbus, OH</v>
      </c>
      <c r="AP664" s="37" t="s">
        <v>8</v>
      </c>
      <c r="AQ664" s="25"/>
      <c r="AR664" s="25"/>
      <c r="AS664" s="25"/>
      <c r="AT664" s="25"/>
      <c r="AU664" s="36"/>
      <c r="AV664" s="36"/>
      <c r="AW664" s="36"/>
      <c r="AX664" s="25"/>
      <c r="AY664" s="25"/>
      <c r="AZ664" s="25"/>
      <c r="BA664" s="25"/>
      <c r="BB664" s="25"/>
      <c r="BC664" s="25"/>
      <c r="BD664" s="25"/>
      <c r="BE664" s="25"/>
      <c r="BF664" s="25"/>
      <c r="BG664" s="25"/>
      <c r="BH664" s="25"/>
      <c r="BI664" s="25"/>
      <c r="BJ664" s="25"/>
      <c r="BK664" s="25"/>
      <c r="BL664" s="25"/>
      <c r="BM664" s="25"/>
      <c r="BN664" s="25"/>
      <c r="BO664" s="25"/>
      <c r="BP664" s="25"/>
      <c r="BQ664" s="25"/>
      <c r="BR664" s="25"/>
      <c r="BS664" s="25"/>
      <c r="BT664" s="25"/>
      <c r="BU664" s="39">
        <v>45406</v>
      </c>
      <c r="BV664" s="39" t="s">
        <v>1736</v>
      </c>
      <c r="BW664" s="39" t="s">
        <v>2874</v>
      </c>
      <c r="BX664" s="39" t="s">
        <v>2853</v>
      </c>
      <c r="BY664" s="71">
        <v>850</v>
      </c>
      <c r="BZ664" s="71">
        <v>920</v>
      </c>
      <c r="CA664" s="71">
        <v>1160</v>
      </c>
      <c r="CB664" s="71">
        <v>1500</v>
      </c>
      <c r="CC664" s="71">
        <v>1660</v>
      </c>
      <c r="CD664" s="25"/>
      <c r="CE664" s="200"/>
      <c r="CF664" s="200"/>
      <c r="CG664" s="200"/>
      <c r="CH664" s="200"/>
      <c r="CI664" s="200"/>
      <c r="CJ664" s="200"/>
      <c r="CK664" s="200"/>
      <c r="CL664" s="200"/>
      <c r="CM664" s="200"/>
      <c r="CN664" s="200"/>
      <c r="CO664" s="200"/>
      <c r="CP664" s="200"/>
      <c r="CQ664" s="200"/>
      <c r="CR664" s="200"/>
      <c r="CS664" s="200"/>
      <c r="CT664" s="200"/>
      <c r="CU664" s="200"/>
    </row>
    <row r="665" spans="1:99" s="17" customFormat="1" x14ac:dyDescent="0.2">
      <c r="A665" s="25"/>
      <c r="B665" s="20">
        <v>39035161000</v>
      </c>
      <c r="C665" s="20">
        <v>1610</v>
      </c>
      <c r="D665" s="20" t="s">
        <v>24</v>
      </c>
      <c r="E665" s="20" t="s">
        <v>2829</v>
      </c>
      <c r="F665" s="20" t="s">
        <v>8</v>
      </c>
      <c r="G665" s="861">
        <v>60.809447361356803</v>
      </c>
      <c r="H665" s="861">
        <v>74.919868926358802</v>
      </c>
      <c r="I665" s="861">
        <v>27.706192944916999</v>
      </c>
      <c r="J665" s="861">
        <v>40.628562458532301</v>
      </c>
      <c r="K665" s="982">
        <v>0</v>
      </c>
      <c r="L665" s="735">
        <v>1839</v>
      </c>
      <c r="M665" s="735">
        <v>1802</v>
      </c>
      <c r="N665" s="845">
        <f t="shared" si="63"/>
        <v>-2.0119630233822731E-2</v>
      </c>
      <c r="O665" s="735">
        <v>0.14389255246426597</v>
      </c>
      <c r="P665" s="735">
        <f t="shared" si="64"/>
        <v>12523.233267736394</v>
      </c>
      <c r="Q665" s="849">
        <v>33.700000000000003</v>
      </c>
      <c r="R665" s="71">
        <v>100526</v>
      </c>
      <c r="S665" s="845">
        <v>4.9944506104328525E-2</v>
      </c>
      <c r="T665" s="845">
        <v>0.03</v>
      </c>
      <c r="U665" s="845">
        <v>0</v>
      </c>
      <c r="V665" s="845">
        <v>0</v>
      </c>
      <c r="W665" s="845">
        <v>0.43670886075949367</v>
      </c>
      <c r="X665" s="845">
        <v>0.29275362318840581</v>
      </c>
      <c r="Y665" s="845">
        <v>0.90843507214206443</v>
      </c>
      <c r="Z665" s="845">
        <v>4.4395116537180909E-2</v>
      </c>
      <c r="AA665" s="845">
        <v>0</v>
      </c>
      <c r="AB665" s="845">
        <v>1.6648168701442841E-3</v>
      </c>
      <c r="AC665" s="845">
        <v>0</v>
      </c>
      <c r="AD665" s="845">
        <v>1.1098779134295227E-2</v>
      </c>
      <c r="AE665" s="845">
        <v>3.4406215316315207E-2</v>
      </c>
      <c r="AF665" s="845">
        <v>4.5504994450610431E-2</v>
      </c>
      <c r="AG665" s="845">
        <v>0.88845726970033301</v>
      </c>
      <c r="AH665" s="20" t="str">
        <f t="shared" si="65"/>
        <v>No</v>
      </c>
      <c r="AI665" s="25"/>
      <c r="AJ665" s="20">
        <v>43153</v>
      </c>
      <c r="AK665" s="20" t="s">
        <v>827</v>
      </c>
      <c r="AL665" s="20">
        <v>39057</v>
      </c>
      <c r="AM665" s="20" t="s">
        <v>35</v>
      </c>
      <c r="AN665" s="37">
        <f t="shared" si="66"/>
        <v>19430</v>
      </c>
      <c r="AO665" s="37" t="str">
        <f t="shared" si="67"/>
        <v>Dayton-Kettering-Beavercreek, OH</v>
      </c>
      <c r="AP665" s="20" t="s">
        <v>8</v>
      </c>
      <c r="AQ665" s="25"/>
      <c r="AR665" s="25"/>
      <c r="AS665" s="25"/>
      <c r="AT665" s="25"/>
      <c r="AU665" s="36"/>
      <c r="AV665" s="36"/>
      <c r="AW665" s="36"/>
      <c r="AX665" s="25"/>
      <c r="AY665" s="25"/>
      <c r="AZ665" s="25"/>
      <c r="BA665" s="25"/>
      <c r="BB665" s="25"/>
      <c r="BC665" s="25"/>
      <c r="BD665" s="25"/>
      <c r="BE665" s="25"/>
      <c r="BF665" s="25"/>
      <c r="BG665" s="25"/>
      <c r="BH665" s="25"/>
      <c r="BI665" s="25"/>
      <c r="BJ665" s="25"/>
      <c r="BK665" s="25"/>
      <c r="BL665" s="25"/>
      <c r="BM665" s="25"/>
      <c r="BN665" s="25"/>
      <c r="BO665" s="25"/>
      <c r="BP665" s="25"/>
      <c r="BQ665" s="25"/>
      <c r="BR665" s="25"/>
      <c r="BS665" s="25"/>
      <c r="BT665" s="25"/>
      <c r="BU665" s="39">
        <v>45409</v>
      </c>
      <c r="BV665" s="39" t="s">
        <v>1737</v>
      </c>
      <c r="BW665" s="39" t="s">
        <v>2874</v>
      </c>
      <c r="BX665" s="39" t="s">
        <v>2853</v>
      </c>
      <c r="BY665" s="71">
        <v>1050</v>
      </c>
      <c r="BZ665" s="71">
        <v>1140</v>
      </c>
      <c r="CA665" s="71">
        <v>1440</v>
      </c>
      <c r="CB665" s="71">
        <v>1870</v>
      </c>
      <c r="CC665" s="71">
        <v>2060</v>
      </c>
      <c r="CD665" s="25"/>
      <c r="CE665" s="200"/>
      <c r="CF665" s="200"/>
      <c r="CG665" s="200"/>
      <c r="CH665" s="200"/>
      <c r="CI665" s="200"/>
      <c r="CJ665" s="200"/>
      <c r="CK665" s="200"/>
      <c r="CL665" s="200"/>
      <c r="CM665" s="200"/>
      <c r="CN665" s="200"/>
      <c r="CO665" s="200"/>
      <c r="CP665" s="200"/>
      <c r="CQ665" s="200"/>
      <c r="CR665" s="200"/>
      <c r="CS665" s="200"/>
      <c r="CT665" s="200"/>
      <c r="CU665" s="200"/>
    </row>
    <row r="666" spans="1:99" s="17" customFormat="1" x14ac:dyDescent="0.2">
      <c r="A666" s="25"/>
      <c r="B666" s="20">
        <v>39057200103</v>
      </c>
      <c r="C666" s="20">
        <v>2001.03</v>
      </c>
      <c r="D666" s="20" t="s">
        <v>35</v>
      </c>
      <c r="E666" s="20" t="s">
        <v>2833</v>
      </c>
      <c r="F666" s="20" t="s">
        <v>8</v>
      </c>
      <c r="G666" s="861">
        <v>60.7977200836471</v>
      </c>
      <c r="H666" s="861">
        <v>48.656743955070603</v>
      </c>
      <c r="I666" s="861">
        <v>42.6742484826093</v>
      </c>
      <c r="J666" s="861">
        <v>48.354762685237297</v>
      </c>
      <c r="K666" s="982">
        <v>1</v>
      </c>
      <c r="L666" s="735">
        <v>3771</v>
      </c>
      <c r="M666" s="735">
        <v>3611</v>
      </c>
      <c r="N666" s="845">
        <f t="shared" si="63"/>
        <v>-4.2429063908777515E-2</v>
      </c>
      <c r="O666" s="735">
        <v>1.1971112871247893</v>
      </c>
      <c r="P666" s="735">
        <f t="shared" si="64"/>
        <v>3016.4279953226956</v>
      </c>
      <c r="Q666" s="849">
        <v>44.4</v>
      </c>
      <c r="R666" s="71">
        <v>63866</v>
      </c>
      <c r="S666" s="845">
        <v>3.3138401559454189E-2</v>
      </c>
      <c r="T666" s="845">
        <v>3.0000000000000001E-3</v>
      </c>
      <c r="U666" s="845">
        <v>0</v>
      </c>
      <c r="V666" s="845">
        <v>7.2000000000000008E-2</v>
      </c>
      <c r="W666" s="845">
        <v>0.38011695906432746</v>
      </c>
      <c r="X666" s="845">
        <v>0.36643356643356645</v>
      </c>
      <c r="Y666" s="845">
        <v>0.80005538631957906</v>
      </c>
      <c r="Z666" s="845">
        <v>9.0002769315978948E-2</v>
      </c>
      <c r="AA666" s="845">
        <v>0</v>
      </c>
      <c r="AB666" s="845">
        <v>3.2677928551647743E-2</v>
      </c>
      <c r="AC666" s="845">
        <v>3.3231791747438382E-3</v>
      </c>
      <c r="AD666" s="845">
        <v>1.2461921905289393E-2</v>
      </c>
      <c r="AE666" s="845">
        <v>6.1478814732761011E-2</v>
      </c>
      <c r="AF666" s="845">
        <v>8.9448906120188312E-2</v>
      </c>
      <c r="AG666" s="845">
        <v>0.75768485184159517</v>
      </c>
      <c r="AH666" s="20" t="str">
        <f t="shared" si="65"/>
        <v>No</v>
      </c>
      <c r="AI666" s="25"/>
      <c r="AJ666" s="20">
        <v>45068</v>
      </c>
      <c r="AK666" s="20" t="s">
        <v>1558</v>
      </c>
      <c r="AL666" s="20">
        <v>39057</v>
      </c>
      <c r="AM666" s="20" t="s">
        <v>35</v>
      </c>
      <c r="AN666" s="37">
        <f t="shared" si="66"/>
        <v>19430</v>
      </c>
      <c r="AO666" s="37" t="str">
        <f t="shared" si="67"/>
        <v>Dayton-Kettering-Beavercreek, OH</v>
      </c>
      <c r="AP666" s="20" t="s">
        <v>8</v>
      </c>
      <c r="AQ666" s="25"/>
      <c r="AR666" s="25"/>
      <c r="AS666" s="25"/>
      <c r="AT666" s="25"/>
      <c r="AU666" s="36"/>
      <c r="AV666" s="36"/>
      <c r="AW666" s="36"/>
      <c r="AX666" s="25"/>
      <c r="AY666" s="25"/>
      <c r="AZ666" s="25"/>
      <c r="BA666" s="25"/>
      <c r="BB666" s="25"/>
      <c r="BC666" s="25"/>
      <c r="BD666" s="25"/>
      <c r="BE666" s="25"/>
      <c r="BF666" s="25"/>
      <c r="BG666" s="25"/>
      <c r="BH666" s="25"/>
      <c r="BI666" s="25"/>
      <c r="BJ666" s="25"/>
      <c r="BK666" s="25"/>
      <c r="BL666" s="25"/>
      <c r="BM666" s="25"/>
      <c r="BN666" s="25"/>
      <c r="BO666" s="25"/>
      <c r="BP666" s="25"/>
      <c r="BQ666" s="25"/>
      <c r="BR666" s="25"/>
      <c r="BS666" s="25"/>
      <c r="BT666" s="25"/>
      <c r="BU666" s="39">
        <v>45410</v>
      </c>
      <c r="BV666" s="39" t="s">
        <v>1738</v>
      </c>
      <c r="BW666" s="39" t="s">
        <v>2874</v>
      </c>
      <c r="BX666" s="39" t="s">
        <v>2853</v>
      </c>
      <c r="BY666" s="71">
        <v>910</v>
      </c>
      <c r="BZ666" s="71">
        <v>990</v>
      </c>
      <c r="CA666" s="71">
        <v>1250</v>
      </c>
      <c r="CB666" s="71">
        <v>1620</v>
      </c>
      <c r="CC666" s="71">
        <v>1780</v>
      </c>
      <c r="CD666" s="25"/>
      <c r="CE666" s="200"/>
      <c r="CF666" s="200"/>
      <c r="CG666" s="200"/>
      <c r="CH666" s="200"/>
      <c r="CI666" s="200"/>
      <c r="CJ666" s="200"/>
      <c r="CK666" s="200"/>
      <c r="CL666" s="200"/>
      <c r="CM666" s="200"/>
      <c r="CN666" s="200"/>
      <c r="CO666" s="200"/>
      <c r="CP666" s="200"/>
      <c r="CQ666" s="200"/>
      <c r="CR666" s="200"/>
      <c r="CS666" s="200"/>
      <c r="CT666" s="200"/>
      <c r="CU666" s="200"/>
    </row>
    <row r="667" spans="1:99" s="17" customFormat="1" x14ac:dyDescent="0.2">
      <c r="A667" s="25"/>
      <c r="B667" s="20">
        <v>39043040500</v>
      </c>
      <c r="C667" s="20">
        <v>405</v>
      </c>
      <c r="D667" s="20" t="s">
        <v>28</v>
      </c>
      <c r="E667" s="20" t="s">
        <v>2837</v>
      </c>
      <c r="F667" s="20" t="s">
        <v>8</v>
      </c>
      <c r="G667" s="861">
        <v>60.7823529975688</v>
      </c>
      <c r="H667" s="861">
        <v>54.460474441779098</v>
      </c>
      <c r="I667" s="861">
        <v>43.815157023184298</v>
      </c>
      <c r="J667" s="861">
        <v>37.8284649969642</v>
      </c>
      <c r="K667" s="982">
        <v>0</v>
      </c>
      <c r="L667" s="735">
        <v>5070</v>
      </c>
      <c r="M667" s="735">
        <v>3968</v>
      </c>
      <c r="N667" s="845">
        <f t="shared" si="63"/>
        <v>-0.21735700197238658</v>
      </c>
      <c r="O667" s="735">
        <v>2.0655237679836298</v>
      </c>
      <c r="P667" s="735">
        <f t="shared" si="64"/>
        <v>1921.0623772553211</v>
      </c>
      <c r="Q667" s="849">
        <v>55.2</v>
      </c>
      <c r="R667" s="71">
        <v>66556</v>
      </c>
      <c r="S667" s="845">
        <v>5.8475012879958786E-2</v>
      </c>
      <c r="T667" s="845">
        <v>4.7E-2</v>
      </c>
      <c r="U667" s="845">
        <v>0</v>
      </c>
      <c r="V667" s="845">
        <v>8.6999999999999994E-2</v>
      </c>
      <c r="W667" s="845">
        <v>0.28010075566750631</v>
      </c>
      <c r="X667" s="845">
        <v>0.37410071942446044</v>
      </c>
      <c r="Y667" s="845">
        <v>0.8515625</v>
      </c>
      <c r="Z667" s="845">
        <v>1.6129032258064516E-2</v>
      </c>
      <c r="AA667" s="845">
        <v>3.276209677419355E-3</v>
      </c>
      <c r="AB667" s="845">
        <v>0</v>
      </c>
      <c r="AC667" s="845">
        <v>0</v>
      </c>
      <c r="AD667" s="845">
        <v>2.4445564516129031E-2</v>
      </c>
      <c r="AE667" s="845">
        <v>0.10458669354838709</v>
      </c>
      <c r="AF667" s="845">
        <v>2.0413306451612902E-2</v>
      </c>
      <c r="AG667" s="845">
        <v>0.84677419354838712</v>
      </c>
      <c r="AH667" s="20" t="str">
        <f t="shared" si="65"/>
        <v>No</v>
      </c>
      <c r="AI667" s="25"/>
      <c r="AJ667" s="20">
        <v>45169</v>
      </c>
      <c r="AK667" s="20" t="s">
        <v>1603</v>
      </c>
      <c r="AL667" s="20">
        <v>39057</v>
      </c>
      <c r="AM667" s="20" t="s">
        <v>35</v>
      </c>
      <c r="AN667" s="37">
        <f t="shared" si="66"/>
        <v>19430</v>
      </c>
      <c r="AO667" s="37" t="str">
        <f t="shared" si="67"/>
        <v>Dayton-Kettering-Beavercreek, OH</v>
      </c>
      <c r="AP667" s="20" t="s">
        <v>8</v>
      </c>
      <c r="AQ667" s="25"/>
      <c r="AR667" s="25"/>
      <c r="AS667" s="25"/>
      <c r="AT667" s="25"/>
      <c r="AU667" s="36"/>
      <c r="AV667" s="36"/>
      <c r="AW667" s="36"/>
      <c r="AX667" s="25"/>
      <c r="AY667" s="25"/>
      <c r="AZ667" s="25"/>
      <c r="BA667" s="25"/>
      <c r="BB667" s="25"/>
      <c r="BC667" s="25"/>
      <c r="BD667" s="25"/>
      <c r="BE667" s="25"/>
      <c r="BF667" s="25"/>
      <c r="BG667" s="25"/>
      <c r="BH667" s="25"/>
      <c r="BI667" s="25"/>
      <c r="BJ667" s="25"/>
      <c r="BK667" s="25"/>
      <c r="BL667" s="25"/>
      <c r="BM667" s="25"/>
      <c r="BN667" s="25"/>
      <c r="BO667" s="25"/>
      <c r="BP667" s="25"/>
      <c r="BQ667" s="25"/>
      <c r="BR667" s="25"/>
      <c r="BS667" s="25"/>
      <c r="BT667" s="25"/>
      <c r="BU667" s="39">
        <v>45414</v>
      </c>
      <c r="BV667" s="39" t="s">
        <v>1739</v>
      </c>
      <c r="BW667" s="39" t="s">
        <v>2874</v>
      </c>
      <c r="BX667" s="39" t="s">
        <v>2853</v>
      </c>
      <c r="BY667" s="71">
        <v>850</v>
      </c>
      <c r="BZ667" s="71">
        <v>930</v>
      </c>
      <c r="CA667" s="71">
        <v>1170</v>
      </c>
      <c r="CB667" s="71">
        <v>1520</v>
      </c>
      <c r="CC667" s="71">
        <v>1670</v>
      </c>
      <c r="CD667" s="25"/>
      <c r="CE667" s="200"/>
      <c r="CF667" s="200"/>
      <c r="CG667" s="200"/>
      <c r="CH667" s="200"/>
      <c r="CI667" s="200"/>
      <c r="CJ667" s="200"/>
      <c r="CK667" s="200"/>
      <c r="CL667" s="200"/>
      <c r="CM667" s="200"/>
      <c r="CN667" s="200"/>
      <c r="CO667" s="200"/>
      <c r="CP667" s="200"/>
      <c r="CQ667" s="200"/>
      <c r="CR667" s="200"/>
      <c r="CS667" s="200"/>
      <c r="CT667" s="200"/>
      <c r="CU667" s="200"/>
    </row>
    <row r="668" spans="1:99" s="17" customFormat="1" x14ac:dyDescent="0.2">
      <c r="A668" s="25"/>
      <c r="B668" s="20">
        <v>39061024901</v>
      </c>
      <c r="C668" s="20">
        <v>249.01</v>
      </c>
      <c r="D668" s="20" t="s">
        <v>37</v>
      </c>
      <c r="E668" s="20" t="s">
        <v>2828</v>
      </c>
      <c r="F668" s="20" t="s">
        <v>8</v>
      </c>
      <c r="G668" s="861">
        <v>60.776601472316997</v>
      </c>
      <c r="H668" s="861">
        <v>62.660956840275702</v>
      </c>
      <c r="I668" s="861">
        <v>45.326962087122602</v>
      </c>
      <c r="J668" s="861">
        <v>44.114516235487798</v>
      </c>
      <c r="K668" s="982">
        <v>0</v>
      </c>
      <c r="L668" s="735">
        <v>1200</v>
      </c>
      <c r="M668" s="735">
        <v>810</v>
      </c>
      <c r="N668" s="845">
        <f t="shared" si="63"/>
        <v>-0.32500000000000001</v>
      </c>
      <c r="O668" s="735">
        <v>6.1312532434753146</v>
      </c>
      <c r="P668" s="735">
        <f t="shared" si="64"/>
        <v>132.11002185596826</v>
      </c>
      <c r="Q668" s="849">
        <v>45.9</v>
      </c>
      <c r="R668" s="71">
        <v>61484</v>
      </c>
      <c r="S668" s="845">
        <v>0.17783505154639176</v>
      </c>
      <c r="T668" s="845">
        <v>1.7000000000000001E-2</v>
      </c>
      <c r="U668" s="845">
        <v>0</v>
      </c>
      <c r="V668" s="845">
        <v>0</v>
      </c>
      <c r="W668" s="845">
        <v>0.46933333333333332</v>
      </c>
      <c r="X668" s="845">
        <v>0.28409090909090912</v>
      </c>
      <c r="Y668" s="845">
        <v>0.94814814814814818</v>
      </c>
      <c r="Z668" s="845">
        <v>0</v>
      </c>
      <c r="AA668" s="845">
        <v>0</v>
      </c>
      <c r="AB668" s="845">
        <v>0</v>
      </c>
      <c r="AC668" s="845">
        <v>0</v>
      </c>
      <c r="AD668" s="845">
        <v>1.4814814814814815E-2</v>
      </c>
      <c r="AE668" s="845">
        <v>3.7037037037037035E-2</v>
      </c>
      <c r="AF668" s="845">
        <v>0</v>
      </c>
      <c r="AG668" s="845">
        <v>0.94814814814814818</v>
      </c>
      <c r="AH668" s="20" t="str">
        <f t="shared" si="65"/>
        <v>Yes</v>
      </c>
      <c r="AI668" s="25"/>
      <c r="AJ668" s="20">
        <v>45301</v>
      </c>
      <c r="AK668" s="20" t="s">
        <v>1655</v>
      </c>
      <c r="AL668" s="20">
        <v>39057</v>
      </c>
      <c r="AM668" s="20" t="s">
        <v>35</v>
      </c>
      <c r="AN668" s="37">
        <f t="shared" si="66"/>
        <v>19430</v>
      </c>
      <c r="AO668" s="37" t="str">
        <f t="shared" si="67"/>
        <v>Dayton-Kettering-Beavercreek, OH</v>
      </c>
      <c r="AP668" s="20" t="s">
        <v>8</v>
      </c>
      <c r="AQ668" s="25"/>
      <c r="AR668" s="25"/>
      <c r="AS668" s="25"/>
      <c r="AT668" s="25"/>
      <c r="AU668" s="36"/>
      <c r="AV668" s="36"/>
      <c r="AW668" s="36"/>
      <c r="AX668" s="25"/>
      <c r="AY668" s="25"/>
      <c r="AZ668" s="25"/>
      <c r="BA668" s="25"/>
      <c r="BB668" s="25"/>
      <c r="BC668" s="25"/>
      <c r="BD668" s="25"/>
      <c r="BE668" s="25"/>
      <c r="BF668" s="25"/>
      <c r="BG668" s="25"/>
      <c r="BH668" s="25"/>
      <c r="BI668" s="25"/>
      <c r="BJ668" s="25"/>
      <c r="BK668" s="25"/>
      <c r="BL668" s="25"/>
      <c r="BM668" s="25"/>
      <c r="BN668" s="25"/>
      <c r="BO668" s="25"/>
      <c r="BP668" s="25"/>
      <c r="BQ668" s="25"/>
      <c r="BR668" s="25"/>
      <c r="BS668" s="25"/>
      <c r="BT668" s="25"/>
      <c r="BU668" s="39">
        <v>45415</v>
      </c>
      <c r="BV668" s="39" t="s">
        <v>1740</v>
      </c>
      <c r="BW668" s="39" t="s">
        <v>2874</v>
      </c>
      <c r="BX668" s="39" t="s">
        <v>2853</v>
      </c>
      <c r="BY668" s="71">
        <v>870</v>
      </c>
      <c r="BZ668" s="71">
        <v>940</v>
      </c>
      <c r="CA668" s="71">
        <v>1190</v>
      </c>
      <c r="CB668" s="71">
        <v>1540</v>
      </c>
      <c r="CC668" s="71">
        <v>1700</v>
      </c>
      <c r="CD668" s="25"/>
      <c r="CE668" s="200"/>
      <c r="CF668" s="200"/>
      <c r="CG668" s="200"/>
      <c r="CH668" s="200"/>
      <c r="CI668" s="200"/>
      <c r="CJ668" s="200"/>
      <c r="CK668" s="200"/>
      <c r="CL668" s="200"/>
      <c r="CM668" s="200"/>
      <c r="CN668" s="200"/>
      <c r="CO668" s="200"/>
      <c r="CP668" s="200"/>
      <c r="CQ668" s="200"/>
      <c r="CR668" s="200"/>
      <c r="CS668" s="200"/>
      <c r="CT668" s="200"/>
      <c r="CU668" s="200"/>
    </row>
    <row r="669" spans="1:99" s="17" customFormat="1" x14ac:dyDescent="0.2">
      <c r="A669" s="25"/>
      <c r="B669" s="20">
        <v>39061025402</v>
      </c>
      <c r="C669" s="20">
        <v>254.02</v>
      </c>
      <c r="D669" s="20" t="s">
        <v>37</v>
      </c>
      <c r="E669" s="20" t="s">
        <v>2828</v>
      </c>
      <c r="F669" s="20" t="s">
        <v>8</v>
      </c>
      <c r="G669" s="861">
        <v>60.692986947096699</v>
      </c>
      <c r="H669" s="861">
        <v>76.225570213727394</v>
      </c>
      <c r="I669" s="861">
        <v>34.523747957225702</v>
      </c>
      <c r="J669" s="861">
        <v>42.147685932294301</v>
      </c>
      <c r="K669" s="982">
        <v>0</v>
      </c>
      <c r="L669" s="735">
        <v>2850</v>
      </c>
      <c r="M669" s="735">
        <v>3289</v>
      </c>
      <c r="N669" s="845">
        <f t="shared" si="63"/>
        <v>0.15403508771929825</v>
      </c>
      <c r="O669" s="735">
        <v>0.53735150158662315</v>
      </c>
      <c r="P669" s="735">
        <f t="shared" si="64"/>
        <v>6120.760787470881</v>
      </c>
      <c r="Q669" s="849">
        <v>31.7</v>
      </c>
      <c r="R669" s="71">
        <v>77105</v>
      </c>
      <c r="S669" s="845">
        <v>0.12739434478564912</v>
      </c>
      <c r="T669" s="845">
        <v>5.0999999999999997E-2</v>
      </c>
      <c r="U669" s="845">
        <v>0</v>
      </c>
      <c r="V669" s="845">
        <v>0</v>
      </c>
      <c r="W669" s="845">
        <v>0.45795601552393272</v>
      </c>
      <c r="X669" s="845">
        <v>0.37853107344632769</v>
      </c>
      <c r="Y669" s="845">
        <v>0.88598358163575552</v>
      </c>
      <c r="Z669" s="845">
        <v>8.3003952569169967E-2</v>
      </c>
      <c r="AA669" s="845">
        <v>0</v>
      </c>
      <c r="AB669" s="845">
        <v>7.9051383399209481E-3</v>
      </c>
      <c r="AC669" s="845">
        <v>0</v>
      </c>
      <c r="AD669" s="845">
        <v>4.560656734569778E-3</v>
      </c>
      <c r="AE669" s="845">
        <v>1.8546670720583764E-2</v>
      </c>
      <c r="AF669" s="845">
        <v>1.7634539373669808E-2</v>
      </c>
      <c r="AG669" s="845">
        <v>0.87290969899665549</v>
      </c>
      <c r="AH669" s="20" t="str">
        <f t="shared" si="65"/>
        <v>No</v>
      </c>
      <c r="AI669" s="25"/>
      <c r="AJ669" s="20">
        <v>45305</v>
      </c>
      <c r="AK669" s="20" t="s">
        <v>1659</v>
      </c>
      <c r="AL669" s="20">
        <v>39057</v>
      </c>
      <c r="AM669" s="20" t="s">
        <v>35</v>
      </c>
      <c r="AN669" s="37">
        <f t="shared" si="66"/>
        <v>19430</v>
      </c>
      <c r="AO669" s="37" t="str">
        <f t="shared" si="67"/>
        <v>Dayton-Kettering-Beavercreek, OH</v>
      </c>
      <c r="AP669" s="20" t="s">
        <v>8</v>
      </c>
      <c r="AQ669" s="25"/>
      <c r="AR669" s="25"/>
      <c r="AS669" s="25"/>
      <c r="AT669" s="25"/>
      <c r="AU669" s="36"/>
      <c r="AV669" s="36"/>
      <c r="AW669" s="36"/>
      <c r="AX669" s="25"/>
      <c r="AY669" s="25"/>
      <c r="AZ669" s="25"/>
      <c r="BA669" s="25"/>
      <c r="BB669" s="25"/>
      <c r="BC669" s="25"/>
      <c r="BD669" s="25"/>
      <c r="BE669" s="25"/>
      <c r="BF669" s="25"/>
      <c r="BG669" s="25"/>
      <c r="BH669" s="25"/>
      <c r="BI669" s="25"/>
      <c r="BJ669" s="25"/>
      <c r="BK669" s="25"/>
      <c r="BL669" s="25"/>
      <c r="BM669" s="25"/>
      <c r="BN669" s="25"/>
      <c r="BO669" s="25"/>
      <c r="BP669" s="25"/>
      <c r="BQ669" s="25"/>
      <c r="BR669" s="25"/>
      <c r="BS669" s="25"/>
      <c r="BT669" s="25"/>
      <c r="BU669" s="39">
        <v>45416</v>
      </c>
      <c r="BV669" s="39" t="s">
        <v>1741</v>
      </c>
      <c r="BW669" s="39" t="s">
        <v>2874</v>
      </c>
      <c r="BX669" s="39" t="s">
        <v>2853</v>
      </c>
      <c r="BY669" s="71">
        <v>1080</v>
      </c>
      <c r="BZ669" s="71">
        <v>1170</v>
      </c>
      <c r="CA669" s="71">
        <v>1480</v>
      </c>
      <c r="CB669" s="71">
        <v>1920</v>
      </c>
      <c r="CC669" s="71">
        <v>2110</v>
      </c>
      <c r="CD669" s="25"/>
      <c r="CE669" s="200"/>
      <c r="CF669" s="200"/>
      <c r="CG669" s="200"/>
      <c r="CH669" s="200"/>
      <c r="CI669" s="200"/>
      <c r="CJ669" s="200"/>
      <c r="CK669" s="200"/>
      <c r="CL669" s="200"/>
      <c r="CM669" s="200"/>
      <c r="CN669" s="200"/>
      <c r="CO669" s="200"/>
      <c r="CP669" s="200"/>
      <c r="CQ669" s="200"/>
      <c r="CR669" s="200"/>
      <c r="CS669" s="200"/>
      <c r="CT669" s="200"/>
      <c r="CU669" s="200"/>
    </row>
    <row r="670" spans="1:99" s="17" customFormat="1" x14ac:dyDescent="0.2">
      <c r="A670" s="25"/>
      <c r="B670" s="20">
        <v>39035176100</v>
      </c>
      <c r="C670" s="20">
        <v>1761</v>
      </c>
      <c r="D670" s="20" t="s">
        <v>24</v>
      </c>
      <c r="E670" s="20" t="s">
        <v>2829</v>
      </c>
      <c r="F670" s="20" t="s">
        <v>8</v>
      </c>
      <c r="G670" s="861">
        <v>60.645442127873601</v>
      </c>
      <c r="H670" s="861">
        <v>60.663972194781998</v>
      </c>
      <c r="I670" s="861">
        <v>28.3853635979637</v>
      </c>
      <c r="J670" s="861">
        <v>34.495397490918599</v>
      </c>
      <c r="K670" s="982">
        <v>0</v>
      </c>
      <c r="L670" s="735">
        <v>2043</v>
      </c>
      <c r="M670" s="735">
        <v>2328</v>
      </c>
      <c r="N670" s="845">
        <f t="shared" si="63"/>
        <v>0.1395007342143906</v>
      </c>
      <c r="O670" s="735">
        <v>1.6607717168245997</v>
      </c>
      <c r="P670" s="735">
        <f t="shared" si="64"/>
        <v>1401.7579757747458</v>
      </c>
      <c r="Q670" s="849">
        <v>47</v>
      </c>
      <c r="R670" s="71">
        <v>112925</v>
      </c>
      <c r="S670" s="845">
        <v>6.1584840654608099E-2</v>
      </c>
      <c r="T670" s="845">
        <v>5.5E-2</v>
      </c>
      <c r="U670" s="845">
        <v>0</v>
      </c>
      <c r="V670" s="845">
        <v>0</v>
      </c>
      <c r="W670" s="845">
        <v>8.7004405286343608E-2</v>
      </c>
      <c r="X670" s="845">
        <v>0.17721518987341772</v>
      </c>
      <c r="Y670" s="845">
        <v>0.90420962199312716</v>
      </c>
      <c r="Z670" s="845">
        <v>3.1357388316151202E-2</v>
      </c>
      <c r="AA670" s="845">
        <v>0</v>
      </c>
      <c r="AB670" s="845">
        <v>0</v>
      </c>
      <c r="AC670" s="845">
        <v>0</v>
      </c>
      <c r="AD670" s="845">
        <v>3.2216494845360821E-2</v>
      </c>
      <c r="AE670" s="845">
        <v>3.2216494845360821E-2</v>
      </c>
      <c r="AF670" s="845">
        <v>3.994845360824742E-2</v>
      </c>
      <c r="AG670" s="845">
        <v>0.8887457044673539</v>
      </c>
      <c r="AH670" s="20" t="str">
        <f t="shared" si="65"/>
        <v>No</v>
      </c>
      <c r="AI670" s="25"/>
      <c r="AJ670" s="37">
        <v>45307</v>
      </c>
      <c r="AK670" s="37" t="s">
        <v>1661</v>
      </c>
      <c r="AL670" s="37">
        <v>39057</v>
      </c>
      <c r="AM670" s="37" t="s">
        <v>35</v>
      </c>
      <c r="AN670" s="37">
        <f t="shared" si="66"/>
        <v>19430</v>
      </c>
      <c r="AO670" s="37" t="str">
        <f t="shared" si="67"/>
        <v>Dayton-Kettering-Beavercreek, OH</v>
      </c>
      <c r="AP670" s="20" t="s">
        <v>8</v>
      </c>
      <c r="AQ670" s="25"/>
      <c r="AR670" s="25"/>
      <c r="AS670" s="25"/>
      <c r="AT670" s="25"/>
      <c r="AU670" s="36"/>
      <c r="AV670" s="36"/>
      <c r="AW670" s="36"/>
      <c r="AX670" s="25"/>
      <c r="AY670" s="25"/>
      <c r="AZ670" s="25"/>
      <c r="BA670" s="25"/>
      <c r="BB670" s="25"/>
      <c r="BC670" s="25"/>
      <c r="BD670" s="25"/>
      <c r="BE670" s="25"/>
      <c r="BF670" s="25"/>
      <c r="BG670" s="25"/>
      <c r="BH670" s="25"/>
      <c r="BI670" s="25"/>
      <c r="BJ670" s="25"/>
      <c r="BK670" s="25"/>
      <c r="BL670" s="25"/>
      <c r="BM670" s="25"/>
      <c r="BN670" s="25"/>
      <c r="BO670" s="25"/>
      <c r="BP670" s="25"/>
      <c r="BQ670" s="25"/>
      <c r="BR670" s="25"/>
      <c r="BS670" s="25"/>
      <c r="BT670" s="25"/>
      <c r="BU670" s="39">
        <v>45417</v>
      </c>
      <c r="BV670" s="39" t="s">
        <v>1742</v>
      </c>
      <c r="BW670" s="39" t="s">
        <v>2874</v>
      </c>
      <c r="BX670" s="39" t="s">
        <v>2853</v>
      </c>
      <c r="BY670" s="71">
        <v>850</v>
      </c>
      <c r="BZ670" s="71">
        <v>930</v>
      </c>
      <c r="CA670" s="71">
        <v>1170</v>
      </c>
      <c r="CB670" s="71">
        <v>1520</v>
      </c>
      <c r="CC670" s="71">
        <v>1670</v>
      </c>
      <c r="CD670" s="25"/>
      <c r="CE670" s="200"/>
      <c r="CF670" s="200"/>
      <c r="CG670" s="200"/>
      <c r="CH670" s="200"/>
      <c r="CI670" s="200"/>
      <c r="CJ670" s="200"/>
      <c r="CK670" s="200"/>
      <c r="CL670" s="200"/>
      <c r="CM670" s="200"/>
      <c r="CN670" s="200"/>
      <c r="CO670" s="200"/>
      <c r="CP670" s="200"/>
      <c r="CQ670" s="200"/>
      <c r="CR670" s="200"/>
      <c r="CS670" s="200"/>
      <c r="CT670" s="200"/>
      <c r="CU670" s="200"/>
    </row>
    <row r="671" spans="1:99" s="17" customFormat="1" x14ac:dyDescent="0.2">
      <c r="A671" s="25"/>
      <c r="B671" s="20">
        <v>39129020320</v>
      </c>
      <c r="C671" s="20">
        <v>203.2</v>
      </c>
      <c r="D671" s="20" t="s">
        <v>70</v>
      </c>
      <c r="E671" s="20" t="s">
        <v>2830</v>
      </c>
      <c r="F671" s="20" t="s">
        <v>8</v>
      </c>
      <c r="G671" s="861">
        <v>60.641021520569197</v>
      </c>
      <c r="H671" s="861">
        <v>54.037766894930698</v>
      </c>
      <c r="I671" s="861">
        <v>26.6721331546923</v>
      </c>
      <c r="J671" s="861">
        <v>50.882240877560697</v>
      </c>
      <c r="K671" s="982">
        <v>0</v>
      </c>
      <c r="L671" s="735">
        <v>3419</v>
      </c>
      <c r="M671" s="735">
        <v>3557</v>
      </c>
      <c r="N671" s="845">
        <f t="shared" si="63"/>
        <v>4.0362679145949105E-2</v>
      </c>
      <c r="O671" s="735">
        <v>7.3309591371058458</v>
      </c>
      <c r="P671" s="735">
        <f t="shared" si="64"/>
        <v>485.20254082390795</v>
      </c>
      <c r="Q671" s="849">
        <v>42</v>
      </c>
      <c r="R671" s="71">
        <v>79095</v>
      </c>
      <c r="S671" s="845">
        <v>5.285035629453682E-2</v>
      </c>
      <c r="T671" s="845">
        <v>4.0000000000000001E-3</v>
      </c>
      <c r="U671" s="845">
        <v>0</v>
      </c>
      <c r="V671" s="845">
        <v>0</v>
      </c>
      <c r="W671" s="845">
        <v>8.1502480510276407E-2</v>
      </c>
      <c r="X671" s="845">
        <v>0.33043478260869563</v>
      </c>
      <c r="Y671" s="845">
        <v>0.94180489176272142</v>
      </c>
      <c r="Z671" s="845">
        <v>1.2651110486364914E-2</v>
      </c>
      <c r="AA671" s="845">
        <v>0</v>
      </c>
      <c r="AB671" s="845">
        <v>0</v>
      </c>
      <c r="AC671" s="845">
        <v>0</v>
      </c>
      <c r="AD671" s="845">
        <v>8.4340736575766093E-4</v>
      </c>
      <c r="AE671" s="845">
        <v>4.470059038515603E-2</v>
      </c>
      <c r="AF671" s="845">
        <v>3.9359010402024181E-3</v>
      </c>
      <c r="AG671" s="845">
        <v>0.94180489176272142</v>
      </c>
      <c r="AH671" s="20" t="str">
        <f t="shared" si="65"/>
        <v>Yes</v>
      </c>
      <c r="AI671" s="25"/>
      <c r="AJ671" s="20">
        <v>45314</v>
      </c>
      <c r="AK671" s="20" t="s">
        <v>1667</v>
      </c>
      <c r="AL671" s="20">
        <v>39057</v>
      </c>
      <c r="AM671" s="20" t="s">
        <v>35</v>
      </c>
      <c r="AN671" s="37">
        <f t="shared" si="66"/>
        <v>19430</v>
      </c>
      <c r="AO671" s="37" t="str">
        <f t="shared" si="67"/>
        <v>Dayton-Kettering-Beavercreek, OH</v>
      </c>
      <c r="AP671" s="20" t="s">
        <v>8</v>
      </c>
      <c r="AQ671" s="25"/>
      <c r="AR671" s="25"/>
      <c r="AS671" s="25"/>
      <c r="AT671" s="25"/>
      <c r="AU671" s="36"/>
      <c r="AV671" s="36"/>
      <c r="AW671" s="36"/>
      <c r="AX671" s="25"/>
      <c r="AY671" s="25"/>
      <c r="AZ671" s="25"/>
      <c r="BA671" s="25"/>
      <c r="BB671" s="25"/>
      <c r="BC671" s="25"/>
      <c r="BD671" s="25"/>
      <c r="BE671" s="25"/>
      <c r="BF671" s="25"/>
      <c r="BG671" s="25"/>
      <c r="BH671" s="25"/>
      <c r="BI671" s="25"/>
      <c r="BJ671" s="25"/>
      <c r="BK671" s="25"/>
      <c r="BL671" s="25"/>
      <c r="BM671" s="25"/>
      <c r="BN671" s="25"/>
      <c r="BO671" s="25"/>
      <c r="BP671" s="25"/>
      <c r="BQ671" s="25"/>
      <c r="BR671" s="25"/>
      <c r="BS671" s="25"/>
      <c r="BT671" s="25"/>
      <c r="BU671" s="39">
        <v>45419</v>
      </c>
      <c r="BV671" s="39" t="s">
        <v>1743</v>
      </c>
      <c r="BW671" s="39" t="s">
        <v>2874</v>
      </c>
      <c r="BX671" s="39" t="s">
        <v>2853</v>
      </c>
      <c r="BY671" s="71">
        <v>880</v>
      </c>
      <c r="BZ671" s="71">
        <v>960</v>
      </c>
      <c r="CA671" s="71">
        <v>1210</v>
      </c>
      <c r="CB671" s="71">
        <v>1570</v>
      </c>
      <c r="CC671" s="71">
        <v>1730</v>
      </c>
      <c r="CD671" s="25"/>
      <c r="CE671" s="200"/>
      <c r="CF671" s="200"/>
      <c r="CG671" s="200"/>
      <c r="CH671" s="200"/>
      <c r="CI671" s="200"/>
      <c r="CJ671" s="200"/>
      <c r="CK671" s="200"/>
      <c r="CL671" s="200"/>
      <c r="CM671" s="200"/>
      <c r="CN671" s="200"/>
      <c r="CO671" s="200"/>
      <c r="CP671" s="200"/>
      <c r="CQ671" s="200"/>
      <c r="CR671" s="200"/>
      <c r="CS671" s="200"/>
      <c r="CT671" s="200"/>
      <c r="CU671" s="200"/>
    </row>
    <row r="672" spans="1:99" s="17" customFormat="1" x14ac:dyDescent="0.2">
      <c r="A672" s="25"/>
      <c r="B672" s="20">
        <v>39061003900</v>
      </c>
      <c r="C672" s="20">
        <v>39</v>
      </c>
      <c r="D672" s="20" t="s">
        <v>37</v>
      </c>
      <c r="E672" s="20" t="s">
        <v>2828</v>
      </c>
      <c r="F672" s="20" t="s">
        <v>6</v>
      </c>
      <c r="G672" s="861">
        <v>60.622063492132597</v>
      </c>
      <c r="H672" s="861">
        <v>66.846357197661803</v>
      </c>
      <c r="I672" s="861">
        <v>63.465315214541299</v>
      </c>
      <c r="J672" s="861">
        <v>64.046504815260604</v>
      </c>
      <c r="K672" s="982">
        <v>0</v>
      </c>
      <c r="L672" s="735">
        <v>1835</v>
      </c>
      <c r="M672" s="735">
        <v>1679</v>
      </c>
      <c r="N672" s="845">
        <f t="shared" si="63"/>
        <v>-8.5013623978201641E-2</v>
      </c>
      <c r="O672" s="735">
        <v>0.21220444907756739</v>
      </c>
      <c r="P672" s="735">
        <f t="shared" si="64"/>
        <v>7912.1809523714219</v>
      </c>
      <c r="Q672" s="849">
        <v>44.2</v>
      </c>
      <c r="R672" s="71">
        <v>49356</v>
      </c>
      <c r="S672" s="845">
        <v>0.14711137581893985</v>
      </c>
      <c r="T672" s="845">
        <v>3.7999999999999999E-2</v>
      </c>
      <c r="U672" s="845">
        <v>0</v>
      </c>
      <c r="V672" s="845">
        <v>0.125</v>
      </c>
      <c r="W672" s="845">
        <v>0.38024971623155507</v>
      </c>
      <c r="X672" s="845">
        <v>0.35522388059701493</v>
      </c>
      <c r="Y672" s="845">
        <v>0.34484812388326386</v>
      </c>
      <c r="Z672" s="845">
        <v>0.58665872543180464</v>
      </c>
      <c r="AA672" s="845">
        <v>0</v>
      </c>
      <c r="AB672" s="845">
        <v>0</v>
      </c>
      <c r="AC672" s="845">
        <v>0</v>
      </c>
      <c r="AD672" s="845">
        <v>5.0029779630732581E-2</v>
      </c>
      <c r="AE672" s="845">
        <v>1.8463371054198929E-2</v>
      </c>
      <c r="AF672" s="845">
        <v>5.0029779630732581E-2</v>
      </c>
      <c r="AG672" s="845">
        <v>0.34484812388326386</v>
      </c>
      <c r="AH672" s="20" t="str">
        <f t="shared" si="65"/>
        <v>No</v>
      </c>
      <c r="AI672" s="25"/>
      <c r="AJ672" s="20">
        <v>45316</v>
      </c>
      <c r="AK672" s="20" t="s">
        <v>1669</v>
      </c>
      <c r="AL672" s="20">
        <v>39057</v>
      </c>
      <c r="AM672" s="20" t="s">
        <v>35</v>
      </c>
      <c r="AN672" s="37">
        <f t="shared" si="66"/>
        <v>19430</v>
      </c>
      <c r="AO672" s="37" t="str">
        <f t="shared" si="67"/>
        <v>Dayton-Kettering-Beavercreek, OH</v>
      </c>
      <c r="AP672" s="20" t="s">
        <v>8</v>
      </c>
      <c r="AQ672" s="25"/>
      <c r="AR672" s="25"/>
      <c r="AS672" s="25"/>
      <c r="AT672" s="25"/>
      <c r="AU672" s="36"/>
      <c r="AV672" s="36"/>
      <c r="AW672" s="36"/>
      <c r="AX672" s="25"/>
      <c r="AY672" s="25"/>
      <c r="AZ672" s="25"/>
      <c r="BA672" s="25"/>
      <c r="BB672" s="25"/>
      <c r="BC672" s="25"/>
      <c r="BD672" s="25"/>
      <c r="BE672" s="25"/>
      <c r="BF672" s="25"/>
      <c r="BG672" s="25"/>
      <c r="BH672" s="25"/>
      <c r="BI672" s="25"/>
      <c r="BJ672" s="25"/>
      <c r="BK672" s="25"/>
      <c r="BL672" s="25"/>
      <c r="BM672" s="25"/>
      <c r="BN672" s="25"/>
      <c r="BO672" s="25"/>
      <c r="BP672" s="25"/>
      <c r="BQ672" s="25"/>
      <c r="BR672" s="25"/>
      <c r="BS672" s="25"/>
      <c r="BT672" s="25"/>
      <c r="BU672" s="39">
        <v>45420</v>
      </c>
      <c r="BV672" s="39" t="s">
        <v>1744</v>
      </c>
      <c r="BW672" s="39" t="s">
        <v>2874</v>
      </c>
      <c r="BX672" s="39" t="s">
        <v>2853</v>
      </c>
      <c r="BY672" s="71">
        <v>930</v>
      </c>
      <c r="BZ672" s="71">
        <v>1010</v>
      </c>
      <c r="CA672" s="71">
        <v>1270</v>
      </c>
      <c r="CB672" s="71">
        <v>1650</v>
      </c>
      <c r="CC672" s="71">
        <v>1810</v>
      </c>
      <c r="CD672" s="25"/>
      <c r="CE672" s="200"/>
      <c r="CF672" s="200"/>
      <c r="CG672" s="200"/>
      <c r="CH672" s="200"/>
      <c r="CI672" s="200"/>
      <c r="CJ672" s="200"/>
      <c r="CK672" s="200"/>
      <c r="CL672" s="200"/>
      <c r="CM672" s="200"/>
      <c r="CN672" s="200"/>
      <c r="CO672" s="200"/>
      <c r="CP672" s="200"/>
      <c r="CQ672" s="200"/>
      <c r="CR672" s="200"/>
      <c r="CS672" s="200"/>
      <c r="CT672" s="200"/>
      <c r="CU672" s="200"/>
    </row>
    <row r="673" spans="1:99" s="17" customFormat="1" x14ac:dyDescent="0.2">
      <c r="A673" s="25"/>
      <c r="B673" s="20">
        <v>39165030600</v>
      </c>
      <c r="C673" s="20">
        <v>306</v>
      </c>
      <c r="D673" s="20" t="s">
        <v>88</v>
      </c>
      <c r="E673" s="20" t="s">
        <v>2828</v>
      </c>
      <c r="F673" s="20" t="s">
        <v>8</v>
      </c>
      <c r="G673" s="861">
        <v>60.620313500273298</v>
      </c>
      <c r="H673" s="861">
        <v>65.8945840518262</v>
      </c>
      <c r="I673" s="861">
        <v>20.713110468726999</v>
      </c>
      <c r="J673" s="861">
        <v>46.2041855062023</v>
      </c>
      <c r="K673" s="982">
        <v>0</v>
      </c>
      <c r="L673" s="735">
        <v>3848</v>
      </c>
      <c r="M673" s="735">
        <v>3971</v>
      </c>
      <c r="N673" s="845">
        <f t="shared" si="63"/>
        <v>3.1964656964656966E-2</v>
      </c>
      <c r="O673" s="735">
        <v>7.2787893995389812</v>
      </c>
      <c r="P673" s="735">
        <f t="shared" si="64"/>
        <v>545.55775446003599</v>
      </c>
      <c r="Q673" s="849">
        <v>38.799999999999997</v>
      </c>
      <c r="R673" s="71">
        <v>96181</v>
      </c>
      <c r="S673" s="845">
        <v>4.4824981113069755E-2</v>
      </c>
      <c r="T673" s="845">
        <v>2.2000000000000002E-2</v>
      </c>
      <c r="U673" s="845">
        <v>0</v>
      </c>
      <c r="V673" s="845">
        <v>0.1</v>
      </c>
      <c r="W673" s="845">
        <v>5.6842105263157895E-2</v>
      </c>
      <c r="X673" s="845">
        <v>0</v>
      </c>
      <c r="Y673" s="845">
        <v>0.78443716947872077</v>
      </c>
      <c r="Z673" s="845">
        <v>3.6262906069000254E-2</v>
      </c>
      <c r="AA673" s="845">
        <v>0</v>
      </c>
      <c r="AB673" s="845">
        <v>4.1047595064215563E-2</v>
      </c>
      <c r="AC673" s="845">
        <v>0</v>
      </c>
      <c r="AD673" s="845">
        <v>2.4175270712666834E-2</v>
      </c>
      <c r="AE673" s="845">
        <v>0.11407705867539662</v>
      </c>
      <c r="AF673" s="845">
        <v>0.10627046084109797</v>
      </c>
      <c r="AG673" s="845">
        <v>0.75472173256106778</v>
      </c>
      <c r="AH673" s="20" t="str">
        <f t="shared" si="65"/>
        <v>No</v>
      </c>
      <c r="AI673" s="25"/>
      <c r="AJ673" s="37">
        <v>45324</v>
      </c>
      <c r="AK673" s="37" t="s">
        <v>1677</v>
      </c>
      <c r="AL673" s="37">
        <v>39057</v>
      </c>
      <c r="AM673" s="37" t="s">
        <v>35</v>
      </c>
      <c r="AN673" s="37">
        <f t="shared" si="66"/>
        <v>19430</v>
      </c>
      <c r="AO673" s="37" t="str">
        <f t="shared" si="67"/>
        <v>Dayton-Kettering-Beavercreek, OH</v>
      </c>
      <c r="AP673" s="20" t="s">
        <v>8</v>
      </c>
      <c r="AQ673" s="25"/>
      <c r="AR673" s="25"/>
      <c r="AS673" s="25"/>
      <c r="AT673" s="25"/>
      <c r="AU673" s="36"/>
      <c r="AV673" s="36"/>
      <c r="AW673" s="36"/>
      <c r="AX673" s="25"/>
      <c r="AY673" s="25"/>
      <c r="AZ673" s="25"/>
      <c r="BA673" s="25"/>
      <c r="BB673" s="25"/>
      <c r="BC673" s="25"/>
      <c r="BD673" s="25"/>
      <c r="BE673" s="25"/>
      <c r="BF673" s="25"/>
      <c r="BG673" s="25"/>
      <c r="BH673" s="25"/>
      <c r="BI673" s="25"/>
      <c r="BJ673" s="25"/>
      <c r="BK673" s="25"/>
      <c r="BL673" s="25"/>
      <c r="BM673" s="25"/>
      <c r="BN673" s="25"/>
      <c r="BO673" s="25"/>
      <c r="BP673" s="25"/>
      <c r="BQ673" s="25"/>
      <c r="BR673" s="25"/>
      <c r="BS673" s="25"/>
      <c r="BT673" s="25"/>
      <c r="BU673" s="39">
        <v>45423</v>
      </c>
      <c r="BV673" s="39" t="s">
        <v>1745</v>
      </c>
      <c r="BW673" s="39" t="s">
        <v>2874</v>
      </c>
      <c r="BX673" s="39" t="s">
        <v>2853</v>
      </c>
      <c r="BY673" s="71">
        <v>910</v>
      </c>
      <c r="BZ673" s="71">
        <v>990</v>
      </c>
      <c r="CA673" s="71">
        <v>1250</v>
      </c>
      <c r="CB673" s="71">
        <v>1620</v>
      </c>
      <c r="CC673" s="71">
        <v>1780</v>
      </c>
      <c r="CD673" s="25"/>
      <c r="CE673" s="200"/>
      <c r="CF673" s="200"/>
      <c r="CG673" s="200"/>
      <c r="CH673" s="200"/>
      <c r="CI673" s="200"/>
      <c r="CJ673" s="200"/>
      <c r="CK673" s="200"/>
      <c r="CL673" s="200"/>
      <c r="CM673" s="200"/>
      <c r="CN673" s="200"/>
      <c r="CO673" s="200"/>
      <c r="CP673" s="200"/>
      <c r="CQ673" s="200"/>
      <c r="CR673" s="200"/>
      <c r="CS673" s="200"/>
      <c r="CT673" s="200"/>
      <c r="CU673" s="200"/>
    </row>
    <row r="674" spans="1:99" s="17" customFormat="1" x14ac:dyDescent="0.2">
      <c r="A674" s="25"/>
      <c r="B674" s="20">
        <v>39095007802</v>
      </c>
      <c r="C674" s="20">
        <v>78.02</v>
      </c>
      <c r="D674" s="20" t="s">
        <v>53</v>
      </c>
      <c r="E674" s="20" t="s">
        <v>2839</v>
      </c>
      <c r="F674" s="20" t="s">
        <v>8</v>
      </c>
      <c r="G674" s="861">
        <v>60.594749699363099</v>
      </c>
      <c r="H674" s="861">
        <v>52.689564303414301</v>
      </c>
      <c r="I674" s="861">
        <v>35.204416557311198</v>
      </c>
      <c r="J674" s="861">
        <v>29.123362450832001</v>
      </c>
      <c r="K674" s="982">
        <v>0</v>
      </c>
      <c r="L674" s="735" t="s">
        <v>2466</v>
      </c>
      <c r="M674" s="735">
        <v>1557</v>
      </c>
      <c r="N674" s="845" t="str">
        <f t="shared" si="63"/>
        <v/>
      </c>
      <c r="O674" s="735">
        <v>0.72569560946748901</v>
      </c>
      <c r="P674" s="735">
        <f t="shared" si="64"/>
        <v>2145.5276560685229</v>
      </c>
      <c r="Q674" s="849">
        <v>45.4</v>
      </c>
      <c r="R674" s="71">
        <v>45519</v>
      </c>
      <c r="S674" s="845">
        <v>0.19146183699870634</v>
      </c>
      <c r="T674" s="845">
        <v>1.2E-2</v>
      </c>
      <c r="U674" s="845">
        <v>0</v>
      </c>
      <c r="V674" s="845">
        <v>6.6000000000000003E-2</v>
      </c>
      <c r="W674" s="845">
        <v>0.68282828282828278</v>
      </c>
      <c r="X674" s="845">
        <v>0.26035502958579881</v>
      </c>
      <c r="Y674" s="845">
        <v>0.80539499036608864</v>
      </c>
      <c r="Z674" s="845">
        <v>0.11496467565831728</v>
      </c>
      <c r="AA674" s="845">
        <v>0</v>
      </c>
      <c r="AB674" s="845">
        <v>0</v>
      </c>
      <c r="AC674" s="845">
        <v>0</v>
      </c>
      <c r="AD674" s="845">
        <v>2.2479126525369299E-2</v>
      </c>
      <c r="AE674" s="845">
        <v>5.7161207450224794E-2</v>
      </c>
      <c r="AF674" s="845">
        <v>0.1014771997430957</v>
      </c>
      <c r="AG674" s="845">
        <v>0.7700706486833655</v>
      </c>
      <c r="AH674" s="20" t="str">
        <f t="shared" si="65"/>
        <v>No</v>
      </c>
      <c r="AI674" s="25"/>
      <c r="AJ674" s="20">
        <v>45335</v>
      </c>
      <c r="AK674" s="20" t="s">
        <v>1687</v>
      </c>
      <c r="AL674" s="20">
        <v>39057</v>
      </c>
      <c r="AM674" s="20" t="s">
        <v>35</v>
      </c>
      <c r="AN674" s="37">
        <f t="shared" si="66"/>
        <v>19430</v>
      </c>
      <c r="AO674" s="37" t="str">
        <f t="shared" si="67"/>
        <v>Dayton-Kettering-Beavercreek, OH</v>
      </c>
      <c r="AP674" s="20" t="s">
        <v>8</v>
      </c>
      <c r="AQ674" s="25"/>
      <c r="AR674" s="25"/>
      <c r="AS674" s="25"/>
      <c r="AT674" s="25"/>
      <c r="AU674" s="36"/>
      <c r="AV674" s="36"/>
      <c r="AW674" s="36"/>
      <c r="AX674" s="25"/>
      <c r="AY674" s="25"/>
      <c r="AZ674" s="25"/>
      <c r="BA674" s="25"/>
      <c r="BB674" s="25"/>
      <c r="BC674" s="25"/>
      <c r="BD674" s="25"/>
      <c r="BE674" s="25"/>
      <c r="BF674" s="25"/>
      <c r="BG674" s="25"/>
      <c r="BH674" s="25"/>
      <c r="BI674" s="25"/>
      <c r="BJ674" s="25"/>
      <c r="BK674" s="25"/>
      <c r="BL674" s="25"/>
      <c r="BM674" s="25"/>
      <c r="BN674" s="25"/>
      <c r="BO674" s="25"/>
      <c r="BP674" s="25"/>
      <c r="BQ674" s="25"/>
      <c r="BR674" s="25"/>
      <c r="BS674" s="25"/>
      <c r="BT674" s="25"/>
      <c r="BU674" s="39">
        <v>45424</v>
      </c>
      <c r="BV674" s="39" t="s">
        <v>1746</v>
      </c>
      <c r="BW674" s="39" t="s">
        <v>2874</v>
      </c>
      <c r="BX674" s="39" t="s">
        <v>2853</v>
      </c>
      <c r="BY674" s="71">
        <v>1020</v>
      </c>
      <c r="BZ674" s="71">
        <v>1110</v>
      </c>
      <c r="CA674" s="71">
        <v>1400</v>
      </c>
      <c r="CB674" s="71">
        <v>1820</v>
      </c>
      <c r="CC674" s="71">
        <v>2000</v>
      </c>
      <c r="CD674" s="25"/>
      <c r="CE674" s="200"/>
      <c r="CF674" s="200"/>
      <c r="CG674" s="200"/>
      <c r="CH674" s="200"/>
      <c r="CI674" s="200"/>
      <c r="CJ674" s="200"/>
      <c r="CK674" s="200"/>
      <c r="CL674" s="200"/>
      <c r="CM674" s="200"/>
      <c r="CN674" s="200"/>
      <c r="CO674" s="200"/>
      <c r="CP674" s="200"/>
      <c r="CQ674" s="200"/>
      <c r="CR674" s="200"/>
      <c r="CS674" s="200"/>
      <c r="CT674" s="200"/>
      <c r="CU674" s="200"/>
    </row>
    <row r="675" spans="1:99" s="17" customFormat="1" x14ac:dyDescent="0.2">
      <c r="A675" s="25"/>
      <c r="B675" s="20">
        <v>39173021901</v>
      </c>
      <c r="C675" s="20">
        <v>219.01</v>
      </c>
      <c r="D675" s="20" t="s">
        <v>92</v>
      </c>
      <c r="E675" s="20" t="s">
        <v>2839</v>
      </c>
      <c r="F675" s="20" t="s">
        <v>8</v>
      </c>
      <c r="G675" s="861">
        <v>60.591764059651098</v>
      </c>
      <c r="H675" s="861">
        <v>65.631529987104699</v>
      </c>
      <c r="I675" s="861">
        <v>24.9605886397555</v>
      </c>
      <c r="J675" s="861">
        <v>42.061964103580401</v>
      </c>
      <c r="K675" s="982">
        <v>1</v>
      </c>
      <c r="L675" s="735">
        <v>3920</v>
      </c>
      <c r="M675" s="735">
        <v>3369</v>
      </c>
      <c r="N675" s="845">
        <f t="shared" si="63"/>
        <v>-0.14056122448979591</v>
      </c>
      <c r="O675" s="735">
        <v>3.8417859763842701</v>
      </c>
      <c r="P675" s="735">
        <f t="shared" si="64"/>
        <v>876.93588885728695</v>
      </c>
      <c r="Q675" s="849">
        <v>46</v>
      </c>
      <c r="R675" s="71">
        <v>74194</v>
      </c>
      <c r="S675" s="845">
        <v>8.6969427129712076E-2</v>
      </c>
      <c r="T675" s="845">
        <v>2.1000000000000001E-2</v>
      </c>
      <c r="U675" s="845">
        <v>0</v>
      </c>
      <c r="V675" s="845">
        <v>0</v>
      </c>
      <c r="W675" s="845">
        <v>0.25292587776332898</v>
      </c>
      <c r="X675" s="845">
        <v>0.30077120822622105</v>
      </c>
      <c r="Y675" s="845">
        <v>0.90471950133570789</v>
      </c>
      <c r="Z675" s="845">
        <v>1.1279311368358563E-2</v>
      </c>
      <c r="AA675" s="845">
        <v>4.7491837340457111E-3</v>
      </c>
      <c r="AB675" s="845">
        <v>3.1760166221430693E-2</v>
      </c>
      <c r="AC675" s="845">
        <v>0</v>
      </c>
      <c r="AD675" s="845">
        <v>0</v>
      </c>
      <c r="AE675" s="845">
        <v>4.7491837340457109E-2</v>
      </c>
      <c r="AF675" s="845">
        <v>1.7809439002671415E-2</v>
      </c>
      <c r="AG675" s="845">
        <v>0.8996734936182843</v>
      </c>
      <c r="AH675" s="20" t="str">
        <f t="shared" si="65"/>
        <v>No</v>
      </c>
      <c r="AI675" s="25"/>
      <c r="AJ675" s="37">
        <v>45341</v>
      </c>
      <c r="AK675" s="37" t="s">
        <v>1693</v>
      </c>
      <c r="AL675" s="37">
        <v>39057</v>
      </c>
      <c r="AM675" s="37" t="s">
        <v>35</v>
      </c>
      <c r="AN675" s="37">
        <f t="shared" si="66"/>
        <v>19430</v>
      </c>
      <c r="AO675" s="37" t="str">
        <f t="shared" si="67"/>
        <v>Dayton-Kettering-Beavercreek, OH</v>
      </c>
      <c r="AP675" s="20" t="s">
        <v>8</v>
      </c>
      <c r="AQ675" s="25"/>
      <c r="AR675" s="25"/>
      <c r="AS675" s="25"/>
      <c r="AT675" s="25"/>
      <c r="AU675" s="36"/>
      <c r="AV675" s="36"/>
      <c r="AW675" s="36"/>
      <c r="AX675" s="25"/>
      <c r="AY675" s="25"/>
      <c r="AZ675" s="25"/>
      <c r="BA675" s="25"/>
      <c r="BB675" s="25"/>
      <c r="BC675" s="25"/>
      <c r="BD675" s="25"/>
      <c r="BE675" s="25"/>
      <c r="BF675" s="25"/>
      <c r="BG675" s="25"/>
      <c r="BH675" s="25"/>
      <c r="BI675" s="25"/>
      <c r="BJ675" s="25"/>
      <c r="BK675" s="25"/>
      <c r="BL675" s="25"/>
      <c r="BM675" s="25"/>
      <c r="BN675" s="25"/>
      <c r="BO675" s="25"/>
      <c r="BP675" s="25"/>
      <c r="BQ675" s="25"/>
      <c r="BR675" s="25"/>
      <c r="BS675" s="25"/>
      <c r="BT675" s="25"/>
      <c r="BU675" s="39">
        <v>45426</v>
      </c>
      <c r="BV675" s="39" t="s">
        <v>1747</v>
      </c>
      <c r="BW675" s="39" t="s">
        <v>2874</v>
      </c>
      <c r="BX675" s="39" t="s">
        <v>2853</v>
      </c>
      <c r="BY675" s="71">
        <v>860</v>
      </c>
      <c r="BZ675" s="71">
        <v>940</v>
      </c>
      <c r="CA675" s="71">
        <v>1180</v>
      </c>
      <c r="CB675" s="71">
        <v>1530</v>
      </c>
      <c r="CC675" s="71">
        <v>1680</v>
      </c>
      <c r="CD675" s="25"/>
      <c r="CE675" s="200"/>
      <c r="CF675" s="200"/>
      <c r="CG675" s="200"/>
      <c r="CH675" s="200"/>
      <c r="CI675" s="200"/>
      <c r="CJ675" s="200"/>
      <c r="CK675" s="200"/>
      <c r="CL675" s="200"/>
      <c r="CM675" s="200"/>
      <c r="CN675" s="200"/>
      <c r="CO675" s="200"/>
      <c r="CP675" s="200"/>
      <c r="CQ675" s="200"/>
      <c r="CR675" s="200"/>
      <c r="CS675" s="200"/>
      <c r="CT675" s="200"/>
      <c r="CU675" s="200"/>
    </row>
    <row r="676" spans="1:99" s="17" customFormat="1" x14ac:dyDescent="0.2">
      <c r="A676" s="25"/>
      <c r="B676" s="20">
        <v>39113050401</v>
      </c>
      <c r="C676" s="20">
        <v>504.01</v>
      </c>
      <c r="D676" s="20" t="s">
        <v>62</v>
      </c>
      <c r="E676" s="20" t="s">
        <v>2833</v>
      </c>
      <c r="F676" s="20" t="s">
        <v>8</v>
      </c>
      <c r="G676" s="861">
        <v>60.583268696556097</v>
      </c>
      <c r="H676" s="861">
        <v>61.8866676456608</v>
      </c>
      <c r="I676" s="861">
        <v>25.635683776823502</v>
      </c>
      <c r="J676" s="861">
        <v>38.572143979575301</v>
      </c>
      <c r="K676" s="982">
        <v>0</v>
      </c>
      <c r="L676" s="735">
        <v>5072</v>
      </c>
      <c r="M676" s="735">
        <v>5070</v>
      </c>
      <c r="N676" s="845">
        <f t="shared" si="63"/>
        <v>-3.9432176656151418E-4</v>
      </c>
      <c r="O676" s="735">
        <v>1.5511055763109276</v>
      </c>
      <c r="P676" s="735">
        <f t="shared" si="64"/>
        <v>3268.6363052463753</v>
      </c>
      <c r="Q676" s="849">
        <v>34.700000000000003</v>
      </c>
      <c r="R676" s="71">
        <v>76911</v>
      </c>
      <c r="S676" s="845">
        <v>9.6252465483234712E-2</v>
      </c>
      <c r="T676" s="845">
        <v>3.3000000000000002E-2</v>
      </c>
      <c r="U676" s="845">
        <v>0</v>
      </c>
      <c r="V676" s="845">
        <v>5.4000000000000006E-2</v>
      </c>
      <c r="W676" s="845">
        <v>0.21834288692027098</v>
      </c>
      <c r="X676" s="845">
        <v>0.24582338902147971</v>
      </c>
      <c r="Y676" s="845">
        <v>0.93727810650887577</v>
      </c>
      <c r="Z676" s="845">
        <v>1.6568047337278107E-2</v>
      </c>
      <c r="AA676" s="845">
        <v>0</v>
      </c>
      <c r="AB676" s="845">
        <v>1.1834319526627219E-2</v>
      </c>
      <c r="AC676" s="845">
        <v>0</v>
      </c>
      <c r="AD676" s="845">
        <v>3.9447731755424065E-3</v>
      </c>
      <c r="AE676" s="845">
        <v>3.0374753451676527E-2</v>
      </c>
      <c r="AF676" s="845">
        <v>8.0867850098619333E-3</v>
      </c>
      <c r="AG676" s="845">
        <v>0.92919132149901384</v>
      </c>
      <c r="AH676" s="20" t="str">
        <f t="shared" si="65"/>
        <v>Yes</v>
      </c>
      <c r="AI676" s="25"/>
      <c r="AJ676" s="20">
        <v>45368</v>
      </c>
      <c r="AK676" s="20" t="s">
        <v>1714</v>
      </c>
      <c r="AL676" s="20">
        <v>39057</v>
      </c>
      <c r="AM676" s="20" t="s">
        <v>35</v>
      </c>
      <c r="AN676" s="37">
        <f t="shared" si="66"/>
        <v>19430</v>
      </c>
      <c r="AO676" s="37" t="str">
        <f t="shared" si="67"/>
        <v>Dayton-Kettering-Beavercreek, OH</v>
      </c>
      <c r="AP676" s="20" t="s">
        <v>8</v>
      </c>
      <c r="AQ676" s="25"/>
      <c r="AR676" s="25"/>
      <c r="AS676" s="25"/>
      <c r="AT676" s="25"/>
      <c r="AU676" s="36"/>
      <c r="AV676" s="36"/>
      <c r="AW676" s="36"/>
      <c r="AX676" s="25"/>
      <c r="AY676" s="25"/>
      <c r="AZ676" s="25"/>
      <c r="BA676" s="25"/>
      <c r="BB676" s="25"/>
      <c r="BC676" s="25"/>
      <c r="BD676" s="25"/>
      <c r="BE676" s="25"/>
      <c r="BF676" s="25"/>
      <c r="BG676" s="25"/>
      <c r="BH676" s="25"/>
      <c r="BI676" s="25"/>
      <c r="BJ676" s="25"/>
      <c r="BK676" s="25"/>
      <c r="BL676" s="25"/>
      <c r="BM676" s="25"/>
      <c r="BN676" s="25"/>
      <c r="BO676" s="25"/>
      <c r="BP676" s="25"/>
      <c r="BQ676" s="25"/>
      <c r="BR676" s="25"/>
      <c r="BS676" s="25"/>
      <c r="BT676" s="25"/>
      <c r="BU676" s="39">
        <v>45428</v>
      </c>
      <c r="BV676" s="39" t="s">
        <v>1748</v>
      </c>
      <c r="BW676" s="39" t="s">
        <v>2874</v>
      </c>
      <c r="BX676" s="39" t="s">
        <v>2853</v>
      </c>
      <c r="BY676" s="71">
        <v>850</v>
      </c>
      <c r="BZ676" s="71">
        <v>930</v>
      </c>
      <c r="CA676" s="71">
        <v>1170</v>
      </c>
      <c r="CB676" s="71">
        <v>1520</v>
      </c>
      <c r="CC676" s="71">
        <v>1670</v>
      </c>
      <c r="CD676" s="25"/>
      <c r="CE676" s="200"/>
      <c r="CF676" s="200"/>
      <c r="CG676" s="200"/>
      <c r="CH676" s="200"/>
      <c r="CI676" s="200"/>
      <c r="CJ676" s="200"/>
      <c r="CK676" s="200"/>
      <c r="CL676" s="200"/>
      <c r="CM676" s="200"/>
      <c r="CN676" s="200"/>
      <c r="CO676" s="200"/>
      <c r="CP676" s="200"/>
      <c r="CQ676" s="200"/>
      <c r="CR676" s="200"/>
      <c r="CS676" s="200"/>
      <c r="CT676" s="200"/>
      <c r="CU676" s="200"/>
    </row>
    <row r="677" spans="1:99" s="17" customFormat="1" x14ac:dyDescent="0.2">
      <c r="A677" s="25"/>
      <c r="B677" s="20">
        <v>39035136103</v>
      </c>
      <c r="C677" s="20">
        <v>1361.03</v>
      </c>
      <c r="D677" s="20" t="s">
        <v>24</v>
      </c>
      <c r="E677" s="20" t="s">
        <v>2829</v>
      </c>
      <c r="F677" s="20" t="s">
        <v>8</v>
      </c>
      <c r="G677" s="861">
        <v>60.574150990573898</v>
      </c>
      <c r="H677" s="861">
        <v>61.264225667969598</v>
      </c>
      <c r="I677" s="861">
        <v>24.8259684411066</v>
      </c>
      <c r="J677" s="861">
        <v>55.754132761369704</v>
      </c>
      <c r="K677" s="982">
        <v>0</v>
      </c>
      <c r="L677" s="735">
        <v>5840</v>
      </c>
      <c r="M677" s="735">
        <v>6245</v>
      </c>
      <c r="N677" s="845">
        <f t="shared" si="63"/>
        <v>6.934931506849315E-2</v>
      </c>
      <c r="O677" s="735">
        <v>4.9135190817536225</v>
      </c>
      <c r="P677" s="735">
        <f t="shared" si="64"/>
        <v>1270.9831581179442</v>
      </c>
      <c r="Q677" s="849">
        <v>48.5</v>
      </c>
      <c r="R677" s="71">
        <v>102610</v>
      </c>
      <c r="S677" s="845">
        <v>4.8923679060665359E-3</v>
      </c>
      <c r="T677" s="845">
        <v>1.3999999999999999E-2</v>
      </c>
      <c r="U677" s="845">
        <v>0</v>
      </c>
      <c r="V677" s="845">
        <v>0</v>
      </c>
      <c r="W677" s="845">
        <v>2.7903159622486663E-2</v>
      </c>
      <c r="X677" s="845">
        <v>0</v>
      </c>
      <c r="Y677" s="845">
        <v>0.91289031224979988</v>
      </c>
      <c r="Z677" s="845">
        <v>5.9247397918334669E-3</v>
      </c>
      <c r="AA677" s="845">
        <v>0</v>
      </c>
      <c r="AB677" s="845">
        <v>3.6509207365892714E-2</v>
      </c>
      <c r="AC677" s="845">
        <v>0</v>
      </c>
      <c r="AD677" s="845">
        <v>5.4443554843875098E-3</v>
      </c>
      <c r="AE677" s="845">
        <v>3.9231385108086471E-2</v>
      </c>
      <c r="AF677" s="845">
        <v>1.5532425940752602E-2</v>
      </c>
      <c r="AG677" s="845">
        <v>0.9079263410728583</v>
      </c>
      <c r="AH677" s="20" t="str">
        <f t="shared" si="65"/>
        <v>Yes</v>
      </c>
      <c r="AI677" s="25"/>
      <c r="AJ677" s="20">
        <v>45370</v>
      </c>
      <c r="AK677" s="20" t="s">
        <v>1716</v>
      </c>
      <c r="AL677" s="20">
        <v>39057</v>
      </c>
      <c r="AM677" s="20" t="s">
        <v>35</v>
      </c>
      <c r="AN677" s="37">
        <f t="shared" si="66"/>
        <v>19430</v>
      </c>
      <c r="AO677" s="37" t="str">
        <f t="shared" si="67"/>
        <v>Dayton-Kettering-Beavercreek, OH</v>
      </c>
      <c r="AP677" s="20" t="s">
        <v>8</v>
      </c>
      <c r="AQ677" s="25"/>
      <c r="AR677" s="25"/>
      <c r="AS677" s="25"/>
      <c r="AT677" s="25"/>
      <c r="AU677" s="36"/>
      <c r="AV677" s="36"/>
      <c r="AW677" s="36"/>
      <c r="AX677" s="25"/>
      <c r="AY677" s="25"/>
      <c r="AZ677" s="25"/>
      <c r="BA677" s="25"/>
      <c r="BB677" s="25"/>
      <c r="BC677" s="25"/>
      <c r="BD677" s="25"/>
      <c r="BE677" s="25"/>
      <c r="BF677" s="25"/>
      <c r="BG677" s="25"/>
      <c r="BH677" s="25"/>
      <c r="BI677" s="25"/>
      <c r="BJ677" s="25"/>
      <c r="BK677" s="25"/>
      <c r="BL677" s="25"/>
      <c r="BM677" s="25"/>
      <c r="BN677" s="25"/>
      <c r="BO677" s="25"/>
      <c r="BP677" s="25"/>
      <c r="BQ677" s="25"/>
      <c r="BR677" s="25"/>
      <c r="BS677" s="25"/>
      <c r="BT677" s="25"/>
      <c r="BU677" s="39">
        <v>45429</v>
      </c>
      <c r="BV677" s="39" t="s">
        <v>1749</v>
      </c>
      <c r="BW677" s="39" t="s">
        <v>2874</v>
      </c>
      <c r="BX677" s="39" t="s">
        <v>2853</v>
      </c>
      <c r="BY677" s="71">
        <v>940</v>
      </c>
      <c r="BZ677" s="71">
        <v>1020</v>
      </c>
      <c r="CA677" s="71">
        <v>1290</v>
      </c>
      <c r="CB677" s="71">
        <v>1670</v>
      </c>
      <c r="CC677" s="71">
        <v>1840</v>
      </c>
      <c r="CD677" s="25"/>
      <c r="CE677" s="200"/>
      <c r="CF677" s="200"/>
      <c r="CG677" s="200"/>
      <c r="CH677" s="200"/>
      <c r="CI677" s="200"/>
      <c r="CJ677" s="200"/>
      <c r="CK677" s="200"/>
      <c r="CL677" s="200"/>
      <c r="CM677" s="200"/>
      <c r="CN677" s="200"/>
      <c r="CO677" s="200"/>
      <c r="CP677" s="200"/>
      <c r="CQ677" s="200"/>
      <c r="CR677" s="200"/>
      <c r="CS677" s="200"/>
      <c r="CT677" s="200"/>
      <c r="CU677" s="200"/>
    </row>
    <row r="678" spans="1:99" s="17" customFormat="1" x14ac:dyDescent="0.2">
      <c r="A678" s="25"/>
      <c r="B678" s="20">
        <v>39057220202</v>
      </c>
      <c r="C678" s="20">
        <v>2202.02</v>
      </c>
      <c r="D678" s="20" t="s">
        <v>35</v>
      </c>
      <c r="E678" s="20" t="s">
        <v>2833</v>
      </c>
      <c r="F678" s="20" t="s">
        <v>8</v>
      </c>
      <c r="G678" s="861">
        <v>60.531325741469999</v>
      </c>
      <c r="H678" s="861">
        <v>60.420075697897197</v>
      </c>
      <c r="I678" s="861">
        <v>22.926049271061501</v>
      </c>
      <c r="J678" s="861">
        <v>31.4407054369291</v>
      </c>
      <c r="K678" s="982">
        <v>0</v>
      </c>
      <c r="L678" s="735" t="s">
        <v>2466</v>
      </c>
      <c r="M678" s="735">
        <v>4165</v>
      </c>
      <c r="N678" s="845" t="str">
        <f t="shared" si="63"/>
        <v/>
      </c>
      <c r="O678" s="735">
        <v>4.0766453557194131</v>
      </c>
      <c r="P678" s="735">
        <f t="shared" si="64"/>
        <v>1021.673370276526</v>
      </c>
      <c r="Q678" s="849">
        <v>45.9</v>
      </c>
      <c r="R678" s="71">
        <v>99792</v>
      </c>
      <c r="S678" s="845">
        <v>2.5999037072701011E-2</v>
      </c>
      <c r="T678" s="845">
        <v>0</v>
      </c>
      <c r="U678" s="845">
        <v>0</v>
      </c>
      <c r="V678" s="845">
        <v>0</v>
      </c>
      <c r="W678" s="845">
        <v>0.26837416481069043</v>
      </c>
      <c r="X678" s="845">
        <v>0.23443983402489627</v>
      </c>
      <c r="Y678" s="845">
        <v>0.90996398559423775</v>
      </c>
      <c r="Z678" s="845">
        <v>9.1236494597839134E-3</v>
      </c>
      <c r="AA678" s="845">
        <v>0</v>
      </c>
      <c r="AB678" s="845">
        <v>5.1380552220888352E-2</v>
      </c>
      <c r="AC678" s="845">
        <v>0</v>
      </c>
      <c r="AD678" s="845">
        <v>9.1236494597839134E-3</v>
      </c>
      <c r="AE678" s="845">
        <v>2.0408163265306121E-2</v>
      </c>
      <c r="AF678" s="845">
        <v>1.0324129651860744E-2</v>
      </c>
      <c r="AG678" s="845">
        <v>0.90588235294117647</v>
      </c>
      <c r="AH678" s="20" t="str">
        <f t="shared" si="65"/>
        <v>Yes</v>
      </c>
      <c r="AI678" s="25"/>
      <c r="AJ678" s="20">
        <v>45384</v>
      </c>
      <c r="AK678" s="20" t="s">
        <v>1726</v>
      </c>
      <c r="AL678" s="20">
        <v>39057</v>
      </c>
      <c r="AM678" s="20" t="s">
        <v>35</v>
      </c>
      <c r="AN678" s="37">
        <f t="shared" si="66"/>
        <v>19430</v>
      </c>
      <c r="AO678" s="37" t="str">
        <f t="shared" si="67"/>
        <v>Dayton-Kettering-Beavercreek, OH</v>
      </c>
      <c r="AP678" s="20" t="s">
        <v>8</v>
      </c>
      <c r="AQ678" s="25"/>
      <c r="AR678" s="25"/>
      <c r="AS678" s="25"/>
      <c r="AT678" s="25"/>
      <c r="AU678" s="36"/>
      <c r="AV678" s="36"/>
      <c r="AW678" s="36"/>
      <c r="AX678" s="25"/>
      <c r="AY678" s="25"/>
      <c r="AZ678" s="25"/>
      <c r="BA678" s="25"/>
      <c r="BB678" s="25"/>
      <c r="BC678" s="25"/>
      <c r="BD678" s="25"/>
      <c r="BE678" s="25"/>
      <c r="BF678" s="25"/>
      <c r="BG678" s="25"/>
      <c r="BH678" s="25"/>
      <c r="BI678" s="25"/>
      <c r="BJ678" s="25"/>
      <c r="BK678" s="25"/>
      <c r="BL678" s="25"/>
      <c r="BM678" s="25"/>
      <c r="BN678" s="25"/>
      <c r="BO678" s="25"/>
      <c r="BP678" s="25"/>
      <c r="BQ678" s="25"/>
      <c r="BR678" s="25"/>
      <c r="BS678" s="25"/>
      <c r="BT678" s="25"/>
      <c r="BU678" s="39">
        <v>45430</v>
      </c>
      <c r="BV678" s="39" t="s">
        <v>1750</v>
      </c>
      <c r="BW678" s="39" t="s">
        <v>2874</v>
      </c>
      <c r="BX678" s="39" t="s">
        <v>2853</v>
      </c>
      <c r="BY678" s="71">
        <v>1220</v>
      </c>
      <c r="BZ678" s="71">
        <v>1320</v>
      </c>
      <c r="CA678" s="71">
        <v>1670</v>
      </c>
      <c r="CB678" s="71">
        <v>2170</v>
      </c>
      <c r="CC678" s="71">
        <v>2380</v>
      </c>
      <c r="CD678" s="25"/>
      <c r="CE678" s="200"/>
      <c r="CF678" s="200"/>
      <c r="CG678" s="200"/>
      <c r="CH678" s="200"/>
      <c r="CI678" s="200"/>
      <c r="CJ678" s="200"/>
      <c r="CK678" s="200"/>
      <c r="CL678" s="200"/>
      <c r="CM678" s="200"/>
      <c r="CN678" s="200"/>
      <c r="CO678" s="200"/>
      <c r="CP678" s="200"/>
      <c r="CQ678" s="200"/>
      <c r="CR678" s="200"/>
      <c r="CS678" s="200"/>
      <c r="CT678" s="200"/>
      <c r="CU678" s="200"/>
    </row>
    <row r="679" spans="1:99" s="17" customFormat="1" x14ac:dyDescent="0.2">
      <c r="A679" s="25"/>
      <c r="B679" s="20">
        <v>39057210500</v>
      </c>
      <c r="C679" s="20">
        <v>2105</v>
      </c>
      <c r="D679" s="20" t="s">
        <v>35</v>
      </c>
      <c r="E679" s="20" t="s">
        <v>2833</v>
      </c>
      <c r="F679" s="20" t="s">
        <v>8</v>
      </c>
      <c r="G679" s="861">
        <v>60.529252602564597</v>
      </c>
      <c r="H679" s="861">
        <v>59.957868296950799</v>
      </c>
      <c r="I679" s="861">
        <v>15.014268714456099</v>
      </c>
      <c r="J679" s="861">
        <v>51.478011336698899</v>
      </c>
      <c r="K679" s="982">
        <v>0</v>
      </c>
      <c r="L679" s="735">
        <v>5485</v>
      </c>
      <c r="M679" s="735">
        <v>6274</v>
      </c>
      <c r="N679" s="845">
        <f t="shared" si="63"/>
        <v>0.14384685505925252</v>
      </c>
      <c r="O679" s="735">
        <v>9.852008162307742</v>
      </c>
      <c r="P679" s="735">
        <f t="shared" si="64"/>
        <v>636.82448254593953</v>
      </c>
      <c r="Q679" s="849">
        <v>43.9</v>
      </c>
      <c r="R679" s="71">
        <v>172481</v>
      </c>
      <c r="S679" s="845">
        <v>1.9879419912009123E-2</v>
      </c>
      <c r="T679" s="845">
        <v>1.6E-2</v>
      </c>
      <c r="U679" s="845">
        <v>0</v>
      </c>
      <c r="V679" s="845">
        <v>0</v>
      </c>
      <c r="W679" s="845">
        <v>3.620122237893747E-2</v>
      </c>
      <c r="X679" s="845">
        <v>0.83116883116883122</v>
      </c>
      <c r="Y679" s="845">
        <v>0.85288492189990439</v>
      </c>
      <c r="Z679" s="845">
        <v>3.8253108065030282E-3</v>
      </c>
      <c r="AA679" s="845">
        <v>0</v>
      </c>
      <c r="AB679" s="845">
        <v>6.9493146318138355E-2</v>
      </c>
      <c r="AC679" s="845">
        <v>0</v>
      </c>
      <c r="AD679" s="845">
        <v>1.5938795027095953E-2</v>
      </c>
      <c r="AE679" s="845">
        <v>5.7857825948358303E-2</v>
      </c>
      <c r="AF679" s="845">
        <v>4.6860057379662097E-2</v>
      </c>
      <c r="AG679" s="845">
        <v>0.83567102327064069</v>
      </c>
      <c r="AH679" s="20" t="str">
        <f t="shared" si="65"/>
        <v>No</v>
      </c>
      <c r="AI679" s="25"/>
      <c r="AJ679" s="37">
        <v>45385</v>
      </c>
      <c r="AK679" s="37" t="s">
        <v>1727</v>
      </c>
      <c r="AL679" s="37">
        <v>39057</v>
      </c>
      <c r="AM679" s="37" t="s">
        <v>35</v>
      </c>
      <c r="AN679" s="37">
        <f t="shared" si="66"/>
        <v>19430</v>
      </c>
      <c r="AO679" s="37" t="str">
        <f t="shared" si="67"/>
        <v>Dayton-Kettering-Beavercreek, OH</v>
      </c>
      <c r="AP679" s="20" t="s">
        <v>8</v>
      </c>
      <c r="AQ679" s="25"/>
      <c r="AR679" s="25"/>
      <c r="AS679" s="25"/>
      <c r="AT679" s="25"/>
      <c r="AU679" s="36"/>
      <c r="AV679" s="36"/>
      <c r="AW679" s="36"/>
      <c r="AX679" s="25"/>
      <c r="AY679" s="25"/>
      <c r="AZ679" s="25"/>
      <c r="BA679" s="25"/>
      <c r="BB679" s="25"/>
      <c r="BC679" s="25"/>
      <c r="BD679" s="25"/>
      <c r="BE679" s="25"/>
      <c r="BF679" s="25"/>
      <c r="BG679" s="25"/>
      <c r="BH679" s="25"/>
      <c r="BI679" s="25"/>
      <c r="BJ679" s="25"/>
      <c r="BK679" s="25"/>
      <c r="BL679" s="25"/>
      <c r="BM679" s="25"/>
      <c r="BN679" s="25"/>
      <c r="BO679" s="25"/>
      <c r="BP679" s="25"/>
      <c r="BQ679" s="25"/>
      <c r="BR679" s="25"/>
      <c r="BS679" s="25"/>
      <c r="BT679" s="25"/>
      <c r="BU679" s="39">
        <v>45431</v>
      </c>
      <c r="BV679" s="39" t="s">
        <v>1751</v>
      </c>
      <c r="BW679" s="39" t="s">
        <v>2874</v>
      </c>
      <c r="BX679" s="39" t="s">
        <v>2853</v>
      </c>
      <c r="BY679" s="71">
        <v>1170</v>
      </c>
      <c r="BZ679" s="71">
        <v>1270</v>
      </c>
      <c r="CA679" s="71">
        <v>1600</v>
      </c>
      <c r="CB679" s="71">
        <v>2080</v>
      </c>
      <c r="CC679" s="71">
        <v>2280</v>
      </c>
      <c r="CD679" s="25"/>
      <c r="CE679" s="200"/>
      <c r="CF679" s="200"/>
      <c r="CG679" s="200"/>
      <c r="CH679" s="200"/>
      <c r="CI679" s="200"/>
      <c r="CJ679" s="200"/>
      <c r="CK679" s="200"/>
      <c r="CL679" s="200"/>
      <c r="CM679" s="200"/>
      <c r="CN679" s="200"/>
      <c r="CO679" s="200"/>
      <c r="CP679" s="200"/>
      <c r="CQ679" s="200"/>
      <c r="CR679" s="200"/>
      <c r="CS679" s="200"/>
      <c r="CT679" s="200"/>
      <c r="CU679" s="200"/>
    </row>
    <row r="680" spans="1:99" s="17" customFormat="1" x14ac:dyDescent="0.2">
      <c r="A680" s="25"/>
      <c r="B680" s="20">
        <v>39049009383</v>
      </c>
      <c r="C680" s="20">
        <v>93.83</v>
      </c>
      <c r="D680" s="20" t="s">
        <v>31</v>
      </c>
      <c r="E680" s="20" t="s">
        <v>2830</v>
      </c>
      <c r="F680" s="20" t="s">
        <v>8</v>
      </c>
      <c r="G680" s="861">
        <v>60.4538959272477</v>
      </c>
      <c r="H680" s="861">
        <v>75.013544170786304</v>
      </c>
      <c r="I680" s="861">
        <v>23.686445210276599</v>
      </c>
      <c r="J680" s="861">
        <v>44.085024284948702</v>
      </c>
      <c r="K680" s="982">
        <v>0</v>
      </c>
      <c r="L680" s="735">
        <v>2345</v>
      </c>
      <c r="M680" s="735">
        <v>3030</v>
      </c>
      <c r="N680" s="845">
        <f t="shared" si="63"/>
        <v>0.29211087420042642</v>
      </c>
      <c r="O680" s="735">
        <v>0.51269385943242807</v>
      </c>
      <c r="P680" s="735">
        <f t="shared" si="64"/>
        <v>5909.9596069949566</v>
      </c>
      <c r="Q680" s="849">
        <v>36.1</v>
      </c>
      <c r="R680" s="71">
        <v>70057</v>
      </c>
      <c r="S680" s="845">
        <v>0.15593456317438217</v>
      </c>
      <c r="T680" s="845">
        <v>5.5E-2</v>
      </c>
      <c r="U680" s="845">
        <v>7.5999999999999998E-2</v>
      </c>
      <c r="V680" s="845">
        <v>0</v>
      </c>
      <c r="W680" s="845">
        <v>0.50201126307320998</v>
      </c>
      <c r="X680" s="845">
        <v>0.26121794871794873</v>
      </c>
      <c r="Y680" s="845">
        <v>0.65907590759075907</v>
      </c>
      <c r="Z680" s="845">
        <v>0.27161716171617162</v>
      </c>
      <c r="AA680" s="845">
        <v>0</v>
      </c>
      <c r="AB680" s="845">
        <v>0</v>
      </c>
      <c r="AC680" s="845">
        <v>0</v>
      </c>
      <c r="AD680" s="845">
        <v>1.9801980198019802E-2</v>
      </c>
      <c r="AE680" s="845">
        <v>4.9504950495049507E-2</v>
      </c>
      <c r="AF680" s="845">
        <v>4.9174917491749175E-2</v>
      </c>
      <c r="AG680" s="845">
        <v>0.65907590759075907</v>
      </c>
      <c r="AH680" s="20" t="str">
        <f t="shared" si="65"/>
        <v>No</v>
      </c>
      <c r="AI680" s="25"/>
      <c r="AJ680" s="20">
        <v>45387</v>
      </c>
      <c r="AK680" s="20" t="s">
        <v>1728</v>
      </c>
      <c r="AL680" s="20">
        <v>39057</v>
      </c>
      <c r="AM680" s="20" t="s">
        <v>35</v>
      </c>
      <c r="AN680" s="37">
        <f t="shared" si="66"/>
        <v>19430</v>
      </c>
      <c r="AO680" s="37" t="str">
        <f t="shared" si="67"/>
        <v>Dayton-Kettering-Beavercreek, OH</v>
      </c>
      <c r="AP680" s="20" t="s">
        <v>8</v>
      </c>
      <c r="AQ680" s="25"/>
      <c r="AR680" s="25"/>
      <c r="AS680" s="25"/>
      <c r="AT680" s="25"/>
      <c r="AU680" s="36"/>
      <c r="AV680" s="36"/>
      <c r="AW680" s="36"/>
      <c r="AX680" s="25"/>
      <c r="AY680" s="25"/>
      <c r="AZ680" s="25"/>
      <c r="BA680" s="25"/>
      <c r="BB680" s="25"/>
      <c r="BC680" s="25"/>
      <c r="BD680" s="25"/>
      <c r="BE680" s="25"/>
      <c r="BF680" s="25"/>
      <c r="BG680" s="25"/>
      <c r="BH680" s="25"/>
      <c r="BI680" s="25"/>
      <c r="BJ680" s="25"/>
      <c r="BK680" s="25"/>
      <c r="BL680" s="25"/>
      <c r="BM680" s="25"/>
      <c r="BN680" s="25"/>
      <c r="BO680" s="25"/>
      <c r="BP680" s="25"/>
      <c r="BQ680" s="25"/>
      <c r="BR680" s="25"/>
      <c r="BS680" s="25"/>
      <c r="BT680" s="25"/>
      <c r="BU680" s="39">
        <v>45432</v>
      </c>
      <c r="BV680" s="39" t="s">
        <v>1752</v>
      </c>
      <c r="BW680" s="39" t="s">
        <v>2874</v>
      </c>
      <c r="BX680" s="39" t="s">
        <v>2853</v>
      </c>
      <c r="BY680" s="71">
        <v>850</v>
      </c>
      <c r="BZ680" s="71">
        <v>920</v>
      </c>
      <c r="CA680" s="71">
        <v>1160</v>
      </c>
      <c r="CB680" s="71">
        <v>1500</v>
      </c>
      <c r="CC680" s="71">
        <v>1660</v>
      </c>
      <c r="CD680" s="25"/>
      <c r="CE680" s="200"/>
      <c r="CF680" s="200"/>
      <c r="CG680" s="200"/>
      <c r="CH680" s="200"/>
      <c r="CI680" s="200"/>
      <c r="CJ680" s="200"/>
      <c r="CK680" s="200"/>
      <c r="CL680" s="200"/>
      <c r="CM680" s="200"/>
      <c r="CN680" s="200"/>
      <c r="CO680" s="200"/>
      <c r="CP680" s="200"/>
      <c r="CQ680" s="200"/>
      <c r="CR680" s="200"/>
      <c r="CS680" s="200"/>
      <c r="CT680" s="200"/>
      <c r="CU680" s="200"/>
    </row>
    <row r="681" spans="1:99" s="17" customFormat="1" x14ac:dyDescent="0.2">
      <c r="A681" s="25"/>
      <c r="B681" s="20">
        <v>39085200600</v>
      </c>
      <c r="C681" s="20">
        <v>2006</v>
      </c>
      <c r="D681" s="20" t="s">
        <v>48</v>
      </c>
      <c r="E681" s="20" t="s">
        <v>2829</v>
      </c>
      <c r="F681" s="20" t="s">
        <v>8</v>
      </c>
      <c r="G681" s="861">
        <v>60.442992409174302</v>
      </c>
      <c r="H681" s="861">
        <v>65.1579565742922</v>
      </c>
      <c r="I681" s="861">
        <v>22.562548139638</v>
      </c>
      <c r="J681" s="861">
        <v>41.602085948091798</v>
      </c>
      <c r="K681" s="982">
        <v>1</v>
      </c>
      <c r="L681" s="735">
        <v>3504</v>
      </c>
      <c r="M681" s="735">
        <v>3252</v>
      </c>
      <c r="N681" s="845">
        <f t="shared" si="63"/>
        <v>-7.1917808219178078E-2</v>
      </c>
      <c r="O681" s="735">
        <v>1.3726657610022774</v>
      </c>
      <c r="P681" s="735">
        <f t="shared" si="64"/>
        <v>2369.1127821426039</v>
      </c>
      <c r="Q681" s="849">
        <v>41.4</v>
      </c>
      <c r="R681" s="71">
        <v>79727</v>
      </c>
      <c r="S681" s="845">
        <v>5.6888068880688807E-2</v>
      </c>
      <c r="T681" s="845">
        <v>2.7000000000000003E-2</v>
      </c>
      <c r="U681" s="845">
        <v>0</v>
      </c>
      <c r="V681" s="845">
        <v>0</v>
      </c>
      <c r="W681" s="845">
        <v>0.17734627831715211</v>
      </c>
      <c r="X681" s="845">
        <v>9.4890510948905105E-2</v>
      </c>
      <c r="Y681" s="845">
        <v>0.85885608856088558</v>
      </c>
      <c r="Z681" s="845">
        <v>2.8905289052890529E-2</v>
      </c>
      <c r="AA681" s="845">
        <v>0</v>
      </c>
      <c r="AB681" s="845">
        <v>4.3665436654366542E-2</v>
      </c>
      <c r="AC681" s="845">
        <v>0</v>
      </c>
      <c r="AD681" s="845">
        <v>8.3025830258302586E-3</v>
      </c>
      <c r="AE681" s="845">
        <v>6.0270602706027063E-2</v>
      </c>
      <c r="AF681" s="845">
        <v>2.859778597785978E-2</v>
      </c>
      <c r="AG681" s="845">
        <v>0.8302583025830258</v>
      </c>
      <c r="AH681" s="20" t="str">
        <f t="shared" si="65"/>
        <v>No</v>
      </c>
      <c r="AI681" s="25"/>
      <c r="AJ681" s="20">
        <v>45424</v>
      </c>
      <c r="AK681" s="20" t="s">
        <v>1746</v>
      </c>
      <c r="AL681" s="20">
        <v>39057</v>
      </c>
      <c r="AM681" s="20" t="s">
        <v>35</v>
      </c>
      <c r="AN681" s="37">
        <f t="shared" si="66"/>
        <v>19430</v>
      </c>
      <c r="AO681" s="37" t="str">
        <f t="shared" si="67"/>
        <v>Dayton-Kettering-Beavercreek, OH</v>
      </c>
      <c r="AP681" s="20" t="s">
        <v>8</v>
      </c>
      <c r="AQ681" s="25"/>
      <c r="AR681" s="25"/>
      <c r="AS681" s="25"/>
      <c r="AT681" s="25"/>
      <c r="AU681" s="36"/>
      <c r="AV681" s="36"/>
      <c r="AW681" s="36"/>
      <c r="AX681" s="25"/>
      <c r="AY681" s="25"/>
      <c r="AZ681" s="25"/>
      <c r="BA681" s="25"/>
      <c r="BB681" s="25"/>
      <c r="BC681" s="25"/>
      <c r="BD681" s="25"/>
      <c r="BE681" s="25"/>
      <c r="BF681" s="25"/>
      <c r="BG681" s="25"/>
      <c r="BH681" s="25"/>
      <c r="BI681" s="25"/>
      <c r="BJ681" s="25"/>
      <c r="BK681" s="25"/>
      <c r="BL681" s="25"/>
      <c r="BM681" s="25"/>
      <c r="BN681" s="25"/>
      <c r="BO681" s="25"/>
      <c r="BP681" s="25"/>
      <c r="BQ681" s="25"/>
      <c r="BR681" s="25"/>
      <c r="BS681" s="25"/>
      <c r="BT681" s="25"/>
      <c r="BU681" s="39">
        <v>45433</v>
      </c>
      <c r="BV681" s="39" t="s">
        <v>1753</v>
      </c>
      <c r="BW681" s="39" t="s">
        <v>2874</v>
      </c>
      <c r="BX681" s="39" t="s">
        <v>2853</v>
      </c>
      <c r="BY681" s="71">
        <v>1310</v>
      </c>
      <c r="BZ681" s="71">
        <v>1430</v>
      </c>
      <c r="CA681" s="71">
        <v>1800</v>
      </c>
      <c r="CB681" s="71">
        <v>2330</v>
      </c>
      <c r="CC681" s="71">
        <v>2570</v>
      </c>
      <c r="CD681" s="25"/>
      <c r="CE681" s="200"/>
      <c r="CF681" s="200"/>
      <c r="CG681" s="200"/>
      <c r="CH681" s="200"/>
      <c r="CI681" s="200"/>
      <c r="CJ681" s="200"/>
      <c r="CK681" s="200"/>
      <c r="CL681" s="200"/>
      <c r="CM681" s="200"/>
      <c r="CN681" s="200"/>
      <c r="CO681" s="200"/>
      <c r="CP681" s="200"/>
      <c r="CQ681" s="200"/>
      <c r="CR681" s="200"/>
      <c r="CS681" s="200"/>
      <c r="CT681" s="200"/>
      <c r="CU681" s="200"/>
    </row>
    <row r="682" spans="1:99" s="17" customFormat="1" x14ac:dyDescent="0.2">
      <c r="A682" s="25"/>
      <c r="B682" s="20">
        <v>39049010601</v>
      </c>
      <c r="C682" s="20">
        <v>106.01</v>
      </c>
      <c r="D682" s="20" t="s">
        <v>31</v>
      </c>
      <c r="E682" s="20" t="s">
        <v>2830</v>
      </c>
      <c r="F682" s="20" t="s">
        <v>8</v>
      </c>
      <c r="G682" s="861">
        <v>60.439379902056203</v>
      </c>
      <c r="H682" s="861">
        <v>74.417103909622</v>
      </c>
      <c r="I682" s="861">
        <v>17.265346348605899</v>
      </c>
      <c r="J682" s="861">
        <v>45.675710141124299</v>
      </c>
      <c r="K682" s="982">
        <v>0</v>
      </c>
      <c r="L682" s="735">
        <v>4947</v>
      </c>
      <c r="M682" s="735">
        <v>5946</v>
      </c>
      <c r="N682" s="845">
        <f t="shared" si="63"/>
        <v>0.20194057004244997</v>
      </c>
      <c r="O682" s="735">
        <v>1.4045859847595981</v>
      </c>
      <c r="P682" s="735">
        <f t="shared" si="64"/>
        <v>4233.2759008824141</v>
      </c>
      <c r="Q682" s="849">
        <v>35</v>
      </c>
      <c r="R682" s="71">
        <v>142206</v>
      </c>
      <c r="S682" s="845">
        <v>1.3166779203241054E-2</v>
      </c>
      <c r="T682" s="845">
        <v>3.3000000000000002E-2</v>
      </c>
      <c r="U682" s="845">
        <v>2.3E-2</v>
      </c>
      <c r="V682" s="845">
        <v>0</v>
      </c>
      <c r="W682" s="845">
        <v>0.23673257023933403</v>
      </c>
      <c r="X682" s="845">
        <v>0.19340659340659341</v>
      </c>
      <c r="Y682" s="845">
        <v>0.74318869828456102</v>
      </c>
      <c r="Z682" s="845">
        <v>6.4581231079717458E-2</v>
      </c>
      <c r="AA682" s="845">
        <v>1.1772620248906827E-3</v>
      </c>
      <c r="AB682" s="845">
        <v>0.10090817356205853</v>
      </c>
      <c r="AC682" s="845">
        <v>3.6999663639421458E-3</v>
      </c>
      <c r="AD682" s="845">
        <v>1.3958964009418096E-2</v>
      </c>
      <c r="AE682" s="845">
        <v>7.2485704675412044E-2</v>
      </c>
      <c r="AF682" s="845">
        <v>2.119071644803229E-2</v>
      </c>
      <c r="AG682" s="845">
        <v>0.7415068953918601</v>
      </c>
      <c r="AH682" s="20" t="str">
        <f t="shared" si="65"/>
        <v>No</v>
      </c>
      <c r="AI682" s="25"/>
      <c r="AJ682" s="37">
        <v>45430</v>
      </c>
      <c r="AK682" s="37" t="s">
        <v>1750</v>
      </c>
      <c r="AL682" s="37">
        <v>39057</v>
      </c>
      <c r="AM682" s="37" t="s">
        <v>35</v>
      </c>
      <c r="AN682" s="37">
        <f t="shared" si="66"/>
        <v>19430</v>
      </c>
      <c r="AO682" s="37" t="str">
        <f t="shared" si="67"/>
        <v>Dayton-Kettering-Beavercreek, OH</v>
      </c>
      <c r="AP682" s="20" t="s">
        <v>8</v>
      </c>
      <c r="AQ682" s="25"/>
      <c r="AR682" s="25"/>
      <c r="AS682" s="25"/>
      <c r="AT682" s="25"/>
      <c r="AU682" s="36"/>
      <c r="AV682" s="36"/>
      <c r="AW682" s="36"/>
      <c r="AX682" s="25"/>
      <c r="AY682" s="25"/>
      <c r="AZ682" s="25"/>
      <c r="BA682" s="25"/>
      <c r="BB682" s="25"/>
      <c r="BC682" s="25"/>
      <c r="BD682" s="25"/>
      <c r="BE682" s="25"/>
      <c r="BF682" s="25"/>
      <c r="BG682" s="25"/>
      <c r="BH682" s="25"/>
      <c r="BI682" s="25"/>
      <c r="BJ682" s="25"/>
      <c r="BK682" s="25"/>
      <c r="BL682" s="25"/>
      <c r="BM682" s="25"/>
      <c r="BN682" s="25"/>
      <c r="BO682" s="25"/>
      <c r="BP682" s="25"/>
      <c r="BQ682" s="25"/>
      <c r="BR682" s="25"/>
      <c r="BS682" s="25"/>
      <c r="BT682" s="25"/>
      <c r="BU682" s="39">
        <v>45434</v>
      </c>
      <c r="BV682" s="39" t="s">
        <v>1754</v>
      </c>
      <c r="BW682" s="39" t="s">
        <v>2874</v>
      </c>
      <c r="BX682" s="39" t="s">
        <v>2853</v>
      </c>
      <c r="BY682" s="71">
        <v>1250</v>
      </c>
      <c r="BZ682" s="71">
        <v>1360</v>
      </c>
      <c r="CA682" s="71">
        <v>1710</v>
      </c>
      <c r="CB682" s="71">
        <v>2220</v>
      </c>
      <c r="CC682" s="71">
        <v>2440</v>
      </c>
      <c r="CD682" s="25"/>
      <c r="CE682" s="200"/>
      <c r="CF682" s="200"/>
      <c r="CG682" s="200"/>
      <c r="CH682" s="200"/>
      <c r="CI682" s="200"/>
      <c r="CJ682" s="200"/>
      <c r="CK682" s="200"/>
      <c r="CL682" s="200"/>
      <c r="CM682" s="200"/>
      <c r="CN682" s="200"/>
      <c r="CO682" s="200"/>
      <c r="CP682" s="200"/>
      <c r="CQ682" s="200"/>
      <c r="CR682" s="200"/>
      <c r="CS682" s="200"/>
      <c r="CT682" s="200"/>
      <c r="CU682" s="200"/>
    </row>
    <row r="683" spans="1:99" s="17" customFormat="1" x14ac:dyDescent="0.2">
      <c r="A683" s="25"/>
      <c r="B683" s="20">
        <v>39113040302</v>
      </c>
      <c r="C683" s="20">
        <v>403.02</v>
      </c>
      <c r="D683" s="20" t="s">
        <v>62</v>
      </c>
      <c r="E683" s="20" t="s">
        <v>2833</v>
      </c>
      <c r="F683" s="20" t="s">
        <v>8</v>
      </c>
      <c r="G683" s="861">
        <v>60.418212693676203</v>
      </c>
      <c r="H683" s="861">
        <v>56.481777689372599</v>
      </c>
      <c r="I683" s="861">
        <v>34.2635507095669</v>
      </c>
      <c r="J683" s="861">
        <v>31.629780555366601</v>
      </c>
      <c r="K683" s="982">
        <v>0</v>
      </c>
      <c r="L683" s="735">
        <v>5647</v>
      </c>
      <c r="M683" s="735">
        <v>5688</v>
      </c>
      <c r="N683" s="845">
        <f t="shared" si="63"/>
        <v>7.2604922967947584E-3</v>
      </c>
      <c r="O683" s="735">
        <v>2.2218692733689811</v>
      </c>
      <c r="P683" s="735">
        <f t="shared" si="64"/>
        <v>2560.0065981268945</v>
      </c>
      <c r="Q683" s="849">
        <v>38.200000000000003</v>
      </c>
      <c r="R683" s="71">
        <v>73222</v>
      </c>
      <c r="S683" s="845">
        <v>0.1680731364275668</v>
      </c>
      <c r="T683" s="845">
        <v>4.2999999999999997E-2</v>
      </c>
      <c r="U683" s="845">
        <v>0</v>
      </c>
      <c r="V683" s="845">
        <v>1.1000000000000001E-2</v>
      </c>
      <c r="W683" s="845">
        <v>0.41838916607270138</v>
      </c>
      <c r="X683" s="845">
        <v>0.44889267461669508</v>
      </c>
      <c r="Y683" s="845">
        <v>0.79852320675105481</v>
      </c>
      <c r="Z683" s="845">
        <v>7.10267229254571E-2</v>
      </c>
      <c r="AA683" s="845">
        <v>0</v>
      </c>
      <c r="AB683" s="845">
        <v>6.6807313642756683E-3</v>
      </c>
      <c r="AC683" s="845">
        <v>0</v>
      </c>
      <c r="AD683" s="845">
        <v>3.709563994374121E-2</v>
      </c>
      <c r="AE683" s="845">
        <v>8.6673699015471173E-2</v>
      </c>
      <c r="AF683" s="845">
        <v>0.13238396624472573</v>
      </c>
      <c r="AG683" s="845">
        <v>0.78533755274261607</v>
      </c>
      <c r="AH683" s="20" t="str">
        <f t="shared" si="65"/>
        <v>No</v>
      </c>
      <c r="AI683" s="25"/>
      <c r="AJ683" s="20">
        <v>45431</v>
      </c>
      <c r="AK683" s="20" t="s">
        <v>1751</v>
      </c>
      <c r="AL683" s="20">
        <v>39057</v>
      </c>
      <c r="AM683" s="20" t="s">
        <v>35</v>
      </c>
      <c r="AN683" s="37">
        <f t="shared" si="66"/>
        <v>19430</v>
      </c>
      <c r="AO683" s="37" t="str">
        <f t="shared" si="67"/>
        <v>Dayton-Kettering-Beavercreek, OH</v>
      </c>
      <c r="AP683" s="20" t="s">
        <v>8</v>
      </c>
      <c r="AQ683" s="25"/>
      <c r="AR683" s="25"/>
      <c r="AS683" s="25"/>
      <c r="AT683" s="25"/>
      <c r="AU683" s="36"/>
      <c r="AV683" s="36"/>
      <c r="AW683" s="36"/>
      <c r="AX683" s="25"/>
      <c r="AY683" s="25"/>
      <c r="AZ683" s="25"/>
      <c r="BA683" s="25"/>
      <c r="BB683" s="25"/>
      <c r="BC683" s="25"/>
      <c r="BD683" s="25"/>
      <c r="BE683" s="25"/>
      <c r="BF683" s="25"/>
      <c r="BG683" s="25"/>
      <c r="BH683" s="25"/>
      <c r="BI683" s="25"/>
      <c r="BJ683" s="25"/>
      <c r="BK683" s="25"/>
      <c r="BL683" s="25"/>
      <c r="BM683" s="25"/>
      <c r="BN683" s="25"/>
      <c r="BO683" s="25"/>
      <c r="BP683" s="25"/>
      <c r="BQ683" s="25"/>
      <c r="BR683" s="25"/>
      <c r="BS683" s="25"/>
      <c r="BT683" s="25"/>
      <c r="BU683" s="39">
        <v>45435</v>
      </c>
      <c r="BV683" s="39" t="s">
        <v>1755</v>
      </c>
      <c r="BW683" s="39" t="s">
        <v>2874</v>
      </c>
      <c r="BX683" s="39" t="s">
        <v>2853</v>
      </c>
      <c r="BY683" s="71">
        <v>960</v>
      </c>
      <c r="BZ683" s="71">
        <v>1050</v>
      </c>
      <c r="CA683" s="71">
        <v>1330</v>
      </c>
      <c r="CB683" s="71">
        <v>1720</v>
      </c>
      <c r="CC683" s="71">
        <v>1890</v>
      </c>
      <c r="CD683" s="25"/>
      <c r="CE683" s="200"/>
      <c r="CF683" s="200"/>
      <c r="CG683" s="200"/>
      <c r="CH683" s="200"/>
      <c r="CI683" s="200"/>
      <c r="CJ683" s="200"/>
      <c r="CK683" s="200"/>
      <c r="CL683" s="200"/>
      <c r="CM683" s="200"/>
      <c r="CN683" s="200"/>
      <c r="CO683" s="200"/>
      <c r="CP683" s="200"/>
      <c r="CQ683" s="200"/>
      <c r="CR683" s="200"/>
      <c r="CS683" s="200"/>
      <c r="CT683" s="200"/>
      <c r="CU683" s="200"/>
    </row>
    <row r="684" spans="1:99" s="17" customFormat="1" x14ac:dyDescent="0.2">
      <c r="A684" s="25"/>
      <c r="B684" s="20">
        <v>39063000800</v>
      </c>
      <c r="C684" s="20">
        <v>8</v>
      </c>
      <c r="D684" s="20" t="s">
        <v>38</v>
      </c>
      <c r="E684" s="20" t="s">
        <v>265</v>
      </c>
      <c r="F684" s="20" t="s">
        <v>8</v>
      </c>
      <c r="G684" s="861">
        <v>60.4149971166851</v>
      </c>
      <c r="H684" s="861">
        <v>55.398774925847803</v>
      </c>
      <c r="I684" s="861">
        <v>36.326521936325904</v>
      </c>
      <c r="J684" s="861">
        <v>47.9169337872599</v>
      </c>
      <c r="K684" s="982">
        <v>0</v>
      </c>
      <c r="L684" s="735">
        <v>3761</v>
      </c>
      <c r="M684" s="735">
        <v>3854</v>
      </c>
      <c r="N684" s="845">
        <f t="shared" si="63"/>
        <v>2.4727466099441639E-2</v>
      </c>
      <c r="O684" s="735">
        <v>1.0244884869374942</v>
      </c>
      <c r="P684" s="735">
        <f t="shared" si="64"/>
        <v>3761.8773164750451</v>
      </c>
      <c r="Q684" s="849">
        <v>32.200000000000003</v>
      </c>
      <c r="R684" s="71">
        <v>60000</v>
      </c>
      <c r="S684" s="845">
        <v>0.14408770555990602</v>
      </c>
      <c r="T684" s="845">
        <v>3.4000000000000002E-2</v>
      </c>
      <c r="U684" s="845">
        <v>0</v>
      </c>
      <c r="V684" s="845">
        <v>3.2000000000000001E-2</v>
      </c>
      <c r="W684" s="845">
        <v>0.44677033492822965</v>
      </c>
      <c r="X684" s="845">
        <v>0.36813922356091033</v>
      </c>
      <c r="Y684" s="845">
        <v>0.91177996886351842</v>
      </c>
      <c r="Z684" s="845">
        <v>5.4488842760768031E-3</v>
      </c>
      <c r="AA684" s="845">
        <v>0</v>
      </c>
      <c r="AB684" s="845">
        <v>5.9678256357031658E-3</v>
      </c>
      <c r="AC684" s="845">
        <v>0</v>
      </c>
      <c r="AD684" s="845">
        <v>4.8261546445251685E-2</v>
      </c>
      <c r="AE684" s="845">
        <v>2.8541774779449924E-2</v>
      </c>
      <c r="AF684" s="845">
        <v>7.2392319667877528E-2</v>
      </c>
      <c r="AG684" s="845">
        <v>0.89283860923715619</v>
      </c>
      <c r="AH684" s="20" t="str">
        <f t="shared" si="65"/>
        <v>No</v>
      </c>
      <c r="AI684" s="25"/>
      <c r="AJ684" s="20">
        <v>45432</v>
      </c>
      <c r="AK684" s="20" t="s">
        <v>1752</v>
      </c>
      <c r="AL684" s="20">
        <v>39057</v>
      </c>
      <c r="AM684" s="20" t="s">
        <v>35</v>
      </c>
      <c r="AN684" s="37">
        <f t="shared" si="66"/>
        <v>19430</v>
      </c>
      <c r="AO684" s="37" t="str">
        <f t="shared" si="67"/>
        <v>Dayton-Kettering-Beavercreek, OH</v>
      </c>
      <c r="AP684" s="20" t="s">
        <v>8</v>
      </c>
      <c r="AQ684" s="25"/>
      <c r="AR684" s="25"/>
      <c r="AS684" s="25"/>
      <c r="AT684" s="25"/>
      <c r="AU684" s="36"/>
      <c r="AV684" s="36"/>
      <c r="AW684" s="36"/>
      <c r="AX684" s="25"/>
      <c r="AY684" s="25"/>
      <c r="AZ684" s="25"/>
      <c r="BA684" s="25"/>
      <c r="BB684" s="25"/>
      <c r="BC684" s="25"/>
      <c r="BD684" s="25"/>
      <c r="BE684" s="25"/>
      <c r="BF684" s="25"/>
      <c r="BG684" s="25"/>
      <c r="BH684" s="25"/>
      <c r="BI684" s="25"/>
      <c r="BJ684" s="25"/>
      <c r="BK684" s="25"/>
      <c r="BL684" s="25"/>
      <c r="BM684" s="25"/>
      <c r="BN684" s="25"/>
      <c r="BO684" s="25"/>
      <c r="BP684" s="25"/>
      <c r="BQ684" s="25"/>
      <c r="BR684" s="25"/>
      <c r="BS684" s="25"/>
      <c r="BT684" s="25"/>
      <c r="BU684" s="39">
        <v>45439</v>
      </c>
      <c r="BV684" s="39" t="s">
        <v>1756</v>
      </c>
      <c r="BW684" s="39" t="s">
        <v>2874</v>
      </c>
      <c r="BX684" s="39" t="s">
        <v>2853</v>
      </c>
      <c r="BY684" s="71">
        <v>920</v>
      </c>
      <c r="BZ684" s="71">
        <v>1000</v>
      </c>
      <c r="CA684" s="71">
        <v>1260</v>
      </c>
      <c r="CB684" s="71">
        <v>1630</v>
      </c>
      <c r="CC684" s="71">
        <v>1800</v>
      </c>
      <c r="CD684" s="25"/>
      <c r="CE684" s="200"/>
      <c r="CF684" s="200"/>
      <c r="CG684" s="200"/>
      <c r="CH684" s="200"/>
      <c r="CI684" s="200"/>
      <c r="CJ684" s="200"/>
      <c r="CK684" s="200"/>
      <c r="CL684" s="200"/>
      <c r="CM684" s="200"/>
      <c r="CN684" s="200"/>
      <c r="CO684" s="200"/>
      <c r="CP684" s="200"/>
      <c r="CQ684" s="200"/>
      <c r="CR684" s="200"/>
      <c r="CS684" s="200"/>
      <c r="CT684" s="200"/>
      <c r="CU684" s="200"/>
    </row>
    <row r="685" spans="1:99" s="17" customFormat="1" x14ac:dyDescent="0.2">
      <c r="A685" s="25"/>
      <c r="B685" s="20">
        <v>39093097201</v>
      </c>
      <c r="C685" s="20">
        <v>972.01</v>
      </c>
      <c r="D685" s="20" t="s">
        <v>52</v>
      </c>
      <c r="E685" s="20" t="s">
        <v>2829</v>
      </c>
      <c r="F685" s="20" t="s">
        <v>8</v>
      </c>
      <c r="G685" s="861">
        <v>60.403185247678998</v>
      </c>
      <c r="H685" s="861">
        <v>50.998763748640798</v>
      </c>
      <c r="I685" s="861">
        <v>24.108487753449801</v>
      </c>
      <c r="J685" s="861">
        <v>53.713828154606801</v>
      </c>
      <c r="K685" s="982">
        <v>1</v>
      </c>
      <c r="L685" s="735" t="s">
        <v>2466</v>
      </c>
      <c r="M685" s="735">
        <v>4224</v>
      </c>
      <c r="N685" s="845" t="str">
        <f t="shared" si="63"/>
        <v/>
      </c>
      <c r="O685" s="735">
        <v>5.1297683370446059</v>
      </c>
      <c r="P685" s="735">
        <f t="shared" si="64"/>
        <v>823.42899765987431</v>
      </c>
      <c r="Q685" s="849">
        <v>37.6</v>
      </c>
      <c r="R685" s="71">
        <v>85208</v>
      </c>
      <c r="S685" s="845">
        <v>0.10278964563960793</v>
      </c>
      <c r="T685" s="845">
        <v>9.0000000000000011E-3</v>
      </c>
      <c r="U685" s="845">
        <v>0</v>
      </c>
      <c r="V685" s="845">
        <v>0.14800000000000002</v>
      </c>
      <c r="W685" s="845">
        <v>0.28128724672228844</v>
      </c>
      <c r="X685" s="845">
        <v>0.20127118644067796</v>
      </c>
      <c r="Y685" s="845">
        <v>0.82930871212121215</v>
      </c>
      <c r="Z685" s="845">
        <v>1.5861742424242424E-2</v>
      </c>
      <c r="AA685" s="845">
        <v>9.46969696969697E-4</v>
      </c>
      <c r="AB685" s="845">
        <v>0</v>
      </c>
      <c r="AC685" s="845">
        <v>0</v>
      </c>
      <c r="AD685" s="845">
        <v>4.142992424242424E-2</v>
      </c>
      <c r="AE685" s="845">
        <v>0.11245265151515152</v>
      </c>
      <c r="AF685" s="845">
        <v>0.13352272727272727</v>
      </c>
      <c r="AG685" s="845">
        <v>0.80137310606060608</v>
      </c>
      <c r="AH685" s="20" t="str">
        <f t="shared" si="65"/>
        <v>No</v>
      </c>
      <c r="AI685" s="25"/>
      <c r="AJ685" s="20">
        <v>45433</v>
      </c>
      <c r="AK685" s="20" t="s">
        <v>1753</v>
      </c>
      <c r="AL685" s="20">
        <v>39057</v>
      </c>
      <c r="AM685" s="20" t="s">
        <v>35</v>
      </c>
      <c r="AN685" s="37">
        <f t="shared" si="66"/>
        <v>19430</v>
      </c>
      <c r="AO685" s="37" t="str">
        <f t="shared" si="67"/>
        <v>Dayton-Kettering-Beavercreek, OH</v>
      </c>
      <c r="AP685" s="20" t="s">
        <v>8</v>
      </c>
      <c r="AQ685" s="25"/>
      <c r="AR685" s="25"/>
      <c r="AS685" s="25"/>
      <c r="AT685" s="25"/>
      <c r="AU685" s="36"/>
      <c r="AV685" s="36"/>
      <c r="AW685" s="36"/>
      <c r="AX685" s="25"/>
      <c r="AY685" s="25"/>
      <c r="AZ685" s="25"/>
      <c r="BA685" s="25"/>
      <c r="BB685" s="25"/>
      <c r="BC685" s="25"/>
      <c r="BD685" s="25"/>
      <c r="BE685" s="25"/>
      <c r="BF685" s="25"/>
      <c r="BG685" s="25"/>
      <c r="BH685" s="25"/>
      <c r="BI685" s="25"/>
      <c r="BJ685" s="25"/>
      <c r="BK685" s="25"/>
      <c r="BL685" s="25"/>
      <c r="BM685" s="25"/>
      <c r="BN685" s="25"/>
      <c r="BO685" s="25"/>
      <c r="BP685" s="25"/>
      <c r="BQ685" s="25"/>
      <c r="BR685" s="25"/>
      <c r="BS685" s="25"/>
      <c r="BT685" s="25"/>
      <c r="BU685" s="39">
        <v>45440</v>
      </c>
      <c r="BV685" s="39" t="s">
        <v>1757</v>
      </c>
      <c r="BW685" s="39" t="s">
        <v>2874</v>
      </c>
      <c r="BX685" s="39" t="s">
        <v>2853</v>
      </c>
      <c r="BY685" s="71">
        <v>1010</v>
      </c>
      <c r="BZ685" s="71">
        <v>1100</v>
      </c>
      <c r="CA685" s="71">
        <v>1390</v>
      </c>
      <c r="CB685" s="71">
        <v>1800</v>
      </c>
      <c r="CC685" s="71">
        <v>1980</v>
      </c>
      <c r="CD685" s="25"/>
      <c r="CE685" s="200"/>
      <c r="CF685" s="200"/>
      <c r="CG685" s="200"/>
      <c r="CH685" s="200"/>
      <c r="CI685" s="200"/>
      <c r="CJ685" s="200"/>
      <c r="CK685" s="200"/>
      <c r="CL685" s="200"/>
      <c r="CM685" s="200"/>
      <c r="CN685" s="200"/>
      <c r="CO685" s="200"/>
      <c r="CP685" s="200"/>
      <c r="CQ685" s="200"/>
      <c r="CR685" s="200"/>
      <c r="CS685" s="200"/>
      <c r="CT685" s="200"/>
      <c r="CU685" s="200"/>
    </row>
    <row r="686" spans="1:99" s="17" customFormat="1" x14ac:dyDescent="0.2">
      <c r="A686" s="25"/>
      <c r="B686" s="20">
        <v>39169000200</v>
      </c>
      <c r="C686" s="20">
        <v>2</v>
      </c>
      <c r="D686" s="20" t="s">
        <v>90</v>
      </c>
      <c r="E686" s="20" t="s">
        <v>265</v>
      </c>
      <c r="F686" s="20" t="s">
        <v>8</v>
      </c>
      <c r="G686" s="861">
        <v>60.400817831695299</v>
      </c>
      <c r="H686" s="861">
        <v>55.915431608992201</v>
      </c>
      <c r="I686" s="861">
        <v>32.306292218642199</v>
      </c>
      <c r="J686" s="861">
        <v>45.618315202950399</v>
      </c>
      <c r="K686" s="982">
        <v>0</v>
      </c>
      <c r="L686" s="735">
        <v>3029</v>
      </c>
      <c r="M686" s="735">
        <v>3539</v>
      </c>
      <c r="N686" s="845">
        <f t="shared" si="63"/>
        <v>0.16837240013205679</v>
      </c>
      <c r="O686" s="735">
        <v>1.414388732464104</v>
      </c>
      <c r="P686" s="735">
        <f t="shared" si="64"/>
        <v>2502.1409735316997</v>
      </c>
      <c r="Q686" s="849">
        <v>44.1</v>
      </c>
      <c r="R686" s="71">
        <v>83902</v>
      </c>
      <c r="S686" s="845">
        <v>7.4032212489403781E-2</v>
      </c>
      <c r="T686" s="845">
        <v>1.8000000000000002E-2</v>
      </c>
      <c r="U686" s="845">
        <v>0</v>
      </c>
      <c r="V686" s="845">
        <v>0</v>
      </c>
      <c r="W686" s="845">
        <v>0.10759075907590759</v>
      </c>
      <c r="X686" s="845">
        <v>0.5214723926380368</v>
      </c>
      <c r="Y686" s="845">
        <v>0.94292172930206275</v>
      </c>
      <c r="Z686" s="845">
        <v>5.6513139304888388E-4</v>
      </c>
      <c r="AA686" s="845">
        <v>0</v>
      </c>
      <c r="AB686" s="845">
        <v>1.3845719129697655E-2</v>
      </c>
      <c r="AC686" s="845">
        <v>0</v>
      </c>
      <c r="AD686" s="845">
        <v>2.8256569652444195E-2</v>
      </c>
      <c r="AE686" s="845">
        <v>1.4410850522746538E-2</v>
      </c>
      <c r="AF686" s="845">
        <v>2.2322690025430914E-2</v>
      </c>
      <c r="AG686" s="845">
        <v>0.94292172930206275</v>
      </c>
      <c r="AH686" s="20" t="str">
        <f t="shared" si="65"/>
        <v>Yes</v>
      </c>
      <c r="AI686" s="25"/>
      <c r="AJ686" s="20">
        <v>45434</v>
      </c>
      <c r="AK686" s="20" t="s">
        <v>1754</v>
      </c>
      <c r="AL686" s="20">
        <v>39057</v>
      </c>
      <c r="AM686" s="20" t="s">
        <v>35</v>
      </c>
      <c r="AN686" s="37">
        <f t="shared" si="66"/>
        <v>19430</v>
      </c>
      <c r="AO686" s="37" t="str">
        <f t="shared" si="67"/>
        <v>Dayton-Kettering-Beavercreek, OH</v>
      </c>
      <c r="AP686" s="20" t="s">
        <v>8</v>
      </c>
      <c r="AQ686" s="25"/>
      <c r="AR686" s="25"/>
      <c r="AS686" s="25"/>
      <c r="AT686" s="25"/>
      <c r="AU686" s="36"/>
      <c r="AV686" s="36"/>
      <c r="AW686" s="36"/>
      <c r="AX686" s="25"/>
      <c r="AY686" s="25"/>
      <c r="AZ686" s="25"/>
      <c r="BA686" s="25"/>
      <c r="BB686" s="25"/>
      <c r="BC686" s="25"/>
      <c r="BD686" s="25"/>
      <c r="BE686" s="25"/>
      <c r="BF686" s="25"/>
      <c r="BG686" s="25"/>
      <c r="BH686" s="25"/>
      <c r="BI686" s="25"/>
      <c r="BJ686" s="25"/>
      <c r="BK686" s="25"/>
      <c r="BL686" s="25"/>
      <c r="BM686" s="25"/>
      <c r="BN686" s="25"/>
      <c r="BO686" s="25"/>
      <c r="BP686" s="25"/>
      <c r="BQ686" s="25"/>
      <c r="BR686" s="25"/>
      <c r="BS686" s="25"/>
      <c r="BT686" s="25"/>
      <c r="BU686" s="39">
        <v>45449</v>
      </c>
      <c r="BV686" s="39" t="s">
        <v>1758</v>
      </c>
      <c r="BW686" s="39" t="s">
        <v>2874</v>
      </c>
      <c r="BX686" s="39" t="s">
        <v>2853</v>
      </c>
      <c r="BY686" s="71">
        <v>950</v>
      </c>
      <c r="BZ686" s="71">
        <v>1030</v>
      </c>
      <c r="CA686" s="71">
        <v>1300</v>
      </c>
      <c r="CB686" s="71">
        <v>1690</v>
      </c>
      <c r="CC686" s="71">
        <v>1860</v>
      </c>
      <c r="CD686" s="25"/>
      <c r="CE686" s="200"/>
      <c r="CF686" s="200"/>
      <c r="CG686" s="200"/>
      <c r="CH686" s="200"/>
      <c r="CI686" s="200"/>
      <c r="CJ686" s="200"/>
      <c r="CK686" s="200"/>
      <c r="CL686" s="200"/>
      <c r="CM686" s="200"/>
      <c r="CN686" s="200"/>
      <c r="CO686" s="200"/>
      <c r="CP686" s="200"/>
      <c r="CQ686" s="200"/>
      <c r="CR686" s="200"/>
      <c r="CS686" s="200"/>
      <c r="CT686" s="200"/>
      <c r="CU686" s="200"/>
    </row>
    <row r="687" spans="1:99" s="17" customFormat="1" x14ac:dyDescent="0.2">
      <c r="A687" s="25"/>
      <c r="B687" s="20">
        <v>39091004800</v>
      </c>
      <c r="C687" s="20">
        <v>48</v>
      </c>
      <c r="D687" s="20" t="s">
        <v>51</v>
      </c>
      <c r="E687" s="20" t="s">
        <v>265</v>
      </c>
      <c r="F687" s="20" t="s">
        <v>8</v>
      </c>
      <c r="G687" s="861">
        <v>60.384644373007099</v>
      </c>
      <c r="H687" s="861">
        <v>56.371598350367101</v>
      </c>
      <c r="I687" s="861">
        <v>25.906665574609899</v>
      </c>
      <c r="J687" s="861">
        <v>46.789349372236799</v>
      </c>
      <c r="K687" s="982">
        <v>0</v>
      </c>
      <c r="L687" s="735">
        <v>4034</v>
      </c>
      <c r="M687" s="735">
        <v>3993</v>
      </c>
      <c r="N687" s="845">
        <f t="shared" si="63"/>
        <v>-1.0163609320773426E-2</v>
      </c>
      <c r="O687" s="735">
        <v>47.351811588046253</v>
      </c>
      <c r="P687" s="735">
        <f t="shared" si="64"/>
        <v>84.326235176354146</v>
      </c>
      <c r="Q687" s="849">
        <v>46.9</v>
      </c>
      <c r="R687" s="71">
        <v>70958</v>
      </c>
      <c r="S687" s="845">
        <v>9.0247074122236676E-2</v>
      </c>
      <c r="T687" s="845">
        <v>0.02</v>
      </c>
      <c r="U687" s="845">
        <v>5.0000000000000001E-3</v>
      </c>
      <c r="V687" s="845">
        <v>0.16600000000000001</v>
      </c>
      <c r="W687" s="845">
        <v>0.20395156150414276</v>
      </c>
      <c r="X687" s="845">
        <v>0.33437499999999998</v>
      </c>
      <c r="Y687" s="845">
        <v>0.96919609316303534</v>
      </c>
      <c r="Z687" s="845">
        <v>2.2539444027047332E-3</v>
      </c>
      <c r="AA687" s="845">
        <v>1.0017530678687703E-3</v>
      </c>
      <c r="AB687" s="845">
        <v>0</v>
      </c>
      <c r="AC687" s="845">
        <v>0</v>
      </c>
      <c r="AD687" s="845">
        <v>1.4024542950162784E-2</v>
      </c>
      <c r="AE687" s="845">
        <v>1.3523666416228399E-2</v>
      </c>
      <c r="AF687" s="845">
        <v>2.0786376158276984E-2</v>
      </c>
      <c r="AG687" s="845">
        <v>0.96744302529426496</v>
      </c>
      <c r="AH687" s="20" t="str">
        <f t="shared" si="65"/>
        <v>Yes</v>
      </c>
      <c r="AI687" s="25"/>
      <c r="AJ687" s="37">
        <v>45435</v>
      </c>
      <c r="AK687" s="37" t="s">
        <v>1755</v>
      </c>
      <c r="AL687" s="37">
        <v>39057</v>
      </c>
      <c r="AM687" s="37" t="s">
        <v>35</v>
      </c>
      <c r="AN687" s="37">
        <f t="shared" si="66"/>
        <v>19430</v>
      </c>
      <c r="AO687" s="37" t="str">
        <f t="shared" si="67"/>
        <v>Dayton-Kettering-Beavercreek, OH</v>
      </c>
      <c r="AP687" s="20" t="s">
        <v>8</v>
      </c>
      <c r="AQ687" s="25"/>
      <c r="AR687" s="25"/>
      <c r="AS687" s="25"/>
      <c r="AT687" s="25"/>
      <c r="AU687" s="36"/>
      <c r="AV687" s="36"/>
      <c r="AW687" s="36"/>
      <c r="AX687" s="25"/>
      <c r="AY687" s="25"/>
      <c r="AZ687" s="25"/>
      <c r="BA687" s="25"/>
      <c r="BB687" s="25"/>
      <c r="BC687" s="25"/>
      <c r="BD687" s="25"/>
      <c r="BE687" s="25"/>
      <c r="BF687" s="25"/>
      <c r="BG687" s="25"/>
      <c r="BH687" s="25"/>
      <c r="BI687" s="25"/>
      <c r="BJ687" s="25"/>
      <c r="BK687" s="25"/>
      <c r="BL687" s="25"/>
      <c r="BM687" s="25"/>
      <c r="BN687" s="25"/>
      <c r="BO687" s="25"/>
      <c r="BP687" s="25"/>
      <c r="BQ687" s="25"/>
      <c r="BR687" s="25"/>
      <c r="BS687" s="25"/>
      <c r="BT687" s="25"/>
      <c r="BU687" s="39">
        <v>45459</v>
      </c>
      <c r="BV687" s="39" t="s">
        <v>1760</v>
      </c>
      <c r="BW687" s="39" t="s">
        <v>2874</v>
      </c>
      <c r="BX687" s="39" t="s">
        <v>2853</v>
      </c>
      <c r="BY687" s="71">
        <v>1090</v>
      </c>
      <c r="BZ687" s="71">
        <v>1180</v>
      </c>
      <c r="CA687" s="71">
        <v>1490</v>
      </c>
      <c r="CB687" s="71">
        <v>1930</v>
      </c>
      <c r="CC687" s="71">
        <v>2130</v>
      </c>
      <c r="CD687" s="25"/>
      <c r="CE687" s="200"/>
      <c r="CF687" s="200"/>
      <c r="CG687" s="200"/>
      <c r="CH687" s="200"/>
      <c r="CI687" s="200"/>
      <c r="CJ687" s="200"/>
      <c r="CK687" s="200"/>
      <c r="CL687" s="200"/>
      <c r="CM687" s="200"/>
      <c r="CN687" s="200"/>
      <c r="CO687" s="200"/>
      <c r="CP687" s="200"/>
      <c r="CQ687" s="200"/>
      <c r="CR687" s="200"/>
      <c r="CS687" s="200"/>
      <c r="CT687" s="200"/>
      <c r="CU687" s="200"/>
    </row>
    <row r="688" spans="1:99" s="17" customFormat="1" x14ac:dyDescent="0.2">
      <c r="A688" s="25"/>
      <c r="B688" s="20">
        <v>39049008166</v>
      </c>
      <c r="C688" s="20">
        <v>81.66</v>
      </c>
      <c r="D688" s="20" t="s">
        <v>31</v>
      </c>
      <c r="E688" s="20" t="s">
        <v>2830</v>
      </c>
      <c r="F688" s="20" t="s">
        <v>8</v>
      </c>
      <c r="G688" s="861">
        <v>60.3806793191035</v>
      </c>
      <c r="H688" s="861">
        <v>69.715997585819096</v>
      </c>
      <c r="I688" s="861">
        <v>45.238977660631001</v>
      </c>
      <c r="J688" s="861">
        <v>58.1814569358216</v>
      </c>
      <c r="K688" s="982">
        <v>0</v>
      </c>
      <c r="L688" s="735" t="s">
        <v>2466</v>
      </c>
      <c r="M688" s="735">
        <v>5165</v>
      </c>
      <c r="N688" s="845" t="str">
        <f t="shared" si="63"/>
        <v/>
      </c>
      <c r="O688" s="735">
        <v>2.738847322353152</v>
      </c>
      <c r="P688" s="735">
        <f t="shared" si="64"/>
        <v>1885.829837189448</v>
      </c>
      <c r="Q688" s="849">
        <v>37.1</v>
      </c>
      <c r="R688" s="71">
        <v>119524</v>
      </c>
      <c r="S688" s="845">
        <v>6.3532154653196032E-2</v>
      </c>
      <c r="T688" s="845">
        <v>8.0000000000000002E-3</v>
      </c>
      <c r="U688" s="845">
        <v>0</v>
      </c>
      <c r="V688" s="845">
        <v>0</v>
      </c>
      <c r="W688" s="845">
        <v>0.20789473684210527</v>
      </c>
      <c r="X688" s="845">
        <v>0.46835443037974683</v>
      </c>
      <c r="Y688" s="845">
        <v>0.68073572120038717</v>
      </c>
      <c r="Z688" s="845">
        <v>0.1074540174249758</v>
      </c>
      <c r="AA688" s="845">
        <v>0</v>
      </c>
      <c r="AB688" s="845">
        <v>9.8741529525653432E-2</v>
      </c>
      <c r="AC688" s="845">
        <v>2.9041626331074541E-3</v>
      </c>
      <c r="AD688" s="845">
        <v>4.2981606969990323E-2</v>
      </c>
      <c r="AE688" s="845">
        <v>6.7182962245885769E-2</v>
      </c>
      <c r="AF688" s="845">
        <v>5.8857696030977735E-2</v>
      </c>
      <c r="AG688" s="845">
        <v>0.6648596321393998</v>
      </c>
      <c r="AH688" s="20" t="str">
        <f t="shared" si="65"/>
        <v>No</v>
      </c>
      <c r="AI688" s="25"/>
      <c r="AJ688" s="20">
        <v>45440</v>
      </c>
      <c r="AK688" s="20" t="s">
        <v>1757</v>
      </c>
      <c r="AL688" s="20">
        <v>39057</v>
      </c>
      <c r="AM688" s="20" t="s">
        <v>35</v>
      </c>
      <c r="AN688" s="37">
        <f t="shared" si="66"/>
        <v>19430</v>
      </c>
      <c r="AO688" s="37" t="str">
        <f t="shared" si="67"/>
        <v>Dayton-Kettering-Beavercreek, OH</v>
      </c>
      <c r="AP688" s="20" t="s">
        <v>8</v>
      </c>
      <c r="AQ688" s="25"/>
      <c r="AR688" s="25"/>
      <c r="AS688" s="25"/>
      <c r="AT688" s="25"/>
      <c r="AU688" s="36"/>
      <c r="AV688" s="36"/>
      <c r="AW688" s="36"/>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39">
        <v>45469</v>
      </c>
      <c r="BV688" s="39" t="s">
        <v>1761</v>
      </c>
      <c r="BW688" s="39" t="s">
        <v>2874</v>
      </c>
      <c r="BX688" s="39" t="s">
        <v>2853</v>
      </c>
      <c r="BY688" s="71">
        <v>1050</v>
      </c>
      <c r="BZ688" s="71">
        <v>1140</v>
      </c>
      <c r="CA688" s="71">
        <v>1440</v>
      </c>
      <c r="CB688" s="71">
        <v>1870</v>
      </c>
      <c r="CC688" s="71">
        <v>2060</v>
      </c>
      <c r="CD688" s="25"/>
      <c r="CE688" s="200"/>
      <c r="CF688" s="200"/>
      <c r="CG688" s="200"/>
      <c r="CH688" s="200"/>
      <c r="CI688" s="200"/>
      <c r="CJ688" s="200"/>
      <c r="CK688" s="200"/>
      <c r="CL688" s="200"/>
      <c r="CM688" s="200"/>
      <c r="CN688" s="200"/>
      <c r="CO688" s="200"/>
      <c r="CP688" s="200"/>
      <c r="CQ688" s="200"/>
      <c r="CR688" s="200"/>
      <c r="CS688" s="200"/>
      <c r="CT688" s="200"/>
      <c r="CU688" s="200"/>
    </row>
    <row r="689" spans="1:99" s="17" customFormat="1" x14ac:dyDescent="0.2">
      <c r="A689" s="25"/>
      <c r="B689" s="20">
        <v>39021011001</v>
      </c>
      <c r="C689" s="20">
        <v>110.01</v>
      </c>
      <c r="D689" s="20" t="s">
        <v>17</v>
      </c>
      <c r="E689" s="20" t="s">
        <v>265</v>
      </c>
      <c r="F689" s="20" t="s">
        <v>8</v>
      </c>
      <c r="G689" s="861">
        <v>60.370460832050398</v>
      </c>
      <c r="H689" s="861">
        <v>58.096509700936899</v>
      </c>
      <c r="I689" s="861">
        <v>24.060546448576901</v>
      </c>
      <c r="J689" s="861">
        <v>42.334077215246303</v>
      </c>
      <c r="K689" s="982">
        <v>0</v>
      </c>
      <c r="L689" s="735">
        <v>2745</v>
      </c>
      <c r="M689" s="735">
        <v>2541</v>
      </c>
      <c r="N689" s="845">
        <f t="shared" si="63"/>
        <v>-7.4316939890710379E-2</v>
      </c>
      <c r="O689" s="735">
        <v>38.867351016526484</v>
      </c>
      <c r="P689" s="735">
        <f t="shared" si="64"/>
        <v>65.376207370539888</v>
      </c>
      <c r="Q689" s="849">
        <v>44.4</v>
      </c>
      <c r="R689" s="71">
        <v>83016</v>
      </c>
      <c r="S689" s="845">
        <v>2.1645021645021644E-2</v>
      </c>
      <c r="T689" s="845">
        <v>0</v>
      </c>
      <c r="U689" s="845">
        <v>0</v>
      </c>
      <c r="V689" s="845">
        <v>0.27500000000000002</v>
      </c>
      <c r="W689" s="845">
        <v>5.114638447971781E-2</v>
      </c>
      <c r="X689" s="845">
        <v>0.22413793103448276</v>
      </c>
      <c r="Y689" s="845">
        <v>0.89334907516725703</v>
      </c>
      <c r="Z689" s="845">
        <v>0</v>
      </c>
      <c r="AA689" s="845">
        <v>0</v>
      </c>
      <c r="AB689" s="845">
        <v>0</v>
      </c>
      <c r="AC689" s="845">
        <v>0</v>
      </c>
      <c r="AD689" s="845">
        <v>2.1645021645021644E-2</v>
      </c>
      <c r="AE689" s="845">
        <v>8.5005903187721374E-2</v>
      </c>
      <c r="AF689" s="845">
        <v>0</v>
      </c>
      <c r="AG689" s="845">
        <v>0.89334907516725703</v>
      </c>
      <c r="AH689" s="20" t="str">
        <f t="shared" si="65"/>
        <v>No</v>
      </c>
      <c r="AI689" s="25"/>
      <c r="AJ689" s="20">
        <v>45458</v>
      </c>
      <c r="AK689" s="20" t="s">
        <v>1759</v>
      </c>
      <c r="AL689" s="20">
        <v>39057</v>
      </c>
      <c r="AM689" s="20" t="s">
        <v>35</v>
      </c>
      <c r="AN689" s="37">
        <f t="shared" si="66"/>
        <v>19430</v>
      </c>
      <c r="AO689" s="37" t="str">
        <f t="shared" si="67"/>
        <v>Dayton-Kettering-Beavercreek, OH</v>
      </c>
      <c r="AP689" s="20" t="s">
        <v>8</v>
      </c>
      <c r="AQ689" s="25"/>
      <c r="AR689" s="25"/>
      <c r="AS689" s="25"/>
      <c r="AT689" s="25"/>
      <c r="AU689" s="36"/>
      <c r="AV689" s="36"/>
      <c r="AW689" s="36"/>
      <c r="AX689" s="25"/>
      <c r="AY689" s="25"/>
      <c r="AZ689" s="25"/>
      <c r="BA689" s="25"/>
      <c r="BB689" s="25"/>
      <c r="BC689" s="25"/>
      <c r="BD689" s="25"/>
      <c r="BE689" s="25"/>
      <c r="BF689" s="25"/>
      <c r="BG689" s="25"/>
      <c r="BH689" s="25"/>
      <c r="BI689" s="25"/>
      <c r="BJ689" s="25"/>
      <c r="BK689" s="25"/>
      <c r="BL689" s="25"/>
      <c r="BM689" s="25"/>
      <c r="BN689" s="25"/>
      <c r="BO689" s="25"/>
      <c r="BP689" s="25"/>
      <c r="BQ689" s="25"/>
      <c r="BR689" s="25"/>
      <c r="BS689" s="25"/>
      <c r="BT689" s="25"/>
      <c r="BU689" s="39">
        <v>43506</v>
      </c>
      <c r="BV689" s="39" t="s">
        <v>953</v>
      </c>
      <c r="BW689" s="39" t="s">
        <v>2934</v>
      </c>
      <c r="BX689" s="39" t="s">
        <v>2935</v>
      </c>
      <c r="BY689" s="71">
        <v>740</v>
      </c>
      <c r="BZ689" s="71">
        <v>770</v>
      </c>
      <c r="CA689" s="71">
        <v>980</v>
      </c>
      <c r="CB689" s="71">
        <v>1220</v>
      </c>
      <c r="CC689" s="71">
        <v>1300</v>
      </c>
      <c r="CD689" s="25"/>
      <c r="CE689" s="200"/>
      <c r="CF689" s="200"/>
      <c r="CG689" s="200"/>
      <c r="CH689" s="200"/>
      <c r="CI689" s="200"/>
      <c r="CJ689" s="200"/>
      <c r="CK689" s="200"/>
      <c r="CL689" s="200"/>
      <c r="CM689" s="200"/>
      <c r="CN689" s="200"/>
      <c r="CO689" s="200"/>
      <c r="CP689" s="200"/>
      <c r="CQ689" s="200"/>
      <c r="CR689" s="200"/>
      <c r="CS689" s="200"/>
      <c r="CT689" s="200"/>
      <c r="CU689" s="200"/>
    </row>
    <row r="690" spans="1:99" s="17" customFormat="1" x14ac:dyDescent="0.2">
      <c r="A690" s="25"/>
      <c r="B690" s="20">
        <v>39035182104</v>
      </c>
      <c r="C690" s="20">
        <v>1821.04</v>
      </c>
      <c r="D690" s="20" t="s">
        <v>24</v>
      </c>
      <c r="E690" s="20" t="s">
        <v>2829</v>
      </c>
      <c r="F690" s="20" t="s">
        <v>8</v>
      </c>
      <c r="G690" s="861">
        <v>60.354768623145901</v>
      </c>
      <c r="H690" s="861">
        <v>68.075201609554796</v>
      </c>
      <c r="I690" s="861">
        <v>20.4890945805301</v>
      </c>
      <c r="J690" s="861">
        <v>38.6829005995735</v>
      </c>
      <c r="K690" s="982">
        <v>0</v>
      </c>
      <c r="L690" s="735">
        <v>2526</v>
      </c>
      <c r="M690" s="735">
        <v>2359</v>
      </c>
      <c r="N690" s="845">
        <f t="shared" si="63"/>
        <v>-6.6112430720506724E-2</v>
      </c>
      <c r="O690" s="735">
        <v>1.1215144149831637</v>
      </c>
      <c r="P690" s="735">
        <f t="shared" si="64"/>
        <v>2103.4058666427513</v>
      </c>
      <c r="Q690" s="849">
        <v>50.5</v>
      </c>
      <c r="R690" s="71">
        <v>99612</v>
      </c>
      <c r="S690" s="845">
        <v>2.3106546854942234E-2</v>
      </c>
      <c r="T690" s="845">
        <v>1.9E-2</v>
      </c>
      <c r="U690" s="845">
        <v>0</v>
      </c>
      <c r="V690" s="845">
        <v>0.82</v>
      </c>
      <c r="W690" s="845">
        <v>1.1458333333333333E-2</v>
      </c>
      <c r="X690" s="845">
        <v>0</v>
      </c>
      <c r="Y690" s="845">
        <v>0.93556591776176345</v>
      </c>
      <c r="Z690" s="845">
        <v>1.271725307333616E-3</v>
      </c>
      <c r="AA690" s="845">
        <v>0</v>
      </c>
      <c r="AB690" s="845">
        <v>1.9499788045782111E-2</v>
      </c>
      <c r="AC690" s="845">
        <v>0</v>
      </c>
      <c r="AD690" s="845">
        <v>0</v>
      </c>
      <c r="AE690" s="845">
        <v>4.3662568885120816E-2</v>
      </c>
      <c r="AF690" s="845">
        <v>2.4162780839338704E-2</v>
      </c>
      <c r="AG690" s="845">
        <v>0.91140313692242481</v>
      </c>
      <c r="AH690" s="20" t="str">
        <f t="shared" si="65"/>
        <v>Yes</v>
      </c>
      <c r="AI690" s="25"/>
      <c r="AJ690" s="20">
        <v>45459</v>
      </c>
      <c r="AK690" s="20" t="s">
        <v>1760</v>
      </c>
      <c r="AL690" s="20">
        <v>39057</v>
      </c>
      <c r="AM690" s="20" t="s">
        <v>35</v>
      </c>
      <c r="AN690" s="37">
        <f t="shared" si="66"/>
        <v>19430</v>
      </c>
      <c r="AO690" s="37" t="str">
        <f t="shared" si="67"/>
        <v>Dayton-Kettering-Beavercreek, OH</v>
      </c>
      <c r="AP690" s="20" t="s">
        <v>8</v>
      </c>
      <c r="AQ690" s="25"/>
      <c r="AR690" s="25"/>
      <c r="AS690" s="25"/>
      <c r="AT690" s="25"/>
      <c r="AU690" s="36"/>
      <c r="AV690" s="36"/>
      <c r="AW690" s="36"/>
      <c r="AX690" s="25"/>
      <c r="AY690" s="25"/>
      <c r="AZ690" s="25"/>
      <c r="BA690" s="25"/>
      <c r="BB690" s="25"/>
      <c r="BC690" s="25"/>
      <c r="BD690" s="25"/>
      <c r="BE690" s="25"/>
      <c r="BF690" s="25"/>
      <c r="BG690" s="25"/>
      <c r="BH690" s="25"/>
      <c r="BI690" s="25"/>
      <c r="BJ690" s="25"/>
      <c r="BK690" s="25"/>
      <c r="BL690" s="25"/>
      <c r="BM690" s="25"/>
      <c r="BN690" s="25"/>
      <c r="BO690" s="25"/>
      <c r="BP690" s="25"/>
      <c r="BQ690" s="25"/>
      <c r="BR690" s="25"/>
      <c r="BS690" s="25"/>
      <c r="BT690" s="25"/>
      <c r="BU690" s="39">
        <v>43512</v>
      </c>
      <c r="BV690" s="39" t="s">
        <v>956</v>
      </c>
      <c r="BW690" s="39" t="s">
        <v>2934</v>
      </c>
      <c r="BX690" s="39" t="s">
        <v>2935</v>
      </c>
      <c r="BY690" s="71">
        <v>770</v>
      </c>
      <c r="BZ690" s="71">
        <v>820</v>
      </c>
      <c r="CA690" s="71">
        <v>1000</v>
      </c>
      <c r="CB690" s="71">
        <v>1270</v>
      </c>
      <c r="CC690" s="71">
        <v>1450</v>
      </c>
      <c r="CD690" s="25"/>
      <c r="CE690" s="200"/>
      <c r="CF690" s="200"/>
      <c r="CG690" s="200"/>
      <c r="CH690" s="200"/>
      <c r="CI690" s="200"/>
      <c r="CJ690" s="200"/>
      <c r="CK690" s="200"/>
      <c r="CL690" s="200"/>
      <c r="CM690" s="200"/>
      <c r="CN690" s="200"/>
      <c r="CO690" s="200"/>
      <c r="CP690" s="200"/>
      <c r="CQ690" s="200"/>
      <c r="CR690" s="200"/>
      <c r="CS690" s="200"/>
      <c r="CT690" s="200"/>
      <c r="CU690" s="200"/>
    </row>
    <row r="691" spans="1:99" s="17" customFormat="1" x14ac:dyDescent="0.2">
      <c r="A691" s="25"/>
      <c r="B691" s="20">
        <v>39049007966</v>
      </c>
      <c r="C691" s="20">
        <v>79.66</v>
      </c>
      <c r="D691" s="20" t="s">
        <v>31</v>
      </c>
      <c r="E691" s="20" t="s">
        <v>2830</v>
      </c>
      <c r="F691" s="20" t="s">
        <v>8</v>
      </c>
      <c r="G691" s="861">
        <v>60.348520980490399</v>
      </c>
      <c r="H691" s="861">
        <v>56.724924266900501</v>
      </c>
      <c r="I691" s="861">
        <v>38.686421307493902</v>
      </c>
      <c r="J691" s="861">
        <v>53.383395141736699</v>
      </c>
      <c r="K691" s="982">
        <v>1</v>
      </c>
      <c r="L691" s="735" t="s">
        <v>2466</v>
      </c>
      <c r="M691" s="735">
        <v>5619</v>
      </c>
      <c r="N691" s="845" t="str">
        <f t="shared" si="63"/>
        <v/>
      </c>
      <c r="O691" s="735">
        <v>1.2249106425434517</v>
      </c>
      <c r="P691" s="735">
        <f t="shared" si="64"/>
        <v>4587.2733935370925</v>
      </c>
      <c r="Q691" s="849">
        <v>29.7</v>
      </c>
      <c r="R691" s="71">
        <v>83730</v>
      </c>
      <c r="S691" s="845">
        <v>0.14422555575637086</v>
      </c>
      <c r="T691" s="845">
        <v>5.5E-2</v>
      </c>
      <c r="U691" s="845">
        <v>0</v>
      </c>
      <c r="V691" s="845">
        <v>0.121</v>
      </c>
      <c r="W691" s="845">
        <v>0.5085742283194512</v>
      </c>
      <c r="X691" s="845">
        <v>0.45664739884393063</v>
      </c>
      <c r="Y691" s="845">
        <v>0.66381918490834668</v>
      </c>
      <c r="Z691" s="845">
        <v>4.5025805303434772E-2</v>
      </c>
      <c r="AA691" s="845">
        <v>0</v>
      </c>
      <c r="AB691" s="845">
        <v>4.9652963160704749E-2</v>
      </c>
      <c r="AC691" s="845">
        <v>0</v>
      </c>
      <c r="AD691" s="845">
        <v>0.12172984516817939</v>
      </c>
      <c r="AE691" s="845">
        <v>0.1197722014593344</v>
      </c>
      <c r="AF691" s="845">
        <v>0.16942516462003915</v>
      </c>
      <c r="AG691" s="845">
        <v>0.60669158213205199</v>
      </c>
      <c r="AH691" s="20" t="str">
        <f t="shared" si="65"/>
        <v>No</v>
      </c>
      <c r="AI691" s="25"/>
      <c r="AJ691" s="20">
        <v>45304</v>
      </c>
      <c r="AK691" s="20" t="s">
        <v>1658</v>
      </c>
      <c r="AL691" s="20">
        <v>39109</v>
      </c>
      <c r="AM691" s="20" t="s">
        <v>60</v>
      </c>
      <c r="AN691" s="37">
        <f t="shared" si="66"/>
        <v>19430</v>
      </c>
      <c r="AO691" s="37" t="str">
        <f t="shared" si="67"/>
        <v>Dayton-Kettering-Beavercreek, OH</v>
      </c>
      <c r="AP691" s="20" t="s">
        <v>8</v>
      </c>
      <c r="AQ691" s="25"/>
      <c r="AR691" s="25"/>
      <c r="AS691" s="25"/>
      <c r="AT691" s="25"/>
      <c r="AU691" s="36"/>
      <c r="AV691" s="36"/>
      <c r="AW691" s="36"/>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39">
        <v>43517</v>
      </c>
      <c r="BV691" s="39" t="s">
        <v>959</v>
      </c>
      <c r="BW691" s="39" t="s">
        <v>2934</v>
      </c>
      <c r="BX691" s="39" t="s">
        <v>2935</v>
      </c>
      <c r="BY691" s="71">
        <v>740</v>
      </c>
      <c r="BZ691" s="71">
        <v>770</v>
      </c>
      <c r="CA691" s="71">
        <v>970</v>
      </c>
      <c r="CB691" s="71">
        <v>1210</v>
      </c>
      <c r="CC691" s="71">
        <v>1310</v>
      </c>
      <c r="CD691" s="25"/>
      <c r="CE691" s="200"/>
      <c r="CF691" s="200"/>
      <c r="CG691" s="200"/>
      <c r="CH691" s="200"/>
      <c r="CI691" s="200"/>
      <c r="CJ691" s="200"/>
      <c r="CK691" s="200"/>
      <c r="CL691" s="200"/>
      <c r="CM691" s="200"/>
      <c r="CN691" s="200"/>
      <c r="CO691" s="200"/>
      <c r="CP691" s="200"/>
      <c r="CQ691" s="200"/>
      <c r="CR691" s="200"/>
      <c r="CS691" s="200"/>
      <c r="CT691" s="200"/>
      <c r="CU691" s="200"/>
    </row>
    <row r="692" spans="1:99" s="17" customFormat="1" x14ac:dyDescent="0.2">
      <c r="A692" s="25"/>
      <c r="B692" s="20">
        <v>39057210603</v>
      </c>
      <c r="C692" s="20">
        <v>2106.0300000000002</v>
      </c>
      <c r="D692" s="20" t="s">
        <v>35</v>
      </c>
      <c r="E692" s="20" t="s">
        <v>2833</v>
      </c>
      <c r="F692" s="20" t="s">
        <v>8</v>
      </c>
      <c r="G692" s="861">
        <v>60.323615706948097</v>
      </c>
      <c r="H692" s="861">
        <v>66.857690322778197</v>
      </c>
      <c r="I692" s="861">
        <v>14.453660367694001</v>
      </c>
      <c r="J692" s="861">
        <v>59.056175526623797</v>
      </c>
      <c r="K692" s="982">
        <v>0</v>
      </c>
      <c r="L692" s="735">
        <v>6047</v>
      </c>
      <c r="M692" s="735">
        <v>8536</v>
      </c>
      <c r="N692" s="845">
        <f t="shared" si="63"/>
        <v>0.41160906234496447</v>
      </c>
      <c r="O692" s="735">
        <v>13.7562774371192</v>
      </c>
      <c r="P692" s="735">
        <f t="shared" si="64"/>
        <v>620.51670875486388</v>
      </c>
      <c r="Q692" s="849">
        <v>38.9</v>
      </c>
      <c r="R692" s="71">
        <v>193420</v>
      </c>
      <c r="S692" s="845">
        <v>1.429240862230553E-2</v>
      </c>
      <c r="T692" s="845">
        <v>3.4000000000000002E-2</v>
      </c>
      <c r="U692" s="845">
        <v>0</v>
      </c>
      <c r="V692" s="845">
        <v>0</v>
      </c>
      <c r="W692" s="845">
        <v>4.2451088962716869E-2</v>
      </c>
      <c r="X692" s="845">
        <v>0</v>
      </c>
      <c r="Y692" s="845">
        <v>0.80939550140581074</v>
      </c>
      <c r="Z692" s="845">
        <v>7.4273664479850052E-2</v>
      </c>
      <c r="AA692" s="845">
        <v>0</v>
      </c>
      <c r="AB692" s="845">
        <v>6.5370196813495776E-2</v>
      </c>
      <c r="AC692" s="845">
        <v>0</v>
      </c>
      <c r="AD692" s="845">
        <v>3.514526710402999E-3</v>
      </c>
      <c r="AE692" s="845">
        <v>4.7446110590440488E-2</v>
      </c>
      <c r="AF692" s="845">
        <v>2.1321462043111528E-2</v>
      </c>
      <c r="AG692" s="845">
        <v>0.79158856607310213</v>
      </c>
      <c r="AH692" s="20" t="str">
        <f t="shared" si="65"/>
        <v>No</v>
      </c>
      <c r="AI692" s="25"/>
      <c r="AJ692" s="20">
        <v>45308</v>
      </c>
      <c r="AK692" s="20" t="s">
        <v>1662</v>
      </c>
      <c r="AL692" s="20">
        <v>39109</v>
      </c>
      <c r="AM692" s="20" t="s">
        <v>60</v>
      </c>
      <c r="AN692" s="37">
        <f t="shared" si="66"/>
        <v>19430</v>
      </c>
      <c r="AO692" s="37" t="str">
        <f t="shared" si="67"/>
        <v>Dayton-Kettering-Beavercreek, OH</v>
      </c>
      <c r="AP692" s="20" t="s">
        <v>8</v>
      </c>
      <c r="AQ692" s="25"/>
      <c r="AR692" s="25"/>
      <c r="AS692" s="25"/>
      <c r="AT692" s="25"/>
      <c r="AU692" s="36"/>
      <c r="AV692" s="36"/>
      <c r="AW692" s="36"/>
      <c r="AX692" s="25"/>
      <c r="AY692" s="25"/>
      <c r="AZ692" s="25"/>
      <c r="BA692" s="25"/>
      <c r="BB692" s="25"/>
      <c r="BC692" s="25"/>
      <c r="BD692" s="25"/>
      <c r="BE692" s="25"/>
      <c r="BF692" s="25"/>
      <c r="BG692" s="25"/>
      <c r="BH692" s="25"/>
      <c r="BI692" s="25"/>
      <c r="BJ692" s="25"/>
      <c r="BK692" s="25"/>
      <c r="BL692" s="25"/>
      <c r="BM692" s="25"/>
      <c r="BN692" s="25"/>
      <c r="BO692" s="25"/>
      <c r="BP692" s="25"/>
      <c r="BQ692" s="25"/>
      <c r="BR692" s="25"/>
      <c r="BS692" s="25"/>
      <c r="BT692" s="25"/>
      <c r="BU692" s="39">
        <v>43519</v>
      </c>
      <c r="BV692" s="39" t="s">
        <v>961</v>
      </c>
      <c r="BW692" s="39" t="s">
        <v>2934</v>
      </c>
      <c r="BX692" s="39" t="s">
        <v>2935</v>
      </c>
      <c r="BY692" s="71">
        <v>790</v>
      </c>
      <c r="BZ692" s="71">
        <v>830</v>
      </c>
      <c r="CA692" s="71">
        <v>1030</v>
      </c>
      <c r="CB692" s="71">
        <v>1300</v>
      </c>
      <c r="CC692" s="71">
        <v>1450</v>
      </c>
      <c r="CD692" s="25"/>
      <c r="CE692" s="200"/>
      <c r="CF692" s="200"/>
      <c r="CG692" s="200"/>
      <c r="CH692" s="200"/>
      <c r="CI692" s="200"/>
      <c r="CJ692" s="200"/>
      <c r="CK692" s="200"/>
      <c r="CL692" s="200"/>
      <c r="CM692" s="200"/>
      <c r="CN692" s="200"/>
      <c r="CO692" s="200"/>
      <c r="CP692" s="200"/>
      <c r="CQ692" s="200"/>
      <c r="CR692" s="200"/>
      <c r="CS692" s="200"/>
      <c r="CT692" s="200"/>
      <c r="CU692" s="200"/>
    </row>
    <row r="693" spans="1:99" s="17" customFormat="1" x14ac:dyDescent="0.2">
      <c r="A693" s="25"/>
      <c r="B693" s="20">
        <v>39035134203</v>
      </c>
      <c r="C693" s="20">
        <v>1342.03</v>
      </c>
      <c r="D693" s="20" t="s">
        <v>24</v>
      </c>
      <c r="E693" s="20" t="s">
        <v>2829</v>
      </c>
      <c r="F693" s="20" t="s">
        <v>8</v>
      </c>
      <c r="G693" s="861">
        <v>60.3144299793153</v>
      </c>
      <c r="H693" s="861">
        <v>68.3372807611958</v>
      </c>
      <c r="I693" s="861">
        <v>21.1630785493941</v>
      </c>
      <c r="J693" s="861">
        <v>39.673960906133701</v>
      </c>
      <c r="K693" s="982">
        <v>0</v>
      </c>
      <c r="L693" s="735">
        <v>3345</v>
      </c>
      <c r="M693" s="735">
        <v>3247</v>
      </c>
      <c r="N693" s="845">
        <f t="shared" si="63"/>
        <v>-2.9297458893871451E-2</v>
      </c>
      <c r="O693" s="735">
        <v>1.4787160548007303</v>
      </c>
      <c r="P693" s="735">
        <f t="shared" si="64"/>
        <v>2195.8238631807926</v>
      </c>
      <c r="Q693" s="849">
        <v>40.799999999999997</v>
      </c>
      <c r="R693" s="71">
        <v>127135</v>
      </c>
      <c r="S693" s="845">
        <v>2.4397776405188389E-2</v>
      </c>
      <c r="T693" s="845">
        <v>2.6000000000000002E-2</v>
      </c>
      <c r="U693" s="845">
        <v>0</v>
      </c>
      <c r="V693" s="845">
        <v>0</v>
      </c>
      <c r="W693" s="845">
        <v>4.11522633744856E-3</v>
      </c>
      <c r="X693" s="845">
        <v>0</v>
      </c>
      <c r="Y693" s="845">
        <v>0.80166307360640587</v>
      </c>
      <c r="Z693" s="845">
        <v>0.10748383122882661</v>
      </c>
      <c r="AA693" s="845">
        <v>0</v>
      </c>
      <c r="AB693" s="845">
        <v>1.108715737603942E-2</v>
      </c>
      <c r="AC693" s="845">
        <v>0</v>
      </c>
      <c r="AD693" s="845">
        <v>5.5435786880197102E-3</v>
      </c>
      <c r="AE693" s="845">
        <v>7.4222359100708346E-2</v>
      </c>
      <c r="AF693" s="845">
        <v>5.4511857098860486E-2</v>
      </c>
      <c r="AG693" s="845">
        <v>0.7896519864490299</v>
      </c>
      <c r="AH693" s="20" t="str">
        <f t="shared" si="65"/>
        <v>No</v>
      </c>
      <c r="AI693" s="25"/>
      <c r="AJ693" s="20">
        <v>45309</v>
      </c>
      <c r="AK693" s="20" t="s">
        <v>1663</v>
      </c>
      <c r="AL693" s="20">
        <v>39109</v>
      </c>
      <c r="AM693" s="20" t="s">
        <v>60</v>
      </c>
      <c r="AN693" s="37">
        <f t="shared" si="66"/>
        <v>19430</v>
      </c>
      <c r="AO693" s="37" t="str">
        <f t="shared" si="67"/>
        <v>Dayton-Kettering-Beavercreek, OH</v>
      </c>
      <c r="AP693" s="20" t="s">
        <v>8</v>
      </c>
      <c r="AQ693" s="25"/>
      <c r="AR693" s="25"/>
      <c r="AS693" s="25"/>
      <c r="AT693" s="25"/>
      <c r="AU693" s="36"/>
      <c r="AV693" s="36"/>
      <c r="AW693" s="36"/>
      <c r="AX693" s="25"/>
      <c r="AY693" s="25"/>
      <c r="AZ693" s="25"/>
      <c r="BA693" s="25"/>
      <c r="BB693" s="25"/>
      <c r="BC693" s="25"/>
      <c r="BD693" s="25"/>
      <c r="BE693" s="25"/>
      <c r="BF693" s="25"/>
      <c r="BG693" s="25"/>
      <c r="BH693" s="25"/>
      <c r="BI693" s="25"/>
      <c r="BJ693" s="25"/>
      <c r="BK693" s="25"/>
      <c r="BL693" s="25"/>
      <c r="BM693" s="25"/>
      <c r="BN693" s="25"/>
      <c r="BO693" s="25"/>
      <c r="BP693" s="25"/>
      <c r="BQ693" s="25"/>
      <c r="BR693" s="25"/>
      <c r="BS693" s="25"/>
      <c r="BT693" s="25"/>
      <c r="BU693" s="39">
        <v>43520</v>
      </c>
      <c r="BV693" s="39" t="s">
        <v>962</v>
      </c>
      <c r="BW693" s="39" t="s">
        <v>2934</v>
      </c>
      <c r="BX693" s="39" t="s">
        <v>2935</v>
      </c>
      <c r="BY693" s="71">
        <v>740</v>
      </c>
      <c r="BZ693" s="71">
        <v>780</v>
      </c>
      <c r="CA693" s="71">
        <v>970</v>
      </c>
      <c r="CB693" s="71">
        <v>1220</v>
      </c>
      <c r="CC693" s="71">
        <v>1340</v>
      </c>
      <c r="CD693" s="25"/>
      <c r="CE693" s="200"/>
      <c r="CF693" s="200"/>
      <c r="CG693" s="200"/>
      <c r="CH693" s="200"/>
      <c r="CI693" s="200"/>
      <c r="CJ693" s="200"/>
      <c r="CK693" s="200"/>
      <c r="CL693" s="200"/>
      <c r="CM693" s="200"/>
      <c r="CN693" s="200"/>
      <c r="CO693" s="200"/>
      <c r="CP693" s="200"/>
      <c r="CQ693" s="200"/>
      <c r="CR693" s="200"/>
      <c r="CS693" s="200"/>
      <c r="CT693" s="200"/>
      <c r="CU693" s="200"/>
    </row>
    <row r="694" spans="1:99" s="17" customFormat="1" x14ac:dyDescent="0.2">
      <c r="A694" s="25"/>
      <c r="B694" s="20">
        <v>39093028100</v>
      </c>
      <c r="C694" s="20">
        <v>281</v>
      </c>
      <c r="D694" s="20" t="s">
        <v>52</v>
      </c>
      <c r="E694" s="20" t="s">
        <v>2829</v>
      </c>
      <c r="F694" s="20" t="s">
        <v>8</v>
      </c>
      <c r="G694" s="861">
        <v>60.290356854857997</v>
      </c>
      <c r="H694" s="861">
        <v>64.525954817203697</v>
      </c>
      <c r="I694" s="861">
        <v>30.2339914355979</v>
      </c>
      <c r="J694" s="861">
        <v>44.580052542367604</v>
      </c>
      <c r="K694" s="982">
        <v>0</v>
      </c>
      <c r="L694" s="735">
        <v>4004</v>
      </c>
      <c r="M694" s="735">
        <v>4287</v>
      </c>
      <c r="N694" s="845">
        <f t="shared" si="63"/>
        <v>7.0679320679320673E-2</v>
      </c>
      <c r="O694" s="735">
        <v>10.74315742708178</v>
      </c>
      <c r="P694" s="735">
        <f t="shared" si="64"/>
        <v>399.04469697085136</v>
      </c>
      <c r="Q694" s="849">
        <v>50.6</v>
      </c>
      <c r="R694" s="71">
        <v>102384</v>
      </c>
      <c r="S694" s="845">
        <v>2.6951019451605343E-2</v>
      </c>
      <c r="T694" s="845">
        <v>3.3000000000000002E-2</v>
      </c>
      <c r="U694" s="845">
        <v>0</v>
      </c>
      <c r="V694" s="845">
        <v>0.16300000000000001</v>
      </c>
      <c r="W694" s="845">
        <v>0.2607683352735739</v>
      </c>
      <c r="X694" s="845">
        <v>0.49776785714285715</v>
      </c>
      <c r="Y694" s="845">
        <v>0.88196874271052017</v>
      </c>
      <c r="Z694" s="845">
        <v>2.4725915558665733E-2</v>
      </c>
      <c r="AA694" s="845">
        <v>0</v>
      </c>
      <c r="AB694" s="845">
        <v>3.1024026125495683E-2</v>
      </c>
      <c r="AC694" s="845">
        <v>0</v>
      </c>
      <c r="AD694" s="845">
        <v>0</v>
      </c>
      <c r="AE694" s="845">
        <v>6.2281315605318403E-2</v>
      </c>
      <c r="AF694" s="845">
        <v>3.7322136692325633E-2</v>
      </c>
      <c r="AG694" s="845">
        <v>0.86214135759272215</v>
      </c>
      <c r="AH694" s="20" t="str">
        <f t="shared" si="65"/>
        <v>No</v>
      </c>
      <c r="AI694" s="25"/>
      <c r="AJ694" s="20">
        <v>45312</v>
      </c>
      <c r="AK694" s="20" t="s">
        <v>1666</v>
      </c>
      <c r="AL694" s="20">
        <v>39109</v>
      </c>
      <c r="AM694" s="20" t="s">
        <v>60</v>
      </c>
      <c r="AN694" s="37">
        <f t="shared" si="66"/>
        <v>19430</v>
      </c>
      <c r="AO694" s="37" t="str">
        <f t="shared" si="67"/>
        <v>Dayton-Kettering-Beavercreek, OH</v>
      </c>
      <c r="AP694" s="20" t="s">
        <v>8</v>
      </c>
      <c r="AQ694" s="25"/>
      <c r="AR694" s="25"/>
      <c r="AS694" s="25"/>
      <c r="AT694" s="25"/>
      <c r="AU694" s="36"/>
      <c r="AV694" s="36"/>
      <c r="AW694" s="36"/>
      <c r="AX694" s="25"/>
      <c r="AY694" s="25"/>
      <c r="AZ694" s="25"/>
      <c r="BA694" s="25"/>
      <c r="BB694" s="25"/>
      <c r="BC694" s="25"/>
      <c r="BD694" s="25"/>
      <c r="BE694" s="25"/>
      <c r="BF694" s="25"/>
      <c r="BG694" s="25"/>
      <c r="BH694" s="25"/>
      <c r="BI694" s="25"/>
      <c r="BJ694" s="25"/>
      <c r="BK694" s="25"/>
      <c r="BL694" s="25"/>
      <c r="BM694" s="25"/>
      <c r="BN694" s="25"/>
      <c r="BO694" s="25"/>
      <c r="BP694" s="25"/>
      <c r="BQ694" s="25"/>
      <c r="BR694" s="25"/>
      <c r="BS694" s="25"/>
      <c r="BT694" s="25"/>
      <c r="BU694" s="39">
        <v>43526</v>
      </c>
      <c r="BV694" s="39" t="s">
        <v>968</v>
      </c>
      <c r="BW694" s="39" t="s">
        <v>2934</v>
      </c>
      <c r="BX694" s="39" t="s">
        <v>2935</v>
      </c>
      <c r="BY694" s="71">
        <v>750</v>
      </c>
      <c r="BZ694" s="71">
        <v>790</v>
      </c>
      <c r="CA694" s="71">
        <v>970</v>
      </c>
      <c r="CB694" s="71">
        <v>1230</v>
      </c>
      <c r="CC694" s="71">
        <v>1400</v>
      </c>
      <c r="CD694" s="25"/>
      <c r="CE694" s="200"/>
      <c r="CF694" s="200"/>
      <c r="CG694" s="200"/>
      <c r="CH694" s="200"/>
      <c r="CI694" s="200"/>
      <c r="CJ694" s="200"/>
      <c r="CK694" s="200"/>
      <c r="CL694" s="200"/>
      <c r="CM694" s="200"/>
      <c r="CN694" s="200"/>
      <c r="CO694" s="200"/>
      <c r="CP694" s="200"/>
      <c r="CQ694" s="200"/>
      <c r="CR694" s="200"/>
      <c r="CS694" s="200"/>
      <c r="CT694" s="200"/>
      <c r="CU694" s="200"/>
    </row>
    <row r="695" spans="1:99" s="17" customFormat="1" x14ac:dyDescent="0.2">
      <c r="A695" s="25"/>
      <c r="B695" s="20">
        <v>39137030700</v>
      </c>
      <c r="C695" s="20">
        <v>307</v>
      </c>
      <c r="D695" s="20" t="s">
        <v>74</v>
      </c>
      <c r="E695" s="20" t="s">
        <v>265</v>
      </c>
      <c r="F695" s="20" t="s">
        <v>8</v>
      </c>
      <c r="G695" s="861">
        <v>60.268878603635002</v>
      </c>
      <c r="H695" s="861">
        <v>59.019697091026899</v>
      </c>
      <c r="I695" s="861">
        <v>16.103967192855599</v>
      </c>
      <c r="J695" s="861">
        <v>55.929485083015201</v>
      </c>
      <c r="K695" s="982">
        <v>0</v>
      </c>
      <c r="L695" s="735">
        <v>4692</v>
      </c>
      <c r="M695" s="735">
        <v>4910</v>
      </c>
      <c r="N695" s="845">
        <f t="shared" si="63"/>
        <v>4.6462063086104004E-2</v>
      </c>
      <c r="O695" s="735">
        <v>78.450921151139966</v>
      </c>
      <c r="P695" s="735">
        <f t="shared" si="64"/>
        <v>62.586900548186271</v>
      </c>
      <c r="Q695" s="849">
        <v>44.6</v>
      </c>
      <c r="R695" s="71">
        <v>90583</v>
      </c>
      <c r="S695" s="845">
        <v>2.9622063329928498E-2</v>
      </c>
      <c r="T695" s="845">
        <v>1.4999999999999999E-2</v>
      </c>
      <c r="U695" s="845">
        <v>0</v>
      </c>
      <c r="V695" s="845">
        <v>0</v>
      </c>
      <c r="W695" s="845">
        <v>0.10850286906624934</v>
      </c>
      <c r="X695" s="845">
        <v>0.20673076923076922</v>
      </c>
      <c r="Y695" s="845">
        <v>0.97576374745417516</v>
      </c>
      <c r="Z695" s="845">
        <v>4.4806517311608961E-3</v>
      </c>
      <c r="AA695" s="845">
        <v>4.0733197556008148E-4</v>
      </c>
      <c r="AB695" s="845">
        <v>1.8329938900203666E-3</v>
      </c>
      <c r="AC695" s="845">
        <v>2.2403258655804481E-3</v>
      </c>
      <c r="AD695" s="845">
        <v>1.6293279022403259E-3</v>
      </c>
      <c r="AE695" s="845">
        <v>1.3645621181262729E-2</v>
      </c>
      <c r="AF695" s="845">
        <v>8.9613034623217923E-3</v>
      </c>
      <c r="AG695" s="845">
        <v>0.97372708757637472</v>
      </c>
      <c r="AH695" s="20" t="str">
        <f t="shared" si="65"/>
        <v>Yes</v>
      </c>
      <c r="AI695" s="25"/>
      <c r="AJ695" s="20">
        <v>45317</v>
      </c>
      <c r="AK695" s="20" t="s">
        <v>1670</v>
      </c>
      <c r="AL695" s="20">
        <v>39109</v>
      </c>
      <c r="AM695" s="20" t="s">
        <v>60</v>
      </c>
      <c r="AN695" s="37">
        <f t="shared" si="66"/>
        <v>19430</v>
      </c>
      <c r="AO695" s="37" t="str">
        <f t="shared" si="67"/>
        <v>Dayton-Kettering-Beavercreek, OH</v>
      </c>
      <c r="AP695" s="20" t="s">
        <v>8</v>
      </c>
      <c r="AQ695" s="25"/>
      <c r="AR695" s="25"/>
      <c r="AS695" s="25"/>
      <c r="AT695" s="25"/>
      <c r="AU695" s="36"/>
      <c r="AV695" s="36"/>
      <c r="AW695" s="36"/>
      <c r="AX695" s="25"/>
      <c r="AY695" s="25"/>
      <c r="AZ695" s="25"/>
      <c r="BA695" s="25"/>
      <c r="BB695" s="25"/>
      <c r="BC695" s="25"/>
      <c r="BD695" s="25"/>
      <c r="BE695" s="25"/>
      <c r="BF695" s="25"/>
      <c r="BG695" s="25"/>
      <c r="BH695" s="25"/>
      <c r="BI695" s="25"/>
      <c r="BJ695" s="25"/>
      <c r="BK695" s="25"/>
      <c r="BL695" s="25"/>
      <c r="BM695" s="25"/>
      <c r="BN695" s="25"/>
      <c r="BO695" s="25"/>
      <c r="BP695" s="25"/>
      <c r="BQ695" s="25"/>
      <c r="BR695" s="25"/>
      <c r="BS695" s="25"/>
      <c r="BT695" s="25"/>
      <c r="BU695" s="39">
        <v>43527</v>
      </c>
      <c r="BV695" s="39" t="s">
        <v>969</v>
      </c>
      <c r="BW695" s="39" t="s">
        <v>2934</v>
      </c>
      <c r="BX695" s="39" t="s">
        <v>2935</v>
      </c>
      <c r="BY695" s="71">
        <v>750</v>
      </c>
      <c r="BZ695" s="71">
        <v>760</v>
      </c>
      <c r="CA695" s="71">
        <v>970</v>
      </c>
      <c r="CB695" s="71">
        <v>1290</v>
      </c>
      <c r="CC695" s="71">
        <v>1640</v>
      </c>
      <c r="CD695" s="25"/>
      <c r="CE695" s="200"/>
      <c r="CF695" s="200"/>
      <c r="CG695" s="200"/>
      <c r="CH695" s="200"/>
      <c r="CI695" s="200"/>
      <c r="CJ695" s="200"/>
      <c r="CK695" s="200"/>
      <c r="CL695" s="200"/>
      <c r="CM695" s="200"/>
      <c r="CN695" s="200"/>
      <c r="CO695" s="200"/>
      <c r="CP695" s="200"/>
      <c r="CQ695" s="200"/>
      <c r="CR695" s="200"/>
      <c r="CS695" s="200"/>
      <c r="CT695" s="200"/>
      <c r="CU695" s="200"/>
    </row>
    <row r="696" spans="1:99" s="17" customFormat="1" x14ac:dyDescent="0.2">
      <c r="A696" s="25"/>
      <c r="B696" s="20">
        <v>39061021506</v>
      </c>
      <c r="C696" s="20">
        <v>215.06</v>
      </c>
      <c r="D696" s="20" t="s">
        <v>37</v>
      </c>
      <c r="E696" s="20" t="s">
        <v>2828</v>
      </c>
      <c r="F696" s="20" t="s">
        <v>8</v>
      </c>
      <c r="G696" s="861">
        <v>60.239603833169902</v>
      </c>
      <c r="H696" s="861">
        <v>65.721992970392407</v>
      </c>
      <c r="I696" s="861">
        <v>34.125846399162803</v>
      </c>
      <c r="J696" s="861">
        <v>44.110528590868</v>
      </c>
      <c r="K696" s="982">
        <v>0</v>
      </c>
      <c r="L696" s="735">
        <v>3447</v>
      </c>
      <c r="M696" s="735">
        <v>3584</v>
      </c>
      <c r="N696" s="845">
        <f t="shared" si="63"/>
        <v>3.9744705541050189E-2</v>
      </c>
      <c r="O696" s="735">
        <v>0.88995080367376667</v>
      </c>
      <c r="P696" s="735">
        <f t="shared" si="64"/>
        <v>4027.1889021337447</v>
      </c>
      <c r="Q696" s="849">
        <v>36</v>
      </c>
      <c r="R696" s="71">
        <v>64144</v>
      </c>
      <c r="S696" s="845">
        <v>0.104</v>
      </c>
      <c r="T696" s="845">
        <v>7.6999999999999999E-2</v>
      </c>
      <c r="U696" s="845">
        <v>0</v>
      </c>
      <c r="V696" s="845">
        <v>0</v>
      </c>
      <c r="W696" s="845">
        <v>0.32115677321156771</v>
      </c>
      <c r="X696" s="845">
        <v>0.36966824644549762</v>
      </c>
      <c r="Y696" s="845">
        <v>0.19893973214285715</v>
      </c>
      <c r="Z696" s="845">
        <v>0.6328125</v>
      </c>
      <c r="AA696" s="845">
        <v>0</v>
      </c>
      <c r="AB696" s="845">
        <v>2.5669642857142856E-2</v>
      </c>
      <c r="AC696" s="845">
        <v>0</v>
      </c>
      <c r="AD696" s="845">
        <v>9.4866071428571421E-3</v>
      </c>
      <c r="AE696" s="845">
        <v>0.13309151785714285</v>
      </c>
      <c r="AF696" s="845">
        <v>0.11690848214285714</v>
      </c>
      <c r="AG696" s="845">
        <v>0.19893973214285715</v>
      </c>
      <c r="AH696" s="20" t="str">
        <f t="shared" si="65"/>
        <v>No</v>
      </c>
      <c r="AI696" s="25"/>
      <c r="AJ696" s="37">
        <v>45318</v>
      </c>
      <c r="AK696" s="37" t="s">
        <v>1671</v>
      </c>
      <c r="AL696" s="37">
        <v>39109</v>
      </c>
      <c r="AM696" s="37" t="s">
        <v>60</v>
      </c>
      <c r="AN696" s="37">
        <f t="shared" si="66"/>
        <v>19430</v>
      </c>
      <c r="AO696" s="37" t="str">
        <f t="shared" si="67"/>
        <v>Dayton-Kettering-Beavercreek, OH</v>
      </c>
      <c r="AP696" s="20" t="s">
        <v>8</v>
      </c>
      <c r="AQ696" s="25"/>
      <c r="AR696" s="25"/>
      <c r="AS696" s="25"/>
      <c r="AT696" s="25"/>
      <c r="AU696" s="36"/>
      <c r="AV696" s="36"/>
      <c r="AW696" s="36"/>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39">
        <v>43530</v>
      </c>
      <c r="BV696" s="39" t="s">
        <v>972</v>
      </c>
      <c r="BW696" s="39" t="s">
        <v>2934</v>
      </c>
      <c r="BX696" s="39" t="s">
        <v>2935</v>
      </c>
      <c r="BY696" s="71">
        <v>750</v>
      </c>
      <c r="BZ696" s="71">
        <v>800</v>
      </c>
      <c r="CA696" s="71">
        <v>980</v>
      </c>
      <c r="CB696" s="71">
        <v>1240</v>
      </c>
      <c r="CC696" s="71">
        <v>1410</v>
      </c>
      <c r="CD696" s="25"/>
      <c r="CE696" s="200"/>
      <c r="CF696" s="200"/>
      <c r="CG696" s="200"/>
      <c r="CH696" s="200"/>
      <c r="CI696" s="200"/>
      <c r="CJ696" s="200"/>
      <c r="CK696" s="200"/>
      <c r="CL696" s="200"/>
      <c r="CM696" s="200"/>
      <c r="CN696" s="200"/>
      <c r="CO696" s="200"/>
      <c r="CP696" s="200"/>
      <c r="CQ696" s="200"/>
      <c r="CR696" s="200"/>
      <c r="CS696" s="200"/>
      <c r="CT696" s="200"/>
      <c r="CU696" s="200"/>
    </row>
    <row r="697" spans="1:99" s="17" customFormat="1" x14ac:dyDescent="0.2">
      <c r="A697" s="25"/>
      <c r="B697" s="20">
        <v>39017010102</v>
      </c>
      <c r="C697" s="20">
        <v>101.02</v>
      </c>
      <c r="D697" s="20" t="s">
        <v>15</v>
      </c>
      <c r="E697" s="20" t="s">
        <v>2828</v>
      </c>
      <c r="F697" s="20" t="s">
        <v>8</v>
      </c>
      <c r="G697" s="861">
        <v>60.227896751528903</v>
      </c>
      <c r="H697" s="861">
        <v>43.114308707435399</v>
      </c>
      <c r="I697" s="861">
        <v>36.726247225690102</v>
      </c>
      <c r="J697" s="861">
        <v>30.850793945880898</v>
      </c>
      <c r="K697" s="982">
        <v>0</v>
      </c>
      <c r="L697" s="735">
        <v>2795</v>
      </c>
      <c r="M697" s="735">
        <v>2697</v>
      </c>
      <c r="N697" s="845">
        <f t="shared" si="63"/>
        <v>-3.5062611806797851E-2</v>
      </c>
      <c r="O697" s="735">
        <v>3.1589040769766314</v>
      </c>
      <c r="P697" s="735">
        <f t="shared" si="64"/>
        <v>853.77711202338344</v>
      </c>
      <c r="Q697" s="849">
        <v>37</v>
      </c>
      <c r="R697" s="71">
        <v>71550</v>
      </c>
      <c r="S697" s="845">
        <v>0.16107382550335569</v>
      </c>
      <c r="T697" s="845">
        <v>8.199999999999999E-2</v>
      </c>
      <c r="U697" s="845">
        <v>0</v>
      </c>
      <c r="V697" s="845">
        <v>0</v>
      </c>
      <c r="W697" s="845">
        <v>0.3783783783783784</v>
      </c>
      <c r="X697" s="845">
        <v>0.2857142857142857</v>
      </c>
      <c r="Y697" s="845">
        <v>0.72969966629588434</v>
      </c>
      <c r="Z697" s="845">
        <v>2.4471635150166853E-2</v>
      </c>
      <c r="AA697" s="845">
        <v>0</v>
      </c>
      <c r="AB697" s="845">
        <v>7.9347423062662223E-2</v>
      </c>
      <c r="AC697" s="845">
        <v>0</v>
      </c>
      <c r="AD697" s="845">
        <v>2.4100852799406748E-2</v>
      </c>
      <c r="AE697" s="845">
        <v>0.14238042269187987</v>
      </c>
      <c r="AF697" s="845">
        <v>9.0100111234705224E-2</v>
      </c>
      <c r="AG697" s="845">
        <v>0.72413793103448276</v>
      </c>
      <c r="AH697" s="20" t="str">
        <f t="shared" si="65"/>
        <v>No</v>
      </c>
      <c r="AI697" s="25"/>
      <c r="AJ697" s="20">
        <v>45322</v>
      </c>
      <c r="AK697" s="20" t="s">
        <v>1675</v>
      </c>
      <c r="AL697" s="20">
        <v>39109</v>
      </c>
      <c r="AM697" s="20" t="s">
        <v>60</v>
      </c>
      <c r="AN697" s="37">
        <f t="shared" si="66"/>
        <v>19430</v>
      </c>
      <c r="AO697" s="37" t="str">
        <f t="shared" si="67"/>
        <v>Dayton-Kettering-Beavercreek, OH</v>
      </c>
      <c r="AP697" s="20" t="s">
        <v>8</v>
      </c>
      <c r="AQ697" s="25"/>
      <c r="AR697" s="25"/>
      <c r="AS697" s="25"/>
      <c r="AT697" s="25"/>
      <c r="AU697" s="36"/>
      <c r="AV697" s="36"/>
      <c r="AW697" s="36"/>
      <c r="AX697" s="25"/>
      <c r="AY697" s="25"/>
      <c r="AZ697" s="25"/>
      <c r="BA697" s="25"/>
      <c r="BB697" s="25"/>
      <c r="BC697" s="25"/>
      <c r="BD697" s="25"/>
      <c r="BE697" s="25"/>
      <c r="BF697" s="25"/>
      <c r="BG697" s="25"/>
      <c r="BH697" s="25"/>
      <c r="BI697" s="25"/>
      <c r="BJ697" s="25"/>
      <c r="BK697" s="25"/>
      <c r="BL697" s="25"/>
      <c r="BM697" s="25"/>
      <c r="BN697" s="25"/>
      <c r="BO697" s="25"/>
      <c r="BP697" s="25"/>
      <c r="BQ697" s="25"/>
      <c r="BR697" s="25"/>
      <c r="BS697" s="25"/>
      <c r="BT697" s="25"/>
      <c r="BU697" s="39">
        <v>43536</v>
      </c>
      <c r="BV697" s="39" t="s">
        <v>978</v>
      </c>
      <c r="BW697" s="39" t="s">
        <v>2934</v>
      </c>
      <c r="BX697" s="39" t="s">
        <v>2935</v>
      </c>
      <c r="BY697" s="71">
        <v>750</v>
      </c>
      <c r="BZ697" s="71">
        <v>790</v>
      </c>
      <c r="CA697" s="71">
        <v>970</v>
      </c>
      <c r="CB697" s="71">
        <v>1240</v>
      </c>
      <c r="CC697" s="71">
        <v>1410</v>
      </c>
      <c r="CD697" s="25"/>
      <c r="CE697" s="200"/>
      <c r="CF697" s="200"/>
      <c r="CG697" s="200"/>
      <c r="CH697" s="200"/>
      <c r="CI697" s="200"/>
      <c r="CJ697" s="200"/>
      <c r="CK697" s="200"/>
      <c r="CL697" s="200"/>
      <c r="CM697" s="200"/>
      <c r="CN697" s="200"/>
      <c r="CO697" s="200"/>
      <c r="CP697" s="200"/>
      <c r="CQ697" s="200"/>
      <c r="CR697" s="200"/>
      <c r="CS697" s="200"/>
      <c r="CT697" s="200"/>
      <c r="CU697" s="200"/>
    </row>
    <row r="698" spans="1:99" s="17" customFormat="1" x14ac:dyDescent="0.2">
      <c r="A698" s="25"/>
      <c r="B698" s="20">
        <v>39033975200</v>
      </c>
      <c r="C698" s="20">
        <v>9752</v>
      </c>
      <c r="D698" s="20" t="s">
        <v>23</v>
      </c>
      <c r="E698" s="20" t="s">
        <v>265</v>
      </c>
      <c r="F698" s="20" t="s">
        <v>8</v>
      </c>
      <c r="G698" s="861">
        <v>60.217837465576203</v>
      </c>
      <c r="H698" s="861">
        <v>61.967582640926501</v>
      </c>
      <c r="I698" s="861">
        <v>25.073454902687399</v>
      </c>
      <c r="J698" s="861">
        <v>55.2432600840812</v>
      </c>
      <c r="K698" s="982">
        <v>0</v>
      </c>
      <c r="L698" s="735">
        <v>2689</v>
      </c>
      <c r="M698" s="735">
        <v>2271</v>
      </c>
      <c r="N698" s="845">
        <f t="shared" si="63"/>
        <v>-0.15544812197843064</v>
      </c>
      <c r="O698" s="735">
        <v>8.7500575437004624</v>
      </c>
      <c r="P698" s="735">
        <f t="shared" si="64"/>
        <v>259.54115029049029</v>
      </c>
      <c r="Q698" s="849">
        <v>53.4</v>
      </c>
      <c r="R698" s="71">
        <v>69159</v>
      </c>
      <c r="S698" s="845">
        <v>3.4563288183092011E-2</v>
      </c>
      <c r="T698" s="845">
        <v>2.5000000000000001E-2</v>
      </c>
      <c r="U698" s="845">
        <v>0.115</v>
      </c>
      <c r="V698" s="845">
        <v>0.09</v>
      </c>
      <c r="W698" s="845">
        <v>0.17349857006673022</v>
      </c>
      <c r="X698" s="845">
        <v>0.2087912087912088</v>
      </c>
      <c r="Y698" s="845">
        <v>0.98458828709819468</v>
      </c>
      <c r="Z698" s="845">
        <v>0</v>
      </c>
      <c r="AA698" s="845">
        <v>0</v>
      </c>
      <c r="AB698" s="845">
        <v>0</v>
      </c>
      <c r="AC698" s="845">
        <v>0</v>
      </c>
      <c r="AD698" s="845">
        <v>0</v>
      </c>
      <c r="AE698" s="845">
        <v>1.5411712901805373E-2</v>
      </c>
      <c r="AF698" s="845">
        <v>0</v>
      </c>
      <c r="AG698" s="845">
        <v>0.98458828709819468</v>
      </c>
      <c r="AH698" s="20" t="str">
        <f t="shared" si="65"/>
        <v>Yes</v>
      </c>
      <c r="AI698" s="25"/>
      <c r="AJ698" s="20">
        <v>45326</v>
      </c>
      <c r="AK698" s="20" t="s">
        <v>1679</v>
      </c>
      <c r="AL698" s="20">
        <v>39109</v>
      </c>
      <c r="AM698" s="20" t="s">
        <v>60</v>
      </c>
      <c r="AN698" s="37">
        <f t="shared" si="66"/>
        <v>19430</v>
      </c>
      <c r="AO698" s="37" t="str">
        <f t="shared" si="67"/>
        <v>Dayton-Kettering-Beavercreek, OH</v>
      </c>
      <c r="AP698" s="20" t="s">
        <v>8</v>
      </c>
      <c r="AQ698" s="25"/>
      <c r="AR698" s="25"/>
      <c r="AS698" s="25"/>
      <c r="AT698" s="25"/>
      <c r="AU698" s="36"/>
      <c r="AV698" s="36"/>
      <c r="AW698" s="36"/>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39">
        <v>43548</v>
      </c>
      <c r="BV698" s="39" t="s">
        <v>986</v>
      </c>
      <c r="BW698" s="39" t="s">
        <v>2934</v>
      </c>
      <c r="BX698" s="39" t="s">
        <v>2935</v>
      </c>
      <c r="BY698" s="71">
        <v>790</v>
      </c>
      <c r="BZ698" s="71">
        <v>800</v>
      </c>
      <c r="CA698" s="71">
        <v>1030</v>
      </c>
      <c r="CB698" s="71">
        <v>1300</v>
      </c>
      <c r="CC698" s="71">
        <v>1550</v>
      </c>
      <c r="CD698" s="25"/>
      <c r="CE698" s="200"/>
      <c r="CF698" s="200"/>
      <c r="CG698" s="200"/>
      <c r="CH698" s="200"/>
      <c r="CI698" s="200"/>
      <c r="CJ698" s="200"/>
      <c r="CK698" s="200"/>
      <c r="CL698" s="200"/>
      <c r="CM698" s="200"/>
      <c r="CN698" s="200"/>
      <c r="CO698" s="200"/>
      <c r="CP698" s="200"/>
      <c r="CQ698" s="200"/>
      <c r="CR698" s="200"/>
      <c r="CS698" s="200"/>
      <c r="CT698" s="200"/>
      <c r="CU698" s="200"/>
    </row>
    <row r="699" spans="1:99" s="17" customFormat="1" x14ac:dyDescent="0.2">
      <c r="A699" s="25"/>
      <c r="B699" s="20">
        <v>39151713700</v>
      </c>
      <c r="C699" s="20">
        <v>7137</v>
      </c>
      <c r="D699" s="20" t="s">
        <v>81</v>
      </c>
      <c r="E699" s="20" t="s">
        <v>2844</v>
      </c>
      <c r="F699" s="20" t="s">
        <v>8</v>
      </c>
      <c r="G699" s="861">
        <v>60.179526677928202</v>
      </c>
      <c r="H699" s="861">
        <v>66.986695979817796</v>
      </c>
      <c r="I699" s="861">
        <v>27.6791309869336</v>
      </c>
      <c r="J699" s="861">
        <v>57.515453635961599</v>
      </c>
      <c r="K699" s="982">
        <v>0</v>
      </c>
      <c r="L699" s="735">
        <v>2310</v>
      </c>
      <c r="M699" s="735">
        <v>2357</v>
      </c>
      <c r="N699" s="845">
        <f t="shared" si="63"/>
        <v>2.0346320346320345E-2</v>
      </c>
      <c r="O699" s="735">
        <v>0.4740763076321613</v>
      </c>
      <c r="P699" s="735">
        <f t="shared" si="64"/>
        <v>4971.7734509289394</v>
      </c>
      <c r="Q699" s="849">
        <v>32.4</v>
      </c>
      <c r="R699" s="71">
        <v>61750</v>
      </c>
      <c r="S699" s="845">
        <v>9.4611794654221468E-2</v>
      </c>
      <c r="T699" s="845">
        <v>1.1000000000000001E-2</v>
      </c>
      <c r="U699" s="845">
        <v>0</v>
      </c>
      <c r="V699" s="845">
        <v>1.9E-2</v>
      </c>
      <c r="W699" s="845">
        <v>0.44142455482661669</v>
      </c>
      <c r="X699" s="845">
        <v>0.11040339702760085</v>
      </c>
      <c r="Y699" s="845">
        <v>0.83368689011455244</v>
      </c>
      <c r="Z699" s="845">
        <v>9.8430207891387358E-2</v>
      </c>
      <c r="AA699" s="845">
        <v>0</v>
      </c>
      <c r="AB699" s="845">
        <v>5.5154857870173954E-3</v>
      </c>
      <c r="AC699" s="845">
        <v>0</v>
      </c>
      <c r="AD699" s="845">
        <v>0</v>
      </c>
      <c r="AE699" s="845">
        <v>6.236741620704285E-2</v>
      </c>
      <c r="AF699" s="845">
        <v>2.5031820110309716E-2</v>
      </c>
      <c r="AG699" s="845">
        <v>0.82732286805260924</v>
      </c>
      <c r="AH699" s="20" t="str">
        <f t="shared" si="65"/>
        <v>No</v>
      </c>
      <c r="AI699" s="25"/>
      <c r="AJ699" s="20">
        <v>45337</v>
      </c>
      <c r="AK699" s="20" t="s">
        <v>1689</v>
      </c>
      <c r="AL699" s="20">
        <v>39109</v>
      </c>
      <c r="AM699" s="20" t="s">
        <v>60</v>
      </c>
      <c r="AN699" s="37">
        <f t="shared" si="66"/>
        <v>19430</v>
      </c>
      <c r="AO699" s="37" t="str">
        <f t="shared" si="67"/>
        <v>Dayton-Kettering-Beavercreek, OH</v>
      </c>
      <c r="AP699" s="20" t="s">
        <v>8</v>
      </c>
      <c r="AQ699" s="25"/>
      <c r="AR699" s="25"/>
      <c r="AS699" s="25"/>
      <c r="AT699" s="25"/>
      <c r="AU699" s="36"/>
      <c r="AV699" s="36"/>
      <c r="AW699" s="36"/>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39">
        <v>43549</v>
      </c>
      <c r="BV699" s="39" t="s">
        <v>987</v>
      </c>
      <c r="BW699" s="39" t="s">
        <v>2934</v>
      </c>
      <c r="BX699" s="39" t="s">
        <v>2935</v>
      </c>
      <c r="BY699" s="71">
        <v>750</v>
      </c>
      <c r="BZ699" s="71">
        <v>790</v>
      </c>
      <c r="CA699" s="71">
        <v>970</v>
      </c>
      <c r="CB699" s="71">
        <v>1230</v>
      </c>
      <c r="CC699" s="71">
        <v>1400</v>
      </c>
      <c r="CD699" s="25"/>
      <c r="CE699" s="200"/>
      <c r="CF699" s="200"/>
      <c r="CG699" s="200"/>
      <c r="CH699" s="200"/>
      <c r="CI699" s="200"/>
      <c r="CJ699" s="200"/>
      <c r="CK699" s="200"/>
      <c r="CL699" s="200"/>
      <c r="CM699" s="200"/>
      <c r="CN699" s="200"/>
      <c r="CO699" s="200"/>
      <c r="CP699" s="200"/>
      <c r="CQ699" s="200"/>
      <c r="CR699" s="200"/>
      <c r="CS699" s="200"/>
      <c r="CT699" s="200"/>
      <c r="CU699" s="200"/>
    </row>
    <row r="700" spans="1:99" s="17" customFormat="1" x14ac:dyDescent="0.2">
      <c r="A700" s="25"/>
      <c r="B700" s="20">
        <v>39035140900</v>
      </c>
      <c r="C700" s="20">
        <v>1409</v>
      </c>
      <c r="D700" s="20" t="s">
        <v>24</v>
      </c>
      <c r="E700" s="20" t="s">
        <v>2829</v>
      </c>
      <c r="F700" s="20" t="s">
        <v>8</v>
      </c>
      <c r="G700" s="861">
        <v>60.172075082402202</v>
      </c>
      <c r="H700" s="861">
        <v>68.235388052927604</v>
      </c>
      <c r="I700" s="861">
        <v>34.290541655634101</v>
      </c>
      <c r="J700" s="861">
        <v>55.510084187743203</v>
      </c>
      <c r="K700" s="982">
        <v>0</v>
      </c>
      <c r="L700" s="735">
        <v>2044</v>
      </c>
      <c r="M700" s="735">
        <v>2126</v>
      </c>
      <c r="N700" s="845">
        <f t="shared" si="63"/>
        <v>4.0117416829745595E-2</v>
      </c>
      <c r="O700" s="735">
        <v>0.26517998184941477</v>
      </c>
      <c r="P700" s="735">
        <f t="shared" si="64"/>
        <v>8017.1964157055845</v>
      </c>
      <c r="Q700" s="849">
        <v>37.299999999999997</v>
      </c>
      <c r="R700" s="71">
        <v>81369</v>
      </c>
      <c r="S700" s="845">
        <v>0.19319792158715163</v>
      </c>
      <c r="T700" s="845">
        <v>2.8999999999999998E-2</v>
      </c>
      <c r="U700" s="845">
        <v>0</v>
      </c>
      <c r="V700" s="845">
        <v>0</v>
      </c>
      <c r="W700" s="845">
        <v>0.29010238907849828</v>
      </c>
      <c r="X700" s="845">
        <v>0.37647058823529411</v>
      </c>
      <c r="Y700" s="845">
        <v>0.42144873000940736</v>
      </c>
      <c r="Z700" s="845">
        <v>0.49153339604891816</v>
      </c>
      <c r="AA700" s="845">
        <v>0</v>
      </c>
      <c r="AB700" s="845">
        <v>2.4459078080903106E-2</v>
      </c>
      <c r="AC700" s="845">
        <v>0</v>
      </c>
      <c r="AD700" s="845">
        <v>0</v>
      </c>
      <c r="AE700" s="845">
        <v>6.2558795860771399E-2</v>
      </c>
      <c r="AF700" s="845">
        <v>4.3744120413922859E-2</v>
      </c>
      <c r="AG700" s="845">
        <v>0.42144873000940736</v>
      </c>
      <c r="AH700" s="20" t="str">
        <f t="shared" si="65"/>
        <v>No</v>
      </c>
      <c r="AI700" s="25"/>
      <c r="AJ700" s="20">
        <v>45339</v>
      </c>
      <c r="AK700" s="20" t="s">
        <v>1691</v>
      </c>
      <c r="AL700" s="20">
        <v>39109</v>
      </c>
      <c r="AM700" s="20" t="s">
        <v>60</v>
      </c>
      <c r="AN700" s="37">
        <f t="shared" si="66"/>
        <v>19430</v>
      </c>
      <c r="AO700" s="37" t="str">
        <f t="shared" si="67"/>
        <v>Dayton-Kettering-Beavercreek, OH</v>
      </c>
      <c r="AP700" s="20" t="s">
        <v>8</v>
      </c>
      <c r="AQ700" s="25"/>
      <c r="AR700" s="25"/>
      <c r="AS700" s="25"/>
      <c r="AT700" s="25"/>
      <c r="AU700" s="36"/>
      <c r="AV700" s="36"/>
      <c r="AW700" s="36"/>
      <c r="AX700" s="25"/>
      <c r="AY700" s="25"/>
      <c r="AZ700" s="25"/>
      <c r="BA700" s="25"/>
      <c r="BB700" s="25"/>
      <c r="BC700" s="25"/>
      <c r="BD700" s="25"/>
      <c r="BE700" s="25"/>
      <c r="BF700" s="25"/>
      <c r="BG700" s="25"/>
      <c r="BH700" s="25"/>
      <c r="BI700" s="25"/>
      <c r="BJ700" s="25"/>
      <c r="BK700" s="25"/>
      <c r="BL700" s="25"/>
      <c r="BM700" s="25"/>
      <c r="BN700" s="25"/>
      <c r="BO700" s="25"/>
      <c r="BP700" s="25"/>
      <c r="BQ700" s="25"/>
      <c r="BR700" s="25"/>
      <c r="BS700" s="25"/>
      <c r="BT700" s="25"/>
      <c r="BU700" s="39">
        <v>43556</v>
      </c>
      <c r="BV700" s="39" t="s">
        <v>992</v>
      </c>
      <c r="BW700" s="39" t="s">
        <v>2934</v>
      </c>
      <c r="BX700" s="39" t="s">
        <v>2935</v>
      </c>
      <c r="BY700" s="71">
        <v>750</v>
      </c>
      <c r="BZ700" s="71">
        <v>790</v>
      </c>
      <c r="CA700" s="71">
        <v>970</v>
      </c>
      <c r="CB700" s="71">
        <v>1230</v>
      </c>
      <c r="CC700" s="71">
        <v>1400</v>
      </c>
      <c r="CD700" s="25"/>
      <c r="CE700" s="200"/>
      <c r="CF700" s="200"/>
      <c r="CG700" s="200"/>
      <c r="CH700" s="200"/>
      <c r="CI700" s="200"/>
      <c r="CJ700" s="200"/>
      <c r="CK700" s="200"/>
      <c r="CL700" s="200"/>
      <c r="CM700" s="200"/>
      <c r="CN700" s="200"/>
      <c r="CO700" s="200"/>
      <c r="CP700" s="200"/>
      <c r="CQ700" s="200"/>
      <c r="CR700" s="200"/>
      <c r="CS700" s="200"/>
      <c r="CT700" s="200"/>
      <c r="CU700" s="200"/>
    </row>
    <row r="701" spans="1:99" s="17" customFormat="1" x14ac:dyDescent="0.2">
      <c r="A701" s="25"/>
      <c r="B701" s="20">
        <v>39049000600</v>
      </c>
      <c r="C701" s="20">
        <v>6</v>
      </c>
      <c r="D701" s="20" t="s">
        <v>31</v>
      </c>
      <c r="E701" s="20" t="s">
        <v>2830</v>
      </c>
      <c r="F701" s="20" t="s">
        <v>8</v>
      </c>
      <c r="G701" s="861">
        <v>60.160921127693399</v>
      </c>
      <c r="H701" s="861">
        <v>80.357229112733904</v>
      </c>
      <c r="I701" s="861">
        <v>40.035934033509498</v>
      </c>
      <c r="J701" s="861">
        <v>39.797667503515498</v>
      </c>
      <c r="K701" s="982">
        <v>0</v>
      </c>
      <c r="L701" s="735">
        <v>3990</v>
      </c>
      <c r="M701" s="735">
        <v>4000</v>
      </c>
      <c r="N701" s="845">
        <f t="shared" si="63"/>
        <v>2.5062656641604009E-3</v>
      </c>
      <c r="O701" s="735">
        <v>0.37982606800461338</v>
      </c>
      <c r="P701" s="735">
        <f t="shared" si="64"/>
        <v>10531.136056600033</v>
      </c>
      <c r="Q701" s="849">
        <v>28.9</v>
      </c>
      <c r="R701" s="71">
        <v>65513</v>
      </c>
      <c r="S701" s="845">
        <v>0.2310396785534907</v>
      </c>
      <c r="T701" s="845">
        <v>2.4E-2</v>
      </c>
      <c r="U701" s="845">
        <v>0</v>
      </c>
      <c r="V701" s="845">
        <v>0.04</v>
      </c>
      <c r="W701" s="845">
        <v>0.76500000000000001</v>
      </c>
      <c r="X701" s="845">
        <v>0.364560639070443</v>
      </c>
      <c r="Y701" s="845">
        <v>0.84325000000000006</v>
      </c>
      <c r="Z701" s="845">
        <v>4.0250000000000001E-2</v>
      </c>
      <c r="AA701" s="845">
        <v>0</v>
      </c>
      <c r="AB701" s="845">
        <v>2.4750000000000001E-2</v>
      </c>
      <c r="AC701" s="845">
        <v>0</v>
      </c>
      <c r="AD701" s="845">
        <v>9.4999999999999998E-3</v>
      </c>
      <c r="AE701" s="845">
        <v>8.2250000000000004E-2</v>
      </c>
      <c r="AF701" s="845">
        <v>0.09</v>
      </c>
      <c r="AG701" s="845">
        <v>0.80600000000000005</v>
      </c>
      <c r="AH701" s="20" t="str">
        <f t="shared" si="65"/>
        <v>No</v>
      </c>
      <c r="AI701" s="25"/>
      <c r="AJ701" s="20">
        <v>45344</v>
      </c>
      <c r="AK701" s="20" t="s">
        <v>1695</v>
      </c>
      <c r="AL701" s="20">
        <v>39109</v>
      </c>
      <c r="AM701" s="20" t="s">
        <v>60</v>
      </c>
      <c r="AN701" s="37">
        <f t="shared" si="66"/>
        <v>19430</v>
      </c>
      <c r="AO701" s="37" t="str">
        <f t="shared" si="67"/>
        <v>Dayton-Kettering-Beavercreek, OH</v>
      </c>
      <c r="AP701" s="20" t="s">
        <v>8</v>
      </c>
      <c r="AQ701" s="25"/>
      <c r="AR701" s="25"/>
      <c r="AS701" s="25"/>
      <c r="AT701" s="25"/>
      <c r="AU701" s="36"/>
      <c r="AV701" s="36"/>
      <c r="AW701" s="36"/>
      <c r="AX701" s="25"/>
      <c r="AY701" s="25"/>
      <c r="AZ701" s="25"/>
      <c r="BA701" s="25"/>
      <c r="BB701" s="25"/>
      <c r="BC701" s="25"/>
      <c r="BD701" s="25"/>
      <c r="BE701" s="25"/>
      <c r="BF701" s="25"/>
      <c r="BG701" s="25"/>
      <c r="BH701" s="25"/>
      <c r="BI701" s="25"/>
      <c r="BJ701" s="25"/>
      <c r="BK701" s="25"/>
      <c r="BL701" s="25"/>
      <c r="BM701" s="25"/>
      <c r="BN701" s="25"/>
      <c r="BO701" s="25"/>
      <c r="BP701" s="25"/>
      <c r="BQ701" s="25"/>
      <c r="BR701" s="25"/>
      <c r="BS701" s="25"/>
      <c r="BT701" s="25"/>
      <c r="BU701" s="39">
        <v>45813</v>
      </c>
      <c r="BV701" s="39" t="s">
        <v>1888</v>
      </c>
      <c r="BW701" s="39" t="s">
        <v>2934</v>
      </c>
      <c r="BX701" s="39" t="s">
        <v>2935</v>
      </c>
      <c r="BY701" s="71">
        <v>740</v>
      </c>
      <c r="BZ701" s="71">
        <v>780</v>
      </c>
      <c r="CA701" s="71">
        <v>970</v>
      </c>
      <c r="CB701" s="71">
        <v>1340</v>
      </c>
      <c r="CC701" s="71">
        <v>1530</v>
      </c>
      <c r="CD701" s="25"/>
      <c r="CE701" s="200"/>
      <c r="CF701" s="200"/>
      <c r="CG701" s="200"/>
      <c r="CH701" s="200"/>
      <c r="CI701" s="200"/>
      <c r="CJ701" s="200"/>
      <c r="CK701" s="200"/>
      <c r="CL701" s="200"/>
      <c r="CM701" s="200"/>
      <c r="CN701" s="200"/>
      <c r="CO701" s="200"/>
      <c r="CP701" s="200"/>
      <c r="CQ701" s="200"/>
      <c r="CR701" s="200"/>
      <c r="CS701" s="200"/>
      <c r="CT701" s="200"/>
      <c r="CU701" s="200"/>
    </row>
    <row r="702" spans="1:99" s="17" customFormat="1" x14ac:dyDescent="0.2">
      <c r="A702" s="25"/>
      <c r="B702" s="20">
        <v>39017010203</v>
      </c>
      <c r="C702" s="20">
        <v>102.03</v>
      </c>
      <c r="D702" s="20" t="s">
        <v>15</v>
      </c>
      <c r="E702" s="20" t="s">
        <v>2828</v>
      </c>
      <c r="F702" s="20" t="s">
        <v>8</v>
      </c>
      <c r="G702" s="861">
        <v>60.149986303828399</v>
      </c>
      <c r="H702" s="861">
        <v>62.766037398959398</v>
      </c>
      <c r="I702" s="861">
        <v>23.049974579174801</v>
      </c>
      <c r="J702" s="861">
        <v>50.600578477166799</v>
      </c>
      <c r="K702" s="982">
        <v>0</v>
      </c>
      <c r="L702" s="735">
        <v>5569</v>
      </c>
      <c r="M702" s="735">
        <v>5369</v>
      </c>
      <c r="N702" s="845">
        <f t="shared" si="63"/>
        <v>-3.5913090321422161E-2</v>
      </c>
      <c r="O702" s="735">
        <v>36.773269202382558</v>
      </c>
      <c r="P702" s="735">
        <f t="shared" si="64"/>
        <v>146.00279269301788</v>
      </c>
      <c r="Q702" s="849">
        <v>40.299999999999997</v>
      </c>
      <c r="R702" s="71">
        <v>107250</v>
      </c>
      <c r="S702" s="845">
        <v>3.7711069418386492E-2</v>
      </c>
      <c r="T702" s="845">
        <v>4.0000000000000001E-3</v>
      </c>
      <c r="U702" s="845">
        <v>0</v>
      </c>
      <c r="V702" s="845">
        <v>0</v>
      </c>
      <c r="W702" s="845">
        <v>4.2819843342036555E-2</v>
      </c>
      <c r="X702" s="845">
        <v>0</v>
      </c>
      <c r="Y702" s="845">
        <v>0.91674427267647607</v>
      </c>
      <c r="Z702" s="845">
        <v>0</v>
      </c>
      <c r="AA702" s="845">
        <v>0</v>
      </c>
      <c r="AB702" s="845">
        <v>8.7539579065002791E-3</v>
      </c>
      <c r="AC702" s="845">
        <v>0</v>
      </c>
      <c r="AD702" s="845">
        <v>3.3525796237660645E-3</v>
      </c>
      <c r="AE702" s="845">
        <v>7.1149189793257586E-2</v>
      </c>
      <c r="AF702" s="845">
        <v>3.3525796237660645E-3</v>
      </c>
      <c r="AG702" s="845">
        <v>0.91674427267647607</v>
      </c>
      <c r="AH702" s="20" t="str">
        <f t="shared" si="65"/>
        <v>Yes</v>
      </c>
      <c r="AI702" s="25"/>
      <c r="AJ702" s="20">
        <v>45356</v>
      </c>
      <c r="AK702" s="20" t="s">
        <v>1706</v>
      </c>
      <c r="AL702" s="20">
        <v>39109</v>
      </c>
      <c r="AM702" s="20" t="s">
        <v>60</v>
      </c>
      <c r="AN702" s="37">
        <f t="shared" si="66"/>
        <v>19430</v>
      </c>
      <c r="AO702" s="37" t="str">
        <f t="shared" si="67"/>
        <v>Dayton-Kettering-Beavercreek, OH</v>
      </c>
      <c r="AP702" s="20" t="s">
        <v>8</v>
      </c>
      <c r="AQ702" s="25"/>
      <c r="AR702" s="25"/>
      <c r="AS702" s="25"/>
      <c r="AT702" s="25"/>
      <c r="AU702" s="36"/>
      <c r="AV702" s="36"/>
      <c r="AW702" s="36"/>
      <c r="AX702" s="25"/>
      <c r="AY702" s="25"/>
      <c r="AZ702" s="25"/>
      <c r="BA702" s="25"/>
      <c r="BB702" s="25"/>
      <c r="BC702" s="25"/>
      <c r="BD702" s="25"/>
      <c r="BE702" s="25"/>
      <c r="BF702" s="25"/>
      <c r="BG702" s="25"/>
      <c r="BH702" s="25"/>
      <c r="BI702" s="25"/>
      <c r="BJ702" s="25"/>
      <c r="BK702" s="25"/>
      <c r="BL702" s="25"/>
      <c r="BM702" s="25"/>
      <c r="BN702" s="25"/>
      <c r="BO702" s="25"/>
      <c r="BP702" s="25"/>
      <c r="BQ702" s="25"/>
      <c r="BR702" s="25"/>
      <c r="BS702" s="25"/>
      <c r="BT702" s="25"/>
      <c r="BU702" s="39">
        <v>45821</v>
      </c>
      <c r="BV702" s="39" t="s">
        <v>1895</v>
      </c>
      <c r="BW702" s="39" t="s">
        <v>2934</v>
      </c>
      <c r="BX702" s="39" t="s">
        <v>2935</v>
      </c>
      <c r="BY702" s="71">
        <v>740</v>
      </c>
      <c r="BZ702" s="71">
        <v>780</v>
      </c>
      <c r="CA702" s="71">
        <v>970</v>
      </c>
      <c r="CB702" s="71">
        <v>1330</v>
      </c>
      <c r="CC702" s="71">
        <v>1520</v>
      </c>
      <c r="CD702" s="25"/>
      <c r="CE702" s="200"/>
      <c r="CF702" s="200"/>
      <c r="CG702" s="200"/>
      <c r="CH702" s="200"/>
      <c r="CI702" s="200"/>
      <c r="CJ702" s="200"/>
      <c r="CK702" s="200"/>
      <c r="CL702" s="200"/>
      <c r="CM702" s="200"/>
      <c r="CN702" s="200"/>
      <c r="CO702" s="200"/>
      <c r="CP702" s="200"/>
      <c r="CQ702" s="200"/>
      <c r="CR702" s="200"/>
      <c r="CS702" s="200"/>
      <c r="CT702" s="200"/>
      <c r="CU702" s="200"/>
    </row>
    <row r="703" spans="1:99" s="17" customFormat="1" x14ac:dyDescent="0.2">
      <c r="A703" s="25"/>
      <c r="B703" s="20">
        <v>39049004610</v>
      </c>
      <c r="C703" s="20">
        <v>46.1</v>
      </c>
      <c r="D703" s="20" t="s">
        <v>31</v>
      </c>
      <c r="E703" s="20" t="s">
        <v>2830</v>
      </c>
      <c r="F703" s="20" t="s">
        <v>8</v>
      </c>
      <c r="G703" s="861">
        <v>60.147213600115101</v>
      </c>
      <c r="H703" s="861">
        <v>71.024155021687605</v>
      </c>
      <c r="I703" s="861">
        <v>31.2655324253688</v>
      </c>
      <c r="J703" s="861">
        <v>42.727665763188199</v>
      </c>
      <c r="K703" s="982">
        <v>0</v>
      </c>
      <c r="L703" s="735">
        <v>2960</v>
      </c>
      <c r="M703" s="735">
        <v>3585</v>
      </c>
      <c r="N703" s="845">
        <f t="shared" si="63"/>
        <v>0.21114864864864866</v>
      </c>
      <c r="O703" s="735">
        <v>0.57455978050802714</v>
      </c>
      <c r="P703" s="735">
        <f t="shared" si="64"/>
        <v>6239.5596100202738</v>
      </c>
      <c r="Q703" s="849">
        <v>41.2</v>
      </c>
      <c r="R703" s="71">
        <v>86523</v>
      </c>
      <c r="S703" s="845">
        <v>0.16577989358723047</v>
      </c>
      <c r="T703" s="845">
        <v>3.2000000000000001E-2</v>
      </c>
      <c r="U703" s="845">
        <v>0</v>
      </c>
      <c r="V703" s="845">
        <v>0</v>
      </c>
      <c r="W703" s="845">
        <v>0.22349570200573066</v>
      </c>
      <c r="X703" s="845">
        <v>0.60256410256410253</v>
      </c>
      <c r="Y703" s="845">
        <v>0.82119944211994422</v>
      </c>
      <c r="Z703" s="845">
        <v>8.7587168758716874E-2</v>
      </c>
      <c r="AA703" s="845">
        <v>0</v>
      </c>
      <c r="AB703" s="845">
        <v>9.7629009762900971E-3</v>
      </c>
      <c r="AC703" s="845">
        <v>0</v>
      </c>
      <c r="AD703" s="845">
        <v>2.3988842398884241E-2</v>
      </c>
      <c r="AE703" s="845">
        <v>5.7461645746164573E-2</v>
      </c>
      <c r="AF703" s="845">
        <v>5.1603905160390519E-2</v>
      </c>
      <c r="AG703" s="845">
        <v>0.80362622036262199</v>
      </c>
      <c r="AH703" s="20" t="str">
        <f t="shared" si="65"/>
        <v>No</v>
      </c>
      <c r="AI703" s="25"/>
      <c r="AJ703" s="20">
        <v>45359</v>
      </c>
      <c r="AK703" s="20" t="s">
        <v>1708</v>
      </c>
      <c r="AL703" s="20">
        <v>39109</v>
      </c>
      <c r="AM703" s="20" t="s">
        <v>60</v>
      </c>
      <c r="AN703" s="37">
        <f t="shared" si="66"/>
        <v>19430</v>
      </c>
      <c r="AO703" s="37" t="str">
        <f t="shared" si="67"/>
        <v>Dayton-Kettering-Beavercreek, OH</v>
      </c>
      <c r="AP703" s="20" t="s">
        <v>8</v>
      </c>
      <c r="AQ703" s="25"/>
      <c r="AR703" s="25"/>
      <c r="AS703" s="25"/>
      <c r="AT703" s="25"/>
      <c r="AU703" s="36"/>
      <c r="AV703" s="36"/>
      <c r="AW703" s="36"/>
      <c r="AX703" s="25"/>
      <c r="AY703" s="25"/>
      <c r="AZ703" s="25"/>
      <c r="BA703" s="25"/>
      <c r="BB703" s="25"/>
      <c r="BC703" s="25"/>
      <c r="BD703" s="25"/>
      <c r="BE703" s="25"/>
      <c r="BF703" s="25"/>
      <c r="BG703" s="25"/>
      <c r="BH703" s="25"/>
      <c r="BI703" s="25"/>
      <c r="BJ703" s="25"/>
      <c r="BK703" s="25"/>
      <c r="BL703" s="25"/>
      <c r="BM703" s="25"/>
      <c r="BN703" s="25"/>
      <c r="BO703" s="25"/>
      <c r="BP703" s="25"/>
      <c r="BQ703" s="25"/>
      <c r="BR703" s="25"/>
      <c r="BS703" s="25"/>
      <c r="BT703" s="25"/>
      <c r="BU703" s="39">
        <v>45831</v>
      </c>
      <c r="BV703" s="39" t="s">
        <v>1901</v>
      </c>
      <c r="BW703" s="39" t="s">
        <v>2934</v>
      </c>
      <c r="BX703" s="39" t="s">
        <v>2935</v>
      </c>
      <c r="BY703" s="71">
        <v>740</v>
      </c>
      <c r="BZ703" s="71">
        <v>750</v>
      </c>
      <c r="CA703" s="71">
        <v>970</v>
      </c>
      <c r="CB703" s="71">
        <v>1170</v>
      </c>
      <c r="CC703" s="71">
        <v>1290</v>
      </c>
      <c r="CD703" s="25"/>
      <c r="CE703" s="200"/>
      <c r="CF703" s="200"/>
      <c r="CG703" s="200"/>
      <c r="CH703" s="200"/>
      <c r="CI703" s="200"/>
      <c r="CJ703" s="200"/>
      <c r="CK703" s="200"/>
      <c r="CL703" s="200"/>
      <c r="CM703" s="200"/>
      <c r="CN703" s="200"/>
      <c r="CO703" s="200"/>
      <c r="CP703" s="200"/>
      <c r="CQ703" s="200"/>
      <c r="CR703" s="200"/>
      <c r="CS703" s="200"/>
      <c r="CT703" s="200"/>
      <c r="CU703" s="200"/>
    </row>
    <row r="704" spans="1:99" s="17" customFormat="1" x14ac:dyDescent="0.2">
      <c r="A704" s="25"/>
      <c r="B704" s="20">
        <v>39093090200</v>
      </c>
      <c r="C704" s="20">
        <v>902</v>
      </c>
      <c r="D704" s="20" t="s">
        <v>52</v>
      </c>
      <c r="E704" s="20" t="s">
        <v>2829</v>
      </c>
      <c r="F704" s="20" t="s">
        <v>8</v>
      </c>
      <c r="G704" s="861">
        <v>60.144547231891799</v>
      </c>
      <c r="H704" s="861">
        <v>63.355713682662198</v>
      </c>
      <c r="I704" s="861">
        <v>26.5255873663565</v>
      </c>
      <c r="J704" s="861">
        <v>64.521256836920799</v>
      </c>
      <c r="K704" s="982">
        <v>0</v>
      </c>
      <c r="L704" s="735">
        <v>3655</v>
      </c>
      <c r="M704" s="735">
        <v>3632</v>
      </c>
      <c r="N704" s="845">
        <f t="shared" si="63"/>
        <v>-6.2927496580027359E-3</v>
      </c>
      <c r="O704" s="735">
        <v>14.9676671681709</v>
      </c>
      <c r="P704" s="735">
        <f t="shared" si="64"/>
        <v>242.65638453823547</v>
      </c>
      <c r="Q704" s="849">
        <v>49.2</v>
      </c>
      <c r="R704" s="71">
        <v>86214</v>
      </c>
      <c r="S704" s="845">
        <v>7.3021181716833888E-2</v>
      </c>
      <c r="T704" s="845">
        <v>3.5000000000000003E-2</v>
      </c>
      <c r="U704" s="845">
        <v>0</v>
      </c>
      <c r="V704" s="845">
        <v>0</v>
      </c>
      <c r="W704" s="845">
        <v>7.6277116864940514E-2</v>
      </c>
      <c r="X704" s="845">
        <v>0.26605504587155965</v>
      </c>
      <c r="Y704" s="845">
        <v>0.96393171806167399</v>
      </c>
      <c r="Z704" s="845">
        <v>0</v>
      </c>
      <c r="AA704" s="845">
        <v>0</v>
      </c>
      <c r="AB704" s="845">
        <v>2.4779735682819385E-3</v>
      </c>
      <c r="AC704" s="845">
        <v>0</v>
      </c>
      <c r="AD704" s="845">
        <v>0</v>
      </c>
      <c r="AE704" s="845">
        <v>3.359030837004405E-2</v>
      </c>
      <c r="AF704" s="845">
        <v>1.9548458149779735E-2</v>
      </c>
      <c r="AG704" s="845">
        <v>0.94438325991189431</v>
      </c>
      <c r="AH704" s="20" t="str">
        <f t="shared" si="65"/>
        <v>Yes</v>
      </c>
      <c r="AI704" s="25"/>
      <c r="AJ704" s="20">
        <v>45361</v>
      </c>
      <c r="AK704" s="20" t="s">
        <v>1710</v>
      </c>
      <c r="AL704" s="20">
        <v>39109</v>
      </c>
      <c r="AM704" s="20" t="s">
        <v>60</v>
      </c>
      <c r="AN704" s="37">
        <f t="shared" si="66"/>
        <v>19430</v>
      </c>
      <c r="AO704" s="37" t="str">
        <f t="shared" si="67"/>
        <v>Dayton-Kettering-Beavercreek, OH</v>
      </c>
      <c r="AP704" s="20" t="s">
        <v>8</v>
      </c>
      <c r="AQ704" s="25"/>
      <c r="AR704" s="25"/>
      <c r="AS704" s="25"/>
      <c r="AT704" s="25"/>
      <c r="AU704" s="36"/>
      <c r="AV704" s="36"/>
      <c r="AW704" s="36"/>
      <c r="AX704" s="25"/>
      <c r="AY704" s="25"/>
      <c r="AZ704" s="25"/>
      <c r="BA704" s="25"/>
      <c r="BB704" s="25"/>
      <c r="BC704" s="25"/>
      <c r="BD704" s="25"/>
      <c r="BE704" s="25"/>
      <c r="BF704" s="25"/>
      <c r="BG704" s="25"/>
      <c r="BH704" s="25"/>
      <c r="BI704" s="25"/>
      <c r="BJ704" s="25"/>
      <c r="BK704" s="25"/>
      <c r="BL704" s="25"/>
      <c r="BM704" s="25"/>
      <c r="BN704" s="25"/>
      <c r="BO704" s="25"/>
      <c r="BP704" s="25"/>
      <c r="BQ704" s="25"/>
      <c r="BR704" s="25"/>
      <c r="BS704" s="25"/>
      <c r="BT704" s="25"/>
      <c r="BU704" s="39">
        <v>43438</v>
      </c>
      <c r="BV704" s="39" t="s">
        <v>925</v>
      </c>
      <c r="BW704" s="39" t="s">
        <v>2932</v>
      </c>
      <c r="BX704" s="39" t="s">
        <v>2855</v>
      </c>
      <c r="BY704" s="71">
        <v>860</v>
      </c>
      <c r="BZ704" s="71">
        <v>890</v>
      </c>
      <c r="CA704" s="71">
        <v>1110</v>
      </c>
      <c r="CB704" s="71">
        <v>1390</v>
      </c>
      <c r="CC704" s="71">
        <v>1560</v>
      </c>
      <c r="CD704" s="25"/>
      <c r="CE704" s="200"/>
      <c r="CF704" s="200"/>
      <c r="CG704" s="200"/>
      <c r="CH704" s="200"/>
      <c r="CI704" s="200"/>
      <c r="CJ704" s="200"/>
      <c r="CK704" s="200"/>
      <c r="CL704" s="200"/>
      <c r="CM704" s="200"/>
      <c r="CN704" s="200"/>
      <c r="CO704" s="200"/>
      <c r="CP704" s="200"/>
      <c r="CQ704" s="200"/>
      <c r="CR704" s="200"/>
      <c r="CS704" s="200"/>
      <c r="CT704" s="200"/>
      <c r="CU704" s="200"/>
    </row>
    <row r="705" spans="1:99" s="17" customFormat="1" x14ac:dyDescent="0.2">
      <c r="A705" s="25"/>
      <c r="B705" s="20">
        <v>39023003102</v>
      </c>
      <c r="C705" s="20">
        <v>31.02</v>
      </c>
      <c r="D705" s="20" t="s">
        <v>18</v>
      </c>
      <c r="E705" s="20" t="s">
        <v>2838</v>
      </c>
      <c r="F705" s="20" t="s">
        <v>8</v>
      </c>
      <c r="G705" s="861">
        <v>60.111226848908402</v>
      </c>
      <c r="H705" s="861">
        <v>38.719734989135702</v>
      </c>
      <c r="I705" s="861">
        <v>22.762653195866001</v>
      </c>
      <c r="J705" s="861">
        <v>55.430634534722103</v>
      </c>
      <c r="K705" s="982">
        <v>0</v>
      </c>
      <c r="L705" s="735">
        <v>2046</v>
      </c>
      <c r="M705" s="735">
        <v>1830</v>
      </c>
      <c r="N705" s="845">
        <f t="shared" si="63"/>
        <v>-0.10557184750733138</v>
      </c>
      <c r="O705" s="735">
        <v>2.2806977287629326</v>
      </c>
      <c r="P705" s="735">
        <f t="shared" si="64"/>
        <v>802.38603166084863</v>
      </c>
      <c r="Q705" s="849">
        <v>45.5</v>
      </c>
      <c r="R705" s="71">
        <v>95583</v>
      </c>
      <c r="S705" s="845">
        <v>8.8524590163934422E-2</v>
      </c>
      <c r="T705" s="845">
        <v>0.01</v>
      </c>
      <c r="U705" s="845">
        <v>0</v>
      </c>
      <c r="V705" s="845">
        <v>0.23199999999999998</v>
      </c>
      <c r="W705" s="845">
        <v>0.12628487518355361</v>
      </c>
      <c r="X705" s="845">
        <v>0.31395348837209303</v>
      </c>
      <c r="Y705" s="845">
        <v>0.88251366120218577</v>
      </c>
      <c r="Z705" s="845">
        <v>1.2021857923497269E-2</v>
      </c>
      <c r="AA705" s="845">
        <v>0</v>
      </c>
      <c r="AB705" s="845">
        <v>3.8797814207650272E-2</v>
      </c>
      <c r="AC705" s="845">
        <v>0</v>
      </c>
      <c r="AD705" s="845">
        <v>0</v>
      </c>
      <c r="AE705" s="845">
        <v>6.6666666666666666E-2</v>
      </c>
      <c r="AF705" s="845">
        <v>0</v>
      </c>
      <c r="AG705" s="845">
        <v>0.88251366120218577</v>
      </c>
      <c r="AH705" s="20" t="str">
        <f t="shared" si="65"/>
        <v>No</v>
      </c>
      <c r="AI705" s="25"/>
      <c r="AJ705" s="20">
        <v>45371</v>
      </c>
      <c r="AK705" s="20" t="s">
        <v>1717</v>
      </c>
      <c r="AL705" s="20">
        <v>39109</v>
      </c>
      <c r="AM705" s="20" t="s">
        <v>60</v>
      </c>
      <c r="AN705" s="37">
        <f t="shared" si="66"/>
        <v>19430</v>
      </c>
      <c r="AO705" s="37" t="str">
        <f t="shared" si="67"/>
        <v>Dayton-Kettering-Beavercreek, OH</v>
      </c>
      <c r="AP705" s="20" t="s">
        <v>8</v>
      </c>
      <c r="AQ705" s="25"/>
      <c r="AR705" s="25"/>
      <c r="AS705" s="25"/>
      <c r="AT705" s="25"/>
      <c r="AU705" s="36"/>
      <c r="AV705" s="36"/>
      <c r="AW705" s="36"/>
      <c r="AX705" s="25"/>
      <c r="AY705" s="25"/>
      <c r="AZ705" s="25"/>
      <c r="BA705" s="25"/>
      <c r="BB705" s="25"/>
      <c r="BC705" s="25"/>
      <c r="BD705" s="25"/>
      <c r="BE705" s="25"/>
      <c r="BF705" s="25"/>
      <c r="BG705" s="25"/>
      <c r="BH705" s="25"/>
      <c r="BI705" s="25"/>
      <c r="BJ705" s="25"/>
      <c r="BK705" s="25"/>
      <c r="BL705" s="25"/>
      <c r="BM705" s="25"/>
      <c r="BN705" s="25"/>
      <c r="BO705" s="25"/>
      <c r="BP705" s="25"/>
      <c r="BQ705" s="25"/>
      <c r="BR705" s="25"/>
      <c r="BS705" s="25"/>
      <c r="BT705" s="25"/>
      <c r="BU705" s="39">
        <v>43464</v>
      </c>
      <c r="BV705" s="39" t="s">
        <v>943</v>
      </c>
      <c r="BW705" s="39" t="s">
        <v>2932</v>
      </c>
      <c r="BX705" s="39" t="s">
        <v>2855</v>
      </c>
      <c r="BY705" s="71">
        <v>720</v>
      </c>
      <c r="BZ705" s="71">
        <v>790</v>
      </c>
      <c r="CA705" s="71">
        <v>970</v>
      </c>
      <c r="CB705" s="71">
        <v>1210</v>
      </c>
      <c r="CC705" s="71">
        <v>1340</v>
      </c>
      <c r="CD705" s="25"/>
      <c r="CE705" s="200"/>
      <c r="CF705" s="200"/>
      <c r="CG705" s="200"/>
      <c r="CH705" s="200"/>
      <c r="CI705" s="200"/>
      <c r="CJ705" s="200"/>
      <c r="CK705" s="200"/>
      <c r="CL705" s="200"/>
      <c r="CM705" s="200"/>
      <c r="CN705" s="200"/>
      <c r="CO705" s="200"/>
      <c r="CP705" s="200"/>
      <c r="CQ705" s="200"/>
      <c r="CR705" s="200"/>
      <c r="CS705" s="200"/>
      <c r="CT705" s="200"/>
      <c r="CU705" s="200"/>
    </row>
    <row r="706" spans="1:99" s="17" customFormat="1" x14ac:dyDescent="0.2">
      <c r="A706" s="25"/>
      <c r="B706" s="20">
        <v>39035130103</v>
      </c>
      <c r="C706" s="20">
        <v>1301.03</v>
      </c>
      <c r="D706" s="20" t="s">
        <v>24</v>
      </c>
      <c r="E706" s="20" t="s">
        <v>2829</v>
      </c>
      <c r="F706" s="20" t="s">
        <v>8</v>
      </c>
      <c r="G706" s="861">
        <v>60.110600499805699</v>
      </c>
      <c r="H706" s="861">
        <v>61.837877484657398</v>
      </c>
      <c r="I706" s="861">
        <v>19.865202951885198</v>
      </c>
      <c r="J706" s="861">
        <v>30.030446627364899</v>
      </c>
      <c r="K706" s="982">
        <v>0</v>
      </c>
      <c r="L706" s="735">
        <v>4492</v>
      </c>
      <c r="M706" s="735">
        <v>4698</v>
      </c>
      <c r="N706" s="845">
        <f t="shared" si="63"/>
        <v>4.5859305431878897E-2</v>
      </c>
      <c r="O706" s="735">
        <v>1.3996411744145034</v>
      </c>
      <c r="P706" s="735">
        <f t="shared" si="64"/>
        <v>3356.5745891730162</v>
      </c>
      <c r="Q706" s="849">
        <v>43.6</v>
      </c>
      <c r="R706" s="71">
        <v>141458</v>
      </c>
      <c r="S706" s="845">
        <v>2.0759717314487631E-2</v>
      </c>
      <c r="T706" s="845">
        <v>2.1000000000000001E-2</v>
      </c>
      <c r="U706" s="845">
        <v>0</v>
      </c>
      <c r="V706" s="845">
        <v>0.41700000000000004</v>
      </c>
      <c r="W706" s="845">
        <v>2.1658415841584157E-2</v>
      </c>
      <c r="X706" s="845">
        <v>0.31428571428571428</v>
      </c>
      <c r="Y706" s="845">
        <v>0.898254576415496</v>
      </c>
      <c r="Z706" s="845">
        <v>1.1281396338867603E-2</v>
      </c>
      <c r="AA706" s="845">
        <v>2.767134951042997E-3</v>
      </c>
      <c r="AB706" s="845">
        <v>2.1072796934865901E-2</v>
      </c>
      <c r="AC706" s="845">
        <v>0</v>
      </c>
      <c r="AD706" s="845">
        <v>0</v>
      </c>
      <c r="AE706" s="845">
        <v>6.6624095359727548E-2</v>
      </c>
      <c r="AF706" s="845">
        <v>4.2571306939123033E-2</v>
      </c>
      <c r="AG706" s="845">
        <v>0.879948914431673</v>
      </c>
      <c r="AH706" s="20" t="str">
        <f t="shared" si="65"/>
        <v>No</v>
      </c>
      <c r="AI706" s="25"/>
      <c r="AJ706" s="20">
        <v>45373</v>
      </c>
      <c r="AK706" s="20" t="s">
        <v>1719</v>
      </c>
      <c r="AL706" s="20">
        <v>39109</v>
      </c>
      <c r="AM706" s="20" t="s">
        <v>60</v>
      </c>
      <c r="AN706" s="37">
        <f t="shared" si="66"/>
        <v>19430</v>
      </c>
      <c r="AO706" s="37" t="str">
        <f t="shared" si="67"/>
        <v>Dayton-Kettering-Beavercreek, OH</v>
      </c>
      <c r="AP706" s="20" t="s">
        <v>8</v>
      </c>
      <c r="AQ706" s="25"/>
      <c r="AR706" s="25"/>
      <c r="AS706" s="25"/>
      <c r="AT706" s="25"/>
      <c r="AU706" s="36"/>
      <c r="AV706" s="36"/>
      <c r="AW706" s="36"/>
      <c r="AX706" s="25"/>
      <c r="AY706" s="25"/>
      <c r="AZ706" s="25"/>
      <c r="BA706" s="25"/>
      <c r="BB706" s="25"/>
      <c r="BC706" s="25"/>
      <c r="BD706" s="25"/>
      <c r="BE706" s="25"/>
      <c r="BF706" s="25"/>
      <c r="BG706" s="25"/>
      <c r="BH706" s="25"/>
      <c r="BI706" s="25"/>
      <c r="BJ706" s="25"/>
      <c r="BK706" s="25"/>
      <c r="BL706" s="25"/>
      <c r="BM706" s="25"/>
      <c r="BN706" s="25"/>
      <c r="BO706" s="25"/>
      <c r="BP706" s="25"/>
      <c r="BQ706" s="25"/>
      <c r="BR706" s="25"/>
      <c r="BS706" s="25"/>
      <c r="BT706" s="25"/>
      <c r="BU706" s="39">
        <v>44811</v>
      </c>
      <c r="BV706" s="39" t="s">
        <v>1470</v>
      </c>
      <c r="BW706" s="39" t="s">
        <v>2932</v>
      </c>
      <c r="BX706" s="39" t="s">
        <v>2855</v>
      </c>
      <c r="BY706" s="71">
        <v>720</v>
      </c>
      <c r="BZ706" s="71">
        <v>770</v>
      </c>
      <c r="CA706" s="71">
        <v>980</v>
      </c>
      <c r="CB706" s="71">
        <v>1210</v>
      </c>
      <c r="CC706" s="71">
        <v>1390</v>
      </c>
      <c r="CD706" s="25"/>
      <c r="CE706" s="200"/>
      <c r="CF706" s="200"/>
      <c r="CG706" s="200"/>
      <c r="CH706" s="200"/>
      <c r="CI706" s="200"/>
      <c r="CJ706" s="200"/>
      <c r="CK706" s="200"/>
      <c r="CL706" s="200"/>
      <c r="CM706" s="200"/>
      <c r="CN706" s="200"/>
      <c r="CO706" s="200"/>
      <c r="CP706" s="200"/>
      <c r="CQ706" s="200"/>
      <c r="CR706" s="200"/>
      <c r="CS706" s="200"/>
      <c r="CT706" s="200"/>
      <c r="CU706" s="200"/>
    </row>
    <row r="707" spans="1:99" s="17" customFormat="1" x14ac:dyDescent="0.2">
      <c r="A707" s="25"/>
      <c r="B707" s="20">
        <v>39061021401</v>
      </c>
      <c r="C707" s="20">
        <v>214.01</v>
      </c>
      <c r="D707" s="20" t="s">
        <v>37</v>
      </c>
      <c r="E707" s="20" t="s">
        <v>2828</v>
      </c>
      <c r="F707" s="20" t="s">
        <v>8</v>
      </c>
      <c r="G707" s="861">
        <v>60.0986131438424</v>
      </c>
      <c r="H707" s="861">
        <v>69.840661635918295</v>
      </c>
      <c r="I707" s="861">
        <v>31.974699950974699</v>
      </c>
      <c r="J707" s="861">
        <v>46.484529964024702</v>
      </c>
      <c r="K707" s="982">
        <v>0</v>
      </c>
      <c r="L707" s="735">
        <v>5152</v>
      </c>
      <c r="M707" s="735">
        <v>4416</v>
      </c>
      <c r="N707" s="845">
        <f t="shared" si="63"/>
        <v>-0.14285714285714285</v>
      </c>
      <c r="O707" s="735">
        <v>1.263046338849795</v>
      </c>
      <c r="P707" s="735">
        <f t="shared" si="64"/>
        <v>3496.308776779696</v>
      </c>
      <c r="Q707" s="849">
        <v>43.6</v>
      </c>
      <c r="R707" s="71">
        <v>73031</v>
      </c>
      <c r="S707" s="845">
        <v>8.7635869565217392E-2</v>
      </c>
      <c r="T707" s="845">
        <v>4.4000000000000004E-2</v>
      </c>
      <c r="U707" s="845">
        <v>0</v>
      </c>
      <c r="V707" s="845">
        <v>0</v>
      </c>
      <c r="W707" s="845">
        <v>0.27549607752653438</v>
      </c>
      <c r="X707" s="845">
        <v>0.39698492462311558</v>
      </c>
      <c r="Y707" s="845">
        <v>0.86616847826086951</v>
      </c>
      <c r="Z707" s="845">
        <v>4.1440217391304345E-2</v>
      </c>
      <c r="AA707" s="845">
        <v>0</v>
      </c>
      <c r="AB707" s="845">
        <v>2.2644927536231885E-3</v>
      </c>
      <c r="AC707" s="845">
        <v>0</v>
      </c>
      <c r="AD707" s="845">
        <v>0</v>
      </c>
      <c r="AE707" s="845">
        <v>9.0126811594202896E-2</v>
      </c>
      <c r="AF707" s="845">
        <v>0</v>
      </c>
      <c r="AG707" s="845">
        <v>0.86616847826086951</v>
      </c>
      <c r="AH707" s="20" t="str">
        <f t="shared" si="65"/>
        <v>No</v>
      </c>
      <c r="AI707" s="25"/>
      <c r="AJ707" s="37">
        <v>45383</v>
      </c>
      <c r="AK707" s="37" t="s">
        <v>1725</v>
      </c>
      <c r="AL707" s="37">
        <v>39109</v>
      </c>
      <c r="AM707" s="37" t="s">
        <v>60</v>
      </c>
      <c r="AN707" s="37">
        <f t="shared" si="66"/>
        <v>19430</v>
      </c>
      <c r="AO707" s="37" t="str">
        <f t="shared" si="67"/>
        <v>Dayton-Kettering-Beavercreek, OH</v>
      </c>
      <c r="AP707" s="20" t="s">
        <v>8</v>
      </c>
      <c r="AQ707" s="25"/>
      <c r="AR707" s="25"/>
      <c r="AS707" s="25"/>
      <c r="AT707" s="25"/>
      <c r="AU707" s="36"/>
      <c r="AV707" s="36"/>
      <c r="AW707" s="36"/>
      <c r="AX707" s="25"/>
      <c r="AY707" s="25"/>
      <c r="AZ707" s="25"/>
      <c r="BA707" s="25"/>
      <c r="BB707" s="25"/>
      <c r="BC707" s="25"/>
      <c r="BD707" s="25"/>
      <c r="BE707" s="25"/>
      <c r="BF707" s="25"/>
      <c r="BG707" s="25"/>
      <c r="BH707" s="25"/>
      <c r="BI707" s="25"/>
      <c r="BJ707" s="25"/>
      <c r="BK707" s="25"/>
      <c r="BL707" s="25"/>
      <c r="BM707" s="25"/>
      <c r="BN707" s="25"/>
      <c r="BO707" s="25"/>
      <c r="BP707" s="25"/>
      <c r="BQ707" s="25"/>
      <c r="BR707" s="25"/>
      <c r="BS707" s="25"/>
      <c r="BT707" s="25"/>
      <c r="BU707" s="39">
        <v>44814</v>
      </c>
      <c r="BV707" s="39" t="s">
        <v>1472</v>
      </c>
      <c r="BW707" s="39" t="s">
        <v>2932</v>
      </c>
      <c r="BX707" s="39" t="s">
        <v>2855</v>
      </c>
      <c r="BY707" s="71">
        <v>960</v>
      </c>
      <c r="BZ707" s="71">
        <v>990</v>
      </c>
      <c r="CA707" s="71">
        <v>1240</v>
      </c>
      <c r="CB707" s="71">
        <v>1550</v>
      </c>
      <c r="CC707" s="71">
        <v>1750</v>
      </c>
      <c r="CD707" s="25"/>
      <c r="CE707" s="200"/>
      <c r="CF707" s="200"/>
      <c r="CG707" s="200"/>
      <c r="CH707" s="200"/>
      <c r="CI707" s="200"/>
      <c r="CJ707" s="200"/>
      <c r="CK707" s="200"/>
      <c r="CL707" s="200"/>
      <c r="CM707" s="200"/>
      <c r="CN707" s="200"/>
      <c r="CO707" s="200"/>
      <c r="CP707" s="200"/>
      <c r="CQ707" s="200"/>
      <c r="CR707" s="200"/>
      <c r="CS707" s="200"/>
      <c r="CT707" s="200"/>
      <c r="CU707" s="200"/>
    </row>
    <row r="708" spans="1:99" s="17" customFormat="1" x14ac:dyDescent="0.2">
      <c r="A708" s="25"/>
      <c r="B708" s="20">
        <v>39049007215</v>
      </c>
      <c r="C708" s="20">
        <v>72.150000000000006</v>
      </c>
      <c r="D708" s="20" t="s">
        <v>31</v>
      </c>
      <c r="E708" s="20" t="s">
        <v>2830</v>
      </c>
      <c r="F708" s="20" t="s">
        <v>8</v>
      </c>
      <c r="G708" s="861">
        <v>60.038503428647402</v>
      </c>
      <c r="H708" s="861">
        <v>63.939020745955801</v>
      </c>
      <c r="I708" s="861">
        <v>21.8147609598592</v>
      </c>
      <c r="J708" s="861">
        <v>56.477114879947102</v>
      </c>
      <c r="K708" s="982">
        <v>0</v>
      </c>
      <c r="L708" s="735" t="s">
        <v>2466</v>
      </c>
      <c r="M708" s="735">
        <v>6095</v>
      </c>
      <c r="N708" s="845" t="str">
        <f t="shared" si="63"/>
        <v/>
      </c>
      <c r="O708" s="735">
        <v>2.0962667662594021</v>
      </c>
      <c r="P708" s="735">
        <f t="shared" si="64"/>
        <v>2907.5497918978958</v>
      </c>
      <c r="Q708" s="849">
        <v>40.700000000000003</v>
      </c>
      <c r="R708" s="71">
        <v>95625</v>
      </c>
      <c r="S708" s="845">
        <v>2.4488426702448843E-2</v>
      </c>
      <c r="T708" s="845">
        <v>2.8999999999999998E-2</v>
      </c>
      <c r="U708" s="845">
        <v>2.7000000000000003E-2</v>
      </c>
      <c r="V708" s="845">
        <v>0</v>
      </c>
      <c r="W708" s="845">
        <v>0.28262295081967215</v>
      </c>
      <c r="X708" s="845">
        <v>0.28538283062645009</v>
      </c>
      <c r="Y708" s="845">
        <v>0.66382280557834294</v>
      </c>
      <c r="Z708" s="845">
        <v>0.18211648892534865</v>
      </c>
      <c r="AA708" s="845">
        <v>0</v>
      </c>
      <c r="AB708" s="845">
        <v>8.2198523379819519E-2</v>
      </c>
      <c r="AC708" s="845">
        <v>0</v>
      </c>
      <c r="AD708" s="845">
        <v>3.4454470877768664E-3</v>
      </c>
      <c r="AE708" s="845">
        <v>6.8416735028712053E-2</v>
      </c>
      <c r="AF708" s="845">
        <v>4.6103363412633304E-2</v>
      </c>
      <c r="AG708" s="845">
        <v>0.66382280557834294</v>
      </c>
      <c r="AH708" s="20" t="str">
        <f t="shared" si="65"/>
        <v>No</v>
      </c>
      <c r="AI708" s="25"/>
      <c r="AJ708" s="37">
        <v>45424</v>
      </c>
      <c r="AK708" s="37" t="s">
        <v>1746</v>
      </c>
      <c r="AL708" s="37">
        <v>39109</v>
      </c>
      <c r="AM708" s="37" t="s">
        <v>60</v>
      </c>
      <c r="AN708" s="37">
        <f t="shared" si="66"/>
        <v>19430</v>
      </c>
      <c r="AO708" s="37" t="str">
        <f t="shared" si="67"/>
        <v>Dayton-Kettering-Beavercreek, OH</v>
      </c>
      <c r="AP708" s="20" t="s">
        <v>8</v>
      </c>
      <c r="AQ708" s="25"/>
      <c r="AR708" s="25"/>
      <c r="AS708" s="25"/>
      <c r="AT708" s="25"/>
      <c r="AU708" s="36"/>
      <c r="AV708" s="36"/>
      <c r="AW708" s="36"/>
      <c r="AX708" s="25"/>
      <c r="AY708" s="25"/>
      <c r="AZ708" s="25"/>
      <c r="BA708" s="25"/>
      <c r="BB708" s="25"/>
      <c r="BC708" s="25"/>
      <c r="BD708" s="25"/>
      <c r="BE708" s="25"/>
      <c r="BF708" s="25"/>
      <c r="BG708" s="25"/>
      <c r="BH708" s="25"/>
      <c r="BI708" s="25"/>
      <c r="BJ708" s="25"/>
      <c r="BK708" s="25"/>
      <c r="BL708" s="25"/>
      <c r="BM708" s="25"/>
      <c r="BN708" s="25"/>
      <c r="BO708" s="25"/>
      <c r="BP708" s="25"/>
      <c r="BQ708" s="25"/>
      <c r="BR708" s="25"/>
      <c r="BS708" s="25"/>
      <c r="BT708" s="25"/>
      <c r="BU708" s="39">
        <v>44824</v>
      </c>
      <c r="BV708" s="39" t="s">
        <v>1478</v>
      </c>
      <c r="BW708" s="39" t="s">
        <v>2932</v>
      </c>
      <c r="BX708" s="39" t="s">
        <v>2855</v>
      </c>
      <c r="BY708" s="71">
        <v>830</v>
      </c>
      <c r="BZ708" s="71">
        <v>860</v>
      </c>
      <c r="CA708" s="71">
        <v>1070</v>
      </c>
      <c r="CB708" s="71">
        <v>1340</v>
      </c>
      <c r="CC708" s="71">
        <v>1510</v>
      </c>
      <c r="CD708" s="25"/>
      <c r="CE708" s="200"/>
      <c r="CF708" s="200"/>
      <c r="CG708" s="200"/>
      <c r="CH708" s="200"/>
      <c r="CI708" s="200"/>
      <c r="CJ708" s="200"/>
      <c r="CK708" s="200"/>
      <c r="CL708" s="200"/>
      <c r="CM708" s="200"/>
      <c r="CN708" s="200"/>
      <c r="CO708" s="200"/>
      <c r="CP708" s="200"/>
      <c r="CQ708" s="200"/>
      <c r="CR708" s="200"/>
      <c r="CS708" s="200"/>
      <c r="CT708" s="200"/>
      <c r="CU708" s="200"/>
    </row>
    <row r="709" spans="1:99" s="17" customFormat="1" x14ac:dyDescent="0.2">
      <c r="A709" s="25"/>
      <c r="B709" s="20">
        <v>39141956300</v>
      </c>
      <c r="C709" s="20">
        <v>9563</v>
      </c>
      <c r="D709" s="20" t="s">
        <v>76</v>
      </c>
      <c r="E709" s="20" t="s">
        <v>265</v>
      </c>
      <c r="F709" s="20" t="s">
        <v>6</v>
      </c>
      <c r="G709" s="861">
        <v>60.015320160271401</v>
      </c>
      <c r="H709" s="861">
        <v>48.533953843747703</v>
      </c>
      <c r="I709" s="861">
        <v>56.770281370974601</v>
      </c>
      <c r="J709" s="861">
        <v>53.115249610294498</v>
      </c>
      <c r="K709" s="982">
        <v>0</v>
      </c>
      <c r="L709" s="735">
        <v>3158</v>
      </c>
      <c r="M709" s="735">
        <v>2897</v>
      </c>
      <c r="N709" s="845">
        <f t="shared" si="63"/>
        <v>-8.2647245091830274E-2</v>
      </c>
      <c r="O709" s="735">
        <v>7.0235106214445135</v>
      </c>
      <c r="P709" s="735">
        <f t="shared" si="64"/>
        <v>412.47179026892093</v>
      </c>
      <c r="Q709" s="849">
        <v>43.6</v>
      </c>
      <c r="R709" s="71">
        <v>35958</v>
      </c>
      <c r="S709" s="845">
        <v>0.18419090231170768</v>
      </c>
      <c r="T709" s="845">
        <v>3.7999999999999999E-2</v>
      </c>
      <c r="U709" s="845">
        <v>0</v>
      </c>
      <c r="V709" s="845">
        <v>0</v>
      </c>
      <c r="W709" s="845">
        <v>0.57339765678842181</v>
      </c>
      <c r="X709" s="845">
        <v>0.58413461538461542</v>
      </c>
      <c r="Y709" s="845">
        <v>0.82326544701415261</v>
      </c>
      <c r="Z709" s="845">
        <v>0.10251984811874353</v>
      </c>
      <c r="AA709" s="845">
        <v>0</v>
      </c>
      <c r="AB709" s="845">
        <v>4.1422160856057991E-3</v>
      </c>
      <c r="AC709" s="845">
        <v>0</v>
      </c>
      <c r="AD709" s="845">
        <v>3.7970314118053157E-3</v>
      </c>
      <c r="AE709" s="845">
        <v>6.6275457369692786E-2</v>
      </c>
      <c r="AF709" s="845">
        <v>8.6296168450120808E-3</v>
      </c>
      <c r="AG709" s="845">
        <v>0.81981360027614769</v>
      </c>
      <c r="AH709" s="20" t="str">
        <f t="shared" si="65"/>
        <v>No</v>
      </c>
      <c r="AI709" s="25"/>
      <c r="AJ709" s="20">
        <v>45005</v>
      </c>
      <c r="AK709" s="20" t="s">
        <v>1531</v>
      </c>
      <c r="AL709" s="20">
        <v>39113</v>
      </c>
      <c r="AM709" s="20" t="s">
        <v>62</v>
      </c>
      <c r="AN709" s="37">
        <f t="shared" si="66"/>
        <v>19430</v>
      </c>
      <c r="AO709" s="37" t="str">
        <f t="shared" si="67"/>
        <v>Dayton-Kettering-Beavercreek, OH</v>
      </c>
      <c r="AP709" s="20" t="s">
        <v>8</v>
      </c>
      <c r="AQ709" s="25"/>
      <c r="AR709" s="25"/>
      <c r="AS709" s="25"/>
      <c r="AT709" s="25"/>
      <c r="AU709" s="36"/>
      <c r="AV709" s="36"/>
      <c r="AW709" s="36"/>
      <c r="AX709" s="25"/>
      <c r="AY709" s="25"/>
      <c r="AZ709" s="25"/>
      <c r="BA709" s="25"/>
      <c r="BB709" s="25"/>
      <c r="BC709" s="25"/>
      <c r="BD709" s="25"/>
      <c r="BE709" s="25"/>
      <c r="BF709" s="25"/>
      <c r="BG709" s="25"/>
      <c r="BH709" s="25"/>
      <c r="BI709" s="25"/>
      <c r="BJ709" s="25"/>
      <c r="BK709" s="25"/>
      <c r="BL709" s="25"/>
      <c r="BM709" s="25"/>
      <c r="BN709" s="25"/>
      <c r="BO709" s="25"/>
      <c r="BP709" s="25"/>
      <c r="BQ709" s="25"/>
      <c r="BR709" s="25"/>
      <c r="BS709" s="25"/>
      <c r="BT709" s="25"/>
      <c r="BU709" s="39">
        <v>44826</v>
      </c>
      <c r="BV709" s="39" t="s">
        <v>1480</v>
      </c>
      <c r="BW709" s="39" t="s">
        <v>2932</v>
      </c>
      <c r="BX709" s="39" t="s">
        <v>2855</v>
      </c>
      <c r="BY709" s="71">
        <v>820</v>
      </c>
      <c r="BZ709" s="71">
        <v>830</v>
      </c>
      <c r="CA709" s="71">
        <v>1070</v>
      </c>
      <c r="CB709" s="71">
        <v>1330</v>
      </c>
      <c r="CC709" s="71">
        <v>1610</v>
      </c>
      <c r="CD709" s="25"/>
      <c r="CE709" s="200"/>
      <c r="CF709" s="200"/>
      <c r="CG709" s="200"/>
      <c r="CH709" s="200"/>
      <c r="CI709" s="200"/>
      <c r="CJ709" s="200"/>
      <c r="CK709" s="200"/>
      <c r="CL709" s="200"/>
      <c r="CM709" s="200"/>
      <c r="CN709" s="200"/>
      <c r="CO709" s="200"/>
      <c r="CP709" s="200"/>
      <c r="CQ709" s="200"/>
      <c r="CR709" s="200"/>
      <c r="CS709" s="200"/>
      <c r="CT709" s="200"/>
      <c r="CU709" s="200"/>
    </row>
    <row r="710" spans="1:99" s="17" customFormat="1" x14ac:dyDescent="0.2">
      <c r="A710" s="25"/>
      <c r="B710" s="20">
        <v>39035174107</v>
      </c>
      <c r="C710" s="20">
        <v>1741.07</v>
      </c>
      <c r="D710" s="20" t="s">
        <v>24</v>
      </c>
      <c r="E710" s="20" t="s">
        <v>2829</v>
      </c>
      <c r="F710" s="20" t="s">
        <v>8</v>
      </c>
      <c r="G710" s="861">
        <v>60.011446715836001</v>
      </c>
      <c r="H710" s="861">
        <v>68.481310871266004</v>
      </c>
      <c r="I710" s="861">
        <v>22.692916397995099</v>
      </c>
      <c r="J710" s="861">
        <v>45.527635371562098</v>
      </c>
      <c r="K710" s="982">
        <v>0</v>
      </c>
      <c r="L710" s="735">
        <v>4006</v>
      </c>
      <c r="M710" s="735">
        <v>4153</v>
      </c>
      <c r="N710" s="845">
        <f t="shared" si="63"/>
        <v>3.6694957563654519E-2</v>
      </c>
      <c r="O710" s="735">
        <v>0.82267597745844478</v>
      </c>
      <c r="P710" s="735">
        <f t="shared" si="64"/>
        <v>5048.1600457450786</v>
      </c>
      <c r="Q710" s="849">
        <v>45.8</v>
      </c>
      <c r="R710" s="71">
        <v>93897</v>
      </c>
      <c r="S710" s="845">
        <v>2.9135564652058753E-2</v>
      </c>
      <c r="T710" s="845">
        <v>1.8000000000000002E-2</v>
      </c>
      <c r="U710" s="845">
        <v>0</v>
      </c>
      <c r="V710" s="845">
        <v>0</v>
      </c>
      <c r="W710" s="845">
        <v>9.1370558375634514E-2</v>
      </c>
      <c r="X710" s="845">
        <v>0.33333333333333331</v>
      </c>
      <c r="Y710" s="845">
        <v>0.89959065735612809</v>
      </c>
      <c r="Z710" s="845">
        <v>2.8894774861545872E-3</v>
      </c>
      <c r="AA710" s="845">
        <v>0</v>
      </c>
      <c r="AB710" s="845">
        <v>4.5990849987960512E-2</v>
      </c>
      <c r="AC710" s="845">
        <v>0</v>
      </c>
      <c r="AD710" s="845">
        <v>0</v>
      </c>
      <c r="AE710" s="845">
        <v>5.1529015169756803E-2</v>
      </c>
      <c r="AF710" s="845">
        <v>1.8300024078979051E-2</v>
      </c>
      <c r="AG710" s="845">
        <v>0.88418011076330361</v>
      </c>
      <c r="AH710" s="20" t="str">
        <f t="shared" si="65"/>
        <v>No</v>
      </c>
      <c r="AI710" s="25"/>
      <c r="AJ710" s="37">
        <v>45042</v>
      </c>
      <c r="AK710" s="37" t="s">
        <v>1544</v>
      </c>
      <c r="AL710" s="37">
        <v>39113</v>
      </c>
      <c r="AM710" s="37" t="s">
        <v>62</v>
      </c>
      <c r="AN710" s="37">
        <f t="shared" si="66"/>
        <v>19430</v>
      </c>
      <c r="AO710" s="37" t="str">
        <f t="shared" si="67"/>
        <v>Dayton-Kettering-Beavercreek, OH</v>
      </c>
      <c r="AP710" s="20" t="s">
        <v>8</v>
      </c>
      <c r="AQ710" s="25"/>
      <c r="AR710" s="25"/>
      <c r="AS710" s="25"/>
      <c r="AT710" s="25"/>
      <c r="AU710" s="36"/>
      <c r="AV710" s="36"/>
      <c r="AW710" s="36"/>
      <c r="AX710" s="25"/>
      <c r="AY710" s="25"/>
      <c r="AZ710" s="25"/>
      <c r="BA710" s="25"/>
      <c r="BB710" s="25"/>
      <c r="BC710" s="25"/>
      <c r="BD710" s="25"/>
      <c r="BE710" s="25"/>
      <c r="BF710" s="25"/>
      <c r="BG710" s="25"/>
      <c r="BH710" s="25"/>
      <c r="BI710" s="25"/>
      <c r="BJ710" s="25"/>
      <c r="BK710" s="25"/>
      <c r="BL710" s="25"/>
      <c r="BM710" s="25"/>
      <c r="BN710" s="25"/>
      <c r="BO710" s="25"/>
      <c r="BP710" s="25"/>
      <c r="BQ710" s="25"/>
      <c r="BR710" s="25"/>
      <c r="BS710" s="25"/>
      <c r="BT710" s="25"/>
      <c r="BU710" s="39">
        <v>44839</v>
      </c>
      <c r="BV710" s="39" t="s">
        <v>1488</v>
      </c>
      <c r="BW710" s="39" t="s">
        <v>2932</v>
      </c>
      <c r="BX710" s="39" t="s">
        <v>2855</v>
      </c>
      <c r="BY710" s="71">
        <v>840</v>
      </c>
      <c r="BZ710" s="71">
        <v>870</v>
      </c>
      <c r="CA710" s="71">
        <v>1090</v>
      </c>
      <c r="CB710" s="71">
        <v>1360</v>
      </c>
      <c r="CC710" s="71">
        <v>1530</v>
      </c>
      <c r="CD710" s="25"/>
      <c r="CE710" s="200"/>
      <c r="CF710" s="200"/>
      <c r="CG710" s="200"/>
      <c r="CH710" s="200"/>
      <c r="CI710" s="200"/>
      <c r="CJ710" s="200"/>
      <c r="CK710" s="200"/>
      <c r="CL710" s="200"/>
      <c r="CM710" s="200"/>
      <c r="CN710" s="200"/>
      <c r="CO710" s="200"/>
      <c r="CP710" s="200"/>
      <c r="CQ710" s="200"/>
      <c r="CR710" s="200"/>
      <c r="CS710" s="200"/>
      <c r="CT710" s="200"/>
      <c r="CU710" s="200"/>
    </row>
    <row r="711" spans="1:99" s="17" customFormat="1" x14ac:dyDescent="0.2">
      <c r="A711" s="25"/>
      <c r="B711" s="20">
        <v>39113021602</v>
      </c>
      <c r="C711" s="20">
        <v>216.02</v>
      </c>
      <c r="D711" s="20" t="s">
        <v>62</v>
      </c>
      <c r="E711" s="20" t="s">
        <v>2833</v>
      </c>
      <c r="F711" s="20" t="s">
        <v>8</v>
      </c>
      <c r="G711" s="861">
        <v>59.9973435812636</v>
      </c>
      <c r="H711" s="861">
        <v>54.459832676629098</v>
      </c>
      <c r="I711" s="861">
        <v>22.340711067456301</v>
      </c>
      <c r="J711" s="861">
        <v>35.970306470229701</v>
      </c>
      <c r="K711" s="982">
        <v>0</v>
      </c>
      <c r="L711" s="735">
        <v>3394</v>
      </c>
      <c r="M711" s="735">
        <v>3635</v>
      </c>
      <c r="N711" s="845">
        <f t="shared" si="63"/>
        <v>7.1007660577489681E-2</v>
      </c>
      <c r="O711" s="735">
        <v>0.94455144043113004</v>
      </c>
      <c r="P711" s="735">
        <f t="shared" si="64"/>
        <v>3848.3875460936724</v>
      </c>
      <c r="Q711" s="849">
        <v>40.4</v>
      </c>
      <c r="R711" s="71">
        <v>83509</v>
      </c>
      <c r="S711" s="845">
        <v>5.2269601100412656E-2</v>
      </c>
      <c r="T711" s="845">
        <v>4.0999999999999995E-2</v>
      </c>
      <c r="U711" s="845">
        <v>0</v>
      </c>
      <c r="V711" s="845">
        <v>0</v>
      </c>
      <c r="W711" s="845">
        <v>0.12626603646185011</v>
      </c>
      <c r="X711" s="845">
        <v>0.5401069518716578</v>
      </c>
      <c r="Y711" s="845">
        <v>0.88445667125171934</v>
      </c>
      <c r="Z711" s="845">
        <v>1.2379642365887207E-2</v>
      </c>
      <c r="AA711" s="845">
        <v>0</v>
      </c>
      <c r="AB711" s="845">
        <v>9.903713892709767E-3</v>
      </c>
      <c r="AC711" s="845">
        <v>0</v>
      </c>
      <c r="AD711" s="845">
        <v>1.0729023383768913E-2</v>
      </c>
      <c r="AE711" s="845">
        <v>8.2530949105914714E-2</v>
      </c>
      <c r="AF711" s="845">
        <v>5.8872077028885833E-2</v>
      </c>
      <c r="AG711" s="845">
        <v>0.87730398899587347</v>
      </c>
      <c r="AH711" s="20" t="str">
        <f t="shared" si="65"/>
        <v>No</v>
      </c>
      <c r="AI711" s="25"/>
      <c r="AJ711" s="37">
        <v>45309</v>
      </c>
      <c r="AK711" s="37" t="s">
        <v>1663</v>
      </c>
      <c r="AL711" s="37">
        <v>39113</v>
      </c>
      <c r="AM711" s="37" t="s">
        <v>62</v>
      </c>
      <c r="AN711" s="37">
        <f t="shared" si="66"/>
        <v>19430</v>
      </c>
      <c r="AO711" s="37" t="str">
        <f t="shared" si="67"/>
        <v>Dayton-Kettering-Beavercreek, OH</v>
      </c>
      <c r="AP711" s="20" t="s">
        <v>8</v>
      </c>
      <c r="AQ711" s="25"/>
      <c r="AR711" s="25"/>
      <c r="AS711" s="25"/>
      <c r="AT711" s="25"/>
      <c r="AU711" s="36"/>
      <c r="AV711" s="36"/>
      <c r="AW711" s="36"/>
      <c r="AX711" s="25"/>
      <c r="AY711" s="25"/>
      <c r="AZ711" s="25"/>
      <c r="BA711" s="25"/>
      <c r="BB711" s="25"/>
      <c r="BC711" s="25"/>
      <c r="BD711" s="25"/>
      <c r="BE711" s="25"/>
      <c r="BF711" s="25"/>
      <c r="BG711" s="25"/>
      <c r="BH711" s="25"/>
      <c r="BI711" s="25"/>
      <c r="BJ711" s="25"/>
      <c r="BK711" s="25"/>
      <c r="BL711" s="25"/>
      <c r="BM711" s="25"/>
      <c r="BN711" s="25"/>
      <c r="BO711" s="25"/>
      <c r="BP711" s="25"/>
      <c r="BQ711" s="25"/>
      <c r="BR711" s="25"/>
      <c r="BS711" s="25"/>
      <c r="BT711" s="25"/>
      <c r="BU711" s="39">
        <v>44846</v>
      </c>
      <c r="BV711" s="39" t="s">
        <v>1494</v>
      </c>
      <c r="BW711" s="39" t="s">
        <v>2932</v>
      </c>
      <c r="BX711" s="39" t="s">
        <v>2855</v>
      </c>
      <c r="BY711" s="71">
        <v>960</v>
      </c>
      <c r="BZ711" s="71">
        <v>990</v>
      </c>
      <c r="CA711" s="71">
        <v>1240</v>
      </c>
      <c r="CB711" s="71">
        <v>1550</v>
      </c>
      <c r="CC711" s="71">
        <v>1770</v>
      </c>
      <c r="CD711" s="25"/>
      <c r="CE711" s="200"/>
      <c r="CF711" s="200"/>
      <c r="CG711" s="200"/>
      <c r="CH711" s="200"/>
      <c r="CI711" s="200"/>
      <c r="CJ711" s="200"/>
      <c r="CK711" s="200"/>
      <c r="CL711" s="200"/>
      <c r="CM711" s="200"/>
      <c r="CN711" s="200"/>
      <c r="CO711" s="200"/>
      <c r="CP711" s="200"/>
      <c r="CQ711" s="200"/>
      <c r="CR711" s="200"/>
      <c r="CS711" s="200"/>
      <c r="CT711" s="200"/>
      <c r="CU711" s="200"/>
    </row>
    <row r="712" spans="1:99" s="17" customFormat="1" x14ac:dyDescent="0.2">
      <c r="A712" s="25"/>
      <c r="B712" s="20">
        <v>39103408001</v>
      </c>
      <c r="C712" s="20">
        <v>4080.01</v>
      </c>
      <c r="D712" s="20" t="s">
        <v>57</v>
      </c>
      <c r="E712" s="20" t="s">
        <v>2829</v>
      </c>
      <c r="F712" s="20" t="s">
        <v>8</v>
      </c>
      <c r="G712" s="861">
        <v>59.996184371120897</v>
      </c>
      <c r="H712" s="861">
        <v>70.973611698725605</v>
      </c>
      <c r="I712" s="861">
        <v>30.0726809207179</v>
      </c>
      <c r="J712" s="861">
        <v>44.939612994589297</v>
      </c>
      <c r="K712" s="982">
        <v>0</v>
      </c>
      <c r="L712" s="735">
        <v>2861</v>
      </c>
      <c r="M712" s="735">
        <v>3009</v>
      </c>
      <c r="N712" s="845">
        <f t="shared" si="63"/>
        <v>5.1730164278224397E-2</v>
      </c>
      <c r="O712" s="735">
        <v>1.1426577552898496</v>
      </c>
      <c r="P712" s="735">
        <f t="shared" si="64"/>
        <v>2633.3344223763038</v>
      </c>
      <c r="Q712" s="849">
        <v>35.9</v>
      </c>
      <c r="R712" s="71">
        <v>75787</v>
      </c>
      <c r="S712" s="845">
        <v>9.0301003344481601E-2</v>
      </c>
      <c r="T712" s="845">
        <v>9.6000000000000002E-2</v>
      </c>
      <c r="U712" s="845">
        <v>0</v>
      </c>
      <c r="V712" s="845">
        <v>0</v>
      </c>
      <c r="W712" s="845">
        <v>0.20033955857385399</v>
      </c>
      <c r="X712" s="845">
        <v>0.48305084745762711</v>
      </c>
      <c r="Y712" s="845">
        <v>0.83117314722499169</v>
      </c>
      <c r="Z712" s="845">
        <v>3.1571950814223995E-2</v>
      </c>
      <c r="AA712" s="845">
        <v>0</v>
      </c>
      <c r="AB712" s="845">
        <v>8.9730807577268201E-3</v>
      </c>
      <c r="AC712" s="845">
        <v>0</v>
      </c>
      <c r="AD712" s="845">
        <v>3.3233632436025255E-4</v>
      </c>
      <c r="AE712" s="845">
        <v>0.12794948487869723</v>
      </c>
      <c r="AF712" s="845">
        <v>3.1904287138584245E-2</v>
      </c>
      <c r="AG712" s="845">
        <v>0.82485875706214684</v>
      </c>
      <c r="AH712" s="20" t="str">
        <f t="shared" si="65"/>
        <v>No</v>
      </c>
      <c r="AI712" s="25"/>
      <c r="AJ712" s="20">
        <v>45315</v>
      </c>
      <c r="AK712" s="20" t="s">
        <v>1668</v>
      </c>
      <c r="AL712" s="20">
        <v>39113</v>
      </c>
      <c r="AM712" s="20" t="s">
        <v>62</v>
      </c>
      <c r="AN712" s="37">
        <f t="shared" si="66"/>
        <v>19430</v>
      </c>
      <c r="AO712" s="37" t="str">
        <f t="shared" si="67"/>
        <v>Dayton-Kettering-Beavercreek, OH</v>
      </c>
      <c r="AP712" s="20" t="s">
        <v>8</v>
      </c>
      <c r="AQ712" s="25"/>
      <c r="AR712" s="25"/>
      <c r="AS712" s="25"/>
      <c r="AT712" s="25"/>
      <c r="AU712" s="36"/>
      <c r="AV712" s="36"/>
      <c r="AW712" s="36"/>
      <c r="AX712" s="25"/>
      <c r="AY712" s="25"/>
      <c r="AZ712" s="25"/>
      <c r="BA712" s="25"/>
      <c r="BB712" s="25"/>
      <c r="BC712" s="25"/>
      <c r="BD712" s="25"/>
      <c r="BE712" s="25"/>
      <c r="BF712" s="25"/>
      <c r="BG712" s="25"/>
      <c r="BH712" s="25"/>
      <c r="BI712" s="25"/>
      <c r="BJ712" s="25"/>
      <c r="BK712" s="25"/>
      <c r="BL712" s="25"/>
      <c r="BM712" s="25"/>
      <c r="BN712" s="25"/>
      <c r="BO712" s="25"/>
      <c r="BP712" s="25"/>
      <c r="BQ712" s="25"/>
      <c r="BR712" s="25"/>
      <c r="BS712" s="25"/>
      <c r="BT712" s="25"/>
      <c r="BU712" s="39">
        <v>44847</v>
      </c>
      <c r="BV712" s="39" t="s">
        <v>1495</v>
      </c>
      <c r="BW712" s="39" t="s">
        <v>2932</v>
      </c>
      <c r="BX712" s="39" t="s">
        <v>2855</v>
      </c>
      <c r="BY712" s="71">
        <v>880</v>
      </c>
      <c r="BZ712" s="71">
        <v>890</v>
      </c>
      <c r="CA712" s="71">
        <v>1150</v>
      </c>
      <c r="CB712" s="71">
        <v>1440</v>
      </c>
      <c r="CC712" s="71">
        <v>1770</v>
      </c>
      <c r="CD712" s="25"/>
      <c r="CE712" s="200"/>
      <c r="CF712" s="200"/>
      <c r="CG712" s="200"/>
      <c r="CH712" s="200"/>
      <c r="CI712" s="200"/>
      <c r="CJ712" s="200"/>
      <c r="CK712" s="200"/>
      <c r="CL712" s="200"/>
      <c r="CM712" s="200"/>
      <c r="CN712" s="200"/>
      <c r="CO712" s="200"/>
      <c r="CP712" s="200"/>
      <c r="CQ712" s="200"/>
      <c r="CR712" s="200"/>
      <c r="CS712" s="200"/>
      <c r="CT712" s="200"/>
      <c r="CU712" s="200"/>
    </row>
    <row r="713" spans="1:99" s="17" customFormat="1" x14ac:dyDescent="0.2">
      <c r="A713" s="25"/>
      <c r="B713" s="20">
        <v>39069000100</v>
      </c>
      <c r="C713" s="20">
        <v>1</v>
      </c>
      <c r="D713" s="20" t="s">
        <v>41</v>
      </c>
      <c r="E713" s="20" t="s">
        <v>265</v>
      </c>
      <c r="F713" s="20" t="s">
        <v>8</v>
      </c>
      <c r="G713" s="861">
        <v>59.987865502403501</v>
      </c>
      <c r="H713" s="861">
        <v>60.1868439342242</v>
      </c>
      <c r="I713" s="861">
        <v>26.571291084309099</v>
      </c>
      <c r="J713" s="861">
        <v>51.0522436372272</v>
      </c>
      <c r="K713" s="982">
        <v>0</v>
      </c>
      <c r="L713" s="735">
        <v>4843</v>
      </c>
      <c r="M713" s="735">
        <v>4893</v>
      </c>
      <c r="N713" s="845">
        <f t="shared" si="63"/>
        <v>1.0324179227751393E-2</v>
      </c>
      <c r="O713" s="735">
        <v>65.71033795209199</v>
      </c>
      <c r="P713" s="735">
        <f t="shared" si="64"/>
        <v>74.463169000399631</v>
      </c>
      <c r="Q713" s="849">
        <v>38.299999999999997</v>
      </c>
      <c r="R713" s="71">
        <v>85353</v>
      </c>
      <c r="S713" s="845">
        <v>0.10246913580246914</v>
      </c>
      <c r="T713" s="845">
        <v>7.0000000000000007E-2</v>
      </c>
      <c r="U713" s="845">
        <v>0</v>
      </c>
      <c r="V713" s="845">
        <v>0</v>
      </c>
      <c r="W713" s="845">
        <v>9.7388465723612622E-2</v>
      </c>
      <c r="X713" s="845">
        <v>0.18994413407821228</v>
      </c>
      <c r="Y713" s="845">
        <v>0.97772327815246274</v>
      </c>
      <c r="Z713" s="845">
        <v>0</v>
      </c>
      <c r="AA713" s="845">
        <v>8.1749437972613941E-4</v>
      </c>
      <c r="AB713" s="845">
        <v>6.131207847946045E-4</v>
      </c>
      <c r="AC713" s="845">
        <v>2.6568567341099529E-3</v>
      </c>
      <c r="AD713" s="845">
        <v>3.0656039239730227E-3</v>
      </c>
      <c r="AE713" s="845">
        <v>1.5123646024933579E-2</v>
      </c>
      <c r="AF713" s="845">
        <v>2.6159820151236461E-2</v>
      </c>
      <c r="AG713" s="845">
        <v>0.95789903944410382</v>
      </c>
      <c r="AH713" s="20" t="str">
        <f t="shared" si="65"/>
        <v>Yes</v>
      </c>
      <c r="AI713" s="25"/>
      <c r="AJ713" s="20">
        <v>45322</v>
      </c>
      <c r="AK713" s="20" t="s">
        <v>1675</v>
      </c>
      <c r="AL713" s="20">
        <v>39113</v>
      </c>
      <c r="AM713" s="20" t="s">
        <v>62</v>
      </c>
      <c r="AN713" s="37">
        <f t="shared" si="66"/>
        <v>19430</v>
      </c>
      <c r="AO713" s="37" t="str">
        <f t="shared" si="67"/>
        <v>Dayton-Kettering-Beavercreek, OH</v>
      </c>
      <c r="AP713" s="20" t="s">
        <v>8</v>
      </c>
      <c r="AQ713" s="25"/>
      <c r="AR713" s="25"/>
      <c r="AS713" s="25"/>
      <c r="AT713" s="25"/>
      <c r="AU713" s="36"/>
      <c r="AV713" s="36"/>
      <c r="AW713" s="36"/>
      <c r="AX713" s="25"/>
      <c r="AY713" s="25"/>
      <c r="AZ713" s="25"/>
      <c r="BA713" s="25"/>
      <c r="BB713" s="25"/>
      <c r="BC713" s="25"/>
      <c r="BD713" s="25"/>
      <c r="BE713" s="25"/>
      <c r="BF713" s="25"/>
      <c r="BG713" s="25"/>
      <c r="BH713" s="25"/>
      <c r="BI713" s="25"/>
      <c r="BJ713" s="25"/>
      <c r="BK713" s="25"/>
      <c r="BL713" s="25"/>
      <c r="BM713" s="25"/>
      <c r="BN713" s="25"/>
      <c r="BO713" s="25"/>
      <c r="BP713" s="25"/>
      <c r="BQ713" s="25"/>
      <c r="BR713" s="25"/>
      <c r="BS713" s="25"/>
      <c r="BT713" s="25"/>
      <c r="BU713" s="39">
        <v>44857</v>
      </c>
      <c r="BV713" s="39" t="s">
        <v>1503</v>
      </c>
      <c r="BW713" s="39" t="s">
        <v>2932</v>
      </c>
      <c r="BX713" s="39" t="s">
        <v>2855</v>
      </c>
      <c r="BY713" s="71">
        <v>740</v>
      </c>
      <c r="BZ713" s="71">
        <v>740</v>
      </c>
      <c r="CA713" s="71">
        <v>970</v>
      </c>
      <c r="CB713" s="71">
        <v>1210</v>
      </c>
      <c r="CC713" s="71">
        <v>1520</v>
      </c>
      <c r="CD713" s="25"/>
      <c r="CE713" s="200"/>
      <c r="CF713" s="200"/>
      <c r="CG713" s="200"/>
      <c r="CH713" s="200"/>
      <c r="CI713" s="200"/>
      <c r="CJ713" s="200"/>
      <c r="CK713" s="200"/>
      <c r="CL713" s="200"/>
      <c r="CM713" s="200"/>
      <c r="CN713" s="200"/>
      <c r="CO713" s="200"/>
      <c r="CP713" s="200"/>
      <c r="CQ713" s="200"/>
      <c r="CR713" s="200"/>
      <c r="CS713" s="200"/>
      <c r="CT713" s="200"/>
      <c r="CU713" s="200"/>
    </row>
    <row r="714" spans="1:99" s="17" customFormat="1" x14ac:dyDescent="0.2">
      <c r="A714" s="25"/>
      <c r="B714" s="20">
        <v>39025041305</v>
      </c>
      <c r="C714" s="20">
        <v>413.05</v>
      </c>
      <c r="D714" s="20" t="s">
        <v>19</v>
      </c>
      <c r="E714" s="20" t="s">
        <v>2828</v>
      </c>
      <c r="F714" s="20" t="s">
        <v>8</v>
      </c>
      <c r="G714" s="861">
        <v>59.9803491981245</v>
      </c>
      <c r="H714" s="861">
        <v>61.910858381931</v>
      </c>
      <c r="I714" s="861">
        <v>17.081806379182201</v>
      </c>
      <c r="J714" s="861">
        <v>48.9717900551247</v>
      </c>
      <c r="K714" s="982">
        <v>0</v>
      </c>
      <c r="L714" s="735">
        <v>5129</v>
      </c>
      <c r="M714" s="735">
        <v>4805</v>
      </c>
      <c r="N714" s="845">
        <f t="shared" si="63"/>
        <v>-6.3170208617664259E-2</v>
      </c>
      <c r="O714" s="735">
        <v>1.9967439155541145</v>
      </c>
      <c r="P714" s="735">
        <f t="shared" si="64"/>
        <v>2406.4177497025548</v>
      </c>
      <c r="Q714" s="849">
        <v>38.6</v>
      </c>
      <c r="R714" s="71">
        <v>80469</v>
      </c>
      <c r="S714" s="845">
        <v>5.0988553590010408E-2</v>
      </c>
      <c r="T714" s="845">
        <v>2.3E-2</v>
      </c>
      <c r="U714" s="845">
        <v>0</v>
      </c>
      <c r="V714" s="845">
        <v>0</v>
      </c>
      <c r="W714" s="845">
        <v>0.38158497480531378</v>
      </c>
      <c r="X714" s="845">
        <v>0.14525810324129651</v>
      </c>
      <c r="Y714" s="845">
        <v>0.94817898022892821</v>
      </c>
      <c r="Z714" s="845">
        <v>3.9958376690946928E-2</v>
      </c>
      <c r="AA714" s="845">
        <v>0</v>
      </c>
      <c r="AB714" s="845">
        <v>2.2892819979188346E-3</v>
      </c>
      <c r="AC714" s="845">
        <v>0</v>
      </c>
      <c r="AD714" s="845">
        <v>0</v>
      </c>
      <c r="AE714" s="845">
        <v>9.5733610822060361E-3</v>
      </c>
      <c r="AF714" s="845">
        <v>2.7263267429760665E-2</v>
      </c>
      <c r="AG714" s="845">
        <v>0.9294484911550468</v>
      </c>
      <c r="AH714" s="20" t="str">
        <f t="shared" si="65"/>
        <v>Yes</v>
      </c>
      <c r="AI714" s="25"/>
      <c r="AJ714" s="37">
        <v>45325</v>
      </c>
      <c r="AK714" s="37" t="s">
        <v>1678</v>
      </c>
      <c r="AL714" s="37">
        <v>39113</v>
      </c>
      <c r="AM714" s="37" t="s">
        <v>62</v>
      </c>
      <c r="AN714" s="37">
        <f t="shared" si="66"/>
        <v>19430</v>
      </c>
      <c r="AO714" s="37" t="str">
        <f t="shared" si="67"/>
        <v>Dayton-Kettering-Beavercreek, OH</v>
      </c>
      <c r="AP714" s="20" t="s">
        <v>8</v>
      </c>
      <c r="AQ714" s="25"/>
      <c r="AR714" s="25"/>
      <c r="AS714" s="25"/>
      <c r="AT714" s="25"/>
      <c r="AU714" s="36"/>
      <c r="AV714" s="36"/>
      <c r="AW714" s="36"/>
      <c r="AX714" s="25"/>
      <c r="AY714" s="25"/>
      <c r="AZ714" s="25"/>
      <c r="BA714" s="25"/>
      <c r="BB714" s="25"/>
      <c r="BC714" s="25"/>
      <c r="BD714" s="25"/>
      <c r="BE714" s="25"/>
      <c r="BF714" s="25"/>
      <c r="BG714" s="25"/>
      <c r="BH714" s="25"/>
      <c r="BI714" s="25"/>
      <c r="BJ714" s="25"/>
      <c r="BK714" s="25"/>
      <c r="BL714" s="25"/>
      <c r="BM714" s="25"/>
      <c r="BN714" s="25"/>
      <c r="BO714" s="25"/>
      <c r="BP714" s="25"/>
      <c r="BQ714" s="25"/>
      <c r="BR714" s="25"/>
      <c r="BS714" s="25"/>
      <c r="BT714" s="25"/>
      <c r="BU714" s="39">
        <v>44870</v>
      </c>
      <c r="BV714" s="39" t="s">
        <v>1510</v>
      </c>
      <c r="BW714" s="39" t="s">
        <v>2932</v>
      </c>
      <c r="BX714" s="39" t="s">
        <v>2855</v>
      </c>
      <c r="BY714" s="71">
        <v>890</v>
      </c>
      <c r="BZ714" s="71">
        <v>920</v>
      </c>
      <c r="CA714" s="71">
        <v>1150</v>
      </c>
      <c r="CB714" s="71">
        <v>1440</v>
      </c>
      <c r="CC714" s="71">
        <v>1620</v>
      </c>
      <c r="CD714" s="25"/>
      <c r="CE714" s="200"/>
      <c r="CF714" s="200"/>
      <c r="CG714" s="200"/>
      <c r="CH714" s="200"/>
      <c r="CI714" s="200"/>
      <c r="CJ714" s="200"/>
      <c r="CK714" s="200"/>
      <c r="CL714" s="200"/>
      <c r="CM714" s="200"/>
      <c r="CN714" s="200"/>
      <c r="CO714" s="200"/>
      <c r="CP714" s="200"/>
      <c r="CQ714" s="200"/>
      <c r="CR714" s="200"/>
      <c r="CS714" s="200"/>
      <c r="CT714" s="200"/>
      <c r="CU714" s="200"/>
    </row>
    <row r="715" spans="1:99" s="17" customFormat="1" x14ac:dyDescent="0.2">
      <c r="A715" s="25"/>
      <c r="B715" s="20">
        <v>39061021001</v>
      </c>
      <c r="C715" s="20">
        <v>210.01</v>
      </c>
      <c r="D715" s="20" t="s">
        <v>37</v>
      </c>
      <c r="E715" s="20" t="s">
        <v>2828</v>
      </c>
      <c r="F715" s="20" t="s">
        <v>8</v>
      </c>
      <c r="G715" s="861">
        <v>59.975118835885603</v>
      </c>
      <c r="H715" s="861">
        <v>68.132249064332498</v>
      </c>
      <c r="I715" s="861">
        <v>25.0250458941088</v>
      </c>
      <c r="J715" s="861">
        <v>45.164614813154699</v>
      </c>
      <c r="K715" s="982">
        <v>0</v>
      </c>
      <c r="L715" s="735">
        <v>2868</v>
      </c>
      <c r="M715" s="735">
        <v>2959</v>
      </c>
      <c r="N715" s="845">
        <f t="shared" ref="N715:N778" si="68">IF(OR(L715="",M715=""),"",(M715-L715)/L715)</f>
        <v>3.1729428172942817E-2</v>
      </c>
      <c r="O715" s="735">
        <v>1.0451966901114462</v>
      </c>
      <c r="P715" s="735">
        <f t="shared" ref="P715:P778" si="69">M715/O715</f>
        <v>2831.0460873010329</v>
      </c>
      <c r="Q715" s="849">
        <v>40.299999999999997</v>
      </c>
      <c r="R715" s="71">
        <v>70543</v>
      </c>
      <c r="S715" s="845">
        <v>4.5518207282913163E-2</v>
      </c>
      <c r="T715" s="845">
        <v>3.5000000000000003E-2</v>
      </c>
      <c r="U715" s="845">
        <v>0</v>
      </c>
      <c r="V715" s="845">
        <v>0</v>
      </c>
      <c r="W715" s="845">
        <v>0.33006782215523739</v>
      </c>
      <c r="X715" s="845">
        <v>0.31963470319634701</v>
      </c>
      <c r="Y715" s="845">
        <v>0.89016559648529914</v>
      </c>
      <c r="Z715" s="845">
        <v>8.8543426833389657E-2</v>
      </c>
      <c r="AA715" s="845">
        <v>0</v>
      </c>
      <c r="AB715" s="845">
        <v>1.1828320378506252E-2</v>
      </c>
      <c r="AC715" s="845">
        <v>0</v>
      </c>
      <c r="AD715" s="845">
        <v>1.6897600540723217E-3</v>
      </c>
      <c r="AE715" s="845">
        <v>7.7728962487326799E-3</v>
      </c>
      <c r="AF715" s="845">
        <v>1.3180128421764109E-2</v>
      </c>
      <c r="AG715" s="845">
        <v>0.87867522811760734</v>
      </c>
      <c r="AH715" s="20" t="str">
        <f t="shared" ref="AH715:AH778" si="70">IF(AG715&gt;=0.9,"Yes","No")</f>
        <v>No</v>
      </c>
      <c r="AI715" s="25"/>
      <c r="AJ715" s="20">
        <v>45327</v>
      </c>
      <c r="AK715" s="20" t="s">
        <v>1680</v>
      </c>
      <c r="AL715" s="20">
        <v>39113</v>
      </c>
      <c r="AM715" s="20" t="s">
        <v>62</v>
      </c>
      <c r="AN715" s="37">
        <f t="shared" ref="AN715:AN778" si="71">VLOOKUP(AM715,$CY$11:$DA$98,2,FALSE)</f>
        <v>19430</v>
      </c>
      <c r="AO715" s="37" t="str">
        <f t="shared" ref="AO715:AO778" si="72">VLOOKUP(AM715,$CY$11:$DA$98,3,FALSE)</f>
        <v>Dayton-Kettering-Beavercreek, OH</v>
      </c>
      <c r="AP715" s="20" t="s">
        <v>8</v>
      </c>
      <c r="AQ715" s="25"/>
      <c r="AR715" s="25"/>
      <c r="AS715" s="25"/>
      <c r="AT715" s="25"/>
      <c r="AU715" s="36"/>
      <c r="AV715" s="36"/>
      <c r="AW715" s="36"/>
      <c r="AX715" s="25"/>
      <c r="AY715" s="25"/>
      <c r="AZ715" s="25"/>
      <c r="BA715" s="25"/>
      <c r="BB715" s="25"/>
      <c r="BC715" s="25"/>
      <c r="BD715" s="25"/>
      <c r="BE715" s="25"/>
      <c r="BF715" s="25"/>
      <c r="BG715" s="25"/>
      <c r="BH715" s="25"/>
      <c r="BI715" s="25"/>
      <c r="BJ715" s="25"/>
      <c r="BK715" s="25"/>
      <c r="BL715" s="25"/>
      <c r="BM715" s="25"/>
      <c r="BN715" s="25"/>
      <c r="BO715" s="25"/>
      <c r="BP715" s="25"/>
      <c r="BQ715" s="25"/>
      <c r="BR715" s="25"/>
      <c r="BS715" s="25"/>
      <c r="BT715" s="25"/>
      <c r="BU715" s="39">
        <v>43106</v>
      </c>
      <c r="BV715" s="39" t="s">
        <v>794</v>
      </c>
      <c r="BW715" s="39" t="s">
        <v>2872</v>
      </c>
      <c r="BX715" s="39" t="s">
        <v>2873</v>
      </c>
      <c r="BY715" s="71">
        <v>830</v>
      </c>
      <c r="BZ715" s="71">
        <v>930</v>
      </c>
      <c r="CA715" s="71">
        <v>1100</v>
      </c>
      <c r="CB715" s="71">
        <v>1410</v>
      </c>
      <c r="CC715" s="71">
        <v>1570</v>
      </c>
      <c r="CD715" s="25"/>
      <c r="CE715" s="200"/>
      <c r="CF715" s="200"/>
      <c r="CG715" s="200"/>
      <c r="CH715" s="200"/>
      <c r="CI715" s="200"/>
      <c r="CJ715" s="200"/>
      <c r="CK715" s="200"/>
      <c r="CL715" s="200"/>
      <c r="CM715" s="200"/>
      <c r="CN715" s="200"/>
      <c r="CO715" s="200"/>
      <c r="CP715" s="200"/>
      <c r="CQ715" s="200"/>
      <c r="CR715" s="200"/>
      <c r="CS715" s="200"/>
      <c r="CT715" s="200"/>
      <c r="CU715" s="200"/>
    </row>
    <row r="716" spans="1:99" s="17" customFormat="1" x14ac:dyDescent="0.2">
      <c r="A716" s="25"/>
      <c r="B716" s="20">
        <v>39035175108</v>
      </c>
      <c r="C716" s="20">
        <v>1751.08</v>
      </c>
      <c r="D716" s="20" t="s">
        <v>24</v>
      </c>
      <c r="E716" s="20" t="s">
        <v>2829</v>
      </c>
      <c r="F716" s="20" t="s">
        <v>8</v>
      </c>
      <c r="G716" s="861">
        <v>59.9730458662549</v>
      </c>
      <c r="H716" s="861">
        <v>52.1809427567431</v>
      </c>
      <c r="I716" s="861">
        <v>46.354049000626702</v>
      </c>
      <c r="J716" s="861">
        <v>39.650937901893101</v>
      </c>
      <c r="K716" s="982">
        <v>0</v>
      </c>
      <c r="L716" s="735" t="s">
        <v>2466</v>
      </c>
      <c r="M716" s="735">
        <v>2876</v>
      </c>
      <c r="N716" s="845" t="str">
        <f t="shared" si="68"/>
        <v/>
      </c>
      <c r="O716" s="735">
        <v>0.58940154748432416</v>
      </c>
      <c r="P716" s="735">
        <f t="shared" si="69"/>
        <v>4879.5257024269868</v>
      </c>
      <c r="Q716" s="849">
        <v>36.1</v>
      </c>
      <c r="R716" s="71">
        <v>47183</v>
      </c>
      <c r="S716" s="845">
        <v>7.5257365992190267E-2</v>
      </c>
      <c r="T716" s="845">
        <v>2.5000000000000001E-2</v>
      </c>
      <c r="U716" s="845">
        <v>0</v>
      </c>
      <c r="V716" s="845">
        <v>9.4E-2</v>
      </c>
      <c r="W716" s="845">
        <v>0.79713914174252276</v>
      </c>
      <c r="X716" s="845">
        <v>0.42985318107667209</v>
      </c>
      <c r="Y716" s="845">
        <v>0.73261474269819193</v>
      </c>
      <c r="Z716" s="845">
        <v>1.6342141863699582E-2</v>
      </c>
      <c r="AA716" s="845">
        <v>1.6342141863699582E-2</v>
      </c>
      <c r="AB716" s="845">
        <v>0.17941585535465926</v>
      </c>
      <c r="AC716" s="845">
        <v>0</v>
      </c>
      <c r="AD716" s="845">
        <v>0</v>
      </c>
      <c r="AE716" s="845">
        <v>5.528511821974965E-2</v>
      </c>
      <c r="AF716" s="845">
        <v>5.1112656467315713E-2</v>
      </c>
      <c r="AG716" s="845">
        <v>0.73261474269819193</v>
      </c>
      <c r="AH716" s="20" t="str">
        <f t="shared" si="70"/>
        <v>No</v>
      </c>
      <c r="AI716" s="25"/>
      <c r="AJ716" s="37">
        <v>45342</v>
      </c>
      <c r="AK716" s="37" t="s">
        <v>1694</v>
      </c>
      <c r="AL716" s="37">
        <v>39113</v>
      </c>
      <c r="AM716" s="37" t="s">
        <v>62</v>
      </c>
      <c r="AN716" s="37">
        <f t="shared" si="71"/>
        <v>19430</v>
      </c>
      <c r="AO716" s="37" t="str">
        <f t="shared" si="72"/>
        <v>Dayton-Kettering-Beavercreek, OH</v>
      </c>
      <c r="AP716" s="20" t="s">
        <v>8</v>
      </c>
      <c r="AQ716" s="25"/>
      <c r="AR716" s="25"/>
      <c r="AS716" s="25"/>
      <c r="AT716" s="25"/>
      <c r="AU716" s="36"/>
      <c r="AV716" s="36"/>
      <c r="AW716" s="36"/>
      <c r="AX716" s="25"/>
      <c r="AY716" s="25"/>
      <c r="AZ716" s="25"/>
      <c r="BA716" s="25"/>
      <c r="BB716" s="25"/>
      <c r="BC716" s="25"/>
      <c r="BD716" s="25"/>
      <c r="BE716" s="25"/>
      <c r="BF716" s="25"/>
      <c r="BG716" s="25"/>
      <c r="BH716" s="25"/>
      <c r="BI716" s="25"/>
      <c r="BJ716" s="25"/>
      <c r="BK716" s="25"/>
      <c r="BL716" s="25"/>
      <c r="BM716" s="25"/>
      <c r="BN716" s="25"/>
      <c r="BO716" s="25"/>
      <c r="BP716" s="25"/>
      <c r="BQ716" s="25"/>
      <c r="BR716" s="25"/>
      <c r="BS716" s="25"/>
      <c r="BT716" s="25"/>
      <c r="BU716" s="39">
        <v>43142</v>
      </c>
      <c r="BV716" s="39" t="s">
        <v>816</v>
      </c>
      <c r="BW716" s="39" t="s">
        <v>2872</v>
      </c>
      <c r="BX716" s="39" t="s">
        <v>2873</v>
      </c>
      <c r="BY716" s="71">
        <v>740</v>
      </c>
      <c r="BZ716" s="71">
        <v>830</v>
      </c>
      <c r="CA716" s="71">
        <v>980</v>
      </c>
      <c r="CB716" s="71">
        <v>1260</v>
      </c>
      <c r="CC716" s="71">
        <v>1400</v>
      </c>
      <c r="CD716" s="25"/>
      <c r="CE716" s="200"/>
      <c r="CF716" s="200"/>
      <c r="CG716" s="200"/>
      <c r="CH716" s="200"/>
      <c r="CI716" s="200"/>
      <c r="CJ716" s="200"/>
      <c r="CK716" s="200"/>
      <c r="CL716" s="200"/>
      <c r="CM716" s="200"/>
      <c r="CN716" s="200"/>
      <c r="CO716" s="200"/>
      <c r="CP716" s="200"/>
      <c r="CQ716" s="200"/>
      <c r="CR716" s="200"/>
      <c r="CS716" s="200"/>
      <c r="CT716" s="200"/>
      <c r="CU716" s="200"/>
    </row>
    <row r="717" spans="1:99" s="17" customFormat="1" x14ac:dyDescent="0.2">
      <c r="A717" s="25"/>
      <c r="B717" s="20">
        <v>39093013102</v>
      </c>
      <c r="C717" s="20">
        <v>131.02000000000001</v>
      </c>
      <c r="D717" s="20" t="s">
        <v>52</v>
      </c>
      <c r="E717" s="20" t="s">
        <v>2829</v>
      </c>
      <c r="F717" s="20" t="s">
        <v>8</v>
      </c>
      <c r="G717" s="861">
        <v>59.969326367562601</v>
      </c>
      <c r="H717" s="861">
        <v>66.344454172303898</v>
      </c>
      <c r="I717" s="861">
        <v>20.1526897737537</v>
      </c>
      <c r="J717" s="861">
        <v>63.789965999872699</v>
      </c>
      <c r="K717" s="982">
        <v>0</v>
      </c>
      <c r="L717" s="735" t="s">
        <v>2466</v>
      </c>
      <c r="M717" s="735">
        <v>5367</v>
      </c>
      <c r="N717" s="845" t="str">
        <f t="shared" si="68"/>
        <v/>
      </c>
      <c r="O717" s="735">
        <v>4.0974342542445106</v>
      </c>
      <c r="P717" s="735">
        <f t="shared" si="69"/>
        <v>1309.8440797287603</v>
      </c>
      <c r="Q717" s="849">
        <v>41.6</v>
      </c>
      <c r="R717" s="71">
        <v>163382</v>
      </c>
      <c r="S717" s="845">
        <v>2.9252841438419976E-2</v>
      </c>
      <c r="T717" s="845">
        <v>0.01</v>
      </c>
      <c r="U717" s="845">
        <v>0</v>
      </c>
      <c r="V717" s="845">
        <v>0</v>
      </c>
      <c r="W717" s="845">
        <v>2.7597402597402596E-2</v>
      </c>
      <c r="X717" s="845">
        <v>0</v>
      </c>
      <c r="Y717" s="845">
        <v>0.91205515185392216</v>
      </c>
      <c r="Z717" s="845">
        <v>1.7514440096888392E-2</v>
      </c>
      <c r="AA717" s="845">
        <v>3.7264766163592321E-3</v>
      </c>
      <c r="AB717" s="845">
        <v>2.4035774175517048E-2</v>
      </c>
      <c r="AC717" s="845">
        <v>0</v>
      </c>
      <c r="AD717" s="845">
        <v>1.4533258803801007E-2</v>
      </c>
      <c r="AE717" s="845">
        <v>2.8134898453512205E-2</v>
      </c>
      <c r="AF717" s="845">
        <v>3.2792994223961244E-2</v>
      </c>
      <c r="AG717" s="845">
        <v>0.91000558971492451</v>
      </c>
      <c r="AH717" s="20" t="str">
        <f t="shared" si="70"/>
        <v>Yes</v>
      </c>
      <c r="AI717" s="25"/>
      <c r="AJ717" s="20">
        <v>45344</v>
      </c>
      <c r="AK717" s="20" t="s">
        <v>1695</v>
      </c>
      <c r="AL717" s="20">
        <v>39113</v>
      </c>
      <c r="AM717" s="20" t="s">
        <v>62</v>
      </c>
      <c r="AN717" s="37">
        <f t="shared" si="71"/>
        <v>19430</v>
      </c>
      <c r="AO717" s="37" t="str">
        <f t="shared" si="72"/>
        <v>Dayton-Kettering-Beavercreek, OH</v>
      </c>
      <c r="AP717" s="20" t="s">
        <v>8</v>
      </c>
      <c r="AQ717" s="25"/>
      <c r="AR717" s="25"/>
      <c r="AS717" s="25"/>
      <c r="AT717" s="25"/>
      <c r="AU717" s="36"/>
      <c r="AV717" s="36"/>
      <c r="AW717" s="36"/>
      <c r="AX717" s="25"/>
      <c r="AY717" s="25"/>
      <c r="AZ717" s="25"/>
      <c r="BA717" s="25"/>
      <c r="BB717" s="25"/>
      <c r="BC717" s="25"/>
      <c r="BD717" s="25"/>
      <c r="BE717" s="25"/>
      <c r="BF717" s="25"/>
      <c r="BG717" s="25"/>
      <c r="BH717" s="25"/>
      <c r="BI717" s="25"/>
      <c r="BJ717" s="25"/>
      <c r="BK717" s="25"/>
      <c r="BL717" s="25"/>
      <c r="BM717" s="25"/>
      <c r="BN717" s="25"/>
      <c r="BO717" s="25"/>
      <c r="BP717" s="25"/>
      <c r="BQ717" s="25"/>
      <c r="BR717" s="25"/>
      <c r="BS717" s="25"/>
      <c r="BT717" s="25"/>
      <c r="BU717" s="39">
        <v>45123</v>
      </c>
      <c r="BV717" s="39" t="s">
        <v>1576</v>
      </c>
      <c r="BW717" s="39" t="s">
        <v>2872</v>
      </c>
      <c r="BX717" s="39" t="s">
        <v>2873</v>
      </c>
      <c r="BY717" s="71">
        <v>730</v>
      </c>
      <c r="BZ717" s="71">
        <v>840</v>
      </c>
      <c r="CA717" s="71">
        <v>970</v>
      </c>
      <c r="CB717" s="71">
        <v>1180</v>
      </c>
      <c r="CC717" s="71">
        <v>1450</v>
      </c>
      <c r="CD717" s="25"/>
      <c r="CE717" s="200"/>
      <c r="CF717" s="200"/>
      <c r="CG717" s="200"/>
      <c r="CH717" s="200"/>
      <c r="CI717" s="200"/>
      <c r="CJ717" s="200"/>
      <c r="CK717" s="200"/>
      <c r="CL717" s="200"/>
      <c r="CM717" s="200"/>
      <c r="CN717" s="200"/>
      <c r="CO717" s="200"/>
      <c r="CP717" s="200"/>
      <c r="CQ717" s="200"/>
      <c r="CR717" s="200"/>
      <c r="CS717" s="200"/>
      <c r="CT717" s="200"/>
      <c r="CU717" s="200"/>
    </row>
    <row r="718" spans="1:99" s="17" customFormat="1" x14ac:dyDescent="0.2">
      <c r="A718" s="25"/>
      <c r="B718" s="20">
        <v>39049006372</v>
      </c>
      <c r="C718" s="20">
        <v>63.72</v>
      </c>
      <c r="D718" s="20" t="s">
        <v>31</v>
      </c>
      <c r="E718" s="20" t="s">
        <v>2830</v>
      </c>
      <c r="F718" s="20" t="s">
        <v>8</v>
      </c>
      <c r="G718" s="861">
        <v>59.961528229803598</v>
      </c>
      <c r="H718" s="861">
        <v>69.335623813121103</v>
      </c>
      <c r="I718" s="861">
        <v>42.359018009802099</v>
      </c>
      <c r="J718" s="861">
        <v>57.462894351745398</v>
      </c>
      <c r="K718" s="982">
        <v>0</v>
      </c>
      <c r="L718" s="735">
        <v>6941</v>
      </c>
      <c r="M718" s="735">
        <v>7311</v>
      </c>
      <c r="N718" s="845">
        <f t="shared" si="68"/>
        <v>5.3306439994237141E-2</v>
      </c>
      <c r="O718" s="735">
        <v>0.86767579794024619</v>
      </c>
      <c r="P718" s="735">
        <f t="shared" si="69"/>
        <v>8425.9581947029055</v>
      </c>
      <c r="Q718" s="849">
        <v>31.9</v>
      </c>
      <c r="R718" s="71">
        <v>65544</v>
      </c>
      <c r="S718" s="845">
        <v>0.21201217824522559</v>
      </c>
      <c r="T718" s="845">
        <v>5.4000000000000006E-2</v>
      </c>
      <c r="U718" s="845">
        <v>0</v>
      </c>
      <c r="V718" s="845">
        <v>6.0000000000000001E-3</v>
      </c>
      <c r="W718" s="845">
        <v>0.72029783101327294</v>
      </c>
      <c r="X718" s="845">
        <v>0.46831460674157305</v>
      </c>
      <c r="Y718" s="845">
        <v>0.58268362741075097</v>
      </c>
      <c r="Z718" s="845">
        <v>9.6703597319108187E-2</v>
      </c>
      <c r="AA718" s="845">
        <v>1.0395294761318561E-2</v>
      </c>
      <c r="AB718" s="845">
        <v>0.16440979346190671</v>
      </c>
      <c r="AC718" s="845">
        <v>0</v>
      </c>
      <c r="AD718" s="845">
        <v>9.7661058678703325E-2</v>
      </c>
      <c r="AE718" s="845">
        <v>4.8146628368212284E-2</v>
      </c>
      <c r="AF718" s="845">
        <v>0.14225140199699082</v>
      </c>
      <c r="AG718" s="845">
        <v>0.56285049924770891</v>
      </c>
      <c r="AH718" s="20" t="str">
        <f t="shared" si="70"/>
        <v>No</v>
      </c>
      <c r="AI718" s="25"/>
      <c r="AJ718" s="37">
        <v>45345</v>
      </c>
      <c r="AK718" s="37" t="s">
        <v>1696</v>
      </c>
      <c r="AL718" s="37">
        <v>39113</v>
      </c>
      <c r="AM718" s="37" t="s">
        <v>62</v>
      </c>
      <c r="AN718" s="37">
        <f t="shared" si="71"/>
        <v>19430</v>
      </c>
      <c r="AO718" s="37" t="str">
        <f t="shared" si="72"/>
        <v>Dayton-Kettering-Beavercreek, OH</v>
      </c>
      <c r="AP718" s="20" t="s">
        <v>8</v>
      </c>
      <c r="AQ718" s="25"/>
      <c r="AR718" s="25"/>
      <c r="AS718" s="25"/>
      <c r="AT718" s="25"/>
      <c r="AU718" s="36"/>
      <c r="AV718" s="36"/>
      <c r="AW718" s="36"/>
      <c r="AX718" s="25"/>
      <c r="AY718" s="25"/>
      <c r="AZ718" s="25"/>
      <c r="BA718" s="25"/>
      <c r="BB718" s="25"/>
      <c r="BC718" s="25"/>
      <c r="BD718" s="25"/>
      <c r="BE718" s="25"/>
      <c r="BF718" s="25"/>
      <c r="BG718" s="25"/>
      <c r="BH718" s="25"/>
      <c r="BI718" s="25"/>
      <c r="BJ718" s="25"/>
      <c r="BK718" s="25"/>
      <c r="BL718" s="25"/>
      <c r="BM718" s="25"/>
      <c r="BN718" s="25"/>
      <c r="BO718" s="25"/>
      <c r="BP718" s="25"/>
      <c r="BQ718" s="25"/>
      <c r="BR718" s="25"/>
      <c r="BS718" s="25"/>
      <c r="BT718" s="25"/>
      <c r="BU718" s="39">
        <v>45614</v>
      </c>
      <c r="BV718" s="39" t="s">
        <v>1771</v>
      </c>
      <c r="BW718" s="39" t="s">
        <v>2883</v>
      </c>
      <c r="BX718" s="39" t="s">
        <v>2884</v>
      </c>
      <c r="BY718" s="71">
        <v>740</v>
      </c>
      <c r="BZ718" s="71">
        <v>870</v>
      </c>
      <c r="CA718" s="71">
        <v>970</v>
      </c>
      <c r="CB718" s="71">
        <v>1240</v>
      </c>
      <c r="CC718" s="71">
        <v>1640</v>
      </c>
      <c r="CD718" s="25"/>
      <c r="CE718" s="200"/>
      <c r="CF718" s="200"/>
      <c r="CG718" s="200"/>
      <c r="CH718" s="200"/>
      <c r="CI718" s="200"/>
      <c r="CJ718" s="200"/>
      <c r="CK718" s="200"/>
      <c r="CL718" s="200"/>
      <c r="CM718" s="200"/>
      <c r="CN718" s="200"/>
      <c r="CO718" s="200"/>
      <c r="CP718" s="200"/>
      <c r="CQ718" s="200"/>
      <c r="CR718" s="200"/>
      <c r="CS718" s="200"/>
      <c r="CT718" s="200"/>
      <c r="CU718" s="200"/>
    </row>
    <row r="719" spans="1:99" s="17" customFormat="1" x14ac:dyDescent="0.2">
      <c r="A719" s="25"/>
      <c r="B719" s="20">
        <v>39061023222</v>
      </c>
      <c r="C719" s="20">
        <v>232.22</v>
      </c>
      <c r="D719" s="20" t="s">
        <v>37</v>
      </c>
      <c r="E719" s="20" t="s">
        <v>2828</v>
      </c>
      <c r="F719" s="20" t="s">
        <v>8</v>
      </c>
      <c r="G719" s="861">
        <v>59.958243067167501</v>
      </c>
      <c r="H719" s="861">
        <v>54.351964558613702</v>
      </c>
      <c r="I719" s="861">
        <v>36.775078488963899</v>
      </c>
      <c r="J719" s="861">
        <v>42.554526515545803</v>
      </c>
      <c r="K719" s="982">
        <v>0</v>
      </c>
      <c r="L719" s="735">
        <v>2925</v>
      </c>
      <c r="M719" s="735">
        <v>3211</v>
      </c>
      <c r="N719" s="845">
        <f t="shared" si="68"/>
        <v>9.7777777777777783E-2</v>
      </c>
      <c r="O719" s="735">
        <v>0.86313369214656366</v>
      </c>
      <c r="P719" s="735">
        <f t="shared" si="69"/>
        <v>3720.1652875053787</v>
      </c>
      <c r="Q719" s="849">
        <v>43.9</v>
      </c>
      <c r="R719" s="71">
        <v>57917</v>
      </c>
      <c r="S719" s="845">
        <v>0.20253968253968255</v>
      </c>
      <c r="T719" s="845">
        <v>5.9000000000000004E-2</v>
      </c>
      <c r="U719" s="845">
        <v>0</v>
      </c>
      <c r="V719" s="845">
        <v>0</v>
      </c>
      <c r="W719" s="845">
        <v>0.47179788484136309</v>
      </c>
      <c r="X719" s="845">
        <v>0.35616438356164382</v>
      </c>
      <c r="Y719" s="845">
        <v>0.81376518218623484</v>
      </c>
      <c r="Z719" s="845">
        <v>8.4085954531298662E-2</v>
      </c>
      <c r="AA719" s="845">
        <v>0</v>
      </c>
      <c r="AB719" s="845">
        <v>7.5988788539395821E-2</v>
      </c>
      <c r="AC719" s="845">
        <v>0</v>
      </c>
      <c r="AD719" s="845">
        <v>0</v>
      </c>
      <c r="AE719" s="845">
        <v>2.6160074743070694E-2</v>
      </c>
      <c r="AF719" s="845">
        <v>1.7128620367486764E-2</v>
      </c>
      <c r="AG719" s="845">
        <v>0.79694799127997507</v>
      </c>
      <c r="AH719" s="20" t="str">
        <f t="shared" si="70"/>
        <v>No</v>
      </c>
      <c r="AI719" s="25"/>
      <c r="AJ719" s="37">
        <v>45354</v>
      </c>
      <c r="AK719" s="37" t="s">
        <v>1705</v>
      </c>
      <c r="AL719" s="37">
        <v>39113</v>
      </c>
      <c r="AM719" s="37" t="s">
        <v>62</v>
      </c>
      <c r="AN719" s="37">
        <f t="shared" si="71"/>
        <v>19430</v>
      </c>
      <c r="AO719" s="37" t="str">
        <f t="shared" si="72"/>
        <v>Dayton-Kettering-Beavercreek, OH</v>
      </c>
      <c r="AP719" s="20" t="s">
        <v>8</v>
      </c>
      <c r="AQ719" s="25"/>
      <c r="AR719" s="25"/>
      <c r="AS719" s="25"/>
      <c r="AT719" s="25"/>
      <c r="AU719" s="36"/>
      <c r="AV719" s="36"/>
      <c r="AW719" s="36"/>
      <c r="AX719" s="25"/>
      <c r="AY719" s="25"/>
      <c r="AZ719" s="25"/>
      <c r="BA719" s="25"/>
      <c r="BB719" s="25"/>
      <c r="BC719" s="25"/>
      <c r="BD719" s="25"/>
      <c r="BE719" s="25"/>
      <c r="BF719" s="25"/>
      <c r="BG719" s="25"/>
      <c r="BH719" s="25"/>
      <c r="BI719" s="25"/>
      <c r="BJ719" s="25"/>
      <c r="BK719" s="25"/>
      <c r="BL719" s="25"/>
      <c r="BM719" s="25"/>
      <c r="BN719" s="25"/>
      <c r="BO719" s="25"/>
      <c r="BP719" s="25"/>
      <c r="BQ719" s="25"/>
      <c r="BR719" s="25"/>
      <c r="BS719" s="25"/>
      <c r="BT719" s="25"/>
      <c r="BU719" s="39">
        <v>45620</v>
      </c>
      <c r="BV719" s="39" t="s">
        <v>1776</v>
      </c>
      <c r="BW719" s="39" t="s">
        <v>2883</v>
      </c>
      <c r="BX719" s="39" t="s">
        <v>2884</v>
      </c>
      <c r="BY719" s="71">
        <v>740</v>
      </c>
      <c r="BZ719" s="71">
        <v>840</v>
      </c>
      <c r="CA719" s="71">
        <v>970</v>
      </c>
      <c r="CB719" s="71">
        <v>1220</v>
      </c>
      <c r="CC719" s="71">
        <v>1570</v>
      </c>
      <c r="CD719" s="25"/>
      <c r="CE719" s="200"/>
      <c r="CF719" s="200"/>
      <c r="CG719" s="200"/>
      <c r="CH719" s="200"/>
      <c r="CI719" s="200"/>
      <c r="CJ719" s="200"/>
      <c r="CK719" s="200"/>
      <c r="CL719" s="200"/>
      <c r="CM719" s="200"/>
      <c r="CN719" s="200"/>
      <c r="CO719" s="200"/>
      <c r="CP719" s="200"/>
      <c r="CQ719" s="200"/>
      <c r="CR719" s="200"/>
      <c r="CS719" s="200"/>
      <c r="CT719" s="200"/>
      <c r="CU719" s="200"/>
    </row>
    <row r="720" spans="1:99" s="17" customFormat="1" x14ac:dyDescent="0.2">
      <c r="A720" s="25"/>
      <c r="B720" s="20">
        <v>39103408304</v>
      </c>
      <c r="C720" s="20">
        <v>4083.04</v>
      </c>
      <c r="D720" s="20" t="s">
        <v>57</v>
      </c>
      <c r="E720" s="20" t="s">
        <v>2829</v>
      </c>
      <c r="F720" s="20" t="s">
        <v>8</v>
      </c>
      <c r="G720" s="861">
        <v>59.957953131473502</v>
      </c>
      <c r="H720" s="861">
        <v>64.254116894072396</v>
      </c>
      <c r="I720" s="861">
        <v>17.8447978961761</v>
      </c>
      <c r="J720" s="861">
        <v>30.979203305605999</v>
      </c>
      <c r="K720" s="982">
        <v>0</v>
      </c>
      <c r="L720" s="735" t="s">
        <v>2466</v>
      </c>
      <c r="M720" s="735">
        <v>3066</v>
      </c>
      <c r="N720" s="845" t="str">
        <f t="shared" si="68"/>
        <v/>
      </c>
      <c r="O720" s="735">
        <v>1.438967609777946</v>
      </c>
      <c r="P720" s="735">
        <f t="shared" si="69"/>
        <v>2130.6942415980643</v>
      </c>
      <c r="Q720" s="849">
        <v>41.1</v>
      </c>
      <c r="R720" s="71">
        <v>101677</v>
      </c>
      <c r="S720" s="845">
        <v>5.8108995403808275E-2</v>
      </c>
      <c r="T720" s="845">
        <v>1.7000000000000001E-2</v>
      </c>
      <c r="U720" s="845">
        <v>0</v>
      </c>
      <c r="V720" s="845">
        <v>0</v>
      </c>
      <c r="W720" s="845">
        <v>0.13640098603122433</v>
      </c>
      <c r="X720" s="845">
        <v>0.26506024096385544</v>
      </c>
      <c r="Y720" s="845">
        <v>0.92987606001304635</v>
      </c>
      <c r="Z720" s="845">
        <v>1.3372472276581865E-2</v>
      </c>
      <c r="AA720" s="845">
        <v>0</v>
      </c>
      <c r="AB720" s="845">
        <v>8.4801043705153289E-3</v>
      </c>
      <c r="AC720" s="845">
        <v>0</v>
      </c>
      <c r="AD720" s="845">
        <v>0</v>
      </c>
      <c r="AE720" s="845">
        <v>4.8271363339856488E-2</v>
      </c>
      <c r="AF720" s="845">
        <v>2.1526418786692758E-2</v>
      </c>
      <c r="AG720" s="845">
        <v>0.90834964122635353</v>
      </c>
      <c r="AH720" s="20" t="str">
        <f t="shared" si="70"/>
        <v>Yes</v>
      </c>
      <c r="AI720" s="25"/>
      <c r="AJ720" s="37">
        <v>45371</v>
      </c>
      <c r="AK720" s="37" t="s">
        <v>1717</v>
      </c>
      <c r="AL720" s="37">
        <v>39113</v>
      </c>
      <c r="AM720" s="37" t="s">
        <v>62</v>
      </c>
      <c r="AN720" s="37">
        <f t="shared" si="71"/>
        <v>19430</v>
      </c>
      <c r="AO720" s="37" t="str">
        <f t="shared" si="72"/>
        <v>Dayton-Kettering-Beavercreek, OH</v>
      </c>
      <c r="AP720" s="20" t="s">
        <v>8</v>
      </c>
      <c r="AQ720" s="25"/>
      <c r="AR720" s="25"/>
      <c r="AS720" s="25"/>
      <c r="AT720" s="25"/>
      <c r="AU720" s="36"/>
      <c r="AV720" s="36"/>
      <c r="AW720" s="36"/>
      <c r="AX720" s="25"/>
      <c r="AY720" s="25"/>
      <c r="AZ720" s="25"/>
      <c r="BA720" s="25"/>
      <c r="BB720" s="25"/>
      <c r="BC720" s="25"/>
      <c r="BD720" s="25"/>
      <c r="BE720" s="25"/>
      <c r="BF720" s="25"/>
      <c r="BG720" s="25"/>
      <c r="BH720" s="25"/>
      <c r="BI720" s="25"/>
      <c r="BJ720" s="25"/>
      <c r="BK720" s="25"/>
      <c r="BL720" s="25"/>
      <c r="BM720" s="25"/>
      <c r="BN720" s="25"/>
      <c r="BO720" s="25"/>
      <c r="BP720" s="25"/>
      <c r="BQ720" s="25"/>
      <c r="BR720" s="25"/>
      <c r="BS720" s="25"/>
      <c r="BT720" s="25"/>
      <c r="BU720" s="39">
        <v>45631</v>
      </c>
      <c r="BV720" s="39" t="s">
        <v>1784</v>
      </c>
      <c r="BW720" s="39" t="s">
        <v>2883</v>
      </c>
      <c r="BX720" s="39" t="s">
        <v>2884</v>
      </c>
      <c r="BY720" s="71">
        <v>740</v>
      </c>
      <c r="BZ720" s="71">
        <v>870</v>
      </c>
      <c r="CA720" s="71">
        <v>970</v>
      </c>
      <c r="CB720" s="71">
        <v>1240</v>
      </c>
      <c r="CC720" s="71">
        <v>1640</v>
      </c>
      <c r="CD720" s="25"/>
      <c r="CE720" s="200"/>
      <c r="CF720" s="200"/>
      <c r="CG720" s="200"/>
      <c r="CH720" s="200"/>
      <c r="CI720" s="200"/>
      <c r="CJ720" s="200"/>
      <c r="CK720" s="200"/>
      <c r="CL720" s="200"/>
      <c r="CM720" s="200"/>
      <c r="CN720" s="200"/>
      <c r="CO720" s="200"/>
      <c r="CP720" s="200"/>
      <c r="CQ720" s="200"/>
      <c r="CR720" s="200"/>
      <c r="CS720" s="200"/>
      <c r="CT720" s="200"/>
      <c r="CU720" s="200"/>
    </row>
    <row r="721" spans="1:99" s="17" customFormat="1" x14ac:dyDescent="0.2">
      <c r="A721" s="25"/>
      <c r="B721" s="20">
        <v>39169000900</v>
      </c>
      <c r="C721" s="20">
        <v>9</v>
      </c>
      <c r="D721" s="20" t="s">
        <v>90</v>
      </c>
      <c r="E721" s="20" t="s">
        <v>265</v>
      </c>
      <c r="F721" s="20" t="s">
        <v>8</v>
      </c>
      <c r="G721" s="861">
        <v>59.956813557900503</v>
      </c>
      <c r="H721" s="861">
        <v>52.958696747477902</v>
      </c>
      <c r="I721" s="861">
        <v>17.276868552284</v>
      </c>
      <c r="J721" s="861">
        <v>44.131132331239399</v>
      </c>
      <c r="K721" s="982">
        <v>0</v>
      </c>
      <c r="L721" s="735">
        <v>3870</v>
      </c>
      <c r="M721" s="735">
        <v>4171</v>
      </c>
      <c r="N721" s="845">
        <f t="shared" si="68"/>
        <v>7.7777777777777779E-2</v>
      </c>
      <c r="O721" s="735">
        <v>27.521832909109378</v>
      </c>
      <c r="P721" s="735">
        <f t="shared" si="69"/>
        <v>151.55240618510737</v>
      </c>
      <c r="Q721" s="849">
        <v>43.5</v>
      </c>
      <c r="R721" s="71">
        <v>74206</v>
      </c>
      <c r="S721" s="845">
        <v>6.3208685162846806E-2</v>
      </c>
      <c r="T721" s="845">
        <v>6.9999999999999993E-3</v>
      </c>
      <c r="U721" s="845">
        <v>0</v>
      </c>
      <c r="V721" s="845">
        <v>0</v>
      </c>
      <c r="W721" s="845">
        <v>0.17942583732057416</v>
      </c>
      <c r="X721" s="845">
        <v>0.27333333333333332</v>
      </c>
      <c r="Y721" s="845">
        <v>0.98058019659554063</v>
      </c>
      <c r="Z721" s="845">
        <v>2.3975065931431312E-3</v>
      </c>
      <c r="AA721" s="845">
        <v>0</v>
      </c>
      <c r="AB721" s="845">
        <v>4.5552625269719487E-3</v>
      </c>
      <c r="AC721" s="845">
        <v>0</v>
      </c>
      <c r="AD721" s="845">
        <v>1.4385039558858787E-3</v>
      </c>
      <c r="AE721" s="845">
        <v>1.1028530328458403E-2</v>
      </c>
      <c r="AF721" s="845">
        <v>6.2335171421721413E-3</v>
      </c>
      <c r="AG721" s="845">
        <v>0.9796211939582834</v>
      </c>
      <c r="AH721" s="20" t="str">
        <f t="shared" si="70"/>
        <v>Yes</v>
      </c>
      <c r="AI721" s="25"/>
      <c r="AJ721" s="20">
        <v>45377</v>
      </c>
      <c r="AK721" s="20" t="s">
        <v>1720</v>
      </c>
      <c r="AL721" s="20">
        <v>39113</v>
      </c>
      <c r="AM721" s="20" t="s">
        <v>62</v>
      </c>
      <c r="AN721" s="37">
        <f t="shared" si="71"/>
        <v>19430</v>
      </c>
      <c r="AO721" s="37" t="str">
        <f t="shared" si="72"/>
        <v>Dayton-Kettering-Beavercreek, OH</v>
      </c>
      <c r="AP721" s="20" t="s">
        <v>8</v>
      </c>
      <c r="AQ721" s="25"/>
      <c r="AR721" s="25"/>
      <c r="AS721" s="25"/>
      <c r="AT721" s="25"/>
      <c r="AU721" s="36"/>
      <c r="AV721" s="36"/>
      <c r="AW721" s="36"/>
      <c r="AX721" s="25"/>
      <c r="AY721" s="25"/>
      <c r="AZ721" s="25"/>
      <c r="BA721" s="25"/>
      <c r="BB721" s="25"/>
      <c r="BC721" s="25"/>
      <c r="BD721" s="25"/>
      <c r="BE721" s="25"/>
      <c r="BF721" s="25"/>
      <c r="BG721" s="25"/>
      <c r="BH721" s="25"/>
      <c r="BI721" s="25"/>
      <c r="BJ721" s="25"/>
      <c r="BK721" s="25"/>
      <c r="BL721" s="25"/>
      <c r="BM721" s="25"/>
      <c r="BN721" s="25"/>
      <c r="BO721" s="25"/>
      <c r="BP721" s="25"/>
      <c r="BQ721" s="25"/>
      <c r="BR721" s="25"/>
      <c r="BS721" s="25"/>
      <c r="BT721" s="25"/>
      <c r="BU721" s="39">
        <v>45674</v>
      </c>
      <c r="BV721" s="39" t="s">
        <v>1812</v>
      </c>
      <c r="BW721" s="39" t="s">
        <v>2883</v>
      </c>
      <c r="BX721" s="39" t="s">
        <v>2884</v>
      </c>
      <c r="BY721" s="71">
        <v>740</v>
      </c>
      <c r="BZ721" s="71">
        <v>870</v>
      </c>
      <c r="CA721" s="71">
        <v>970</v>
      </c>
      <c r="CB721" s="71">
        <v>1240</v>
      </c>
      <c r="CC721" s="71">
        <v>1640</v>
      </c>
      <c r="CD721" s="25"/>
      <c r="CE721" s="200"/>
      <c r="CF721" s="200"/>
      <c r="CG721" s="200"/>
      <c r="CH721" s="200"/>
      <c r="CI721" s="200"/>
      <c r="CJ721" s="200"/>
      <c r="CK721" s="200"/>
      <c r="CL721" s="200"/>
      <c r="CM721" s="200"/>
      <c r="CN721" s="200"/>
      <c r="CO721" s="200"/>
      <c r="CP721" s="200"/>
      <c r="CQ721" s="200"/>
      <c r="CR721" s="200"/>
      <c r="CS721" s="200"/>
      <c r="CT721" s="200"/>
      <c r="CU721" s="200"/>
    </row>
    <row r="722" spans="1:99" s="17" customFormat="1" x14ac:dyDescent="0.2">
      <c r="A722" s="25"/>
      <c r="B722" s="20">
        <v>39143961100</v>
      </c>
      <c r="C722" s="20">
        <v>9611</v>
      </c>
      <c r="D722" s="20" t="s">
        <v>77</v>
      </c>
      <c r="E722" s="20" t="s">
        <v>265</v>
      </c>
      <c r="F722" s="20" t="s">
        <v>8</v>
      </c>
      <c r="G722" s="861">
        <v>59.953988764779602</v>
      </c>
      <c r="H722" s="861">
        <v>59.297098222860498</v>
      </c>
      <c r="I722" s="861">
        <v>27.633541746668101</v>
      </c>
      <c r="J722" s="861">
        <v>47.331554860606801</v>
      </c>
      <c r="K722" s="982">
        <v>0</v>
      </c>
      <c r="L722" s="735">
        <v>4157</v>
      </c>
      <c r="M722" s="735">
        <v>4071</v>
      </c>
      <c r="N722" s="845">
        <f t="shared" si="68"/>
        <v>-2.0687996151070483E-2</v>
      </c>
      <c r="O722" s="735">
        <v>36.926993460213225</v>
      </c>
      <c r="P722" s="735">
        <f t="shared" si="69"/>
        <v>110.24455604235084</v>
      </c>
      <c r="Q722" s="849">
        <v>42.1</v>
      </c>
      <c r="R722" s="71">
        <v>81667</v>
      </c>
      <c r="S722" s="845">
        <v>0.1228643216080402</v>
      </c>
      <c r="T722" s="845">
        <v>2.7999999999999997E-2</v>
      </c>
      <c r="U722" s="845">
        <v>0</v>
      </c>
      <c r="V722" s="845">
        <v>4.5999999999999999E-2</v>
      </c>
      <c r="W722" s="845">
        <v>0.14232673267326731</v>
      </c>
      <c r="X722" s="845">
        <v>0.24782608695652175</v>
      </c>
      <c r="Y722" s="845">
        <v>0.88454925079832969</v>
      </c>
      <c r="Z722" s="845">
        <v>1.0562515352493244E-2</v>
      </c>
      <c r="AA722" s="845">
        <v>0</v>
      </c>
      <c r="AB722" s="845">
        <v>0</v>
      </c>
      <c r="AC722" s="845">
        <v>0</v>
      </c>
      <c r="AD722" s="845">
        <v>2.7757307786784573E-2</v>
      </c>
      <c r="AE722" s="845">
        <v>7.7130926062392538E-2</v>
      </c>
      <c r="AF722" s="845">
        <v>7.8850405305821672E-2</v>
      </c>
      <c r="AG722" s="845">
        <v>0.8722672562024073</v>
      </c>
      <c r="AH722" s="20" t="str">
        <f t="shared" si="70"/>
        <v>No</v>
      </c>
      <c r="AI722" s="25"/>
      <c r="AJ722" s="20">
        <v>45378</v>
      </c>
      <c r="AK722" s="20" t="s">
        <v>1721</v>
      </c>
      <c r="AL722" s="20">
        <v>39113</v>
      </c>
      <c r="AM722" s="20" t="s">
        <v>62</v>
      </c>
      <c r="AN722" s="37">
        <f t="shared" si="71"/>
        <v>19430</v>
      </c>
      <c r="AO722" s="37" t="str">
        <f t="shared" si="72"/>
        <v>Dayton-Kettering-Beavercreek, OH</v>
      </c>
      <c r="AP722" s="20" t="s">
        <v>8</v>
      </c>
      <c r="AQ722" s="25"/>
      <c r="AR722" s="25"/>
      <c r="AS722" s="25"/>
      <c r="AT722" s="25"/>
      <c r="AU722" s="36"/>
      <c r="AV722" s="36"/>
      <c r="AW722" s="36"/>
      <c r="AX722" s="25"/>
      <c r="AY722" s="25"/>
      <c r="AZ722" s="25"/>
      <c r="BA722" s="25"/>
      <c r="BB722" s="25"/>
      <c r="BC722" s="25"/>
      <c r="BD722" s="25"/>
      <c r="BE722" s="25"/>
      <c r="BF722" s="25"/>
      <c r="BG722" s="25"/>
      <c r="BH722" s="25"/>
      <c r="BI722" s="25"/>
      <c r="BJ722" s="25"/>
      <c r="BK722" s="25"/>
      <c r="BL722" s="25"/>
      <c r="BM722" s="25"/>
      <c r="BN722" s="25"/>
      <c r="BO722" s="25"/>
      <c r="BP722" s="25"/>
      <c r="BQ722" s="25"/>
      <c r="BR722" s="25"/>
      <c r="BS722" s="25"/>
      <c r="BT722" s="25"/>
      <c r="BU722" s="39">
        <v>45685</v>
      </c>
      <c r="BV722" s="39" t="s">
        <v>1820</v>
      </c>
      <c r="BW722" s="39" t="s">
        <v>2883</v>
      </c>
      <c r="BX722" s="39" t="s">
        <v>2884</v>
      </c>
      <c r="BY722" s="71">
        <v>740</v>
      </c>
      <c r="BZ722" s="71">
        <v>800</v>
      </c>
      <c r="CA722" s="71">
        <v>970</v>
      </c>
      <c r="CB722" s="71">
        <v>1250</v>
      </c>
      <c r="CC722" s="71">
        <v>1440</v>
      </c>
      <c r="CD722" s="25"/>
      <c r="CE722" s="200"/>
      <c r="CF722" s="200"/>
      <c r="CG722" s="200"/>
      <c r="CH722" s="200"/>
      <c r="CI722" s="200"/>
      <c r="CJ722" s="200"/>
      <c r="CK722" s="200"/>
      <c r="CL722" s="200"/>
      <c r="CM722" s="200"/>
      <c r="CN722" s="200"/>
      <c r="CO722" s="200"/>
      <c r="CP722" s="200"/>
      <c r="CQ722" s="200"/>
      <c r="CR722" s="200"/>
      <c r="CS722" s="200"/>
      <c r="CT722" s="200"/>
      <c r="CU722" s="200"/>
    </row>
    <row r="723" spans="1:99" s="17" customFormat="1" x14ac:dyDescent="0.2">
      <c r="A723" s="25"/>
      <c r="B723" s="20">
        <v>39109325000</v>
      </c>
      <c r="C723" s="20">
        <v>3250</v>
      </c>
      <c r="D723" s="20" t="s">
        <v>60</v>
      </c>
      <c r="E723" s="20" t="s">
        <v>2833</v>
      </c>
      <c r="F723" s="20" t="s">
        <v>8</v>
      </c>
      <c r="G723" s="861">
        <v>59.95116310321</v>
      </c>
      <c r="H723" s="861">
        <v>56.935184477506198</v>
      </c>
      <c r="I723" s="861">
        <v>33.411255807163698</v>
      </c>
      <c r="J723" s="861">
        <v>39.896101931806797</v>
      </c>
      <c r="K723" s="982">
        <v>0</v>
      </c>
      <c r="L723" s="735">
        <v>2770</v>
      </c>
      <c r="M723" s="735">
        <v>2708</v>
      </c>
      <c r="N723" s="845">
        <f t="shared" si="68"/>
        <v>-2.2382671480144403E-2</v>
      </c>
      <c r="O723" s="735">
        <v>4.5373540344167838</v>
      </c>
      <c r="P723" s="735">
        <f t="shared" si="69"/>
        <v>596.8236067671271</v>
      </c>
      <c r="Q723" s="849">
        <v>47.8</v>
      </c>
      <c r="R723" s="71">
        <v>53092</v>
      </c>
      <c r="S723" s="845">
        <v>7.2215887495248959E-2</v>
      </c>
      <c r="T723" s="845">
        <v>4.9000000000000002E-2</v>
      </c>
      <c r="U723" s="845">
        <v>1.8000000000000002E-2</v>
      </c>
      <c r="V723" s="845">
        <v>0</v>
      </c>
      <c r="W723" s="845">
        <v>0.33903830480847597</v>
      </c>
      <c r="X723" s="845">
        <v>0.35576923076923078</v>
      </c>
      <c r="Y723" s="845">
        <v>0.97415066469719347</v>
      </c>
      <c r="Z723" s="845">
        <v>1.1078286558345642E-2</v>
      </c>
      <c r="AA723" s="845">
        <v>0</v>
      </c>
      <c r="AB723" s="845">
        <v>0</v>
      </c>
      <c r="AC723" s="845">
        <v>0</v>
      </c>
      <c r="AD723" s="845">
        <v>0</v>
      </c>
      <c r="AE723" s="845">
        <v>1.4771048744460856E-2</v>
      </c>
      <c r="AF723" s="845">
        <v>2.5849335302806499E-3</v>
      </c>
      <c r="AG723" s="845">
        <v>0.9715657311669128</v>
      </c>
      <c r="AH723" s="20" t="str">
        <f t="shared" si="70"/>
        <v>Yes</v>
      </c>
      <c r="AI723" s="25"/>
      <c r="AJ723" s="20">
        <v>45381</v>
      </c>
      <c r="AK723" s="20" t="s">
        <v>1723</v>
      </c>
      <c r="AL723" s="20">
        <v>39113</v>
      </c>
      <c r="AM723" s="20" t="s">
        <v>62</v>
      </c>
      <c r="AN723" s="37">
        <f t="shared" si="71"/>
        <v>19430</v>
      </c>
      <c r="AO723" s="37" t="str">
        <f t="shared" si="72"/>
        <v>Dayton-Kettering-Beavercreek, OH</v>
      </c>
      <c r="AP723" s="20" t="s">
        <v>8</v>
      </c>
      <c r="AQ723" s="25"/>
      <c r="AR723" s="25"/>
      <c r="AS723" s="25"/>
      <c r="AT723" s="25"/>
      <c r="AU723" s="36"/>
      <c r="AV723" s="36"/>
      <c r="AW723" s="36"/>
      <c r="AX723" s="25"/>
      <c r="AY723" s="25"/>
      <c r="AZ723" s="25"/>
      <c r="BA723" s="25"/>
      <c r="BB723" s="25"/>
      <c r="BC723" s="25"/>
      <c r="BD723" s="25"/>
      <c r="BE723" s="25"/>
      <c r="BF723" s="25"/>
      <c r="BG723" s="25"/>
      <c r="BH723" s="25"/>
      <c r="BI723" s="25"/>
      <c r="BJ723" s="25"/>
      <c r="BK723" s="25"/>
      <c r="BL723" s="25"/>
      <c r="BM723" s="25"/>
      <c r="BN723" s="25"/>
      <c r="BO723" s="25"/>
      <c r="BP723" s="25"/>
      <c r="BQ723" s="25"/>
      <c r="BR723" s="25"/>
      <c r="BS723" s="25"/>
      <c r="BT723" s="25"/>
      <c r="BU723" s="39">
        <v>45686</v>
      </c>
      <c r="BV723" s="39" t="s">
        <v>1821</v>
      </c>
      <c r="BW723" s="39" t="s">
        <v>2883</v>
      </c>
      <c r="BX723" s="39" t="s">
        <v>2884</v>
      </c>
      <c r="BY723" s="71">
        <v>800</v>
      </c>
      <c r="BZ723" s="71">
        <v>930</v>
      </c>
      <c r="CA723" s="71">
        <v>1060</v>
      </c>
      <c r="CB723" s="71">
        <v>1330</v>
      </c>
      <c r="CC723" s="71">
        <v>1730</v>
      </c>
      <c r="CD723" s="25"/>
      <c r="CE723" s="200"/>
      <c r="CF723" s="200"/>
      <c r="CG723" s="200"/>
      <c r="CH723" s="200"/>
      <c r="CI723" s="200"/>
      <c r="CJ723" s="200"/>
      <c r="CK723" s="200"/>
      <c r="CL723" s="200"/>
      <c r="CM723" s="200"/>
      <c r="CN723" s="200"/>
      <c r="CO723" s="200"/>
      <c r="CP723" s="200"/>
      <c r="CQ723" s="200"/>
      <c r="CR723" s="200"/>
      <c r="CS723" s="200"/>
      <c r="CT723" s="200"/>
      <c r="CU723" s="200"/>
    </row>
    <row r="724" spans="1:99" s="17" customFormat="1" x14ac:dyDescent="0.2">
      <c r="A724" s="25"/>
      <c r="B724" s="20">
        <v>39049007113</v>
      </c>
      <c r="C724" s="20">
        <v>71.13</v>
      </c>
      <c r="D724" s="20" t="s">
        <v>31</v>
      </c>
      <c r="E724" s="20" t="s">
        <v>2830</v>
      </c>
      <c r="F724" s="20" t="s">
        <v>8</v>
      </c>
      <c r="G724" s="861">
        <v>59.940544932800698</v>
      </c>
      <c r="H724" s="861">
        <v>70.224667876396694</v>
      </c>
      <c r="I724" s="861">
        <v>29.2420116144967</v>
      </c>
      <c r="J724" s="861">
        <v>56.954720338008499</v>
      </c>
      <c r="K724" s="982">
        <v>0</v>
      </c>
      <c r="L724" s="735">
        <v>4356</v>
      </c>
      <c r="M724" s="735">
        <v>6056</v>
      </c>
      <c r="N724" s="845">
        <f t="shared" si="68"/>
        <v>0.39026629935720847</v>
      </c>
      <c r="O724" s="735">
        <v>1.0152695256967801</v>
      </c>
      <c r="P724" s="735">
        <f t="shared" si="69"/>
        <v>5964.9185233288308</v>
      </c>
      <c r="Q724" s="849">
        <v>28</v>
      </c>
      <c r="R724" s="71">
        <v>79864</v>
      </c>
      <c r="S724" s="845">
        <v>0.23811101905550952</v>
      </c>
      <c r="T724" s="845">
        <v>6.6000000000000003E-2</v>
      </c>
      <c r="U724" s="845">
        <v>0</v>
      </c>
      <c r="V724" s="845">
        <v>1.8000000000000002E-2</v>
      </c>
      <c r="W724" s="845">
        <v>0.32747603833865813</v>
      </c>
      <c r="X724" s="845">
        <v>0.46178861788617886</v>
      </c>
      <c r="Y724" s="845">
        <v>0.34709379128137385</v>
      </c>
      <c r="Z724" s="845">
        <v>0.40521796565389695</v>
      </c>
      <c r="AA724" s="845">
        <v>6.9187582562747693E-2</v>
      </c>
      <c r="AB724" s="845">
        <v>7.8929986789960369E-2</v>
      </c>
      <c r="AC724" s="845">
        <v>0</v>
      </c>
      <c r="AD724" s="845">
        <v>4.4418758256274768E-2</v>
      </c>
      <c r="AE724" s="845">
        <v>5.5151915455746367E-2</v>
      </c>
      <c r="AF724" s="845">
        <v>0.16611624834874505</v>
      </c>
      <c r="AG724" s="845">
        <v>0.29441875825627478</v>
      </c>
      <c r="AH724" s="20" t="str">
        <f t="shared" si="70"/>
        <v>No</v>
      </c>
      <c r="AI724" s="25"/>
      <c r="AJ724" s="37">
        <v>45402</v>
      </c>
      <c r="AK724" s="37" t="s">
        <v>1732</v>
      </c>
      <c r="AL724" s="37">
        <v>39113</v>
      </c>
      <c r="AM724" s="37" t="s">
        <v>62</v>
      </c>
      <c r="AN724" s="37">
        <f t="shared" si="71"/>
        <v>19430</v>
      </c>
      <c r="AO724" s="37" t="str">
        <f t="shared" si="72"/>
        <v>Dayton-Kettering-Beavercreek, OH</v>
      </c>
      <c r="AP724" s="20" t="s">
        <v>8</v>
      </c>
      <c r="AQ724" s="25"/>
      <c r="AR724" s="25"/>
      <c r="AS724" s="25"/>
      <c r="AT724" s="25"/>
      <c r="AU724" s="36"/>
      <c r="AV724" s="36"/>
      <c r="AW724" s="36"/>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39">
        <v>45760</v>
      </c>
      <c r="BV724" s="39" t="s">
        <v>1857</v>
      </c>
      <c r="BW724" s="39" t="s">
        <v>2883</v>
      </c>
      <c r="BX724" s="39" t="s">
        <v>2884</v>
      </c>
      <c r="BY724" s="71">
        <v>720</v>
      </c>
      <c r="BZ724" s="71">
        <v>760</v>
      </c>
      <c r="CA724" s="71">
        <v>970</v>
      </c>
      <c r="CB724" s="71">
        <v>1170</v>
      </c>
      <c r="CC724" s="71">
        <v>1560</v>
      </c>
      <c r="CD724" s="25"/>
      <c r="CE724" s="200"/>
      <c r="CF724" s="200"/>
      <c r="CG724" s="200"/>
      <c r="CH724" s="200"/>
      <c r="CI724" s="200"/>
      <c r="CJ724" s="200"/>
      <c r="CK724" s="200"/>
      <c r="CL724" s="200"/>
      <c r="CM724" s="200"/>
      <c r="CN724" s="200"/>
      <c r="CO724" s="200"/>
      <c r="CP724" s="200"/>
      <c r="CQ724" s="200"/>
      <c r="CR724" s="200"/>
      <c r="CS724" s="200"/>
      <c r="CT724" s="200"/>
      <c r="CU724" s="200"/>
    </row>
    <row r="725" spans="1:99" s="17" customFormat="1" x14ac:dyDescent="0.2">
      <c r="A725" s="25"/>
      <c r="B725" s="20">
        <v>39003010100</v>
      </c>
      <c r="C725" s="20">
        <v>101</v>
      </c>
      <c r="D725" s="20" t="s">
        <v>7</v>
      </c>
      <c r="E725" s="20" t="s">
        <v>2835</v>
      </c>
      <c r="F725" s="20" t="s">
        <v>8</v>
      </c>
      <c r="G725" s="861">
        <v>59.909096610723097</v>
      </c>
      <c r="H725" s="861">
        <v>56.1569055388279</v>
      </c>
      <c r="I725" s="861">
        <v>22.8766023251661</v>
      </c>
      <c r="J725" s="861">
        <v>38.619027826149598</v>
      </c>
      <c r="K725" s="982">
        <v>0</v>
      </c>
      <c r="L725" s="735">
        <v>4394</v>
      </c>
      <c r="M725" s="735">
        <v>4078</v>
      </c>
      <c r="N725" s="845">
        <f t="shared" si="68"/>
        <v>-7.1916249431042328E-2</v>
      </c>
      <c r="O725" s="735">
        <v>7.9111258931609543</v>
      </c>
      <c r="P725" s="735">
        <f t="shared" si="69"/>
        <v>515.47656491288649</v>
      </c>
      <c r="Q725" s="849">
        <v>41.2</v>
      </c>
      <c r="R725" s="71">
        <v>76182</v>
      </c>
      <c r="S725" s="845">
        <v>1.5082143819014274E-2</v>
      </c>
      <c r="T725" s="845">
        <v>5.7999999999999996E-2</v>
      </c>
      <c r="U725" s="845">
        <v>0</v>
      </c>
      <c r="V725" s="845">
        <v>6.3E-2</v>
      </c>
      <c r="W725" s="845">
        <v>0.22104607721046077</v>
      </c>
      <c r="X725" s="845">
        <v>0.51267605633802815</v>
      </c>
      <c r="Y725" s="845">
        <v>0.88744482589504659</v>
      </c>
      <c r="Z725" s="845">
        <v>2.3295733202550271E-2</v>
      </c>
      <c r="AA725" s="845">
        <v>0</v>
      </c>
      <c r="AB725" s="845">
        <v>3.1633153506620895E-2</v>
      </c>
      <c r="AC725" s="845">
        <v>0</v>
      </c>
      <c r="AD725" s="845">
        <v>2.4767042667974498E-2</v>
      </c>
      <c r="AE725" s="845">
        <v>3.2859244727807747E-2</v>
      </c>
      <c r="AF725" s="845">
        <v>1.544874938695439E-2</v>
      </c>
      <c r="AG725" s="845">
        <v>0.88744482589504659</v>
      </c>
      <c r="AH725" s="20" t="str">
        <f t="shared" si="70"/>
        <v>No</v>
      </c>
      <c r="AI725" s="25"/>
      <c r="AJ725" s="20">
        <v>45403</v>
      </c>
      <c r="AK725" s="20" t="s">
        <v>1733</v>
      </c>
      <c r="AL725" s="20">
        <v>39113</v>
      </c>
      <c r="AM725" s="20" t="s">
        <v>62</v>
      </c>
      <c r="AN725" s="37">
        <f t="shared" si="71"/>
        <v>19430</v>
      </c>
      <c r="AO725" s="37" t="str">
        <f t="shared" si="72"/>
        <v>Dayton-Kettering-Beavercreek, OH</v>
      </c>
      <c r="AP725" s="20" t="s">
        <v>8</v>
      </c>
      <c r="AQ725" s="25"/>
      <c r="AR725" s="25"/>
      <c r="AS725" s="25"/>
      <c r="AT725" s="25"/>
      <c r="AU725" s="36"/>
      <c r="AV725" s="36"/>
      <c r="AW725" s="36"/>
      <c r="AX725" s="25"/>
      <c r="AY725" s="25"/>
      <c r="AZ725" s="25"/>
      <c r="BA725" s="25"/>
      <c r="BB725" s="25"/>
      <c r="BC725" s="25"/>
      <c r="BD725" s="25"/>
      <c r="BE725" s="25"/>
      <c r="BF725" s="25"/>
      <c r="BG725" s="25"/>
      <c r="BH725" s="25"/>
      <c r="BI725" s="25"/>
      <c r="BJ725" s="25"/>
      <c r="BK725" s="25"/>
      <c r="BL725" s="25"/>
      <c r="BM725" s="25"/>
      <c r="BN725" s="25"/>
      <c r="BO725" s="25"/>
      <c r="BP725" s="25"/>
      <c r="BQ725" s="25"/>
      <c r="BR725" s="25"/>
      <c r="BS725" s="25"/>
      <c r="BT725" s="25"/>
      <c r="BU725" s="39">
        <v>43722</v>
      </c>
      <c r="BV725" s="39" t="s">
        <v>1028</v>
      </c>
      <c r="BW725" s="39" t="s">
        <v>2925</v>
      </c>
      <c r="BX725" s="39" t="s">
        <v>2926</v>
      </c>
      <c r="BY725" s="71">
        <v>810</v>
      </c>
      <c r="BZ725" s="71">
        <v>820</v>
      </c>
      <c r="CA725" s="71">
        <v>1070</v>
      </c>
      <c r="CB725" s="71">
        <v>1390</v>
      </c>
      <c r="CC725" s="71">
        <v>1680</v>
      </c>
      <c r="CD725" s="25"/>
      <c r="CE725" s="200"/>
      <c r="CF725" s="200"/>
      <c r="CG725" s="200"/>
      <c r="CH725" s="200"/>
      <c r="CI725" s="200"/>
      <c r="CJ725" s="200"/>
      <c r="CK725" s="200"/>
      <c r="CL725" s="200"/>
      <c r="CM725" s="200"/>
      <c r="CN725" s="200"/>
      <c r="CO725" s="200"/>
      <c r="CP725" s="200"/>
      <c r="CQ725" s="200"/>
      <c r="CR725" s="200"/>
      <c r="CS725" s="200"/>
      <c r="CT725" s="200"/>
      <c r="CU725" s="200"/>
    </row>
    <row r="726" spans="1:99" s="17" customFormat="1" x14ac:dyDescent="0.2">
      <c r="A726" s="25"/>
      <c r="B726" s="20">
        <v>39101010201</v>
      </c>
      <c r="C726" s="20">
        <v>102.01</v>
      </c>
      <c r="D726" s="20" t="s">
        <v>56</v>
      </c>
      <c r="E726" s="20" t="s">
        <v>265</v>
      </c>
      <c r="F726" s="20" t="s">
        <v>8</v>
      </c>
      <c r="G726" s="861">
        <v>59.902115976751197</v>
      </c>
      <c r="H726" s="861">
        <v>51.404888802591401</v>
      </c>
      <c r="I726" s="861">
        <v>12.3804280730628</v>
      </c>
      <c r="J726" s="861">
        <v>59.5295090778366</v>
      </c>
      <c r="K726" s="982">
        <v>0</v>
      </c>
      <c r="L726" s="735">
        <v>5146</v>
      </c>
      <c r="M726" s="735">
        <v>5244</v>
      </c>
      <c r="N726" s="845">
        <f t="shared" si="68"/>
        <v>1.9043917605907502E-2</v>
      </c>
      <c r="O726" s="735">
        <v>93.619622446838193</v>
      </c>
      <c r="P726" s="735">
        <f t="shared" si="69"/>
        <v>56.013898186545241</v>
      </c>
      <c r="Q726" s="849">
        <v>50.9</v>
      </c>
      <c r="R726" s="71">
        <v>74457</v>
      </c>
      <c r="S726" s="845">
        <v>5.2505966587112173E-2</v>
      </c>
      <c r="T726" s="845">
        <v>4.8000000000000001E-2</v>
      </c>
      <c r="U726" s="845">
        <v>0.02</v>
      </c>
      <c r="V726" s="845">
        <v>0</v>
      </c>
      <c r="W726" s="845">
        <v>0.21556122448979592</v>
      </c>
      <c r="X726" s="845">
        <v>0.16765285996055226</v>
      </c>
      <c r="Y726" s="845">
        <v>0.96853546910755151</v>
      </c>
      <c r="Z726" s="845">
        <v>9.9160945842868033E-3</v>
      </c>
      <c r="AA726" s="845">
        <v>0</v>
      </c>
      <c r="AB726" s="845">
        <v>7.6277650648360034E-4</v>
      </c>
      <c r="AC726" s="845">
        <v>0</v>
      </c>
      <c r="AD726" s="845">
        <v>1.5255530129672007E-3</v>
      </c>
      <c r="AE726" s="845">
        <v>1.9260106788710908E-2</v>
      </c>
      <c r="AF726" s="845">
        <v>8.771929824561403E-3</v>
      </c>
      <c r="AG726" s="845">
        <v>0.96815408085430965</v>
      </c>
      <c r="AH726" s="20" t="str">
        <f t="shared" si="70"/>
        <v>Yes</v>
      </c>
      <c r="AI726" s="25"/>
      <c r="AJ726" s="37">
        <v>45404</v>
      </c>
      <c r="AK726" s="37" t="s">
        <v>1734</v>
      </c>
      <c r="AL726" s="37">
        <v>39113</v>
      </c>
      <c r="AM726" s="37" t="s">
        <v>62</v>
      </c>
      <c r="AN726" s="37">
        <f t="shared" si="71"/>
        <v>19430</v>
      </c>
      <c r="AO726" s="37" t="str">
        <f t="shared" si="72"/>
        <v>Dayton-Kettering-Beavercreek, OH</v>
      </c>
      <c r="AP726" s="20" t="s">
        <v>8</v>
      </c>
      <c r="AQ726" s="25"/>
      <c r="AR726" s="25"/>
      <c r="AS726" s="25"/>
      <c r="AT726" s="25"/>
      <c r="AU726" s="36"/>
      <c r="AV726" s="36"/>
      <c r="AW726" s="36"/>
      <c r="AX726" s="25"/>
      <c r="AY726" s="25"/>
      <c r="AZ726" s="25"/>
      <c r="BA726" s="25"/>
      <c r="BB726" s="25"/>
      <c r="BC726" s="25"/>
      <c r="BD726" s="25"/>
      <c r="BE726" s="25"/>
      <c r="BF726" s="25"/>
      <c r="BG726" s="25"/>
      <c r="BH726" s="25"/>
      <c r="BI726" s="25"/>
      <c r="BJ726" s="25"/>
      <c r="BK726" s="25"/>
      <c r="BL726" s="25"/>
      <c r="BM726" s="25"/>
      <c r="BN726" s="25"/>
      <c r="BO726" s="25"/>
      <c r="BP726" s="25"/>
      <c r="BQ726" s="25"/>
      <c r="BR726" s="25"/>
      <c r="BS726" s="25"/>
      <c r="BT726" s="25"/>
      <c r="BU726" s="39">
        <v>43723</v>
      </c>
      <c r="BV726" s="39" t="s">
        <v>1029</v>
      </c>
      <c r="BW726" s="39" t="s">
        <v>2925</v>
      </c>
      <c r="BX726" s="39" t="s">
        <v>2926</v>
      </c>
      <c r="BY726" s="71">
        <v>740</v>
      </c>
      <c r="BZ726" s="71">
        <v>740</v>
      </c>
      <c r="CA726" s="71">
        <v>970</v>
      </c>
      <c r="CB726" s="71">
        <v>1280</v>
      </c>
      <c r="CC726" s="71">
        <v>1570</v>
      </c>
      <c r="CD726" s="25"/>
      <c r="CE726" s="200"/>
      <c r="CF726" s="200"/>
      <c r="CG726" s="200"/>
      <c r="CH726" s="200"/>
      <c r="CI726" s="200"/>
      <c r="CJ726" s="200"/>
      <c r="CK726" s="200"/>
      <c r="CL726" s="200"/>
      <c r="CM726" s="200"/>
      <c r="CN726" s="200"/>
      <c r="CO726" s="200"/>
      <c r="CP726" s="200"/>
      <c r="CQ726" s="200"/>
      <c r="CR726" s="200"/>
      <c r="CS726" s="200"/>
      <c r="CT726" s="200"/>
      <c r="CU726" s="200"/>
    </row>
    <row r="727" spans="1:99" s="17" customFormat="1" x14ac:dyDescent="0.2">
      <c r="A727" s="25"/>
      <c r="B727" s="20">
        <v>39171950800</v>
      </c>
      <c r="C727" s="20">
        <v>9508</v>
      </c>
      <c r="D727" s="20" t="s">
        <v>91</v>
      </c>
      <c r="E727" s="20" t="s">
        <v>265</v>
      </c>
      <c r="F727" s="20" t="s">
        <v>8</v>
      </c>
      <c r="G727" s="861">
        <v>59.833339238468703</v>
      </c>
      <c r="H727" s="861">
        <v>57.336281076040798</v>
      </c>
      <c r="I727" s="861">
        <v>19.9208168777621</v>
      </c>
      <c r="J727" s="861">
        <v>51.953254162659</v>
      </c>
      <c r="K727" s="982">
        <v>0</v>
      </c>
      <c r="L727" s="735">
        <v>3310</v>
      </c>
      <c r="M727" s="735">
        <v>3555</v>
      </c>
      <c r="N727" s="845">
        <f t="shared" si="68"/>
        <v>7.4018126888217517E-2</v>
      </c>
      <c r="O727" s="735">
        <v>35.861531812205889</v>
      </c>
      <c r="P727" s="735">
        <f t="shared" si="69"/>
        <v>99.131292511883572</v>
      </c>
      <c r="Q727" s="849">
        <v>43.3</v>
      </c>
      <c r="R727" s="71">
        <v>79739</v>
      </c>
      <c r="S727" s="845">
        <v>4.474209176403534E-2</v>
      </c>
      <c r="T727" s="845">
        <v>6.0000000000000001E-3</v>
      </c>
      <c r="U727" s="845">
        <v>2.4E-2</v>
      </c>
      <c r="V727" s="845">
        <v>0</v>
      </c>
      <c r="W727" s="845">
        <v>5.4709141274238225E-2</v>
      </c>
      <c r="X727" s="845">
        <v>0.17721518987341772</v>
      </c>
      <c r="Y727" s="845">
        <v>0.93586497890295361</v>
      </c>
      <c r="Z727" s="845">
        <v>0</v>
      </c>
      <c r="AA727" s="845">
        <v>0</v>
      </c>
      <c r="AB727" s="845">
        <v>1.8002812939521801E-2</v>
      </c>
      <c r="AC727" s="845">
        <v>2.2503516174402251E-3</v>
      </c>
      <c r="AD727" s="845">
        <v>2.8410689170182839E-2</v>
      </c>
      <c r="AE727" s="845">
        <v>1.5471167369901548E-2</v>
      </c>
      <c r="AF727" s="845">
        <v>3.9943741209563996E-2</v>
      </c>
      <c r="AG727" s="845">
        <v>0.93586497890295361</v>
      </c>
      <c r="AH727" s="20" t="str">
        <f t="shared" si="70"/>
        <v>Yes</v>
      </c>
      <c r="AI727" s="25"/>
      <c r="AJ727" s="20">
        <v>45405</v>
      </c>
      <c r="AK727" s="20" t="s">
        <v>1735</v>
      </c>
      <c r="AL727" s="20">
        <v>39113</v>
      </c>
      <c r="AM727" s="20" t="s">
        <v>62</v>
      </c>
      <c r="AN727" s="37">
        <f t="shared" si="71"/>
        <v>19430</v>
      </c>
      <c r="AO727" s="37" t="str">
        <f t="shared" si="72"/>
        <v>Dayton-Kettering-Beavercreek, OH</v>
      </c>
      <c r="AP727" s="20" t="s">
        <v>8</v>
      </c>
      <c r="AQ727" s="25"/>
      <c r="AR727" s="25"/>
      <c r="AS727" s="25"/>
      <c r="AT727" s="25"/>
      <c r="AU727" s="36"/>
      <c r="AV727" s="36"/>
      <c r="AW727" s="36"/>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39">
        <v>43724</v>
      </c>
      <c r="BV727" s="39" t="s">
        <v>1030</v>
      </c>
      <c r="BW727" s="39" t="s">
        <v>2925</v>
      </c>
      <c r="BX727" s="39" t="s">
        <v>2926</v>
      </c>
      <c r="BY727" s="71">
        <v>750</v>
      </c>
      <c r="BZ727" s="71">
        <v>760</v>
      </c>
      <c r="CA727" s="71">
        <v>990</v>
      </c>
      <c r="CB727" s="71">
        <v>1220</v>
      </c>
      <c r="CC727" s="71">
        <v>1400</v>
      </c>
      <c r="CD727" s="25"/>
      <c r="CE727" s="200"/>
      <c r="CF727" s="200"/>
      <c r="CG727" s="200"/>
      <c r="CH727" s="200"/>
      <c r="CI727" s="200"/>
      <c r="CJ727" s="200"/>
      <c r="CK727" s="200"/>
      <c r="CL727" s="200"/>
      <c r="CM727" s="200"/>
      <c r="CN727" s="200"/>
      <c r="CO727" s="200"/>
      <c r="CP727" s="200"/>
      <c r="CQ727" s="200"/>
      <c r="CR727" s="200"/>
      <c r="CS727" s="200"/>
      <c r="CT727" s="200"/>
      <c r="CU727" s="200"/>
    </row>
    <row r="728" spans="1:99" s="17" customFormat="1" x14ac:dyDescent="0.2">
      <c r="A728" s="25"/>
      <c r="B728" s="20">
        <v>39063000200</v>
      </c>
      <c r="C728" s="20">
        <v>2</v>
      </c>
      <c r="D728" s="20" t="s">
        <v>38</v>
      </c>
      <c r="E728" s="20" t="s">
        <v>265</v>
      </c>
      <c r="F728" s="20" t="s">
        <v>8</v>
      </c>
      <c r="G728" s="861">
        <v>59.832607632292699</v>
      </c>
      <c r="H728" s="861">
        <v>55.179971750413699</v>
      </c>
      <c r="I728" s="861">
        <v>30.717835616248099</v>
      </c>
      <c r="J728" s="861">
        <v>48.652616161752498</v>
      </c>
      <c r="K728" s="982">
        <v>0</v>
      </c>
      <c r="L728" s="735">
        <v>5867</v>
      </c>
      <c r="M728" s="735">
        <v>6609</v>
      </c>
      <c r="N728" s="845">
        <f t="shared" si="68"/>
        <v>0.12647008692687917</v>
      </c>
      <c r="O728" s="735">
        <v>87.962093385826392</v>
      </c>
      <c r="P728" s="735">
        <f t="shared" si="69"/>
        <v>75.134637496757534</v>
      </c>
      <c r="Q728" s="849">
        <v>43.9</v>
      </c>
      <c r="R728" s="71">
        <v>81307</v>
      </c>
      <c r="S728" s="845">
        <v>4.633204633204633E-2</v>
      </c>
      <c r="T728" s="845">
        <v>0.04</v>
      </c>
      <c r="U728" s="845">
        <v>0</v>
      </c>
      <c r="V728" s="845">
        <v>5.9000000000000004E-2</v>
      </c>
      <c r="W728" s="845">
        <v>0.22728958101594365</v>
      </c>
      <c r="X728" s="845">
        <v>0.59543230016313209</v>
      </c>
      <c r="Y728" s="845">
        <v>0.88530791345135418</v>
      </c>
      <c r="Z728" s="845">
        <v>6.0523528521712819E-3</v>
      </c>
      <c r="AA728" s="845">
        <v>0</v>
      </c>
      <c r="AB728" s="845">
        <v>4.4030866999546073E-2</v>
      </c>
      <c r="AC728" s="845">
        <v>0</v>
      </c>
      <c r="AD728" s="845">
        <v>1.7703132092601E-2</v>
      </c>
      <c r="AE728" s="845">
        <v>4.6905734604327433E-2</v>
      </c>
      <c r="AF728" s="845">
        <v>5.3109396277802999E-2</v>
      </c>
      <c r="AG728" s="845">
        <v>0.87638069299440158</v>
      </c>
      <c r="AH728" s="20" t="str">
        <f t="shared" si="70"/>
        <v>No</v>
      </c>
      <c r="AI728" s="25"/>
      <c r="AJ728" s="37">
        <v>45406</v>
      </c>
      <c r="AK728" s="37" t="s">
        <v>1736</v>
      </c>
      <c r="AL728" s="37">
        <v>39113</v>
      </c>
      <c r="AM728" s="37" t="s">
        <v>62</v>
      </c>
      <c r="AN728" s="37">
        <f t="shared" si="71"/>
        <v>19430</v>
      </c>
      <c r="AO728" s="37" t="str">
        <f t="shared" si="72"/>
        <v>Dayton-Kettering-Beavercreek, OH</v>
      </c>
      <c r="AP728" s="20" t="s">
        <v>8</v>
      </c>
      <c r="AQ728" s="25"/>
      <c r="AR728" s="25"/>
      <c r="AS728" s="25"/>
      <c r="AT728" s="25"/>
      <c r="AU728" s="36"/>
      <c r="AV728" s="36"/>
      <c r="AW728" s="36"/>
      <c r="AX728" s="25"/>
      <c r="AY728" s="25"/>
      <c r="AZ728" s="25"/>
      <c r="BA728" s="25"/>
      <c r="BB728" s="25"/>
      <c r="BC728" s="25"/>
      <c r="BD728" s="25"/>
      <c r="BE728" s="25"/>
      <c r="BF728" s="25"/>
      <c r="BG728" s="25"/>
      <c r="BH728" s="25"/>
      <c r="BI728" s="25"/>
      <c r="BJ728" s="25"/>
      <c r="BK728" s="25"/>
      <c r="BL728" s="25"/>
      <c r="BM728" s="25"/>
      <c r="BN728" s="25"/>
      <c r="BO728" s="25"/>
      <c r="BP728" s="25"/>
      <c r="BQ728" s="25"/>
      <c r="BR728" s="25"/>
      <c r="BS728" s="25"/>
      <c r="BT728" s="25"/>
      <c r="BU728" s="39">
        <v>43725</v>
      </c>
      <c r="BV728" s="39" t="s">
        <v>1031</v>
      </c>
      <c r="BW728" s="39" t="s">
        <v>2925</v>
      </c>
      <c r="BX728" s="39" t="s">
        <v>2926</v>
      </c>
      <c r="BY728" s="71">
        <v>740</v>
      </c>
      <c r="BZ728" s="71">
        <v>740</v>
      </c>
      <c r="CA728" s="71">
        <v>970</v>
      </c>
      <c r="CB728" s="71">
        <v>1280</v>
      </c>
      <c r="CC728" s="71">
        <v>1570</v>
      </c>
      <c r="CD728" s="25"/>
      <c r="CE728" s="200"/>
      <c r="CF728" s="200"/>
      <c r="CG728" s="200"/>
      <c r="CH728" s="200"/>
      <c r="CI728" s="200"/>
      <c r="CJ728" s="200"/>
      <c r="CK728" s="200"/>
      <c r="CL728" s="200"/>
      <c r="CM728" s="200"/>
      <c r="CN728" s="200"/>
      <c r="CO728" s="200"/>
      <c r="CP728" s="200"/>
      <c r="CQ728" s="200"/>
      <c r="CR728" s="200"/>
      <c r="CS728" s="200"/>
      <c r="CT728" s="200"/>
      <c r="CU728" s="200"/>
    </row>
    <row r="729" spans="1:99" s="17" customFormat="1" x14ac:dyDescent="0.2">
      <c r="A729" s="25"/>
      <c r="B729" s="20">
        <v>39153507501</v>
      </c>
      <c r="C729" s="20">
        <v>5075.01</v>
      </c>
      <c r="D729" s="20" t="s">
        <v>82</v>
      </c>
      <c r="E729" s="20" t="s">
        <v>2843</v>
      </c>
      <c r="F729" s="20" t="s">
        <v>8</v>
      </c>
      <c r="G729" s="861">
        <v>59.823808072771698</v>
      </c>
      <c r="H729" s="861">
        <v>54.528451723140698</v>
      </c>
      <c r="I729" s="861">
        <v>41.439244544191901</v>
      </c>
      <c r="J729" s="861">
        <v>76.397395867740599</v>
      </c>
      <c r="K729" s="982">
        <v>0</v>
      </c>
      <c r="L729" s="735" t="s">
        <v>2466</v>
      </c>
      <c r="M729" s="735">
        <v>2497</v>
      </c>
      <c r="N729" s="845" t="str">
        <f t="shared" si="68"/>
        <v/>
      </c>
      <c r="O729" s="735">
        <v>1.9088875276728587</v>
      </c>
      <c r="P729" s="735">
        <f t="shared" si="69"/>
        <v>1308.0917360511619</v>
      </c>
      <c r="Q729" s="849">
        <v>30.6</v>
      </c>
      <c r="R729" s="71">
        <v>77131</v>
      </c>
      <c r="S729" s="845">
        <v>0.12214657589106928</v>
      </c>
      <c r="T729" s="845">
        <v>1E-3</v>
      </c>
      <c r="U729" s="845">
        <v>0</v>
      </c>
      <c r="V729" s="845">
        <v>0</v>
      </c>
      <c r="W729" s="845">
        <v>0.72863849765258215</v>
      </c>
      <c r="X729" s="845">
        <v>0.18943298969072164</v>
      </c>
      <c r="Y729" s="845">
        <v>0.3448137765318382</v>
      </c>
      <c r="Z729" s="845">
        <v>0.6095314377252703</v>
      </c>
      <c r="AA729" s="845">
        <v>0</v>
      </c>
      <c r="AB729" s="845">
        <v>0</v>
      </c>
      <c r="AC729" s="845">
        <v>0</v>
      </c>
      <c r="AD729" s="845">
        <v>0</v>
      </c>
      <c r="AE729" s="845">
        <v>4.5654785742891467E-2</v>
      </c>
      <c r="AF729" s="845">
        <v>1.5218261914297157E-2</v>
      </c>
      <c r="AG729" s="845">
        <v>0.3448137765318382</v>
      </c>
      <c r="AH729" s="20" t="str">
        <f t="shared" si="70"/>
        <v>No</v>
      </c>
      <c r="AI729" s="25"/>
      <c r="AJ729" s="20">
        <v>45409</v>
      </c>
      <c r="AK729" s="20" t="s">
        <v>1737</v>
      </c>
      <c r="AL729" s="20">
        <v>39113</v>
      </c>
      <c r="AM729" s="20" t="s">
        <v>62</v>
      </c>
      <c r="AN729" s="37">
        <f t="shared" si="71"/>
        <v>19430</v>
      </c>
      <c r="AO729" s="37" t="str">
        <f t="shared" si="72"/>
        <v>Dayton-Kettering-Beavercreek, OH</v>
      </c>
      <c r="AP729" s="20" t="s">
        <v>8</v>
      </c>
      <c r="AQ729" s="25"/>
      <c r="AR729" s="25"/>
      <c r="AS729" s="25"/>
      <c r="AT729" s="25"/>
      <c r="AU729" s="36"/>
      <c r="AV729" s="36"/>
      <c r="AW729" s="36"/>
      <c r="AX729" s="25"/>
      <c r="AY729" s="25"/>
      <c r="AZ729" s="25"/>
      <c r="BA729" s="25"/>
      <c r="BB729" s="25"/>
      <c r="BC729" s="25"/>
      <c r="BD729" s="25"/>
      <c r="BE729" s="25"/>
      <c r="BF729" s="25"/>
      <c r="BG729" s="25"/>
      <c r="BH729" s="25"/>
      <c r="BI729" s="25"/>
      <c r="BJ729" s="25"/>
      <c r="BK729" s="25"/>
      <c r="BL729" s="25"/>
      <c r="BM729" s="25"/>
      <c r="BN729" s="25"/>
      <c r="BO729" s="25"/>
      <c r="BP729" s="25"/>
      <c r="BQ729" s="25"/>
      <c r="BR729" s="25"/>
      <c r="BS729" s="25"/>
      <c r="BT729" s="25"/>
      <c r="BU729" s="39">
        <v>43732</v>
      </c>
      <c r="BV729" s="39" t="s">
        <v>1036</v>
      </c>
      <c r="BW729" s="39" t="s">
        <v>2925</v>
      </c>
      <c r="BX729" s="39" t="s">
        <v>2926</v>
      </c>
      <c r="BY729" s="71">
        <v>740</v>
      </c>
      <c r="BZ729" s="71">
        <v>740</v>
      </c>
      <c r="CA729" s="71">
        <v>970</v>
      </c>
      <c r="CB729" s="71">
        <v>1260</v>
      </c>
      <c r="CC729" s="71">
        <v>1510</v>
      </c>
      <c r="CD729" s="25"/>
      <c r="CE729" s="200"/>
      <c r="CF729" s="200"/>
      <c r="CG729" s="200"/>
      <c r="CH729" s="200"/>
      <c r="CI729" s="200"/>
      <c r="CJ729" s="200"/>
      <c r="CK729" s="200"/>
      <c r="CL729" s="200"/>
      <c r="CM729" s="200"/>
      <c r="CN729" s="200"/>
      <c r="CO729" s="200"/>
      <c r="CP729" s="200"/>
      <c r="CQ729" s="200"/>
      <c r="CR729" s="200"/>
      <c r="CS729" s="200"/>
      <c r="CT729" s="200"/>
      <c r="CU729" s="200"/>
    </row>
    <row r="730" spans="1:99" s="17" customFormat="1" x14ac:dyDescent="0.2">
      <c r="A730" s="25"/>
      <c r="B730" s="20">
        <v>39153531001</v>
      </c>
      <c r="C730" s="20">
        <v>5310.01</v>
      </c>
      <c r="D730" s="20" t="s">
        <v>82</v>
      </c>
      <c r="E730" s="20" t="s">
        <v>2843</v>
      </c>
      <c r="F730" s="20" t="s">
        <v>8</v>
      </c>
      <c r="G730" s="861">
        <v>59.809044508466201</v>
      </c>
      <c r="H730" s="861">
        <v>61.495589046588698</v>
      </c>
      <c r="I730" s="861">
        <v>23.073796497646001</v>
      </c>
      <c r="J730" s="861">
        <v>42.773536100066302</v>
      </c>
      <c r="K730" s="982">
        <v>0</v>
      </c>
      <c r="L730" s="735">
        <v>3449</v>
      </c>
      <c r="M730" s="735">
        <v>3548</v>
      </c>
      <c r="N730" s="845">
        <f t="shared" si="68"/>
        <v>2.8703972165845172E-2</v>
      </c>
      <c r="O730" s="735">
        <v>2.7349751038046271</v>
      </c>
      <c r="P730" s="735">
        <f t="shared" si="69"/>
        <v>1297.2695784558964</v>
      </c>
      <c r="Q730" s="849">
        <v>40.9</v>
      </c>
      <c r="R730" s="71">
        <v>82068</v>
      </c>
      <c r="S730" s="845">
        <v>8.0768144591923191E-2</v>
      </c>
      <c r="T730" s="845">
        <v>2.2000000000000002E-2</v>
      </c>
      <c r="U730" s="845">
        <v>0</v>
      </c>
      <c r="V730" s="845">
        <v>0</v>
      </c>
      <c r="W730" s="845">
        <v>0.20868438107582632</v>
      </c>
      <c r="X730" s="845">
        <v>0.36645962732919257</v>
      </c>
      <c r="Y730" s="845">
        <v>0.93545659526493796</v>
      </c>
      <c r="Z730" s="845">
        <v>7.6099210822998869E-3</v>
      </c>
      <c r="AA730" s="845">
        <v>0</v>
      </c>
      <c r="AB730" s="845">
        <v>2.8184892897406989E-3</v>
      </c>
      <c r="AC730" s="845">
        <v>0</v>
      </c>
      <c r="AD730" s="845">
        <v>1.2119503945885006E-2</v>
      </c>
      <c r="AE730" s="845">
        <v>4.1995490417136412E-2</v>
      </c>
      <c r="AF730" s="845">
        <v>2.0856820744081173E-2</v>
      </c>
      <c r="AG730" s="845">
        <v>0.93348365276211953</v>
      </c>
      <c r="AH730" s="20" t="str">
        <f t="shared" si="70"/>
        <v>Yes</v>
      </c>
      <c r="AI730" s="25"/>
      <c r="AJ730" s="20">
        <v>45410</v>
      </c>
      <c r="AK730" s="20" t="s">
        <v>1738</v>
      </c>
      <c r="AL730" s="20">
        <v>39113</v>
      </c>
      <c r="AM730" s="20" t="s">
        <v>62</v>
      </c>
      <c r="AN730" s="37">
        <f t="shared" si="71"/>
        <v>19430</v>
      </c>
      <c r="AO730" s="37" t="str">
        <f t="shared" si="72"/>
        <v>Dayton-Kettering-Beavercreek, OH</v>
      </c>
      <c r="AP730" s="20" t="s">
        <v>8</v>
      </c>
      <c r="AQ730" s="25"/>
      <c r="AR730" s="25"/>
      <c r="AS730" s="25"/>
      <c r="AT730" s="25"/>
      <c r="AU730" s="36"/>
      <c r="AV730" s="36"/>
      <c r="AW730" s="36"/>
      <c r="AX730" s="25"/>
      <c r="AY730" s="25"/>
      <c r="AZ730" s="25"/>
      <c r="BA730" s="25"/>
      <c r="BB730" s="25"/>
      <c r="BC730" s="25"/>
      <c r="BD730" s="25"/>
      <c r="BE730" s="25"/>
      <c r="BF730" s="25"/>
      <c r="BG730" s="25"/>
      <c r="BH730" s="25"/>
      <c r="BI730" s="25"/>
      <c r="BJ730" s="25"/>
      <c r="BK730" s="25"/>
      <c r="BL730" s="25"/>
      <c r="BM730" s="25"/>
      <c r="BN730" s="25"/>
      <c r="BO730" s="25"/>
      <c r="BP730" s="25"/>
      <c r="BQ730" s="25"/>
      <c r="BR730" s="25"/>
      <c r="BS730" s="25"/>
      <c r="BT730" s="25"/>
      <c r="BU730" s="39">
        <v>43733</v>
      </c>
      <c r="BV730" s="39" t="s">
        <v>1037</v>
      </c>
      <c r="BW730" s="39" t="s">
        <v>2925</v>
      </c>
      <c r="BX730" s="39" t="s">
        <v>2926</v>
      </c>
      <c r="BY730" s="71">
        <v>770</v>
      </c>
      <c r="BZ730" s="71">
        <v>770</v>
      </c>
      <c r="CA730" s="71">
        <v>1010</v>
      </c>
      <c r="CB730" s="71">
        <v>1320</v>
      </c>
      <c r="CC730" s="71">
        <v>1600</v>
      </c>
      <c r="CD730" s="25"/>
      <c r="CE730" s="200"/>
      <c r="CF730" s="200"/>
      <c r="CG730" s="200"/>
      <c r="CH730" s="200"/>
      <c r="CI730" s="200"/>
      <c r="CJ730" s="200"/>
      <c r="CK730" s="200"/>
      <c r="CL730" s="200"/>
      <c r="CM730" s="200"/>
      <c r="CN730" s="200"/>
      <c r="CO730" s="200"/>
      <c r="CP730" s="200"/>
      <c r="CQ730" s="200"/>
      <c r="CR730" s="200"/>
      <c r="CS730" s="200"/>
      <c r="CT730" s="200"/>
      <c r="CU730" s="200"/>
    </row>
    <row r="731" spans="1:99" s="17" customFormat="1" x14ac:dyDescent="0.2">
      <c r="A731" s="25"/>
      <c r="B731" s="20">
        <v>39101000600</v>
      </c>
      <c r="C731" s="20">
        <v>6</v>
      </c>
      <c r="D731" s="20" t="s">
        <v>56</v>
      </c>
      <c r="E731" s="20" t="s">
        <v>265</v>
      </c>
      <c r="F731" s="20" t="s">
        <v>8</v>
      </c>
      <c r="G731" s="861">
        <v>59.777452937054903</v>
      </c>
      <c r="H731" s="861">
        <v>60.460696192028699</v>
      </c>
      <c r="I731" s="861">
        <v>37.793620777881998</v>
      </c>
      <c r="J731" s="861">
        <v>29.916392202312402</v>
      </c>
      <c r="K731" s="982">
        <v>0</v>
      </c>
      <c r="L731" s="735">
        <v>5072</v>
      </c>
      <c r="M731" s="735">
        <v>4977</v>
      </c>
      <c r="N731" s="845">
        <f t="shared" si="68"/>
        <v>-1.8730283911671926E-2</v>
      </c>
      <c r="O731" s="735">
        <v>2.2058255703729852</v>
      </c>
      <c r="P731" s="735">
        <f t="shared" si="69"/>
        <v>2256.2980803411551</v>
      </c>
      <c r="Q731" s="849">
        <v>47.3</v>
      </c>
      <c r="R731" s="71">
        <v>64893</v>
      </c>
      <c r="S731" s="845">
        <v>9.8924277578569919E-2</v>
      </c>
      <c r="T731" s="845">
        <v>4.2999999999999997E-2</v>
      </c>
      <c r="U731" s="845">
        <v>1.4999999999999999E-2</v>
      </c>
      <c r="V731" s="845">
        <v>0</v>
      </c>
      <c r="W731" s="845">
        <v>0.33644423705086329</v>
      </c>
      <c r="X731" s="845">
        <v>0.46879334257975036</v>
      </c>
      <c r="Y731" s="845">
        <v>0.92224231464737794</v>
      </c>
      <c r="Z731" s="845">
        <v>2.7124773960216998E-2</v>
      </c>
      <c r="AA731" s="845">
        <v>0</v>
      </c>
      <c r="AB731" s="845">
        <v>1.8083182640144665E-3</v>
      </c>
      <c r="AC731" s="845">
        <v>0</v>
      </c>
      <c r="AD731" s="845">
        <v>5.8268032951577257E-3</v>
      </c>
      <c r="AE731" s="845">
        <v>4.2997789833232873E-2</v>
      </c>
      <c r="AF731" s="845">
        <v>2.5919228450874021E-2</v>
      </c>
      <c r="AG731" s="845">
        <v>0.91119148081173396</v>
      </c>
      <c r="AH731" s="20" t="str">
        <f t="shared" si="70"/>
        <v>Yes</v>
      </c>
      <c r="AI731" s="25"/>
      <c r="AJ731" s="37">
        <v>45414</v>
      </c>
      <c r="AK731" s="37" t="s">
        <v>1739</v>
      </c>
      <c r="AL731" s="37">
        <v>39113</v>
      </c>
      <c r="AM731" s="37" t="s">
        <v>62</v>
      </c>
      <c r="AN731" s="37">
        <f t="shared" si="71"/>
        <v>19430</v>
      </c>
      <c r="AO731" s="37" t="str">
        <f t="shared" si="72"/>
        <v>Dayton-Kettering-Beavercreek, OH</v>
      </c>
      <c r="AP731" s="20" t="s">
        <v>8</v>
      </c>
      <c r="AQ731" s="25"/>
      <c r="AR731" s="25"/>
      <c r="AS731" s="25"/>
      <c r="AT731" s="25"/>
      <c r="AU731" s="36"/>
      <c r="AV731" s="36"/>
      <c r="AW731" s="36"/>
      <c r="AX731" s="25"/>
      <c r="AY731" s="25"/>
      <c r="AZ731" s="25"/>
      <c r="BA731" s="25"/>
      <c r="BB731" s="25"/>
      <c r="BC731" s="25"/>
      <c r="BD731" s="25"/>
      <c r="BE731" s="25"/>
      <c r="BF731" s="25"/>
      <c r="BG731" s="25"/>
      <c r="BH731" s="25"/>
      <c r="BI731" s="25"/>
      <c r="BJ731" s="25"/>
      <c r="BK731" s="25"/>
      <c r="BL731" s="25"/>
      <c r="BM731" s="25"/>
      <c r="BN731" s="25"/>
      <c r="BO731" s="25"/>
      <c r="BP731" s="25"/>
      <c r="BQ731" s="25"/>
      <c r="BR731" s="25"/>
      <c r="BS731" s="25"/>
      <c r="BT731" s="25"/>
      <c r="BU731" s="39">
        <v>43736</v>
      </c>
      <c r="BV731" s="39" t="s">
        <v>1040</v>
      </c>
      <c r="BW731" s="39" t="s">
        <v>2925</v>
      </c>
      <c r="BX731" s="39" t="s">
        <v>2926</v>
      </c>
      <c r="BY731" s="71">
        <v>800</v>
      </c>
      <c r="BZ731" s="71">
        <v>800</v>
      </c>
      <c r="CA731" s="71">
        <v>1060</v>
      </c>
      <c r="CB731" s="71">
        <v>1350</v>
      </c>
      <c r="CC731" s="71">
        <v>1600</v>
      </c>
      <c r="CD731" s="25"/>
      <c r="CE731" s="200"/>
      <c r="CF731" s="200"/>
      <c r="CG731" s="200"/>
      <c r="CH731" s="200"/>
      <c r="CI731" s="200"/>
      <c r="CJ731" s="200"/>
      <c r="CK731" s="200"/>
      <c r="CL731" s="200"/>
      <c r="CM731" s="200"/>
      <c r="CN731" s="200"/>
      <c r="CO731" s="200"/>
      <c r="CP731" s="200"/>
      <c r="CQ731" s="200"/>
      <c r="CR731" s="200"/>
      <c r="CS731" s="200"/>
      <c r="CT731" s="200"/>
      <c r="CU731" s="200"/>
    </row>
    <row r="732" spans="1:99" s="17" customFormat="1" x14ac:dyDescent="0.2">
      <c r="A732" s="25"/>
      <c r="B732" s="20">
        <v>39025041306</v>
      </c>
      <c r="C732" s="20">
        <v>413.06</v>
      </c>
      <c r="D732" s="20" t="s">
        <v>19</v>
      </c>
      <c r="E732" s="20" t="s">
        <v>2828</v>
      </c>
      <c r="F732" s="20" t="s">
        <v>8</v>
      </c>
      <c r="G732" s="861">
        <v>59.767685909451799</v>
      </c>
      <c r="H732" s="861">
        <v>67.127005842185397</v>
      </c>
      <c r="I732" s="861">
        <v>31.391703564494598</v>
      </c>
      <c r="J732" s="861">
        <v>59.923206152969897</v>
      </c>
      <c r="K732" s="982">
        <v>2</v>
      </c>
      <c r="L732" s="735">
        <v>4159</v>
      </c>
      <c r="M732" s="735">
        <v>5943</v>
      </c>
      <c r="N732" s="845">
        <f t="shared" si="68"/>
        <v>0.42894926665063715</v>
      </c>
      <c r="O732" s="735">
        <v>2.4255833359790984</v>
      </c>
      <c r="P732" s="735">
        <f t="shared" si="69"/>
        <v>2450.1322679152886</v>
      </c>
      <c r="Q732" s="849">
        <v>31.4</v>
      </c>
      <c r="R732" s="71">
        <v>61793</v>
      </c>
      <c r="S732" s="845">
        <v>8.2053072625698317E-2</v>
      </c>
      <c r="T732" s="845">
        <v>4.4999999999999998E-2</v>
      </c>
      <c r="U732" s="845">
        <v>0</v>
      </c>
      <c r="V732" s="845">
        <v>0</v>
      </c>
      <c r="W732" s="845">
        <v>0.76300784034212399</v>
      </c>
      <c r="X732" s="845">
        <v>0.29518916394208317</v>
      </c>
      <c r="Y732" s="845">
        <v>0.85983510011778563</v>
      </c>
      <c r="Z732" s="845">
        <v>1.127376745751304E-2</v>
      </c>
      <c r="AA732" s="845">
        <v>0</v>
      </c>
      <c r="AB732" s="845">
        <v>4.0215379437994282E-2</v>
      </c>
      <c r="AC732" s="845">
        <v>0</v>
      </c>
      <c r="AD732" s="845">
        <v>2.523977788995457E-2</v>
      </c>
      <c r="AE732" s="845">
        <v>6.3435975096752487E-2</v>
      </c>
      <c r="AF732" s="845">
        <v>3.7354871277132759E-2</v>
      </c>
      <c r="AG732" s="845">
        <v>0.83745583038869253</v>
      </c>
      <c r="AH732" s="20" t="str">
        <f t="shared" si="70"/>
        <v>No</v>
      </c>
      <c r="AI732" s="25"/>
      <c r="AJ732" s="20">
        <v>45415</v>
      </c>
      <c r="AK732" s="20" t="s">
        <v>1740</v>
      </c>
      <c r="AL732" s="20">
        <v>39113</v>
      </c>
      <c r="AM732" s="20" t="s">
        <v>62</v>
      </c>
      <c r="AN732" s="37">
        <f t="shared" si="71"/>
        <v>19430</v>
      </c>
      <c r="AO732" s="37" t="str">
        <f t="shared" si="72"/>
        <v>Dayton-Kettering-Beavercreek, OH</v>
      </c>
      <c r="AP732" s="20" t="s">
        <v>8</v>
      </c>
      <c r="AQ732" s="25"/>
      <c r="AR732" s="25"/>
      <c r="AS732" s="25"/>
      <c r="AT732" s="25"/>
      <c r="AU732" s="36"/>
      <c r="AV732" s="36"/>
      <c r="AW732" s="36"/>
      <c r="AX732" s="25"/>
      <c r="AY732" s="25"/>
      <c r="AZ732" s="25"/>
      <c r="BA732" s="25"/>
      <c r="BB732" s="25"/>
      <c r="BC732" s="25"/>
      <c r="BD732" s="25"/>
      <c r="BE732" s="25"/>
      <c r="BF732" s="25"/>
      <c r="BG732" s="25"/>
      <c r="BH732" s="25"/>
      <c r="BI732" s="25"/>
      <c r="BJ732" s="25"/>
      <c r="BK732" s="25"/>
      <c r="BL732" s="25"/>
      <c r="BM732" s="25"/>
      <c r="BN732" s="25"/>
      <c r="BO732" s="25"/>
      <c r="BP732" s="25"/>
      <c r="BQ732" s="25"/>
      <c r="BR732" s="25"/>
      <c r="BS732" s="25"/>
      <c r="BT732" s="25"/>
      <c r="BU732" s="39">
        <v>43750</v>
      </c>
      <c r="BV732" s="39" t="s">
        <v>1048</v>
      </c>
      <c r="BW732" s="39" t="s">
        <v>2925</v>
      </c>
      <c r="BX732" s="39" t="s">
        <v>2926</v>
      </c>
      <c r="BY732" s="71">
        <v>750</v>
      </c>
      <c r="BZ732" s="71">
        <v>750</v>
      </c>
      <c r="CA732" s="71">
        <v>980</v>
      </c>
      <c r="CB732" s="71">
        <v>1290</v>
      </c>
      <c r="CC732" s="71">
        <v>1580</v>
      </c>
      <c r="CD732" s="25"/>
      <c r="CE732" s="200"/>
      <c r="CF732" s="200"/>
      <c r="CG732" s="200"/>
      <c r="CH732" s="200"/>
      <c r="CI732" s="200"/>
      <c r="CJ732" s="200"/>
      <c r="CK732" s="200"/>
      <c r="CL732" s="200"/>
      <c r="CM732" s="200"/>
      <c r="CN732" s="200"/>
      <c r="CO732" s="200"/>
      <c r="CP732" s="200"/>
      <c r="CQ732" s="200"/>
      <c r="CR732" s="200"/>
      <c r="CS732" s="200"/>
      <c r="CT732" s="200"/>
      <c r="CU732" s="200"/>
    </row>
    <row r="733" spans="1:99" s="17" customFormat="1" x14ac:dyDescent="0.2">
      <c r="A733" s="25"/>
      <c r="B733" s="20">
        <v>39061007500</v>
      </c>
      <c r="C733" s="20">
        <v>75</v>
      </c>
      <c r="D733" s="20" t="s">
        <v>37</v>
      </c>
      <c r="E733" s="20" t="s">
        <v>2828</v>
      </c>
      <c r="F733" s="20" t="s">
        <v>8</v>
      </c>
      <c r="G733" s="861">
        <v>59.7542121866679</v>
      </c>
      <c r="H733" s="861">
        <v>59.265423315160497</v>
      </c>
      <c r="I733" s="861">
        <v>40.333628919323999</v>
      </c>
      <c r="J733" s="861">
        <v>58.640216089176903</v>
      </c>
      <c r="K733" s="982">
        <v>0</v>
      </c>
      <c r="L733" s="735">
        <v>1820</v>
      </c>
      <c r="M733" s="735">
        <v>1992</v>
      </c>
      <c r="N733" s="845">
        <f t="shared" si="68"/>
        <v>9.4505494505494503E-2</v>
      </c>
      <c r="O733" s="735">
        <v>0.63005964919275248</v>
      </c>
      <c r="P733" s="735">
        <f t="shared" si="69"/>
        <v>3161.6054171255028</v>
      </c>
      <c r="Q733" s="849">
        <v>48.4</v>
      </c>
      <c r="R733" s="71">
        <v>74388</v>
      </c>
      <c r="S733" s="845">
        <v>0.11546184738955824</v>
      </c>
      <c r="T733" s="845">
        <v>8.0000000000000002E-3</v>
      </c>
      <c r="U733" s="845">
        <v>0</v>
      </c>
      <c r="V733" s="845">
        <v>0</v>
      </c>
      <c r="W733" s="845">
        <v>0.28424015009380865</v>
      </c>
      <c r="X733" s="845">
        <v>0.5907590759075908</v>
      </c>
      <c r="Y733" s="845">
        <v>0.82479919678714864</v>
      </c>
      <c r="Z733" s="845">
        <v>0.11395582329317269</v>
      </c>
      <c r="AA733" s="845">
        <v>0</v>
      </c>
      <c r="AB733" s="845">
        <v>3.5642570281124497E-2</v>
      </c>
      <c r="AC733" s="845">
        <v>0</v>
      </c>
      <c r="AD733" s="845">
        <v>0</v>
      </c>
      <c r="AE733" s="845">
        <v>2.5602409638554216E-2</v>
      </c>
      <c r="AF733" s="845">
        <v>7.0281124497991966E-3</v>
      </c>
      <c r="AG733" s="845">
        <v>0.82479919678714864</v>
      </c>
      <c r="AH733" s="20" t="str">
        <f t="shared" si="70"/>
        <v>No</v>
      </c>
      <c r="AI733" s="25"/>
      <c r="AJ733" s="20">
        <v>45416</v>
      </c>
      <c r="AK733" s="20" t="s">
        <v>1741</v>
      </c>
      <c r="AL733" s="20">
        <v>39113</v>
      </c>
      <c r="AM733" s="20" t="s">
        <v>62</v>
      </c>
      <c r="AN733" s="37">
        <f t="shared" si="71"/>
        <v>19430</v>
      </c>
      <c r="AO733" s="37" t="str">
        <f t="shared" si="72"/>
        <v>Dayton-Kettering-Beavercreek, OH</v>
      </c>
      <c r="AP733" s="20" t="s">
        <v>8</v>
      </c>
      <c r="AQ733" s="25"/>
      <c r="AR733" s="25"/>
      <c r="AS733" s="25"/>
      <c r="AT733" s="25"/>
      <c r="AU733" s="36"/>
      <c r="AV733" s="36"/>
      <c r="AW733" s="36"/>
      <c r="AX733" s="25"/>
      <c r="AY733" s="25"/>
      <c r="AZ733" s="25"/>
      <c r="BA733" s="25"/>
      <c r="BB733" s="25"/>
      <c r="BC733" s="25"/>
      <c r="BD733" s="25"/>
      <c r="BE733" s="25"/>
      <c r="BF733" s="25"/>
      <c r="BG733" s="25"/>
      <c r="BH733" s="25"/>
      <c r="BI733" s="25"/>
      <c r="BJ733" s="25"/>
      <c r="BK733" s="25"/>
      <c r="BL733" s="25"/>
      <c r="BM733" s="25"/>
      <c r="BN733" s="25"/>
      <c r="BO733" s="25"/>
      <c r="BP733" s="25"/>
      <c r="BQ733" s="25"/>
      <c r="BR733" s="25"/>
      <c r="BS733" s="25"/>
      <c r="BT733" s="25"/>
      <c r="BU733" s="39">
        <v>43755</v>
      </c>
      <c r="BV733" s="39" t="s">
        <v>1050</v>
      </c>
      <c r="BW733" s="39" t="s">
        <v>2925</v>
      </c>
      <c r="BX733" s="39" t="s">
        <v>2926</v>
      </c>
      <c r="BY733" s="71">
        <v>920</v>
      </c>
      <c r="BZ733" s="71">
        <v>920</v>
      </c>
      <c r="CA733" s="71">
        <v>1210</v>
      </c>
      <c r="CB733" s="71">
        <v>1590</v>
      </c>
      <c r="CC733" s="71">
        <v>1960</v>
      </c>
      <c r="CD733" s="25"/>
      <c r="CE733" s="200"/>
      <c r="CF733" s="200"/>
      <c r="CG733" s="200"/>
      <c r="CH733" s="200"/>
      <c r="CI733" s="200"/>
      <c r="CJ733" s="200"/>
      <c r="CK733" s="200"/>
      <c r="CL733" s="200"/>
      <c r="CM733" s="200"/>
      <c r="CN733" s="200"/>
      <c r="CO733" s="200"/>
      <c r="CP733" s="200"/>
      <c r="CQ733" s="200"/>
      <c r="CR733" s="200"/>
      <c r="CS733" s="200"/>
      <c r="CT733" s="200"/>
      <c r="CU733" s="200"/>
    </row>
    <row r="734" spans="1:99" s="17" customFormat="1" x14ac:dyDescent="0.2">
      <c r="A734" s="25"/>
      <c r="B734" s="20">
        <v>39165030901</v>
      </c>
      <c r="C734" s="20">
        <v>309.01</v>
      </c>
      <c r="D734" s="20" t="s">
        <v>88</v>
      </c>
      <c r="E734" s="20" t="s">
        <v>2828</v>
      </c>
      <c r="F734" s="20" t="s">
        <v>8</v>
      </c>
      <c r="G734" s="861">
        <v>59.748618323018803</v>
      </c>
      <c r="H734" s="861">
        <v>62.088787631318503</v>
      </c>
      <c r="I734" s="861">
        <v>17.578512189000101</v>
      </c>
      <c r="J734" s="861">
        <v>41.551291292022498</v>
      </c>
      <c r="K734" s="982">
        <v>0</v>
      </c>
      <c r="L734" s="735" t="s">
        <v>2466</v>
      </c>
      <c r="M734" s="735">
        <v>8839</v>
      </c>
      <c r="N734" s="845" t="str">
        <f t="shared" si="68"/>
        <v/>
      </c>
      <c r="O734" s="735">
        <v>3.202925900690718</v>
      </c>
      <c r="P734" s="735">
        <f t="shared" si="69"/>
        <v>2759.6642176747987</v>
      </c>
      <c r="Q734" s="849">
        <v>36.4</v>
      </c>
      <c r="R734" s="71">
        <v>122736</v>
      </c>
      <c r="S734" s="845">
        <v>2.4820676306501196E-2</v>
      </c>
      <c r="T734" s="845">
        <v>4.8000000000000001E-2</v>
      </c>
      <c r="U734" s="845">
        <v>0</v>
      </c>
      <c r="V734" s="845">
        <v>0</v>
      </c>
      <c r="W734" s="845">
        <v>6.1124694376528114E-2</v>
      </c>
      <c r="X734" s="845">
        <v>0.10857142857142857</v>
      </c>
      <c r="Y734" s="845">
        <v>0.8167213485688426</v>
      </c>
      <c r="Z734" s="845">
        <v>2.7604932684692839E-2</v>
      </c>
      <c r="AA734" s="845">
        <v>0</v>
      </c>
      <c r="AB734" s="845">
        <v>3.756081004638534E-2</v>
      </c>
      <c r="AC734" s="845">
        <v>0</v>
      </c>
      <c r="AD734" s="845">
        <v>5.8490779499943434E-2</v>
      </c>
      <c r="AE734" s="845">
        <v>5.9622129200135765E-2</v>
      </c>
      <c r="AF734" s="845">
        <v>2.5455368254327412E-2</v>
      </c>
      <c r="AG734" s="845">
        <v>0.81129087000791944</v>
      </c>
      <c r="AH734" s="20" t="str">
        <f t="shared" si="70"/>
        <v>No</v>
      </c>
      <c r="AI734" s="25"/>
      <c r="AJ734" s="20">
        <v>45417</v>
      </c>
      <c r="AK734" s="20" t="s">
        <v>1742</v>
      </c>
      <c r="AL734" s="20">
        <v>39113</v>
      </c>
      <c r="AM734" s="20" t="s">
        <v>62</v>
      </c>
      <c r="AN734" s="37">
        <f t="shared" si="71"/>
        <v>19430</v>
      </c>
      <c r="AO734" s="37" t="str">
        <f t="shared" si="72"/>
        <v>Dayton-Kettering-Beavercreek, OH</v>
      </c>
      <c r="AP734" s="20" t="s">
        <v>8</v>
      </c>
      <c r="AQ734" s="25"/>
      <c r="AR734" s="25"/>
      <c r="AS734" s="25"/>
      <c r="AT734" s="25"/>
      <c r="AU734" s="36"/>
      <c r="AV734" s="36"/>
      <c r="AW734" s="36"/>
      <c r="AX734" s="25"/>
      <c r="AY734" s="25"/>
      <c r="AZ734" s="25"/>
      <c r="BA734" s="25"/>
      <c r="BB734" s="25"/>
      <c r="BC734" s="25"/>
      <c r="BD734" s="25"/>
      <c r="BE734" s="25"/>
      <c r="BF734" s="25"/>
      <c r="BG734" s="25"/>
      <c r="BH734" s="25"/>
      <c r="BI734" s="25"/>
      <c r="BJ734" s="25"/>
      <c r="BK734" s="25"/>
      <c r="BL734" s="25"/>
      <c r="BM734" s="25"/>
      <c r="BN734" s="25"/>
      <c r="BO734" s="25"/>
      <c r="BP734" s="25"/>
      <c r="BQ734" s="25"/>
      <c r="BR734" s="25"/>
      <c r="BS734" s="25"/>
      <c r="BT734" s="25"/>
      <c r="BU734" s="39">
        <v>43762</v>
      </c>
      <c r="BV734" s="39" t="s">
        <v>1056</v>
      </c>
      <c r="BW734" s="39" t="s">
        <v>2925</v>
      </c>
      <c r="BX734" s="39" t="s">
        <v>2926</v>
      </c>
      <c r="BY734" s="71">
        <v>830</v>
      </c>
      <c r="BZ734" s="71">
        <v>830</v>
      </c>
      <c r="CA734" s="71">
        <v>1000</v>
      </c>
      <c r="CB734" s="71">
        <v>1360</v>
      </c>
      <c r="CC734" s="71">
        <v>1510</v>
      </c>
      <c r="CD734" s="25"/>
      <c r="CE734" s="200"/>
      <c r="CF734" s="200"/>
      <c r="CG734" s="200"/>
      <c r="CH734" s="200"/>
      <c r="CI734" s="200"/>
      <c r="CJ734" s="200"/>
      <c r="CK734" s="200"/>
      <c r="CL734" s="200"/>
      <c r="CM734" s="200"/>
      <c r="CN734" s="200"/>
      <c r="CO734" s="200"/>
      <c r="CP734" s="200"/>
      <c r="CQ734" s="200"/>
      <c r="CR734" s="200"/>
      <c r="CS734" s="200"/>
      <c r="CT734" s="200"/>
      <c r="CU734" s="200"/>
    </row>
    <row r="735" spans="1:99" s="17" customFormat="1" x14ac:dyDescent="0.2">
      <c r="A735" s="25"/>
      <c r="B735" s="20">
        <v>39095010002</v>
      </c>
      <c r="C735" s="20">
        <v>100.02</v>
      </c>
      <c r="D735" s="20" t="s">
        <v>53</v>
      </c>
      <c r="E735" s="20" t="s">
        <v>2839</v>
      </c>
      <c r="F735" s="20" t="s">
        <v>8</v>
      </c>
      <c r="G735" s="861">
        <v>59.747184719817099</v>
      </c>
      <c r="H735" s="861">
        <v>62.055079333822597</v>
      </c>
      <c r="I735" s="861">
        <v>35.307965370830203</v>
      </c>
      <c r="J735" s="861">
        <v>42.5802292015658</v>
      </c>
      <c r="K735" s="982">
        <v>0</v>
      </c>
      <c r="L735" s="735">
        <v>3430</v>
      </c>
      <c r="M735" s="735">
        <v>3046</v>
      </c>
      <c r="N735" s="845">
        <f t="shared" si="68"/>
        <v>-0.1119533527696793</v>
      </c>
      <c r="O735" s="735">
        <v>0.75688687234938701</v>
      </c>
      <c r="P735" s="735">
        <f t="shared" si="69"/>
        <v>4024.3794829538729</v>
      </c>
      <c r="Q735" s="849">
        <v>40.700000000000003</v>
      </c>
      <c r="R735" s="71">
        <v>65156</v>
      </c>
      <c r="S735" s="845">
        <v>9.816152330925805E-2</v>
      </c>
      <c r="T735" s="845">
        <v>8.0000000000000002E-3</v>
      </c>
      <c r="U735" s="845">
        <v>3.5000000000000003E-2</v>
      </c>
      <c r="V735" s="845">
        <v>0.08</v>
      </c>
      <c r="W735" s="845">
        <v>0.45346062052505964</v>
      </c>
      <c r="X735" s="845">
        <v>0.31929824561403508</v>
      </c>
      <c r="Y735" s="845">
        <v>0.8397898883782009</v>
      </c>
      <c r="Z735" s="845">
        <v>1.3788575180564675E-2</v>
      </c>
      <c r="AA735" s="845">
        <v>0</v>
      </c>
      <c r="AB735" s="845">
        <v>5.7452396585686148E-2</v>
      </c>
      <c r="AC735" s="845">
        <v>0</v>
      </c>
      <c r="AD735" s="845">
        <v>1.5101772816808929E-2</v>
      </c>
      <c r="AE735" s="845">
        <v>7.3867367038739334E-2</v>
      </c>
      <c r="AF735" s="845">
        <v>5.7124097176625081E-2</v>
      </c>
      <c r="AG735" s="845">
        <v>0.82928430728824687</v>
      </c>
      <c r="AH735" s="20" t="str">
        <f t="shared" si="70"/>
        <v>No</v>
      </c>
      <c r="AI735" s="25"/>
      <c r="AJ735" s="20">
        <v>45419</v>
      </c>
      <c r="AK735" s="20" t="s">
        <v>1743</v>
      </c>
      <c r="AL735" s="20">
        <v>39113</v>
      </c>
      <c r="AM735" s="20" t="s">
        <v>62</v>
      </c>
      <c r="AN735" s="37">
        <f t="shared" si="71"/>
        <v>19430</v>
      </c>
      <c r="AO735" s="37" t="str">
        <f t="shared" si="72"/>
        <v>Dayton-Kettering-Beavercreek, OH</v>
      </c>
      <c r="AP735" s="20" t="s">
        <v>8</v>
      </c>
      <c r="AQ735" s="25"/>
      <c r="AR735" s="25"/>
      <c r="AS735" s="25"/>
      <c r="AT735" s="25"/>
      <c r="AU735" s="36"/>
      <c r="AV735" s="36"/>
      <c r="AW735" s="36"/>
      <c r="AX735" s="25"/>
      <c r="AY735" s="25"/>
      <c r="AZ735" s="25"/>
      <c r="BA735" s="25"/>
      <c r="BB735" s="25"/>
      <c r="BC735" s="25"/>
      <c r="BD735" s="25"/>
      <c r="BE735" s="25"/>
      <c r="BF735" s="25"/>
      <c r="BG735" s="25"/>
      <c r="BH735" s="25"/>
      <c r="BI735" s="25"/>
      <c r="BJ735" s="25"/>
      <c r="BK735" s="25"/>
      <c r="BL735" s="25"/>
      <c r="BM735" s="25"/>
      <c r="BN735" s="25"/>
      <c r="BO735" s="25"/>
      <c r="BP735" s="25"/>
      <c r="BQ735" s="25"/>
      <c r="BR735" s="25"/>
      <c r="BS735" s="25"/>
      <c r="BT735" s="25"/>
      <c r="BU735" s="39">
        <v>43768</v>
      </c>
      <c r="BV735" s="39" t="s">
        <v>1060</v>
      </c>
      <c r="BW735" s="39" t="s">
        <v>2925</v>
      </c>
      <c r="BX735" s="39" t="s">
        <v>2926</v>
      </c>
      <c r="BY735" s="71">
        <v>1100</v>
      </c>
      <c r="BZ735" s="71">
        <v>1110</v>
      </c>
      <c r="CA735" s="71">
        <v>1450</v>
      </c>
      <c r="CB735" s="71">
        <v>1910</v>
      </c>
      <c r="CC735" s="71">
        <v>2350</v>
      </c>
      <c r="CD735" s="25"/>
      <c r="CE735" s="200"/>
      <c r="CF735" s="200"/>
      <c r="CG735" s="200"/>
      <c r="CH735" s="200"/>
      <c r="CI735" s="200"/>
      <c r="CJ735" s="200"/>
      <c r="CK735" s="200"/>
      <c r="CL735" s="200"/>
      <c r="CM735" s="200"/>
      <c r="CN735" s="200"/>
      <c r="CO735" s="200"/>
      <c r="CP735" s="200"/>
      <c r="CQ735" s="200"/>
      <c r="CR735" s="200"/>
      <c r="CS735" s="200"/>
      <c r="CT735" s="200"/>
      <c r="CU735" s="200"/>
    </row>
    <row r="736" spans="1:99" s="17" customFormat="1" x14ac:dyDescent="0.2">
      <c r="A736" s="25"/>
      <c r="B736" s="20">
        <v>39049005620</v>
      </c>
      <c r="C736" s="20">
        <v>56.2</v>
      </c>
      <c r="D736" s="20" t="s">
        <v>31</v>
      </c>
      <c r="E736" s="20" t="s">
        <v>2830</v>
      </c>
      <c r="F736" s="20" t="s">
        <v>6</v>
      </c>
      <c r="G736" s="861">
        <v>59.738119290434298</v>
      </c>
      <c r="H736" s="861">
        <v>62.668231542913603</v>
      </c>
      <c r="I736" s="861">
        <v>51.718497722029397</v>
      </c>
      <c r="J736" s="861">
        <v>65.361912524501093</v>
      </c>
      <c r="K736" s="982">
        <v>0</v>
      </c>
      <c r="L736" s="735">
        <v>2611</v>
      </c>
      <c r="M736" s="735">
        <v>2156</v>
      </c>
      <c r="N736" s="845">
        <f t="shared" si="68"/>
        <v>-0.17426273458445041</v>
      </c>
      <c r="O736" s="735">
        <v>0.28012599640853181</v>
      </c>
      <c r="P736" s="735">
        <f t="shared" si="69"/>
        <v>7696.5366572252005</v>
      </c>
      <c r="Q736" s="849">
        <v>36.1</v>
      </c>
      <c r="R736" s="71">
        <v>54931</v>
      </c>
      <c r="S736" s="845">
        <v>0.20037105751391465</v>
      </c>
      <c r="T736" s="845">
        <v>4.7E-2</v>
      </c>
      <c r="U736" s="845">
        <v>0</v>
      </c>
      <c r="V736" s="845">
        <v>0</v>
      </c>
      <c r="W736" s="845">
        <v>0.5625</v>
      </c>
      <c r="X736" s="845">
        <v>0.51797385620915037</v>
      </c>
      <c r="Y736" s="845">
        <v>0.56910946196660483</v>
      </c>
      <c r="Z736" s="845">
        <v>0.26484230055658625</v>
      </c>
      <c r="AA736" s="845">
        <v>8.9517625231910952E-2</v>
      </c>
      <c r="AB736" s="845">
        <v>0</v>
      </c>
      <c r="AC736" s="845">
        <v>0</v>
      </c>
      <c r="AD736" s="845">
        <v>5.5658627087198514E-3</v>
      </c>
      <c r="AE736" s="845">
        <v>7.0964749536178109E-2</v>
      </c>
      <c r="AF736" s="845">
        <v>0.14795918367346939</v>
      </c>
      <c r="AG736" s="845">
        <v>0.55333951762523192</v>
      </c>
      <c r="AH736" s="20" t="str">
        <f t="shared" si="70"/>
        <v>No</v>
      </c>
      <c r="AI736" s="25"/>
      <c r="AJ736" s="20">
        <v>45420</v>
      </c>
      <c r="AK736" s="20" t="s">
        <v>1744</v>
      </c>
      <c r="AL736" s="20">
        <v>39113</v>
      </c>
      <c r="AM736" s="20" t="s">
        <v>62</v>
      </c>
      <c r="AN736" s="37">
        <f t="shared" si="71"/>
        <v>19430</v>
      </c>
      <c r="AO736" s="37" t="str">
        <f t="shared" si="72"/>
        <v>Dayton-Kettering-Beavercreek, OH</v>
      </c>
      <c r="AP736" s="20" t="s">
        <v>8</v>
      </c>
      <c r="AQ736" s="25"/>
      <c r="AR736" s="25"/>
      <c r="AS736" s="25"/>
      <c r="AT736" s="25"/>
      <c r="AU736" s="36"/>
      <c r="AV736" s="36"/>
      <c r="AW736" s="36"/>
      <c r="AX736" s="25"/>
      <c r="AY736" s="25"/>
      <c r="AZ736" s="25"/>
      <c r="BA736" s="25"/>
      <c r="BB736" s="25"/>
      <c r="BC736" s="25"/>
      <c r="BD736" s="25"/>
      <c r="BE736" s="25"/>
      <c r="BF736" s="25"/>
      <c r="BG736" s="25"/>
      <c r="BH736" s="25"/>
      <c r="BI736" s="25"/>
      <c r="BJ736" s="25"/>
      <c r="BK736" s="25"/>
      <c r="BL736" s="25"/>
      <c r="BM736" s="25"/>
      <c r="BN736" s="25"/>
      <c r="BO736" s="25"/>
      <c r="BP736" s="25"/>
      <c r="BQ736" s="25"/>
      <c r="BR736" s="25"/>
      <c r="BS736" s="25"/>
      <c r="BT736" s="25"/>
      <c r="BU736" s="39">
        <v>43772</v>
      </c>
      <c r="BV736" s="39" t="s">
        <v>1062</v>
      </c>
      <c r="BW736" s="39" t="s">
        <v>2925</v>
      </c>
      <c r="BX736" s="39" t="s">
        <v>2926</v>
      </c>
      <c r="BY736" s="71">
        <v>740</v>
      </c>
      <c r="BZ736" s="71">
        <v>740</v>
      </c>
      <c r="CA736" s="71">
        <v>970</v>
      </c>
      <c r="CB736" s="71">
        <v>1250</v>
      </c>
      <c r="CC736" s="71">
        <v>1510</v>
      </c>
      <c r="CD736" s="25"/>
      <c r="CE736" s="200"/>
      <c r="CF736" s="200"/>
      <c r="CG736" s="200"/>
      <c r="CH736" s="200"/>
      <c r="CI736" s="200"/>
      <c r="CJ736" s="200"/>
      <c r="CK736" s="200"/>
      <c r="CL736" s="200"/>
      <c r="CM736" s="200"/>
      <c r="CN736" s="200"/>
      <c r="CO736" s="200"/>
      <c r="CP736" s="200"/>
      <c r="CQ736" s="200"/>
      <c r="CR736" s="200"/>
      <c r="CS736" s="200"/>
      <c r="CT736" s="200"/>
      <c r="CU736" s="200"/>
    </row>
    <row r="737" spans="1:99" s="17" customFormat="1" x14ac:dyDescent="0.2">
      <c r="A737" s="25"/>
      <c r="B737" s="20">
        <v>39035153103</v>
      </c>
      <c r="C737" s="20">
        <v>1531.03</v>
      </c>
      <c r="D737" s="20" t="s">
        <v>24</v>
      </c>
      <c r="E737" s="20" t="s">
        <v>2829</v>
      </c>
      <c r="F737" s="20" t="s">
        <v>8</v>
      </c>
      <c r="G737" s="861">
        <v>59.732245090436798</v>
      </c>
      <c r="H737" s="861">
        <v>62.586518678103502</v>
      </c>
      <c r="I737" s="861">
        <v>32.0820046408463</v>
      </c>
      <c r="J737" s="861">
        <v>43.2832875135704</v>
      </c>
      <c r="K737" s="982">
        <v>0</v>
      </c>
      <c r="L737" s="735">
        <v>2623</v>
      </c>
      <c r="M737" s="735">
        <v>2394</v>
      </c>
      <c r="N737" s="845">
        <f t="shared" si="68"/>
        <v>-8.7304613038505521E-2</v>
      </c>
      <c r="O737" s="735">
        <v>1.0102444061026983</v>
      </c>
      <c r="P737" s="735">
        <f t="shared" si="69"/>
        <v>2369.7235892010804</v>
      </c>
      <c r="Q737" s="849">
        <v>46.6</v>
      </c>
      <c r="R737" s="71">
        <v>68214</v>
      </c>
      <c r="S737" s="845">
        <v>0.10317460317460317</v>
      </c>
      <c r="T737" s="845">
        <v>6.6000000000000003E-2</v>
      </c>
      <c r="U737" s="845">
        <v>0</v>
      </c>
      <c r="V737" s="845">
        <v>0</v>
      </c>
      <c r="W737" s="845">
        <v>9.0493601462522846E-2</v>
      </c>
      <c r="X737" s="845">
        <v>0.35353535353535354</v>
      </c>
      <c r="Y737" s="845">
        <v>0.87510442773600672</v>
      </c>
      <c r="Z737" s="845">
        <v>1.8379281537176273E-2</v>
      </c>
      <c r="AA737" s="845">
        <v>6.2656641604010022E-3</v>
      </c>
      <c r="AB737" s="845">
        <v>0</v>
      </c>
      <c r="AC737" s="845">
        <v>0</v>
      </c>
      <c r="AD737" s="845">
        <v>1.2113617376775271E-2</v>
      </c>
      <c r="AE737" s="845">
        <v>8.8137009189640764E-2</v>
      </c>
      <c r="AF737" s="845">
        <v>2.7151211361737676E-2</v>
      </c>
      <c r="AG737" s="845">
        <v>0.86006683375104431</v>
      </c>
      <c r="AH737" s="20" t="str">
        <f t="shared" si="70"/>
        <v>No</v>
      </c>
      <c r="AI737" s="25"/>
      <c r="AJ737" s="20">
        <v>45423</v>
      </c>
      <c r="AK737" s="20" t="s">
        <v>1745</v>
      </c>
      <c r="AL737" s="20">
        <v>39113</v>
      </c>
      <c r="AM737" s="20" t="s">
        <v>62</v>
      </c>
      <c r="AN737" s="37">
        <f t="shared" si="71"/>
        <v>19430</v>
      </c>
      <c r="AO737" s="37" t="str">
        <f t="shared" si="72"/>
        <v>Dayton-Kettering-Beavercreek, OH</v>
      </c>
      <c r="AP737" s="20" t="s">
        <v>8</v>
      </c>
      <c r="AQ737" s="25"/>
      <c r="AR737" s="25"/>
      <c r="AS737" s="25"/>
      <c r="AT737" s="25"/>
      <c r="AU737" s="36"/>
      <c r="AV737" s="36"/>
      <c r="AW737" s="36"/>
      <c r="AX737" s="25"/>
      <c r="AY737" s="25"/>
      <c r="AZ737" s="25"/>
      <c r="BA737" s="25"/>
      <c r="BB737" s="25"/>
      <c r="BC737" s="25"/>
      <c r="BD737" s="25"/>
      <c r="BE737" s="25"/>
      <c r="BF737" s="25"/>
      <c r="BG737" s="25"/>
      <c r="BH737" s="25"/>
      <c r="BI737" s="25"/>
      <c r="BJ737" s="25"/>
      <c r="BK737" s="25"/>
      <c r="BL737" s="25"/>
      <c r="BM737" s="25"/>
      <c r="BN737" s="25"/>
      <c r="BO737" s="25"/>
      <c r="BP737" s="25"/>
      <c r="BQ737" s="25"/>
      <c r="BR737" s="25"/>
      <c r="BS737" s="25"/>
      <c r="BT737" s="25"/>
      <c r="BU737" s="39">
        <v>43778</v>
      </c>
      <c r="BV737" s="39" t="s">
        <v>1065</v>
      </c>
      <c r="BW737" s="39" t="s">
        <v>2925</v>
      </c>
      <c r="BX737" s="39" t="s">
        <v>2926</v>
      </c>
      <c r="BY737" s="71">
        <v>810</v>
      </c>
      <c r="BZ737" s="71">
        <v>820</v>
      </c>
      <c r="CA737" s="71">
        <v>1070</v>
      </c>
      <c r="CB737" s="71">
        <v>1410</v>
      </c>
      <c r="CC737" s="71">
        <v>1730</v>
      </c>
      <c r="CD737" s="25"/>
      <c r="CE737" s="200"/>
      <c r="CF737" s="200"/>
      <c r="CG737" s="200"/>
      <c r="CH737" s="200"/>
      <c r="CI737" s="200"/>
      <c r="CJ737" s="200"/>
      <c r="CK737" s="200"/>
      <c r="CL737" s="200"/>
      <c r="CM737" s="200"/>
      <c r="CN737" s="200"/>
      <c r="CO737" s="200"/>
      <c r="CP737" s="200"/>
      <c r="CQ737" s="200"/>
      <c r="CR737" s="200"/>
      <c r="CS737" s="200"/>
      <c r="CT737" s="200"/>
      <c r="CU737" s="200"/>
    </row>
    <row r="738" spans="1:99" s="17" customFormat="1" x14ac:dyDescent="0.2">
      <c r="A738" s="25"/>
      <c r="B738" s="20">
        <v>39045030601</v>
      </c>
      <c r="C738" s="20">
        <v>306.01</v>
      </c>
      <c r="D738" s="20" t="s">
        <v>29</v>
      </c>
      <c r="E738" s="20" t="s">
        <v>2830</v>
      </c>
      <c r="F738" s="20" t="s">
        <v>8</v>
      </c>
      <c r="G738" s="861">
        <v>59.665359935225602</v>
      </c>
      <c r="H738" s="861">
        <v>65.439618795785606</v>
      </c>
      <c r="I738" s="861">
        <v>15.6927560732902</v>
      </c>
      <c r="J738" s="861">
        <v>52.060523584434101</v>
      </c>
      <c r="K738" s="982">
        <v>0</v>
      </c>
      <c r="L738" s="735" t="s">
        <v>2466</v>
      </c>
      <c r="M738" s="735">
        <v>8112</v>
      </c>
      <c r="N738" s="845" t="str">
        <f t="shared" si="68"/>
        <v/>
      </c>
      <c r="O738" s="735">
        <v>4.912226411726655</v>
      </c>
      <c r="P738" s="735">
        <f t="shared" si="69"/>
        <v>1651.3896795625549</v>
      </c>
      <c r="Q738" s="849">
        <v>35.200000000000003</v>
      </c>
      <c r="R738" s="71">
        <v>139598</v>
      </c>
      <c r="S738" s="845">
        <v>1.1093107316465163E-2</v>
      </c>
      <c r="T738" s="845">
        <v>0.04</v>
      </c>
      <c r="U738" s="845">
        <v>0</v>
      </c>
      <c r="V738" s="845">
        <v>0</v>
      </c>
      <c r="W738" s="845">
        <v>8.6719731881022208E-2</v>
      </c>
      <c r="X738" s="845">
        <v>0.20289855072463769</v>
      </c>
      <c r="Y738" s="845">
        <v>0.60515285996055224</v>
      </c>
      <c r="Z738" s="845">
        <v>0.19563609467455623</v>
      </c>
      <c r="AA738" s="845">
        <v>0</v>
      </c>
      <c r="AB738" s="845">
        <v>8.2840236686390539E-2</v>
      </c>
      <c r="AC738" s="845">
        <v>0</v>
      </c>
      <c r="AD738" s="845">
        <v>1.2943786982248521E-2</v>
      </c>
      <c r="AE738" s="845">
        <v>0.10342702169625247</v>
      </c>
      <c r="AF738" s="845">
        <v>5.3500986193293888E-2</v>
      </c>
      <c r="AG738" s="845">
        <v>0.58653846153846156</v>
      </c>
      <c r="AH738" s="20" t="str">
        <f t="shared" si="70"/>
        <v>No</v>
      </c>
      <c r="AI738" s="25"/>
      <c r="AJ738" s="37">
        <v>45424</v>
      </c>
      <c r="AK738" s="37" t="s">
        <v>1746</v>
      </c>
      <c r="AL738" s="37">
        <v>39113</v>
      </c>
      <c r="AM738" s="37" t="s">
        <v>62</v>
      </c>
      <c r="AN738" s="37">
        <f t="shared" si="71"/>
        <v>19430</v>
      </c>
      <c r="AO738" s="37" t="str">
        <f t="shared" si="72"/>
        <v>Dayton-Kettering-Beavercreek, OH</v>
      </c>
      <c r="AP738" s="20" t="s">
        <v>8</v>
      </c>
      <c r="AQ738" s="25"/>
      <c r="AR738" s="25"/>
      <c r="AS738" s="25"/>
      <c r="AT738" s="25"/>
      <c r="AU738" s="36"/>
      <c r="AV738" s="36"/>
      <c r="AW738" s="36"/>
      <c r="AX738" s="25"/>
      <c r="AY738" s="25"/>
      <c r="AZ738" s="25"/>
      <c r="BA738" s="25"/>
      <c r="BB738" s="25"/>
      <c r="BC738" s="25"/>
      <c r="BD738" s="25"/>
      <c r="BE738" s="25"/>
      <c r="BF738" s="25"/>
      <c r="BG738" s="25"/>
      <c r="BH738" s="25"/>
      <c r="BI738" s="25"/>
      <c r="BJ738" s="25"/>
      <c r="BK738" s="25"/>
      <c r="BL738" s="25"/>
      <c r="BM738" s="25"/>
      <c r="BN738" s="25"/>
      <c r="BO738" s="25"/>
      <c r="BP738" s="25"/>
      <c r="BQ738" s="25"/>
      <c r="BR738" s="25"/>
      <c r="BS738" s="25"/>
      <c r="BT738" s="25"/>
      <c r="BU738" s="39">
        <v>43780</v>
      </c>
      <c r="BV738" s="39" t="s">
        <v>1067</v>
      </c>
      <c r="BW738" s="39" t="s">
        <v>2925</v>
      </c>
      <c r="BX738" s="39" t="s">
        <v>2926</v>
      </c>
      <c r="BY738" s="71">
        <v>850</v>
      </c>
      <c r="BZ738" s="71">
        <v>860</v>
      </c>
      <c r="CA738" s="71">
        <v>1120</v>
      </c>
      <c r="CB738" s="71">
        <v>1460</v>
      </c>
      <c r="CC738" s="71">
        <v>1760</v>
      </c>
      <c r="CD738" s="25"/>
      <c r="CE738" s="200"/>
      <c r="CF738" s="200"/>
      <c r="CG738" s="200"/>
      <c r="CH738" s="200"/>
      <c r="CI738" s="200"/>
      <c r="CJ738" s="200"/>
      <c r="CK738" s="200"/>
      <c r="CL738" s="200"/>
      <c r="CM738" s="200"/>
      <c r="CN738" s="200"/>
      <c r="CO738" s="200"/>
      <c r="CP738" s="200"/>
      <c r="CQ738" s="200"/>
      <c r="CR738" s="200"/>
      <c r="CS738" s="200"/>
      <c r="CT738" s="200"/>
      <c r="CU738" s="200"/>
    </row>
    <row r="739" spans="1:99" s="17" customFormat="1" x14ac:dyDescent="0.2">
      <c r="A739" s="25"/>
      <c r="B739" s="20">
        <v>39155931602</v>
      </c>
      <c r="C739" s="20">
        <v>9316.02</v>
      </c>
      <c r="D739" s="20" t="s">
        <v>83</v>
      </c>
      <c r="E739" s="20" t="s">
        <v>2842</v>
      </c>
      <c r="F739" s="20" t="s">
        <v>8</v>
      </c>
      <c r="G739" s="861">
        <v>59.660201157691603</v>
      </c>
      <c r="H739" s="861">
        <v>59.7779524990125</v>
      </c>
      <c r="I739" s="861">
        <v>21.677910570731299</v>
      </c>
      <c r="J739" s="861">
        <v>38.434930241326903</v>
      </c>
      <c r="K739" s="982">
        <v>0</v>
      </c>
      <c r="L739" s="735">
        <v>3246</v>
      </c>
      <c r="M739" s="735">
        <v>3018</v>
      </c>
      <c r="N739" s="845">
        <f t="shared" si="68"/>
        <v>-7.0240295748613679E-2</v>
      </c>
      <c r="O739" s="735">
        <v>1.4023693722671182</v>
      </c>
      <c r="P739" s="735">
        <f t="shared" si="69"/>
        <v>2152.072100035241</v>
      </c>
      <c r="Q739" s="849">
        <v>41.9</v>
      </c>
      <c r="R739" s="71">
        <v>79722</v>
      </c>
      <c r="S739" s="845">
        <v>4.4068919814446654E-2</v>
      </c>
      <c r="T739" s="845">
        <v>6.0000000000000001E-3</v>
      </c>
      <c r="U739" s="845">
        <v>1.9E-2</v>
      </c>
      <c r="V739" s="845">
        <v>6.6000000000000003E-2</v>
      </c>
      <c r="W739" s="845">
        <v>0.21325878594249201</v>
      </c>
      <c r="X739" s="845">
        <v>0.31835205992509363</v>
      </c>
      <c r="Y739" s="845">
        <v>0.94102054340622932</v>
      </c>
      <c r="Z739" s="845">
        <v>1.7561298873426109E-2</v>
      </c>
      <c r="AA739" s="845">
        <v>0</v>
      </c>
      <c r="AB739" s="845">
        <v>1.2259774685222002E-2</v>
      </c>
      <c r="AC739" s="845">
        <v>0</v>
      </c>
      <c r="AD739" s="845">
        <v>9.9403578528827028E-4</v>
      </c>
      <c r="AE739" s="845">
        <v>2.8164347249834326E-2</v>
      </c>
      <c r="AF739" s="845">
        <v>8.6149768058316773E-3</v>
      </c>
      <c r="AG739" s="845">
        <v>0.93704440026507618</v>
      </c>
      <c r="AH739" s="20" t="str">
        <f t="shared" si="70"/>
        <v>Yes</v>
      </c>
      <c r="AI739" s="25"/>
      <c r="AJ739" s="37">
        <v>45426</v>
      </c>
      <c r="AK739" s="37" t="s">
        <v>1747</v>
      </c>
      <c r="AL739" s="37">
        <v>39113</v>
      </c>
      <c r="AM739" s="37" t="s">
        <v>62</v>
      </c>
      <c r="AN739" s="37">
        <f t="shared" si="71"/>
        <v>19430</v>
      </c>
      <c r="AO739" s="37" t="str">
        <f t="shared" si="72"/>
        <v>Dayton-Kettering-Beavercreek, OH</v>
      </c>
      <c r="AP739" s="20" t="s">
        <v>8</v>
      </c>
      <c r="AQ739" s="25"/>
      <c r="AR739" s="25"/>
      <c r="AS739" s="25"/>
      <c r="AT739" s="25"/>
      <c r="AU739" s="36"/>
      <c r="AV739" s="36"/>
      <c r="AW739" s="36"/>
      <c r="AX739" s="25"/>
      <c r="AY739" s="25"/>
      <c r="AZ739" s="25"/>
      <c r="BA739" s="25"/>
      <c r="BB739" s="25"/>
      <c r="BC739" s="25"/>
      <c r="BD739" s="25"/>
      <c r="BE739" s="25"/>
      <c r="BF739" s="25"/>
      <c r="BG739" s="25"/>
      <c r="BH739" s="25"/>
      <c r="BI739" s="25"/>
      <c r="BJ739" s="25"/>
      <c r="BK739" s="25"/>
      <c r="BL739" s="25"/>
      <c r="BM739" s="25"/>
      <c r="BN739" s="25"/>
      <c r="BO739" s="25"/>
      <c r="BP739" s="25"/>
      <c r="BQ739" s="25"/>
      <c r="BR739" s="25"/>
      <c r="BS739" s="25"/>
      <c r="BT739" s="25"/>
      <c r="BU739" s="39">
        <v>43837</v>
      </c>
      <c r="BV739" s="39" t="s">
        <v>1086</v>
      </c>
      <c r="BW739" s="39" t="s">
        <v>2925</v>
      </c>
      <c r="BX739" s="39" t="s">
        <v>2926</v>
      </c>
      <c r="BY739" s="71">
        <v>840</v>
      </c>
      <c r="BZ739" s="71">
        <v>850</v>
      </c>
      <c r="CA739" s="71">
        <v>1110</v>
      </c>
      <c r="CB739" s="71">
        <v>1430</v>
      </c>
      <c r="CC739" s="71">
        <v>1620</v>
      </c>
      <c r="CD739" s="25"/>
      <c r="CE739" s="200"/>
      <c r="CF739" s="200"/>
      <c r="CG739" s="200"/>
      <c r="CH739" s="200"/>
      <c r="CI739" s="200"/>
      <c r="CJ739" s="200"/>
      <c r="CK739" s="200"/>
      <c r="CL739" s="200"/>
      <c r="CM739" s="200"/>
      <c r="CN739" s="200"/>
      <c r="CO739" s="200"/>
      <c r="CP739" s="200"/>
      <c r="CQ739" s="200"/>
      <c r="CR739" s="200"/>
      <c r="CS739" s="200"/>
      <c r="CT739" s="200"/>
      <c r="CU739" s="200"/>
    </row>
    <row r="740" spans="1:99" s="17" customFormat="1" x14ac:dyDescent="0.2">
      <c r="A740" s="25"/>
      <c r="B740" s="20">
        <v>39041011411</v>
      </c>
      <c r="C740" s="20">
        <v>114.11</v>
      </c>
      <c r="D740" s="20" t="s">
        <v>27</v>
      </c>
      <c r="E740" s="20" t="s">
        <v>2830</v>
      </c>
      <c r="F740" s="20" t="s">
        <v>8</v>
      </c>
      <c r="G740" s="861">
        <v>59.6405023244983</v>
      </c>
      <c r="H740" s="861">
        <v>58.236168501412699</v>
      </c>
      <c r="I740" s="861">
        <v>32.252126941822702</v>
      </c>
      <c r="J740" s="861">
        <v>30.389783256588501</v>
      </c>
      <c r="K740" s="982">
        <v>0</v>
      </c>
      <c r="L740" s="735">
        <v>2916</v>
      </c>
      <c r="M740" s="735">
        <v>3347</v>
      </c>
      <c r="N740" s="845">
        <f t="shared" si="68"/>
        <v>0.14780521262002744</v>
      </c>
      <c r="O740" s="735">
        <v>1.8336671051358611</v>
      </c>
      <c r="P740" s="735">
        <f t="shared" si="69"/>
        <v>1825.304053623197</v>
      </c>
      <c r="Q740" s="849">
        <v>43.3</v>
      </c>
      <c r="R740" s="71">
        <v>150167</v>
      </c>
      <c r="S740" s="845">
        <v>5.3673163418290856E-2</v>
      </c>
      <c r="T740" s="845">
        <v>3.4000000000000002E-2</v>
      </c>
      <c r="U740" s="845">
        <v>0</v>
      </c>
      <c r="V740" s="845">
        <v>0</v>
      </c>
      <c r="W740" s="845">
        <v>6.7213114754098358E-2</v>
      </c>
      <c r="X740" s="845">
        <v>0.37804878048780488</v>
      </c>
      <c r="Y740" s="845">
        <v>0.90558709291903194</v>
      </c>
      <c r="Z740" s="845">
        <v>1.5237526142814461E-2</v>
      </c>
      <c r="AA740" s="845">
        <v>0</v>
      </c>
      <c r="AB740" s="845">
        <v>1.6731401254855095E-2</v>
      </c>
      <c r="AC740" s="845">
        <v>0</v>
      </c>
      <c r="AD740" s="845">
        <v>4.7804003585300266E-3</v>
      </c>
      <c r="AE740" s="845">
        <v>5.7663579324768448E-2</v>
      </c>
      <c r="AF740" s="845">
        <v>5.1688078876605918E-2</v>
      </c>
      <c r="AG740" s="845">
        <v>0.88228264117119803</v>
      </c>
      <c r="AH740" s="20" t="str">
        <f t="shared" si="70"/>
        <v>No</v>
      </c>
      <c r="AI740" s="25"/>
      <c r="AJ740" s="37">
        <v>45428</v>
      </c>
      <c r="AK740" s="37" t="s">
        <v>1748</v>
      </c>
      <c r="AL740" s="37">
        <v>39113</v>
      </c>
      <c r="AM740" s="37" t="s">
        <v>62</v>
      </c>
      <c r="AN740" s="37">
        <f t="shared" si="71"/>
        <v>19430</v>
      </c>
      <c r="AO740" s="37" t="str">
        <f t="shared" si="72"/>
        <v>Dayton-Kettering-Beavercreek, OH</v>
      </c>
      <c r="AP740" s="20" t="s">
        <v>8</v>
      </c>
      <c r="AQ740" s="25"/>
      <c r="AR740" s="25"/>
      <c r="AS740" s="25"/>
      <c r="AT740" s="25"/>
      <c r="AU740" s="36"/>
      <c r="AV740" s="36"/>
      <c r="AW740" s="36"/>
      <c r="AX740" s="25"/>
      <c r="AY740" s="25"/>
      <c r="AZ740" s="25"/>
      <c r="BA740" s="25"/>
      <c r="BB740" s="25"/>
      <c r="BC740" s="25"/>
      <c r="BD740" s="25"/>
      <c r="BE740" s="25"/>
      <c r="BF740" s="25"/>
      <c r="BG740" s="25"/>
      <c r="BH740" s="25"/>
      <c r="BI740" s="25"/>
      <c r="BJ740" s="25"/>
      <c r="BK740" s="25"/>
      <c r="BL740" s="25"/>
      <c r="BM740" s="25"/>
      <c r="BN740" s="25"/>
      <c r="BO740" s="25"/>
      <c r="BP740" s="25"/>
      <c r="BQ740" s="25"/>
      <c r="BR740" s="25"/>
      <c r="BS740" s="25"/>
      <c r="BT740" s="25"/>
      <c r="BU740" s="39">
        <v>44699</v>
      </c>
      <c r="BV740" s="39" t="s">
        <v>1450</v>
      </c>
      <c r="BW740" s="39" t="s">
        <v>2925</v>
      </c>
      <c r="BX740" s="39" t="s">
        <v>2926</v>
      </c>
      <c r="BY740" s="71">
        <v>820</v>
      </c>
      <c r="BZ740" s="71">
        <v>830</v>
      </c>
      <c r="CA740" s="71">
        <v>1080</v>
      </c>
      <c r="CB740" s="71">
        <v>1400</v>
      </c>
      <c r="CC740" s="71">
        <v>1550</v>
      </c>
      <c r="CD740" s="25"/>
      <c r="CE740" s="200"/>
      <c r="CF740" s="200"/>
      <c r="CG740" s="200"/>
      <c r="CH740" s="200"/>
      <c r="CI740" s="200"/>
      <c r="CJ740" s="200"/>
      <c r="CK740" s="200"/>
      <c r="CL740" s="200"/>
      <c r="CM740" s="200"/>
      <c r="CN740" s="200"/>
      <c r="CO740" s="200"/>
      <c r="CP740" s="200"/>
      <c r="CQ740" s="200"/>
      <c r="CR740" s="200"/>
      <c r="CS740" s="200"/>
      <c r="CT740" s="200"/>
      <c r="CU740" s="200"/>
    </row>
    <row r="741" spans="1:99" s="17" customFormat="1" x14ac:dyDescent="0.2">
      <c r="A741" s="25"/>
      <c r="B741" s="20">
        <v>39173020402</v>
      </c>
      <c r="C741" s="20">
        <v>204.02</v>
      </c>
      <c r="D741" s="20" t="s">
        <v>92</v>
      </c>
      <c r="E741" s="20" t="s">
        <v>2839</v>
      </c>
      <c r="F741" s="20" t="s">
        <v>8</v>
      </c>
      <c r="G741" s="861">
        <v>59.609888295064202</v>
      </c>
      <c r="H741" s="861">
        <v>53.289048325553999</v>
      </c>
      <c r="I741" s="861">
        <v>18.507944371796199</v>
      </c>
      <c r="J741" s="861">
        <v>35.209748069890999</v>
      </c>
      <c r="K741" s="982">
        <v>0</v>
      </c>
      <c r="L741" s="735">
        <v>5428</v>
      </c>
      <c r="M741" s="735">
        <v>6427</v>
      </c>
      <c r="N741" s="845">
        <f t="shared" si="68"/>
        <v>0.18404568901989682</v>
      </c>
      <c r="O741" s="735">
        <v>2.7695999731828884</v>
      </c>
      <c r="P741" s="735">
        <f t="shared" si="69"/>
        <v>2320.5517266863426</v>
      </c>
      <c r="Q741" s="849">
        <v>38.4</v>
      </c>
      <c r="R741" s="71">
        <v>82604</v>
      </c>
      <c r="S741" s="845">
        <v>3.2052279446086823E-2</v>
      </c>
      <c r="T741" s="845">
        <v>2.8999999999999998E-2</v>
      </c>
      <c r="U741" s="845">
        <v>0</v>
      </c>
      <c r="V741" s="845">
        <v>4.4000000000000004E-2</v>
      </c>
      <c r="W741" s="845">
        <v>0.31350542461653574</v>
      </c>
      <c r="X741" s="845">
        <v>9.9045346062052508E-2</v>
      </c>
      <c r="Y741" s="845">
        <v>0.83693791815777185</v>
      </c>
      <c r="Z741" s="845">
        <v>7.6240858876614279E-3</v>
      </c>
      <c r="AA741" s="845">
        <v>5.9125564026762095E-3</v>
      </c>
      <c r="AB741" s="845">
        <v>6.3326590944453087E-2</v>
      </c>
      <c r="AC741" s="845">
        <v>0</v>
      </c>
      <c r="AD741" s="845">
        <v>6.2237435817644312E-3</v>
      </c>
      <c r="AE741" s="845">
        <v>7.9975105025672941E-2</v>
      </c>
      <c r="AF741" s="845">
        <v>6.4104558892173646E-2</v>
      </c>
      <c r="AG741" s="845">
        <v>0.82386805663606655</v>
      </c>
      <c r="AH741" s="20" t="str">
        <f t="shared" si="70"/>
        <v>No</v>
      </c>
      <c r="AI741" s="25"/>
      <c r="AJ741" s="20">
        <v>45429</v>
      </c>
      <c r="AK741" s="20" t="s">
        <v>1749</v>
      </c>
      <c r="AL741" s="20">
        <v>39113</v>
      </c>
      <c r="AM741" s="20" t="s">
        <v>62</v>
      </c>
      <c r="AN741" s="37">
        <f t="shared" si="71"/>
        <v>19430</v>
      </c>
      <c r="AO741" s="37" t="str">
        <f t="shared" si="72"/>
        <v>Dayton-Kettering-Beavercreek, OH</v>
      </c>
      <c r="AP741" s="20" t="s">
        <v>8</v>
      </c>
      <c r="AQ741" s="25"/>
      <c r="AR741" s="25"/>
      <c r="AS741" s="25"/>
      <c r="AT741" s="25"/>
      <c r="AU741" s="36"/>
      <c r="AV741" s="36"/>
      <c r="AW741" s="36"/>
      <c r="AX741" s="25"/>
      <c r="AY741" s="25"/>
      <c r="AZ741" s="25"/>
      <c r="BA741" s="25"/>
      <c r="BB741" s="25"/>
      <c r="BC741" s="25"/>
      <c r="BD741" s="25"/>
      <c r="BE741" s="25"/>
      <c r="BF741" s="25"/>
      <c r="BG741" s="25"/>
      <c r="BH741" s="25"/>
      <c r="BI741" s="25"/>
      <c r="BJ741" s="25"/>
      <c r="BK741" s="25"/>
      <c r="BL741" s="25"/>
      <c r="BM741" s="25"/>
      <c r="BN741" s="25"/>
      <c r="BO741" s="25"/>
      <c r="BP741" s="25"/>
      <c r="BQ741" s="25"/>
      <c r="BR741" s="25"/>
      <c r="BS741" s="25"/>
      <c r="BT741" s="25"/>
      <c r="BU741" s="39">
        <v>43316</v>
      </c>
      <c r="BV741" s="39" t="s">
        <v>871</v>
      </c>
      <c r="BW741" s="39" t="s">
        <v>2936</v>
      </c>
      <c r="BX741" s="39" t="s">
        <v>2937</v>
      </c>
      <c r="BY741" s="71">
        <v>800</v>
      </c>
      <c r="BZ741" s="71">
        <v>860</v>
      </c>
      <c r="CA741" s="71">
        <v>1050</v>
      </c>
      <c r="CB741" s="71">
        <v>1340</v>
      </c>
      <c r="CC741" s="71">
        <v>1530</v>
      </c>
      <c r="CD741" s="25"/>
      <c r="CE741" s="200"/>
      <c r="CF741" s="200"/>
      <c r="CG741" s="200"/>
      <c r="CH741" s="200"/>
      <c r="CI741" s="200"/>
      <c r="CJ741" s="200"/>
      <c r="CK741" s="200"/>
      <c r="CL741" s="200"/>
      <c r="CM741" s="200"/>
      <c r="CN741" s="200"/>
      <c r="CO741" s="200"/>
      <c r="CP741" s="200"/>
      <c r="CQ741" s="200"/>
      <c r="CR741" s="200"/>
      <c r="CS741" s="200"/>
      <c r="CT741" s="200"/>
      <c r="CU741" s="200"/>
    </row>
    <row r="742" spans="1:99" s="17" customFormat="1" x14ac:dyDescent="0.2">
      <c r="A742" s="25"/>
      <c r="B742" s="20">
        <v>39095009204</v>
      </c>
      <c r="C742" s="20">
        <v>92.04</v>
      </c>
      <c r="D742" s="20" t="s">
        <v>53</v>
      </c>
      <c r="E742" s="20" t="s">
        <v>2839</v>
      </c>
      <c r="F742" s="20" t="s">
        <v>8</v>
      </c>
      <c r="G742" s="861">
        <v>59.576674898683798</v>
      </c>
      <c r="H742" s="861">
        <v>58.535656510223397</v>
      </c>
      <c r="I742" s="861">
        <v>21.509253965382001</v>
      </c>
      <c r="J742" s="861">
        <v>53.698259523401802</v>
      </c>
      <c r="K742" s="982">
        <v>0</v>
      </c>
      <c r="L742" s="735" t="s">
        <v>2466</v>
      </c>
      <c r="M742" s="735">
        <v>5432</v>
      </c>
      <c r="N742" s="845" t="str">
        <f t="shared" si="68"/>
        <v/>
      </c>
      <c r="O742" s="735">
        <v>7.1184411730755013</v>
      </c>
      <c r="P742" s="735">
        <f t="shared" si="69"/>
        <v>763.08841611921628</v>
      </c>
      <c r="Q742" s="849">
        <v>40.9</v>
      </c>
      <c r="R742" s="71">
        <v>147153</v>
      </c>
      <c r="S742" s="845">
        <v>4.251281078003416E-2</v>
      </c>
      <c r="T742" s="845">
        <v>2.4E-2</v>
      </c>
      <c r="U742" s="845">
        <v>0</v>
      </c>
      <c r="V742" s="845">
        <v>0</v>
      </c>
      <c r="W742" s="845">
        <v>7.3666849917537108E-2</v>
      </c>
      <c r="X742" s="845">
        <v>0.55970149253731338</v>
      </c>
      <c r="Y742" s="845">
        <v>0.91678939617083943</v>
      </c>
      <c r="Z742" s="845">
        <v>2.2091310751104565E-3</v>
      </c>
      <c r="AA742" s="845">
        <v>0</v>
      </c>
      <c r="AB742" s="845">
        <v>6.3512518409425622E-2</v>
      </c>
      <c r="AC742" s="845">
        <v>0</v>
      </c>
      <c r="AD742" s="845">
        <v>0</v>
      </c>
      <c r="AE742" s="845">
        <v>1.7488954344624448E-2</v>
      </c>
      <c r="AF742" s="845">
        <v>0</v>
      </c>
      <c r="AG742" s="845">
        <v>0.91678939617083943</v>
      </c>
      <c r="AH742" s="20" t="str">
        <f t="shared" si="70"/>
        <v>Yes</v>
      </c>
      <c r="AI742" s="25"/>
      <c r="AJ742" s="20">
        <v>45431</v>
      </c>
      <c r="AK742" s="20" t="s">
        <v>1751</v>
      </c>
      <c r="AL742" s="20">
        <v>39113</v>
      </c>
      <c r="AM742" s="20" t="s">
        <v>62</v>
      </c>
      <c r="AN742" s="37">
        <f t="shared" si="71"/>
        <v>19430</v>
      </c>
      <c r="AO742" s="37" t="str">
        <f t="shared" si="72"/>
        <v>Dayton-Kettering-Beavercreek, OH</v>
      </c>
      <c r="AP742" s="20" t="s">
        <v>8</v>
      </c>
      <c r="AQ742" s="25"/>
      <c r="AR742" s="25"/>
      <c r="AS742" s="25"/>
      <c r="AT742" s="25"/>
      <c r="AU742" s="36"/>
      <c r="AV742" s="36"/>
      <c r="AW742" s="36"/>
      <c r="AX742" s="25"/>
      <c r="AY742" s="25"/>
      <c r="AZ742" s="25"/>
      <c r="BA742" s="25"/>
      <c r="BB742" s="25"/>
      <c r="BC742" s="25"/>
      <c r="BD742" s="25"/>
      <c r="BE742" s="25"/>
      <c r="BF742" s="25"/>
      <c r="BG742" s="25"/>
      <c r="BH742" s="25"/>
      <c r="BI742" s="25"/>
      <c r="BJ742" s="25"/>
      <c r="BK742" s="25"/>
      <c r="BL742" s="25"/>
      <c r="BM742" s="25"/>
      <c r="BN742" s="25"/>
      <c r="BO742" s="25"/>
      <c r="BP742" s="25"/>
      <c r="BQ742" s="25"/>
      <c r="BR742" s="25"/>
      <c r="BS742" s="25"/>
      <c r="BT742" s="25"/>
      <c r="BU742" s="39">
        <v>44802</v>
      </c>
      <c r="BV742" s="39" t="s">
        <v>1465</v>
      </c>
      <c r="BW742" s="39" t="s">
        <v>2936</v>
      </c>
      <c r="BX742" s="39" t="s">
        <v>2937</v>
      </c>
      <c r="BY742" s="71">
        <v>840</v>
      </c>
      <c r="BZ742" s="71">
        <v>870</v>
      </c>
      <c r="CA742" s="71">
        <v>1150</v>
      </c>
      <c r="CB742" s="71">
        <v>1430</v>
      </c>
      <c r="CC742" s="71">
        <v>1590</v>
      </c>
      <c r="CD742" s="25"/>
      <c r="CE742" s="200"/>
      <c r="CF742" s="200"/>
      <c r="CG742" s="200"/>
      <c r="CH742" s="200"/>
      <c r="CI742" s="200"/>
      <c r="CJ742" s="200"/>
      <c r="CK742" s="200"/>
      <c r="CL742" s="200"/>
      <c r="CM742" s="200"/>
      <c r="CN742" s="200"/>
      <c r="CO742" s="200"/>
      <c r="CP742" s="200"/>
      <c r="CQ742" s="200"/>
      <c r="CR742" s="200"/>
      <c r="CS742" s="200"/>
      <c r="CT742" s="200"/>
      <c r="CU742" s="200"/>
    </row>
    <row r="743" spans="1:99" s="17" customFormat="1" x14ac:dyDescent="0.2">
      <c r="A743" s="25"/>
      <c r="B743" s="20">
        <v>39049009240</v>
      </c>
      <c r="C743" s="20">
        <v>92.4</v>
      </c>
      <c r="D743" s="20" t="s">
        <v>31</v>
      </c>
      <c r="E743" s="20" t="s">
        <v>2830</v>
      </c>
      <c r="F743" s="20" t="s">
        <v>8</v>
      </c>
      <c r="G743" s="861">
        <v>59.570131216091298</v>
      </c>
      <c r="H743" s="861">
        <v>68.313979184183196</v>
      </c>
      <c r="I743" s="861">
        <v>26.388081153023901</v>
      </c>
      <c r="J743" s="861">
        <v>59.3972667522862</v>
      </c>
      <c r="K743" s="982">
        <v>0</v>
      </c>
      <c r="L743" s="735">
        <v>1958</v>
      </c>
      <c r="M743" s="735">
        <v>2137</v>
      </c>
      <c r="N743" s="845">
        <f t="shared" si="68"/>
        <v>9.1419816138917268E-2</v>
      </c>
      <c r="O743" s="735">
        <v>0.31979451828448741</v>
      </c>
      <c r="P743" s="735">
        <f t="shared" si="69"/>
        <v>6682.4159821868388</v>
      </c>
      <c r="Q743" s="849">
        <v>41.9</v>
      </c>
      <c r="R743" s="71">
        <v>60156</v>
      </c>
      <c r="S743" s="845">
        <v>0.20337394564198688</v>
      </c>
      <c r="T743" s="845">
        <v>5.9000000000000004E-2</v>
      </c>
      <c r="U743" s="845">
        <v>0</v>
      </c>
      <c r="V743" s="845">
        <v>0</v>
      </c>
      <c r="W743" s="845">
        <v>0.39644970414201186</v>
      </c>
      <c r="X743" s="845">
        <v>0.28059701492537314</v>
      </c>
      <c r="Y743" s="845">
        <v>0.70098268600842306</v>
      </c>
      <c r="Z743" s="845">
        <v>0.14693495554515676</v>
      </c>
      <c r="AA743" s="845">
        <v>9.3589143659335522E-4</v>
      </c>
      <c r="AB743" s="845">
        <v>1.2166588675713618E-2</v>
      </c>
      <c r="AC743" s="845">
        <v>0</v>
      </c>
      <c r="AD743" s="845">
        <v>4.6326626111371082E-2</v>
      </c>
      <c r="AE743" s="845">
        <v>9.2653252222742163E-2</v>
      </c>
      <c r="AF743" s="845">
        <v>0.1169864295741694</v>
      </c>
      <c r="AG743" s="845">
        <v>0.69630322882545626</v>
      </c>
      <c r="AH743" s="20" t="str">
        <f t="shared" si="70"/>
        <v>No</v>
      </c>
      <c r="AI743" s="25"/>
      <c r="AJ743" s="20">
        <v>45432</v>
      </c>
      <c r="AK743" s="20" t="s">
        <v>1752</v>
      </c>
      <c r="AL743" s="20">
        <v>39113</v>
      </c>
      <c r="AM743" s="20" t="s">
        <v>62</v>
      </c>
      <c r="AN743" s="37">
        <f t="shared" si="71"/>
        <v>19430</v>
      </c>
      <c r="AO743" s="37" t="str">
        <f t="shared" si="72"/>
        <v>Dayton-Kettering-Beavercreek, OH</v>
      </c>
      <c r="AP743" s="20" t="s">
        <v>8</v>
      </c>
      <c r="AQ743" s="25"/>
      <c r="AR743" s="25"/>
      <c r="AS743" s="25"/>
      <c r="AT743" s="25"/>
      <c r="AU743" s="36"/>
      <c r="AV743" s="36"/>
      <c r="AW743" s="36"/>
      <c r="AX743" s="25"/>
      <c r="AY743" s="25"/>
      <c r="AZ743" s="25"/>
      <c r="BA743" s="25"/>
      <c r="BB743" s="25"/>
      <c r="BC743" s="25"/>
      <c r="BD743" s="25"/>
      <c r="BE743" s="25"/>
      <c r="BF743" s="25"/>
      <c r="BG743" s="25"/>
      <c r="BH743" s="25"/>
      <c r="BI743" s="25"/>
      <c r="BJ743" s="25"/>
      <c r="BK743" s="25"/>
      <c r="BL743" s="25"/>
      <c r="BM743" s="25"/>
      <c r="BN743" s="25"/>
      <c r="BO743" s="25"/>
      <c r="BP743" s="25"/>
      <c r="BQ743" s="25"/>
      <c r="BR743" s="25"/>
      <c r="BS743" s="25"/>
      <c r="BT743" s="25"/>
      <c r="BU743" s="39">
        <v>44804</v>
      </c>
      <c r="BV743" s="39" t="s">
        <v>1466</v>
      </c>
      <c r="BW743" s="39" t="s">
        <v>2936</v>
      </c>
      <c r="BX743" s="39" t="s">
        <v>2937</v>
      </c>
      <c r="BY743" s="71">
        <v>730</v>
      </c>
      <c r="BZ743" s="71">
        <v>810</v>
      </c>
      <c r="CA743" s="71">
        <v>1060</v>
      </c>
      <c r="CB743" s="71">
        <v>1400</v>
      </c>
      <c r="CC743" s="71">
        <v>1590</v>
      </c>
      <c r="CD743" s="25"/>
      <c r="CE743" s="200"/>
      <c r="CF743" s="200"/>
      <c r="CG743" s="200"/>
      <c r="CH743" s="200"/>
      <c r="CI743" s="200"/>
      <c r="CJ743" s="200"/>
      <c r="CK743" s="200"/>
      <c r="CL743" s="200"/>
      <c r="CM743" s="200"/>
      <c r="CN743" s="200"/>
      <c r="CO743" s="200"/>
      <c r="CP743" s="200"/>
      <c r="CQ743" s="200"/>
      <c r="CR743" s="200"/>
      <c r="CS743" s="200"/>
      <c r="CT743" s="200"/>
      <c r="CU743" s="200"/>
    </row>
    <row r="744" spans="1:99" s="17" customFormat="1" x14ac:dyDescent="0.2">
      <c r="A744" s="25"/>
      <c r="B744" s="20">
        <v>39061002700</v>
      </c>
      <c r="C744" s="20">
        <v>27</v>
      </c>
      <c r="D744" s="20" t="s">
        <v>37</v>
      </c>
      <c r="E744" s="20" t="s">
        <v>2828</v>
      </c>
      <c r="F744" s="20" t="s">
        <v>6</v>
      </c>
      <c r="G744" s="861">
        <v>59.563918128508199</v>
      </c>
      <c r="H744" s="861">
        <v>80.973937719187802</v>
      </c>
      <c r="I744" s="861">
        <v>53.085699398896701</v>
      </c>
      <c r="J744" s="861">
        <v>54.1702636825163</v>
      </c>
      <c r="K744" s="982">
        <v>0</v>
      </c>
      <c r="L744" s="735">
        <v>1865</v>
      </c>
      <c r="M744" s="735">
        <v>1726</v>
      </c>
      <c r="N744" s="845">
        <f t="shared" si="68"/>
        <v>-7.4530831099195713E-2</v>
      </c>
      <c r="O744" s="735">
        <v>0.21509828475621845</v>
      </c>
      <c r="P744" s="735">
        <f t="shared" si="69"/>
        <v>8024.238789054787</v>
      </c>
      <c r="Q744" s="849">
        <v>27.6</v>
      </c>
      <c r="R744" s="71">
        <v>79274</v>
      </c>
      <c r="S744" s="845">
        <v>0.28157589803012745</v>
      </c>
      <c r="T744" s="845">
        <v>3.7000000000000005E-2</v>
      </c>
      <c r="U744" s="845">
        <v>6.9000000000000006E-2</v>
      </c>
      <c r="V744" s="845">
        <v>9.5000000000000001E-2</v>
      </c>
      <c r="W744" s="845">
        <v>0.58233890214797135</v>
      </c>
      <c r="X744" s="845">
        <v>0.42418032786885246</v>
      </c>
      <c r="Y744" s="845">
        <v>0.70278099652375436</v>
      </c>
      <c r="Z744" s="845">
        <v>0.20625724217844726</v>
      </c>
      <c r="AA744" s="845">
        <v>0</v>
      </c>
      <c r="AB744" s="845">
        <v>2.6071842410196989E-2</v>
      </c>
      <c r="AC744" s="845">
        <v>0</v>
      </c>
      <c r="AD744" s="845">
        <v>1.4484356894553883E-2</v>
      </c>
      <c r="AE744" s="845">
        <v>5.0405561993047507E-2</v>
      </c>
      <c r="AF744" s="845">
        <v>3.0706836616454229E-2</v>
      </c>
      <c r="AG744" s="845">
        <v>0.69756662804171499</v>
      </c>
      <c r="AH744" s="20" t="str">
        <f t="shared" si="70"/>
        <v>No</v>
      </c>
      <c r="AI744" s="25"/>
      <c r="AJ744" s="20">
        <v>45439</v>
      </c>
      <c r="AK744" s="20" t="s">
        <v>1756</v>
      </c>
      <c r="AL744" s="20">
        <v>39113</v>
      </c>
      <c r="AM744" s="20" t="s">
        <v>62</v>
      </c>
      <c r="AN744" s="37">
        <f t="shared" si="71"/>
        <v>19430</v>
      </c>
      <c r="AO744" s="37" t="str">
        <f t="shared" si="72"/>
        <v>Dayton-Kettering-Beavercreek, OH</v>
      </c>
      <c r="AP744" s="20" t="s">
        <v>8</v>
      </c>
      <c r="AQ744" s="25"/>
      <c r="AR744" s="25"/>
      <c r="AS744" s="25"/>
      <c r="AT744" s="25"/>
      <c r="AU744" s="36"/>
      <c r="AV744" s="36"/>
      <c r="AW744" s="36"/>
      <c r="AX744" s="25"/>
      <c r="AY744" s="25"/>
      <c r="AZ744" s="25"/>
      <c r="BA744" s="25"/>
      <c r="BB744" s="25"/>
      <c r="BC744" s="25"/>
      <c r="BD744" s="25"/>
      <c r="BE744" s="25"/>
      <c r="BF744" s="25"/>
      <c r="BG744" s="25"/>
      <c r="BH744" s="25"/>
      <c r="BI744" s="25"/>
      <c r="BJ744" s="25"/>
      <c r="BK744" s="25"/>
      <c r="BL744" s="25"/>
      <c r="BM744" s="25"/>
      <c r="BN744" s="25"/>
      <c r="BO744" s="25"/>
      <c r="BP744" s="25"/>
      <c r="BQ744" s="25"/>
      <c r="BR744" s="25"/>
      <c r="BS744" s="25"/>
      <c r="BT744" s="25"/>
      <c r="BU744" s="39">
        <v>45814</v>
      </c>
      <c r="BV744" s="39" t="s">
        <v>1889</v>
      </c>
      <c r="BW744" s="39" t="s">
        <v>2936</v>
      </c>
      <c r="BX744" s="39" t="s">
        <v>2937</v>
      </c>
      <c r="BY744" s="71">
        <v>670</v>
      </c>
      <c r="BZ744" s="71">
        <v>740</v>
      </c>
      <c r="CA744" s="71">
        <v>970</v>
      </c>
      <c r="CB744" s="71">
        <v>1280</v>
      </c>
      <c r="CC744" s="71">
        <v>1460</v>
      </c>
      <c r="CD744" s="25"/>
      <c r="CE744" s="200"/>
      <c r="CF744" s="200"/>
      <c r="CG744" s="200"/>
      <c r="CH744" s="200"/>
      <c r="CI744" s="200"/>
      <c r="CJ744" s="200"/>
      <c r="CK744" s="200"/>
      <c r="CL744" s="200"/>
      <c r="CM744" s="200"/>
      <c r="CN744" s="200"/>
      <c r="CO744" s="200"/>
      <c r="CP744" s="200"/>
      <c r="CQ744" s="200"/>
      <c r="CR744" s="200"/>
      <c r="CS744" s="200"/>
      <c r="CT744" s="200"/>
      <c r="CU744" s="200"/>
    </row>
    <row r="745" spans="1:99" s="17" customFormat="1" x14ac:dyDescent="0.2">
      <c r="A745" s="25"/>
      <c r="B745" s="20">
        <v>39101010400</v>
      </c>
      <c r="C745" s="20">
        <v>104</v>
      </c>
      <c r="D745" s="20" t="s">
        <v>56</v>
      </c>
      <c r="E745" s="20" t="s">
        <v>265</v>
      </c>
      <c r="F745" s="20" t="s">
        <v>8</v>
      </c>
      <c r="G745" s="861">
        <v>59.543000133822801</v>
      </c>
      <c r="H745" s="861">
        <v>53.962334657082998</v>
      </c>
      <c r="I745" s="861">
        <v>28.112152088675799</v>
      </c>
      <c r="J745" s="861">
        <v>47.666951139821101</v>
      </c>
      <c r="K745" s="982">
        <v>1</v>
      </c>
      <c r="L745" s="735">
        <v>4686</v>
      </c>
      <c r="M745" s="735">
        <v>4943</v>
      </c>
      <c r="N745" s="845">
        <f t="shared" si="68"/>
        <v>5.48442168160478E-2</v>
      </c>
      <c r="O745" s="735">
        <v>16.312212722860725</v>
      </c>
      <c r="P745" s="735">
        <f t="shared" si="69"/>
        <v>303.02449360978727</v>
      </c>
      <c r="Q745" s="849">
        <v>43.1</v>
      </c>
      <c r="R745" s="71">
        <v>64732</v>
      </c>
      <c r="S745" s="845">
        <v>8.9512494879147891E-2</v>
      </c>
      <c r="T745" s="845">
        <v>8.0000000000000002E-3</v>
      </c>
      <c r="U745" s="845">
        <v>0</v>
      </c>
      <c r="V745" s="845">
        <v>8.6999999999999994E-2</v>
      </c>
      <c r="W745" s="845">
        <v>0.19156327543424317</v>
      </c>
      <c r="X745" s="845">
        <v>0.45336787564766839</v>
      </c>
      <c r="Y745" s="845">
        <v>0.9366781306898645</v>
      </c>
      <c r="Z745" s="845">
        <v>0</v>
      </c>
      <c r="AA745" s="845">
        <v>0</v>
      </c>
      <c r="AB745" s="845">
        <v>3.5403601051992716E-2</v>
      </c>
      <c r="AC745" s="845">
        <v>0</v>
      </c>
      <c r="AD745" s="845">
        <v>4.855351001416144E-3</v>
      </c>
      <c r="AE745" s="845">
        <v>2.3062917256726684E-2</v>
      </c>
      <c r="AF745" s="845">
        <v>1.7196034796682177E-2</v>
      </c>
      <c r="AG745" s="845">
        <v>0.9366781306898645</v>
      </c>
      <c r="AH745" s="20" t="str">
        <f t="shared" si="70"/>
        <v>Yes</v>
      </c>
      <c r="AI745" s="25"/>
      <c r="AJ745" s="20">
        <v>45440</v>
      </c>
      <c r="AK745" s="20" t="s">
        <v>1757</v>
      </c>
      <c r="AL745" s="20">
        <v>39113</v>
      </c>
      <c r="AM745" s="20" t="s">
        <v>62</v>
      </c>
      <c r="AN745" s="37">
        <f t="shared" si="71"/>
        <v>19430</v>
      </c>
      <c r="AO745" s="37" t="str">
        <f t="shared" si="72"/>
        <v>Dayton-Kettering-Beavercreek, OH</v>
      </c>
      <c r="AP745" s="20" t="s">
        <v>8</v>
      </c>
      <c r="AQ745" s="25"/>
      <c r="AR745" s="25"/>
      <c r="AS745" s="25"/>
      <c r="AT745" s="25"/>
      <c r="AU745" s="36"/>
      <c r="AV745" s="36"/>
      <c r="AW745" s="36"/>
      <c r="AX745" s="25"/>
      <c r="AY745" s="25"/>
      <c r="AZ745" s="25"/>
      <c r="BA745" s="25"/>
      <c r="BB745" s="25"/>
      <c r="BC745" s="25"/>
      <c r="BD745" s="25"/>
      <c r="BE745" s="25"/>
      <c r="BF745" s="25"/>
      <c r="BG745" s="25"/>
      <c r="BH745" s="25"/>
      <c r="BI745" s="25"/>
      <c r="BJ745" s="25"/>
      <c r="BK745" s="25"/>
      <c r="BL745" s="25"/>
      <c r="BM745" s="25"/>
      <c r="BN745" s="25"/>
      <c r="BO745" s="25"/>
      <c r="BP745" s="25"/>
      <c r="BQ745" s="25"/>
      <c r="BR745" s="25"/>
      <c r="BS745" s="25"/>
      <c r="BT745" s="25"/>
      <c r="BU745" s="39">
        <v>45816</v>
      </c>
      <c r="BV745" s="39" t="s">
        <v>1891</v>
      </c>
      <c r="BW745" s="39" t="s">
        <v>2936</v>
      </c>
      <c r="BX745" s="39" t="s">
        <v>2937</v>
      </c>
      <c r="BY745" s="71">
        <v>670</v>
      </c>
      <c r="BZ745" s="71">
        <v>740</v>
      </c>
      <c r="CA745" s="71">
        <v>970</v>
      </c>
      <c r="CB745" s="71">
        <v>1280</v>
      </c>
      <c r="CC745" s="71">
        <v>1460</v>
      </c>
      <c r="CD745" s="25"/>
      <c r="CE745" s="200"/>
      <c r="CF745" s="200"/>
      <c r="CG745" s="200"/>
      <c r="CH745" s="200"/>
      <c r="CI745" s="200"/>
      <c r="CJ745" s="200"/>
      <c r="CK745" s="200"/>
      <c r="CL745" s="200"/>
      <c r="CM745" s="200"/>
      <c r="CN745" s="200"/>
      <c r="CO745" s="200"/>
      <c r="CP745" s="200"/>
      <c r="CQ745" s="200"/>
      <c r="CR745" s="200"/>
      <c r="CS745" s="200"/>
      <c r="CT745" s="200"/>
      <c r="CU745" s="200"/>
    </row>
    <row r="746" spans="1:99" s="17" customFormat="1" x14ac:dyDescent="0.2">
      <c r="A746" s="25"/>
      <c r="B746" s="20">
        <v>39035177101</v>
      </c>
      <c r="C746" s="20">
        <v>1771.01</v>
      </c>
      <c r="D746" s="20" t="s">
        <v>24</v>
      </c>
      <c r="E746" s="20" t="s">
        <v>2829</v>
      </c>
      <c r="F746" s="20" t="s">
        <v>8</v>
      </c>
      <c r="G746" s="861">
        <v>59.528391730632698</v>
      </c>
      <c r="H746" s="861">
        <v>54.636781953149999</v>
      </c>
      <c r="I746" s="861">
        <v>43.082717776034897</v>
      </c>
      <c r="J746" s="861">
        <v>44.420027107530302</v>
      </c>
      <c r="K746" s="982">
        <v>0</v>
      </c>
      <c r="L746" s="735">
        <v>3943</v>
      </c>
      <c r="M746" s="735">
        <v>4300</v>
      </c>
      <c r="N746" s="845">
        <f t="shared" si="68"/>
        <v>9.0540197818919602E-2</v>
      </c>
      <c r="O746" s="735">
        <v>1.9312335762035604</v>
      </c>
      <c r="P746" s="735">
        <f t="shared" si="69"/>
        <v>2226.5561519766998</v>
      </c>
      <c r="Q746" s="849">
        <v>43.4</v>
      </c>
      <c r="R746" s="71">
        <v>49432</v>
      </c>
      <c r="S746" s="845">
        <v>0.18488372093023256</v>
      </c>
      <c r="T746" s="845">
        <v>0.10099999999999999</v>
      </c>
      <c r="U746" s="845">
        <v>4.4000000000000004E-2</v>
      </c>
      <c r="V746" s="845">
        <v>0</v>
      </c>
      <c r="W746" s="845">
        <v>0.60131950989632421</v>
      </c>
      <c r="X746" s="845">
        <v>0.4890282131661442</v>
      </c>
      <c r="Y746" s="845">
        <v>0.68604651162790697</v>
      </c>
      <c r="Z746" s="845">
        <v>0.18139534883720931</v>
      </c>
      <c r="AA746" s="845">
        <v>1.8837209302325582E-2</v>
      </c>
      <c r="AB746" s="845">
        <v>9.3023255813953487E-3</v>
      </c>
      <c r="AC746" s="845">
        <v>0</v>
      </c>
      <c r="AD746" s="845">
        <v>6.744186046511628E-3</v>
      </c>
      <c r="AE746" s="845">
        <v>9.7674418604651161E-2</v>
      </c>
      <c r="AF746" s="845">
        <v>0.13441860465116279</v>
      </c>
      <c r="AG746" s="845">
        <v>0.68604651162790697</v>
      </c>
      <c r="AH746" s="20" t="str">
        <f t="shared" si="70"/>
        <v>No</v>
      </c>
      <c r="AI746" s="25"/>
      <c r="AJ746" s="20">
        <v>45449</v>
      </c>
      <c r="AK746" s="20" t="s">
        <v>1758</v>
      </c>
      <c r="AL746" s="20">
        <v>39113</v>
      </c>
      <c r="AM746" s="20" t="s">
        <v>62</v>
      </c>
      <c r="AN746" s="37">
        <f t="shared" si="71"/>
        <v>19430</v>
      </c>
      <c r="AO746" s="37" t="str">
        <f t="shared" si="72"/>
        <v>Dayton-Kettering-Beavercreek, OH</v>
      </c>
      <c r="AP746" s="20" t="s">
        <v>8</v>
      </c>
      <c r="AQ746" s="25"/>
      <c r="AR746" s="25"/>
      <c r="AS746" s="25"/>
      <c r="AT746" s="25"/>
      <c r="AU746" s="36"/>
      <c r="AV746" s="36"/>
      <c r="AW746" s="36"/>
      <c r="AX746" s="25"/>
      <c r="AY746" s="25"/>
      <c r="AZ746" s="25"/>
      <c r="BA746" s="25"/>
      <c r="BB746" s="25"/>
      <c r="BC746" s="25"/>
      <c r="BD746" s="25"/>
      <c r="BE746" s="25"/>
      <c r="BF746" s="25"/>
      <c r="BG746" s="25"/>
      <c r="BH746" s="25"/>
      <c r="BI746" s="25"/>
      <c r="BJ746" s="25"/>
      <c r="BK746" s="25"/>
      <c r="BL746" s="25"/>
      <c r="BM746" s="25"/>
      <c r="BN746" s="25"/>
      <c r="BO746" s="25"/>
      <c r="BP746" s="25"/>
      <c r="BQ746" s="25"/>
      <c r="BR746" s="25"/>
      <c r="BS746" s="25"/>
      <c r="BT746" s="25"/>
      <c r="BU746" s="39">
        <v>45836</v>
      </c>
      <c r="BV746" s="39" t="s">
        <v>1905</v>
      </c>
      <c r="BW746" s="39" t="s">
        <v>2936</v>
      </c>
      <c r="BX746" s="39" t="s">
        <v>2937</v>
      </c>
      <c r="BY746" s="71">
        <v>840</v>
      </c>
      <c r="BZ746" s="71">
        <v>840</v>
      </c>
      <c r="CA746" s="71">
        <v>1010</v>
      </c>
      <c r="CB746" s="71">
        <v>1280</v>
      </c>
      <c r="CC746" s="71">
        <v>1430</v>
      </c>
      <c r="CD746" s="25"/>
      <c r="CE746" s="200"/>
      <c r="CF746" s="200"/>
      <c r="CG746" s="200"/>
      <c r="CH746" s="200"/>
      <c r="CI746" s="200"/>
      <c r="CJ746" s="200"/>
      <c r="CK746" s="200"/>
      <c r="CL746" s="200"/>
      <c r="CM746" s="200"/>
      <c r="CN746" s="200"/>
      <c r="CO746" s="200"/>
      <c r="CP746" s="200"/>
      <c r="CQ746" s="200"/>
      <c r="CR746" s="200"/>
      <c r="CS746" s="200"/>
      <c r="CT746" s="200"/>
      <c r="CU746" s="200"/>
    </row>
    <row r="747" spans="1:99" s="17" customFormat="1" x14ac:dyDescent="0.2">
      <c r="A747" s="25"/>
      <c r="B747" s="20">
        <v>39113115012</v>
      </c>
      <c r="C747" s="20">
        <v>1150.1199999999999</v>
      </c>
      <c r="D747" s="20" t="s">
        <v>62</v>
      </c>
      <c r="E747" s="20" t="s">
        <v>2833</v>
      </c>
      <c r="F747" s="20" t="s">
        <v>8</v>
      </c>
      <c r="G747" s="861">
        <v>59.520297536790999</v>
      </c>
      <c r="H747" s="861">
        <v>69.841827267743</v>
      </c>
      <c r="I747" s="861">
        <v>35.376351184030803</v>
      </c>
      <c r="J747" s="861">
        <v>38.7007954840821</v>
      </c>
      <c r="K747" s="982">
        <v>1</v>
      </c>
      <c r="L747" s="735">
        <v>5504</v>
      </c>
      <c r="M747" s="735">
        <v>4940</v>
      </c>
      <c r="N747" s="845">
        <f t="shared" si="68"/>
        <v>-0.10247093023255814</v>
      </c>
      <c r="O747" s="735">
        <v>3.9159040772584861</v>
      </c>
      <c r="P747" s="735">
        <f t="shared" si="69"/>
        <v>1261.5222187614158</v>
      </c>
      <c r="Q747" s="849">
        <v>48.4</v>
      </c>
      <c r="R747" s="71">
        <v>102464</v>
      </c>
      <c r="S747" s="845">
        <v>2.7935222672064778E-2</v>
      </c>
      <c r="T747" s="845">
        <v>2.4E-2</v>
      </c>
      <c r="U747" s="845">
        <v>0</v>
      </c>
      <c r="V747" s="845">
        <v>0</v>
      </c>
      <c r="W747" s="845">
        <v>0.29194187582562747</v>
      </c>
      <c r="X747" s="845">
        <v>0.10708898944193061</v>
      </c>
      <c r="Y747" s="845">
        <v>0.79251012145748989</v>
      </c>
      <c r="Z747" s="845">
        <v>0.11821862348178137</v>
      </c>
      <c r="AA747" s="845">
        <v>0</v>
      </c>
      <c r="AB747" s="845">
        <v>2.9959514170040485E-2</v>
      </c>
      <c r="AC747" s="845">
        <v>0</v>
      </c>
      <c r="AD747" s="845">
        <v>0</v>
      </c>
      <c r="AE747" s="845">
        <v>5.9311740890688261E-2</v>
      </c>
      <c r="AF747" s="845">
        <v>2.5708502024291497E-2</v>
      </c>
      <c r="AG747" s="845">
        <v>0.76680161943319836</v>
      </c>
      <c r="AH747" s="20" t="str">
        <f t="shared" si="70"/>
        <v>No</v>
      </c>
      <c r="AI747" s="25"/>
      <c r="AJ747" s="20">
        <v>45458</v>
      </c>
      <c r="AK747" s="20" t="s">
        <v>1759</v>
      </c>
      <c r="AL747" s="20">
        <v>39113</v>
      </c>
      <c r="AM747" s="20" t="s">
        <v>62</v>
      </c>
      <c r="AN747" s="37">
        <f t="shared" si="71"/>
        <v>19430</v>
      </c>
      <c r="AO747" s="37" t="str">
        <f t="shared" si="72"/>
        <v>Dayton-Kettering-Beavercreek, OH</v>
      </c>
      <c r="AP747" s="20" t="s">
        <v>8</v>
      </c>
      <c r="AQ747" s="25"/>
      <c r="AR747" s="25"/>
      <c r="AS747" s="25"/>
      <c r="AT747" s="25"/>
      <c r="AU747" s="36"/>
      <c r="AV747" s="36"/>
      <c r="AW747" s="36"/>
      <c r="AX747" s="25"/>
      <c r="AY747" s="25"/>
      <c r="AZ747" s="25"/>
      <c r="BA747" s="25"/>
      <c r="BB747" s="25"/>
      <c r="BC747" s="25"/>
      <c r="BD747" s="25"/>
      <c r="BE747" s="25"/>
      <c r="BF747" s="25"/>
      <c r="BG747" s="25"/>
      <c r="BH747" s="25"/>
      <c r="BI747" s="25"/>
      <c r="BJ747" s="25"/>
      <c r="BK747" s="25"/>
      <c r="BL747" s="25"/>
      <c r="BM747" s="25"/>
      <c r="BN747" s="25"/>
      <c r="BO747" s="25"/>
      <c r="BP747" s="25"/>
      <c r="BQ747" s="25"/>
      <c r="BR747" s="25"/>
      <c r="BS747" s="25"/>
      <c r="BT747" s="25"/>
      <c r="BU747" s="39">
        <v>45840</v>
      </c>
      <c r="BV747" s="39" t="s">
        <v>1907</v>
      </c>
      <c r="BW747" s="39" t="s">
        <v>2936</v>
      </c>
      <c r="BX747" s="39" t="s">
        <v>2937</v>
      </c>
      <c r="BY747" s="71">
        <v>790</v>
      </c>
      <c r="BZ747" s="71">
        <v>880</v>
      </c>
      <c r="CA747" s="71">
        <v>1150</v>
      </c>
      <c r="CB747" s="71">
        <v>1510</v>
      </c>
      <c r="CC747" s="71">
        <v>1730</v>
      </c>
      <c r="CD747" s="25"/>
      <c r="CE747" s="200"/>
      <c r="CF747" s="200"/>
      <c r="CG747" s="200"/>
      <c r="CH747" s="200"/>
      <c r="CI747" s="200"/>
      <c r="CJ747" s="200"/>
      <c r="CK747" s="200"/>
      <c r="CL747" s="200"/>
      <c r="CM747" s="200"/>
      <c r="CN747" s="200"/>
      <c r="CO747" s="200"/>
      <c r="CP747" s="200"/>
      <c r="CQ747" s="200"/>
      <c r="CR747" s="200"/>
      <c r="CS747" s="200"/>
      <c r="CT747" s="200"/>
      <c r="CU747" s="200"/>
    </row>
    <row r="748" spans="1:99" s="17" customFormat="1" x14ac:dyDescent="0.2">
      <c r="A748" s="25"/>
      <c r="B748" s="20">
        <v>39041010421</v>
      </c>
      <c r="C748" s="20">
        <v>104.21</v>
      </c>
      <c r="D748" s="20" t="s">
        <v>27</v>
      </c>
      <c r="E748" s="20" t="s">
        <v>2830</v>
      </c>
      <c r="F748" s="20" t="s">
        <v>8</v>
      </c>
      <c r="G748" s="861">
        <v>59.502974904384097</v>
      </c>
      <c r="H748" s="861">
        <v>50.849960960395101</v>
      </c>
      <c r="I748" s="861">
        <v>33.375486321478398</v>
      </c>
      <c r="J748" s="861">
        <v>48.001740356220502</v>
      </c>
      <c r="K748" s="982">
        <v>0</v>
      </c>
      <c r="L748" s="735">
        <v>2459</v>
      </c>
      <c r="M748" s="735">
        <v>2811</v>
      </c>
      <c r="N748" s="845">
        <f t="shared" si="68"/>
        <v>0.14314762098413988</v>
      </c>
      <c r="O748" s="735">
        <v>1.3344655856354493</v>
      </c>
      <c r="P748" s="735">
        <f t="shared" si="69"/>
        <v>2106.4612158292944</v>
      </c>
      <c r="Q748" s="849">
        <v>42.8</v>
      </c>
      <c r="R748" s="71">
        <v>72137</v>
      </c>
      <c r="S748" s="845">
        <v>0.12988462969854855</v>
      </c>
      <c r="T748" s="845">
        <v>9.0000000000000011E-3</v>
      </c>
      <c r="U748" s="845">
        <v>0</v>
      </c>
      <c r="V748" s="845">
        <v>0</v>
      </c>
      <c r="W748" s="845">
        <v>0.49567269866247049</v>
      </c>
      <c r="X748" s="845">
        <v>0.39206349206349206</v>
      </c>
      <c r="Y748" s="845">
        <v>0.92813945215225901</v>
      </c>
      <c r="Z748" s="845">
        <v>3.8064745642120243E-2</v>
      </c>
      <c r="AA748" s="845">
        <v>0</v>
      </c>
      <c r="AB748" s="845">
        <v>0</v>
      </c>
      <c r="AC748" s="845">
        <v>0</v>
      </c>
      <c r="AD748" s="845">
        <v>1.4941302027748132E-2</v>
      </c>
      <c r="AE748" s="845">
        <v>1.8854500177872643E-2</v>
      </c>
      <c r="AF748" s="845">
        <v>2.9171113482746355E-2</v>
      </c>
      <c r="AG748" s="845">
        <v>0.92564923514763431</v>
      </c>
      <c r="AH748" s="20" t="str">
        <f t="shared" si="70"/>
        <v>Yes</v>
      </c>
      <c r="AI748" s="25"/>
      <c r="AJ748" s="20">
        <v>45459</v>
      </c>
      <c r="AK748" s="20" t="s">
        <v>1760</v>
      </c>
      <c r="AL748" s="20">
        <v>39113</v>
      </c>
      <c r="AM748" s="20" t="s">
        <v>62</v>
      </c>
      <c r="AN748" s="37">
        <f t="shared" si="71"/>
        <v>19430</v>
      </c>
      <c r="AO748" s="37" t="str">
        <f t="shared" si="72"/>
        <v>Dayton-Kettering-Beavercreek, OH</v>
      </c>
      <c r="AP748" s="20" t="s">
        <v>8</v>
      </c>
      <c r="AQ748" s="25"/>
      <c r="AR748" s="25"/>
      <c r="AS748" s="25"/>
      <c r="AT748" s="25"/>
      <c r="AU748" s="36"/>
      <c r="AV748" s="36"/>
      <c r="AW748" s="36"/>
      <c r="AX748" s="25"/>
      <c r="AY748" s="25"/>
      <c r="AZ748" s="25"/>
      <c r="BA748" s="25"/>
      <c r="BB748" s="25"/>
      <c r="BC748" s="25"/>
      <c r="BD748" s="25"/>
      <c r="BE748" s="25"/>
      <c r="BF748" s="25"/>
      <c r="BG748" s="25"/>
      <c r="BH748" s="25"/>
      <c r="BI748" s="25"/>
      <c r="BJ748" s="25"/>
      <c r="BK748" s="25"/>
      <c r="BL748" s="25"/>
      <c r="BM748" s="25"/>
      <c r="BN748" s="25"/>
      <c r="BO748" s="25"/>
      <c r="BP748" s="25"/>
      <c r="BQ748" s="25"/>
      <c r="BR748" s="25"/>
      <c r="BS748" s="25"/>
      <c r="BT748" s="25"/>
      <c r="BU748" s="39">
        <v>45841</v>
      </c>
      <c r="BV748" s="39" t="s">
        <v>1908</v>
      </c>
      <c r="BW748" s="39" t="s">
        <v>2936</v>
      </c>
      <c r="BX748" s="39" t="s">
        <v>2937</v>
      </c>
      <c r="BY748" s="71">
        <v>830</v>
      </c>
      <c r="BZ748" s="71">
        <v>890</v>
      </c>
      <c r="CA748" s="71">
        <v>1150</v>
      </c>
      <c r="CB748" s="71">
        <v>1490</v>
      </c>
      <c r="CC748" s="71">
        <v>1700</v>
      </c>
      <c r="CD748" s="25"/>
      <c r="CE748" s="200"/>
      <c r="CF748" s="200"/>
      <c r="CG748" s="200"/>
      <c r="CH748" s="200"/>
      <c r="CI748" s="200"/>
      <c r="CJ748" s="200"/>
      <c r="CK748" s="200"/>
      <c r="CL748" s="200"/>
      <c r="CM748" s="200"/>
      <c r="CN748" s="200"/>
      <c r="CO748" s="200"/>
      <c r="CP748" s="200"/>
      <c r="CQ748" s="200"/>
      <c r="CR748" s="200"/>
      <c r="CS748" s="200"/>
      <c r="CT748" s="200"/>
      <c r="CU748" s="200"/>
    </row>
    <row r="749" spans="1:99" s="17" customFormat="1" x14ac:dyDescent="0.2">
      <c r="A749" s="25"/>
      <c r="B749" s="20">
        <v>39009973300</v>
      </c>
      <c r="C749" s="20">
        <v>9733</v>
      </c>
      <c r="D749" s="20" t="s">
        <v>11</v>
      </c>
      <c r="E749" s="20" t="s">
        <v>265</v>
      </c>
      <c r="F749" s="20" t="s">
        <v>8</v>
      </c>
      <c r="G749" s="861">
        <v>59.493395573643198</v>
      </c>
      <c r="H749" s="861">
        <v>53.923593736579797</v>
      </c>
      <c r="I749" s="861">
        <v>30.325215688806701</v>
      </c>
      <c r="J749" s="861">
        <v>42.314774680308801</v>
      </c>
      <c r="K749" s="982">
        <v>2</v>
      </c>
      <c r="L749" s="735">
        <v>3881</v>
      </c>
      <c r="M749" s="735">
        <v>3957</v>
      </c>
      <c r="N749" s="845">
        <f t="shared" si="68"/>
        <v>1.9582581808812161E-2</v>
      </c>
      <c r="O749" s="735">
        <v>21.478132577218666</v>
      </c>
      <c r="P749" s="735">
        <f t="shared" si="69"/>
        <v>184.23389397442745</v>
      </c>
      <c r="Q749" s="849">
        <v>36.799999999999997</v>
      </c>
      <c r="R749" s="71">
        <v>77941</v>
      </c>
      <c r="S749" s="845">
        <v>0.10386656557998483</v>
      </c>
      <c r="T749" s="845">
        <v>4.4000000000000004E-2</v>
      </c>
      <c r="U749" s="845">
        <v>6.2E-2</v>
      </c>
      <c r="V749" s="845">
        <v>0.14599999999999999</v>
      </c>
      <c r="W749" s="845">
        <v>0.30236486486486486</v>
      </c>
      <c r="X749" s="845">
        <v>0.59590316573556801</v>
      </c>
      <c r="Y749" s="845">
        <v>0.81627495577457665</v>
      </c>
      <c r="Z749" s="845">
        <v>5.7872125347485467E-2</v>
      </c>
      <c r="AA749" s="845">
        <v>0</v>
      </c>
      <c r="AB749" s="845">
        <v>7.429871114480667E-2</v>
      </c>
      <c r="AC749" s="845">
        <v>0</v>
      </c>
      <c r="AD749" s="845">
        <v>2.5271670457417233E-4</v>
      </c>
      <c r="AE749" s="845">
        <v>5.1301491028556988E-2</v>
      </c>
      <c r="AF749" s="845">
        <v>1.9459186252211273E-2</v>
      </c>
      <c r="AG749" s="845">
        <v>0.80313368713671973</v>
      </c>
      <c r="AH749" s="20" t="str">
        <f t="shared" si="70"/>
        <v>No</v>
      </c>
      <c r="AI749" s="25"/>
      <c r="AJ749" s="20">
        <v>45469</v>
      </c>
      <c r="AK749" s="20" t="s">
        <v>1761</v>
      </c>
      <c r="AL749" s="20">
        <v>39113</v>
      </c>
      <c r="AM749" s="20" t="s">
        <v>62</v>
      </c>
      <c r="AN749" s="37">
        <f t="shared" si="71"/>
        <v>19430</v>
      </c>
      <c r="AO749" s="37" t="str">
        <f t="shared" si="72"/>
        <v>Dayton-Kettering-Beavercreek, OH</v>
      </c>
      <c r="AP749" s="20" t="s">
        <v>8</v>
      </c>
      <c r="AQ749" s="25"/>
      <c r="AR749" s="25"/>
      <c r="AS749" s="25"/>
      <c r="AT749" s="25"/>
      <c r="AU749" s="36"/>
      <c r="AV749" s="36"/>
      <c r="AW749" s="36"/>
      <c r="AX749" s="25"/>
      <c r="AY749" s="25"/>
      <c r="AZ749" s="25"/>
      <c r="BA749" s="25"/>
      <c r="BB749" s="25"/>
      <c r="BC749" s="25"/>
      <c r="BD749" s="25"/>
      <c r="BE749" s="25"/>
      <c r="BF749" s="25"/>
      <c r="BG749" s="25"/>
      <c r="BH749" s="25"/>
      <c r="BI749" s="25"/>
      <c r="BJ749" s="25"/>
      <c r="BK749" s="25"/>
      <c r="BL749" s="25"/>
      <c r="BM749" s="25"/>
      <c r="BN749" s="25"/>
      <c r="BO749" s="25"/>
      <c r="BP749" s="25"/>
      <c r="BQ749" s="25"/>
      <c r="BR749" s="25"/>
      <c r="BS749" s="25"/>
      <c r="BT749" s="25"/>
      <c r="BU749" s="39">
        <v>45843</v>
      </c>
      <c r="BV749" s="39" t="s">
        <v>1909</v>
      </c>
      <c r="BW749" s="39" t="s">
        <v>2936</v>
      </c>
      <c r="BX749" s="39" t="s">
        <v>2937</v>
      </c>
      <c r="BY749" s="71">
        <v>830</v>
      </c>
      <c r="BZ749" s="71">
        <v>850</v>
      </c>
      <c r="CA749" s="71">
        <v>1040</v>
      </c>
      <c r="CB749" s="71">
        <v>1330</v>
      </c>
      <c r="CC749" s="71">
        <v>1500</v>
      </c>
      <c r="CD749" s="25"/>
      <c r="CE749" s="200"/>
      <c r="CF749" s="200"/>
      <c r="CG749" s="200"/>
      <c r="CH749" s="200"/>
      <c r="CI749" s="200"/>
      <c r="CJ749" s="200"/>
      <c r="CK749" s="200"/>
      <c r="CL749" s="200"/>
      <c r="CM749" s="200"/>
      <c r="CN749" s="200"/>
      <c r="CO749" s="200"/>
      <c r="CP749" s="200"/>
      <c r="CQ749" s="200"/>
      <c r="CR749" s="200"/>
      <c r="CS749" s="200"/>
      <c r="CT749" s="200"/>
      <c r="CU749" s="200"/>
    </row>
    <row r="750" spans="1:99" s="17" customFormat="1" x14ac:dyDescent="0.2">
      <c r="A750" s="25"/>
      <c r="B750" s="20">
        <v>39149972100</v>
      </c>
      <c r="C750" s="20">
        <v>9721</v>
      </c>
      <c r="D750" s="20" t="s">
        <v>80</v>
      </c>
      <c r="E750" s="20" t="s">
        <v>265</v>
      </c>
      <c r="F750" s="20" t="s">
        <v>8</v>
      </c>
      <c r="G750" s="861">
        <v>59.491303662305498</v>
      </c>
      <c r="H750" s="861">
        <v>61.94873389024</v>
      </c>
      <c r="I750" s="861">
        <v>19.450926243692599</v>
      </c>
      <c r="J750" s="861">
        <v>47.7298293264394</v>
      </c>
      <c r="K750" s="982">
        <v>0</v>
      </c>
      <c r="L750" s="735">
        <v>5489</v>
      </c>
      <c r="M750" s="735">
        <v>5111</v>
      </c>
      <c r="N750" s="845">
        <f t="shared" si="68"/>
        <v>-6.8865002732738198E-2</v>
      </c>
      <c r="O750" s="735">
        <v>3.2268182883665828</v>
      </c>
      <c r="P750" s="735">
        <f t="shared" si="69"/>
        <v>1583.9131749148451</v>
      </c>
      <c r="Q750" s="849">
        <v>46.9</v>
      </c>
      <c r="R750" s="71">
        <v>82256</v>
      </c>
      <c r="S750" s="845">
        <v>3.5805126198395619E-2</v>
      </c>
      <c r="T750" s="845">
        <v>3.2000000000000001E-2</v>
      </c>
      <c r="U750" s="845">
        <v>0</v>
      </c>
      <c r="V750" s="845">
        <v>0</v>
      </c>
      <c r="W750" s="845">
        <v>0.20774647887323944</v>
      </c>
      <c r="X750" s="845">
        <v>0.21610169491525424</v>
      </c>
      <c r="Y750" s="845">
        <v>0.92682449618469964</v>
      </c>
      <c r="Z750" s="845">
        <v>1.9174329876736451E-2</v>
      </c>
      <c r="AA750" s="845">
        <v>2.3478771277636468E-3</v>
      </c>
      <c r="AB750" s="845">
        <v>9.5871649383682256E-3</v>
      </c>
      <c r="AC750" s="845">
        <v>0</v>
      </c>
      <c r="AD750" s="845">
        <v>0</v>
      </c>
      <c r="AE750" s="845">
        <v>4.2066131872432008E-2</v>
      </c>
      <c r="AF750" s="845">
        <v>2.3478771277636468E-3</v>
      </c>
      <c r="AG750" s="845">
        <v>0.92682449618469964</v>
      </c>
      <c r="AH750" s="20" t="str">
        <f t="shared" si="70"/>
        <v>Yes</v>
      </c>
      <c r="AI750" s="25"/>
      <c r="AJ750" s="20">
        <v>45619</v>
      </c>
      <c r="AK750" s="20" t="s">
        <v>1775</v>
      </c>
      <c r="AL750" s="20">
        <v>39087</v>
      </c>
      <c r="AM750" s="20" t="s">
        <v>49</v>
      </c>
      <c r="AN750" s="37">
        <f t="shared" si="71"/>
        <v>26580</v>
      </c>
      <c r="AO750" s="37" t="str">
        <f t="shared" si="72"/>
        <v>Huntington-Ashland, WV-KY-OH</v>
      </c>
      <c r="AP750" s="20" t="s">
        <v>8</v>
      </c>
      <c r="AQ750" s="25"/>
      <c r="AR750" s="25"/>
      <c r="AS750" s="25"/>
      <c r="AT750" s="25"/>
      <c r="AU750" s="36"/>
      <c r="AV750" s="36"/>
      <c r="AW750" s="36"/>
      <c r="AX750" s="25"/>
      <c r="AY750" s="25"/>
      <c r="AZ750" s="25"/>
      <c r="BA750" s="25"/>
      <c r="BB750" s="25"/>
      <c r="BC750" s="25"/>
      <c r="BD750" s="25"/>
      <c r="BE750" s="25"/>
      <c r="BF750" s="25"/>
      <c r="BG750" s="25"/>
      <c r="BH750" s="25"/>
      <c r="BI750" s="25"/>
      <c r="BJ750" s="25"/>
      <c r="BK750" s="25"/>
      <c r="BL750" s="25"/>
      <c r="BM750" s="25"/>
      <c r="BN750" s="25"/>
      <c r="BO750" s="25"/>
      <c r="BP750" s="25"/>
      <c r="BQ750" s="25"/>
      <c r="BR750" s="25"/>
      <c r="BS750" s="25"/>
      <c r="BT750" s="25"/>
      <c r="BU750" s="39">
        <v>45856</v>
      </c>
      <c r="BV750" s="39" t="s">
        <v>1920</v>
      </c>
      <c r="BW750" s="39" t="s">
        <v>2936</v>
      </c>
      <c r="BX750" s="39" t="s">
        <v>2937</v>
      </c>
      <c r="BY750" s="71">
        <v>940</v>
      </c>
      <c r="BZ750" s="71">
        <v>960</v>
      </c>
      <c r="CA750" s="71">
        <v>1250</v>
      </c>
      <c r="CB750" s="71">
        <v>1500</v>
      </c>
      <c r="CC750" s="71">
        <v>1660</v>
      </c>
      <c r="CD750" s="25"/>
      <c r="CE750" s="200"/>
      <c r="CF750" s="200"/>
      <c r="CG750" s="200"/>
      <c r="CH750" s="200"/>
      <c r="CI750" s="200"/>
      <c r="CJ750" s="200"/>
      <c r="CK750" s="200"/>
      <c r="CL750" s="200"/>
      <c r="CM750" s="200"/>
      <c r="CN750" s="200"/>
      <c r="CO750" s="200"/>
      <c r="CP750" s="200"/>
      <c r="CQ750" s="200"/>
      <c r="CR750" s="200"/>
      <c r="CS750" s="200"/>
      <c r="CT750" s="200"/>
      <c r="CU750" s="200"/>
    </row>
    <row r="751" spans="1:99" s="17" customFormat="1" x14ac:dyDescent="0.2">
      <c r="A751" s="25"/>
      <c r="B751" s="20">
        <v>39035186203</v>
      </c>
      <c r="C751" s="20">
        <v>1862.03</v>
      </c>
      <c r="D751" s="20" t="s">
        <v>24</v>
      </c>
      <c r="E751" s="20" t="s">
        <v>2829</v>
      </c>
      <c r="F751" s="20" t="s">
        <v>8</v>
      </c>
      <c r="G751" s="861">
        <v>59.485262105506898</v>
      </c>
      <c r="H751" s="861">
        <v>63.335373832705102</v>
      </c>
      <c r="I751" s="861">
        <v>15.770233061529099</v>
      </c>
      <c r="J751" s="861">
        <v>39.738177003987602</v>
      </c>
      <c r="K751" s="982">
        <v>0</v>
      </c>
      <c r="L751" s="735">
        <v>3697</v>
      </c>
      <c r="M751" s="735">
        <v>3725</v>
      </c>
      <c r="N751" s="845">
        <f t="shared" si="68"/>
        <v>7.5737084122261293E-3</v>
      </c>
      <c r="O751" s="735">
        <v>3.0527699990097639</v>
      </c>
      <c r="P751" s="735">
        <f t="shared" si="69"/>
        <v>1220.2032911776155</v>
      </c>
      <c r="Q751" s="849">
        <v>46.8</v>
      </c>
      <c r="R751" s="71">
        <v>116438</v>
      </c>
      <c r="S751" s="845">
        <v>1.4765100671140939E-2</v>
      </c>
      <c r="T751" s="845">
        <v>0.01</v>
      </c>
      <c r="U751" s="845">
        <v>0</v>
      </c>
      <c r="V751" s="845">
        <v>0</v>
      </c>
      <c r="W751" s="845">
        <v>2.3569023569023569E-2</v>
      </c>
      <c r="X751" s="845">
        <v>0.62857142857142856</v>
      </c>
      <c r="Y751" s="845">
        <v>0.85852348993288585</v>
      </c>
      <c r="Z751" s="845">
        <v>1.2348993288590604E-2</v>
      </c>
      <c r="AA751" s="845">
        <v>0</v>
      </c>
      <c r="AB751" s="845">
        <v>6.5234899328859064E-2</v>
      </c>
      <c r="AC751" s="845">
        <v>0</v>
      </c>
      <c r="AD751" s="845">
        <v>4.5637583892617446E-3</v>
      </c>
      <c r="AE751" s="845">
        <v>5.9328859060402687E-2</v>
      </c>
      <c r="AF751" s="845">
        <v>8.6174496644295301E-2</v>
      </c>
      <c r="AG751" s="845">
        <v>0.82496644295302013</v>
      </c>
      <c r="AH751" s="20" t="str">
        <f t="shared" si="70"/>
        <v>No</v>
      </c>
      <c r="AI751" s="25"/>
      <c r="AJ751" s="37">
        <v>45623</v>
      </c>
      <c r="AK751" s="37" t="s">
        <v>1779</v>
      </c>
      <c r="AL751" s="37">
        <v>39087</v>
      </c>
      <c r="AM751" s="37" t="s">
        <v>49</v>
      </c>
      <c r="AN751" s="37">
        <f t="shared" si="71"/>
        <v>26580</v>
      </c>
      <c r="AO751" s="37" t="str">
        <f t="shared" si="72"/>
        <v>Huntington-Ashland, WV-KY-OH</v>
      </c>
      <c r="AP751" s="20" t="s">
        <v>8</v>
      </c>
      <c r="AQ751" s="25"/>
      <c r="AR751" s="25"/>
      <c r="AS751" s="25"/>
      <c r="AT751" s="25"/>
      <c r="AU751" s="36"/>
      <c r="AV751" s="36"/>
      <c r="AW751" s="36"/>
      <c r="AX751" s="25"/>
      <c r="AY751" s="25"/>
      <c r="AZ751" s="25"/>
      <c r="BA751" s="25"/>
      <c r="BB751" s="25"/>
      <c r="BC751" s="25"/>
      <c r="BD751" s="25"/>
      <c r="BE751" s="25"/>
      <c r="BF751" s="25"/>
      <c r="BG751" s="25"/>
      <c r="BH751" s="25"/>
      <c r="BI751" s="25"/>
      <c r="BJ751" s="25"/>
      <c r="BK751" s="25"/>
      <c r="BL751" s="25"/>
      <c r="BM751" s="25"/>
      <c r="BN751" s="25"/>
      <c r="BO751" s="25"/>
      <c r="BP751" s="25"/>
      <c r="BQ751" s="25"/>
      <c r="BR751" s="25"/>
      <c r="BS751" s="25"/>
      <c r="BT751" s="25"/>
      <c r="BU751" s="39">
        <v>45867</v>
      </c>
      <c r="BV751" s="39" t="s">
        <v>1930</v>
      </c>
      <c r="BW751" s="39" t="s">
        <v>2936</v>
      </c>
      <c r="BX751" s="39" t="s">
        <v>2937</v>
      </c>
      <c r="BY751" s="71">
        <v>730</v>
      </c>
      <c r="BZ751" s="71">
        <v>800</v>
      </c>
      <c r="CA751" s="71">
        <v>1050</v>
      </c>
      <c r="CB751" s="71">
        <v>1380</v>
      </c>
      <c r="CC751" s="71">
        <v>1580</v>
      </c>
      <c r="CD751" s="25"/>
      <c r="CE751" s="200"/>
      <c r="CF751" s="200"/>
      <c r="CG751" s="200"/>
      <c r="CH751" s="200"/>
      <c r="CI751" s="200"/>
      <c r="CJ751" s="200"/>
      <c r="CK751" s="200"/>
      <c r="CL751" s="200"/>
      <c r="CM751" s="200"/>
      <c r="CN751" s="200"/>
      <c r="CO751" s="200"/>
      <c r="CP751" s="200"/>
      <c r="CQ751" s="200"/>
      <c r="CR751" s="200"/>
      <c r="CS751" s="200"/>
      <c r="CT751" s="200"/>
      <c r="CU751" s="200"/>
    </row>
    <row r="752" spans="1:99" s="17" customFormat="1" x14ac:dyDescent="0.2">
      <c r="A752" s="25"/>
      <c r="B752" s="20">
        <v>39043041900</v>
      </c>
      <c r="C752" s="20">
        <v>419</v>
      </c>
      <c r="D752" s="20" t="s">
        <v>28</v>
      </c>
      <c r="E752" s="20" t="s">
        <v>2837</v>
      </c>
      <c r="F752" s="20" t="s">
        <v>8</v>
      </c>
      <c r="G752" s="861">
        <v>59.483512746656203</v>
      </c>
      <c r="H752" s="861">
        <v>52.909417065688103</v>
      </c>
      <c r="I752" s="861">
        <v>24.086871497759901</v>
      </c>
      <c r="J752" s="861">
        <v>34.035727155381601</v>
      </c>
      <c r="K752" s="982">
        <v>0</v>
      </c>
      <c r="L752" s="735" t="s">
        <v>2466</v>
      </c>
      <c r="M752" s="735">
        <v>4903</v>
      </c>
      <c r="N752" s="845" t="str">
        <f t="shared" si="68"/>
        <v/>
      </c>
      <c r="O752" s="735">
        <v>10.739699496149425</v>
      </c>
      <c r="P752" s="735">
        <f t="shared" si="69"/>
        <v>456.53046454026992</v>
      </c>
      <c r="Q752" s="849">
        <v>53.2</v>
      </c>
      <c r="R752" s="71">
        <v>92769</v>
      </c>
      <c r="S752" s="845">
        <v>5.9119496855345913E-2</v>
      </c>
      <c r="T752" s="845">
        <v>7.5999999999999998E-2</v>
      </c>
      <c r="U752" s="845">
        <v>1E-3</v>
      </c>
      <c r="V752" s="845">
        <v>3.0000000000000001E-3</v>
      </c>
      <c r="W752" s="845">
        <v>0.14548022598870056</v>
      </c>
      <c r="X752" s="845">
        <v>0.40129449838187703</v>
      </c>
      <c r="Y752" s="845">
        <v>0.83275545584336119</v>
      </c>
      <c r="Z752" s="845">
        <v>2.8961860085661841E-2</v>
      </c>
      <c r="AA752" s="845">
        <v>5.3028757903324491E-3</v>
      </c>
      <c r="AB752" s="845">
        <v>3.7528044054660412E-2</v>
      </c>
      <c r="AC752" s="845">
        <v>0</v>
      </c>
      <c r="AD752" s="845">
        <v>0</v>
      </c>
      <c r="AE752" s="845">
        <v>9.5451764225984087E-2</v>
      </c>
      <c r="AF752" s="845">
        <v>6.4450336528655922E-2</v>
      </c>
      <c r="AG752" s="845">
        <v>0.8192943096063634</v>
      </c>
      <c r="AH752" s="20" t="str">
        <f t="shared" si="70"/>
        <v>No</v>
      </c>
      <c r="AI752" s="25"/>
      <c r="AJ752" s="20">
        <v>45629</v>
      </c>
      <c r="AK752" s="20" t="s">
        <v>1782</v>
      </c>
      <c r="AL752" s="20">
        <v>39087</v>
      </c>
      <c r="AM752" s="20" t="s">
        <v>49</v>
      </c>
      <c r="AN752" s="37">
        <f t="shared" si="71"/>
        <v>26580</v>
      </c>
      <c r="AO752" s="37" t="str">
        <f t="shared" si="72"/>
        <v>Huntington-Ashland, WV-KY-OH</v>
      </c>
      <c r="AP752" s="20" t="s">
        <v>8</v>
      </c>
      <c r="AQ752" s="25"/>
      <c r="AR752" s="25"/>
      <c r="AS752" s="25"/>
      <c r="AT752" s="25"/>
      <c r="AU752" s="36"/>
      <c r="AV752" s="36"/>
      <c r="AW752" s="36"/>
      <c r="AX752" s="25"/>
      <c r="AY752" s="25"/>
      <c r="AZ752" s="25"/>
      <c r="BA752" s="25"/>
      <c r="BB752" s="25"/>
      <c r="BC752" s="25"/>
      <c r="BD752" s="25"/>
      <c r="BE752" s="25"/>
      <c r="BF752" s="25"/>
      <c r="BG752" s="25"/>
      <c r="BH752" s="25"/>
      <c r="BI752" s="25"/>
      <c r="BJ752" s="25"/>
      <c r="BK752" s="25"/>
      <c r="BL752" s="25"/>
      <c r="BM752" s="25"/>
      <c r="BN752" s="25"/>
      <c r="BO752" s="25"/>
      <c r="BP752" s="25"/>
      <c r="BQ752" s="25"/>
      <c r="BR752" s="25"/>
      <c r="BS752" s="25"/>
      <c r="BT752" s="25"/>
      <c r="BU752" s="39">
        <v>45868</v>
      </c>
      <c r="BV752" s="39" t="s">
        <v>1931</v>
      </c>
      <c r="BW752" s="39" t="s">
        <v>2936</v>
      </c>
      <c r="BX752" s="39" t="s">
        <v>2937</v>
      </c>
      <c r="BY752" s="71">
        <v>920</v>
      </c>
      <c r="BZ752" s="71">
        <v>1010</v>
      </c>
      <c r="CA752" s="71">
        <v>1330</v>
      </c>
      <c r="CB752" s="71">
        <v>1750</v>
      </c>
      <c r="CC752" s="71">
        <v>2000</v>
      </c>
      <c r="CD752" s="25"/>
      <c r="CE752" s="200"/>
      <c r="CF752" s="200"/>
      <c r="CG752" s="200"/>
      <c r="CH752" s="200"/>
      <c r="CI752" s="200"/>
      <c r="CJ752" s="200"/>
      <c r="CK752" s="200"/>
      <c r="CL752" s="200"/>
      <c r="CM752" s="200"/>
      <c r="CN752" s="200"/>
      <c r="CO752" s="200"/>
      <c r="CP752" s="200"/>
      <c r="CQ752" s="200"/>
      <c r="CR752" s="200"/>
      <c r="CS752" s="200"/>
      <c r="CT752" s="200"/>
      <c r="CU752" s="200"/>
    </row>
    <row r="753" spans="1:99" s="17" customFormat="1" x14ac:dyDescent="0.2">
      <c r="A753" s="25"/>
      <c r="B753" s="20">
        <v>39035197000</v>
      </c>
      <c r="C753" s="20">
        <v>1970</v>
      </c>
      <c r="D753" s="20" t="s">
        <v>24</v>
      </c>
      <c r="E753" s="20" t="s">
        <v>2829</v>
      </c>
      <c r="F753" s="20" t="s">
        <v>6</v>
      </c>
      <c r="G753" s="861">
        <v>59.480913839825803</v>
      </c>
      <c r="H753" s="861">
        <v>40.275885544376202</v>
      </c>
      <c r="I753" s="861">
        <v>47.389093156306203</v>
      </c>
      <c r="J753" s="861">
        <v>48.740140855222997</v>
      </c>
      <c r="K753" s="982">
        <v>0</v>
      </c>
      <c r="L753" s="735" t="s">
        <v>2466</v>
      </c>
      <c r="M753" s="735">
        <v>3171</v>
      </c>
      <c r="N753" s="845" t="str">
        <f t="shared" si="68"/>
        <v/>
      </c>
      <c r="O753" s="735">
        <v>2.1271460585971571</v>
      </c>
      <c r="P753" s="735">
        <f t="shared" si="69"/>
        <v>1490.7297913013363</v>
      </c>
      <c r="Q753" s="849">
        <v>54</v>
      </c>
      <c r="R753" s="71">
        <v>43986</v>
      </c>
      <c r="S753" s="845">
        <v>0.23535220539828836</v>
      </c>
      <c r="T753" s="845">
        <v>0.115</v>
      </c>
      <c r="U753" s="845">
        <v>0</v>
      </c>
      <c r="V753" s="845">
        <v>1.6E-2</v>
      </c>
      <c r="W753" s="845">
        <v>0.69715698393077874</v>
      </c>
      <c r="X753" s="845">
        <v>0.53014184397163122</v>
      </c>
      <c r="Y753" s="845">
        <v>6.8432671081677707E-2</v>
      </c>
      <c r="Z753" s="845">
        <v>0.8965625985493535</v>
      </c>
      <c r="AA753" s="845">
        <v>3.1535793125197099E-4</v>
      </c>
      <c r="AB753" s="845">
        <v>6.3071586250394197E-4</v>
      </c>
      <c r="AC753" s="845">
        <v>0</v>
      </c>
      <c r="AD753" s="845">
        <v>6.9378744875433617E-3</v>
      </c>
      <c r="AE753" s="845">
        <v>2.7120782087669507E-2</v>
      </c>
      <c r="AF753" s="845">
        <v>2.2075055187637969E-3</v>
      </c>
      <c r="AG753" s="845">
        <v>6.8432671081677707E-2</v>
      </c>
      <c r="AH753" s="20" t="str">
        <f t="shared" si="70"/>
        <v>No</v>
      </c>
      <c r="AI753" s="25"/>
      <c r="AJ753" s="20">
        <v>45638</v>
      </c>
      <c r="AK753" s="20" t="s">
        <v>1787</v>
      </c>
      <c r="AL753" s="20">
        <v>39087</v>
      </c>
      <c r="AM753" s="20" t="s">
        <v>49</v>
      </c>
      <c r="AN753" s="37">
        <f t="shared" si="71"/>
        <v>26580</v>
      </c>
      <c r="AO753" s="37" t="str">
        <f t="shared" si="72"/>
        <v>Huntington-Ashland, WV-KY-OH</v>
      </c>
      <c r="AP753" s="20" t="s">
        <v>8</v>
      </c>
      <c r="AQ753" s="25"/>
      <c r="AR753" s="25"/>
      <c r="AS753" s="25"/>
      <c r="AT753" s="25"/>
      <c r="AU753" s="36"/>
      <c r="AV753" s="36"/>
      <c r="AW753" s="36"/>
      <c r="AX753" s="25"/>
      <c r="AY753" s="25"/>
      <c r="AZ753" s="25"/>
      <c r="BA753" s="25"/>
      <c r="BB753" s="25"/>
      <c r="BC753" s="25"/>
      <c r="BD753" s="25"/>
      <c r="BE753" s="25"/>
      <c r="BF753" s="25"/>
      <c r="BG753" s="25"/>
      <c r="BH753" s="25"/>
      <c r="BI753" s="25"/>
      <c r="BJ753" s="25"/>
      <c r="BK753" s="25"/>
      <c r="BL753" s="25"/>
      <c r="BM753" s="25"/>
      <c r="BN753" s="25"/>
      <c r="BO753" s="25"/>
      <c r="BP753" s="25"/>
      <c r="BQ753" s="25"/>
      <c r="BR753" s="25"/>
      <c r="BS753" s="25"/>
      <c r="BT753" s="25"/>
      <c r="BU753" s="39">
        <v>45881</v>
      </c>
      <c r="BV753" s="39" t="s">
        <v>1943</v>
      </c>
      <c r="BW753" s="39" t="s">
        <v>2936</v>
      </c>
      <c r="BX753" s="39" t="s">
        <v>2937</v>
      </c>
      <c r="BY753" s="71">
        <v>930</v>
      </c>
      <c r="BZ753" s="71">
        <v>1030</v>
      </c>
      <c r="CA753" s="71">
        <v>1350</v>
      </c>
      <c r="CB753" s="71">
        <v>1780</v>
      </c>
      <c r="CC753" s="71">
        <v>2030</v>
      </c>
      <c r="CD753" s="25"/>
      <c r="CE753" s="200"/>
      <c r="CF753" s="200"/>
      <c r="CG753" s="200"/>
      <c r="CH753" s="200"/>
      <c r="CI753" s="200"/>
      <c r="CJ753" s="200"/>
      <c r="CK753" s="200"/>
      <c r="CL753" s="200"/>
      <c r="CM753" s="200"/>
      <c r="CN753" s="200"/>
      <c r="CO753" s="200"/>
      <c r="CP753" s="200"/>
      <c r="CQ753" s="200"/>
      <c r="CR753" s="200"/>
      <c r="CS753" s="200"/>
      <c r="CT753" s="200"/>
      <c r="CU753" s="200"/>
    </row>
    <row r="754" spans="1:99" s="17" customFormat="1" x14ac:dyDescent="0.2">
      <c r="A754" s="25"/>
      <c r="B754" s="20">
        <v>39147963200</v>
      </c>
      <c r="C754" s="20">
        <v>9632</v>
      </c>
      <c r="D754" s="20" t="s">
        <v>79</v>
      </c>
      <c r="E754" s="20" t="s">
        <v>265</v>
      </c>
      <c r="F754" s="20" t="s">
        <v>8</v>
      </c>
      <c r="G754" s="861">
        <v>59.445032442374</v>
      </c>
      <c r="H754" s="861">
        <v>58.252868357703498</v>
      </c>
      <c r="I754" s="861">
        <v>37.087765628688302</v>
      </c>
      <c r="J754" s="861">
        <v>40.302528729205299</v>
      </c>
      <c r="K754" s="982">
        <v>0</v>
      </c>
      <c r="L754" s="735">
        <v>4210</v>
      </c>
      <c r="M754" s="735">
        <v>3795</v>
      </c>
      <c r="N754" s="845">
        <f t="shared" si="68"/>
        <v>-9.8574821852731587E-2</v>
      </c>
      <c r="O754" s="735">
        <v>18.020399715271282</v>
      </c>
      <c r="P754" s="735">
        <f t="shared" si="69"/>
        <v>210.59466271349962</v>
      </c>
      <c r="Q754" s="849">
        <v>43.6</v>
      </c>
      <c r="R754" s="71">
        <v>43578</v>
      </c>
      <c r="S754" s="845">
        <v>0.17292832400746069</v>
      </c>
      <c r="T754" s="845">
        <v>2.2000000000000002E-2</v>
      </c>
      <c r="U754" s="845">
        <v>0</v>
      </c>
      <c r="V754" s="845">
        <v>0.13500000000000001</v>
      </c>
      <c r="W754" s="845">
        <v>0.35553109521188775</v>
      </c>
      <c r="X754" s="845">
        <v>0.49690402476780188</v>
      </c>
      <c r="Y754" s="845">
        <v>0.96284584980237153</v>
      </c>
      <c r="Z754" s="845">
        <v>1.5810276679841897E-3</v>
      </c>
      <c r="AA754" s="845">
        <v>0</v>
      </c>
      <c r="AB754" s="845">
        <v>0</v>
      </c>
      <c r="AC754" s="845">
        <v>0</v>
      </c>
      <c r="AD754" s="845">
        <v>1.7127799736495388E-2</v>
      </c>
      <c r="AE754" s="845">
        <v>1.844532279314888E-2</v>
      </c>
      <c r="AF754" s="845">
        <v>4.5586297760210802E-2</v>
      </c>
      <c r="AG754" s="845">
        <v>0.93939393939393945</v>
      </c>
      <c r="AH754" s="20" t="str">
        <f t="shared" si="70"/>
        <v>Yes</v>
      </c>
      <c r="AI754" s="25"/>
      <c r="AJ754" s="20">
        <v>45645</v>
      </c>
      <c r="AK754" s="20" t="s">
        <v>1791</v>
      </c>
      <c r="AL754" s="20">
        <v>39087</v>
      </c>
      <c r="AM754" s="20" t="s">
        <v>49</v>
      </c>
      <c r="AN754" s="37">
        <f t="shared" si="71"/>
        <v>26580</v>
      </c>
      <c r="AO754" s="37" t="str">
        <f t="shared" si="72"/>
        <v>Huntington-Ashland, WV-KY-OH</v>
      </c>
      <c r="AP754" s="20" t="s">
        <v>8</v>
      </c>
      <c r="AQ754" s="25"/>
      <c r="AR754" s="25"/>
      <c r="AS754" s="25"/>
      <c r="AT754" s="25"/>
      <c r="AU754" s="36"/>
      <c r="AV754" s="36"/>
      <c r="AW754" s="36"/>
      <c r="AX754" s="25"/>
      <c r="AY754" s="25"/>
      <c r="AZ754" s="25"/>
      <c r="BA754" s="25"/>
      <c r="BB754" s="25"/>
      <c r="BC754" s="25"/>
      <c r="BD754" s="25"/>
      <c r="BE754" s="25"/>
      <c r="BF754" s="25"/>
      <c r="BG754" s="25"/>
      <c r="BH754" s="25"/>
      <c r="BI754" s="25"/>
      <c r="BJ754" s="25"/>
      <c r="BK754" s="25"/>
      <c r="BL754" s="25"/>
      <c r="BM754" s="25"/>
      <c r="BN754" s="25"/>
      <c r="BO754" s="25"/>
      <c r="BP754" s="25"/>
      <c r="BQ754" s="25"/>
      <c r="BR754" s="25"/>
      <c r="BS754" s="25"/>
      <c r="BT754" s="25"/>
      <c r="BU754" s="39">
        <v>45890</v>
      </c>
      <c r="BV754" s="39" t="s">
        <v>1952</v>
      </c>
      <c r="BW754" s="39" t="s">
        <v>2936</v>
      </c>
      <c r="BX754" s="39" t="s">
        <v>2937</v>
      </c>
      <c r="BY754" s="71">
        <v>700</v>
      </c>
      <c r="BZ754" s="71">
        <v>780</v>
      </c>
      <c r="CA754" s="71">
        <v>1020</v>
      </c>
      <c r="CB754" s="71">
        <v>1340</v>
      </c>
      <c r="CC754" s="71">
        <v>1530</v>
      </c>
      <c r="CD754" s="25"/>
      <c r="CE754" s="200"/>
      <c r="CF754" s="200"/>
      <c r="CG754" s="200"/>
      <c r="CH754" s="200"/>
      <c r="CI754" s="200"/>
      <c r="CJ754" s="200"/>
      <c r="CK754" s="200"/>
      <c r="CL754" s="200"/>
      <c r="CM754" s="200"/>
      <c r="CN754" s="200"/>
      <c r="CO754" s="200"/>
      <c r="CP754" s="200"/>
      <c r="CQ754" s="200"/>
      <c r="CR754" s="200"/>
      <c r="CS754" s="200"/>
      <c r="CT754" s="200"/>
      <c r="CU754" s="200"/>
    </row>
    <row r="755" spans="1:99" s="17" customFormat="1" x14ac:dyDescent="0.2">
      <c r="A755" s="25"/>
      <c r="B755" s="20">
        <v>39049009397</v>
      </c>
      <c r="C755" s="20">
        <v>93.97</v>
      </c>
      <c r="D755" s="20" t="s">
        <v>31</v>
      </c>
      <c r="E755" s="20" t="s">
        <v>2830</v>
      </c>
      <c r="F755" s="20" t="s">
        <v>6</v>
      </c>
      <c r="G755" s="861">
        <v>59.416629892314397</v>
      </c>
      <c r="H755" s="861">
        <v>49.247139718015802</v>
      </c>
      <c r="I755" s="861">
        <v>41.192897960159101</v>
      </c>
      <c r="J755" s="861">
        <v>51.266569147946797</v>
      </c>
      <c r="K755" s="982">
        <v>0</v>
      </c>
      <c r="L755" s="735" t="s">
        <v>2466</v>
      </c>
      <c r="M755" s="735">
        <v>2930</v>
      </c>
      <c r="N755" s="845" t="str">
        <f t="shared" si="68"/>
        <v/>
      </c>
      <c r="O755" s="735">
        <v>0.71233068324780846</v>
      </c>
      <c r="P755" s="735">
        <f t="shared" si="69"/>
        <v>4113.2581663349465</v>
      </c>
      <c r="Q755" s="849">
        <v>35.9</v>
      </c>
      <c r="R755" s="71">
        <v>50388</v>
      </c>
      <c r="S755" s="845">
        <v>0.1253141831238779</v>
      </c>
      <c r="T755" s="845">
        <v>1.1000000000000001E-2</v>
      </c>
      <c r="U755" s="845">
        <v>0</v>
      </c>
      <c r="V755" s="845">
        <v>3.5000000000000003E-2</v>
      </c>
      <c r="W755" s="845">
        <v>0.77191621411947242</v>
      </c>
      <c r="X755" s="845">
        <v>0.46834170854271356</v>
      </c>
      <c r="Y755" s="845">
        <v>0.27576791808873719</v>
      </c>
      <c r="Z755" s="845">
        <v>0.65187713310580209</v>
      </c>
      <c r="AA755" s="845">
        <v>0</v>
      </c>
      <c r="AB755" s="845">
        <v>8.8737201365187719E-3</v>
      </c>
      <c r="AC755" s="845">
        <v>6.8259385665529011E-3</v>
      </c>
      <c r="AD755" s="845">
        <v>5.665529010238908E-2</v>
      </c>
      <c r="AE755" s="845">
        <v>0</v>
      </c>
      <c r="AF755" s="845">
        <v>5.665529010238908E-2</v>
      </c>
      <c r="AG755" s="845">
        <v>0.27576791808873719</v>
      </c>
      <c r="AH755" s="20" t="str">
        <f t="shared" si="70"/>
        <v>No</v>
      </c>
      <c r="AI755" s="25"/>
      <c r="AJ755" s="20">
        <v>45656</v>
      </c>
      <c r="AK755" s="20" t="s">
        <v>1800</v>
      </c>
      <c r="AL755" s="20">
        <v>39087</v>
      </c>
      <c r="AM755" s="20" t="s">
        <v>49</v>
      </c>
      <c r="AN755" s="37">
        <f t="shared" si="71"/>
        <v>26580</v>
      </c>
      <c r="AO755" s="37" t="str">
        <f t="shared" si="72"/>
        <v>Huntington-Ashland, WV-KY-OH</v>
      </c>
      <c r="AP755" s="20" t="s">
        <v>8</v>
      </c>
      <c r="AQ755" s="25"/>
      <c r="AR755" s="25"/>
      <c r="AS755" s="25"/>
      <c r="AT755" s="25"/>
      <c r="AU755" s="36"/>
      <c r="AV755" s="36"/>
      <c r="AW755" s="36"/>
      <c r="AX755" s="25"/>
      <c r="AY755" s="25"/>
      <c r="AZ755" s="25"/>
      <c r="BA755" s="25"/>
      <c r="BB755" s="25"/>
      <c r="BC755" s="25"/>
      <c r="BD755" s="25"/>
      <c r="BE755" s="25"/>
      <c r="BF755" s="25"/>
      <c r="BG755" s="25"/>
      <c r="BH755" s="25"/>
      <c r="BI755" s="25"/>
      <c r="BJ755" s="25"/>
      <c r="BK755" s="25"/>
      <c r="BL755" s="25"/>
      <c r="BM755" s="25"/>
      <c r="BN755" s="25"/>
      <c r="BO755" s="25"/>
      <c r="BP755" s="25"/>
      <c r="BQ755" s="25"/>
      <c r="BR755" s="25"/>
      <c r="BS755" s="25"/>
      <c r="BT755" s="25"/>
      <c r="BU755" s="39">
        <v>45897</v>
      </c>
      <c r="BV755" s="39" t="s">
        <v>1958</v>
      </c>
      <c r="BW755" s="39" t="s">
        <v>2936</v>
      </c>
      <c r="BX755" s="39" t="s">
        <v>2937</v>
      </c>
      <c r="BY755" s="71">
        <v>830</v>
      </c>
      <c r="BZ755" s="71">
        <v>850</v>
      </c>
      <c r="CA755" s="71">
        <v>1030</v>
      </c>
      <c r="CB755" s="71">
        <v>1320</v>
      </c>
      <c r="CC755" s="71">
        <v>1480</v>
      </c>
      <c r="CD755" s="25"/>
      <c r="CE755" s="200"/>
      <c r="CF755" s="200"/>
      <c r="CG755" s="200"/>
      <c r="CH755" s="200"/>
      <c r="CI755" s="200"/>
      <c r="CJ755" s="200"/>
      <c r="CK755" s="200"/>
      <c r="CL755" s="200"/>
      <c r="CM755" s="200"/>
      <c r="CN755" s="200"/>
      <c r="CO755" s="200"/>
      <c r="CP755" s="200"/>
      <c r="CQ755" s="200"/>
      <c r="CR755" s="200"/>
      <c r="CS755" s="200"/>
      <c r="CT755" s="200"/>
      <c r="CU755" s="200"/>
    </row>
    <row r="756" spans="1:99" s="17" customFormat="1" x14ac:dyDescent="0.2">
      <c r="A756" s="25"/>
      <c r="B756" s="20">
        <v>39037560101</v>
      </c>
      <c r="C756" s="20">
        <v>5601.01</v>
      </c>
      <c r="D756" s="20" t="s">
        <v>25</v>
      </c>
      <c r="E756" s="20" t="s">
        <v>265</v>
      </c>
      <c r="F756" s="20" t="s">
        <v>8</v>
      </c>
      <c r="G756" s="861">
        <v>59.396951549110398</v>
      </c>
      <c r="H756" s="861">
        <v>62.373673522426301</v>
      </c>
      <c r="I756" s="861">
        <v>18.4978480902321</v>
      </c>
      <c r="J756" s="861">
        <v>51.459469198900898</v>
      </c>
      <c r="K756" s="982">
        <v>0</v>
      </c>
      <c r="L756" s="735" t="s">
        <v>2466</v>
      </c>
      <c r="M756" s="735">
        <v>3324</v>
      </c>
      <c r="N756" s="845" t="str">
        <f t="shared" si="68"/>
        <v/>
      </c>
      <c r="O756" s="735">
        <v>68.691242370220763</v>
      </c>
      <c r="P756" s="735">
        <f t="shared" si="69"/>
        <v>48.390448116877131</v>
      </c>
      <c r="Q756" s="849">
        <v>48.1</v>
      </c>
      <c r="R756" s="71">
        <v>80676</v>
      </c>
      <c r="S756" s="845">
        <v>6.1746987951807226E-2</v>
      </c>
      <c r="T756" s="845">
        <v>3.2000000000000001E-2</v>
      </c>
      <c r="U756" s="845">
        <v>8.0000000000000002E-3</v>
      </c>
      <c r="V756" s="845">
        <v>0</v>
      </c>
      <c r="W756" s="845">
        <v>0.17055393586005832</v>
      </c>
      <c r="X756" s="845">
        <v>0.23931623931623933</v>
      </c>
      <c r="Y756" s="845">
        <v>0.96961492178098674</v>
      </c>
      <c r="Z756" s="845">
        <v>0</v>
      </c>
      <c r="AA756" s="845">
        <v>9.025270758122744E-4</v>
      </c>
      <c r="AB756" s="845">
        <v>1.022864019253911E-2</v>
      </c>
      <c r="AC756" s="845">
        <v>0</v>
      </c>
      <c r="AD756" s="845">
        <v>0</v>
      </c>
      <c r="AE756" s="845">
        <v>1.9253910950661854E-2</v>
      </c>
      <c r="AF756" s="845">
        <v>2.4067388688327317E-3</v>
      </c>
      <c r="AG756" s="845">
        <v>0.96811070998796633</v>
      </c>
      <c r="AH756" s="20" t="str">
        <f t="shared" si="70"/>
        <v>Yes</v>
      </c>
      <c r="AI756" s="25"/>
      <c r="AJ756" s="20">
        <v>45658</v>
      </c>
      <c r="AK756" s="20" t="s">
        <v>1802</v>
      </c>
      <c r="AL756" s="20">
        <v>39087</v>
      </c>
      <c r="AM756" s="20" t="s">
        <v>49</v>
      </c>
      <c r="AN756" s="37">
        <f t="shared" si="71"/>
        <v>26580</v>
      </c>
      <c r="AO756" s="37" t="str">
        <f t="shared" si="72"/>
        <v>Huntington-Ashland, WV-KY-OH</v>
      </c>
      <c r="AP756" s="20" t="s">
        <v>8</v>
      </c>
      <c r="AQ756" s="25"/>
      <c r="AR756" s="25"/>
      <c r="AS756" s="25"/>
      <c r="AT756" s="25"/>
      <c r="AU756" s="36"/>
      <c r="AV756" s="36"/>
      <c r="AW756" s="36"/>
      <c r="AX756" s="25"/>
      <c r="AY756" s="25"/>
      <c r="AZ756" s="25"/>
      <c r="BA756" s="25"/>
      <c r="BB756" s="25"/>
      <c r="BC756" s="25"/>
      <c r="BD756" s="25"/>
      <c r="BE756" s="25"/>
      <c r="BF756" s="25"/>
      <c r="BG756" s="25"/>
      <c r="BH756" s="25"/>
      <c r="BI756" s="25"/>
      <c r="BJ756" s="25"/>
      <c r="BK756" s="25"/>
      <c r="BL756" s="25"/>
      <c r="BM756" s="25"/>
      <c r="BN756" s="25"/>
      <c r="BO756" s="25"/>
      <c r="BP756" s="25"/>
      <c r="BQ756" s="25"/>
      <c r="BR756" s="25"/>
      <c r="BS756" s="25"/>
      <c r="BT756" s="25"/>
      <c r="BU756" s="39">
        <v>43326</v>
      </c>
      <c r="BV756" s="39" t="s">
        <v>881</v>
      </c>
      <c r="BW756" s="39" t="s">
        <v>2959</v>
      </c>
      <c r="BX756" s="39" t="s">
        <v>2960</v>
      </c>
      <c r="BY756" s="71">
        <v>810</v>
      </c>
      <c r="BZ756" s="71">
        <v>810</v>
      </c>
      <c r="CA756" s="71">
        <v>970</v>
      </c>
      <c r="CB756" s="71">
        <v>1230</v>
      </c>
      <c r="CC756" s="71">
        <v>1370</v>
      </c>
      <c r="CD756" s="25"/>
      <c r="CE756" s="200"/>
      <c r="CF756" s="200"/>
      <c r="CG756" s="200"/>
      <c r="CH756" s="200"/>
      <c r="CI756" s="200"/>
      <c r="CJ756" s="200"/>
      <c r="CK756" s="200"/>
      <c r="CL756" s="200"/>
      <c r="CM756" s="200"/>
      <c r="CN756" s="200"/>
      <c r="CO756" s="200"/>
      <c r="CP756" s="200"/>
      <c r="CQ756" s="200"/>
      <c r="CR756" s="200"/>
      <c r="CS756" s="200"/>
      <c r="CT756" s="200"/>
      <c r="CU756" s="200"/>
    </row>
    <row r="757" spans="1:99" s="17" customFormat="1" x14ac:dyDescent="0.2">
      <c r="A757" s="25"/>
      <c r="B757" s="20">
        <v>39035174104</v>
      </c>
      <c r="C757" s="20">
        <v>1741.04</v>
      </c>
      <c r="D757" s="20" t="s">
        <v>24</v>
      </c>
      <c r="E757" s="20" t="s">
        <v>2829</v>
      </c>
      <c r="F757" s="20" t="s">
        <v>8</v>
      </c>
      <c r="G757" s="861">
        <v>59.395729258396301</v>
      </c>
      <c r="H757" s="861">
        <v>61.654916546857898</v>
      </c>
      <c r="I757" s="861">
        <v>19.5213885146172</v>
      </c>
      <c r="J757" s="861">
        <v>44.052542307125798</v>
      </c>
      <c r="K757" s="982">
        <v>0</v>
      </c>
      <c r="L757" s="735">
        <v>2280</v>
      </c>
      <c r="M757" s="735">
        <v>2516</v>
      </c>
      <c r="N757" s="845">
        <f t="shared" si="68"/>
        <v>0.10350877192982456</v>
      </c>
      <c r="O757" s="735">
        <v>0.74772080710440025</v>
      </c>
      <c r="P757" s="735">
        <f t="shared" si="69"/>
        <v>3364.8923182215317</v>
      </c>
      <c r="Q757" s="849">
        <v>50.8</v>
      </c>
      <c r="R757" s="71">
        <v>93409</v>
      </c>
      <c r="S757" s="845">
        <v>8.1590815908159087E-2</v>
      </c>
      <c r="T757" s="845">
        <v>1.9E-2</v>
      </c>
      <c r="U757" s="845">
        <v>2.4E-2</v>
      </c>
      <c r="V757" s="845">
        <v>0</v>
      </c>
      <c r="W757" s="845">
        <v>2.0047169811320754E-2</v>
      </c>
      <c r="X757" s="845">
        <v>0</v>
      </c>
      <c r="Y757" s="845">
        <v>0.92289348171701113</v>
      </c>
      <c r="Z757" s="845">
        <v>5.5643879173290934E-3</v>
      </c>
      <c r="AA757" s="845">
        <v>0</v>
      </c>
      <c r="AB757" s="845">
        <v>2.2257551669316374E-2</v>
      </c>
      <c r="AC757" s="845">
        <v>0</v>
      </c>
      <c r="AD757" s="845">
        <v>1.1526232114467409E-2</v>
      </c>
      <c r="AE757" s="845">
        <v>3.7758346581875997E-2</v>
      </c>
      <c r="AF757" s="845">
        <v>3.7360890302066775E-2</v>
      </c>
      <c r="AG757" s="845">
        <v>0.89507154213036566</v>
      </c>
      <c r="AH757" s="20" t="str">
        <f t="shared" si="70"/>
        <v>No</v>
      </c>
      <c r="AI757" s="25"/>
      <c r="AJ757" s="20">
        <v>45659</v>
      </c>
      <c r="AK757" s="20" t="s">
        <v>1803</v>
      </c>
      <c r="AL757" s="20">
        <v>39087</v>
      </c>
      <c r="AM757" s="20" t="s">
        <v>49</v>
      </c>
      <c r="AN757" s="37">
        <f t="shared" si="71"/>
        <v>26580</v>
      </c>
      <c r="AO757" s="37" t="str">
        <f t="shared" si="72"/>
        <v>Huntington-Ashland, WV-KY-OH</v>
      </c>
      <c r="AP757" s="20" t="s">
        <v>8</v>
      </c>
      <c r="AQ757" s="25"/>
      <c r="AR757" s="25"/>
      <c r="AS757" s="25"/>
      <c r="AT757" s="25"/>
      <c r="AU757" s="36"/>
      <c r="AV757" s="36"/>
      <c r="AW757" s="36"/>
      <c r="AX757" s="25"/>
      <c r="AY757" s="25"/>
      <c r="AZ757" s="25"/>
      <c r="BA757" s="25"/>
      <c r="BB757" s="25"/>
      <c r="BC757" s="25"/>
      <c r="BD757" s="25"/>
      <c r="BE757" s="25"/>
      <c r="BF757" s="25"/>
      <c r="BG757" s="25"/>
      <c r="BH757" s="25"/>
      <c r="BI757" s="25"/>
      <c r="BJ757" s="25"/>
      <c r="BK757" s="25"/>
      <c r="BL757" s="25"/>
      <c r="BM757" s="25"/>
      <c r="BN757" s="25"/>
      <c r="BO757" s="25"/>
      <c r="BP757" s="25"/>
      <c r="BQ757" s="25"/>
      <c r="BR757" s="25"/>
      <c r="BS757" s="25"/>
      <c r="BT757" s="25"/>
      <c r="BU757" s="39">
        <v>43332</v>
      </c>
      <c r="BV757" s="39" t="s">
        <v>884</v>
      </c>
      <c r="BW757" s="39" t="s">
        <v>2959</v>
      </c>
      <c r="BX757" s="39" t="s">
        <v>2960</v>
      </c>
      <c r="BY757" s="71">
        <v>770</v>
      </c>
      <c r="BZ757" s="71">
        <v>780</v>
      </c>
      <c r="CA757" s="71">
        <v>990</v>
      </c>
      <c r="CB757" s="71">
        <v>1210</v>
      </c>
      <c r="CC757" s="71">
        <v>1340</v>
      </c>
      <c r="CD757" s="25"/>
      <c r="CE757" s="200"/>
      <c r="CF757" s="200"/>
      <c r="CG757" s="200"/>
      <c r="CH757" s="200"/>
      <c r="CI757" s="200"/>
      <c r="CJ757" s="200"/>
      <c r="CK757" s="200"/>
      <c r="CL757" s="200"/>
      <c r="CM757" s="200"/>
      <c r="CN757" s="200"/>
      <c r="CO757" s="200"/>
      <c r="CP757" s="200"/>
      <c r="CQ757" s="200"/>
      <c r="CR757" s="200"/>
      <c r="CS757" s="200"/>
      <c r="CT757" s="200"/>
      <c r="CU757" s="200"/>
    </row>
    <row r="758" spans="1:99" s="17" customFormat="1" x14ac:dyDescent="0.2">
      <c r="A758" s="25"/>
      <c r="B758" s="20">
        <v>39061022101</v>
      </c>
      <c r="C758" s="20">
        <v>221.01</v>
      </c>
      <c r="D758" s="20" t="s">
        <v>37</v>
      </c>
      <c r="E758" s="20" t="s">
        <v>2828</v>
      </c>
      <c r="F758" s="20" t="s">
        <v>8</v>
      </c>
      <c r="G758" s="861">
        <v>59.354342205819201</v>
      </c>
      <c r="H758" s="861">
        <v>65.836270904387106</v>
      </c>
      <c r="I758" s="861">
        <v>23.403611050538501</v>
      </c>
      <c r="J758" s="861">
        <v>52.013720309297497</v>
      </c>
      <c r="K758" s="982">
        <v>0</v>
      </c>
      <c r="L758" s="735">
        <v>3912</v>
      </c>
      <c r="M758" s="735">
        <v>4215</v>
      </c>
      <c r="N758" s="845">
        <f t="shared" si="68"/>
        <v>7.7453987730061347E-2</v>
      </c>
      <c r="O758" s="735">
        <v>2.8781811666309158</v>
      </c>
      <c r="P758" s="735">
        <f t="shared" si="69"/>
        <v>1464.4665349311249</v>
      </c>
      <c r="Q758" s="849">
        <v>50</v>
      </c>
      <c r="R758" s="71">
        <v>105250</v>
      </c>
      <c r="S758" s="845">
        <v>5.788849347568209E-2</v>
      </c>
      <c r="T758" s="845">
        <v>1.8000000000000002E-2</v>
      </c>
      <c r="U758" s="845">
        <v>8.0000000000000002E-3</v>
      </c>
      <c r="V758" s="845">
        <v>0</v>
      </c>
      <c r="W758" s="845">
        <v>8.200330214639516E-2</v>
      </c>
      <c r="X758" s="845">
        <v>0.50335570469798663</v>
      </c>
      <c r="Y758" s="845">
        <v>0.61138790035587187</v>
      </c>
      <c r="Z758" s="845">
        <v>0.30486358244365364</v>
      </c>
      <c r="AA758" s="845">
        <v>0</v>
      </c>
      <c r="AB758" s="845">
        <v>4.2704626334519576E-3</v>
      </c>
      <c r="AC758" s="845">
        <v>0</v>
      </c>
      <c r="AD758" s="845">
        <v>5.9074733096085408E-2</v>
      </c>
      <c r="AE758" s="845">
        <v>2.0403321470937128E-2</v>
      </c>
      <c r="AF758" s="845">
        <v>3.5587188612099648E-2</v>
      </c>
      <c r="AG758" s="845">
        <v>0.61138790035587187</v>
      </c>
      <c r="AH758" s="20" t="str">
        <f t="shared" si="70"/>
        <v>No</v>
      </c>
      <c r="AI758" s="25"/>
      <c r="AJ758" s="20">
        <v>45669</v>
      </c>
      <c r="AK758" s="20" t="s">
        <v>1808</v>
      </c>
      <c r="AL758" s="20">
        <v>39087</v>
      </c>
      <c r="AM758" s="20" t="s">
        <v>49</v>
      </c>
      <c r="AN758" s="37">
        <f t="shared" si="71"/>
        <v>26580</v>
      </c>
      <c r="AO758" s="37" t="str">
        <f t="shared" si="72"/>
        <v>Huntington-Ashland, WV-KY-OH</v>
      </c>
      <c r="AP758" s="20" t="s">
        <v>8</v>
      </c>
      <c r="AQ758" s="25"/>
      <c r="AR758" s="25"/>
      <c r="AS758" s="25"/>
      <c r="AT758" s="25"/>
      <c r="AU758" s="36"/>
      <c r="AV758" s="36"/>
      <c r="AW758" s="36"/>
      <c r="AX758" s="25"/>
      <c r="AY758" s="25"/>
      <c r="AZ758" s="25"/>
      <c r="BA758" s="25"/>
      <c r="BB758" s="25"/>
      <c r="BC758" s="25"/>
      <c r="BD758" s="25"/>
      <c r="BE758" s="25"/>
      <c r="BF758" s="25"/>
      <c r="BG758" s="25"/>
      <c r="BH758" s="25"/>
      <c r="BI758" s="25"/>
      <c r="BJ758" s="25"/>
      <c r="BK758" s="25"/>
      <c r="BL758" s="25"/>
      <c r="BM758" s="25"/>
      <c r="BN758" s="25"/>
      <c r="BO758" s="25"/>
      <c r="BP758" s="25"/>
      <c r="BQ758" s="25"/>
      <c r="BR758" s="25"/>
      <c r="BS758" s="25"/>
      <c r="BT758" s="25"/>
      <c r="BU758" s="39">
        <v>43346</v>
      </c>
      <c r="BV758" s="39" t="s">
        <v>896</v>
      </c>
      <c r="BW758" s="39" t="s">
        <v>2959</v>
      </c>
      <c r="BX758" s="39" t="s">
        <v>2960</v>
      </c>
      <c r="BY758" s="71">
        <v>950</v>
      </c>
      <c r="BZ758" s="71">
        <v>960</v>
      </c>
      <c r="CA758" s="71">
        <v>1240</v>
      </c>
      <c r="CB758" s="71">
        <v>1520</v>
      </c>
      <c r="CC758" s="71">
        <v>1660</v>
      </c>
      <c r="CD758" s="25"/>
      <c r="CE758" s="200"/>
      <c r="CF758" s="200"/>
      <c r="CG758" s="200"/>
      <c r="CH758" s="200"/>
      <c r="CI758" s="200"/>
      <c r="CJ758" s="200"/>
      <c r="CK758" s="200"/>
      <c r="CL758" s="200"/>
      <c r="CM758" s="200"/>
      <c r="CN758" s="200"/>
      <c r="CO758" s="200"/>
      <c r="CP758" s="200"/>
      <c r="CQ758" s="200"/>
      <c r="CR758" s="200"/>
      <c r="CS758" s="200"/>
      <c r="CT758" s="200"/>
      <c r="CU758" s="200"/>
    </row>
    <row r="759" spans="1:99" s="17" customFormat="1" x14ac:dyDescent="0.2">
      <c r="A759" s="25"/>
      <c r="B759" s="20">
        <v>39057260100</v>
      </c>
      <c r="C759" s="20">
        <v>2601</v>
      </c>
      <c r="D759" s="20" t="s">
        <v>35</v>
      </c>
      <c r="E759" s="20" t="s">
        <v>2833</v>
      </c>
      <c r="F759" s="20" t="s">
        <v>8</v>
      </c>
      <c r="G759" s="861">
        <v>59.351761661217203</v>
      </c>
      <c r="H759" s="861">
        <v>69.842699279421595</v>
      </c>
      <c r="I759" s="861">
        <v>21.062935197358701</v>
      </c>
      <c r="J759" s="861">
        <v>49.931208700582303</v>
      </c>
      <c r="K759" s="982">
        <v>0</v>
      </c>
      <c r="L759" s="735">
        <v>6505</v>
      </c>
      <c r="M759" s="735">
        <v>6628</v>
      </c>
      <c r="N759" s="845">
        <f t="shared" si="68"/>
        <v>1.8908531898539586E-2</v>
      </c>
      <c r="O759" s="735">
        <v>75.204832890140182</v>
      </c>
      <c r="P759" s="735">
        <f t="shared" si="69"/>
        <v>88.132633838602302</v>
      </c>
      <c r="Q759" s="849">
        <v>21.4</v>
      </c>
      <c r="R759" s="71">
        <v>85076</v>
      </c>
      <c r="S759" s="845">
        <v>8.3294337856808606E-2</v>
      </c>
      <c r="T759" s="845">
        <v>6.9000000000000006E-2</v>
      </c>
      <c r="U759" s="845">
        <v>0</v>
      </c>
      <c r="V759" s="845">
        <v>0</v>
      </c>
      <c r="W759" s="845">
        <v>0.25852660300136426</v>
      </c>
      <c r="X759" s="845">
        <v>0.27704485488126651</v>
      </c>
      <c r="Y759" s="845">
        <v>0.82287266143633075</v>
      </c>
      <c r="Z759" s="845">
        <v>8.8412794206397097E-2</v>
      </c>
      <c r="AA759" s="845">
        <v>0</v>
      </c>
      <c r="AB759" s="845">
        <v>3.0024140012070006E-2</v>
      </c>
      <c r="AC759" s="845">
        <v>2.2631261315630659E-3</v>
      </c>
      <c r="AD759" s="845">
        <v>2.8666264333132166E-3</v>
      </c>
      <c r="AE759" s="845">
        <v>5.3560651780325888E-2</v>
      </c>
      <c r="AF759" s="845">
        <v>2.2782136391068197E-2</v>
      </c>
      <c r="AG759" s="845">
        <v>0.81412190706095355</v>
      </c>
      <c r="AH759" s="20" t="str">
        <f t="shared" si="70"/>
        <v>No</v>
      </c>
      <c r="AI759" s="25"/>
      <c r="AJ759" s="37">
        <v>45678</v>
      </c>
      <c r="AK759" s="37" t="s">
        <v>1814</v>
      </c>
      <c r="AL759" s="37">
        <v>39087</v>
      </c>
      <c r="AM759" s="37" t="s">
        <v>49</v>
      </c>
      <c r="AN759" s="37">
        <f t="shared" si="71"/>
        <v>26580</v>
      </c>
      <c r="AO759" s="37" t="str">
        <f t="shared" si="72"/>
        <v>Huntington-Ashland, WV-KY-OH</v>
      </c>
      <c r="AP759" s="20" t="s">
        <v>8</v>
      </c>
      <c r="AQ759" s="25"/>
      <c r="AR759" s="25"/>
      <c r="AS759" s="25"/>
      <c r="AT759" s="25"/>
      <c r="AU759" s="36"/>
      <c r="AV759" s="36"/>
      <c r="AW759" s="36"/>
      <c r="AX759" s="25"/>
      <c r="AY759" s="25"/>
      <c r="AZ759" s="25"/>
      <c r="BA759" s="25"/>
      <c r="BB759" s="25"/>
      <c r="BC759" s="25"/>
      <c r="BD759" s="25"/>
      <c r="BE759" s="25"/>
      <c r="BF759" s="25"/>
      <c r="BG759" s="25"/>
      <c r="BH759" s="25"/>
      <c r="BI759" s="25"/>
      <c r="BJ759" s="25"/>
      <c r="BK759" s="25"/>
      <c r="BL759" s="25"/>
      <c r="BM759" s="25"/>
      <c r="BN759" s="25"/>
      <c r="BO759" s="25"/>
      <c r="BP759" s="25"/>
      <c r="BQ759" s="25"/>
      <c r="BR759" s="25"/>
      <c r="BS759" s="25"/>
      <c r="BT759" s="25"/>
      <c r="BU759" s="39">
        <v>43347</v>
      </c>
      <c r="BV759" s="39" t="s">
        <v>897</v>
      </c>
      <c r="BW759" s="39" t="s">
        <v>2959</v>
      </c>
      <c r="BX759" s="39" t="s">
        <v>2960</v>
      </c>
      <c r="BY759" s="71">
        <v>930</v>
      </c>
      <c r="BZ759" s="71">
        <v>940</v>
      </c>
      <c r="CA759" s="71">
        <v>1230</v>
      </c>
      <c r="CB759" s="71">
        <v>1500</v>
      </c>
      <c r="CC759" s="71">
        <v>1630</v>
      </c>
      <c r="CD759" s="25"/>
      <c r="CE759" s="200"/>
      <c r="CF759" s="200"/>
      <c r="CG759" s="200"/>
      <c r="CH759" s="200"/>
      <c r="CI759" s="200"/>
      <c r="CJ759" s="200"/>
      <c r="CK759" s="200"/>
      <c r="CL759" s="200"/>
      <c r="CM759" s="200"/>
      <c r="CN759" s="200"/>
      <c r="CO759" s="200"/>
      <c r="CP759" s="200"/>
      <c r="CQ759" s="200"/>
      <c r="CR759" s="200"/>
      <c r="CS759" s="200"/>
      <c r="CT759" s="200"/>
      <c r="CU759" s="200"/>
    </row>
    <row r="760" spans="1:99" s="17" customFormat="1" x14ac:dyDescent="0.2">
      <c r="A760" s="25"/>
      <c r="B760" s="20">
        <v>39085203000</v>
      </c>
      <c r="C760" s="20">
        <v>2030</v>
      </c>
      <c r="D760" s="20" t="s">
        <v>48</v>
      </c>
      <c r="E760" s="20" t="s">
        <v>2829</v>
      </c>
      <c r="F760" s="20" t="s">
        <v>8</v>
      </c>
      <c r="G760" s="861">
        <v>59.349728030076498</v>
      </c>
      <c r="H760" s="861">
        <v>65.999113334904294</v>
      </c>
      <c r="I760" s="861">
        <v>18.092767403523499</v>
      </c>
      <c r="J760" s="861">
        <v>35.484957265694</v>
      </c>
      <c r="K760" s="982">
        <v>0</v>
      </c>
      <c r="L760" s="735">
        <v>6579</v>
      </c>
      <c r="M760" s="735">
        <v>6676</v>
      </c>
      <c r="N760" s="845">
        <f t="shared" si="68"/>
        <v>1.4743882048943608E-2</v>
      </c>
      <c r="O760" s="735">
        <v>1.9505857885965354</v>
      </c>
      <c r="P760" s="735">
        <f t="shared" si="69"/>
        <v>3422.561590999514</v>
      </c>
      <c r="Q760" s="849">
        <v>39.9</v>
      </c>
      <c r="R760" s="71">
        <v>93298</v>
      </c>
      <c r="S760" s="845">
        <v>9.2121030557219888E-2</v>
      </c>
      <c r="T760" s="845">
        <v>4.9000000000000002E-2</v>
      </c>
      <c r="U760" s="845">
        <v>2.5000000000000001E-2</v>
      </c>
      <c r="V760" s="845">
        <v>0</v>
      </c>
      <c r="W760" s="845">
        <v>9.004739336492891E-2</v>
      </c>
      <c r="X760" s="845">
        <v>5.701754385964912E-2</v>
      </c>
      <c r="Y760" s="845">
        <v>0.95266626722588377</v>
      </c>
      <c r="Z760" s="845">
        <v>7.1899340922708206E-3</v>
      </c>
      <c r="AA760" s="845">
        <v>0</v>
      </c>
      <c r="AB760" s="845">
        <v>2.531455961653685E-2</v>
      </c>
      <c r="AC760" s="845">
        <v>0</v>
      </c>
      <c r="AD760" s="845">
        <v>2.2468544038346315E-3</v>
      </c>
      <c r="AE760" s="845">
        <v>1.2582384661473937E-2</v>
      </c>
      <c r="AF760" s="845">
        <v>6.1414020371479928E-3</v>
      </c>
      <c r="AG760" s="845">
        <v>0.94877171959257045</v>
      </c>
      <c r="AH760" s="20" t="str">
        <f t="shared" si="70"/>
        <v>Yes</v>
      </c>
      <c r="AI760" s="25"/>
      <c r="AJ760" s="20">
        <v>45680</v>
      </c>
      <c r="AK760" s="20" t="s">
        <v>1816</v>
      </c>
      <c r="AL760" s="20">
        <v>39087</v>
      </c>
      <c r="AM760" s="20" t="s">
        <v>49</v>
      </c>
      <c r="AN760" s="37">
        <f t="shared" si="71"/>
        <v>26580</v>
      </c>
      <c r="AO760" s="37" t="str">
        <f t="shared" si="72"/>
        <v>Huntington-Ashland, WV-KY-OH</v>
      </c>
      <c r="AP760" s="20" t="s">
        <v>8</v>
      </c>
      <c r="AQ760" s="25"/>
      <c r="AR760" s="25"/>
      <c r="AS760" s="25"/>
      <c r="AT760" s="25"/>
      <c r="AU760" s="36"/>
      <c r="AV760" s="36"/>
      <c r="AW760" s="36"/>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39">
        <v>45835</v>
      </c>
      <c r="BV760" s="39" t="s">
        <v>1904</v>
      </c>
      <c r="BW760" s="39" t="s">
        <v>2959</v>
      </c>
      <c r="BX760" s="39" t="s">
        <v>2960</v>
      </c>
      <c r="BY760" s="71">
        <v>820</v>
      </c>
      <c r="BZ760" s="71">
        <v>820</v>
      </c>
      <c r="CA760" s="71">
        <v>990</v>
      </c>
      <c r="CB760" s="71">
        <v>1250</v>
      </c>
      <c r="CC760" s="71">
        <v>1400</v>
      </c>
      <c r="CD760" s="25"/>
      <c r="CE760" s="200"/>
      <c r="CF760" s="200"/>
      <c r="CG760" s="200"/>
      <c r="CH760" s="200"/>
      <c r="CI760" s="200"/>
      <c r="CJ760" s="200"/>
      <c r="CK760" s="200"/>
      <c r="CL760" s="200"/>
      <c r="CM760" s="200"/>
      <c r="CN760" s="200"/>
      <c r="CO760" s="200"/>
      <c r="CP760" s="200"/>
      <c r="CQ760" s="200"/>
      <c r="CR760" s="200"/>
      <c r="CS760" s="200"/>
      <c r="CT760" s="200"/>
      <c r="CU760" s="200"/>
    </row>
    <row r="761" spans="1:99" s="17" customFormat="1" x14ac:dyDescent="0.2">
      <c r="A761" s="25"/>
      <c r="B761" s="20">
        <v>39049007214</v>
      </c>
      <c r="C761" s="20">
        <v>72.14</v>
      </c>
      <c r="D761" s="20" t="s">
        <v>31</v>
      </c>
      <c r="E761" s="20" t="s">
        <v>2830</v>
      </c>
      <c r="F761" s="20" t="s">
        <v>8</v>
      </c>
      <c r="G761" s="861">
        <v>59.347817424887701</v>
      </c>
      <c r="H761" s="861">
        <v>53.986235377219799</v>
      </c>
      <c r="I761" s="861">
        <v>39.465433655672399</v>
      </c>
      <c r="J761" s="861">
        <v>36.273693198158398</v>
      </c>
      <c r="K761" s="982">
        <v>0</v>
      </c>
      <c r="L761" s="735" t="s">
        <v>2466</v>
      </c>
      <c r="M761" s="735">
        <v>3843</v>
      </c>
      <c r="N761" s="845" t="str">
        <f t="shared" si="68"/>
        <v/>
      </c>
      <c r="O761" s="735">
        <v>0.83713936431932123</v>
      </c>
      <c r="P761" s="735">
        <f t="shared" si="69"/>
        <v>4590.6334880390514</v>
      </c>
      <c r="Q761" s="849">
        <v>35.9</v>
      </c>
      <c r="R761" s="71">
        <v>56838</v>
      </c>
      <c r="S761" s="845">
        <v>0.15378610460577674</v>
      </c>
      <c r="T761" s="845">
        <v>3.1E-2</v>
      </c>
      <c r="U761" s="845">
        <v>7.2000000000000008E-2</v>
      </c>
      <c r="V761" s="845">
        <v>0.03</v>
      </c>
      <c r="W761" s="845">
        <v>0.66591726618705038</v>
      </c>
      <c r="X761" s="845">
        <v>0.40715732613099259</v>
      </c>
      <c r="Y761" s="845">
        <v>0.61176164454852977</v>
      </c>
      <c r="Z761" s="845">
        <v>0.22872755659640906</v>
      </c>
      <c r="AA761" s="845">
        <v>0</v>
      </c>
      <c r="AB761" s="845">
        <v>0.10798855061150144</v>
      </c>
      <c r="AC761" s="845">
        <v>0</v>
      </c>
      <c r="AD761" s="845">
        <v>2.9143897996357013E-2</v>
      </c>
      <c r="AE761" s="845">
        <v>2.2378350247202708E-2</v>
      </c>
      <c r="AF761" s="845">
        <v>1.3791308873276087E-2</v>
      </c>
      <c r="AG761" s="845">
        <v>0.61176164454852977</v>
      </c>
      <c r="AH761" s="20" t="str">
        <f t="shared" si="70"/>
        <v>No</v>
      </c>
      <c r="AI761" s="25"/>
      <c r="AJ761" s="37">
        <v>45682</v>
      </c>
      <c r="AK761" s="37" t="s">
        <v>1818</v>
      </c>
      <c r="AL761" s="37">
        <v>39087</v>
      </c>
      <c r="AM761" s="37" t="s">
        <v>49</v>
      </c>
      <c r="AN761" s="37">
        <f t="shared" si="71"/>
        <v>26580</v>
      </c>
      <c r="AO761" s="37" t="str">
        <f t="shared" si="72"/>
        <v>Huntington-Ashland, WV-KY-OH</v>
      </c>
      <c r="AP761" s="20" t="s">
        <v>8</v>
      </c>
      <c r="AQ761" s="25"/>
      <c r="AR761" s="25"/>
      <c r="AS761" s="25"/>
      <c r="AT761" s="25"/>
      <c r="AU761" s="36"/>
      <c r="AV761" s="36"/>
      <c r="AW761" s="36"/>
      <c r="AX761" s="25"/>
      <c r="AY761" s="25"/>
      <c r="AZ761" s="25"/>
      <c r="BA761" s="25"/>
      <c r="BB761" s="25"/>
      <c r="BC761" s="25"/>
      <c r="BD761" s="25"/>
      <c r="BE761" s="25"/>
      <c r="BF761" s="25"/>
      <c r="BG761" s="25"/>
      <c r="BH761" s="25"/>
      <c r="BI761" s="25"/>
      <c r="BJ761" s="25"/>
      <c r="BK761" s="25"/>
      <c r="BL761" s="25"/>
      <c r="BM761" s="25"/>
      <c r="BN761" s="25"/>
      <c r="BO761" s="25"/>
      <c r="BP761" s="25"/>
      <c r="BQ761" s="25"/>
      <c r="BR761" s="25"/>
      <c r="BS761" s="25"/>
      <c r="BT761" s="25"/>
      <c r="BU761" s="39">
        <v>45859</v>
      </c>
      <c r="BV761" s="39" t="s">
        <v>1922</v>
      </c>
      <c r="BW761" s="39" t="s">
        <v>2959</v>
      </c>
      <c r="BX761" s="39" t="s">
        <v>2960</v>
      </c>
      <c r="BY761" s="71">
        <v>840</v>
      </c>
      <c r="BZ761" s="71">
        <v>850</v>
      </c>
      <c r="CA761" s="71">
        <v>1020</v>
      </c>
      <c r="CB761" s="71">
        <v>1290</v>
      </c>
      <c r="CC761" s="71">
        <v>1440</v>
      </c>
      <c r="CD761" s="25"/>
      <c r="CE761" s="200"/>
      <c r="CF761" s="200"/>
      <c r="CG761" s="200"/>
      <c r="CH761" s="200"/>
      <c r="CI761" s="200"/>
      <c r="CJ761" s="200"/>
      <c r="CK761" s="200"/>
      <c r="CL761" s="200"/>
      <c r="CM761" s="200"/>
      <c r="CN761" s="200"/>
      <c r="CO761" s="200"/>
      <c r="CP761" s="200"/>
      <c r="CQ761" s="200"/>
      <c r="CR761" s="200"/>
      <c r="CS761" s="200"/>
      <c r="CT761" s="200"/>
      <c r="CU761" s="200"/>
    </row>
    <row r="762" spans="1:99" s="17" customFormat="1" x14ac:dyDescent="0.2">
      <c r="A762" s="25"/>
      <c r="B762" s="20">
        <v>39025041702</v>
      </c>
      <c r="C762" s="20">
        <v>417.02</v>
      </c>
      <c r="D762" s="20" t="s">
        <v>19</v>
      </c>
      <c r="E762" s="20" t="s">
        <v>2828</v>
      </c>
      <c r="F762" s="20" t="s">
        <v>8</v>
      </c>
      <c r="G762" s="861">
        <v>59.315470274034702</v>
      </c>
      <c r="H762" s="861">
        <v>60.456743402363102</v>
      </c>
      <c r="I762" s="861">
        <v>20.403820445230402</v>
      </c>
      <c r="J762" s="861">
        <v>67.983614715511393</v>
      </c>
      <c r="K762" s="982">
        <v>0</v>
      </c>
      <c r="L762" s="735">
        <v>3175</v>
      </c>
      <c r="M762" s="735">
        <v>3341</v>
      </c>
      <c r="N762" s="845">
        <f t="shared" si="68"/>
        <v>5.2283464566929137E-2</v>
      </c>
      <c r="O762" s="735">
        <v>19.236475954323975</v>
      </c>
      <c r="P762" s="735">
        <f t="shared" si="69"/>
        <v>173.68046038853649</v>
      </c>
      <c r="Q762" s="849">
        <v>47.4</v>
      </c>
      <c r="R762" s="71">
        <v>137771</v>
      </c>
      <c r="S762" s="845">
        <v>1.4666267584555522E-2</v>
      </c>
      <c r="T762" s="845">
        <v>0.10199999999999999</v>
      </c>
      <c r="U762" s="845">
        <v>0</v>
      </c>
      <c r="V762" s="845">
        <v>0</v>
      </c>
      <c r="W762" s="845">
        <v>5.7936507936507939E-2</v>
      </c>
      <c r="X762" s="845">
        <v>0.27397260273972601</v>
      </c>
      <c r="Y762" s="845">
        <v>0.97186471116432205</v>
      </c>
      <c r="Z762" s="845">
        <v>0</v>
      </c>
      <c r="AA762" s="845">
        <v>0</v>
      </c>
      <c r="AB762" s="845">
        <v>1.1673151750972763E-2</v>
      </c>
      <c r="AC762" s="845">
        <v>0</v>
      </c>
      <c r="AD762" s="845">
        <v>0</v>
      </c>
      <c r="AE762" s="845">
        <v>1.6462137084705179E-2</v>
      </c>
      <c r="AF762" s="845">
        <v>2.6938042502244837E-3</v>
      </c>
      <c r="AG762" s="845">
        <v>0.96917090691409757</v>
      </c>
      <c r="AH762" s="20" t="str">
        <f t="shared" si="70"/>
        <v>Yes</v>
      </c>
      <c r="AI762" s="25"/>
      <c r="AJ762" s="20">
        <v>45688</v>
      </c>
      <c r="AK762" s="20" t="s">
        <v>1822</v>
      </c>
      <c r="AL762" s="20">
        <v>39087</v>
      </c>
      <c r="AM762" s="20" t="s">
        <v>49</v>
      </c>
      <c r="AN762" s="37">
        <f t="shared" si="71"/>
        <v>26580</v>
      </c>
      <c r="AO762" s="37" t="str">
        <f t="shared" si="72"/>
        <v>Huntington-Ashland, WV-KY-OH</v>
      </c>
      <c r="AP762" s="20" t="s">
        <v>8</v>
      </c>
      <c r="AQ762" s="25"/>
      <c r="AR762" s="25"/>
      <c r="AS762" s="25"/>
      <c r="AT762" s="25"/>
      <c r="AU762" s="36"/>
      <c r="AV762" s="36"/>
      <c r="AW762" s="36"/>
      <c r="AX762" s="25"/>
      <c r="AY762" s="25"/>
      <c r="AZ762" s="25"/>
      <c r="BA762" s="25"/>
      <c r="BB762" s="25"/>
      <c r="BC762" s="25"/>
      <c r="BD762" s="25"/>
      <c r="BE762" s="25"/>
      <c r="BF762" s="25"/>
      <c r="BG762" s="25"/>
      <c r="BH762" s="25"/>
      <c r="BI762" s="25"/>
      <c r="BJ762" s="25"/>
      <c r="BK762" s="25"/>
      <c r="BL762" s="25"/>
      <c r="BM762" s="25"/>
      <c r="BN762" s="25"/>
      <c r="BO762" s="25"/>
      <c r="BP762" s="25"/>
      <c r="BQ762" s="25"/>
      <c r="BR762" s="25"/>
      <c r="BS762" s="25"/>
      <c r="BT762" s="25"/>
      <c r="BU762" s="39">
        <v>43974</v>
      </c>
      <c r="BV762" s="39" t="s">
        <v>1139</v>
      </c>
      <c r="BW762" s="39" t="s">
        <v>2907</v>
      </c>
      <c r="BX762" s="39" t="s">
        <v>2908</v>
      </c>
      <c r="BY762" s="71">
        <v>780</v>
      </c>
      <c r="BZ762" s="71">
        <v>800</v>
      </c>
      <c r="CA762" s="71">
        <v>1020</v>
      </c>
      <c r="CB762" s="71">
        <v>1350</v>
      </c>
      <c r="CC762" s="71">
        <v>1430</v>
      </c>
      <c r="CD762" s="25"/>
      <c r="CE762" s="200"/>
      <c r="CF762" s="200"/>
      <c r="CG762" s="200"/>
      <c r="CH762" s="200"/>
      <c r="CI762" s="200"/>
      <c r="CJ762" s="200"/>
      <c r="CK762" s="200"/>
      <c r="CL762" s="200"/>
      <c r="CM762" s="200"/>
      <c r="CN762" s="200"/>
      <c r="CO762" s="200"/>
      <c r="CP762" s="200"/>
      <c r="CQ762" s="200"/>
      <c r="CR762" s="200"/>
      <c r="CS762" s="200"/>
      <c r="CT762" s="200"/>
      <c r="CU762" s="200"/>
    </row>
    <row r="763" spans="1:99" s="17" customFormat="1" x14ac:dyDescent="0.2">
      <c r="A763" s="25"/>
      <c r="B763" s="20">
        <v>39153507203</v>
      </c>
      <c r="C763" s="20">
        <v>5072.03</v>
      </c>
      <c r="D763" s="20" t="s">
        <v>82</v>
      </c>
      <c r="E763" s="20" t="s">
        <v>2843</v>
      </c>
      <c r="F763" s="20" t="s">
        <v>8</v>
      </c>
      <c r="G763" s="861">
        <v>59.299323210293402</v>
      </c>
      <c r="H763" s="861">
        <v>69.713298268600298</v>
      </c>
      <c r="I763" s="861">
        <v>32.760384439243701</v>
      </c>
      <c r="J763" s="861">
        <v>46.776214236862103</v>
      </c>
      <c r="K763" s="982">
        <v>0</v>
      </c>
      <c r="L763" s="735">
        <v>4791</v>
      </c>
      <c r="M763" s="735">
        <v>4049</v>
      </c>
      <c r="N763" s="845">
        <f t="shared" si="68"/>
        <v>-0.1548737215612607</v>
      </c>
      <c r="O763" s="735">
        <v>2.1366808514035998</v>
      </c>
      <c r="P763" s="735">
        <f t="shared" si="69"/>
        <v>1894.9952199647341</v>
      </c>
      <c r="Q763" s="849">
        <v>42.8</v>
      </c>
      <c r="R763" s="71">
        <v>82768</v>
      </c>
      <c r="S763" s="845">
        <v>8.051370708816992E-2</v>
      </c>
      <c r="T763" s="845">
        <v>3.1E-2</v>
      </c>
      <c r="U763" s="845">
        <v>0</v>
      </c>
      <c r="V763" s="845">
        <v>4.2999999999999997E-2</v>
      </c>
      <c r="W763" s="845">
        <v>0.33733733733733734</v>
      </c>
      <c r="X763" s="845">
        <v>0.45845697329376855</v>
      </c>
      <c r="Y763" s="845">
        <v>0.73005680414917262</v>
      </c>
      <c r="Z763" s="845">
        <v>0.17140034576438626</v>
      </c>
      <c r="AA763" s="845">
        <v>7.4092368486045935E-4</v>
      </c>
      <c r="AB763" s="845">
        <v>2.9142998271178069E-2</v>
      </c>
      <c r="AC763" s="845">
        <v>0</v>
      </c>
      <c r="AD763" s="845">
        <v>2.9636947394418374E-3</v>
      </c>
      <c r="AE763" s="845">
        <v>6.5695233390960728E-2</v>
      </c>
      <c r="AF763" s="845">
        <v>4.6678192146208941E-2</v>
      </c>
      <c r="AG763" s="845">
        <v>0.73005680414917262</v>
      </c>
      <c r="AH763" s="20" t="str">
        <f t="shared" si="70"/>
        <v>No</v>
      </c>
      <c r="AI763" s="25"/>
      <c r="AJ763" s="20">
        <v>45696</v>
      </c>
      <c r="AK763" s="20" t="s">
        <v>1828</v>
      </c>
      <c r="AL763" s="20">
        <v>39087</v>
      </c>
      <c r="AM763" s="20" t="s">
        <v>49</v>
      </c>
      <c r="AN763" s="37">
        <f t="shared" si="71"/>
        <v>26580</v>
      </c>
      <c r="AO763" s="37" t="str">
        <f t="shared" si="72"/>
        <v>Huntington-Ashland, WV-KY-OH</v>
      </c>
      <c r="AP763" s="20" t="s">
        <v>8</v>
      </c>
      <c r="AQ763" s="25"/>
      <c r="AR763" s="25"/>
      <c r="AS763" s="25"/>
      <c r="AT763" s="25"/>
      <c r="AU763" s="36"/>
      <c r="AV763" s="36"/>
      <c r="AW763" s="36"/>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39">
        <v>43976</v>
      </c>
      <c r="BV763" s="39" t="s">
        <v>1140</v>
      </c>
      <c r="BW763" s="39" t="s">
        <v>2907</v>
      </c>
      <c r="BX763" s="39" t="s">
        <v>2908</v>
      </c>
      <c r="BY763" s="71">
        <v>910</v>
      </c>
      <c r="BZ763" s="71">
        <v>920</v>
      </c>
      <c r="CA763" s="71">
        <v>1190</v>
      </c>
      <c r="CB763" s="71">
        <v>1570</v>
      </c>
      <c r="CC763" s="71">
        <v>1580</v>
      </c>
      <c r="CD763" s="25"/>
      <c r="CE763" s="200"/>
      <c r="CF763" s="200"/>
      <c r="CG763" s="200"/>
      <c r="CH763" s="200"/>
      <c r="CI763" s="200"/>
      <c r="CJ763" s="200"/>
      <c r="CK763" s="200"/>
      <c r="CL763" s="200"/>
      <c r="CM763" s="200"/>
      <c r="CN763" s="200"/>
      <c r="CO763" s="200"/>
      <c r="CP763" s="200"/>
      <c r="CQ763" s="200"/>
      <c r="CR763" s="200"/>
      <c r="CS763" s="200"/>
      <c r="CT763" s="200"/>
      <c r="CU763" s="200"/>
    </row>
    <row r="764" spans="1:99" s="17" customFormat="1" x14ac:dyDescent="0.2">
      <c r="A764" s="25"/>
      <c r="B764" s="20">
        <v>39049008825</v>
      </c>
      <c r="C764" s="20">
        <v>88.25</v>
      </c>
      <c r="D764" s="20" t="s">
        <v>31</v>
      </c>
      <c r="E764" s="20" t="s">
        <v>2830</v>
      </c>
      <c r="F764" s="20" t="s">
        <v>8</v>
      </c>
      <c r="G764" s="861">
        <v>59.270694593890497</v>
      </c>
      <c r="H764" s="861">
        <v>70.182349567370693</v>
      </c>
      <c r="I764" s="861">
        <v>22.975315889135501</v>
      </c>
      <c r="J764" s="861">
        <v>53.557250110987098</v>
      </c>
      <c r="K764" s="982">
        <v>0</v>
      </c>
      <c r="L764" s="735">
        <v>7102</v>
      </c>
      <c r="M764" s="735">
        <v>7186</v>
      </c>
      <c r="N764" s="845">
        <f t="shared" si="68"/>
        <v>1.1827654181920586E-2</v>
      </c>
      <c r="O764" s="735">
        <v>1.6952834582703935</v>
      </c>
      <c r="P764" s="735">
        <f t="shared" si="69"/>
        <v>4238.8191573174963</v>
      </c>
      <c r="Q764" s="849">
        <v>39.700000000000003</v>
      </c>
      <c r="R764" s="71">
        <v>74436</v>
      </c>
      <c r="S764" s="845">
        <v>8.8087948789312559E-2</v>
      </c>
      <c r="T764" s="845">
        <v>6.8000000000000005E-2</v>
      </c>
      <c r="U764" s="845">
        <v>0</v>
      </c>
      <c r="V764" s="845">
        <v>0</v>
      </c>
      <c r="W764" s="845">
        <v>0.19656722517368205</v>
      </c>
      <c r="X764" s="845">
        <v>0.25571725571725573</v>
      </c>
      <c r="Y764" s="845">
        <v>0.7524352908433064</v>
      </c>
      <c r="Z764" s="845">
        <v>0.17826328973003061</v>
      </c>
      <c r="AA764" s="845">
        <v>0</v>
      </c>
      <c r="AB764" s="845">
        <v>0</v>
      </c>
      <c r="AC764" s="845">
        <v>0</v>
      </c>
      <c r="AD764" s="845">
        <v>4.0077929306985803E-2</v>
      </c>
      <c r="AE764" s="845">
        <v>2.9223490119677151E-2</v>
      </c>
      <c r="AF764" s="845">
        <v>4.4531032563317564E-2</v>
      </c>
      <c r="AG764" s="845">
        <v>0.74492067909824655</v>
      </c>
      <c r="AH764" s="20" t="str">
        <f t="shared" si="70"/>
        <v>No</v>
      </c>
      <c r="AI764" s="25"/>
      <c r="AJ764" s="20">
        <v>45801</v>
      </c>
      <c r="AK764" s="20" t="s">
        <v>1879</v>
      </c>
      <c r="AL764" s="20">
        <v>39003</v>
      </c>
      <c r="AM764" s="20" t="s">
        <v>7</v>
      </c>
      <c r="AN764" s="37">
        <f t="shared" si="71"/>
        <v>30620</v>
      </c>
      <c r="AO764" s="37" t="str">
        <f t="shared" si="72"/>
        <v>Lima, OH</v>
      </c>
      <c r="AP764" s="20" t="s">
        <v>8</v>
      </c>
      <c r="AQ764" s="25"/>
      <c r="AR764" s="25"/>
      <c r="AS764" s="25"/>
      <c r="AT764" s="25"/>
      <c r="AU764" s="36"/>
      <c r="AV764" s="36"/>
      <c r="AW764" s="36"/>
      <c r="AX764" s="25"/>
      <c r="AY764" s="25"/>
      <c r="AZ764" s="25"/>
      <c r="BA764" s="25"/>
      <c r="BB764" s="25"/>
      <c r="BC764" s="25"/>
      <c r="BD764" s="25"/>
      <c r="BE764" s="25"/>
      <c r="BF764" s="25"/>
      <c r="BG764" s="25"/>
      <c r="BH764" s="25"/>
      <c r="BI764" s="25"/>
      <c r="BJ764" s="25"/>
      <c r="BK764" s="25"/>
      <c r="BL764" s="25"/>
      <c r="BM764" s="25"/>
      <c r="BN764" s="25"/>
      <c r="BO764" s="25"/>
      <c r="BP764" s="25"/>
      <c r="BQ764" s="25"/>
      <c r="BR764" s="25"/>
      <c r="BS764" s="25"/>
      <c r="BT764" s="25"/>
      <c r="BU764" s="39">
        <v>43981</v>
      </c>
      <c r="BV764" s="39" t="s">
        <v>1142</v>
      </c>
      <c r="BW764" s="39" t="s">
        <v>2907</v>
      </c>
      <c r="BX764" s="39" t="s">
        <v>2908</v>
      </c>
      <c r="BY764" s="71">
        <v>740</v>
      </c>
      <c r="BZ764" s="71">
        <v>760</v>
      </c>
      <c r="CA764" s="71">
        <v>980</v>
      </c>
      <c r="CB764" s="71">
        <v>1290</v>
      </c>
      <c r="CC764" s="71">
        <v>1310</v>
      </c>
      <c r="CD764" s="25"/>
      <c r="CE764" s="200"/>
      <c r="CF764" s="200"/>
      <c r="CG764" s="200"/>
      <c r="CH764" s="200"/>
      <c r="CI764" s="200"/>
      <c r="CJ764" s="200"/>
      <c r="CK764" s="200"/>
      <c r="CL764" s="200"/>
      <c r="CM764" s="200"/>
      <c r="CN764" s="200"/>
      <c r="CO764" s="200"/>
      <c r="CP764" s="200"/>
      <c r="CQ764" s="200"/>
      <c r="CR764" s="200"/>
      <c r="CS764" s="200"/>
      <c r="CT764" s="200"/>
      <c r="CU764" s="200"/>
    </row>
    <row r="765" spans="1:99" s="17" customFormat="1" x14ac:dyDescent="0.2">
      <c r="A765" s="25"/>
      <c r="B765" s="20">
        <v>39095006000</v>
      </c>
      <c r="C765" s="20">
        <v>60</v>
      </c>
      <c r="D765" s="20" t="s">
        <v>53</v>
      </c>
      <c r="E765" s="20" t="s">
        <v>2839</v>
      </c>
      <c r="F765" s="20" t="s">
        <v>8</v>
      </c>
      <c r="G765" s="861">
        <v>59.2428915577947</v>
      </c>
      <c r="H765" s="861">
        <v>61.900630121619699</v>
      </c>
      <c r="I765" s="861">
        <v>37.295957673081098</v>
      </c>
      <c r="J765" s="861">
        <v>32.973536195313599</v>
      </c>
      <c r="K765" s="982">
        <v>0</v>
      </c>
      <c r="L765" s="735">
        <v>2387</v>
      </c>
      <c r="M765" s="735">
        <v>2330</v>
      </c>
      <c r="N765" s="845">
        <f t="shared" si="68"/>
        <v>-2.387934645999162E-2</v>
      </c>
      <c r="O765" s="735">
        <v>0.53579859870476398</v>
      </c>
      <c r="P765" s="735">
        <f t="shared" si="69"/>
        <v>4348.6489244886543</v>
      </c>
      <c r="Q765" s="849">
        <v>32.6</v>
      </c>
      <c r="R765" s="71">
        <v>80500</v>
      </c>
      <c r="S765" s="845">
        <v>0.23004291845493563</v>
      </c>
      <c r="T765" s="845">
        <v>1.3000000000000001E-2</v>
      </c>
      <c r="U765" s="845">
        <v>0</v>
      </c>
      <c r="V765" s="845">
        <v>0</v>
      </c>
      <c r="W765" s="845">
        <v>0.3635477582846004</v>
      </c>
      <c r="X765" s="845">
        <v>0.56032171581769441</v>
      </c>
      <c r="Y765" s="845">
        <v>0.72918454935622312</v>
      </c>
      <c r="Z765" s="845">
        <v>8.7982832618025753E-2</v>
      </c>
      <c r="AA765" s="845">
        <v>0</v>
      </c>
      <c r="AB765" s="845">
        <v>5.1502145922746783E-3</v>
      </c>
      <c r="AC765" s="845">
        <v>0</v>
      </c>
      <c r="AD765" s="845">
        <v>2.7038626609442059E-2</v>
      </c>
      <c r="AE765" s="845">
        <v>0.15064377682403435</v>
      </c>
      <c r="AF765" s="845">
        <v>2.4892703862660945E-2</v>
      </c>
      <c r="AG765" s="845">
        <v>0.70858369098712448</v>
      </c>
      <c r="AH765" s="20" t="str">
        <f t="shared" si="70"/>
        <v>No</v>
      </c>
      <c r="AI765" s="25"/>
      <c r="AJ765" s="37">
        <v>45804</v>
      </c>
      <c r="AK765" s="37" t="s">
        <v>1880</v>
      </c>
      <c r="AL765" s="37">
        <v>39003</v>
      </c>
      <c r="AM765" s="37" t="s">
        <v>7</v>
      </c>
      <c r="AN765" s="37">
        <f t="shared" si="71"/>
        <v>30620</v>
      </c>
      <c r="AO765" s="37" t="str">
        <f t="shared" si="72"/>
        <v>Lima, OH</v>
      </c>
      <c r="AP765" s="20" t="s">
        <v>8</v>
      </c>
      <c r="AQ765" s="25"/>
      <c r="AR765" s="25"/>
      <c r="AS765" s="25"/>
      <c r="AT765" s="25"/>
      <c r="AU765" s="36"/>
      <c r="AV765" s="36"/>
      <c r="AW765" s="36"/>
      <c r="AX765" s="25"/>
      <c r="AY765" s="25"/>
      <c r="AZ765" s="25"/>
      <c r="BA765" s="25"/>
      <c r="BB765" s="25"/>
      <c r="BC765" s="25"/>
      <c r="BD765" s="25"/>
      <c r="BE765" s="25"/>
      <c r="BF765" s="25"/>
      <c r="BG765" s="25"/>
      <c r="BH765" s="25"/>
      <c r="BI765" s="25"/>
      <c r="BJ765" s="25"/>
      <c r="BK765" s="25"/>
      <c r="BL765" s="25"/>
      <c r="BM765" s="25"/>
      <c r="BN765" s="25"/>
      <c r="BO765" s="25"/>
      <c r="BP765" s="25"/>
      <c r="BQ765" s="25"/>
      <c r="BR765" s="25"/>
      <c r="BS765" s="25"/>
      <c r="BT765" s="25"/>
      <c r="BU765" s="39">
        <v>44683</v>
      </c>
      <c r="BV765" s="39" t="s">
        <v>1440</v>
      </c>
      <c r="BW765" s="39" t="s">
        <v>2907</v>
      </c>
      <c r="BX765" s="39" t="s">
        <v>2908</v>
      </c>
      <c r="BY765" s="71">
        <v>840</v>
      </c>
      <c r="BZ765" s="71">
        <v>850</v>
      </c>
      <c r="CA765" s="71">
        <v>1110</v>
      </c>
      <c r="CB765" s="71">
        <v>1430</v>
      </c>
      <c r="CC765" s="71">
        <v>1610</v>
      </c>
      <c r="CD765" s="25"/>
      <c r="CE765" s="200"/>
      <c r="CF765" s="200"/>
      <c r="CG765" s="200"/>
      <c r="CH765" s="200"/>
      <c r="CI765" s="200"/>
      <c r="CJ765" s="200"/>
      <c r="CK765" s="200"/>
      <c r="CL765" s="200"/>
      <c r="CM765" s="200"/>
      <c r="CN765" s="200"/>
      <c r="CO765" s="200"/>
      <c r="CP765" s="200"/>
      <c r="CQ765" s="200"/>
      <c r="CR765" s="200"/>
      <c r="CS765" s="200"/>
      <c r="CT765" s="200"/>
      <c r="CU765" s="200"/>
    </row>
    <row r="766" spans="1:99" s="17" customFormat="1" x14ac:dyDescent="0.2">
      <c r="A766" s="25"/>
      <c r="B766" s="20">
        <v>39153530501</v>
      </c>
      <c r="C766" s="20">
        <v>5305.01</v>
      </c>
      <c r="D766" s="20" t="s">
        <v>82</v>
      </c>
      <c r="E766" s="20" t="s">
        <v>2843</v>
      </c>
      <c r="F766" s="20" t="s">
        <v>8</v>
      </c>
      <c r="G766" s="861">
        <v>59.238575862352903</v>
      </c>
      <c r="H766" s="861">
        <v>62.902108218317203</v>
      </c>
      <c r="I766" s="861">
        <v>44.814251094148901</v>
      </c>
      <c r="J766" s="861">
        <v>32.241605228064799</v>
      </c>
      <c r="K766" s="982">
        <v>0</v>
      </c>
      <c r="L766" s="735">
        <v>5420</v>
      </c>
      <c r="M766" s="735">
        <v>5910</v>
      </c>
      <c r="N766" s="845">
        <f t="shared" si="68"/>
        <v>9.0405904059040587E-2</v>
      </c>
      <c r="O766" s="735">
        <v>1.8771391193761118</v>
      </c>
      <c r="P766" s="735">
        <f t="shared" si="69"/>
        <v>3148.4080955940308</v>
      </c>
      <c r="Q766" s="849">
        <v>39.1</v>
      </c>
      <c r="R766" s="71">
        <v>90554</v>
      </c>
      <c r="S766" s="845">
        <v>3.8797623208668301E-2</v>
      </c>
      <c r="T766" s="845">
        <v>0.04</v>
      </c>
      <c r="U766" s="845">
        <v>0.02</v>
      </c>
      <c r="V766" s="845">
        <v>0.185</v>
      </c>
      <c r="W766" s="845">
        <v>0.25157496850062999</v>
      </c>
      <c r="X766" s="845">
        <v>0.13856427378964942</v>
      </c>
      <c r="Y766" s="845">
        <v>0.83333333333333337</v>
      </c>
      <c r="Z766" s="845">
        <v>2.8087986463620981E-2</v>
      </c>
      <c r="AA766" s="845">
        <v>0</v>
      </c>
      <c r="AB766" s="845">
        <v>7.7834179357021999E-2</v>
      </c>
      <c r="AC766" s="845">
        <v>0</v>
      </c>
      <c r="AD766" s="845">
        <v>0</v>
      </c>
      <c r="AE766" s="845">
        <v>6.0744500846023688E-2</v>
      </c>
      <c r="AF766" s="845">
        <v>1.3536379018612521E-2</v>
      </c>
      <c r="AG766" s="845">
        <v>0.83333333333333337</v>
      </c>
      <c r="AH766" s="20" t="str">
        <f t="shared" si="70"/>
        <v>No</v>
      </c>
      <c r="AI766" s="25"/>
      <c r="AJ766" s="37">
        <v>45805</v>
      </c>
      <c r="AK766" s="37" t="s">
        <v>1881</v>
      </c>
      <c r="AL766" s="37">
        <v>39003</v>
      </c>
      <c r="AM766" s="37" t="s">
        <v>7</v>
      </c>
      <c r="AN766" s="37">
        <f t="shared" si="71"/>
        <v>30620</v>
      </c>
      <c r="AO766" s="37" t="str">
        <f t="shared" si="72"/>
        <v>Lima, OH</v>
      </c>
      <c r="AP766" s="20" t="s">
        <v>8</v>
      </c>
      <c r="AQ766" s="25"/>
      <c r="AR766" s="25"/>
      <c r="AS766" s="25"/>
      <c r="AT766" s="25"/>
      <c r="AU766" s="36"/>
      <c r="AV766" s="36"/>
      <c r="AW766" s="36"/>
      <c r="AX766" s="25"/>
      <c r="AY766" s="25"/>
      <c r="AZ766" s="25"/>
      <c r="BA766" s="25"/>
      <c r="BB766" s="25"/>
      <c r="BC766" s="25"/>
      <c r="BD766" s="25"/>
      <c r="BE766" s="25"/>
      <c r="BF766" s="25"/>
      <c r="BG766" s="25"/>
      <c r="BH766" s="25"/>
      <c r="BI766" s="25"/>
      <c r="BJ766" s="25"/>
      <c r="BK766" s="25"/>
      <c r="BL766" s="25"/>
      <c r="BM766" s="25"/>
      <c r="BN766" s="25"/>
      <c r="BO766" s="25"/>
      <c r="BP766" s="25"/>
      <c r="BQ766" s="25"/>
      <c r="BR766" s="25"/>
      <c r="BS766" s="25"/>
      <c r="BT766" s="25"/>
      <c r="BU766" s="39">
        <v>44693</v>
      </c>
      <c r="BV766" s="39" t="s">
        <v>1447</v>
      </c>
      <c r="BW766" s="39" t="s">
        <v>2907</v>
      </c>
      <c r="BX766" s="39" t="s">
        <v>2908</v>
      </c>
      <c r="BY766" s="71">
        <v>770</v>
      </c>
      <c r="BZ766" s="71">
        <v>780</v>
      </c>
      <c r="CA766" s="71">
        <v>1010</v>
      </c>
      <c r="CB766" s="71">
        <v>1340</v>
      </c>
      <c r="CC766" s="71">
        <v>1410</v>
      </c>
      <c r="CD766" s="25"/>
      <c r="CE766" s="200"/>
      <c r="CF766" s="200"/>
      <c r="CG766" s="200"/>
      <c r="CH766" s="200"/>
      <c r="CI766" s="200"/>
      <c r="CJ766" s="200"/>
      <c r="CK766" s="200"/>
      <c r="CL766" s="200"/>
      <c r="CM766" s="200"/>
      <c r="CN766" s="200"/>
      <c r="CO766" s="200"/>
      <c r="CP766" s="200"/>
      <c r="CQ766" s="200"/>
      <c r="CR766" s="200"/>
      <c r="CS766" s="200"/>
      <c r="CT766" s="200"/>
      <c r="CU766" s="200"/>
    </row>
    <row r="767" spans="1:99" s="17" customFormat="1" x14ac:dyDescent="0.2">
      <c r="A767" s="25"/>
      <c r="B767" s="20">
        <v>39091003800</v>
      </c>
      <c r="C767" s="20">
        <v>38</v>
      </c>
      <c r="D767" s="20" t="s">
        <v>51</v>
      </c>
      <c r="E767" s="20" t="s">
        <v>265</v>
      </c>
      <c r="F767" s="20" t="s">
        <v>8</v>
      </c>
      <c r="G767" s="861">
        <v>59.23365440605</v>
      </c>
      <c r="H767" s="861">
        <v>61.168905300287797</v>
      </c>
      <c r="I767" s="861">
        <v>22.888147540781599</v>
      </c>
      <c r="J767" s="861">
        <v>60.228070577778098</v>
      </c>
      <c r="K767" s="982">
        <v>0</v>
      </c>
      <c r="L767" s="735">
        <v>3933</v>
      </c>
      <c r="M767" s="735">
        <v>3889</v>
      </c>
      <c r="N767" s="845">
        <f t="shared" si="68"/>
        <v>-1.1187388761759471E-2</v>
      </c>
      <c r="O767" s="735">
        <v>89.561490303521126</v>
      </c>
      <c r="P767" s="735">
        <f t="shared" si="69"/>
        <v>43.422680739459551</v>
      </c>
      <c r="Q767" s="849">
        <v>39</v>
      </c>
      <c r="R767" s="71">
        <v>87750</v>
      </c>
      <c r="S767" s="845">
        <v>7.6205287713841371E-2</v>
      </c>
      <c r="T767" s="845">
        <v>0.03</v>
      </c>
      <c r="U767" s="845">
        <v>0</v>
      </c>
      <c r="V767" s="845">
        <v>0</v>
      </c>
      <c r="W767" s="845">
        <v>0.11488783140720599</v>
      </c>
      <c r="X767" s="845">
        <v>0.378698224852071</v>
      </c>
      <c r="Y767" s="845">
        <v>0.92723065055284137</v>
      </c>
      <c r="Z767" s="845">
        <v>3.0856261249678583E-3</v>
      </c>
      <c r="AA767" s="845">
        <v>5.1427102082797634E-4</v>
      </c>
      <c r="AB767" s="845">
        <v>1.2599640010285421E-2</v>
      </c>
      <c r="AC767" s="845">
        <v>0</v>
      </c>
      <c r="AD767" s="845">
        <v>0</v>
      </c>
      <c r="AE767" s="845">
        <v>5.6569812291077395E-2</v>
      </c>
      <c r="AF767" s="845">
        <v>6.1712522499357166E-3</v>
      </c>
      <c r="AG767" s="845">
        <v>0.92105939830290562</v>
      </c>
      <c r="AH767" s="20" t="str">
        <f t="shared" si="70"/>
        <v>Yes</v>
      </c>
      <c r="AI767" s="25"/>
      <c r="AJ767" s="20">
        <v>45806</v>
      </c>
      <c r="AK767" s="20" t="s">
        <v>1882</v>
      </c>
      <c r="AL767" s="20">
        <v>39003</v>
      </c>
      <c r="AM767" s="20" t="s">
        <v>7</v>
      </c>
      <c r="AN767" s="37">
        <f t="shared" si="71"/>
        <v>30620</v>
      </c>
      <c r="AO767" s="37" t="str">
        <f t="shared" si="72"/>
        <v>Lima, OH</v>
      </c>
      <c r="AP767" s="20" t="s">
        <v>8</v>
      </c>
      <c r="AQ767" s="25"/>
      <c r="AR767" s="25"/>
      <c r="AS767" s="25"/>
      <c r="AT767" s="25"/>
      <c r="AU767" s="36"/>
      <c r="AV767" s="36"/>
      <c r="AW767" s="36"/>
      <c r="AX767" s="25"/>
      <c r="AY767" s="25"/>
      <c r="AZ767" s="25"/>
      <c r="BA767" s="25"/>
      <c r="BB767" s="25"/>
      <c r="BC767" s="25"/>
      <c r="BD767" s="25"/>
      <c r="BE767" s="25"/>
      <c r="BF767" s="25"/>
      <c r="BG767" s="25"/>
      <c r="BH767" s="25"/>
      <c r="BI767" s="25"/>
      <c r="BJ767" s="25"/>
      <c r="BK767" s="25"/>
      <c r="BL767" s="25"/>
      <c r="BM767" s="25"/>
      <c r="BN767" s="25"/>
      <c r="BO767" s="25"/>
      <c r="BP767" s="25"/>
      <c r="BQ767" s="25"/>
      <c r="BR767" s="25"/>
      <c r="BS767" s="25"/>
      <c r="BT767" s="25"/>
      <c r="BU767" s="39">
        <v>43510</v>
      </c>
      <c r="BV767" s="39" t="s">
        <v>954</v>
      </c>
      <c r="BW767" s="39" t="s">
        <v>2946</v>
      </c>
      <c r="BX767" s="39" t="s">
        <v>2947</v>
      </c>
      <c r="BY767" s="71">
        <v>810</v>
      </c>
      <c r="BZ767" s="71">
        <v>820</v>
      </c>
      <c r="CA767" s="71">
        <v>1050</v>
      </c>
      <c r="CB767" s="71">
        <v>1390</v>
      </c>
      <c r="CC767" s="71">
        <v>1750</v>
      </c>
      <c r="CD767" s="25"/>
      <c r="CE767" s="200"/>
      <c r="CF767" s="200"/>
      <c r="CG767" s="200"/>
      <c r="CH767" s="200"/>
      <c r="CI767" s="200"/>
      <c r="CJ767" s="200"/>
      <c r="CK767" s="200"/>
      <c r="CL767" s="200"/>
      <c r="CM767" s="200"/>
      <c r="CN767" s="200"/>
      <c r="CO767" s="200"/>
      <c r="CP767" s="200"/>
      <c r="CQ767" s="200"/>
      <c r="CR767" s="200"/>
      <c r="CS767" s="200"/>
      <c r="CT767" s="200"/>
      <c r="CU767" s="200"/>
    </row>
    <row r="768" spans="1:99" s="17" customFormat="1" x14ac:dyDescent="0.2">
      <c r="A768" s="25"/>
      <c r="B768" s="20">
        <v>39103408003</v>
      </c>
      <c r="C768" s="20">
        <v>4080.03</v>
      </c>
      <c r="D768" s="20" t="s">
        <v>57</v>
      </c>
      <c r="E768" s="20" t="s">
        <v>2829</v>
      </c>
      <c r="F768" s="20" t="s">
        <v>8</v>
      </c>
      <c r="G768" s="861">
        <v>59.169055675638802</v>
      </c>
      <c r="H768" s="861">
        <v>62.717611822951802</v>
      </c>
      <c r="I768" s="861">
        <v>31.301118320086999</v>
      </c>
      <c r="J768" s="861">
        <v>38.1519897627145</v>
      </c>
      <c r="K768" s="982">
        <v>0</v>
      </c>
      <c r="L768" s="735">
        <v>2888</v>
      </c>
      <c r="M768" s="735">
        <v>3098</v>
      </c>
      <c r="N768" s="845">
        <f t="shared" si="68"/>
        <v>7.2714681440443213E-2</v>
      </c>
      <c r="O768" s="735">
        <v>2.2033645552141166</v>
      </c>
      <c r="P768" s="735">
        <f t="shared" si="69"/>
        <v>1406.0315133366323</v>
      </c>
      <c r="Q768" s="849">
        <v>52.1</v>
      </c>
      <c r="R768" s="71">
        <v>81603</v>
      </c>
      <c r="S768" s="845">
        <v>0.11052631578947368</v>
      </c>
      <c r="T768" s="845">
        <v>2.1000000000000001E-2</v>
      </c>
      <c r="U768" s="845">
        <v>0</v>
      </c>
      <c r="V768" s="845">
        <v>5.5E-2</v>
      </c>
      <c r="W768" s="845">
        <v>0.34221311475409838</v>
      </c>
      <c r="X768" s="845">
        <v>0.55089820359281438</v>
      </c>
      <c r="Y768" s="845">
        <v>0.86120077469335055</v>
      </c>
      <c r="Z768" s="845">
        <v>1.9044544867656554E-2</v>
      </c>
      <c r="AA768" s="845">
        <v>0</v>
      </c>
      <c r="AB768" s="845">
        <v>2.8082633957391866E-2</v>
      </c>
      <c r="AC768" s="845">
        <v>0</v>
      </c>
      <c r="AD768" s="845">
        <v>5.8102001291155583E-3</v>
      </c>
      <c r="AE768" s="845">
        <v>8.5861846352485477E-2</v>
      </c>
      <c r="AF768" s="845">
        <v>0.11620400258231117</v>
      </c>
      <c r="AG768" s="845">
        <v>0.78760490639122016</v>
      </c>
      <c r="AH768" s="20" t="str">
        <f t="shared" si="70"/>
        <v>No</v>
      </c>
      <c r="AI768" s="25"/>
      <c r="AJ768" s="20">
        <v>45807</v>
      </c>
      <c r="AK768" s="20" t="s">
        <v>1883</v>
      </c>
      <c r="AL768" s="20">
        <v>39003</v>
      </c>
      <c r="AM768" s="20" t="s">
        <v>7</v>
      </c>
      <c r="AN768" s="37">
        <f t="shared" si="71"/>
        <v>30620</v>
      </c>
      <c r="AO768" s="37" t="str">
        <f t="shared" si="72"/>
        <v>Lima, OH</v>
      </c>
      <c r="AP768" s="20" t="s">
        <v>8</v>
      </c>
      <c r="AQ768" s="25"/>
      <c r="AR768" s="25"/>
      <c r="AS768" s="25"/>
      <c r="AT768" s="25"/>
      <c r="AU768" s="36"/>
      <c r="AV768" s="36"/>
      <c r="AW768" s="36"/>
      <c r="AX768" s="25"/>
      <c r="AY768" s="25"/>
      <c r="AZ768" s="25"/>
      <c r="BA768" s="25"/>
      <c r="BB768" s="25"/>
      <c r="BC768" s="25"/>
      <c r="BD768" s="25"/>
      <c r="BE768" s="25"/>
      <c r="BF768" s="25"/>
      <c r="BG768" s="25"/>
      <c r="BH768" s="25"/>
      <c r="BI768" s="25"/>
      <c r="BJ768" s="25"/>
      <c r="BK768" s="25"/>
      <c r="BL768" s="25"/>
      <c r="BM768" s="25"/>
      <c r="BN768" s="25"/>
      <c r="BO768" s="25"/>
      <c r="BP768" s="25"/>
      <c r="BQ768" s="25"/>
      <c r="BR768" s="25"/>
      <c r="BS768" s="25"/>
      <c r="BT768" s="25"/>
      <c r="BU768" s="39">
        <v>43523</v>
      </c>
      <c r="BV768" s="39" t="s">
        <v>965</v>
      </c>
      <c r="BW768" s="39" t="s">
        <v>2946</v>
      </c>
      <c r="BX768" s="39" t="s">
        <v>2947</v>
      </c>
      <c r="BY768" s="71">
        <v>870</v>
      </c>
      <c r="BZ768" s="71">
        <v>880</v>
      </c>
      <c r="CA768" s="71">
        <v>1120</v>
      </c>
      <c r="CB768" s="71">
        <v>1500</v>
      </c>
      <c r="CC768" s="71">
        <v>1890</v>
      </c>
      <c r="CD768" s="25"/>
      <c r="CE768" s="200"/>
      <c r="CF768" s="200"/>
      <c r="CG768" s="200"/>
      <c r="CH768" s="200"/>
      <c r="CI768" s="200"/>
      <c r="CJ768" s="200"/>
      <c r="CK768" s="200"/>
      <c r="CL768" s="200"/>
      <c r="CM768" s="200"/>
      <c r="CN768" s="200"/>
      <c r="CO768" s="200"/>
      <c r="CP768" s="200"/>
      <c r="CQ768" s="200"/>
      <c r="CR768" s="200"/>
      <c r="CS768" s="200"/>
      <c r="CT768" s="200"/>
      <c r="CU768" s="200"/>
    </row>
    <row r="769" spans="1:99" s="17" customFormat="1" x14ac:dyDescent="0.2">
      <c r="A769" s="25"/>
      <c r="B769" s="20">
        <v>39095009002</v>
      </c>
      <c r="C769" s="20">
        <v>90.02</v>
      </c>
      <c r="D769" s="20" t="s">
        <v>53</v>
      </c>
      <c r="E769" s="20" t="s">
        <v>2839</v>
      </c>
      <c r="F769" s="20" t="s">
        <v>8</v>
      </c>
      <c r="G769" s="861">
        <v>59.168894108974399</v>
      </c>
      <c r="H769" s="861">
        <v>53.502040708710403</v>
      </c>
      <c r="I769" s="861">
        <v>18.0025013909043</v>
      </c>
      <c r="J769" s="861">
        <v>53.763686027778597</v>
      </c>
      <c r="K769" s="982">
        <v>0</v>
      </c>
      <c r="L769" s="735" t="s">
        <v>2466</v>
      </c>
      <c r="M769" s="735">
        <v>5976</v>
      </c>
      <c r="N769" s="845" t="str">
        <f t="shared" si="68"/>
        <v/>
      </c>
      <c r="O769" s="735">
        <v>4.332156567313354</v>
      </c>
      <c r="P769" s="735">
        <f t="shared" si="69"/>
        <v>1379.4515288504676</v>
      </c>
      <c r="Q769" s="849">
        <v>43.1</v>
      </c>
      <c r="R769" s="71">
        <v>134868</v>
      </c>
      <c r="S769" s="845">
        <v>4.3853469531525184E-2</v>
      </c>
      <c r="T769" s="845">
        <v>4.2999999999999997E-2</v>
      </c>
      <c r="U769" s="845">
        <v>5.0999999999999997E-2</v>
      </c>
      <c r="V769" s="845">
        <v>6.0999999999999999E-2</v>
      </c>
      <c r="W769" s="845">
        <v>0.14783047426841575</v>
      </c>
      <c r="X769" s="845">
        <v>0.36177474402730375</v>
      </c>
      <c r="Y769" s="845">
        <v>0.91900937081659972</v>
      </c>
      <c r="Z769" s="845">
        <v>3.9993306559571618E-2</v>
      </c>
      <c r="AA769" s="845">
        <v>0</v>
      </c>
      <c r="AB769" s="845">
        <v>3.2797858099062917E-2</v>
      </c>
      <c r="AC769" s="845">
        <v>0</v>
      </c>
      <c r="AD769" s="845">
        <v>0</v>
      </c>
      <c r="AE769" s="845">
        <v>8.1994645247657292E-3</v>
      </c>
      <c r="AF769" s="845">
        <v>1.0876840696117804E-2</v>
      </c>
      <c r="AG769" s="845">
        <v>0.91516064257028118</v>
      </c>
      <c r="AH769" s="20" t="str">
        <f t="shared" si="70"/>
        <v>Yes</v>
      </c>
      <c r="AI769" s="25"/>
      <c r="AJ769" s="37">
        <v>45808</v>
      </c>
      <c r="AK769" s="37" t="s">
        <v>1884</v>
      </c>
      <c r="AL769" s="37">
        <v>39003</v>
      </c>
      <c r="AM769" s="37" t="s">
        <v>7</v>
      </c>
      <c r="AN769" s="37">
        <f t="shared" si="71"/>
        <v>30620</v>
      </c>
      <c r="AO769" s="37" t="str">
        <f t="shared" si="72"/>
        <v>Lima, OH</v>
      </c>
      <c r="AP769" s="20" t="s">
        <v>8</v>
      </c>
      <c r="AQ769" s="25"/>
      <c r="AR769" s="25"/>
      <c r="AS769" s="25"/>
      <c r="AT769" s="25"/>
      <c r="AU769" s="36"/>
      <c r="AV769" s="36"/>
      <c r="AW769" s="36"/>
      <c r="AX769" s="25"/>
      <c r="AY769" s="25"/>
      <c r="AZ769" s="25"/>
      <c r="BA769" s="25"/>
      <c r="BB769" s="25"/>
      <c r="BC769" s="25"/>
      <c r="BD769" s="25"/>
      <c r="BE769" s="25"/>
      <c r="BF769" s="25"/>
      <c r="BG769" s="25"/>
      <c r="BH769" s="25"/>
      <c r="BI769" s="25"/>
      <c r="BJ769" s="25"/>
      <c r="BK769" s="25"/>
      <c r="BL769" s="25"/>
      <c r="BM769" s="25"/>
      <c r="BN769" s="25"/>
      <c r="BO769" s="25"/>
      <c r="BP769" s="25"/>
      <c r="BQ769" s="25"/>
      <c r="BR769" s="25"/>
      <c r="BS769" s="25"/>
      <c r="BT769" s="25"/>
      <c r="BU769" s="39">
        <v>43524</v>
      </c>
      <c r="BV769" s="39" t="s">
        <v>966</v>
      </c>
      <c r="BW769" s="39" t="s">
        <v>2946</v>
      </c>
      <c r="BX769" s="39" t="s">
        <v>2947</v>
      </c>
      <c r="BY769" s="71">
        <v>750</v>
      </c>
      <c r="BZ769" s="71">
        <v>760</v>
      </c>
      <c r="CA769" s="71">
        <v>970</v>
      </c>
      <c r="CB769" s="71">
        <v>1290</v>
      </c>
      <c r="CC769" s="71">
        <v>1640</v>
      </c>
      <c r="CD769" s="25"/>
      <c r="CE769" s="200"/>
      <c r="CF769" s="200"/>
      <c r="CG769" s="200"/>
      <c r="CH769" s="200"/>
      <c r="CI769" s="200"/>
      <c r="CJ769" s="200"/>
      <c r="CK769" s="200"/>
      <c r="CL769" s="200"/>
      <c r="CM769" s="200"/>
      <c r="CN769" s="200"/>
      <c r="CO769" s="200"/>
      <c r="CP769" s="200"/>
      <c r="CQ769" s="200"/>
      <c r="CR769" s="200"/>
      <c r="CS769" s="200"/>
      <c r="CT769" s="200"/>
      <c r="CU769" s="200"/>
    </row>
    <row r="770" spans="1:99" s="17" customFormat="1" x14ac:dyDescent="0.2">
      <c r="A770" s="25"/>
      <c r="B770" s="20">
        <v>39113125104</v>
      </c>
      <c r="C770" s="20">
        <v>1251.04</v>
      </c>
      <c r="D770" s="20" t="s">
        <v>62</v>
      </c>
      <c r="E770" s="20" t="s">
        <v>2833</v>
      </c>
      <c r="F770" s="20" t="s">
        <v>8</v>
      </c>
      <c r="G770" s="861">
        <v>59.135799172394997</v>
      </c>
      <c r="H770" s="861">
        <v>54.706553975711898</v>
      </c>
      <c r="I770" s="861">
        <v>29.1926199574024</v>
      </c>
      <c r="J770" s="861">
        <v>53.132601607517003</v>
      </c>
      <c r="K770" s="982">
        <v>0</v>
      </c>
      <c r="L770" s="735" t="s">
        <v>2466</v>
      </c>
      <c r="M770" s="735">
        <v>4815</v>
      </c>
      <c r="N770" s="845" t="str">
        <f t="shared" si="68"/>
        <v/>
      </c>
      <c r="O770" s="735">
        <v>2.5130594132341404</v>
      </c>
      <c r="P770" s="735">
        <f t="shared" si="69"/>
        <v>1915.9913110862012</v>
      </c>
      <c r="Q770" s="849">
        <v>44.2</v>
      </c>
      <c r="R770" s="71">
        <v>96162</v>
      </c>
      <c r="S770" s="845">
        <v>8.2734596124537346E-2</v>
      </c>
      <c r="T770" s="845">
        <v>3.2000000000000001E-2</v>
      </c>
      <c r="U770" s="845">
        <v>0</v>
      </c>
      <c r="V770" s="845">
        <v>0</v>
      </c>
      <c r="W770" s="845">
        <v>0.22064896755162242</v>
      </c>
      <c r="X770" s="845">
        <v>0.63636363636363635</v>
      </c>
      <c r="Y770" s="845">
        <v>0.7765316718587747</v>
      </c>
      <c r="Z770" s="845">
        <v>0.16261682242990655</v>
      </c>
      <c r="AA770" s="845">
        <v>0</v>
      </c>
      <c r="AB770" s="845">
        <v>0</v>
      </c>
      <c r="AC770" s="845">
        <v>1.4537902388369677E-3</v>
      </c>
      <c r="AD770" s="845">
        <v>2.6998961578400833E-3</v>
      </c>
      <c r="AE770" s="845">
        <v>5.6697819314641747E-2</v>
      </c>
      <c r="AF770" s="845">
        <v>3.0114226375908618E-2</v>
      </c>
      <c r="AG770" s="845">
        <v>0.76614745586708199</v>
      </c>
      <c r="AH770" s="20" t="str">
        <f t="shared" si="70"/>
        <v>No</v>
      </c>
      <c r="AI770" s="25"/>
      <c r="AJ770" s="20">
        <v>45809</v>
      </c>
      <c r="AK770" s="20" t="s">
        <v>1885</v>
      </c>
      <c r="AL770" s="20">
        <v>39003</v>
      </c>
      <c r="AM770" s="20" t="s">
        <v>7</v>
      </c>
      <c r="AN770" s="37">
        <f t="shared" si="71"/>
        <v>30620</v>
      </c>
      <c r="AO770" s="37" t="str">
        <f t="shared" si="72"/>
        <v>Lima, OH</v>
      </c>
      <c r="AP770" s="20" t="s">
        <v>8</v>
      </c>
      <c r="AQ770" s="25"/>
      <c r="AR770" s="25"/>
      <c r="AS770" s="25"/>
      <c r="AT770" s="25"/>
      <c r="AU770" s="36"/>
      <c r="AV770" s="36"/>
      <c r="AW770" s="36"/>
      <c r="AX770" s="25"/>
      <c r="AY770" s="25"/>
      <c r="AZ770" s="25"/>
      <c r="BA770" s="25"/>
      <c r="BB770" s="25"/>
      <c r="BC770" s="25"/>
      <c r="BD770" s="25"/>
      <c r="BE770" s="25"/>
      <c r="BF770" s="25"/>
      <c r="BG770" s="25"/>
      <c r="BH770" s="25"/>
      <c r="BI770" s="25"/>
      <c r="BJ770" s="25"/>
      <c r="BK770" s="25"/>
      <c r="BL770" s="25"/>
      <c r="BM770" s="25"/>
      <c r="BN770" s="25"/>
      <c r="BO770" s="25"/>
      <c r="BP770" s="25"/>
      <c r="BQ770" s="25"/>
      <c r="BR770" s="25"/>
      <c r="BS770" s="25"/>
      <c r="BT770" s="25"/>
      <c r="BU770" s="39">
        <v>43534</v>
      </c>
      <c r="BV770" s="39" t="s">
        <v>976</v>
      </c>
      <c r="BW770" s="39" t="s">
        <v>2946</v>
      </c>
      <c r="BX770" s="39" t="s">
        <v>2947</v>
      </c>
      <c r="BY770" s="71">
        <v>750</v>
      </c>
      <c r="BZ770" s="71">
        <v>760</v>
      </c>
      <c r="CA770" s="71">
        <v>970</v>
      </c>
      <c r="CB770" s="71">
        <v>1290</v>
      </c>
      <c r="CC770" s="71">
        <v>1640</v>
      </c>
      <c r="CD770" s="25"/>
      <c r="CE770" s="200"/>
      <c r="CF770" s="200"/>
      <c r="CG770" s="200"/>
      <c r="CH770" s="200"/>
      <c r="CI770" s="200"/>
      <c r="CJ770" s="200"/>
      <c r="CK770" s="200"/>
      <c r="CL770" s="200"/>
      <c r="CM770" s="200"/>
      <c r="CN770" s="200"/>
      <c r="CO770" s="200"/>
      <c r="CP770" s="200"/>
      <c r="CQ770" s="200"/>
      <c r="CR770" s="200"/>
      <c r="CS770" s="200"/>
      <c r="CT770" s="200"/>
      <c r="CU770" s="200"/>
    </row>
    <row r="771" spans="1:99" s="17" customFormat="1" x14ac:dyDescent="0.2">
      <c r="A771" s="25"/>
      <c r="B771" s="20">
        <v>39061021302</v>
      </c>
      <c r="C771" s="20">
        <v>213.02</v>
      </c>
      <c r="D771" s="20" t="s">
        <v>37</v>
      </c>
      <c r="E771" s="20" t="s">
        <v>2828</v>
      </c>
      <c r="F771" s="20" t="s">
        <v>8</v>
      </c>
      <c r="G771" s="861">
        <v>59.135076204509097</v>
      </c>
      <c r="H771" s="861">
        <v>61.513792590808102</v>
      </c>
      <c r="I771" s="861">
        <v>24.085165112890898</v>
      </c>
      <c r="J771" s="861">
        <v>40.123275171058097</v>
      </c>
      <c r="K771" s="982">
        <v>0</v>
      </c>
      <c r="L771" s="735">
        <v>5626</v>
      </c>
      <c r="M771" s="735">
        <v>5261</v>
      </c>
      <c r="N771" s="845">
        <f t="shared" si="68"/>
        <v>-6.4877355136864559E-2</v>
      </c>
      <c r="O771" s="735">
        <v>3.5175983877393167</v>
      </c>
      <c r="P771" s="735">
        <f t="shared" si="69"/>
        <v>1495.6227005156006</v>
      </c>
      <c r="Q771" s="849">
        <v>42.8</v>
      </c>
      <c r="R771" s="71">
        <v>120500</v>
      </c>
      <c r="S771" s="845">
        <v>2.8199566160520606E-2</v>
      </c>
      <c r="T771" s="845">
        <v>1.3000000000000001E-2</v>
      </c>
      <c r="U771" s="845">
        <v>0</v>
      </c>
      <c r="V771" s="845">
        <v>0.122</v>
      </c>
      <c r="W771" s="845">
        <v>0.18621700879765396</v>
      </c>
      <c r="X771" s="845">
        <v>0.29396325459317585</v>
      </c>
      <c r="Y771" s="845">
        <v>0.90325033263638088</v>
      </c>
      <c r="Z771" s="845">
        <v>5.2461509218779699E-2</v>
      </c>
      <c r="AA771" s="845">
        <v>0</v>
      </c>
      <c r="AB771" s="845">
        <v>2.0908572514731038E-3</v>
      </c>
      <c r="AC771" s="845">
        <v>0</v>
      </c>
      <c r="AD771" s="845">
        <v>1.3115377304694925E-2</v>
      </c>
      <c r="AE771" s="845">
        <v>2.9081923588671354E-2</v>
      </c>
      <c r="AF771" s="845">
        <v>0</v>
      </c>
      <c r="AG771" s="845">
        <v>0.90325033263638088</v>
      </c>
      <c r="AH771" s="20" t="str">
        <f t="shared" si="70"/>
        <v>Yes</v>
      </c>
      <c r="AI771" s="25"/>
      <c r="AJ771" s="20">
        <v>45810</v>
      </c>
      <c r="AK771" s="20" t="s">
        <v>1886</v>
      </c>
      <c r="AL771" s="20">
        <v>39003</v>
      </c>
      <c r="AM771" s="20" t="s">
        <v>7</v>
      </c>
      <c r="AN771" s="37">
        <f t="shared" si="71"/>
        <v>30620</v>
      </c>
      <c r="AO771" s="37" t="str">
        <f t="shared" si="72"/>
        <v>Lima, OH</v>
      </c>
      <c r="AP771" s="20" t="s">
        <v>8</v>
      </c>
      <c r="AQ771" s="25"/>
      <c r="AR771" s="25"/>
      <c r="AS771" s="25"/>
      <c r="AT771" s="25"/>
      <c r="AU771" s="36"/>
      <c r="AV771" s="36"/>
      <c r="AW771" s="36"/>
      <c r="AX771" s="25"/>
      <c r="AY771" s="25"/>
      <c r="AZ771" s="25"/>
      <c r="BA771" s="25"/>
      <c r="BB771" s="25"/>
      <c r="BC771" s="25"/>
      <c r="BD771" s="25"/>
      <c r="BE771" s="25"/>
      <c r="BF771" s="25"/>
      <c r="BG771" s="25"/>
      <c r="BH771" s="25"/>
      <c r="BI771" s="25"/>
      <c r="BJ771" s="25"/>
      <c r="BK771" s="25"/>
      <c r="BL771" s="25"/>
      <c r="BM771" s="25"/>
      <c r="BN771" s="25"/>
      <c r="BO771" s="25"/>
      <c r="BP771" s="25"/>
      <c r="BQ771" s="25"/>
      <c r="BR771" s="25"/>
      <c r="BS771" s="25"/>
      <c r="BT771" s="25"/>
      <c r="BU771" s="39">
        <v>43535</v>
      </c>
      <c r="BV771" s="39" t="s">
        <v>977</v>
      </c>
      <c r="BW771" s="39" t="s">
        <v>2946</v>
      </c>
      <c r="BX771" s="39" t="s">
        <v>2947</v>
      </c>
      <c r="BY771" s="71">
        <v>1030</v>
      </c>
      <c r="BZ771" s="71">
        <v>1040</v>
      </c>
      <c r="CA771" s="71">
        <v>1330</v>
      </c>
      <c r="CB771" s="71">
        <v>1770</v>
      </c>
      <c r="CC771" s="71">
        <v>2230</v>
      </c>
      <c r="CD771" s="25"/>
      <c r="CE771" s="200"/>
      <c r="CF771" s="200"/>
      <c r="CG771" s="200"/>
      <c r="CH771" s="200"/>
      <c r="CI771" s="200"/>
      <c r="CJ771" s="200"/>
      <c r="CK771" s="200"/>
      <c r="CL771" s="200"/>
      <c r="CM771" s="200"/>
      <c r="CN771" s="200"/>
      <c r="CO771" s="200"/>
      <c r="CP771" s="200"/>
      <c r="CQ771" s="200"/>
      <c r="CR771" s="200"/>
      <c r="CS771" s="200"/>
      <c r="CT771" s="200"/>
      <c r="CU771" s="200"/>
    </row>
    <row r="772" spans="1:99" s="17" customFormat="1" x14ac:dyDescent="0.2">
      <c r="A772" s="25"/>
      <c r="B772" s="20">
        <v>39017011200</v>
      </c>
      <c r="C772" s="20">
        <v>112</v>
      </c>
      <c r="D772" s="20" t="s">
        <v>15</v>
      </c>
      <c r="E772" s="20" t="s">
        <v>2828</v>
      </c>
      <c r="F772" s="20" t="s">
        <v>8</v>
      </c>
      <c r="G772" s="861">
        <v>59.133738577965403</v>
      </c>
      <c r="H772" s="861">
        <v>55.333319975452802</v>
      </c>
      <c r="I772" s="861">
        <v>18.921501909689201</v>
      </c>
      <c r="J772" s="861">
        <v>71.032949173475401</v>
      </c>
      <c r="K772" s="982">
        <v>0</v>
      </c>
      <c r="L772" s="735">
        <v>7732</v>
      </c>
      <c r="M772" s="735">
        <v>8933</v>
      </c>
      <c r="N772" s="845">
        <f t="shared" si="68"/>
        <v>0.15532850491464045</v>
      </c>
      <c r="O772" s="735">
        <v>7.7593757756671717</v>
      </c>
      <c r="P772" s="735">
        <f t="shared" si="69"/>
        <v>1151.2524020312596</v>
      </c>
      <c r="Q772" s="849">
        <v>36.200000000000003</v>
      </c>
      <c r="R772" s="71">
        <v>105049</v>
      </c>
      <c r="S772" s="845">
        <v>3.7705667276051187E-2</v>
      </c>
      <c r="T772" s="845">
        <v>3.1E-2</v>
      </c>
      <c r="U772" s="845">
        <v>0</v>
      </c>
      <c r="V772" s="845">
        <v>0</v>
      </c>
      <c r="W772" s="845">
        <v>0.24765771392879452</v>
      </c>
      <c r="X772" s="845">
        <v>0.31525851197982346</v>
      </c>
      <c r="Y772" s="845">
        <v>0.80208216724504644</v>
      </c>
      <c r="Z772" s="845">
        <v>5.8770849658569352E-2</v>
      </c>
      <c r="AA772" s="845">
        <v>0</v>
      </c>
      <c r="AB772" s="845">
        <v>1.444083734467704E-2</v>
      </c>
      <c r="AC772" s="845">
        <v>0</v>
      </c>
      <c r="AD772" s="845">
        <v>6.6047240568677936E-3</v>
      </c>
      <c r="AE772" s="845">
        <v>0.11810142169483936</v>
      </c>
      <c r="AF772" s="845">
        <v>4.9479458188738383E-2</v>
      </c>
      <c r="AG772" s="845">
        <v>0.78954438598455168</v>
      </c>
      <c r="AH772" s="20" t="str">
        <f t="shared" si="70"/>
        <v>No</v>
      </c>
      <c r="AI772" s="25"/>
      <c r="AJ772" s="37">
        <v>45812</v>
      </c>
      <c r="AK772" s="37" t="s">
        <v>1887</v>
      </c>
      <c r="AL772" s="37">
        <v>39003</v>
      </c>
      <c r="AM772" s="37" t="s">
        <v>7</v>
      </c>
      <c r="AN772" s="37">
        <f t="shared" si="71"/>
        <v>30620</v>
      </c>
      <c r="AO772" s="37" t="str">
        <f t="shared" si="72"/>
        <v>Lima, OH</v>
      </c>
      <c r="AP772" s="20" t="s">
        <v>8</v>
      </c>
      <c r="AQ772" s="25"/>
      <c r="AR772" s="25"/>
      <c r="AS772" s="25"/>
      <c r="AT772" s="25"/>
      <c r="AU772" s="36"/>
      <c r="AV772" s="36"/>
      <c r="AW772" s="36"/>
      <c r="AX772" s="25"/>
      <c r="AY772" s="25"/>
      <c r="AZ772" s="25"/>
      <c r="BA772" s="25"/>
      <c r="BB772" s="25"/>
      <c r="BC772" s="25"/>
      <c r="BD772" s="25"/>
      <c r="BE772" s="25"/>
      <c r="BF772" s="25"/>
      <c r="BG772" s="25"/>
      <c r="BH772" s="25"/>
      <c r="BI772" s="25"/>
      <c r="BJ772" s="25"/>
      <c r="BK772" s="25"/>
      <c r="BL772" s="25"/>
      <c r="BM772" s="25"/>
      <c r="BN772" s="25"/>
      <c r="BO772" s="25"/>
      <c r="BP772" s="25"/>
      <c r="BQ772" s="25"/>
      <c r="BR772" s="25"/>
      <c r="BS772" s="25"/>
      <c r="BT772" s="25"/>
      <c r="BU772" s="39">
        <v>43555</v>
      </c>
      <c r="BV772" s="39" t="s">
        <v>991</v>
      </c>
      <c r="BW772" s="39" t="s">
        <v>2946</v>
      </c>
      <c r="BX772" s="39" t="s">
        <v>2947</v>
      </c>
      <c r="BY772" s="71">
        <v>740</v>
      </c>
      <c r="BZ772" s="71">
        <v>760</v>
      </c>
      <c r="CA772" s="71">
        <v>990</v>
      </c>
      <c r="CB772" s="71">
        <v>1290</v>
      </c>
      <c r="CC772" s="71">
        <v>1510</v>
      </c>
      <c r="CD772" s="25"/>
      <c r="CE772" s="200"/>
      <c r="CF772" s="200"/>
      <c r="CG772" s="200"/>
      <c r="CH772" s="200"/>
      <c r="CI772" s="200"/>
      <c r="CJ772" s="200"/>
      <c r="CK772" s="200"/>
      <c r="CL772" s="200"/>
      <c r="CM772" s="200"/>
      <c r="CN772" s="200"/>
      <c r="CO772" s="200"/>
      <c r="CP772" s="200"/>
      <c r="CQ772" s="200"/>
      <c r="CR772" s="200"/>
      <c r="CS772" s="200"/>
      <c r="CT772" s="200"/>
      <c r="CU772" s="200"/>
    </row>
    <row r="773" spans="1:99" s="17" customFormat="1" x14ac:dyDescent="0.2">
      <c r="A773" s="25"/>
      <c r="B773" s="20">
        <v>39147963300</v>
      </c>
      <c r="C773" s="20">
        <v>9633</v>
      </c>
      <c r="D773" s="20" t="s">
        <v>79</v>
      </c>
      <c r="E773" s="20" t="s">
        <v>265</v>
      </c>
      <c r="F773" s="20" t="s">
        <v>8</v>
      </c>
      <c r="G773" s="861">
        <v>59.124908447368099</v>
      </c>
      <c r="H773" s="861">
        <v>57.5424186569212</v>
      </c>
      <c r="I773" s="861">
        <v>29.184928388075701</v>
      </c>
      <c r="J773" s="861">
        <v>45.683637128417402</v>
      </c>
      <c r="K773" s="982">
        <v>0</v>
      </c>
      <c r="L773" s="735">
        <v>3936</v>
      </c>
      <c r="M773" s="735">
        <v>4165</v>
      </c>
      <c r="N773" s="845">
        <f t="shared" si="68"/>
        <v>5.818089430894309E-2</v>
      </c>
      <c r="O773" s="735">
        <v>14.241042210807679</v>
      </c>
      <c r="P773" s="735">
        <f t="shared" si="69"/>
        <v>292.46454987958236</v>
      </c>
      <c r="Q773" s="849">
        <v>37.200000000000003</v>
      </c>
      <c r="R773" s="71">
        <v>59375</v>
      </c>
      <c r="S773" s="845">
        <v>0.11792177466433158</v>
      </c>
      <c r="T773" s="845">
        <v>3.6000000000000004E-2</v>
      </c>
      <c r="U773" s="845">
        <v>2.1000000000000001E-2</v>
      </c>
      <c r="V773" s="845">
        <v>0.12</v>
      </c>
      <c r="W773" s="845">
        <v>0.23101265822784811</v>
      </c>
      <c r="X773" s="845">
        <v>0.45753424657534247</v>
      </c>
      <c r="Y773" s="845">
        <v>0.90492196878751496</v>
      </c>
      <c r="Z773" s="845">
        <v>3.0972388955582231E-2</v>
      </c>
      <c r="AA773" s="845">
        <v>0</v>
      </c>
      <c r="AB773" s="845">
        <v>3.1212484993997599E-3</v>
      </c>
      <c r="AC773" s="845">
        <v>2.8811524609843936E-3</v>
      </c>
      <c r="AD773" s="845">
        <v>7.2028811524609843E-3</v>
      </c>
      <c r="AE773" s="845">
        <v>5.0900360144057626E-2</v>
      </c>
      <c r="AF773" s="845">
        <v>4.3457382953181273E-2</v>
      </c>
      <c r="AG773" s="845">
        <v>0.90444177671068426</v>
      </c>
      <c r="AH773" s="20" t="str">
        <f t="shared" si="70"/>
        <v>Yes</v>
      </c>
      <c r="AI773" s="25"/>
      <c r="AJ773" s="20">
        <v>45817</v>
      </c>
      <c r="AK773" s="20" t="s">
        <v>1892</v>
      </c>
      <c r="AL773" s="20">
        <v>39003</v>
      </c>
      <c r="AM773" s="20" t="s">
        <v>7</v>
      </c>
      <c r="AN773" s="37">
        <f t="shared" si="71"/>
        <v>30620</v>
      </c>
      <c r="AO773" s="37" t="str">
        <f t="shared" si="72"/>
        <v>Lima, OH</v>
      </c>
      <c r="AP773" s="20" t="s">
        <v>8</v>
      </c>
      <c r="AQ773" s="25"/>
      <c r="AR773" s="25"/>
      <c r="AS773" s="25"/>
      <c r="AT773" s="25"/>
      <c r="AU773" s="36"/>
      <c r="AV773" s="36"/>
      <c r="AW773" s="36"/>
      <c r="AX773" s="25"/>
      <c r="AY773" s="25"/>
      <c r="AZ773" s="25"/>
      <c r="BA773" s="25"/>
      <c r="BB773" s="25"/>
      <c r="BC773" s="25"/>
      <c r="BD773" s="25"/>
      <c r="BE773" s="25"/>
      <c r="BF773" s="25"/>
      <c r="BG773" s="25"/>
      <c r="BH773" s="25"/>
      <c r="BI773" s="25"/>
      <c r="BJ773" s="25"/>
      <c r="BK773" s="25"/>
      <c r="BL773" s="25"/>
      <c r="BM773" s="25"/>
      <c r="BN773" s="25"/>
      <c r="BO773" s="25"/>
      <c r="BP773" s="25"/>
      <c r="BQ773" s="25"/>
      <c r="BR773" s="25"/>
      <c r="BS773" s="25"/>
      <c r="BT773" s="25"/>
      <c r="BU773" s="39">
        <v>45132</v>
      </c>
      <c r="BV773" s="39" t="s">
        <v>1579</v>
      </c>
      <c r="BW773" s="39" t="s">
        <v>2859</v>
      </c>
      <c r="BX773" s="39" t="s">
        <v>2860</v>
      </c>
      <c r="BY773" s="71">
        <v>800</v>
      </c>
      <c r="BZ773" s="71">
        <v>910</v>
      </c>
      <c r="CA773" s="71">
        <v>1060</v>
      </c>
      <c r="CB773" s="71">
        <v>1280</v>
      </c>
      <c r="CC773" s="71">
        <v>1610</v>
      </c>
      <c r="CD773" s="25"/>
      <c r="CE773" s="200"/>
      <c r="CF773" s="200"/>
      <c r="CG773" s="200"/>
      <c r="CH773" s="200"/>
      <c r="CI773" s="200"/>
      <c r="CJ773" s="200"/>
      <c r="CK773" s="200"/>
      <c r="CL773" s="200"/>
      <c r="CM773" s="200"/>
      <c r="CN773" s="200"/>
      <c r="CO773" s="200"/>
      <c r="CP773" s="200"/>
      <c r="CQ773" s="200"/>
      <c r="CR773" s="200"/>
      <c r="CS773" s="200"/>
      <c r="CT773" s="200"/>
      <c r="CU773" s="200"/>
    </row>
    <row r="774" spans="1:99" s="17" customFormat="1" x14ac:dyDescent="0.2">
      <c r="A774" s="25"/>
      <c r="B774" s="20">
        <v>39153530502</v>
      </c>
      <c r="C774" s="20">
        <v>5305.02</v>
      </c>
      <c r="D774" s="20" t="s">
        <v>82</v>
      </c>
      <c r="E774" s="20" t="s">
        <v>2843</v>
      </c>
      <c r="F774" s="20" t="s">
        <v>8</v>
      </c>
      <c r="G774" s="861">
        <v>59.116662065047997</v>
      </c>
      <c r="H774" s="861">
        <v>57.140675279559098</v>
      </c>
      <c r="I774" s="861">
        <v>46.556126786544702</v>
      </c>
      <c r="J774" s="861">
        <v>34.3410146763431</v>
      </c>
      <c r="K774" s="982">
        <v>1</v>
      </c>
      <c r="L774" s="735">
        <v>3415</v>
      </c>
      <c r="M774" s="735">
        <v>3042</v>
      </c>
      <c r="N774" s="845">
        <f t="shared" si="68"/>
        <v>-0.10922401171303074</v>
      </c>
      <c r="O774" s="735">
        <v>2.7060857819922579</v>
      </c>
      <c r="P774" s="735">
        <f t="shared" si="69"/>
        <v>1124.1328786556194</v>
      </c>
      <c r="Q774" s="849">
        <v>52.8</v>
      </c>
      <c r="R774" s="71">
        <v>84473</v>
      </c>
      <c r="S774" s="845">
        <v>3.4868421052631576E-2</v>
      </c>
      <c r="T774" s="845">
        <v>2.5000000000000001E-2</v>
      </c>
      <c r="U774" s="845">
        <v>0</v>
      </c>
      <c r="V774" s="845">
        <v>0.20899999999999999</v>
      </c>
      <c r="W774" s="845">
        <v>0.1909433962264151</v>
      </c>
      <c r="X774" s="845">
        <v>0.4743083003952569</v>
      </c>
      <c r="Y774" s="845">
        <v>0.94017094017094016</v>
      </c>
      <c r="Z774" s="845">
        <v>2.0052596975673898E-2</v>
      </c>
      <c r="AA774" s="845">
        <v>0</v>
      </c>
      <c r="AB774" s="845">
        <v>9.5332018408941493E-3</v>
      </c>
      <c r="AC774" s="845">
        <v>0</v>
      </c>
      <c r="AD774" s="845">
        <v>6.2458908612754768E-3</v>
      </c>
      <c r="AE774" s="845">
        <v>2.3997370151216304E-2</v>
      </c>
      <c r="AF774" s="845">
        <v>1.5121630506245891E-2</v>
      </c>
      <c r="AG774" s="845">
        <v>0.9312952005259697</v>
      </c>
      <c r="AH774" s="20" t="str">
        <f t="shared" si="70"/>
        <v>Yes</v>
      </c>
      <c r="AI774" s="25"/>
      <c r="AJ774" s="37">
        <v>45820</v>
      </c>
      <c r="AK774" s="37" t="s">
        <v>1894</v>
      </c>
      <c r="AL774" s="37">
        <v>39003</v>
      </c>
      <c r="AM774" s="37" t="s">
        <v>7</v>
      </c>
      <c r="AN774" s="37">
        <f t="shared" si="71"/>
        <v>30620</v>
      </c>
      <c r="AO774" s="37" t="str">
        <f t="shared" si="72"/>
        <v>Lima, OH</v>
      </c>
      <c r="AP774" s="20" t="s">
        <v>8</v>
      </c>
      <c r="AQ774" s="25"/>
      <c r="AR774" s="25"/>
      <c r="AS774" s="25"/>
      <c r="AT774" s="25"/>
      <c r="AU774" s="36"/>
      <c r="AV774" s="36"/>
      <c r="AW774" s="36"/>
      <c r="AX774" s="25"/>
      <c r="AY774" s="25"/>
      <c r="AZ774" s="25"/>
      <c r="BA774" s="25"/>
      <c r="BB774" s="25"/>
      <c r="BC774" s="25"/>
      <c r="BD774" s="25"/>
      <c r="BE774" s="25"/>
      <c r="BF774" s="25"/>
      <c r="BG774" s="25"/>
      <c r="BH774" s="25"/>
      <c r="BI774" s="25"/>
      <c r="BJ774" s="25"/>
      <c r="BK774" s="25"/>
      <c r="BL774" s="25"/>
      <c r="BM774" s="25"/>
      <c r="BN774" s="25"/>
      <c r="BO774" s="25"/>
      <c r="BP774" s="25"/>
      <c r="BQ774" s="25"/>
      <c r="BR774" s="25"/>
      <c r="BS774" s="25"/>
      <c r="BT774" s="25"/>
      <c r="BU774" s="39">
        <v>45155</v>
      </c>
      <c r="BV774" s="39" t="s">
        <v>1592</v>
      </c>
      <c r="BW774" s="39" t="s">
        <v>2859</v>
      </c>
      <c r="BX774" s="39" t="s">
        <v>2860</v>
      </c>
      <c r="BY774" s="71">
        <v>740</v>
      </c>
      <c r="BZ774" s="71">
        <v>850</v>
      </c>
      <c r="CA774" s="71">
        <v>970</v>
      </c>
      <c r="CB774" s="71">
        <v>1170</v>
      </c>
      <c r="CC774" s="71">
        <v>1490</v>
      </c>
      <c r="CD774" s="25"/>
      <c r="CE774" s="200"/>
      <c r="CF774" s="200"/>
      <c r="CG774" s="200"/>
      <c r="CH774" s="200"/>
      <c r="CI774" s="200"/>
      <c r="CJ774" s="200"/>
      <c r="CK774" s="200"/>
      <c r="CL774" s="200"/>
      <c r="CM774" s="200"/>
      <c r="CN774" s="200"/>
      <c r="CO774" s="200"/>
      <c r="CP774" s="200"/>
      <c r="CQ774" s="200"/>
      <c r="CR774" s="200"/>
      <c r="CS774" s="200"/>
      <c r="CT774" s="200"/>
      <c r="CU774" s="200"/>
    </row>
    <row r="775" spans="1:99" s="17" customFormat="1" x14ac:dyDescent="0.2">
      <c r="A775" s="25"/>
      <c r="B775" s="20">
        <v>39113020601</v>
      </c>
      <c r="C775" s="20">
        <v>206.01</v>
      </c>
      <c r="D775" s="20" t="s">
        <v>62</v>
      </c>
      <c r="E775" s="20" t="s">
        <v>2833</v>
      </c>
      <c r="F775" s="20" t="s">
        <v>8</v>
      </c>
      <c r="G775" s="861">
        <v>59.111556157946801</v>
      </c>
      <c r="H775" s="861">
        <v>49.349606574672499</v>
      </c>
      <c r="I775" s="861">
        <v>26.092941997053899</v>
      </c>
      <c r="J775" s="861">
        <v>32.9622555610039</v>
      </c>
      <c r="K775" s="982">
        <v>0</v>
      </c>
      <c r="L775" s="735">
        <v>1774</v>
      </c>
      <c r="M775" s="735">
        <v>1646</v>
      </c>
      <c r="N775" s="845">
        <f t="shared" si="68"/>
        <v>-7.2153325817361891E-2</v>
      </c>
      <c r="O775" s="735">
        <v>0.45076809252224714</v>
      </c>
      <c r="P775" s="735">
        <f t="shared" si="69"/>
        <v>3651.5450567716557</v>
      </c>
      <c r="Q775" s="849">
        <v>43.7</v>
      </c>
      <c r="R775" s="71">
        <v>68676</v>
      </c>
      <c r="S775" s="845">
        <v>4.2367601246105918E-2</v>
      </c>
      <c r="T775" s="845">
        <v>5.4000000000000006E-2</v>
      </c>
      <c r="U775" s="845">
        <v>1.3999999999999999E-2</v>
      </c>
      <c r="V775" s="845">
        <v>0.214</v>
      </c>
      <c r="W775" s="845">
        <v>9.7715736040609139E-2</v>
      </c>
      <c r="X775" s="845">
        <v>0.42857142857142855</v>
      </c>
      <c r="Y775" s="845">
        <v>0.85783718104495743</v>
      </c>
      <c r="Z775" s="845">
        <v>2.490886998784933E-2</v>
      </c>
      <c r="AA775" s="845">
        <v>0</v>
      </c>
      <c r="AB775" s="845">
        <v>2.4301336573511541E-3</v>
      </c>
      <c r="AC775" s="845">
        <v>0</v>
      </c>
      <c r="AD775" s="845">
        <v>7.2904009720534624E-2</v>
      </c>
      <c r="AE775" s="845">
        <v>4.1919805589307413E-2</v>
      </c>
      <c r="AF775" s="845">
        <v>3.0376670716889429E-3</v>
      </c>
      <c r="AG775" s="845">
        <v>0.85783718104495743</v>
      </c>
      <c r="AH775" s="20" t="str">
        <f t="shared" si="70"/>
        <v>No</v>
      </c>
      <c r="AI775" s="25"/>
      <c r="AJ775" s="37">
        <v>45830</v>
      </c>
      <c r="AK775" s="37" t="s">
        <v>1900</v>
      </c>
      <c r="AL775" s="37">
        <v>39003</v>
      </c>
      <c r="AM775" s="37" t="s">
        <v>7</v>
      </c>
      <c r="AN775" s="37">
        <f t="shared" si="71"/>
        <v>30620</v>
      </c>
      <c r="AO775" s="37" t="str">
        <f t="shared" si="72"/>
        <v>Lima, OH</v>
      </c>
      <c r="AP775" s="20" t="s">
        <v>8</v>
      </c>
      <c r="AQ775" s="25"/>
      <c r="AR775" s="25"/>
      <c r="AS775" s="25"/>
      <c r="AT775" s="25"/>
      <c r="AU775" s="36"/>
      <c r="AV775" s="36"/>
      <c r="AW775" s="36"/>
      <c r="AX775" s="25"/>
      <c r="AY775" s="25"/>
      <c r="AZ775" s="25"/>
      <c r="BA775" s="25"/>
      <c r="BB775" s="25"/>
      <c r="BC775" s="25"/>
      <c r="BD775" s="25"/>
      <c r="BE775" s="25"/>
      <c r="BF775" s="25"/>
      <c r="BG775" s="25"/>
      <c r="BH775" s="25"/>
      <c r="BI775" s="25"/>
      <c r="BJ775" s="25"/>
      <c r="BK775" s="25"/>
      <c r="BL775" s="25"/>
      <c r="BM775" s="25"/>
      <c r="BN775" s="25"/>
      <c r="BO775" s="25"/>
      <c r="BP775" s="25"/>
      <c r="BQ775" s="25"/>
      <c r="BR775" s="25"/>
      <c r="BS775" s="25"/>
      <c r="BT775" s="25"/>
      <c r="BU775" s="39">
        <v>45172</v>
      </c>
      <c r="BV775" s="39" t="s">
        <v>1605</v>
      </c>
      <c r="BW775" s="39" t="s">
        <v>2859</v>
      </c>
      <c r="BX775" s="39" t="s">
        <v>2860</v>
      </c>
      <c r="BY775" s="71">
        <v>740</v>
      </c>
      <c r="BZ775" s="71">
        <v>840</v>
      </c>
      <c r="CA775" s="71">
        <v>970</v>
      </c>
      <c r="CB775" s="71">
        <v>1170</v>
      </c>
      <c r="CC775" s="71">
        <v>1490</v>
      </c>
      <c r="CD775" s="25"/>
      <c r="CE775" s="200"/>
      <c r="CF775" s="200"/>
      <c r="CG775" s="200"/>
      <c r="CH775" s="200"/>
      <c r="CI775" s="200"/>
      <c r="CJ775" s="200"/>
      <c r="CK775" s="200"/>
      <c r="CL775" s="200"/>
      <c r="CM775" s="200"/>
      <c r="CN775" s="200"/>
      <c r="CO775" s="200"/>
      <c r="CP775" s="200"/>
      <c r="CQ775" s="200"/>
      <c r="CR775" s="200"/>
      <c r="CS775" s="200"/>
      <c r="CT775" s="200"/>
      <c r="CU775" s="200"/>
    </row>
    <row r="776" spans="1:99" s="17" customFormat="1" x14ac:dyDescent="0.2">
      <c r="A776" s="25"/>
      <c r="B776" s="20">
        <v>39103416200</v>
      </c>
      <c r="C776" s="20">
        <v>4162</v>
      </c>
      <c r="D776" s="20" t="s">
        <v>57</v>
      </c>
      <c r="E776" s="20" t="s">
        <v>2829</v>
      </c>
      <c r="F776" s="20" t="s">
        <v>8</v>
      </c>
      <c r="G776" s="861">
        <v>59.088408443694</v>
      </c>
      <c r="H776" s="861">
        <v>51.924939454155201</v>
      </c>
      <c r="I776" s="861">
        <v>36.458134648374902</v>
      </c>
      <c r="J776" s="861">
        <v>52.029312723394099</v>
      </c>
      <c r="K776" s="982">
        <v>0</v>
      </c>
      <c r="L776" s="735">
        <v>3878</v>
      </c>
      <c r="M776" s="735">
        <v>4727</v>
      </c>
      <c r="N776" s="845">
        <f t="shared" si="68"/>
        <v>0.21892728210417742</v>
      </c>
      <c r="O776" s="735">
        <v>4.948791058349685</v>
      </c>
      <c r="P776" s="735">
        <f t="shared" si="69"/>
        <v>955.18277984772158</v>
      </c>
      <c r="Q776" s="849">
        <v>41.5</v>
      </c>
      <c r="R776" s="71">
        <v>70268</v>
      </c>
      <c r="S776" s="845">
        <v>0.11717085641244142</v>
      </c>
      <c r="T776" s="845">
        <v>1.3000000000000001E-2</v>
      </c>
      <c r="U776" s="845">
        <v>0</v>
      </c>
      <c r="V776" s="845">
        <v>0</v>
      </c>
      <c r="W776" s="845">
        <v>0.44546709618039576</v>
      </c>
      <c r="X776" s="845">
        <v>0.52892561983471076</v>
      </c>
      <c r="Y776" s="845">
        <v>0.82293209223609054</v>
      </c>
      <c r="Z776" s="845">
        <v>2.4116775967844298E-2</v>
      </c>
      <c r="AA776" s="845">
        <v>0</v>
      </c>
      <c r="AB776" s="845">
        <v>3.7021366617304846E-2</v>
      </c>
      <c r="AC776" s="845">
        <v>0</v>
      </c>
      <c r="AD776" s="845">
        <v>0</v>
      </c>
      <c r="AE776" s="845">
        <v>0.11592976517876032</v>
      </c>
      <c r="AF776" s="845">
        <v>2.0520414639306112E-2</v>
      </c>
      <c r="AG776" s="845">
        <v>0.82102813623862914</v>
      </c>
      <c r="AH776" s="20" t="str">
        <f t="shared" si="70"/>
        <v>No</v>
      </c>
      <c r="AI776" s="25"/>
      <c r="AJ776" s="20">
        <v>45833</v>
      </c>
      <c r="AK776" s="20" t="s">
        <v>1903</v>
      </c>
      <c r="AL776" s="20">
        <v>39003</v>
      </c>
      <c r="AM776" s="20" t="s">
        <v>7</v>
      </c>
      <c r="AN776" s="37">
        <f t="shared" si="71"/>
        <v>30620</v>
      </c>
      <c r="AO776" s="37" t="str">
        <f t="shared" si="72"/>
        <v>Lima, OH</v>
      </c>
      <c r="AP776" s="20" t="s">
        <v>8</v>
      </c>
      <c r="AQ776" s="25"/>
      <c r="AR776" s="25"/>
      <c r="AS776" s="25"/>
      <c r="AT776" s="25"/>
      <c r="AU776" s="36"/>
      <c r="AV776" s="36"/>
      <c r="AW776" s="36"/>
      <c r="AX776" s="25"/>
      <c r="AY776" s="25"/>
      <c r="AZ776" s="25"/>
      <c r="BA776" s="25"/>
      <c r="BB776" s="25"/>
      <c r="BC776" s="25"/>
      <c r="BD776" s="25"/>
      <c r="BE776" s="25"/>
      <c r="BF776" s="25"/>
      <c r="BG776" s="25"/>
      <c r="BH776" s="25"/>
      <c r="BI776" s="25"/>
      <c r="BJ776" s="25"/>
      <c r="BK776" s="25"/>
      <c r="BL776" s="25"/>
      <c r="BM776" s="25"/>
      <c r="BN776" s="25"/>
      <c r="BO776" s="25"/>
      <c r="BP776" s="25"/>
      <c r="BQ776" s="25"/>
      <c r="BR776" s="25"/>
      <c r="BS776" s="25"/>
      <c r="BT776" s="25"/>
      <c r="BU776" s="39">
        <v>45612</v>
      </c>
      <c r="BV776" s="39" t="s">
        <v>1769</v>
      </c>
      <c r="BW776" s="39" t="s">
        <v>2859</v>
      </c>
      <c r="BX776" s="39" t="s">
        <v>2860</v>
      </c>
      <c r="BY776" s="71">
        <v>780</v>
      </c>
      <c r="BZ776" s="71">
        <v>860</v>
      </c>
      <c r="CA776" s="71">
        <v>1040</v>
      </c>
      <c r="CB776" s="71">
        <v>1300</v>
      </c>
      <c r="CC776" s="71">
        <v>1450</v>
      </c>
      <c r="CD776" s="25"/>
      <c r="CE776" s="200"/>
      <c r="CF776" s="200"/>
      <c r="CG776" s="200"/>
      <c r="CH776" s="200"/>
      <c r="CI776" s="200"/>
      <c r="CJ776" s="200"/>
      <c r="CK776" s="200"/>
      <c r="CL776" s="200"/>
      <c r="CM776" s="200"/>
      <c r="CN776" s="200"/>
      <c r="CO776" s="200"/>
      <c r="CP776" s="200"/>
      <c r="CQ776" s="200"/>
      <c r="CR776" s="200"/>
      <c r="CS776" s="200"/>
      <c r="CT776" s="200"/>
      <c r="CU776" s="200"/>
    </row>
    <row r="777" spans="1:99" s="17" customFormat="1" x14ac:dyDescent="0.2">
      <c r="A777" s="25"/>
      <c r="B777" s="20">
        <v>39113050504</v>
      </c>
      <c r="C777" s="20">
        <v>505.04</v>
      </c>
      <c r="D777" s="20" t="s">
        <v>62</v>
      </c>
      <c r="E777" s="20" t="s">
        <v>2833</v>
      </c>
      <c r="F777" s="20" t="s">
        <v>8</v>
      </c>
      <c r="G777" s="861">
        <v>59.074835892967698</v>
      </c>
      <c r="H777" s="861">
        <v>65.7747637976411</v>
      </c>
      <c r="I777" s="861">
        <v>29.4298278913862</v>
      </c>
      <c r="J777" s="861">
        <v>39.471565928113499</v>
      </c>
      <c r="K777" s="982">
        <v>0</v>
      </c>
      <c r="L777" s="735">
        <v>6346</v>
      </c>
      <c r="M777" s="735">
        <v>5689</v>
      </c>
      <c r="N777" s="845">
        <f t="shared" si="68"/>
        <v>-0.10352978254018279</v>
      </c>
      <c r="O777" s="735">
        <v>3.4216743952542701</v>
      </c>
      <c r="P777" s="735">
        <f t="shared" si="69"/>
        <v>1662.6362835372129</v>
      </c>
      <c r="Q777" s="849">
        <v>39.4</v>
      </c>
      <c r="R777" s="71">
        <v>73654</v>
      </c>
      <c r="S777" s="845">
        <v>4.0077342239409383E-2</v>
      </c>
      <c r="T777" s="845">
        <v>4.0999999999999995E-2</v>
      </c>
      <c r="U777" s="845">
        <v>0</v>
      </c>
      <c r="V777" s="845">
        <v>0</v>
      </c>
      <c r="W777" s="845">
        <v>0.32918739635157546</v>
      </c>
      <c r="X777" s="845">
        <v>0.40554156171284633</v>
      </c>
      <c r="Y777" s="845">
        <v>0.75074705572156797</v>
      </c>
      <c r="Z777" s="845">
        <v>0.12937247319388293</v>
      </c>
      <c r="AA777" s="845">
        <v>0</v>
      </c>
      <c r="AB777" s="845">
        <v>2.3905783090174021E-2</v>
      </c>
      <c r="AC777" s="845">
        <v>0</v>
      </c>
      <c r="AD777" s="845">
        <v>3.8495341887853751E-2</v>
      </c>
      <c r="AE777" s="845">
        <v>5.7479346106521355E-2</v>
      </c>
      <c r="AF777" s="845">
        <v>8.4197574266127617E-2</v>
      </c>
      <c r="AG777" s="845">
        <v>0.7354543856565301</v>
      </c>
      <c r="AH777" s="20" t="str">
        <f t="shared" si="70"/>
        <v>No</v>
      </c>
      <c r="AI777" s="25"/>
      <c r="AJ777" s="20">
        <v>45844</v>
      </c>
      <c r="AK777" s="20" t="s">
        <v>1910</v>
      </c>
      <c r="AL777" s="20">
        <v>39003</v>
      </c>
      <c r="AM777" s="20" t="s">
        <v>7</v>
      </c>
      <c r="AN777" s="37">
        <f t="shared" si="71"/>
        <v>30620</v>
      </c>
      <c r="AO777" s="37" t="str">
        <f t="shared" si="72"/>
        <v>Lima, OH</v>
      </c>
      <c r="AP777" s="20" t="s">
        <v>8</v>
      </c>
      <c r="AQ777" s="25"/>
      <c r="AR777" s="25"/>
      <c r="AS777" s="25"/>
      <c r="AT777" s="25"/>
      <c r="AU777" s="36"/>
      <c r="AV777" s="36"/>
      <c r="AW777" s="36"/>
      <c r="AX777" s="25"/>
      <c r="AY777" s="25"/>
      <c r="AZ777" s="25"/>
      <c r="BA777" s="25"/>
      <c r="BB777" s="25"/>
      <c r="BC777" s="25"/>
      <c r="BD777" s="25"/>
      <c r="BE777" s="25"/>
      <c r="BF777" s="25"/>
      <c r="BG777" s="25"/>
      <c r="BH777" s="25"/>
      <c r="BI777" s="25"/>
      <c r="BJ777" s="25"/>
      <c r="BK777" s="25"/>
      <c r="BL777" s="25"/>
      <c r="BM777" s="25"/>
      <c r="BN777" s="25"/>
      <c r="BO777" s="25"/>
      <c r="BP777" s="25"/>
      <c r="BQ777" s="25"/>
      <c r="BR777" s="25"/>
      <c r="BS777" s="25"/>
      <c r="BT777" s="25"/>
      <c r="BU777" s="39">
        <v>43111</v>
      </c>
      <c r="BV777" s="39" t="s">
        <v>798</v>
      </c>
      <c r="BW777" s="39" t="s">
        <v>2866</v>
      </c>
      <c r="BX777" s="39" t="s">
        <v>307</v>
      </c>
      <c r="BY777" s="71">
        <v>790</v>
      </c>
      <c r="BZ777" s="71">
        <v>800</v>
      </c>
      <c r="CA777" s="71">
        <v>970</v>
      </c>
      <c r="CB777" s="71">
        <v>1210</v>
      </c>
      <c r="CC777" s="71">
        <v>1340</v>
      </c>
      <c r="CD777" s="25"/>
      <c r="CE777" s="200"/>
      <c r="CF777" s="200"/>
      <c r="CG777" s="200"/>
      <c r="CH777" s="200"/>
      <c r="CI777" s="200"/>
      <c r="CJ777" s="200"/>
      <c r="CK777" s="200"/>
      <c r="CL777" s="200"/>
      <c r="CM777" s="200"/>
      <c r="CN777" s="200"/>
      <c r="CO777" s="200"/>
      <c r="CP777" s="200"/>
      <c r="CQ777" s="200"/>
      <c r="CR777" s="200"/>
      <c r="CS777" s="200"/>
      <c r="CT777" s="200"/>
      <c r="CU777" s="200"/>
    </row>
    <row r="778" spans="1:99" s="17" customFormat="1" x14ac:dyDescent="0.2">
      <c r="A778" s="25"/>
      <c r="B778" s="20">
        <v>39093010200</v>
      </c>
      <c r="C778" s="20">
        <v>102</v>
      </c>
      <c r="D778" s="20" t="s">
        <v>52</v>
      </c>
      <c r="E778" s="20" t="s">
        <v>2829</v>
      </c>
      <c r="F778" s="20" t="s">
        <v>8</v>
      </c>
      <c r="G778" s="861">
        <v>59.0727985968702</v>
      </c>
      <c r="H778" s="861">
        <v>60.5504153321708</v>
      </c>
      <c r="I778" s="861">
        <v>23.7555169624268</v>
      </c>
      <c r="J778" s="861">
        <v>31.904909714544999</v>
      </c>
      <c r="K778" s="982">
        <v>0</v>
      </c>
      <c r="L778" s="735">
        <v>4148</v>
      </c>
      <c r="M778" s="735">
        <v>4312</v>
      </c>
      <c r="N778" s="845">
        <f t="shared" si="68"/>
        <v>3.9537126325940211E-2</v>
      </c>
      <c r="O778" s="735">
        <v>1.6748671483283375</v>
      </c>
      <c r="P778" s="735">
        <f t="shared" si="69"/>
        <v>2574.5325557933056</v>
      </c>
      <c r="Q778" s="849">
        <v>42.5</v>
      </c>
      <c r="R778" s="71">
        <v>108750</v>
      </c>
      <c r="S778" s="845">
        <v>2.7365491651205939E-2</v>
      </c>
      <c r="T778" s="845">
        <v>3.0000000000000001E-3</v>
      </c>
      <c r="U778" s="845">
        <v>0</v>
      </c>
      <c r="V778" s="845">
        <v>0</v>
      </c>
      <c r="W778" s="845">
        <v>8.4146341463414639E-2</v>
      </c>
      <c r="X778" s="845">
        <v>0.19565217391304349</v>
      </c>
      <c r="Y778" s="845">
        <v>0.91558441558441561</v>
      </c>
      <c r="Z778" s="845">
        <v>1.8552875695732839E-3</v>
      </c>
      <c r="AA778" s="845">
        <v>9.2764378478664194E-4</v>
      </c>
      <c r="AB778" s="845">
        <v>0</v>
      </c>
      <c r="AC778" s="845">
        <v>0</v>
      </c>
      <c r="AD778" s="845">
        <v>2.852504638218924E-2</v>
      </c>
      <c r="AE778" s="845">
        <v>5.3107606679035253E-2</v>
      </c>
      <c r="AF778" s="845">
        <v>5.9833024118738407E-2</v>
      </c>
      <c r="AG778" s="845">
        <v>0.90607606679035246</v>
      </c>
      <c r="AH778" s="20" t="str">
        <f t="shared" si="70"/>
        <v>Yes</v>
      </c>
      <c r="AI778" s="25"/>
      <c r="AJ778" s="20">
        <v>45850</v>
      </c>
      <c r="AK778" s="20" t="s">
        <v>1915</v>
      </c>
      <c r="AL778" s="20">
        <v>39003</v>
      </c>
      <c r="AM778" s="20" t="s">
        <v>7</v>
      </c>
      <c r="AN778" s="37">
        <f t="shared" si="71"/>
        <v>30620</v>
      </c>
      <c r="AO778" s="37" t="str">
        <f t="shared" si="72"/>
        <v>Lima, OH</v>
      </c>
      <c r="AP778" s="20" t="s">
        <v>8</v>
      </c>
      <c r="AQ778" s="25"/>
      <c r="AR778" s="25"/>
      <c r="AS778" s="25"/>
      <c r="AT778" s="25"/>
      <c r="AU778" s="36"/>
      <c r="AV778" s="36"/>
      <c r="AW778" s="36"/>
      <c r="AX778" s="25"/>
      <c r="AY778" s="25"/>
      <c r="AZ778" s="25"/>
      <c r="BA778" s="25"/>
      <c r="BB778" s="25"/>
      <c r="BC778" s="25"/>
      <c r="BD778" s="25"/>
      <c r="BE778" s="25"/>
      <c r="BF778" s="25"/>
      <c r="BG778" s="25"/>
      <c r="BH778" s="25"/>
      <c r="BI778" s="25"/>
      <c r="BJ778" s="25"/>
      <c r="BK778" s="25"/>
      <c r="BL778" s="25"/>
      <c r="BM778" s="25"/>
      <c r="BN778" s="25"/>
      <c r="BO778" s="25"/>
      <c r="BP778" s="25"/>
      <c r="BQ778" s="25"/>
      <c r="BR778" s="25"/>
      <c r="BS778" s="25"/>
      <c r="BT778" s="25"/>
      <c r="BU778" s="39">
        <v>43127</v>
      </c>
      <c r="BV778" s="39" t="s">
        <v>808</v>
      </c>
      <c r="BW778" s="39" t="s">
        <v>2866</v>
      </c>
      <c r="BX778" s="39" t="s">
        <v>307</v>
      </c>
      <c r="BY778" s="71">
        <v>770</v>
      </c>
      <c r="BZ778" s="71">
        <v>770</v>
      </c>
      <c r="CA778" s="71">
        <v>970</v>
      </c>
      <c r="CB778" s="71">
        <v>1270</v>
      </c>
      <c r="CC778" s="71">
        <v>1360</v>
      </c>
      <c r="CD778" s="25"/>
      <c r="CE778" s="200"/>
      <c r="CF778" s="200"/>
      <c r="CG778" s="200"/>
      <c r="CH778" s="200"/>
      <c r="CI778" s="200"/>
      <c r="CJ778" s="200"/>
      <c r="CK778" s="200"/>
      <c r="CL778" s="200"/>
      <c r="CM778" s="200"/>
      <c r="CN778" s="200"/>
      <c r="CO778" s="200"/>
      <c r="CP778" s="200"/>
      <c r="CQ778" s="200"/>
      <c r="CR778" s="200"/>
      <c r="CS778" s="200"/>
      <c r="CT778" s="200"/>
      <c r="CU778" s="200"/>
    </row>
    <row r="779" spans="1:99" s="17" customFormat="1" x14ac:dyDescent="0.2">
      <c r="A779" s="25"/>
      <c r="B779" s="20">
        <v>39049006992</v>
      </c>
      <c r="C779" s="20">
        <v>69.92</v>
      </c>
      <c r="D779" s="20" t="s">
        <v>31</v>
      </c>
      <c r="E779" s="20" t="s">
        <v>2830</v>
      </c>
      <c r="F779" s="20" t="s">
        <v>6</v>
      </c>
      <c r="G779" s="861">
        <v>59.070834101656303</v>
      </c>
      <c r="H779" s="861">
        <v>61.010279009235802</v>
      </c>
      <c r="I779" s="861">
        <v>45.490249393652498</v>
      </c>
      <c r="J779" s="861">
        <v>29.5866464236905</v>
      </c>
      <c r="K779" s="982">
        <v>0</v>
      </c>
      <c r="L779" s="735" t="s">
        <v>2466</v>
      </c>
      <c r="M779" s="735">
        <v>4599</v>
      </c>
      <c r="N779" s="845" t="str">
        <f t="shared" ref="N779:N842" si="73">IF(OR(L779="",M779=""),"",(M779-L779)/L779)</f>
        <v/>
      </c>
      <c r="O779" s="735">
        <v>0.35681244884170532</v>
      </c>
      <c r="P779" s="735">
        <f t="shared" ref="P779:P842" si="74">M779/O779</f>
        <v>12889.124286244507</v>
      </c>
      <c r="Q779" s="849">
        <v>30.6</v>
      </c>
      <c r="R779" s="71">
        <v>48860</v>
      </c>
      <c r="S779" s="845">
        <v>0.21386527141922826</v>
      </c>
      <c r="T779" s="845">
        <v>8.5000000000000006E-2</v>
      </c>
      <c r="U779" s="845">
        <v>0</v>
      </c>
      <c r="V779" s="845">
        <v>0</v>
      </c>
      <c r="W779" s="845">
        <v>0.89494163424124518</v>
      </c>
      <c r="X779" s="845">
        <v>0.42173913043478262</v>
      </c>
      <c r="Y779" s="845">
        <v>0.26375298978038703</v>
      </c>
      <c r="Z779" s="845">
        <v>0.51663405088062619</v>
      </c>
      <c r="AA779" s="845">
        <v>0</v>
      </c>
      <c r="AB779" s="845">
        <v>9.3498586649271576E-3</v>
      </c>
      <c r="AC779" s="845">
        <v>0</v>
      </c>
      <c r="AD779" s="845">
        <v>0</v>
      </c>
      <c r="AE779" s="845">
        <v>0.21026310067405957</v>
      </c>
      <c r="AF779" s="845">
        <v>0.12393998695368558</v>
      </c>
      <c r="AG779" s="845">
        <v>0.26375298978038703</v>
      </c>
      <c r="AH779" s="20" t="str">
        <f t="shared" ref="AH779:AH842" si="75">IF(AG779&gt;=0.9,"Yes","No")</f>
        <v>No</v>
      </c>
      <c r="AI779" s="25"/>
      <c r="AJ779" s="20">
        <v>45854</v>
      </c>
      <c r="AK779" s="20" t="s">
        <v>1918</v>
      </c>
      <c r="AL779" s="20">
        <v>39003</v>
      </c>
      <c r="AM779" s="20" t="s">
        <v>7</v>
      </c>
      <c r="AN779" s="37">
        <f t="shared" ref="AN779:AN842" si="76">VLOOKUP(AM779,$CY$11:$DA$98,2,FALSE)</f>
        <v>30620</v>
      </c>
      <c r="AO779" s="37" t="str">
        <f t="shared" ref="AO779:AO842" si="77">VLOOKUP(AM779,$CY$11:$DA$98,3,FALSE)</f>
        <v>Lima, OH</v>
      </c>
      <c r="AP779" s="20" t="s">
        <v>8</v>
      </c>
      <c r="AQ779" s="25"/>
      <c r="AR779" s="25"/>
      <c r="AS779" s="25"/>
      <c r="AT779" s="25"/>
      <c r="AU779" s="36"/>
      <c r="AV779" s="36"/>
      <c r="AW779" s="36"/>
      <c r="AX779" s="25"/>
      <c r="AY779" s="25"/>
      <c r="AZ779" s="25"/>
      <c r="BA779" s="25"/>
      <c r="BB779" s="25"/>
      <c r="BC779" s="25"/>
      <c r="BD779" s="25"/>
      <c r="BE779" s="25"/>
      <c r="BF779" s="25"/>
      <c r="BG779" s="25"/>
      <c r="BH779" s="25"/>
      <c r="BI779" s="25"/>
      <c r="BJ779" s="25"/>
      <c r="BK779" s="25"/>
      <c r="BL779" s="25"/>
      <c r="BM779" s="25"/>
      <c r="BN779" s="25"/>
      <c r="BO779" s="25"/>
      <c r="BP779" s="25"/>
      <c r="BQ779" s="25"/>
      <c r="BR779" s="25"/>
      <c r="BS779" s="25"/>
      <c r="BT779" s="25"/>
      <c r="BU779" s="39">
        <v>43138</v>
      </c>
      <c r="BV779" s="39" t="s">
        <v>814</v>
      </c>
      <c r="BW779" s="39" t="s">
        <v>2866</v>
      </c>
      <c r="BX779" s="39" t="s">
        <v>307</v>
      </c>
      <c r="BY779" s="71">
        <v>740</v>
      </c>
      <c r="BZ779" s="71">
        <v>740</v>
      </c>
      <c r="CA779" s="71">
        <v>970</v>
      </c>
      <c r="CB779" s="71">
        <v>1330</v>
      </c>
      <c r="CC779" s="71">
        <v>1380</v>
      </c>
      <c r="CD779" s="25"/>
      <c r="CE779" s="200"/>
      <c r="CF779" s="200"/>
      <c r="CG779" s="200"/>
      <c r="CH779" s="200"/>
      <c r="CI779" s="200"/>
      <c r="CJ779" s="200"/>
      <c r="CK779" s="200"/>
      <c r="CL779" s="200"/>
      <c r="CM779" s="200"/>
      <c r="CN779" s="200"/>
      <c r="CO779" s="200"/>
      <c r="CP779" s="200"/>
      <c r="CQ779" s="200"/>
      <c r="CR779" s="200"/>
      <c r="CS779" s="200"/>
      <c r="CT779" s="200"/>
      <c r="CU779" s="200"/>
    </row>
    <row r="780" spans="1:99" s="17" customFormat="1" x14ac:dyDescent="0.2">
      <c r="A780" s="25"/>
      <c r="B780" s="20">
        <v>39025041104</v>
      </c>
      <c r="C780" s="20">
        <v>411.04</v>
      </c>
      <c r="D780" s="20" t="s">
        <v>19</v>
      </c>
      <c r="E780" s="20" t="s">
        <v>2828</v>
      </c>
      <c r="F780" s="20" t="s">
        <v>8</v>
      </c>
      <c r="G780" s="861">
        <v>59.0647850807471</v>
      </c>
      <c r="H780" s="861">
        <v>72.687256605050905</v>
      </c>
      <c r="I780" s="861">
        <v>23.053752971095001</v>
      </c>
      <c r="J780" s="861">
        <v>56.210200832724198</v>
      </c>
      <c r="K780" s="982">
        <v>0</v>
      </c>
      <c r="L780" s="735" t="s">
        <v>2466</v>
      </c>
      <c r="M780" s="735">
        <v>3941</v>
      </c>
      <c r="N780" s="845" t="str">
        <f t="shared" si="73"/>
        <v/>
      </c>
      <c r="O780" s="735">
        <v>1.4972281088966082</v>
      </c>
      <c r="P780" s="735">
        <f t="shared" si="74"/>
        <v>2632.1974431166304</v>
      </c>
      <c r="Q780" s="849">
        <v>36.1</v>
      </c>
      <c r="R780" s="71">
        <v>89308</v>
      </c>
      <c r="S780" s="845">
        <v>2.7911697538695761E-2</v>
      </c>
      <c r="T780" s="845">
        <v>0.01</v>
      </c>
      <c r="U780" s="845">
        <v>0</v>
      </c>
      <c r="V780" s="845">
        <v>0</v>
      </c>
      <c r="W780" s="845">
        <v>0.16855524079320114</v>
      </c>
      <c r="X780" s="845">
        <v>0.22268907563025211</v>
      </c>
      <c r="Y780" s="845">
        <v>0.95559502664298401</v>
      </c>
      <c r="Z780" s="845">
        <v>0</v>
      </c>
      <c r="AA780" s="845">
        <v>0</v>
      </c>
      <c r="AB780" s="845">
        <v>0</v>
      </c>
      <c r="AC780" s="845">
        <v>0</v>
      </c>
      <c r="AD780" s="845">
        <v>0</v>
      </c>
      <c r="AE780" s="845">
        <v>4.4404973357015987E-2</v>
      </c>
      <c r="AF780" s="845">
        <v>2.0045673686881503E-2</v>
      </c>
      <c r="AG780" s="845">
        <v>0.94544531844709467</v>
      </c>
      <c r="AH780" s="20" t="str">
        <f t="shared" si="75"/>
        <v>Yes</v>
      </c>
      <c r="AI780" s="25"/>
      <c r="AJ780" s="20">
        <v>45877</v>
      </c>
      <c r="AK780" s="20" t="s">
        <v>1940</v>
      </c>
      <c r="AL780" s="20">
        <v>39003</v>
      </c>
      <c r="AM780" s="20" t="s">
        <v>7</v>
      </c>
      <c r="AN780" s="37">
        <f t="shared" si="76"/>
        <v>30620</v>
      </c>
      <c r="AO780" s="37" t="str">
        <f t="shared" si="77"/>
        <v>Lima, OH</v>
      </c>
      <c r="AP780" s="20" t="s">
        <v>8</v>
      </c>
      <c r="AQ780" s="25"/>
      <c r="AR780" s="25"/>
      <c r="AS780" s="25"/>
      <c r="AT780" s="25"/>
      <c r="AU780" s="36"/>
      <c r="AV780" s="36"/>
      <c r="AW780" s="36"/>
      <c r="AX780" s="25"/>
      <c r="AY780" s="25"/>
      <c r="AZ780" s="25"/>
      <c r="BA780" s="25"/>
      <c r="BB780" s="25"/>
      <c r="BC780" s="25"/>
      <c r="BD780" s="25"/>
      <c r="BE780" s="25"/>
      <c r="BF780" s="25"/>
      <c r="BG780" s="25"/>
      <c r="BH780" s="25"/>
      <c r="BI780" s="25"/>
      <c r="BJ780" s="25"/>
      <c r="BK780" s="25"/>
      <c r="BL780" s="25"/>
      <c r="BM780" s="25"/>
      <c r="BN780" s="25"/>
      <c r="BO780" s="25"/>
      <c r="BP780" s="25"/>
      <c r="BQ780" s="25"/>
      <c r="BR780" s="25"/>
      <c r="BS780" s="25"/>
      <c r="BT780" s="25"/>
      <c r="BU780" s="39">
        <v>43144</v>
      </c>
      <c r="BV780" s="39" t="s">
        <v>818</v>
      </c>
      <c r="BW780" s="39" t="s">
        <v>2866</v>
      </c>
      <c r="BX780" s="39" t="s">
        <v>307</v>
      </c>
      <c r="BY780" s="71">
        <v>750</v>
      </c>
      <c r="BZ780" s="71">
        <v>750</v>
      </c>
      <c r="CA780" s="71">
        <v>970</v>
      </c>
      <c r="CB780" s="71">
        <v>1340</v>
      </c>
      <c r="CC780" s="71">
        <v>1390</v>
      </c>
      <c r="CD780" s="25"/>
      <c r="CE780" s="200"/>
      <c r="CF780" s="200"/>
      <c r="CG780" s="200"/>
      <c r="CH780" s="200"/>
      <c r="CI780" s="200"/>
      <c r="CJ780" s="200"/>
      <c r="CK780" s="200"/>
      <c r="CL780" s="200"/>
      <c r="CM780" s="200"/>
      <c r="CN780" s="200"/>
      <c r="CO780" s="200"/>
      <c r="CP780" s="200"/>
      <c r="CQ780" s="200"/>
      <c r="CR780" s="200"/>
      <c r="CS780" s="200"/>
      <c r="CT780" s="200"/>
      <c r="CU780" s="200"/>
    </row>
    <row r="781" spans="1:99" s="17" customFormat="1" x14ac:dyDescent="0.2">
      <c r="A781" s="25"/>
      <c r="B781" s="20">
        <v>39035177608</v>
      </c>
      <c r="C781" s="20">
        <v>1776.08</v>
      </c>
      <c r="D781" s="20" t="s">
        <v>24</v>
      </c>
      <c r="E781" s="20" t="s">
        <v>2829</v>
      </c>
      <c r="F781" s="20" t="s">
        <v>8</v>
      </c>
      <c r="G781" s="861">
        <v>59.053584187520897</v>
      </c>
      <c r="H781" s="861">
        <v>73.546497964724793</v>
      </c>
      <c r="I781" s="861">
        <v>26.8170253442707</v>
      </c>
      <c r="J781" s="861">
        <v>28.852696915109</v>
      </c>
      <c r="K781" s="982">
        <v>0</v>
      </c>
      <c r="L781" s="735">
        <v>5335</v>
      </c>
      <c r="M781" s="735">
        <v>6502</v>
      </c>
      <c r="N781" s="845">
        <f t="shared" si="73"/>
        <v>0.21874414245548265</v>
      </c>
      <c r="O781" s="735">
        <v>1.713029099581465</v>
      </c>
      <c r="P781" s="735">
        <f t="shared" si="74"/>
        <v>3795.6156153964916</v>
      </c>
      <c r="Q781" s="849">
        <v>38.299999999999997</v>
      </c>
      <c r="R781" s="71">
        <v>54463</v>
      </c>
      <c r="S781" s="845">
        <v>0.10156370955256232</v>
      </c>
      <c r="T781" s="845">
        <v>0.21</v>
      </c>
      <c r="U781" s="845">
        <v>3.5000000000000003E-2</v>
      </c>
      <c r="V781" s="845">
        <v>7.0000000000000007E-2</v>
      </c>
      <c r="W781" s="845">
        <v>0.44125044915558748</v>
      </c>
      <c r="X781" s="845">
        <v>0.22394136807817588</v>
      </c>
      <c r="Y781" s="845">
        <v>0.6920947400799754</v>
      </c>
      <c r="Z781" s="845">
        <v>0.16733312826822516</v>
      </c>
      <c r="AA781" s="845">
        <v>0</v>
      </c>
      <c r="AB781" s="845">
        <v>4.306367271608736E-2</v>
      </c>
      <c r="AC781" s="845">
        <v>0</v>
      </c>
      <c r="AD781" s="845">
        <v>1.6764072593048292E-2</v>
      </c>
      <c r="AE781" s="845">
        <v>8.0744386342663801E-2</v>
      </c>
      <c r="AF781" s="845">
        <v>7.9052599200246085E-2</v>
      </c>
      <c r="AG781" s="845">
        <v>0.67609966164257151</v>
      </c>
      <c r="AH781" s="20" t="str">
        <f t="shared" si="75"/>
        <v>No</v>
      </c>
      <c r="AI781" s="25"/>
      <c r="AJ781" s="20">
        <v>45887</v>
      </c>
      <c r="AK781" s="20" t="s">
        <v>1949</v>
      </c>
      <c r="AL781" s="20">
        <v>39003</v>
      </c>
      <c r="AM781" s="20" t="s">
        <v>7</v>
      </c>
      <c r="AN781" s="37">
        <f t="shared" si="76"/>
        <v>30620</v>
      </c>
      <c r="AO781" s="37" t="str">
        <f t="shared" si="77"/>
        <v>Lima, OH</v>
      </c>
      <c r="AP781" s="20" t="s">
        <v>8</v>
      </c>
      <c r="AQ781" s="25"/>
      <c r="AR781" s="25"/>
      <c r="AS781" s="25"/>
      <c r="AT781" s="25"/>
      <c r="AU781" s="36"/>
      <c r="AV781" s="36"/>
      <c r="AW781" s="36"/>
      <c r="AX781" s="25"/>
      <c r="AY781" s="25"/>
      <c r="AZ781" s="25"/>
      <c r="BA781" s="25"/>
      <c r="BB781" s="25"/>
      <c r="BC781" s="25"/>
      <c r="BD781" s="25"/>
      <c r="BE781" s="25"/>
      <c r="BF781" s="25"/>
      <c r="BG781" s="25"/>
      <c r="BH781" s="25"/>
      <c r="BI781" s="25"/>
      <c r="BJ781" s="25"/>
      <c r="BK781" s="25"/>
      <c r="BL781" s="25"/>
      <c r="BM781" s="25"/>
      <c r="BN781" s="25"/>
      <c r="BO781" s="25"/>
      <c r="BP781" s="25"/>
      <c r="BQ781" s="25"/>
      <c r="BR781" s="25"/>
      <c r="BS781" s="25"/>
      <c r="BT781" s="25"/>
      <c r="BU781" s="39">
        <v>43149</v>
      </c>
      <c r="BV781" s="39" t="s">
        <v>823</v>
      </c>
      <c r="BW781" s="39" t="s">
        <v>2866</v>
      </c>
      <c r="BX781" s="39" t="s">
        <v>307</v>
      </c>
      <c r="BY781" s="71">
        <v>930</v>
      </c>
      <c r="BZ781" s="71">
        <v>940</v>
      </c>
      <c r="CA781" s="71">
        <v>1230</v>
      </c>
      <c r="CB781" s="71">
        <v>1690</v>
      </c>
      <c r="CC781" s="71">
        <v>1750</v>
      </c>
      <c r="CD781" s="25"/>
      <c r="CE781" s="200"/>
      <c r="CF781" s="200"/>
      <c r="CG781" s="200"/>
      <c r="CH781" s="200"/>
      <c r="CI781" s="200"/>
      <c r="CJ781" s="200"/>
      <c r="CK781" s="200"/>
      <c r="CL781" s="200"/>
      <c r="CM781" s="200"/>
      <c r="CN781" s="200"/>
      <c r="CO781" s="200"/>
      <c r="CP781" s="200"/>
      <c r="CQ781" s="200"/>
      <c r="CR781" s="200"/>
      <c r="CS781" s="200"/>
      <c r="CT781" s="200"/>
      <c r="CU781" s="200"/>
    </row>
    <row r="782" spans="1:99" s="17" customFormat="1" x14ac:dyDescent="0.2">
      <c r="A782" s="25"/>
      <c r="B782" s="20">
        <v>39093050200</v>
      </c>
      <c r="C782" s="20">
        <v>502</v>
      </c>
      <c r="D782" s="20" t="s">
        <v>52</v>
      </c>
      <c r="E782" s="20" t="s">
        <v>2829</v>
      </c>
      <c r="F782" s="20" t="s">
        <v>8</v>
      </c>
      <c r="G782" s="861">
        <v>59.022773058095602</v>
      </c>
      <c r="H782" s="861">
        <v>52.994258588253601</v>
      </c>
      <c r="I782" s="861">
        <v>21.077330135899299</v>
      </c>
      <c r="J782" s="861">
        <v>49.935633522356703</v>
      </c>
      <c r="K782" s="982">
        <v>0</v>
      </c>
      <c r="L782" s="735">
        <v>3681</v>
      </c>
      <c r="M782" s="735">
        <v>3970</v>
      </c>
      <c r="N782" s="845">
        <f t="shared" si="73"/>
        <v>7.8511274110296111E-2</v>
      </c>
      <c r="O782" s="735">
        <v>1.8649340440408433</v>
      </c>
      <c r="P782" s="735">
        <f t="shared" si="74"/>
        <v>2128.7616109993937</v>
      </c>
      <c r="Q782" s="849">
        <v>40.700000000000003</v>
      </c>
      <c r="R782" s="71">
        <v>89316</v>
      </c>
      <c r="S782" s="845">
        <v>4.1666666666666664E-2</v>
      </c>
      <c r="T782" s="845">
        <v>7.4999999999999997E-2</v>
      </c>
      <c r="U782" s="845">
        <v>1.7000000000000001E-2</v>
      </c>
      <c r="V782" s="845">
        <v>0</v>
      </c>
      <c r="W782" s="845">
        <v>0.1540041067761807</v>
      </c>
      <c r="X782" s="845">
        <v>0.49777777777777776</v>
      </c>
      <c r="Y782" s="845">
        <v>0.82997481108312343</v>
      </c>
      <c r="Z782" s="845">
        <v>1.7632241813602016E-2</v>
      </c>
      <c r="AA782" s="845">
        <v>0</v>
      </c>
      <c r="AB782" s="845">
        <v>3.4005037783375318E-2</v>
      </c>
      <c r="AC782" s="845">
        <v>0</v>
      </c>
      <c r="AD782" s="845">
        <v>7.8085642317380355E-3</v>
      </c>
      <c r="AE782" s="845">
        <v>0.11057934508816121</v>
      </c>
      <c r="AF782" s="845">
        <v>0.13677581863979849</v>
      </c>
      <c r="AG782" s="845">
        <v>0.73526448362720398</v>
      </c>
      <c r="AH782" s="20" t="str">
        <f t="shared" si="75"/>
        <v>No</v>
      </c>
      <c r="AI782" s="25"/>
      <c r="AJ782" s="20">
        <v>45895</v>
      </c>
      <c r="AK782" s="20" t="s">
        <v>1956</v>
      </c>
      <c r="AL782" s="20">
        <v>39003</v>
      </c>
      <c r="AM782" s="20" t="s">
        <v>7</v>
      </c>
      <c r="AN782" s="37">
        <f t="shared" si="76"/>
        <v>30620</v>
      </c>
      <c r="AO782" s="37" t="str">
        <f t="shared" si="77"/>
        <v>Lima, OH</v>
      </c>
      <c r="AP782" s="20" t="s">
        <v>8</v>
      </c>
      <c r="AQ782" s="25"/>
      <c r="AR782" s="25"/>
      <c r="AS782" s="25"/>
      <c r="AT782" s="25"/>
      <c r="AU782" s="36"/>
      <c r="AV782" s="36"/>
      <c r="AW782" s="36"/>
      <c r="AX782" s="25"/>
      <c r="AY782" s="25"/>
      <c r="AZ782" s="25"/>
      <c r="BA782" s="25"/>
      <c r="BB782" s="25"/>
      <c r="BC782" s="25"/>
      <c r="BD782" s="25"/>
      <c r="BE782" s="25"/>
      <c r="BF782" s="25"/>
      <c r="BG782" s="25"/>
      <c r="BH782" s="25"/>
      <c r="BI782" s="25"/>
      <c r="BJ782" s="25"/>
      <c r="BK782" s="25"/>
      <c r="BL782" s="25"/>
      <c r="BM782" s="25"/>
      <c r="BN782" s="25"/>
      <c r="BO782" s="25"/>
      <c r="BP782" s="25"/>
      <c r="BQ782" s="25"/>
      <c r="BR782" s="25"/>
      <c r="BS782" s="25"/>
      <c r="BT782" s="25"/>
      <c r="BU782" s="39">
        <v>43152</v>
      </c>
      <c r="BV782" s="39" t="s">
        <v>826</v>
      </c>
      <c r="BW782" s="39" t="s">
        <v>2866</v>
      </c>
      <c r="BX782" s="39" t="s">
        <v>307</v>
      </c>
      <c r="BY782" s="71">
        <v>750</v>
      </c>
      <c r="BZ782" s="71">
        <v>780</v>
      </c>
      <c r="CA782" s="71">
        <v>990</v>
      </c>
      <c r="CB782" s="71">
        <v>1280</v>
      </c>
      <c r="CC782" s="71">
        <v>1390</v>
      </c>
      <c r="CD782" s="25"/>
      <c r="CE782" s="200"/>
      <c r="CF782" s="200"/>
      <c r="CG782" s="200"/>
      <c r="CH782" s="200"/>
      <c r="CI782" s="200"/>
      <c r="CJ782" s="200"/>
      <c r="CK782" s="200"/>
      <c r="CL782" s="200"/>
      <c r="CM782" s="200"/>
      <c r="CN782" s="200"/>
      <c r="CO782" s="200"/>
      <c r="CP782" s="200"/>
      <c r="CQ782" s="200"/>
      <c r="CR782" s="200"/>
      <c r="CS782" s="200"/>
      <c r="CT782" s="200"/>
      <c r="CU782" s="200"/>
    </row>
    <row r="783" spans="1:99" s="17" customFormat="1" x14ac:dyDescent="0.2">
      <c r="A783" s="25"/>
      <c r="B783" s="20">
        <v>39025040303</v>
      </c>
      <c r="C783" s="20">
        <v>403.03</v>
      </c>
      <c r="D783" s="20" t="s">
        <v>19</v>
      </c>
      <c r="E783" s="20" t="s">
        <v>2828</v>
      </c>
      <c r="F783" s="20" t="s">
        <v>8</v>
      </c>
      <c r="G783" s="861">
        <v>58.998069091409597</v>
      </c>
      <c r="H783" s="861">
        <v>56.179913597471099</v>
      </c>
      <c r="I783" s="861">
        <v>15.063078970548</v>
      </c>
      <c r="J783" s="861">
        <v>42.705328246663498</v>
      </c>
      <c r="K783" s="982">
        <v>0</v>
      </c>
      <c r="L783" s="735">
        <v>7554</v>
      </c>
      <c r="M783" s="735">
        <v>7980</v>
      </c>
      <c r="N783" s="845">
        <f t="shared" si="73"/>
        <v>5.6393963463065924E-2</v>
      </c>
      <c r="O783" s="735">
        <v>3.602957466858796</v>
      </c>
      <c r="P783" s="735">
        <f t="shared" si="74"/>
        <v>2214.8471286166159</v>
      </c>
      <c r="Q783" s="849">
        <v>41.8</v>
      </c>
      <c r="R783" s="71">
        <v>152780</v>
      </c>
      <c r="S783" s="845">
        <v>1.9654781403552979E-2</v>
      </c>
      <c r="T783" s="845">
        <v>3.7999999999999999E-2</v>
      </c>
      <c r="U783" s="845">
        <v>0</v>
      </c>
      <c r="V783" s="845">
        <v>0</v>
      </c>
      <c r="W783" s="845">
        <v>0.12715138742536003</v>
      </c>
      <c r="X783" s="845">
        <v>0.10220994475138122</v>
      </c>
      <c r="Y783" s="845">
        <v>0.89436090225563913</v>
      </c>
      <c r="Z783" s="845">
        <v>9.6491228070175444E-3</v>
      </c>
      <c r="AA783" s="845">
        <v>0</v>
      </c>
      <c r="AB783" s="845">
        <v>3.1704260651629075E-2</v>
      </c>
      <c r="AC783" s="845">
        <v>0</v>
      </c>
      <c r="AD783" s="845">
        <v>1.9924812030075189E-2</v>
      </c>
      <c r="AE783" s="845">
        <v>4.4360902255639101E-2</v>
      </c>
      <c r="AF783" s="845">
        <v>4.7744360902255638E-2</v>
      </c>
      <c r="AG783" s="845">
        <v>0.87819548872180453</v>
      </c>
      <c r="AH783" s="20" t="str">
        <f t="shared" si="75"/>
        <v>No</v>
      </c>
      <c r="AI783" s="25"/>
      <c r="AJ783" s="20">
        <v>45896</v>
      </c>
      <c r="AK783" s="20" t="s">
        <v>1957</v>
      </c>
      <c r="AL783" s="20">
        <v>39003</v>
      </c>
      <c r="AM783" s="20" t="s">
        <v>7</v>
      </c>
      <c r="AN783" s="37">
        <f t="shared" si="76"/>
        <v>30620</v>
      </c>
      <c r="AO783" s="37" t="str">
        <f t="shared" si="77"/>
        <v>Lima, OH</v>
      </c>
      <c r="AP783" s="20" t="s">
        <v>8</v>
      </c>
      <c r="AQ783" s="25"/>
      <c r="AR783" s="25"/>
      <c r="AS783" s="25"/>
      <c r="AT783" s="25"/>
      <c r="AU783" s="36"/>
      <c r="AV783" s="36"/>
      <c r="AW783" s="36"/>
      <c r="AX783" s="25"/>
      <c r="AY783" s="25"/>
      <c r="AZ783" s="25"/>
      <c r="BA783" s="25"/>
      <c r="BB783" s="25"/>
      <c r="BC783" s="25"/>
      <c r="BD783" s="25"/>
      <c r="BE783" s="25"/>
      <c r="BF783" s="25"/>
      <c r="BG783" s="25"/>
      <c r="BH783" s="25"/>
      <c r="BI783" s="25"/>
      <c r="BJ783" s="25"/>
      <c r="BK783" s="25"/>
      <c r="BL783" s="25"/>
      <c r="BM783" s="25"/>
      <c r="BN783" s="25"/>
      <c r="BO783" s="25"/>
      <c r="BP783" s="25"/>
      <c r="BQ783" s="25"/>
      <c r="BR783" s="25"/>
      <c r="BS783" s="25"/>
      <c r="BT783" s="25"/>
      <c r="BU783" s="39">
        <v>43158</v>
      </c>
      <c r="BV783" s="39" t="s">
        <v>832</v>
      </c>
      <c r="BW783" s="39" t="s">
        <v>2866</v>
      </c>
      <c r="BX783" s="39" t="s">
        <v>307</v>
      </c>
      <c r="BY783" s="71">
        <v>910</v>
      </c>
      <c r="BZ783" s="71">
        <v>910</v>
      </c>
      <c r="CA783" s="71">
        <v>1200</v>
      </c>
      <c r="CB783" s="71">
        <v>1650</v>
      </c>
      <c r="CC783" s="71">
        <v>1710</v>
      </c>
      <c r="CD783" s="25"/>
      <c r="CE783" s="200"/>
      <c r="CF783" s="200"/>
      <c r="CG783" s="200"/>
      <c r="CH783" s="200"/>
      <c r="CI783" s="200"/>
      <c r="CJ783" s="200"/>
      <c r="CK783" s="200"/>
      <c r="CL783" s="200"/>
      <c r="CM783" s="200"/>
      <c r="CN783" s="200"/>
      <c r="CO783" s="200"/>
      <c r="CP783" s="200"/>
      <c r="CQ783" s="200"/>
      <c r="CR783" s="200"/>
      <c r="CS783" s="200"/>
      <c r="CT783" s="200"/>
      <c r="CU783" s="200"/>
    </row>
    <row r="784" spans="1:99" s="17" customFormat="1" x14ac:dyDescent="0.2">
      <c r="A784" s="25"/>
      <c r="B784" s="20">
        <v>39173021000</v>
      </c>
      <c r="C784" s="20">
        <v>210</v>
      </c>
      <c r="D784" s="20" t="s">
        <v>92</v>
      </c>
      <c r="E784" s="20" t="s">
        <v>2839</v>
      </c>
      <c r="F784" s="20" t="s">
        <v>8</v>
      </c>
      <c r="G784" s="861">
        <v>58.992182940297099</v>
      </c>
      <c r="H784" s="861">
        <v>56.495599366515201</v>
      </c>
      <c r="I784" s="861">
        <v>22.211276475792499</v>
      </c>
      <c r="J784" s="861">
        <v>49.551863138205697</v>
      </c>
      <c r="K784" s="982">
        <v>0</v>
      </c>
      <c r="L784" s="735">
        <v>3924</v>
      </c>
      <c r="M784" s="735">
        <v>4113</v>
      </c>
      <c r="N784" s="845">
        <f t="shared" si="73"/>
        <v>4.8165137614678902E-2</v>
      </c>
      <c r="O784" s="735">
        <v>29.752884850116168</v>
      </c>
      <c r="P784" s="735">
        <f t="shared" si="74"/>
        <v>138.23869586830807</v>
      </c>
      <c r="Q784" s="849">
        <v>46.4</v>
      </c>
      <c r="R784" s="71">
        <v>67888</v>
      </c>
      <c r="S784" s="845">
        <v>7.5134605971610383E-2</v>
      </c>
      <c r="T784" s="845">
        <v>1.4999999999999999E-2</v>
      </c>
      <c r="U784" s="845">
        <v>0</v>
      </c>
      <c r="V784" s="845">
        <v>0</v>
      </c>
      <c r="W784" s="845">
        <v>0.336231884057971</v>
      </c>
      <c r="X784" s="845">
        <v>0.3603448275862069</v>
      </c>
      <c r="Y784" s="845">
        <v>0.94164843180160462</v>
      </c>
      <c r="Z784" s="845">
        <v>2.1881838074398249E-3</v>
      </c>
      <c r="AA784" s="845">
        <v>0</v>
      </c>
      <c r="AB784" s="845">
        <v>7.2939460247994168E-3</v>
      </c>
      <c r="AC784" s="845">
        <v>0</v>
      </c>
      <c r="AD784" s="845">
        <v>3.1607099440797469E-3</v>
      </c>
      <c r="AE784" s="845">
        <v>4.5708728422076343E-2</v>
      </c>
      <c r="AF784" s="845">
        <v>2.9175784099197667E-2</v>
      </c>
      <c r="AG784" s="845">
        <v>0.92949185509360566</v>
      </c>
      <c r="AH784" s="20" t="str">
        <f t="shared" si="75"/>
        <v>Yes</v>
      </c>
      <c r="AI784" s="25"/>
      <c r="AJ784" s="37">
        <v>43019</v>
      </c>
      <c r="AK784" s="37" t="s">
        <v>745</v>
      </c>
      <c r="AL784" s="37">
        <v>39139</v>
      </c>
      <c r="AM784" s="37" t="s">
        <v>75</v>
      </c>
      <c r="AN784" s="37">
        <f t="shared" si="76"/>
        <v>31900</v>
      </c>
      <c r="AO784" s="37" t="str">
        <f t="shared" si="77"/>
        <v>Mansfield, OH</v>
      </c>
      <c r="AP784" s="37" t="s">
        <v>8</v>
      </c>
      <c r="AQ784" s="25"/>
      <c r="AR784" s="25"/>
      <c r="AS784" s="25"/>
      <c r="AT784" s="25"/>
      <c r="AU784" s="36"/>
      <c r="AV784" s="36"/>
      <c r="AW784" s="36"/>
      <c r="AX784" s="25"/>
      <c r="AY784" s="25"/>
      <c r="AZ784" s="25"/>
      <c r="BA784" s="25"/>
      <c r="BB784" s="25"/>
      <c r="BC784" s="25"/>
      <c r="BD784" s="25"/>
      <c r="BE784" s="25"/>
      <c r="BF784" s="25"/>
      <c r="BG784" s="25"/>
      <c r="BH784" s="25"/>
      <c r="BI784" s="25"/>
      <c r="BJ784" s="25"/>
      <c r="BK784" s="25"/>
      <c r="BL784" s="25"/>
      <c r="BM784" s="25"/>
      <c r="BN784" s="25"/>
      <c r="BO784" s="25"/>
      <c r="BP784" s="25"/>
      <c r="BQ784" s="25"/>
      <c r="BR784" s="25"/>
      <c r="BS784" s="25"/>
      <c r="BT784" s="25"/>
      <c r="BU784" s="39">
        <v>43766</v>
      </c>
      <c r="BV784" s="39" t="s">
        <v>1058</v>
      </c>
      <c r="BW784" s="39" t="s">
        <v>2866</v>
      </c>
      <c r="BX784" s="39" t="s">
        <v>307</v>
      </c>
      <c r="BY784" s="71">
        <v>790</v>
      </c>
      <c r="BZ784" s="71">
        <v>800</v>
      </c>
      <c r="CA784" s="71">
        <v>990</v>
      </c>
      <c r="CB784" s="71">
        <v>1230</v>
      </c>
      <c r="CC784" s="71">
        <v>1440</v>
      </c>
      <c r="CD784" s="25"/>
      <c r="CE784" s="200"/>
      <c r="CF784" s="200"/>
      <c r="CG784" s="200"/>
      <c r="CH784" s="200"/>
      <c r="CI784" s="200"/>
      <c r="CJ784" s="200"/>
      <c r="CK784" s="200"/>
      <c r="CL784" s="200"/>
      <c r="CM784" s="200"/>
      <c r="CN784" s="200"/>
      <c r="CO784" s="200"/>
      <c r="CP784" s="200"/>
      <c r="CQ784" s="200"/>
      <c r="CR784" s="200"/>
      <c r="CS784" s="200"/>
      <c r="CT784" s="200"/>
      <c r="CU784" s="200"/>
    </row>
    <row r="785" spans="1:99" s="17" customFormat="1" x14ac:dyDescent="0.2">
      <c r="A785" s="25"/>
      <c r="B785" s="20">
        <v>39099812601</v>
      </c>
      <c r="C785" s="20">
        <v>8126.01</v>
      </c>
      <c r="D785" s="20" t="s">
        <v>55</v>
      </c>
      <c r="E785" s="20" t="s">
        <v>2842</v>
      </c>
      <c r="F785" s="20" t="s">
        <v>8</v>
      </c>
      <c r="G785" s="861">
        <v>58.984586505433903</v>
      </c>
      <c r="H785" s="861">
        <v>35.487291880217903</v>
      </c>
      <c r="I785" s="861">
        <v>39.624403637787601</v>
      </c>
      <c r="J785" s="861">
        <v>43.124923140491902</v>
      </c>
      <c r="K785" s="982">
        <v>0</v>
      </c>
      <c r="L785" s="735">
        <v>4058</v>
      </c>
      <c r="M785" s="735">
        <v>4802</v>
      </c>
      <c r="N785" s="845">
        <f t="shared" si="73"/>
        <v>0.18334154756037457</v>
      </c>
      <c r="O785" s="735">
        <v>1.1999950841473168</v>
      </c>
      <c r="P785" s="735">
        <f t="shared" si="74"/>
        <v>4001.6830597370054</v>
      </c>
      <c r="Q785" s="849">
        <v>36.799999999999997</v>
      </c>
      <c r="R785" s="71">
        <v>36646</v>
      </c>
      <c r="S785" s="845">
        <v>0.20220741357767597</v>
      </c>
      <c r="T785" s="845">
        <v>0.03</v>
      </c>
      <c r="U785" s="845">
        <v>0</v>
      </c>
      <c r="V785" s="845">
        <v>4.9000000000000002E-2</v>
      </c>
      <c r="W785" s="845">
        <v>0.71213748657357678</v>
      </c>
      <c r="X785" s="845">
        <v>0.3323278029160382</v>
      </c>
      <c r="Y785" s="845">
        <v>0.78154935443565177</v>
      </c>
      <c r="Z785" s="845">
        <v>0.14493960849645982</v>
      </c>
      <c r="AA785" s="845">
        <v>2.7072053311120365E-3</v>
      </c>
      <c r="AB785" s="845">
        <v>3.5401915868388169E-3</v>
      </c>
      <c r="AC785" s="845">
        <v>0</v>
      </c>
      <c r="AD785" s="845">
        <v>1.9158683881715953E-2</v>
      </c>
      <c r="AE785" s="845">
        <v>4.8104956268221574E-2</v>
      </c>
      <c r="AF785" s="845">
        <v>0.11037067888379842</v>
      </c>
      <c r="AG785" s="845">
        <v>0.68367346938775508</v>
      </c>
      <c r="AH785" s="20" t="str">
        <f t="shared" si="75"/>
        <v>No</v>
      </c>
      <c r="AI785" s="25"/>
      <c r="AJ785" s="37">
        <v>44805</v>
      </c>
      <c r="AK785" s="37" t="s">
        <v>1467</v>
      </c>
      <c r="AL785" s="37">
        <v>39139</v>
      </c>
      <c r="AM785" s="37" t="s">
        <v>75</v>
      </c>
      <c r="AN785" s="37">
        <f t="shared" si="76"/>
        <v>31900</v>
      </c>
      <c r="AO785" s="37" t="str">
        <f t="shared" si="77"/>
        <v>Mansfield, OH</v>
      </c>
      <c r="AP785" s="37" t="s">
        <v>8</v>
      </c>
      <c r="AQ785" s="25"/>
      <c r="AR785" s="25"/>
      <c r="AS785" s="25"/>
      <c r="AT785" s="25"/>
      <c r="AU785" s="36"/>
      <c r="AV785" s="36"/>
      <c r="AW785" s="36"/>
      <c r="AX785" s="25"/>
      <c r="AY785" s="25"/>
      <c r="AZ785" s="25"/>
      <c r="BA785" s="25"/>
      <c r="BB785" s="25"/>
      <c r="BC785" s="25"/>
      <c r="BD785" s="25"/>
      <c r="BE785" s="25"/>
      <c r="BF785" s="25"/>
      <c r="BG785" s="25"/>
      <c r="BH785" s="25"/>
      <c r="BI785" s="25"/>
      <c r="BJ785" s="25"/>
      <c r="BK785" s="25"/>
      <c r="BL785" s="25"/>
      <c r="BM785" s="25"/>
      <c r="BN785" s="25"/>
      <c r="BO785" s="25"/>
      <c r="BP785" s="25"/>
      <c r="BQ785" s="25"/>
      <c r="BR785" s="25"/>
      <c r="BS785" s="25"/>
      <c r="BT785" s="25"/>
      <c r="BU785" s="39">
        <v>45622</v>
      </c>
      <c r="BV785" s="39" t="s">
        <v>1778</v>
      </c>
      <c r="BW785" s="39" t="s">
        <v>2866</v>
      </c>
      <c r="BX785" s="39" t="s">
        <v>307</v>
      </c>
      <c r="BY785" s="71">
        <v>750</v>
      </c>
      <c r="BZ785" s="71">
        <v>800</v>
      </c>
      <c r="CA785" s="71">
        <v>990</v>
      </c>
      <c r="CB785" s="71">
        <v>1220</v>
      </c>
      <c r="CC785" s="71">
        <v>1400</v>
      </c>
      <c r="CD785" s="25"/>
      <c r="CE785" s="200"/>
      <c r="CF785" s="200"/>
      <c r="CG785" s="200"/>
      <c r="CH785" s="200"/>
      <c r="CI785" s="200"/>
      <c r="CJ785" s="200"/>
      <c r="CK785" s="200"/>
      <c r="CL785" s="200"/>
      <c r="CM785" s="200"/>
      <c r="CN785" s="200"/>
      <c r="CO785" s="200"/>
      <c r="CP785" s="200"/>
      <c r="CQ785" s="200"/>
      <c r="CR785" s="200"/>
      <c r="CS785" s="200"/>
      <c r="CT785" s="200"/>
      <c r="CU785" s="200"/>
    </row>
    <row r="786" spans="1:99" s="17" customFormat="1" x14ac:dyDescent="0.2">
      <c r="A786" s="25"/>
      <c r="B786" s="20">
        <v>39127965802</v>
      </c>
      <c r="C786" s="20">
        <v>9658.02</v>
      </c>
      <c r="D786" s="20" t="s">
        <v>69</v>
      </c>
      <c r="E786" s="20" t="s">
        <v>2830</v>
      </c>
      <c r="F786" s="20" t="s">
        <v>8</v>
      </c>
      <c r="G786" s="861">
        <v>58.972994342600401</v>
      </c>
      <c r="H786" s="861">
        <v>67.190024497513605</v>
      </c>
      <c r="I786" s="861">
        <v>27.228831457448798</v>
      </c>
      <c r="J786" s="861">
        <v>61.132692399679698</v>
      </c>
      <c r="K786" s="982">
        <v>1</v>
      </c>
      <c r="L786" s="735" t="s">
        <v>2466</v>
      </c>
      <c r="M786" s="735">
        <v>4263</v>
      </c>
      <c r="N786" s="845" t="str">
        <f t="shared" si="73"/>
        <v/>
      </c>
      <c r="O786" s="735">
        <v>27.379907547143141</v>
      </c>
      <c r="P786" s="735">
        <f t="shared" si="74"/>
        <v>155.69811522043682</v>
      </c>
      <c r="Q786" s="849">
        <v>50.3</v>
      </c>
      <c r="R786" s="71">
        <v>98350</v>
      </c>
      <c r="S786" s="845">
        <v>4.9690917736566809E-2</v>
      </c>
      <c r="T786" s="845">
        <v>0.02</v>
      </c>
      <c r="U786" s="845">
        <v>0</v>
      </c>
      <c r="V786" s="845">
        <v>0</v>
      </c>
      <c r="W786" s="845">
        <v>0.13416815742397137</v>
      </c>
      <c r="X786" s="845">
        <v>0.38222222222222224</v>
      </c>
      <c r="Y786" s="845">
        <v>0.93807178043631245</v>
      </c>
      <c r="Z786" s="845">
        <v>0</v>
      </c>
      <c r="AA786" s="845">
        <v>7.0372976776917663E-4</v>
      </c>
      <c r="AB786" s="845">
        <v>0</v>
      </c>
      <c r="AC786" s="845">
        <v>0</v>
      </c>
      <c r="AD786" s="845">
        <v>1.172882946281961E-2</v>
      </c>
      <c r="AE786" s="845">
        <v>4.9495660333098754E-2</v>
      </c>
      <c r="AF786" s="845">
        <v>3.0025803424818202E-2</v>
      </c>
      <c r="AG786" s="845">
        <v>0.93807178043631245</v>
      </c>
      <c r="AH786" s="20" t="str">
        <f t="shared" si="75"/>
        <v>Yes</v>
      </c>
      <c r="AI786" s="25"/>
      <c r="AJ786" s="37">
        <v>44813</v>
      </c>
      <c r="AK786" s="37" t="s">
        <v>1471</v>
      </c>
      <c r="AL786" s="37">
        <v>39139</v>
      </c>
      <c r="AM786" s="37" t="s">
        <v>75</v>
      </c>
      <c r="AN786" s="37">
        <f t="shared" si="76"/>
        <v>31900</v>
      </c>
      <c r="AO786" s="37" t="str">
        <f t="shared" si="77"/>
        <v>Mansfield, OH</v>
      </c>
      <c r="AP786" s="37" t="s">
        <v>8</v>
      </c>
      <c r="AQ786" s="25"/>
      <c r="AR786" s="25"/>
      <c r="AS786" s="25"/>
      <c r="AT786" s="25"/>
      <c r="AU786" s="36"/>
      <c r="AV786" s="36"/>
      <c r="AW786" s="36"/>
      <c r="AX786" s="25"/>
      <c r="AY786" s="25"/>
      <c r="AZ786" s="25"/>
      <c r="BA786" s="25"/>
      <c r="BB786" s="25"/>
      <c r="BC786" s="25"/>
      <c r="BD786" s="25"/>
      <c r="BE786" s="25"/>
      <c r="BF786" s="25"/>
      <c r="BG786" s="25"/>
      <c r="BH786" s="25"/>
      <c r="BI786" s="25"/>
      <c r="BJ786" s="25"/>
      <c r="BK786" s="25"/>
      <c r="BL786" s="25"/>
      <c r="BM786" s="25"/>
      <c r="BN786" s="25"/>
      <c r="BO786" s="25"/>
      <c r="BP786" s="25"/>
      <c r="BQ786" s="25"/>
      <c r="BR786" s="25"/>
      <c r="BS786" s="25"/>
      <c r="BT786" s="25"/>
      <c r="BU786" s="39">
        <v>45654</v>
      </c>
      <c r="BV786" s="39" t="s">
        <v>1799</v>
      </c>
      <c r="BW786" s="39" t="s">
        <v>2866</v>
      </c>
      <c r="BX786" s="39" t="s">
        <v>307</v>
      </c>
      <c r="BY786" s="71">
        <v>850</v>
      </c>
      <c r="BZ786" s="71">
        <v>890</v>
      </c>
      <c r="CA786" s="71">
        <v>1130</v>
      </c>
      <c r="CB786" s="71">
        <v>1410</v>
      </c>
      <c r="CC786" s="71">
        <v>1510</v>
      </c>
      <c r="CD786" s="25"/>
      <c r="CE786" s="200"/>
      <c r="CF786" s="200"/>
      <c r="CG786" s="200"/>
      <c r="CH786" s="200"/>
      <c r="CI786" s="200"/>
      <c r="CJ786" s="200"/>
      <c r="CK786" s="200"/>
      <c r="CL786" s="200"/>
      <c r="CM786" s="200"/>
      <c r="CN786" s="200"/>
      <c r="CO786" s="200"/>
      <c r="CP786" s="200"/>
      <c r="CQ786" s="200"/>
      <c r="CR786" s="200"/>
      <c r="CS786" s="200"/>
      <c r="CT786" s="200"/>
      <c r="CU786" s="200"/>
    </row>
    <row r="787" spans="1:99" s="17" customFormat="1" x14ac:dyDescent="0.2">
      <c r="A787" s="25"/>
      <c r="B787" s="20">
        <v>39025041405</v>
      </c>
      <c r="C787" s="20">
        <v>414.05</v>
      </c>
      <c r="D787" s="20" t="s">
        <v>19</v>
      </c>
      <c r="E787" s="20" t="s">
        <v>2828</v>
      </c>
      <c r="F787" s="20" t="s">
        <v>8</v>
      </c>
      <c r="G787" s="861">
        <v>58.969567904579897</v>
      </c>
      <c r="H787" s="861">
        <v>63.436669156500997</v>
      </c>
      <c r="I787" s="861">
        <v>34.9013874927101</v>
      </c>
      <c r="J787" s="861">
        <v>56.450887550788401</v>
      </c>
      <c r="K787" s="982">
        <v>1</v>
      </c>
      <c r="L787" s="735">
        <v>5730</v>
      </c>
      <c r="M787" s="735">
        <v>5472</v>
      </c>
      <c r="N787" s="845">
        <f t="shared" si="73"/>
        <v>-4.5026178010471207E-2</v>
      </c>
      <c r="O787" s="735">
        <v>2.2807205087902895</v>
      </c>
      <c r="P787" s="735">
        <f t="shared" si="74"/>
        <v>2399.2418092922694</v>
      </c>
      <c r="Q787" s="849">
        <v>31.5</v>
      </c>
      <c r="R787" s="71">
        <v>68509</v>
      </c>
      <c r="S787" s="845">
        <v>0.19773391812865498</v>
      </c>
      <c r="T787" s="845">
        <v>5.0999999999999997E-2</v>
      </c>
      <c r="U787" s="845">
        <v>0</v>
      </c>
      <c r="V787" s="845">
        <v>0</v>
      </c>
      <c r="W787" s="845">
        <v>0.32366348943224205</v>
      </c>
      <c r="X787" s="845">
        <v>0.28681177976952626</v>
      </c>
      <c r="Y787" s="845">
        <v>0.92891081871345027</v>
      </c>
      <c r="Z787" s="845">
        <v>3.0153508771929825E-2</v>
      </c>
      <c r="AA787" s="845">
        <v>0</v>
      </c>
      <c r="AB787" s="845">
        <v>7.6754385964912276E-3</v>
      </c>
      <c r="AC787" s="845">
        <v>0</v>
      </c>
      <c r="AD787" s="845">
        <v>6.5789473684210523E-3</v>
      </c>
      <c r="AE787" s="845">
        <v>2.6681286549707601E-2</v>
      </c>
      <c r="AF787" s="845">
        <v>5.9393274853801171E-2</v>
      </c>
      <c r="AG787" s="845">
        <v>0.87938596491228072</v>
      </c>
      <c r="AH787" s="20" t="str">
        <f t="shared" si="75"/>
        <v>No</v>
      </c>
      <c r="AI787" s="25"/>
      <c r="AJ787" s="37">
        <v>44822</v>
      </c>
      <c r="AK787" s="37" t="s">
        <v>1477</v>
      </c>
      <c r="AL787" s="37">
        <v>39139</v>
      </c>
      <c r="AM787" s="37" t="s">
        <v>75</v>
      </c>
      <c r="AN787" s="37">
        <f t="shared" si="76"/>
        <v>31900</v>
      </c>
      <c r="AO787" s="37" t="str">
        <f t="shared" si="77"/>
        <v>Mansfield, OH</v>
      </c>
      <c r="AP787" s="37" t="s">
        <v>8</v>
      </c>
      <c r="AQ787" s="25"/>
      <c r="AR787" s="25"/>
      <c r="AS787" s="25"/>
      <c r="AT787" s="25"/>
      <c r="AU787" s="36"/>
      <c r="AV787" s="36"/>
      <c r="AW787" s="36"/>
      <c r="AX787" s="25"/>
      <c r="AY787" s="25"/>
      <c r="AZ787" s="25"/>
      <c r="BA787" s="25"/>
      <c r="BB787" s="25"/>
      <c r="BC787" s="25"/>
      <c r="BD787" s="25"/>
      <c r="BE787" s="25"/>
      <c r="BF787" s="25"/>
      <c r="BG787" s="25"/>
      <c r="BH787" s="25"/>
      <c r="BI787" s="25"/>
      <c r="BJ787" s="25"/>
      <c r="BK787" s="25"/>
      <c r="BL787" s="25"/>
      <c r="BM787" s="25"/>
      <c r="BN787" s="25"/>
      <c r="BO787" s="25"/>
      <c r="BP787" s="25"/>
      <c r="BQ787" s="25"/>
      <c r="BR787" s="25"/>
      <c r="BS787" s="25"/>
      <c r="BT787" s="25"/>
      <c r="BU787" s="39">
        <v>45732</v>
      </c>
      <c r="BV787" s="39" t="s">
        <v>1845</v>
      </c>
      <c r="BW787" s="39" t="s">
        <v>2866</v>
      </c>
      <c r="BX787" s="39" t="s">
        <v>307</v>
      </c>
      <c r="BY787" s="71">
        <v>790</v>
      </c>
      <c r="BZ787" s="71">
        <v>820</v>
      </c>
      <c r="CA787" s="71">
        <v>970</v>
      </c>
      <c r="CB787" s="71">
        <v>1190</v>
      </c>
      <c r="CC787" s="71">
        <v>1390</v>
      </c>
      <c r="CD787" s="25"/>
      <c r="CE787" s="200"/>
      <c r="CF787" s="200"/>
      <c r="CG787" s="200"/>
      <c r="CH787" s="200"/>
      <c r="CI787" s="200"/>
      <c r="CJ787" s="200"/>
      <c r="CK787" s="200"/>
      <c r="CL787" s="200"/>
      <c r="CM787" s="200"/>
      <c r="CN787" s="200"/>
      <c r="CO787" s="200"/>
      <c r="CP787" s="200"/>
      <c r="CQ787" s="200"/>
      <c r="CR787" s="200"/>
      <c r="CS787" s="200"/>
      <c r="CT787" s="200"/>
      <c r="CU787" s="200"/>
    </row>
    <row r="788" spans="1:99" s="17" customFormat="1" x14ac:dyDescent="0.2">
      <c r="A788" s="25"/>
      <c r="B788" s="20">
        <v>39017010903</v>
      </c>
      <c r="C788" s="20">
        <v>109.03</v>
      </c>
      <c r="D788" s="20" t="s">
        <v>15</v>
      </c>
      <c r="E788" s="20" t="s">
        <v>2828</v>
      </c>
      <c r="F788" s="20" t="s">
        <v>8</v>
      </c>
      <c r="G788" s="861">
        <v>58.958912169957699</v>
      </c>
      <c r="H788" s="861">
        <v>53.569157603904401</v>
      </c>
      <c r="I788" s="861">
        <v>23.332044146520399</v>
      </c>
      <c r="J788" s="861">
        <v>33.756632986752003</v>
      </c>
      <c r="K788" s="982">
        <v>0</v>
      </c>
      <c r="L788" s="735">
        <v>5048</v>
      </c>
      <c r="M788" s="735">
        <v>5949</v>
      </c>
      <c r="N788" s="845">
        <f t="shared" si="73"/>
        <v>0.178486529318542</v>
      </c>
      <c r="O788" s="735">
        <v>2.2282059819958016</v>
      </c>
      <c r="P788" s="735">
        <f t="shared" si="74"/>
        <v>2669.8608872199002</v>
      </c>
      <c r="Q788" s="849">
        <v>42.5</v>
      </c>
      <c r="R788" s="71">
        <v>98875</v>
      </c>
      <c r="S788" s="845">
        <v>5.3790553034123383E-2</v>
      </c>
      <c r="T788" s="845">
        <v>6.6000000000000003E-2</v>
      </c>
      <c r="U788" s="845">
        <v>0</v>
      </c>
      <c r="V788" s="845">
        <v>9.6000000000000002E-2</v>
      </c>
      <c r="W788" s="845">
        <v>0.19609582963620231</v>
      </c>
      <c r="X788" s="845">
        <v>0.579185520361991</v>
      </c>
      <c r="Y788" s="845">
        <v>0.69154479744494868</v>
      </c>
      <c r="Z788" s="845">
        <v>6.2195326945705162E-2</v>
      </c>
      <c r="AA788" s="845">
        <v>0</v>
      </c>
      <c r="AB788" s="845">
        <v>0.10909396537233149</v>
      </c>
      <c r="AC788" s="845">
        <v>0</v>
      </c>
      <c r="AD788" s="845">
        <v>1.9835266431332998E-2</v>
      </c>
      <c r="AE788" s="845">
        <v>0.11733064380568163</v>
      </c>
      <c r="AF788" s="845">
        <v>2.118003025718608E-2</v>
      </c>
      <c r="AG788" s="845">
        <v>0.69154479744494868</v>
      </c>
      <c r="AH788" s="20" t="str">
        <f t="shared" si="75"/>
        <v>No</v>
      </c>
      <c r="AI788" s="25"/>
      <c r="AJ788" s="37">
        <v>44827</v>
      </c>
      <c r="AK788" s="37" t="s">
        <v>1481</v>
      </c>
      <c r="AL788" s="37">
        <v>39139</v>
      </c>
      <c r="AM788" s="37" t="s">
        <v>75</v>
      </c>
      <c r="AN788" s="37">
        <f t="shared" si="76"/>
        <v>31900</v>
      </c>
      <c r="AO788" s="37" t="str">
        <f t="shared" si="77"/>
        <v>Mansfield, OH</v>
      </c>
      <c r="AP788" s="37" t="s">
        <v>8</v>
      </c>
      <c r="AQ788" s="25"/>
      <c r="AR788" s="25"/>
      <c r="AS788" s="25"/>
      <c r="AT788" s="25"/>
      <c r="AU788" s="36"/>
      <c r="AV788" s="36"/>
      <c r="AW788" s="36"/>
      <c r="AX788" s="25"/>
      <c r="AY788" s="25"/>
      <c r="AZ788" s="25"/>
      <c r="BA788" s="25"/>
      <c r="BB788" s="25"/>
      <c r="BC788" s="25"/>
      <c r="BD788" s="25"/>
      <c r="BE788" s="25"/>
      <c r="BF788" s="25"/>
      <c r="BG788" s="25"/>
      <c r="BH788" s="25"/>
      <c r="BI788" s="25"/>
      <c r="BJ788" s="25"/>
      <c r="BK788" s="25"/>
      <c r="BL788" s="25"/>
      <c r="BM788" s="25"/>
      <c r="BN788" s="25"/>
      <c r="BO788" s="25"/>
      <c r="BP788" s="25"/>
      <c r="BQ788" s="25"/>
      <c r="BR788" s="25"/>
      <c r="BS788" s="25"/>
      <c r="BT788" s="25"/>
      <c r="BU788" s="39">
        <v>45764</v>
      </c>
      <c r="BV788" s="39" t="s">
        <v>1859</v>
      </c>
      <c r="BW788" s="39" t="s">
        <v>2866</v>
      </c>
      <c r="BX788" s="39" t="s">
        <v>307</v>
      </c>
      <c r="BY788" s="71">
        <v>790</v>
      </c>
      <c r="BZ788" s="71">
        <v>800</v>
      </c>
      <c r="CA788" s="71">
        <v>970</v>
      </c>
      <c r="CB788" s="71">
        <v>1210</v>
      </c>
      <c r="CC788" s="71">
        <v>1390</v>
      </c>
      <c r="CD788" s="25"/>
      <c r="CE788" s="200"/>
      <c r="CF788" s="200"/>
      <c r="CG788" s="200"/>
      <c r="CH788" s="200"/>
      <c r="CI788" s="200"/>
      <c r="CJ788" s="200"/>
      <c r="CK788" s="200"/>
      <c r="CL788" s="200"/>
      <c r="CM788" s="200"/>
      <c r="CN788" s="200"/>
      <c r="CO788" s="200"/>
      <c r="CP788" s="200"/>
      <c r="CQ788" s="200"/>
      <c r="CR788" s="200"/>
      <c r="CS788" s="200"/>
      <c r="CT788" s="200"/>
      <c r="CU788" s="200"/>
    </row>
    <row r="789" spans="1:99" s="17" customFormat="1" x14ac:dyDescent="0.2">
      <c r="A789" s="25"/>
      <c r="B789" s="20">
        <v>39035177609</v>
      </c>
      <c r="C789" s="20">
        <v>1776.09</v>
      </c>
      <c r="D789" s="20" t="s">
        <v>24</v>
      </c>
      <c r="E789" s="20" t="s">
        <v>2829</v>
      </c>
      <c r="F789" s="20" t="s">
        <v>8</v>
      </c>
      <c r="G789" s="861">
        <v>58.946886418056003</v>
      </c>
      <c r="H789" s="861">
        <v>61.708025020314103</v>
      </c>
      <c r="I789" s="861">
        <v>20.820419612500501</v>
      </c>
      <c r="J789" s="861">
        <v>43.072418453200697</v>
      </c>
      <c r="K789" s="982">
        <v>0</v>
      </c>
      <c r="L789" s="735">
        <v>2141</v>
      </c>
      <c r="M789" s="735">
        <v>1871</v>
      </c>
      <c r="N789" s="845">
        <f t="shared" si="73"/>
        <v>-0.12610929472209248</v>
      </c>
      <c r="O789" s="735">
        <v>1.047455773841371</v>
      </c>
      <c r="P789" s="735">
        <f t="shared" si="74"/>
        <v>1786.2329338626075</v>
      </c>
      <c r="Q789" s="849">
        <v>55</v>
      </c>
      <c r="R789" s="71">
        <v>92222</v>
      </c>
      <c r="S789" s="845">
        <v>7.3352435530085955E-2</v>
      </c>
      <c r="T789" s="845">
        <v>2.8999999999999998E-2</v>
      </c>
      <c r="U789" s="845">
        <v>1.6E-2</v>
      </c>
      <c r="V789" s="845">
        <v>0</v>
      </c>
      <c r="W789" s="845">
        <v>0.10277777777777777</v>
      </c>
      <c r="X789" s="845">
        <v>0.33783783783783783</v>
      </c>
      <c r="Y789" s="845">
        <v>0.90967397113842863</v>
      </c>
      <c r="Z789" s="845">
        <v>2.8327097808658473E-2</v>
      </c>
      <c r="AA789" s="845">
        <v>0</v>
      </c>
      <c r="AB789" s="845">
        <v>3.9016568679850344E-2</v>
      </c>
      <c r="AC789" s="845">
        <v>0</v>
      </c>
      <c r="AD789" s="845">
        <v>1.6034206306787815E-3</v>
      </c>
      <c r="AE789" s="845">
        <v>2.1378941742383754E-2</v>
      </c>
      <c r="AF789" s="845">
        <v>8.0171031533939063E-3</v>
      </c>
      <c r="AG789" s="845">
        <v>0.90967397113842863</v>
      </c>
      <c r="AH789" s="20" t="str">
        <f t="shared" si="75"/>
        <v>Yes</v>
      </c>
      <c r="AI789" s="25"/>
      <c r="AJ789" s="37">
        <v>44833</v>
      </c>
      <c r="AK789" s="37" t="s">
        <v>1484</v>
      </c>
      <c r="AL789" s="37">
        <v>39139</v>
      </c>
      <c r="AM789" s="37" t="s">
        <v>75</v>
      </c>
      <c r="AN789" s="37">
        <f t="shared" si="76"/>
        <v>31900</v>
      </c>
      <c r="AO789" s="37" t="str">
        <f t="shared" si="77"/>
        <v>Mansfield, OH</v>
      </c>
      <c r="AP789" s="37" t="s">
        <v>8</v>
      </c>
      <c r="AQ789" s="25"/>
      <c r="AR789" s="25"/>
      <c r="AS789" s="25"/>
      <c r="AT789" s="25"/>
      <c r="AU789" s="36"/>
      <c r="AV789" s="36"/>
      <c r="AW789" s="36"/>
      <c r="AX789" s="25"/>
      <c r="AY789" s="25"/>
      <c r="AZ789" s="25"/>
      <c r="BA789" s="25"/>
      <c r="BB789" s="25"/>
      <c r="BC789" s="25"/>
      <c r="BD789" s="25"/>
      <c r="BE789" s="25"/>
      <c r="BF789" s="25"/>
      <c r="BG789" s="25"/>
      <c r="BH789" s="25"/>
      <c r="BI789" s="25"/>
      <c r="BJ789" s="25"/>
      <c r="BK789" s="25"/>
      <c r="BL789" s="25"/>
      <c r="BM789" s="25"/>
      <c r="BN789" s="25"/>
      <c r="BO789" s="25"/>
      <c r="BP789" s="25"/>
      <c r="BQ789" s="25"/>
      <c r="BR789" s="25"/>
      <c r="BS789" s="25"/>
      <c r="BT789" s="25"/>
      <c r="BU789" s="39">
        <v>44610</v>
      </c>
      <c r="BV789" s="39" t="s">
        <v>1384</v>
      </c>
      <c r="BW789" s="39" t="s">
        <v>2914</v>
      </c>
      <c r="BX789" s="39" t="s">
        <v>2915</v>
      </c>
      <c r="BY789" s="71">
        <v>740</v>
      </c>
      <c r="BZ789" s="71">
        <v>740</v>
      </c>
      <c r="CA789" s="71">
        <v>970</v>
      </c>
      <c r="CB789" s="71">
        <v>1200</v>
      </c>
      <c r="CC789" s="71">
        <v>1300</v>
      </c>
      <c r="CD789" s="25"/>
      <c r="CE789" s="200"/>
      <c r="CF789" s="200"/>
      <c r="CG789" s="200"/>
      <c r="CH789" s="200"/>
      <c r="CI789" s="200"/>
      <c r="CJ789" s="200"/>
      <c r="CK789" s="200"/>
      <c r="CL789" s="200"/>
      <c r="CM789" s="200"/>
      <c r="CN789" s="200"/>
      <c r="CO789" s="200"/>
      <c r="CP789" s="200"/>
      <c r="CQ789" s="200"/>
      <c r="CR789" s="200"/>
      <c r="CS789" s="200"/>
      <c r="CT789" s="200"/>
      <c r="CU789" s="200"/>
    </row>
    <row r="790" spans="1:99" s="17" customFormat="1" x14ac:dyDescent="0.2">
      <c r="A790" s="25"/>
      <c r="B790" s="20">
        <v>39169001300</v>
      </c>
      <c r="C790" s="20">
        <v>13</v>
      </c>
      <c r="D790" s="20" t="s">
        <v>90</v>
      </c>
      <c r="E790" s="20" t="s">
        <v>265</v>
      </c>
      <c r="F790" s="20" t="s">
        <v>8</v>
      </c>
      <c r="G790" s="861">
        <v>58.929426505923999</v>
      </c>
      <c r="H790" s="861">
        <v>57.606264667676797</v>
      </c>
      <c r="I790" s="861">
        <v>32.368141463891703</v>
      </c>
      <c r="J790" s="861">
        <v>34.0519730918896</v>
      </c>
      <c r="K790" s="982">
        <v>0</v>
      </c>
      <c r="L790" s="735">
        <v>4135</v>
      </c>
      <c r="M790" s="735">
        <v>3815</v>
      </c>
      <c r="N790" s="845">
        <f t="shared" si="73"/>
        <v>-7.7388149939540504E-2</v>
      </c>
      <c r="O790" s="735">
        <v>3.932711490324178</v>
      </c>
      <c r="P790" s="735">
        <f t="shared" si="74"/>
        <v>970.06861789536595</v>
      </c>
      <c r="Q790" s="849">
        <v>40.200000000000003</v>
      </c>
      <c r="R790" s="71">
        <v>73953</v>
      </c>
      <c r="S790" s="845">
        <v>6.5450643776824038E-2</v>
      </c>
      <c r="T790" s="845">
        <v>2.7999999999999997E-2</v>
      </c>
      <c r="U790" s="845">
        <v>0</v>
      </c>
      <c r="V790" s="845">
        <v>3.6000000000000004E-2</v>
      </c>
      <c r="W790" s="845">
        <v>0.30501672240802674</v>
      </c>
      <c r="X790" s="845">
        <v>0.18859649122807018</v>
      </c>
      <c r="Y790" s="845">
        <v>0.83643512450851898</v>
      </c>
      <c r="Z790" s="845">
        <v>9.226736566186107E-2</v>
      </c>
      <c r="AA790" s="845">
        <v>0</v>
      </c>
      <c r="AB790" s="845">
        <v>4.3774574049803408E-2</v>
      </c>
      <c r="AC790" s="845">
        <v>0</v>
      </c>
      <c r="AD790" s="845">
        <v>0</v>
      </c>
      <c r="AE790" s="845">
        <v>2.7522935779816515E-2</v>
      </c>
      <c r="AF790" s="845">
        <v>4.0366972477064222E-2</v>
      </c>
      <c r="AG790" s="845">
        <v>0.80471821756225426</v>
      </c>
      <c r="AH790" s="20" t="str">
        <f t="shared" si="75"/>
        <v>No</v>
      </c>
      <c r="AI790" s="25"/>
      <c r="AJ790" s="37">
        <v>44837</v>
      </c>
      <c r="AK790" s="37" t="s">
        <v>1486</v>
      </c>
      <c r="AL790" s="37">
        <v>39139</v>
      </c>
      <c r="AM790" s="37" t="s">
        <v>75</v>
      </c>
      <c r="AN790" s="37">
        <f t="shared" si="76"/>
        <v>31900</v>
      </c>
      <c r="AO790" s="37" t="str">
        <f t="shared" si="77"/>
        <v>Mansfield, OH</v>
      </c>
      <c r="AP790" s="37" t="s">
        <v>8</v>
      </c>
      <c r="AQ790" s="25"/>
      <c r="AR790" s="25"/>
      <c r="AS790" s="25"/>
      <c r="AT790" s="25"/>
      <c r="AU790" s="36"/>
      <c r="AV790" s="36"/>
      <c r="AW790" s="36"/>
      <c r="AX790" s="25"/>
      <c r="AY790" s="25"/>
      <c r="AZ790" s="25"/>
      <c r="BA790" s="25"/>
      <c r="BB790" s="25"/>
      <c r="BC790" s="25"/>
      <c r="BD790" s="25"/>
      <c r="BE790" s="25"/>
      <c r="BF790" s="25"/>
      <c r="BG790" s="25"/>
      <c r="BH790" s="25"/>
      <c r="BI790" s="25"/>
      <c r="BJ790" s="25"/>
      <c r="BK790" s="25"/>
      <c r="BL790" s="25"/>
      <c r="BM790" s="25"/>
      <c r="BN790" s="25"/>
      <c r="BO790" s="25"/>
      <c r="BP790" s="25"/>
      <c r="BQ790" s="25"/>
      <c r="BR790" s="25"/>
      <c r="BS790" s="25"/>
      <c r="BT790" s="25"/>
      <c r="BU790" s="39">
        <v>44611</v>
      </c>
      <c r="BV790" s="39" t="s">
        <v>1385</v>
      </c>
      <c r="BW790" s="39" t="s">
        <v>2914</v>
      </c>
      <c r="BX790" s="39" t="s">
        <v>2915</v>
      </c>
      <c r="BY790" s="71">
        <v>740</v>
      </c>
      <c r="BZ790" s="71">
        <v>780</v>
      </c>
      <c r="CA790" s="71">
        <v>1010</v>
      </c>
      <c r="CB790" s="71">
        <v>1240</v>
      </c>
      <c r="CC790" s="71">
        <v>1370</v>
      </c>
      <c r="CD790" s="25"/>
      <c r="CE790" s="200"/>
      <c r="CF790" s="200"/>
      <c r="CG790" s="200"/>
      <c r="CH790" s="200"/>
      <c r="CI790" s="200"/>
      <c r="CJ790" s="200"/>
      <c r="CK790" s="200"/>
      <c r="CL790" s="200"/>
      <c r="CM790" s="200"/>
      <c r="CN790" s="200"/>
      <c r="CO790" s="200"/>
      <c r="CP790" s="200"/>
      <c r="CQ790" s="200"/>
      <c r="CR790" s="200"/>
      <c r="CS790" s="200"/>
      <c r="CT790" s="200"/>
      <c r="CU790" s="200"/>
    </row>
    <row r="791" spans="1:99" s="17" customFormat="1" x14ac:dyDescent="0.2">
      <c r="A791" s="25"/>
      <c r="B791" s="20">
        <v>39153530606</v>
      </c>
      <c r="C791" s="20">
        <v>5306.06</v>
      </c>
      <c r="D791" s="20" t="s">
        <v>82</v>
      </c>
      <c r="E791" s="20" t="s">
        <v>2843</v>
      </c>
      <c r="F791" s="20" t="s">
        <v>8</v>
      </c>
      <c r="G791" s="861">
        <v>58.907398895497799</v>
      </c>
      <c r="H791" s="861">
        <v>64.787639677468505</v>
      </c>
      <c r="I791" s="861">
        <v>29.641176212137701</v>
      </c>
      <c r="J791" s="861">
        <v>41.191033535109703</v>
      </c>
      <c r="K791" s="982">
        <v>0</v>
      </c>
      <c r="L791" s="735">
        <v>5690</v>
      </c>
      <c r="M791" s="735">
        <v>5396</v>
      </c>
      <c r="N791" s="845">
        <f t="shared" si="73"/>
        <v>-5.1669595782073814E-2</v>
      </c>
      <c r="O791" s="735">
        <v>2.3410462683552629</v>
      </c>
      <c r="P791" s="735">
        <f t="shared" si="74"/>
        <v>2304.952308264732</v>
      </c>
      <c r="Q791" s="849">
        <v>41.8</v>
      </c>
      <c r="R791" s="71">
        <v>118833</v>
      </c>
      <c r="S791" s="845">
        <v>5.1519644180874721E-2</v>
      </c>
      <c r="T791" s="845">
        <v>1.3000000000000001E-2</v>
      </c>
      <c r="U791" s="845">
        <v>0</v>
      </c>
      <c r="V791" s="845">
        <v>0</v>
      </c>
      <c r="W791" s="845">
        <v>0.1588235294117647</v>
      </c>
      <c r="X791" s="845">
        <v>0.41975308641975306</v>
      </c>
      <c r="Y791" s="845">
        <v>0.91938472942920679</v>
      </c>
      <c r="Z791" s="845">
        <v>2.4833209785025945E-2</v>
      </c>
      <c r="AA791" s="845">
        <v>2.038547071905115E-3</v>
      </c>
      <c r="AB791" s="845">
        <v>2.7798369162342477E-3</v>
      </c>
      <c r="AC791" s="845">
        <v>0</v>
      </c>
      <c r="AD791" s="845">
        <v>2.5945144551519643E-3</v>
      </c>
      <c r="AE791" s="845">
        <v>4.8369162342475909E-2</v>
      </c>
      <c r="AF791" s="845">
        <v>1.5752409191994068E-2</v>
      </c>
      <c r="AG791" s="845">
        <v>0.91938472942920679</v>
      </c>
      <c r="AH791" s="20" t="str">
        <f t="shared" si="75"/>
        <v>Yes</v>
      </c>
      <c r="AI791" s="25"/>
      <c r="AJ791" s="37">
        <v>44843</v>
      </c>
      <c r="AK791" s="37" t="s">
        <v>1492</v>
      </c>
      <c r="AL791" s="37">
        <v>39139</v>
      </c>
      <c r="AM791" s="37" t="s">
        <v>75</v>
      </c>
      <c r="AN791" s="37">
        <f t="shared" si="76"/>
        <v>31900</v>
      </c>
      <c r="AO791" s="37" t="str">
        <f t="shared" si="77"/>
        <v>Mansfield, OH</v>
      </c>
      <c r="AP791" s="37" t="s">
        <v>8</v>
      </c>
      <c r="AQ791" s="25"/>
      <c r="AR791" s="25"/>
      <c r="AS791" s="25"/>
      <c r="AT791" s="25"/>
      <c r="AU791" s="36"/>
      <c r="AV791" s="36"/>
      <c r="AW791" s="36"/>
      <c r="AX791" s="25"/>
      <c r="AY791" s="25"/>
      <c r="AZ791" s="25"/>
      <c r="BA791" s="25"/>
      <c r="BB791" s="25"/>
      <c r="BC791" s="25"/>
      <c r="BD791" s="25"/>
      <c r="BE791" s="25"/>
      <c r="BF791" s="25"/>
      <c r="BG791" s="25"/>
      <c r="BH791" s="25"/>
      <c r="BI791" s="25"/>
      <c r="BJ791" s="25"/>
      <c r="BK791" s="25"/>
      <c r="BL791" s="25"/>
      <c r="BM791" s="25"/>
      <c r="BN791" s="25"/>
      <c r="BO791" s="25"/>
      <c r="BP791" s="25"/>
      <c r="BQ791" s="25"/>
      <c r="BR791" s="25"/>
      <c r="BS791" s="25"/>
      <c r="BT791" s="25"/>
      <c r="BU791" s="39">
        <v>44627</v>
      </c>
      <c r="BV791" s="39" t="s">
        <v>1398</v>
      </c>
      <c r="BW791" s="39" t="s">
        <v>2914</v>
      </c>
      <c r="BX791" s="39" t="s">
        <v>2915</v>
      </c>
      <c r="BY791" s="71">
        <v>720</v>
      </c>
      <c r="BZ791" s="71">
        <v>770</v>
      </c>
      <c r="CA791" s="71">
        <v>990</v>
      </c>
      <c r="CB791" s="71">
        <v>1220</v>
      </c>
      <c r="CC791" s="71">
        <v>1370</v>
      </c>
      <c r="CD791" s="25"/>
      <c r="CE791" s="200"/>
      <c r="CF791" s="200"/>
      <c r="CG791" s="200"/>
      <c r="CH791" s="200"/>
      <c r="CI791" s="200"/>
      <c r="CJ791" s="200"/>
      <c r="CK791" s="200"/>
      <c r="CL791" s="200"/>
      <c r="CM791" s="200"/>
      <c r="CN791" s="200"/>
      <c r="CO791" s="200"/>
      <c r="CP791" s="200"/>
      <c r="CQ791" s="200"/>
      <c r="CR791" s="200"/>
      <c r="CS791" s="200"/>
      <c r="CT791" s="200"/>
      <c r="CU791" s="200"/>
    </row>
    <row r="792" spans="1:99" s="17" customFormat="1" x14ac:dyDescent="0.2">
      <c r="A792" s="25"/>
      <c r="B792" s="20">
        <v>39147962600</v>
      </c>
      <c r="C792" s="20">
        <v>9626</v>
      </c>
      <c r="D792" s="20" t="s">
        <v>79</v>
      </c>
      <c r="E792" s="20" t="s">
        <v>265</v>
      </c>
      <c r="F792" s="20" t="s">
        <v>8</v>
      </c>
      <c r="G792" s="861">
        <v>58.864544220088199</v>
      </c>
      <c r="H792" s="861">
        <v>59.944762683869797</v>
      </c>
      <c r="I792" s="861">
        <v>17.210539314895001</v>
      </c>
      <c r="J792" s="861">
        <v>49.120242411167098</v>
      </c>
      <c r="K792" s="982">
        <v>0</v>
      </c>
      <c r="L792" s="735">
        <v>4226</v>
      </c>
      <c r="M792" s="735">
        <v>3601</v>
      </c>
      <c r="N792" s="845">
        <f t="shared" si="73"/>
        <v>-0.14789398958826314</v>
      </c>
      <c r="O792" s="735">
        <v>84.76073814871684</v>
      </c>
      <c r="P792" s="735">
        <f t="shared" si="74"/>
        <v>42.484292594076635</v>
      </c>
      <c r="Q792" s="849">
        <v>42.2</v>
      </c>
      <c r="R792" s="71">
        <v>77040</v>
      </c>
      <c r="S792" s="845">
        <v>3.5823382393779503E-2</v>
      </c>
      <c r="T792" s="845">
        <v>0.03</v>
      </c>
      <c r="U792" s="845">
        <v>2.8999999999999998E-2</v>
      </c>
      <c r="V792" s="845">
        <v>0</v>
      </c>
      <c r="W792" s="845">
        <v>0.11967545638945233</v>
      </c>
      <c r="X792" s="845">
        <v>6.7796610169491525E-2</v>
      </c>
      <c r="Y792" s="845">
        <v>0.9700083310191614</v>
      </c>
      <c r="Z792" s="845">
        <v>0</v>
      </c>
      <c r="AA792" s="845">
        <v>1.3885031935573452E-3</v>
      </c>
      <c r="AB792" s="845">
        <v>0</v>
      </c>
      <c r="AC792" s="845">
        <v>0</v>
      </c>
      <c r="AD792" s="845">
        <v>1.1108025548458762E-3</v>
      </c>
      <c r="AE792" s="845">
        <v>2.7492363232435434E-2</v>
      </c>
      <c r="AF792" s="845">
        <v>1.4995834490419328E-2</v>
      </c>
      <c r="AG792" s="845">
        <v>0.95695640099972235</v>
      </c>
      <c r="AH792" s="20" t="str">
        <f t="shared" si="75"/>
        <v>Yes</v>
      </c>
      <c r="AI792" s="25"/>
      <c r="AJ792" s="37">
        <v>44864</v>
      </c>
      <c r="AK792" s="37" t="s">
        <v>1506</v>
      </c>
      <c r="AL792" s="37">
        <v>39139</v>
      </c>
      <c r="AM792" s="37" t="s">
        <v>75</v>
      </c>
      <c r="AN792" s="37">
        <f t="shared" si="76"/>
        <v>31900</v>
      </c>
      <c r="AO792" s="37" t="str">
        <f t="shared" si="77"/>
        <v>Mansfield, OH</v>
      </c>
      <c r="AP792" s="37" t="s">
        <v>8</v>
      </c>
      <c r="AQ792" s="25"/>
      <c r="AR792" s="25"/>
      <c r="AS792" s="25"/>
      <c r="AT792" s="25"/>
      <c r="AU792" s="36"/>
      <c r="AV792" s="36"/>
      <c r="AW792" s="36"/>
      <c r="AX792" s="25"/>
      <c r="AY792" s="25"/>
      <c r="AZ792" s="25"/>
      <c r="BA792" s="25"/>
      <c r="BB792" s="25"/>
      <c r="BC792" s="25"/>
      <c r="BD792" s="25"/>
      <c r="BE792" s="25"/>
      <c r="BF792" s="25"/>
      <c r="BG792" s="25"/>
      <c r="BH792" s="25"/>
      <c r="BI792" s="25"/>
      <c r="BJ792" s="25"/>
      <c r="BK792" s="25"/>
      <c r="BL792" s="25"/>
      <c r="BM792" s="25"/>
      <c r="BN792" s="25"/>
      <c r="BO792" s="25"/>
      <c r="BP792" s="25"/>
      <c r="BQ792" s="25"/>
      <c r="BR792" s="25"/>
      <c r="BS792" s="25"/>
      <c r="BT792" s="25"/>
      <c r="BU792" s="39">
        <v>44628</v>
      </c>
      <c r="BV792" s="39" t="s">
        <v>1399</v>
      </c>
      <c r="BW792" s="39" t="s">
        <v>2914</v>
      </c>
      <c r="BX792" s="39" t="s">
        <v>2915</v>
      </c>
      <c r="BY792" s="71">
        <v>760</v>
      </c>
      <c r="BZ792" s="71">
        <v>810</v>
      </c>
      <c r="CA792" s="71">
        <v>1020</v>
      </c>
      <c r="CB792" s="71">
        <v>1300</v>
      </c>
      <c r="CC792" s="71">
        <v>1420</v>
      </c>
      <c r="CD792" s="25"/>
      <c r="CE792" s="200"/>
      <c r="CF792" s="200"/>
      <c r="CG792" s="200"/>
      <c r="CH792" s="200"/>
      <c r="CI792" s="200"/>
      <c r="CJ792" s="200"/>
      <c r="CK792" s="200"/>
      <c r="CL792" s="200"/>
      <c r="CM792" s="200"/>
      <c r="CN792" s="200"/>
      <c r="CO792" s="200"/>
      <c r="CP792" s="200"/>
      <c r="CQ792" s="200"/>
      <c r="CR792" s="200"/>
      <c r="CS792" s="200"/>
      <c r="CT792" s="200"/>
      <c r="CU792" s="200"/>
    </row>
    <row r="793" spans="1:99" s="17" customFormat="1" x14ac:dyDescent="0.2">
      <c r="A793" s="25"/>
      <c r="B793" s="20">
        <v>39035177104</v>
      </c>
      <c r="C793" s="20">
        <v>1771.04</v>
      </c>
      <c r="D793" s="20" t="s">
        <v>24</v>
      </c>
      <c r="E793" s="20" t="s">
        <v>2829</v>
      </c>
      <c r="F793" s="20" t="s">
        <v>8</v>
      </c>
      <c r="G793" s="861">
        <v>58.8634838567164</v>
      </c>
      <c r="H793" s="861">
        <v>76.581328773049194</v>
      </c>
      <c r="I793" s="861">
        <v>28.376405013402799</v>
      </c>
      <c r="J793" s="861">
        <v>39.8709983350114</v>
      </c>
      <c r="K793" s="982">
        <v>0</v>
      </c>
      <c r="L793" s="735">
        <v>3566</v>
      </c>
      <c r="M793" s="735">
        <v>3079</v>
      </c>
      <c r="N793" s="845">
        <f t="shared" si="73"/>
        <v>-0.13656758272574313</v>
      </c>
      <c r="O793" s="735">
        <v>0.55083187235172293</v>
      </c>
      <c r="P793" s="735">
        <f t="shared" si="74"/>
        <v>5589.727382430704</v>
      </c>
      <c r="Q793" s="849">
        <v>44.1</v>
      </c>
      <c r="R793" s="71">
        <v>75363</v>
      </c>
      <c r="S793" s="845">
        <v>8.8225538971807627E-2</v>
      </c>
      <c r="T793" s="845">
        <v>3.7999999999999999E-2</v>
      </c>
      <c r="U793" s="845">
        <v>0</v>
      </c>
      <c r="V793" s="845">
        <v>0</v>
      </c>
      <c r="W793" s="845">
        <v>0.10537790697674419</v>
      </c>
      <c r="X793" s="845">
        <v>0.52413793103448281</v>
      </c>
      <c r="Y793" s="845">
        <v>0.84085742124066254</v>
      </c>
      <c r="Z793" s="845">
        <v>2.7281584930172135E-2</v>
      </c>
      <c r="AA793" s="845">
        <v>0</v>
      </c>
      <c r="AB793" s="845">
        <v>2.5982461838259174E-3</v>
      </c>
      <c r="AC793" s="845">
        <v>0</v>
      </c>
      <c r="AD793" s="845">
        <v>8.0545631698603445E-2</v>
      </c>
      <c r="AE793" s="845">
        <v>4.8717115946735952E-2</v>
      </c>
      <c r="AF793" s="845">
        <v>0.14907437479701202</v>
      </c>
      <c r="AG793" s="845">
        <v>0.81519974017538166</v>
      </c>
      <c r="AH793" s="20" t="str">
        <f t="shared" si="75"/>
        <v>No</v>
      </c>
      <c r="AI793" s="25"/>
      <c r="AJ793" s="37">
        <v>44865</v>
      </c>
      <c r="AK793" s="37" t="s">
        <v>1507</v>
      </c>
      <c r="AL793" s="37">
        <v>39139</v>
      </c>
      <c r="AM793" s="37" t="s">
        <v>75</v>
      </c>
      <c r="AN793" s="37">
        <f t="shared" si="76"/>
        <v>31900</v>
      </c>
      <c r="AO793" s="37" t="str">
        <f t="shared" si="77"/>
        <v>Mansfield, OH</v>
      </c>
      <c r="AP793" s="37" t="s">
        <v>8</v>
      </c>
      <c r="AQ793" s="25"/>
      <c r="AR793" s="25"/>
      <c r="AS793" s="25"/>
      <c r="AT793" s="25"/>
      <c r="AU793" s="36"/>
      <c r="AV793" s="36"/>
      <c r="AW793" s="36"/>
      <c r="AX793" s="25"/>
      <c r="AY793" s="25"/>
      <c r="AZ793" s="25"/>
      <c r="BA793" s="25"/>
      <c r="BB793" s="25"/>
      <c r="BC793" s="25"/>
      <c r="BD793" s="25"/>
      <c r="BE793" s="25"/>
      <c r="BF793" s="25"/>
      <c r="BG793" s="25"/>
      <c r="BH793" s="25"/>
      <c r="BI793" s="25"/>
      <c r="BJ793" s="25"/>
      <c r="BK793" s="25"/>
      <c r="BL793" s="25"/>
      <c r="BM793" s="25"/>
      <c r="BN793" s="25"/>
      <c r="BO793" s="25"/>
      <c r="BP793" s="25"/>
      <c r="BQ793" s="25"/>
      <c r="BR793" s="25"/>
      <c r="BS793" s="25"/>
      <c r="BT793" s="25"/>
      <c r="BU793" s="39">
        <v>44633</v>
      </c>
      <c r="BV793" s="39" t="s">
        <v>1403</v>
      </c>
      <c r="BW793" s="39" t="s">
        <v>2914</v>
      </c>
      <c r="BX793" s="39" t="s">
        <v>2915</v>
      </c>
      <c r="BY793" s="71">
        <v>850</v>
      </c>
      <c r="BZ793" s="71">
        <v>850</v>
      </c>
      <c r="CA793" s="71">
        <v>1120</v>
      </c>
      <c r="CB793" s="71">
        <v>1380</v>
      </c>
      <c r="CC793" s="71">
        <v>1480</v>
      </c>
      <c r="CD793" s="25"/>
      <c r="CE793" s="200"/>
      <c r="CF793" s="200"/>
      <c r="CG793" s="200"/>
      <c r="CH793" s="200"/>
      <c r="CI793" s="200"/>
      <c r="CJ793" s="200"/>
      <c r="CK793" s="200"/>
      <c r="CL793" s="200"/>
      <c r="CM793" s="200"/>
      <c r="CN793" s="200"/>
      <c r="CO793" s="200"/>
      <c r="CP793" s="200"/>
      <c r="CQ793" s="200"/>
      <c r="CR793" s="200"/>
      <c r="CS793" s="200"/>
      <c r="CT793" s="200"/>
      <c r="CU793" s="200"/>
    </row>
    <row r="794" spans="1:99" s="17" customFormat="1" x14ac:dyDescent="0.2">
      <c r="A794" s="25"/>
      <c r="B794" s="20">
        <v>39035189109</v>
      </c>
      <c r="C794" s="20">
        <v>1891.09</v>
      </c>
      <c r="D794" s="20" t="s">
        <v>24</v>
      </c>
      <c r="E794" s="20" t="s">
        <v>2829</v>
      </c>
      <c r="F794" s="20" t="s">
        <v>8</v>
      </c>
      <c r="G794" s="861">
        <v>58.838792506962001</v>
      </c>
      <c r="H794" s="861">
        <v>60.251363016534299</v>
      </c>
      <c r="I794" s="861">
        <v>25.108375867175202</v>
      </c>
      <c r="J794" s="861">
        <v>47.502055409935103</v>
      </c>
      <c r="K794" s="982">
        <v>0</v>
      </c>
      <c r="L794" s="735">
        <v>3243</v>
      </c>
      <c r="M794" s="735">
        <v>3947</v>
      </c>
      <c r="N794" s="845">
        <f t="shared" si="73"/>
        <v>0.21708294788775825</v>
      </c>
      <c r="O794" s="735">
        <v>1.7436520200859147</v>
      </c>
      <c r="P794" s="735">
        <f t="shared" si="74"/>
        <v>2263.6397369043393</v>
      </c>
      <c r="Q794" s="849">
        <v>46.2</v>
      </c>
      <c r="R794" s="71">
        <v>79250</v>
      </c>
      <c r="S794" s="845">
        <v>4.3745203376822715E-2</v>
      </c>
      <c r="T794" s="845">
        <v>9.8000000000000004E-2</v>
      </c>
      <c r="U794" s="845">
        <v>0</v>
      </c>
      <c r="V794" s="845">
        <v>3.7000000000000005E-2</v>
      </c>
      <c r="W794" s="845">
        <v>0.30813618003462206</v>
      </c>
      <c r="X794" s="845">
        <v>0.37265917602996257</v>
      </c>
      <c r="Y794" s="845">
        <v>0.86800101342791991</v>
      </c>
      <c r="Z794" s="845">
        <v>2.0015201418799089E-2</v>
      </c>
      <c r="AA794" s="845">
        <v>0</v>
      </c>
      <c r="AB794" s="845">
        <v>6.3845958956169249E-2</v>
      </c>
      <c r="AC794" s="845">
        <v>0</v>
      </c>
      <c r="AD794" s="845">
        <v>1.9761844438814288E-2</v>
      </c>
      <c r="AE794" s="845">
        <v>2.837598175829744E-2</v>
      </c>
      <c r="AF794" s="845">
        <v>0.11527742589308336</v>
      </c>
      <c r="AG794" s="845">
        <v>0.78768685077273881</v>
      </c>
      <c r="AH794" s="20" t="str">
        <f t="shared" si="75"/>
        <v>No</v>
      </c>
      <c r="AI794" s="25"/>
      <c r="AJ794" s="37">
        <v>44875</v>
      </c>
      <c r="AK794" s="37" t="s">
        <v>1512</v>
      </c>
      <c r="AL794" s="37">
        <v>39139</v>
      </c>
      <c r="AM794" s="37" t="s">
        <v>75</v>
      </c>
      <c r="AN794" s="37">
        <f t="shared" si="76"/>
        <v>31900</v>
      </c>
      <c r="AO794" s="37" t="str">
        <f t="shared" si="77"/>
        <v>Mansfield, OH</v>
      </c>
      <c r="AP794" s="37" t="s">
        <v>8</v>
      </c>
      <c r="AQ794" s="25"/>
      <c r="AR794" s="25"/>
      <c r="AS794" s="25"/>
      <c r="AT794" s="25"/>
      <c r="AU794" s="36"/>
      <c r="AV794" s="36"/>
      <c r="AW794" s="36"/>
      <c r="AX794" s="25"/>
      <c r="AY794" s="25"/>
      <c r="AZ794" s="25"/>
      <c r="BA794" s="25"/>
      <c r="BB794" s="25"/>
      <c r="BC794" s="25"/>
      <c r="BD794" s="25"/>
      <c r="BE794" s="25"/>
      <c r="BF794" s="25"/>
      <c r="BG794" s="25"/>
      <c r="BH794" s="25"/>
      <c r="BI794" s="25"/>
      <c r="BJ794" s="25"/>
      <c r="BK794" s="25"/>
      <c r="BL794" s="25"/>
      <c r="BM794" s="25"/>
      <c r="BN794" s="25"/>
      <c r="BO794" s="25"/>
      <c r="BP794" s="25"/>
      <c r="BQ794" s="25"/>
      <c r="BR794" s="25"/>
      <c r="BS794" s="25"/>
      <c r="BT794" s="25"/>
      <c r="BU794" s="39">
        <v>44660</v>
      </c>
      <c r="BV794" s="39" t="s">
        <v>1422</v>
      </c>
      <c r="BW794" s="39" t="s">
        <v>2914</v>
      </c>
      <c r="BX794" s="39" t="s">
        <v>2915</v>
      </c>
      <c r="BY794" s="71">
        <v>740</v>
      </c>
      <c r="BZ794" s="71">
        <v>740</v>
      </c>
      <c r="CA794" s="71">
        <v>970</v>
      </c>
      <c r="CB794" s="71">
        <v>1200</v>
      </c>
      <c r="CC794" s="71">
        <v>1300</v>
      </c>
      <c r="CD794" s="25"/>
      <c r="CE794" s="200"/>
      <c r="CF794" s="200"/>
      <c r="CG794" s="200"/>
      <c r="CH794" s="200"/>
      <c r="CI794" s="200"/>
      <c r="CJ794" s="200"/>
      <c r="CK794" s="200"/>
      <c r="CL794" s="200"/>
      <c r="CM794" s="200"/>
      <c r="CN794" s="200"/>
      <c r="CO794" s="200"/>
      <c r="CP794" s="200"/>
      <c r="CQ794" s="200"/>
      <c r="CR794" s="200"/>
      <c r="CS794" s="200"/>
      <c r="CT794" s="200"/>
      <c r="CU794" s="200"/>
    </row>
    <row r="795" spans="1:99" s="17" customFormat="1" x14ac:dyDescent="0.2">
      <c r="A795" s="25"/>
      <c r="B795" s="20">
        <v>39035187106</v>
      </c>
      <c r="C795" s="20">
        <v>1871.06</v>
      </c>
      <c r="D795" s="20" t="s">
        <v>24</v>
      </c>
      <c r="E795" s="20" t="s">
        <v>2829</v>
      </c>
      <c r="F795" s="20" t="s">
        <v>8</v>
      </c>
      <c r="G795" s="861">
        <v>58.822586466039603</v>
      </c>
      <c r="H795" s="861">
        <v>70.548108915291294</v>
      </c>
      <c r="I795" s="861">
        <v>36.8392489410002</v>
      </c>
      <c r="J795" s="861">
        <v>46.167323450193898</v>
      </c>
      <c r="K795" s="982">
        <v>0</v>
      </c>
      <c r="L795" s="735">
        <v>4013</v>
      </c>
      <c r="M795" s="735">
        <v>4417</v>
      </c>
      <c r="N795" s="845">
        <f t="shared" si="73"/>
        <v>0.10067281335659108</v>
      </c>
      <c r="O795" s="735">
        <v>0.53234684540694666</v>
      </c>
      <c r="P795" s="735">
        <f t="shared" si="74"/>
        <v>8297.2220801336262</v>
      </c>
      <c r="Q795" s="849">
        <v>22.6</v>
      </c>
      <c r="R795" s="71">
        <v>71368</v>
      </c>
      <c r="S795" s="845">
        <v>0.11311311311311312</v>
      </c>
      <c r="T795" s="845">
        <v>4.2000000000000003E-2</v>
      </c>
      <c r="U795" s="845">
        <v>0</v>
      </c>
      <c r="V795" s="845">
        <v>0</v>
      </c>
      <c r="W795" s="845">
        <v>0.384251968503937</v>
      </c>
      <c r="X795" s="845">
        <v>0.41803278688524592</v>
      </c>
      <c r="Y795" s="845">
        <v>0.79194023092596788</v>
      </c>
      <c r="Z795" s="845">
        <v>0.11976454607199456</v>
      </c>
      <c r="AA795" s="845">
        <v>0</v>
      </c>
      <c r="AB795" s="845">
        <v>2.2866198777450757E-2</v>
      </c>
      <c r="AC795" s="845">
        <v>0</v>
      </c>
      <c r="AD795" s="845">
        <v>3.871405931627802E-2</v>
      </c>
      <c r="AE795" s="845">
        <v>2.6714964908308807E-2</v>
      </c>
      <c r="AF795" s="845">
        <v>1.6753452569617387E-2</v>
      </c>
      <c r="AG795" s="845">
        <v>0.78741227077201725</v>
      </c>
      <c r="AH795" s="20" t="str">
        <f t="shared" si="75"/>
        <v>No</v>
      </c>
      <c r="AI795" s="25"/>
      <c r="AJ795" s="37">
        <v>44878</v>
      </c>
      <c r="AK795" s="37" t="s">
        <v>1513</v>
      </c>
      <c r="AL795" s="37">
        <v>39139</v>
      </c>
      <c r="AM795" s="37" t="s">
        <v>75</v>
      </c>
      <c r="AN795" s="37">
        <f t="shared" si="76"/>
        <v>31900</v>
      </c>
      <c r="AO795" s="37" t="str">
        <f t="shared" si="77"/>
        <v>Mansfield, OH</v>
      </c>
      <c r="AP795" s="37" t="s">
        <v>8</v>
      </c>
      <c r="AQ795" s="25"/>
      <c r="AR795" s="25"/>
      <c r="AS795" s="25"/>
      <c r="AT795" s="25"/>
      <c r="AU795" s="36"/>
      <c r="AV795" s="36"/>
      <c r="AW795" s="36"/>
      <c r="AX795" s="25"/>
      <c r="AY795" s="25"/>
      <c r="AZ795" s="25"/>
      <c r="BA795" s="25"/>
      <c r="BB795" s="25"/>
      <c r="BC795" s="25"/>
      <c r="BD795" s="25"/>
      <c r="BE795" s="25"/>
      <c r="BF795" s="25"/>
      <c r="BG795" s="25"/>
      <c r="BH795" s="25"/>
      <c r="BI795" s="25"/>
      <c r="BJ795" s="25"/>
      <c r="BK795" s="25"/>
      <c r="BL795" s="25"/>
      <c r="BM795" s="25"/>
      <c r="BN795" s="25"/>
      <c r="BO795" s="25"/>
      <c r="BP795" s="25"/>
      <c r="BQ795" s="25"/>
      <c r="BR795" s="25"/>
      <c r="BS795" s="25"/>
      <c r="BT795" s="25"/>
      <c r="BU795" s="39">
        <v>44661</v>
      </c>
      <c r="BV795" s="39" t="s">
        <v>1423</v>
      </c>
      <c r="BW795" s="39" t="s">
        <v>2914</v>
      </c>
      <c r="BX795" s="39" t="s">
        <v>2915</v>
      </c>
      <c r="BY795" s="71">
        <v>740</v>
      </c>
      <c r="BZ795" s="71">
        <v>740</v>
      </c>
      <c r="CA795" s="71">
        <v>970</v>
      </c>
      <c r="CB795" s="71">
        <v>1200</v>
      </c>
      <c r="CC795" s="71">
        <v>1290</v>
      </c>
      <c r="CD795" s="25"/>
      <c r="CE795" s="200"/>
      <c r="CF795" s="200"/>
      <c r="CG795" s="200"/>
      <c r="CH795" s="200"/>
      <c r="CI795" s="200"/>
      <c r="CJ795" s="200"/>
      <c r="CK795" s="200"/>
      <c r="CL795" s="200"/>
      <c r="CM795" s="200"/>
      <c r="CN795" s="200"/>
      <c r="CO795" s="200"/>
      <c r="CP795" s="200"/>
      <c r="CQ795" s="200"/>
      <c r="CR795" s="200"/>
      <c r="CS795" s="200"/>
      <c r="CT795" s="200"/>
      <c r="CU795" s="200"/>
    </row>
    <row r="796" spans="1:99" s="17" customFormat="1" x14ac:dyDescent="0.2">
      <c r="A796" s="25"/>
      <c r="B796" s="20">
        <v>39113091100</v>
      </c>
      <c r="C796" s="20">
        <v>911</v>
      </c>
      <c r="D796" s="20" t="s">
        <v>62</v>
      </c>
      <c r="E796" s="20" t="s">
        <v>2833</v>
      </c>
      <c r="F796" s="20" t="s">
        <v>8</v>
      </c>
      <c r="G796" s="861">
        <v>58.812950279810103</v>
      </c>
      <c r="H796" s="861">
        <v>61.430125116626797</v>
      </c>
      <c r="I796" s="861">
        <v>37.641147742810503</v>
      </c>
      <c r="J796" s="861">
        <v>46.841852451258902</v>
      </c>
      <c r="K796" s="982">
        <v>0</v>
      </c>
      <c r="L796" s="735">
        <v>2822</v>
      </c>
      <c r="M796" s="735">
        <v>2877</v>
      </c>
      <c r="N796" s="845">
        <f t="shared" si="73"/>
        <v>1.9489723600283487E-2</v>
      </c>
      <c r="O796" s="735">
        <v>0.45722989824845184</v>
      </c>
      <c r="P796" s="735">
        <f t="shared" si="74"/>
        <v>6292.2394423924607</v>
      </c>
      <c r="Q796" s="849">
        <v>24.7</v>
      </c>
      <c r="R796" s="71">
        <v>64643</v>
      </c>
      <c r="S796" s="845">
        <v>1.4946124435175531E-2</v>
      </c>
      <c r="T796" s="845">
        <v>4.4999999999999998E-2</v>
      </c>
      <c r="U796" s="845">
        <v>0</v>
      </c>
      <c r="V796" s="845">
        <v>3.7999999999999999E-2</v>
      </c>
      <c r="W796" s="845">
        <v>0.98715596330275235</v>
      </c>
      <c r="X796" s="845">
        <v>0.35501858736059477</v>
      </c>
      <c r="Y796" s="845">
        <v>0.74174487313173443</v>
      </c>
      <c r="Z796" s="845">
        <v>6.3607924921793541E-2</v>
      </c>
      <c r="AA796" s="845">
        <v>0</v>
      </c>
      <c r="AB796" s="845">
        <v>5.7351407716371219E-2</v>
      </c>
      <c r="AC796" s="845">
        <v>0</v>
      </c>
      <c r="AD796" s="845">
        <v>5.5613486270420578E-3</v>
      </c>
      <c r="AE796" s="845">
        <v>0.13173444560305875</v>
      </c>
      <c r="AF796" s="845">
        <v>7.5078206465067784E-2</v>
      </c>
      <c r="AG796" s="845">
        <v>0.70524852276677097</v>
      </c>
      <c r="AH796" s="20" t="str">
        <f t="shared" si="75"/>
        <v>No</v>
      </c>
      <c r="AI796" s="25"/>
      <c r="AJ796" s="37">
        <v>44901</v>
      </c>
      <c r="AK796" s="37" t="s">
        <v>1521</v>
      </c>
      <c r="AL796" s="37">
        <v>39139</v>
      </c>
      <c r="AM796" s="37" t="s">
        <v>75</v>
      </c>
      <c r="AN796" s="37">
        <f t="shared" si="76"/>
        <v>31900</v>
      </c>
      <c r="AO796" s="37" t="str">
        <f t="shared" si="77"/>
        <v>Mansfield, OH</v>
      </c>
      <c r="AP796" s="37" t="s">
        <v>8</v>
      </c>
      <c r="AQ796" s="25"/>
      <c r="AR796" s="25"/>
      <c r="AS796" s="25"/>
      <c r="AT796" s="25"/>
      <c r="AU796" s="36"/>
      <c r="AV796" s="36"/>
      <c r="AW796" s="36"/>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39">
        <v>44676</v>
      </c>
      <c r="BV796" s="39" t="s">
        <v>1434</v>
      </c>
      <c r="BW796" s="39" t="s">
        <v>2914</v>
      </c>
      <c r="BX796" s="39" t="s">
        <v>2915</v>
      </c>
      <c r="BY796" s="71">
        <v>700</v>
      </c>
      <c r="BZ796" s="71">
        <v>770</v>
      </c>
      <c r="CA796" s="71">
        <v>990</v>
      </c>
      <c r="CB796" s="71">
        <v>1210</v>
      </c>
      <c r="CC796" s="71">
        <v>1380</v>
      </c>
      <c r="CD796" s="25"/>
      <c r="CE796" s="200"/>
      <c r="CF796" s="200"/>
      <c r="CG796" s="200"/>
      <c r="CH796" s="200"/>
      <c r="CI796" s="200"/>
      <c r="CJ796" s="200"/>
      <c r="CK796" s="200"/>
      <c r="CL796" s="200"/>
      <c r="CM796" s="200"/>
      <c r="CN796" s="200"/>
      <c r="CO796" s="200"/>
      <c r="CP796" s="200"/>
      <c r="CQ796" s="200"/>
      <c r="CR796" s="200"/>
      <c r="CS796" s="200"/>
      <c r="CT796" s="200"/>
      <c r="CU796" s="200"/>
    </row>
    <row r="797" spans="1:99" s="17" customFormat="1" x14ac:dyDescent="0.2">
      <c r="A797" s="25"/>
      <c r="B797" s="20">
        <v>39049005001</v>
      </c>
      <c r="C797" s="20">
        <v>50.01</v>
      </c>
      <c r="D797" s="20" t="s">
        <v>31</v>
      </c>
      <c r="E797" s="20" t="s">
        <v>2830</v>
      </c>
      <c r="F797" s="20" t="s">
        <v>8</v>
      </c>
      <c r="G797" s="861">
        <v>58.805051810659798</v>
      </c>
      <c r="H797" s="861">
        <v>61.6902842065209</v>
      </c>
      <c r="I797" s="861">
        <v>49.931963451681597</v>
      </c>
      <c r="J797" s="861">
        <v>69.462458455362395</v>
      </c>
      <c r="K797" s="982">
        <v>0</v>
      </c>
      <c r="L797" s="735" t="s">
        <v>2466</v>
      </c>
      <c r="M797" s="735">
        <v>1717</v>
      </c>
      <c r="N797" s="845" t="str">
        <f t="shared" si="73"/>
        <v/>
      </c>
      <c r="O797" s="735">
        <v>0.28023410501293772</v>
      </c>
      <c r="P797" s="735">
        <f t="shared" si="74"/>
        <v>6127.0201209832412</v>
      </c>
      <c r="Q797" s="849">
        <v>35.799999999999997</v>
      </c>
      <c r="R797" s="71">
        <v>47396</v>
      </c>
      <c r="S797" s="845">
        <v>0.38101604278074869</v>
      </c>
      <c r="T797" s="845">
        <v>6.2E-2</v>
      </c>
      <c r="U797" s="845">
        <v>0.151</v>
      </c>
      <c r="V797" s="845">
        <v>4.0999999999999995E-2</v>
      </c>
      <c r="W797" s="845">
        <v>0.61823802163833075</v>
      </c>
      <c r="X797" s="845">
        <v>0.51</v>
      </c>
      <c r="Y797" s="845">
        <v>0.69714618520675598</v>
      </c>
      <c r="Z797" s="845">
        <v>0.17821782178217821</v>
      </c>
      <c r="AA797" s="845">
        <v>0</v>
      </c>
      <c r="AB797" s="845">
        <v>3.9021549213744906E-2</v>
      </c>
      <c r="AC797" s="845">
        <v>0</v>
      </c>
      <c r="AD797" s="845">
        <v>0</v>
      </c>
      <c r="AE797" s="845">
        <v>8.5614443797320902E-2</v>
      </c>
      <c r="AF797" s="845">
        <v>2.6208503203261502E-2</v>
      </c>
      <c r="AG797" s="845">
        <v>0.69714618520675598</v>
      </c>
      <c r="AH797" s="20" t="str">
        <f t="shared" si="75"/>
        <v>No</v>
      </c>
      <c r="AI797" s="25"/>
      <c r="AJ797" s="37">
        <v>44902</v>
      </c>
      <c r="AK797" s="37" t="s">
        <v>1522</v>
      </c>
      <c r="AL797" s="37">
        <v>39139</v>
      </c>
      <c r="AM797" s="37" t="s">
        <v>75</v>
      </c>
      <c r="AN797" s="37">
        <f t="shared" si="76"/>
        <v>31900</v>
      </c>
      <c r="AO797" s="37" t="str">
        <f t="shared" si="77"/>
        <v>Mansfield, OH</v>
      </c>
      <c r="AP797" s="37" t="s">
        <v>8</v>
      </c>
      <c r="AQ797" s="25"/>
      <c r="AR797" s="25"/>
      <c r="AS797" s="25"/>
      <c r="AT797" s="25"/>
      <c r="AU797" s="36"/>
      <c r="AV797" s="36"/>
      <c r="AW797" s="36"/>
      <c r="AX797" s="25"/>
      <c r="AY797" s="25"/>
      <c r="AZ797" s="25"/>
      <c r="BA797" s="25"/>
      <c r="BB797" s="25"/>
      <c r="BC797" s="25"/>
      <c r="BD797" s="25"/>
      <c r="BE797" s="25"/>
      <c r="BF797" s="25"/>
      <c r="BG797" s="25"/>
      <c r="BH797" s="25"/>
      <c r="BI797" s="25"/>
      <c r="BJ797" s="25"/>
      <c r="BK797" s="25"/>
      <c r="BL797" s="25"/>
      <c r="BM797" s="25"/>
      <c r="BN797" s="25"/>
      <c r="BO797" s="25"/>
      <c r="BP797" s="25"/>
      <c r="BQ797" s="25"/>
      <c r="BR797" s="25"/>
      <c r="BS797" s="25"/>
      <c r="BT797" s="25"/>
      <c r="BU797" s="39">
        <v>44681</v>
      </c>
      <c r="BV797" s="39" t="s">
        <v>1438</v>
      </c>
      <c r="BW797" s="39" t="s">
        <v>2914</v>
      </c>
      <c r="BX797" s="39" t="s">
        <v>2915</v>
      </c>
      <c r="BY797" s="71">
        <v>780</v>
      </c>
      <c r="BZ797" s="71">
        <v>790</v>
      </c>
      <c r="CA797" s="71">
        <v>1030</v>
      </c>
      <c r="CB797" s="71">
        <v>1300</v>
      </c>
      <c r="CC797" s="71">
        <v>1440</v>
      </c>
      <c r="CD797" s="25"/>
      <c r="CE797" s="200"/>
      <c r="CF797" s="200"/>
      <c r="CG797" s="200"/>
      <c r="CH797" s="200"/>
      <c r="CI797" s="200"/>
      <c r="CJ797" s="200"/>
      <c r="CK797" s="200"/>
      <c r="CL797" s="200"/>
      <c r="CM797" s="200"/>
      <c r="CN797" s="200"/>
      <c r="CO797" s="200"/>
      <c r="CP797" s="200"/>
      <c r="CQ797" s="200"/>
      <c r="CR797" s="200"/>
      <c r="CS797" s="200"/>
      <c r="CT797" s="200"/>
      <c r="CU797" s="200"/>
    </row>
    <row r="798" spans="1:99" s="17" customFormat="1" x14ac:dyDescent="0.2">
      <c r="A798" s="25"/>
      <c r="B798" s="20">
        <v>39085200700</v>
      </c>
      <c r="C798" s="20">
        <v>2007</v>
      </c>
      <c r="D798" s="20" t="s">
        <v>48</v>
      </c>
      <c r="E798" s="20" t="s">
        <v>2829</v>
      </c>
      <c r="F798" s="20" t="s">
        <v>8</v>
      </c>
      <c r="G798" s="861">
        <v>58.804535549225598</v>
      </c>
      <c r="H798" s="861">
        <v>63.146130381000198</v>
      </c>
      <c r="I798" s="861">
        <v>21.562570933569901</v>
      </c>
      <c r="J798" s="861">
        <v>53.241965249927198</v>
      </c>
      <c r="K798" s="982">
        <v>0</v>
      </c>
      <c r="L798" s="735">
        <v>3904</v>
      </c>
      <c r="M798" s="735">
        <v>3825</v>
      </c>
      <c r="N798" s="845">
        <f t="shared" si="73"/>
        <v>-2.023565573770492E-2</v>
      </c>
      <c r="O798" s="735">
        <v>0.73174814690558565</v>
      </c>
      <c r="P798" s="735">
        <f t="shared" si="74"/>
        <v>5227.2083177458644</v>
      </c>
      <c r="Q798" s="849">
        <v>41.4</v>
      </c>
      <c r="R798" s="71">
        <v>69048</v>
      </c>
      <c r="S798" s="845">
        <v>8.1498951781970655E-2</v>
      </c>
      <c r="T798" s="845">
        <v>5.9000000000000004E-2</v>
      </c>
      <c r="U798" s="845">
        <v>0</v>
      </c>
      <c r="V798" s="845">
        <v>2.3E-2</v>
      </c>
      <c r="W798" s="845">
        <v>0.32611241217798592</v>
      </c>
      <c r="X798" s="845">
        <v>0.20466786355475763</v>
      </c>
      <c r="Y798" s="845">
        <v>0.8687581699346405</v>
      </c>
      <c r="Z798" s="845">
        <v>3.6601307189542485E-2</v>
      </c>
      <c r="AA798" s="845">
        <v>1.1503267973856209E-2</v>
      </c>
      <c r="AB798" s="845">
        <v>1.5686274509803921E-3</v>
      </c>
      <c r="AC798" s="845">
        <v>0</v>
      </c>
      <c r="AD798" s="845">
        <v>3.320261437908497E-2</v>
      </c>
      <c r="AE798" s="845">
        <v>4.8366013071895426E-2</v>
      </c>
      <c r="AF798" s="845">
        <v>3.8169934640522873E-2</v>
      </c>
      <c r="AG798" s="845">
        <v>0.8687581699346405</v>
      </c>
      <c r="AH798" s="20" t="str">
        <f t="shared" si="75"/>
        <v>No</v>
      </c>
      <c r="AI798" s="25"/>
      <c r="AJ798" s="37">
        <v>44903</v>
      </c>
      <c r="AK798" s="37" t="s">
        <v>1523</v>
      </c>
      <c r="AL798" s="37">
        <v>39139</v>
      </c>
      <c r="AM798" s="37" t="s">
        <v>75</v>
      </c>
      <c r="AN798" s="37">
        <f t="shared" si="76"/>
        <v>31900</v>
      </c>
      <c r="AO798" s="37" t="str">
        <f t="shared" si="77"/>
        <v>Mansfield, OH</v>
      </c>
      <c r="AP798" s="37" t="s">
        <v>8</v>
      </c>
      <c r="AQ798" s="25"/>
      <c r="AR798" s="25"/>
      <c r="AS798" s="25"/>
      <c r="AT798" s="25"/>
      <c r="AU798" s="36"/>
      <c r="AV798" s="36"/>
      <c r="AW798" s="36"/>
      <c r="AX798" s="25"/>
      <c r="AY798" s="25"/>
      <c r="AZ798" s="25"/>
      <c r="BA798" s="25"/>
      <c r="BB798" s="25"/>
      <c r="BC798" s="25"/>
      <c r="BD798" s="25"/>
      <c r="BE798" s="25"/>
      <c r="BF798" s="25"/>
      <c r="BG798" s="25"/>
      <c r="BH798" s="25"/>
      <c r="BI798" s="25"/>
      <c r="BJ798" s="25"/>
      <c r="BK798" s="25"/>
      <c r="BL798" s="25"/>
      <c r="BM798" s="25"/>
      <c r="BN798" s="25"/>
      <c r="BO798" s="25"/>
      <c r="BP798" s="25"/>
      <c r="BQ798" s="25"/>
      <c r="BR798" s="25"/>
      <c r="BS798" s="25"/>
      <c r="BT798" s="25"/>
      <c r="BU798" s="39">
        <v>44687</v>
      </c>
      <c r="BV798" s="39" t="s">
        <v>1442</v>
      </c>
      <c r="BW798" s="39" t="s">
        <v>2914</v>
      </c>
      <c r="BX798" s="39" t="s">
        <v>2915</v>
      </c>
      <c r="BY798" s="71">
        <v>1100</v>
      </c>
      <c r="BZ798" s="71">
        <v>1110</v>
      </c>
      <c r="CA798" s="71">
        <v>1460</v>
      </c>
      <c r="CB798" s="71">
        <v>1800</v>
      </c>
      <c r="CC798" s="71">
        <v>1930</v>
      </c>
      <c r="CD798" s="25"/>
      <c r="CE798" s="200"/>
      <c r="CF798" s="200"/>
      <c r="CG798" s="200"/>
      <c r="CH798" s="200"/>
      <c r="CI798" s="200"/>
      <c r="CJ798" s="200"/>
      <c r="CK798" s="200"/>
      <c r="CL798" s="200"/>
      <c r="CM798" s="200"/>
      <c r="CN798" s="200"/>
      <c r="CO798" s="200"/>
      <c r="CP798" s="200"/>
      <c r="CQ798" s="200"/>
      <c r="CR798" s="200"/>
      <c r="CS798" s="200"/>
      <c r="CT798" s="200"/>
      <c r="CU798" s="200"/>
    </row>
    <row r="799" spans="1:99" s="17" customFormat="1" x14ac:dyDescent="0.2">
      <c r="A799" s="25"/>
      <c r="B799" s="20">
        <v>39049008163</v>
      </c>
      <c r="C799" s="20">
        <v>81.63</v>
      </c>
      <c r="D799" s="20" t="s">
        <v>31</v>
      </c>
      <c r="E799" s="20" t="s">
        <v>2830</v>
      </c>
      <c r="F799" s="20" t="s">
        <v>6</v>
      </c>
      <c r="G799" s="861">
        <v>58.7935794296626</v>
      </c>
      <c r="H799" s="861">
        <v>50.538393034177098</v>
      </c>
      <c r="I799" s="861">
        <v>29.766607614866601</v>
      </c>
      <c r="J799" s="861">
        <v>56.462122280329801</v>
      </c>
      <c r="K799" s="982">
        <v>1</v>
      </c>
      <c r="L799" s="735">
        <v>3831</v>
      </c>
      <c r="M799" s="735">
        <v>3569</v>
      </c>
      <c r="N799" s="845">
        <f t="shared" si="73"/>
        <v>-6.8389454450535112E-2</v>
      </c>
      <c r="O799" s="735">
        <v>0.34863789393998418</v>
      </c>
      <c r="P799" s="735">
        <f t="shared" si="74"/>
        <v>10236.982445214004</v>
      </c>
      <c r="Q799" s="849">
        <v>35.1</v>
      </c>
      <c r="R799" s="71">
        <v>51489</v>
      </c>
      <c r="S799" s="845">
        <v>0.23268306474413344</v>
      </c>
      <c r="T799" s="845">
        <v>4.9000000000000002E-2</v>
      </c>
      <c r="U799" s="845">
        <v>0</v>
      </c>
      <c r="V799" s="845">
        <v>0</v>
      </c>
      <c r="W799" s="845">
        <v>0.73478260869565215</v>
      </c>
      <c r="X799" s="845">
        <v>0.27387996618765847</v>
      </c>
      <c r="Y799" s="845">
        <v>0.5091061922107033</v>
      </c>
      <c r="Z799" s="845">
        <v>0.21210423087699637</v>
      </c>
      <c r="AA799" s="845">
        <v>3.922667413841412E-3</v>
      </c>
      <c r="AB799" s="845">
        <v>2.4376576071728776E-2</v>
      </c>
      <c r="AC799" s="845">
        <v>0</v>
      </c>
      <c r="AD799" s="845">
        <v>0.15830764920145698</v>
      </c>
      <c r="AE799" s="845">
        <v>9.218268422527319E-2</v>
      </c>
      <c r="AF799" s="845">
        <v>0.26057719249089378</v>
      </c>
      <c r="AG799" s="845">
        <v>0.47632390025217147</v>
      </c>
      <c r="AH799" s="20" t="str">
        <f t="shared" si="75"/>
        <v>No</v>
      </c>
      <c r="AI799" s="25"/>
      <c r="AJ799" s="37">
        <v>44904</v>
      </c>
      <c r="AK799" s="37" t="s">
        <v>1524</v>
      </c>
      <c r="AL799" s="37">
        <v>39139</v>
      </c>
      <c r="AM799" s="37" t="s">
        <v>75</v>
      </c>
      <c r="AN799" s="37">
        <f t="shared" si="76"/>
        <v>31900</v>
      </c>
      <c r="AO799" s="37" t="str">
        <f t="shared" si="77"/>
        <v>Mansfield, OH</v>
      </c>
      <c r="AP799" s="37" t="s">
        <v>8</v>
      </c>
      <c r="AQ799" s="25"/>
      <c r="AR799" s="25"/>
      <c r="AS799" s="25"/>
      <c r="AT799" s="25"/>
      <c r="AU799" s="36"/>
      <c r="AV799" s="36"/>
      <c r="AW799" s="36"/>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39">
        <v>44690</v>
      </c>
      <c r="BV799" s="39" t="s">
        <v>1445</v>
      </c>
      <c r="BW799" s="39" t="s">
        <v>2914</v>
      </c>
      <c r="BX799" s="39" t="s">
        <v>2915</v>
      </c>
      <c r="BY799" s="71">
        <v>740</v>
      </c>
      <c r="BZ799" s="71">
        <v>740</v>
      </c>
      <c r="CA799" s="71">
        <v>970</v>
      </c>
      <c r="CB799" s="71">
        <v>1200</v>
      </c>
      <c r="CC799" s="71">
        <v>1290</v>
      </c>
      <c r="CD799" s="25"/>
      <c r="CE799" s="200"/>
      <c r="CF799" s="200"/>
      <c r="CG799" s="200"/>
      <c r="CH799" s="200"/>
      <c r="CI799" s="200"/>
      <c r="CJ799" s="200"/>
      <c r="CK799" s="200"/>
      <c r="CL799" s="200"/>
      <c r="CM799" s="200"/>
      <c r="CN799" s="200"/>
      <c r="CO799" s="200"/>
      <c r="CP799" s="200"/>
      <c r="CQ799" s="200"/>
      <c r="CR799" s="200"/>
      <c r="CS799" s="200"/>
      <c r="CT799" s="200"/>
      <c r="CU799" s="200"/>
    </row>
    <row r="800" spans="1:99" s="17" customFormat="1" x14ac:dyDescent="0.2">
      <c r="A800" s="25"/>
      <c r="B800" s="20">
        <v>39017011118</v>
      </c>
      <c r="C800" s="20">
        <v>111.18</v>
      </c>
      <c r="D800" s="20" t="s">
        <v>15</v>
      </c>
      <c r="E800" s="20" t="s">
        <v>2828</v>
      </c>
      <c r="F800" s="20" t="s">
        <v>8</v>
      </c>
      <c r="G800" s="861">
        <v>58.774035779861599</v>
      </c>
      <c r="H800" s="861">
        <v>55.669543105527701</v>
      </c>
      <c r="I800" s="861">
        <v>25.2509490758735</v>
      </c>
      <c r="J800" s="861">
        <v>34.155761077374997</v>
      </c>
      <c r="K800" s="982">
        <v>0</v>
      </c>
      <c r="L800" s="735">
        <v>3197</v>
      </c>
      <c r="M800" s="735">
        <v>3462</v>
      </c>
      <c r="N800" s="845">
        <f t="shared" si="73"/>
        <v>8.289020957147325E-2</v>
      </c>
      <c r="O800" s="735">
        <v>2.9608958320661944</v>
      </c>
      <c r="P800" s="735">
        <f t="shared" si="74"/>
        <v>1169.2407286021005</v>
      </c>
      <c r="Q800" s="849">
        <v>48.2</v>
      </c>
      <c r="R800" s="71">
        <v>132708</v>
      </c>
      <c r="S800" s="845">
        <v>6.0042029420594417E-2</v>
      </c>
      <c r="T800" s="845">
        <v>4.2000000000000003E-2</v>
      </c>
      <c r="U800" s="845">
        <v>0</v>
      </c>
      <c r="V800" s="845">
        <v>0</v>
      </c>
      <c r="W800" s="845">
        <v>0.24086502609992544</v>
      </c>
      <c r="X800" s="845">
        <v>0.29721362229102166</v>
      </c>
      <c r="Y800" s="845">
        <v>0.85066435586366262</v>
      </c>
      <c r="Z800" s="845">
        <v>3.1195840554592721E-2</v>
      </c>
      <c r="AA800" s="845">
        <v>0</v>
      </c>
      <c r="AB800" s="845">
        <v>8.8677065280184861E-2</v>
      </c>
      <c r="AC800" s="845">
        <v>0</v>
      </c>
      <c r="AD800" s="845">
        <v>0</v>
      </c>
      <c r="AE800" s="845">
        <v>2.9462738301559793E-2</v>
      </c>
      <c r="AF800" s="845">
        <v>1.5020219526285385E-2</v>
      </c>
      <c r="AG800" s="845">
        <v>0.85066435586366262</v>
      </c>
      <c r="AH800" s="20" t="str">
        <f t="shared" si="75"/>
        <v>No</v>
      </c>
      <c r="AI800" s="25"/>
      <c r="AJ800" s="37">
        <v>44905</v>
      </c>
      <c r="AK800" s="37" t="s">
        <v>1525</v>
      </c>
      <c r="AL800" s="37">
        <v>39139</v>
      </c>
      <c r="AM800" s="37" t="s">
        <v>75</v>
      </c>
      <c r="AN800" s="37">
        <f t="shared" si="76"/>
        <v>31900</v>
      </c>
      <c r="AO800" s="37" t="str">
        <f t="shared" si="77"/>
        <v>Mansfield, OH</v>
      </c>
      <c r="AP800" s="37" t="s">
        <v>8</v>
      </c>
      <c r="AQ800" s="25"/>
      <c r="AR800" s="25"/>
      <c r="AS800" s="25"/>
      <c r="AT800" s="25"/>
      <c r="AU800" s="36"/>
      <c r="AV800" s="36"/>
      <c r="AW800" s="36"/>
      <c r="AX800" s="25"/>
      <c r="AY800" s="25"/>
      <c r="AZ800" s="25"/>
      <c r="BA800" s="25"/>
      <c r="BB800" s="25"/>
      <c r="BC800" s="25"/>
      <c r="BD800" s="25"/>
      <c r="BE800" s="25"/>
      <c r="BF800" s="25"/>
      <c r="BG800" s="25"/>
      <c r="BH800" s="25"/>
      <c r="BI800" s="25"/>
      <c r="BJ800" s="25"/>
      <c r="BK800" s="25"/>
      <c r="BL800" s="25"/>
      <c r="BM800" s="25"/>
      <c r="BN800" s="25"/>
      <c r="BO800" s="25"/>
      <c r="BP800" s="25"/>
      <c r="BQ800" s="25"/>
      <c r="BR800" s="25"/>
      <c r="BS800" s="25"/>
      <c r="BT800" s="25"/>
      <c r="BU800" s="39">
        <v>45619</v>
      </c>
      <c r="BV800" s="39" t="s">
        <v>1775</v>
      </c>
      <c r="BW800" s="39" t="s">
        <v>2877</v>
      </c>
      <c r="BX800" s="39" t="s">
        <v>305</v>
      </c>
      <c r="BY800" s="71">
        <v>850</v>
      </c>
      <c r="BZ800" s="71">
        <v>850</v>
      </c>
      <c r="CA800" s="71">
        <v>970</v>
      </c>
      <c r="CB800" s="71">
        <v>1250</v>
      </c>
      <c r="CC800" s="71">
        <v>1410</v>
      </c>
      <c r="CD800" s="25"/>
      <c r="CE800" s="200"/>
      <c r="CF800" s="200"/>
      <c r="CG800" s="200"/>
      <c r="CH800" s="200"/>
      <c r="CI800" s="200"/>
      <c r="CJ800" s="200"/>
      <c r="CK800" s="200"/>
      <c r="CL800" s="200"/>
      <c r="CM800" s="200"/>
      <c r="CN800" s="200"/>
      <c r="CO800" s="200"/>
      <c r="CP800" s="200"/>
      <c r="CQ800" s="200"/>
      <c r="CR800" s="200"/>
      <c r="CS800" s="200"/>
      <c r="CT800" s="200"/>
      <c r="CU800" s="200"/>
    </row>
    <row r="801" spans="1:99" s="17" customFormat="1" x14ac:dyDescent="0.2">
      <c r="A801" s="25"/>
      <c r="B801" s="20">
        <v>39035160500</v>
      </c>
      <c r="C801" s="20">
        <v>1605</v>
      </c>
      <c r="D801" s="20" t="s">
        <v>24</v>
      </c>
      <c r="E801" s="20" t="s">
        <v>2829</v>
      </c>
      <c r="F801" s="20" t="s">
        <v>8</v>
      </c>
      <c r="G801" s="861">
        <v>58.736446485494298</v>
      </c>
      <c r="H801" s="861">
        <v>41.671347344904703</v>
      </c>
      <c r="I801" s="861">
        <v>31.587979051184998</v>
      </c>
      <c r="J801" s="861">
        <v>40.809483962190598</v>
      </c>
      <c r="K801" s="982">
        <v>0</v>
      </c>
      <c r="L801" s="735">
        <v>3519</v>
      </c>
      <c r="M801" s="735">
        <v>3923</v>
      </c>
      <c r="N801" s="845">
        <f t="shared" si="73"/>
        <v>0.1148053424268258</v>
      </c>
      <c r="O801" s="735">
        <v>0.46876006701050071</v>
      </c>
      <c r="P801" s="735">
        <f t="shared" si="74"/>
        <v>8368.8869340316924</v>
      </c>
      <c r="Q801" s="849">
        <v>49.7</v>
      </c>
      <c r="R801" s="71">
        <v>48300</v>
      </c>
      <c r="S801" s="845">
        <v>7.4642668078348337E-2</v>
      </c>
      <c r="T801" s="845">
        <v>4.7E-2</v>
      </c>
      <c r="U801" s="845">
        <v>0</v>
      </c>
      <c r="V801" s="845">
        <v>6.9000000000000006E-2</v>
      </c>
      <c r="W801" s="845">
        <v>0.67844036697247712</v>
      </c>
      <c r="X801" s="845">
        <v>0.30561189993238674</v>
      </c>
      <c r="Y801" s="845">
        <v>0.90160591384144784</v>
      </c>
      <c r="Z801" s="845">
        <v>4.9961763956156001E-2</v>
      </c>
      <c r="AA801" s="845">
        <v>0</v>
      </c>
      <c r="AB801" s="845">
        <v>1.911802192199847E-2</v>
      </c>
      <c r="AC801" s="845">
        <v>0</v>
      </c>
      <c r="AD801" s="845">
        <v>0</v>
      </c>
      <c r="AE801" s="845">
        <v>2.9314300280397654E-2</v>
      </c>
      <c r="AF801" s="845">
        <v>3.2373183787917412E-2</v>
      </c>
      <c r="AG801" s="845">
        <v>0.87815447361712973</v>
      </c>
      <c r="AH801" s="20" t="str">
        <f t="shared" si="75"/>
        <v>No</v>
      </c>
      <c r="AI801" s="25"/>
      <c r="AJ801" s="37">
        <v>44906</v>
      </c>
      <c r="AK801" s="37" t="s">
        <v>1526</v>
      </c>
      <c r="AL801" s="37">
        <v>39139</v>
      </c>
      <c r="AM801" s="37" t="s">
        <v>75</v>
      </c>
      <c r="AN801" s="37">
        <f t="shared" si="76"/>
        <v>31900</v>
      </c>
      <c r="AO801" s="37" t="str">
        <f t="shared" si="77"/>
        <v>Mansfield, OH</v>
      </c>
      <c r="AP801" s="37" t="s">
        <v>8</v>
      </c>
      <c r="AQ801" s="25"/>
      <c r="AR801" s="25"/>
      <c r="AS801" s="25"/>
      <c r="AT801" s="25"/>
      <c r="AU801" s="36"/>
      <c r="AV801" s="36"/>
      <c r="AW801" s="36"/>
      <c r="AX801" s="25"/>
      <c r="AY801" s="25"/>
      <c r="AZ801" s="25"/>
      <c r="BA801" s="25"/>
      <c r="BB801" s="25"/>
      <c r="BC801" s="25"/>
      <c r="BD801" s="25"/>
      <c r="BE801" s="25"/>
      <c r="BF801" s="25"/>
      <c r="BG801" s="25"/>
      <c r="BH801" s="25"/>
      <c r="BI801" s="25"/>
      <c r="BJ801" s="25"/>
      <c r="BK801" s="25"/>
      <c r="BL801" s="25"/>
      <c r="BM801" s="25"/>
      <c r="BN801" s="25"/>
      <c r="BO801" s="25"/>
      <c r="BP801" s="25"/>
      <c r="BQ801" s="25"/>
      <c r="BR801" s="25"/>
      <c r="BS801" s="25"/>
      <c r="BT801" s="25"/>
      <c r="BU801" s="39">
        <v>45623</v>
      </c>
      <c r="BV801" s="39" t="s">
        <v>1779</v>
      </c>
      <c r="BW801" s="39" t="s">
        <v>2877</v>
      </c>
      <c r="BX801" s="39" t="s">
        <v>305</v>
      </c>
      <c r="BY801" s="71">
        <v>850</v>
      </c>
      <c r="BZ801" s="71">
        <v>980</v>
      </c>
      <c r="CA801" s="71">
        <v>1100</v>
      </c>
      <c r="CB801" s="71">
        <v>1400</v>
      </c>
      <c r="CC801" s="71">
        <v>1790</v>
      </c>
      <c r="CD801" s="25"/>
      <c r="CE801" s="200"/>
      <c r="CF801" s="200"/>
      <c r="CG801" s="200"/>
      <c r="CH801" s="200"/>
      <c r="CI801" s="200"/>
      <c r="CJ801" s="200"/>
      <c r="CK801" s="200"/>
      <c r="CL801" s="200"/>
      <c r="CM801" s="200"/>
      <c r="CN801" s="200"/>
      <c r="CO801" s="200"/>
      <c r="CP801" s="200"/>
      <c r="CQ801" s="200"/>
      <c r="CR801" s="200"/>
      <c r="CS801" s="200"/>
      <c r="CT801" s="200"/>
      <c r="CU801" s="200"/>
    </row>
    <row r="802" spans="1:99" s="17" customFormat="1" x14ac:dyDescent="0.2">
      <c r="A802" s="25"/>
      <c r="B802" s="20">
        <v>39049009391</v>
      </c>
      <c r="C802" s="20">
        <v>93.91</v>
      </c>
      <c r="D802" s="20" t="s">
        <v>31</v>
      </c>
      <c r="E802" s="20" t="s">
        <v>2830</v>
      </c>
      <c r="F802" s="20" t="s">
        <v>8</v>
      </c>
      <c r="G802" s="861">
        <v>58.735800072204903</v>
      </c>
      <c r="H802" s="861">
        <v>68.128741374076398</v>
      </c>
      <c r="I802" s="861">
        <v>43.260364683538398</v>
      </c>
      <c r="J802" s="861">
        <v>48.603411217713102</v>
      </c>
      <c r="K802" s="982">
        <v>0</v>
      </c>
      <c r="L802" s="735" t="s">
        <v>2466</v>
      </c>
      <c r="M802" s="735">
        <v>5059</v>
      </c>
      <c r="N802" s="845" t="str">
        <f t="shared" si="73"/>
        <v/>
      </c>
      <c r="O802" s="735">
        <v>1.0188077658781223</v>
      </c>
      <c r="P802" s="735">
        <f t="shared" si="74"/>
        <v>4965.6080071588276</v>
      </c>
      <c r="Q802" s="849">
        <v>33.200000000000003</v>
      </c>
      <c r="R802" s="71">
        <v>63306</v>
      </c>
      <c r="S802" s="845">
        <v>6.3451274955524814E-2</v>
      </c>
      <c r="T802" s="845">
        <v>5.2999999999999999E-2</v>
      </c>
      <c r="U802" s="845">
        <v>0</v>
      </c>
      <c r="V802" s="845">
        <v>0</v>
      </c>
      <c r="W802" s="845">
        <v>0.54817888427846939</v>
      </c>
      <c r="X802" s="845">
        <v>0.47603027754415478</v>
      </c>
      <c r="Y802" s="845">
        <v>0.33899980233247679</v>
      </c>
      <c r="Z802" s="845">
        <v>0.44218224945641432</v>
      </c>
      <c r="AA802" s="845">
        <v>7.9067009290373596E-4</v>
      </c>
      <c r="AB802" s="845">
        <v>1.7790077090334058E-2</v>
      </c>
      <c r="AC802" s="845">
        <v>0</v>
      </c>
      <c r="AD802" s="845">
        <v>4.9416880806483494E-2</v>
      </c>
      <c r="AE802" s="845">
        <v>0.15082032022138764</v>
      </c>
      <c r="AF802" s="845">
        <v>9.8636094089741055E-2</v>
      </c>
      <c r="AG802" s="845">
        <v>0.32476774066020953</v>
      </c>
      <c r="AH802" s="20" t="str">
        <f t="shared" si="75"/>
        <v>No</v>
      </c>
      <c r="AI802" s="25"/>
      <c r="AJ802" s="37">
        <v>44907</v>
      </c>
      <c r="AK802" s="37" t="s">
        <v>1527</v>
      </c>
      <c r="AL802" s="37">
        <v>39139</v>
      </c>
      <c r="AM802" s="37" t="s">
        <v>75</v>
      </c>
      <c r="AN802" s="37">
        <f t="shared" si="76"/>
        <v>31900</v>
      </c>
      <c r="AO802" s="37" t="str">
        <f t="shared" si="77"/>
        <v>Mansfield, OH</v>
      </c>
      <c r="AP802" s="37" t="s">
        <v>8</v>
      </c>
      <c r="AQ802" s="25"/>
      <c r="AR802" s="25"/>
      <c r="AS802" s="25"/>
      <c r="AT802" s="25"/>
      <c r="AU802" s="36"/>
      <c r="AV802" s="36"/>
      <c r="AW802" s="36"/>
      <c r="AX802" s="25"/>
      <c r="AY802" s="25"/>
      <c r="AZ802" s="25"/>
      <c r="BA802" s="25"/>
      <c r="BB802" s="25"/>
      <c r="BC802" s="25"/>
      <c r="BD802" s="25"/>
      <c r="BE802" s="25"/>
      <c r="BF802" s="25"/>
      <c r="BG802" s="25"/>
      <c r="BH802" s="25"/>
      <c r="BI802" s="25"/>
      <c r="BJ802" s="25"/>
      <c r="BK802" s="25"/>
      <c r="BL802" s="25"/>
      <c r="BM802" s="25"/>
      <c r="BN802" s="25"/>
      <c r="BO802" s="25"/>
      <c r="BP802" s="25"/>
      <c r="BQ802" s="25"/>
      <c r="BR802" s="25"/>
      <c r="BS802" s="25"/>
      <c r="BT802" s="25"/>
      <c r="BU802" s="39">
        <v>45629</v>
      </c>
      <c r="BV802" s="39" t="s">
        <v>1782</v>
      </c>
      <c r="BW802" s="39" t="s">
        <v>2877</v>
      </c>
      <c r="BX802" s="39" t="s">
        <v>305</v>
      </c>
      <c r="BY802" s="71">
        <v>760</v>
      </c>
      <c r="BZ802" s="71">
        <v>830</v>
      </c>
      <c r="CA802" s="71">
        <v>1000</v>
      </c>
      <c r="CB802" s="71">
        <v>1360</v>
      </c>
      <c r="CC802" s="71">
        <v>1510</v>
      </c>
      <c r="CD802" s="25"/>
      <c r="CE802" s="200"/>
      <c r="CF802" s="200"/>
      <c r="CG802" s="200"/>
      <c r="CH802" s="200"/>
      <c r="CI802" s="200"/>
      <c r="CJ802" s="200"/>
      <c r="CK802" s="200"/>
      <c r="CL802" s="200"/>
      <c r="CM802" s="200"/>
      <c r="CN802" s="200"/>
      <c r="CO802" s="200"/>
      <c r="CP802" s="200"/>
      <c r="CQ802" s="200"/>
      <c r="CR802" s="200"/>
      <c r="CS802" s="200"/>
      <c r="CT802" s="200"/>
      <c r="CU802" s="200"/>
    </row>
    <row r="803" spans="1:99" s="17" customFormat="1" x14ac:dyDescent="0.2">
      <c r="A803" s="25"/>
      <c r="B803" s="20">
        <v>39085200800</v>
      </c>
      <c r="C803" s="20">
        <v>2008</v>
      </c>
      <c r="D803" s="20" t="s">
        <v>48</v>
      </c>
      <c r="E803" s="20" t="s">
        <v>2829</v>
      </c>
      <c r="F803" s="20" t="s">
        <v>8</v>
      </c>
      <c r="G803" s="861">
        <v>58.728553827397199</v>
      </c>
      <c r="H803" s="861">
        <v>68.343841731503105</v>
      </c>
      <c r="I803" s="861">
        <v>30.097569514628301</v>
      </c>
      <c r="J803" s="861">
        <v>47.708502228623402</v>
      </c>
      <c r="K803" s="982">
        <v>0</v>
      </c>
      <c r="L803" s="735">
        <v>3601</v>
      </c>
      <c r="M803" s="735">
        <v>3503</v>
      </c>
      <c r="N803" s="845">
        <f t="shared" si="73"/>
        <v>-2.7214662593723966E-2</v>
      </c>
      <c r="O803" s="735">
        <v>1.567187503420624</v>
      </c>
      <c r="P803" s="735">
        <f t="shared" si="74"/>
        <v>2235.2143520505188</v>
      </c>
      <c r="Q803" s="849">
        <v>49.5</v>
      </c>
      <c r="R803" s="71">
        <v>80347</v>
      </c>
      <c r="S803" s="845">
        <v>7.6562041654444121E-2</v>
      </c>
      <c r="T803" s="845">
        <v>2.3E-2</v>
      </c>
      <c r="U803" s="845">
        <v>0</v>
      </c>
      <c r="V803" s="845">
        <v>0</v>
      </c>
      <c r="W803" s="845">
        <v>0.1723896285914506</v>
      </c>
      <c r="X803" s="845">
        <v>0.53252032520325199</v>
      </c>
      <c r="Y803" s="845">
        <v>0.85127033970882104</v>
      </c>
      <c r="Z803" s="845">
        <v>3.9680274050813591E-2</v>
      </c>
      <c r="AA803" s="845">
        <v>0</v>
      </c>
      <c r="AB803" s="845">
        <v>1.5415358264344847E-2</v>
      </c>
      <c r="AC803" s="845">
        <v>0</v>
      </c>
      <c r="AD803" s="845">
        <v>3.2258064516129031E-2</v>
      </c>
      <c r="AE803" s="845">
        <v>6.1375963459891519E-2</v>
      </c>
      <c r="AF803" s="845">
        <v>2.9974307736226093E-2</v>
      </c>
      <c r="AG803" s="845">
        <v>0.82643448472737657</v>
      </c>
      <c r="AH803" s="20" t="str">
        <f t="shared" si="75"/>
        <v>No</v>
      </c>
      <c r="AI803" s="25"/>
      <c r="AJ803" s="20">
        <v>45101</v>
      </c>
      <c r="AK803" s="20" t="s">
        <v>1561</v>
      </c>
      <c r="AL803" s="20">
        <v>39001</v>
      </c>
      <c r="AM803" s="20" t="s">
        <v>5</v>
      </c>
      <c r="AN803" s="37" t="str">
        <f t="shared" si="76"/>
        <v>N/A</v>
      </c>
      <c r="AO803" s="37" t="str">
        <f t="shared" si="77"/>
        <v>N/A</v>
      </c>
      <c r="AP803" s="20" t="s">
        <v>8</v>
      </c>
      <c r="AQ803" s="25"/>
      <c r="AR803" s="25"/>
      <c r="AS803" s="25"/>
      <c r="AT803" s="25"/>
      <c r="AU803" s="36"/>
      <c r="AV803" s="36"/>
      <c r="AW803" s="36"/>
      <c r="AX803" s="25"/>
      <c r="AY803" s="25"/>
      <c r="AZ803" s="25"/>
      <c r="BA803" s="25"/>
      <c r="BB803" s="25"/>
      <c r="BC803" s="25"/>
      <c r="BD803" s="25"/>
      <c r="BE803" s="25"/>
      <c r="BF803" s="25"/>
      <c r="BG803" s="25"/>
      <c r="BH803" s="25"/>
      <c r="BI803" s="25"/>
      <c r="BJ803" s="25"/>
      <c r="BK803" s="25"/>
      <c r="BL803" s="25"/>
      <c r="BM803" s="25"/>
      <c r="BN803" s="25"/>
      <c r="BO803" s="25"/>
      <c r="BP803" s="25"/>
      <c r="BQ803" s="25"/>
      <c r="BR803" s="25"/>
      <c r="BS803" s="25"/>
      <c r="BT803" s="25"/>
      <c r="BU803" s="39">
        <v>45638</v>
      </c>
      <c r="BV803" s="39" t="s">
        <v>1787</v>
      </c>
      <c r="BW803" s="39" t="s">
        <v>2877</v>
      </c>
      <c r="BX803" s="39" t="s">
        <v>305</v>
      </c>
      <c r="BY803" s="71">
        <v>840</v>
      </c>
      <c r="BZ803" s="71">
        <v>850</v>
      </c>
      <c r="CA803" s="71">
        <v>970</v>
      </c>
      <c r="CB803" s="71">
        <v>1250</v>
      </c>
      <c r="CC803" s="71">
        <v>1410</v>
      </c>
      <c r="CD803" s="25"/>
      <c r="CE803" s="200"/>
      <c r="CF803" s="200"/>
      <c r="CG803" s="200"/>
      <c r="CH803" s="200"/>
      <c r="CI803" s="200"/>
      <c r="CJ803" s="200"/>
      <c r="CK803" s="200"/>
      <c r="CL803" s="200"/>
      <c r="CM803" s="200"/>
      <c r="CN803" s="200"/>
      <c r="CO803" s="200"/>
      <c r="CP803" s="200"/>
      <c r="CQ803" s="200"/>
      <c r="CR803" s="200"/>
      <c r="CS803" s="200"/>
      <c r="CT803" s="200"/>
      <c r="CU803" s="200"/>
    </row>
    <row r="804" spans="1:99" s="17" customFormat="1" x14ac:dyDescent="0.2">
      <c r="A804" s="25"/>
      <c r="B804" s="20">
        <v>39151711323</v>
      </c>
      <c r="C804" s="20">
        <v>7113.23</v>
      </c>
      <c r="D804" s="20" t="s">
        <v>81</v>
      </c>
      <c r="E804" s="20" t="s">
        <v>2844</v>
      </c>
      <c r="F804" s="20" t="s">
        <v>8</v>
      </c>
      <c r="G804" s="861">
        <v>58.727238484967103</v>
      </c>
      <c r="H804" s="861">
        <v>62.419905497874801</v>
      </c>
      <c r="I804" s="861">
        <v>14.0699156627115</v>
      </c>
      <c r="J804" s="861">
        <v>51.064573834373199</v>
      </c>
      <c r="K804" s="982">
        <v>0</v>
      </c>
      <c r="L804" s="735" t="s">
        <v>2466</v>
      </c>
      <c r="M804" s="735">
        <v>4469</v>
      </c>
      <c r="N804" s="845" t="str">
        <f t="shared" si="73"/>
        <v/>
      </c>
      <c r="O804" s="735">
        <v>4.122640933668225</v>
      </c>
      <c r="P804" s="735">
        <f t="shared" si="74"/>
        <v>1084.0138813698707</v>
      </c>
      <c r="Q804" s="849">
        <v>40.9</v>
      </c>
      <c r="R804" s="71">
        <v>126189</v>
      </c>
      <c r="S804" s="845">
        <v>1.0447422212128094E-2</v>
      </c>
      <c r="T804" s="845">
        <v>3.7000000000000005E-2</v>
      </c>
      <c r="U804" s="845">
        <v>0</v>
      </c>
      <c r="V804" s="845">
        <v>0.34700000000000003</v>
      </c>
      <c r="W804" s="845">
        <v>2.1490933512424447E-2</v>
      </c>
      <c r="X804" s="845">
        <v>0.5</v>
      </c>
      <c r="Y804" s="845">
        <v>0.91295591855001124</v>
      </c>
      <c r="Z804" s="845">
        <v>2.2376370552696354E-3</v>
      </c>
      <c r="AA804" s="845">
        <v>1.7901096442157081E-3</v>
      </c>
      <c r="AB804" s="845">
        <v>2.1928843141642427E-2</v>
      </c>
      <c r="AC804" s="845">
        <v>0</v>
      </c>
      <c r="AD804" s="845">
        <v>7.1604385768628325E-3</v>
      </c>
      <c r="AE804" s="845">
        <v>5.3927053031998212E-2</v>
      </c>
      <c r="AF804" s="845">
        <v>4.8556724099351085E-2</v>
      </c>
      <c r="AG804" s="845">
        <v>0.89729245916312372</v>
      </c>
      <c r="AH804" s="20" t="str">
        <f t="shared" si="75"/>
        <v>No</v>
      </c>
      <c r="AI804" s="25"/>
      <c r="AJ804" s="20">
        <v>45105</v>
      </c>
      <c r="AK804" s="20" t="s">
        <v>1564</v>
      </c>
      <c r="AL804" s="20">
        <v>39001</v>
      </c>
      <c r="AM804" s="20" t="s">
        <v>5</v>
      </c>
      <c r="AN804" s="37" t="str">
        <f t="shared" si="76"/>
        <v>N/A</v>
      </c>
      <c r="AO804" s="37" t="str">
        <f t="shared" si="77"/>
        <v>N/A</v>
      </c>
      <c r="AP804" s="20" t="s">
        <v>8</v>
      </c>
      <c r="AQ804" s="25"/>
      <c r="AR804" s="25"/>
      <c r="AS804" s="25"/>
      <c r="AT804" s="25"/>
      <c r="AU804" s="36"/>
      <c r="AV804" s="36"/>
      <c r="AW804" s="36"/>
      <c r="AX804" s="25"/>
      <c r="AY804" s="25"/>
      <c r="AZ804" s="25"/>
      <c r="BA804" s="25"/>
      <c r="BB804" s="25"/>
      <c r="BC804" s="25"/>
      <c r="BD804" s="25"/>
      <c r="BE804" s="25"/>
      <c r="BF804" s="25"/>
      <c r="BG804" s="25"/>
      <c r="BH804" s="25"/>
      <c r="BI804" s="25"/>
      <c r="BJ804" s="25"/>
      <c r="BK804" s="25"/>
      <c r="BL804" s="25"/>
      <c r="BM804" s="25"/>
      <c r="BN804" s="25"/>
      <c r="BO804" s="25"/>
      <c r="BP804" s="25"/>
      <c r="BQ804" s="25"/>
      <c r="BR804" s="25"/>
      <c r="BS804" s="25"/>
      <c r="BT804" s="25"/>
      <c r="BU804" s="39">
        <v>45645</v>
      </c>
      <c r="BV804" s="39" t="s">
        <v>1791</v>
      </c>
      <c r="BW804" s="39" t="s">
        <v>2877</v>
      </c>
      <c r="BX804" s="39" t="s">
        <v>305</v>
      </c>
      <c r="BY804" s="71">
        <v>900</v>
      </c>
      <c r="BZ804" s="71">
        <v>900</v>
      </c>
      <c r="CA804" s="71">
        <v>1030</v>
      </c>
      <c r="CB804" s="71">
        <v>1320</v>
      </c>
      <c r="CC804" s="71">
        <v>1490</v>
      </c>
      <c r="CD804" s="25"/>
      <c r="CE804" s="200"/>
      <c r="CF804" s="200"/>
      <c r="CG804" s="200"/>
      <c r="CH804" s="200"/>
      <c r="CI804" s="200"/>
      <c r="CJ804" s="200"/>
      <c r="CK804" s="200"/>
      <c r="CL804" s="200"/>
      <c r="CM804" s="200"/>
      <c r="CN804" s="200"/>
      <c r="CO804" s="200"/>
      <c r="CP804" s="200"/>
      <c r="CQ804" s="200"/>
      <c r="CR804" s="200"/>
      <c r="CS804" s="200"/>
      <c r="CT804" s="200"/>
      <c r="CU804" s="200"/>
    </row>
    <row r="805" spans="1:99" s="17" customFormat="1" x14ac:dyDescent="0.2">
      <c r="A805" s="25"/>
      <c r="B805" s="20">
        <v>39035101201</v>
      </c>
      <c r="C805" s="20">
        <v>1012.01</v>
      </c>
      <c r="D805" s="20" t="s">
        <v>24</v>
      </c>
      <c r="E805" s="20" t="s">
        <v>2829</v>
      </c>
      <c r="F805" s="20" t="s">
        <v>6</v>
      </c>
      <c r="G805" s="861">
        <v>58.682721896223299</v>
      </c>
      <c r="H805" s="861">
        <v>43.818276876162599</v>
      </c>
      <c r="I805" s="861">
        <v>44.989258987842703</v>
      </c>
      <c r="J805" s="861">
        <v>60.330824534239603</v>
      </c>
      <c r="K805" s="982">
        <v>0</v>
      </c>
      <c r="L805" s="735" t="s">
        <v>2466</v>
      </c>
      <c r="M805" s="735">
        <v>2717</v>
      </c>
      <c r="N805" s="845" t="str">
        <f t="shared" si="73"/>
        <v/>
      </c>
      <c r="O805" s="735">
        <v>0.2636251484567626</v>
      </c>
      <c r="P805" s="735">
        <f t="shared" si="74"/>
        <v>10306.300502456113</v>
      </c>
      <c r="Q805" s="849">
        <v>41.2</v>
      </c>
      <c r="R805" s="71">
        <v>45302</v>
      </c>
      <c r="S805" s="845">
        <v>0.18729220539342445</v>
      </c>
      <c r="T805" s="845">
        <v>4.9000000000000002E-2</v>
      </c>
      <c r="U805" s="845">
        <v>0</v>
      </c>
      <c r="V805" s="845">
        <v>4.7E-2</v>
      </c>
      <c r="W805" s="845">
        <v>0.73973429951690817</v>
      </c>
      <c r="X805" s="845">
        <v>0.43836734693877549</v>
      </c>
      <c r="Y805" s="845">
        <v>0.72616856827383147</v>
      </c>
      <c r="Z805" s="845">
        <v>7.6555023923444973E-2</v>
      </c>
      <c r="AA805" s="845">
        <v>7.3610599926389399E-4</v>
      </c>
      <c r="AB805" s="845">
        <v>3.3124769966875228E-3</v>
      </c>
      <c r="AC805" s="845">
        <v>0</v>
      </c>
      <c r="AD805" s="845">
        <v>5.8152373941847628E-2</v>
      </c>
      <c r="AE805" s="845">
        <v>0.13507545086492456</v>
      </c>
      <c r="AF805" s="845">
        <v>0.1825542878174457</v>
      </c>
      <c r="AG805" s="845">
        <v>0.65955097534044904</v>
      </c>
      <c r="AH805" s="20" t="str">
        <f t="shared" si="75"/>
        <v>No</v>
      </c>
      <c r="AI805" s="25"/>
      <c r="AJ805" s="37">
        <v>45144</v>
      </c>
      <c r="AK805" s="37" t="s">
        <v>1584</v>
      </c>
      <c r="AL805" s="37">
        <v>39001</v>
      </c>
      <c r="AM805" s="37" t="s">
        <v>5</v>
      </c>
      <c r="AN805" s="37" t="str">
        <f t="shared" si="76"/>
        <v>N/A</v>
      </c>
      <c r="AO805" s="37" t="str">
        <f t="shared" si="77"/>
        <v>N/A</v>
      </c>
      <c r="AP805" s="20" t="s">
        <v>8</v>
      </c>
      <c r="AQ805" s="25"/>
      <c r="AR805" s="25"/>
      <c r="AS805" s="25"/>
      <c r="AT805" s="25"/>
      <c r="AU805" s="36"/>
      <c r="AV805" s="36"/>
      <c r="AW805" s="36"/>
      <c r="AX805" s="25"/>
      <c r="AY805" s="25"/>
      <c r="AZ805" s="25"/>
      <c r="BA805" s="25"/>
      <c r="BB805" s="25"/>
      <c r="BC805" s="25"/>
      <c r="BD805" s="25"/>
      <c r="BE805" s="25"/>
      <c r="BF805" s="25"/>
      <c r="BG805" s="25"/>
      <c r="BH805" s="25"/>
      <c r="BI805" s="25"/>
      <c r="BJ805" s="25"/>
      <c r="BK805" s="25"/>
      <c r="BL805" s="25"/>
      <c r="BM805" s="25"/>
      <c r="BN805" s="25"/>
      <c r="BO805" s="25"/>
      <c r="BP805" s="25"/>
      <c r="BQ805" s="25"/>
      <c r="BR805" s="25"/>
      <c r="BS805" s="25"/>
      <c r="BT805" s="25"/>
      <c r="BU805" s="39">
        <v>45656</v>
      </c>
      <c r="BV805" s="39" t="s">
        <v>1800</v>
      </c>
      <c r="BW805" s="39" t="s">
        <v>2877</v>
      </c>
      <c r="BX805" s="39" t="s">
        <v>305</v>
      </c>
      <c r="BY805" s="71">
        <v>760</v>
      </c>
      <c r="BZ805" s="71">
        <v>770</v>
      </c>
      <c r="CA805" s="71">
        <v>970</v>
      </c>
      <c r="CB805" s="71">
        <v>1260</v>
      </c>
      <c r="CC805" s="71">
        <v>1360</v>
      </c>
      <c r="CD805" s="25"/>
      <c r="CE805" s="200"/>
      <c r="CF805" s="200"/>
      <c r="CG805" s="200"/>
      <c r="CH805" s="200"/>
      <c r="CI805" s="200"/>
      <c r="CJ805" s="200"/>
      <c r="CK805" s="200"/>
      <c r="CL805" s="200"/>
      <c r="CM805" s="200"/>
      <c r="CN805" s="200"/>
      <c r="CO805" s="200"/>
      <c r="CP805" s="200"/>
      <c r="CQ805" s="200"/>
      <c r="CR805" s="200"/>
      <c r="CS805" s="200"/>
      <c r="CT805" s="200"/>
      <c r="CU805" s="200"/>
    </row>
    <row r="806" spans="1:99" s="17" customFormat="1" x14ac:dyDescent="0.2">
      <c r="A806" s="25"/>
      <c r="B806" s="20">
        <v>39035136104</v>
      </c>
      <c r="C806" s="20">
        <v>1361.04</v>
      </c>
      <c r="D806" s="20" t="s">
        <v>24</v>
      </c>
      <c r="E806" s="20" t="s">
        <v>2829</v>
      </c>
      <c r="F806" s="20" t="s">
        <v>8</v>
      </c>
      <c r="G806" s="861">
        <v>58.682288891223699</v>
      </c>
      <c r="H806" s="861">
        <v>56.318703363995198</v>
      </c>
      <c r="I806" s="861">
        <v>31.720769082994099</v>
      </c>
      <c r="J806" s="861">
        <v>24.436835139292601</v>
      </c>
      <c r="K806" s="982">
        <v>0</v>
      </c>
      <c r="L806" s="735" t="s">
        <v>2466</v>
      </c>
      <c r="M806" s="735">
        <v>3336</v>
      </c>
      <c r="N806" s="845" t="str">
        <f t="shared" si="73"/>
        <v/>
      </c>
      <c r="O806" s="735">
        <v>3.00832230461475</v>
      </c>
      <c r="P806" s="735">
        <f t="shared" si="74"/>
        <v>1108.9237329665755</v>
      </c>
      <c r="Q806" s="849">
        <v>35.700000000000003</v>
      </c>
      <c r="R806" s="71">
        <v>78183</v>
      </c>
      <c r="S806" s="845">
        <v>0.12529976019184652</v>
      </c>
      <c r="T806" s="845">
        <v>6.0000000000000001E-3</v>
      </c>
      <c r="U806" s="845">
        <v>0</v>
      </c>
      <c r="V806" s="845">
        <v>0</v>
      </c>
      <c r="W806" s="845">
        <v>0.48996763754045308</v>
      </c>
      <c r="X806" s="845">
        <v>0.19550858652575959</v>
      </c>
      <c r="Y806" s="845">
        <v>0.75059952038369304</v>
      </c>
      <c r="Z806" s="845">
        <v>0.17356115107913669</v>
      </c>
      <c r="AA806" s="845">
        <v>0</v>
      </c>
      <c r="AB806" s="845">
        <v>4.6462829736211034E-2</v>
      </c>
      <c r="AC806" s="845">
        <v>0</v>
      </c>
      <c r="AD806" s="845">
        <v>3.2973621103117505E-3</v>
      </c>
      <c r="AE806" s="845">
        <v>2.6079136690647483E-2</v>
      </c>
      <c r="AF806" s="845">
        <v>3.9868105515587532E-2</v>
      </c>
      <c r="AG806" s="845">
        <v>0.72242206235011985</v>
      </c>
      <c r="AH806" s="20" t="str">
        <f t="shared" si="75"/>
        <v>No</v>
      </c>
      <c r="AI806" s="25"/>
      <c r="AJ806" s="20">
        <v>45616</v>
      </c>
      <c r="AK806" s="20" t="s">
        <v>1772</v>
      </c>
      <c r="AL806" s="20">
        <v>39001</v>
      </c>
      <c r="AM806" s="20" t="s">
        <v>5</v>
      </c>
      <c r="AN806" s="37" t="str">
        <f t="shared" si="76"/>
        <v>N/A</v>
      </c>
      <c r="AO806" s="37" t="str">
        <f t="shared" si="77"/>
        <v>N/A</v>
      </c>
      <c r="AP806" s="20" t="s">
        <v>8</v>
      </c>
      <c r="AQ806" s="25"/>
      <c r="AR806" s="25"/>
      <c r="AS806" s="25"/>
      <c r="AT806" s="25"/>
      <c r="AU806" s="36"/>
      <c r="AV806" s="36"/>
      <c r="AW806" s="36"/>
      <c r="AX806" s="25"/>
      <c r="AY806" s="25"/>
      <c r="AZ806" s="25"/>
      <c r="BA806" s="25"/>
      <c r="BB806" s="25"/>
      <c r="BC806" s="25"/>
      <c r="BD806" s="25"/>
      <c r="BE806" s="25"/>
      <c r="BF806" s="25"/>
      <c r="BG806" s="25"/>
      <c r="BH806" s="25"/>
      <c r="BI806" s="25"/>
      <c r="BJ806" s="25"/>
      <c r="BK806" s="25"/>
      <c r="BL806" s="25"/>
      <c r="BM806" s="25"/>
      <c r="BN806" s="25"/>
      <c r="BO806" s="25"/>
      <c r="BP806" s="25"/>
      <c r="BQ806" s="25"/>
      <c r="BR806" s="25"/>
      <c r="BS806" s="25"/>
      <c r="BT806" s="25"/>
      <c r="BU806" s="39">
        <v>45658</v>
      </c>
      <c r="BV806" s="39" t="s">
        <v>1802</v>
      </c>
      <c r="BW806" s="39" t="s">
        <v>2877</v>
      </c>
      <c r="BX806" s="39" t="s">
        <v>305</v>
      </c>
      <c r="BY806" s="71">
        <v>760</v>
      </c>
      <c r="BZ806" s="71">
        <v>840</v>
      </c>
      <c r="CA806" s="71">
        <v>980</v>
      </c>
      <c r="CB806" s="71">
        <v>1260</v>
      </c>
      <c r="CC806" s="71">
        <v>1540</v>
      </c>
      <c r="CD806" s="25"/>
      <c r="CE806" s="200"/>
      <c r="CF806" s="200"/>
      <c r="CG806" s="200"/>
      <c r="CH806" s="200"/>
      <c r="CI806" s="200"/>
      <c r="CJ806" s="200"/>
      <c r="CK806" s="200"/>
      <c r="CL806" s="200"/>
      <c r="CM806" s="200"/>
      <c r="CN806" s="200"/>
      <c r="CO806" s="200"/>
      <c r="CP806" s="200"/>
      <c r="CQ806" s="200"/>
      <c r="CR806" s="200"/>
      <c r="CS806" s="200"/>
      <c r="CT806" s="200"/>
      <c r="CU806" s="200"/>
    </row>
    <row r="807" spans="1:99" s="17" customFormat="1" x14ac:dyDescent="0.2">
      <c r="A807" s="25"/>
      <c r="B807" s="20">
        <v>39041010520</v>
      </c>
      <c r="C807" s="20">
        <v>105.2</v>
      </c>
      <c r="D807" s="20" t="s">
        <v>27</v>
      </c>
      <c r="E807" s="20" t="s">
        <v>2830</v>
      </c>
      <c r="F807" s="20" t="s">
        <v>8</v>
      </c>
      <c r="G807" s="861">
        <v>58.671170726260797</v>
      </c>
      <c r="H807" s="861">
        <v>64.1378807138382</v>
      </c>
      <c r="I807" s="861">
        <v>54.661178345996603</v>
      </c>
      <c r="J807" s="861">
        <v>70.052264241224606</v>
      </c>
      <c r="K807" s="982">
        <v>1</v>
      </c>
      <c r="L807" s="735">
        <v>5357</v>
      </c>
      <c r="M807" s="735">
        <v>7638</v>
      </c>
      <c r="N807" s="845">
        <f t="shared" si="73"/>
        <v>0.42579802128056748</v>
      </c>
      <c r="O807" s="735">
        <v>4.3847429091093399</v>
      </c>
      <c r="P807" s="735">
        <f t="shared" si="74"/>
        <v>1741.9493362158112</v>
      </c>
      <c r="Q807" s="849">
        <v>38.700000000000003</v>
      </c>
      <c r="R807" s="71">
        <v>102861</v>
      </c>
      <c r="S807" s="845">
        <v>2.8262898280229303E-2</v>
      </c>
      <c r="T807" s="845">
        <v>5.0999999999999997E-2</v>
      </c>
      <c r="U807" s="845">
        <v>0</v>
      </c>
      <c r="V807" s="845">
        <v>0</v>
      </c>
      <c r="W807" s="845">
        <v>0.17576853526220615</v>
      </c>
      <c r="X807" s="845">
        <v>0.44444444444444442</v>
      </c>
      <c r="Y807" s="845">
        <v>0.79039015449070438</v>
      </c>
      <c r="Z807" s="845">
        <v>5.9701492537313432E-2</v>
      </c>
      <c r="AA807" s="845">
        <v>0</v>
      </c>
      <c r="AB807" s="845">
        <v>6.8866195339094008E-2</v>
      </c>
      <c r="AC807" s="845">
        <v>0</v>
      </c>
      <c r="AD807" s="845">
        <v>7.7245352186436243E-3</v>
      </c>
      <c r="AE807" s="845">
        <v>7.3317622414244568E-2</v>
      </c>
      <c r="AF807" s="845">
        <v>2.8934275988478659E-2</v>
      </c>
      <c r="AG807" s="845">
        <v>0.78554595443833464</v>
      </c>
      <c r="AH807" s="20" t="str">
        <f t="shared" si="75"/>
        <v>No</v>
      </c>
      <c r="AI807" s="25"/>
      <c r="AJ807" s="20">
        <v>45618</v>
      </c>
      <c r="AK807" s="20" t="s">
        <v>1774</v>
      </c>
      <c r="AL807" s="20">
        <v>39001</v>
      </c>
      <c r="AM807" s="20" t="s">
        <v>5</v>
      </c>
      <c r="AN807" s="37" t="str">
        <f t="shared" si="76"/>
        <v>N/A</v>
      </c>
      <c r="AO807" s="37" t="str">
        <f t="shared" si="77"/>
        <v>N/A</v>
      </c>
      <c r="AP807" s="20" t="s">
        <v>8</v>
      </c>
      <c r="AQ807" s="25"/>
      <c r="AR807" s="25"/>
      <c r="AS807" s="25"/>
      <c r="AT807" s="25"/>
      <c r="AU807" s="36"/>
      <c r="AV807" s="36"/>
      <c r="AW807" s="36"/>
      <c r="AX807" s="25"/>
      <c r="AY807" s="25"/>
      <c r="AZ807" s="25"/>
      <c r="BA807" s="25"/>
      <c r="BB807" s="25"/>
      <c r="BC807" s="25"/>
      <c r="BD807" s="25"/>
      <c r="BE807" s="25"/>
      <c r="BF807" s="25"/>
      <c r="BG807" s="25"/>
      <c r="BH807" s="25"/>
      <c r="BI807" s="25"/>
      <c r="BJ807" s="25"/>
      <c r="BK807" s="25"/>
      <c r="BL807" s="25"/>
      <c r="BM807" s="25"/>
      <c r="BN807" s="25"/>
      <c r="BO807" s="25"/>
      <c r="BP807" s="25"/>
      <c r="BQ807" s="25"/>
      <c r="BR807" s="25"/>
      <c r="BS807" s="25"/>
      <c r="BT807" s="25"/>
      <c r="BU807" s="39">
        <v>45659</v>
      </c>
      <c r="BV807" s="39" t="s">
        <v>1803</v>
      </c>
      <c r="BW807" s="39" t="s">
        <v>2877</v>
      </c>
      <c r="BX807" s="39" t="s">
        <v>305</v>
      </c>
      <c r="BY807" s="71">
        <v>890</v>
      </c>
      <c r="BZ807" s="71">
        <v>890</v>
      </c>
      <c r="CA807" s="71">
        <v>1020</v>
      </c>
      <c r="CB807" s="71">
        <v>1310</v>
      </c>
      <c r="CC807" s="71">
        <v>1480</v>
      </c>
      <c r="CD807" s="25"/>
      <c r="CE807" s="200"/>
      <c r="CF807" s="200"/>
      <c r="CG807" s="200"/>
      <c r="CH807" s="200"/>
      <c r="CI807" s="200"/>
      <c r="CJ807" s="200"/>
      <c r="CK807" s="200"/>
      <c r="CL807" s="200"/>
      <c r="CM807" s="200"/>
      <c r="CN807" s="200"/>
      <c r="CO807" s="200"/>
      <c r="CP807" s="200"/>
      <c r="CQ807" s="200"/>
      <c r="CR807" s="200"/>
      <c r="CS807" s="200"/>
      <c r="CT807" s="200"/>
      <c r="CU807" s="200"/>
    </row>
    <row r="808" spans="1:99" s="17" customFormat="1" x14ac:dyDescent="0.2">
      <c r="A808" s="25"/>
      <c r="B808" s="20">
        <v>39049008132</v>
      </c>
      <c r="C808" s="20">
        <v>81.319999999999993</v>
      </c>
      <c r="D808" s="20" t="s">
        <v>31</v>
      </c>
      <c r="E808" s="20" t="s">
        <v>2830</v>
      </c>
      <c r="F808" s="20" t="s">
        <v>8</v>
      </c>
      <c r="G808" s="861">
        <v>58.619771972637899</v>
      </c>
      <c r="H808" s="861">
        <v>73.338157512134799</v>
      </c>
      <c r="I808" s="861">
        <v>21.5256187017951</v>
      </c>
      <c r="J808" s="861">
        <v>50.471016414595397</v>
      </c>
      <c r="K808" s="982">
        <v>2</v>
      </c>
      <c r="L808" s="735">
        <v>7472</v>
      </c>
      <c r="M808" s="735">
        <v>6709</v>
      </c>
      <c r="N808" s="845">
        <f t="shared" si="73"/>
        <v>-0.10211456102783725</v>
      </c>
      <c r="O808" s="735">
        <v>1.0229058541894234</v>
      </c>
      <c r="P808" s="735">
        <f t="shared" si="74"/>
        <v>6558.7658654240304</v>
      </c>
      <c r="Q808" s="849">
        <v>32.700000000000003</v>
      </c>
      <c r="R808" s="71">
        <v>71466</v>
      </c>
      <c r="S808" s="845">
        <v>7.9296467431808015E-2</v>
      </c>
      <c r="T808" s="845">
        <v>1.6E-2</v>
      </c>
      <c r="U808" s="845">
        <v>0</v>
      </c>
      <c r="V808" s="845">
        <v>2.8999999999999998E-2</v>
      </c>
      <c r="W808" s="845">
        <v>0.41479524438573318</v>
      </c>
      <c r="X808" s="845">
        <v>0.32563694267515925</v>
      </c>
      <c r="Y808" s="845">
        <v>0.75197495901028466</v>
      </c>
      <c r="Z808" s="845">
        <v>7.542107616634372E-2</v>
      </c>
      <c r="AA808" s="845">
        <v>1.0433745714711581E-3</v>
      </c>
      <c r="AB808" s="845">
        <v>3.771053808317186E-2</v>
      </c>
      <c r="AC808" s="845">
        <v>0</v>
      </c>
      <c r="AD808" s="845">
        <v>4.5461320614100464E-2</v>
      </c>
      <c r="AE808" s="845">
        <v>8.8388731554628105E-2</v>
      </c>
      <c r="AF808" s="845">
        <v>0.13966313906692501</v>
      </c>
      <c r="AG808" s="845">
        <v>0.70248919362050977</v>
      </c>
      <c r="AH808" s="20" t="str">
        <f t="shared" si="75"/>
        <v>No</v>
      </c>
      <c r="AI808" s="25"/>
      <c r="AJ808" s="20">
        <v>45650</v>
      </c>
      <c r="AK808" s="20" t="s">
        <v>1795</v>
      </c>
      <c r="AL808" s="20">
        <v>39001</v>
      </c>
      <c r="AM808" s="20" t="s">
        <v>5</v>
      </c>
      <c r="AN808" s="37" t="str">
        <f t="shared" si="76"/>
        <v>N/A</v>
      </c>
      <c r="AO808" s="37" t="str">
        <f t="shared" si="77"/>
        <v>N/A</v>
      </c>
      <c r="AP808" s="20" t="s">
        <v>8</v>
      </c>
      <c r="AQ808" s="25"/>
      <c r="AR808" s="25"/>
      <c r="AS808" s="25"/>
      <c r="AT808" s="25"/>
      <c r="AU808" s="36"/>
      <c r="AV808" s="36"/>
      <c r="AW808" s="36"/>
      <c r="AX808" s="25"/>
      <c r="AY808" s="25"/>
      <c r="AZ808" s="25"/>
      <c r="BA808" s="25"/>
      <c r="BB808" s="25"/>
      <c r="BC808" s="25"/>
      <c r="BD808" s="25"/>
      <c r="BE808" s="25"/>
      <c r="BF808" s="25"/>
      <c r="BG808" s="25"/>
      <c r="BH808" s="25"/>
      <c r="BI808" s="25"/>
      <c r="BJ808" s="25"/>
      <c r="BK808" s="25"/>
      <c r="BL808" s="25"/>
      <c r="BM808" s="25"/>
      <c r="BN808" s="25"/>
      <c r="BO808" s="25"/>
      <c r="BP808" s="25"/>
      <c r="BQ808" s="25"/>
      <c r="BR808" s="25"/>
      <c r="BS808" s="25"/>
      <c r="BT808" s="25"/>
      <c r="BU808" s="39">
        <v>45669</v>
      </c>
      <c r="BV808" s="39" t="s">
        <v>1808</v>
      </c>
      <c r="BW808" s="39" t="s">
        <v>2877</v>
      </c>
      <c r="BX808" s="39" t="s">
        <v>305</v>
      </c>
      <c r="BY808" s="71">
        <v>850</v>
      </c>
      <c r="BZ808" s="71">
        <v>850</v>
      </c>
      <c r="CA808" s="71">
        <v>970</v>
      </c>
      <c r="CB808" s="71">
        <v>1250</v>
      </c>
      <c r="CC808" s="71">
        <v>1410</v>
      </c>
      <c r="CD808" s="25"/>
      <c r="CE808" s="200"/>
      <c r="CF808" s="200"/>
      <c r="CG808" s="200"/>
      <c r="CH808" s="200"/>
      <c r="CI808" s="200"/>
      <c r="CJ808" s="200"/>
      <c r="CK808" s="200"/>
      <c r="CL808" s="200"/>
      <c r="CM808" s="200"/>
      <c r="CN808" s="200"/>
      <c r="CO808" s="200"/>
      <c r="CP808" s="200"/>
      <c r="CQ808" s="200"/>
      <c r="CR808" s="200"/>
      <c r="CS808" s="200"/>
      <c r="CT808" s="200"/>
      <c r="CU808" s="200"/>
    </row>
    <row r="809" spans="1:99" s="17" customFormat="1" x14ac:dyDescent="0.2">
      <c r="A809" s="25"/>
      <c r="B809" s="20">
        <v>39061021202</v>
      </c>
      <c r="C809" s="20">
        <v>212.02</v>
      </c>
      <c r="D809" s="20" t="s">
        <v>37</v>
      </c>
      <c r="E809" s="20" t="s">
        <v>2828</v>
      </c>
      <c r="F809" s="20" t="s">
        <v>8</v>
      </c>
      <c r="G809" s="861">
        <v>58.614362035413201</v>
      </c>
      <c r="H809" s="861">
        <v>71.075440969905301</v>
      </c>
      <c r="I809" s="861">
        <v>22.371752718186201</v>
      </c>
      <c r="J809" s="861">
        <v>50.970137541922099</v>
      </c>
      <c r="K809" s="982">
        <v>0</v>
      </c>
      <c r="L809" s="735">
        <v>5522</v>
      </c>
      <c r="M809" s="735">
        <v>5117</v>
      </c>
      <c r="N809" s="845">
        <f t="shared" si="73"/>
        <v>-7.3342991669684901E-2</v>
      </c>
      <c r="O809" s="735">
        <v>1.4991149901456498</v>
      </c>
      <c r="P809" s="735">
        <f t="shared" si="74"/>
        <v>3413.347230623614</v>
      </c>
      <c r="Q809" s="849">
        <v>41.2</v>
      </c>
      <c r="R809" s="71">
        <v>85806</v>
      </c>
      <c r="S809" s="845">
        <v>4.1145623235175476E-2</v>
      </c>
      <c r="T809" s="845">
        <v>1.6E-2</v>
      </c>
      <c r="U809" s="845">
        <v>0</v>
      </c>
      <c r="V809" s="845">
        <v>0</v>
      </c>
      <c r="W809" s="845">
        <v>9.3249150072850895E-2</v>
      </c>
      <c r="X809" s="845">
        <v>0.27083333333333331</v>
      </c>
      <c r="Y809" s="845">
        <v>0.86925933163963265</v>
      </c>
      <c r="Z809" s="845">
        <v>0.10553058432675395</v>
      </c>
      <c r="AA809" s="845">
        <v>0</v>
      </c>
      <c r="AB809" s="845">
        <v>2.345124096150088E-3</v>
      </c>
      <c r="AC809" s="845">
        <v>0</v>
      </c>
      <c r="AD809" s="845">
        <v>3.5176861442251317E-3</v>
      </c>
      <c r="AE809" s="845">
        <v>1.9347273793238227E-2</v>
      </c>
      <c r="AF809" s="845">
        <v>4.2993941762751609E-3</v>
      </c>
      <c r="AG809" s="845">
        <v>0.86789134258354506</v>
      </c>
      <c r="AH809" s="20" t="str">
        <f t="shared" si="75"/>
        <v>No</v>
      </c>
      <c r="AI809" s="25"/>
      <c r="AJ809" s="37">
        <v>45657</v>
      </c>
      <c r="AK809" s="37" t="s">
        <v>1801</v>
      </c>
      <c r="AL809" s="37">
        <v>39001</v>
      </c>
      <c r="AM809" s="37" t="s">
        <v>5</v>
      </c>
      <c r="AN809" s="37" t="str">
        <f t="shared" si="76"/>
        <v>N/A</v>
      </c>
      <c r="AO809" s="37" t="str">
        <f t="shared" si="77"/>
        <v>N/A</v>
      </c>
      <c r="AP809" s="20" t="s">
        <v>8</v>
      </c>
      <c r="AQ809" s="25"/>
      <c r="AR809" s="25"/>
      <c r="AS809" s="25"/>
      <c r="AT809" s="25"/>
      <c r="AU809" s="36"/>
      <c r="AV809" s="36"/>
      <c r="AW809" s="36"/>
      <c r="AX809" s="25"/>
      <c r="AY809" s="25"/>
      <c r="AZ809" s="25"/>
      <c r="BA809" s="25"/>
      <c r="BB809" s="25"/>
      <c r="BC809" s="25"/>
      <c r="BD809" s="25"/>
      <c r="BE809" s="25"/>
      <c r="BF809" s="25"/>
      <c r="BG809" s="25"/>
      <c r="BH809" s="25"/>
      <c r="BI809" s="25"/>
      <c r="BJ809" s="25"/>
      <c r="BK809" s="25"/>
      <c r="BL809" s="25"/>
      <c r="BM809" s="25"/>
      <c r="BN809" s="25"/>
      <c r="BO809" s="25"/>
      <c r="BP809" s="25"/>
      <c r="BQ809" s="25"/>
      <c r="BR809" s="25"/>
      <c r="BS809" s="25"/>
      <c r="BT809" s="25"/>
      <c r="BU809" s="39">
        <v>45678</v>
      </c>
      <c r="BV809" s="39" t="s">
        <v>1814</v>
      </c>
      <c r="BW809" s="39" t="s">
        <v>2877</v>
      </c>
      <c r="BX809" s="39" t="s">
        <v>305</v>
      </c>
      <c r="BY809" s="71">
        <v>850</v>
      </c>
      <c r="BZ809" s="71">
        <v>920</v>
      </c>
      <c r="CA809" s="71">
        <v>1040</v>
      </c>
      <c r="CB809" s="71">
        <v>1330</v>
      </c>
      <c r="CC809" s="71">
        <v>1610</v>
      </c>
      <c r="CD809" s="25"/>
      <c r="CE809" s="200"/>
      <c r="CF809" s="200"/>
      <c r="CG809" s="200"/>
      <c r="CH809" s="200"/>
      <c r="CI809" s="200"/>
      <c r="CJ809" s="200"/>
      <c r="CK809" s="200"/>
      <c r="CL809" s="200"/>
      <c r="CM809" s="200"/>
      <c r="CN809" s="200"/>
      <c r="CO809" s="200"/>
      <c r="CP809" s="200"/>
      <c r="CQ809" s="200"/>
      <c r="CR809" s="200"/>
      <c r="CS809" s="200"/>
      <c r="CT809" s="200"/>
      <c r="CU809" s="200"/>
    </row>
    <row r="810" spans="1:99" s="17" customFormat="1" x14ac:dyDescent="0.2">
      <c r="A810" s="25"/>
      <c r="B810" s="20">
        <v>39113021501</v>
      </c>
      <c r="C810" s="20">
        <v>215.01</v>
      </c>
      <c r="D810" s="20" t="s">
        <v>62</v>
      </c>
      <c r="E810" s="20" t="s">
        <v>2833</v>
      </c>
      <c r="F810" s="20" t="s">
        <v>8</v>
      </c>
      <c r="G810" s="861">
        <v>58.6107746699941</v>
      </c>
      <c r="H810" s="861">
        <v>69.546308605847699</v>
      </c>
      <c r="I810" s="861">
        <v>39.861746026487602</v>
      </c>
      <c r="J810" s="861">
        <v>42.382905102990598</v>
      </c>
      <c r="K810" s="982">
        <v>0</v>
      </c>
      <c r="L810" s="735">
        <v>2963</v>
      </c>
      <c r="M810" s="735">
        <v>2716</v>
      </c>
      <c r="N810" s="845">
        <f t="shared" si="73"/>
        <v>-8.336145798177523E-2</v>
      </c>
      <c r="O810" s="735">
        <v>0.6915105104478646</v>
      </c>
      <c r="P810" s="735">
        <f t="shared" si="74"/>
        <v>3927.6337220687387</v>
      </c>
      <c r="Q810" s="849">
        <v>30.1</v>
      </c>
      <c r="R810" s="71">
        <v>70662</v>
      </c>
      <c r="S810" s="845">
        <v>0.18372606774668632</v>
      </c>
      <c r="T810" s="845">
        <v>3.4000000000000002E-2</v>
      </c>
      <c r="U810" s="845">
        <v>3.7999999999999999E-2</v>
      </c>
      <c r="V810" s="845">
        <v>2.4E-2</v>
      </c>
      <c r="W810" s="845">
        <v>0.34038638454461823</v>
      </c>
      <c r="X810" s="845">
        <v>0.60270270270270265</v>
      </c>
      <c r="Y810" s="845">
        <v>0.75883652430044179</v>
      </c>
      <c r="Z810" s="845">
        <v>0.11119293078055964</v>
      </c>
      <c r="AA810" s="845">
        <v>0</v>
      </c>
      <c r="AB810" s="845">
        <v>7.3637702503681884E-3</v>
      </c>
      <c r="AC810" s="845">
        <v>0</v>
      </c>
      <c r="AD810" s="845">
        <v>4.6023564064801181E-2</v>
      </c>
      <c r="AE810" s="845">
        <v>7.6583210603829166E-2</v>
      </c>
      <c r="AF810" s="845">
        <v>4.2341678939617086E-2</v>
      </c>
      <c r="AG810" s="845">
        <v>0.75883652430044179</v>
      </c>
      <c r="AH810" s="20" t="str">
        <f t="shared" si="75"/>
        <v>No</v>
      </c>
      <c r="AI810" s="25"/>
      <c r="AJ810" s="37">
        <v>45660</v>
      </c>
      <c r="AK810" s="37" t="s">
        <v>1804</v>
      </c>
      <c r="AL810" s="37">
        <v>39001</v>
      </c>
      <c r="AM810" s="37" t="s">
        <v>5</v>
      </c>
      <c r="AN810" s="37" t="str">
        <f t="shared" si="76"/>
        <v>N/A</v>
      </c>
      <c r="AO810" s="37" t="str">
        <f t="shared" si="77"/>
        <v>N/A</v>
      </c>
      <c r="AP810" s="20" t="s">
        <v>8</v>
      </c>
      <c r="AQ810" s="25"/>
      <c r="AR810" s="25"/>
      <c r="AS810" s="25"/>
      <c r="AT810" s="25"/>
      <c r="AU810" s="36"/>
      <c r="AV810" s="36"/>
      <c r="AW810" s="36"/>
      <c r="AX810" s="25"/>
      <c r="AY810" s="25"/>
      <c r="AZ810" s="25"/>
      <c r="BA810" s="25"/>
      <c r="BB810" s="25"/>
      <c r="BC810" s="25"/>
      <c r="BD810" s="25"/>
      <c r="BE810" s="25"/>
      <c r="BF810" s="25"/>
      <c r="BG810" s="25"/>
      <c r="BH810" s="25"/>
      <c r="BI810" s="25"/>
      <c r="BJ810" s="25"/>
      <c r="BK810" s="25"/>
      <c r="BL810" s="25"/>
      <c r="BM810" s="25"/>
      <c r="BN810" s="25"/>
      <c r="BO810" s="25"/>
      <c r="BP810" s="25"/>
      <c r="BQ810" s="25"/>
      <c r="BR810" s="25"/>
      <c r="BS810" s="25"/>
      <c r="BT810" s="25"/>
      <c r="BU810" s="39">
        <v>45680</v>
      </c>
      <c r="BV810" s="39" t="s">
        <v>1816</v>
      </c>
      <c r="BW810" s="39" t="s">
        <v>2877</v>
      </c>
      <c r="BX810" s="39" t="s">
        <v>305</v>
      </c>
      <c r="BY810" s="71">
        <v>850</v>
      </c>
      <c r="BZ810" s="71">
        <v>850</v>
      </c>
      <c r="CA810" s="71">
        <v>970</v>
      </c>
      <c r="CB810" s="71">
        <v>1250</v>
      </c>
      <c r="CC810" s="71">
        <v>1410</v>
      </c>
      <c r="CD810" s="25"/>
      <c r="CE810" s="200"/>
      <c r="CF810" s="200"/>
      <c r="CG810" s="200"/>
      <c r="CH810" s="200"/>
      <c r="CI810" s="200"/>
      <c r="CJ810" s="200"/>
      <c r="CK810" s="200"/>
      <c r="CL810" s="200"/>
      <c r="CM810" s="200"/>
      <c r="CN810" s="200"/>
      <c r="CO810" s="200"/>
      <c r="CP810" s="200"/>
      <c r="CQ810" s="200"/>
      <c r="CR810" s="200"/>
      <c r="CS810" s="200"/>
      <c r="CT810" s="200"/>
      <c r="CU810" s="200"/>
    </row>
    <row r="811" spans="1:99" s="17" customFormat="1" x14ac:dyDescent="0.2">
      <c r="A811" s="25"/>
      <c r="B811" s="20">
        <v>39103408102</v>
      </c>
      <c r="C811" s="20">
        <v>4081.02</v>
      </c>
      <c r="D811" s="20" t="s">
        <v>57</v>
      </c>
      <c r="E811" s="20" t="s">
        <v>2829</v>
      </c>
      <c r="F811" s="20" t="s">
        <v>8</v>
      </c>
      <c r="G811" s="861">
        <v>58.596916220654698</v>
      </c>
      <c r="H811" s="861">
        <v>60.775178067318102</v>
      </c>
      <c r="I811" s="861">
        <v>22.167777432525</v>
      </c>
      <c r="J811" s="861">
        <v>58.065420621667599</v>
      </c>
      <c r="K811" s="982">
        <v>0</v>
      </c>
      <c r="L811" s="735" t="s">
        <v>2466</v>
      </c>
      <c r="M811" s="735">
        <v>3763</v>
      </c>
      <c r="N811" s="845" t="str">
        <f t="shared" si="73"/>
        <v/>
      </c>
      <c r="O811" s="735">
        <v>3.7990406064064906</v>
      </c>
      <c r="P811" s="735">
        <f t="shared" si="74"/>
        <v>990.51323475044887</v>
      </c>
      <c r="Q811" s="849">
        <v>44</v>
      </c>
      <c r="R811" s="71">
        <v>92813</v>
      </c>
      <c r="S811" s="845">
        <v>9.5136858889184162E-2</v>
      </c>
      <c r="T811" s="845">
        <v>3.6000000000000004E-2</v>
      </c>
      <c r="U811" s="845">
        <v>0</v>
      </c>
      <c r="V811" s="845">
        <v>0</v>
      </c>
      <c r="W811" s="845">
        <v>8.6984536082474223E-2</v>
      </c>
      <c r="X811" s="845">
        <v>0.40740740740740738</v>
      </c>
      <c r="Y811" s="845">
        <v>0.90805208610151478</v>
      </c>
      <c r="Z811" s="845">
        <v>1.0364071219771459E-2</v>
      </c>
      <c r="AA811" s="845">
        <v>0</v>
      </c>
      <c r="AB811" s="845">
        <v>3.9861812383736378E-3</v>
      </c>
      <c r="AC811" s="845">
        <v>0</v>
      </c>
      <c r="AD811" s="845">
        <v>0</v>
      </c>
      <c r="AE811" s="845">
        <v>7.7597661440340152E-2</v>
      </c>
      <c r="AF811" s="845">
        <v>3.0560722827531226E-2</v>
      </c>
      <c r="AG811" s="845">
        <v>0.90805208610151478</v>
      </c>
      <c r="AH811" s="20" t="str">
        <f t="shared" si="75"/>
        <v>Yes</v>
      </c>
      <c r="AI811" s="25"/>
      <c r="AJ811" s="20">
        <v>45671</v>
      </c>
      <c r="AK811" s="20" t="s">
        <v>1809</v>
      </c>
      <c r="AL811" s="20">
        <v>39001</v>
      </c>
      <c r="AM811" s="20" t="s">
        <v>5</v>
      </c>
      <c r="AN811" s="37" t="str">
        <f t="shared" si="76"/>
        <v>N/A</v>
      </c>
      <c r="AO811" s="37" t="str">
        <f t="shared" si="77"/>
        <v>N/A</v>
      </c>
      <c r="AP811" s="20" t="s">
        <v>8</v>
      </c>
      <c r="AQ811" s="25"/>
      <c r="AR811" s="25"/>
      <c r="AS811" s="25"/>
      <c r="AT811" s="25"/>
      <c r="AU811" s="36"/>
      <c r="AV811" s="36"/>
      <c r="AW811" s="36"/>
      <c r="AX811" s="25"/>
      <c r="AY811" s="25"/>
      <c r="AZ811" s="25"/>
      <c r="BA811" s="25"/>
      <c r="BB811" s="25"/>
      <c r="BC811" s="25"/>
      <c r="BD811" s="25"/>
      <c r="BE811" s="25"/>
      <c r="BF811" s="25"/>
      <c r="BG811" s="25"/>
      <c r="BH811" s="25"/>
      <c r="BI811" s="25"/>
      <c r="BJ811" s="25"/>
      <c r="BK811" s="25"/>
      <c r="BL811" s="25"/>
      <c r="BM811" s="25"/>
      <c r="BN811" s="25"/>
      <c r="BO811" s="25"/>
      <c r="BP811" s="25"/>
      <c r="BQ811" s="25"/>
      <c r="BR811" s="25"/>
      <c r="BS811" s="25"/>
      <c r="BT811" s="25"/>
      <c r="BU811" s="39">
        <v>45682</v>
      </c>
      <c r="BV811" s="39" t="s">
        <v>1818</v>
      </c>
      <c r="BW811" s="39" t="s">
        <v>2877</v>
      </c>
      <c r="BX811" s="39" t="s">
        <v>305</v>
      </c>
      <c r="BY811" s="71">
        <v>760</v>
      </c>
      <c r="BZ811" s="71">
        <v>810</v>
      </c>
      <c r="CA811" s="71">
        <v>970</v>
      </c>
      <c r="CB811" s="71">
        <v>1320</v>
      </c>
      <c r="CC811" s="71">
        <v>1460</v>
      </c>
      <c r="CD811" s="25"/>
      <c r="CE811" s="200"/>
      <c r="CF811" s="200"/>
      <c r="CG811" s="200"/>
      <c r="CH811" s="200"/>
      <c r="CI811" s="200"/>
      <c r="CJ811" s="200"/>
      <c r="CK811" s="200"/>
      <c r="CL811" s="200"/>
      <c r="CM811" s="200"/>
      <c r="CN811" s="200"/>
      <c r="CO811" s="200"/>
      <c r="CP811" s="200"/>
      <c r="CQ811" s="200"/>
      <c r="CR811" s="200"/>
      <c r="CS811" s="200"/>
      <c r="CT811" s="200"/>
      <c r="CU811" s="200"/>
    </row>
    <row r="812" spans="1:99" s="17" customFormat="1" x14ac:dyDescent="0.2">
      <c r="A812" s="25"/>
      <c r="B812" s="20">
        <v>39103413000</v>
      </c>
      <c r="C812" s="20">
        <v>4130</v>
      </c>
      <c r="D812" s="20" t="s">
        <v>57</v>
      </c>
      <c r="E812" s="20" t="s">
        <v>2829</v>
      </c>
      <c r="F812" s="20" t="s">
        <v>8</v>
      </c>
      <c r="G812" s="861">
        <v>58.588776595012902</v>
      </c>
      <c r="H812" s="861">
        <v>68.936999011098195</v>
      </c>
      <c r="I812" s="861">
        <v>16.267106968097</v>
      </c>
      <c r="J812" s="861">
        <v>52.610091927256597</v>
      </c>
      <c r="K812" s="982">
        <v>0</v>
      </c>
      <c r="L812" s="735">
        <v>5565</v>
      </c>
      <c r="M812" s="735">
        <v>5225</v>
      </c>
      <c r="N812" s="845">
        <f t="shared" si="73"/>
        <v>-6.1096136567834684E-2</v>
      </c>
      <c r="O812" s="735">
        <v>25.126201834185256</v>
      </c>
      <c r="P812" s="735">
        <f t="shared" si="74"/>
        <v>207.95025187177981</v>
      </c>
      <c r="Q812" s="849">
        <v>45.9</v>
      </c>
      <c r="R812" s="71">
        <v>94364</v>
      </c>
      <c r="S812" s="845">
        <v>3.5568513119533525E-2</v>
      </c>
      <c r="T812" s="845">
        <v>1.3999999999999999E-2</v>
      </c>
      <c r="U812" s="845">
        <v>0</v>
      </c>
      <c r="V812" s="845">
        <v>0.05</v>
      </c>
      <c r="W812" s="845">
        <v>0.11073500967117988</v>
      </c>
      <c r="X812" s="845">
        <v>0.15720524017467249</v>
      </c>
      <c r="Y812" s="845">
        <v>0.97244019138755977</v>
      </c>
      <c r="Z812" s="845">
        <v>5.7416267942583734E-4</v>
      </c>
      <c r="AA812" s="845">
        <v>0</v>
      </c>
      <c r="AB812" s="845">
        <v>7.6555023923444978E-4</v>
      </c>
      <c r="AC812" s="845">
        <v>0</v>
      </c>
      <c r="AD812" s="845">
        <v>7.6555023923444978E-4</v>
      </c>
      <c r="AE812" s="845">
        <v>2.5454545454545455E-2</v>
      </c>
      <c r="AF812" s="845">
        <v>7.6555023923444978E-3</v>
      </c>
      <c r="AG812" s="845">
        <v>0.96937799043062201</v>
      </c>
      <c r="AH812" s="20" t="str">
        <f t="shared" si="75"/>
        <v>Yes</v>
      </c>
      <c r="AI812" s="25"/>
      <c r="AJ812" s="20">
        <v>45679</v>
      </c>
      <c r="AK812" s="20" t="s">
        <v>1815</v>
      </c>
      <c r="AL812" s="20">
        <v>39001</v>
      </c>
      <c r="AM812" s="20" t="s">
        <v>5</v>
      </c>
      <c r="AN812" s="37" t="str">
        <f t="shared" si="76"/>
        <v>N/A</v>
      </c>
      <c r="AO812" s="37" t="str">
        <f t="shared" si="77"/>
        <v>N/A</v>
      </c>
      <c r="AP812" s="20" t="s">
        <v>8</v>
      </c>
      <c r="AQ812" s="25"/>
      <c r="AR812" s="25"/>
      <c r="AS812" s="25"/>
      <c r="AT812" s="25"/>
      <c r="AU812" s="36"/>
      <c r="AV812" s="36"/>
      <c r="AW812" s="36"/>
      <c r="AX812" s="25"/>
      <c r="AY812" s="25"/>
      <c r="AZ812" s="25"/>
      <c r="BA812" s="25"/>
      <c r="BB812" s="25"/>
      <c r="BC812" s="25"/>
      <c r="BD812" s="25"/>
      <c r="BE812" s="25"/>
      <c r="BF812" s="25"/>
      <c r="BG812" s="25"/>
      <c r="BH812" s="25"/>
      <c r="BI812" s="25"/>
      <c r="BJ812" s="25"/>
      <c r="BK812" s="25"/>
      <c r="BL812" s="25"/>
      <c r="BM812" s="25"/>
      <c r="BN812" s="25"/>
      <c r="BO812" s="25"/>
      <c r="BP812" s="25"/>
      <c r="BQ812" s="25"/>
      <c r="BR812" s="25"/>
      <c r="BS812" s="25"/>
      <c r="BT812" s="25"/>
      <c r="BU812" s="39">
        <v>45688</v>
      </c>
      <c r="BV812" s="39" t="s">
        <v>1822</v>
      </c>
      <c r="BW812" s="39" t="s">
        <v>2877</v>
      </c>
      <c r="BX812" s="39" t="s">
        <v>305</v>
      </c>
      <c r="BY812" s="71">
        <v>840</v>
      </c>
      <c r="BZ812" s="71">
        <v>860</v>
      </c>
      <c r="CA812" s="71">
        <v>1000</v>
      </c>
      <c r="CB812" s="71">
        <v>1300</v>
      </c>
      <c r="CC812" s="71">
        <v>1450</v>
      </c>
      <c r="CD812" s="25"/>
      <c r="CE812" s="200"/>
      <c r="CF812" s="200"/>
      <c r="CG812" s="200"/>
      <c r="CH812" s="200"/>
      <c r="CI812" s="200"/>
      <c r="CJ812" s="200"/>
      <c r="CK812" s="200"/>
      <c r="CL812" s="200"/>
      <c r="CM812" s="200"/>
      <c r="CN812" s="200"/>
      <c r="CO812" s="200"/>
      <c r="CP812" s="200"/>
      <c r="CQ812" s="200"/>
      <c r="CR812" s="200"/>
      <c r="CS812" s="200"/>
      <c r="CT812" s="200"/>
      <c r="CU812" s="200"/>
    </row>
    <row r="813" spans="1:99" s="17" customFormat="1" x14ac:dyDescent="0.2">
      <c r="A813" s="25"/>
      <c r="B813" s="20">
        <v>39049010000</v>
      </c>
      <c r="C813" s="20">
        <v>100</v>
      </c>
      <c r="D813" s="20" t="s">
        <v>31</v>
      </c>
      <c r="E813" s="20" t="s">
        <v>2830</v>
      </c>
      <c r="F813" s="20" t="s">
        <v>8</v>
      </c>
      <c r="G813" s="861">
        <v>58.585755909423099</v>
      </c>
      <c r="H813" s="861">
        <v>74.720089662052004</v>
      </c>
      <c r="I813" s="861">
        <v>45.122301823977097</v>
      </c>
      <c r="J813" s="861">
        <v>61.632108602854601</v>
      </c>
      <c r="K813" s="982">
        <v>0</v>
      </c>
      <c r="L813" s="735">
        <v>5263</v>
      </c>
      <c r="M813" s="735">
        <v>6116</v>
      </c>
      <c r="N813" s="845">
        <f t="shared" si="73"/>
        <v>0.16207486224586737</v>
      </c>
      <c r="O813" s="735">
        <v>4.0570004778902247</v>
      </c>
      <c r="P813" s="735">
        <f t="shared" si="74"/>
        <v>1507.5176927710206</v>
      </c>
      <c r="Q813" s="849">
        <v>33.799999999999997</v>
      </c>
      <c r="R813" s="71">
        <v>69316</v>
      </c>
      <c r="S813" s="845">
        <v>8.6081794195250666E-2</v>
      </c>
      <c r="T813" s="845">
        <v>4.0000000000000001E-3</v>
      </c>
      <c r="U813" s="845">
        <v>0</v>
      </c>
      <c r="V813" s="845">
        <v>0</v>
      </c>
      <c r="W813" s="845">
        <v>0.5824497257769653</v>
      </c>
      <c r="X813" s="845">
        <v>0.56685499058380417</v>
      </c>
      <c r="Y813" s="845">
        <v>0.74820143884892087</v>
      </c>
      <c r="Z813" s="845">
        <v>0.14829954218443428</v>
      </c>
      <c r="AA813" s="845">
        <v>0</v>
      </c>
      <c r="AB813" s="845">
        <v>2.5179856115107913E-2</v>
      </c>
      <c r="AC813" s="845">
        <v>0</v>
      </c>
      <c r="AD813" s="845">
        <v>4.5781556572923477E-3</v>
      </c>
      <c r="AE813" s="845">
        <v>7.3741007194244604E-2</v>
      </c>
      <c r="AF813" s="845">
        <v>2.1582733812949641E-2</v>
      </c>
      <c r="AG813" s="845">
        <v>0.73986265533028128</v>
      </c>
      <c r="AH813" s="20" t="str">
        <f t="shared" si="75"/>
        <v>No</v>
      </c>
      <c r="AI813" s="25"/>
      <c r="AJ813" s="20">
        <v>45684</v>
      </c>
      <c r="AK813" s="20" t="s">
        <v>1819</v>
      </c>
      <c r="AL813" s="20">
        <v>39001</v>
      </c>
      <c r="AM813" s="20" t="s">
        <v>5</v>
      </c>
      <c r="AN813" s="37" t="str">
        <f t="shared" si="76"/>
        <v>N/A</v>
      </c>
      <c r="AO813" s="37" t="str">
        <f t="shared" si="77"/>
        <v>N/A</v>
      </c>
      <c r="AP813" s="20" t="s">
        <v>8</v>
      </c>
      <c r="AQ813" s="25"/>
      <c r="AR813" s="25"/>
      <c r="AS813" s="25"/>
      <c r="AT813" s="25"/>
      <c r="AU813" s="36"/>
      <c r="AV813" s="36"/>
      <c r="AW813" s="36"/>
      <c r="AX813" s="25"/>
      <c r="AY813" s="25"/>
      <c r="AZ813" s="25"/>
      <c r="BA813" s="25"/>
      <c r="BB813" s="25"/>
      <c r="BC813" s="25"/>
      <c r="BD813" s="25"/>
      <c r="BE813" s="25"/>
      <c r="BF813" s="25"/>
      <c r="BG813" s="25"/>
      <c r="BH813" s="25"/>
      <c r="BI813" s="25"/>
      <c r="BJ813" s="25"/>
      <c r="BK813" s="25"/>
      <c r="BL813" s="25"/>
      <c r="BM813" s="25"/>
      <c r="BN813" s="25"/>
      <c r="BO813" s="25"/>
      <c r="BP813" s="25"/>
      <c r="BQ813" s="25"/>
      <c r="BR813" s="25"/>
      <c r="BS813" s="25"/>
      <c r="BT813" s="25"/>
      <c r="BU813" s="39">
        <v>45696</v>
      </c>
      <c r="BV813" s="39" t="s">
        <v>1828</v>
      </c>
      <c r="BW813" s="39" t="s">
        <v>2877</v>
      </c>
      <c r="BX813" s="39" t="s">
        <v>305</v>
      </c>
      <c r="BY813" s="71">
        <v>890</v>
      </c>
      <c r="BZ813" s="71">
        <v>890</v>
      </c>
      <c r="CA813" s="71">
        <v>1020</v>
      </c>
      <c r="CB813" s="71">
        <v>1310</v>
      </c>
      <c r="CC813" s="71">
        <v>1470</v>
      </c>
      <c r="CD813" s="25"/>
      <c r="CE813" s="200"/>
      <c r="CF813" s="200"/>
      <c r="CG813" s="200"/>
      <c r="CH813" s="200"/>
      <c r="CI813" s="200"/>
      <c r="CJ813" s="200"/>
      <c r="CK813" s="200"/>
      <c r="CL813" s="200"/>
      <c r="CM813" s="200"/>
      <c r="CN813" s="200"/>
      <c r="CO813" s="200"/>
      <c r="CP813" s="200"/>
      <c r="CQ813" s="200"/>
      <c r="CR813" s="200"/>
      <c r="CS813" s="200"/>
      <c r="CT813" s="200"/>
      <c r="CU813" s="200"/>
    </row>
    <row r="814" spans="1:99" s="17" customFormat="1" x14ac:dyDescent="0.2">
      <c r="A814" s="25"/>
      <c r="B814" s="20">
        <v>39089755902</v>
      </c>
      <c r="C814" s="20">
        <v>7559.02</v>
      </c>
      <c r="D814" s="20" t="s">
        <v>50</v>
      </c>
      <c r="E814" s="20" t="s">
        <v>2830</v>
      </c>
      <c r="F814" s="20" t="s">
        <v>8</v>
      </c>
      <c r="G814" s="861">
        <v>58.548724502198098</v>
      </c>
      <c r="H814" s="861">
        <v>53.0810960713318</v>
      </c>
      <c r="I814" s="861">
        <v>21.576556528690102</v>
      </c>
      <c r="J814" s="861">
        <v>66.525165062833906</v>
      </c>
      <c r="K814" s="982">
        <v>0</v>
      </c>
      <c r="L814" s="735" t="s">
        <v>2466</v>
      </c>
      <c r="M814" s="735">
        <v>2525</v>
      </c>
      <c r="N814" s="845" t="str">
        <f t="shared" si="73"/>
        <v/>
      </c>
      <c r="O814" s="735">
        <v>4.1692793717110925</v>
      </c>
      <c r="P814" s="735">
        <f t="shared" si="74"/>
        <v>605.62024630259486</v>
      </c>
      <c r="Q814" s="849">
        <v>39</v>
      </c>
      <c r="R814" s="71">
        <v>107458</v>
      </c>
      <c r="S814" s="845">
        <v>6.3517268757443429E-2</v>
      </c>
      <c r="T814" s="845">
        <v>3.2000000000000001E-2</v>
      </c>
      <c r="U814" s="845">
        <v>0</v>
      </c>
      <c r="V814" s="845">
        <v>0</v>
      </c>
      <c r="W814" s="845">
        <v>7.5569358178053825E-2</v>
      </c>
      <c r="X814" s="845">
        <v>0.60273972602739723</v>
      </c>
      <c r="Y814" s="845">
        <v>0.74930693069306931</v>
      </c>
      <c r="Z814" s="845">
        <v>0.15326732673267326</v>
      </c>
      <c r="AA814" s="845">
        <v>0</v>
      </c>
      <c r="AB814" s="845">
        <v>1.5049504950495049E-2</v>
      </c>
      <c r="AC814" s="845">
        <v>0</v>
      </c>
      <c r="AD814" s="845">
        <v>0</v>
      </c>
      <c r="AE814" s="845">
        <v>8.237623762376238E-2</v>
      </c>
      <c r="AF814" s="845">
        <v>2.1782178217821781E-2</v>
      </c>
      <c r="AG814" s="845">
        <v>0.7275247524752475</v>
      </c>
      <c r="AH814" s="20" t="str">
        <f t="shared" si="75"/>
        <v>No</v>
      </c>
      <c r="AI814" s="25"/>
      <c r="AJ814" s="20">
        <v>45693</v>
      </c>
      <c r="AK814" s="20" t="s">
        <v>1825</v>
      </c>
      <c r="AL814" s="20">
        <v>39001</v>
      </c>
      <c r="AM814" s="20" t="s">
        <v>5</v>
      </c>
      <c r="AN814" s="37" t="str">
        <f t="shared" si="76"/>
        <v>N/A</v>
      </c>
      <c r="AO814" s="37" t="str">
        <f t="shared" si="77"/>
        <v>N/A</v>
      </c>
      <c r="AP814" s="20" t="s">
        <v>8</v>
      </c>
      <c r="AQ814" s="25"/>
      <c r="AR814" s="25"/>
      <c r="AS814" s="25"/>
      <c r="AT814" s="25"/>
      <c r="AU814" s="36"/>
      <c r="AV814" s="36"/>
      <c r="AW814" s="36"/>
      <c r="AX814" s="25"/>
      <c r="AY814" s="25"/>
      <c r="AZ814" s="25"/>
      <c r="BA814" s="25"/>
      <c r="BB814" s="25"/>
      <c r="BC814" s="25"/>
      <c r="BD814" s="25"/>
      <c r="BE814" s="25"/>
      <c r="BF814" s="25"/>
      <c r="BG814" s="25"/>
      <c r="BH814" s="25"/>
      <c r="BI814" s="25"/>
      <c r="BJ814" s="25"/>
      <c r="BK814" s="25"/>
      <c r="BL814" s="25"/>
      <c r="BM814" s="25"/>
      <c r="BN814" s="25"/>
      <c r="BO814" s="25"/>
      <c r="BP814" s="25"/>
      <c r="BQ814" s="25"/>
      <c r="BR814" s="25"/>
      <c r="BS814" s="25"/>
      <c r="BT814" s="25"/>
      <c r="BU814" s="39">
        <v>44807</v>
      </c>
      <c r="BV814" s="39" t="s">
        <v>1468</v>
      </c>
      <c r="BW814" s="39" t="s">
        <v>2948</v>
      </c>
      <c r="BX814" s="39" t="s">
        <v>2949</v>
      </c>
      <c r="BY814" s="71">
        <v>740</v>
      </c>
      <c r="BZ814" s="71">
        <v>740</v>
      </c>
      <c r="CA814" s="71">
        <v>970</v>
      </c>
      <c r="CB814" s="71">
        <v>1190</v>
      </c>
      <c r="CC814" s="71">
        <v>1320</v>
      </c>
      <c r="CD814" s="25"/>
      <c r="CE814" s="200"/>
      <c r="CF814" s="200"/>
      <c r="CG814" s="200"/>
      <c r="CH814" s="200"/>
      <c r="CI814" s="200"/>
      <c r="CJ814" s="200"/>
      <c r="CK814" s="200"/>
      <c r="CL814" s="200"/>
      <c r="CM814" s="200"/>
      <c r="CN814" s="200"/>
      <c r="CO814" s="200"/>
      <c r="CP814" s="200"/>
      <c r="CQ814" s="200"/>
      <c r="CR814" s="200"/>
      <c r="CS814" s="200"/>
      <c r="CT814" s="200"/>
      <c r="CU814" s="200"/>
    </row>
    <row r="815" spans="1:99" s="17" customFormat="1" x14ac:dyDescent="0.2">
      <c r="A815" s="25"/>
      <c r="B815" s="20">
        <v>39061004603</v>
      </c>
      <c r="C815" s="20">
        <v>46.03</v>
      </c>
      <c r="D815" s="20" t="s">
        <v>37</v>
      </c>
      <c r="E815" s="20" t="s">
        <v>2828</v>
      </c>
      <c r="F815" s="20" t="s">
        <v>8</v>
      </c>
      <c r="G815" s="861">
        <v>58.535308663685797</v>
      </c>
      <c r="H815" s="861">
        <v>67.340545779721097</v>
      </c>
      <c r="I815" s="861">
        <v>22.705825490232701</v>
      </c>
      <c r="J815" s="861">
        <v>44.806626983205902</v>
      </c>
      <c r="K815" s="982">
        <v>0</v>
      </c>
      <c r="L815" s="735">
        <v>3045</v>
      </c>
      <c r="M815" s="735">
        <v>3847</v>
      </c>
      <c r="N815" s="845">
        <f t="shared" si="73"/>
        <v>0.26338259441707718</v>
      </c>
      <c r="O815" s="735">
        <v>0.63340754100990837</v>
      </c>
      <c r="P815" s="735">
        <f t="shared" si="74"/>
        <v>6073.498894355319</v>
      </c>
      <c r="Q815" s="849">
        <v>41.4</v>
      </c>
      <c r="R815" s="71">
        <v>86953</v>
      </c>
      <c r="S815" s="845">
        <v>7.8729650386976241E-2</v>
      </c>
      <c r="T815" s="845">
        <v>2.2000000000000002E-2</v>
      </c>
      <c r="U815" s="845">
        <v>0</v>
      </c>
      <c r="V815" s="845">
        <v>1.7000000000000001E-2</v>
      </c>
      <c r="W815" s="845">
        <v>0.33655083655083656</v>
      </c>
      <c r="X815" s="845">
        <v>0.22179732313575526</v>
      </c>
      <c r="Y815" s="845">
        <v>0.92279698466337401</v>
      </c>
      <c r="Z815" s="845">
        <v>1.2477255003899143E-2</v>
      </c>
      <c r="AA815" s="845">
        <v>0</v>
      </c>
      <c r="AB815" s="845">
        <v>0</v>
      </c>
      <c r="AC815" s="845">
        <v>0</v>
      </c>
      <c r="AD815" s="845">
        <v>0</v>
      </c>
      <c r="AE815" s="845">
        <v>6.4725760332726798E-2</v>
      </c>
      <c r="AF815" s="845">
        <v>2.3394853132310892E-2</v>
      </c>
      <c r="AG815" s="845">
        <v>0.90902001559656875</v>
      </c>
      <c r="AH815" s="20" t="str">
        <f t="shared" si="75"/>
        <v>Yes</v>
      </c>
      <c r="AI815" s="25"/>
      <c r="AJ815" s="20">
        <v>45697</v>
      </c>
      <c r="AK815" s="20" t="s">
        <v>1829</v>
      </c>
      <c r="AL815" s="20">
        <v>39001</v>
      </c>
      <c r="AM815" s="20" t="s">
        <v>5</v>
      </c>
      <c r="AN815" s="37" t="str">
        <f t="shared" si="76"/>
        <v>N/A</v>
      </c>
      <c r="AO815" s="37" t="str">
        <f t="shared" si="77"/>
        <v>N/A</v>
      </c>
      <c r="AP815" s="20" t="s">
        <v>8</v>
      </c>
      <c r="AQ815" s="25"/>
      <c r="AR815" s="25"/>
      <c r="AS815" s="25"/>
      <c r="AT815" s="25"/>
      <c r="AU815" s="36"/>
      <c r="AV815" s="36"/>
      <c r="AW815" s="36"/>
      <c r="AX815" s="25"/>
      <c r="AY815" s="25"/>
      <c r="AZ815" s="25"/>
      <c r="BA815" s="25"/>
      <c r="BB815" s="25"/>
      <c r="BC815" s="25"/>
      <c r="BD815" s="25"/>
      <c r="BE815" s="25"/>
      <c r="BF815" s="25"/>
      <c r="BG815" s="25"/>
      <c r="BH815" s="25"/>
      <c r="BI815" s="25"/>
      <c r="BJ815" s="25"/>
      <c r="BK815" s="25"/>
      <c r="BL815" s="25"/>
      <c r="BM815" s="25"/>
      <c r="BN815" s="25"/>
      <c r="BO815" s="25"/>
      <c r="BP815" s="25"/>
      <c r="BQ815" s="25"/>
      <c r="BR815" s="25"/>
      <c r="BS815" s="25"/>
      <c r="BT815" s="25"/>
      <c r="BU815" s="39">
        <v>44850</v>
      </c>
      <c r="BV815" s="39" t="s">
        <v>1497</v>
      </c>
      <c r="BW815" s="39" t="s">
        <v>2948</v>
      </c>
      <c r="BX815" s="39" t="s">
        <v>2949</v>
      </c>
      <c r="BY815" s="71">
        <v>740</v>
      </c>
      <c r="BZ815" s="71">
        <v>760</v>
      </c>
      <c r="CA815" s="71">
        <v>990</v>
      </c>
      <c r="CB815" s="71">
        <v>1260</v>
      </c>
      <c r="CC815" s="71">
        <v>1560</v>
      </c>
      <c r="CD815" s="25"/>
      <c r="CE815" s="200"/>
      <c r="CF815" s="200"/>
      <c r="CG815" s="200"/>
      <c r="CH815" s="200"/>
      <c r="CI815" s="200"/>
      <c r="CJ815" s="200"/>
      <c r="CK815" s="200"/>
      <c r="CL815" s="200"/>
      <c r="CM815" s="200"/>
      <c r="CN815" s="200"/>
      <c r="CO815" s="200"/>
      <c r="CP815" s="200"/>
      <c r="CQ815" s="200"/>
      <c r="CR815" s="200"/>
      <c r="CS815" s="200"/>
      <c r="CT815" s="200"/>
      <c r="CU815" s="200"/>
    </row>
    <row r="816" spans="1:99" s="17" customFormat="1" x14ac:dyDescent="0.2">
      <c r="A816" s="25"/>
      <c r="B816" s="20">
        <v>39153530901</v>
      </c>
      <c r="C816" s="20">
        <v>5309.01</v>
      </c>
      <c r="D816" s="20" t="s">
        <v>82</v>
      </c>
      <c r="E816" s="20" t="s">
        <v>2843</v>
      </c>
      <c r="F816" s="20" t="s">
        <v>8</v>
      </c>
      <c r="G816" s="861">
        <v>58.5342372544293</v>
      </c>
      <c r="H816" s="861">
        <v>64.193411442316801</v>
      </c>
      <c r="I816" s="861">
        <v>31.789129617785999</v>
      </c>
      <c r="J816" s="861">
        <v>39.3169031917135</v>
      </c>
      <c r="K816" s="982">
        <v>0</v>
      </c>
      <c r="L816" s="735">
        <v>4629</v>
      </c>
      <c r="M816" s="735">
        <v>4233</v>
      </c>
      <c r="N816" s="845">
        <f t="shared" si="73"/>
        <v>-8.5547634478289045E-2</v>
      </c>
      <c r="O816" s="735">
        <v>2.6494488424504778</v>
      </c>
      <c r="P816" s="735">
        <f t="shared" si="74"/>
        <v>1597.6907846557604</v>
      </c>
      <c r="Q816" s="849">
        <v>48.4</v>
      </c>
      <c r="R816" s="71">
        <v>79665</v>
      </c>
      <c r="S816" s="845">
        <v>5.5596375214303211E-2</v>
      </c>
      <c r="T816" s="845">
        <v>0.10400000000000001</v>
      </c>
      <c r="U816" s="845">
        <v>0</v>
      </c>
      <c r="V816" s="845">
        <v>0</v>
      </c>
      <c r="W816" s="845">
        <v>0.32360471070148489</v>
      </c>
      <c r="X816" s="845">
        <v>0.43670886075949367</v>
      </c>
      <c r="Y816" s="845">
        <v>0.83108906213087641</v>
      </c>
      <c r="Z816" s="845">
        <v>6.3784549964564133E-2</v>
      </c>
      <c r="AA816" s="845">
        <v>0</v>
      </c>
      <c r="AB816" s="845">
        <v>8.7408457358847155E-2</v>
      </c>
      <c r="AC816" s="845">
        <v>0</v>
      </c>
      <c r="AD816" s="845">
        <v>5.9059768485707539E-3</v>
      </c>
      <c r="AE816" s="845">
        <v>1.1811953697141508E-2</v>
      </c>
      <c r="AF816" s="845">
        <v>6.1422159225135841E-3</v>
      </c>
      <c r="AG816" s="845">
        <v>0.83085282305693364</v>
      </c>
      <c r="AH816" s="20" t="str">
        <f t="shared" si="75"/>
        <v>No</v>
      </c>
      <c r="AI816" s="25"/>
      <c r="AJ816" s="20">
        <v>43014</v>
      </c>
      <c r="AK816" s="20" t="s">
        <v>740</v>
      </c>
      <c r="AL816" s="20">
        <v>39005</v>
      </c>
      <c r="AM816" s="20" t="s">
        <v>9</v>
      </c>
      <c r="AN816" s="37" t="str">
        <f t="shared" si="76"/>
        <v>N/A</v>
      </c>
      <c r="AO816" s="37" t="str">
        <f t="shared" si="77"/>
        <v>N/A</v>
      </c>
      <c r="AP816" s="20" t="s">
        <v>8</v>
      </c>
      <c r="AQ816" s="25"/>
      <c r="AR816" s="25"/>
      <c r="AS816" s="25"/>
      <c r="AT816" s="25"/>
      <c r="AU816" s="36"/>
      <c r="AV816" s="36"/>
      <c r="AW816" s="36"/>
      <c r="AX816" s="25"/>
      <c r="AY816" s="25"/>
      <c r="AZ816" s="25"/>
      <c r="BA816" s="25"/>
      <c r="BB816" s="25"/>
      <c r="BC816" s="25"/>
      <c r="BD816" s="25"/>
      <c r="BE816" s="25"/>
      <c r="BF816" s="25"/>
      <c r="BG816" s="25"/>
      <c r="BH816" s="25"/>
      <c r="BI816" s="25"/>
      <c r="BJ816" s="25"/>
      <c r="BK816" s="25"/>
      <c r="BL816" s="25"/>
      <c r="BM816" s="25"/>
      <c r="BN816" s="25"/>
      <c r="BO816" s="25"/>
      <c r="BP816" s="25"/>
      <c r="BQ816" s="25"/>
      <c r="BR816" s="25"/>
      <c r="BS816" s="25"/>
      <c r="BT816" s="25"/>
      <c r="BU816" s="39">
        <v>44855</v>
      </c>
      <c r="BV816" s="39" t="s">
        <v>1501</v>
      </c>
      <c r="BW816" s="39" t="s">
        <v>2948</v>
      </c>
      <c r="BX816" s="39" t="s">
        <v>2949</v>
      </c>
      <c r="BY816" s="71">
        <v>830</v>
      </c>
      <c r="BZ816" s="71">
        <v>830</v>
      </c>
      <c r="CA816" s="71">
        <v>1090</v>
      </c>
      <c r="CB816" s="71">
        <v>1360</v>
      </c>
      <c r="CC816" s="71">
        <v>1700</v>
      </c>
      <c r="CD816" s="25"/>
      <c r="CE816" s="200"/>
      <c r="CF816" s="200"/>
      <c r="CG816" s="200"/>
      <c r="CH816" s="200"/>
      <c r="CI816" s="200"/>
      <c r="CJ816" s="200"/>
      <c r="CK816" s="200"/>
      <c r="CL816" s="200"/>
      <c r="CM816" s="200"/>
      <c r="CN816" s="200"/>
      <c r="CO816" s="200"/>
      <c r="CP816" s="200"/>
      <c r="CQ816" s="200"/>
      <c r="CR816" s="200"/>
      <c r="CS816" s="200"/>
      <c r="CT816" s="200"/>
      <c r="CU816" s="200"/>
    </row>
    <row r="817" spans="1:99" s="17" customFormat="1" x14ac:dyDescent="0.2">
      <c r="A817" s="25"/>
      <c r="B817" s="20">
        <v>39049007959</v>
      </c>
      <c r="C817" s="20">
        <v>79.59</v>
      </c>
      <c r="D817" s="20" t="s">
        <v>31</v>
      </c>
      <c r="E817" s="20" t="s">
        <v>2830</v>
      </c>
      <c r="F817" s="20" t="s">
        <v>8</v>
      </c>
      <c r="G817" s="861">
        <v>58.512144869658599</v>
      </c>
      <c r="H817" s="861">
        <v>62.198768062799203</v>
      </c>
      <c r="I817" s="861">
        <v>22.6960840882155</v>
      </c>
      <c r="J817" s="861">
        <v>54.5014055043697</v>
      </c>
      <c r="K817" s="982">
        <v>0</v>
      </c>
      <c r="L817" s="735" t="s">
        <v>2466</v>
      </c>
      <c r="M817" s="735">
        <v>2121</v>
      </c>
      <c r="N817" s="845" t="str">
        <f t="shared" si="73"/>
        <v/>
      </c>
      <c r="O817" s="735">
        <v>1.3924461606891316</v>
      </c>
      <c r="P817" s="735">
        <f t="shared" si="74"/>
        <v>1523.2186779489571</v>
      </c>
      <c r="Q817" s="849">
        <v>35.4</v>
      </c>
      <c r="R817" s="71">
        <v>89032</v>
      </c>
      <c r="S817" s="845">
        <v>1.6083254493850521E-2</v>
      </c>
      <c r="T817" s="845">
        <v>0.01</v>
      </c>
      <c r="U817" s="845">
        <v>0</v>
      </c>
      <c r="V817" s="845">
        <v>0</v>
      </c>
      <c r="W817" s="845">
        <v>0.46936542669584247</v>
      </c>
      <c r="X817" s="845">
        <v>0.25174825174825177</v>
      </c>
      <c r="Y817" s="845">
        <v>0.81140971239981141</v>
      </c>
      <c r="Z817" s="845">
        <v>9.1466289486091465E-2</v>
      </c>
      <c r="AA817" s="845">
        <v>9.4295143800094295E-4</v>
      </c>
      <c r="AB817" s="845">
        <v>2.4045261669024046E-2</v>
      </c>
      <c r="AC817" s="845">
        <v>0</v>
      </c>
      <c r="AD817" s="845">
        <v>1.885902876001886E-2</v>
      </c>
      <c r="AE817" s="845">
        <v>5.3276756247053275E-2</v>
      </c>
      <c r="AF817" s="845">
        <v>3.6775106082036775E-2</v>
      </c>
      <c r="AG817" s="845">
        <v>0.80575200377180578</v>
      </c>
      <c r="AH817" s="20" t="str">
        <f t="shared" si="75"/>
        <v>No</v>
      </c>
      <c r="AI817" s="25"/>
      <c r="AJ817" s="37">
        <v>44235</v>
      </c>
      <c r="AK817" s="37" t="s">
        <v>1268</v>
      </c>
      <c r="AL817" s="37">
        <v>39005</v>
      </c>
      <c r="AM817" s="37" t="s">
        <v>9</v>
      </c>
      <c r="AN817" s="37" t="str">
        <f t="shared" si="76"/>
        <v>N/A</v>
      </c>
      <c r="AO817" s="37" t="str">
        <f t="shared" si="77"/>
        <v>N/A</v>
      </c>
      <c r="AP817" s="20" t="s">
        <v>8</v>
      </c>
      <c r="AQ817" s="25"/>
      <c r="AR817" s="25"/>
      <c r="AS817" s="25"/>
      <c r="AT817" s="25"/>
      <c r="AU817" s="36"/>
      <c r="AV817" s="36"/>
      <c r="AW817" s="36"/>
      <c r="AX817" s="25"/>
      <c r="AY817" s="25"/>
      <c r="AZ817" s="25"/>
      <c r="BA817" s="25"/>
      <c r="BB817" s="25"/>
      <c r="BC817" s="25"/>
      <c r="BD817" s="25"/>
      <c r="BE817" s="25"/>
      <c r="BF817" s="25"/>
      <c r="BG817" s="25"/>
      <c r="BH817" s="25"/>
      <c r="BI817" s="25"/>
      <c r="BJ817" s="25"/>
      <c r="BK817" s="25"/>
      <c r="BL817" s="25"/>
      <c r="BM817" s="25"/>
      <c r="BN817" s="25"/>
      <c r="BO817" s="25"/>
      <c r="BP817" s="25"/>
      <c r="BQ817" s="25"/>
      <c r="BR817" s="25"/>
      <c r="BS817" s="25"/>
      <c r="BT817" s="25"/>
      <c r="BU817" s="39">
        <v>44890</v>
      </c>
      <c r="BV817" s="39" t="s">
        <v>1520</v>
      </c>
      <c r="BW817" s="39" t="s">
        <v>2948</v>
      </c>
      <c r="BX817" s="39" t="s">
        <v>2949</v>
      </c>
      <c r="BY817" s="71">
        <v>740</v>
      </c>
      <c r="BZ817" s="71">
        <v>740</v>
      </c>
      <c r="CA817" s="71">
        <v>970</v>
      </c>
      <c r="CB817" s="71">
        <v>1210</v>
      </c>
      <c r="CC817" s="71">
        <v>1520</v>
      </c>
      <c r="CD817" s="25"/>
      <c r="CE817" s="200"/>
      <c r="CF817" s="200"/>
      <c r="CG817" s="200"/>
      <c r="CH817" s="200"/>
      <c r="CI817" s="200"/>
      <c r="CJ817" s="200"/>
      <c r="CK817" s="200"/>
      <c r="CL817" s="200"/>
      <c r="CM817" s="200"/>
      <c r="CN817" s="200"/>
      <c r="CO817" s="200"/>
      <c r="CP817" s="200"/>
      <c r="CQ817" s="200"/>
      <c r="CR817" s="200"/>
      <c r="CS817" s="200"/>
      <c r="CT817" s="200"/>
      <c r="CU817" s="200"/>
    </row>
    <row r="818" spans="1:99" s="17" customFormat="1" x14ac:dyDescent="0.2">
      <c r="A818" s="25"/>
      <c r="B818" s="20">
        <v>39061026103</v>
      </c>
      <c r="C818" s="20">
        <v>261.02999999999997</v>
      </c>
      <c r="D818" s="20" t="s">
        <v>37</v>
      </c>
      <c r="E818" s="20" t="s">
        <v>2828</v>
      </c>
      <c r="F818" s="20" t="s">
        <v>8</v>
      </c>
      <c r="G818" s="861">
        <v>58.510380839873299</v>
      </c>
      <c r="H818" s="861">
        <v>62.610730989838302</v>
      </c>
      <c r="I818" s="861">
        <v>28.5055490234895</v>
      </c>
      <c r="J818" s="861">
        <v>48.2823665910229</v>
      </c>
      <c r="K818" s="982">
        <v>0</v>
      </c>
      <c r="L818" s="735" t="s">
        <v>2466</v>
      </c>
      <c r="M818" s="735">
        <v>4302</v>
      </c>
      <c r="N818" s="845" t="str">
        <f t="shared" si="73"/>
        <v/>
      </c>
      <c r="O818" s="735">
        <v>1.1257715773838051</v>
      </c>
      <c r="P818" s="735">
        <f t="shared" si="74"/>
        <v>3821.3791202629868</v>
      </c>
      <c r="Q818" s="849">
        <v>34.6</v>
      </c>
      <c r="R818" s="71">
        <v>70556</v>
      </c>
      <c r="S818" s="845">
        <v>0.10410316529894489</v>
      </c>
      <c r="T818" s="845">
        <v>2.2000000000000002E-2</v>
      </c>
      <c r="U818" s="845">
        <v>0</v>
      </c>
      <c r="V818" s="845">
        <v>8.1000000000000003E-2</v>
      </c>
      <c r="W818" s="845">
        <v>0.391156462585034</v>
      </c>
      <c r="X818" s="845">
        <v>0.29130434782608694</v>
      </c>
      <c r="Y818" s="845">
        <v>0.93049744304974435</v>
      </c>
      <c r="Z818" s="845">
        <v>2.7894002789400279E-2</v>
      </c>
      <c r="AA818" s="845">
        <v>4.6490004649000463E-4</v>
      </c>
      <c r="AB818" s="845">
        <v>0</v>
      </c>
      <c r="AC818" s="845">
        <v>0</v>
      </c>
      <c r="AD818" s="845">
        <v>0</v>
      </c>
      <c r="AE818" s="845">
        <v>4.1143654114365415E-2</v>
      </c>
      <c r="AF818" s="845">
        <v>2.7894002789400279E-2</v>
      </c>
      <c r="AG818" s="845">
        <v>0.93049744304974435</v>
      </c>
      <c r="AH818" s="20" t="str">
        <f t="shared" si="75"/>
        <v>Yes</v>
      </c>
      <c r="AI818" s="25"/>
      <c r="AJ818" s="20">
        <v>44287</v>
      </c>
      <c r="AK818" s="20" t="s">
        <v>1294</v>
      </c>
      <c r="AL818" s="20">
        <v>39005</v>
      </c>
      <c r="AM818" s="20" t="s">
        <v>9</v>
      </c>
      <c r="AN818" s="37" t="str">
        <f t="shared" si="76"/>
        <v>N/A</v>
      </c>
      <c r="AO818" s="37" t="str">
        <f t="shared" si="77"/>
        <v>N/A</v>
      </c>
      <c r="AP818" s="20" t="s">
        <v>8</v>
      </c>
      <c r="AQ818" s="25"/>
      <c r="AR818" s="25"/>
      <c r="AS818" s="25"/>
      <c r="AT818" s="25"/>
      <c r="AU818" s="36"/>
      <c r="AV818" s="36"/>
      <c r="AW818" s="36"/>
      <c r="AX818" s="25"/>
      <c r="AY818" s="25"/>
      <c r="AZ818" s="25"/>
      <c r="BA818" s="25"/>
      <c r="BB818" s="25"/>
      <c r="BC818" s="25"/>
      <c r="BD818" s="25"/>
      <c r="BE818" s="25"/>
      <c r="BF818" s="25"/>
      <c r="BG818" s="25"/>
      <c r="BH818" s="25"/>
      <c r="BI818" s="25"/>
      <c r="BJ818" s="25"/>
      <c r="BK818" s="25"/>
      <c r="BL818" s="25"/>
      <c r="BM818" s="25"/>
      <c r="BN818" s="25"/>
      <c r="BO818" s="25"/>
      <c r="BP818" s="25"/>
      <c r="BQ818" s="25"/>
      <c r="BR818" s="25"/>
      <c r="BS818" s="25"/>
      <c r="BT818" s="25"/>
      <c r="BU818" s="39">
        <v>45601</v>
      </c>
      <c r="BV818" s="39" t="s">
        <v>1768</v>
      </c>
      <c r="BW818" s="39" t="s">
        <v>2880</v>
      </c>
      <c r="BX818" s="39" t="s">
        <v>2881</v>
      </c>
      <c r="BY818" s="71">
        <v>800</v>
      </c>
      <c r="BZ818" s="71">
        <v>900</v>
      </c>
      <c r="CA818" s="71">
        <v>1080</v>
      </c>
      <c r="CB818" s="71">
        <v>1360</v>
      </c>
      <c r="CC818" s="71">
        <v>1430</v>
      </c>
      <c r="CD818" s="25"/>
      <c r="CE818" s="200"/>
      <c r="CF818" s="200"/>
      <c r="CG818" s="200"/>
      <c r="CH818" s="200"/>
      <c r="CI818" s="200"/>
      <c r="CJ818" s="200"/>
      <c r="CK818" s="200"/>
      <c r="CL818" s="200"/>
      <c r="CM818" s="200"/>
      <c r="CN818" s="200"/>
      <c r="CO818" s="200"/>
      <c r="CP818" s="200"/>
      <c r="CQ818" s="200"/>
      <c r="CR818" s="200"/>
      <c r="CS818" s="200"/>
      <c r="CT818" s="200"/>
      <c r="CU818" s="200"/>
    </row>
    <row r="819" spans="1:99" s="17" customFormat="1" x14ac:dyDescent="0.2">
      <c r="A819" s="25"/>
      <c r="B819" s="20">
        <v>39159050401</v>
      </c>
      <c r="C819" s="20">
        <v>504.01</v>
      </c>
      <c r="D819" s="20" t="s">
        <v>85</v>
      </c>
      <c r="E819" s="20" t="s">
        <v>2830</v>
      </c>
      <c r="F819" s="20" t="s">
        <v>8</v>
      </c>
      <c r="G819" s="861">
        <v>58.494384420301898</v>
      </c>
      <c r="H819" s="861">
        <v>65.719429222594698</v>
      </c>
      <c r="I819" s="861">
        <v>15.8687587490771</v>
      </c>
      <c r="J819" s="861">
        <v>58.711661717766603</v>
      </c>
      <c r="K819" s="982">
        <v>0</v>
      </c>
      <c r="L819" s="735" t="s">
        <v>2466</v>
      </c>
      <c r="M819" s="735">
        <v>5056</v>
      </c>
      <c r="N819" s="845" t="str">
        <f t="shared" si="73"/>
        <v/>
      </c>
      <c r="O819" s="735">
        <v>1.6450596755828351</v>
      </c>
      <c r="P819" s="735">
        <f t="shared" si="74"/>
        <v>3073.444735801872</v>
      </c>
      <c r="Q819" s="849">
        <v>40.1</v>
      </c>
      <c r="R819" s="71">
        <v>105543</v>
      </c>
      <c r="S819" s="845">
        <v>2.3297491039426525E-2</v>
      </c>
      <c r="T819" s="845">
        <v>0</v>
      </c>
      <c r="U819" s="845">
        <v>0</v>
      </c>
      <c r="V819" s="845">
        <v>0</v>
      </c>
      <c r="W819" s="845">
        <v>0.22131147540983606</v>
      </c>
      <c r="X819" s="845">
        <v>0.19259259259259259</v>
      </c>
      <c r="Y819" s="845">
        <v>0.83801424050632911</v>
      </c>
      <c r="Z819" s="845">
        <v>8.7223101265822792E-2</v>
      </c>
      <c r="AA819" s="845">
        <v>4.9446202531645573E-3</v>
      </c>
      <c r="AB819" s="845">
        <v>9.8892405063291146E-3</v>
      </c>
      <c r="AC819" s="845">
        <v>0</v>
      </c>
      <c r="AD819" s="845">
        <v>1.0284810126582278E-2</v>
      </c>
      <c r="AE819" s="845">
        <v>4.9643987341772153E-2</v>
      </c>
      <c r="AF819" s="845">
        <v>1.9580696202531646E-2</v>
      </c>
      <c r="AG819" s="845">
        <v>0.83326740506329111</v>
      </c>
      <c r="AH819" s="20" t="str">
        <f t="shared" si="75"/>
        <v>No</v>
      </c>
      <c r="AI819" s="25"/>
      <c r="AJ819" s="20">
        <v>44638</v>
      </c>
      <c r="AK819" s="20" t="s">
        <v>1406</v>
      </c>
      <c r="AL819" s="20">
        <v>39005</v>
      </c>
      <c r="AM819" s="20" t="s">
        <v>9</v>
      </c>
      <c r="AN819" s="37" t="str">
        <f t="shared" si="76"/>
        <v>N/A</v>
      </c>
      <c r="AO819" s="37" t="str">
        <f t="shared" si="77"/>
        <v>N/A</v>
      </c>
      <c r="AP819" s="20" t="s">
        <v>8</v>
      </c>
      <c r="AQ819" s="25"/>
      <c r="AR819" s="25"/>
      <c r="AS819" s="25"/>
      <c r="AT819" s="25"/>
      <c r="AU819" s="36"/>
      <c r="AV819" s="36"/>
      <c r="AW819" s="36"/>
      <c r="AX819" s="25"/>
      <c r="AY819" s="25"/>
      <c r="AZ819" s="25"/>
      <c r="BA819" s="25"/>
      <c r="BB819" s="25"/>
      <c r="BC819" s="25"/>
      <c r="BD819" s="25"/>
      <c r="BE819" s="25"/>
      <c r="BF819" s="25"/>
      <c r="BG819" s="25"/>
      <c r="BH819" s="25"/>
      <c r="BI819" s="25"/>
      <c r="BJ819" s="25"/>
      <c r="BK819" s="25"/>
      <c r="BL819" s="25"/>
      <c r="BM819" s="25"/>
      <c r="BN819" s="25"/>
      <c r="BO819" s="25"/>
      <c r="BP819" s="25"/>
      <c r="BQ819" s="25"/>
      <c r="BR819" s="25"/>
      <c r="BS819" s="25"/>
      <c r="BT819" s="25"/>
      <c r="BU819" s="39">
        <v>45613</v>
      </c>
      <c r="BV819" s="39" t="s">
        <v>1770</v>
      </c>
      <c r="BW819" s="39" t="s">
        <v>2880</v>
      </c>
      <c r="BX819" s="39" t="s">
        <v>2881</v>
      </c>
      <c r="BY819" s="71">
        <v>730</v>
      </c>
      <c r="BZ819" s="71">
        <v>750</v>
      </c>
      <c r="CA819" s="71">
        <v>970</v>
      </c>
      <c r="CB819" s="71">
        <v>1220</v>
      </c>
      <c r="CC819" s="71">
        <v>1440</v>
      </c>
      <c r="CD819" s="25"/>
      <c r="CE819" s="200"/>
      <c r="CF819" s="200"/>
      <c r="CG819" s="200"/>
      <c r="CH819" s="200"/>
      <c r="CI819" s="200"/>
      <c r="CJ819" s="200"/>
      <c r="CK819" s="200"/>
      <c r="CL819" s="200"/>
      <c r="CM819" s="200"/>
      <c r="CN819" s="200"/>
      <c r="CO819" s="200"/>
      <c r="CP819" s="200"/>
      <c r="CQ819" s="200"/>
      <c r="CR819" s="200"/>
      <c r="CS819" s="200"/>
      <c r="CT819" s="200"/>
      <c r="CU819" s="200"/>
    </row>
    <row r="820" spans="1:99" s="17" customFormat="1" x14ac:dyDescent="0.2">
      <c r="A820" s="25"/>
      <c r="B820" s="20">
        <v>39173021702</v>
      </c>
      <c r="C820" s="20">
        <v>217.02</v>
      </c>
      <c r="D820" s="20" t="s">
        <v>92</v>
      </c>
      <c r="E820" s="20" t="s">
        <v>2839</v>
      </c>
      <c r="F820" s="20" t="s">
        <v>6</v>
      </c>
      <c r="G820" s="861">
        <v>58.453482749253197</v>
      </c>
      <c r="H820" s="861">
        <v>53.4083550917358</v>
      </c>
      <c r="I820" s="861">
        <v>45.2543889540664</v>
      </c>
      <c r="J820" s="861">
        <v>49.786064221179203</v>
      </c>
      <c r="K820" s="982">
        <v>0</v>
      </c>
      <c r="L820" s="735">
        <v>5319</v>
      </c>
      <c r="M820" s="735">
        <v>4355</v>
      </c>
      <c r="N820" s="845">
        <f t="shared" si="73"/>
        <v>-0.18123707463808986</v>
      </c>
      <c r="O820" s="735">
        <v>0.6087116747420126</v>
      </c>
      <c r="P820" s="735">
        <f t="shared" si="74"/>
        <v>7154.4545319354338</v>
      </c>
      <c r="Q820" s="849">
        <v>26.5</v>
      </c>
      <c r="R820" s="71">
        <v>39566</v>
      </c>
      <c r="S820" s="845">
        <v>0.24385763490241102</v>
      </c>
      <c r="T820" s="845">
        <v>5.7999999999999996E-2</v>
      </c>
      <c r="U820" s="845">
        <v>0</v>
      </c>
      <c r="V820" s="845">
        <v>2.6000000000000002E-2</v>
      </c>
      <c r="W820" s="845">
        <v>0.81735505873436909</v>
      </c>
      <c r="X820" s="845">
        <v>0.43764487714418171</v>
      </c>
      <c r="Y820" s="845">
        <v>0.83398392652123998</v>
      </c>
      <c r="Z820" s="845">
        <v>3.9265212399540755E-2</v>
      </c>
      <c r="AA820" s="845">
        <v>4.1331802525832375E-3</v>
      </c>
      <c r="AB820" s="845">
        <v>2.227324913892078E-2</v>
      </c>
      <c r="AC820" s="845">
        <v>0</v>
      </c>
      <c r="AD820" s="845">
        <v>2.0665901262916189E-2</v>
      </c>
      <c r="AE820" s="845">
        <v>7.9678530424799082E-2</v>
      </c>
      <c r="AF820" s="845">
        <v>8.7256027554535015E-2</v>
      </c>
      <c r="AG820" s="845">
        <v>0.82893226176808266</v>
      </c>
      <c r="AH820" s="20" t="str">
        <f t="shared" si="75"/>
        <v>No</v>
      </c>
      <c r="AI820" s="25"/>
      <c r="AJ820" s="20">
        <v>44691</v>
      </c>
      <c r="AK820" s="20" t="s">
        <v>1446</v>
      </c>
      <c r="AL820" s="20">
        <v>39005</v>
      </c>
      <c r="AM820" s="20" t="s">
        <v>9</v>
      </c>
      <c r="AN820" s="37" t="str">
        <f t="shared" si="76"/>
        <v>N/A</v>
      </c>
      <c r="AO820" s="37" t="str">
        <f t="shared" si="77"/>
        <v>N/A</v>
      </c>
      <c r="AP820" s="20" t="s">
        <v>8</v>
      </c>
      <c r="AQ820" s="25"/>
      <c r="AR820" s="25"/>
      <c r="AS820" s="25"/>
      <c r="AT820" s="25"/>
      <c r="AU820" s="36"/>
      <c r="AV820" s="36"/>
      <c r="AW820" s="36"/>
      <c r="AX820" s="25"/>
      <c r="AY820" s="25"/>
      <c r="AZ820" s="25"/>
      <c r="BA820" s="25"/>
      <c r="BB820" s="25"/>
      <c r="BC820" s="25"/>
      <c r="BD820" s="25"/>
      <c r="BE820" s="25"/>
      <c r="BF820" s="25"/>
      <c r="BG820" s="25"/>
      <c r="BH820" s="25"/>
      <c r="BI820" s="25"/>
      <c r="BJ820" s="25"/>
      <c r="BK820" s="25"/>
      <c r="BL820" s="25"/>
      <c r="BM820" s="25"/>
      <c r="BN820" s="25"/>
      <c r="BO820" s="25"/>
      <c r="BP820" s="25"/>
      <c r="BQ820" s="25"/>
      <c r="BR820" s="25"/>
      <c r="BS820" s="25"/>
      <c r="BT820" s="25"/>
      <c r="BU820" s="39">
        <v>45621</v>
      </c>
      <c r="BV820" s="39" t="s">
        <v>1777</v>
      </c>
      <c r="BW820" s="39" t="s">
        <v>2880</v>
      </c>
      <c r="BX820" s="39" t="s">
        <v>2881</v>
      </c>
      <c r="BY820" s="71">
        <v>740</v>
      </c>
      <c r="BZ820" s="71">
        <v>770</v>
      </c>
      <c r="CA820" s="71">
        <v>980</v>
      </c>
      <c r="CB820" s="71">
        <v>1270</v>
      </c>
      <c r="CC820" s="71">
        <v>1350</v>
      </c>
      <c r="CD820" s="25"/>
      <c r="CE820" s="200"/>
      <c r="CF820" s="200"/>
      <c r="CG820" s="200"/>
      <c r="CH820" s="200"/>
      <c r="CI820" s="200"/>
      <c r="CJ820" s="200"/>
      <c r="CK820" s="200"/>
      <c r="CL820" s="200"/>
      <c r="CM820" s="200"/>
      <c r="CN820" s="200"/>
      <c r="CO820" s="200"/>
      <c r="CP820" s="200"/>
      <c r="CQ820" s="200"/>
      <c r="CR820" s="200"/>
      <c r="CS820" s="200"/>
      <c r="CT820" s="200"/>
      <c r="CU820" s="200"/>
    </row>
    <row r="821" spans="1:99" s="17" customFormat="1" x14ac:dyDescent="0.2">
      <c r="A821" s="25"/>
      <c r="B821" s="20">
        <v>39055311900</v>
      </c>
      <c r="C821" s="20">
        <v>3119</v>
      </c>
      <c r="D821" s="20" t="s">
        <v>34</v>
      </c>
      <c r="E821" s="20" t="s">
        <v>2829</v>
      </c>
      <c r="F821" s="20" t="s">
        <v>8</v>
      </c>
      <c r="G821" s="861">
        <v>58.440996330919297</v>
      </c>
      <c r="H821" s="861">
        <v>69.346324193281305</v>
      </c>
      <c r="I821" s="861">
        <v>22.595937604405002</v>
      </c>
      <c r="J821" s="861">
        <v>43.896057279901797</v>
      </c>
      <c r="K821" s="982">
        <v>0</v>
      </c>
      <c r="L821" s="735">
        <v>6485</v>
      </c>
      <c r="M821" s="735">
        <v>6574</v>
      </c>
      <c r="N821" s="845">
        <f t="shared" si="73"/>
        <v>1.3723978411719353E-2</v>
      </c>
      <c r="O821" s="735">
        <v>27.678428994795656</v>
      </c>
      <c r="P821" s="735">
        <f t="shared" si="74"/>
        <v>237.51348030757461</v>
      </c>
      <c r="Q821" s="849">
        <v>45.7</v>
      </c>
      <c r="R821" s="71">
        <v>134655</v>
      </c>
      <c r="S821" s="845">
        <v>3.8180711895345297E-2</v>
      </c>
      <c r="T821" s="845">
        <v>1.3000000000000001E-2</v>
      </c>
      <c r="U821" s="845">
        <v>1.6E-2</v>
      </c>
      <c r="V821" s="845">
        <v>7.8E-2</v>
      </c>
      <c r="W821" s="845">
        <v>6.8566340160284955E-2</v>
      </c>
      <c r="X821" s="845">
        <v>0.48701298701298701</v>
      </c>
      <c r="Y821" s="845">
        <v>0.95360511104350476</v>
      </c>
      <c r="Z821" s="845">
        <v>3.6507453605111044E-3</v>
      </c>
      <c r="AA821" s="845">
        <v>0</v>
      </c>
      <c r="AB821" s="845">
        <v>3.6507453605111044E-3</v>
      </c>
      <c r="AC821" s="845">
        <v>0</v>
      </c>
      <c r="AD821" s="845">
        <v>0</v>
      </c>
      <c r="AE821" s="845">
        <v>3.9093398235473073E-2</v>
      </c>
      <c r="AF821" s="845">
        <v>2.8901734104046242E-2</v>
      </c>
      <c r="AG821" s="845">
        <v>0.95360511104350476</v>
      </c>
      <c r="AH821" s="20" t="str">
        <f t="shared" si="75"/>
        <v>Yes</v>
      </c>
      <c r="AI821" s="25"/>
      <c r="AJ821" s="20">
        <v>44805</v>
      </c>
      <c r="AK821" s="20" t="s">
        <v>1467</v>
      </c>
      <c r="AL821" s="20">
        <v>39005</v>
      </c>
      <c r="AM821" s="20" t="s">
        <v>9</v>
      </c>
      <c r="AN821" s="37" t="str">
        <f t="shared" si="76"/>
        <v>N/A</v>
      </c>
      <c r="AO821" s="37" t="str">
        <f t="shared" si="77"/>
        <v>N/A</v>
      </c>
      <c r="AP821" s="20" t="s">
        <v>8</v>
      </c>
      <c r="AQ821" s="25"/>
      <c r="AR821" s="25"/>
      <c r="AS821" s="25"/>
      <c r="AT821" s="25"/>
      <c r="AU821" s="36"/>
      <c r="AV821" s="36"/>
      <c r="AW821" s="36"/>
      <c r="AX821" s="25"/>
      <c r="AY821" s="25"/>
      <c r="AZ821" s="25"/>
      <c r="BA821" s="25"/>
      <c r="BB821" s="25"/>
      <c r="BC821" s="25"/>
      <c r="BD821" s="25"/>
      <c r="BE821" s="25"/>
      <c r="BF821" s="25"/>
      <c r="BG821" s="25"/>
      <c r="BH821" s="25"/>
      <c r="BI821" s="25"/>
      <c r="BJ821" s="25"/>
      <c r="BK821" s="25"/>
      <c r="BL821" s="25"/>
      <c r="BM821" s="25"/>
      <c r="BN821" s="25"/>
      <c r="BO821" s="25"/>
      <c r="BP821" s="25"/>
      <c r="BQ821" s="25"/>
      <c r="BR821" s="25"/>
      <c r="BS821" s="25"/>
      <c r="BT821" s="25"/>
      <c r="BU821" s="39">
        <v>45634</v>
      </c>
      <c r="BV821" s="39" t="s">
        <v>1785</v>
      </c>
      <c r="BW821" s="39" t="s">
        <v>2880</v>
      </c>
      <c r="BX821" s="39" t="s">
        <v>2881</v>
      </c>
      <c r="BY821" s="71">
        <v>740</v>
      </c>
      <c r="BZ821" s="71">
        <v>790</v>
      </c>
      <c r="CA821" s="71">
        <v>970</v>
      </c>
      <c r="CB821" s="71">
        <v>1170</v>
      </c>
      <c r="CC821" s="71">
        <v>1370</v>
      </c>
      <c r="CD821" s="25"/>
      <c r="CE821" s="200"/>
      <c r="CF821" s="200"/>
      <c r="CG821" s="200"/>
      <c r="CH821" s="200"/>
      <c r="CI821" s="200"/>
      <c r="CJ821" s="200"/>
      <c r="CK821" s="200"/>
      <c r="CL821" s="200"/>
      <c r="CM821" s="200"/>
      <c r="CN821" s="200"/>
      <c r="CO821" s="200"/>
      <c r="CP821" s="200"/>
      <c r="CQ821" s="200"/>
      <c r="CR821" s="200"/>
      <c r="CS821" s="200"/>
      <c r="CT821" s="200"/>
      <c r="CU821" s="200"/>
    </row>
    <row r="822" spans="1:99" s="17" customFormat="1" x14ac:dyDescent="0.2">
      <c r="A822" s="25"/>
      <c r="B822" s="20">
        <v>39035119501</v>
      </c>
      <c r="C822" s="20">
        <v>1195.01</v>
      </c>
      <c r="D822" s="20" t="s">
        <v>24</v>
      </c>
      <c r="E822" s="20" t="s">
        <v>2829</v>
      </c>
      <c r="F822" s="20" t="s">
        <v>8</v>
      </c>
      <c r="G822" s="861">
        <v>58.414409777550098</v>
      </c>
      <c r="H822" s="861">
        <v>56.569669695388697</v>
      </c>
      <c r="I822" s="861">
        <v>49.154981922820802</v>
      </c>
      <c r="J822" s="861">
        <v>29.862379291024499</v>
      </c>
      <c r="K822" s="982">
        <v>0</v>
      </c>
      <c r="L822" s="735">
        <v>2769</v>
      </c>
      <c r="M822" s="735">
        <v>2343</v>
      </c>
      <c r="N822" s="845">
        <f t="shared" si="73"/>
        <v>-0.15384615384615385</v>
      </c>
      <c r="O822" s="735">
        <v>0.19646731119549427</v>
      </c>
      <c r="P822" s="735">
        <f t="shared" si="74"/>
        <v>11925.648016165927</v>
      </c>
      <c r="Q822" s="849">
        <v>32</v>
      </c>
      <c r="R822" s="71">
        <v>53381</v>
      </c>
      <c r="S822" s="845">
        <v>0.18162393162393162</v>
      </c>
      <c r="T822" s="845">
        <v>0.128</v>
      </c>
      <c r="U822" s="845">
        <v>7.2000000000000008E-2</v>
      </c>
      <c r="V822" s="845">
        <v>7.2999999999999995E-2</v>
      </c>
      <c r="W822" s="845">
        <v>0.69555555555555559</v>
      </c>
      <c r="X822" s="845">
        <v>0.31735889243876464</v>
      </c>
      <c r="Y822" s="845">
        <v>0.29662825437473322</v>
      </c>
      <c r="Z822" s="845">
        <v>0.69270166453265047</v>
      </c>
      <c r="AA822" s="845">
        <v>0</v>
      </c>
      <c r="AB822" s="845">
        <v>9.8164746052069995E-3</v>
      </c>
      <c r="AC822" s="845">
        <v>0</v>
      </c>
      <c r="AD822" s="845">
        <v>0</v>
      </c>
      <c r="AE822" s="845">
        <v>8.5360648740930435E-4</v>
      </c>
      <c r="AF822" s="845">
        <v>8.5360648740930435E-4</v>
      </c>
      <c r="AG822" s="845">
        <v>0.29662825437473322</v>
      </c>
      <c r="AH822" s="20" t="str">
        <f t="shared" si="75"/>
        <v>No</v>
      </c>
      <c r="AI822" s="25"/>
      <c r="AJ822" s="20">
        <v>44837</v>
      </c>
      <c r="AK822" s="20" t="s">
        <v>1486</v>
      </c>
      <c r="AL822" s="20">
        <v>39005</v>
      </c>
      <c r="AM822" s="20" t="s">
        <v>9</v>
      </c>
      <c r="AN822" s="37" t="str">
        <f t="shared" si="76"/>
        <v>N/A</v>
      </c>
      <c r="AO822" s="37" t="str">
        <f t="shared" si="77"/>
        <v>N/A</v>
      </c>
      <c r="AP822" s="20" t="s">
        <v>8</v>
      </c>
      <c r="AQ822" s="25"/>
      <c r="AR822" s="25"/>
      <c r="AS822" s="25"/>
      <c r="AT822" s="25"/>
      <c r="AU822" s="36"/>
      <c r="AV822" s="36"/>
      <c r="AW822" s="36"/>
      <c r="AX822" s="25"/>
      <c r="AY822" s="25"/>
      <c r="AZ822" s="25"/>
      <c r="BA822" s="25"/>
      <c r="BB822" s="25"/>
      <c r="BC822" s="25"/>
      <c r="BD822" s="25"/>
      <c r="BE822" s="25"/>
      <c r="BF822" s="25"/>
      <c r="BG822" s="25"/>
      <c r="BH822" s="25"/>
      <c r="BI822" s="25"/>
      <c r="BJ822" s="25"/>
      <c r="BK822" s="25"/>
      <c r="BL822" s="25"/>
      <c r="BM822" s="25"/>
      <c r="BN822" s="25"/>
      <c r="BO822" s="25"/>
      <c r="BP822" s="25"/>
      <c r="BQ822" s="25"/>
      <c r="BR822" s="25"/>
      <c r="BS822" s="25"/>
      <c r="BT822" s="25"/>
      <c r="BU822" s="39">
        <v>45640</v>
      </c>
      <c r="BV822" s="39" t="s">
        <v>1788</v>
      </c>
      <c r="BW822" s="39" t="s">
        <v>2880</v>
      </c>
      <c r="BX822" s="39" t="s">
        <v>2881</v>
      </c>
      <c r="BY822" s="71">
        <v>760</v>
      </c>
      <c r="BZ822" s="71">
        <v>780</v>
      </c>
      <c r="CA822" s="71">
        <v>1000</v>
      </c>
      <c r="CB822" s="71">
        <v>1290</v>
      </c>
      <c r="CC822" s="71">
        <v>1380</v>
      </c>
      <c r="CD822" s="25"/>
      <c r="CE822" s="200"/>
      <c r="CF822" s="200"/>
      <c r="CG822" s="200"/>
      <c r="CH822" s="200"/>
      <c r="CI822" s="200"/>
      <c r="CJ822" s="200"/>
      <c r="CK822" s="200"/>
      <c r="CL822" s="200"/>
      <c r="CM822" s="200"/>
      <c r="CN822" s="200"/>
      <c r="CO822" s="200"/>
      <c r="CP822" s="200"/>
      <c r="CQ822" s="200"/>
      <c r="CR822" s="200"/>
      <c r="CS822" s="200"/>
      <c r="CT822" s="200"/>
      <c r="CU822" s="200"/>
    </row>
    <row r="823" spans="1:99" s="17" customFormat="1" x14ac:dyDescent="0.2">
      <c r="A823" s="25"/>
      <c r="B823" s="20">
        <v>39049000310</v>
      </c>
      <c r="C823" s="20">
        <v>3.1</v>
      </c>
      <c r="D823" s="20" t="s">
        <v>31</v>
      </c>
      <c r="E823" s="20" t="s">
        <v>2830</v>
      </c>
      <c r="F823" s="20" t="s">
        <v>8</v>
      </c>
      <c r="G823" s="861">
        <v>58.411857637960303</v>
      </c>
      <c r="H823" s="861">
        <v>63.361073126387602</v>
      </c>
      <c r="I823" s="861">
        <v>34.785807225590197</v>
      </c>
      <c r="J823" s="861">
        <v>51.095464504036002</v>
      </c>
      <c r="K823" s="982">
        <v>0</v>
      </c>
      <c r="L823" s="735">
        <v>3053</v>
      </c>
      <c r="M823" s="735">
        <v>2887</v>
      </c>
      <c r="N823" s="845">
        <f t="shared" si="73"/>
        <v>-5.4372748116606619E-2</v>
      </c>
      <c r="O823" s="735">
        <v>0.71207585582313737</v>
      </c>
      <c r="P823" s="735">
        <f t="shared" si="74"/>
        <v>4054.3433349003508</v>
      </c>
      <c r="Q823" s="849">
        <v>35.700000000000003</v>
      </c>
      <c r="R823" s="71">
        <v>61098</v>
      </c>
      <c r="S823" s="845">
        <v>0.15691028749567024</v>
      </c>
      <c r="T823" s="845">
        <v>7.0000000000000007E-2</v>
      </c>
      <c r="U823" s="845">
        <v>0</v>
      </c>
      <c r="V823" s="845">
        <v>0.16800000000000001</v>
      </c>
      <c r="W823" s="845">
        <v>0.42243436754176611</v>
      </c>
      <c r="X823" s="845">
        <v>0.46704331450094161</v>
      </c>
      <c r="Y823" s="845">
        <v>0.69172151021821959</v>
      </c>
      <c r="Z823" s="845">
        <v>0.22583997228957395</v>
      </c>
      <c r="AA823" s="845">
        <v>0</v>
      </c>
      <c r="AB823" s="845">
        <v>2.8749567024593001E-2</v>
      </c>
      <c r="AC823" s="845">
        <v>0</v>
      </c>
      <c r="AD823" s="845">
        <v>3.1174229303775544E-3</v>
      </c>
      <c r="AE823" s="845">
        <v>5.0571527537235886E-2</v>
      </c>
      <c r="AF823" s="845">
        <v>0</v>
      </c>
      <c r="AG823" s="845">
        <v>0.69172151021821959</v>
      </c>
      <c r="AH823" s="20" t="str">
        <f t="shared" si="75"/>
        <v>No</v>
      </c>
      <c r="AI823" s="25"/>
      <c r="AJ823" s="20">
        <v>44838</v>
      </c>
      <c r="AK823" s="20" t="s">
        <v>1487</v>
      </c>
      <c r="AL823" s="20">
        <v>39005</v>
      </c>
      <c r="AM823" s="20" t="s">
        <v>9</v>
      </c>
      <c r="AN823" s="37" t="str">
        <f t="shared" si="76"/>
        <v>N/A</v>
      </c>
      <c r="AO823" s="37" t="str">
        <f t="shared" si="77"/>
        <v>N/A</v>
      </c>
      <c r="AP823" s="20" t="s">
        <v>8</v>
      </c>
      <c r="AQ823" s="25"/>
      <c r="AR823" s="25"/>
      <c r="AS823" s="25"/>
      <c r="AT823" s="25"/>
      <c r="AU823" s="36"/>
      <c r="AV823" s="36"/>
      <c r="AW823" s="36"/>
      <c r="AX823" s="25"/>
      <c r="AY823" s="25"/>
      <c r="AZ823" s="25"/>
      <c r="BA823" s="25"/>
      <c r="BB823" s="25"/>
      <c r="BC823" s="25"/>
      <c r="BD823" s="25"/>
      <c r="BE823" s="25"/>
      <c r="BF823" s="25"/>
      <c r="BG823" s="25"/>
      <c r="BH823" s="25"/>
      <c r="BI823" s="25"/>
      <c r="BJ823" s="25"/>
      <c r="BK823" s="25"/>
      <c r="BL823" s="25"/>
      <c r="BM823" s="25"/>
      <c r="BN823" s="25"/>
      <c r="BO823" s="25"/>
      <c r="BP823" s="25"/>
      <c r="BQ823" s="25"/>
      <c r="BR823" s="25"/>
      <c r="BS823" s="25"/>
      <c r="BT823" s="25"/>
      <c r="BU823" s="39">
        <v>45653</v>
      </c>
      <c r="BV823" s="39" t="s">
        <v>1798</v>
      </c>
      <c r="BW823" s="39" t="s">
        <v>2880</v>
      </c>
      <c r="BX823" s="39" t="s">
        <v>2881</v>
      </c>
      <c r="BY823" s="71">
        <v>710</v>
      </c>
      <c r="BZ823" s="71">
        <v>810</v>
      </c>
      <c r="CA823" s="71">
        <v>990</v>
      </c>
      <c r="CB823" s="71">
        <v>1330</v>
      </c>
      <c r="CC823" s="71">
        <v>1470</v>
      </c>
      <c r="CD823" s="25"/>
      <c r="CE823" s="200"/>
      <c r="CF823" s="200"/>
      <c r="CG823" s="200"/>
      <c r="CH823" s="200"/>
      <c r="CI823" s="200"/>
      <c r="CJ823" s="200"/>
      <c r="CK823" s="200"/>
      <c r="CL823" s="200"/>
      <c r="CM823" s="200"/>
      <c r="CN823" s="200"/>
      <c r="CO823" s="200"/>
      <c r="CP823" s="200"/>
      <c r="CQ823" s="200"/>
      <c r="CR823" s="200"/>
      <c r="CS823" s="200"/>
      <c r="CT823" s="200"/>
      <c r="CU823" s="200"/>
    </row>
    <row r="824" spans="1:99" s="17" customFormat="1" x14ac:dyDescent="0.2">
      <c r="A824" s="25"/>
      <c r="B824" s="20">
        <v>39061006000</v>
      </c>
      <c r="C824" s="20">
        <v>60</v>
      </c>
      <c r="D824" s="20" t="s">
        <v>37</v>
      </c>
      <c r="E824" s="20" t="s">
        <v>2828</v>
      </c>
      <c r="F824" s="20" t="s">
        <v>8</v>
      </c>
      <c r="G824" s="861">
        <v>58.405943830827702</v>
      </c>
      <c r="H824" s="861">
        <v>59.597528334492303</v>
      </c>
      <c r="I824" s="861">
        <v>52.459026831253603</v>
      </c>
      <c r="J824" s="861">
        <v>46.705706389978502</v>
      </c>
      <c r="K824" s="982">
        <v>0</v>
      </c>
      <c r="L824" s="735">
        <v>6000</v>
      </c>
      <c r="M824" s="735">
        <v>5403</v>
      </c>
      <c r="N824" s="845">
        <f t="shared" si="73"/>
        <v>-9.9500000000000005E-2</v>
      </c>
      <c r="O824" s="735">
        <v>1.3017804935019568</v>
      </c>
      <c r="P824" s="735">
        <f t="shared" si="74"/>
        <v>4150.4693202655353</v>
      </c>
      <c r="Q824" s="849">
        <v>42.7</v>
      </c>
      <c r="R824" s="71">
        <v>69911</v>
      </c>
      <c r="S824" s="845">
        <v>0.1527045498925991</v>
      </c>
      <c r="T824" s="845">
        <v>2.1000000000000001E-2</v>
      </c>
      <c r="U824" s="845">
        <v>0</v>
      </c>
      <c r="V824" s="845">
        <v>0.215</v>
      </c>
      <c r="W824" s="845">
        <v>0.63038180341186023</v>
      </c>
      <c r="X824" s="845">
        <v>0.43556701030927836</v>
      </c>
      <c r="Y824" s="845">
        <v>0.49879696464926893</v>
      </c>
      <c r="Z824" s="845">
        <v>0.37571719415139737</v>
      </c>
      <c r="AA824" s="845">
        <v>0</v>
      </c>
      <c r="AB824" s="845">
        <v>1.2400518230612622E-2</v>
      </c>
      <c r="AC824" s="845">
        <v>0</v>
      </c>
      <c r="AD824" s="845">
        <v>7.0146215065704232E-2</v>
      </c>
      <c r="AE824" s="845">
        <v>4.2939107903016839E-2</v>
      </c>
      <c r="AF824" s="845">
        <v>8.661854525263743E-2</v>
      </c>
      <c r="AG824" s="845">
        <v>0.49879696464926893</v>
      </c>
      <c r="AH824" s="20" t="str">
        <f t="shared" si="75"/>
        <v>No</v>
      </c>
      <c r="AI824" s="25"/>
      <c r="AJ824" s="37">
        <v>44840</v>
      </c>
      <c r="AK824" s="37" t="s">
        <v>1489</v>
      </c>
      <c r="AL824" s="37">
        <v>39005</v>
      </c>
      <c r="AM824" s="37" t="s">
        <v>9</v>
      </c>
      <c r="AN824" s="37" t="str">
        <f t="shared" si="76"/>
        <v>N/A</v>
      </c>
      <c r="AO824" s="37" t="str">
        <f t="shared" si="77"/>
        <v>N/A</v>
      </c>
      <c r="AP824" s="20" t="s">
        <v>8</v>
      </c>
      <c r="AQ824" s="25"/>
      <c r="AR824" s="25"/>
      <c r="AS824" s="25"/>
      <c r="AT824" s="25"/>
      <c r="AU824" s="36"/>
      <c r="AV824" s="36"/>
      <c r="AW824" s="36"/>
      <c r="AX824" s="25"/>
      <c r="AY824" s="25"/>
      <c r="AZ824" s="25"/>
      <c r="BA824" s="25"/>
      <c r="BB824" s="25"/>
      <c r="BC824" s="25"/>
      <c r="BD824" s="25"/>
      <c r="BE824" s="25"/>
      <c r="BF824" s="25"/>
      <c r="BG824" s="25"/>
      <c r="BH824" s="25"/>
      <c r="BI824" s="25"/>
      <c r="BJ824" s="25"/>
      <c r="BK824" s="25"/>
      <c r="BL824" s="25"/>
      <c r="BM824" s="25"/>
      <c r="BN824" s="25"/>
      <c r="BO824" s="25"/>
      <c r="BP824" s="25"/>
      <c r="BQ824" s="25"/>
      <c r="BR824" s="25"/>
      <c r="BS824" s="25"/>
      <c r="BT824" s="25"/>
      <c r="BU824" s="39">
        <v>45672</v>
      </c>
      <c r="BV824" s="39" t="s">
        <v>1810</v>
      </c>
      <c r="BW824" s="39" t="s">
        <v>2880</v>
      </c>
      <c r="BX824" s="39" t="s">
        <v>2881</v>
      </c>
      <c r="BY824" s="71">
        <v>750</v>
      </c>
      <c r="BZ824" s="71">
        <v>810</v>
      </c>
      <c r="CA824" s="71">
        <v>1000</v>
      </c>
      <c r="CB824" s="71">
        <v>1250</v>
      </c>
      <c r="CC824" s="71">
        <v>1380</v>
      </c>
      <c r="CD824" s="25"/>
      <c r="CE824" s="200"/>
      <c r="CF824" s="200"/>
      <c r="CG824" s="200"/>
      <c r="CH824" s="200"/>
      <c r="CI824" s="200"/>
      <c r="CJ824" s="200"/>
      <c r="CK824" s="200"/>
      <c r="CL824" s="200"/>
      <c r="CM824" s="200"/>
      <c r="CN824" s="200"/>
      <c r="CO824" s="200"/>
      <c r="CP824" s="200"/>
      <c r="CQ824" s="200"/>
      <c r="CR824" s="200"/>
      <c r="CS824" s="200"/>
      <c r="CT824" s="200"/>
      <c r="CU824" s="200"/>
    </row>
    <row r="825" spans="1:99" s="17" customFormat="1" x14ac:dyDescent="0.2">
      <c r="A825" s="25"/>
      <c r="B825" s="20">
        <v>39113020100</v>
      </c>
      <c r="C825" s="20">
        <v>201</v>
      </c>
      <c r="D825" s="20" t="s">
        <v>62</v>
      </c>
      <c r="E825" s="20" t="s">
        <v>2833</v>
      </c>
      <c r="F825" s="20" t="s">
        <v>8</v>
      </c>
      <c r="G825" s="861">
        <v>58.402871991917301</v>
      </c>
      <c r="H825" s="861">
        <v>60.754447331549102</v>
      </c>
      <c r="I825" s="861">
        <v>31.869034780969798</v>
      </c>
      <c r="J825" s="861">
        <v>37.769569880433998</v>
      </c>
      <c r="K825" s="982">
        <v>0</v>
      </c>
      <c r="L825" s="735">
        <v>2901</v>
      </c>
      <c r="M825" s="735">
        <v>2675</v>
      </c>
      <c r="N825" s="845">
        <f t="shared" si="73"/>
        <v>-7.7904170975525683E-2</v>
      </c>
      <c r="O825" s="735">
        <v>1.4007817201909858</v>
      </c>
      <c r="P825" s="735">
        <f t="shared" si="74"/>
        <v>1909.6479925760914</v>
      </c>
      <c r="Q825" s="849">
        <v>40.6</v>
      </c>
      <c r="R825" s="71">
        <v>62446</v>
      </c>
      <c r="S825" s="845">
        <v>0.14429906542056076</v>
      </c>
      <c r="T825" s="845">
        <v>0.04</v>
      </c>
      <c r="U825" s="845">
        <v>6.9999999999999993E-3</v>
      </c>
      <c r="V825" s="845">
        <v>0</v>
      </c>
      <c r="W825" s="845">
        <v>0.28078431372549018</v>
      </c>
      <c r="X825" s="845">
        <v>0.30446927374301674</v>
      </c>
      <c r="Y825" s="845">
        <v>0.86242990654205609</v>
      </c>
      <c r="Z825" s="845">
        <v>4.8971962616822427E-2</v>
      </c>
      <c r="AA825" s="845">
        <v>0</v>
      </c>
      <c r="AB825" s="845">
        <v>2.0934579439252338E-2</v>
      </c>
      <c r="AC825" s="845">
        <v>0</v>
      </c>
      <c r="AD825" s="845">
        <v>4.1121495327102802E-3</v>
      </c>
      <c r="AE825" s="845">
        <v>6.3551401869158877E-2</v>
      </c>
      <c r="AF825" s="845">
        <v>1.2710280373831775E-2</v>
      </c>
      <c r="AG825" s="845">
        <v>0.85831775700934576</v>
      </c>
      <c r="AH825" s="20" t="str">
        <f t="shared" si="75"/>
        <v>No</v>
      </c>
      <c r="AI825" s="25"/>
      <c r="AJ825" s="20">
        <v>44842</v>
      </c>
      <c r="AK825" s="20" t="s">
        <v>1491</v>
      </c>
      <c r="AL825" s="20">
        <v>39005</v>
      </c>
      <c r="AM825" s="20" t="s">
        <v>9</v>
      </c>
      <c r="AN825" s="37" t="str">
        <f t="shared" si="76"/>
        <v>N/A</v>
      </c>
      <c r="AO825" s="37" t="str">
        <f t="shared" si="77"/>
        <v>N/A</v>
      </c>
      <c r="AP825" s="20" t="s">
        <v>8</v>
      </c>
      <c r="AQ825" s="25"/>
      <c r="AR825" s="25"/>
      <c r="AS825" s="25"/>
      <c r="AT825" s="25"/>
      <c r="AU825" s="36"/>
      <c r="AV825" s="36"/>
      <c r="AW825" s="36"/>
      <c r="AX825" s="25"/>
      <c r="AY825" s="25"/>
      <c r="AZ825" s="25"/>
      <c r="BA825" s="25"/>
      <c r="BB825" s="25"/>
      <c r="BC825" s="25"/>
      <c r="BD825" s="25"/>
      <c r="BE825" s="25"/>
      <c r="BF825" s="25"/>
      <c r="BG825" s="25"/>
      <c r="BH825" s="25"/>
      <c r="BI825" s="25"/>
      <c r="BJ825" s="25"/>
      <c r="BK825" s="25"/>
      <c r="BL825" s="25"/>
      <c r="BM825" s="25"/>
      <c r="BN825" s="25"/>
      <c r="BO825" s="25"/>
      <c r="BP825" s="25"/>
      <c r="BQ825" s="25"/>
      <c r="BR825" s="25"/>
      <c r="BS825" s="25"/>
      <c r="BT825" s="25"/>
      <c r="BU825" s="39">
        <v>45692</v>
      </c>
      <c r="BV825" s="39" t="s">
        <v>1824</v>
      </c>
      <c r="BW825" s="39" t="s">
        <v>2880</v>
      </c>
      <c r="BX825" s="39" t="s">
        <v>2881</v>
      </c>
      <c r="BY825" s="71">
        <v>740</v>
      </c>
      <c r="BZ825" s="71">
        <v>770</v>
      </c>
      <c r="CA825" s="71">
        <v>980</v>
      </c>
      <c r="CB825" s="71">
        <v>1270</v>
      </c>
      <c r="CC825" s="71">
        <v>1350</v>
      </c>
      <c r="CD825" s="25"/>
      <c r="CE825" s="200"/>
      <c r="CF825" s="200"/>
      <c r="CG825" s="200"/>
      <c r="CH825" s="200"/>
      <c r="CI825" s="200"/>
      <c r="CJ825" s="200"/>
      <c r="CK825" s="200"/>
      <c r="CL825" s="200"/>
      <c r="CM825" s="200"/>
      <c r="CN825" s="200"/>
      <c r="CO825" s="200"/>
      <c r="CP825" s="200"/>
      <c r="CQ825" s="200"/>
      <c r="CR825" s="200"/>
      <c r="CS825" s="200"/>
      <c r="CT825" s="200"/>
      <c r="CU825" s="200"/>
    </row>
    <row r="826" spans="1:99" s="17" customFormat="1" x14ac:dyDescent="0.2">
      <c r="A826" s="25"/>
      <c r="B826" s="20">
        <v>39093013201</v>
      </c>
      <c r="C826" s="20">
        <v>132.01</v>
      </c>
      <c r="D826" s="20" t="s">
        <v>52</v>
      </c>
      <c r="E826" s="20" t="s">
        <v>2829</v>
      </c>
      <c r="F826" s="20" t="s">
        <v>8</v>
      </c>
      <c r="G826" s="861">
        <v>58.383656019983803</v>
      </c>
      <c r="H826" s="861">
        <v>57.647719753201798</v>
      </c>
      <c r="I826" s="861">
        <v>21.024322106566501</v>
      </c>
      <c r="J826" s="861">
        <v>35.455692060575402</v>
      </c>
      <c r="K826" s="982">
        <v>0</v>
      </c>
      <c r="L826" s="735" t="s">
        <v>2466</v>
      </c>
      <c r="M826" s="735">
        <v>9011</v>
      </c>
      <c r="N826" s="845" t="str">
        <f t="shared" si="73"/>
        <v/>
      </c>
      <c r="O826" s="735">
        <v>5.8477519419963668</v>
      </c>
      <c r="P826" s="735">
        <f t="shared" si="74"/>
        <v>1540.9340357422429</v>
      </c>
      <c r="Q826" s="849">
        <v>38.4</v>
      </c>
      <c r="R826" s="71">
        <v>136339</v>
      </c>
      <c r="S826" s="845">
        <v>2.6634113860836755E-3</v>
      </c>
      <c r="T826" s="845">
        <v>3.9E-2</v>
      </c>
      <c r="U826" s="845">
        <v>0</v>
      </c>
      <c r="V826" s="845">
        <v>0</v>
      </c>
      <c r="W826" s="845">
        <v>1.0061668289516391E-2</v>
      </c>
      <c r="X826" s="845">
        <v>1</v>
      </c>
      <c r="Y826" s="845">
        <v>0.82676728443014091</v>
      </c>
      <c r="Z826" s="845">
        <v>7.7127954722006439E-2</v>
      </c>
      <c r="AA826" s="845">
        <v>2.441460437243369E-3</v>
      </c>
      <c r="AB826" s="845">
        <v>3.4291421595827321E-2</v>
      </c>
      <c r="AC826" s="845">
        <v>1.8865830651426034E-3</v>
      </c>
      <c r="AD826" s="845">
        <v>1.5203639995560981E-2</v>
      </c>
      <c r="AE826" s="845">
        <v>4.228165575407835E-2</v>
      </c>
      <c r="AF826" s="845">
        <v>6.1813339252025305E-2</v>
      </c>
      <c r="AG826" s="845">
        <v>0.82010875596493171</v>
      </c>
      <c r="AH826" s="20" t="str">
        <f t="shared" si="75"/>
        <v>No</v>
      </c>
      <c r="AI826" s="25"/>
      <c r="AJ826" s="20">
        <v>44843</v>
      </c>
      <c r="AK826" s="20" t="s">
        <v>1492</v>
      </c>
      <c r="AL826" s="20">
        <v>39005</v>
      </c>
      <c r="AM826" s="20" t="s">
        <v>9</v>
      </c>
      <c r="AN826" s="37" t="str">
        <f t="shared" si="76"/>
        <v>N/A</v>
      </c>
      <c r="AO826" s="37" t="str">
        <f t="shared" si="77"/>
        <v>N/A</v>
      </c>
      <c r="AP826" s="20" t="s">
        <v>8</v>
      </c>
      <c r="AQ826" s="25"/>
      <c r="AR826" s="25"/>
      <c r="AS826" s="25"/>
      <c r="AT826" s="25"/>
      <c r="AU826" s="36"/>
      <c r="AV826" s="36"/>
      <c r="AW826" s="36"/>
      <c r="AX826" s="25"/>
      <c r="AY826" s="25"/>
      <c r="AZ826" s="25"/>
      <c r="BA826" s="25"/>
      <c r="BB826" s="25"/>
      <c r="BC826" s="25"/>
      <c r="BD826" s="25"/>
      <c r="BE826" s="25"/>
      <c r="BF826" s="25"/>
      <c r="BG826" s="25"/>
      <c r="BH826" s="25"/>
      <c r="BI826" s="25"/>
      <c r="BJ826" s="25"/>
      <c r="BK826" s="25"/>
      <c r="BL826" s="25"/>
      <c r="BM826" s="25"/>
      <c r="BN826" s="25"/>
      <c r="BO826" s="25"/>
      <c r="BP826" s="25"/>
      <c r="BQ826" s="25"/>
      <c r="BR826" s="25"/>
      <c r="BS826" s="25"/>
      <c r="BT826" s="25"/>
      <c r="BU826" s="39">
        <v>43005</v>
      </c>
      <c r="BV826" s="39" t="s">
        <v>732</v>
      </c>
      <c r="BW826" s="39" t="s">
        <v>2953</v>
      </c>
      <c r="BX826" s="39" t="s">
        <v>2954</v>
      </c>
      <c r="BY826" s="71">
        <v>870</v>
      </c>
      <c r="BZ826" s="71">
        <v>920</v>
      </c>
      <c r="CA826" s="71">
        <v>1120</v>
      </c>
      <c r="CB826" s="71">
        <v>1440</v>
      </c>
      <c r="CC826" s="71">
        <v>1540</v>
      </c>
      <c r="CD826" s="25"/>
      <c r="CE826" s="200"/>
      <c r="CF826" s="200"/>
      <c r="CG826" s="200"/>
      <c r="CH826" s="200"/>
      <c r="CI826" s="200"/>
      <c r="CJ826" s="200"/>
      <c r="CK826" s="200"/>
      <c r="CL826" s="200"/>
      <c r="CM826" s="200"/>
      <c r="CN826" s="200"/>
      <c r="CO826" s="200"/>
      <c r="CP826" s="200"/>
      <c r="CQ826" s="200"/>
      <c r="CR826" s="200"/>
      <c r="CS826" s="200"/>
      <c r="CT826" s="200"/>
      <c r="CU826" s="200"/>
    </row>
    <row r="827" spans="1:99" s="17" customFormat="1" x14ac:dyDescent="0.2">
      <c r="A827" s="25"/>
      <c r="B827" s="20">
        <v>39035161600</v>
      </c>
      <c r="C827" s="20">
        <v>1616</v>
      </c>
      <c r="D827" s="20" t="s">
        <v>24</v>
      </c>
      <c r="E827" s="20" t="s">
        <v>2829</v>
      </c>
      <c r="F827" s="20" t="s">
        <v>8</v>
      </c>
      <c r="G827" s="861">
        <v>58.379114057322802</v>
      </c>
      <c r="H827" s="861">
        <v>55.485983556048502</v>
      </c>
      <c r="I827" s="861">
        <v>32.5546718083882</v>
      </c>
      <c r="J827" s="861">
        <v>52.791543289007201</v>
      </c>
      <c r="K827" s="982">
        <v>0</v>
      </c>
      <c r="L827" s="735">
        <v>2179</v>
      </c>
      <c r="M827" s="735">
        <v>1992</v>
      </c>
      <c r="N827" s="845">
        <f t="shared" si="73"/>
        <v>-8.5819183111519051E-2</v>
      </c>
      <c r="O827" s="735">
        <v>0.17739270625454726</v>
      </c>
      <c r="P827" s="735">
        <f t="shared" si="74"/>
        <v>11229.323020426818</v>
      </c>
      <c r="Q827" s="849">
        <v>37.299999999999997</v>
      </c>
      <c r="R827" s="71">
        <v>62386</v>
      </c>
      <c r="S827" s="845">
        <v>0.13487669854051335</v>
      </c>
      <c r="T827" s="845">
        <v>0.05</v>
      </c>
      <c r="U827" s="845">
        <v>0</v>
      </c>
      <c r="V827" s="845">
        <v>2.3E-2</v>
      </c>
      <c r="W827" s="845">
        <v>0.60980592441266601</v>
      </c>
      <c r="X827" s="845">
        <v>0.23115577889447236</v>
      </c>
      <c r="Y827" s="845">
        <v>0.75050200803212852</v>
      </c>
      <c r="Z827" s="845">
        <v>0.11847389558232932</v>
      </c>
      <c r="AA827" s="845">
        <v>0</v>
      </c>
      <c r="AB827" s="845">
        <v>4.5682730923694778E-2</v>
      </c>
      <c r="AC827" s="845">
        <v>0</v>
      </c>
      <c r="AD827" s="845">
        <v>0</v>
      </c>
      <c r="AE827" s="845">
        <v>8.5341365461847396E-2</v>
      </c>
      <c r="AF827" s="845">
        <v>2.4598393574297189E-2</v>
      </c>
      <c r="AG827" s="845">
        <v>0.74799196787148592</v>
      </c>
      <c r="AH827" s="20" t="str">
        <f t="shared" si="75"/>
        <v>No</v>
      </c>
      <c r="AI827" s="25"/>
      <c r="AJ827" s="20">
        <v>44851</v>
      </c>
      <c r="AK827" s="20" t="s">
        <v>1498</v>
      </c>
      <c r="AL827" s="20">
        <v>39005</v>
      </c>
      <c r="AM827" s="20" t="s">
        <v>9</v>
      </c>
      <c r="AN827" s="37" t="str">
        <f t="shared" si="76"/>
        <v>N/A</v>
      </c>
      <c r="AO827" s="37" t="str">
        <f t="shared" si="77"/>
        <v>N/A</v>
      </c>
      <c r="AP827" s="20" t="s">
        <v>8</v>
      </c>
      <c r="AQ827" s="25"/>
      <c r="AR827" s="25"/>
      <c r="AS827" s="25"/>
      <c r="AT827" s="25"/>
      <c r="AU827" s="36"/>
      <c r="AV827" s="36"/>
      <c r="AW827" s="36"/>
      <c r="AX827" s="25"/>
      <c r="AY827" s="25"/>
      <c r="AZ827" s="25"/>
      <c r="BA827" s="25"/>
      <c r="BB827" s="25"/>
      <c r="BC827" s="25"/>
      <c r="BD827" s="25"/>
      <c r="BE827" s="25"/>
      <c r="BF827" s="25"/>
      <c r="BG827" s="25"/>
      <c r="BH827" s="25"/>
      <c r="BI827" s="25"/>
      <c r="BJ827" s="25"/>
      <c r="BK827" s="25"/>
      <c r="BL827" s="25"/>
      <c r="BM827" s="25"/>
      <c r="BN827" s="25"/>
      <c r="BO827" s="25"/>
      <c r="BP827" s="25"/>
      <c r="BQ827" s="25"/>
      <c r="BR827" s="25"/>
      <c r="BS827" s="25"/>
      <c r="BT827" s="25"/>
      <c r="BU827" s="39">
        <v>43014</v>
      </c>
      <c r="BV827" s="39" t="s">
        <v>740</v>
      </c>
      <c r="BW827" s="39" t="s">
        <v>2953</v>
      </c>
      <c r="BX827" s="39" t="s">
        <v>2954</v>
      </c>
      <c r="BY827" s="71">
        <v>760</v>
      </c>
      <c r="BZ827" s="71">
        <v>800</v>
      </c>
      <c r="CA827" s="71">
        <v>1000</v>
      </c>
      <c r="CB827" s="71">
        <v>1310</v>
      </c>
      <c r="CC827" s="71">
        <v>1320</v>
      </c>
      <c r="CD827" s="25"/>
      <c r="CE827" s="200"/>
      <c r="CF827" s="200"/>
      <c r="CG827" s="200"/>
      <c r="CH827" s="200"/>
      <c r="CI827" s="200"/>
      <c r="CJ827" s="200"/>
      <c r="CK827" s="200"/>
      <c r="CL827" s="200"/>
      <c r="CM827" s="200"/>
      <c r="CN827" s="200"/>
      <c r="CO827" s="200"/>
      <c r="CP827" s="200"/>
      <c r="CQ827" s="200"/>
      <c r="CR827" s="200"/>
      <c r="CS827" s="200"/>
      <c r="CT827" s="200"/>
      <c r="CU827" s="200"/>
    </row>
    <row r="828" spans="1:99" s="17" customFormat="1" x14ac:dyDescent="0.2">
      <c r="A828" s="25"/>
      <c r="B828" s="20">
        <v>39165032204</v>
      </c>
      <c r="C828" s="20">
        <v>322.04000000000002</v>
      </c>
      <c r="D828" s="20" t="s">
        <v>88</v>
      </c>
      <c r="E828" s="20" t="s">
        <v>2828</v>
      </c>
      <c r="F828" s="20" t="s">
        <v>8</v>
      </c>
      <c r="G828" s="861">
        <v>58.344116470817198</v>
      </c>
      <c r="H828" s="861">
        <v>49.466040476912298</v>
      </c>
      <c r="I828" s="861">
        <v>37.224215944722502</v>
      </c>
      <c r="J828" s="861">
        <v>53.911462933926899</v>
      </c>
      <c r="K828" s="982">
        <v>0</v>
      </c>
      <c r="L828" s="735" t="s">
        <v>2466</v>
      </c>
      <c r="M828" s="735">
        <v>4111</v>
      </c>
      <c r="N828" s="845" t="str">
        <f t="shared" si="73"/>
        <v/>
      </c>
      <c r="O828" s="735">
        <v>2.7581690326755979</v>
      </c>
      <c r="P828" s="735">
        <f t="shared" si="74"/>
        <v>1490.4815300649179</v>
      </c>
      <c r="Q828" s="849">
        <v>36.200000000000003</v>
      </c>
      <c r="R828" s="71">
        <v>145579</v>
      </c>
      <c r="S828" s="845">
        <v>6.8109948917538313E-3</v>
      </c>
      <c r="T828" s="845">
        <v>0.158</v>
      </c>
      <c r="U828" s="845">
        <v>0</v>
      </c>
      <c r="V828" s="845">
        <v>0</v>
      </c>
      <c r="W828" s="845">
        <v>6.2658763759525823E-2</v>
      </c>
      <c r="X828" s="845">
        <v>0.67567567567567566</v>
      </c>
      <c r="Y828" s="845">
        <v>0.88421308684018485</v>
      </c>
      <c r="Z828" s="845">
        <v>2.3351982486013136E-2</v>
      </c>
      <c r="AA828" s="845">
        <v>0</v>
      </c>
      <c r="AB828" s="845">
        <v>2.4324981756263683E-4</v>
      </c>
      <c r="AC828" s="845">
        <v>0</v>
      </c>
      <c r="AD828" s="845">
        <v>8.5137436146922891E-3</v>
      </c>
      <c r="AE828" s="845">
        <v>8.3677937241547068E-2</v>
      </c>
      <c r="AF828" s="845">
        <v>5.8379956215032841E-3</v>
      </c>
      <c r="AG828" s="845">
        <v>0.88007783994162003</v>
      </c>
      <c r="AH828" s="20" t="str">
        <f t="shared" si="75"/>
        <v>No</v>
      </c>
      <c r="AI828" s="25"/>
      <c r="AJ828" s="20">
        <v>44859</v>
      </c>
      <c r="AK828" s="20" t="s">
        <v>1504</v>
      </c>
      <c r="AL828" s="20">
        <v>39005</v>
      </c>
      <c r="AM828" s="20" t="s">
        <v>9</v>
      </c>
      <c r="AN828" s="37" t="str">
        <f t="shared" si="76"/>
        <v>N/A</v>
      </c>
      <c r="AO828" s="37" t="str">
        <f t="shared" si="77"/>
        <v>N/A</v>
      </c>
      <c r="AP828" s="20" t="s">
        <v>8</v>
      </c>
      <c r="AQ828" s="25"/>
      <c r="AR828" s="25"/>
      <c r="AS828" s="25"/>
      <c r="AT828" s="25"/>
      <c r="AU828" s="36"/>
      <c r="AV828" s="36"/>
      <c r="AW828" s="36"/>
      <c r="AX828" s="25"/>
      <c r="AY828" s="25"/>
      <c r="AZ828" s="25"/>
      <c r="BA828" s="25"/>
      <c r="BB828" s="25"/>
      <c r="BC828" s="25"/>
      <c r="BD828" s="25"/>
      <c r="BE828" s="25"/>
      <c r="BF828" s="25"/>
      <c r="BG828" s="25"/>
      <c r="BH828" s="25"/>
      <c r="BI828" s="25"/>
      <c r="BJ828" s="25"/>
      <c r="BK828" s="25"/>
      <c r="BL828" s="25"/>
      <c r="BM828" s="25"/>
      <c r="BN828" s="25"/>
      <c r="BO828" s="25"/>
      <c r="BP828" s="25"/>
      <c r="BQ828" s="25"/>
      <c r="BR828" s="25"/>
      <c r="BS828" s="25"/>
      <c r="BT828" s="25"/>
      <c r="BU828" s="39">
        <v>43022</v>
      </c>
      <c r="BV828" s="39" t="s">
        <v>747</v>
      </c>
      <c r="BW828" s="39" t="s">
        <v>2953</v>
      </c>
      <c r="BX828" s="39" t="s">
        <v>2954</v>
      </c>
      <c r="BY828" s="71">
        <v>910</v>
      </c>
      <c r="BZ828" s="71">
        <v>950</v>
      </c>
      <c r="CA828" s="71">
        <v>1190</v>
      </c>
      <c r="CB828" s="71">
        <v>1550</v>
      </c>
      <c r="CC828" s="71">
        <v>1580</v>
      </c>
      <c r="CD828" s="25"/>
      <c r="CE828" s="200"/>
      <c r="CF828" s="200"/>
      <c r="CG828" s="200"/>
      <c r="CH828" s="200"/>
      <c r="CI828" s="200"/>
      <c r="CJ828" s="200"/>
      <c r="CK828" s="200"/>
      <c r="CL828" s="200"/>
      <c r="CM828" s="200"/>
      <c r="CN828" s="200"/>
      <c r="CO828" s="200"/>
      <c r="CP828" s="200"/>
      <c r="CQ828" s="200"/>
      <c r="CR828" s="200"/>
      <c r="CS828" s="200"/>
      <c r="CT828" s="200"/>
      <c r="CU828" s="200"/>
    </row>
    <row r="829" spans="1:99" s="17" customFormat="1" x14ac:dyDescent="0.2">
      <c r="A829" s="25"/>
      <c r="B829" s="20">
        <v>39049007960</v>
      </c>
      <c r="C829" s="20">
        <v>79.599999999999994</v>
      </c>
      <c r="D829" s="20" t="s">
        <v>31</v>
      </c>
      <c r="E829" s="20" t="s">
        <v>2830</v>
      </c>
      <c r="F829" s="20" t="s">
        <v>8</v>
      </c>
      <c r="G829" s="861">
        <v>58.331498467690402</v>
      </c>
      <c r="H829" s="861">
        <v>66.719392286512701</v>
      </c>
      <c r="I829" s="861">
        <v>39.531122770844</v>
      </c>
      <c r="J829" s="861">
        <v>49.585614508050803</v>
      </c>
      <c r="K829" s="982">
        <v>0</v>
      </c>
      <c r="L829" s="735" t="s">
        <v>2466</v>
      </c>
      <c r="M829" s="735">
        <v>4575</v>
      </c>
      <c r="N829" s="845" t="str">
        <f t="shared" si="73"/>
        <v/>
      </c>
      <c r="O829" s="735">
        <v>0.59221932103773256</v>
      </c>
      <c r="P829" s="735">
        <f t="shared" si="74"/>
        <v>7725.1785571320615</v>
      </c>
      <c r="Q829" s="849">
        <v>33.799999999999997</v>
      </c>
      <c r="R829" s="71">
        <v>94023</v>
      </c>
      <c r="S829" s="845">
        <v>0.13792349726775957</v>
      </c>
      <c r="T829" s="845">
        <v>3.3000000000000002E-2</v>
      </c>
      <c r="U829" s="845">
        <v>0</v>
      </c>
      <c r="V829" s="845">
        <v>0</v>
      </c>
      <c r="W829" s="845">
        <v>0.26216814159292035</v>
      </c>
      <c r="X829" s="845">
        <v>0.30801687763713081</v>
      </c>
      <c r="Y829" s="845">
        <v>0.64174863387978143</v>
      </c>
      <c r="Z829" s="845">
        <v>0.16371584699453551</v>
      </c>
      <c r="AA829" s="845">
        <v>6.5573770491803279E-4</v>
      </c>
      <c r="AB829" s="845">
        <v>9.5519125683060105E-2</v>
      </c>
      <c r="AC829" s="845">
        <v>0</v>
      </c>
      <c r="AD829" s="845">
        <v>0</v>
      </c>
      <c r="AE829" s="845">
        <v>9.8360655737704916E-2</v>
      </c>
      <c r="AF829" s="845">
        <v>9.7486338797814209E-2</v>
      </c>
      <c r="AG829" s="845">
        <v>0.59322404371584703</v>
      </c>
      <c r="AH829" s="20" t="str">
        <f t="shared" si="75"/>
        <v>No</v>
      </c>
      <c r="AI829" s="25"/>
      <c r="AJ829" s="20">
        <v>44864</v>
      </c>
      <c r="AK829" s="20" t="s">
        <v>1506</v>
      </c>
      <c r="AL829" s="20">
        <v>39005</v>
      </c>
      <c r="AM829" s="20" t="s">
        <v>9</v>
      </c>
      <c r="AN829" s="37" t="str">
        <f t="shared" si="76"/>
        <v>N/A</v>
      </c>
      <c r="AO829" s="37" t="str">
        <f t="shared" si="77"/>
        <v>N/A</v>
      </c>
      <c r="AP829" s="20" t="s">
        <v>8</v>
      </c>
      <c r="AQ829" s="25"/>
      <c r="AR829" s="25"/>
      <c r="AS829" s="25"/>
      <c r="AT829" s="25"/>
      <c r="AU829" s="36"/>
      <c r="AV829" s="36"/>
      <c r="AW829" s="36"/>
      <c r="AX829" s="25"/>
      <c r="AY829" s="25"/>
      <c r="AZ829" s="25"/>
      <c r="BA829" s="25"/>
      <c r="BB829" s="25"/>
      <c r="BC829" s="25"/>
      <c r="BD829" s="25"/>
      <c r="BE829" s="25"/>
      <c r="BF829" s="25"/>
      <c r="BG829" s="25"/>
      <c r="BH829" s="25"/>
      <c r="BI829" s="25"/>
      <c r="BJ829" s="25"/>
      <c r="BK829" s="25"/>
      <c r="BL829" s="25"/>
      <c r="BM829" s="25"/>
      <c r="BN829" s="25"/>
      <c r="BO829" s="25"/>
      <c r="BP829" s="25"/>
      <c r="BQ829" s="25"/>
      <c r="BR829" s="25"/>
      <c r="BS829" s="25"/>
      <c r="BT829" s="25"/>
      <c r="BU829" s="39">
        <v>43028</v>
      </c>
      <c r="BV829" s="39" t="s">
        <v>752</v>
      </c>
      <c r="BW829" s="39" t="s">
        <v>2953</v>
      </c>
      <c r="BX829" s="39" t="s">
        <v>2954</v>
      </c>
      <c r="BY829" s="71">
        <v>1060</v>
      </c>
      <c r="BZ829" s="71">
        <v>1110</v>
      </c>
      <c r="CA829" s="71">
        <v>1390</v>
      </c>
      <c r="CB829" s="71">
        <v>1820</v>
      </c>
      <c r="CC829" s="71">
        <v>1840</v>
      </c>
      <c r="CD829" s="25"/>
      <c r="CE829" s="200"/>
      <c r="CF829" s="200"/>
      <c r="CG829" s="200"/>
      <c r="CH829" s="200"/>
      <c r="CI829" s="200"/>
      <c r="CJ829" s="200"/>
      <c r="CK829" s="200"/>
      <c r="CL829" s="200"/>
      <c r="CM829" s="200"/>
      <c r="CN829" s="200"/>
      <c r="CO829" s="200"/>
      <c r="CP829" s="200"/>
      <c r="CQ829" s="200"/>
      <c r="CR829" s="200"/>
      <c r="CS829" s="200"/>
      <c r="CT829" s="200"/>
      <c r="CU829" s="200"/>
    </row>
    <row r="830" spans="1:99" s="17" customFormat="1" x14ac:dyDescent="0.2">
      <c r="A830" s="25"/>
      <c r="B830" s="20">
        <v>39113115002</v>
      </c>
      <c r="C830" s="20">
        <v>1150.02</v>
      </c>
      <c r="D830" s="20" t="s">
        <v>62</v>
      </c>
      <c r="E830" s="20" t="s">
        <v>2833</v>
      </c>
      <c r="F830" s="20" t="s">
        <v>8</v>
      </c>
      <c r="G830" s="861">
        <v>58.316709839255097</v>
      </c>
      <c r="H830" s="861">
        <v>57.7287624613312</v>
      </c>
      <c r="I830" s="861">
        <v>23.065667180982</v>
      </c>
      <c r="J830" s="861">
        <v>44.743872322145101</v>
      </c>
      <c r="K830" s="982">
        <v>0</v>
      </c>
      <c r="L830" s="735">
        <v>3807</v>
      </c>
      <c r="M830" s="735">
        <v>4320</v>
      </c>
      <c r="N830" s="845">
        <f t="shared" si="73"/>
        <v>0.13475177304964539</v>
      </c>
      <c r="O830" s="735">
        <v>5.2296649346394108</v>
      </c>
      <c r="P830" s="735">
        <f t="shared" si="74"/>
        <v>826.05674627180815</v>
      </c>
      <c r="Q830" s="849">
        <v>40.5</v>
      </c>
      <c r="R830" s="71">
        <v>71802</v>
      </c>
      <c r="S830" s="845">
        <v>0.1020603737422137</v>
      </c>
      <c r="T830" s="845">
        <v>3.4000000000000002E-2</v>
      </c>
      <c r="U830" s="845">
        <v>0</v>
      </c>
      <c r="V830" s="845">
        <v>0</v>
      </c>
      <c r="W830" s="845">
        <v>0.30346001134429951</v>
      </c>
      <c r="X830" s="845">
        <v>0.29345794392523367</v>
      </c>
      <c r="Y830" s="845">
        <v>0.86944444444444446</v>
      </c>
      <c r="Z830" s="845">
        <v>4.1203703703703701E-2</v>
      </c>
      <c r="AA830" s="845">
        <v>0</v>
      </c>
      <c r="AB830" s="845">
        <v>4.3981481481481484E-3</v>
      </c>
      <c r="AC830" s="845">
        <v>0</v>
      </c>
      <c r="AD830" s="845">
        <v>2.5000000000000001E-2</v>
      </c>
      <c r="AE830" s="845">
        <v>5.9953703703703703E-2</v>
      </c>
      <c r="AF830" s="845">
        <v>2.5462962962962962E-2</v>
      </c>
      <c r="AG830" s="845">
        <v>0.86296296296296293</v>
      </c>
      <c r="AH830" s="20" t="str">
        <f t="shared" si="75"/>
        <v>No</v>
      </c>
      <c r="AI830" s="25"/>
      <c r="AJ830" s="37">
        <v>44866</v>
      </c>
      <c r="AK830" s="37" t="s">
        <v>1508</v>
      </c>
      <c r="AL830" s="37">
        <v>39005</v>
      </c>
      <c r="AM830" s="37" t="s">
        <v>9</v>
      </c>
      <c r="AN830" s="37" t="str">
        <f t="shared" si="76"/>
        <v>N/A</v>
      </c>
      <c r="AO830" s="37" t="str">
        <f t="shared" si="77"/>
        <v>N/A</v>
      </c>
      <c r="AP830" s="20" t="s">
        <v>8</v>
      </c>
      <c r="AQ830" s="25"/>
      <c r="AR830" s="25"/>
      <c r="AS830" s="25"/>
      <c r="AT830" s="25"/>
      <c r="AU830" s="36"/>
      <c r="AV830" s="36"/>
      <c r="AW830" s="36"/>
      <c r="AX830" s="25"/>
      <c r="AY830" s="25"/>
      <c r="AZ830" s="25"/>
      <c r="BA830" s="25"/>
      <c r="BB830" s="25"/>
      <c r="BC830" s="25"/>
      <c r="BD830" s="25"/>
      <c r="BE830" s="25"/>
      <c r="BF830" s="25"/>
      <c r="BG830" s="25"/>
      <c r="BH830" s="25"/>
      <c r="BI830" s="25"/>
      <c r="BJ830" s="25"/>
      <c r="BK830" s="25"/>
      <c r="BL830" s="25"/>
      <c r="BM830" s="25"/>
      <c r="BN830" s="25"/>
      <c r="BO830" s="25"/>
      <c r="BP830" s="25"/>
      <c r="BQ830" s="25"/>
      <c r="BR830" s="25"/>
      <c r="BS830" s="25"/>
      <c r="BT830" s="25"/>
      <c r="BU830" s="39">
        <v>43037</v>
      </c>
      <c r="BV830" s="39" t="s">
        <v>760</v>
      </c>
      <c r="BW830" s="39" t="s">
        <v>2953</v>
      </c>
      <c r="BX830" s="39" t="s">
        <v>2954</v>
      </c>
      <c r="BY830" s="71">
        <v>950</v>
      </c>
      <c r="BZ830" s="71">
        <v>1010</v>
      </c>
      <c r="CA830" s="71">
        <v>1240</v>
      </c>
      <c r="CB830" s="71">
        <v>1560</v>
      </c>
      <c r="CC830" s="71">
        <v>1650</v>
      </c>
      <c r="CD830" s="25"/>
      <c r="CE830" s="200"/>
      <c r="CF830" s="200"/>
      <c r="CG830" s="200"/>
      <c r="CH830" s="200"/>
      <c r="CI830" s="200"/>
      <c r="CJ830" s="200"/>
      <c r="CK830" s="200"/>
      <c r="CL830" s="200"/>
      <c r="CM830" s="200"/>
      <c r="CN830" s="200"/>
      <c r="CO830" s="200"/>
      <c r="CP830" s="200"/>
      <c r="CQ830" s="200"/>
      <c r="CR830" s="200"/>
      <c r="CS830" s="200"/>
      <c r="CT830" s="200"/>
      <c r="CU830" s="200"/>
    </row>
    <row r="831" spans="1:99" s="17" customFormat="1" x14ac:dyDescent="0.2">
      <c r="A831" s="25"/>
      <c r="B831" s="20">
        <v>39113165000</v>
      </c>
      <c r="C831" s="20">
        <v>1650</v>
      </c>
      <c r="D831" s="20" t="s">
        <v>62</v>
      </c>
      <c r="E831" s="20" t="s">
        <v>2833</v>
      </c>
      <c r="F831" s="20" t="s">
        <v>8</v>
      </c>
      <c r="G831" s="861">
        <v>58.315923538654602</v>
      </c>
      <c r="H831" s="861">
        <v>61.7306416020893</v>
      </c>
      <c r="I831" s="861">
        <v>23.736240462726801</v>
      </c>
      <c r="J831" s="861">
        <v>47.315864804592401</v>
      </c>
      <c r="K831" s="982">
        <v>0</v>
      </c>
      <c r="L831" s="735">
        <v>6468</v>
      </c>
      <c r="M831" s="735">
        <v>6847</v>
      </c>
      <c r="N831" s="845">
        <f t="shared" si="73"/>
        <v>5.8596165739022883E-2</v>
      </c>
      <c r="O831" s="735">
        <v>14.389892314988273</v>
      </c>
      <c r="P831" s="735">
        <f t="shared" si="74"/>
        <v>475.82009997866891</v>
      </c>
      <c r="Q831" s="849">
        <v>39.6</v>
      </c>
      <c r="R831" s="71">
        <v>85543</v>
      </c>
      <c r="S831" s="845">
        <v>8.3148394732948661E-2</v>
      </c>
      <c r="T831" s="845">
        <v>5.4000000000000006E-2</v>
      </c>
      <c r="U831" s="845">
        <v>0</v>
      </c>
      <c r="V831" s="845">
        <v>0</v>
      </c>
      <c r="W831" s="845">
        <v>0.19322412509307521</v>
      </c>
      <c r="X831" s="845">
        <v>0.2928709055876686</v>
      </c>
      <c r="Y831" s="845">
        <v>0.91587556594128816</v>
      </c>
      <c r="Z831" s="845">
        <v>0</v>
      </c>
      <c r="AA831" s="845">
        <v>0</v>
      </c>
      <c r="AB831" s="845">
        <v>0</v>
      </c>
      <c r="AC831" s="845">
        <v>0</v>
      </c>
      <c r="AD831" s="845">
        <v>5.1117277639842265E-3</v>
      </c>
      <c r="AE831" s="845">
        <v>7.9012706294727619E-2</v>
      </c>
      <c r="AF831" s="845">
        <v>2.2783700890901124E-2</v>
      </c>
      <c r="AG831" s="845">
        <v>0.91587556594128816</v>
      </c>
      <c r="AH831" s="20" t="str">
        <f t="shared" si="75"/>
        <v>Yes</v>
      </c>
      <c r="AI831" s="25"/>
      <c r="AJ831" s="20">
        <v>44874</v>
      </c>
      <c r="AK831" s="20" t="s">
        <v>1511</v>
      </c>
      <c r="AL831" s="20">
        <v>39005</v>
      </c>
      <c r="AM831" s="20" t="s">
        <v>9</v>
      </c>
      <c r="AN831" s="37" t="str">
        <f t="shared" si="76"/>
        <v>N/A</v>
      </c>
      <c r="AO831" s="37" t="str">
        <f t="shared" si="77"/>
        <v>N/A</v>
      </c>
      <c r="AP831" s="20" t="s">
        <v>8</v>
      </c>
      <c r="AQ831" s="25"/>
      <c r="AR831" s="25"/>
      <c r="AS831" s="25"/>
      <c r="AT831" s="25"/>
      <c r="AU831" s="36"/>
      <c r="AV831" s="36"/>
      <c r="AW831" s="36"/>
      <c r="AX831" s="25"/>
      <c r="AY831" s="25"/>
      <c r="AZ831" s="25"/>
      <c r="BA831" s="25"/>
      <c r="BB831" s="25"/>
      <c r="BC831" s="25"/>
      <c r="BD831" s="25"/>
      <c r="BE831" s="25"/>
      <c r="BF831" s="25"/>
      <c r="BG831" s="25"/>
      <c r="BH831" s="25"/>
      <c r="BI831" s="25"/>
      <c r="BJ831" s="25"/>
      <c r="BK831" s="25"/>
      <c r="BL831" s="25"/>
      <c r="BM831" s="25"/>
      <c r="BN831" s="25"/>
      <c r="BO831" s="25"/>
      <c r="BP831" s="25"/>
      <c r="BQ831" s="25"/>
      <c r="BR831" s="25"/>
      <c r="BS831" s="25"/>
      <c r="BT831" s="25"/>
      <c r="BU831" s="39">
        <v>43310</v>
      </c>
      <c r="BV831" s="39" t="s">
        <v>867</v>
      </c>
      <c r="BW831" s="39" t="s">
        <v>2950</v>
      </c>
      <c r="BX831" s="39" t="s">
        <v>267</v>
      </c>
      <c r="BY831" s="71">
        <v>950</v>
      </c>
      <c r="BZ831" s="71">
        <v>960</v>
      </c>
      <c r="CA831" s="71">
        <v>1240</v>
      </c>
      <c r="CB831" s="71">
        <v>1520</v>
      </c>
      <c r="CC831" s="71">
        <v>1660</v>
      </c>
      <c r="CD831" s="25"/>
      <c r="CE831" s="200"/>
      <c r="CF831" s="200"/>
      <c r="CG831" s="200"/>
      <c r="CH831" s="200"/>
      <c r="CI831" s="200"/>
      <c r="CJ831" s="200"/>
      <c r="CK831" s="200"/>
      <c r="CL831" s="200"/>
      <c r="CM831" s="200"/>
      <c r="CN831" s="200"/>
      <c r="CO831" s="200"/>
      <c r="CP831" s="200"/>
      <c r="CQ831" s="200"/>
      <c r="CR831" s="200"/>
      <c r="CS831" s="200"/>
      <c r="CT831" s="200"/>
      <c r="CU831" s="200"/>
    </row>
    <row r="832" spans="1:99" s="17" customFormat="1" x14ac:dyDescent="0.2">
      <c r="A832" s="25"/>
      <c r="B832" s="20">
        <v>39153530402</v>
      </c>
      <c r="C832" s="20">
        <v>5304.02</v>
      </c>
      <c r="D832" s="20" t="s">
        <v>82</v>
      </c>
      <c r="E832" s="20" t="s">
        <v>2843</v>
      </c>
      <c r="F832" s="20" t="s">
        <v>8</v>
      </c>
      <c r="G832" s="861">
        <v>58.297620511329796</v>
      </c>
      <c r="H832" s="861">
        <v>59.577568101741903</v>
      </c>
      <c r="I832" s="861">
        <v>25.596259882869798</v>
      </c>
      <c r="J832" s="861">
        <v>37.357044125391802</v>
      </c>
      <c r="K832" s="982">
        <v>0</v>
      </c>
      <c r="L832" s="735">
        <v>3381</v>
      </c>
      <c r="M832" s="735">
        <v>3486</v>
      </c>
      <c r="N832" s="845">
        <f t="shared" si="73"/>
        <v>3.1055900621118012E-2</v>
      </c>
      <c r="O832" s="735">
        <v>0.89163382298307159</v>
      </c>
      <c r="P832" s="735">
        <f t="shared" si="74"/>
        <v>3909.6767194599624</v>
      </c>
      <c r="Q832" s="849">
        <v>30.9</v>
      </c>
      <c r="R832" s="71">
        <v>71116</v>
      </c>
      <c r="S832" s="845">
        <v>2.2202220222022201E-2</v>
      </c>
      <c r="T832" s="845">
        <v>4.0999999999999995E-2</v>
      </c>
      <c r="U832" s="845">
        <v>3.5000000000000003E-2</v>
      </c>
      <c r="V832" s="845">
        <v>0</v>
      </c>
      <c r="W832" s="845">
        <v>0.34055265123226286</v>
      </c>
      <c r="X832" s="845">
        <v>0.17543859649122806</v>
      </c>
      <c r="Y832" s="845">
        <v>0.80149168100975332</v>
      </c>
      <c r="Z832" s="845">
        <v>8.7779690189328741E-2</v>
      </c>
      <c r="AA832" s="845">
        <v>0</v>
      </c>
      <c r="AB832" s="845">
        <v>5.7372346528973037E-2</v>
      </c>
      <c r="AC832" s="845">
        <v>0</v>
      </c>
      <c r="AD832" s="845">
        <v>0</v>
      </c>
      <c r="AE832" s="845">
        <v>5.3356282271944923E-2</v>
      </c>
      <c r="AF832" s="845">
        <v>1.1474469305794608E-2</v>
      </c>
      <c r="AG832" s="845">
        <v>0.79001721170395867</v>
      </c>
      <c r="AH832" s="20" t="str">
        <f t="shared" si="75"/>
        <v>No</v>
      </c>
      <c r="AI832" s="25"/>
      <c r="AJ832" s="20">
        <v>44878</v>
      </c>
      <c r="AK832" s="20" t="s">
        <v>1513</v>
      </c>
      <c r="AL832" s="20">
        <v>39005</v>
      </c>
      <c r="AM832" s="20" t="s">
        <v>9</v>
      </c>
      <c r="AN832" s="37" t="str">
        <f t="shared" si="76"/>
        <v>N/A</v>
      </c>
      <c r="AO832" s="37" t="str">
        <f t="shared" si="77"/>
        <v>N/A</v>
      </c>
      <c r="AP832" s="20" t="s">
        <v>8</v>
      </c>
      <c r="AQ832" s="25"/>
      <c r="AR832" s="25"/>
      <c r="AS832" s="25"/>
      <c r="AT832" s="25"/>
      <c r="AU832" s="36"/>
      <c r="AV832" s="36"/>
      <c r="AW832" s="36"/>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39">
        <v>45801</v>
      </c>
      <c r="BV832" s="39" t="s">
        <v>1879</v>
      </c>
      <c r="BW832" s="39" t="s">
        <v>2950</v>
      </c>
      <c r="BX832" s="39" t="s">
        <v>267</v>
      </c>
      <c r="BY832" s="71">
        <v>810</v>
      </c>
      <c r="BZ832" s="71">
        <v>820</v>
      </c>
      <c r="CA832" s="71">
        <v>1070</v>
      </c>
      <c r="CB832" s="71">
        <v>1290</v>
      </c>
      <c r="CC832" s="71">
        <v>1440</v>
      </c>
      <c r="CD832" s="25"/>
      <c r="CE832" s="200"/>
      <c r="CF832" s="200"/>
      <c r="CG832" s="200"/>
      <c r="CH832" s="200"/>
      <c r="CI832" s="200"/>
      <c r="CJ832" s="200"/>
      <c r="CK832" s="200"/>
      <c r="CL832" s="200"/>
      <c r="CM832" s="200"/>
      <c r="CN832" s="200"/>
      <c r="CO832" s="200"/>
      <c r="CP832" s="200"/>
      <c r="CQ832" s="200"/>
      <c r="CR832" s="200"/>
      <c r="CS832" s="200"/>
      <c r="CT832" s="200"/>
      <c r="CU832" s="200"/>
    </row>
    <row r="833" spans="1:99" s="17" customFormat="1" x14ac:dyDescent="0.2">
      <c r="A833" s="25"/>
      <c r="B833" s="20">
        <v>39025041002</v>
      </c>
      <c r="C833" s="20">
        <v>410.02</v>
      </c>
      <c r="D833" s="20" t="s">
        <v>19</v>
      </c>
      <c r="E833" s="20" t="s">
        <v>2828</v>
      </c>
      <c r="F833" s="20" t="s">
        <v>8</v>
      </c>
      <c r="G833" s="861">
        <v>58.289289013179797</v>
      </c>
      <c r="H833" s="861">
        <v>64.894235724226903</v>
      </c>
      <c r="I833" s="861">
        <v>14.3911885253381</v>
      </c>
      <c r="J833" s="861">
        <v>67.315698752939696</v>
      </c>
      <c r="K833" s="982">
        <v>1</v>
      </c>
      <c r="L833" s="735" t="s">
        <v>2466</v>
      </c>
      <c r="M833" s="735">
        <v>3124</v>
      </c>
      <c r="N833" s="845" t="str">
        <f t="shared" si="73"/>
        <v/>
      </c>
      <c r="O833" s="735">
        <v>10.235238106942507</v>
      </c>
      <c r="P833" s="735">
        <f t="shared" si="74"/>
        <v>305.2200610634556</v>
      </c>
      <c r="Q833" s="849">
        <v>46</v>
      </c>
      <c r="R833" s="71">
        <v>145188</v>
      </c>
      <c r="S833" s="845">
        <v>1.1029411764705883E-2</v>
      </c>
      <c r="T833" s="845">
        <v>0</v>
      </c>
      <c r="U833" s="845">
        <v>5.0000000000000001E-3</v>
      </c>
      <c r="V833" s="845">
        <v>0</v>
      </c>
      <c r="W833" s="845">
        <v>3.6555645816409424E-2</v>
      </c>
      <c r="X833" s="845">
        <v>0.51111111111111107</v>
      </c>
      <c r="Y833" s="845">
        <v>0.89180537772087065</v>
      </c>
      <c r="Z833" s="845">
        <v>1.1843790012804098E-2</v>
      </c>
      <c r="AA833" s="845">
        <v>0</v>
      </c>
      <c r="AB833" s="845">
        <v>8.2266325224071707E-2</v>
      </c>
      <c r="AC833" s="845">
        <v>0</v>
      </c>
      <c r="AD833" s="845">
        <v>0</v>
      </c>
      <c r="AE833" s="845">
        <v>1.4084507042253521E-2</v>
      </c>
      <c r="AF833" s="845">
        <v>1.3124199743918053E-2</v>
      </c>
      <c r="AG833" s="845">
        <v>0.88668373879641482</v>
      </c>
      <c r="AH833" s="20" t="str">
        <f t="shared" si="75"/>
        <v>No</v>
      </c>
      <c r="AI833" s="25"/>
      <c r="AJ833" s="37">
        <v>44880</v>
      </c>
      <c r="AK833" s="37" t="s">
        <v>1514</v>
      </c>
      <c r="AL833" s="37">
        <v>39005</v>
      </c>
      <c r="AM833" s="37" t="s">
        <v>9</v>
      </c>
      <c r="AN833" s="37" t="str">
        <f t="shared" si="76"/>
        <v>N/A</v>
      </c>
      <c r="AO833" s="37" t="str">
        <f t="shared" si="77"/>
        <v>N/A</v>
      </c>
      <c r="AP833" s="20" t="s">
        <v>8</v>
      </c>
      <c r="AQ833" s="25"/>
      <c r="AR833" s="25"/>
      <c r="AS833" s="25"/>
      <c r="AT833" s="25"/>
      <c r="AU833" s="36"/>
      <c r="AV833" s="36"/>
      <c r="AW833" s="36"/>
      <c r="AX833" s="25"/>
      <c r="AY833" s="25"/>
      <c r="AZ833" s="25"/>
      <c r="BA833" s="25"/>
      <c r="BB833" s="25"/>
      <c r="BC833" s="25"/>
      <c r="BD833" s="25"/>
      <c r="BE833" s="25"/>
      <c r="BF833" s="25"/>
      <c r="BG833" s="25"/>
      <c r="BH833" s="25"/>
      <c r="BI833" s="25"/>
      <c r="BJ833" s="25"/>
      <c r="BK833" s="25"/>
      <c r="BL833" s="25"/>
      <c r="BM833" s="25"/>
      <c r="BN833" s="25"/>
      <c r="BO833" s="25"/>
      <c r="BP833" s="25"/>
      <c r="BQ833" s="25"/>
      <c r="BR833" s="25"/>
      <c r="BS833" s="25"/>
      <c r="BT833" s="25"/>
      <c r="BU833" s="39">
        <v>45804</v>
      </c>
      <c r="BV833" s="39" t="s">
        <v>1880</v>
      </c>
      <c r="BW833" s="39" t="s">
        <v>2950</v>
      </c>
      <c r="BX833" s="39" t="s">
        <v>267</v>
      </c>
      <c r="BY833" s="71">
        <v>830</v>
      </c>
      <c r="BZ833" s="71">
        <v>830</v>
      </c>
      <c r="CA833" s="71">
        <v>1090</v>
      </c>
      <c r="CB833" s="71">
        <v>1320</v>
      </c>
      <c r="CC833" s="71">
        <v>1470</v>
      </c>
      <c r="CD833" s="25"/>
      <c r="CE833" s="200"/>
      <c r="CF833" s="200"/>
      <c r="CG833" s="200"/>
      <c r="CH833" s="200"/>
      <c r="CI833" s="200"/>
      <c r="CJ833" s="200"/>
      <c r="CK833" s="200"/>
      <c r="CL833" s="200"/>
      <c r="CM833" s="200"/>
      <c r="CN833" s="200"/>
      <c r="CO833" s="200"/>
      <c r="CP833" s="200"/>
      <c r="CQ833" s="200"/>
      <c r="CR833" s="200"/>
      <c r="CS833" s="200"/>
      <c r="CT833" s="200"/>
      <c r="CU833" s="200"/>
    </row>
    <row r="834" spans="1:99" s="17" customFormat="1" x14ac:dyDescent="0.2">
      <c r="A834" s="25"/>
      <c r="B834" s="20">
        <v>39033974400</v>
      </c>
      <c r="C834" s="20">
        <v>9744</v>
      </c>
      <c r="D834" s="20" t="s">
        <v>23</v>
      </c>
      <c r="E834" s="20" t="s">
        <v>265</v>
      </c>
      <c r="F834" s="20" t="s">
        <v>8</v>
      </c>
      <c r="G834" s="861">
        <v>58.278979753079902</v>
      </c>
      <c r="H834" s="861">
        <v>63.643951323622503</v>
      </c>
      <c r="I834" s="861">
        <v>45.212632646737603</v>
      </c>
      <c r="J834" s="861">
        <v>44.252764207842802</v>
      </c>
      <c r="K834" s="982">
        <v>0</v>
      </c>
      <c r="L834" s="735">
        <v>3613</v>
      </c>
      <c r="M834" s="735">
        <v>3122</v>
      </c>
      <c r="N834" s="845">
        <f t="shared" si="73"/>
        <v>-0.1358981455853861</v>
      </c>
      <c r="O834" s="735">
        <v>6.7669376289144436</v>
      </c>
      <c r="P834" s="735">
        <f t="shared" si="74"/>
        <v>461.36083575826206</v>
      </c>
      <c r="Q834" s="849">
        <v>41.8</v>
      </c>
      <c r="R834" s="71">
        <v>49265</v>
      </c>
      <c r="S834" s="845">
        <v>0.12138123474014649</v>
      </c>
      <c r="T834" s="845">
        <v>7.4999999999999997E-2</v>
      </c>
      <c r="U834" s="845">
        <v>0</v>
      </c>
      <c r="V834" s="845">
        <v>0.05</v>
      </c>
      <c r="W834" s="845">
        <v>0.41033925686591277</v>
      </c>
      <c r="X834" s="845">
        <v>0.29330708661417321</v>
      </c>
      <c r="Y834" s="845">
        <v>0.95547725816784113</v>
      </c>
      <c r="Z834" s="845">
        <v>1.0249839846252402E-2</v>
      </c>
      <c r="AA834" s="845">
        <v>6.406149903907751E-4</v>
      </c>
      <c r="AB834" s="845">
        <v>0</v>
      </c>
      <c r="AC834" s="845">
        <v>9.6092248558616276E-4</v>
      </c>
      <c r="AD834" s="845">
        <v>0</v>
      </c>
      <c r="AE834" s="845">
        <v>3.2671364509929531E-2</v>
      </c>
      <c r="AF834" s="845">
        <v>2.626521460602178E-2</v>
      </c>
      <c r="AG834" s="845">
        <v>0.94394618834080712</v>
      </c>
      <c r="AH834" s="20" t="str">
        <f t="shared" si="75"/>
        <v>Yes</v>
      </c>
      <c r="AI834" s="25"/>
      <c r="AJ834" s="20">
        <v>44903</v>
      </c>
      <c r="AK834" s="20" t="s">
        <v>1523</v>
      </c>
      <c r="AL834" s="20">
        <v>39005</v>
      </c>
      <c r="AM834" s="20" t="s">
        <v>9</v>
      </c>
      <c r="AN834" s="37" t="str">
        <f t="shared" si="76"/>
        <v>N/A</v>
      </c>
      <c r="AO834" s="37" t="str">
        <f t="shared" si="77"/>
        <v>N/A</v>
      </c>
      <c r="AP834" s="20" t="s">
        <v>8</v>
      </c>
      <c r="AQ834" s="25"/>
      <c r="AR834" s="25"/>
      <c r="AS834" s="25"/>
      <c r="AT834" s="25"/>
      <c r="AU834" s="36"/>
      <c r="AV834" s="36"/>
      <c r="AW834" s="36"/>
      <c r="AX834" s="25"/>
      <c r="AY834" s="25"/>
      <c r="AZ834" s="25"/>
      <c r="BA834" s="25"/>
      <c r="BB834" s="25"/>
      <c r="BC834" s="25"/>
      <c r="BD834" s="25"/>
      <c r="BE834" s="25"/>
      <c r="BF834" s="25"/>
      <c r="BG834" s="25"/>
      <c r="BH834" s="25"/>
      <c r="BI834" s="25"/>
      <c r="BJ834" s="25"/>
      <c r="BK834" s="25"/>
      <c r="BL834" s="25"/>
      <c r="BM834" s="25"/>
      <c r="BN834" s="25"/>
      <c r="BO834" s="25"/>
      <c r="BP834" s="25"/>
      <c r="BQ834" s="25"/>
      <c r="BR834" s="25"/>
      <c r="BS834" s="25"/>
      <c r="BT834" s="25"/>
      <c r="BU834" s="39">
        <v>45805</v>
      </c>
      <c r="BV834" s="39" t="s">
        <v>1881</v>
      </c>
      <c r="BW834" s="39" t="s">
        <v>2950</v>
      </c>
      <c r="BX834" s="39" t="s">
        <v>267</v>
      </c>
      <c r="BY834" s="71">
        <v>880</v>
      </c>
      <c r="BZ834" s="71">
        <v>880</v>
      </c>
      <c r="CA834" s="71">
        <v>1160</v>
      </c>
      <c r="CB834" s="71">
        <v>1400</v>
      </c>
      <c r="CC834" s="71">
        <v>1560</v>
      </c>
      <c r="CD834" s="25"/>
      <c r="CE834" s="200"/>
      <c r="CF834" s="200"/>
      <c r="CG834" s="200"/>
      <c r="CH834" s="200"/>
      <c r="CI834" s="200"/>
      <c r="CJ834" s="200"/>
      <c r="CK834" s="200"/>
      <c r="CL834" s="200"/>
      <c r="CM834" s="200"/>
      <c r="CN834" s="200"/>
      <c r="CO834" s="200"/>
      <c r="CP834" s="200"/>
      <c r="CQ834" s="200"/>
      <c r="CR834" s="200"/>
      <c r="CS834" s="200"/>
      <c r="CT834" s="200"/>
      <c r="CU834" s="200"/>
    </row>
    <row r="835" spans="1:99" s="17" customFormat="1" x14ac:dyDescent="0.2">
      <c r="A835" s="25"/>
      <c r="B835" s="20">
        <v>39051040702</v>
      </c>
      <c r="C835" s="20">
        <v>407.02</v>
      </c>
      <c r="D835" s="20" t="s">
        <v>32</v>
      </c>
      <c r="E835" s="20" t="s">
        <v>2839</v>
      </c>
      <c r="F835" s="20" t="s">
        <v>8</v>
      </c>
      <c r="G835" s="861">
        <v>58.274969623637404</v>
      </c>
      <c r="H835" s="861">
        <v>62.624925693321401</v>
      </c>
      <c r="I835" s="861">
        <v>32.311966887860699</v>
      </c>
      <c r="J835" s="861">
        <v>33.421927125450502</v>
      </c>
      <c r="K835" s="982">
        <v>0</v>
      </c>
      <c r="L835" s="735" t="s">
        <v>2466</v>
      </c>
      <c r="M835" s="735">
        <v>4989</v>
      </c>
      <c r="N835" s="845" t="str">
        <f t="shared" si="73"/>
        <v/>
      </c>
      <c r="O835" s="735">
        <v>4.4788487465295743</v>
      </c>
      <c r="P835" s="735">
        <f t="shared" si="74"/>
        <v>1113.9023178368582</v>
      </c>
      <c r="Q835" s="849">
        <v>39.299999999999997</v>
      </c>
      <c r="R835" s="71">
        <v>68654</v>
      </c>
      <c r="S835" s="845">
        <v>6.7005076142131983E-2</v>
      </c>
      <c r="T835" s="845">
        <v>5.7000000000000002E-2</v>
      </c>
      <c r="U835" s="845">
        <v>0</v>
      </c>
      <c r="V835" s="845">
        <v>0</v>
      </c>
      <c r="W835" s="845">
        <v>0.27948717948717949</v>
      </c>
      <c r="X835" s="845">
        <v>0.31376146788990827</v>
      </c>
      <c r="Y835" s="845">
        <v>0.88234115053116857</v>
      </c>
      <c r="Z835" s="845">
        <v>3.8083784325516137E-3</v>
      </c>
      <c r="AA835" s="845">
        <v>0</v>
      </c>
      <c r="AB835" s="845">
        <v>1.3629985969132091E-2</v>
      </c>
      <c r="AC835" s="845">
        <v>0</v>
      </c>
      <c r="AD835" s="845">
        <v>5.1112447384245342E-2</v>
      </c>
      <c r="AE835" s="845">
        <v>4.9108037682902388E-2</v>
      </c>
      <c r="AF835" s="845">
        <v>0.10523150932050511</v>
      </c>
      <c r="AG835" s="845">
        <v>0.84265383844457808</v>
      </c>
      <c r="AH835" s="20" t="str">
        <f t="shared" si="75"/>
        <v>No</v>
      </c>
      <c r="AI835" s="25"/>
      <c r="AJ835" s="20">
        <v>43728</v>
      </c>
      <c r="AK835" s="20" t="s">
        <v>1033</v>
      </c>
      <c r="AL835" s="20">
        <v>39009</v>
      </c>
      <c r="AM835" s="20" t="s">
        <v>11</v>
      </c>
      <c r="AN835" s="37" t="str">
        <f t="shared" si="76"/>
        <v>N/A</v>
      </c>
      <c r="AO835" s="37" t="str">
        <f t="shared" si="77"/>
        <v>N/A</v>
      </c>
      <c r="AP835" s="20" t="s">
        <v>8</v>
      </c>
      <c r="AQ835" s="25"/>
      <c r="AR835" s="25"/>
      <c r="AS835" s="25"/>
      <c r="AT835" s="25"/>
      <c r="AU835" s="36"/>
      <c r="AV835" s="36"/>
      <c r="AW835" s="36"/>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39">
        <v>45806</v>
      </c>
      <c r="BV835" s="39" t="s">
        <v>1882</v>
      </c>
      <c r="BW835" s="39" t="s">
        <v>2950</v>
      </c>
      <c r="BX835" s="39" t="s">
        <v>267</v>
      </c>
      <c r="BY835" s="71">
        <v>880</v>
      </c>
      <c r="BZ835" s="71">
        <v>880</v>
      </c>
      <c r="CA835" s="71">
        <v>1160</v>
      </c>
      <c r="CB835" s="71">
        <v>1440</v>
      </c>
      <c r="CC835" s="71">
        <v>1640</v>
      </c>
      <c r="CD835" s="25"/>
      <c r="CE835" s="200"/>
      <c r="CF835" s="200"/>
      <c r="CG835" s="200"/>
      <c r="CH835" s="200"/>
      <c r="CI835" s="200"/>
      <c r="CJ835" s="200"/>
      <c r="CK835" s="200"/>
      <c r="CL835" s="200"/>
      <c r="CM835" s="200"/>
      <c r="CN835" s="200"/>
      <c r="CO835" s="200"/>
      <c r="CP835" s="200"/>
      <c r="CQ835" s="200"/>
      <c r="CR835" s="200"/>
      <c r="CS835" s="200"/>
      <c r="CT835" s="200"/>
      <c r="CU835" s="200"/>
    </row>
    <row r="836" spans="1:99" s="17" customFormat="1" x14ac:dyDescent="0.2">
      <c r="A836" s="25"/>
      <c r="B836" s="20">
        <v>39095008204</v>
      </c>
      <c r="C836" s="20">
        <v>82.04</v>
      </c>
      <c r="D836" s="20" t="s">
        <v>53</v>
      </c>
      <c r="E836" s="20" t="s">
        <v>2839</v>
      </c>
      <c r="F836" s="20" t="s">
        <v>8</v>
      </c>
      <c r="G836" s="861">
        <v>58.2741726846943</v>
      </c>
      <c r="H836" s="861">
        <v>57.374650841816702</v>
      </c>
      <c r="I836" s="861">
        <v>23.749846480483601</v>
      </c>
      <c r="J836" s="861">
        <v>23.973639292887398</v>
      </c>
      <c r="K836" s="982">
        <v>0</v>
      </c>
      <c r="L836" s="735" t="s">
        <v>2466</v>
      </c>
      <c r="M836" s="735">
        <v>2618</v>
      </c>
      <c r="N836" s="845" t="str">
        <f t="shared" si="73"/>
        <v/>
      </c>
      <c r="O836" s="735">
        <v>1.052174714423689</v>
      </c>
      <c r="P836" s="735">
        <f t="shared" si="74"/>
        <v>2488.1799230786164</v>
      </c>
      <c r="Q836" s="849">
        <v>38.799999999999997</v>
      </c>
      <c r="R836" s="71">
        <v>85700</v>
      </c>
      <c r="S836" s="845">
        <v>6.9428461833525121E-2</v>
      </c>
      <c r="T836" s="845">
        <v>4.5999999999999999E-2</v>
      </c>
      <c r="U836" s="845">
        <v>0</v>
      </c>
      <c r="V836" s="845">
        <v>0</v>
      </c>
      <c r="W836" s="845">
        <v>0.1860236220472441</v>
      </c>
      <c r="X836" s="845">
        <v>0.27513227513227512</v>
      </c>
      <c r="Y836" s="845">
        <v>0.8437738731856379</v>
      </c>
      <c r="Z836" s="845">
        <v>0.10962566844919786</v>
      </c>
      <c r="AA836" s="845">
        <v>0</v>
      </c>
      <c r="AB836" s="845">
        <v>6.8754774637127579E-3</v>
      </c>
      <c r="AC836" s="845">
        <v>0</v>
      </c>
      <c r="AD836" s="845">
        <v>0</v>
      </c>
      <c r="AE836" s="845">
        <v>3.972498090145149E-2</v>
      </c>
      <c r="AF836" s="845">
        <v>3.2849503437738729E-2</v>
      </c>
      <c r="AG836" s="845">
        <v>0.83422459893048129</v>
      </c>
      <c r="AH836" s="20" t="str">
        <f t="shared" si="75"/>
        <v>No</v>
      </c>
      <c r="AI836" s="25"/>
      <c r="AJ836" s="20">
        <v>45701</v>
      </c>
      <c r="AK836" s="20" t="s">
        <v>1832</v>
      </c>
      <c r="AL836" s="20">
        <v>39009</v>
      </c>
      <c r="AM836" s="20" t="s">
        <v>11</v>
      </c>
      <c r="AN836" s="37" t="str">
        <f t="shared" si="76"/>
        <v>N/A</v>
      </c>
      <c r="AO836" s="37" t="str">
        <f t="shared" si="77"/>
        <v>N/A</v>
      </c>
      <c r="AP836" s="20" t="s">
        <v>8</v>
      </c>
      <c r="AQ836" s="25"/>
      <c r="AR836" s="25"/>
      <c r="AS836" s="25"/>
      <c r="AT836" s="25"/>
      <c r="AU836" s="36"/>
      <c r="AV836" s="36"/>
      <c r="AW836" s="36"/>
      <c r="AX836" s="25"/>
      <c r="AY836" s="25"/>
      <c r="AZ836" s="25"/>
      <c r="BA836" s="25"/>
      <c r="BB836" s="25"/>
      <c r="BC836" s="25"/>
      <c r="BD836" s="25"/>
      <c r="BE836" s="25"/>
      <c r="BF836" s="25"/>
      <c r="BG836" s="25"/>
      <c r="BH836" s="25"/>
      <c r="BI836" s="25"/>
      <c r="BJ836" s="25"/>
      <c r="BK836" s="25"/>
      <c r="BL836" s="25"/>
      <c r="BM836" s="25"/>
      <c r="BN836" s="25"/>
      <c r="BO836" s="25"/>
      <c r="BP836" s="25"/>
      <c r="BQ836" s="25"/>
      <c r="BR836" s="25"/>
      <c r="BS836" s="25"/>
      <c r="BT836" s="25"/>
      <c r="BU836" s="39">
        <v>45807</v>
      </c>
      <c r="BV836" s="39" t="s">
        <v>1883</v>
      </c>
      <c r="BW836" s="39" t="s">
        <v>2950</v>
      </c>
      <c r="BX836" s="39" t="s">
        <v>267</v>
      </c>
      <c r="BY836" s="71">
        <v>890</v>
      </c>
      <c r="BZ836" s="71">
        <v>900</v>
      </c>
      <c r="CA836" s="71">
        <v>1180</v>
      </c>
      <c r="CB836" s="71">
        <v>1420</v>
      </c>
      <c r="CC836" s="71">
        <v>1590</v>
      </c>
      <c r="CD836" s="25"/>
      <c r="CE836" s="200"/>
      <c r="CF836" s="200"/>
      <c r="CG836" s="200"/>
      <c r="CH836" s="200"/>
      <c r="CI836" s="200"/>
      <c r="CJ836" s="200"/>
      <c r="CK836" s="200"/>
      <c r="CL836" s="200"/>
      <c r="CM836" s="200"/>
      <c r="CN836" s="200"/>
      <c r="CO836" s="200"/>
      <c r="CP836" s="200"/>
      <c r="CQ836" s="200"/>
      <c r="CR836" s="200"/>
      <c r="CS836" s="200"/>
      <c r="CT836" s="200"/>
      <c r="CU836" s="200"/>
    </row>
    <row r="837" spans="1:99" s="17" customFormat="1" x14ac:dyDescent="0.2">
      <c r="A837" s="25"/>
      <c r="B837" s="20">
        <v>39113040303</v>
      </c>
      <c r="C837" s="20">
        <v>403.03</v>
      </c>
      <c r="D837" s="20" t="s">
        <v>62</v>
      </c>
      <c r="E837" s="20" t="s">
        <v>2833</v>
      </c>
      <c r="F837" s="20" t="s">
        <v>8</v>
      </c>
      <c r="G837" s="861">
        <v>58.263860193932103</v>
      </c>
      <c r="H837" s="861">
        <v>48.357088255904102</v>
      </c>
      <c r="I837" s="861">
        <v>37.270019974630401</v>
      </c>
      <c r="J837" s="861">
        <v>47.628248952729898</v>
      </c>
      <c r="K837" s="982">
        <v>0</v>
      </c>
      <c r="L837" s="735">
        <v>5039</v>
      </c>
      <c r="M837" s="735">
        <v>5921</v>
      </c>
      <c r="N837" s="845">
        <f t="shared" si="73"/>
        <v>0.17503472911291923</v>
      </c>
      <c r="O837" s="735">
        <v>2.9144554644306844</v>
      </c>
      <c r="P837" s="735">
        <f t="shared" si="74"/>
        <v>2031.5973506071812</v>
      </c>
      <c r="Q837" s="849">
        <v>54.4</v>
      </c>
      <c r="R837" s="71">
        <v>110924</v>
      </c>
      <c r="S837" s="845">
        <v>2.5731406415227354E-2</v>
      </c>
      <c r="T837" s="845">
        <v>3.5000000000000003E-2</v>
      </c>
      <c r="U837" s="845">
        <v>0</v>
      </c>
      <c r="V837" s="845">
        <v>0</v>
      </c>
      <c r="W837" s="845">
        <v>0.12337662337662338</v>
      </c>
      <c r="X837" s="845">
        <v>0.61052631578947369</v>
      </c>
      <c r="Y837" s="845">
        <v>0.82891403479142034</v>
      </c>
      <c r="Z837" s="845">
        <v>0.10555649383550075</v>
      </c>
      <c r="AA837" s="845">
        <v>6.7556156054720488E-4</v>
      </c>
      <c r="AB837" s="845">
        <v>2.0942408376963352E-2</v>
      </c>
      <c r="AC837" s="845">
        <v>0</v>
      </c>
      <c r="AD837" s="845">
        <v>5.404492484377639E-3</v>
      </c>
      <c r="AE837" s="845">
        <v>3.8507008951190677E-2</v>
      </c>
      <c r="AF837" s="845">
        <v>5.8773855767606825E-2</v>
      </c>
      <c r="AG837" s="845">
        <v>0.78770477959804086</v>
      </c>
      <c r="AH837" s="20" t="str">
        <f t="shared" si="75"/>
        <v>No</v>
      </c>
      <c r="AI837" s="25"/>
      <c r="AJ837" s="20">
        <v>45710</v>
      </c>
      <c r="AK837" s="20" t="s">
        <v>1833</v>
      </c>
      <c r="AL837" s="20">
        <v>39009</v>
      </c>
      <c r="AM837" s="20" t="s">
        <v>11</v>
      </c>
      <c r="AN837" s="37" t="str">
        <f t="shared" si="76"/>
        <v>N/A</v>
      </c>
      <c r="AO837" s="37" t="str">
        <f t="shared" si="77"/>
        <v>N/A</v>
      </c>
      <c r="AP837" s="20" t="s">
        <v>8</v>
      </c>
      <c r="AQ837" s="25"/>
      <c r="AR837" s="25"/>
      <c r="AS837" s="25"/>
      <c r="AT837" s="25"/>
      <c r="AU837" s="36"/>
      <c r="AV837" s="36"/>
      <c r="AW837" s="36"/>
      <c r="AX837" s="25"/>
      <c r="AY837" s="25"/>
      <c r="AZ837" s="25"/>
      <c r="BA837" s="25"/>
      <c r="BB837" s="25"/>
      <c r="BC837" s="25"/>
      <c r="BD837" s="25"/>
      <c r="BE837" s="25"/>
      <c r="BF837" s="25"/>
      <c r="BG837" s="25"/>
      <c r="BH837" s="25"/>
      <c r="BI837" s="25"/>
      <c r="BJ837" s="25"/>
      <c r="BK837" s="25"/>
      <c r="BL837" s="25"/>
      <c r="BM837" s="25"/>
      <c r="BN837" s="25"/>
      <c r="BO837" s="25"/>
      <c r="BP837" s="25"/>
      <c r="BQ837" s="25"/>
      <c r="BR837" s="25"/>
      <c r="BS837" s="25"/>
      <c r="BT837" s="25"/>
      <c r="BU837" s="39">
        <v>45808</v>
      </c>
      <c r="BV837" s="39" t="s">
        <v>1884</v>
      </c>
      <c r="BW837" s="39" t="s">
        <v>2950</v>
      </c>
      <c r="BX837" s="39" t="s">
        <v>267</v>
      </c>
      <c r="BY837" s="71">
        <v>890</v>
      </c>
      <c r="BZ837" s="71">
        <v>900</v>
      </c>
      <c r="CA837" s="71">
        <v>1180</v>
      </c>
      <c r="CB837" s="71">
        <v>1420</v>
      </c>
      <c r="CC837" s="71">
        <v>1590</v>
      </c>
      <c r="CD837" s="25"/>
      <c r="CE837" s="200"/>
      <c r="CF837" s="200"/>
      <c r="CG837" s="200"/>
      <c r="CH837" s="200"/>
      <c r="CI837" s="200"/>
      <c r="CJ837" s="200"/>
      <c r="CK837" s="200"/>
      <c r="CL837" s="200"/>
      <c r="CM837" s="200"/>
      <c r="CN837" s="200"/>
      <c r="CO837" s="200"/>
      <c r="CP837" s="200"/>
      <c r="CQ837" s="200"/>
      <c r="CR837" s="200"/>
      <c r="CS837" s="200"/>
      <c r="CT837" s="200"/>
      <c r="CU837" s="200"/>
    </row>
    <row r="838" spans="1:99" s="17" customFormat="1" x14ac:dyDescent="0.2">
      <c r="A838" s="25"/>
      <c r="B838" s="20">
        <v>39153503701</v>
      </c>
      <c r="C838" s="20">
        <v>5037.01</v>
      </c>
      <c r="D838" s="20" t="s">
        <v>82</v>
      </c>
      <c r="E838" s="20" t="s">
        <v>2843</v>
      </c>
      <c r="F838" s="20" t="s">
        <v>8</v>
      </c>
      <c r="G838" s="861">
        <v>58.253897929841798</v>
      </c>
      <c r="H838" s="861">
        <v>58.745158773158103</v>
      </c>
      <c r="I838" s="861">
        <v>29.5292929383291</v>
      </c>
      <c r="J838" s="861">
        <v>46.670473203515797</v>
      </c>
      <c r="K838" s="982">
        <v>0</v>
      </c>
      <c r="L838" s="735">
        <v>5820</v>
      </c>
      <c r="M838" s="735">
        <v>5452</v>
      </c>
      <c r="N838" s="845">
        <f t="shared" si="73"/>
        <v>-6.3230240549828176E-2</v>
      </c>
      <c r="O838" s="735">
        <v>1.4113180619968175</v>
      </c>
      <c r="P838" s="735">
        <f t="shared" si="74"/>
        <v>3863.0554988336103</v>
      </c>
      <c r="Q838" s="849">
        <v>47.5</v>
      </c>
      <c r="R838" s="71">
        <v>66674</v>
      </c>
      <c r="S838" s="845">
        <v>7.9787234042553196E-2</v>
      </c>
      <c r="T838" s="845">
        <v>3.3000000000000002E-2</v>
      </c>
      <c r="U838" s="845">
        <v>6.0999999999999999E-2</v>
      </c>
      <c r="V838" s="845">
        <v>0</v>
      </c>
      <c r="W838" s="845">
        <v>0.31153119092627601</v>
      </c>
      <c r="X838" s="845">
        <v>0.33980582524271846</v>
      </c>
      <c r="Y838" s="845">
        <v>0.92699926632428464</v>
      </c>
      <c r="Z838" s="845">
        <v>4.9523110785033013E-2</v>
      </c>
      <c r="AA838" s="845">
        <v>0</v>
      </c>
      <c r="AB838" s="845">
        <v>4.0352164343360232E-3</v>
      </c>
      <c r="AC838" s="845">
        <v>0</v>
      </c>
      <c r="AD838" s="845">
        <v>0</v>
      </c>
      <c r="AE838" s="845">
        <v>1.9442406456346296E-2</v>
      </c>
      <c r="AF838" s="845">
        <v>4.4937637564196622E-2</v>
      </c>
      <c r="AG838" s="845">
        <v>0.88628026412325756</v>
      </c>
      <c r="AH838" s="20" t="str">
        <f t="shared" si="75"/>
        <v>No</v>
      </c>
      <c r="AI838" s="25"/>
      <c r="AJ838" s="20">
        <v>45711</v>
      </c>
      <c r="AK838" s="20" t="s">
        <v>1834</v>
      </c>
      <c r="AL838" s="20">
        <v>39009</v>
      </c>
      <c r="AM838" s="20" t="s">
        <v>11</v>
      </c>
      <c r="AN838" s="37" t="str">
        <f t="shared" si="76"/>
        <v>N/A</v>
      </c>
      <c r="AO838" s="37" t="str">
        <f t="shared" si="77"/>
        <v>N/A</v>
      </c>
      <c r="AP838" s="20" t="s">
        <v>8</v>
      </c>
      <c r="AQ838" s="25"/>
      <c r="AR838" s="25"/>
      <c r="AS838" s="25"/>
      <c r="AT838" s="25"/>
      <c r="AU838" s="36"/>
      <c r="AV838" s="36"/>
      <c r="AW838" s="36"/>
      <c r="AX838" s="25"/>
      <c r="AY838" s="25"/>
      <c r="AZ838" s="25"/>
      <c r="BA838" s="25"/>
      <c r="BB838" s="25"/>
      <c r="BC838" s="25"/>
      <c r="BD838" s="25"/>
      <c r="BE838" s="25"/>
      <c r="BF838" s="25"/>
      <c r="BG838" s="25"/>
      <c r="BH838" s="25"/>
      <c r="BI838" s="25"/>
      <c r="BJ838" s="25"/>
      <c r="BK838" s="25"/>
      <c r="BL838" s="25"/>
      <c r="BM838" s="25"/>
      <c r="BN838" s="25"/>
      <c r="BO838" s="25"/>
      <c r="BP838" s="25"/>
      <c r="BQ838" s="25"/>
      <c r="BR838" s="25"/>
      <c r="BS838" s="25"/>
      <c r="BT838" s="25"/>
      <c r="BU838" s="39">
        <v>45809</v>
      </c>
      <c r="BV838" s="39" t="s">
        <v>1885</v>
      </c>
      <c r="BW838" s="39" t="s">
        <v>2950</v>
      </c>
      <c r="BX838" s="39" t="s">
        <v>267</v>
      </c>
      <c r="BY838" s="71">
        <v>890</v>
      </c>
      <c r="BZ838" s="71">
        <v>900</v>
      </c>
      <c r="CA838" s="71">
        <v>1180</v>
      </c>
      <c r="CB838" s="71">
        <v>1420</v>
      </c>
      <c r="CC838" s="71">
        <v>1590</v>
      </c>
      <c r="CD838" s="25"/>
      <c r="CE838" s="200"/>
      <c r="CF838" s="200"/>
      <c r="CG838" s="200"/>
      <c r="CH838" s="200"/>
      <c r="CI838" s="200"/>
      <c r="CJ838" s="200"/>
      <c r="CK838" s="200"/>
      <c r="CL838" s="200"/>
      <c r="CM838" s="200"/>
      <c r="CN838" s="200"/>
      <c r="CO838" s="200"/>
      <c r="CP838" s="200"/>
      <c r="CQ838" s="200"/>
      <c r="CR838" s="200"/>
      <c r="CS838" s="200"/>
      <c r="CT838" s="200"/>
      <c r="CU838" s="200"/>
    </row>
    <row r="839" spans="1:99" s="17" customFormat="1" x14ac:dyDescent="0.2">
      <c r="A839" s="25"/>
      <c r="B839" s="20">
        <v>39095008801</v>
      </c>
      <c r="C839" s="20">
        <v>88.01</v>
      </c>
      <c r="D839" s="20" t="s">
        <v>53</v>
      </c>
      <c r="E839" s="20" t="s">
        <v>2839</v>
      </c>
      <c r="F839" s="20" t="s">
        <v>8</v>
      </c>
      <c r="G839" s="861">
        <v>58.2511304434476</v>
      </c>
      <c r="H839" s="861">
        <v>62.599935795460901</v>
      </c>
      <c r="I839" s="861">
        <v>27.112348024372</v>
      </c>
      <c r="J839" s="861">
        <v>53.528738285198003</v>
      </c>
      <c r="K839" s="982">
        <v>0</v>
      </c>
      <c r="L839" s="735" t="s">
        <v>2466</v>
      </c>
      <c r="M839" s="735">
        <v>3908</v>
      </c>
      <c r="N839" s="845" t="str">
        <f t="shared" si="73"/>
        <v/>
      </c>
      <c r="O839" s="735">
        <v>1.1486153115969324</v>
      </c>
      <c r="P839" s="735">
        <f t="shared" si="74"/>
        <v>3402.3575696258695</v>
      </c>
      <c r="Q839" s="849">
        <v>35.4</v>
      </c>
      <c r="R839" s="71">
        <v>93232</v>
      </c>
      <c r="S839" s="845">
        <v>0.13568486096807414</v>
      </c>
      <c r="T839" s="845">
        <v>1.1000000000000001E-2</v>
      </c>
      <c r="U839" s="845">
        <v>0</v>
      </c>
      <c r="V839" s="845">
        <v>5.2000000000000005E-2</v>
      </c>
      <c r="W839" s="845">
        <v>0.40547422024188418</v>
      </c>
      <c r="X839" s="845">
        <v>0.47252747252747251</v>
      </c>
      <c r="Y839" s="845">
        <v>0.80271238485158647</v>
      </c>
      <c r="Z839" s="845">
        <v>0.10977482088024565</v>
      </c>
      <c r="AA839" s="845">
        <v>0</v>
      </c>
      <c r="AB839" s="845">
        <v>9.9795291709314227E-3</v>
      </c>
      <c r="AC839" s="845">
        <v>0</v>
      </c>
      <c r="AD839" s="845">
        <v>9.467758444216991E-3</v>
      </c>
      <c r="AE839" s="845">
        <v>6.8065506653019442E-2</v>
      </c>
      <c r="AF839" s="845">
        <v>0.11514841351074719</v>
      </c>
      <c r="AG839" s="845">
        <v>0.74539406345957016</v>
      </c>
      <c r="AH839" s="20" t="str">
        <f t="shared" si="75"/>
        <v>No</v>
      </c>
      <c r="AI839" s="25"/>
      <c r="AJ839" s="20">
        <v>45716</v>
      </c>
      <c r="AK839" s="20" t="s">
        <v>1837</v>
      </c>
      <c r="AL839" s="20">
        <v>39009</v>
      </c>
      <c r="AM839" s="20" t="s">
        <v>11</v>
      </c>
      <c r="AN839" s="37" t="str">
        <f t="shared" si="76"/>
        <v>N/A</v>
      </c>
      <c r="AO839" s="37" t="str">
        <f t="shared" si="77"/>
        <v>N/A</v>
      </c>
      <c r="AP839" s="20" t="s">
        <v>8</v>
      </c>
      <c r="AQ839" s="25"/>
      <c r="AR839" s="25"/>
      <c r="AS839" s="25"/>
      <c r="AT839" s="25"/>
      <c r="AU839" s="36"/>
      <c r="AV839" s="36"/>
      <c r="AW839" s="36"/>
      <c r="AX839" s="25"/>
      <c r="AY839" s="25"/>
      <c r="AZ839" s="25"/>
      <c r="BA839" s="25"/>
      <c r="BB839" s="25"/>
      <c r="BC839" s="25"/>
      <c r="BD839" s="25"/>
      <c r="BE839" s="25"/>
      <c r="BF839" s="25"/>
      <c r="BG839" s="25"/>
      <c r="BH839" s="25"/>
      <c r="BI839" s="25"/>
      <c r="BJ839" s="25"/>
      <c r="BK839" s="25"/>
      <c r="BL839" s="25"/>
      <c r="BM839" s="25"/>
      <c r="BN839" s="25"/>
      <c r="BO839" s="25"/>
      <c r="BP839" s="25"/>
      <c r="BQ839" s="25"/>
      <c r="BR839" s="25"/>
      <c r="BS839" s="25"/>
      <c r="BT839" s="25"/>
      <c r="BU839" s="39">
        <v>45810</v>
      </c>
      <c r="BV839" s="39" t="s">
        <v>1886</v>
      </c>
      <c r="BW839" s="39" t="s">
        <v>2950</v>
      </c>
      <c r="BX839" s="39" t="s">
        <v>267</v>
      </c>
      <c r="BY839" s="71">
        <v>820</v>
      </c>
      <c r="BZ839" s="71">
        <v>820</v>
      </c>
      <c r="CA839" s="71">
        <v>990</v>
      </c>
      <c r="CB839" s="71">
        <v>1250</v>
      </c>
      <c r="CC839" s="71">
        <v>1400</v>
      </c>
      <c r="CD839" s="25"/>
      <c r="CE839" s="200"/>
      <c r="CF839" s="200"/>
      <c r="CG839" s="200"/>
      <c r="CH839" s="200"/>
      <c r="CI839" s="200"/>
      <c r="CJ839" s="200"/>
      <c r="CK839" s="200"/>
      <c r="CL839" s="200"/>
      <c r="CM839" s="200"/>
      <c r="CN839" s="200"/>
      <c r="CO839" s="200"/>
      <c r="CP839" s="200"/>
      <c r="CQ839" s="200"/>
      <c r="CR839" s="200"/>
      <c r="CS839" s="200"/>
      <c r="CT839" s="200"/>
      <c r="CU839" s="200"/>
    </row>
    <row r="840" spans="1:99" s="17" customFormat="1" x14ac:dyDescent="0.2">
      <c r="A840" s="25"/>
      <c r="B840" s="20">
        <v>39035175109</v>
      </c>
      <c r="C840" s="20">
        <v>1751.09</v>
      </c>
      <c r="D840" s="20" t="s">
        <v>24</v>
      </c>
      <c r="E840" s="20" t="s">
        <v>2829</v>
      </c>
      <c r="F840" s="20" t="s">
        <v>8</v>
      </c>
      <c r="G840" s="861">
        <v>58.244532123474002</v>
      </c>
      <c r="H840" s="861">
        <v>51.033260161137399</v>
      </c>
      <c r="I840" s="861">
        <v>20.908233957954</v>
      </c>
      <c r="J840" s="861">
        <v>44.843535828983697</v>
      </c>
      <c r="K840" s="982">
        <v>0</v>
      </c>
      <c r="L840" s="735" t="s">
        <v>2466</v>
      </c>
      <c r="M840" s="735">
        <v>2370</v>
      </c>
      <c r="N840" s="845" t="str">
        <f t="shared" si="73"/>
        <v/>
      </c>
      <c r="O840" s="735">
        <v>1.389356571216074</v>
      </c>
      <c r="P840" s="735">
        <f t="shared" si="74"/>
        <v>1705.8255951714323</v>
      </c>
      <c r="Q840" s="849">
        <v>56.3</v>
      </c>
      <c r="R840" s="71">
        <v>94583</v>
      </c>
      <c r="S840" s="845">
        <v>7.3159579332418845E-2</v>
      </c>
      <c r="T840" s="845">
        <v>2.3E-2</v>
      </c>
      <c r="U840" s="845">
        <v>2.2000000000000002E-2</v>
      </c>
      <c r="V840" s="845">
        <v>0</v>
      </c>
      <c r="W840" s="845">
        <v>3.7076271186440676E-2</v>
      </c>
      <c r="X840" s="845">
        <v>0.51428571428571423</v>
      </c>
      <c r="Y840" s="845">
        <v>0.94641350210970465</v>
      </c>
      <c r="Z840" s="845">
        <v>5.4852320675105488E-3</v>
      </c>
      <c r="AA840" s="845">
        <v>0</v>
      </c>
      <c r="AB840" s="845">
        <v>1.2658227848101266E-2</v>
      </c>
      <c r="AC840" s="845">
        <v>0</v>
      </c>
      <c r="AD840" s="845">
        <v>0</v>
      </c>
      <c r="AE840" s="845">
        <v>3.5443037974683546E-2</v>
      </c>
      <c r="AF840" s="845">
        <v>2.6582278481012658E-2</v>
      </c>
      <c r="AG840" s="845">
        <v>0.93586497890295361</v>
      </c>
      <c r="AH840" s="20" t="str">
        <f t="shared" si="75"/>
        <v>Yes</v>
      </c>
      <c r="AI840" s="25"/>
      <c r="AJ840" s="20">
        <v>45719</v>
      </c>
      <c r="AK840" s="20" t="s">
        <v>1838</v>
      </c>
      <c r="AL840" s="20">
        <v>39009</v>
      </c>
      <c r="AM840" s="20" t="s">
        <v>11</v>
      </c>
      <c r="AN840" s="37" t="str">
        <f t="shared" si="76"/>
        <v>N/A</v>
      </c>
      <c r="AO840" s="37" t="str">
        <f t="shared" si="77"/>
        <v>N/A</v>
      </c>
      <c r="AP840" s="20" t="s">
        <v>8</v>
      </c>
      <c r="AQ840" s="25"/>
      <c r="AR840" s="25"/>
      <c r="AS840" s="25"/>
      <c r="AT840" s="25"/>
      <c r="AU840" s="36"/>
      <c r="AV840" s="36"/>
      <c r="AW840" s="36"/>
      <c r="AX840" s="25"/>
      <c r="AY840" s="25"/>
      <c r="AZ840" s="25"/>
      <c r="BA840" s="25"/>
      <c r="BB840" s="25"/>
      <c r="BC840" s="25"/>
      <c r="BD840" s="25"/>
      <c r="BE840" s="25"/>
      <c r="BF840" s="25"/>
      <c r="BG840" s="25"/>
      <c r="BH840" s="25"/>
      <c r="BI840" s="25"/>
      <c r="BJ840" s="25"/>
      <c r="BK840" s="25"/>
      <c r="BL840" s="25"/>
      <c r="BM840" s="25"/>
      <c r="BN840" s="25"/>
      <c r="BO840" s="25"/>
      <c r="BP840" s="25"/>
      <c r="BQ840" s="25"/>
      <c r="BR840" s="25"/>
      <c r="BS840" s="25"/>
      <c r="BT840" s="25"/>
      <c r="BU840" s="39">
        <v>45812</v>
      </c>
      <c r="BV840" s="39" t="s">
        <v>1887</v>
      </c>
      <c r="BW840" s="39" t="s">
        <v>2950</v>
      </c>
      <c r="BX840" s="39" t="s">
        <v>267</v>
      </c>
      <c r="BY840" s="71">
        <v>840</v>
      </c>
      <c r="BZ840" s="71">
        <v>840</v>
      </c>
      <c r="CA840" s="71">
        <v>1010</v>
      </c>
      <c r="CB840" s="71">
        <v>1280</v>
      </c>
      <c r="CC840" s="71">
        <v>1430</v>
      </c>
      <c r="CD840" s="25"/>
      <c r="CE840" s="200"/>
      <c r="CF840" s="200"/>
      <c r="CG840" s="200"/>
      <c r="CH840" s="200"/>
      <c r="CI840" s="200"/>
      <c r="CJ840" s="200"/>
      <c r="CK840" s="200"/>
      <c r="CL840" s="200"/>
      <c r="CM840" s="200"/>
      <c r="CN840" s="200"/>
      <c r="CO840" s="200"/>
      <c r="CP840" s="200"/>
      <c r="CQ840" s="200"/>
      <c r="CR840" s="200"/>
      <c r="CS840" s="200"/>
      <c r="CT840" s="200"/>
      <c r="CU840" s="200"/>
    </row>
    <row r="841" spans="1:99" s="17" customFormat="1" x14ac:dyDescent="0.2">
      <c r="A841" s="25"/>
      <c r="B841" s="20">
        <v>39061020603</v>
      </c>
      <c r="C841" s="20">
        <v>206.03</v>
      </c>
      <c r="D841" s="20" t="s">
        <v>37</v>
      </c>
      <c r="E841" s="20" t="s">
        <v>2828</v>
      </c>
      <c r="F841" s="20" t="s">
        <v>8</v>
      </c>
      <c r="G841" s="861">
        <v>58.230673673419297</v>
      </c>
      <c r="H841" s="861">
        <v>51.052693925996302</v>
      </c>
      <c r="I841" s="861">
        <v>25.351117124048098</v>
      </c>
      <c r="J841" s="861">
        <v>39.283185252908801</v>
      </c>
      <c r="K841" s="982">
        <v>0</v>
      </c>
      <c r="L841" s="735" t="s">
        <v>2466</v>
      </c>
      <c r="M841" s="735">
        <v>5085</v>
      </c>
      <c r="N841" s="845" t="str">
        <f t="shared" si="73"/>
        <v/>
      </c>
      <c r="O841" s="735">
        <v>2.2069726798861637</v>
      </c>
      <c r="P841" s="735">
        <f t="shared" si="74"/>
        <v>2304.0611450896099</v>
      </c>
      <c r="Q841" s="849">
        <v>39.4</v>
      </c>
      <c r="R841" s="71">
        <v>75391</v>
      </c>
      <c r="S841" s="845">
        <v>3.7460567823343852E-2</v>
      </c>
      <c r="T841" s="845">
        <v>4.0999999999999995E-2</v>
      </c>
      <c r="U841" s="845">
        <v>0</v>
      </c>
      <c r="V841" s="845">
        <v>0</v>
      </c>
      <c r="W841" s="845">
        <v>0.20367207514944491</v>
      </c>
      <c r="X841" s="845">
        <v>0.12578616352201258</v>
      </c>
      <c r="Y841" s="845">
        <v>0.9158308751229105</v>
      </c>
      <c r="Z841" s="845">
        <v>3.4021632251720745E-2</v>
      </c>
      <c r="AA841" s="845">
        <v>0</v>
      </c>
      <c r="AB841" s="845">
        <v>1.5142576204523106E-2</v>
      </c>
      <c r="AC841" s="845">
        <v>0</v>
      </c>
      <c r="AD841" s="845">
        <v>0</v>
      </c>
      <c r="AE841" s="845">
        <v>3.5004916420845626E-2</v>
      </c>
      <c r="AF841" s="845">
        <v>2.0058997050147492E-2</v>
      </c>
      <c r="AG841" s="845">
        <v>0.9158308751229105</v>
      </c>
      <c r="AH841" s="20" t="str">
        <f t="shared" si="75"/>
        <v>Yes</v>
      </c>
      <c r="AI841" s="25"/>
      <c r="AJ841" s="20">
        <v>45723</v>
      </c>
      <c r="AK841" s="20" t="s">
        <v>1841</v>
      </c>
      <c r="AL841" s="20">
        <v>39009</v>
      </c>
      <c r="AM841" s="20" t="s">
        <v>11</v>
      </c>
      <c r="AN841" s="37" t="str">
        <f t="shared" si="76"/>
        <v>N/A</v>
      </c>
      <c r="AO841" s="37" t="str">
        <f t="shared" si="77"/>
        <v>N/A</v>
      </c>
      <c r="AP841" s="20" t="s">
        <v>8</v>
      </c>
      <c r="AQ841" s="25"/>
      <c r="AR841" s="25"/>
      <c r="AS841" s="25"/>
      <c r="AT841" s="25"/>
      <c r="AU841" s="36"/>
      <c r="AV841" s="36"/>
      <c r="AW841" s="36"/>
      <c r="AX841" s="25"/>
      <c r="AY841" s="25"/>
      <c r="AZ841" s="25"/>
      <c r="BA841" s="25"/>
      <c r="BB841" s="25"/>
      <c r="BC841" s="25"/>
      <c r="BD841" s="25"/>
      <c r="BE841" s="25"/>
      <c r="BF841" s="25"/>
      <c r="BG841" s="25"/>
      <c r="BH841" s="25"/>
      <c r="BI841" s="25"/>
      <c r="BJ841" s="25"/>
      <c r="BK841" s="25"/>
      <c r="BL841" s="25"/>
      <c r="BM841" s="25"/>
      <c r="BN841" s="25"/>
      <c r="BO841" s="25"/>
      <c r="BP841" s="25"/>
      <c r="BQ841" s="25"/>
      <c r="BR841" s="25"/>
      <c r="BS841" s="25"/>
      <c r="BT841" s="25"/>
      <c r="BU841" s="39">
        <v>45817</v>
      </c>
      <c r="BV841" s="39" t="s">
        <v>1892</v>
      </c>
      <c r="BW841" s="39" t="s">
        <v>2950</v>
      </c>
      <c r="BX841" s="39" t="s">
        <v>267</v>
      </c>
      <c r="BY841" s="71">
        <v>770</v>
      </c>
      <c r="BZ841" s="71">
        <v>790</v>
      </c>
      <c r="CA841" s="71">
        <v>1040</v>
      </c>
      <c r="CB841" s="71">
        <v>1270</v>
      </c>
      <c r="CC841" s="71">
        <v>1420</v>
      </c>
      <c r="CD841" s="25"/>
      <c r="CE841" s="200"/>
      <c r="CF841" s="200"/>
      <c r="CG841" s="200"/>
      <c r="CH841" s="200"/>
      <c r="CI841" s="200"/>
      <c r="CJ841" s="200"/>
      <c r="CK841" s="200"/>
      <c r="CL841" s="200"/>
      <c r="CM841" s="200"/>
      <c r="CN841" s="200"/>
      <c r="CO841" s="200"/>
      <c r="CP841" s="200"/>
      <c r="CQ841" s="200"/>
      <c r="CR841" s="200"/>
      <c r="CS841" s="200"/>
      <c r="CT841" s="200"/>
      <c r="CU841" s="200"/>
    </row>
    <row r="842" spans="1:99" s="17" customFormat="1" x14ac:dyDescent="0.2">
      <c r="A842" s="25"/>
      <c r="B842" s="20">
        <v>39123050800</v>
      </c>
      <c r="C842" s="20">
        <v>508</v>
      </c>
      <c r="D842" s="20" t="s">
        <v>67</v>
      </c>
      <c r="E842" s="20" t="s">
        <v>2837</v>
      </c>
      <c r="F842" s="20" t="s">
        <v>8</v>
      </c>
      <c r="G842" s="861">
        <v>58.223429154841902</v>
      </c>
      <c r="H842" s="861">
        <v>62.0615643902484</v>
      </c>
      <c r="I842" s="861">
        <v>20.949185310200999</v>
      </c>
      <c r="J842" s="861">
        <v>48.002512364493597</v>
      </c>
      <c r="K842" s="982">
        <v>0</v>
      </c>
      <c r="L842" s="735">
        <v>4233</v>
      </c>
      <c r="M842" s="735">
        <v>4295</v>
      </c>
      <c r="N842" s="845">
        <f t="shared" si="73"/>
        <v>1.4646822584455469E-2</v>
      </c>
      <c r="O842" s="735">
        <v>57.272750954829675</v>
      </c>
      <c r="P842" s="735">
        <f t="shared" si="74"/>
        <v>74.992032483081076</v>
      </c>
      <c r="Q842" s="849">
        <v>44.4</v>
      </c>
      <c r="R842" s="71">
        <v>78646</v>
      </c>
      <c r="S842" s="845">
        <v>9.5509622238061295E-2</v>
      </c>
      <c r="T842" s="845">
        <v>1.2E-2</v>
      </c>
      <c r="U842" s="845">
        <v>0</v>
      </c>
      <c r="V842" s="845">
        <v>0</v>
      </c>
      <c r="W842" s="845">
        <v>0.15599343185550082</v>
      </c>
      <c r="X842" s="845">
        <v>0.54035087719298247</v>
      </c>
      <c r="Y842" s="845">
        <v>0.96018626309662403</v>
      </c>
      <c r="Z842" s="845">
        <v>0</v>
      </c>
      <c r="AA842" s="845">
        <v>0</v>
      </c>
      <c r="AB842" s="845">
        <v>2.3282887077997672E-4</v>
      </c>
      <c r="AC842" s="845">
        <v>0</v>
      </c>
      <c r="AD842" s="845">
        <v>1.9091967403958091E-2</v>
      </c>
      <c r="AE842" s="845">
        <v>2.0488940628637951E-2</v>
      </c>
      <c r="AF842" s="845">
        <v>3.3294528521536672E-2</v>
      </c>
      <c r="AG842" s="845">
        <v>0.94342258440046567</v>
      </c>
      <c r="AH842" s="20" t="str">
        <f t="shared" si="75"/>
        <v>Yes</v>
      </c>
      <c r="AI842" s="25"/>
      <c r="AJ842" s="20">
        <v>45732</v>
      </c>
      <c r="AK842" s="20" t="s">
        <v>1845</v>
      </c>
      <c r="AL842" s="20">
        <v>39009</v>
      </c>
      <c r="AM842" s="20" t="s">
        <v>11</v>
      </c>
      <c r="AN842" s="37" t="str">
        <f t="shared" si="76"/>
        <v>N/A</v>
      </c>
      <c r="AO842" s="37" t="str">
        <f t="shared" si="77"/>
        <v>N/A</v>
      </c>
      <c r="AP842" s="20" t="s">
        <v>8</v>
      </c>
      <c r="AQ842" s="25"/>
      <c r="AR842" s="25"/>
      <c r="AS842" s="25"/>
      <c r="AT842" s="25"/>
      <c r="AU842" s="36"/>
      <c r="AV842" s="36"/>
      <c r="AW842" s="36"/>
      <c r="AX842" s="25"/>
      <c r="AY842" s="25"/>
      <c r="AZ842" s="25"/>
      <c r="BA842" s="25"/>
      <c r="BB842" s="25"/>
      <c r="BC842" s="25"/>
      <c r="BD842" s="25"/>
      <c r="BE842" s="25"/>
      <c r="BF842" s="25"/>
      <c r="BG842" s="25"/>
      <c r="BH842" s="25"/>
      <c r="BI842" s="25"/>
      <c r="BJ842" s="25"/>
      <c r="BK842" s="25"/>
      <c r="BL842" s="25"/>
      <c r="BM842" s="25"/>
      <c r="BN842" s="25"/>
      <c r="BO842" s="25"/>
      <c r="BP842" s="25"/>
      <c r="BQ842" s="25"/>
      <c r="BR842" s="25"/>
      <c r="BS842" s="25"/>
      <c r="BT842" s="25"/>
      <c r="BU842" s="39">
        <v>45820</v>
      </c>
      <c r="BV842" s="39" t="s">
        <v>1894</v>
      </c>
      <c r="BW842" s="39" t="s">
        <v>2950</v>
      </c>
      <c r="BX842" s="39" t="s">
        <v>267</v>
      </c>
      <c r="BY842" s="71">
        <v>770</v>
      </c>
      <c r="BZ842" s="71">
        <v>780</v>
      </c>
      <c r="CA842" s="71">
        <v>1020</v>
      </c>
      <c r="CB842" s="71">
        <v>1230</v>
      </c>
      <c r="CC842" s="71">
        <v>1370</v>
      </c>
      <c r="CD842" s="25"/>
      <c r="CE842" s="200"/>
      <c r="CF842" s="200"/>
      <c r="CG842" s="200"/>
      <c r="CH842" s="200"/>
      <c r="CI842" s="200"/>
      <c r="CJ842" s="200"/>
      <c r="CK842" s="200"/>
      <c r="CL842" s="200"/>
      <c r="CM842" s="200"/>
      <c r="CN842" s="200"/>
      <c r="CO842" s="200"/>
      <c r="CP842" s="200"/>
      <c r="CQ842" s="200"/>
      <c r="CR842" s="200"/>
      <c r="CS842" s="200"/>
      <c r="CT842" s="200"/>
      <c r="CU842" s="200"/>
    </row>
    <row r="843" spans="1:99" s="17" customFormat="1" x14ac:dyDescent="0.2">
      <c r="A843" s="25"/>
      <c r="B843" s="20">
        <v>39085201600</v>
      </c>
      <c r="C843" s="20">
        <v>2016</v>
      </c>
      <c r="D843" s="20" t="s">
        <v>48</v>
      </c>
      <c r="E843" s="20" t="s">
        <v>2829</v>
      </c>
      <c r="F843" s="20" t="s">
        <v>8</v>
      </c>
      <c r="G843" s="861">
        <v>58.212891592898401</v>
      </c>
      <c r="H843" s="861">
        <v>62.410432386181</v>
      </c>
      <c r="I843" s="861">
        <v>41.278979287857197</v>
      </c>
      <c r="J843" s="861">
        <v>50.9664183700311</v>
      </c>
      <c r="K843" s="982">
        <v>0</v>
      </c>
      <c r="L843" s="735">
        <v>3802</v>
      </c>
      <c r="M843" s="735">
        <v>4305</v>
      </c>
      <c r="N843" s="845">
        <f t="shared" ref="N843:N906" si="78">IF(OR(L843="",M843=""),"",(M843-L843)/L843)</f>
        <v>0.13229879011046816</v>
      </c>
      <c r="O843" s="735">
        <v>1.422459039783005</v>
      </c>
      <c r="P843" s="735">
        <f t="shared" ref="P843:P906" si="79">M843/O843</f>
        <v>3026.4491838420349</v>
      </c>
      <c r="Q843" s="849">
        <v>42</v>
      </c>
      <c r="R843" s="71">
        <v>105550</v>
      </c>
      <c r="S843" s="845">
        <v>9.7096399535423927E-2</v>
      </c>
      <c r="T843" s="845">
        <v>2.7000000000000003E-2</v>
      </c>
      <c r="U843" s="845">
        <v>0</v>
      </c>
      <c r="V843" s="845">
        <v>0</v>
      </c>
      <c r="W843" s="845">
        <v>0.150278293135436</v>
      </c>
      <c r="X843" s="845">
        <v>0.59259259259259256</v>
      </c>
      <c r="Y843" s="845">
        <v>0.81184668989547037</v>
      </c>
      <c r="Z843" s="845">
        <v>0.14750290360046459</v>
      </c>
      <c r="AA843" s="845">
        <v>0</v>
      </c>
      <c r="AB843" s="845">
        <v>1.9279907084785133E-2</v>
      </c>
      <c r="AC843" s="845">
        <v>0</v>
      </c>
      <c r="AD843" s="845">
        <v>0</v>
      </c>
      <c r="AE843" s="845">
        <v>2.1370499419279907E-2</v>
      </c>
      <c r="AF843" s="845">
        <v>3.7166085946573751E-2</v>
      </c>
      <c r="AG843" s="845">
        <v>0.7746806039488966</v>
      </c>
      <c r="AH843" s="20" t="str">
        <f t="shared" ref="AH843:AH906" si="80">IF(AG843&gt;=0.9,"Yes","No")</f>
        <v>No</v>
      </c>
      <c r="AI843" s="25"/>
      <c r="AJ843" s="20">
        <v>45735</v>
      </c>
      <c r="AK843" s="20" t="s">
        <v>1847</v>
      </c>
      <c r="AL843" s="20">
        <v>39009</v>
      </c>
      <c r="AM843" s="20" t="s">
        <v>11</v>
      </c>
      <c r="AN843" s="37" t="str">
        <f t="shared" ref="AN843:AN906" si="81">VLOOKUP(AM843,$CY$11:$DA$98,2,FALSE)</f>
        <v>N/A</v>
      </c>
      <c r="AO843" s="37" t="str">
        <f t="shared" ref="AO843:AO906" si="82">VLOOKUP(AM843,$CY$11:$DA$98,3,FALSE)</f>
        <v>N/A</v>
      </c>
      <c r="AP843" s="20" t="s">
        <v>8</v>
      </c>
      <c r="AQ843" s="25"/>
      <c r="AR843" s="25"/>
      <c r="AS843" s="25"/>
      <c r="AT843" s="25"/>
      <c r="AU843" s="36"/>
      <c r="AV843" s="36"/>
      <c r="AW843" s="36"/>
      <c r="AX843" s="25"/>
      <c r="AY843" s="25"/>
      <c r="AZ843" s="25"/>
      <c r="BA843" s="25"/>
      <c r="BB843" s="25"/>
      <c r="BC843" s="25"/>
      <c r="BD843" s="25"/>
      <c r="BE843" s="25"/>
      <c r="BF843" s="25"/>
      <c r="BG843" s="25"/>
      <c r="BH843" s="25"/>
      <c r="BI843" s="25"/>
      <c r="BJ843" s="25"/>
      <c r="BK843" s="25"/>
      <c r="BL843" s="25"/>
      <c r="BM843" s="25"/>
      <c r="BN843" s="25"/>
      <c r="BO843" s="25"/>
      <c r="BP843" s="25"/>
      <c r="BQ843" s="25"/>
      <c r="BR843" s="25"/>
      <c r="BS843" s="25"/>
      <c r="BT843" s="25"/>
      <c r="BU843" s="39">
        <v>45830</v>
      </c>
      <c r="BV843" s="39" t="s">
        <v>1900</v>
      </c>
      <c r="BW843" s="39" t="s">
        <v>2950</v>
      </c>
      <c r="BX843" s="39" t="s">
        <v>267</v>
      </c>
      <c r="BY843" s="71">
        <v>850</v>
      </c>
      <c r="BZ843" s="71">
        <v>860</v>
      </c>
      <c r="CA843" s="71">
        <v>1120</v>
      </c>
      <c r="CB843" s="71">
        <v>1350</v>
      </c>
      <c r="CC843" s="71">
        <v>1490</v>
      </c>
      <c r="CD843" s="25"/>
      <c r="CE843" s="200"/>
      <c r="CF843" s="200"/>
      <c r="CG843" s="200"/>
      <c r="CH843" s="200"/>
      <c r="CI843" s="200"/>
      <c r="CJ843" s="200"/>
      <c r="CK843" s="200"/>
      <c r="CL843" s="200"/>
      <c r="CM843" s="200"/>
      <c r="CN843" s="200"/>
      <c r="CO843" s="200"/>
      <c r="CP843" s="200"/>
      <c r="CQ843" s="200"/>
      <c r="CR843" s="200"/>
      <c r="CS843" s="200"/>
      <c r="CT843" s="200"/>
      <c r="CU843" s="200"/>
    </row>
    <row r="844" spans="1:99" s="17" customFormat="1" x14ac:dyDescent="0.2">
      <c r="A844" s="25"/>
      <c r="B844" s="20">
        <v>39021011501</v>
      </c>
      <c r="C844" s="20">
        <v>115.01</v>
      </c>
      <c r="D844" s="20" t="s">
        <v>17</v>
      </c>
      <c r="E844" s="20" t="s">
        <v>265</v>
      </c>
      <c r="F844" s="20" t="s">
        <v>8</v>
      </c>
      <c r="G844" s="861">
        <v>58.201508611049398</v>
      </c>
      <c r="H844" s="861">
        <v>61.998855969770197</v>
      </c>
      <c r="I844" s="861">
        <v>23.511235051803101</v>
      </c>
      <c r="J844" s="861">
        <v>49.957236646136799</v>
      </c>
      <c r="K844" s="982">
        <v>0</v>
      </c>
      <c r="L844" s="735">
        <v>4307</v>
      </c>
      <c r="M844" s="735">
        <v>4673</v>
      </c>
      <c r="N844" s="845">
        <f t="shared" si="78"/>
        <v>8.4977942883677729E-2</v>
      </c>
      <c r="O844" s="735">
        <v>96.854660077956893</v>
      </c>
      <c r="P844" s="735">
        <f t="shared" si="79"/>
        <v>48.247549433747132</v>
      </c>
      <c r="Q844" s="849">
        <v>43.2</v>
      </c>
      <c r="R844" s="71">
        <v>84732</v>
      </c>
      <c r="S844" s="845">
        <v>2.3630504833512353E-2</v>
      </c>
      <c r="T844" s="845">
        <v>5.2999999999999999E-2</v>
      </c>
      <c r="U844" s="845">
        <v>0</v>
      </c>
      <c r="V844" s="845">
        <v>0</v>
      </c>
      <c r="W844" s="845">
        <v>0.18006993006993008</v>
      </c>
      <c r="X844" s="845">
        <v>0.41747572815533979</v>
      </c>
      <c r="Y844" s="845">
        <v>0.97089664027391398</v>
      </c>
      <c r="Z844" s="845">
        <v>0</v>
      </c>
      <c r="AA844" s="845">
        <v>0</v>
      </c>
      <c r="AB844" s="845">
        <v>4.0659105499679009E-3</v>
      </c>
      <c r="AC844" s="845">
        <v>0</v>
      </c>
      <c r="AD844" s="845">
        <v>7.2758399315215067E-3</v>
      </c>
      <c r="AE844" s="845">
        <v>1.7761609244596618E-2</v>
      </c>
      <c r="AF844" s="845">
        <v>9.8437834367643903E-3</v>
      </c>
      <c r="AG844" s="845">
        <v>0.96319280975818533</v>
      </c>
      <c r="AH844" s="20" t="str">
        <f t="shared" si="80"/>
        <v>Yes</v>
      </c>
      <c r="AI844" s="25"/>
      <c r="AJ844" s="20">
        <v>45739</v>
      </c>
      <c r="AK844" s="20" t="s">
        <v>1848</v>
      </c>
      <c r="AL844" s="20">
        <v>39009</v>
      </c>
      <c r="AM844" s="20" t="s">
        <v>11</v>
      </c>
      <c r="AN844" s="37" t="str">
        <f t="shared" si="81"/>
        <v>N/A</v>
      </c>
      <c r="AO844" s="37" t="str">
        <f t="shared" si="82"/>
        <v>N/A</v>
      </c>
      <c r="AP844" s="20" t="s">
        <v>8</v>
      </c>
      <c r="AQ844" s="25"/>
      <c r="AR844" s="25"/>
      <c r="AS844" s="25"/>
      <c r="AT844" s="25"/>
      <c r="AU844" s="36"/>
      <c r="AV844" s="36"/>
      <c r="AW844" s="36"/>
      <c r="AX844" s="25"/>
      <c r="AY844" s="25"/>
      <c r="AZ844" s="25"/>
      <c r="BA844" s="25"/>
      <c r="BB844" s="25"/>
      <c r="BC844" s="25"/>
      <c r="BD844" s="25"/>
      <c r="BE844" s="25"/>
      <c r="BF844" s="25"/>
      <c r="BG844" s="25"/>
      <c r="BH844" s="25"/>
      <c r="BI844" s="25"/>
      <c r="BJ844" s="25"/>
      <c r="BK844" s="25"/>
      <c r="BL844" s="25"/>
      <c r="BM844" s="25"/>
      <c r="BN844" s="25"/>
      <c r="BO844" s="25"/>
      <c r="BP844" s="25"/>
      <c r="BQ844" s="25"/>
      <c r="BR844" s="25"/>
      <c r="BS844" s="25"/>
      <c r="BT844" s="25"/>
      <c r="BU844" s="39">
        <v>45833</v>
      </c>
      <c r="BV844" s="39" t="s">
        <v>1903</v>
      </c>
      <c r="BW844" s="39" t="s">
        <v>2950</v>
      </c>
      <c r="BX844" s="39" t="s">
        <v>267</v>
      </c>
      <c r="BY844" s="71">
        <v>780</v>
      </c>
      <c r="BZ844" s="71">
        <v>800</v>
      </c>
      <c r="CA844" s="71">
        <v>1040</v>
      </c>
      <c r="CB844" s="71">
        <v>1280</v>
      </c>
      <c r="CC844" s="71">
        <v>1410</v>
      </c>
      <c r="CD844" s="25"/>
      <c r="CE844" s="200"/>
      <c r="CF844" s="200"/>
      <c r="CG844" s="200"/>
      <c r="CH844" s="200"/>
      <c r="CI844" s="200"/>
      <c r="CJ844" s="200"/>
      <c r="CK844" s="200"/>
      <c r="CL844" s="200"/>
      <c r="CM844" s="200"/>
      <c r="CN844" s="200"/>
      <c r="CO844" s="200"/>
      <c r="CP844" s="200"/>
      <c r="CQ844" s="200"/>
      <c r="CR844" s="200"/>
      <c r="CS844" s="200"/>
      <c r="CT844" s="200"/>
      <c r="CU844" s="200"/>
    </row>
    <row r="845" spans="1:99" s="17" customFormat="1" x14ac:dyDescent="0.2">
      <c r="A845" s="25"/>
      <c r="B845" s="20">
        <v>39153520500</v>
      </c>
      <c r="C845" s="20">
        <v>5205</v>
      </c>
      <c r="D845" s="20" t="s">
        <v>82</v>
      </c>
      <c r="E845" s="20" t="s">
        <v>2843</v>
      </c>
      <c r="F845" s="20" t="s">
        <v>8</v>
      </c>
      <c r="G845" s="861">
        <v>58.200410974697</v>
      </c>
      <c r="H845" s="861">
        <v>51.898106109541303</v>
      </c>
      <c r="I845" s="861">
        <v>22.826589727537701</v>
      </c>
      <c r="J845" s="861">
        <v>42.832633519225901</v>
      </c>
      <c r="K845" s="982">
        <v>0</v>
      </c>
      <c r="L845" s="735">
        <v>4473</v>
      </c>
      <c r="M845" s="735">
        <v>4442</v>
      </c>
      <c r="N845" s="845">
        <f t="shared" si="78"/>
        <v>-6.9304717192041135E-3</v>
      </c>
      <c r="O845" s="735">
        <v>0.64177360258229144</v>
      </c>
      <c r="P845" s="735">
        <f t="shared" si="79"/>
        <v>6921.4439206081624</v>
      </c>
      <c r="Q845" s="849">
        <v>33.5</v>
      </c>
      <c r="R845" s="71">
        <v>64525</v>
      </c>
      <c r="S845" s="845">
        <v>4.4469525959367949E-2</v>
      </c>
      <c r="T845" s="845">
        <v>7.8E-2</v>
      </c>
      <c r="U845" s="845">
        <v>0</v>
      </c>
      <c r="V845" s="845">
        <v>0</v>
      </c>
      <c r="W845" s="845">
        <v>0.24411027568922306</v>
      </c>
      <c r="X845" s="845">
        <v>0.29568788501026694</v>
      </c>
      <c r="Y845" s="845">
        <v>0.87798289058982437</v>
      </c>
      <c r="Z845" s="845">
        <v>2.4763619990995047E-2</v>
      </c>
      <c r="AA845" s="845">
        <v>0</v>
      </c>
      <c r="AB845" s="845">
        <v>6.5736154885186859E-2</v>
      </c>
      <c r="AC845" s="845">
        <v>0</v>
      </c>
      <c r="AD845" s="845">
        <v>1.2381809995497524E-2</v>
      </c>
      <c r="AE845" s="845">
        <v>1.9135524538496172E-2</v>
      </c>
      <c r="AF845" s="845">
        <v>0</v>
      </c>
      <c r="AG845" s="845">
        <v>0.87798289058982437</v>
      </c>
      <c r="AH845" s="20" t="str">
        <f t="shared" si="80"/>
        <v>No</v>
      </c>
      <c r="AI845" s="25"/>
      <c r="AJ845" s="20">
        <v>45740</v>
      </c>
      <c r="AK845" s="20" t="s">
        <v>1849</v>
      </c>
      <c r="AL845" s="20">
        <v>39009</v>
      </c>
      <c r="AM845" s="20" t="s">
        <v>11</v>
      </c>
      <c r="AN845" s="37" t="str">
        <f t="shared" si="81"/>
        <v>N/A</v>
      </c>
      <c r="AO845" s="37" t="str">
        <f t="shared" si="82"/>
        <v>N/A</v>
      </c>
      <c r="AP845" s="20" t="s">
        <v>8</v>
      </c>
      <c r="AQ845" s="25"/>
      <c r="AR845" s="25"/>
      <c r="AS845" s="25"/>
      <c r="AT845" s="25"/>
      <c r="AU845" s="36"/>
      <c r="AV845" s="36"/>
      <c r="AW845" s="36"/>
      <c r="AX845" s="25"/>
      <c r="AY845" s="25"/>
      <c r="AZ845" s="25"/>
      <c r="BA845" s="25"/>
      <c r="BB845" s="25"/>
      <c r="BC845" s="25"/>
      <c r="BD845" s="25"/>
      <c r="BE845" s="25"/>
      <c r="BF845" s="25"/>
      <c r="BG845" s="25"/>
      <c r="BH845" s="25"/>
      <c r="BI845" s="25"/>
      <c r="BJ845" s="25"/>
      <c r="BK845" s="25"/>
      <c r="BL845" s="25"/>
      <c r="BM845" s="25"/>
      <c r="BN845" s="25"/>
      <c r="BO845" s="25"/>
      <c r="BP845" s="25"/>
      <c r="BQ845" s="25"/>
      <c r="BR845" s="25"/>
      <c r="BS845" s="25"/>
      <c r="BT845" s="25"/>
      <c r="BU845" s="39">
        <v>45844</v>
      </c>
      <c r="BV845" s="39" t="s">
        <v>1910</v>
      </c>
      <c r="BW845" s="39" t="s">
        <v>2950</v>
      </c>
      <c r="BX845" s="39" t="s">
        <v>267</v>
      </c>
      <c r="BY845" s="71">
        <v>740</v>
      </c>
      <c r="BZ845" s="71">
        <v>750</v>
      </c>
      <c r="CA845" s="71">
        <v>970</v>
      </c>
      <c r="CB845" s="71">
        <v>1170</v>
      </c>
      <c r="CC845" s="71">
        <v>1290</v>
      </c>
      <c r="CD845" s="25"/>
      <c r="CE845" s="200"/>
      <c r="CF845" s="200"/>
      <c r="CG845" s="200"/>
      <c r="CH845" s="200"/>
      <c r="CI845" s="200"/>
      <c r="CJ845" s="200"/>
      <c r="CK845" s="200"/>
      <c r="CL845" s="200"/>
      <c r="CM845" s="200"/>
      <c r="CN845" s="200"/>
      <c r="CO845" s="200"/>
      <c r="CP845" s="200"/>
      <c r="CQ845" s="200"/>
      <c r="CR845" s="200"/>
      <c r="CS845" s="200"/>
      <c r="CT845" s="200"/>
      <c r="CU845" s="200"/>
    </row>
    <row r="846" spans="1:99" s="17" customFormat="1" x14ac:dyDescent="0.2">
      <c r="A846" s="25"/>
      <c r="B846" s="20">
        <v>39113021301</v>
      </c>
      <c r="C846" s="20">
        <v>213.01</v>
      </c>
      <c r="D846" s="20" t="s">
        <v>62</v>
      </c>
      <c r="E846" s="20" t="s">
        <v>2833</v>
      </c>
      <c r="F846" s="20" t="s">
        <v>8</v>
      </c>
      <c r="G846" s="861">
        <v>58.175674480261598</v>
      </c>
      <c r="H846" s="861">
        <v>47.673813028152303</v>
      </c>
      <c r="I846" s="861">
        <v>28.7728532688078</v>
      </c>
      <c r="J846" s="861">
        <v>40.646180052469099</v>
      </c>
      <c r="K846" s="982">
        <v>0</v>
      </c>
      <c r="L846" s="735">
        <v>2923</v>
      </c>
      <c r="M846" s="735">
        <v>2889</v>
      </c>
      <c r="N846" s="845">
        <f t="shared" si="78"/>
        <v>-1.1631885049606569E-2</v>
      </c>
      <c r="O846" s="735">
        <v>1.733948500636167</v>
      </c>
      <c r="P846" s="735">
        <f t="shared" si="79"/>
        <v>1666.1394493204712</v>
      </c>
      <c r="Q846" s="849">
        <v>33.9</v>
      </c>
      <c r="R846" s="71">
        <v>60571</v>
      </c>
      <c r="S846" s="845">
        <v>0.10730356524749048</v>
      </c>
      <c r="T846" s="845">
        <v>3.1E-2</v>
      </c>
      <c r="U846" s="845">
        <v>0.01</v>
      </c>
      <c r="V846" s="845">
        <v>0</v>
      </c>
      <c r="W846" s="845">
        <v>0.25457715780296425</v>
      </c>
      <c r="X846" s="845">
        <v>0.53424657534246578</v>
      </c>
      <c r="Y846" s="845">
        <v>0.97992384908272756</v>
      </c>
      <c r="Z846" s="845">
        <v>1.0384215991692627E-3</v>
      </c>
      <c r="AA846" s="845">
        <v>0</v>
      </c>
      <c r="AB846" s="845">
        <v>4.4998269297334718E-3</v>
      </c>
      <c r="AC846" s="845">
        <v>0</v>
      </c>
      <c r="AD846" s="845">
        <v>0</v>
      </c>
      <c r="AE846" s="845">
        <v>1.4537902388369679E-2</v>
      </c>
      <c r="AF846" s="845">
        <v>8.6535133264105234E-3</v>
      </c>
      <c r="AG846" s="845">
        <v>0.97127033575631705</v>
      </c>
      <c r="AH846" s="20" t="str">
        <f t="shared" si="80"/>
        <v>Yes</v>
      </c>
      <c r="AI846" s="25"/>
      <c r="AJ846" s="20">
        <v>45742</v>
      </c>
      <c r="AK846" s="20" t="s">
        <v>1851</v>
      </c>
      <c r="AL846" s="20">
        <v>39009</v>
      </c>
      <c r="AM846" s="20" t="s">
        <v>11</v>
      </c>
      <c r="AN846" s="37" t="str">
        <f t="shared" si="81"/>
        <v>N/A</v>
      </c>
      <c r="AO846" s="37" t="str">
        <f t="shared" si="82"/>
        <v>N/A</v>
      </c>
      <c r="AP846" s="20" t="s">
        <v>8</v>
      </c>
      <c r="AQ846" s="25"/>
      <c r="AR846" s="25"/>
      <c r="AS846" s="25"/>
      <c r="AT846" s="25"/>
      <c r="AU846" s="36"/>
      <c r="AV846" s="36"/>
      <c r="AW846" s="36"/>
      <c r="AX846" s="25"/>
      <c r="AY846" s="25"/>
      <c r="AZ846" s="25"/>
      <c r="BA846" s="25"/>
      <c r="BB846" s="25"/>
      <c r="BC846" s="25"/>
      <c r="BD846" s="25"/>
      <c r="BE846" s="25"/>
      <c r="BF846" s="25"/>
      <c r="BG846" s="25"/>
      <c r="BH846" s="25"/>
      <c r="BI846" s="25"/>
      <c r="BJ846" s="25"/>
      <c r="BK846" s="25"/>
      <c r="BL846" s="25"/>
      <c r="BM846" s="25"/>
      <c r="BN846" s="25"/>
      <c r="BO846" s="25"/>
      <c r="BP846" s="25"/>
      <c r="BQ846" s="25"/>
      <c r="BR846" s="25"/>
      <c r="BS846" s="25"/>
      <c r="BT846" s="25"/>
      <c r="BU846" s="39">
        <v>45850</v>
      </c>
      <c r="BV846" s="39" t="s">
        <v>1915</v>
      </c>
      <c r="BW846" s="39" t="s">
        <v>2950</v>
      </c>
      <c r="BX846" s="39" t="s">
        <v>267</v>
      </c>
      <c r="BY846" s="71">
        <v>840</v>
      </c>
      <c r="BZ846" s="71">
        <v>850</v>
      </c>
      <c r="CA846" s="71">
        <v>1100</v>
      </c>
      <c r="CB846" s="71">
        <v>1340</v>
      </c>
      <c r="CC846" s="71">
        <v>1490</v>
      </c>
      <c r="CD846" s="25"/>
      <c r="CE846" s="200"/>
      <c r="CF846" s="200"/>
      <c r="CG846" s="200"/>
      <c r="CH846" s="200"/>
      <c r="CI846" s="200"/>
      <c r="CJ846" s="200"/>
      <c r="CK846" s="200"/>
      <c r="CL846" s="200"/>
      <c r="CM846" s="200"/>
      <c r="CN846" s="200"/>
      <c r="CO846" s="200"/>
      <c r="CP846" s="200"/>
      <c r="CQ846" s="200"/>
      <c r="CR846" s="200"/>
      <c r="CS846" s="200"/>
      <c r="CT846" s="200"/>
      <c r="CU846" s="200"/>
    </row>
    <row r="847" spans="1:99" s="17" customFormat="1" x14ac:dyDescent="0.2">
      <c r="A847" s="25"/>
      <c r="B847" s="20">
        <v>39045030902</v>
      </c>
      <c r="C847" s="20">
        <v>309.02</v>
      </c>
      <c r="D847" s="20" t="s">
        <v>29</v>
      </c>
      <c r="E847" s="20" t="s">
        <v>2830</v>
      </c>
      <c r="F847" s="20" t="s">
        <v>8</v>
      </c>
      <c r="G847" s="861">
        <v>58.172036929686499</v>
      </c>
      <c r="H847" s="861">
        <v>62.993228334297797</v>
      </c>
      <c r="I847" s="861">
        <v>21.524533155420102</v>
      </c>
      <c r="J847" s="861">
        <v>52.273331203069098</v>
      </c>
      <c r="K847" s="982">
        <v>0</v>
      </c>
      <c r="L847" s="735" t="s">
        <v>2466</v>
      </c>
      <c r="M847" s="735">
        <v>4078</v>
      </c>
      <c r="N847" s="845" t="str">
        <f t="shared" si="78"/>
        <v/>
      </c>
      <c r="O847" s="735">
        <v>20.10413901089299</v>
      </c>
      <c r="P847" s="735">
        <f t="shared" si="79"/>
        <v>202.84380235286</v>
      </c>
      <c r="Q847" s="849">
        <v>44.2</v>
      </c>
      <c r="R847" s="71">
        <v>89798</v>
      </c>
      <c r="S847" s="845">
        <v>2.5653675382338433E-2</v>
      </c>
      <c r="T847" s="845">
        <v>0.01</v>
      </c>
      <c r="U847" s="845">
        <v>3.2000000000000001E-2</v>
      </c>
      <c r="V847" s="845">
        <v>0</v>
      </c>
      <c r="W847" s="845">
        <v>8.3737024221453293E-2</v>
      </c>
      <c r="X847" s="845">
        <v>0.56198347107438018</v>
      </c>
      <c r="Y847" s="845">
        <v>0.99068170671897993</v>
      </c>
      <c r="Z847" s="845">
        <v>0</v>
      </c>
      <c r="AA847" s="845">
        <v>0</v>
      </c>
      <c r="AB847" s="845">
        <v>0</v>
      </c>
      <c r="AC847" s="845">
        <v>0</v>
      </c>
      <c r="AD847" s="845">
        <v>0</v>
      </c>
      <c r="AE847" s="845">
        <v>9.3182932810201083E-3</v>
      </c>
      <c r="AF847" s="845">
        <v>4.9043648847474251E-3</v>
      </c>
      <c r="AG847" s="845">
        <v>0.98577734183423249</v>
      </c>
      <c r="AH847" s="20" t="str">
        <f t="shared" si="80"/>
        <v>Yes</v>
      </c>
      <c r="AI847" s="25"/>
      <c r="AJ847" s="20">
        <v>45761</v>
      </c>
      <c r="AK847" s="20" t="s">
        <v>1858</v>
      </c>
      <c r="AL847" s="20">
        <v>39009</v>
      </c>
      <c r="AM847" s="20" t="s">
        <v>11</v>
      </c>
      <c r="AN847" s="37" t="str">
        <f t="shared" si="81"/>
        <v>N/A</v>
      </c>
      <c r="AO847" s="37" t="str">
        <f t="shared" si="82"/>
        <v>N/A</v>
      </c>
      <c r="AP847" s="20" t="s">
        <v>8</v>
      </c>
      <c r="AQ847" s="25"/>
      <c r="AR847" s="25"/>
      <c r="AS847" s="25"/>
      <c r="AT847" s="25"/>
      <c r="AU847" s="36"/>
      <c r="AV847" s="36"/>
      <c r="AW847" s="36"/>
      <c r="AX847" s="25"/>
      <c r="AY847" s="25"/>
      <c r="AZ847" s="25"/>
      <c r="BA847" s="25"/>
      <c r="BB847" s="25"/>
      <c r="BC847" s="25"/>
      <c r="BD847" s="25"/>
      <c r="BE847" s="25"/>
      <c r="BF847" s="25"/>
      <c r="BG847" s="25"/>
      <c r="BH847" s="25"/>
      <c r="BI847" s="25"/>
      <c r="BJ847" s="25"/>
      <c r="BK847" s="25"/>
      <c r="BL847" s="25"/>
      <c r="BM847" s="25"/>
      <c r="BN847" s="25"/>
      <c r="BO847" s="25"/>
      <c r="BP847" s="25"/>
      <c r="BQ847" s="25"/>
      <c r="BR847" s="25"/>
      <c r="BS847" s="25"/>
      <c r="BT847" s="25"/>
      <c r="BU847" s="39">
        <v>45854</v>
      </c>
      <c r="BV847" s="39" t="s">
        <v>1918</v>
      </c>
      <c r="BW847" s="39" t="s">
        <v>2950</v>
      </c>
      <c r="BX847" s="39" t="s">
        <v>267</v>
      </c>
      <c r="BY847" s="71">
        <v>890</v>
      </c>
      <c r="BZ847" s="71">
        <v>900</v>
      </c>
      <c r="CA847" s="71">
        <v>1180</v>
      </c>
      <c r="CB847" s="71">
        <v>1420</v>
      </c>
      <c r="CC847" s="71">
        <v>1590</v>
      </c>
      <c r="CD847" s="25"/>
      <c r="CE847" s="200"/>
      <c r="CF847" s="200"/>
      <c r="CG847" s="200"/>
      <c r="CH847" s="200"/>
      <c r="CI847" s="200"/>
      <c r="CJ847" s="200"/>
      <c r="CK847" s="200"/>
      <c r="CL847" s="200"/>
      <c r="CM847" s="200"/>
      <c r="CN847" s="200"/>
      <c r="CO847" s="200"/>
      <c r="CP847" s="200"/>
      <c r="CQ847" s="200"/>
      <c r="CR847" s="200"/>
      <c r="CS847" s="200"/>
      <c r="CT847" s="200"/>
      <c r="CU847" s="200"/>
    </row>
    <row r="848" spans="1:99" s="17" customFormat="1" x14ac:dyDescent="0.2">
      <c r="A848" s="25"/>
      <c r="B848" s="20">
        <v>39099811200</v>
      </c>
      <c r="C848" s="20">
        <v>8112</v>
      </c>
      <c r="D848" s="20" t="s">
        <v>55</v>
      </c>
      <c r="E848" s="20" t="s">
        <v>2842</v>
      </c>
      <c r="F848" s="20" t="s">
        <v>8</v>
      </c>
      <c r="G848" s="861">
        <v>58.157244940702903</v>
      </c>
      <c r="H848" s="861">
        <v>58.112318438021603</v>
      </c>
      <c r="I848" s="861">
        <v>20.359053569825999</v>
      </c>
      <c r="J848" s="861">
        <v>23.916276594422602</v>
      </c>
      <c r="K848" s="982">
        <v>0</v>
      </c>
      <c r="L848" s="735">
        <v>2413</v>
      </c>
      <c r="M848" s="735">
        <v>2346</v>
      </c>
      <c r="N848" s="845">
        <f t="shared" si="78"/>
        <v>-2.7766266058847907E-2</v>
      </c>
      <c r="O848" s="735">
        <v>1.6016490515858006</v>
      </c>
      <c r="P848" s="735">
        <f t="shared" si="79"/>
        <v>1464.7403547470115</v>
      </c>
      <c r="Q848" s="849">
        <v>45.4</v>
      </c>
      <c r="R848" s="71">
        <v>103333</v>
      </c>
      <c r="S848" s="845">
        <v>2.5884383088869714E-2</v>
      </c>
      <c r="T848" s="845">
        <v>0.04</v>
      </c>
      <c r="U848" s="845">
        <v>1.9E-2</v>
      </c>
      <c r="V848" s="845">
        <v>0</v>
      </c>
      <c r="W848" s="845">
        <v>0.10320641282565131</v>
      </c>
      <c r="X848" s="845">
        <v>0.22330097087378642</v>
      </c>
      <c r="Y848" s="845">
        <v>0.92412617220801363</v>
      </c>
      <c r="Z848" s="845">
        <v>8.9514066496163679E-3</v>
      </c>
      <c r="AA848" s="845">
        <v>0</v>
      </c>
      <c r="AB848" s="845">
        <v>1.1935208866155157E-2</v>
      </c>
      <c r="AC848" s="845">
        <v>0</v>
      </c>
      <c r="AD848" s="845">
        <v>5.9676044330775786E-3</v>
      </c>
      <c r="AE848" s="845">
        <v>4.9019607843137254E-2</v>
      </c>
      <c r="AF848" s="845">
        <v>3.0264279624893437E-2</v>
      </c>
      <c r="AG848" s="845">
        <v>0.92156862745098034</v>
      </c>
      <c r="AH848" s="20" t="str">
        <f t="shared" si="80"/>
        <v>Yes</v>
      </c>
      <c r="AI848" s="25"/>
      <c r="AJ848" s="20">
        <v>45764</v>
      </c>
      <c r="AK848" s="20" t="s">
        <v>1859</v>
      </c>
      <c r="AL848" s="20">
        <v>39009</v>
      </c>
      <c r="AM848" s="20" t="s">
        <v>11</v>
      </c>
      <c r="AN848" s="37" t="str">
        <f t="shared" si="81"/>
        <v>N/A</v>
      </c>
      <c r="AO848" s="37" t="str">
        <f t="shared" si="82"/>
        <v>N/A</v>
      </c>
      <c r="AP848" s="20" t="s">
        <v>8</v>
      </c>
      <c r="AQ848" s="25"/>
      <c r="AR848" s="25"/>
      <c r="AS848" s="25"/>
      <c r="AT848" s="25"/>
      <c r="AU848" s="36"/>
      <c r="AV848" s="36"/>
      <c r="AW848" s="36"/>
      <c r="AX848" s="25"/>
      <c r="AY848" s="25"/>
      <c r="AZ848" s="25"/>
      <c r="BA848" s="25"/>
      <c r="BB848" s="25"/>
      <c r="BC848" s="25"/>
      <c r="BD848" s="25"/>
      <c r="BE848" s="25"/>
      <c r="BF848" s="25"/>
      <c r="BG848" s="25"/>
      <c r="BH848" s="25"/>
      <c r="BI848" s="25"/>
      <c r="BJ848" s="25"/>
      <c r="BK848" s="25"/>
      <c r="BL848" s="25"/>
      <c r="BM848" s="25"/>
      <c r="BN848" s="25"/>
      <c r="BO848" s="25"/>
      <c r="BP848" s="25"/>
      <c r="BQ848" s="25"/>
      <c r="BR848" s="25"/>
      <c r="BS848" s="25"/>
      <c r="BT848" s="25"/>
      <c r="BU848" s="39">
        <v>45877</v>
      </c>
      <c r="BV848" s="39" t="s">
        <v>1940</v>
      </c>
      <c r="BW848" s="39" t="s">
        <v>2950</v>
      </c>
      <c r="BX848" s="39" t="s">
        <v>267</v>
      </c>
      <c r="BY848" s="71">
        <v>870</v>
      </c>
      <c r="BZ848" s="71">
        <v>880</v>
      </c>
      <c r="CA848" s="71">
        <v>1150</v>
      </c>
      <c r="CB848" s="71">
        <v>1380</v>
      </c>
      <c r="CC848" s="71">
        <v>1530</v>
      </c>
      <c r="CD848" s="25"/>
      <c r="CE848" s="200"/>
      <c r="CF848" s="200"/>
      <c r="CG848" s="200"/>
      <c r="CH848" s="200"/>
      <c r="CI848" s="200"/>
      <c r="CJ848" s="200"/>
      <c r="CK848" s="200"/>
      <c r="CL848" s="200"/>
      <c r="CM848" s="200"/>
      <c r="CN848" s="200"/>
      <c r="CO848" s="200"/>
      <c r="CP848" s="200"/>
      <c r="CQ848" s="200"/>
      <c r="CR848" s="200"/>
      <c r="CS848" s="200"/>
      <c r="CT848" s="200"/>
      <c r="CU848" s="200"/>
    </row>
    <row r="849" spans="1:99" s="17" customFormat="1" x14ac:dyDescent="0.2">
      <c r="A849" s="25"/>
      <c r="B849" s="20">
        <v>39153533502</v>
      </c>
      <c r="C849" s="20">
        <v>5335.02</v>
      </c>
      <c r="D849" s="20" t="s">
        <v>82</v>
      </c>
      <c r="E849" s="20" t="s">
        <v>2843</v>
      </c>
      <c r="F849" s="20" t="s">
        <v>8</v>
      </c>
      <c r="G849" s="861">
        <v>58.155586670464601</v>
      </c>
      <c r="H849" s="861">
        <v>50.232645040948299</v>
      </c>
      <c r="I849" s="861">
        <v>24.7570304058045</v>
      </c>
      <c r="J849" s="861">
        <v>50.377239382981898</v>
      </c>
      <c r="K849" s="982">
        <v>0</v>
      </c>
      <c r="L849" s="735">
        <v>3910</v>
      </c>
      <c r="M849" s="735">
        <v>3752</v>
      </c>
      <c r="N849" s="845">
        <f t="shared" si="78"/>
        <v>-4.0409207161125317E-2</v>
      </c>
      <c r="O849" s="735">
        <v>8.1541231476927525</v>
      </c>
      <c r="P849" s="735">
        <f t="shared" si="79"/>
        <v>460.13531216555714</v>
      </c>
      <c r="Q849" s="849">
        <v>48.7</v>
      </c>
      <c r="R849" s="71">
        <v>116544</v>
      </c>
      <c r="S849" s="845">
        <v>3.4780264222162308E-2</v>
      </c>
      <c r="T849" s="845">
        <v>1.3000000000000001E-2</v>
      </c>
      <c r="U849" s="845">
        <v>0</v>
      </c>
      <c r="V849" s="845">
        <v>0.111</v>
      </c>
      <c r="W849" s="845">
        <v>0.19161676646706588</v>
      </c>
      <c r="X849" s="845">
        <v>0.62847222222222221</v>
      </c>
      <c r="Y849" s="845">
        <v>0.89552238805970152</v>
      </c>
      <c r="Z849" s="845">
        <v>3.8646055437100216E-2</v>
      </c>
      <c r="AA849" s="845">
        <v>0</v>
      </c>
      <c r="AB849" s="845">
        <v>1.5458422174840085E-2</v>
      </c>
      <c r="AC849" s="845">
        <v>0</v>
      </c>
      <c r="AD849" s="845">
        <v>0</v>
      </c>
      <c r="AE849" s="845">
        <v>5.0373134328358209E-2</v>
      </c>
      <c r="AF849" s="845">
        <v>1.4658848614072495E-2</v>
      </c>
      <c r="AG849" s="845">
        <v>0.89552238805970152</v>
      </c>
      <c r="AH849" s="20" t="str">
        <f t="shared" si="80"/>
        <v>No</v>
      </c>
      <c r="AI849" s="25"/>
      <c r="AJ849" s="20">
        <v>45766</v>
      </c>
      <c r="AK849" s="20" t="s">
        <v>1860</v>
      </c>
      <c r="AL849" s="20">
        <v>39009</v>
      </c>
      <c r="AM849" s="20" t="s">
        <v>11</v>
      </c>
      <c r="AN849" s="37" t="str">
        <f t="shared" si="81"/>
        <v>N/A</v>
      </c>
      <c r="AO849" s="37" t="str">
        <f t="shared" si="82"/>
        <v>N/A</v>
      </c>
      <c r="AP849" s="20" t="s">
        <v>8</v>
      </c>
      <c r="AQ849" s="25"/>
      <c r="AR849" s="25"/>
      <c r="AS849" s="25"/>
      <c r="AT849" s="25"/>
      <c r="AU849" s="36"/>
      <c r="AV849" s="36"/>
      <c r="AW849" s="36"/>
      <c r="AX849" s="25"/>
      <c r="AY849" s="25"/>
      <c r="AZ849" s="25"/>
      <c r="BA849" s="25"/>
      <c r="BB849" s="25"/>
      <c r="BC849" s="25"/>
      <c r="BD849" s="25"/>
      <c r="BE849" s="25"/>
      <c r="BF849" s="25"/>
      <c r="BG849" s="25"/>
      <c r="BH849" s="25"/>
      <c r="BI849" s="25"/>
      <c r="BJ849" s="25"/>
      <c r="BK849" s="25"/>
      <c r="BL849" s="25"/>
      <c r="BM849" s="25"/>
      <c r="BN849" s="25"/>
      <c r="BO849" s="25"/>
      <c r="BP849" s="25"/>
      <c r="BQ849" s="25"/>
      <c r="BR849" s="25"/>
      <c r="BS849" s="25"/>
      <c r="BT849" s="25"/>
      <c r="BU849" s="39">
        <v>45887</v>
      </c>
      <c r="BV849" s="39" t="s">
        <v>1949</v>
      </c>
      <c r="BW849" s="39" t="s">
        <v>2950</v>
      </c>
      <c r="BX849" s="39" t="s">
        <v>267</v>
      </c>
      <c r="BY849" s="71">
        <v>780</v>
      </c>
      <c r="BZ849" s="71">
        <v>790</v>
      </c>
      <c r="CA849" s="71">
        <v>1030</v>
      </c>
      <c r="CB849" s="71">
        <v>1260</v>
      </c>
      <c r="CC849" s="71">
        <v>1410</v>
      </c>
      <c r="CD849" s="25"/>
      <c r="CE849" s="200"/>
      <c r="CF849" s="200"/>
      <c r="CG849" s="200"/>
      <c r="CH849" s="200"/>
      <c r="CI849" s="200"/>
      <c r="CJ849" s="200"/>
      <c r="CK849" s="200"/>
      <c r="CL849" s="200"/>
      <c r="CM849" s="200"/>
      <c r="CN849" s="200"/>
      <c r="CO849" s="200"/>
      <c r="CP849" s="200"/>
      <c r="CQ849" s="200"/>
      <c r="CR849" s="200"/>
      <c r="CS849" s="200"/>
      <c r="CT849" s="200"/>
      <c r="CU849" s="200"/>
    </row>
    <row r="850" spans="1:99" s="17" customFormat="1" x14ac:dyDescent="0.2">
      <c r="A850" s="25"/>
      <c r="B850" s="20">
        <v>39013012300</v>
      </c>
      <c r="C850" s="20">
        <v>123</v>
      </c>
      <c r="D850" s="20" t="s">
        <v>13</v>
      </c>
      <c r="E850" s="20" t="s">
        <v>2841</v>
      </c>
      <c r="F850" s="20" t="s">
        <v>8</v>
      </c>
      <c r="G850" s="861">
        <v>58.134758513234203</v>
      </c>
      <c r="H850" s="861">
        <v>56.234583347566101</v>
      </c>
      <c r="I850" s="861">
        <v>29.357309772314501</v>
      </c>
      <c r="J850" s="861">
        <v>38.977625743487003</v>
      </c>
      <c r="K850" s="982">
        <v>1</v>
      </c>
      <c r="L850" s="735">
        <v>4113</v>
      </c>
      <c r="M850" s="735">
        <v>4332</v>
      </c>
      <c r="N850" s="845">
        <f t="shared" si="78"/>
        <v>5.3245805981035739E-2</v>
      </c>
      <c r="O850" s="735">
        <v>8.0408403882595429</v>
      </c>
      <c r="P850" s="735">
        <f t="shared" si="79"/>
        <v>538.74965685491873</v>
      </c>
      <c r="Q850" s="849">
        <v>44</v>
      </c>
      <c r="R850" s="71">
        <v>73510</v>
      </c>
      <c r="S850" s="845">
        <v>5.7613168724279837E-2</v>
      </c>
      <c r="T850" s="845">
        <v>9.0000000000000011E-3</v>
      </c>
      <c r="U850" s="845">
        <v>2.3E-2</v>
      </c>
      <c r="V850" s="845">
        <v>0.23300000000000001</v>
      </c>
      <c r="W850" s="845">
        <v>0.32232792389479575</v>
      </c>
      <c r="X850" s="845">
        <v>0.23784722222222221</v>
      </c>
      <c r="Y850" s="845">
        <v>0.91204986149584488</v>
      </c>
      <c r="Z850" s="845">
        <v>2.3084025854108957E-3</v>
      </c>
      <c r="AA850" s="845">
        <v>0</v>
      </c>
      <c r="AB850" s="845">
        <v>1.1080332409972299E-2</v>
      </c>
      <c r="AC850" s="845">
        <v>0</v>
      </c>
      <c r="AD850" s="845">
        <v>2.4699907663896584E-2</v>
      </c>
      <c r="AE850" s="845">
        <v>4.9861495844875349E-2</v>
      </c>
      <c r="AF850" s="845">
        <v>4.3859649122807015E-2</v>
      </c>
      <c r="AG850" s="845">
        <v>0.89958448753462605</v>
      </c>
      <c r="AH850" s="20" t="str">
        <f t="shared" si="80"/>
        <v>No</v>
      </c>
      <c r="AI850" s="25"/>
      <c r="AJ850" s="20">
        <v>45776</v>
      </c>
      <c r="AK850" s="20" t="s">
        <v>1869</v>
      </c>
      <c r="AL850" s="20">
        <v>39009</v>
      </c>
      <c r="AM850" s="20" t="s">
        <v>11</v>
      </c>
      <c r="AN850" s="37" t="str">
        <f t="shared" si="81"/>
        <v>N/A</v>
      </c>
      <c r="AO850" s="37" t="str">
        <f t="shared" si="82"/>
        <v>N/A</v>
      </c>
      <c r="AP850" s="20" t="s">
        <v>8</v>
      </c>
      <c r="AQ850" s="25"/>
      <c r="AR850" s="25"/>
      <c r="AS850" s="25"/>
      <c r="AT850" s="25"/>
      <c r="AU850" s="36"/>
      <c r="AV850" s="36"/>
      <c r="AW850" s="36"/>
      <c r="AX850" s="25"/>
      <c r="AY850" s="25"/>
      <c r="AZ850" s="25"/>
      <c r="BA850" s="25"/>
      <c r="BB850" s="25"/>
      <c r="BC850" s="25"/>
      <c r="BD850" s="25"/>
      <c r="BE850" s="25"/>
      <c r="BF850" s="25"/>
      <c r="BG850" s="25"/>
      <c r="BH850" s="25"/>
      <c r="BI850" s="25"/>
      <c r="BJ850" s="25"/>
      <c r="BK850" s="25"/>
      <c r="BL850" s="25"/>
      <c r="BM850" s="25"/>
      <c r="BN850" s="25"/>
      <c r="BO850" s="25"/>
      <c r="BP850" s="25"/>
      <c r="BQ850" s="25"/>
      <c r="BR850" s="25"/>
      <c r="BS850" s="25"/>
      <c r="BT850" s="25"/>
      <c r="BU850" s="39">
        <v>45894</v>
      </c>
      <c r="BV850" s="39" t="s">
        <v>1955</v>
      </c>
      <c r="BW850" s="39" t="s">
        <v>2950</v>
      </c>
      <c r="BX850" s="39" t="s">
        <v>267</v>
      </c>
      <c r="BY850" s="71">
        <v>810</v>
      </c>
      <c r="BZ850" s="71">
        <v>850</v>
      </c>
      <c r="CA850" s="71">
        <v>1090</v>
      </c>
      <c r="CB850" s="71">
        <v>1360</v>
      </c>
      <c r="CC850" s="71">
        <v>1480</v>
      </c>
      <c r="CD850" s="25"/>
      <c r="CE850" s="200"/>
      <c r="CF850" s="200"/>
      <c r="CG850" s="200"/>
      <c r="CH850" s="200"/>
      <c r="CI850" s="200"/>
      <c r="CJ850" s="200"/>
      <c r="CK850" s="200"/>
      <c r="CL850" s="200"/>
      <c r="CM850" s="200"/>
      <c r="CN850" s="200"/>
      <c r="CO850" s="200"/>
      <c r="CP850" s="200"/>
      <c r="CQ850" s="200"/>
      <c r="CR850" s="200"/>
      <c r="CS850" s="200"/>
      <c r="CT850" s="200"/>
      <c r="CU850" s="200"/>
    </row>
    <row r="851" spans="1:99" s="17" customFormat="1" x14ac:dyDescent="0.2">
      <c r="A851" s="25"/>
      <c r="B851" s="20">
        <v>39109355002</v>
      </c>
      <c r="C851" s="20">
        <v>3550.02</v>
      </c>
      <c r="D851" s="20" t="s">
        <v>60</v>
      </c>
      <c r="E851" s="20" t="s">
        <v>2833</v>
      </c>
      <c r="F851" s="20" t="s">
        <v>8</v>
      </c>
      <c r="G851" s="861">
        <v>58.104437045536201</v>
      </c>
      <c r="H851" s="861">
        <v>50.728482684681197</v>
      </c>
      <c r="I851" s="861">
        <v>21.062394219836499</v>
      </c>
      <c r="J851" s="861">
        <v>47.255093150612403</v>
      </c>
      <c r="K851" s="982">
        <v>0</v>
      </c>
      <c r="L851" s="735">
        <v>1663</v>
      </c>
      <c r="M851" s="735">
        <v>1421</v>
      </c>
      <c r="N851" s="845">
        <f t="shared" si="78"/>
        <v>-0.14552014431749849</v>
      </c>
      <c r="O851" s="735">
        <v>4.2131440518466317</v>
      </c>
      <c r="P851" s="735">
        <f t="shared" si="79"/>
        <v>337.27781023228295</v>
      </c>
      <c r="Q851" s="849">
        <v>45.2</v>
      </c>
      <c r="R851" s="71">
        <v>83571</v>
      </c>
      <c r="S851" s="845">
        <v>3.9464411557434811E-2</v>
      </c>
      <c r="T851" s="845">
        <v>0.02</v>
      </c>
      <c r="U851" s="845">
        <v>0</v>
      </c>
      <c r="V851" s="845">
        <v>0</v>
      </c>
      <c r="W851" s="845">
        <v>0.1334355828220859</v>
      </c>
      <c r="X851" s="845">
        <v>0.18390804597701149</v>
      </c>
      <c r="Y851" s="845">
        <v>0.96481351161154116</v>
      </c>
      <c r="Z851" s="845">
        <v>0</v>
      </c>
      <c r="AA851" s="845">
        <v>0</v>
      </c>
      <c r="AB851" s="845">
        <v>6.3335679099225895E-3</v>
      </c>
      <c r="AC851" s="845">
        <v>0</v>
      </c>
      <c r="AD851" s="845">
        <v>1.1259676284306826E-2</v>
      </c>
      <c r="AE851" s="845">
        <v>1.7593244194229415E-2</v>
      </c>
      <c r="AF851" s="845">
        <v>2.4630541871921183E-2</v>
      </c>
      <c r="AG851" s="845">
        <v>0.95425756509500348</v>
      </c>
      <c r="AH851" s="20" t="str">
        <f t="shared" si="80"/>
        <v>Yes</v>
      </c>
      <c r="AI851" s="25"/>
      <c r="AJ851" s="37">
        <v>45778</v>
      </c>
      <c r="AK851" s="37" t="s">
        <v>1870</v>
      </c>
      <c r="AL851" s="37">
        <v>39009</v>
      </c>
      <c r="AM851" s="37" t="s">
        <v>11</v>
      </c>
      <c r="AN851" s="37" t="str">
        <f t="shared" si="81"/>
        <v>N/A</v>
      </c>
      <c r="AO851" s="37" t="str">
        <f t="shared" si="82"/>
        <v>N/A</v>
      </c>
      <c r="AP851" s="20" t="s">
        <v>8</v>
      </c>
      <c r="AQ851" s="25"/>
      <c r="AR851" s="25"/>
      <c r="AS851" s="25"/>
      <c r="AT851" s="25"/>
      <c r="AU851" s="36"/>
      <c r="AV851" s="36"/>
      <c r="AW851" s="36"/>
      <c r="AX851" s="25"/>
      <c r="AY851" s="25"/>
      <c r="AZ851" s="25"/>
      <c r="BA851" s="25"/>
      <c r="BB851" s="25"/>
      <c r="BC851" s="25"/>
      <c r="BD851" s="25"/>
      <c r="BE851" s="25"/>
      <c r="BF851" s="25"/>
      <c r="BG851" s="25"/>
      <c r="BH851" s="25"/>
      <c r="BI851" s="25"/>
      <c r="BJ851" s="25"/>
      <c r="BK851" s="25"/>
      <c r="BL851" s="25"/>
      <c r="BM851" s="25"/>
      <c r="BN851" s="25"/>
      <c r="BO851" s="25"/>
      <c r="BP851" s="25"/>
      <c r="BQ851" s="25"/>
      <c r="BR851" s="25"/>
      <c r="BS851" s="25"/>
      <c r="BT851" s="25"/>
      <c r="BU851" s="39">
        <v>45895</v>
      </c>
      <c r="BV851" s="39" t="s">
        <v>1956</v>
      </c>
      <c r="BW851" s="39" t="s">
        <v>2950</v>
      </c>
      <c r="BX851" s="39" t="s">
        <v>267</v>
      </c>
      <c r="BY851" s="71">
        <v>780</v>
      </c>
      <c r="BZ851" s="71">
        <v>780</v>
      </c>
      <c r="CA851" s="71">
        <v>1030</v>
      </c>
      <c r="CB851" s="71">
        <v>1430</v>
      </c>
      <c r="CC851" s="71">
        <v>1720</v>
      </c>
      <c r="CD851" s="25"/>
      <c r="CE851" s="200"/>
      <c r="CF851" s="200"/>
      <c r="CG851" s="200"/>
      <c r="CH851" s="200"/>
      <c r="CI851" s="200"/>
      <c r="CJ851" s="200"/>
      <c r="CK851" s="200"/>
      <c r="CL851" s="200"/>
      <c r="CM851" s="200"/>
      <c r="CN851" s="200"/>
      <c r="CO851" s="200"/>
      <c r="CP851" s="200"/>
      <c r="CQ851" s="200"/>
      <c r="CR851" s="200"/>
      <c r="CS851" s="200"/>
      <c r="CT851" s="200"/>
      <c r="CU851" s="200"/>
    </row>
    <row r="852" spans="1:99" s="17" customFormat="1" x14ac:dyDescent="0.2">
      <c r="A852" s="25"/>
      <c r="B852" s="20">
        <v>39061021303</v>
      </c>
      <c r="C852" s="20">
        <v>213.03</v>
      </c>
      <c r="D852" s="20" t="s">
        <v>37</v>
      </c>
      <c r="E852" s="20" t="s">
        <v>2828</v>
      </c>
      <c r="F852" s="20" t="s">
        <v>8</v>
      </c>
      <c r="G852" s="861">
        <v>58.101368773099303</v>
      </c>
      <c r="H852" s="861">
        <v>68.311521666594203</v>
      </c>
      <c r="I852" s="861">
        <v>24.727782734702899</v>
      </c>
      <c r="J852" s="861">
        <v>46.2792294896973</v>
      </c>
      <c r="K852" s="982">
        <v>0</v>
      </c>
      <c r="L852" s="735">
        <v>4826</v>
      </c>
      <c r="M852" s="735">
        <v>5451</v>
      </c>
      <c r="N852" s="845">
        <f t="shared" si="78"/>
        <v>0.12950683796104434</v>
      </c>
      <c r="O852" s="735">
        <v>1.1233109483270949</v>
      </c>
      <c r="P852" s="735">
        <f t="shared" si="79"/>
        <v>4852.6189548120856</v>
      </c>
      <c r="Q852" s="849">
        <v>35</v>
      </c>
      <c r="R852" s="71">
        <v>99598</v>
      </c>
      <c r="S852" s="845">
        <v>0.10952118877270225</v>
      </c>
      <c r="T852" s="845">
        <v>2.5000000000000001E-2</v>
      </c>
      <c r="U852" s="845">
        <v>0</v>
      </c>
      <c r="V852" s="845">
        <v>0</v>
      </c>
      <c r="W852" s="845">
        <v>0.16721311475409836</v>
      </c>
      <c r="X852" s="845">
        <v>0.54575163398692805</v>
      </c>
      <c r="Y852" s="845">
        <v>0.87800403595670518</v>
      </c>
      <c r="Z852" s="845">
        <v>6.6042927903137039E-2</v>
      </c>
      <c r="AA852" s="845">
        <v>0</v>
      </c>
      <c r="AB852" s="845">
        <v>0</v>
      </c>
      <c r="AC852" s="845">
        <v>0</v>
      </c>
      <c r="AD852" s="845">
        <v>1.0640249495505412E-2</v>
      </c>
      <c r="AE852" s="845">
        <v>4.531278664465236E-2</v>
      </c>
      <c r="AF852" s="845">
        <v>9.5395340304531284E-3</v>
      </c>
      <c r="AG852" s="845">
        <v>0.87800403595670518</v>
      </c>
      <c r="AH852" s="20" t="str">
        <f t="shared" si="80"/>
        <v>No</v>
      </c>
      <c r="AI852" s="25"/>
      <c r="AJ852" s="20">
        <v>45780</v>
      </c>
      <c r="AK852" s="20" t="s">
        <v>1872</v>
      </c>
      <c r="AL852" s="20">
        <v>39009</v>
      </c>
      <c r="AM852" s="20" t="s">
        <v>11</v>
      </c>
      <c r="AN852" s="37" t="str">
        <f t="shared" si="81"/>
        <v>N/A</v>
      </c>
      <c r="AO852" s="37" t="str">
        <f t="shared" si="82"/>
        <v>N/A</v>
      </c>
      <c r="AP852" s="20" t="s">
        <v>8</v>
      </c>
      <c r="AQ852" s="25"/>
      <c r="AR852" s="25"/>
      <c r="AS852" s="25"/>
      <c r="AT852" s="25"/>
      <c r="AU852" s="36"/>
      <c r="AV852" s="36"/>
      <c r="AW852" s="36"/>
      <c r="AX852" s="25"/>
      <c r="AY852" s="25"/>
      <c r="AZ852" s="25"/>
      <c r="BA852" s="25"/>
      <c r="BB852" s="25"/>
      <c r="BC852" s="25"/>
      <c r="BD852" s="25"/>
      <c r="BE852" s="25"/>
      <c r="BF852" s="25"/>
      <c r="BG852" s="25"/>
      <c r="BH852" s="25"/>
      <c r="BI852" s="25"/>
      <c r="BJ852" s="25"/>
      <c r="BK852" s="25"/>
      <c r="BL852" s="25"/>
      <c r="BM852" s="25"/>
      <c r="BN852" s="25"/>
      <c r="BO852" s="25"/>
      <c r="BP852" s="25"/>
      <c r="BQ852" s="25"/>
      <c r="BR852" s="25"/>
      <c r="BS852" s="25"/>
      <c r="BT852" s="25"/>
      <c r="BU852" s="39">
        <v>45896</v>
      </c>
      <c r="BV852" s="39" t="s">
        <v>1957</v>
      </c>
      <c r="BW852" s="39" t="s">
        <v>2950</v>
      </c>
      <c r="BX852" s="39" t="s">
        <v>267</v>
      </c>
      <c r="BY852" s="71">
        <v>840</v>
      </c>
      <c r="BZ852" s="71">
        <v>840</v>
      </c>
      <c r="CA852" s="71">
        <v>1100</v>
      </c>
      <c r="CB852" s="71">
        <v>1400</v>
      </c>
      <c r="CC852" s="71">
        <v>1580</v>
      </c>
      <c r="CD852" s="25"/>
      <c r="CE852" s="200"/>
      <c r="CF852" s="200"/>
      <c r="CG852" s="200"/>
      <c r="CH852" s="200"/>
      <c r="CI852" s="200"/>
      <c r="CJ852" s="200"/>
      <c r="CK852" s="200"/>
      <c r="CL852" s="200"/>
      <c r="CM852" s="200"/>
      <c r="CN852" s="200"/>
      <c r="CO852" s="200"/>
      <c r="CP852" s="200"/>
      <c r="CQ852" s="200"/>
      <c r="CR852" s="200"/>
      <c r="CS852" s="200"/>
      <c r="CT852" s="200"/>
      <c r="CU852" s="200"/>
    </row>
    <row r="853" spans="1:99" s="17" customFormat="1" x14ac:dyDescent="0.2">
      <c r="A853" s="25"/>
      <c r="B853" s="20">
        <v>39155920400</v>
      </c>
      <c r="C853" s="20">
        <v>9204</v>
      </c>
      <c r="D853" s="20" t="s">
        <v>83</v>
      </c>
      <c r="E853" s="20" t="s">
        <v>2842</v>
      </c>
      <c r="F853" s="20" t="s">
        <v>6</v>
      </c>
      <c r="G853" s="861">
        <v>58.100112947714997</v>
      </c>
      <c r="H853" s="861">
        <v>49.459845154356501</v>
      </c>
      <c r="I853" s="861">
        <v>56.968944284569801</v>
      </c>
      <c r="J853" s="861">
        <v>41.712031984153803</v>
      </c>
      <c r="K853" s="982">
        <v>0</v>
      </c>
      <c r="L853" s="735">
        <v>2538</v>
      </c>
      <c r="M853" s="735">
        <v>2404</v>
      </c>
      <c r="N853" s="845">
        <f t="shared" si="78"/>
        <v>-5.2797478329393223E-2</v>
      </c>
      <c r="O853" s="735">
        <v>0.51113670942682443</v>
      </c>
      <c r="P853" s="735">
        <f t="shared" si="79"/>
        <v>4703.2427052554758</v>
      </c>
      <c r="Q853" s="849">
        <v>31.2</v>
      </c>
      <c r="R853" s="71">
        <v>46215</v>
      </c>
      <c r="S853" s="845">
        <v>0.11430955360867752</v>
      </c>
      <c r="T853" s="845">
        <v>9.4E-2</v>
      </c>
      <c r="U853" s="845">
        <v>3.6000000000000004E-2</v>
      </c>
      <c r="V853" s="845">
        <v>0</v>
      </c>
      <c r="W853" s="845">
        <v>0.33134684147794996</v>
      </c>
      <c r="X853" s="845">
        <v>0.53597122302158273</v>
      </c>
      <c r="Y853" s="845">
        <v>0.8078202995008319</v>
      </c>
      <c r="Z853" s="845">
        <v>0.10399334442595674</v>
      </c>
      <c r="AA853" s="845">
        <v>8.3194675540765393E-4</v>
      </c>
      <c r="AB853" s="845">
        <v>0</v>
      </c>
      <c r="AC853" s="845">
        <v>0</v>
      </c>
      <c r="AD853" s="845">
        <v>1.3311148086522463E-2</v>
      </c>
      <c r="AE853" s="845">
        <v>7.4043261231281202E-2</v>
      </c>
      <c r="AF853" s="845">
        <v>2.2878535773710483E-2</v>
      </c>
      <c r="AG853" s="845">
        <v>0.79367720465890179</v>
      </c>
      <c r="AH853" s="20" t="str">
        <f t="shared" si="80"/>
        <v>No</v>
      </c>
      <c r="AI853" s="25"/>
      <c r="AJ853" s="20">
        <v>45782</v>
      </c>
      <c r="AK853" s="20" t="s">
        <v>1873</v>
      </c>
      <c r="AL853" s="20">
        <v>39009</v>
      </c>
      <c r="AM853" s="20" t="s">
        <v>11</v>
      </c>
      <c r="AN853" s="37" t="str">
        <f t="shared" si="81"/>
        <v>N/A</v>
      </c>
      <c r="AO853" s="37" t="str">
        <f t="shared" si="82"/>
        <v>N/A</v>
      </c>
      <c r="AP853" s="20" t="s">
        <v>8</v>
      </c>
      <c r="AQ853" s="25"/>
      <c r="AR853" s="25"/>
      <c r="AS853" s="25"/>
      <c r="AT853" s="25"/>
      <c r="AU853" s="36"/>
      <c r="AV853" s="36"/>
      <c r="AW853" s="36"/>
      <c r="AX853" s="25"/>
      <c r="AY853" s="25"/>
      <c r="AZ853" s="25"/>
      <c r="BA853" s="25"/>
      <c r="BB853" s="25"/>
      <c r="BC853" s="25"/>
      <c r="BD853" s="25"/>
      <c r="BE853" s="25"/>
      <c r="BF853" s="25"/>
      <c r="BG853" s="25"/>
      <c r="BH853" s="25"/>
      <c r="BI853" s="25"/>
      <c r="BJ853" s="25"/>
      <c r="BK853" s="25"/>
      <c r="BL853" s="25"/>
      <c r="BM853" s="25"/>
      <c r="BN853" s="25"/>
      <c r="BO853" s="25"/>
      <c r="BP853" s="25"/>
      <c r="BQ853" s="25"/>
      <c r="BR853" s="25"/>
      <c r="BS853" s="25"/>
      <c r="BT853" s="25"/>
      <c r="BU853" s="39">
        <v>43311</v>
      </c>
      <c r="BV853" s="39" t="s">
        <v>868</v>
      </c>
      <c r="BW853" s="39" t="s">
        <v>2957</v>
      </c>
      <c r="BX853" s="39" t="s">
        <v>2958</v>
      </c>
      <c r="BY853" s="71">
        <v>760</v>
      </c>
      <c r="BZ853" s="71">
        <v>770</v>
      </c>
      <c r="CA853" s="71">
        <v>1010</v>
      </c>
      <c r="CB853" s="71">
        <v>1230</v>
      </c>
      <c r="CC853" s="71">
        <v>1340</v>
      </c>
      <c r="CD853" s="25"/>
      <c r="CE853" s="200"/>
      <c r="CF853" s="200"/>
      <c r="CG853" s="200"/>
      <c r="CH853" s="200"/>
      <c r="CI853" s="200"/>
      <c r="CJ853" s="200"/>
      <c r="CK853" s="200"/>
      <c r="CL853" s="200"/>
      <c r="CM853" s="200"/>
      <c r="CN853" s="200"/>
      <c r="CO853" s="200"/>
      <c r="CP853" s="200"/>
      <c r="CQ853" s="200"/>
      <c r="CR853" s="200"/>
      <c r="CS853" s="200"/>
      <c r="CT853" s="200"/>
      <c r="CU853" s="200"/>
    </row>
    <row r="854" spans="1:99" s="17" customFormat="1" x14ac:dyDescent="0.2">
      <c r="A854" s="25"/>
      <c r="B854" s="20">
        <v>39051040900</v>
      </c>
      <c r="C854" s="20">
        <v>409</v>
      </c>
      <c r="D854" s="20" t="s">
        <v>32</v>
      </c>
      <c r="E854" s="20" t="s">
        <v>2839</v>
      </c>
      <c r="F854" s="20" t="s">
        <v>8</v>
      </c>
      <c r="G854" s="861">
        <v>58.099422572514698</v>
      </c>
      <c r="H854" s="861">
        <v>54.460458651503998</v>
      </c>
      <c r="I854" s="861">
        <v>33.515603243606797</v>
      </c>
      <c r="J854" s="861">
        <v>41.8133719598261</v>
      </c>
      <c r="K854" s="982">
        <v>0</v>
      </c>
      <c r="L854" s="735">
        <v>4512</v>
      </c>
      <c r="M854" s="735">
        <v>4482</v>
      </c>
      <c r="N854" s="845">
        <f t="shared" si="78"/>
        <v>-6.648936170212766E-3</v>
      </c>
      <c r="O854" s="735">
        <v>8.2990435041031905</v>
      </c>
      <c r="P854" s="735">
        <f t="shared" si="79"/>
        <v>540.06223702575141</v>
      </c>
      <c r="Q854" s="849">
        <v>47.9</v>
      </c>
      <c r="R854" s="71">
        <v>68401</v>
      </c>
      <c r="S854" s="845">
        <v>5.5364116701125662E-2</v>
      </c>
      <c r="T854" s="845">
        <v>5.7000000000000002E-2</v>
      </c>
      <c r="U854" s="845">
        <v>0</v>
      </c>
      <c r="V854" s="845">
        <v>0</v>
      </c>
      <c r="W854" s="845">
        <v>0.27584359935725761</v>
      </c>
      <c r="X854" s="845">
        <v>0.34368932038834954</v>
      </c>
      <c r="Y854" s="845">
        <v>0.83311021865238732</v>
      </c>
      <c r="Z854" s="845">
        <v>1.7849174475680501E-2</v>
      </c>
      <c r="AA854" s="845">
        <v>9.5939312806782688E-3</v>
      </c>
      <c r="AB854" s="845">
        <v>0</v>
      </c>
      <c r="AC854" s="845">
        <v>1.5618027666220438E-3</v>
      </c>
      <c r="AD854" s="845">
        <v>7.2066041945560017E-2</v>
      </c>
      <c r="AE854" s="845">
        <v>6.5818830879071838E-2</v>
      </c>
      <c r="AF854" s="845">
        <v>0.16019634091923249</v>
      </c>
      <c r="AG854" s="845">
        <v>0.8070058009817046</v>
      </c>
      <c r="AH854" s="20" t="str">
        <f t="shared" si="80"/>
        <v>No</v>
      </c>
      <c r="AI854" s="25"/>
      <c r="AJ854" s="20">
        <v>43331</v>
      </c>
      <c r="AK854" s="20" t="s">
        <v>883</v>
      </c>
      <c r="AL854" s="20">
        <v>39011</v>
      </c>
      <c r="AM854" s="20" t="s">
        <v>12</v>
      </c>
      <c r="AN854" s="37" t="str">
        <f t="shared" si="81"/>
        <v>N/A</v>
      </c>
      <c r="AO854" s="37" t="str">
        <f t="shared" si="82"/>
        <v>N/A</v>
      </c>
      <c r="AP854" s="20" t="s">
        <v>8</v>
      </c>
      <c r="AQ854" s="25"/>
      <c r="AR854" s="25"/>
      <c r="AS854" s="25"/>
      <c r="AT854" s="25"/>
      <c r="AU854" s="36"/>
      <c r="AV854" s="36"/>
      <c r="AW854" s="36"/>
      <c r="AX854" s="25"/>
      <c r="AY854" s="25"/>
      <c r="AZ854" s="25"/>
      <c r="BA854" s="25"/>
      <c r="BB854" s="25"/>
      <c r="BC854" s="25"/>
      <c r="BD854" s="25"/>
      <c r="BE854" s="25"/>
      <c r="BF854" s="25"/>
      <c r="BG854" s="25"/>
      <c r="BH854" s="25"/>
      <c r="BI854" s="25"/>
      <c r="BJ854" s="25"/>
      <c r="BK854" s="25"/>
      <c r="BL854" s="25"/>
      <c r="BM854" s="25"/>
      <c r="BN854" s="25"/>
      <c r="BO854" s="25"/>
      <c r="BP854" s="25"/>
      <c r="BQ854" s="25"/>
      <c r="BR854" s="25"/>
      <c r="BS854" s="25"/>
      <c r="BT854" s="25"/>
      <c r="BU854" s="39">
        <v>43324</v>
      </c>
      <c r="BV854" s="39" t="s">
        <v>879</v>
      </c>
      <c r="BW854" s="39" t="s">
        <v>2957</v>
      </c>
      <c r="BX854" s="39" t="s">
        <v>2958</v>
      </c>
      <c r="BY854" s="71">
        <v>880</v>
      </c>
      <c r="BZ854" s="71">
        <v>880</v>
      </c>
      <c r="CA854" s="71">
        <v>1160</v>
      </c>
      <c r="CB854" s="71">
        <v>1410</v>
      </c>
      <c r="CC854" s="71">
        <v>1540</v>
      </c>
      <c r="CD854" s="25"/>
      <c r="CE854" s="200"/>
      <c r="CF854" s="200"/>
      <c r="CG854" s="200"/>
      <c r="CH854" s="200"/>
      <c r="CI854" s="200"/>
      <c r="CJ854" s="200"/>
      <c r="CK854" s="200"/>
      <c r="CL854" s="200"/>
      <c r="CM854" s="200"/>
      <c r="CN854" s="200"/>
      <c r="CO854" s="200"/>
      <c r="CP854" s="200"/>
      <c r="CQ854" s="200"/>
      <c r="CR854" s="200"/>
      <c r="CS854" s="200"/>
      <c r="CT854" s="200"/>
      <c r="CU854" s="200"/>
    </row>
    <row r="855" spans="1:99" s="17" customFormat="1" x14ac:dyDescent="0.2">
      <c r="A855" s="25"/>
      <c r="B855" s="20">
        <v>39061021571</v>
      </c>
      <c r="C855" s="20">
        <v>215.71</v>
      </c>
      <c r="D855" s="20" t="s">
        <v>37</v>
      </c>
      <c r="E855" s="20" t="s">
        <v>2828</v>
      </c>
      <c r="F855" s="20" t="s">
        <v>8</v>
      </c>
      <c r="G855" s="861">
        <v>58.091431364224903</v>
      </c>
      <c r="H855" s="861">
        <v>55.849211622829003</v>
      </c>
      <c r="I855" s="861">
        <v>35.529982001861597</v>
      </c>
      <c r="J855" s="861">
        <v>40.238597687677597</v>
      </c>
      <c r="K855" s="982">
        <v>0</v>
      </c>
      <c r="L855" s="735">
        <v>3775</v>
      </c>
      <c r="M855" s="735">
        <v>3405</v>
      </c>
      <c r="N855" s="845">
        <f t="shared" si="78"/>
        <v>-9.8013245033112581E-2</v>
      </c>
      <c r="O855" s="735">
        <v>1.0852277619143202</v>
      </c>
      <c r="P855" s="735">
        <f t="shared" si="79"/>
        <v>3137.5902087075688</v>
      </c>
      <c r="Q855" s="849">
        <v>47.4</v>
      </c>
      <c r="R855" s="71">
        <v>78269</v>
      </c>
      <c r="S855" s="845">
        <v>5.2440133373749621E-2</v>
      </c>
      <c r="T855" s="845">
        <v>4.2000000000000003E-2</v>
      </c>
      <c r="U855" s="845">
        <v>0</v>
      </c>
      <c r="V855" s="845">
        <v>5.7999999999999996E-2</v>
      </c>
      <c r="W855" s="845">
        <v>0.31950509461426491</v>
      </c>
      <c r="X855" s="845">
        <v>0.46697038724373574</v>
      </c>
      <c r="Y855" s="845">
        <v>0.41791483113069017</v>
      </c>
      <c r="Z855" s="845">
        <v>0.50190895741556529</v>
      </c>
      <c r="AA855" s="845">
        <v>0</v>
      </c>
      <c r="AB855" s="845">
        <v>2.7606461086637297E-2</v>
      </c>
      <c r="AC855" s="845">
        <v>0</v>
      </c>
      <c r="AD855" s="845">
        <v>4.698972099853157E-3</v>
      </c>
      <c r="AE855" s="845">
        <v>4.7870778267254041E-2</v>
      </c>
      <c r="AF855" s="845">
        <v>7.0484581497797363E-2</v>
      </c>
      <c r="AG855" s="845">
        <v>0.36651982378854625</v>
      </c>
      <c r="AH855" s="20" t="str">
        <f t="shared" si="80"/>
        <v>No</v>
      </c>
      <c r="AI855" s="25"/>
      <c r="AJ855" s="20">
        <v>45306</v>
      </c>
      <c r="AK855" s="20" t="s">
        <v>1660</v>
      </c>
      <c r="AL855" s="20">
        <v>39011</v>
      </c>
      <c r="AM855" s="20" t="s">
        <v>12</v>
      </c>
      <c r="AN855" s="37" t="str">
        <f t="shared" si="81"/>
        <v>N/A</v>
      </c>
      <c r="AO855" s="37" t="str">
        <f t="shared" si="82"/>
        <v>N/A</v>
      </c>
      <c r="AP855" s="20" t="s">
        <v>8</v>
      </c>
      <c r="AQ855" s="25"/>
      <c r="AR855" s="25"/>
      <c r="AS855" s="25"/>
      <c r="AT855" s="25"/>
      <c r="AU855" s="36"/>
      <c r="AV855" s="36"/>
      <c r="AW855" s="36"/>
      <c r="AX855" s="25"/>
      <c r="AY855" s="25"/>
      <c r="AZ855" s="25"/>
      <c r="BA855" s="25"/>
      <c r="BB855" s="25"/>
      <c r="BC855" s="25"/>
      <c r="BD855" s="25"/>
      <c r="BE855" s="25"/>
      <c r="BF855" s="25"/>
      <c r="BG855" s="25"/>
      <c r="BH855" s="25"/>
      <c r="BI855" s="25"/>
      <c r="BJ855" s="25"/>
      <c r="BK855" s="25"/>
      <c r="BL855" s="25"/>
      <c r="BM855" s="25"/>
      <c r="BN855" s="25"/>
      <c r="BO855" s="25"/>
      <c r="BP855" s="25"/>
      <c r="BQ855" s="25"/>
      <c r="BR855" s="25"/>
      <c r="BS855" s="25"/>
      <c r="BT855" s="25"/>
      <c r="BU855" s="39">
        <v>43333</v>
      </c>
      <c r="BV855" s="39" t="s">
        <v>885</v>
      </c>
      <c r="BW855" s="39" t="s">
        <v>2957</v>
      </c>
      <c r="BX855" s="39" t="s">
        <v>2958</v>
      </c>
      <c r="BY855" s="71">
        <v>840</v>
      </c>
      <c r="BZ855" s="71">
        <v>860</v>
      </c>
      <c r="CA855" s="71">
        <v>1130</v>
      </c>
      <c r="CB855" s="71">
        <v>1410</v>
      </c>
      <c r="CC855" s="71">
        <v>1530</v>
      </c>
      <c r="CD855" s="25"/>
      <c r="CE855" s="200"/>
      <c r="CF855" s="200"/>
      <c r="CG855" s="200"/>
      <c r="CH855" s="200"/>
      <c r="CI855" s="200"/>
      <c r="CJ855" s="200"/>
      <c r="CK855" s="200"/>
      <c r="CL855" s="200"/>
      <c r="CM855" s="200"/>
      <c r="CN855" s="200"/>
      <c r="CO855" s="200"/>
      <c r="CP855" s="200"/>
      <c r="CQ855" s="200"/>
      <c r="CR855" s="200"/>
      <c r="CS855" s="200"/>
      <c r="CT855" s="200"/>
      <c r="CU855" s="200"/>
    </row>
    <row r="856" spans="1:99" s="17" customFormat="1" x14ac:dyDescent="0.2">
      <c r="A856" s="25"/>
      <c r="B856" s="20">
        <v>39035183100</v>
      </c>
      <c r="C856" s="20">
        <v>1831</v>
      </c>
      <c r="D856" s="20" t="s">
        <v>24</v>
      </c>
      <c r="E856" s="20" t="s">
        <v>2829</v>
      </c>
      <c r="F856" s="20" t="s">
        <v>8</v>
      </c>
      <c r="G856" s="861">
        <v>58.054684390474399</v>
      </c>
      <c r="H856" s="861">
        <v>68.237666116423995</v>
      </c>
      <c r="I856" s="861">
        <v>36.243995254476602</v>
      </c>
      <c r="J856" s="861">
        <v>29.441691867118099</v>
      </c>
      <c r="K856" s="982">
        <v>0</v>
      </c>
      <c r="L856" s="735">
        <v>2956</v>
      </c>
      <c r="M856" s="735">
        <v>3284</v>
      </c>
      <c r="N856" s="845">
        <f t="shared" si="78"/>
        <v>0.11096075778078485</v>
      </c>
      <c r="O856" s="735">
        <v>0.74559647302782406</v>
      </c>
      <c r="P856" s="735">
        <f t="shared" si="79"/>
        <v>4404.5272728609707</v>
      </c>
      <c r="Q856" s="849">
        <v>35.700000000000003</v>
      </c>
      <c r="R856" s="71">
        <v>61905</v>
      </c>
      <c r="S856" s="845">
        <v>8.0998781973203413E-2</v>
      </c>
      <c r="T856" s="845">
        <v>3.1E-2</v>
      </c>
      <c r="U856" s="845">
        <v>0</v>
      </c>
      <c r="V856" s="845">
        <v>2.4E-2</v>
      </c>
      <c r="W856" s="845">
        <v>0.66215420835785754</v>
      </c>
      <c r="X856" s="845">
        <v>0.28622222222222221</v>
      </c>
      <c r="Y856" s="845">
        <v>0.50213154689403172</v>
      </c>
      <c r="Z856" s="845">
        <v>0.33434835566382459</v>
      </c>
      <c r="AA856" s="845">
        <v>2.4360535931790498E-3</v>
      </c>
      <c r="AB856" s="845">
        <v>6.6077953714981735E-2</v>
      </c>
      <c r="AC856" s="845">
        <v>0</v>
      </c>
      <c r="AD856" s="845">
        <v>0</v>
      </c>
      <c r="AE856" s="845">
        <v>9.5006090133982951E-2</v>
      </c>
      <c r="AF856" s="845">
        <v>4.0499390986601706E-2</v>
      </c>
      <c r="AG856" s="845">
        <v>0.47442143727161995</v>
      </c>
      <c r="AH856" s="20" t="str">
        <f t="shared" si="80"/>
        <v>No</v>
      </c>
      <c r="AI856" s="25"/>
      <c r="AJ856" s="20">
        <v>45334</v>
      </c>
      <c r="AK856" s="20" t="s">
        <v>1686</v>
      </c>
      <c r="AL856" s="20">
        <v>39011</v>
      </c>
      <c r="AM856" s="20" t="s">
        <v>12</v>
      </c>
      <c r="AN856" s="37" t="str">
        <f t="shared" si="81"/>
        <v>N/A</v>
      </c>
      <c r="AO856" s="37" t="str">
        <f t="shared" si="82"/>
        <v>N/A</v>
      </c>
      <c r="AP856" s="20" t="s">
        <v>8</v>
      </c>
      <c r="AQ856" s="25"/>
      <c r="AR856" s="25"/>
      <c r="AS856" s="25"/>
      <c r="AT856" s="25"/>
      <c r="AU856" s="36"/>
      <c r="AV856" s="36"/>
      <c r="AW856" s="36"/>
      <c r="AX856" s="25"/>
      <c r="AY856" s="25"/>
      <c r="AZ856" s="25"/>
      <c r="BA856" s="25"/>
      <c r="BB856" s="25"/>
      <c r="BC856" s="25"/>
      <c r="BD856" s="25"/>
      <c r="BE856" s="25"/>
      <c r="BF856" s="25"/>
      <c r="BG856" s="25"/>
      <c r="BH856" s="25"/>
      <c r="BI856" s="25"/>
      <c r="BJ856" s="25"/>
      <c r="BK856" s="25"/>
      <c r="BL856" s="25"/>
      <c r="BM856" s="25"/>
      <c r="BN856" s="25"/>
      <c r="BO856" s="25"/>
      <c r="BP856" s="25"/>
      <c r="BQ856" s="25"/>
      <c r="BR856" s="25"/>
      <c r="BS856" s="25"/>
      <c r="BT856" s="25"/>
      <c r="BU856" s="39">
        <v>43336</v>
      </c>
      <c r="BV856" s="39" t="s">
        <v>887</v>
      </c>
      <c r="BW856" s="39" t="s">
        <v>2957</v>
      </c>
      <c r="BX856" s="39" t="s">
        <v>2958</v>
      </c>
      <c r="BY856" s="71">
        <v>780</v>
      </c>
      <c r="BZ856" s="71">
        <v>780</v>
      </c>
      <c r="CA856" s="71">
        <v>1030</v>
      </c>
      <c r="CB856" s="71">
        <v>1260</v>
      </c>
      <c r="CC856" s="71">
        <v>1360</v>
      </c>
      <c r="CD856" s="25"/>
      <c r="CE856" s="200"/>
      <c r="CF856" s="200"/>
      <c r="CG856" s="200"/>
      <c r="CH856" s="200"/>
      <c r="CI856" s="200"/>
      <c r="CJ856" s="200"/>
      <c r="CK856" s="200"/>
      <c r="CL856" s="200"/>
      <c r="CM856" s="200"/>
      <c r="CN856" s="200"/>
      <c r="CO856" s="200"/>
      <c r="CP856" s="200"/>
      <c r="CQ856" s="200"/>
      <c r="CR856" s="200"/>
      <c r="CS856" s="200"/>
      <c r="CT856" s="200"/>
      <c r="CU856" s="200"/>
    </row>
    <row r="857" spans="1:99" s="17" customFormat="1" x14ac:dyDescent="0.2">
      <c r="A857" s="25"/>
      <c r="B857" s="20">
        <v>39035104400</v>
      </c>
      <c r="C857" s="20">
        <v>1044</v>
      </c>
      <c r="D857" s="20" t="s">
        <v>24</v>
      </c>
      <c r="E857" s="20" t="s">
        <v>2829</v>
      </c>
      <c r="F857" s="20" t="s">
        <v>8</v>
      </c>
      <c r="G857" s="861">
        <v>58.049488576109297</v>
      </c>
      <c r="H857" s="861">
        <v>62.5116851479345</v>
      </c>
      <c r="I857" s="861">
        <v>41.908487655311603</v>
      </c>
      <c r="J857" s="861">
        <v>53.9047959734175</v>
      </c>
      <c r="K857" s="982">
        <v>0</v>
      </c>
      <c r="L857" s="735">
        <v>1431</v>
      </c>
      <c r="M857" s="735">
        <v>1165</v>
      </c>
      <c r="N857" s="845">
        <f t="shared" si="78"/>
        <v>-0.18588399720475193</v>
      </c>
      <c r="O857" s="735">
        <v>0.43569505035295319</v>
      </c>
      <c r="P857" s="735">
        <f t="shared" si="79"/>
        <v>2673.8885352409729</v>
      </c>
      <c r="Q857" s="849">
        <v>32.700000000000003</v>
      </c>
      <c r="R857" s="71">
        <v>59792</v>
      </c>
      <c r="S857" s="845">
        <v>0.21115879828326181</v>
      </c>
      <c r="T857" s="845">
        <v>6.5000000000000002E-2</v>
      </c>
      <c r="U857" s="845">
        <v>4.8000000000000001E-2</v>
      </c>
      <c r="V857" s="845">
        <v>0</v>
      </c>
      <c r="W857" s="845">
        <v>0.59809264305177112</v>
      </c>
      <c r="X857" s="845">
        <v>0.36674259681093396</v>
      </c>
      <c r="Y857" s="845">
        <v>0.64549356223175969</v>
      </c>
      <c r="Z857" s="845">
        <v>0.13218884120171673</v>
      </c>
      <c r="AA857" s="845">
        <v>0</v>
      </c>
      <c r="AB857" s="845">
        <v>1.201716738197425E-2</v>
      </c>
      <c r="AC857" s="845">
        <v>1.6309012875536481E-2</v>
      </c>
      <c r="AD857" s="845">
        <v>8.7553648068669526E-2</v>
      </c>
      <c r="AE857" s="845">
        <v>0.10643776824034334</v>
      </c>
      <c r="AF857" s="845">
        <v>0.1648068669527897</v>
      </c>
      <c r="AG857" s="845">
        <v>0.63519313304721026</v>
      </c>
      <c r="AH857" s="20" t="str">
        <f t="shared" si="80"/>
        <v>No</v>
      </c>
      <c r="AI857" s="25"/>
      <c r="AJ857" s="20">
        <v>45806</v>
      </c>
      <c r="AK857" s="20" t="s">
        <v>1882</v>
      </c>
      <c r="AL857" s="20">
        <v>39011</v>
      </c>
      <c r="AM857" s="20" t="s">
        <v>12</v>
      </c>
      <c r="AN857" s="37" t="str">
        <f t="shared" si="81"/>
        <v>N/A</v>
      </c>
      <c r="AO857" s="37" t="str">
        <f t="shared" si="82"/>
        <v>N/A</v>
      </c>
      <c r="AP857" s="20" t="s">
        <v>8</v>
      </c>
      <c r="AQ857" s="25"/>
      <c r="AR857" s="25"/>
      <c r="AS857" s="25"/>
      <c r="AT857" s="25"/>
      <c r="AU857" s="36"/>
      <c r="AV857" s="36"/>
      <c r="AW857" s="36"/>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39">
        <v>43348</v>
      </c>
      <c r="BV857" s="39" t="s">
        <v>898</v>
      </c>
      <c r="BW857" s="39" t="s">
        <v>2957</v>
      </c>
      <c r="BX857" s="39" t="s">
        <v>2958</v>
      </c>
      <c r="BY857" s="71">
        <v>760</v>
      </c>
      <c r="BZ857" s="71">
        <v>760</v>
      </c>
      <c r="CA857" s="71">
        <v>1000</v>
      </c>
      <c r="CB857" s="71">
        <v>1220</v>
      </c>
      <c r="CC857" s="71">
        <v>1320</v>
      </c>
      <c r="CD857" s="25"/>
      <c r="CE857" s="200"/>
      <c r="CF857" s="200"/>
      <c r="CG857" s="200"/>
      <c r="CH857" s="200"/>
      <c r="CI857" s="200"/>
      <c r="CJ857" s="200"/>
      <c r="CK857" s="200"/>
      <c r="CL857" s="200"/>
      <c r="CM857" s="200"/>
      <c r="CN857" s="200"/>
      <c r="CO857" s="200"/>
      <c r="CP857" s="200"/>
      <c r="CQ857" s="200"/>
      <c r="CR857" s="200"/>
      <c r="CS857" s="200"/>
      <c r="CT857" s="200"/>
      <c r="CU857" s="200"/>
    </row>
    <row r="858" spans="1:99" s="17" customFormat="1" x14ac:dyDescent="0.2">
      <c r="A858" s="25"/>
      <c r="B858" s="20">
        <v>39167020900</v>
      </c>
      <c r="C858" s="20">
        <v>209</v>
      </c>
      <c r="D858" s="20" t="s">
        <v>89</v>
      </c>
      <c r="E858" s="20" t="s">
        <v>265</v>
      </c>
      <c r="F858" s="20" t="s">
        <v>6</v>
      </c>
      <c r="G858" s="861">
        <v>58.046611951859198</v>
      </c>
      <c r="H858" s="861">
        <v>61.001381424335001</v>
      </c>
      <c r="I858" s="861">
        <v>34.8135513708324</v>
      </c>
      <c r="J858" s="861">
        <v>45.927564142466998</v>
      </c>
      <c r="K858" s="982">
        <v>1</v>
      </c>
      <c r="L858" s="735">
        <v>2450</v>
      </c>
      <c r="M858" s="735">
        <v>2253</v>
      </c>
      <c r="N858" s="845">
        <f t="shared" si="78"/>
        <v>-8.0408163265306129E-2</v>
      </c>
      <c r="O858" s="735">
        <v>2.9665506842809406</v>
      </c>
      <c r="P858" s="735">
        <f t="shared" si="79"/>
        <v>759.46789378591131</v>
      </c>
      <c r="Q858" s="849">
        <v>53.2</v>
      </c>
      <c r="R858" s="71">
        <v>53909</v>
      </c>
      <c r="S858" s="845">
        <v>0.1339667458432304</v>
      </c>
      <c r="T858" s="845">
        <v>2.2000000000000002E-2</v>
      </c>
      <c r="U858" s="845">
        <v>0</v>
      </c>
      <c r="V858" s="845">
        <v>4.7E-2</v>
      </c>
      <c r="W858" s="845">
        <v>0.42831858407079648</v>
      </c>
      <c r="X858" s="845">
        <v>0.45041322314049587</v>
      </c>
      <c r="Y858" s="845">
        <v>0.98801597869507318</v>
      </c>
      <c r="Z858" s="845">
        <v>1.7754105636928539E-3</v>
      </c>
      <c r="AA858" s="845">
        <v>4.4385264092321349E-4</v>
      </c>
      <c r="AB858" s="845">
        <v>0</v>
      </c>
      <c r="AC858" s="845">
        <v>0</v>
      </c>
      <c r="AD858" s="845">
        <v>4.8823790501553487E-3</v>
      </c>
      <c r="AE858" s="845">
        <v>4.8823790501553487E-3</v>
      </c>
      <c r="AF858" s="845">
        <v>5.3262316910785623E-3</v>
      </c>
      <c r="AG858" s="845">
        <v>0.98801597869507318</v>
      </c>
      <c r="AH858" s="20" t="str">
        <f t="shared" si="80"/>
        <v>Yes</v>
      </c>
      <c r="AI858" s="25"/>
      <c r="AJ858" s="20">
        <v>45819</v>
      </c>
      <c r="AK858" s="20" t="s">
        <v>1893</v>
      </c>
      <c r="AL858" s="20">
        <v>39011</v>
      </c>
      <c r="AM858" s="20" t="s">
        <v>12</v>
      </c>
      <c r="AN858" s="37" t="str">
        <f t="shared" si="81"/>
        <v>N/A</v>
      </c>
      <c r="AO858" s="37" t="str">
        <f t="shared" si="82"/>
        <v>N/A</v>
      </c>
      <c r="AP858" s="20" t="s">
        <v>8</v>
      </c>
      <c r="AQ858" s="25"/>
      <c r="AR858" s="25"/>
      <c r="AS858" s="25"/>
      <c r="AT858" s="25"/>
      <c r="AU858" s="36"/>
      <c r="AV858" s="36"/>
      <c r="AW858" s="36"/>
      <c r="AX858" s="25"/>
      <c r="AY858" s="25"/>
      <c r="AZ858" s="25"/>
      <c r="BA858" s="25"/>
      <c r="BB858" s="25"/>
      <c r="BC858" s="25"/>
      <c r="BD858" s="25"/>
      <c r="BE858" s="25"/>
      <c r="BF858" s="25"/>
      <c r="BG858" s="25"/>
      <c r="BH858" s="25"/>
      <c r="BI858" s="25"/>
      <c r="BJ858" s="25"/>
      <c r="BK858" s="25"/>
      <c r="BL858" s="25"/>
      <c r="BM858" s="25"/>
      <c r="BN858" s="25"/>
      <c r="BO858" s="25"/>
      <c r="BP858" s="25"/>
      <c r="BQ858" s="25"/>
      <c r="BR858" s="25"/>
      <c r="BS858" s="25"/>
      <c r="BT858" s="25"/>
      <c r="BU858" s="39">
        <v>43360</v>
      </c>
      <c r="BV858" s="39" t="s">
        <v>905</v>
      </c>
      <c r="BW858" s="39" t="s">
        <v>2957</v>
      </c>
      <c r="BX858" s="39" t="s">
        <v>2958</v>
      </c>
      <c r="BY858" s="71">
        <v>850</v>
      </c>
      <c r="BZ858" s="71">
        <v>850</v>
      </c>
      <c r="CA858" s="71">
        <v>1120</v>
      </c>
      <c r="CB858" s="71">
        <v>1360</v>
      </c>
      <c r="CC858" s="71">
        <v>1480</v>
      </c>
      <c r="CD858" s="25"/>
      <c r="CE858" s="200"/>
      <c r="CF858" s="200"/>
      <c r="CG858" s="200"/>
      <c r="CH858" s="200"/>
      <c r="CI858" s="200"/>
      <c r="CJ858" s="200"/>
      <c r="CK858" s="200"/>
      <c r="CL858" s="200"/>
      <c r="CM858" s="200"/>
      <c r="CN858" s="200"/>
      <c r="CO858" s="200"/>
      <c r="CP858" s="200"/>
      <c r="CQ858" s="200"/>
      <c r="CR858" s="200"/>
      <c r="CS858" s="200"/>
      <c r="CT858" s="200"/>
      <c r="CU858" s="200"/>
    </row>
    <row r="859" spans="1:99" s="17" customFormat="1" x14ac:dyDescent="0.2">
      <c r="A859" s="25"/>
      <c r="B859" s="20">
        <v>39049002740</v>
      </c>
      <c r="C859" s="20">
        <v>27.4</v>
      </c>
      <c r="D859" s="20" t="s">
        <v>31</v>
      </c>
      <c r="E859" s="20" t="s">
        <v>2830</v>
      </c>
      <c r="F859" s="20" t="s">
        <v>8</v>
      </c>
      <c r="G859" s="861">
        <v>58.0062326281559</v>
      </c>
      <c r="H859" s="861">
        <v>66.241808758684797</v>
      </c>
      <c r="I859" s="861">
        <v>36.040929719101698</v>
      </c>
      <c r="J859" s="861">
        <v>32.8945010423746</v>
      </c>
      <c r="K859" s="982">
        <v>0</v>
      </c>
      <c r="L859" s="735">
        <v>2403</v>
      </c>
      <c r="M859" s="735">
        <v>2436</v>
      </c>
      <c r="N859" s="845">
        <f t="shared" si="78"/>
        <v>1.3732833957553059E-2</v>
      </c>
      <c r="O859" s="735">
        <v>0.54402373298926077</v>
      </c>
      <c r="P859" s="735">
        <f t="shared" si="79"/>
        <v>4477.7458266661461</v>
      </c>
      <c r="Q859" s="849">
        <v>49.7</v>
      </c>
      <c r="R859" s="71">
        <v>95167</v>
      </c>
      <c r="S859" s="845">
        <v>5.3776683087027911E-2</v>
      </c>
      <c r="T859" s="845">
        <v>6.0000000000000001E-3</v>
      </c>
      <c r="U859" s="845">
        <v>0</v>
      </c>
      <c r="V859" s="845">
        <v>0</v>
      </c>
      <c r="W859" s="845">
        <v>0.25315315315315318</v>
      </c>
      <c r="X859" s="845">
        <v>0.77935943060498225</v>
      </c>
      <c r="Y859" s="845">
        <v>0.74014778325123154</v>
      </c>
      <c r="Z859" s="845">
        <v>0.20812807881773399</v>
      </c>
      <c r="AA859" s="845">
        <v>2.8735632183908046E-3</v>
      </c>
      <c r="AB859" s="845">
        <v>1.2315270935960592E-2</v>
      </c>
      <c r="AC859" s="845">
        <v>0</v>
      </c>
      <c r="AD859" s="845">
        <v>0</v>
      </c>
      <c r="AE859" s="845">
        <v>3.6535303776683084E-2</v>
      </c>
      <c r="AF859" s="845">
        <v>1.7241379310344827E-2</v>
      </c>
      <c r="AG859" s="845">
        <v>0.72577996715927751</v>
      </c>
      <c r="AH859" s="20" t="str">
        <f t="shared" si="80"/>
        <v>No</v>
      </c>
      <c r="AI859" s="25"/>
      <c r="AJ859" s="20">
        <v>45845</v>
      </c>
      <c r="AK859" s="20" t="s">
        <v>1911</v>
      </c>
      <c r="AL859" s="20">
        <v>39011</v>
      </c>
      <c r="AM859" s="20" t="s">
        <v>12</v>
      </c>
      <c r="AN859" s="37" t="str">
        <f t="shared" si="81"/>
        <v>N/A</v>
      </c>
      <c r="AO859" s="37" t="str">
        <f t="shared" si="82"/>
        <v>N/A</v>
      </c>
      <c r="AP859" s="20" t="s">
        <v>8</v>
      </c>
      <c r="AQ859" s="25"/>
      <c r="AR859" s="25"/>
      <c r="AS859" s="25"/>
      <c r="AT859" s="25"/>
      <c r="AU859" s="36"/>
      <c r="AV859" s="36"/>
      <c r="AW859" s="36"/>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39">
        <v>44805</v>
      </c>
      <c r="BV859" s="39" t="s">
        <v>1467</v>
      </c>
      <c r="BW859" s="39" t="s">
        <v>2923</v>
      </c>
      <c r="BX859" s="39" t="s">
        <v>274</v>
      </c>
      <c r="BY859" s="71">
        <v>680</v>
      </c>
      <c r="BZ859" s="71">
        <v>780</v>
      </c>
      <c r="CA859" s="71">
        <v>970</v>
      </c>
      <c r="CB859" s="71">
        <v>1280</v>
      </c>
      <c r="CC859" s="71">
        <v>1470</v>
      </c>
      <c r="CD859" s="25"/>
      <c r="CE859" s="200"/>
      <c r="CF859" s="200"/>
      <c r="CG859" s="200"/>
      <c r="CH859" s="200"/>
      <c r="CI859" s="200"/>
      <c r="CJ859" s="200"/>
      <c r="CK859" s="200"/>
      <c r="CL859" s="200"/>
      <c r="CM859" s="200"/>
      <c r="CN859" s="200"/>
      <c r="CO859" s="200"/>
      <c r="CP859" s="200"/>
      <c r="CQ859" s="200"/>
      <c r="CR859" s="200"/>
      <c r="CS859" s="200"/>
      <c r="CT859" s="200"/>
      <c r="CU859" s="200"/>
    </row>
    <row r="860" spans="1:99" s="17" customFormat="1" x14ac:dyDescent="0.2">
      <c r="A860" s="25"/>
      <c r="B860" s="20">
        <v>39055311800</v>
      </c>
      <c r="C860" s="20">
        <v>3118</v>
      </c>
      <c r="D860" s="20" t="s">
        <v>34</v>
      </c>
      <c r="E860" s="20" t="s">
        <v>2829</v>
      </c>
      <c r="F860" s="20" t="s">
        <v>8</v>
      </c>
      <c r="G860" s="861">
        <v>57.995517379042603</v>
      </c>
      <c r="H860" s="861">
        <v>47.640329218445203</v>
      </c>
      <c r="I860" s="861">
        <v>30.0891593286632</v>
      </c>
      <c r="J860" s="861">
        <v>42.484155430578397</v>
      </c>
      <c r="K860" s="982">
        <v>0</v>
      </c>
      <c r="L860" s="735">
        <v>7216</v>
      </c>
      <c r="M860" s="735">
        <v>7937</v>
      </c>
      <c r="N860" s="845">
        <f t="shared" si="78"/>
        <v>9.9916851441241683E-2</v>
      </c>
      <c r="O860" s="735">
        <v>18.296120286050272</v>
      </c>
      <c r="P860" s="735">
        <f t="shared" si="79"/>
        <v>433.80781695294718</v>
      </c>
      <c r="Q860" s="849">
        <v>46.5</v>
      </c>
      <c r="R860" s="71">
        <v>118724</v>
      </c>
      <c r="S860" s="845">
        <v>1.8200202224469161E-2</v>
      </c>
      <c r="T860" s="845">
        <v>2.8999999999999998E-2</v>
      </c>
      <c r="U860" s="845">
        <v>0</v>
      </c>
      <c r="V860" s="845">
        <v>0</v>
      </c>
      <c r="W860" s="845">
        <v>8.6462606500473341E-2</v>
      </c>
      <c r="X860" s="845">
        <v>0.52189781021897808</v>
      </c>
      <c r="Y860" s="845">
        <v>0.90915963210280959</v>
      </c>
      <c r="Z860" s="845">
        <v>1.0205367267229431E-2</v>
      </c>
      <c r="AA860" s="845">
        <v>0</v>
      </c>
      <c r="AB860" s="845">
        <v>2.2930578304145143E-2</v>
      </c>
      <c r="AC860" s="845">
        <v>0</v>
      </c>
      <c r="AD860" s="845">
        <v>4.4097265969509887E-3</v>
      </c>
      <c r="AE860" s="845">
        <v>5.3294695728864812E-2</v>
      </c>
      <c r="AF860" s="845">
        <v>2.3938515812019657E-3</v>
      </c>
      <c r="AG860" s="845">
        <v>0.90915963210280959</v>
      </c>
      <c r="AH860" s="20" t="str">
        <f t="shared" si="80"/>
        <v>Yes</v>
      </c>
      <c r="AI860" s="25"/>
      <c r="AJ860" s="37">
        <v>45850</v>
      </c>
      <c r="AK860" s="37" t="s">
        <v>1915</v>
      </c>
      <c r="AL860" s="37">
        <v>39011</v>
      </c>
      <c r="AM860" s="37" t="s">
        <v>12</v>
      </c>
      <c r="AN860" s="37" t="str">
        <f t="shared" si="81"/>
        <v>N/A</v>
      </c>
      <c r="AO860" s="37" t="str">
        <f t="shared" si="82"/>
        <v>N/A</v>
      </c>
      <c r="AP860" s="20" t="s">
        <v>8</v>
      </c>
      <c r="AQ860" s="25"/>
      <c r="AR860" s="25"/>
      <c r="AS860" s="25"/>
      <c r="AT860" s="25"/>
      <c r="AU860" s="36"/>
      <c r="AV860" s="36"/>
      <c r="AW860" s="36"/>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39">
        <v>44822</v>
      </c>
      <c r="BV860" s="39" t="s">
        <v>1477</v>
      </c>
      <c r="BW860" s="39" t="s">
        <v>2923</v>
      </c>
      <c r="BX860" s="39" t="s">
        <v>274</v>
      </c>
      <c r="BY860" s="71">
        <v>780</v>
      </c>
      <c r="BZ860" s="71">
        <v>860</v>
      </c>
      <c r="CA860" s="71">
        <v>1080</v>
      </c>
      <c r="CB860" s="71">
        <v>1450</v>
      </c>
      <c r="CC860" s="71">
        <v>1610</v>
      </c>
      <c r="CD860" s="25"/>
      <c r="CE860" s="200"/>
      <c r="CF860" s="200"/>
      <c r="CG860" s="200"/>
      <c r="CH860" s="200"/>
      <c r="CI860" s="200"/>
      <c r="CJ860" s="200"/>
      <c r="CK860" s="200"/>
      <c r="CL860" s="200"/>
      <c r="CM860" s="200"/>
      <c r="CN860" s="200"/>
      <c r="CO860" s="200"/>
      <c r="CP860" s="200"/>
      <c r="CQ860" s="200"/>
      <c r="CR860" s="200"/>
      <c r="CS860" s="200"/>
      <c r="CT860" s="200"/>
      <c r="CU860" s="200"/>
    </row>
    <row r="861" spans="1:99" s="17" customFormat="1" x14ac:dyDescent="0.2">
      <c r="A861" s="25"/>
      <c r="B861" s="20">
        <v>39035197300</v>
      </c>
      <c r="C861" s="20">
        <v>1973</v>
      </c>
      <c r="D861" s="20" t="s">
        <v>24</v>
      </c>
      <c r="E861" s="20" t="s">
        <v>2829</v>
      </c>
      <c r="F861" s="20" t="s">
        <v>6</v>
      </c>
      <c r="G861" s="861">
        <v>57.992386989816701</v>
      </c>
      <c r="H861" s="861">
        <v>56.541909787331697</v>
      </c>
      <c r="I861" s="861">
        <v>50.658962219098399</v>
      </c>
      <c r="J861" s="861">
        <v>51.422294640087003</v>
      </c>
      <c r="K861" s="982">
        <v>0</v>
      </c>
      <c r="L861" s="735" t="s">
        <v>2466</v>
      </c>
      <c r="M861" s="735">
        <v>3360</v>
      </c>
      <c r="N861" s="845" t="str">
        <f t="shared" si="78"/>
        <v/>
      </c>
      <c r="O861" s="735">
        <v>0.35082863758783822</v>
      </c>
      <c r="P861" s="735">
        <f t="shared" si="79"/>
        <v>9577.3253378118116</v>
      </c>
      <c r="Q861" s="849">
        <v>30.9</v>
      </c>
      <c r="R861" s="71">
        <v>54526</v>
      </c>
      <c r="S861" s="845">
        <v>0.15208333333333332</v>
      </c>
      <c r="T861" s="845">
        <v>0.12</v>
      </c>
      <c r="U861" s="845">
        <v>0</v>
      </c>
      <c r="V861" s="845">
        <v>0.03</v>
      </c>
      <c r="W861" s="845">
        <v>0.78150798018712164</v>
      </c>
      <c r="X861" s="845">
        <v>0.3323943661971831</v>
      </c>
      <c r="Y861" s="845">
        <v>0.60892857142857137</v>
      </c>
      <c r="Z861" s="845">
        <v>0.22678571428571428</v>
      </c>
      <c r="AA861" s="845">
        <v>0</v>
      </c>
      <c r="AB861" s="845">
        <v>8.6309523809523808E-2</v>
      </c>
      <c r="AC861" s="845">
        <v>0</v>
      </c>
      <c r="AD861" s="845">
        <v>1.0416666666666666E-2</v>
      </c>
      <c r="AE861" s="845">
        <v>6.7559523809523805E-2</v>
      </c>
      <c r="AF861" s="845">
        <v>9.5535714285714279E-2</v>
      </c>
      <c r="AG861" s="845">
        <v>0.54107142857142854</v>
      </c>
      <c r="AH861" s="20" t="str">
        <f t="shared" si="80"/>
        <v>No</v>
      </c>
      <c r="AI861" s="25"/>
      <c r="AJ861" s="37">
        <v>45862</v>
      </c>
      <c r="AK861" s="37" t="s">
        <v>1925</v>
      </c>
      <c r="AL861" s="37">
        <v>39011</v>
      </c>
      <c r="AM861" s="37" t="s">
        <v>12</v>
      </c>
      <c r="AN861" s="37" t="str">
        <f t="shared" si="81"/>
        <v>N/A</v>
      </c>
      <c r="AO861" s="37" t="str">
        <f t="shared" si="82"/>
        <v>N/A</v>
      </c>
      <c r="AP861" s="20" t="s">
        <v>8</v>
      </c>
      <c r="AQ861" s="25"/>
      <c r="AR861" s="25"/>
      <c r="AS861" s="25"/>
      <c r="AT861" s="25"/>
      <c r="AU861" s="36"/>
      <c r="AV861" s="36"/>
      <c r="AW861" s="36"/>
      <c r="AX861" s="25"/>
      <c r="AY861" s="25"/>
      <c r="AZ861" s="25"/>
      <c r="BA861" s="25"/>
      <c r="BB861" s="25"/>
      <c r="BC861" s="25"/>
      <c r="BD861" s="25"/>
      <c r="BE861" s="25"/>
      <c r="BF861" s="25"/>
      <c r="BG861" s="25"/>
      <c r="BH861" s="25"/>
      <c r="BI861" s="25"/>
      <c r="BJ861" s="25"/>
      <c r="BK861" s="25"/>
      <c r="BL861" s="25"/>
      <c r="BM861" s="25"/>
      <c r="BN861" s="25"/>
      <c r="BO861" s="25"/>
      <c r="BP861" s="25"/>
      <c r="BQ861" s="25"/>
      <c r="BR861" s="25"/>
      <c r="BS861" s="25"/>
      <c r="BT861" s="25"/>
      <c r="BU861" s="39">
        <v>44827</v>
      </c>
      <c r="BV861" s="39" t="s">
        <v>1481</v>
      </c>
      <c r="BW861" s="39" t="s">
        <v>2923</v>
      </c>
      <c r="BX861" s="39" t="s">
        <v>274</v>
      </c>
      <c r="BY861" s="71">
        <v>780</v>
      </c>
      <c r="BZ861" s="71">
        <v>810</v>
      </c>
      <c r="CA861" s="71">
        <v>980</v>
      </c>
      <c r="CB861" s="71">
        <v>1300</v>
      </c>
      <c r="CC861" s="71">
        <v>1320</v>
      </c>
      <c r="CD861" s="25"/>
      <c r="CE861" s="200"/>
      <c r="CF861" s="200"/>
      <c r="CG861" s="200"/>
      <c r="CH861" s="200"/>
      <c r="CI861" s="200"/>
      <c r="CJ861" s="200"/>
      <c r="CK861" s="200"/>
      <c r="CL861" s="200"/>
      <c r="CM861" s="200"/>
      <c r="CN861" s="200"/>
      <c r="CO861" s="200"/>
      <c r="CP861" s="200"/>
      <c r="CQ861" s="200"/>
      <c r="CR861" s="200"/>
      <c r="CS861" s="200"/>
      <c r="CT861" s="200"/>
      <c r="CU861" s="200"/>
    </row>
    <row r="862" spans="1:99" s="17" customFormat="1" x14ac:dyDescent="0.2">
      <c r="A862" s="25"/>
      <c r="B862" s="20">
        <v>39153531502</v>
      </c>
      <c r="C862" s="20">
        <v>5315.02</v>
      </c>
      <c r="D862" s="20" t="s">
        <v>82</v>
      </c>
      <c r="E862" s="20" t="s">
        <v>2843</v>
      </c>
      <c r="F862" s="20" t="s">
        <v>8</v>
      </c>
      <c r="G862" s="861">
        <v>57.971905812959697</v>
      </c>
      <c r="H862" s="861">
        <v>60.664229151382102</v>
      </c>
      <c r="I862" s="861">
        <v>19.4604578524016</v>
      </c>
      <c r="J862" s="861">
        <v>52.065043268277499</v>
      </c>
      <c r="K862" s="982">
        <v>0</v>
      </c>
      <c r="L862" s="735" t="s">
        <v>2466</v>
      </c>
      <c r="M862" s="735">
        <v>4360</v>
      </c>
      <c r="N862" s="845" t="str">
        <f t="shared" si="78"/>
        <v/>
      </c>
      <c r="O862" s="735">
        <v>7.0882676754836531</v>
      </c>
      <c r="P862" s="735">
        <f t="shared" si="79"/>
        <v>615.10092445859902</v>
      </c>
      <c r="Q862" s="849">
        <v>42</v>
      </c>
      <c r="R862" s="71">
        <v>101198</v>
      </c>
      <c r="S862" s="845">
        <v>4.4738062123319426E-2</v>
      </c>
      <c r="T862" s="845">
        <v>1.3000000000000001E-2</v>
      </c>
      <c r="U862" s="845">
        <v>0</v>
      </c>
      <c r="V862" s="845">
        <v>0.13900000000000001</v>
      </c>
      <c r="W862" s="845">
        <v>0.20996441281138789</v>
      </c>
      <c r="X862" s="845">
        <v>0.17231638418079095</v>
      </c>
      <c r="Y862" s="845">
        <v>0.86972477064220188</v>
      </c>
      <c r="Z862" s="845">
        <v>4.3577981651376149E-3</v>
      </c>
      <c r="AA862" s="845">
        <v>0</v>
      </c>
      <c r="AB862" s="845">
        <v>4.7477064220183489E-2</v>
      </c>
      <c r="AC862" s="845">
        <v>0</v>
      </c>
      <c r="AD862" s="845">
        <v>1.0091743119266056E-2</v>
      </c>
      <c r="AE862" s="845">
        <v>6.8348623853211013E-2</v>
      </c>
      <c r="AF862" s="845">
        <v>1.6513761467889909E-2</v>
      </c>
      <c r="AG862" s="845">
        <v>0.86972477064220188</v>
      </c>
      <c r="AH862" s="20" t="str">
        <f t="shared" si="80"/>
        <v>No</v>
      </c>
      <c r="AI862" s="25"/>
      <c r="AJ862" s="20">
        <v>45865</v>
      </c>
      <c r="AK862" s="20" t="s">
        <v>1928</v>
      </c>
      <c r="AL862" s="20">
        <v>39011</v>
      </c>
      <c r="AM862" s="20" t="s">
        <v>12</v>
      </c>
      <c r="AN862" s="37" t="str">
        <f t="shared" si="81"/>
        <v>N/A</v>
      </c>
      <c r="AO862" s="37" t="str">
        <f t="shared" si="82"/>
        <v>N/A</v>
      </c>
      <c r="AP862" s="20" t="s">
        <v>8</v>
      </c>
      <c r="AQ862" s="25"/>
      <c r="AR862" s="25"/>
      <c r="AS862" s="25"/>
      <c r="AT862" s="25"/>
      <c r="AU862" s="36"/>
      <c r="AV862" s="36"/>
      <c r="AW862" s="36"/>
      <c r="AX862" s="25"/>
      <c r="AY862" s="25"/>
      <c r="AZ862" s="25"/>
      <c r="BA862" s="25"/>
      <c r="BB862" s="25"/>
      <c r="BC862" s="25"/>
      <c r="BD862" s="25"/>
      <c r="BE862" s="25"/>
      <c r="BF862" s="25"/>
      <c r="BG862" s="25"/>
      <c r="BH862" s="25"/>
      <c r="BI862" s="25"/>
      <c r="BJ862" s="25"/>
      <c r="BK862" s="25"/>
      <c r="BL862" s="25"/>
      <c r="BM862" s="25"/>
      <c r="BN862" s="25"/>
      <c r="BO862" s="25"/>
      <c r="BP862" s="25"/>
      <c r="BQ862" s="25"/>
      <c r="BR862" s="25"/>
      <c r="BS862" s="25"/>
      <c r="BT862" s="25"/>
      <c r="BU862" s="39">
        <v>44837</v>
      </c>
      <c r="BV862" s="39" t="s">
        <v>1486</v>
      </c>
      <c r="BW862" s="39" t="s">
        <v>2923</v>
      </c>
      <c r="BX862" s="39" t="s">
        <v>274</v>
      </c>
      <c r="BY862" s="71">
        <v>720</v>
      </c>
      <c r="BZ862" s="71">
        <v>750</v>
      </c>
      <c r="CA862" s="71">
        <v>970</v>
      </c>
      <c r="CB862" s="71">
        <v>1230</v>
      </c>
      <c r="CC862" s="71">
        <v>1520</v>
      </c>
      <c r="CD862" s="25"/>
      <c r="CE862" s="200"/>
      <c r="CF862" s="200"/>
      <c r="CG862" s="200"/>
      <c r="CH862" s="200"/>
      <c r="CI862" s="200"/>
      <c r="CJ862" s="200"/>
      <c r="CK862" s="200"/>
      <c r="CL862" s="200"/>
      <c r="CM862" s="200"/>
      <c r="CN862" s="200"/>
      <c r="CO862" s="200"/>
      <c r="CP862" s="200"/>
      <c r="CQ862" s="200"/>
      <c r="CR862" s="200"/>
      <c r="CS862" s="200"/>
      <c r="CT862" s="200"/>
      <c r="CU862" s="200"/>
    </row>
    <row r="863" spans="1:99" s="17" customFormat="1" x14ac:dyDescent="0.2">
      <c r="A863" s="25"/>
      <c r="B863" s="20">
        <v>39035174106</v>
      </c>
      <c r="C863" s="20">
        <v>1741.06</v>
      </c>
      <c r="D863" s="20" t="s">
        <v>24</v>
      </c>
      <c r="E863" s="20" t="s">
        <v>2829</v>
      </c>
      <c r="F863" s="20" t="s">
        <v>8</v>
      </c>
      <c r="G863" s="861">
        <v>57.961380071616396</v>
      </c>
      <c r="H863" s="861">
        <v>65.918258429559302</v>
      </c>
      <c r="I863" s="861">
        <v>29.860692095392299</v>
      </c>
      <c r="J863" s="861">
        <v>38.952780103081103</v>
      </c>
      <c r="K863" s="982">
        <v>0</v>
      </c>
      <c r="L863" s="735">
        <v>2915</v>
      </c>
      <c r="M863" s="735">
        <v>2942</v>
      </c>
      <c r="N863" s="845">
        <f t="shared" si="78"/>
        <v>9.2624356775300176E-3</v>
      </c>
      <c r="O863" s="735">
        <v>0.78133022780556316</v>
      </c>
      <c r="P863" s="735">
        <f t="shared" si="79"/>
        <v>3765.3733278218019</v>
      </c>
      <c r="Q863" s="849">
        <v>38.1</v>
      </c>
      <c r="R863" s="71">
        <v>70125</v>
      </c>
      <c r="S863" s="845">
        <v>0.14819850441876276</v>
      </c>
      <c r="T863" s="845">
        <v>2.3E-2</v>
      </c>
      <c r="U863" s="845">
        <v>2.8999999999999998E-2</v>
      </c>
      <c r="V863" s="845">
        <v>0</v>
      </c>
      <c r="W863" s="845">
        <v>0.36370656370656368</v>
      </c>
      <c r="X863" s="845">
        <v>0.25477707006369427</v>
      </c>
      <c r="Y863" s="845">
        <v>0.84160435078178109</v>
      </c>
      <c r="Z863" s="845">
        <v>1.2236573759347382E-2</v>
      </c>
      <c r="AA863" s="845">
        <v>0</v>
      </c>
      <c r="AB863" s="845">
        <v>2.4133242692046229E-2</v>
      </c>
      <c r="AC863" s="845">
        <v>0</v>
      </c>
      <c r="AD863" s="845">
        <v>1.2236573759347382E-2</v>
      </c>
      <c r="AE863" s="845">
        <v>0.10978925900747791</v>
      </c>
      <c r="AF863" s="845">
        <v>9.5853161114887828E-2</v>
      </c>
      <c r="AG863" s="845">
        <v>0.81917063222297759</v>
      </c>
      <c r="AH863" s="20" t="str">
        <f t="shared" si="80"/>
        <v>No</v>
      </c>
      <c r="AI863" s="25"/>
      <c r="AJ863" s="20">
        <v>45869</v>
      </c>
      <c r="AK863" s="20" t="s">
        <v>1932</v>
      </c>
      <c r="AL863" s="20">
        <v>39011</v>
      </c>
      <c r="AM863" s="20" t="s">
        <v>12</v>
      </c>
      <c r="AN863" s="37" t="str">
        <f t="shared" si="81"/>
        <v>N/A</v>
      </c>
      <c r="AO863" s="37" t="str">
        <f t="shared" si="82"/>
        <v>N/A</v>
      </c>
      <c r="AP863" s="20" t="s">
        <v>8</v>
      </c>
      <c r="AQ863" s="25"/>
      <c r="AR863" s="25"/>
      <c r="AS863" s="25"/>
      <c r="AT863" s="25"/>
      <c r="AU863" s="36"/>
      <c r="AV863" s="36"/>
      <c r="AW863" s="36"/>
      <c r="AX863" s="25"/>
      <c r="AY863" s="25"/>
      <c r="AZ863" s="25"/>
      <c r="BA863" s="25"/>
      <c r="BB863" s="25"/>
      <c r="BC863" s="25"/>
      <c r="BD863" s="25"/>
      <c r="BE863" s="25"/>
      <c r="BF863" s="25"/>
      <c r="BG863" s="25"/>
      <c r="BH863" s="25"/>
      <c r="BI863" s="25"/>
      <c r="BJ863" s="25"/>
      <c r="BK863" s="25"/>
      <c r="BL863" s="25"/>
      <c r="BM863" s="25"/>
      <c r="BN863" s="25"/>
      <c r="BO863" s="25"/>
      <c r="BP863" s="25"/>
      <c r="BQ863" s="25"/>
      <c r="BR863" s="25"/>
      <c r="BS863" s="25"/>
      <c r="BT863" s="25"/>
      <c r="BU863" s="39">
        <v>44843</v>
      </c>
      <c r="BV863" s="39" t="s">
        <v>1492</v>
      </c>
      <c r="BW863" s="39" t="s">
        <v>2923</v>
      </c>
      <c r="BX863" s="39" t="s">
        <v>274</v>
      </c>
      <c r="BY863" s="71">
        <v>670</v>
      </c>
      <c r="BZ863" s="71">
        <v>770</v>
      </c>
      <c r="CA863" s="71">
        <v>970</v>
      </c>
      <c r="CB863" s="71">
        <v>1310</v>
      </c>
      <c r="CC863" s="71">
        <v>1530</v>
      </c>
      <c r="CD863" s="25"/>
      <c r="CE863" s="200"/>
      <c r="CF863" s="200"/>
      <c r="CG863" s="200"/>
      <c r="CH863" s="200"/>
      <c r="CI863" s="200"/>
      <c r="CJ863" s="200"/>
      <c r="CK863" s="200"/>
      <c r="CL863" s="200"/>
      <c r="CM863" s="200"/>
      <c r="CN863" s="200"/>
      <c r="CO863" s="200"/>
      <c r="CP863" s="200"/>
      <c r="CQ863" s="200"/>
      <c r="CR863" s="200"/>
      <c r="CS863" s="200"/>
      <c r="CT863" s="200"/>
      <c r="CU863" s="200"/>
    </row>
    <row r="864" spans="1:99" s="17" customFormat="1" x14ac:dyDescent="0.2">
      <c r="A864" s="25"/>
      <c r="B864" s="20">
        <v>39035161300</v>
      </c>
      <c r="C864" s="20">
        <v>1613</v>
      </c>
      <c r="D864" s="20" t="s">
        <v>24</v>
      </c>
      <c r="E864" s="20" t="s">
        <v>2829</v>
      </c>
      <c r="F864" s="20" t="s">
        <v>8</v>
      </c>
      <c r="G864" s="861">
        <v>57.9110434957895</v>
      </c>
      <c r="H864" s="861">
        <v>52.318034938972197</v>
      </c>
      <c r="I864" s="861">
        <v>24.930508508957299</v>
      </c>
      <c r="J864" s="861">
        <v>34.176927137657202</v>
      </c>
      <c r="K864" s="982">
        <v>0</v>
      </c>
      <c r="L864" s="735">
        <v>2866</v>
      </c>
      <c r="M864" s="735">
        <v>2747</v>
      </c>
      <c r="N864" s="845">
        <f t="shared" si="78"/>
        <v>-4.1521284019539431E-2</v>
      </c>
      <c r="O864" s="735">
        <v>0.30970064955240278</v>
      </c>
      <c r="P864" s="735">
        <f t="shared" si="79"/>
        <v>8869.8554684018982</v>
      </c>
      <c r="Q864" s="849">
        <v>35.799999999999997</v>
      </c>
      <c r="R864" s="71">
        <v>70801</v>
      </c>
      <c r="S864" s="845">
        <v>0.134481495053133</v>
      </c>
      <c r="T864" s="845">
        <v>3.4000000000000002E-2</v>
      </c>
      <c r="U864" s="845">
        <v>0</v>
      </c>
      <c r="V864" s="845">
        <v>0.09</v>
      </c>
      <c r="W864" s="845">
        <v>0.45063469675599438</v>
      </c>
      <c r="X864" s="845">
        <v>0.19092331768388107</v>
      </c>
      <c r="Y864" s="845">
        <v>0.87331634510374956</v>
      </c>
      <c r="Z864" s="845">
        <v>2.2570076447033127E-2</v>
      </c>
      <c r="AA864" s="845">
        <v>0</v>
      </c>
      <c r="AB864" s="845">
        <v>3.1306880232981435E-2</v>
      </c>
      <c r="AC864" s="845">
        <v>0</v>
      </c>
      <c r="AD864" s="845">
        <v>2.8030578813250818E-2</v>
      </c>
      <c r="AE864" s="845">
        <v>4.4776119402985072E-2</v>
      </c>
      <c r="AF864" s="845">
        <v>4.768838733163451E-2</v>
      </c>
      <c r="AG864" s="845">
        <v>0.86057517291590824</v>
      </c>
      <c r="AH864" s="20" t="str">
        <f t="shared" si="80"/>
        <v>No</v>
      </c>
      <c r="AI864" s="25"/>
      <c r="AJ864" s="20">
        <v>45870</v>
      </c>
      <c r="AK864" s="20" t="s">
        <v>1933</v>
      </c>
      <c r="AL864" s="20">
        <v>39011</v>
      </c>
      <c r="AM864" s="20" t="s">
        <v>12</v>
      </c>
      <c r="AN864" s="37" t="str">
        <f t="shared" si="81"/>
        <v>N/A</v>
      </c>
      <c r="AO864" s="37" t="str">
        <f t="shared" si="82"/>
        <v>N/A</v>
      </c>
      <c r="AP864" s="20" t="s">
        <v>8</v>
      </c>
      <c r="AQ864" s="25"/>
      <c r="AR864" s="25"/>
      <c r="AS864" s="25"/>
      <c r="AT864" s="25"/>
      <c r="AU864" s="36"/>
      <c r="AV864" s="36"/>
      <c r="AW864" s="36"/>
      <c r="AX864" s="25"/>
      <c r="AY864" s="25"/>
      <c r="AZ864" s="25"/>
      <c r="BA864" s="25"/>
      <c r="BB864" s="25"/>
      <c r="BC864" s="25"/>
      <c r="BD864" s="25"/>
      <c r="BE864" s="25"/>
      <c r="BF864" s="25"/>
      <c r="BG864" s="25"/>
      <c r="BH864" s="25"/>
      <c r="BI864" s="25"/>
      <c r="BJ864" s="25"/>
      <c r="BK864" s="25"/>
      <c r="BL864" s="25"/>
      <c r="BM864" s="25"/>
      <c r="BN864" s="25"/>
      <c r="BO864" s="25"/>
      <c r="BP864" s="25"/>
      <c r="BQ864" s="25"/>
      <c r="BR864" s="25"/>
      <c r="BS864" s="25"/>
      <c r="BT864" s="25"/>
      <c r="BU864" s="39">
        <v>44864</v>
      </c>
      <c r="BV864" s="39" t="s">
        <v>1506</v>
      </c>
      <c r="BW864" s="39" t="s">
        <v>2923</v>
      </c>
      <c r="BX864" s="39" t="s">
        <v>274</v>
      </c>
      <c r="BY864" s="71">
        <v>710</v>
      </c>
      <c r="BZ864" s="71">
        <v>810</v>
      </c>
      <c r="CA864" s="71">
        <v>1020</v>
      </c>
      <c r="CB864" s="71">
        <v>1350</v>
      </c>
      <c r="CC864" s="71">
        <v>1550</v>
      </c>
      <c r="CD864" s="25"/>
      <c r="CE864" s="200"/>
      <c r="CF864" s="200"/>
      <c r="CG864" s="200"/>
      <c r="CH864" s="200"/>
      <c r="CI864" s="200"/>
      <c r="CJ864" s="200"/>
      <c r="CK864" s="200"/>
      <c r="CL864" s="200"/>
      <c r="CM864" s="200"/>
      <c r="CN864" s="200"/>
      <c r="CO864" s="200"/>
      <c r="CP864" s="200"/>
      <c r="CQ864" s="200"/>
      <c r="CR864" s="200"/>
      <c r="CS864" s="200"/>
      <c r="CT864" s="200"/>
      <c r="CU864" s="200"/>
    </row>
    <row r="865" spans="1:99" s="17" customFormat="1" x14ac:dyDescent="0.2">
      <c r="A865" s="25"/>
      <c r="B865" s="20">
        <v>39123050500</v>
      </c>
      <c r="C865" s="20">
        <v>505</v>
      </c>
      <c r="D865" s="20" t="s">
        <v>67</v>
      </c>
      <c r="E865" s="20" t="s">
        <v>2837</v>
      </c>
      <c r="F865" s="20" t="s">
        <v>8</v>
      </c>
      <c r="G865" s="861">
        <v>57.902377881528203</v>
      </c>
      <c r="H865" s="861">
        <v>53.588804350665498</v>
      </c>
      <c r="I865" s="861">
        <v>50.422064645440102</v>
      </c>
      <c r="J865" s="861">
        <v>45.526917285829299</v>
      </c>
      <c r="K865" s="982">
        <v>0</v>
      </c>
      <c r="L865" s="735">
        <v>3080</v>
      </c>
      <c r="M865" s="735">
        <v>3327</v>
      </c>
      <c r="N865" s="845">
        <f t="shared" si="78"/>
        <v>8.0194805194805194E-2</v>
      </c>
      <c r="O865" s="735">
        <v>1.6938938766016189</v>
      </c>
      <c r="P865" s="735">
        <f t="shared" si="79"/>
        <v>1964.1136000059262</v>
      </c>
      <c r="Q865" s="849">
        <v>50.9</v>
      </c>
      <c r="R865" s="71">
        <v>60887</v>
      </c>
      <c r="S865" s="845">
        <v>0.16083697688944409</v>
      </c>
      <c r="T865" s="845">
        <v>2.5000000000000001E-2</v>
      </c>
      <c r="U865" s="845">
        <v>6.9999999999999993E-3</v>
      </c>
      <c r="V865" s="845">
        <v>7.400000000000001E-2</v>
      </c>
      <c r="W865" s="845">
        <v>0.25461741424802109</v>
      </c>
      <c r="X865" s="845">
        <v>0.40673575129533679</v>
      </c>
      <c r="Y865" s="845">
        <v>0.89720468890892691</v>
      </c>
      <c r="Z865" s="845">
        <v>1.5329125338142471E-2</v>
      </c>
      <c r="AA865" s="845">
        <v>3.6068530207394047E-3</v>
      </c>
      <c r="AB865" s="845">
        <v>0</v>
      </c>
      <c r="AC865" s="845">
        <v>0</v>
      </c>
      <c r="AD865" s="845">
        <v>7.5142771265404272E-3</v>
      </c>
      <c r="AE865" s="845">
        <v>7.6345055605650733E-2</v>
      </c>
      <c r="AF865" s="845">
        <v>8.4159903817252774E-2</v>
      </c>
      <c r="AG865" s="845">
        <v>0.85632702134054706</v>
      </c>
      <c r="AH865" s="20" t="str">
        <f t="shared" si="80"/>
        <v>No</v>
      </c>
      <c r="AI865" s="25"/>
      <c r="AJ865" s="20">
        <v>45871</v>
      </c>
      <c r="AK865" s="20" t="s">
        <v>1934</v>
      </c>
      <c r="AL865" s="20">
        <v>39011</v>
      </c>
      <c r="AM865" s="20" t="s">
        <v>12</v>
      </c>
      <c r="AN865" s="37" t="str">
        <f t="shared" si="81"/>
        <v>N/A</v>
      </c>
      <c r="AO865" s="37" t="str">
        <f t="shared" si="82"/>
        <v>N/A</v>
      </c>
      <c r="AP865" s="20" t="s">
        <v>8</v>
      </c>
      <c r="AQ865" s="25"/>
      <c r="AR865" s="25"/>
      <c r="AS865" s="25"/>
      <c r="AT865" s="25"/>
      <c r="AU865" s="36"/>
      <c r="AV865" s="36"/>
      <c r="AW865" s="36"/>
      <c r="AX865" s="25"/>
      <c r="AY865" s="25"/>
      <c r="AZ865" s="25"/>
      <c r="BA865" s="25"/>
      <c r="BB865" s="25"/>
      <c r="BC865" s="25"/>
      <c r="BD865" s="25"/>
      <c r="BE865" s="25"/>
      <c r="BF865" s="25"/>
      <c r="BG865" s="25"/>
      <c r="BH865" s="25"/>
      <c r="BI865" s="25"/>
      <c r="BJ865" s="25"/>
      <c r="BK865" s="25"/>
      <c r="BL865" s="25"/>
      <c r="BM865" s="25"/>
      <c r="BN865" s="25"/>
      <c r="BO865" s="25"/>
      <c r="BP865" s="25"/>
      <c r="BQ865" s="25"/>
      <c r="BR865" s="25"/>
      <c r="BS865" s="25"/>
      <c r="BT865" s="25"/>
      <c r="BU865" s="39">
        <v>44865</v>
      </c>
      <c r="BV865" s="39" t="s">
        <v>1507</v>
      </c>
      <c r="BW865" s="39" t="s">
        <v>2923</v>
      </c>
      <c r="BX865" s="39" t="s">
        <v>274</v>
      </c>
      <c r="BY865" s="71">
        <v>750</v>
      </c>
      <c r="BZ865" s="71">
        <v>800</v>
      </c>
      <c r="CA865" s="71">
        <v>1030</v>
      </c>
      <c r="CB865" s="71">
        <v>1340</v>
      </c>
      <c r="CC865" s="71">
        <v>1620</v>
      </c>
      <c r="CD865" s="25"/>
      <c r="CE865" s="200"/>
      <c r="CF865" s="200"/>
      <c r="CG865" s="200"/>
      <c r="CH865" s="200"/>
      <c r="CI865" s="200"/>
      <c r="CJ865" s="200"/>
      <c r="CK865" s="200"/>
      <c r="CL865" s="200"/>
      <c r="CM865" s="200"/>
      <c r="CN865" s="200"/>
      <c r="CO865" s="200"/>
      <c r="CP865" s="200"/>
      <c r="CQ865" s="200"/>
      <c r="CR865" s="200"/>
      <c r="CS865" s="200"/>
      <c r="CT865" s="200"/>
      <c r="CU865" s="200"/>
    </row>
    <row r="866" spans="1:99" s="17" customFormat="1" x14ac:dyDescent="0.2">
      <c r="A866" s="25"/>
      <c r="B866" s="20">
        <v>39085200100</v>
      </c>
      <c r="C866" s="20">
        <v>2001</v>
      </c>
      <c r="D866" s="20" t="s">
        <v>48</v>
      </c>
      <c r="E866" s="20" t="s">
        <v>2829</v>
      </c>
      <c r="F866" s="20" t="s">
        <v>8</v>
      </c>
      <c r="G866" s="861">
        <v>57.889352243015402</v>
      </c>
      <c r="H866" s="861">
        <v>72.132211102063494</v>
      </c>
      <c r="I866" s="861">
        <v>40.091220945282799</v>
      </c>
      <c r="J866" s="861">
        <v>42.6551431245543</v>
      </c>
      <c r="K866" s="982">
        <v>0</v>
      </c>
      <c r="L866" s="735">
        <v>1794</v>
      </c>
      <c r="M866" s="735">
        <v>1982</v>
      </c>
      <c r="N866" s="845">
        <f t="shared" si="78"/>
        <v>0.10479375696767002</v>
      </c>
      <c r="O866" s="735">
        <v>0.35789507929439879</v>
      </c>
      <c r="P866" s="735">
        <f t="shared" si="79"/>
        <v>5537.9358774855864</v>
      </c>
      <c r="Q866" s="849">
        <v>51.1</v>
      </c>
      <c r="R866" s="71">
        <v>66575</v>
      </c>
      <c r="S866" s="845">
        <v>5.6231003039513679E-2</v>
      </c>
      <c r="T866" s="845">
        <v>9.9000000000000005E-2</v>
      </c>
      <c r="U866" s="845">
        <v>0</v>
      </c>
      <c r="V866" s="845">
        <v>0.17399999999999999</v>
      </c>
      <c r="W866" s="845">
        <v>0.42136498516320475</v>
      </c>
      <c r="X866" s="845">
        <v>0.44366197183098594</v>
      </c>
      <c r="Y866" s="845">
        <v>0.7083753784056509</v>
      </c>
      <c r="Z866" s="845">
        <v>0.28708375378405648</v>
      </c>
      <c r="AA866" s="845">
        <v>0</v>
      </c>
      <c r="AB866" s="845">
        <v>0</v>
      </c>
      <c r="AC866" s="845">
        <v>0</v>
      </c>
      <c r="AD866" s="845">
        <v>0</v>
      </c>
      <c r="AE866" s="845">
        <v>4.5408678102926339E-3</v>
      </c>
      <c r="AF866" s="845">
        <v>0</v>
      </c>
      <c r="AG866" s="845">
        <v>0.7083753784056509</v>
      </c>
      <c r="AH866" s="20" t="str">
        <f t="shared" si="80"/>
        <v>No</v>
      </c>
      <c r="AI866" s="25"/>
      <c r="AJ866" s="20">
        <v>45884</v>
      </c>
      <c r="AK866" s="20" t="s">
        <v>1946</v>
      </c>
      <c r="AL866" s="20">
        <v>39011</v>
      </c>
      <c r="AM866" s="20" t="s">
        <v>12</v>
      </c>
      <c r="AN866" s="37" t="str">
        <f t="shared" si="81"/>
        <v>N/A</v>
      </c>
      <c r="AO866" s="37" t="str">
        <f t="shared" si="82"/>
        <v>N/A</v>
      </c>
      <c r="AP866" s="20" t="s">
        <v>8</v>
      </c>
      <c r="AQ866" s="25"/>
      <c r="AR866" s="25"/>
      <c r="AS866" s="25"/>
      <c r="AT866" s="25"/>
      <c r="AU866" s="36"/>
      <c r="AV866" s="36"/>
      <c r="AW866" s="36"/>
      <c r="AX866" s="25"/>
      <c r="AY866" s="25"/>
      <c r="AZ866" s="25"/>
      <c r="BA866" s="25"/>
      <c r="BB866" s="25"/>
      <c r="BC866" s="25"/>
      <c r="BD866" s="25"/>
      <c r="BE866" s="25"/>
      <c r="BF866" s="25"/>
      <c r="BG866" s="25"/>
      <c r="BH866" s="25"/>
      <c r="BI866" s="25"/>
      <c r="BJ866" s="25"/>
      <c r="BK866" s="25"/>
      <c r="BL866" s="25"/>
      <c r="BM866" s="25"/>
      <c r="BN866" s="25"/>
      <c r="BO866" s="25"/>
      <c r="BP866" s="25"/>
      <c r="BQ866" s="25"/>
      <c r="BR866" s="25"/>
      <c r="BS866" s="25"/>
      <c r="BT866" s="25"/>
      <c r="BU866" s="39">
        <v>44875</v>
      </c>
      <c r="BV866" s="39" t="s">
        <v>1512</v>
      </c>
      <c r="BW866" s="39" t="s">
        <v>2923</v>
      </c>
      <c r="BX866" s="39" t="s">
        <v>274</v>
      </c>
      <c r="BY866" s="71">
        <v>670</v>
      </c>
      <c r="BZ866" s="71">
        <v>770</v>
      </c>
      <c r="CA866" s="71">
        <v>970</v>
      </c>
      <c r="CB866" s="71">
        <v>1310</v>
      </c>
      <c r="CC866" s="71">
        <v>1530</v>
      </c>
      <c r="CD866" s="25"/>
      <c r="CE866" s="200"/>
      <c r="CF866" s="200"/>
      <c r="CG866" s="200"/>
      <c r="CH866" s="200"/>
      <c r="CI866" s="200"/>
      <c r="CJ866" s="200"/>
      <c r="CK866" s="200"/>
      <c r="CL866" s="200"/>
      <c r="CM866" s="200"/>
      <c r="CN866" s="200"/>
      <c r="CO866" s="200"/>
      <c r="CP866" s="200"/>
      <c r="CQ866" s="200"/>
      <c r="CR866" s="200"/>
      <c r="CS866" s="200"/>
      <c r="CT866" s="200"/>
      <c r="CU866" s="200"/>
    </row>
    <row r="867" spans="1:99" s="17" customFormat="1" x14ac:dyDescent="0.2">
      <c r="A867" s="25"/>
      <c r="B867" s="20">
        <v>39133600706</v>
      </c>
      <c r="C867" s="20">
        <v>6007.06</v>
      </c>
      <c r="D867" s="20" t="s">
        <v>72</v>
      </c>
      <c r="E867" s="20" t="s">
        <v>2843</v>
      </c>
      <c r="F867" s="20" t="s">
        <v>8</v>
      </c>
      <c r="G867" s="861">
        <v>57.877950172216302</v>
      </c>
      <c r="H867" s="861">
        <v>64.312893732728298</v>
      </c>
      <c r="I867" s="861">
        <v>20.999598407185701</v>
      </c>
      <c r="J867" s="861">
        <v>51.067308192049403</v>
      </c>
      <c r="K867" s="982">
        <v>0</v>
      </c>
      <c r="L867" s="735">
        <v>2919</v>
      </c>
      <c r="M867" s="735">
        <v>2792</v>
      </c>
      <c r="N867" s="845">
        <f t="shared" si="78"/>
        <v>-4.3508050702295305E-2</v>
      </c>
      <c r="O867" s="735">
        <v>24.69822380767609</v>
      </c>
      <c r="P867" s="735">
        <f t="shared" si="79"/>
        <v>113.04456635186291</v>
      </c>
      <c r="Q867" s="849">
        <v>46</v>
      </c>
      <c r="R867" s="71">
        <v>94408</v>
      </c>
      <c r="S867" s="845">
        <v>6.2432334897149042E-2</v>
      </c>
      <c r="T867" s="845">
        <v>3.2000000000000001E-2</v>
      </c>
      <c r="U867" s="845">
        <v>2.6000000000000002E-2</v>
      </c>
      <c r="V867" s="845">
        <v>0</v>
      </c>
      <c r="W867" s="845">
        <v>0.10420475319926874</v>
      </c>
      <c r="X867" s="845">
        <v>0.72807017543859653</v>
      </c>
      <c r="Y867" s="845">
        <v>0.94949856733524352</v>
      </c>
      <c r="Z867" s="845">
        <v>3.5816618911174784E-4</v>
      </c>
      <c r="AA867" s="845">
        <v>0</v>
      </c>
      <c r="AB867" s="845">
        <v>6.4469914040114614E-3</v>
      </c>
      <c r="AC867" s="845">
        <v>0</v>
      </c>
      <c r="AD867" s="845">
        <v>9.6704871060171917E-3</v>
      </c>
      <c r="AE867" s="845">
        <v>3.4025787965616047E-2</v>
      </c>
      <c r="AF867" s="845">
        <v>2.3638968481375359E-2</v>
      </c>
      <c r="AG867" s="845">
        <v>0.94949856733524352</v>
      </c>
      <c r="AH867" s="20" t="str">
        <f t="shared" si="80"/>
        <v>Yes</v>
      </c>
      <c r="AI867" s="25"/>
      <c r="AJ867" s="20">
        <v>45885</v>
      </c>
      <c r="AK867" s="20" t="s">
        <v>1947</v>
      </c>
      <c r="AL867" s="20">
        <v>39011</v>
      </c>
      <c r="AM867" s="20" t="s">
        <v>12</v>
      </c>
      <c r="AN867" s="37" t="str">
        <f t="shared" si="81"/>
        <v>N/A</v>
      </c>
      <c r="AO867" s="37" t="str">
        <f t="shared" si="82"/>
        <v>N/A</v>
      </c>
      <c r="AP867" s="20" t="s">
        <v>8</v>
      </c>
      <c r="AQ867" s="25"/>
      <c r="AR867" s="25"/>
      <c r="AS867" s="25"/>
      <c r="AT867" s="25"/>
      <c r="AU867" s="36"/>
      <c r="AV867" s="36"/>
      <c r="AW867" s="36"/>
      <c r="AX867" s="25"/>
      <c r="AY867" s="25"/>
      <c r="AZ867" s="25"/>
      <c r="BA867" s="25"/>
      <c r="BB867" s="25"/>
      <c r="BC867" s="25"/>
      <c r="BD867" s="25"/>
      <c r="BE867" s="25"/>
      <c r="BF867" s="25"/>
      <c r="BG867" s="25"/>
      <c r="BH867" s="25"/>
      <c r="BI867" s="25"/>
      <c r="BJ867" s="25"/>
      <c r="BK867" s="25"/>
      <c r="BL867" s="25"/>
      <c r="BM867" s="25"/>
      <c r="BN867" s="25"/>
      <c r="BO867" s="25"/>
      <c r="BP867" s="25"/>
      <c r="BQ867" s="25"/>
      <c r="BR867" s="25"/>
      <c r="BS867" s="25"/>
      <c r="BT867" s="25"/>
      <c r="BU867" s="39">
        <v>44878</v>
      </c>
      <c r="BV867" s="39" t="s">
        <v>1513</v>
      </c>
      <c r="BW867" s="39" t="s">
        <v>2923</v>
      </c>
      <c r="BX867" s="39" t="s">
        <v>274</v>
      </c>
      <c r="BY867" s="71">
        <v>780</v>
      </c>
      <c r="BZ867" s="71">
        <v>890</v>
      </c>
      <c r="CA867" s="71">
        <v>1130</v>
      </c>
      <c r="CB867" s="71">
        <v>1520</v>
      </c>
      <c r="CC867" s="71">
        <v>1770</v>
      </c>
      <c r="CD867" s="25"/>
      <c r="CE867" s="200"/>
      <c r="CF867" s="200"/>
      <c r="CG867" s="200"/>
      <c r="CH867" s="200"/>
      <c r="CI867" s="200"/>
      <c r="CJ867" s="200"/>
      <c r="CK867" s="200"/>
      <c r="CL867" s="200"/>
      <c r="CM867" s="200"/>
      <c r="CN867" s="200"/>
      <c r="CO867" s="200"/>
      <c r="CP867" s="200"/>
      <c r="CQ867" s="200"/>
      <c r="CR867" s="200"/>
      <c r="CS867" s="200"/>
      <c r="CT867" s="200"/>
      <c r="CU867" s="200"/>
    </row>
    <row r="868" spans="1:99" s="17" customFormat="1" x14ac:dyDescent="0.2">
      <c r="A868" s="25"/>
      <c r="B868" s="20">
        <v>39049009392</v>
      </c>
      <c r="C868" s="20">
        <v>93.92</v>
      </c>
      <c r="D868" s="20" t="s">
        <v>31</v>
      </c>
      <c r="E868" s="20" t="s">
        <v>2830</v>
      </c>
      <c r="F868" s="20" t="s">
        <v>8</v>
      </c>
      <c r="G868" s="861">
        <v>57.876092820895998</v>
      </c>
      <c r="H868" s="861">
        <v>56.172972064651297</v>
      </c>
      <c r="I868" s="861">
        <v>47.986224028858103</v>
      </c>
      <c r="J868" s="861">
        <v>46.716338719781596</v>
      </c>
      <c r="K868" s="982">
        <v>0</v>
      </c>
      <c r="L868" s="735" t="s">
        <v>2466</v>
      </c>
      <c r="M868" s="735">
        <v>3468</v>
      </c>
      <c r="N868" s="845" t="str">
        <f t="shared" si="78"/>
        <v/>
      </c>
      <c r="O868" s="735">
        <v>1.4918049179770174</v>
      </c>
      <c r="P868" s="735">
        <f t="shared" si="79"/>
        <v>2324.7007421740032</v>
      </c>
      <c r="Q868" s="849">
        <v>36.5</v>
      </c>
      <c r="R868" s="71">
        <v>57319</v>
      </c>
      <c r="S868" s="845">
        <v>9.7750865051903113E-2</v>
      </c>
      <c r="T868" s="845">
        <v>4.4000000000000004E-2</v>
      </c>
      <c r="U868" s="845">
        <v>0</v>
      </c>
      <c r="V868" s="845">
        <v>0</v>
      </c>
      <c r="W868" s="845">
        <v>0.72439353099730464</v>
      </c>
      <c r="X868" s="845">
        <v>0.33302325581395348</v>
      </c>
      <c r="Y868" s="845">
        <v>0.23414071510957324</v>
      </c>
      <c r="Z868" s="845">
        <v>0.61043829296424457</v>
      </c>
      <c r="AA868" s="845">
        <v>0</v>
      </c>
      <c r="AB868" s="845">
        <v>0</v>
      </c>
      <c r="AC868" s="845">
        <v>0</v>
      </c>
      <c r="AD868" s="845">
        <v>6.7474048442906581E-2</v>
      </c>
      <c r="AE868" s="845">
        <v>8.7946943483275669E-2</v>
      </c>
      <c r="AF868" s="845">
        <v>8.3621683967704724E-2</v>
      </c>
      <c r="AG868" s="845">
        <v>0.23241061130334487</v>
      </c>
      <c r="AH868" s="20" t="str">
        <f t="shared" si="80"/>
        <v>No</v>
      </c>
      <c r="AI868" s="25"/>
      <c r="AJ868" s="20">
        <v>45887</v>
      </c>
      <c r="AK868" s="20" t="s">
        <v>1949</v>
      </c>
      <c r="AL868" s="20">
        <v>39011</v>
      </c>
      <c r="AM868" s="20" t="s">
        <v>12</v>
      </c>
      <c r="AN868" s="37" t="str">
        <f t="shared" si="81"/>
        <v>N/A</v>
      </c>
      <c r="AO868" s="37" t="str">
        <f t="shared" si="82"/>
        <v>N/A</v>
      </c>
      <c r="AP868" s="20" t="s">
        <v>8</v>
      </c>
      <c r="AQ868" s="25"/>
      <c r="AR868" s="25"/>
      <c r="AS868" s="25"/>
      <c r="AT868" s="25"/>
      <c r="AU868" s="36"/>
      <c r="AV868" s="36"/>
      <c r="AW868" s="36"/>
      <c r="AX868" s="25"/>
      <c r="AY868" s="25"/>
      <c r="AZ868" s="25"/>
      <c r="BA868" s="25"/>
      <c r="BB868" s="25"/>
      <c r="BC868" s="25"/>
      <c r="BD868" s="25"/>
      <c r="BE868" s="25"/>
      <c r="BF868" s="25"/>
      <c r="BG868" s="25"/>
      <c r="BH868" s="25"/>
      <c r="BI868" s="25"/>
      <c r="BJ868" s="25"/>
      <c r="BK868" s="25"/>
      <c r="BL868" s="25"/>
      <c r="BM868" s="25"/>
      <c r="BN868" s="25"/>
      <c r="BO868" s="25"/>
      <c r="BP868" s="25"/>
      <c r="BQ868" s="25"/>
      <c r="BR868" s="25"/>
      <c r="BS868" s="25"/>
      <c r="BT868" s="25"/>
      <c r="BU868" s="39">
        <v>44901</v>
      </c>
      <c r="BV868" s="39" t="s">
        <v>1521</v>
      </c>
      <c r="BW868" s="39" t="s">
        <v>2923</v>
      </c>
      <c r="BX868" s="39" t="s">
        <v>274</v>
      </c>
      <c r="BY868" s="71">
        <v>670</v>
      </c>
      <c r="BZ868" s="71">
        <v>770</v>
      </c>
      <c r="CA868" s="71">
        <v>970</v>
      </c>
      <c r="CB868" s="71">
        <v>1310</v>
      </c>
      <c r="CC868" s="71">
        <v>1530</v>
      </c>
      <c r="CD868" s="25"/>
      <c r="CE868" s="200"/>
      <c r="CF868" s="200"/>
      <c r="CG868" s="200"/>
      <c r="CH868" s="200"/>
      <c r="CI868" s="200"/>
      <c r="CJ868" s="200"/>
      <c r="CK868" s="200"/>
      <c r="CL868" s="200"/>
      <c r="CM868" s="200"/>
      <c r="CN868" s="200"/>
      <c r="CO868" s="200"/>
      <c r="CP868" s="200"/>
      <c r="CQ868" s="200"/>
      <c r="CR868" s="200"/>
      <c r="CS868" s="200"/>
      <c r="CT868" s="200"/>
      <c r="CU868" s="200"/>
    </row>
    <row r="869" spans="1:99" s="17" customFormat="1" x14ac:dyDescent="0.2">
      <c r="A869" s="25"/>
      <c r="B869" s="20">
        <v>39035160200</v>
      </c>
      <c r="C869" s="20">
        <v>1602</v>
      </c>
      <c r="D869" s="20" t="s">
        <v>24</v>
      </c>
      <c r="E869" s="20" t="s">
        <v>2829</v>
      </c>
      <c r="F869" s="20" t="s">
        <v>8</v>
      </c>
      <c r="G869" s="861">
        <v>57.869740618987997</v>
      </c>
      <c r="H869" s="861">
        <v>80.966890572869801</v>
      </c>
      <c r="I869" s="861">
        <v>32.4569636202922</v>
      </c>
      <c r="J869" s="861">
        <v>38.785342298396998</v>
      </c>
      <c r="K869" s="982">
        <v>0</v>
      </c>
      <c r="L869" s="735">
        <v>2149</v>
      </c>
      <c r="M869" s="735">
        <v>2324</v>
      </c>
      <c r="N869" s="845">
        <f t="shared" si="78"/>
        <v>8.143322475570032E-2</v>
      </c>
      <c r="O869" s="735">
        <v>0.18985994495550021</v>
      </c>
      <c r="P869" s="735">
        <f t="shared" si="79"/>
        <v>12240.601884429621</v>
      </c>
      <c r="Q869" s="849">
        <v>32</v>
      </c>
      <c r="R869" s="71">
        <v>73029</v>
      </c>
      <c r="S869" s="845">
        <v>0.11015490533562823</v>
      </c>
      <c r="T869" s="845">
        <v>3.1E-2</v>
      </c>
      <c r="U869" s="845">
        <v>0</v>
      </c>
      <c r="V869" s="845">
        <v>3.4000000000000002E-2</v>
      </c>
      <c r="W869" s="845">
        <v>0.62261014131338321</v>
      </c>
      <c r="X869" s="845">
        <v>0.23097463284379172</v>
      </c>
      <c r="Y869" s="845">
        <v>0.86144578313253017</v>
      </c>
      <c r="Z869" s="845">
        <v>4.9913941480206538E-2</v>
      </c>
      <c r="AA869" s="845">
        <v>0</v>
      </c>
      <c r="AB869" s="845">
        <v>9.0361445783132526E-3</v>
      </c>
      <c r="AC869" s="845">
        <v>0</v>
      </c>
      <c r="AD869" s="845">
        <v>6.4543889845094663E-3</v>
      </c>
      <c r="AE869" s="845">
        <v>7.3149741824440617E-2</v>
      </c>
      <c r="AF869" s="845">
        <v>2.1944922547332185E-2</v>
      </c>
      <c r="AG869" s="845">
        <v>0.84595524956970736</v>
      </c>
      <c r="AH869" s="20" t="str">
        <f t="shared" si="80"/>
        <v>No</v>
      </c>
      <c r="AI869" s="25"/>
      <c r="AJ869" s="37">
        <v>45888</v>
      </c>
      <c r="AK869" s="37" t="s">
        <v>1950</v>
      </c>
      <c r="AL869" s="37">
        <v>39011</v>
      </c>
      <c r="AM869" s="37" t="s">
        <v>12</v>
      </c>
      <c r="AN869" s="37" t="str">
        <f t="shared" si="81"/>
        <v>N/A</v>
      </c>
      <c r="AO869" s="37" t="str">
        <f t="shared" si="82"/>
        <v>N/A</v>
      </c>
      <c r="AP869" s="20" t="s">
        <v>8</v>
      </c>
      <c r="AQ869" s="25"/>
      <c r="AR869" s="25"/>
      <c r="AS869" s="25"/>
      <c r="AT869" s="25"/>
      <c r="AU869" s="36"/>
      <c r="AV869" s="36"/>
      <c r="AW869" s="36"/>
      <c r="AX869" s="25"/>
      <c r="AY869" s="25"/>
      <c r="AZ869" s="25"/>
      <c r="BA869" s="25"/>
      <c r="BB869" s="25"/>
      <c r="BC869" s="25"/>
      <c r="BD869" s="25"/>
      <c r="BE869" s="25"/>
      <c r="BF869" s="25"/>
      <c r="BG869" s="25"/>
      <c r="BH869" s="25"/>
      <c r="BI869" s="25"/>
      <c r="BJ869" s="25"/>
      <c r="BK869" s="25"/>
      <c r="BL869" s="25"/>
      <c r="BM869" s="25"/>
      <c r="BN869" s="25"/>
      <c r="BO869" s="25"/>
      <c r="BP869" s="25"/>
      <c r="BQ869" s="25"/>
      <c r="BR869" s="25"/>
      <c r="BS869" s="25"/>
      <c r="BT869" s="25"/>
      <c r="BU869" s="39">
        <v>44902</v>
      </c>
      <c r="BV869" s="39" t="s">
        <v>1522</v>
      </c>
      <c r="BW869" s="39" t="s">
        <v>2923</v>
      </c>
      <c r="BX869" s="39" t="s">
        <v>274</v>
      </c>
      <c r="BY869" s="71">
        <v>690</v>
      </c>
      <c r="BZ869" s="71">
        <v>790</v>
      </c>
      <c r="CA869" s="71">
        <v>1000</v>
      </c>
      <c r="CB869" s="71">
        <v>1350</v>
      </c>
      <c r="CC869" s="71">
        <v>1570</v>
      </c>
      <c r="CD869" s="25"/>
      <c r="CE869" s="200"/>
      <c r="CF869" s="200"/>
      <c r="CG869" s="200"/>
      <c r="CH869" s="200"/>
      <c r="CI869" s="200"/>
      <c r="CJ869" s="200"/>
      <c r="CK869" s="200"/>
      <c r="CL869" s="200"/>
      <c r="CM869" s="200"/>
      <c r="CN869" s="200"/>
      <c r="CO869" s="200"/>
      <c r="CP869" s="200"/>
      <c r="CQ869" s="200"/>
      <c r="CR869" s="200"/>
      <c r="CS869" s="200"/>
      <c r="CT869" s="200"/>
      <c r="CU869" s="200"/>
    </row>
    <row r="870" spans="1:99" s="17" customFormat="1" x14ac:dyDescent="0.2">
      <c r="A870" s="25"/>
      <c r="B870" s="20">
        <v>39133601300</v>
      </c>
      <c r="C870" s="20">
        <v>6013</v>
      </c>
      <c r="D870" s="20" t="s">
        <v>72</v>
      </c>
      <c r="E870" s="20" t="s">
        <v>2843</v>
      </c>
      <c r="F870" s="20" t="s">
        <v>8</v>
      </c>
      <c r="G870" s="861">
        <v>57.838040777332601</v>
      </c>
      <c r="H870" s="861">
        <v>68.382572059640694</v>
      </c>
      <c r="I870" s="861">
        <v>35.463683871041603</v>
      </c>
      <c r="J870" s="861">
        <v>51.880313592832898</v>
      </c>
      <c r="K870" s="982">
        <v>0</v>
      </c>
      <c r="L870" s="735">
        <v>7831</v>
      </c>
      <c r="M870" s="735">
        <v>7182</v>
      </c>
      <c r="N870" s="845">
        <f t="shared" si="78"/>
        <v>-8.2875750223470823E-2</v>
      </c>
      <c r="O870" s="735">
        <v>3.8889881235786832</v>
      </c>
      <c r="P870" s="735">
        <f t="shared" si="79"/>
        <v>1846.7528754988989</v>
      </c>
      <c r="Q870" s="849">
        <v>38.4</v>
      </c>
      <c r="R870" s="71">
        <v>90560</v>
      </c>
      <c r="S870" s="845">
        <v>0.14317893847669999</v>
      </c>
      <c r="T870" s="845">
        <v>0.126</v>
      </c>
      <c r="U870" s="845">
        <v>0</v>
      </c>
      <c r="V870" s="845">
        <v>7.8E-2</v>
      </c>
      <c r="W870" s="845">
        <v>0.36599326599326598</v>
      </c>
      <c r="X870" s="845">
        <v>0.55841766329346831</v>
      </c>
      <c r="Y870" s="845">
        <v>0.78557504873294348</v>
      </c>
      <c r="Z870" s="845">
        <v>0.11459203564466722</v>
      </c>
      <c r="AA870" s="845">
        <v>0</v>
      </c>
      <c r="AB870" s="845">
        <v>9.050403787245892E-3</v>
      </c>
      <c r="AC870" s="845">
        <v>0</v>
      </c>
      <c r="AD870" s="845">
        <v>0</v>
      </c>
      <c r="AE870" s="845">
        <v>9.0782511835143409E-2</v>
      </c>
      <c r="AF870" s="845">
        <v>2.7011974380395432E-2</v>
      </c>
      <c r="AG870" s="845">
        <v>0.77192982456140347</v>
      </c>
      <c r="AH870" s="20" t="str">
        <f t="shared" si="80"/>
        <v>No</v>
      </c>
      <c r="AI870" s="25"/>
      <c r="AJ870" s="37">
        <v>45895</v>
      </c>
      <c r="AK870" s="37" t="s">
        <v>1956</v>
      </c>
      <c r="AL870" s="37">
        <v>39011</v>
      </c>
      <c r="AM870" s="37" t="s">
        <v>12</v>
      </c>
      <c r="AN870" s="37" t="str">
        <f t="shared" si="81"/>
        <v>N/A</v>
      </c>
      <c r="AO870" s="37" t="str">
        <f t="shared" si="82"/>
        <v>N/A</v>
      </c>
      <c r="AP870" s="20" t="s">
        <v>8</v>
      </c>
      <c r="AQ870" s="25"/>
      <c r="AR870" s="25"/>
      <c r="AS870" s="25"/>
      <c r="AT870" s="25"/>
      <c r="AU870" s="36"/>
      <c r="AV870" s="36"/>
      <c r="AW870" s="36"/>
      <c r="AX870" s="25"/>
      <c r="AY870" s="25"/>
      <c r="AZ870" s="25"/>
      <c r="BA870" s="25"/>
      <c r="BB870" s="25"/>
      <c r="BC870" s="25"/>
      <c r="BD870" s="25"/>
      <c r="BE870" s="25"/>
      <c r="BF870" s="25"/>
      <c r="BG870" s="25"/>
      <c r="BH870" s="25"/>
      <c r="BI870" s="25"/>
      <c r="BJ870" s="25"/>
      <c r="BK870" s="25"/>
      <c r="BL870" s="25"/>
      <c r="BM870" s="25"/>
      <c r="BN870" s="25"/>
      <c r="BO870" s="25"/>
      <c r="BP870" s="25"/>
      <c r="BQ870" s="25"/>
      <c r="BR870" s="25"/>
      <c r="BS870" s="25"/>
      <c r="BT870" s="25"/>
      <c r="BU870" s="39">
        <v>44905</v>
      </c>
      <c r="BV870" s="39" t="s">
        <v>1525</v>
      </c>
      <c r="BW870" s="39" t="s">
        <v>2923</v>
      </c>
      <c r="BX870" s="39" t="s">
        <v>274</v>
      </c>
      <c r="BY870" s="71">
        <v>720</v>
      </c>
      <c r="BZ870" s="71">
        <v>830</v>
      </c>
      <c r="CA870" s="71">
        <v>1050</v>
      </c>
      <c r="CB870" s="71">
        <v>1420</v>
      </c>
      <c r="CC870" s="71">
        <v>1650</v>
      </c>
      <c r="CD870" s="25"/>
      <c r="CE870" s="200"/>
      <c r="CF870" s="200"/>
      <c r="CG870" s="200"/>
      <c r="CH870" s="200"/>
      <c r="CI870" s="200"/>
      <c r="CJ870" s="200"/>
      <c r="CK870" s="200"/>
      <c r="CL870" s="200"/>
      <c r="CM870" s="200"/>
      <c r="CN870" s="200"/>
      <c r="CO870" s="200"/>
      <c r="CP870" s="200"/>
      <c r="CQ870" s="200"/>
      <c r="CR870" s="200"/>
      <c r="CS870" s="200"/>
      <c r="CT870" s="200"/>
      <c r="CU870" s="200"/>
    </row>
    <row r="871" spans="1:99" s="17" customFormat="1" x14ac:dyDescent="0.2">
      <c r="A871" s="25"/>
      <c r="B871" s="20">
        <v>39049007424</v>
      </c>
      <c r="C871" s="20">
        <v>74.239999999999995</v>
      </c>
      <c r="D871" s="20" t="s">
        <v>31</v>
      </c>
      <c r="E871" s="20" t="s">
        <v>2830</v>
      </c>
      <c r="F871" s="20" t="s">
        <v>8</v>
      </c>
      <c r="G871" s="861">
        <v>57.832082422210199</v>
      </c>
      <c r="H871" s="861">
        <v>64.345177055860404</v>
      </c>
      <c r="I871" s="861">
        <v>53.844197849510302</v>
      </c>
      <c r="J871" s="861">
        <v>57.6919357492839</v>
      </c>
      <c r="K871" s="982">
        <v>0</v>
      </c>
      <c r="L871" s="735">
        <v>5621</v>
      </c>
      <c r="M871" s="735">
        <v>6516</v>
      </c>
      <c r="N871" s="845">
        <f t="shared" si="78"/>
        <v>0.1592243373065291</v>
      </c>
      <c r="O871" s="735">
        <v>1.687662573864094</v>
      </c>
      <c r="P871" s="735">
        <f t="shared" si="79"/>
        <v>3860.9613680540906</v>
      </c>
      <c r="Q871" s="849">
        <v>35.200000000000003</v>
      </c>
      <c r="R871" s="71">
        <v>98365</v>
      </c>
      <c r="S871" s="845">
        <v>5.8988326848249027E-2</v>
      </c>
      <c r="T871" s="845">
        <v>2.5000000000000001E-2</v>
      </c>
      <c r="U871" s="845">
        <v>1.2E-2</v>
      </c>
      <c r="V871" s="845">
        <v>0</v>
      </c>
      <c r="W871" s="845">
        <v>0.25793473401877515</v>
      </c>
      <c r="X871" s="845">
        <v>0.37781629116117849</v>
      </c>
      <c r="Y871" s="845">
        <v>0.52010435850214853</v>
      </c>
      <c r="Z871" s="845">
        <v>0.21439533456108043</v>
      </c>
      <c r="AA871" s="845">
        <v>0</v>
      </c>
      <c r="AB871" s="845">
        <v>6.7219152854511965E-2</v>
      </c>
      <c r="AC871" s="845">
        <v>0</v>
      </c>
      <c r="AD871" s="845">
        <v>9.7759361571516268E-2</v>
      </c>
      <c r="AE871" s="845">
        <v>0.10052179251074278</v>
      </c>
      <c r="AF871" s="845">
        <v>5.0184162062615098E-2</v>
      </c>
      <c r="AG871" s="845">
        <v>0.51396562308164517</v>
      </c>
      <c r="AH871" s="20" t="str">
        <f t="shared" si="80"/>
        <v>No</v>
      </c>
      <c r="AI871" s="25"/>
      <c r="AJ871" s="37">
        <v>45896</v>
      </c>
      <c r="AK871" s="37" t="s">
        <v>1957</v>
      </c>
      <c r="AL871" s="37">
        <v>39011</v>
      </c>
      <c r="AM871" s="37" t="s">
        <v>12</v>
      </c>
      <c r="AN871" s="37" t="str">
        <f t="shared" si="81"/>
        <v>N/A</v>
      </c>
      <c r="AO871" s="37" t="str">
        <f t="shared" si="82"/>
        <v>N/A</v>
      </c>
      <c r="AP871" s="20" t="s">
        <v>8</v>
      </c>
      <c r="AQ871" s="25"/>
      <c r="AR871" s="25"/>
      <c r="AS871" s="25"/>
      <c r="AT871" s="25"/>
      <c r="AU871" s="36"/>
      <c r="AV871" s="36"/>
      <c r="AW871" s="36"/>
      <c r="AX871" s="25"/>
      <c r="AY871" s="25"/>
      <c r="AZ871" s="25"/>
      <c r="BA871" s="25"/>
      <c r="BB871" s="25"/>
      <c r="BC871" s="25"/>
      <c r="BD871" s="25"/>
      <c r="BE871" s="25"/>
      <c r="BF871" s="25"/>
      <c r="BG871" s="25"/>
      <c r="BH871" s="25"/>
      <c r="BI871" s="25"/>
      <c r="BJ871" s="25"/>
      <c r="BK871" s="25"/>
      <c r="BL871" s="25"/>
      <c r="BM871" s="25"/>
      <c r="BN871" s="25"/>
      <c r="BO871" s="25"/>
      <c r="BP871" s="25"/>
      <c r="BQ871" s="25"/>
      <c r="BR871" s="25"/>
      <c r="BS871" s="25"/>
      <c r="BT871" s="25"/>
      <c r="BU871" s="39">
        <v>44906</v>
      </c>
      <c r="BV871" s="39" t="s">
        <v>1526</v>
      </c>
      <c r="BW871" s="39" t="s">
        <v>2923</v>
      </c>
      <c r="BX871" s="39" t="s">
        <v>274</v>
      </c>
      <c r="BY871" s="71">
        <v>670</v>
      </c>
      <c r="BZ871" s="71">
        <v>770</v>
      </c>
      <c r="CA871" s="71">
        <v>970</v>
      </c>
      <c r="CB871" s="71">
        <v>1310</v>
      </c>
      <c r="CC871" s="71">
        <v>1530</v>
      </c>
      <c r="CD871" s="25"/>
      <c r="CE871" s="200"/>
      <c r="CF871" s="200"/>
      <c r="CG871" s="200"/>
      <c r="CH871" s="200"/>
      <c r="CI871" s="200"/>
      <c r="CJ871" s="200"/>
      <c r="CK871" s="200"/>
      <c r="CL871" s="200"/>
      <c r="CM871" s="200"/>
      <c r="CN871" s="200"/>
      <c r="CO871" s="200"/>
      <c r="CP871" s="200"/>
      <c r="CQ871" s="200"/>
      <c r="CR871" s="200"/>
      <c r="CS871" s="200"/>
      <c r="CT871" s="200"/>
      <c r="CU871" s="200"/>
    </row>
    <row r="872" spans="1:99" s="17" customFormat="1" x14ac:dyDescent="0.2">
      <c r="A872" s="25"/>
      <c r="B872" s="20">
        <v>39061010202</v>
      </c>
      <c r="C872" s="20">
        <v>102.02</v>
      </c>
      <c r="D872" s="20" t="s">
        <v>37</v>
      </c>
      <c r="E872" s="20" t="s">
        <v>2828</v>
      </c>
      <c r="F872" s="20" t="s">
        <v>8</v>
      </c>
      <c r="G872" s="861">
        <v>57.824222287711301</v>
      </c>
      <c r="H872" s="861">
        <v>66.147846617499297</v>
      </c>
      <c r="I872" s="861">
        <v>33.937096297275403</v>
      </c>
      <c r="J872" s="861">
        <v>53.637193963843004</v>
      </c>
      <c r="K872" s="982">
        <v>0</v>
      </c>
      <c r="L872" s="735">
        <v>2496</v>
      </c>
      <c r="M872" s="735">
        <v>2534</v>
      </c>
      <c r="N872" s="845">
        <f t="shared" si="78"/>
        <v>1.5224358974358974E-2</v>
      </c>
      <c r="O872" s="735">
        <v>0.47789910510438599</v>
      </c>
      <c r="P872" s="735">
        <f t="shared" si="79"/>
        <v>5302.374440409355</v>
      </c>
      <c r="Q872" s="849">
        <v>36.1</v>
      </c>
      <c r="R872" s="71">
        <v>65740</v>
      </c>
      <c r="S872" s="845">
        <v>8.2486793986184484E-2</v>
      </c>
      <c r="T872" s="845">
        <v>2.1000000000000001E-2</v>
      </c>
      <c r="U872" s="845">
        <v>0</v>
      </c>
      <c r="V872" s="845">
        <v>0</v>
      </c>
      <c r="W872" s="845">
        <v>0.40482342807924204</v>
      </c>
      <c r="X872" s="845">
        <v>0.40212765957446811</v>
      </c>
      <c r="Y872" s="845">
        <v>0.77269139700078926</v>
      </c>
      <c r="Z872" s="845">
        <v>0.16574585635359115</v>
      </c>
      <c r="AA872" s="845">
        <v>0</v>
      </c>
      <c r="AB872" s="845">
        <v>0</v>
      </c>
      <c r="AC872" s="845">
        <v>0</v>
      </c>
      <c r="AD872" s="845">
        <v>0</v>
      </c>
      <c r="AE872" s="845">
        <v>6.1562746645619573E-2</v>
      </c>
      <c r="AF872" s="845">
        <v>4.4198895027624308E-2</v>
      </c>
      <c r="AG872" s="845">
        <v>0.77032359905288084</v>
      </c>
      <c r="AH872" s="20" t="str">
        <f t="shared" si="80"/>
        <v>No</v>
      </c>
      <c r="AI872" s="25"/>
      <c r="AJ872" s="37">
        <v>43009</v>
      </c>
      <c r="AK872" s="37" t="s">
        <v>736</v>
      </c>
      <c r="AL872" s="37">
        <v>39021</v>
      </c>
      <c r="AM872" s="37" t="s">
        <v>17</v>
      </c>
      <c r="AN872" s="37" t="str">
        <f t="shared" si="81"/>
        <v>N/A</v>
      </c>
      <c r="AO872" s="37" t="str">
        <f t="shared" si="82"/>
        <v>N/A</v>
      </c>
      <c r="AP872" s="20" t="s">
        <v>8</v>
      </c>
      <c r="AQ872" s="25"/>
      <c r="AR872" s="25"/>
      <c r="AS872" s="25"/>
      <c r="AT872" s="25"/>
      <c r="AU872" s="36"/>
      <c r="AV872" s="36"/>
      <c r="AW872" s="36"/>
      <c r="AX872" s="25"/>
      <c r="AY872" s="25"/>
      <c r="AZ872" s="25"/>
      <c r="BA872" s="25"/>
      <c r="BB872" s="25"/>
      <c r="BC872" s="25"/>
      <c r="BD872" s="25"/>
      <c r="BE872" s="25"/>
      <c r="BF872" s="25"/>
      <c r="BG872" s="25"/>
      <c r="BH872" s="25"/>
      <c r="BI872" s="25"/>
      <c r="BJ872" s="25"/>
      <c r="BK872" s="25"/>
      <c r="BL872" s="25"/>
      <c r="BM872" s="25"/>
      <c r="BN872" s="25"/>
      <c r="BO872" s="25"/>
      <c r="BP872" s="25"/>
      <c r="BQ872" s="25"/>
      <c r="BR872" s="25"/>
      <c r="BS872" s="25"/>
      <c r="BT872" s="25"/>
      <c r="BU872" s="39">
        <v>44907</v>
      </c>
      <c r="BV872" s="39" t="s">
        <v>1527</v>
      </c>
      <c r="BW872" s="39" t="s">
        <v>2923</v>
      </c>
      <c r="BX872" s="39" t="s">
        <v>274</v>
      </c>
      <c r="BY872" s="71">
        <v>670</v>
      </c>
      <c r="BZ872" s="71">
        <v>770</v>
      </c>
      <c r="CA872" s="71">
        <v>970</v>
      </c>
      <c r="CB872" s="71">
        <v>1310</v>
      </c>
      <c r="CC872" s="71">
        <v>1530</v>
      </c>
      <c r="CD872" s="25"/>
      <c r="CE872" s="200"/>
      <c r="CF872" s="200"/>
      <c r="CG872" s="200"/>
      <c r="CH872" s="200"/>
      <c r="CI872" s="200"/>
      <c r="CJ872" s="200"/>
      <c r="CK872" s="200"/>
      <c r="CL872" s="200"/>
      <c r="CM872" s="200"/>
      <c r="CN872" s="200"/>
      <c r="CO872" s="200"/>
      <c r="CP872" s="200"/>
      <c r="CQ872" s="200"/>
      <c r="CR872" s="200"/>
      <c r="CS872" s="200"/>
      <c r="CT872" s="200"/>
      <c r="CU872" s="200"/>
    </row>
    <row r="873" spans="1:99" s="17" customFormat="1" x14ac:dyDescent="0.2">
      <c r="A873" s="25"/>
      <c r="B873" s="20">
        <v>39039958800</v>
      </c>
      <c r="C873" s="20">
        <v>9588</v>
      </c>
      <c r="D873" s="20" t="s">
        <v>26</v>
      </c>
      <c r="E873" s="20" t="s">
        <v>265</v>
      </c>
      <c r="F873" s="20" t="s">
        <v>8</v>
      </c>
      <c r="G873" s="861">
        <v>57.820192816343798</v>
      </c>
      <c r="H873" s="861">
        <v>53.595635289625797</v>
      </c>
      <c r="I873" s="861">
        <v>37.623687471480203</v>
      </c>
      <c r="J873" s="861">
        <v>40.917400800172203</v>
      </c>
      <c r="K873" s="982">
        <v>1</v>
      </c>
      <c r="L873" s="735">
        <v>3197</v>
      </c>
      <c r="M873" s="735">
        <v>3289</v>
      </c>
      <c r="N873" s="845">
        <f t="shared" si="78"/>
        <v>2.8776978417266189E-2</v>
      </c>
      <c r="O873" s="735">
        <v>2.9192925522735318</v>
      </c>
      <c r="P873" s="735">
        <f t="shared" si="79"/>
        <v>1126.6428222270981</v>
      </c>
      <c r="Q873" s="849">
        <v>42.2</v>
      </c>
      <c r="R873" s="71">
        <v>62500</v>
      </c>
      <c r="S873" s="845">
        <v>0.23107940446650124</v>
      </c>
      <c r="T873" s="845">
        <v>3.7000000000000005E-2</v>
      </c>
      <c r="U873" s="845">
        <v>4.8000000000000001E-2</v>
      </c>
      <c r="V873" s="845">
        <v>0.14400000000000002</v>
      </c>
      <c r="W873" s="845">
        <v>0.36388508891928867</v>
      </c>
      <c r="X873" s="845">
        <v>0.43984962406015038</v>
      </c>
      <c r="Y873" s="845">
        <v>0.8130130738826391</v>
      </c>
      <c r="Z873" s="845">
        <v>7.3882639100030401E-2</v>
      </c>
      <c r="AA873" s="845">
        <v>6.0808756460930371E-3</v>
      </c>
      <c r="AB873" s="845">
        <v>5.472788081483734E-3</v>
      </c>
      <c r="AC873" s="845">
        <v>0</v>
      </c>
      <c r="AD873" s="845">
        <v>4.7734873821830344E-2</v>
      </c>
      <c r="AE873" s="845">
        <v>5.3815749467923384E-2</v>
      </c>
      <c r="AF873" s="845">
        <v>0.13438735177865613</v>
      </c>
      <c r="AG873" s="845">
        <v>0.79537853450896934</v>
      </c>
      <c r="AH873" s="20" t="str">
        <f t="shared" si="80"/>
        <v>No</v>
      </c>
      <c r="AI873" s="25"/>
      <c r="AJ873" s="20">
        <v>43044</v>
      </c>
      <c r="AK873" s="20" t="s">
        <v>762</v>
      </c>
      <c r="AL873" s="20">
        <v>39021</v>
      </c>
      <c r="AM873" s="20" t="s">
        <v>17</v>
      </c>
      <c r="AN873" s="37" t="str">
        <f t="shared" si="81"/>
        <v>N/A</v>
      </c>
      <c r="AO873" s="37" t="str">
        <f t="shared" si="82"/>
        <v>N/A</v>
      </c>
      <c r="AP873" s="20" t="s">
        <v>8</v>
      </c>
      <c r="AQ873" s="25"/>
      <c r="AR873" s="25"/>
      <c r="AS873" s="25"/>
      <c r="AT873" s="25"/>
      <c r="AU873" s="36"/>
      <c r="AV873" s="36"/>
      <c r="AW873" s="36"/>
      <c r="AX873" s="25"/>
      <c r="AY873" s="25"/>
      <c r="AZ873" s="25"/>
      <c r="BA873" s="25"/>
      <c r="BB873" s="25"/>
      <c r="BC873" s="25"/>
      <c r="BD873" s="25"/>
      <c r="BE873" s="25"/>
      <c r="BF873" s="25"/>
      <c r="BG873" s="25"/>
      <c r="BH873" s="25"/>
      <c r="BI873" s="25"/>
      <c r="BJ873" s="25"/>
      <c r="BK873" s="25"/>
      <c r="BL873" s="25"/>
      <c r="BM873" s="25"/>
      <c r="BN873" s="25"/>
      <c r="BO873" s="25"/>
      <c r="BP873" s="25"/>
      <c r="BQ873" s="25"/>
      <c r="BR873" s="25"/>
      <c r="BS873" s="25"/>
      <c r="BT873" s="25"/>
      <c r="BU873" s="39">
        <v>43322</v>
      </c>
      <c r="BV873" s="39" t="s">
        <v>877</v>
      </c>
      <c r="BW873" s="39" t="s">
        <v>2944</v>
      </c>
      <c r="BX873" s="39" t="s">
        <v>2945</v>
      </c>
      <c r="BY873" s="71">
        <v>740</v>
      </c>
      <c r="BZ873" s="71">
        <v>750</v>
      </c>
      <c r="CA873" s="71">
        <v>980</v>
      </c>
      <c r="CB873" s="71">
        <v>1180</v>
      </c>
      <c r="CC873" s="71">
        <v>1300</v>
      </c>
      <c r="CD873" s="25"/>
      <c r="CE873" s="200"/>
      <c r="CF873" s="200"/>
      <c r="CG873" s="200"/>
      <c r="CH873" s="200"/>
      <c r="CI873" s="200"/>
      <c r="CJ873" s="200"/>
      <c r="CK873" s="200"/>
      <c r="CL873" s="200"/>
      <c r="CM873" s="200"/>
      <c r="CN873" s="200"/>
      <c r="CO873" s="200"/>
      <c r="CP873" s="200"/>
      <c r="CQ873" s="200"/>
      <c r="CR873" s="200"/>
      <c r="CS873" s="200"/>
      <c r="CT873" s="200"/>
      <c r="CU873" s="200"/>
    </row>
    <row r="874" spans="1:99" s="17" customFormat="1" x14ac:dyDescent="0.2">
      <c r="A874" s="25"/>
      <c r="B874" s="20">
        <v>39113120102</v>
      </c>
      <c r="C874" s="20">
        <v>1201.02</v>
      </c>
      <c r="D874" s="20" t="s">
        <v>62</v>
      </c>
      <c r="E874" s="20" t="s">
        <v>2833</v>
      </c>
      <c r="F874" s="20" t="s">
        <v>8</v>
      </c>
      <c r="G874" s="861">
        <v>57.80955055135</v>
      </c>
      <c r="H874" s="861">
        <v>62.376966289717103</v>
      </c>
      <c r="I874" s="861">
        <v>26.326128155953501</v>
      </c>
      <c r="J874" s="861">
        <v>36.488685777008698</v>
      </c>
      <c r="K874" s="982">
        <v>0</v>
      </c>
      <c r="L874" s="735">
        <v>4890</v>
      </c>
      <c r="M874" s="735">
        <v>4822</v>
      </c>
      <c r="N874" s="845">
        <f t="shared" si="78"/>
        <v>-1.3905930470347648E-2</v>
      </c>
      <c r="O874" s="735">
        <v>1.9214794773710371</v>
      </c>
      <c r="P874" s="735">
        <f t="shared" si="79"/>
        <v>2509.5245912266764</v>
      </c>
      <c r="Q874" s="849">
        <v>39.1</v>
      </c>
      <c r="R874" s="71">
        <v>92850</v>
      </c>
      <c r="S874" s="845">
        <v>5.5378739656269889E-2</v>
      </c>
      <c r="T874" s="845">
        <v>4.9000000000000002E-2</v>
      </c>
      <c r="U874" s="845">
        <v>0</v>
      </c>
      <c r="V874" s="845">
        <v>4.7E-2</v>
      </c>
      <c r="W874" s="845">
        <v>9.4929245283018868E-2</v>
      </c>
      <c r="X874" s="845">
        <v>0.62732919254658381</v>
      </c>
      <c r="Y874" s="845">
        <v>0.65138946495230199</v>
      </c>
      <c r="Z874" s="845">
        <v>0.28121111571961843</v>
      </c>
      <c r="AA874" s="845">
        <v>4.9771878888428042E-3</v>
      </c>
      <c r="AB874" s="845">
        <v>1.5968477810037331E-2</v>
      </c>
      <c r="AC874" s="845">
        <v>0</v>
      </c>
      <c r="AD874" s="845">
        <v>0</v>
      </c>
      <c r="AE874" s="845">
        <v>4.6453753629199505E-2</v>
      </c>
      <c r="AF874" s="845">
        <v>1.9493985897967647E-2</v>
      </c>
      <c r="AG874" s="845">
        <v>0.64122770634591453</v>
      </c>
      <c r="AH874" s="20" t="str">
        <f t="shared" si="80"/>
        <v>No</v>
      </c>
      <c r="AI874" s="25"/>
      <c r="AJ874" s="37">
        <v>43045</v>
      </c>
      <c r="AK874" s="37" t="s">
        <v>763</v>
      </c>
      <c r="AL874" s="37">
        <v>39021</v>
      </c>
      <c r="AM874" s="37" t="s">
        <v>17</v>
      </c>
      <c r="AN874" s="37" t="str">
        <f t="shared" si="81"/>
        <v>N/A</v>
      </c>
      <c r="AO874" s="37" t="str">
        <f t="shared" si="82"/>
        <v>N/A</v>
      </c>
      <c r="AP874" s="20" t="s">
        <v>8</v>
      </c>
      <c r="AQ874" s="25"/>
      <c r="AR874" s="25"/>
      <c r="AS874" s="25"/>
      <c r="AT874" s="25"/>
      <c r="AU874" s="36"/>
      <c r="AV874" s="36"/>
      <c r="AW874" s="36"/>
      <c r="AX874" s="25"/>
      <c r="AY874" s="25"/>
      <c r="AZ874" s="25"/>
      <c r="BA874" s="25"/>
      <c r="BB874" s="25"/>
      <c r="BC874" s="25"/>
      <c r="BD874" s="25"/>
      <c r="BE874" s="25"/>
      <c r="BF874" s="25"/>
      <c r="BG874" s="25"/>
      <c r="BH874" s="25"/>
      <c r="BI874" s="25"/>
      <c r="BJ874" s="25"/>
      <c r="BK874" s="25"/>
      <c r="BL874" s="25"/>
      <c r="BM874" s="25"/>
      <c r="BN874" s="25"/>
      <c r="BO874" s="25"/>
      <c r="BP874" s="25"/>
      <c r="BQ874" s="25"/>
      <c r="BR874" s="25"/>
      <c r="BS874" s="25"/>
      <c r="BT874" s="25"/>
      <c r="BU874" s="39">
        <v>43323</v>
      </c>
      <c r="BV874" s="39" t="s">
        <v>878</v>
      </c>
      <c r="BW874" s="39" t="s">
        <v>2944</v>
      </c>
      <c r="BX874" s="39" t="s">
        <v>2945</v>
      </c>
      <c r="BY874" s="71">
        <v>790</v>
      </c>
      <c r="BZ874" s="71">
        <v>850</v>
      </c>
      <c r="CA874" s="71">
        <v>1050</v>
      </c>
      <c r="CB874" s="71">
        <v>1330</v>
      </c>
      <c r="CC874" s="71">
        <v>1510</v>
      </c>
      <c r="CD874" s="25"/>
      <c r="CE874" s="200"/>
      <c r="CF874" s="200"/>
      <c r="CG874" s="200"/>
      <c r="CH874" s="200"/>
      <c r="CI874" s="200"/>
      <c r="CJ874" s="200"/>
      <c r="CK874" s="200"/>
      <c r="CL874" s="200"/>
      <c r="CM874" s="200"/>
      <c r="CN874" s="200"/>
      <c r="CO874" s="200"/>
      <c r="CP874" s="200"/>
      <c r="CQ874" s="200"/>
      <c r="CR874" s="200"/>
      <c r="CS874" s="200"/>
      <c r="CT874" s="200"/>
      <c r="CU874" s="200"/>
    </row>
    <row r="875" spans="1:99" s="17" customFormat="1" x14ac:dyDescent="0.2">
      <c r="A875" s="25"/>
      <c r="B875" s="20">
        <v>39137030600</v>
      </c>
      <c r="C875" s="20">
        <v>306</v>
      </c>
      <c r="D875" s="20" t="s">
        <v>74</v>
      </c>
      <c r="E875" s="20" t="s">
        <v>265</v>
      </c>
      <c r="F875" s="20" t="s">
        <v>8</v>
      </c>
      <c r="G875" s="861">
        <v>57.807144214620998</v>
      </c>
      <c r="H875" s="861">
        <v>58.724536858939402</v>
      </c>
      <c r="I875" s="861">
        <v>17.550924819167498</v>
      </c>
      <c r="J875" s="861">
        <v>49.193886307628098</v>
      </c>
      <c r="K875" s="982">
        <v>0</v>
      </c>
      <c r="L875" s="735">
        <v>4336</v>
      </c>
      <c r="M875" s="735">
        <v>3900</v>
      </c>
      <c r="N875" s="845">
        <f t="shared" si="78"/>
        <v>-0.10055350553505535</v>
      </c>
      <c r="O875" s="735">
        <v>60.720773733590619</v>
      </c>
      <c r="P875" s="735">
        <f t="shared" si="79"/>
        <v>64.228430571571053</v>
      </c>
      <c r="Q875" s="849">
        <v>40.799999999999997</v>
      </c>
      <c r="R875" s="71">
        <v>86359</v>
      </c>
      <c r="S875" s="845">
        <v>6.6771819137749738E-2</v>
      </c>
      <c r="T875" s="845">
        <v>0</v>
      </c>
      <c r="U875" s="845">
        <v>0</v>
      </c>
      <c r="V875" s="845">
        <v>0</v>
      </c>
      <c r="W875" s="845">
        <v>0.13282732447817835</v>
      </c>
      <c r="X875" s="845">
        <v>0.15714285714285714</v>
      </c>
      <c r="Y875" s="845">
        <v>0.96923076923076923</v>
      </c>
      <c r="Z875" s="845">
        <v>0</v>
      </c>
      <c r="AA875" s="845">
        <v>0</v>
      </c>
      <c r="AB875" s="845">
        <v>0</v>
      </c>
      <c r="AC875" s="845">
        <v>1.7948717948717949E-3</v>
      </c>
      <c r="AD875" s="845">
        <v>1.3846153846153847E-2</v>
      </c>
      <c r="AE875" s="845">
        <v>1.5128205128205128E-2</v>
      </c>
      <c r="AF875" s="845">
        <v>3.487179487179487E-2</v>
      </c>
      <c r="AG875" s="845">
        <v>0.94923076923076921</v>
      </c>
      <c r="AH875" s="20" t="str">
        <f t="shared" si="80"/>
        <v>Yes</v>
      </c>
      <c r="AI875" s="25"/>
      <c r="AJ875" s="37">
        <v>43047</v>
      </c>
      <c r="AK875" s="37" t="s">
        <v>765</v>
      </c>
      <c r="AL875" s="37">
        <v>39021</v>
      </c>
      <c r="AM875" s="37" t="s">
        <v>17</v>
      </c>
      <c r="AN875" s="37" t="str">
        <f t="shared" si="81"/>
        <v>N/A</v>
      </c>
      <c r="AO875" s="37" t="str">
        <f t="shared" si="82"/>
        <v>N/A</v>
      </c>
      <c r="AP875" s="20" t="s">
        <v>8</v>
      </c>
      <c r="AQ875" s="25"/>
      <c r="AR875" s="25"/>
      <c r="AS875" s="25"/>
      <c r="AT875" s="25"/>
      <c r="AU875" s="36"/>
      <c r="AV875" s="36"/>
      <c r="AW875" s="36"/>
      <c r="AX875" s="25"/>
      <c r="AY875" s="25"/>
      <c r="AZ875" s="25"/>
      <c r="BA875" s="25"/>
      <c r="BB875" s="25"/>
      <c r="BC875" s="25"/>
      <c r="BD875" s="25"/>
      <c r="BE875" s="25"/>
      <c r="BF875" s="25"/>
      <c r="BG875" s="25"/>
      <c r="BH875" s="25"/>
      <c r="BI875" s="25"/>
      <c r="BJ875" s="25"/>
      <c r="BK875" s="25"/>
      <c r="BL875" s="25"/>
      <c r="BM875" s="25"/>
      <c r="BN875" s="25"/>
      <c r="BO875" s="25"/>
      <c r="BP875" s="25"/>
      <c r="BQ875" s="25"/>
      <c r="BR875" s="25"/>
      <c r="BS875" s="25"/>
      <c r="BT875" s="25"/>
      <c r="BU875" s="39">
        <v>43337</v>
      </c>
      <c r="BV875" s="39" t="s">
        <v>888</v>
      </c>
      <c r="BW875" s="39" t="s">
        <v>2944</v>
      </c>
      <c r="BX875" s="39" t="s">
        <v>2945</v>
      </c>
      <c r="BY875" s="71">
        <v>810</v>
      </c>
      <c r="BZ875" s="71">
        <v>840</v>
      </c>
      <c r="CA875" s="71">
        <v>1070</v>
      </c>
      <c r="CB875" s="71">
        <v>1320</v>
      </c>
      <c r="CC875" s="71">
        <v>1470</v>
      </c>
      <c r="CD875" s="25"/>
      <c r="CE875" s="200"/>
      <c r="CF875" s="200"/>
      <c r="CG875" s="200"/>
      <c r="CH875" s="200"/>
      <c r="CI875" s="200"/>
      <c r="CJ875" s="200"/>
      <c r="CK875" s="200"/>
      <c r="CL875" s="200"/>
      <c r="CM875" s="200"/>
      <c r="CN875" s="200"/>
      <c r="CO875" s="200"/>
      <c r="CP875" s="200"/>
      <c r="CQ875" s="200"/>
      <c r="CR875" s="200"/>
      <c r="CS875" s="200"/>
      <c r="CT875" s="200"/>
      <c r="CU875" s="200"/>
    </row>
    <row r="876" spans="1:99" s="17" customFormat="1" x14ac:dyDescent="0.2">
      <c r="A876" s="25"/>
      <c r="B876" s="20">
        <v>39049000810</v>
      </c>
      <c r="C876" s="20">
        <v>8.1</v>
      </c>
      <c r="D876" s="20" t="s">
        <v>31</v>
      </c>
      <c r="E876" s="20" t="s">
        <v>2830</v>
      </c>
      <c r="F876" s="20" t="s">
        <v>8</v>
      </c>
      <c r="G876" s="861">
        <v>57.803174502502699</v>
      </c>
      <c r="H876" s="861">
        <v>66.857658233298906</v>
      </c>
      <c r="I876" s="861">
        <v>40.115036528601998</v>
      </c>
      <c r="J876" s="861">
        <v>49.475950636645898</v>
      </c>
      <c r="K876" s="982">
        <v>0</v>
      </c>
      <c r="L876" s="735">
        <v>2721</v>
      </c>
      <c r="M876" s="735">
        <v>2660</v>
      </c>
      <c r="N876" s="845">
        <f t="shared" si="78"/>
        <v>-2.2418228592429253E-2</v>
      </c>
      <c r="O876" s="735">
        <v>0.38390600951446069</v>
      </c>
      <c r="P876" s="735">
        <f t="shared" si="79"/>
        <v>6928.7792690825408</v>
      </c>
      <c r="Q876" s="849">
        <v>33.5</v>
      </c>
      <c r="R876" s="71">
        <v>60407</v>
      </c>
      <c r="S876" s="845">
        <v>0.22443609022556391</v>
      </c>
      <c r="T876" s="845">
        <v>8.8000000000000009E-2</v>
      </c>
      <c r="U876" s="845">
        <v>0</v>
      </c>
      <c r="V876" s="845">
        <v>0</v>
      </c>
      <c r="W876" s="845">
        <v>0.43137254901960786</v>
      </c>
      <c r="X876" s="845">
        <v>0.4743083003952569</v>
      </c>
      <c r="Y876" s="845">
        <v>0.50413533834586466</v>
      </c>
      <c r="Z876" s="845">
        <v>0.23609022556390977</v>
      </c>
      <c r="AA876" s="845">
        <v>7.5187969924812035E-4</v>
      </c>
      <c r="AB876" s="845">
        <v>6.5037593984962408E-2</v>
      </c>
      <c r="AC876" s="845">
        <v>0</v>
      </c>
      <c r="AD876" s="845">
        <v>5.526315789473684E-2</v>
      </c>
      <c r="AE876" s="845">
        <v>0.13872180451127819</v>
      </c>
      <c r="AF876" s="845">
        <v>7.067669172932331E-2</v>
      </c>
      <c r="AG876" s="845">
        <v>0.50413533834586466</v>
      </c>
      <c r="AH876" s="20" t="str">
        <f t="shared" si="80"/>
        <v>No</v>
      </c>
      <c r="AI876" s="25"/>
      <c r="AJ876" s="37">
        <v>43060</v>
      </c>
      <c r="AK876" s="37" t="s">
        <v>770</v>
      </c>
      <c r="AL876" s="37">
        <v>39021</v>
      </c>
      <c r="AM876" s="37" t="s">
        <v>17</v>
      </c>
      <c r="AN876" s="37" t="str">
        <f t="shared" si="81"/>
        <v>N/A</v>
      </c>
      <c r="AO876" s="37" t="str">
        <f t="shared" si="82"/>
        <v>N/A</v>
      </c>
      <c r="AP876" s="20" t="s">
        <v>8</v>
      </c>
      <c r="AQ876" s="25"/>
      <c r="AR876" s="25"/>
      <c r="AS876" s="25"/>
      <c r="AT876" s="25"/>
      <c r="AU876" s="36"/>
      <c r="AV876" s="36"/>
      <c r="AW876" s="36"/>
      <c r="AX876" s="25"/>
      <c r="AY876" s="25"/>
      <c r="AZ876" s="25"/>
      <c r="BA876" s="25"/>
      <c r="BB876" s="25"/>
      <c r="BC876" s="25"/>
      <c r="BD876" s="25"/>
      <c r="BE876" s="25"/>
      <c r="BF876" s="25"/>
      <c r="BG876" s="25"/>
      <c r="BH876" s="25"/>
      <c r="BI876" s="25"/>
      <c r="BJ876" s="25"/>
      <c r="BK876" s="25"/>
      <c r="BL876" s="25"/>
      <c r="BM876" s="25"/>
      <c r="BN876" s="25"/>
      <c r="BO876" s="25"/>
      <c r="BP876" s="25"/>
      <c r="BQ876" s="25"/>
      <c r="BR876" s="25"/>
      <c r="BS876" s="25"/>
      <c r="BT876" s="25"/>
      <c r="BU876" s="39">
        <v>43341</v>
      </c>
      <c r="BV876" s="39" t="s">
        <v>891</v>
      </c>
      <c r="BW876" s="39" t="s">
        <v>2944</v>
      </c>
      <c r="BX876" s="39" t="s">
        <v>2945</v>
      </c>
      <c r="BY876" s="71">
        <v>740</v>
      </c>
      <c r="BZ876" s="71">
        <v>740</v>
      </c>
      <c r="CA876" s="71">
        <v>970</v>
      </c>
      <c r="CB876" s="71">
        <v>1170</v>
      </c>
      <c r="CC876" s="71">
        <v>1290</v>
      </c>
      <c r="CD876" s="25"/>
      <c r="CE876" s="200"/>
      <c r="CF876" s="200"/>
      <c r="CG876" s="200"/>
      <c r="CH876" s="200"/>
      <c r="CI876" s="200"/>
      <c r="CJ876" s="200"/>
      <c r="CK876" s="200"/>
      <c r="CL876" s="200"/>
      <c r="CM876" s="200"/>
      <c r="CN876" s="200"/>
      <c r="CO876" s="200"/>
      <c r="CP876" s="200"/>
      <c r="CQ876" s="200"/>
      <c r="CR876" s="200"/>
      <c r="CS876" s="200"/>
      <c r="CT876" s="200"/>
      <c r="CU876" s="200"/>
    </row>
    <row r="877" spans="1:99" s="17" customFormat="1" x14ac:dyDescent="0.2">
      <c r="A877" s="25"/>
      <c r="B877" s="20">
        <v>39045030700</v>
      </c>
      <c r="C877" s="20">
        <v>307</v>
      </c>
      <c r="D877" s="20" t="s">
        <v>29</v>
      </c>
      <c r="E877" s="20" t="s">
        <v>2830</v>
      </c>
      <c r="F877" s="20" t="s">
        <v>8</v>
      </c>
      <c r="G877" s="861">
        <v>57.798141033337401</v>
      </c>
      <c r="H877" s="861">
        <v>60.891990308494101</v>
      </c>
      <c r="I877" s="861">
        <v>19.876123148985499</v>
      </c>
      <c r="J877" s="861">
        <v>57.536754458324701</v>
      </c>
      <c r="K877" s="982">
        <v>0</v>
      </c>
      <c r="L877" s="735">
        <v>3263</v>
      </c>
      <c r="M877" s="735">
        <v>4327</v>
      </c>
      <c r="N877" s="845">
        <f t="shared" si="78"/>
        <v>0.32608029420778423</v>
      </c>
      <c r="O877" s="735">
        <v>10.100393472462699</v>
      </c>
      <c r="P877" s="735">
        <f t="shared" si="79"/>
        <v>428.39915215154303</v>
      </c>
      <c r="Q877" s="849">
        <v>38.5</v>
      </c>
      <c r="R877" s="71">
        <v>110000</v>
      </c>
      <c r="S877" s="845">
        <v>4.7189451769604443E-2</v>
      </c>
      <c r="T877" s="845">
        <v>1.6E-2</v>
      </c>
      <c r="U877" s="845">
        <v>9.0000000000000011E-3</v>
      </c>
      <c r="V877" s="845">
        <v>0</v>
      </c>
      <c r="W877" s="845">
        <v>0.11458333333333333</v>
      </c>
      <c r="X877" s="845">
        <v>0.18787878787878787</v>
      </c>
      <c r="Y877" s="845">
        <v>0.84030506124335569</v>
      </c>
      <c r="Z877" s="845">
        <v>2.0106309221169402E-2</v>
      </c>
      <c r="AA877" s="845">
        <v>1.8488560203374163E-3</v>
      </c>
      <c r="AB877" s="845">
        <v>6.9332100762653105E-3</v>
      </c>
      <c r="AC877" s="845">
        <v>0</v>
      </c>
      <c r="AD877" s="845">
        <v>2.958169632539866E-2</v>
      </c>
      <c r="AE877" s="845">
        <v>0.10122486711347353</v>
      </c>
      <c r="AF877" s="845">
        <v>6.4247746706725214E-2</v>
      </c>
      <c r="AG877" s="845">
        <v>0.83152299514675299</v>
      </c>
      <c r="AH877" s="20" t="str">
        <f t="shared" si="80"/>
        <v>No</v>
      </c>
      <c r="AI877" s="25"/>
      <c r="AJ877" s="37">
        <v>43070</v>
      </c>
      <c r="AK877" s="37" t="s">
        <v>778</v>
      </c>
      <c r="AL877" s="37">
        <v>39021</v>
      </c>
      <c r="AM877" s="37" t="s">
        <v>17</v>
      </c>
      <c r="AN877" s="37" t="str">
        <f t="shared" si="81"/>
        <v>N/A</v>
      </c>
      <c r="AO877" s="37" t="str">
        <f t="shared" si="82"/>
        <v>N/A</v>
      </c>
      <c r="AP877" s="20" t="s">
        <v>8</v>
      </c>
      <c r="AQ877" s="25"/>
      <c r="AR877" s="25"/>
      <c r="AS877" s="25"/>
      <c r="AT877" s="25"/>
      <c r="AU877" s="36"/>
      <c r="AV877" s="36"/>
      <c r="AW877" s="36"/>
      <c r="AX877" s="25"/>
      <c r="AY877" s="25"/>
      <c r="AZ877" s="25"/>
      <c r="BA877" s="25"/>
      <c r="BB877" s="25"/>
      <c r="BC877" s="25"/>
      <c r="BD877" s="25"/>
      <c r="BE877" s="25"/>
      <c r="BF877" s="25"/>
      <c r="BG877" s="25"/>
      <c r="BH877" s="25"/>
      <c r="BI877" s="25"/>
      <c r="BJ877" s="25"/>
      <c r="BK877" s="25"/>
      <c r="BL877" s="25"/>
      <c r="BM877" s="25"/>
      <c r="BN877" s="25"/>
      <c r="BO877" s="25"/>
      <c r="BP877" s="25"/>
      <c r="BQ877" s="25"/>
      <c r="BR877" s="25"/>
      <c r="BS877" s="25"/>
      <c r="BT877" s="25"/>
      <c r="BU877" s="39">
        <v>45720</v>
      </c>
      <c r="BV877" s="39" t="s">
        <v>1839</v>
      </c>
      <c r="BW877" s="39" t="s">
        <v>2861</v>
      </c>
      <c r="BX877" s="39" t="s">
        <v>2862</v>
      </c>
      <c r="BY877" s="71">
        <v>720</v>
      </c>
      <c r="BZ877" s="71">
        <v>760</v>
      </c>
      <c r="CA877" s="71">
        <v>970</v>
      </c>
      <c r="CB877" s="71">
        <v>1170</v>
      </c>
      <c r="CC877" s="71">
        <v>1550</v>
      </c>
      <c r="CD877" s="25"/>
      <c r="CE877" s="200"/>
      <c r="CF877" s="200"/>
      <c r="CG877" s="200"/>
      <c r="CH877" s="200"/>
      <c r="CI877" s="200"/>
      <c r="CJ877" s="200"/>
      <c r="CK877" s="200"/>
      <c r="CL877" s="200"/>
      <c r="CM877" s="200"/>
      <c r="CN877" s="200"/>
      <c r="CO877" s="200"/>
      <c r="CP877" s="200"/>
      <c r="CQ877" s="200"/>
      <c r="CR877" s="200"/>
      <c r="CS877" s="200"/>
      <c r="CT877" s="200"/>
      <c r="CU877" s="200"/>
    </row>
    <row r="878" spans="1:99" s="17" customFormat="1" x14ac:dyDescent="0.2">
      <c r="A878" s="25"/>
      <c r="B878" s="20">
        <v>39049002300</v>
      </c>
      <c r="C878" s="20">
        <v>23</v>
      </c>
      <c r="D878" s="20" t="s">
        <v>31</v>
      </c>
      <c r="E878" s="20" t="s">
        <v>2830</v>
      </c>
      <c r="F878" s="20" t="s">
        <v>6</v>
      </c>
      <c r="G878" s="861">
        <v>57.774523610484998</v>
      </c>
      <c r="H878" s="861">
        <v>63.476414633431503</v>
      </c>
      <c r="I878" s="861">
        <v>62.428500201558002</v>
      </c>
      <c r="J878" s="861">
        <v>71.1390725619693</v>
      </c>
      <c r="K878" s="982">
        <v>1</v>
      </c>
      <c r="L878" s="735">
        <v>1330</v>
      </c>
      <c r="M878" s="735">
        <v>1742</v>
      </c>
      <c r="N878" s="845">
        <f t="shared" si="78"/>
        <v>0.30977443609022559</v>
      </c>
      <c r="O878" s="735">
        <v>0.99316787983246768</v>
      </c>
      <c r="P878" s="735">
        <f t="shared" si="79"/>
        <v>1753.9834255351159</v>
      </c>
      <c r="Q878" s="849">
        <v>34.200000000000003</v>
      </c>
      <c r="R878" s="71">
        <v>47500</v>
      </c>
      <c r="S878" s="845">
        <v>0.23076923076923078</v>
      </c>
      <c r="T878" s="845">
        <v>6.2E-2</v>
      </c>
      <c r="U878" s="845">
        <v>0</v>
      </c>
      <c r="V878" s="845">
        <v>4.2000000000000003E-2</v>
      </c>
      <c r="W878" s="845">
        <v>0.53682719546742208</v>
      </c>
      <c r="X878" s="845">
        <v>0.41688654353562005</v>
      </c>
      <c r="Y878" s="845">
        <v>0.21526980482204364</v>
      </c>
      <c r="Z878" s="845">
        <v>0.66704936854190588</v>
      </c>
      <c r="AA878" s="845">
        <v>0</v>
      </c>
      <c r="AB878" s="845">
        <v>2.6980482204362801E-2</v>
      </c>
      <c r="AC878" s="845">
        <v>0</v>
      </c>
      <c r="AD878" s="845">
        <v>1.4351320321469576E-2</v>
      </c>
      <c r="AE878" s="845">
        <v>7.6349024110218142E-2</v>
      </c>
      <c r="AF878" s="845">
        <v>1.9517795637198621E-2</v>
      </c>
      <c r="AG878" s="845">
        <v>0.21010332950631458</v>
      </c>
      <c r="AH878" s="20" t="str">
        <f t="shared" si="80"/>
        <v>No</v>
      </c>
      <c r="AI878" s="25"/>
      <c r="AJ878" s="20">
        <v>43072</v>
      </c>
      <c r="AK878" s="20" t="s">
        <v>780</v>
      </c>
      <c r="AL878" s="20">
        <v>39021</v>
      </c>
      <c r="AM878" s="20" t="s">
        <v>17</v>
      </c>
      <c r="AN878" s="37" t="str">
        <f t="shared" si="81"/>
        <v>N/A</v>
      </c>
      <c r="AO878" s="37" t="str">
        <f t="shared" si="82"/>
        <v>N/A</v>
      </c>
      <c r="AP878" s="20" t="s">
        <v>8</v>
      </c>
      <c r="AQ878" s="25"/>
      <c r="AR878" s="25"/>
      <c r="AS878" s="25"/>
      <c r="AT878" s="25"/>
      <c r="AU878" s="36"/>
      <c r="AV878" s="36"/>
      <c r="AW878" s="36"/>
      <c r="AX878" s="25"/>
      <c r="AY878" s="25"/>
      <c r="AZ878" s="25"/>
      <c r="BA878" s="25"/>
      <c r="BB878" s="25"/>
      <c r="BC878" s="25"/>
      <c r="BD878" s="25"/>
      <c r="BE878" s="25"/>
      <c r="BF878" s="25"/>
      <c r="BG878" s="25"/>
      <c r="BH878" s="25"/>
      <c r="BI878" s="25"/>
      <c r="BJ878" s="25"/>
      <c r="BK878" s="25"/>
      <c r="BL878" s="25"/>
      <c r="BM878" s="25"/>
      <c r="BN878" s="25"/>
      <c r="BO878" s="25"/>
      <c r="BP878" s="25"/>
      <c r="BQ878" s="25"/>
      <c r="BR878" s="25"/>
      <c r="BS878" s="25"/>
      <c r="BT878" s="25"/>
      <c r="BU878" s="39">
        <v>45741</v>
      </c>
      <c r="BV878" s="39" t="s">
        <v>1850</v>
      </c>
      <c r="BW878" s="39" t="s">
        <v>2861</v>
      </c>
      <c r="BX878" s="39" t="s">
        <v>2862</v>
      </c>
      <c r="BY878" s="71">
        <v>790</v>
      </c>
      <c r="BZ878" s="71">
        <v>870</v>
      </c>
      <c r="CA878" s="71">
        <v>1030</v>
      </c>
      <c r="CB878" s="71">
        <v>1280</v>
      </c>
      <c r="CC878" s="71">
        <v>1620</v>
      </c>
      <c r="CD878" s="25"/>
      <c r="CE878" s="200"/>
      <c r="CF878" s="200"/>
      <c r="CG878" s="200"/>
      <c r="CH878" s="200"/>
      <c r="CI878" s="200"/>
      <c r="CJ878" s="200"/>
      <c r="CK878" s="200"/>
      <c r="CL878" s="200"/>
      <c r="CM878" s="200"/>
      <c r="CN878" s="200"/>
      <c r="CO878" s="200"/>
      <c r="CP878" s="200"/>
      <c r="CQ878" s="200"/>
      <c r="CR878" s="200"/>
      <c r="CS878" s="200"/>
      <c r="CT878" s="200"/>
      <c r="CU878" s="200"/>
    </row>
    <row r="879" spans="1:99" s="17" customFormat="1" x14ac:dyDescent="0.2">
      <c r="A879" s="25"/>
      <c r="B879" s="20">
        <v>39165032400</v>
      </c>
      <c r="C879" s="20">
        <v>324</v>
      </c>
      <c r="D879" s="20" t="s">
        <v>88</v>
      </c>
      <c r="E879" s="20" t="s">
        <v>2828</v>
      </c>
      <c r="F879" s="20" t="s">
        <v>8</v>
      </c>
      <c r="G879" s="861">
        <v>57.766083776015201</v>
      </c>
      <c r="H879" s="861">
        <v>64.959492335206505</v>
      </c>
      <c r="I879" s="861">
        <v>21.914742820620098</v>
      </c>
      <c r="J879" s="861">
        <v>49.640571171075102</v>
      </c>
      <c r="K879" s="982">
        <v>0</v>
      </c>
      <c r="L879" s="735">
        <v>4843</v>
      </c>
      <c r="M879" s="735">
        <v>5049</v>
      </c>
      <c r="N879" s="845">
        <f t="shared" si="78"/>
        <v>4.2535618418335745E-2</v>
      </c>
      <c r="O879" s="735">
        <v>45.445637972446136</v>
      </c>
      <c r="P879" s="735">
        <f t="shared" si="79"/>
        <v>111.09977162299334</v>
      </c>
      <c r="Q879" s="849">
        <v>42.3</v>
      </c>
      <c r="R879" s="71">
        <v>109484</v>
      </c>
      <c r="S879" s="845">
        <v>5.4707631318136767E-2</v>
      </c>
      <c r="T879" s="845">
        <v>1.8000000000000002E-2</v>
      </c>
      <c r="U879" s="845">
        <v>0</v>
      </c>
      <c r="V879" s="845">
        <v>0</v>
      </c>
      <c r="W879" s="845">
        <v>8.6297376093294464E-2</v>
      </c>
      <c r="X879" s="845">
        <v>0.41216216216216217</v>
      </c>
      <c r="Y879" s="845">
        <v>0.96217072687660921</v>
      </c>
      <c r="Z879" s="845">
        <v>4.9514755397108336E-3</v>
      </c>
      <c r="AA879" s="845">
        <v>1.1883541295306002E-3</v>
      </c>
      <c r="AB879" s="845">
        <v>2.5351554763319468E-2</v>
      </c>
      <c r="AC879" s="845">
        <v>0</v>
      </c>
      <c r="AD879" s="845">
        <v>0</v>
      </c>
      <c r="AE879" s="845">
        <v>6.3378886908298671E-3</v>
      </c>
      <c r="AF879" s="845">
        <v>4.7534165181224008E-3</v>
      </c>
      <c r="AG879" s="845">
        <v>0.9605862547039018</v>
      </c>
      <c r="AH879" s="20" t="str">
        <f t="shared" si="80"/>
        <v>Yes</v>
      </c>
      <c r="AI879" s="25"/>
      <c r="AJ879" s="37">
        <v>43078</v>
      </c>
      <c r="AK879" s="37" t="s">
        <v>784</v>
      </c>
      <c r="AL879" s="37">
        <v>39021</v>
      </c>
      <c r="AM879" s="37" t="s">
        <v>17</v>
      </c>
      <c r="AN879" s="37" t="str">
        <f t="shared" si="81"/>
        <v>N/A</v>
      </c>
      <c r="AO879" s="37" t="str">
        <f t="shared" si="82"/>
        <v>N/A</v>
      </c>
      <c r="AP879" s="20" t="s">
        <v>8</v>
      </c>
      <c r="AQ879" s="25"/>
      <c r="AR879" s="25"/>
      <c r="AS879" s="25"/>
      <c r="AT879" s="25"/>
      <c r="AU879" s="36"/>
      <c r="AV879" s="36"/>
      <c r="AW879" s="36"/>
      <c r="AX879" s="25"/>
      <c r="AY879" s="25"/>
      <c r="AZ879" s="25"/>
      <c r="BA879" s="25"/>
      <c r="BB879" s="25"/>
      <c r="BC879" s="25"/>
      <c r="BD879" s="25"/>
      <c r="BE879" s="25"/>
      <c r="BF879" s="25"/>
      <c r="BG879" s="25"/>
      <c r="BH879" s="25"/>
      <c r="BI879" s="25"/>
      <c r="BJ879" s="25"/>
      <c r="BK879" s="25"/>
      <c r="BL879" s="25"/>
      <c r="BM879" s="25"/>
      <c r="BN879" s="25"/>
      <c r="BO879" s="25"/>
      <c r="BP879" s="25"/>
      <c r="BQ879" s="25"/>
      <c r="BR879" s="25"/>
      <c r="BS879" s="25"/>
      <c r="BT879" s="25"/>
      <c r="BU879" s="39">
        <v>45743</v>
      </c>
      <c r="BV879" s="39" t="s">
        <v>1852</v>
      </c>
      <c r="BW879" s="39" t="s">
        <v>2861</v>
      </c>
      <c r="BX879" s="39" t="s">
        <v>2862</v>
      </c>
      <c r="BY879" s="71">
        <v>720</v>
      </c>
      <c r="BZ879" s="71">
        <v>760</v>
      </c>
      <c r="CA879" s="71">
        <v>970</v>
      </c>
      <c r="CB879" s="71">
        <v>1170</v>
      </c>
      <c r="CC879" s="71">
        <v>1550</v>
      </c>
      <c r="CD879" s="25"/>
      <c r="CE879" s="200"/>
      <c r="CF879" s="200"/>
      <c r="CG879" s="200"/>
      <c r="CH879" s="200"/>
      <c r="CI879" s="200"/>
      <c r="CJ879" s="200"/>
      <c r="CK879" s="200"/>
      <c r="CL879" s="200"/>
      <c r="CM879" s="200"/>
      <c r="CN879" s="200"/>
      <c r="CO879" s="200"/>
      <c r="CP879" s="200"/>
      <c r="CQ879" s="200"/>
      <c r="CR879" s="200"/>
      <c r="CS879" s="200"/>
      <c r="CT879" s="200"/>
      <c r="CU879" s="200"/>
    </row>
    <row r="880" spans="1:99" s="17" customFormat="1" x14ac:dyDescent="0.2">
      <c r="A880" s="25"/>
      <c r="B880" s="20">
        <v>39033974300</v>
      </c>
      <c r="C880" s="20">
        <v>9743</v>
      </c>
      <c r="D880" s="20" t="s">
        <v>23</v>
      </c>
      <c r="E880" s="20" t="s">
        <v>265</v>
      </c>
      <c r="F880" s="20" t="s">
        <v>8</v>
      </c>
      <c r="G880" s="861">
        <v>57.758892144155297</v>
      </c>
      <c r="H880" s="861">
        <v>55.217157311255598</v>
      </c>
      <c r="I880" s="861">
        <v>33.039613041920902</v>
      </c>
      <c r="J880" s="861">
        <v>42.476501138814299</v>
      </c>
      <c r="K880" s="982">
        <v>0</v>
      </c>
      <c r="L880" s="735">
        <v>2857</v>
      </c>
      <c r="M880" s="735">
        <v>2960</v>
      </c>
      <c r="N880" s="845">
        <f t="shared" si="78"/>
        <v>3.6051802590129509E-2</v>
      </c>
      <c r="O880" s="735">
        <v>6.6686452857885907</v>
      </c>
      <c r="P880" s="735">
        <f t="shared" si="79"/>
        <v>443.86826306506265</v>
      </c>
      <c r="Q880" s="849">
        <v>44.7</v>
      </c>
      <c r="R880" s="71">
        <v>54250</v>
      </c>
      <c r="S880" s="845">
        <v>0.21603260869565216</v>
      </c>
      <c r="T880" s="845">
        <v>0.10400000000000001</v>
      </c>
      <c r="U880" s="845">
        <v>0</v>
      </c>
      <c r="V880" s="845">
        <v>0.10300000000000001</v>
      </c>
      <c r="W880" s="845">
        <v>0.30389429763560499</v>
      </c>
      <c r="X880" s="845">
        <v>0.37757437070938216</v>
      </c>
      <c r="Y880" s="845">
        <v>0.88378378378378375</v>
      </c>
      <c r="Z880" s="845">
        <v>3.0405405405405407E-3</v>
      </c>
      <c r="AA880" s="845">
        <v>1.6891891891891893E-3</v>
      </c>
      <c r="AB880" s="845">
        <v>7.2297297297297294E-2</v>
      </c>
      <c r="AC880" s="845">
        <v>0</v>
      </c>
      <c r="AD880" s="845">
        <v>0</v>
      </c>
      <c r="AE880" s="845">
        <v>3.9189189189189191E-2</v>
      </c>
      <c r="AF880" s="845">
        <v>0</v>
      </c>
      <c r="AG880" s="845">
        <v>0.88378378378378375</v>
      </c>
      <c r="AH880" s="20" t="str">
        <f t="shared" si="80"/>
        <v>No</v>
      </c>
      <c r="AI880" s="25"/>
      <c r="AJ880" s="20">
        <v>43084</v>
      </c>
      <c r="AK880" s="20" t="s">
        <v>788</v>
      </c>
      <c r="AL880" s="20">
        <v>39021</v>
      </c>
      <c r="AM880" s="20" t="s">
        <v>17</v>
      </c>
      <c r="AN880" s="37" t="str">
        <f t="shared" si="81"/>
        <v>N/A</v>
      </c>
      <c r="AO880" s="37" t="str">
        <f t="shared" si="82"/>
        <v>N/A</v>
      </c>
      <c r="AP880" s="20" t="s">
        <v>8</v>
      </c>
      <c r="AQ880" s="25"/>
      <c r="AR880" s="25"/>
      <c r="AS880" s="25"/>
      <c r="AT880" s="25"/>
      <c r="AU880" s="36"/>
      <c r="AV880" s="36"/>
      <c r="AW880" s="36"/>
      <c r="AX880" s="25"/>
      <c r="AY880" s="25"/>
      <c r="AZ880" s="25"/>
      <c r="BA880" s="25"/>
      <c r="BB880" s="25"/>
      <c r="BC880" s="25"/>
      <c r="BD880" s="25"/>
      <c r="BE880" s="25"/>
      <c r="BF880" s="25"/>
      <c r="BG880" s="25"/>
      <c r="BH880" s="25"/>
      <c r="BI880" s="25"/>
      <c r="BJ880" s="25"/>
      <c r="BK880" s="25"/>
      <c r="BL880" s="25"/>
      <c r="BM880" s="25"/>
      <c r="BN880" s="25"/>
      <c r="BO880" s="25"/>
      <c r="BP880" s="25"/>
      <c r="BQ880" s="25"/>
      <c r="BR880" s="25"/>
      <c r="BS880" s="25"/>
      <c r="BT880" s="25"/>
      <c r="BU880" s="39">
        <v>45769</v>
      </c>
      <c r="BV880" s="39" t="s">
        <v>1863</v>
      </c>
      <c r="BW880" s="39" t="s">
        <v>2861</v>
      </c>
      <c r="BX880" s="39" t="s">
        <v>2862</v>
      </c>
      <c r="BY880" s="71">
        <v>720</v>
      </c>
      <c r="BZ880" s="71">
        <v>760</v>
      </c>
      <c r="CA880" s="71">
        <v>970</v>
      </c>
      <c r="CB880" s="71">
        <v>1170</v>
      </c>
      <c r="CC880" s="71">
        <v>1550</v>
      </c>
      <c r="CD880" s="25"/>
      <c r="CE880" s="200"/>
      <c r="CF880" s="200"/>
      <c r="CG880" s="200"/>
      <c r="CH880" s="200"/>
      <c r="CI880" s="200"/>
      <c r="CJ880" s="200"/>
      <c r="CK880" s="200"/>
      <c r="CL880" s="200"/>
      <c r="CM880" s="200"/>
      <c r="CN880" s="200"/>
      <c r="CO880" s="200"/>
      <c r="CP880" s="200"/>
      <c r="CQ880" s="200"/>
      <c r="CR880" s="200"/>
      <c r="CS880" s="200"/>
      <c r="CT880" s="200"/>
      <c r="CU880" s="200"/>
    </row>
    <row r="881" spans="1:99" s="17" customFormat="1" x14ac:dyDescent="0.2">
      <c r="A881" s="25"/>
      <c r="B881" s="20">
        <v>39103415300</v>
      </c>
      <c r="C881" s="20">
        <v>4153</v>
      </c>
      <c r="D881" s="20" t="s">
        <v>57</v>
      </c>
      <c r="E881" s="20" t="s">
        <v>2829</v>
      </c>
      <c r="F881" s="20" t="s">
        <v>8</v>
      </c>
      <c r="G881" s="861">
        <v>57.756483609594198</v>
      </c>
      <c r="H881" s="861">
        <v>59.839150668719803</v>
      </c>
      <c r="I881" s="861">
        <v>30.267706525033301</v>
      </c>
      <c r="J881" s="861">
        <v>37.813900597307502</v>
      </c>
      <c r="K881" s="982">
        <v>0</v>
      </c>
      <c r="L881" s="735">
        <v>4294</v>
      </c>
      <c r="M881" s="735">
        <v>4548</v>
      </c>
      <c r="N881" s="845">
        <f t="shared" si="78"/>
        <v>5.9152305542617606E-2</v>
      </c>
      <c r="O881" s="735">
        <v>1.4296366789112402</v>
      </c>
      <c r="P881" s="735">
        <f t="shared" si="79"/>
        <v>3181.2278371758011</v>
      </c>
      <c r="Q881" s="849">
        <v>45.2</v>
      </c>
      <c r="R881" s="71">
        <v>72897</v>
      </c>
      <c r="S881" s="845">
        <v>4.0072447362463209E-2</v>
      </c>
      <c r="T881" s="845">
        <v>1.4999999999999999E-2</v>
      </c>
      <c r="U881" s="845">
        <v>0</v>
      </c>
      <c r="V881" s="845">
        <v>0</v>
      </c>
      <c r="W881" s="845">
        <v>0.40345149253731344</v>
      </c>
      <c r="X881" s="845">
        <v>0.44739884393063584</v>
      </c>
      <c r="Y881" s="845">
        <v>0.93579595426561124</v>
      </c>
      <c r="Z881" s="845">
        <v>9.2348284960422165E-3</v>
      </c>
      <c r="AA881" s="845">
        <v>2.6385224274406332E-3</v>
      </c>
      <c r="AB881" s="845">
        <v>5.9366754617414244E-3</v>
      </c>
      <c r="AC881" s="845">
        <v>0</v>
      </c>
      <c r="AD881" s="845">
        <v>0</v>
      </c>
      <c r="AE881" s="845">
        <v>4.639401934916447E-2</v>
      </c>
      <c r="AF881" s="845">
        <v>4.3315743183817063E-2</v>
      </c>
      <c r="AG881" s="845">
        <v>0.91512752858399293</v>
      </c>
      <c r="AH881" s="20" t="str">
        <f t="shared" si="80"/>
        <v>Yes</v>
      </c>
      <c r="AI881" s="25"/>
      <c r="AJ881" s="20">
        <v>43318</v>
      </c>
      <c r="AK881" s="20" t="s">
        <v>873</v>
      </c>
      <c r="AL881" s="20">
        <v>39021</v>
      </c>
      <c r="AM881" s="20" t="s">
        <v>17</v>
      </c>
      <c r="AN881" s="37" t="str">
        <f t="shared" si="81"/>
        <v>N/A</v>
      </c>
      <c r="AO881" s="37" t="str">
        <f t="shared" si="82"/>
        <v>N/A</v>
      </c>
      <c r="AP881" s="20" t="s">
        <v>8</v>
      </c>
      <c r="AQ881" s="25"/>
      <c r="AR881" s="25"/>
      <c r="AS881" s="25"/>
      <c r="AT881" s="25"/>
      <c r="AU881" s="36"/>
      <c r="AV881" s="36"/>
      <c r="AW881" s="36"/>
      <c r="AX881" s="25"/>
      <c r="AY881" s="25"/>
      <c r="AZ881" s="25"/>
      <c r="BA881" s="25"/>
      <c r="BB881" s="25"/>
      <c r="BC881" s="25"/>
      <c r="BD881" s="25"/>
      <c r="BE881" s="25"/>
      <c r="BF881" s="25"/>
      <c r="BG881" s="25"/>
      <c r="BH881" s="25"/>
      <c r="BI881" s="25"/>
      <c r="BJ881" s="25"/>
      <c r="BK881" s="25"/>
      <c r="BL881" s="25"/>
      <c r="BM881" s="25"/>
      <c r="BN881" s="25"/>
      <c r="BO881" s="25"/>
      <c r="BP881" s="25"/>
      <c r="BQ881" s="25"/>
      <c r="BR881" s="25"/>
      <c r="BS881" s="25"/>
      <c r="BT881" s="25"/>
      <c r="BU881" s="39">
        <v>45770</v>
      </c>
      <c r="BV881" s="39" t="s">
        <v>1864</v>
      </c>
      <c r="BW881" s="39" t="s">
        <v>2861</v>
      </c>
      <c r="BX881" s="39" t="s">
        <v>2862</v>
      </c>
      <c r="BY881" s="71">
        <v>760</v>
      </c>
      <c r="BZ881" s="71">
        <v>810</v>
      </c>
      <c r="CA881" s="71">
        <v>1010</v>
      </c>
      <c r="CB881" s="71">
        <v>1250</v>
      </c>
      <c r="CC881" s="71">
        <v>1530</v>
      </c>
      <c r="CD881" s="25"/>
      <c r="CE881" s="200"/>
      <c r="CF881" s="200"/>
      <c r="CG881" s="200"/>
      <c r="CH881" s="200"/>
      <c r="CI881" s="200"/>
      <c r="CJ881" s="200"/>
      <c r="CK881" s="200"/>
      <c r="CL881" s="200"/>
      <c r="CM881" s="200"/>
      <c r="CN881" s="200"/>
      <c r="CO881" s="200"/>
      <c r="CP881" s="200"/>
      <c r="CQ881" s="200"/>
      <c r="CR881" s="200"/>
      <c r="CS881" s="200"/>
      <c r="CT881" s="200"/>
      <c r="CU881" s="200"/>
    </row>
    <row r="882" spans="1:99" s="17" customFormat="1" x14ac:dyDescent="0.2">
      <c r="A882" s="25"/>
      <c r="B882" s="20">
        <v>39017011111</v>
      </c>
      <c r="C882" s="20">
        <v>111.11</v>
      </c>
      <c r="D882" s="20" t="s">
        <v>15</v>
      </c>
      <c r="E882" s="20" t="s">
        <v>2828</v>
      </c>
      <c r="F882" s="20" t="s">
        <v>8</v>
      </c>
      <c r="G882" s="861">
        <v>57.7389403393911</v>
      </c>
      <c r="H882" s="861">
        <v>58.644889942045701</v>
      </c>
      <c r="I882" s="861">
        <v>23.9043228963369</v>
      </c>
      <c r="J882" s="861">
        <v>42.4477753674214</v>
      </c>
      <c r="K882" s="982">
        <v>0</v>
      </c>
      <c r="L882" s="735">
        <v>6831</v>
      </c>
      <c r="M882" s="735">
        <v>6174</v>
      </c>
      <c r="N882" s="845">
        <f t="shared" si="78"/>
        <v>-9.6179183135704879E-2</v>
      </c>
      <c r="O882" s="735">
        <v>3.0295919003272953</v>
      </c>
      <c r="P882" s="735">
        <f t="shared" si="79"/>
        <v>2037.8982394734437</v>
      </c>
      <c r="Q882" s="849">
        <v>45.5</v>
      </c>
      <c r="R882" s="71">
        <v>106250</v>
      </c>
      <c r="S882" s="845">
        <v>6.9476457029963787E-2</v>
      </c>
      <c r="T882" s="845">
        <v>3.5000000000000003E-2</v>
      </c>
      <c r="U882" s="845">
        <v>0</v>
      </c>
      <c r="V882" s="845">
        <v>0.20199999999999999</v>
      </c>
      <c r="W882" s="845">
        <v>0.11252653927813164</v>
      </c>
      <c r="X882" s="845">
        <v>0.66415094339622638</v>
      </c>
      <c r="Y882" s="845">
        <v>0.85147392290249435</v>
      </c>
      <c r="Z882" s="845">
        <v>4.2597991577583413E-2</v>
      </c>
      <c r="AA882" s="845">
        <v>9.7181729834791054E-4</v>
      </c>
      <c r="AB882" s="845">
        <v>8.0336896663427276E-2</v>
      </c>
      <c r="AC882" s="845">
        <v>0</v>
      </c>
      <c r="AD882" s="845">
        <v>0</v>
      </c>
      <c r="AE882" s="845">
        <v>2.4619371558147068E-2</v>
      </c>
      <c r="AF882" s="845">
        <v>5.2802073210236479E-2</v>
      </c>
      <c r="AG882" s="845">
        <v>0.81746031746031744</v>
      </c>
      <c r="AH882" s="20" t="str">
        <f t="shared" si="80"/>
        <v>No</v>
      </c>
      <c r="AI882" s="25"/>
      <c r="AJ882" s="20">
        <v>43343</v>
      </c>
      <c r="AK882" s="20" t="s">
        <v>893</v>
      </c>
      <c r="AL882" s="20">
        <v>39021</v>
      </c>
      <c r="AM882" s="20" t="s">
        <v>17</v>
      </c>
      <c r="AN882" s="37" t="str">
        <f t="shared" si="81"/>
        <v>N/A</v>
      </c>
      <c r="AO882" s="37" t="str">
        <f t="shared" si="82"/>
        <v>N/A</v>
      </c>
      <c r="AP882" s="20" t="s">
        <v>8</v>
      </c>
      <c r="AQ882" s="25"/>
      <c r="AR882" s="25"/>
      <c r="AS882" s="25"/>
      <c r="AT882" s="25"/>
      <c r="AU882" s="36"/>
      <c r="AV882" s="36"/>
      <c r="AW882" s="36"/>
      <c r="AX882" s="25"/>
      <c r="AY882" s="25"/>
      <c r="AZ882" s="25"/>
      <c r="BA882" s="25"/>
      <c r="BB882" s="25"/>
      <c r="BC882" s="25"/>
      <c r="BD882" s="25"/>
      <c r="BE882" s="25"/>
      <c r="BF882" s="25"/>
      <c r="BG882" s="25"/>
      <c r="BH882" s="25"/>
      <c r="BI882" s="25"/>
      <c r="BJ882" s="25"/>
      <c r="BK882" s="25"/>
      <c r="BL882" s="25"/>
      <c r="BM882" s="25"/>
      <c r="BN882" s="25"/>
      <c r="BO882" s="25"/>
      <c r="BP882" s="25"/>
      <c r="BQ882" s="25"/>
      <c r="BR882" s="25"/>
      <c r="BS882" s="25"/>
      <c r="BT882" s="25"/>
      <c r="BU882" s="39">
        <v>45771</v>
      </c>
      <c r="BV882" s="39" t="s">
        <v>1865</v>
      </c>
      <c r="BW882" s="39" t="s">
        <v>2861</v>
      </c>
      <c r="BX882" s="39" t="s">
        <v>2862</v>
      </c>
      <c r="BY882" s="71">
        <v>760</v>
      </c>
      <c r="BZ882" s="71">
        <v>800</v>
      </c>
      <c r="CA882" s="71">
        <v>1020</v>
      </c>
      <c r="CB882" s="71">
        <v>1220</v>
      </c>
      <c r="CC882" s="71">
        <v>1630</v>
      </c>
      <c r="CD882" s="25"/>
      <c r="CE882" s="200"/>
      <c r="CF882" s="200"/>
      <c r="CG882" s="200"/>
      <c r="CH882" s="200"/>
      <c r="CI882" s="200"/>
      <c r="CJ882" s="200"/>
      <c r="CK882" s="200"/>
      <c r="CL882" s="200"/>
      <c r="CM882" s="200"/>
      <c r="CN882" s="200"/>
      <c r="CO882" s="200"/>
      <c r="CP882" s="200"/>
      <c r="CQ882" s="200"/>
      <c r="CR882" s="200"/>
      <c r="CS882" s="200"/>
      <c r="CT882" s="200"/>
      <c r="CU882" s="200"/>
    </row>
    <row r="883" spans="1:99" s="17" customFormat="1" x14ac:dyDescent="0.2">
      <c r="A883" s="25"/>
      <c r="B883" s="20">
        <v>39063000700</v>
      </c>
      <c r="C883" s="20">
        <v>7</v>
      </c>
      <c r="D883" s="20" t="s">
        <v>38</v>
      </c>
      <c r="E883" s="20" t="s">
        <v>265</v>
      </c>
      <c r="F883" s="20" t="s">
        <v>8</v>
      </c>
      <c r="G883" s="861">
        <v>57.720483784126898</v>
      </c>
      <c r="H883" s="861">
        <v>50.739821650079101</v>
      </c>
      <c r="I883" s="861">
        <v>33.934831020298503</v>
      </c>
      <c r="J883" s="861">
        <v>40.232046335728398</v>
      </c>
      <c r="K883" s="982">
        <v>0</v>
      </c>
      <c r="L883" s="735">
        <v>5713</v>
      </c>
      <c r="M883" s="735">
        <v>6068</v>
      </c>
      <c r="N883" s="845">
        <f t="shared" si="78"/>
        <v>6.2138981270785924E-2</v>
      </c>
      <c r="O883" s="735">
        <v>3.2397650659485073</v>
      </c>
      <c r="P883" s="735">
        <f t="shared" si="79"/>
        <v>1872.9753165677366</v>
      </c>
      <c r="Q883" s="849">
        <v>44.4</v>
      </c>
      <c r="R883" s="71">
        <v>106985</v>
      </c>
      <c r="S883" s="845">
        <v>6.803984467330744E-2</v>
      </c>
      <c r="T883" s="845">
        <v>3.1E-2</v>
      </c>
      <c r="U883" s="845">
        <v>0</v>
      </c>
      <c r="V883" s="845">
        <v>0.17600000000000002</v>
      </c>
      <c r="W883" s="845">
        <v>0.16054313099041534</v>
      </c>
      <c r="X883" s="845">
        <v>0.34079601990049752</v>
      </c>
      <c r="Y883" s="845">
        <v>0.89469347396176668</v>
      </c>
      <c r="Z883" s="845">
        <v>2.4060646011865524E-2</v>
      </c>
      <c r="AA883" s="845">
        <v>0</v>
      </c>
      <c r="AB883" s="845">
        <v>3.9716545814106788E-2</v>
      </c>
      <c r="AC883" s="845">
        <v>0</v>
      </c>
      <c r="AD883" s="845">
        <v>1.2689518787079763E-2</v>
      </c>
      <c r="AE883" s="845">
        <v>2.883981542518128E-2</v>
      </c>
      <c r="AF883" s="845">
        <v>7.3500329597890574E-2</v>
      </c>
      <c r="AG883" s="845">
        <v>0.83816743572841135</v>
      </c>
      <c r="AH883" s="20" t="str">
        <f t="shared" si="80"/>
        <v>No</v>
      </c>
      <c r="AI883" s="25"/>
      <c r="AJ883" s="37">
        <v>43357</v>
      </c>
      <c r="AK883" s="37" t="s">
        <v>902</v>
      </c>
      <c r="AL883" s="37">
        <v>39021</v>
      </c>
      <c r="AM883" s="37" t="s">
        <v>17</v>
      </c>
      <c r="AN883" s="37" t="str">
        <f t="shared" si="81"/>
        <v>N/A</v>
      </c>
      <c r="AO883" s="37" t="str">
        <f t="shared" si="82"/>
        <v>N/A</v>
      </c>
      <c r="AP883" s="20" t="s">
        <v>8</v>
      </c>
      <c r="AQ883" s="25"/>
      <c r="AR883" s="25"/>
      <c r="AS883" s="25"/>
      <c r="AT883" s="25"/>
      <c r="AU883" s="36"/>
      <c r="AV883" s="36"/>
      <c r="AW883" s="36"/>
      <c r="AX883" s="25"/>
      <c r="AY883" s="25"/>
      <c r="AZ883" s="25"/>
      <c r="BA883" s="25"/>
      <c r="BB883" s="25"/>
      <c r="BC883" s="25"/>
      <c r="BD883" s="25"/>
      <c r="BE883" s="25"/>
      <c r="BF883" s="25"/>
      <c r="BG883" s="25"/>
      <c r="BH883" s="25"/>
      <c r="BI883" s="25"/>
      <c r="BJ883" s="25"/>
      <c r="BK883" s="25"/>
      <c r="BL883" s="25"/>
      <c r="BM883" s="25"/>
      <c r="BN883" s="25"/>
      <c r="BO883" s="25"/>
      <c r="BP883" s="25"/>
      <c r="BQ883" s="25"/>
      <c r="BR883" s="25"/>
      <c r="BS883" s="25"/>
      <c r="BT883" s="25"/>
      <c r="BU883" s="39">
        <v>45772</v>
      </c>
      <c r="BV883" s="39" t="s">
        <v>1866</v>
      </c>
      <c r="BW883" s="39" t="s">
        <v>2861</v>
      </c>
      <c r="BX883" s="39" t="s">
        <v>2862</v>
      </c>
      <c r="BY883" s="71">
        <v>770</v>
      </c>
      <c r="BZ883" s="71">
        <v>790</v>
      </c>
      <c r="CA883" s="71">
        <v>990</v>
      </c>
      <c r="CB883" s="71">
        <v>1210</v>
      </c>
      <c r="CC883" s="71">
        <v>1460</v>
      </c>
      <c r="CD883" s="25"/>
      <c r="CE883" s="200"/>
      <c r="CF883" s="200"/>
      <c r="CG883" s="200"/>
      <c r="CH883" s="200"/>
      <c r="CI883" s="200"/>
      <c r="CJ883" s="200"/>
      <c r="CK883" s="200"/>
      <c r="CL883" s="200"/>
      <c r="CM883" s="200"/>
      <c r="CN883" s="200"/>
      <c r="CO883" s="200"/>
      <c r="CP883" s="200"/>
      <c r="CQ883" s="200"/>
      <c r="CR883" s="200"/>
      <c r="CS883" s="200"/>
      <c r="CT883" s="200"/>
      <c r="CU883" s="200"/>
    </row>
    <row r="884" spans="1:99" s="17" customFormat="1" x14ac:dyDescent="0.2">
      <c r="A884" s="25"/>
      <c r="B884" s="20">
        <v>39049006352</v>
      </c>
      <c r="C884" s="20">
        <v>63.52</v>
      </c>
      <c r="D884" s="20" t="s">
        <v>31</v>
      </c>
      <c r="E884" s="20" t="s">
        <v>2830</v>
      </c>
      <c r="F884" s="20" t="s">
        <v>8</v>
      </c>
      <c r="G884" s="861">
        <v>57.693895605392498</v>
      </c>
      <c r="H884" s="861">
        <v>78.6642439805576</v>
      </c>
      <c r="I884" s="861">
        <v>41.713412237450697</v>
      </c>
      <c r="J884" s="861">
        <v>52.664969522155999</v>
      </c>
      <c r="K884" s="982">
        <v>0</v>
      </c>
      <c r="L884" s="735">
        <v>2983</v>
      </c>
      <c r="M884" s="735">
        <v>3594</v>
      </c>
      <c r="N884" s="845">
        <f t="shared" si="78"/>
        <v>0.20482735501173316</v>
      </c>
      <c r="O884" s="735">
        <v>0.31795474149879399</v>
      </c>
      <c r="P884" s="735">
        <f t="shared" si="79"/>
        <v>11303.495532283585</v>
      </c>
      <c r="Q884" s="849">
        <v>28</v>
      </c>
      <c r="R884" s="71">
        <v>60050</v>
      </c>
      <c r="S884" s="845">
        <v>0.13828603227601557</v>
      </c>
      <c r="T884" s="845">
        <v>2.1000000000000001E-2</v>
      </c>
      <c r="U884" s="845">
        <v>0</v>
      </c>
      <c r="V884" s="845">
        <v>0</v>
      </c>
      <c r="W884" s="845">
        <v>0.95140664961636834</v>
      </c>
      <c r="X884" s="845">
        <v>0.41236559139784945</v>
      </c>
      <c r="Y884" s="845">
        <v>0.61352253756260433</v>
      </c>
      <c r="Z884" s="845">
        <v>0.10350584307178631</v>
      </c>
      <c r="AA884" s="845">
        <v>4.7301057317751805E-3</v>
      </c>
      <c r="AB884" s="845">
        <v>0.17473567056204786</v>
      </c>
      <c r="AC884" s="845">
        <v>0</v>
      </c>
      <c r="AD884" s="845">
        <v>1.4190317195325543E-2</v>
      </c>
      <c r="AE884" s="845">
        <v>8.9315525876460772E-2</v>
      </c>
      <c r="AF884" s="845">
        <v>4.757929883138564E-2</v>
      </c>
      <c r="AG884" s="845">
        <v>0.60072342793544797</v>
      </c>
      <c r="AH884" s="20" t="str">
        <f t="shared" si="80"/>
        <v>No</v>
      </c>
      <c r="AI884" s="25"/>
      <c r="AJ884" s="37">
        <v>45312</v>
      </c>
      <c r="AK884" s="37" t="s">
        <v>1666</v>
      </c>
      <c r="AL884" s="37">
        <v>39021</v>
      </c>
      <c r="AM884" s="37" t="s">
        <v>17</v>
      </c>
      <c r="AN884" s="37" t="str">
        <f t="shared" si="81"/>
        <v>N/A</v>
      </c>
      <c r="AO884" s="37" t="str">
        <f t="shared" si="82"/>
        <v>N/A</v>
      </c>
      <c r="AP884" s="20" t="s">
        <v>8</v>
      </c>
      <c r="AQ884" s="25"/>
      <c r="AR884" s="25"/>
      <c r="AS884" s="25"/>
      <c r="AT884" s="25"/>
      <c r="AU884" s="36"/>
      <c r="AV884" s="36"/>
      <c r="AW884" s="36"/>
      <c r="AX884" s="25"/>
      <c r="AY884" s="25"/>
      <c r="AZ884" s="25"/>
      <c r="BA884" s="25"/>
      <c r="BB884" s="25"/>
      <c r="BC884" s="25"/>
      <c r="BD884" s="25"/>
      <c r="BE884" s="25"/>
      <c r="BF884" s="25"/>
      <c r="BG884" s="25"/>
      <c r="BH884" s="25"/>
      <c r="BI884" s="25"/>
      <c r="BJ884" s="25"/>
      <c r="BK884" s="25"/>
      <c r="BL884" s="25"/>
      <c r="BM884" s="25"/>
      <c r="BN884" s="25"/>
      <c r="BO884" s="25"/>
      <c r="BP884" s="25"/>
      <c r="BQ884" s="25"/>
      <c r="BR884" s="25"/>
      <c r="BS884" s="25"/>
      <c r="BT884" s="25"/>
      <c r="BU884" s="39">
        <v>45775</v>
      </c>
      <c r="BV884" s="39" t="s">
        <v>1868</v>
      </c>
      <c r="BW884" s="39" t="s">
        <v>2861</v>
      </c>
      <c r="BX884" s="39" t="s">
        <v>2862</v>
      </c>
      <c r="BY884" s="71">
        <v>790</v>
      </c>
      <c r="BZ884" s="71">
        <v>860</v>
      </c>
      <c r="CA884" s="71">
        <v>1080</v>
      </c>
      <c r="CB884" s="71">
        <v>1290</v>
      </c>
      <c r="CC884" s="71">
        <v>1800</v>
      </c>
      <c r="CD884" s="25"/>
      <c r="CE884" s="200"/>
      <c r="CF884" s="200"/>
      <c r="CG884" s="200"/>
      <c r="CH884" s="200"/>
      <c r="CI884" s="200"/>
      <c r="CJ884" s="200"/>
      <c r="CK884" s="200"/>
      <c r="CL884" s="200"/>
      <c r="CM884" s="200"/>
      <c r="CN884" s="200"/>
      <c r="CO884" s="200"/>
      <c r="CP884" s="200"/>
      <c r="CQ884" s="200"/>
      <c r="CR884" s="200"/>
      <c r="CS884" s="200"/>
      <c r="CT884" s="200"/>
      <c r="CU884" s="200"/>
    </row>
    <row r="885" spans="1:99" s="17" customFormat="1" x14ac:dyDescent="0.2">
      <c r="A885" s="25"/>
      <c r="B885" s="20">
        <v>39093013202</v>
      </c>
      <c r="C885" s="20">
        <v>132.02000000000001</v>
      </c>
      <c r="D885" s="20" t="s">
        <v>52</v>
      </c>
      <c r="E885" s="20" t="s">
        <v>2829</v>
      </c>
      <c r="F885" s="20" t="s">
        <v>8</v>
      </c>
      <c r="G885" s="861">
        <v>57.6928822053491</v>
      </c>
      <c r="H885" s="861">
        <v>52.896853592928302</v>
      </c>
      <c r="I885" s="861">
        <v>39.589565562168403</v>
      </c>
      <c r="J885" s="861">
        <v>15.980955087885</v>
      </c>
      <c r="K885" s="982">
        <v>0</v>
      </c>
      <c r="L885" s="735" t="s">
        <v>2466</v>
      </c>
      <c r="M885" s="735">
        <v>5847</v>
      </c>
      <c r="N885" s="845" t="str">
        <f t="shared" si="78"/>
        <v/>
      </c>
      <c r="O885" s="735">
        <v>4.3637879866560469</v>
      </c>
      <c r="P885" s="735">
        <f t="shared" si="79"/>
        <v>1339.8909428871068</v>
      </c>
      <c r="Q885" s="849">
        <v>35.5</v>
      </c>
      <c r="R885" s="71">
        <v>74063</v>
      </c>
      <c r="S885" s="845">
        <v>0.11167601683029453</v>
      </c>
      <c r="T885" s="845">
        <v>0.03</v>
      </c>
      <c r="U885" s="845">
        <v>0</v>
      </c>
      <c r="V885" s="845">
        <v>0</v>
      </c>
      <c r="W885" s="845">
        <v>0.28537170263788969</v>
      </c>
      <c r="X885" s="845">
        <v>0.16526610644257703</v>
      </c>
      <c r="Y885" s="845">
        <v>0.85855994527107915</v>
      </c>
      <c r="Z885" s="845">
        <v>2.3772874978621517E-2</v>
      </c>
      <c r="AA885" s="845">
        <v>0</v>
      </c>
      <c r="AB885" s="845">
        <v>2.3259791345989395E-2</v>
      </c>
      <c r="AC885" s="845">
        <v>0</v>
      </c>
      <c r="AD885" s="845">
        <v>9.2355053873781432E-3</v>
      </c>
      <c r="AE885" s="845">
        <v>8.5171883016931765E-2</v>
      </c>
      <c r="AF885" s="845">
        <v>7.2857875833760896E-2</v>
      </c>
      <c r="AG885" s="845">
        <v>0.82281511886437486</v>
      </c>
      <c r="AH885" s="20" t="str">
        <f t="shared" si="80"/>
        <v>No</v>
      </c>
      <c r="AI885" s="25"/>
      <c r="AJ885" s="37">
        <v>45317</v>
      </c>
      <c r="AK885" s="37" t="s">
        <v>1670</v>
      </c>
      <c r="AL885" s="37">
        <v>39021</v>
      </c>
      <c r="AM885" s="37" t="s">
        <v>17</v>
      </c>
      <c r="AN885" s="37" t="str">
        <f t="shared" si="81"/>
        <v>N/A</v>
      </c>
      <c r="AO885" s="37" t="str">
        <f t="shared" si="82"/>
        <v>N/A</v>
      </c>
      <c r="AP885" s="20" t="s">
        <v>8</v>
      </c>
      <c r="AQ885" s="25"/>
      <c r="AR885" s="25"/>
      <c r="AS885" s="25"/>
      <c r="AT885" s="25"/>
      <c r="AU885" s="36"/>
      <c r="AV885" s="36"/>
      <c r="AW885" s="36"/>
      <c r="AX885" s="25"/>
      <c r="AY885" s="25"/>
      <c r="AZ885" s="25"/>
      <c r="BA885" s="25"/>
      <c r="BB885" s="25"/>
      <c r="BC885" s="25"/>
      <c r="BD885" s="25"/>
      <c r="BE885" s="25"/>
      <c r="BF885" s="25"/>
      <c r="BG885" s="25"/>
      <c r="BH885" s="25"/>
      <c r="BI885" s="25"/>
      <c r="BJ885" s="25"/>
      <c r="BK885" s="25"/>
      <c r="BL885" s="25"/>
      <c r="BM885" s="25"/>
      <c r="BN885" s="25"/>
      <c r="BO885" s="25"/>
      <c r="BP885" s="25"/>
      <c r="BQ885" s="25"/>
      <c r="BR885" s="25"/>
      <c r="BS885" s="25"/>
      <c r="BT885" s="25"/>
      <c r="BU885" s="39">
        <v>45779</v>
      </c>
      <c r="BV885" s="39" t="s">
        <v>1871</v>
      </c>
      <c r="BW885" s="39" t="s">
        <v>2861</v>
      </c>
      <c r="BX885" s="39" t="s">
        <v>2862</v>
      </c>
      <c r="BY885" s="71">
        <v>750</v>
      </c>
      <c r="BZ885" s="71">
        <v>790</v>
      </c>
      <c r="CA885" s="71">
        <v>1010</v>
      </c>
      <c r="CB885" s="71">
        <v>1210</v>
      </c>
      <c r="CC885" s="71">
        <v>1610</v>
      </c>
      <c r="CD885" s="25"/>
      <c r="CE885" s="200"/>
      <c r="CF885" s="200"/>
      <c r="CG885" s="200"/>
      <c r="CH885" s="200"/>
      <c r="CI885" s="200"/>
      <c r="CJ885" s="200"/>
      <c r="CK885" s="200"/>
      <c r="CL885" s="200"/>
      <c r="CM885" s="200"/>
      <c r="CN885" s="200"/>
      <c r="CO885" s="200"/>
      <c r="CP885" s="200"/>
      <c r="CQ885" s="200"/>
      <c r="CR885" s="200"/>
      <c r="CS885" s="200"/>
      <c r="CT885" s="200"/>
      <c r="CU885" s="200"/>
    </row>
    <row r="886" spans="1:99" s="17" customFormat="1" x14ac:dyDescent="0.2">
      <c r="A886" s="25"/>
      <c r="B886" s="20">
        <v>39035177303</v>
      </c>
      <c r="C886" s="20">
        <v>1773.03</v>
      </c>
      <c r="D886" s="20" t="s">
        <v>24</v>
      </c>
      <c r="E886" s="20" t="s">
        <v>2829</v>
      </c>
      <c r="F886" s="20" t="s">
        <v>8</v>
      </c>
      <c r="G886" s="861">
        <v>57.686676266445097</v>
      </c>
      <c r="H886" s="861">
        <v>66.502663883973</v>
      </c>
      <c r="I886" s="861">
        <v>28.5736619078933</v>
      </c>
      <c r="J886" s="861">
        <v>43.347470486104399</v>
      </c>
      <c r="K886" s="982">
        <v>0</v>
      </c>
      <c r="L886" s="735">
        <v>4816</v>
      </c>
      <c r="M886" s="735">
        <v>4847</v>
      </c>
      <c r="N886" s="845">
        <f t="shared" si="78"/>
        <v>6.4368770764119598E-3</v>
      </c>
      <c r="O886" s="735">
        <v>0.62603839521101123</v>
      </c>
      <c r="P886" s="735">
        <f t="shared" si="79"/>
        <v>7742.3366315516159</v>
      </c>
      <c r="Q886" s="849">
        <v>46.3</v>
      </c>
      <c r="R886" s="71">
        <v>62979</v>
      </c>
      <c r="S886" s="845">
        <v>0.10501341035692181</v>
      </c>
      <c r="T886" s="845">
        <v>5.2000000000000005E-2</v>
      </c>
      <c r="U886" s="845">
        <v>0</v>
      </c>
      <c r="V886" s="845">
        <v>0</v>
      </c>
      <c r="W886" s="845">
        <v>0.1765704584040747</v>
      </c>
      <c r="X886" s="845">
        <v>0.37980769230769229</v>
      </c>
      <c r="Y886" s="845">
        <v>0.92428306168764185</v>
      </c>
      <c r="Z886" s="845">
        <v>6.1893955023726013E-3</v>
      </c>
      <c r="AA886" s="845">
        <v>0</v>
      </c>
      <c r="AB886" s="845">
        <v>2.3932329275840727E-2</v>
      </c>
      <c r="AC886" s="845">
        <v>0</v>
      </c>
      <c r="AD886" s="845">
        <v>1.0315659170621002E-3</v>
      </c>
      <c r="AE886" s="845">
        <v>4.456364761708273E-2</v>
      </c>
      <c r="AF886" s="845">
        <v>6.0862389106663917E-2</v>
      </c>
      <c r="AG886" s="845">
        <v>0.89684340829378995</v>
      </c>
      <c r="AH886" s="20" t="str">
        <f t="shared" si="80"/>
        <v>No</v>
      </c>
      <c r="AI886" s="25"/>
      <c r="AJ886" s="20">
        <v>45344</v>
      </c>
      <c r="AK886" s="20" t="s">
        <v>1695</v>
      </c>
      <c r="AL886" s="20">
        <v>39021</v>
      </c>
      <c r="AM886" s="20" t="s">
        <v>17</v>
      </c>
      <c r="AN886" s="37" t="str">
        <f t="shared" si="81"/>
        <v>N/A</v>
      </c>
      <c r="AO886" s="37" t="str">
        <f t="shared" si="82"/>
        <v>N/A</v>
      </c>
      <c r="AP886" s="20" t="s">
        <v>8</v>
      </c>
      <c r="AQ886" s="25"/>
      <c r="AR886" s="25"/>
      <c r="AS886" s="25"/>
      <c r="AT886" s="25"/>
      <c r="AU886" s="36"/>
      <c r="AV886" s="36"/>
      <c r="AW886" s="36"/>
      <c r="AX886" s="25"/>
      <c r="AY886" s="25"/>
      <c r="AZ886" s="25"/>
      <c r="BA886" s="25"/>
      <c r="BB886" s="25"/>
      <c r="BC886" s="25"/>
      <c r="BD886" s="25"/>
      <c r="BE886" s="25"/>
      <c r="BF886" s="25"/>
      <c r="BG886" s="25"/>
      <c r="BH886" s="25"/>
      <c r="BI886" s="25"/>
      <c r="BJ886" s="25"/>
      <c r="BK886" s="25"/>
      <c r="BL886" s="25"/>
      <c r="BM886" s="25"/>
      <c r="BN886" s="25"/>
      <c r="BO886" s="25"/>
      <c r="BP886" s="25"/>
      <c r="BQ886" s="25"/>
      <c r="BR886" s="25"/>
      <c r="BS886" s="25"/>
      <c r="BT886" s="25"/>
      <c r="BU886" s="39">
        <v>45783</v>
      </c>
      <c r="BV886" s="39" t="s">
        <v>1874</v>
      </c>
      <c r="BW886" s="39" t="s">
        <v>2861</v>
      </c>
      <c r="BX886" s="39" t="s">
        <v>2862</v>
      </c>
      <c r="BY886" s="71">
        <v>790</v>
      </c>
      <c r="BZ886" s="71">
        <v>800</v>
      </c>
      <c r="CA886" s="71">
        <v>970</v>
      </c>
      <c r="CB886" s="71">
        <v>1190</v>
      </c>
      <c r="CC886" s="71">
        <v>1370</v>
      </c>
      <c r="CD886" s="25"/>
      <c r="CE886" s="200"/>
      <c r="CF886" s="200"/>
      <c r="CG886" s="200"/>
      <c r="CH886" s="200"/>
      <c r="CI886" s="200"/>
      <c r="CJ886" s="200"/>
      <c r="CK886" s="200"/>
      <c r="CL886" s="200"/>
      <c r="CM886" s="200"/>
      <c r="CN886" s="200"/>
      <c r="CO886" s="200"/>
      <c r="CP886" s="200"/>
      <c r="CQ886" s="200"/>
      <c r="CR886" s="200"/>
      <c r="CS886" s="200"/>
      <c r="CT886" s="200"/>
      <c r="CU886" s="200"/>
    </row>
    <row r="887" spans="1:99" s="17" customFormat="1" x14ac:dyDescent="0.2">
      <c r="A887" s="25"/>
      <c r="B887" s="20">
        <v>39045032704</v>
      </c>
      <c r="C887" s="20">
        <v>327.04000000000002</v>
      </c>
      <c r="D887" s="20" t="s">
        <v>29</v>
      </c>
      <c r="E887" s="20" t="s">
        <v>2830</v>
      </c>
      <c r="F887" s="20" t="s">
        <v>6</v>
      </c>
      <c r="G887" s="861">
        <v>57.680135158248099</v>
      </c>
      <c r="H887" s="861">
        <v>42.913656857274397</v>
      </c>
      <c r="I887" s="861">
        <v>47.530548320346703</v>
      </c>
      <c r="J887" s="861">
        <v>53.043148928389797</v>
      </c>
      <c r="K887" s="982">
        <v>0</v>
      </c>
      <c r="L887" s="735" t="s">
        <v>2466</v>
      </c>
      <c r="M887" s="735">
        <v>4097</v>
      </c>
      <c r="N887" s="845" t="str">
        <f t="shared" si="78"/>
        <v/>
      </c>
      <c r="O887" s="735">
        <v>1.6716837360307419</v>
      </c>
      <c r="P887" s="735">
        <f t="shared" si="79"/>
        <v>2450.822432314827</v>
      </c>
      <c r="Q887" s="849">
        <v>35.200000000000003</v>
      </c>
      <c r="R887" s="71">
        <v>44424</v>
      </c>
      <c r="S887" s="845">
        <v>0.18777070063694268</v>
      </c>
      <c r="T887" s="845">
        <v>1.4999999999999999E-2</v>
      </c>
      <c r="U887" s="845">
        <v>0</v>
      </c>
      <c r="V887" s="845">
        <v>3.9E-2</v>
      </c>
      <c r="W887" s="845">
        <v>0.95419454451878538</v>
      </c>
      <c r="X887" s="845">
        <v>0.47572815533980584</v>
      </c>
      <c r="Y887" s="845">
        <v>0.44837686111789116</v>
      </c>
      <c r="Z887" s="845">
        <v>0.29338540395411278</v>
      </c>
      <c r="AA887" s="845">
        <v>1.4644862094215279E-3</v>
      </c>
      <c r="AB887" s="845">
        <v>0.12204051745179399</v>
      </c>
      <c r="AC887" s="845">
        <v>0</v>
      </c>
      <c r="AD887" s="845">
        <v>0.10934830363680742</v>
      </c>
      <c r="AE887" s="845">
        <v>2.5384427629973151E-2</v>
      </c>
      <c r="AF887" s="845">
        <v>0.18403710031730536</v>
      </c>
      <c r="AG887" s="845">
        <v>0.38686844032218698</v>
      </c>
      <c r="AH887" s="20" t="str">
        <f t="shared" si="80"/>
        <v>No</v>
      </c>
      <c r="AI887" s="25"/>
      <c r="AJ887" s="20">
        <v>45365</v>
      </c>
      <c r="AK887" s="20" t="s">
        <v>1713</v>
      </c>
      <c r="AL887" s="20">
        <v>39021</v>
      </c>
      <c r="AM887" s="20" t="s">
        <v>17</v>
      </c>
      <c r="AN887" s="37" t="str">
        <f t="shared" si="81"/>
        <v>N/A</v>
      </c>
      <c r="AO887" s="37" t="str">
        <f t="shared" si="82"/>
        <v>N/A</v>
      </c>
      <c r="AP887" s="20" t="s">
        <v>8</v>
      </c>
      <c r="AQ887" s="25"/>
      <c r="AR887" s="25"/>
      <c r="AS887" s="25"/>
      <c r="AT887" s="25"/>
      <c r="AU887" s="36"/>
      <c r="AV887" s="36"/>
      <c r="AW887" s="36"/>
      <c r="AX887" s="25"/>
      <c r="AY887" s="25"/>
      <c r="AZ887" s="25"/>
      <c r="BA887" s="25"/>
      <c r="BB887" s="25"/>
      <c r="BC887" s="25"/>
      <c r="BD887" s="25"/>
      <c r="BE887" s="25"/>
      <c r="BF887" s="25"/>
      <c r="BG887" s="25"/>
      <c r="BH887" s="25"/>
      <c r="BI887" s="25"/>
      <c r="BJ887" s="25"/>
      <c r="BK887" s="25"/>
      <c r="BL887" s="25"/>
      <c r="BM887" s="25"/>
      <c r="BN887" s="25"/>
      <c r="BO887" s="25"/>
      <c r="BP887" s="25"/>
      <c r="BQ887" s="25"/>
      <c r="BR887" s="25"/>
      <c r="BS887" s="25"/>
      <c r="BT887" s="25"/>
      <c r="BU887" s="39">
        <v>45826</v>
      </c>
      <c r="BV887" s="39" t="s">
        <v>1897</v>
      </c>
      <c r="BW887" s="39" t="s">
        <v>2970</v>
      </c>
      <c r="BX887" s="39" t="s">
        <v>2971</v>
      </c>
      <c r="BY887" s="71">
        <v>740</v>
      </c>
      <c r="BZ887" s="71">
        <v>780</v>
      </c>
      <c r="CA887" s="71">
        <v>970</v>
      </c>
      <c r="CB887" s="71">
        <v>1270</v>
      </c>
      <c r="CC887" s="71">
        <v>1290</v>
      </c>
      <c r="CD887" s="25"/>
      <c r="CE887" s="200"/>
      <c r="CF887" s="200"/>
      <c r="CG887" s="200"/>
      <c r="CH887" s="200"/>
      <c r="CI887" s="200"/>
      <c r="CJ887" s="200"/>
      <c r="CK887" s="200"/>
      <c r="CL887" s="200"/>
      <c r="CM887" s="200"/>
      <c r="CN887" s="200"/>
      <c r="CO887" s="200"/>
      <c r="CP887" s="200"/>
      <c r="CQ887" s="200"/>
      <c r="CR887" s="200"/>
      <c r="CS887" s="200"/>
      <c r="CT887" s="200"/>
      <c r="CU887" s="200"/>
    </row>
    <row r="888" spans="1:99" s="17" customFormat="1" x14ac:dyDescent="0.2">
      <c r="A888" s="25"/>
      <c r="B888" s="20">
        <v>39035123603</v>
      </c>
      <c r="C888" s="20">
        <v>1236.03</v>
      </c>
      <c r="D888" s="20" t="s">
        <v>24</v>
      </c>
      <c r="E888" s="20" t="s">
        <v>2829</v>
      </c>
      <c r="F888" s="20" t="s">
        <v>8</v>
      </c>
      <c r="G888" s="861">
        <v>57.644111239877297</v>
      </c>
      <c r="H888" s="861">
        <v>71.465839841249604</v>
      </c>
      <c r="I888" s="861">
        <v>28.708210978421501</v>
      </c>
      <c r="J888" s="861">
        <v>31.718979945401799</v>
      </c>
      <c r="K888" s="982">
        <v>0</v>
      </c>
      <c r="L888" s="735">
        <v>3299</v>
      </c>
      <c r="M888" s="735">
        <v>2469</v>
      </c>
      <c r="N888" s="845">
        <f t="shared" si="78"/>
        <v>-0.25159139133070629</v>
      </c>
      <c r="O888" s="735">
        <v>0.61760283525008153</v>
      </c>
      <c r="P888" s="735">
        <f t="shared" si="79"/>
        <v>3997.7148080938541</v>
      </c>
      <c r="Q888" s="849">
        <v>45.6</v>
      </c>
      <c r="R888" s="71">
        <v>53368</v>
      </c>
      <c r="S888" s="845">
        <v>9.6326530612244901E-2</v>
      </c>
      <c r="T888" s="845">
        <v>2.3E-2</v>
      </c>
      <c r="U888" s="845">
        <v>6.3E-2</v>
      </c>
      <c r="V888" s="845">
        <v>0</v>
      </c>
      <c r="W888" s="845">
        <v>0.42321822189566494</v>
      </c>
      <c r="X888" s="845">
        <v>0.2204861111111111</v>
      </c>
      <c r="Y888" s="845">
        <v>0.8464965573106521</v>
      </c>
      <c r="Z888" s="845">
        <v>1.4985824220332119E-2</v>
      </c>
      <c r="AA888" s="845">
        <v>0</v>
      </c>
      <c r="AB888" s="845">
        <v>3.4426893479141352E-2</v>
      </c>
      <c r="AC888" s="845">
        <v>0</v>
      </c>
      <c r="AD888" s="845">
        <v>2.551640340218712E-2</v>
      </c>
      <c r="AE888" s="845">
        <v>7.8574321587687318E-2</v>
      </c>
      <c r="AF888" s="845">
        <v>9.1940056703118667E-2</v>
      </c>
      <c r="AG888" s="845">
        <v>0.83637100040502232</v>
      </c>
      <c r="AH888" s="20" t="str">
        <f t="shared" si="80"/>
        <v>No</v>
      </c>
      <c r="AI888" s="25"/>
      <c r="AJ888" s="37">
        <v>45389</v>
      </c>
      <c r="AK888" s="37" t="s">
        <v>1730</v>
      </c>
      <c r="AL888" s="37">
        <v>39021</v>
      </c>
      <c r="AM888" s="37" t="s">
        <v>17</v>
      </c>
      <c r="AN888" s="37" t="str">
        <f t="shared" si="81"/>
        <v>N/A</v>
      </c>
      <c r="AO888" s="37" t="str">
        <f t="shared" si="82"/>
        <v>N/A</v>
      </c>
      <c r="AP888" s="20" t="s">
        <v>8</v>
      </c>
      <c r="AQ888" s="25"/>
      <c r="AR888" s="25"/>
      <c r="AS888" s="25"/>
      <c r="AT888" s="25"/>
      <c r="AU888" s="36"/>
      <c r="AV888" s="36"/>
      <c r="AW888" s="36"/>
      <c r="AX888" s="25"/>
      <c r="AY888" s="25"/>
      <c r="AZ888" s="25"/>
      <c r="BA888" s="25"/>
      <c r="BB888" s="25"/>
      <c r="BC888" s="25"/>
      <c r="BD888" s="25"/>
      <c r="BE888" s="25"/>
      <c r="BF888" s="25"/>
      <c r="BG888" s="25"/>
      <c r="BH888" s="25"/>
      <c r="BI888" s="25"/>
      <c r="BJ888" s="25"/>
      <c r="BK888" s="25"/>
      <c r="BL888" s="25"/>
      <c r="BM888" s="25"/>
      <c r="BN888" s="25"/>
      <c r="BO888" s="25"/>
      <c r="BP888" s="25"/>
      <c r="BQ888" s="25"/>
      <c r="BR888" s="25"/>
      <c r="BS888" s="25"/>
      <c r="BT888" s="25"/>
      <c r="BU888" s="39">
        <v>45828</v>
      </c>
      <c r="BV888" s="39" t="s">
        <v>1899</v>
      </c>
      <c r="BW888" s="39" t="s">
        <v>2970</v>
      </c>
      <c r="BX888" s="39" t="s">
        <v>2971</v>
      </c>
      <c r="BY888" s="71">
        <v>740</v>
      </c>
      <c r="BZ888" s="71">
        <v>780</v>
      </c>
      <c r="CA888" s="71">
        <v>970</v>
      </c>
      <c r="CB888" s="71">
        <v>1270</v>
      </c>
      <c r="CC888" s="71">
        <v>1290</v>
      </c>
      <c r="CD888" s="25"/>
      <c r="CE888" s="200"/>
      <c r="CF888" s="200"/>
      <c r="CG888" s="200"/>
      <c r="CH888" s="200"/>
      <c r="CI888" s="200"/>
      <c r="CJ888" s="200"/>
      <c r="CK888" s="200"/>
      <c r="CL888" s="200"/>
      <c r="CM888" s="200"/>
      <c r="CN888" s="200"/>
      <c r="CO888" s="200"/>
      <c r="CP888" s="200"/>
      <c r="CQ888" s="200"/>
      <c r="CR888" s="200"/>
      <c r="CS888" s="200"/>
      <c r="CT888" s="200"/>
      <c r="CU888" s="200"/>
    </row>
    <row r="889" spans="1:99" s="17" customFormat="1" x14ac:dyDescent="0.2">
      <c r="A889" s="25"/>
      <c r="B889" s="20">
        <v>39083007200</v>
      </c>
      <c r="C889" s="20">
        <v>72</v>
      </c>
      <c r="D889" s="20" t="s">
        <v>114</v>
      </c>
      <c r="E889" s="20" t="s">
        <v>265</v>
      </c>
      <c r="F889" s="20" t="s">
        <v>6</v>
      </c>
      <c r="G889" s="861">
        <v>57.635358289427003</v>
      </c>
      <c r="H889" s="861">
        <v>53.574400360059201</v>
      </c>
      <c r="I889" s="861">
        <v>34.882196369411602</v>
      </c>
      <c r="J889" s="861">
        <v>49.899278290919</v>
      </c>
      <c r="K889" s="982">
        <v>0</v>
      </c>
      <c r="L889" s="735">
        <v>4843</v>
      </c>
      <c r="M889" s="735">
        <v>5017</v>
      </c>
      <c r="N889" s="845">
        <f t="shared" si="78"/>
        <v>3.5928143712574849E-2</v>
      </c>
      <c r="O889" s="735">
        <v>5.5108214377092262</v>
      </c>
      <c r="P889" s="735">
        <f t="shared" si="79"/>
        <v>910.39059361819909</v>
      </c>
      <c r="Q889" s="849">
        <v>41.1</v>
      </c>
      <c r="R889" s="71">
        <v>49269</v>
      </c>
      <c r="S889" s="845">
        <v>0.22690159003008165</v>
      </c>
      <c r="T889" s="845">
        <v>9.0000000000000011E-3</v>
      </c>
      <c r="U889" s="845">
        <v>0</v>
      </c>
      <c r="V889" s="845">
        <v>0.16399999999999998</v>
      </c>
      <c r="W889" s="845">
        <v>0.40886939571150099</v>
      </c>
      <c r="X889" s="845">
        <v>0.45530393325387364</v>
      </c>
      <c r="Y889" s="845">
        <v>0.87362965915885993</v>
      </c>
      <c r="Z889" s="845">
        <v>2.6111221845724536E-2</v>
      </c>
      <c r="AA889" s="845">
        <v>0</v>
      </c>
      <c r="AB889" s="845">
        <v>0</v>
      </c>
      <c r="AC889" s="845">
        <v>0</v>
      </c>
      <c r="AD889" s="845">
        <v>6.4381104245565077E-2</v>
      </c>
      <c r="AE889" s="845">
        <v>3.5878014749850508E-2</v>
      </c>
      <c r="AF889" s="845">
        <v>7.0360773370540169E-2</v>
      </c>
      <c r="AG889" s="845">
        <v>0.86764999003388477</v>
      </c>
      <c r="AH889" s="20" t="str">
        <f t="shared" si="80"/>
        <v>No</v>
      </c>
      <c r="AI889" s="25"/>
      <c r="AJ889" s="37">
        <v>45502</v>
      </c>
      <c r="AK889" s="37" t="s">
        <v>1763</v>
      </c>
      <c r="AL889" s="37">
        <v>39021</v>
      </c>
      <c r="AM889" s="37" t="s">
        <v>17</v>
      </c>
      <c r="AN889" s="37" t="str">
        <f t="shared" si="81"/>
        <v>N/A</v>
      </c>
      <c r="AO889" s="37" t="str">
        <f t="shared" si="82"/>
        <v>N/A</v>
      </c>
      <c r="AP889" s="20" t="s">
        <v>8</v>
      </c>
      <c r="AQ889" s="25"/>
      <c r="AR889" s="25"/>
      <c r="AS889" s="25"/>
      <c r="AT889" s="25"/>
      <c r="AU889" s="36"/>
      <c r="AV889" s="36"/>
      <c r="AW889" s="36"/>
      <c r="AX889" s="25"/>
      <c r="AY889" s="25"/>
      <c r="AZ889" s="25"/>
      <c r="BA889" s="25"/>
      <c r="BB889" s="25"/>
      <c r="BC889" s="25"/>
      <c r="BD889" s="25"/>
      <c r="BE889" s="25"/>
      <c r="BF889" s="25"/>
      <c r="BG889" s="25"/>
      <c r="BH889" s="25"/>
      <c r="BI889" s="25"/>
      <c r="BJ889" s="25"/>
      <c r="BK889" s="25"/>
      <c r="BL889" s="25"/>
      <c r="BM889" s="25"/>
      <c r="BN889" s="25"/>
      <c r="BO889" s="25"/>
      <c r="BP889" s="25"/>
      <c r="BQ889" s="25"/>
      <c r="BR889" s="25"/>
      <c r="BS889" s="25"/>
      <c r="BT889" s="25"/>
      <c r="BU889" s="39">
        <v>45866</v>
      </c>
      <c r="BV889" s="39" t="s">
        <v>1929</v>
      </c>
      <c r="BW889" s="39" t="s">
        <v>2970</v>
      </c>
      <c r="BX889" s="39" t="s">
        <v>2971</v>
      </c>
      <c r="BY889" s="71">
        <v>790</v>
      </c>
      <c r="BZ889" s="71">
        <v>830</v>
      </c>
      <c r="CA889" s="71">
        <v>1040</v>
      </c>
      <c r="CB889" s="71">
        <v>1360</v>
      </c>
      <c r="CC889" s="71">
        <v>1380</v>
      </c>
      <c r="CD889" s="25"/>
      <c r="CE889" s="200"/>
      <c r="CF889" s="200"/>
      <c r="CG889" s="200"/>
      <c r="CH889" s="200"/>
      <c r="CI889" s="200"/>
      <c r="CJ889" s="200"/>
      <c r="CK889" s="200"/>
      <c r="CL889" s="200"/>
      <c r="CM889" s="200"/>
      <c r="CN889" s="200"/>
      <c r="CO889" s="200"/>
      <c r="CP889" s="200"/>
      <c r="CQ889" s="200"/>
      <c r="CR889" s="200"/>
      <c r="CS889" s="200"/>
      <c r="CT889" s="200"/>
      <c r="CU889" s="200"/>
    </row>
    <row r="890" spans="1:99" s="17" customFormat="1" x14ac:dyDescent="0.2">
      <c r="A890" s="25"/>
      <c r="B890" s="20">
        <v>39049009250</v>
      </c>
      <c r="C890" s="20">
        <v>92.5</v>
      </c>
      <c r="D890" s="20" t="s">
        <v>31</v>
      </c>
      <c r="E890" s="20" t="s">
        <v>2830</v>
      </c>
      <c r="F890" s="20" t="s">
        <v>8</v>
      </c>
      <c r="G890" s="861">
        <v>57.633869452490202</v>
      </c>
      <c r="H890" s="861">
        <v>60.0168008448316</v>
      </c>
      <c r="I890" s="861">
        <v>38.230927362134103</v>
      </c>
      <c r="J890" s="861">
        <v>46.408222709603898</v>
      </c>
      <c r="K890" s="982">
        <v>0</v>
      </c>
      <c r="L890" s="735">
        <v>1900</v>
      </c>
      <c r="M890" s="735">
        <v>2426</v>
      </c>
      <c r="N890" s="845">
        <f t="shared" si="78"/>
        <v>0.27684210526315789</v>
      </c>
      <c r="O890" s="735">
        <v>0.45303335388670957</v>
      </c>
      <c r="P890" s="735">
        <f t="shared" si="79"/>
        <v>5355.0141047819443</v>
      </c>
      <c r="Q890" s="849">
        <v>41.2</v>
      </c>
      <c r="R890" s="71">
        <v>61481</v>
      </c>
      <c r="S890" s="845">
        <v>0.2654575432811212</v>
      </c>
      <c r="T890" s="845">
        <v>5.5999999999999994E-2</v>
      </c>
      <c r="U890" s="845">
        <v>4.8000000000000001E-2</v>
      </c>
      <c r="V890" s="845">
        <v>0</v>
      </c>
      <c r="W890" s="845">
        <v>0.21103117505995203</v>
      </c>
      <c r="X890" s="845">
        <v>0.31818181818181818</v>
      </c>
      <c r="Y890" s="845">
        <v>0.62118713932399006</v>
      </c>
      <c r="Z890" s="845">
        <v>0.18507831821929102</v>
      </c>
      <c r="AA890" s="845">
        <v>4.5342126957955481E-3</v>
      </c>
      <c r="AB890" s="845">
        <v>0</v>
      </c>
      <c r="AC890" s="845">
        <v>0</v>
      </c>
      <c r="AD890" s="845">
        <v>0.12036273701566365</v>
      </c>
      <c r="AE890" s="845">
        <v>6.883759274525969E-2</v>
      </c>
      <c r="AF890" s="845">
        <v>9.7279472382522672E-2</v>
      </c>
      <c r="AG890" s="845">
        <v>0.62118713932399006</v>
      </c>
      <c r="AH890" s="20" t="str">
        <f t="shared" si="80"/>
        <v>No</v>
      </c>
      <c r="AI890" s="25"/>
      <c r="AJ890" s="20">
        <v>45068</v>
      </c>
      <c r="AK890" s="20" t="s">
        <v>1558</v>
      </c>
      <c r="AL890" s="20">
        <v>39027</v>
      </c>
      <c r="AM890" s="20" t="s">
        <v>20</v>
      </c>
      <c r="AN890" s="37" t="str">
        <f t="shared" si="81"/>
        <v>N/A</v>
      </c>
      <c r="AO890" s="37" t="str">
        <f t="shared" si="82"/>
        <v>N/A</v>
      </c>
      <c r="AP890" s="20" t="s">
        <v>8</v>
      </c>
      <c r="AQ890" s="25"/>
      <c r="AR890" s="25"/>
      <c r="AS890" s="25"/>
      <c r="AT890" s="25"/>
      <c r="AU890" s="36"/>
      <c r="AV890" s="36"/>
      <c r="AW890" s="36"/>
      <c r="AX890" s="25"/>
      <c r="AY890" s="25"/>
      <c r="AZ890" s="25"/>
      <c r="BA890" s="25"/>
      <c r="BB890" s="25"/>
      <c r="BC890" s="25"/>
      <c r="BD890" s="25"/>
      <c r="BE890" s="25"/>
      <c r="BF890" s="25"/>
      <c r="BG890" s="25"/>
      <c r="BH890" s="25"/>
      <c r="BI890" s="25"/>
      <c r="BJ890" s="25"/>
      <c r="BK890" s="25"/>
      <c r="BL890" s="25"/>
      <c r="BM890" s="25"/>
      <c r="BN890" s="25"/>
      <c r="BO890" s="25"/>
      <c r="BP890" s="25"/>
      <c r="BQ890" s="25"/>
      <c r="BR890" s="25"/>
      <c r="BS890" s="25"/>
      <c r="BT890" s="25"/>
      <c r="BU890" s="39">
        <v>45882</v>
      </c>
      <c r="BV890" s="39" t="s">
        <v>1944</v>
      </c>
      <c r="BW890" s="39" t="s">
        <v>2970</v>
      </c>
      <c r="BX890" s="39" t="s">
        <v>2971</v>
      </c>
      <c r="BY890" s="71">
        <v>760</v>
      </c>
      <c r="BZ890" s="71">
        <v>800</v>
      </c>
      <c r="CA890" s="71">
        <v>1000</v>
      </c>
      <c r="CB890" s="71">
        <v>1300</v>
      </c>
      <c r="CC890" s="71">
        <v>1330</v>
      </c>
      <c r="CD890" s="25"/>
      <c r="CE890" s="200"/>
      <c r="CF890" s="200"/>
      <c r="CG890" s="200"/>
      <c r="CH890" s="200"/>
      <c r="CI890" s="200"/>
      <c r="CJ890" s="200"/>
      <c r="CK890" s="200"/>
      <c r="CL890" s="200"/>
      <c r="CM890" s="200"/>
      <c r="CN890" s="200"/>
      <c r="CO890" s="200"/>
      <c r="CP890" s="200"/>
      <c r="CQ890" s="200"/>
      <c r="CR890" s="200"/>
      <c r="CS890" s="200"/>
      <c r="CT890" s="200"/>
      <c r="CU890" s="200"/>
    </row>
    <row r="891" spans="1:99" s="17" customFormat="1" x14ac:dyDescent="0.2">
      <c r="A891" s="25"/>
      <c r="B891" s="20">
        <v>39103412000</v>
      </c>
      <c r="C891" s="20">
        <v>4120</v>
      </c>
      <c r="D891" s="20" t="s">
        <v>57</v>
      </c>
      <c r="E891" s="20" t="s">
        <v>2829</v>
      </c>
      <c r="F891" s="20" t="s">
        <v>8</v>
      </c>
      <c r="G891" s="861">
        <v>57.628575632592302</v>
      </c>
      <c r="H891" s="861">
        <v>60.263969394382997</v>
      </c>
      <c r="I891" s="861">
        <v>21.165047754570601</v>
      </c>
      <c r="J891" s="861">
        <v>47.965261552449597</v>
      </c>
      <c r="K891" s="982">
        <v>0</v>
      </c>
      <c r="L891" s="735">
        <v>4319</v>
      </c>
      <c r="M891" s="735">
        <v>4409</v>
      </c>
      <c r="N891" s="845">
        <f t="shared" si="78"/>
        <v>2.0838156980782587E-2</v>
      </c>
      <c r="O891" s="735">
        <v>25.375052783543474</v>
      </c>
      <c r="P891" s="735">
        <f t="shared" si="79"/>
        <v>173.75333315008419</v>
      </c>
      <c r="Q891" s="849">
        <v>49.9</v>
      </c>
      <c r="R891" s="71">
        <v>91817</v>
      </c>
      <c r="S891" s="845">
        <v>2.8156221616712079E-2</v>
      </c>
      <c r="T891" s="845">
        <v>0.04</v>
      </c>
      <c r="U891" s="845">
        <v>3.0000000000000001E-3</v>
      </c>
      <c r="V891" s="845">
        <v>0</v>
      </c>
      <c r="W891" s="845">
        <v>5.4771315640880856E-2</v>
      </c>
      <c r="X891" s="845">
        <v>0.21649484536082475</v>
      </c>
      <c r="Y891" s="845">
        <v>0.92061691993649353</v>
      </c>
      <c r="Z891" s="845">
        <v>0</v>
      </c>
      <c r="AA891" s="845">
        <v>0</v>
      </c>
      <c r="AB891" s="845">
        <v>0</v>
      </c>
      <c r="AC891" s="845">
        <v>0</v>
      </c>
      <c r="AD891" s="845">
        <v>3.6969834429575868E-2</v>
      </c>
      <c r="AE891" s="845">
        <v>4.2413245633930598E-2</v>
      </c>
      <c r="AF891" s="845">
        <v>6.1238376048990701E-3</v>
      </c>
      <c r="AG891" s="845">
        <v>0.91562712633250165</v>
      </c>
      <c r="AH891" s="20" t="str">
        <f t="shared" si="80"/>
        <v>Yes</v>
      </c>
      <c r="AI891" s="25"/>
      <c r="AJ891" s="20">
        <v>45107</v>
      </c>
      <c r="AK891" s="20" t="s">
        <v>1566</v>
      </c>
      <c r="AL891" s="20">
        <v>39027</v>
      </c>
      <c r="AM891" s="20" t="s">
        <v>20</v>
      </c>
      <c r="AN891" s="37" t="str">
        <f t="shared" si="81"/>
        <v>N/A</v>
      </c>
      <c r="AO891" s="37" t="str">
        <f t="shared" si="82"/>
        <v>N/A</v>
      </c>
      <c r="AP891" s="20" t="s">
        <v>8</v>
      </c>
      <c r="AQ891" s="25"/>
      <c r="AR891" s="25"/>
      <c r="AS891" s="25"/>
      <c r="AT891" s="25"/>
      <c r="AU891" s="36"/>
      <c r="AV891" s="36"/>
      <c r="AW891" s="36"/>
      <c r="AX891" s="25"/>
      <c r="AY891" s="25"/>
      <c r="AZ891" s="25"/>
      <c r="BA891" s="25"/>
      <c r="BB891" s="25"/>
      <c r="BC891" s="25"/>
      <c r="BD891" s="25"/>
      <c r="BE891" s="25"/>
      <c r="BF891" s="25"/>
      <c r="BG891" s="25"/>
      <c r="BH891" s="25"/>
      <c r="BI891" s="25"/>
      <c r="BJ891" s="25"/>
      <c r="BK891" s="25"/>
      <c r="BL891" s="25"/>
      <c r="BM891" s="25"/>
      <c r="BN891" s="25"/>
      <c r="BO891" s="25"/>
      <c r="BP891" s="25"/>
      <c r="BQ891" s="25"/>
      <c r="BR891" s="25"/>
      <c r="BS891" s="25"/>
      <c r="BT891" s="25"/>
      <c r="BU891" s="39">
        <v>45898</v>
      </c>
      <c r="BV891" s="39" t="s">
        <v>1959</v>
      </c>
      <c r="BW891" s="39" t="s">
        <v>2970</v>
      </c>
      <c r="BX891" s="39" t="s">
        <v>2971</v>
      </c>
      <c r="BY891" s="71">
        <v>810</v>
      </c>
      <c r="BZ891" s="71">
        <v>850</v>
      </c>
      <c r="CA891" s="71">
        <v>1080</v>
      </c>
      <c r="CB891" s="71">
        <v>1370</v>
      </c>
      <c r="CC891" s="71">
        <v>1460</v>
      </c>
      <c r="CD891" s="25"/>
      <c r="CE891" s="200"/>
      <c r="CF891" s="200"/>
      <c r="CG891" s="200"/>
      <c r="CH891" s="200"/>
      <c r="CI891" s="200"/>
      <c r="CJ891" s="200"/>
      <c r="CK891" s="200"/>
      <c r="CL891" s="200"/>
      <c r="CM891" s="200"/>
      <c r="CN891" s="200"/>
      <c r="CO891" s="200"/>
      <c r="CP891" s="200"/>
      <c r="CQ891" s="200"/>
      <c r="CR891" s="200"/>
      <c r="CS891" s="200"/>
      <c r="CT891" s="200"/>
      <c r="CU891" s="200"/>
    </row>
    <row r="892" spans="1:99" s="17" customFormat="1" x14ac:dyDescent="0.2">
      <c r="A892" s="25"/>
      <c r="B892" s="20">
        <v>39153530605</v>
      </c>
      <c r="C892" s="20">
        <v>5306.05</v>
      </c>
      <c r="D892" s="20" t="s">
        <v>82</v>
      </c>
      <c r="E892" s="20" t="s">
        <v>2843</v>
      </c>
      <c r="F892" s="20" t="s">
        <v>8</v>
      </c>
      <c r="G892" s="861">
        <v>57.619783634814603</v>
      </c>
      <c r="H892" s="861">
        <v>60.234150842780302</v>
      </c>
      <c r="I892" s="861">
        <v>25.6226767584299</v>
      </c>
      <c r="J892" s="861">
        <v>33.100274829720902</v>
      </c>
      <c r="K892" s="982">
        <v>0</v>
      </c>
      <c r="L892" s="735">
        <v>5133</v>
      </c>
      <c r="M892" s="735">
        <v>5461</v>
      </c>
      <c r="N892" s="845">
        <f t="shared" si="78"/>
        <v>6.3900253263198911E-2</v>
      </c>
      <c r="O892" s="735">
        <v>2.3029816148461006</v>
      </c>
      <c r="P892" s="735">
        <f t="shared" si="79"/>
        <v>2371.2738151255007</v>
      </c>
      <c r="Q892" s="849">
        <v>39.9</v>
      </c>
      <c r="R892" s="71">
        <v>100532</v>
      </c>
      <c r="S892" s="845">
        <v>7.2369641863054376E-2</v>
      </c>
      <c r="T892" s="845">
        <v>1.6E-2</v>
      </c>
      <c r="U892" s="845">
        <v>0</v>
      </c>
      <c r="V892" s="845">
        <v>0.05</v>
      </c>
      <c r="W892" s="845">
        <v>0.26748410535876477</v>
      </c>
      <c r="X892" s="845">
        <v>0.4533106960950764</v>
      </c>
      <c r="Y892" s="845">
        <v>0.89104559604468048</v>
      </c>
      <c r="Z892" s="845">
        <v>4.3398644936824757E-2</v>
      </c>
      <c r="AA892" s="845">
        <v>0</v>
      </c>
      <c r="AB892" s="845">
        <v>8.6064823292437281E-3</v>
      </c>
      <c r="AC892" s="845">
        <v>0</v>
      </c>
      <c r="AD892" s="845">
        <v>3.2960996154550448E-3</v>
      </c>
      <c r="AE892" s="845">
        <v>5.3653177073796007E-2</v>
      </c>
      <c r="AF892" s="845">
        <v>3.1129829701519868E-3</v>
      </c>
      <c r="AG892" s="845">
        <v>0.89104559604468048</v>
      </c>
      <c r="AH892" s="20" t="str">
        <f t="shared" si="80"/>
        <v>No</v>
      </c>
      <c r="AI892" s="25"/>
      <c r="AJ892" s="20">
        <v>45113</v>
      </c>
      <c r="AK892" s="20" t="s">
        <v>1569</v>
      </c>
      <c r="AL892" s="20">
        <v>39027</v>
      </c>
      <c r="AM892" s="20" t="s">
        <v>20</v>
      </c>
      <c r="AN892" s="37" t="str">
        <f t="shared" si="81"/>
        <v>N/A</v>
      </c>
      <c r="AO892" s="37" t="str">
        <f t="shared" si="82"/>
        <v>N/A</v>
      </c>
      <c r="AP892" s="20" t="s">
        <v>8</v>
      </c>
      <c r="AQ892" s="25"/>
      <c r="AR892" s="25"/>
      <c r="AS892" s="25"/>
      <c r="AT892" s="25"/>
      <c r="AU892" s="36"/>
      <c r="AV892" s="36"/>
      <c r="AW892" s="36"/>
      <c r="AX892" s="25"/>
      <c r="AY892" s="25"/>
      <c r="AZ892" s="25"/>
      <c r="BA892" s="25"/>
      <c r="BB892" s="25"/>
      <c r="BC892" s="25"/>
      <c r="BD892" s="25"/>
      <c r="BE892" s="25"/>
      <c r="BF892" s="25"/>
      <c r="BG892" s="25"/>
      <c r="BH892" s="25"/>
      <c r="BI892" s="25"/>
      <c r="BJ892" s="25"/>
      <c r="BK892" s="25"/>
      <c r="BL892" s="25"/>
      <c r="BM892" s="25"/>
      <c r="BN892" s="25"/>
      <c r="BO892" s="25"/>
      <c r="BP892" s="25"/>
      <c r="BQ892" s="25"/>
      <c r="BR892" s="25"/>
      <c r="BS892" s="25"/>
      <c r="BT892" s="25"/>
      <c r="BU892" s="39">
        <v>43754</v>
      </c>
      <c r="BV892" s="39" t="s">
        <v>1049</v>
      </c>
      <c r="BW892" s="39" t="s">
        <v>2869</v>
      </c>
      <c r="BX892" s="39" t="s">
        <v>2870</v>
      </c>
      <c r="BY892" s="71">
        <v>810</v>
      </c>
      <c r="BZ892" s="71">
        <v>810</v>
      </c>
      <c r="CA892" s="71">
        <v>1060</v>
      </c>
      <c r="CB892" s="71">
        <v>1370</v>
      </c>
      <c r="CC892" s="71">
        <v>1470</v>
      </c>
      <c r="CD892" s="25"/>
      <c r="CE892" s="200"/>
      <c r="CF892" s="200"/>
      <c r="CG892" s="200"/>
      <c r="CH892" s="200"/>
      <c r="CI892" s="200"/>
      <c r="CJ892" s="200"/>
      <c r="CK892" s="200"/>
      <c r="CL892" s="200"/>
      <c r="CM892" s="200"/>
      <c r="CN892" s="200"/>
      <c r="CO892" s="200"/>
      <c r="CP892" s="200"/>
      <c r="CQ892" s="200"/>
      <c r="CR892" s="200"/>
      <c r="CS892" s="200"/>
      <c r="CT892" s="200"/>
      <c r="CU892" s="200"/>
    </row>
    <row r="893" spans="1:99" s="17" customFormat="1" x14ac:dyDescent="0.2">
      <c r="A893" s="25"/>
      <c r="B893" s="20">
        <v>39057210602</v>
      </c>
      <c r="C893" s="20">
        <v>2106.02</v>
      </c>
      <c r="D893" s="20" t="s">
        <v>35</v>
      </c>
      <c r="E893" s="20" t="s">
        <v>2833</v>
      </c>
      <c r="F893" s="20" t="s">
        <v>8</v>
      </c>
      <c r="G893" s="861">
        <v>57.606704704651698</v>
      </c>
      <c r="H893" s="861">
        <v>66.006339008193194</v>
      </c>
      <c r="I893" s="861">
        <v>20.782480485163902</v>
      </c>
      <c r="J893" s="861">
        <v>50.517398305985097</v>
      </c>
      <c r="K893" s="982">
        <v>0</v>
      </c>
      <c r="L893" s="735">
        <v>5403</v>
      </c>
      <c r="M893" s="735">
        <v>5250</v>
      </c>
      <c r="N893" s="845">
        <f t="shared" si="78"/>
        <v>-2.8317601332593003E-2</v>
      </c>
      <c r="O893" s="735">
        <v>3.1653106700941573</v>
      </c>
      <c r="P893" s="735">
        <f t="shared" si="79"/>
        <v>1658.6049671528231</v>
      </c>
      <c r="Q893" s="849">
        <v>37.799999999999997</v>
      </c>
      <c r="R893" s="71">
        <v>113322</v>
      </c>
      <c r="S893" s="845">
        <v>4.5714285714285714E-2</v>
      </c>
      <c r="T893" s="845">
        <v>4.0999999999999995E-2</v>
      </c>
      <c r="U893" s="845">
        <v>2.3E-2</v>
      </c>
      <c r="V893" s="845">
        <v>0</v>
      </c>
      <c r="W893" s="845">
        <v>0.13049579045837231</v>
      </c>
      <c r="X893" s="845">
        <v>0.57706093189964158</v>
      </c>
      <c r="Y893" s="845">
        <v>0.88380952380952382</v>
      </c>
      <c r="Z893" s="845">
        <v>3.2000000000000001E-2</v>
      </c>
      <c r="AA893" s="845">
        <v>0</v>
      </c>
      <c r="AB893" s="845">
        <v>6.8571428571428568E-3</v>
      </c>
      <c r="AC893" s="845">
        <v>9.5238095238095247E-3</v>
      </c>
      <c r="AD893" s="845">
        <v>1.2E-2</v>
      </c>
      <c r="AE893" s="845">
        <v>5.5809523809523809E-2</v>
      </c>
      <c r="AF893" s="845">
        <v>7.0095238095238099E-2</v>
      </c>
      <c r="AG893" s="845">
        <v>0.84190476190476193</v>
      </c>
      <c r="AH893" s="20" t="str">
        <f t="shared" si="80"/>
        <v>No</v>
      </c>
      <c r="AI893" s="25"/>
      <c r="AJ893" s="20">
        <v>45135</v>
      </c>
      <c r="AK893" s="20" t="s">
        <v>1581</v>
      </c>
      <c r="AL893" s="20">
        <v>39027</v>
      </c>
      <c r="AM893" s="20" t="s">
        <v>20</v>
      </c>
      <c r="AN893" s="37" t="str">
        <f t="shared" si="81"/>
        <v>N/A</v>
      </c>
      <c r="AO893" s="37" t="str">
        <f t="shared" si="82"/>
        <v>N/A</v>
      </c>
      <c r="AP893" s="20" t="s">
        <v>8</v>
      </c>
      <c r="AQ893" s="25"/>
      <c r="AR893" s="25"/>
      <c r="AS893" s="25"/>
      <c r="AT893" s="25"/>
      <c r="AU893" s="36"/>
      <c r="AV893" s="36"/>
      <c r="AW893" s="36"/>
      <c r="AX893" s="25"/>
      <c r="AY893" s="25"/>
      <c r="AZ893" s="25"/>
      <c r="BA893" s="25"/>
      <c r="BB893" s="25"/>
      <c r="BC893" s="25"/>
      <c r="BD893" s="25"/>
      <c r="BE893" s="25"/>
      <c r="BF893" s="25"/>
      <c r="BG893" s="25"/>
      <c r="BH893" s="25"/>
      <c r="BI893" s="25"/>
      <c r="BJ893" s="25"/>
      <c r="BK893" s="25"/>
      <c r="BL893" s="25"/>
      <c r="BM893" s="25"/>
      <c r="BN893" s="25"/>
      <c r="BO893" s="25"/>
      <c r="BP893" s="25"/>
      <c r="BQ893" s="25"/>
      <c r="BR893" s="25"/>
      <c r="BS893" s="25"/>
      <c r="BT893" s="25"/>
      <c r="BU893" s="39">
        <v>43786</v>
      </c>
      <c r="BV893" s="39" t="s">
        <v>1070</v>
      </c>
      <c r="BW893" s="39" t="s">
        <v>2869</v>
      </c>
      <c r="BX893" s="39" t="s">
        <v>2870</v>
      </c>
      <c r="BY893" s="71">
        <v>1010</v>
      </c>
      <c r="BZ893" s="71">
        <v>1020</v>
      </c>
      <c r="CA893" s="71">
        <v>1320</v>
      </c>
      <c r="CB893" s="71">
        <v>1730</v>
      </c>
      <c r="CC893" s="71">
        <v>1910</v>
      </c>
      <c r="CD893" s="25"/>
      <c r="CE893" s="200"/>
      <c r="CF893" s="200"/>
      <c r="CG893" s="200"/>
      <c r="CH893" s="200"/>
      <c r="CI893" s="200"/>
      <c r="CJ893" s="200"/>
      <c r="CK893" s="200"/>
      <c r="CL893" s="200"/>
      <c r="CM893" s="200"/>
      <c r="CN893" s="200"/>
      <c r="CO893" s="200"/>
      <c r="CP893" s="200"/>
      <c r="CQ893" s="200"/>
      <c r="CR893" s="200"/>
      <c r="CS893" s="200"/>
      <c r="CT893" s="200"/>
      <c r="CU893" s="200"/>
    </row>
    <row r="894" spans="1:99" s="17" customFormat="1" x14ac:dyDescent="0.2">
      <c r="A894" s="25"/>
      <c r="B894" s="20">
        <v>39005970800</v>
      </c>
      <c r="C894" s="20">
        <v>9708</v>
      </c>
      <c r="D894" s="20" t="s">
        <v>9</v>
      </c>
      <c r="E894" s="20" t="s">
        <v>265</v>
      </c>
      <c r="F894" s="20" t="s">
        <v>8</v>
      </c>
      <c r="G894" s="861">
        <v>57.589068667041602</v>
      </c>
      <c r="H894" s="861">
        <v>55.005754038262602</v>
      </c>
      <c r="I894" s="861">
        <v>26.9627610389274</v>
      </c>
      <c r="J894" s="861">
        <v>47.791216860770902</v>
      </c>
      <c r="K894" s="982">
        <v>0</v>
      </c>
      <c r="L894" s="735">
        <v>4009</v>
      </c>
      <c r="M894" s="735">
        <v>4091</v>
      </c>
      <c r="N894" s="845">
        <f t="shared" si="78"/>
        <v>2.0453978548266402E-2</v>
      </c>
      <c r="O894" s="735">
        <v>13.95100419978376</v>
      </c>
      <c r="P894" s="735">
        <f t="shared" si="79"/>
        <v>293.24053963537693</v>
      </c>
      <c r="Q894" s="849">
        <v>41.8</v>
      </c>
      <c r="R894" s="71">
        <v>66695</v>
      </c>
      <c r="S894" s="845">
        <v>9.4064652888182304E-2</v>
      </c>
      <c r="T894" s="845">
        <v>3.4000000000000002E-2</v>
      </c>
      <c r="U894" s="845">
        <v>0</v>
      </c>
      <c r="V894" s="845">
        <v>4.5999999999999999E-2</v>
      </c>
      <c r="W894" s="845">
        <v>0.3245459871118922</v>
      </c>
      <c r="X894" s="845">
        <v>0.33754512635379064</v>
      </c>
      <c r="Y894" s="845">
        <v>0.94206795404546562</v>
      </c>
      <c r="Z894" s="845">
        <v>9.5331214861891951E-3</v>
      </c>
      <c r="AA894" s="845">
        <v>1.7110730872647274E-3</v>
      </c>
      <c r="AB894" s="845">
        <v>1.955512099731117E-2</v>
      </c>
      <c r="AC894" s="845">
        <v>0</v>
      </c>
      <c r="AD894" s="845">
        <v>0</v>
      </c>
      <c r="AE894" s="845">
        <v>2.713273038376925E-2</v>
      </c>
      <c r="AF894" s="845">
        <v>0</v>
      </c>
      <c r="AG894" s="845">
        <v>0.94206795404546562</v>
      </c>
      <c r="AH894" s="20" t="str">
        <f t="shared" si="80"/>
        <v>Yes</v>
      </c>
      <c r="AI894" s="25"/>
      <c r="AJ894" s="20">
        <v>45142</v>
      </c>
      <c r="AK894" s="20" t="s">
        <v>1583</v>
      </c>
      <c r="AL894" s="20">
        <v>39027</v>
      </c>
      <c r="AM894" s="20" t="s">
        <v>20</v>
      </c>
      <c r="AN894" s="37" t="str">
        <f t="shared" si="81"/>
        <v>N/A</v>
      </c>
      <c r="AO894" s="37" t="str">
        <f t="shared" si="82"/>
        <v>N/A</v>
      </c>
      <c r="AP894" s="20" t="s">
        <v>8</v>
      </c>
      <c r="AQ894" s="25"/>
      <c r="AR894" s="25"/>
      <c r="AS894" s="25"/>
      <c r="AT894" s="25"/>
      <c r="AU894" s="36"/>
      <c r="AV894" s="36"/>
      <c r="AW894" s="36"/>
      <c r="AX894" s="25"/>
      <c r="AY894" s="25"/>
      <c r="AZ894" s="25"/>
      <c r="BA894" s="25"/>
      <c r="BB894" s="25"/>
      <c r="BC894" s="25"/>
      <c r="BD894" s="25"/>
      <c r="BE894" s="25"/>
      <c r="BF894" s="25"/>
      <c r="BG894" s="25"/>
      <c r="BH894" s="25"/>
      <c r="BI894" s="25"/>
      <c r="BJ894" s="25"/>
      <c r="BK894" s="25"/>
      <c r="BL894" s="25"/>
      <c r="BM894" s="25"/>
      <c r="BN894" s="25"/>
      <c r="BO894" s="25"/>
      <c r="BP894" s="25"/>
      <c r="BQ894" s="25"/>
      <c r="BR894" s="25"/>
      <c r="BS894" s="25"/>
      <c r="BT894" s="25"/>
      <c r="BU894" s="39">
        <v>43788</v>
      </c>
      <c r="BV894" s="39" t="s">
        <v>1072</v>
      </c>
      <c r="BW894" s="39" t="s">
        <v>2869</v>
      </c>
      <c r="BX894" s="39" t="s">
        <v>2870</v>
      </c>
      <c r="BY894" s="71">
        <v>790</v>
      </c>
      <c r="BZ894" s="71">
        <v>800</v>
      </c>
      <c r="CA894" s="71">
        <v>1040</v>
      </c>
      <c r="CB894" s="71">
        <v>1300</v>
      </c>
      <c r="CC894" s="71">
        <v>1460</v>
      </c>
      <c r="CD894" s="25"/>
      <c r="CE894" s="200"/>
      <c r="CF894" s="200"/>
      <c r="CG894" s="200"/>
      <c r="CH894" s="200"/>
      <c r="CI894" s="200"/>
      <c r="CJ894" s="200"/>
      <c r="CK894" s="200"/>
      <c r="CL894" s="200"/>
      <c r="CM894" s="200"/>
      <c r="CN894" s="200"/>
      <c r="CO894" s="200"/>
      <c r="CP894" s="200"/>
      <c r="CQ894" s="200"/>
      <c r="CR894" s="200"/>
      <c r="CS894" s="200"/>
      <c r="CT894" s="200"/>
      <c r="CU894" s="200"/>
    </row>
    <row r="895" spans="1:99" s="17" customFormat="1" x14ac:dyDescent="0.2">
      <c r="A895" s="25"/>
      <c r="B895" s="20">
        <v>39151711324</v>
      </c>
      <c r="C895" s="20">
        <v>7113.24</v>
      </c>
      <c r="D895" s="20" t="s">
        <v>81</v>
      </c>
      <c r="E895" s="20" t="s">
        <v>2844</v>
      </c>
      <c r="F895" s="20" t="s">
        <v>8</v>
      </c>
      <c r="G895" s="861">
        <v>57.573532019155301</v>
      </c>
      <c r="H895" s="861">
        <v>62.737269472705897</v>
      </c>
      <c r="I895" s="861">
        <v>25.882710871382699</v>
      </c>
      <c r="J895" s="861">
        <v>43.383160854426201</v>
      </c>
      <c r="K895" s="982">
        <v>0</v>
      </c>
      <c r="L895" s="735" t="s">
        <v>2466</v>
      </c>
      <c r="M895" s="735">
        <v>5084</v>
      </c>
      <c r="N895" s="845" t="str">
        <f t="shared" si="78"/>
        <v/>
      </c>
      <c r="O895" s="735">
        <v>6.9946463962724525</v>
      </c>
      <c r="P895" s="735">
        <f t="shared" si="79"/>
        <v>726.8416031308368</v>
      </c>
      <c r="Q895" s="849">
        <v>45.3</v>
      </c>
      <c r="R895" s="71">
        <v>108382</v>
      </c>
      <c r="S895" s="845">
        <v>4.3546798029556653E-2</v>
      </c>
      <c r="T895" s="845">
        <v>4.7E-2</v>
      </c>
      <c r="U895" s="845">
        <v>0</v>
      </c>
      <c r="V895" s="845">
        <v>0</v>
      </c>
      <c r="W895" s="845">
        <v>0.17712691771269176</v>
      </c>
      <c r="X895" s="845">
        <v>0.35958005249343833</v>
      </c>
      <c r="Y895" s="845">
        <v>0.93764752163650666</v>
      </c>
      <c r="Z895" s="845">
        <v>1.2588512981904013E-2</v>
      </c>
      <c r="AA895" s="845">
        <v>0</v>
      </c>
      <c r="AB895" s="845">
        <v>3.7372147915027534E-2</v>
      </c>
      <c r="AC895" s="845">
        <v>0</v>
      </c>
      <c r="AD895" s="845">
        <v>0</v>
      </c>
      <c r="AE895" s="845">
        <v>1.2391817466561763E-2</v>
      </c>
      <c r="AF895" s="845">
        <v>1.3768686073957514E-2</v>
      </c>
      <c r="AG895" s="845">
        <v>0.92663257277734068</v>
      </c>
      <c r="AH895" s="20" t="str">
        <f t="shared" si="80"/>
        <v>Yes</v>
      </c>
      <c r="AI895" s="25"/>
      <c r="AJ895" s="20">
        <v>45146</v>
      </c>
      <c r="AK895" s="20" t="s">
        <v>1585</v>
      </c>
      <c r="AL895" s="20">
        <v>39027</v>
      </c>
      <c r="AM895" s="20" t="s">
        <v>20</v>
      </c>
      <c r="AN895" s="37" t="str">
        <f t="shared" si="81"/>
        <v>N/A</v>
      </c>
      <c r="AO895" s="37" t="str">
        <f t="shared" si="82"/>
        <v>N/A</v>
      </c>
      <c r="AP895" s="20" t="s">
        <v>8</v>
      </c>
      <c r="AQ895" s="25"/>
      <c r="AR895" s="25"/>
      <c r="AS895" s="25"/>
      <c r="AT895" s="25"/>
      <c r="AU895" s="36"/>
      <c r="AV895" s="36"/>
      <c r="AW895" s="36"/>
      <c r="AX895" s="25"/>
      <c r="AY895" s="25"/>
      <c r="AZ895" s="25"/>
      <c r="BA895" s="25"/>
      <c r="BB895" s="25"/>
      <c r="BC895" s="25"/>
      <c r="BD895" s="25"/>
      <c r="BE895" s="25"/>
      <c r="BF895" s="25"/>
      <c r="BG895" s="25"/>
      <c r="BH895" s="25"/>
      <c r="BI895" s="25"/>
      <c r="BJ895" s="25"/>
      <c r="BK895" s="25"/>
      <c r="BL895" s="25"/>
      <c r="BM895" s="25"/>
      <c r="BN895" s="25"/>
      <c r="BO895" s="25"/>
      <c r="BP895" s="25"/>
      <c r="BQ895" s="25"/>
      <c r="BR895" s="25"/>
      <c r="BS895" s="25"/>
      <c r="BT895" s="25"/>
      <c r="BU895" s="39">
        <v>43793</v>
      </c>
      <c r="BV895" s="39" t="s">
        <v>1074</v>
      </c>
      <c r="BW895" s="39" t="s">
        <v>2869</v>
      </c>
      <c r="BX895" s="39" t="s">
        <v>2870</v>
      </c>
      <c r="BY895" s="71">
        <v>740</v>
      </c>
      <c r="BZ895" s="71">
        <v>740</v>
      </c>
      <c r="CA895" s="71">
        <v>970</v>
      </c>
      <c r="CB895" s="71">
        <v>1280</v>
      </c>
      <c r="CC895" s="71">
        <v>1290</v>
      </c>
      <c r="CD895" s="25"/>
      <c r="CE895" s="200"/>
      <c r="CF895" s="200"/>
      <c r="CG895" s="200"/>
      <c r="CH895" s="200"/>
      <c r="CI895" s="200"/>
      <c r="CJ895" s="200"/>
      <c r="CK895" s="200"/>
      <c r="CL895" s="200"/>
      <c r="CM895" s="200"/>
      <c r="CN895" s="200"/>
      <c r="CO895" s="200"/>
      <c r="CP895" s="200"/>
      <c r="CQ895" s="200"/>
      <c r="CR895" s="200"/>
      <c r="CS895" s="200"/>
      <c r="CT895" s="200"/>
      <c r="CU895" s="200"/>
    </row>
    <row r="896" spans="1:99" s="17" customFormat="1" x14ac:dyDescent="0.2">
      <c r="A896" s="25"/>
      <c r="B896" s="20">
        <v>39139002300</v>
      </c>
      <c r="C896" s="20">
        <v>23</v>
      </c>
      <c r="D896" s="20" t="s">
        <v>75</v>
      </c>
      <c r="E896" s="20" t="s">
        <v>2836</v>
      </c>
      <c r="F896" s="20" t="s">
        <v>8</v>
      </c>
      <c r="G896" s="861">
        <v>57.573287390192</v>
      </c>
      <c r="H896" s="861">
        <v>51.128121738437997</v>
      </c>
      <c r="I896" s="861">
        <v>34.452713739512802</v>
      </c>
      <c r="J896" s="861">
        <v>45.312754652144797</v>
      </c>
      <c r="K896" s="982">
        <v>0</v>
      </c>
      <c r="L896" s="735">
        <v>6099</v>
      </c>
      <c r="M896" s="735">
        <v>6466</v>
      </c>
      <c r="N896" s="845">
        <f t="shared" si="78"/>
        <v>6.0173798983439906E-2</v>
      </c>
      <c r="O896" s="735">
        <v>41.610774807765431</v>
      </c>
      <c r="P896" s="735">
        <f t="shared" si="79"/>
        <v>155.39244414149459</v>
      </c>
      <c r="Q896" s="849">
        <v>44.6</v>
      </c>
      <c r="R896" s="71">
        <v>77401</v>
      </c>
      <c r="S896" s="845">
        <v>5.1502145922746781E-2</v>
      </c>
      <c r="T896" s="845">
        <v>3.6000000000000004E-2</v>
      </c>
      <c r="U896" s="845">
        <v>1.3000000000000001E-2</v>
      </c>
      <c r="V896" s="845">
        <v>0</v>
      </c>
      <c r="W896" s="845">
        <v>0.14986787466968668</v>
      </c>
      <c r="X896" s="845">
        <v>0.43828715365239296</v>
      </c>
      <c r="Y896" s="845">
        <v>0.93365295391277447</v>
      </c>
      <c r="Z896" s="845">
        <v>1.9486545004639654E-2</v>
      </c>
      <c r="AA896" s="845">
        <v>0</v>
      </c>
      <c r="AB896" s="845">
        <v>9.5886173832353851E-3</v>
      </c>
      <c r="AC896" s="845">
        <v>0</v>
      </c>
      <c r="AD896" s="845">
        <v>0</v>
      </c>
      <c r="AE896" s="845">
        <v>3.7271883699350451E-2</v>
      </c>
      <c r="AF896" s="845">
        <v>7.8874110733065262E-3</v>
      </c>
      <c r="AG896" s="845">
        <v>0.93365295391277447</v>
      </c>
      <c r="AH896" s="20" t="str">
        <f t="shared" si="80"/>
        <v>Yes</v>
      </c>
      <c r="AI896" s="25"/>
      <c r="AJ896" s="20">
        <v>45148</v>
      </c>
      <c r="AK896" s="20" t="s">
        <v>1587</v>
      </c>
      <c r="AL896" s="20">
        <v>39027</v>
      </c>
      <c r="AM896" s="20" t="s">
        <v>20</v>
      </c>
      <c r="AN896" s="37" t="str">
        <f t="shared" si="81"/>
        <v>N/A</v>
      </c>
      <c r="AO896" s="37" t="str">
        <f t="shared" si="82"/>
        <v>N/A</v>
      </c>
      <c r="AP896" s="20" t="s">
        <v>8</v>
      </c>
      <c r="AQ896" s="25"/>
      <c r="AR896" s="25"/>
      <c r="AS896" s="25"/>
      <c r="AT896" s="25"/>
      <c r="AU896" s="36"/>
      <c r="AV896" s="36"/>
      <c r="AW896" s="36"/>
      <c r="AX896" s="25"/>
      <c r="AY896" s="25"/>
      <c r="AZ896" s="25"/>
      <c r="BA896" s="25"/>
      <c r="BB896" s="25"/>
      <c r="BC896" s="25"/>
      <c r="BD896" s="25"/>
      <c r="BE896" s="25"/>
      <c r="BF896" s="25"/>
      <c r="BG896" s="25"/>
      <c r="BH896" s="25"/>
      <c r="BI896" s="25"/>
      <c r="BJ896" s="25"/>
      <c r="BK896" s="25"/>
      <c r="BL896" s="25"/>
      <c r="BM896" s="25"/>
      <c r="BN896" s="25"/>
      <c r="BO896" s="25"/>
      <c r="BP896" s="25"/>
      <c r="BQ896" s="25"/>
      <c r="BR896" s="25"/>
      <c r="BS896" s="25"/>
      <c r="BT896" s="25"/>
      <c r="BU896" s="39">
        <v>43914</v>
      </c>
      <c r="BV896" s="39" t="s">
        <v>1103</v>
      </c>
      <c r="BW896" s="39" t="s">
        <v>2869</v>
      </c>
      <c r="BX896" s="39" t="s">
        <v>2870</v>
      </c>
      <c r="BY896" s="71">
        <v>740</v>
      </c>
      <c r="BZ896" s="71">
        <v>740</v>
      </c>
      <c r="CA896" s="71">
        <v>970</v>
      </c>
      <c r="CB896" s="71">
        <v>1280</v>
      </c>
      <c r="CC896" s="71">
        <v>1290</v>
      </c>
      <c r="CD896" s="25"/>
      <c r="CE896" s="200"/>
      <c r="CF896" s="200"/>
      <c r="CG896" s="200"/>
      <c r="CH896" s="200"/>
      <c r="CI896" s="200"/>
      <c r="CJ896" s="200"/>
      <c r="CK896" s="200"/>
      <c r="CL896" s="200"/>
      <c r="CM896" s="200"/>
      <c r="CN896" s="200"/>
      <c r="CO896" s="200"/>
      <c r="CP896" s="200"/>
      <c r="CQ896" s="200"/>
      <c r="CR896" s="200"/>
      <c r="CS896" s="200"/>
      <c r="CT896" s="200"/>
      <c r="CU896" s="200"/>
    </row>
    <row r="897" spans="1:99" s="17" customFormat="1" x14ac:dyDescent="0.2">
      <c r="A897" s="25"/>
      <c r="B897" s="20">
        <v>39085205200</v>
      </c>
      <c r="C897" s="20">
        <v>2052</v>
      </c>
      <c r="D897" s="20" t="s">
        <v>48</v>
      </c>
      <c r="E897" s="20" t="s">
        <v>2829</v>
      </c>
      <c r="F897" s="20" t="s">
        <v>8</v>
      </c>
      <c r="G897" s="861">
        <v>57.565255524354299</v>
      </c>
      <c r="H897" s="861">
        <v>69.784175087345105</v>
      </c>
      <c r="I897" s="861">
        <v>20.6346469146775</v>
      </c>
      <c r="J897" s="861">
        <v>54.196509649935798</v>
      </c>
      <c r="K897" s="982">
        <v>0</v>
      </c>
      <c r="L897" s="735">
        <v>3091</v>
      </c>
      <c r="M897" s="735">
        <v>3207</v>
      </c>
      <c r="N897" s="845">
        <f t="shared" si="78"/>
        <v>3.7528307990941444E-2</v>
      </c>
      <c r="O897" s="735">
        <v>25.39203741749996</v>
      </c>
      <c r="P897" s="735">
        <f t="shared" si="79"/>
        <v>126.29943581406999</v>
      </c>
      <c r="Q897" s="849">
        <v>53.5</v>
      </c>
      <c r="R897" s="71">
        <v>112670</v>
      </c>
      <c r="S897" s="845">
        <v>1.9041574103459219E-2</v>
      </c>
      <c r="T897" s="845">
        <v>0</v>
      </c>
      <c r="U897" s="845">
        <v>0.02</v>
      </c>
      <c r="V897" s="845">
        <v>0</v>
      </c>
      <c r="W897" s="845">
        <v>5.9221658206429779E-2</v>
      </c>
      <c r="X897" s="845">
        <v>0.1</v>
      </c>
      <c r="Y897" s="845">
        <v>0.92142188961646398</v>
      </c>
      <c r="Z897" s="845">
        <v>4.2095416276894296E-2</v>
      </c>
      <c r="AA897" s="845">
        <v>0</v>
      </c>
      <c r="AB897" s="845">
        <v>0</v>
      </c>
      <c r="AC897" s="845">
        <v>0</v>
      </c>
      <c r="AD897" s="845">
        <v>1.3719987527284067E-2</v>
      </c>
      <c r="AE897" s="845">
        <v>2.2762706579357656E-2</v>
      </c>
      <c r="AF897" s="845">
        <v>1.5279077019020891E-2</v>
      </c>
      <c r="AG897" s="845">
        <v>0.91986280012472721</v>
      </c>
      <c r="AH897" s="20" t="str">
        <f t="shared" si="80"/>
        <v>Yes</v>
      </c>
      <c r="AI897" s="25"/>
      <c r="AJ897" s="20">
        <v>45159</v>
      </c>
      <c r="AK897" s="20" t="s">
        <v>1596</v>
      </c>
      <c r="AL897" s="20">
        <v>39027</v>
      </c>
      <c r="AM897" s="20" t="s">
        <v>20</v>
      </c>
      <c r="AN897" s="37" t="str">
        <f t="shared" si="81"/>
        <v>N/A</v>
      </c>
      <c r="AO897" s="37" t="str">
        <f t="shared" si="82"/>
        <v>N/A</v>
      </c>
      <c r="AP897" s="20" t="s">
        <v>8</v>
      </c>
      <c r="AQ897" s="25"/>
      <c r="AR897" s="25"/>
      <c r="AS897" s="25"/>
      <c r="AT897" s="25"/>
      <c r="AU897" s="36"/>
      <c r="AV897" s="36"/>
      <c r="AW897" s="36"/>
      <c r="AX897" s="25"/>
      <c r="AY897" s="25"/>
      <c r="AZ897" s="25"/>
      <c r="BA897" s="25"/>
      <c r="BB897" s="25"/>
      <c r="BC897" s="25"/>
      <c r="BD897" s="25"/>
      <c r="BE897" s="25"/>
      <c r="BF897" s="25"/>
      <c r="BG897" s="25"/>
      <c r="BH897" s="25"/>
      <c r="BI897" s="25"/>
      <c r="BJ897" s="25"/>
      <c r="BK897" s="25"/>
      <c r="BL897" s="25"/>
      <c r="BM897" s="25"/>
      <c r="BN897" s="25"/>
      <c r="BO897" s="25"/>
      <c r="BP897" s="25"/>
      <c r="BQ897" s="25"/>
      <c r="BR897" s="25"/>
      <c r="BS897" s="25"/>
      <c r="BT897" s="25"/>
      <c r="BU897" s="39">
        <v>43915</v>
      </c>
      <c r="BV897" s="39" t="s">
        <v>1104</v>
      </c>
      <c r="BW897" s="39" t="s">
        <v>2869</v>
      </c>
      <c r="BX897" s="39" t="s">
        <v>2870</v>
      </c>
      <c r="BY897" s="71">
        <v>740</v>
      </c>
      <c r="BZ897" s="71">
        <v>740</v>
      </c>
      <c r="CA897" s="71">
        <v>970</v>
      </c>
      <c r="CB897" s="71">
        <v>1280</v>
      </c>
      <c r="CC897" s="71">
        <v>1290</v>
      </c>
      <c r="CD897" s="25"/>
      <c r="CE897" s="200"/>
      <c r="CF897" s="200"/>
      <c r="CG897" s="200"/>
      <c r="CH897" s="200"/>
      <c r="CI897" s="200"/>
      <c r="CJ897" s="200"/>
      <c r="CK897" s="200"/>
      <c r="CL897" s="200"/>
      <c r="CM897" s="200"/>
      <c r="CN897" s="200"/>
      <c r="CO897" s="200"/>
      <c r="CP897" s="200"/>
      <c r="CQ897" s="200"/>
      <c r="CR897" s="200"/>
      <c r="CS897" s="200"/>
      <c r="CT897" s="200"/>
      <c r="CU897" s="200"/>
    </row>
    <row r="898" spans="1:99" s="17" customFormat="1" x14ac:dyDescent="0.2">
      <c r="A898" s="25"/>
      <c r="B898" s="20">
        <v>39089758602</v>
      </c>
      <c r="C898" s="20">
        <v>7586.02</v>
      </c>
      <c r="D898" s="20" t="s">
        <v>50</v>
      </c>
      <c r="E898" s="20" t="s">
        <v>2830</v>
      </c>
      <c r="F898" s="20" t="s">
        <v>8</v>
      </c>
      <c r="G898" s="861">
        <v>57.547960258209699</v>
      </c>
      <c r="H898" s="861">
        <v>61.573636060990196</v>
      </c>
      <c r="I898" s="861">
        <v>23.251815646750899</v>
      </c>
      <c r="J898" s="861">
        <v>54.809101399031</v>
      </c>
      <c r="K898" s="982">
        <v>0</v>
      </c>
      <c r="L898" s="735" t="s">
        <v>2466</v>
      </c>
      <c r="M898" s="735">
        <v>4016</v>
      </c>
      <c r="N898" s="845" t="str">
        <f t="shared" si="78"/>
        <v/>
      </c>
      <c r="O898" s="735">
        <v>27.761028215685517</v>
      </c>
      <c r="P898" s="735">
        <f t="shared" si="79"/>
        <v>144.66322964690775</v>
      </c>
      <c r="Q898" s="849">
        <v>47.6</v>
      </c>
      <c r="R898" s="71">
        <v>86298</v>
      </c>
      <c r="S898" s="845">
        <v>2.3406374501992032E-2</v>
      </c>
      <c r="T898" s="845">
        <v>3.6000000000000004E-2</v>
      </c>
      <c r="U898" s="845">
        <v>0</v>
      </c>
      <c r="V898" s="845">
        <v>0</v>
      </c>
      <c r="W898" s="845">
        <v>7.3684210526315783E-2</v>
      </c>
      <c r="X898" s="845">
        <v>0.33613445378151263</v>
      </c>
      <c r="Y898" s="845">
        <v>0.91384462151394419</v>
      </c>
      <c r="Z898" s="845">
        <v>1.1952191235059761E-2</v>
      </c>
      <c r="AA898" s="845">
        <v>0</v>
      </c>
      <c r="AB898" s="845">
        <v>3.5856573705179286E-2</v>
      </c>
      <c r="AC898" s="845">
        <v>0</v>
      </c>
      <c r="AD898" s="845">
        <v>2.4900398406374502E-3</v>
      </c>
      <c r="AE898" s="845">
        <v>3.5856573705179286E-2</v>
      </c>
      <c r="AF898" s="845">
        <v>2.4402390438247011E-2</v>
      </c>
      <c r="AG898" s="845">
        <v>0.91085657370517925</v>
      </c>
      <c r="AH898" s="20" t="str">
        <f t="shared" si="80"/>
        <v>Yes</v>
      </c>
      <c r="AI898" s="25"/>
      <c r="AJ898" s="20">
        <v>45164</v>
      </c>
      <c r="AK898" s="20" t="s">
        <v>1599</v>
      </c>
      <c r="AL898" s="20">
        <v>39027</v>
      </c>
      <c r="AM898" s="20" t="s">
        <v>20</v>
      </c>
      <c r="AN898" s="37" t="str">
        <f t="shared" si="81"/>
        <v>N/A</v>
      </c>
      <c r="AO898" s="37" t="str">
        <f t="shared" si="82"/>
        <v>N/A</v>
      </c>
      <c r="AP898" s="20" t="s">
        <v>8</v>
      </c>
      <c r="AQ898" s="25"/>
      <c r="AR898" s="25"/>
      <c r="AS898" s="25"/>
      <c r="AT898" s="25"/>
      <c r="AU898" s="36"/>
      <c r="AV898" s="36"/>
      <c r="AW898" s="36"/>
      <c r="AX898" s="25"/>
      <c r="AY898" s="25"/>
      <c r="AZ898" s="25"/>
      <c r="BA898" s="25"/>
      <c r="BB898" s="25"/>
      <c r="BC898" s="25"/>
      <c r="BD898" s="25"/>
      <c r="BE898" s="25"/>
      <c r="BF898" s="25"/>
      <c r="BG898" s="25"/>
      <c r="BH898" s="25"/>
      <c r="BI898" s="25"/>
      <c r="BJ898" s="25"/>
      <c r="BK898" s="25"/>
      <c r="BL898" s="25"/>
      <c r="BM898" s="25"/>
      <c r="BN898" s="25"/>
      <c r="BO898" s="25"/>
      <c r="BP898" s="25"/>
      <c r="BQ898" s="25"/>
      <c r="BR898" s="25"/>
      <c r="BS898" s="25"/>
      <c r="BT898" s="25"/>
      <c r="BU898" s="39">
        <v>43931</v>
      </c>
      <c r="BV898" s="39" t="s">
        <v>1111</v>
      </c>
      <c r="BW898" s="39" t="s">
        <v>2869</v>
      </c>
      <c r="BX898" s="39" t="s">
        <v>2870</v>
      </c>
      <c r="BY898" s="71">
        <v>740</v>
      </c>
      <c r="BZ898" s="71">
        <v>740</v>
      </c>
      <c r="CA898" s="71">
        <v>970</v>
      </c>
      <c r="CB898" s="71">
        <v>1280</v>
      </c>
      <c r="CC898" s="71">
        <v>1290</v>
      </c>
      <c r="CD898" s="25"/>
      <c r="CE898" s="200"/>
      <c r="CF898" s="200"/>
      <c r="CG898" s="200"/>
      <c r="CH898" s="200"/>
      <c r="CI898" s="200"/>
      <c r="CJ898" s="200"/>
      <c r="CK898" s="200"/>
      <c r="CL898" s="200"/>
      <c r="CM898" s="200"/>
      <c r="CN898" s="200"/>
      <c r="CO898" s="200"/>
      <c r="CP898" s="200"/>
      <c r="CQ898" s="200"/>
      <c r="CR898" s="200"/>
      <c r="CS898" s="200"/>
      <c r="CT898" s="200"/>
      <c r="CU898" s="200"/>
    </row>
    <row r="899" spans="1:99" s="17" customFormat="1" x14ac:dyDescent="0.2">
      <c r="A899" s="25"/>
      <c r="B899" s="20">
        <v>39061004602</v>
      </c>
      <c r="C899" s="20">
        <v>46.02</v>
      </c>
      <c r="D899" s="20" t="s">
        <v>37</v>
      </c>
      <c r="E899" s="20" t="s">
        <v>2828</v>
      </c>
      <c r="F899" s="20" t="s">
        <v>8</v>
      </c>
      <c r="G899" s="861">
        <v>57.545530644397601</v>
      </c>
      <c r="H899" s="861">
        <v>63.673466646520502</v>
      </c>
      <c r="I899" s="861">
        <v>41.1036076806868</v>
      </c>
      <c r="J899" s="861">
        <v>31.0106856053809</v>
      </c>
      <c r="K899" s="982">
        <v>0</v>
      </c>
      <c r="L899" s="735">
        <v>4717</v>
      </c>
      <c r="M899" s="735">
        <v>4539</v>
      </c>
      <c r="N899" s="845">
        <f t="shared" si="78"/>
        <v>-3.7735849056603772E-2</v>
      </c>
      <c r="O899" s="735">
        <v>1.4060485397363467</v>
      </c>
      <c r="P899" s="735">
        <f t="shared" si="79"/>
        <v>3228.1958067045998</v>
      </c>
      <c r="Q899" s="849">
        <v>37.9</v>
      </c>
      <c r="R899" s="71">
        <v>60286</v>
      </c>
      <c r="S899" s="845">
        <v>0.20661340434975589</v>
      </c>
      <c r="T899" s="845">
        <v>0.08</v>
      </c>
      <c r="U899" s="845">
        <v>0</v>
      </c>
      <c r="V899" s="845">
        <v>0.04</v>
      </c>
      <c r="W899" s="845">
        <v>0.4560336763330215</v>
      </c>
      <c r="X899" s="845">
        <v>0.67487179487179483</v>
      </c>
      <c r="Y899" s="845">
        <v>0.75941837409120949</v>
      </c>
      <c r="Z899" s="845">
        <v>6.8076668869795104E-2</v>
      </c>
      <c r="AA899" s="845">
        <v>0</v>
      </c>
      <c r="AB899" s="845">
        <v>2.6657854152897113E-2</v>
      </c>
      <c r="AC899" s="845">
        <v>0</v>
      </c>
      <c r="AD899" s="845">
        <v>0</v>
      </c>
      <c r="AE899" s="845">
        <v>0.14584710288609826</v>
      </c>
      <c r="AF899" s="845">
        <v>9.9140779907468599E-2</v>
      </c>
      <c r="AG899" s="845">
        <v>0.74487772637144745</v>
      </c>
      <c r="AH899" s="20" t="str">
        <f t="shared" si="80"/>
        <v>No</v>
      </c>
      <c r="AI899" s="25"/>
      <c r="AJ899" s="20">
        <v>45166</v>
      </c>
      <c r="AK899" s="20" t="s">
        <v>1600</v>
      </c>
      <c r="AL899" s="20">
        <v>39027</v>
      </c>
      <c r="AM899" s="20" t="s">
        <v>20</v>
      </c>
      <c r="AN899" s="37" t="str">
        <f t="shared" si="81"/>
        <v>N/A</v>
      </c>
      <c r="AO899" s="37" t="str">
        <f t="shared" si="82"/>
        <v>N/A</v>
      </c>
      <c r="AP899" s="20" t="s">
        <v>8</v>
      </c>
      <c r="AQ899" s="25"/>
      <c r="AR899" s="25"/>
      <c r="AS899" s="25"/>
      <c r="AT899" s="25"/>
      <c r="AU899" s="36"/>
      <c r="AV899" s="36"/>
      <c r="AW899" s="36"/>
      <c r="AX899" s="25"/>
      <c r="AY899" s="25"/>
      <c r="AZ899" s="25"/>
      <c r="BA899" s="25"/>
      <c r="BB899" s="25"/>
      <c r="BC899" s="25"/>
      <c r="BD899" s="25"/>
      <c r="BE899" s="25"/>
      <c r="BF899" s="25"/>
      <c r="BG899" s="25"/>
      <c r="BH899" s="25"/>
      <c r="BI899" s="25"/>
      <c r="BJ899" s="25"/>
      <c r="BK899" s="25"/>
      <c r="BL899" s="25"/>
      <c r="BM899" s="25"/>
      <c r="BN899" s="25"/>
      <c r="BO899" s="25"/>
      <c r="BP899" s="25"/>
      <c r="BQ899" s="25"/>
      <c r="BR899" s="25"/>
      <c r="BS899" s="25"/>
      <c r="BT899" s="25"/>
      <c r="BU899" s="39">
        <v>43946</v>
      </c>
      <c r="BV899" s="39" t="s">
        <v>1123</v>
      </c>
      <c r="BW899" s="39" t="s">
        <v>2869</v>
      </c>
      <c r="BX899" s="39" t="s">
        <v>2870</v>
      </c>
      <c r="BY899" s="71">
        <v>740</v>
      </c>
      <c r="BZ899" s="71">
        <v>740</v>
      </c>
      <c r="CA899" s="71">
        <v>970</v>
      </c>
      <c r="CB899" s="71">
        <v>1280</v>
      </c>
      <c r="CC899" s="71">
        <v>1290</v>
      </c>
      <c r="CD899" s="25"/>
      <c r="CE899" s="200"/>
      <c r="CF899" s="200"/>
      <c r="CG899" s="200"/>
      <c r="CH899" s="200"/>
      <c r="CI899" s="200"/>
      <c r="CJ899" s="200"/>
      <c r="CK899" s="200"/>
      <c r="CL899" s="200"/>
      <c r="CM899" s="200"/>
      <c r="CN899" s="200"/>
      <c r="CO899" s="200"/>
      <c r="CP899" s="200"/>
      <c r="CQ899" s="200"/>
      <c r="CR899" s="200"/>
      <c r="CS899" s="200"/>
      <c r="CT899" s="200"/>
      <c r="CU899" s="200"/>
    </row>
    <row r="900" spans="1:99" s="17" customFormat="1" x14ac:dyDescent="0.2">
      <c r="A900" s="25"/>
      <c r="B900" s="20">
        <v>39153508301</v>
      </c>
      <c r="C900" s="20">
        <v>5083.01</v>
      </c>
      <c r="D900" s="20" t="s">
        <v>82</v>
      </c>
      <c r="E900" s="20" t="s">
        <v>2843</v>
      </c>
      <c r="F900" s="20" t="s">
        <v>6</v>
      </c>
      <c r="G900" s="861">
        <v>57.517733668616401</v>
      </c>
      <c r="H900" s="861">
        <v>36.902012438345899</v>
      </c>
      <c r="I900" s="861">
        <v>66.910819749495104</v>
      </c>
      <c r="J900" s="861">
        <v>39.272103378197102</v>
      </c>
      <c r="K900" s="982">
        <v>2</v>
      </c>
      <c r="L900" s="735">
        <v>2166</v>
      </c>
      <c r="M900" s="735">
        <v>2009</v>
      </c>
      <c r="N900" s="845">
        <f t="shared" si="78"/>
        <v>-7.2483841181902126E-2</v>
      </c>
      <c r="O900" s="735">
        <v>0.68946725782459295</v>
      </c>
      <c r="P900" s="735">
        <f t="shared" si="79"/>
        <v>2913.8439529946595</v>
      </c>
      <c r="Q900" s="849">
        <v>28.5</v>
      </c>
      <c r="R900" s="71">
        <v>16740</v>
      </c>
      <c r="S900" s="845">
        <v>0.41643376187814424</v>
      </c>
      <c r="T900" s="845">
        <v>0.122</v>
      </c>
      <c r="U900" s="845">
        <v>0</v>
      </c>
      <c r="V900" s="845">
        <v>2.7000000000000003E-2</v>
      </c>
      <c r="W900" s="845">
        <v>0.79370629370629375</v>
      </c>
      <c r="X900" s="845">
        <v>0.4698972099853157</v>
      </c>
      <c r="Y900" s="845">
        <v>0.35042309606769539</v>
      </c>
      <c r="Z900" s="845">
        <v>0.44997511199601792</v>
      </c>
      <c r="AA900" s="845">
        <v>0</v>
      </c>
      <c r="AB900" s="845">
        <v>9.4574415131906415E-3</v>
      </c>
      <c r="AC900" s="845">
        <v>0</v>
      </c>
      <c r="AD900" s="845">
        <v>5.5749128919860627E-2</v>
      </c>
      <c r="AE900" s="845">
        <v>0.13439522150323543</v>
      </c>
      <c r="AF900" s="845">
        <v>3.0861124937779989E-2</v>
      </c>
      <c r="AG900" s="845">
        <v>0.34345445495271282</v>
      </c>
      <c r="AH900" s="20" t="str">
        <f t="shared" si="80"/>
        <v>No</v>
      </c>
      <c r="AI900" s="25"/>
      <c r="AJ900" s="20">
        <v>45169</v>
      </c>
      <c r="AK900" s="20" t="s">
        <v>1603</v>
      </c>
      <c r="AL900" s="20">
        <v>39027</v>
      </c>
      <c r="AM900" s="20" t="s">
        <v>20</v>
      </c>
      <c r="AN900" s="37" t="str">
        <f t="shared" si="81"/>
        <v>N/A</v>
      </c>
      <c r="AO900" s="37" t="str">
        <f t="shared" si="82"/>
        <v>N/A</v>
      </c>
      <c r="AP900" s="20" t="s">
        <v>8</v>
      </c>
      <c r="AQ900" s="25"/>
      <c r="AR900" s="25"/>
      <c r="AS900" s="25"/>
      <c r="AT900" s="25"/>
      <c r="AU900" s="36"/>
      <c r="AV900" s="36"/>
      <c r="AW900" s="36"/>
      <c r="AX900" s="25"/>
      <c r="AY900" s="25"/>
      <c r="AZ900" s="25"/>
      <c r="BA900" s="25"/>
      <c r="BB900" s="25"/>
      <c r="BC900" s="25"/>
      <c r="BD900" s="25"/>
      <c r="BE900" s="25"/>
      <c r="BF900" s="25"/>
      <c r="BG900" s="25"/>
      <c r="BH900" s="25"/>
      <c r="BI900" s="25"/>
      <c r="BJ900" s="25"/>
      <c r="BK900" s="25"/>
      <c r="BL900" s="25"/>
      <c r="BM900" s="25"/>
      <c r="BN900" s="25"/>
      <c r="BO900" s="25"/>
      <c r="BP900" s="25"/>
      <c r="BQ900" s="25"/>
      <c r="BR900" s="25"/>
      <c r="BS900" s="25"/>
      <c r="BT900" s="25"/>
      <c r="BU900" s="39">
        <v>45734</v>
      </c>
      <c r="BV900" s="39" t="s">
        <v>1846</v>
      </c>
      <c r="BW900" s="39" t="s">
        <v>2869</v>
      </c>
      <c r="BX900" s="39" t="s">
        <v>2870</v>
      </c>
      <c r="BY900" s="71">
        <v>790</v>
      </c>
      <c r="BZ900" s="71">
        <v>800</v>
      </c>
      <c r="CA900" s="71">
        <v>1030</v>
      </c>
      <c r="CB900" s="71">
        <v>1370</v>
      </c>
      <c r="CC900" s="71">
        <v>1450</v>
      </c>
      <c r="CD900" s="25"/>
      <c r="CE900" s="200"/>
      <c r="CF900" s="200"/>
      <c r="CG900" s="200"/>
      <c r="CH900" s="200"/>
      <c r="CI900" s="200"/>
      <c r="CJ900" s="200"/>
      <c r="CK900" s="200"/>
      <c r="CL900" s="200"/>
      <c r="CM900" s="200"/>
      <c r="CN900" s="200"/>
      <c r="CO900" s="200"/>
      <c r="CP900" s="200"/>
      <c r="CQ900" s="200"/>
      <c r="CR900" s="200"/>
      <c r="CS900" s="200"/>
      <c r="CT900" s="200"/>
      <c r="CU900" s="200"/>
    </row>
    <row r="901" spans="1:99" s="17" customFormat="1" x14ac:dyDescent="0.2">
      <c r="A901" s="25"/>
      <c r="B901" s="20">
        <v>39035177404</v>
      </c>
      <c r="C901" s="20">
        <v>1774.04</v>
      </c>
      <c r="D901" s="20" t="s">
        <v>24</v>
      </c>
      <c r="E901" s="20" t="s">
        <v>2829</v>
      </c>
      <c r="F901" s="20" t="s">
        <v>8</v>
      </c>
      <c r="G901" s="861">
        <v>57.489788894647099</v>
      </c>
      <c r="H901" s="861">
        <v>73.108294821963796</v>
      </c>
      <c r="I901" s="861">
        <v>27.434533808354001</v>
      </c>
      <c r="J901" s="861">
        <v>43.846588344749897</v>
      </c>
      <c r="K901" s="982">
        <v>0</v>
      </c>
      <c r="L901" s="735">
        <v>2877</v>
      </c>
      <c r="M901" s="735">
        <v>3044</v>
      </c>
      <c r="N901" s="845">
        <f t="shared" si="78"/>
        <v>5.8046576294751476E-2</v>
      </c>
      <c r="O901" s="735">
        <v>0.36124799043961636</v>
      </c>
      <c r="P901" s="735">
        <f t="shared" si="79"/>
        <v>8426.3444518975484</v>
      </c>
      <c r="Q901" s="849">
        <v>39.799999999999997</v>
      </c>
      <c r="R901" s="71">
        <v>80511</v>
      </c>
      <c r="S901" s="845">
        <v>0.13666228646517739</v>
      </c>
      <c r="T901" s="845">
        <v>4.7E-2</v>
      </c>
      <c r="U901" s="845">
        <v>0</v>
      </c>
      <c r="V901" s="845">
        <v>0</v>
      </c>
      <c r="W901" s="845">
        <v>0.19624573378839591</v>
      </c>
      <c r="X901" s="845">
        <v>0.37826086956521737</v>
      </c>
      <c r="Y901" s="845">
        <v>0.72864651773981604</v>
      </c>
      <c r="Z901" s="845">
        <v>5.2890932982917215E-2</v>
      </c>
      <c r="AA901" s="845">
        <v>0</v>
      </c>
      <c r="AB901" s="845">
        <v>5.5847568988173458E-3</v>
      </c>
      <c r="AC901" s="845">
        <v>0</v>
      </c>
      <c r="AD901" s="845">
        <v>7.5558475689881735E-2</v>
      </c>
      <c r="AE901" s="845">
        <v>0.13731931668856767</v>
      </c>
      <c r="AF901" s="845">
        <v>0.24934296977660972</v>
      </c>
      <c r="AG901" s="845">
        <v>0.71254927726675432</v>
      </c>
      <c r="AH901" s="20" t="str">
        <f t="shared" si="80"/>
        <v>No</v>
      </c>
      <c r="AI901" s="25"/>
      <c r="AJ901" s="20">
        <v>45177</v>
      </c>
      <c r="AK901" s="20" t="s">
        <v>1608</v>
      </c>
      <c r="AL901" s="20">
        <v>39027</v>
      </c>
      <c r="AM901" s="20" t="s">
        <v>20</v>
      </c>
      <c r="AN901" s="37" t="str">
        <f t="shared" si="81"/>
        <v>N/A</v>
      </c>
      <c r="AO901" s="37" t="str">
        <f t="shared" si="82"/>
        <v>N/A</v>
      </c>
      <c r="AP901" s="20" t="s">
        <v>8</v>
      </c>
      <c r="AQ901" s="25"/>
      <c r="AR901" s="25"/>
      <c r="AS901" s="25"/>
      <c r="AT901" s="25"/>
      <c r="AU901" s="36"/>
      <c r="AV901" s="36"/>
      <c r="AW901" s="36"/>
      <c r="AX901" s="25"/>
      <c r="AY901" s="25"/>
      <c r="AZ901" s="25"/>
      <c r="BA901" s="25"/>
      <c r="BB901" s="25"/>
      <c r="BC901" s="25"/>
      <c r="BD901" s="25"/>
      <c r="BE901" s="25"/>
      <c r="BF901" s="25"/>
      <c r="BG901" s="25"/>
      <c r="BH901" s="25"/>
      <c r="BI901" s="25"/>
      <c r="BJ901" s="25"/>
      <c r="BK901" s="25"/>
      <c r="BL901" s="25"/>
      <c r="BM901" s="25"/>
      <c r="BN901" s="25"/>
      <c r="BO901" s="25"/>
      <c r="BP901" s="25"/>
      <c r="BQ901" s="25"/>
      <c r="BR901" s="25"/>
      <c r="BS901" s="25"/>
      <c r="BT901" s="25"/>
      <c r="BU901" s="39">
        <v>45745</v>
      </c>
      <c r="BV901" s="39" t="s">
        <v>1854</v>
      </c>
      <c r="BW901" s="39" t="s">
        <v>2869</v>
      </c>
      <c r="BX901" s="39" t="s">
        <v>2870</v>
      </c>
      <c r="BY901" s="71">
        <v>1010</v>
      </c>
      <c r="BZ901" s="71">
        <v>1020</v>
      </c>
      <c r="CA901" s="71">
        <v>1320</v>
      </c>
      <c r="CB901" s="71">
        <v>1730</v>
      </c>
      <c r="CC901" s="71">
        <v>1910</v>
      </c>
      <c r="CD901" s="25"/>
      <c r="CE901" s="200"/>
      <c r="CF901" s="200"/>
      <c r="CG901" s="200"/>
      <c r="CH901" s="200"/>
      <c r="CI901" s="200"/>
      <c r="CJ901" s="200"/>
      <c r="CK901" s="200"/>
      <c r="CL901" s="200"/>
      <c r="CM901" s="200"/>
      <c r="CN901" s="200"/>
      <c r="CO901" s="200"/>
      <c r="CP901" s="200"/>
      <c r="CQ901" s="200"/>
      <c r="CR901" s="200"/>
      <c r="CS901" s="200"/>
      <c r="CT901" s="200"/>
      <c r="CU901" s="200"/>
    </row>
    <row r="902" spans="1:99" s="17" customFormat="1" x14ac:dyDescent="0.2">
      <c r="A902" s="25"/>
      <c r="B902" s="20">
        <v>39035138107</v>
      </c>
      <c r="C902" s="20">
        <v>1381.07</v>
      </c>
      <c r="D902" s="20" t="s">
        <v>24</v>
      </c>
      <c r="E902" s="20" t="s">
        <v>2829</v>
      </c>
      <c r="F902" s="20" t="s">
        <v>8</v>
      </c>
      <c r="G902" s="861">
        <v>57.473303825806603</v>
      </c>
      <c r="H902" s="861">
        <v>64.593648070095398</v>
      </c>
      <c r="I902" s="861">
        <v>28.598034804189702</v>
      </c>
      <c r="J902" s="861">
        <v>35.796439047214903</v>
      </c>
      <c r="K902" s="982">
        <v>0</v>
      </c>
      <c r="L902" s="735">
        <v>2121</v>
      </c>
      <c r="M902" s="735">
        <v>1908</v>
      </c>
      <c r="N902" s="845">
        <f t="shared" si="78"/>
        <v>-0.10042432814710042</v>
      </c>
      <c r="O902" s="735">
        <v>0.83842122348584835</v>
      </c>
      <c r="P902" s="735">
        <f t="shared" si="79"/>
        <v>2275.7057509437022</v>
      </c>
      <c r="Q902" s="849">
        <v>53</v>
      </c>
      <c r="R902" s="71">
        <v>78934</v>
      </c>
      <c r="S902" s="845">
        <v>1.781970649895178E-2</v>
      </c>
      <c r="T902" s="845">
        <v>1.1000000000000001E-2</v>
      </c>
      <c r="U902" s="845">
        <v>0</v>
      </c>
      <c r="V902" s="845">
        <v>0</v>
      </c>
      <c r="W902" s="845">
        <v>0.1984216459977452</v>
      </c>
      <c r="X902" s="845">
        <v>0.57386363636363635</v>
      </c>
      <c r="Y902" s="845">
        <v>0.86111111111111116</v>
      </c>
      <c r="Z902" s="845">
        <v>9.7484276729559755E-2</v>
      </c>
      <c r="AA902" s="845">
        <v>0</v>
      </c>
      <c r="AB902" s="845">
        <v>1.5723270440251573E-3</v>
      </c>
      <c r="AC902" s="845">
        <v>5.2410901467505244E-4</v>
      </c>
      <c r="AD902" s="845">
        <v>1.3626834381551363E-2</v>
      </c>
      <c r="AE902" s="845">
        <v>2.5681341719077568E-2</v>
      </c>
      <c r="AF902" s="845">
        <v>8.1236897274633124E-2</v>
      </c>
      <c r="AG902" s="845">
        <v>0.80765199161425572</v>
      </c>
      <c r="AH902" s="20" t="str">
        <f t="shared" si="80"/>
        <v>No</v>
      </c>
      <c r="AI902" s="25"/>
      <c r="AJ902" s="20">
        <v>45335</v>
      </c>
      <c r="AK902" s="20" t="s">
        <v>1687</v>
      </c>
      <c r="AL902" s="20">
        <v>39027</v>
      </c>
      <c r="AM902" s="20" t="s">
        <v>20</v>
      </c>
      <c r="AN902" s="37" t="str">
        <f t="shared" si="81"/>
        <v>N/A</v>
      </c>
      <c r="AO902" s="37" t="str">
        <f t="shared" si="82"/>
        <v>N/A</v>
      </c>
      <c r="AP902" s="20" t="s">
        <v>8</v>
      </c>
      <c r="AQ902" s="25"/>
      <c r="AR902" s="25"/>
      <c r="AS902" s="25"/>
      <c r="AT902" s="25"/>
      <c r="AU902" s="36"/>
      <c r="AV902" s="36"/>
      <c r="AW902" s="36"/>
      <c r="AX902" s="25"/>
      <c r="AY902" s="25"/>
      <c r="AZ902" s="25"/>
      <c r="BA902" s="25"/>
      <c r="BB902" s="25"/>
      <c r="BC902" s="25"/>
      <c r="BD902" s="25"/>
      <c r="BE902" s="25"/>
      <c r="BF902" s="25"/>
      <c r="BG902" s="25"/>
      <c r="BH902" s="25"/>
      <c r="BI902" s="25"/>
      <c r="BJ902" s="25"/>
      <c r="BK902" s="25"/>
      <c r="BL902" s="25"/>
      <c r="BM902" s="25"/>
      <c r="BN902" s="25"/>
      <c r="BO902" s="25"/>
      <c r="BP902" s="25"/>
      <c r="BQ902" s="25"/>
      <c r="BR902" s="25"/>
      <c r="BS902" s="25"/>
      <c r="BT902" s="25"/>
      <c r="BU902" s="39">
        <v>45767</v>
      </c>
      <c r="BV902" s="39" t="s">
        <v>1861</v>
      </c>
      <c r="BW902" s="39" t="s">
        <v>2869</v>
      </c>
      <c r="BX902" s="39" t="s">
        <v>2870</v>
      </c>
      <c r="BY902" s="71">
        <v>750</v>
      </c>
      <c r="BZ902" s="71">
        <v>760</v>
      </c>
      <c r="CA902" s="71">
        <v>970</v>
      </c>
      <c r="CB902" s="71">
        <v>1300</v>
      </c>
      <c r="CC902" s="71">
        <v>1400</v>
      </c>
      <c r="CD902" s="25"/>
      <c r="CE902" s="200"/>
      <c r="CF902" s="200"/>
      <c r="CG902" s="200"/>
      <c r="CH902" s="200"/>
      <c r="CI902" s="200"/>
      <c r="CJ902" s="200"/>
      <c r="CK902" s="200"/>
      <c r="CL902" s="200"/>
      <c r="CM902" s="200"/>
      <c r="CN902" s="200"/>
      <c r="CO902" s="200"/>
      <c r="CP902" s="200"/>
      <c r="CQ902" s="200"/>
      <c r="CR902" s="200"/>
      <c r="CS902" s="200"/>
      <c r="CT902" s="200"/>
      <c r="CU902" s="200"/>
    </row>
    <row r="903" spans="1:99" s="17" customFormat="1" x14ac:dyDescent="0.2">
      <c r="A903" s="25"/>
      <c r="B903" s="20">
        <v>39091004500</v>
      </c>
      <c r="C903" s="20">
        <v>45</v>
      </c>
      <c r="D903" s="20" t="s">
        <v>51</v>
      </c>
      <c r="E903" s="20" t="s">
        <v>265</v>
      </c>
      <c r="F903" s="20" t="s">
        <v>8</v>
      </c>
      <c r="G903" s="861">
        <v>57.472020095200101</v>
      </c>
      <c r="H903" s="861">
        <v>66.072042397349193</v>
      </c>
      <c r="I903" s="861">
        <v>34.080932821119603</v>
      </c>
      <c r="J903" s="861">
        <v>35.331338625815299</v>
      </c>
      <c r="K903" s="982">
        <v>0</v>
      </c>
      <c r="L903" s="735">
        <v>4580</v>
      </c>
      <c r="M903" s="735">
        <v>4374</v>
      </c>
      <c r="N903" s="845">
        <f t="shared" si="78"/>
        <v>-4.4978165938864625E-2</v>
      </c>
      <c r="O903" s="735">
        <v>1.2984260379481047</v>
      </c>
      <c r="P903" s="735">
        <f t="shared" si="79"/>
        <v>3368.6939973201765</v>
      </c>
      <c r="Q903" s="849">
        <v>34.4</v>
      </c>
      <c r="R903" s="71">
        <v>61441</v>
      </c>
      <c r="S903" s="845">
        <v>9.7707802732113921E-2</v>
      </c>
      <c r="T903" s="845">
        <v>4.0999999999999995E-2</v>
      </c>
      <c r="U903" s="845">
        <v>1.9E-2</v>
      </c>
      <c r="V903" s="845">
        <v>6.8000000000000005E-2</v>
      </c>
      <c r="W903" s="845">
        <v>0.43487179487179489</v>
      </c>
      <c r="X903" s="845">
        <v>0.30306603773584906</v>
      </c>
      <c r="Y903" s="845">
        <v>0.81595793324188381</v>
      </c>
      <c r="Z903" s="845">
        <v>7.2930955647005025E-2</v>
      </c>
      <c r="AA903" s="845">
        <v>2.9721079103795151E-3</v>
      </c>
      <c r="AB903" s="845">
        <v>0</v>
      </c>
      <c r="AC903" s="845">
        <v>0</v>
      </c>
      <c r="AD903" s="845">
        <v>2.8349336991312299E-2</v>
      </c>
      <c r="AE903" s="845">
        <v>7.9789666209419297E-2</v>
      </c>
      <c r="AF903" s="845">
        <v>4.6410608139003204E-2</v>
      </c>
      <c r="AG903" s="845">
        <v>0.79446730681298583</v>
      </c>
      <c r="AH903" s="20" t="str">
        <f t="shared" si="80"/>
        <v>No</v>
      </c>
      <c r="AI903" s="25"/>
      <c r="AJ903" s="37">
        <v>43920</v>
      </c>
      <c r="AK903" s="37" t="s">
        <v>1106</v>
      </c>
      <c r="AL903" s="37">
        <v>39029</v>
      </c>
      <c r="AM903" s="37" t="s">
        <v>21</v>
      </c>
      <c r="AN903" s="37" t="str">
        <f t="shared" si="81"/>
        <v>N/A</v>
      </c>
      <c r="AO903" s="37" t="str">
        <f t="shared" si="82"/>
        <v>N/A</v>
      </c>
      <c r="AP903" s="20" t="s">
        <v>8</v>
      </c>
      <c r="AQ903" s="25"/>
      <c r="AR903" s="25"/>
      <c r="AS903" s="25"/>
      <c r="AT903" s="25"/>
      <c r="AU903" s="36"/>
      <c r="AV903" s="36"/>
      <c r="AW903" s="36"/>
      <c r="AX903" s="25"/>
      <c r="AY903" s="25"/>
      <c r="AZ903" s="25"/>
      <c r="BA903" s="25"/>
      <c r="BB903" s="25"/>
      <c r="BC903" s="25"/>
      <c r="BD903" s="25"/>
      <c r="BE903" s="25"/>
      <c r="BF903" s="25"/>
      <c r="BG903" s="25"/>
      <c r="BH903" s="25"/>
      <c r="BI903" s="25"/>
      <c r="BJ903" s="25"/>
      <c r="BK903" s="25"/>
      <c r="BL903" s="25"/>
      <c r="BM903" s="25"/>
      <c r="BN903" s="25"/>
      <c r="BO903" s="25"/>
      <c r="BP903" s="25"/>
      <c r="BQ903" s="25"/>
      <c r="BR903" s="25"/>
      <c r="BS903" s="25"/>
      <c r="BT903" s="25"/>
      <c r="BU903" s="39">
        <v>45789</v>
      </c>
      <c r="BV903" s="39" t="s">
        <v>1878</v>
      </c>
      <c r="BW903" s="39" t="s">
        <v>2869</v>
      </c>
      <c r="BX903" s="39" t="s">
        <v>2870</v>
      </c>
      <c r="BY903" s="71">
        <v>850</v>
      </c>
      <c r="BZ903" s="71">
        <v>860</v>
      </c>
      <c r="CA903" s="71">
        <v>1110</v>
      </c>
      <c r="CB903" s="71">
        <v>1470</v>
      </c>
      <c r="CC903" s="71">
        <v>1610</v>
      </c>
      <c r="CD903" s="25"/>
      <c r="CE903" s="200"/>
      <c r="CF903" s="200"/>
      <c r="CG903" s="200"/>
      <c r="CH903" s="200"/>
      <c r="CI903" s="200"/>
      <c r="CJ903" s="200"/>
      <c r="CK903" s="200"/>
      <c r="CL903" s="200"/>
      <c r="CM903" s="200"/>
      <c r="CN903" s="200"/>
      <c r="CO903" s="200"/>
      <c r="CP903" s="200"/>
      <c r="CQ903" s="200"/>
      <c r="CR903" s="200"/>
      <c r="CS903" s="200"/>
      <c r="CT903" s="200"/>
      <c r="CU903" s="200"/>
    </row>
    <row r="904" spans="1:99" s="17" customFormat="1" x14ac:dyDescent="0.2">
      <c r="A904" s="25"/>
      <c r="B904" s="20">
        <v>39035140302</v>
      </c>
      <c r="C904" s="20">
        <v>1403.02</v>
      </c>
      <c r="D904" s="20" t="s">
        <v>24</v>
      </c>
      <c r="E904" s="20" t="s">
        <v>2829</v>
      </c>
      <c r="F904" s="20" t="s">
        <v>8</v>
      </c>
      <c r="G904" s="861">
        <v>57.459100828686601</v>
      </c>
      <c r="H904" s="861">
        <v>49.889999687405499</v>
      </c>
      <c r="I904" s="861">
        <v>42.8988648810097</v>
      </c>
      <c r="J904" s="861">
        <v>26.444214368321699</v>
      </c>
      <c r="K904" s="982">
        <v>1</v>
      </c>
      <c r="L904" s="735">
        <v>2540</v>
      </c>
      <c r="M904" s="735">
        <v>2203</v>
      </c>
      <c r="N904" s="845">
        <f t="shared" si="78"/>
        <v>-0.13267716535433072</v>
      </c>
      <c r="O904" s="735">
        <v>0.37105305475707379</v>
      </c>
      <c r="P904" s="735">
        <f t="shared" si="79"/>
        <v>5937.1563493589638</v>
      </c>
      <c r="Q904" s="849">
        <v>41.9</v>
      </c>
      <c r="R904" s="71">
        <v>68462</v>
      </c>
      <c r="S904" s="845">
        <v>7.2207084468664848E-2</v>
      </c>
      <c r="T904" s="845">
        <v>5.2000000000000005E-2</v>
      </c>
      <c r="U904" s="845">
        <v>0</v>
      </c>
      <c r="V904" s="845">
        <v>8.3000000000000004E-2</v>
      </c>
      <c r="W904" s="845">
        <v>0.31121495327102805</v>
      </c>
      <c r="X904" s="845">
        <v>0.36936936936936937</v>
      </c>
      <c r="Y904" s="845">
        <v>0.29459827507943714</v>
      </c>
      <c r="Z904" s="845">
        <v>0.64820699046754426</v>
      </c>
      <c r="AA904" s="845">
        <v>0</v>
      </c>
      <c r="AB904" s="845">
        <v>3.2682705401724924E-2</v>
      </c>
      <c r="AC904" s="845">
        <v>1.4525646845211076E-2</v>
      </c>
      <c r="AD904" s="845">
        <v>0</v>
      </c>
      <c r="AE904" s="845">
        <v>9.9863822060826148E-3</v>
      </c>
      <c r="AF904" s="845">
        <v>4.5392646391284613E-4</v>
      </c>
      <c r="AG904" s="845">
        <v>0.29459827507943714</v>
      </c>
      <c r="AH904" s="20" t="str">
        <f t="shared" si="80"/>
        <v>No</v>
      </c>
      <c r="AI904" s="25"/>
      <c r="AJ904" s="20">
        <v>43930</v>
      </c>
      <c r="AK904" s="20" t="s">
        <v>1110</v>
      </c>
      <c r="AL904" s="20">
        <v>39029</v>
      </c>
      <c r="AM904" s="20" t="s">
        <v>21</v>
      </c>
      <c r="AN904" s="37" t="str">
        <f t="shared" si="81"/>
        <v>N/A</v>
      </c>
      <c r="AO904" s="37" t="str">
        <f t="shared" si="82"/>
        <v>N/A</v>
      </c>
      <c r="AP904" s="20" t="s">
        <v>8</v>
      </c>
      <c r="AQ904" s="25"/>
      <c r="AR904" s="25"/>
      <c r="AS904" s="25"/>
      <c r="AT904" s="25"/>
      <c r="AU904" s="36"/>
      <c r="AV904" s="36"/>
      <c r="AW904" s="36"/>
      <c r="AX904" s="25"/>
      <c r="AY904" s="25"/>
      <c r="AZ904" s="25"/>
      <c r="BA904" s="25"/>
      <c r="BB904" s="25"/>
      <c r="BC904" s="25"/>
      <c r="BD904" s="25"/>
      <c r="BE904" s="25"/>
      <c r="BF904" s="25"/>
      <c r="BG904" s="25"/>
      <c r="BH904" s="25"/>
      <c r="BI904" s="25"/>
      <c r="BJ904" s="25"/>
      <c r="BK904" s="25"/>
      <c r="BL904" s="25"/>
      <c r="BM904" s="25"/>
      <c r="BN904" s="25"/>
      <c r="BO904" s="25"/>
      <c r="BP904" s="25"/>
      <c r="BQ904" s="25"/>
      <c r="BR904" s="25"/>
      <c r="BS904" s="25"/>
      <c r="BT904" s="25"/>
      <c r="BU904" s="39">
        <v>43720</v>
      </c>
      <c r="BV904" s="39" t="s">
        <v>1026</v>
      </c>
      <c r="BW904" s="39" t="s">
        <v>2864</v>
      </c>
      <c r="BX904" s="39" t="s">
        <v>2865</v>
      </c>
      <c r="BY904" s="71">
        <v>760</v>
      </c>
      <c r="BZ904" s="71">
        <v>840</v>
      </c>
      <c r="CA904" s="71">
        <v>980</v>
      </c>
      <c r="CB904" s="71">
        <v>1240</v>
      </c>
      <c r="CC904" s="71">
        <v>1460</v>
      </c>
      <c r="CD904" s="25"/>
      <c r="CE904" s="200"/>
      <c r="CF904" s="200"/>
      <c r="CG904" s="200"/>
      <c r="CH904" s="200"/>
      <c r="CI904" s="200"/>
      <c r="CJ904" s="200"/>
      <c r="CK904" s="200"/>
      <c r="CL904" s="200"/>
      <c r="CM904" s="200"/>
      <c r="CN904" s="200"/>
      <c r="CO904" s="200"/>
      <c r="CP904" s="200"/>
      <c r="CQ904" s="200"/>
      <c r="CR904" s="200"/>
      <c r="CS904" s="200"/>
      <c r="CT904" s="200"/>
      <c r="CU904" s="200"/>
    </row>
    <row r="905" spans="1:99" s="17" customFormat="1" x14ac:dyDescent="0.2">
      <c r="A905" s="25"/>
      <c r="B905" s="20">
        <v>39113021800</v>
      </c>
      <c r="C905" s="20">
        <v>218</v>
      </c>
      <c r="D905" s="20" t="s">
        <v>62</v>
      </c>
      <c r="E905" s="20" t="s">
        <v>2833</v>
      </c>
      <c r="F905" s="20" t="s">
        <v>8</v>
      </c>
      <c r="G905" s="861">
        <v>57.441225931312097</v>
      </c>
      <c r="H905" s="861">
        <v>49.078367321770003</v>
      </c>
      <c r="I905" s="861">
        <v>36.670040553898303</v>
      </c>
      <c r="J905" s="861">
        <v>52.314881799070299</v>
      </c>
      <c r="K905" s="982">
        <v>0</v>
      </c>
      <c r="L905" s="735">
        <v>2101</v>
      </c>
      <c r="M905" s="735">
        <v>2297</v>
      </c>
      <c r="N905" s="845">
        <f t="shared" si="78"/>
        <v>9.3288910042836751E-2</v>
      </c>
      <c r="O905" s="735">
        <v>0.35269775813758469</v>
      </c>
      <c r="P905" s="735">
        <f t="shared" si="79"/>
        <v>6512.6583512446314</v>
      </c>
      <c r="Q905" s="849">
        <v>27.7</v>
      </c>
      <c r="R905" s="71">
        <v>52168</v>
      </c>
      <c r="S905" s="845">
        <v>0.24858511101436656</v>
      </c>
      <c r="T905" s="845">
        <v>6.2E-2</v>
      </c>
      <c r="U905" s="845">
        <v>0</v>
      </c>
      <c r="V905" s="845">
        <v>1.8000000000000002E-2</v>
      </c>
      <c r="W905" s="845">
        <v>0.77150786308973174</v>
      </c>
      <c r="X905" s="845">
        <v>0.34532374100719426</v>
      </c>
      <c r="Y905" s="845">
        <v>0.75010883761427949</v>
      </c>
      <c r="Z905" s="845">
        <v>0.15237265999129299</v>
      </c>
      <c r="AA905" s="845">
        <v>1.2189812799303439E-2</v>
      </c>
      <c r="AB905" s="845">
        <v>3.7440139312146278E-2</v>
      </c>
      <c r="AC905" s="845">
        <v>0</v>
      </c>
      <c r="AD905" s="845">
        <v>0</v>
      </c>
      <c r="AE905" s="845">
        <v>4.7888550282977796E-2</v>
      </c>
      <c r="AF905" s="845">
        <v>1.9590770570309099E-2</v>
      </c>
      <c r="AG905" s="845">
        <v>0.73661297344362209</v>
      </c>
      <c r="AH905" s="20" t="str">
        <f t="shared" si="80"/>
        <v>No</v>
      </c>
      <c r="AI905" s="25"/>
      <c r="AJ905" s="20">
        <v>43932</v>
      </c>
      <c r="AK905" s="20" t="s">
        <v>1112</v>
      </c>
      <c r="AL905" s="20">
        <v>39029</v>
      </c>
      <c r="AM905" s="20" t="s">
        <v>21</v>
      </c>
      <c r="AN905" s="37" t="str">
        <f t="shared" si="81"/>
        <v>N/A</v>
      </c>
      <c r="AO905" s="37" t="str">
        <f t="shared" si="82"/>
        <v>N/A</v>
      </c>
      <c r="AP905" s="20" t="s">
        <v>8</v>
      </c>
      <c r="AQ905" s="25"/>
      <c r="AR905" s="25"/>
      <c r="AS905" s="25"/>
      <c r="AT905" s="25"/>
      <c r="AU905" s="36"/>
      <c r="AV905" s="36"/>
      <c r="AW905" s="36"/>
      <c r="AX905" s="25"/>
      <c r="AY905" s="25"/>
      <c r="AZ905" s="25"/>
      <c r="BA905" s="25"/>
      <c r="BB905" s="25"/>
      <c r="BC905" s="25"/>
      <c r="BD905" s="25"/>
      <c r="BE905" s="25"/>
      <c r="BF905" s="25"/>
      <c r="BG905" s="25"/>
      <c r="BH905" s="25"/>
      <c r="BI905" s="25"/>
      <c r="BJ905" s="25"/>
      <c r="BK905" s="25"/>
      <c r="BL905" s="25"/>
      <c r="BM905" s="25"/>
      <c r="BN905" s="25"/>
      <c r="BO905" s="25"/>
      <c r="BP905" s="25"/>
      <c r="BQ905" s="25"/>
      <c r="BR905" s="25"/>
      <c r="BS905" s="25"/>
      <c r="BT905" s="25"/>
      <c r="BU905" s="39">
        <v>43756</v>
      </c>
      <c r="BV905" s="39" t="s">
        <v>1051</v>
      </c>
      <c r="BW905" s="39" t="s">
        <v>2864</v>
      </c>
      <c r="BX905" s="39" t="s">
        <v>2865</v>
      </c>
      <c r="BY905" s="71">
        <v>740</v>
      </c>
      <c r="BZ905" s="71">
        <v>880</v>
      </c>
      <c r="CA905" s="71">
        <v>980</v>
      </c>
      <c r="CB905" s="71">
        <v>1200</v>
      </c>
      <c r="CC905" s="71">
        <v>1470</v>
      </c>
      <c r="CD905" s="25"/>
      <c r="CE905" s="200"/>
      <c r="CF905" s="200"/>
      <c r="CG905" s="200"/>
      <c r="CH905" s="200"/>
      <c r="CI905" s="200"/>
      <c r="CJ905" s="200"/>
      <c r="CK905" s="200"/>
      <c r="CL905" s="200"/>
      <c r="CM905" s="200"/>
      <c r="CN905" s="200"/>
      <c r="CO905" s="200"/>
      <c r="CP905" s="200"/>
      <c r="CQ905" s="200"/>
      <c r="CR905" s="200"/>
      <c r="CS905" s="200"/>
      <c r="CT905" s="200"/>
      <c r="CU905" s="200"/>
    </row>
    <row r="906" spans="1:99" s="17" customFormat="1" x14ac:dyDescent="0.2">
      <c r="A906" s="25"/>
      <c r="B906" s="20">
        <v>39161020800</v>
      </c>
      <c r="C906" s="20">
        <v>208</v>
      </c>
      <c r="D906" s="20" t="s">
        <v>86</v>
      </c>
      <c r="E906" s="20" t="s">
        <v>265</v>
      </c>
      <c r="F906" s="20" t="s">
        <v>8</v>
      </c>
      <c r="G906" s="861">
        <v>57.438059937075202</v>
      </c>
      <c r="H906" s="861">
        <v>59.897129458699297</v>
      </c>
      <c r="I906" s="861">
        <v>32.716871239340698</v>
      </c>
      <c r="J906" s="861">
        <v>41.172513739600298</v>
      </c>
      <c r="K906" s="982">
        <v>0</v>
      </c>
      <c r="L906" s="735">
        <v>4264</v>
      </c>
      <c r="M906" s="735">
        <v>4261</v>
      </c>
      <c r="N906" s="845">
        <f t="shared" si="78"/>
        <v>-7.0356472795497186E-4</v>
      </c>
      <c r="O906" s="735">
        <v>3.9410926098807457</v>
      </c>
      <c r="P906" s="735">
        <f t="shared" si="79"/>
        <v>1081.1722590119327</v>
      </c>
      <c r="Q906" s="849">
        <v>41.1</v>
      </c>
      <c r="R906" s="71">
        <v>55313</v>
      </c>
      <c r="S906" s="845">
        <v>9.6766230560355465E-2</v>
      </c>
      <c r="T906" s="845">
        <v>1.6E-2</v>
      </c>
      <c r="U906" s="845">
        <v>0</v>
      </c>
      <c r="V906" s="845">
        <v>0</v>
      </c>
      <c r="W906" s="845">
        <v>0.3656307129798903</v>
      </c>
      <c r="X906" s="845">
        <v>0.44166666666666665</v>
      </c>
      <c r="Y906" s="845">
        <v>0.8962684815770946</v>
      </c>
      <c r="Z906" s="845">
        <v>1.6193381835249942E-2</v>
      </c>
      <c r="AA906" s="845">
        <v>1.1734334663224596E-3</v>
      </c>
      <c r="AB906" s="845">
        <v>8.6834076507861999E-3</v>
      </c>
      <c r="AC906" s="845">
        <v>0</v>
      </c>
      <c r="AD906" s="845">
        <v>1.6193381835249942E-2</v>
      </c>
      <c r="AE906" s="845">
        <v>6.1487913635296876E-2</v>
      </c>
      <c r="AF906" s="845">
        <v>4.3182351560666507E-2</v>
      </c>
      <c r="AG906" s="845">
        <v>0.88406477352734103</v>
      </c>
      <c r="AH906" s="20" t="str">
        <f t="shared" si="80"/>
        <v>No</v>
      </c>
      <c r="AI906" s="25"/>
      <c r="AJ906" s="37">
        <v>43945</v>
      </c>
      <c r="AK906" s="37" t="s">
        <v>1122</v>
      </c>
      <c r="AL906" s="37">
        <v>39029</v>
      </c>
      <c r="AM906" s="37" t="s">
        <v>21</v>
      </c>
      <c r="AN906" s="37" t="str">
        <f t="shared" si="81"/>
        <v>N/A</v>
      </c>
      <c r="AO906" s="37" t="str">
        <f t="shared" si="82"/>
        <v>N/A</v>
      </c>
      <c r="AP906" s="20" t="s">
        <v>8</v>
      </c>
      <c r="AQ906" s="25"/>
      <c r="AR906" s="25"/>
      <c r="AS906" s="25"/>
      <c r="AT906" s="25"/>
      <c r="AU906" s="36"/>
      <c r="AV906" s="36"/>
      <c r="AW906" s="36"/>
      <c r="AX906" s="25"/>
      <c r="AY906" s="25"/>
      <c r="AZ906" s="25"/>
      <c r="BA906" s="25"/>
      <c r="BB906" s="25"/>
      <c r="BC906" s="25"/>
      <c r="BD906" s="25"/>
      <c r="BE906" s="25"/>
      <c r="BF906" s="25"/>
      <c r="BG906" s="25"/>
      <c r="BH906" s="25"/>
      <c r="BI906" s="25"/>
      <c r="BJ906" s="25"/>
      <c r="BK906" s="25"/>
      <c r="BL906" s="25"/>
      <c r="BM906" s="25"/>
      <c r="BN906" s="25"/>
      <c r="BO906" s="25"/>
      <c r="BP906" s="25"/>
      <c r="BQ906" s="25"/>
      <c r="BR906" s="25"/>
      <c r="BS906" s="25"/>
      <c r="BT906" s="25"/>
      <c r="BU906" s="39">
        <v>43758</v>
      </c>
      <c r="BV906" s="39" t="s">
        <v>1052</v>
      </c>
      <c r="BW906" s="39" t="s">
        <v>2864</v>
      </c>
      <c r="BX906" s="39" t="s">
        <v>2865</v>
      </c>
      <c r="BY906" s="71">
        <v>800</v>
      </c>
      <c r="BZ906" s="71">
        <v>950</v>
      </c>
      <c r="CA906" s="71">
        <v>1060</v>
      </c>
      <c r="CB906" s="71">
        <v>1300</v>
      </c>
      <c r="CC906" s="71">
        <v>1590</v>
      </c>
      <c r="CD906" s="25"/>
      <c r="CE906" s="200"/>
      <c r="CF906" s="200"/>
      <c r="CG906" s="200"/>
      <c r="CH906" s="200"/>
      <c r="CI906" s="200"/>
      <c r="CJ906" s="200"/>
      <c r="CK906" s="200"/>
      <c r="CL906" s="200"/>
      <c r="CM906" s="200"/>
      <c r="CN906" s="200"/>
      <c r="CO906" s="200"/>
      <c r="CP906" s="200"/>
      <c r="CQ906" s="200"/>
      <c r="CR906" s="200"/>
      <c r="CS906" s="200"/>
      <c r="CT906" s="200"/>
      <c r="CU906" s="200"/>
    </row>
    <row r="907" spans="1:99" s="17" customFormat="1" x14ac:dyDescent="0.2">
      <c r="A907" s="25"/>
      <c r="B907" s="20">
        <v>39049009711</v>
      </c>
      <c r="C907" s="20">
        <v>97.11</v>
      </c>
      <c r="D907" s="20" t="s">
        <v>31</v>
      </c>
      <c r="E907" s="20" t="s">
        <v>2830</v>
      </c>
      <c r="F907" s="20" t="s">
        <v>8</v>
      </c>
      <c r="G907" s="861">
        <v>57.429491540886197</v>
      </c>
      <c r="H907" s="861">
        <v>61.0185654262106</v>
      </c>
      <c r="I907" s="861">
        <v>31.528046353830799</v>
      </c>
      <c r="J907" s="861">
        <v>57.908175812460797</v>
      </c>
      <c r="K907" s="982">
        <v>0</v>
      </c>
      <c r="L907" s="735">
        <v>4509</v>
      </c>
      <c r="M907" s="735">
        <v>4950</v>
      </c>
      <c r="N907" s="845">
        <f t="shared" ref="N907:N970" si="83">IF(OR(L907="",M907=""),"",(M907-L907)/L907)</f>
        <v>9.7804391217564873E-2</v>
      </c>
      <c r="O907" s="735">
        <v>0.75161928059970906</v>
      </c>
      <c r="P907" s="735">
        <f t="shared" ref="P907:P970" si="84">M907/O907</f>
        <v>6585.7810300587917</v>
      </c>
      <c r="Q907" s="849">
        <v>36.5</v>
      </c>
      <c r="R907" s="71">
        <v>71113</v>
      </c>
      <c r="S907" s="845">
        <v>5.992900396742535E-2</v>
      </c>
      <c r="T907" s="845">
        <v>5.0999999999999997E-2</v>
      </c>
      <c r="U907" s="845">
        <v>0</v>
      </c>
      <c r="V907" s="845">
        <v>0</v>
      </c>
      <c r="W907" s="845">
        <v>0.42399593289273002</v>
      </c>
      <c r="X907" s="845">
        <v>0.34652278177458035</v>
      </c>
      <c r="Y907" s="845">
        <v>0.81171717171717173</v>
      </c>
      <c r="Z907" s="845">
        <v>7.5555555555555556E-2</v>
      </c>
      <c r="AA907" s="845">
        <v>0</v>
      </c>
      <c r="AB907" s="845">
        <v>0</v>
      </c>
      <c r="AC907" s="845">
        <v>0</v>
      </c>
      <c r="AD907" s="845">
        <v>2.181818181818182E-2</v>
      </c>
      <c r="AE907" s="845">
        <v>9.0909090909090912E-2</v>
      </c>
      <c r="AF907" s="845">
        <v>1.6363636363636365E-2</v>
      </c>
      <c r="AG907" s="845">
        <v>0.81171717171717173</v>
      </c>
      <c r="AH907" s="20" t="str">
        <f t="shared" ref="AH907:AH970" si="85">IF(AG907&gt;=0.9,"Yes","No")</f>
        <v>No</v>
      </c>
      <c r="AI907" s="25"/>
      <c r="AJ907" s="37">
        <v>43962</v>
      </c>
      <c r="AK907" s="37" t="s">
        <v>1131</v>
      </c>
      <c r="AL907" s="37">
        <v>39029</v>
      </c>
      <c r="AM907" s="37" t="s">
        <v>21</v>
      </c>
      <c r="AN907" s="37" t="str">
        <f t="shared" ref="AN907:AN970" si="86">VLOOKUP(AM907,$CY$11:$DA$98,2,FALSE)</f>
        <v>N/A</v>
      </c>
      <c r="AO907" s="37" t="str">
        <f t="shared" ref="AO907:AO970" si="87">VLOOKUP(AM907,$CY$11:$DA$98,3,FALSE)</f>
        <v>N/A</v>
      </c>
      <c r="AP907" s="20" t="s">
        <v>8</v>
      </c>
      <c r="AQ907" s="25"/>
      <c r="AR907" s="25"/>
      <c r="AS907" s="25"/>
      <c r="AT907" s="25"/>
      <c r="AU907" s="36"/>
      <c r="AV907" s="36"/>
      <c r="AW907" s="36"/>
      <c r="AX907" s="25"/>
      <c r="AY907" s="25"/>
      <c r="AZ907" s="25"/>
      <c r="BA907" s="25"/>
      <c r="BB907" s="25"/>
      <c r="BC907" s="25"/>
      <c r="BD907" s="25"/>
      <c r="BE907" s="25"/>
      <c r="BF907" s="25"/>
      <c r="BG907" s="25"/>
      <c r="BH907" s="25"/>
      <c r="BI907" s="25"/>
      <c r="BJ907" s="25"/>
      <c r="BK907" s="25"/>
      <c r="BL907" s="25"/>
      <c r="BM907" s="25"/>
      <c r="BN907" s="25"/>
      <c r="BO907" s="25"/>
      <c r="BP907" s="25"/>
      <c r="BQ907" s="25"/>
      <c r="BR907" s="25"/>
      <c r="BS907" s="25"/>
      <c r="BT907" s="25"/>
      <c r="BU907" s="39">
        <v>43787</v>
      </c>
      <c r="BV907" s="39" t="s">
        <v>1071</v>
      </c>
      <c r="BW907" s="39" t="s">
        <v>2864</v>
      </c>
      <c r="BX907" s="39" t="s">
        <v>2865</v>
      </c>
      <c r="BY907" s="71">
        <v>800</v>
      </c>
      <c r="BZ907" s="71">
        <v>920</v>
      </c>
      <c r="CA907" s="71">
        <v>1050</v>
      </c>
      <c r="CB907" s="71">
        <v>1310</v>
      </c>
      <c r="CC907" s="71">
        <v>1570</v>
      </c>
      <c r="CD907" s="25"/>
      <c r="CE907" s="200"/>
      <c r="CF907" s="200"/>
      <c r="CG907" s="200"/>
      <c r="CH907" s="200"/>
      <c r="CI907" s="200"/>
      <c r="CJ907" s="200"/>
      <c r="CK907" s="200"/>
      <c r="CL907" s="200"/>
      <c r="CM907" s="200"/>
      <c r="CN907" s="200"/>
      <c r="CO907" s="200"/>
      <c r="CP907" s="200"/>
      <c r="CQ907" s="200"/>
      <c r="CR907" s="200"/>
      <c r="CS907" s="200"/>
      <c r="CT907" s="200"/>
      <c r="CU907" s="200"/>
    </row>
    <row r="908" spans="1:99" s="17" customFormat="1" x14ac:dyDescent="0.2">
      <c r="A908" s="25"/>
      <c r="B908" s="20">
        <v>39151712112</v>
      </c>
      <c r="C908" s="20">
        <v>7121.12</v>
      </c>
      <c r="D908" s="20" t="s">
        <v>81</v>
      </c>
      <c r="E908" s="20" t="s">
        <v>2844</v>
      </c>
      <c r="F908" s="20" t="s">
        <v>8</v>
      </c>
      <c r="G908" s="861">
        <v>57.425294994735303</v>
      </c>
      <c r="H908" s="861">
        <v>49.959990354225603</v>
      </c>
      <c r="I908" s="861">
        <v>20.3976344697952</v>
      </c>
      <c r="J908" s="861">
        <v>49.659862198508797</v>
      </c>
      <c r="K908" s="982">
        <v>0</v>
      </c>
      <c r="L908" s="735">
        <v>1755</v>
      </c>
      <c r="M908" s="735">
        <v>1678</v>
      </c>
      <c r="N908" s="845">
        <f t="shared" si="83"/>
        <v>-4.3874643874643876E-2</v>
      </c>
      <c r="O908" s="735">
        <v>2.0263788006347259</v>
      </c>
      <c r="P908" s="735">
        <f t="shared" si="84"/>
        <v>828.0781458404507</v>
      </c>
      <c r="Q908" s="849">
        <v>52.9</v>
      </c>
      <c r="R908" s="71">
        <v>94861</v>
      </c>
      <c r="S908" s="845">
        <v>7.0917759237187128E-2</v>
      </c>
      <c r="T908" s="845">
        <v>0.01</v>
      </c>
      <c r="U908" s="845">
        <v>0</v>
      </c>
      <c r="V908" s="845">
        <v>0</v>
      </c>
      <c r="W908" s="845">
        <v>8.3936324167872653E-2</v>
      </c>
      <c r="X908" s="845">
        <v>0.1206896551724138</v>
      </c>
      <c r="Y908" s="845">
        <v>0.88915375446960665</v>
      </c>
      <c r="Z908" s="845">
        <v>8.3432657926102508E-3</v>
      </c>
      <c r="AA908" s="845">
        <v>0</v>
      </c>
      <c r="AB908" s="845">
        <v>5.4231227651966626E-2</v>
      </c>
      <c r="AC908" s="845">
        <v>0</v>
      </c>
      <c r="AD908" s="845">
        <v>3.5756853396901071E-3</v>
      </c>
      <c r="AE908" s="845">
        <v>4.4696066746126341E-2</v>
      </c>
      <c r="AF908" s="845">
        <v>1.3110846245530394E-2</v>
      </c>
      <c r="AG908" s="845">
        <v>0.88915375446960665</v>
      </c>
      <c r="AH908" s="20" t="str">
        <f t="shared" si="85"/>
        <v>No</v>
      </c>
      <c r="AI908" s="25"/>
      <c r="AJ908" s="20">
        <v>43968</v>
      </c>
      <c r="AK908" s="20" t="s">
        <v>1135</v>
      </c>
      <c r="AL908" s="20">
        <v>39029</v>
      </c>
      <c r="AM908" s="20" t="s">
        <v>21</v>
      </c>
      <c r="AN908" s="37" t="str">
        <f t="shared" si="86"/>
        <v>N/A</v>
      </c>
      <c r="AO908" s="37" t="str">
        <f t="shared" si="87"/>
        <v>N/A</v>
      </c>
      <c r="AP908" s="20" t="s">
        <v>8</v>
      </c>
      <c r="AQ908" s="25"/>
      <c r="AR908" s="25"/>
      <c r="AS908" s="25"/>
      <c r="AT908" s="25"/>
      <c r="AU908" s="36"/>
      <c r="AV908" s="36"/>
      <c r="AW908" s="36"/>
      <c r="AX908" s="25"/>
      <c r="AY908" s="25"/>
      <c r="AZ908" s="25"/>
      <c r="BA908" s="25"/>
      <c r="BB908" s="25"/>
      <c r="BC908" s="25"/>
      <c r="BD908" s="25"/>
      <c r="BE908" s="25"/>
      <c r="BF908" s="25"/>
      <c r="BG908" s="25"/>
      <c r="BH908" s="25"/>
      <c r="BI908" s="25"/>
      <c r="BJ908" s="25"/>
      <c r="BK908" s="25"/>
      <c r="BL908" s="25"/>
      <c r="BM908" s="25"/>
      <c r="BN908" s="25"/>
      <c r="BO908" s="25"/>
      <c r="BP908" s="25"/>
      <c r="BQ908" s="25"/>
      <c r="BR908" s="25"/>
      <c r="BS908" s="25"/>
      <c r="BT908" s="25"/>
      <c r="BU908" s="39">
        <v>45715</v>
      </c>
      <c r="BV908" s="39" t="s">
        <v>1836</v>
      </c>
      <c r="BW908" s="39" t="s">
        <v>2864</v>
      </c>
      <c r="BX908" s="39" t="s">
        <v>2865</v>
      </c>
      <c r="BY908" s="71">
        <v>750</v>
      </c>
      <c r="BZ908" s="71">
        <v>780</v>
      </c>
      <c r="CA908" s="71">
        <v>970</v>
      </c>
      <c r="CB908" s="71">
        <v>1290</v>
      </c>
      <c r="CC908" s="71">
        <v>1450</v>
      </c>
      <c r="CD908" s="25"/>
      <c r="CE908" s="200"/>
      <c r="CF908" s="200"/>
      <c r="CG908" s="200"/>
      <c r="CH908" s="200"/>
      <c r="CI908" s="200"/>
      <c r="CJ908" s="200"/>
      <c r="CK908" s="200"/>
      <c r="CL908" s="200"/>
      <c r="CM908" s="200"/>
      <c r="CN908" s="200"/>
      <c r="CO908" s="200"/>
      <c r="CP908" s="200"/>
      <c r="CQ908" s="200"/>
      <c r="CR908" s="200"/>
      <c r="CS908" s="200"/>
      <c r="CT908" s="200"/>
      <c r="CU908" s="200"/>
    </row>
    <row r="909" spans="1:99" s="17" customFormat="1" x14ac:dyDescent="0.2">
      <c r="A909" s="25"/>
      <c r="B909" s="20">
        <v>39019720200</v>
      </c>
      <c r="C909" s="20">
        <v>7202</v>
      </c>
      <c r="D909" s="20" t="s">
        <v>16</v>
      </c>
      <c r="E909" s="20" t="s">
        <v>2844</v>
      </c>
      <c r="F909" s="20" t="s">
        <v>8</v>
      </c>
      <c r="G909" s="861">
        <v>57.419363453339102</v>
      </c>
      <c r="H909" s="861">
        <v>60.211855082587398</v>
      </c>
      <c r="I909" s="861">
        <v>33.630445982850198</v>
      </c>
      <c r="J909" s="861">
        <v>40.630573793610097</v>
      </c>
      <c r="K909" s="982">
        <v>0</v>
      </c>
      <c r="L909" s="735">
        <v>3650</v>
      </c>
      <c r="M909" s="735">
        <v>3109</v>
      </c>
      <c r="N909" s="845">
        <f t="shared" si="83"/>
        <v>-0.14821917808219179</v>
      </c>
      <c r="O909" s="735">
        <v>21.779643999987321</v>
      </c>
      <c r="P909" s="735">
        <f t="shared" si="84"/>
        <v>142.74797145452928</v>
      </c>
      <c r="Q909" s="849">
        <v>43.1</v>
      </c>
      <c r="R909" s="71">
        <v>55071</v>
      </c>
      <c r="S909" s="845">
        <v>0.14351395730706076</v>
      </c>
      <c r="T909" s="845">
        <v>3.9E-2</v>
      </c>
      <c r="U909" s="845">
        <v>0</v>
      </c>
      <c r="V909" s="845">
        <v>0</v>
      </c>
      <c r="W909" s="845">
        <v>0.29788783685360526</v>
      </c>
      <c r="X909" s="845">
        <v>0.30562347188264061</v>
      </c>
      <c r="Y909" s="845">
        <v>0.92376970086844645</v>
      </c>
      <c r="Z909" s="845">
        <v>9.6494049533612097E-3</v>
      </c>
      <c r="AA909" s="845">
        <v>0</v>
      </c>
      <c r="AB909" s="845">
        <v>0</v>
      </c>
      <c r="AC909" s="845">
        <v>0</v>
      </c>
      <c r="AD909" s="845">
        <v>0</v>
      </c>
      <c r="AE909" s="845">
        <v>6.6580894178192351E-2</v>
      </c>
      <c r="AF909" s="845">
        <v>0</v>
      </c>
      <c r="AG909" s="845">
        <v>0.92376970086844645</v>
      </c>
      <c r="AH909" s="20" t="str">
        <f t="shared" si="85"/>
        <v>Yes</v>
      </c>
      <c r="AI909" s="25"/>
      <c r="AJ909" s="37">
        <v>44408</v>
      </c>
      <c r="AK909" s="37" t="s">
        <v>1320</v>
      </c>
      <c r="AL909" s="37">
        <v>39029</v>
      </c>
      <c r="AM909" s="37" t="s">
        <v>21</v>
      </c>
      <c r="AN909" s="37" t="str">
        <f t="shared" si="86"/>
        <v>N/A</v>
      </c>
      <c r="AO909" s="37" t="str">
        <f t="shared" si="87"/>
        <v>N/A</v>
      </c>
      <c r="AP909" s="20" t="s">
        <v>8</v>
      </c>
      <c r="AQ909" s="25"/>
      <c r="AR909" s="25"/>
      <c r="AS909" s="25"/>
      <c r="AT909" s="25"/>
      <c r="AU909" s="36"/>
      <c r="AV909" s="36"/>
      <c r="AW909" s="36"/>
      <c r="AX909" s="25"/>
      <c r="AY909" s="25"/>
      <c r="AZ909" s="25"/>
      <c r="BA909" s="25"/>
      <c r="BB909" s="25"/>
      <c r="BC909" s="25"/>
      <c r="BD909" s="25"/>
      <c r="BE909" s="25"/>
      <c r="BF909" s="25"/>
      <c r="BG909" s="25"/>
      <c r="BH909" s="25"/>
      <c r="BI909" s="25"/>
      <c r="BJ909" s="25"/>
      <c r="BK909" s="25"/>
      <c r="BL909" s="25"/>
      <c r="BM909" s="25"/>
      <c r="BN909" s="25"/>
      <c r="BO909" s="25"/>
      <c r="BP909" s="25"/>
      <c r="BQ909" s="25"/>
      <c r="BR909" s="25"/>
      <c r="BS909" s="25"/>
      <c r="BT909" s="25"/>
      <c r="BU909" s="39">
        <v>45744</v>
      </c>
      <c r="BV909" s="39" t="s">
        <v>1853</v>
      </c>
      <c r="BW909" s="39" t="s">
        <v>2864</v>
      </c>
      <c r="BX909" s="39" t="s">
        <v>2865</v>
      </c>
      <c r="BY909" s="71">
        <v>760</v>
      </c>
      <c r="BZ909" s="71">
        <v>770</v>
      </c>
      <c r="CA909" s="71">
        <v>980</v>
      </c>
      <c r="CB909" s="71">
        <v>1320</v>
      </c>
      <c r="CC909" s="71">
        <v>1460</v>
      </c>
      <c r="CD909" s="25"/>
      <c r="CE909" s="200"/>
      <c r="CF909" s="200"/>
      <c r="CG909" s="200"/>
      <c r="CH909" s="200"/>
      <c r="CI909" s="200"/>
      <c r="CJ909" s="200"/>
      <c r="CK909" s="200"/>
      <c r="CL909" s="200"/>
      <c r="CM909" s="200"/>
      <c r="CN909" s="200"/>
      <c r="CO909" s="200"/>
      <c r="CP909" s="200"/>
      <c r="CQ909" s="200"/>
      <c r="CR909" s="200"/>
      <c r="CS909" s="200"/>
      <c r="CT909" s="200"/>
      <c r="CU909" s="200"/>
    </row>
    <row r="910" spans="1:99" s="17" customFormat="1" x14ac:dyDescent="0.2">
      <c r="A910" s="25"/>
      <c r="B910" s="20">
        <v>39113090303</v>
      </c>
      <c r="C910" s="20">
        <v>903.03</v>
      </c>
      <c r="D910" s="20" t="s">
        <v>62</v>
      </c>
      <c r="E910" s="20" t="s">
        <v>2833</v>
      </c>
      <c r="F910" s="20" t="s">
        <v>8</v>
      </c>
      <c r="G910" s="861">
        <v>57.4039499636675</v>
      </c>
      <c r="H910" s="861">
        <v>64.632461795567394</v>
      </c>
      <c r="I910" s="861">
        <v>23.3102446767586</v>
      </c>
      <c r="J910" s="861">
        <v>36.470642622861902</v>
      </c>
      <c r="K910" s="982">
        <v>0</v>
      </c>
      <c r="L910" s="735">
        <v>3504</v>
      </c>
      <c r="M910" s="735">
        <v>3052</v>
      </c>
      <c r="N910" s="845">
        <f t="shared" si="83"/>
        <v>-0.12899543378995434</v>
      </c>
      <c r="O910" s="735">
        <v>1.0876069234155674</v>
      </c>
      <c r="P910" s="735">
        <f t="shared" si="84"/>
        <v>2806.1608787992709</v>
      </c>
      <c r="Q910" s="849">
        <v>42.2</v>
      </c>
      <c r="R910" s="71">
        <v>115116</v>
      </c>
      <c r="S910" s="845">
        <v>5.5537190082644627E-2</v>
      </c>
      <c r="T910" s="845">
        <v>3.1E-2</v>
      </c>
      <c r="U910" s="845">
        <v>4.9000000000000002E-2</v>
      </c>
      <c r="V910" s="845">
        <v>0</v>
      </c>
      <c r="W910" s="845">
        <v>0.18800358102059087</v>
      </c>
      <c r="X910" s="845">
        <v>0.14761904761904762</v>
      </c>
      <c r="Y910" s="845">
        <v>0.60321100917431192</v>
      </c>
      <c r="Z910" s="845">
        <v>0.19724770642201836</v>
      </c>
      <c r="AA910" s="845">
        <v>0</v>
      </c>
      <c r="AB910" s="845">
        <v>2.1297509829619921E-2</v>
      </c>
      <c r="AC910" s="845">
        <v>0</v>
      </c>
      <c r="AD910" s="845">
        <v>3.5058977719528178E-2</v>
      </c>
      <c r="AE910" s="845">
        <v>0.14318479685452162</v>
      </c>
      <c r="AF910" s="845">
        <v>7.3722149410222801E-2</v>
      </c>
      <c r="AG910" s="845">
        <v>0.586173001310616</v>
      </c>
      <c r="AH910" s="20" t="str">
        <f t="shared" si="85"/>
        <v>No</v>
      </c>
      <c r="AI910" s="25"/>
      <c r="AJ910" s="20">
        <v>44413</v>
      </c>
      <c r="AK910" s="20" t="s">
        <v>1324</v>
      </c>
      <c r="AL910" s="20">
        <v>39029</v>
      </c>
      <c r="AM910" s="20" t="s">
        <v>21</v>
      </c>
      <c r="AN910" s="37" t="str">
        <f t="shared" si="86"/>
        <v>N/A</v>
      </c>
      <c r="AO910" s="37" t="str">
        <f t="shared" si="87"/>
        <v>N/A</v>
      </c>
      <c r="AP910" s="20" t="s">
        <v>8</v>
      </c>
      <c r="AQ910" s="25"/>
      <c r="AR910" s="25"/>
      <c r="AS910" s="25"/>
      <c r="AT910" s="25"/>
      <c r="AU910" s="36"/>
      <c r="AV910" s="36"/>
      <c r="AW910" s="36"/>
      <c r="AX910" s="25"/>
      <c r="AY910" s="25"/>
      <c r="AZ910" s="25"/>
      <c r="BA910" s="25"/>
      <c r="BB910" s="25"/>
      <c r="BC910" s="25"/>
      <c r="BD910" s="25"/>
      <c r="BE910" s="25"/>
      <c r="BF910" s="25"/>
      <c r="BG910" s="25"/>
      <c r="BH910" s="25"/>
      <c r="BI910" s="25"/>
      <c r="BJ910" s="25"/>
      <c r="BK910" s="25"/>
      <c r="BL910" s="25"/>
      <c r="BM910" s="25"/>
      <c r="BN910" s="25"/>
      <c r="BO910" s="25"/>
      <c r="BP910" s="25"/>
      <c r="BQ910" s="25"/>
      <c r="BR910" s="25"/>
      <c r="BS910" s="25"/>
      <c r="BT910" s="25"/>
      <c r="BU910" s="39">
        <v>45786</v>
      </c>
      <c r="BV910" s="39" t="s">
        <v>1876</v>
      </c>
      <c r="BW910" s="39" t="s">
        <v>2864</v>
      </c>
      <c r="BX910" s="39" t="s">
        <v>2865</v>
      </c>
      <c r="BY910" s="71">
        <v>800</v>
      </c>
      <c r="BZ910" s="71">
        <v>810</v>
      </c>
      <c r="CA910" s="71">
        <v>1030</v>
      </c>
      <c r="CB910" s="71">
        <v>1390</v>
      </c>
      <c r="CC910" s="71">
        <v>1540</v>
      </c>
      <c r="CD910" s="25"/>
      <c r="CE910" s="200"/>
      <c r="CF910" s="200"/>
      <c r="CG910" s="200"/>
      <c r="CH910" s="200"/>
      <c r="CI910" s="200"/>
      <c r="CJ910" s="200"/>
      <c r="CK910" s="200"/>
      <c r="CL910" s="200"/>
      <c r="CM910" s="200"/>
      <c r="CN910" s="200"/>
      <c r="CO910" s="200"/>
      <c r="CP910" s="200"/>
      <c r="CQ910" s="200"/>
      <c r="CR910" s="200"/>
      <c r="CS910" s="200"/>
      <c r="CT910" s="200"/>
      <c r="CU910" s="200"/>
    </row>
    <row r="911" spans="1:99" s="17" customFormat="1" x14ac:dyDescent="0.2">
      <c r="A911" s="25"/>
      <c r="B911" s="20">
        <v>39153530101</v>
      </c>
      <c r="C911" s="20">
        <v>5301.01</v>
      </c>
      <c r="D911" s="20" t="s">
        <v>82</v>
      </c>
      <c r="E911" s="20" t="s">
        <v>2843</v>
      </c>
      <c r="F911" s="20" t="s">
        <v>8</v>
      </c>
      <c r="G911" s="861">
        <v>57.386741111035803</v>
      </c>
      <c r="H911" s="861">
        <v>68.715817551684196</v>
      </c>
      <c r="I911" s="861">
        <v>21.064532569481202</v>
      </c>
      <c r="J911" s="861">
        <v>50.460948014112198</v>
      </c>
      <c r="K911" s="982">
        <v>0</v>
      </c>
      <c r="L911" s="735">
        <v>5415</v>
      </c>
      <c r="M911" s="735">
        <v>7167</v>
      </c>
      <c r="N911" s="845">
        <f t="shared" si="83"/>
        <v>0.32354570637119112</v>
      </c>
      <c r="O911" s="735">
        <v>6.3556805285874463</v>
      </c>
      <c r="P911" s="735">
        <f t="shared" si="84"/>
        <v>1127.6526514766263</v>
      </c>
      <c r="Q911" s="849">
        <v>42.1</v>
      </c>
      <c r="R911" s="71">
        <v>112516</v>
      </c>
      <c r="S911" s="845">
        <v>3.713565022421525E-2</v>
      </c>
      <c r="T911" s="845">
        <v>0.01</v>
      </c>
      <c r="U911" s="845">
        <v>1.7000000000000001E-2</v>
      </c>
      <c r="V911" s="845">
        <v>0</v>
      </c>
      <c r="W911" s="845">
        <v>8.7881908685204263E-2</v>
      </c>
      <c r="X911" s="845">
        <v>0.21875</v>
      </c>
      <c r="Y911" s="845">
        <v>0.76001116227152221</v>
      </c>
      <c r="Z911" s="845">
        <v>8.0926468536347149E-2</v>
      </c>
      <c r="AA911" s="845">
        <v>0</v>
      </c>
      <c r="AB911" s="845">
        <v>0.1251569694432817</v>
      </c>
      <c r="AC911" s="845">
        <v>1.3952839402818474E-3</v>
      </c>
      <c r="AD911" s="845">
        <v>0</v>
      </c>
      <c r="AE911" s="845">
        <v>3.2510115808567046E-2</v>
      </c>
      <c r="AF911" s="845">
        <v>4.3253802148737266E-3</v>
      </c>
      <c r="AG911" s="845">
        <v>0.75805776475512765</v>
      </c>
      <c r="AH911" s="20" t="str">
        <f t="shared" si="85"/>
        <v>No</v>
      </c>
      <c r="AI911" s="25"/>
      <c r="AJ911" s="20">
        <v>44415</v>
      </c>
      <c r="AK911" s="20" t="s">
        <v>1325</v>
      </c>
      <c r="AL911" s="20">
        <v>39029</v>
      </c>
      <c r="AM911" s="20" t="s">
        <v>21</v>
      </c>
      <c r="AN911" s="37" t="str">
        <f t="shared" si="86"/>
        <v>N/A</v>
      </c>
      <c r="AO911" s="37" t="str">
        <f t="shared" si="87"/>
        <v>N/A</v>
      </c>
      <c r="AP911" s="20" t="s">
        <v>8</v>
      </c>
      <c r="AQ911" s="25"/>
      <c r="AR911" s="25"/>
      <c r="AS911" s="25"/>
      <c r="AT911" s="25"/>
      <c r="AU911" s="36"/>
      <c r="AV911" s="36"/>
      <c r="AW911" s="36"/>
      <c r="AX911" s="25"/>
      <c r="AY911" s="25"/>
      <c r="AZ911" s="25"/>
      <c r="BA911" s="25"/>
      <c r="BB911" s="25"/>
      <c r="BC911" s="25"/>
      <c r="BD911" s="25"/>
      <c r="BE911" s="25"/>
      <c r="BF911" s="25"/>
      <c r="BG911" s="25"/>
      <c r="BH911" s="25"/>
      <c r="BI911" s="25"/>
      <c r="BJ911" s="25"/>
      <c r="BK911" s="25"/>
      <c r="BL911" s="25"/>
      <c r="BM911" s="25"/>
      <c r="BN911" s="25"/>
      <c r="BO911" s="25"/>
      <c r="BP911" s="25"/>
      <c r="BQ911" s="25"/>
      <c r="BR911" s="25"/>
      <c r="BS911" s="25"/>
      <c r="BT911" s="25"/>
      <c r="BU911" s="39">
        <v>43727</v>
      </c>
      <c r="BV911" s="39" t="s">
        <v>1032</v>
      </c>
      <c r="BW911" s="39" t="s">
        <v>2927</v>
      </c>
      <c r="BX911" s="39" t="s">
        <v>2928</v>
      </c>
      <c r="BY911" s="71">
        <v>800</v>
      </c>
      <c r="BZ911" s="71">
        <v>800</v>
      </c>
      <c r="CA911" s="71">
        <v>990</v>
      </c>
      <c r="CB911" s="71">
        <v>1320</v>
      </c>
      <c r="CC911" s="71">
        <v>1500</v>
      </c>
      <c r="CD911" s="25"/>
      <c r="CE911" s="200"/>
      <c r="CF911" s="200"/>
      <c r="CG911" s="200"/>
      <c r="CH911" s="200"/>
      <c r="CI911" s="200"/>
      <c r="CJ911" s="200"/>
      <c r="CK911" s="200"/>
      <c r="CL911" s="200"/>
      <c r="CM911" s="200"/>
      <c r="CN911" s="200"/>
      <c r="CO911" s="200"/>
      <c r="CP911" s="200"/>
      <c r="CQ911" s="200"/>
      <c r="CR911" s="200"/>
      <c r="CS911" s="200"/>
      <c r="CT911" s="200"/>
      <c r="CU911" s="200"/>
    </row>
    <row r="912" spans="1:99" s="17" customFormat="1" x14ac:dyDescent="0.2">
      <c r="A912" s="25"/>
      <c r="B912" s="20">
        <v>39049007965</v>
      </c>
      <c r="C912" s="20">
        <v>79.650000000000006</v>
      </c>
      <c r="D912" s="20" t="s">
        <v>31</v>
      </c>
      <c r="E912" s="20" t="s">
        <v>2830</v>
      </c>
      <c r="F912" s="20" t="s">
        <v>8</v>
      </c>
      <c r="G912" s="861">
        <v>57.366641259822401</v>
      </c>
      <c r="H912" s="861">
        <v>69.583529837461995</v>
      </c>
      <c r="I912" s="861">
        <v>35.663291532684902</v>
      </c>
      <c r="J912" s="861">
        <v>51.251018382020099</v>
      </c>
      <c r="K912" s="982">
        <v>0</v>
      </c>
      <c r="L912" s="735" t="s">
        <v>2466</v>
      </c>
      <c r="M912" s="735">
        <v>3652</v>
      </c>
      <c r="N912" s="845" t="str">
        <f t="shared" si="83"/>
        <v/>
      </c>
      <c r="O912" s="735">
        <v>1.8621135677723248</v>
      </c>
      <c r="P912" s="735">
        <f t="shared" si="84"/>
        <v>1961.2122822180731</v>
      </c>
      <c r="Q912" s="849">
        <v>30.4</v>
      </c>
      <c r="R912" s="71">
        <v>78618</v>
      </c>
      <c r="S912" s="845">
        <v>8.5706462212486303E-2</v>
      </c>
      <c r="T912" s="845">
        <v>1.6E-2</v>
      </c>
      <c r="U912" s="845">
        <v>0</v>
      </c>
      <c r="V912" s="845">
        <v>0.02</v>
      </c>
      <c r="W912" s="845">
        <v>0.52983725135623871</v>
      </c>
      <c r="X912" s="845">
        <v>0.48464163822525597</v>
      </c>
      <c r="Y912" s="845">
        <v>0.76752464403066811</v>
      </c>
      <c r="Z912" s="845">
        <v>0.10323110624315443</v>
      </c>
      <c r="AA912" s="845">
        <v>2.1905805038335158E-3</v>
      </c>
      <c r="AB912" s="845">
        <v>5.0383351588170866E-2</v>
      </c>
      <c r="AC912" s="845">
        <v>0</v>
      </c>
      <c r="AD912" s="845">
        <v>1.6155531215772179E-2</v>
      </c>
      <c r="AE912" s="845">
        <v>6.0514786418400877E-2</v>
      </c>
      <c r="AF912" s="845">
        <v>5.449069003285871E-2</v>
      </c>
      <c r="AG912" s="845">
        <v>0.7546549835706462</v>
      </c>
      <c r="AH912" s="20" t="str">
        <f t="shared" si="85"/>
        <v>No</v>
      </c>
      <c r="AI912" s="25"/>
      <c r="AJ912" s="20">
        <v>44423</v>
      </c>
      <c r="AK912" s="20" t="s">
        <v>1329</v>
      </c>
      <c r="AL912" s="20">
        <v>39029</v>
      </c>
      <c r="AM912" s="20" t="s">
        <v>21</v>
      </c>
      <c r="AN912" s="37" t="str">
        <f t="shared" si="86"/>
        <v>N/A</v>
      </c>
      <c r="AO912" s="37" t="str">
        <f t="shared" si="87"/>
        <v>N/A</v>
      </c>
      <c r="AP912" s="20" t="s">
        <v>8</v>
      </c>
      <c r="AQ912" s="25"/>
      <c r="AR912" s="25"/>
      <c r="AS912" s="25"/>
      <c r="AT912" s="25"/>
      <c r="AU912" s="36"/>
      <c r="AV912" s="36"/>
      <c r="AW912" s="36"/>
      <c r="AX912" s="25"/>
      <c r="AY912" s="25"/>
      <c r="AZ912" s="25"/>
      <c r="BA912" s="25"/>
      <c r="BB912" s="25"/>
      <c r="BC912" s="25"/>
      <c r="BD912" s="25"/>
      <c r="BE912" s="25"/>
      <c r="BF912" s="25"/>
      <c r="BG912" s="25"/>
      <c r="BH912" s="25"/>
      <c r="BI912" s="25"/>
      <c r="BJ912" s="25"/>
      <c r="BK912" s="25"/>
      <c r="BL912" s="25"/>
      <c r="BM912" s="25"/>
      <c r="BN912" s="25"/>
      <c r="BO912" s="25"/>
      <c r="BP912" s="25"/>
      <c r="BQ912" s="25"/>
      <c r="BR912" s="25"/>
      <c r="BS912" s="25"/>
      <c r="BT912" s="25"/>
      <c r="BU912" s="39">
        <v>43734</v>
      </c>
      <c r="BV912" s="39" t="s">
        <v>1038</v>
      </c>
      <c r="BW912" s="39" t="s">
        <v>2927</v>
      </c>
      <c r="BX912" s="39" t="s">
        <v>2928</v>
      </c>
      <c r="BY912" s="71">
        <v>840</v>
      </c>
      <c r="BZ912" s="71">
        <v>840</v>
      </c>
      <c r="CA912" s="71">
        <v>1000</v>
      </c>
      <c r="CB912" s="71">
        <v>1350</v>
      </c>
      <c r="CC912" s="71">
        <v>1470</v>
      </c>
      <c r="CD912" s="25"/>
      <c r="CE912" s="200"/>
      <c r="CF912" s="200"/>
      <c r="CG912" s="200"/>
      <c r="CH912" s="200"/>
      <c r="CI912" s="200"/>
      <c r="CJ912" s="200"/>
      <c r="CK912" s="200"/>
      <c r="CL912" s="200"/>
      <c r="CM912" s="200"/>
      <c r="CN912" s="200"/>
      <c r="CO912" s="200"/>
      <c r="CP912" s="200"/>
      <c r="CQ912" s="200"/>
      <c r="CR912" s="200"/>
      <c r="CS912" s="200"/>
      <c r="CT912" s="200"/>
      <c r="CU912" s="200"/>
    </row>
    <row r="913" spans="1:99" s="17" customFormat="1" x14ac:dyDescent="0.2">
      <c r="A913" s="25"/>
      <c r="B913" s="20">
        <v>39095001303</v>
      </c>
      <c r="C913" s="20">
        <v>13.03</v>
      </c>
      <c r="D913" s="20" t="s">
        <v>53</v>
      </c>
      <c r="E913" s="20" t="s">
        <v>2839</v>
      </c>
      <c r="F913" s="20" t="s">
        <v>8</v>
      </c>
      <c r="G913" s="861">
        <v>57.351025117725698</v>
      </c>
      <c r="H913" s="861">
        <v>63.139650690329901</v>
      </c>
      <c r="I913" s="861">
        <v>38.494017286592303</v>
      </c>
      <c r="J913" s="861">
        <v>51.048707610723802</v>
      </c>
      <c r="K913" s="982">
        <v>0</v>
      </c>
      <c r="L913" s="735">
        <v>2803</v>
      </c>
      <c r="M913" s="735">
        <v>3443</v>
      </c>
      <c r="N913" s="845">
        <f t="shared" si="83"/>
        <v>0.22832679272208348</v>
      </c>
      <c r="O913" s="735">
        <v>0.98731534331252202</v>
      </c>
      <c r="P913" s="735">
        <f t="shared" si="84"/>
        <v>3487.2343707821447</v>
      </c>
      <c r="Q913" s="849">
        <v>32.5</v>
      </c>
      <c r="R913" s="71">
        <v>62123</v>
      </c>
      <c r="S913" s="845">
        <v>0.11182481751824817</v>
      </c>
      <c r="T913" s="845">
        <v>4.4000000000000004E-2</v>
      </c>
      <c r="U913" s="845">
        <v>0</v>
      </c>
      <c r="V913" s="845">
        <v>0</v>
      </c>
      <c r="W913" s="845">
        <v>0.47705146036161333</v>
      </c>
      <c r="X913" s="845">
        <v>0.23615160349854228</v>
      </c>
      <c r="Y913" s="845">
        <v>0.3723496950334011</v>
      </c>
      <c r="Z913" s="845">
        <v>0.45599767644496081</v>
      </c>
      <c r="AA913" s="845">
        <v>0</v>
      </c>
      <c r="AB913" s="845">
        <v>2.0331106593087424E-3</v>
      </c>
      <c r="AC913" s="845">
        <v>0</v>
      </c>
      <c r="AD913" s="845">
        <v>1.858844031367993E-2</v>
      </c>
      <c r="AE913" s="845">
        <v>0.15103107754864945</v>
      </c>
      <c r="AF913" s="845">
        <v>5.8960209119953526E-2</v>
      </c>
      <c r="AG913" s="845">
        <v>0.36741214057507987</v>
      </c>
      <c r="AH913" s="20" t="str">
        <f t="shared" si="85"/>
        <v>No</v>
      </c>
      <c r="AI913" s="25"/>
      <c r="AJ913" s="20">
        <v>44427</v>
      </c>
      <c r="AK913" s="20" t="s">
        <v>1332</v>
      </c>
      <c r="AL913" s="20">
        <v>39029</v>
      </c>
      <c r="AM913" s="20" t="s">
        <v>21</v>
      </c>
      <c r="AN913" s="37" t="str">
        <f t="shared" si="86"/>
        <v>N/A</v>
      </c>
      <c r="AO913" s="37" t="str">
        <f t="shared" si="87"/>
        <v>N/A</v>
      </c>
      <c r="AP913" s="20" t="s">
        <v>8</v>
      </c>
      <c r="AQ913" s="25"/>
      <c r="AR913" s="25"/>
      <c r="AS913" s="25"/>
      <c r="AT913" s="25"/>
      <c r="AU913" s="36"/>
      <c r="AV913" s="36"/>
      <c r="AW913" s="36"/>
      <c r="AX913" s="25"/>
      <c r="AY913" s="25"/>
      <c r="AZ913" s="25"/>
      <c r="BA913" s="25"/>
      <c r="BB913" s="25"/>
      <c r="BC913" s="25"/>
      <c r="BD913" s="25"/>
      <c r="BE913" s="25"/>
      <c r="BF913" s="25"/>
      <c r="BG913" s="25"/>
      <c r="BH913" s="25"/>
      <c r="BI913" s="25"/>
      <c r="BJ913" s="25"/>
      <c r="BK913" s="25"/>
      <c r="BL913" s="25"/>
      <c r="BM913" s="25"/>
      <c r="BN913" s="25"/>
      <c r="BO913" s="25"/>
      <c r="BP913" s="25"/>
      <c r="BQ913" s="25"/>
      <c r="BR913" s="25"/>
      <c r="BS913" s="25"/>
      <c r="BT913" s="25"/>
      <c r="BU913" s="39">
        <v>43735</v>
      </c>
      <c r="BV913" s="39" t="s">
        <v>1039</v>
      </c>
      <c r="BW913" s="39" t="s">
        <v>2927</v>
      </c>
      <c r="BX913" s="39" t="s">
        <v>2928</v>
      </c>
      <c r="BY913" s="71">
        <v>830</v>
      </c>
      <c r="BZ913" s="71">
        <v>830</v>
      </c>
      <c r="CA913" s="71">
        <v>990</v>
      </c>
      <c r="CB913" s="71">
        <v>1330</v>
      </c>
      <c r="CC913" s="71">
        <v>1460</v>
      </c>
      <c r="CD913" s="25"/>
      <c r="CE913" s="200"/>
      <c r="CF913" s="200"/>
      <c r="CG913" s="200"/>
      <c r="CH913" s="200"/>
      <c r="CI913" s="200"/>
      <c r="CJ913" s="200"/>
      <c r="CK913" s="200"/>
      <c r="CL913" s="200"/>
      <c r="CM913" s="200"/>
      <c r="CN913" s="200"/>
      <c r="CO913" s="200"/>
      <c r="CP913" s="200"/>
      <c r="CQ913" s="200"/>
      <c r="CR913" s="200"/>
      <c r="CS913" s="200"/>
      <c r="CT913" s="200"/>
      <c r="CU913" s="200"/>
    </row>
    <row r="914" spans="1:99" s="17" customFormat="1" x14ac:dyDescent="0.2">
      <c r="A914" s="25"/>
      <c r="B914" s="20">
        <v>39063001100</v>
      </c>
      <c r="C914" s="20">
        <v>11</v>
      </c>
      <c r="D914" s="20" t="s">
        <v>38</v>
      </c>
      <c r="E914" s="20" t="s">
        <v>265</v>
      </c>
      <c r="F914" s="20" t="s">
        <v>8</v>
      </c>
      <c r="G914" s="861">
        <v>57.334759267424701</v>
      </c>
      <c r="H914" s="861">
        <v>55.312145869191397</v>
      </c>
      <c r="I914" s="861">
        <v>24.3954248488321</v>
      </c>
      <c r="J914" s="861">
        <v>46.724244276290896</v>
      </c>
      <c r="K914" s="982">
        <v>0</v>
      </c>
      <c r="L914" s="735">
        <v>4091</v>
      </c>
      <c r="M914" s="735">
        <v>4405</v>
      </c>
      <c r="N914" s="845">
        <f t="shared" si="83"/>
        <v>7.6753849914446351E-2</v>
      </c>
      <c r="O914" s="735">
        <v>5.319958399345702</v>
      </c>
      <c r="P914" s="735">
        <f t="shared" si="84"/>
        <v>828.01399359471827</v>
      </c>
      <c r="Q914" s="849">
        <v>40.200000000000003</v>
      </c>
      <c r="R914" s="71">
        <v>72532</v>
      </c>
      <c r="S914" s="845">
        <v>6.4251537935748462E-2</v>
      </c>
      <c r="T914" s="845">
        <v>3.7999999999999999E-2</v>
      </c>
      <c r="U914" s="845">
        <v>0</v>
      </c>
      <c r="V914" s="845">
        <v>1.6E-2</v>
      </c>
      <c r="W914" s="845">
        <v>0.31575931232091692</v>
      </c>
      <c r="X914" s="845">
        <v>0.21778584392014519</v>
      </c>
      <c r="Y914" s="845">
        <v>0.90533484676503972</v>
      </c>
      <c r="Z914" s="845">
        <v>3.4279228149829741E-2</v>
      </c>
      <c r="AA914" s="845">
        <v>0</v>
      </c>
      <c r="AB914" s="845">
        <v>4.0862656072644726E-3</v>
      </c>
      <c r="AC914" s="845">
        <v>0</v>
      </c>
      <c r="AD914" s="845">
        <v>3.9727582292849034E-2</v>
      </c>
      <c r="AE914" s="845">
        <v>1.6572077185017027E-2</v>
      </c>
      <c r="AF914" s="845">
        <v>0.1014755959137344</v>
      </c>
      <c r="AG914" s="845">
        <v>0.84676503972758232</v>
      </c>
      <c r="AH914" s="20" t="str">
        <f t="shared" si="85"/>
        <v>No</v>
      </c>
      <c r="AI914" s="25"/>
      <c r="AJ914" s="20">
        <v>44431</v>
      </c>
      <c r="AK914" s="20" t="s">
        <v>1336</v>
      </c>
      <c r="AL914" s="20">
        <v>39029</v>
      </c>
      <c r="AM914" s="20" t="s">
        <v>21</v>
      </c>
      <c r="AN914" s="37" t="str">
        <f t="shared" si="86"/>
        <v>N/A</v>
      </c>
      <c r="AO914" s="37" t="str">
        <f t="shared" si="87"/>
        <v>N/A</v>
      </c>
      <c r="AP914" s="20" t="s">
        <v>8</v>
      </c>
      <c r="AQ914" s="25"/>
      <c r="AR914" s="25"/>
      <c r="AS914" s="25"/>
      <c r="AT914" s="25"/>
      <c r="AU914" s="36"/>
      <c r="AV914" s="36"/>
      <c r="AW914" s="36"/>
      <c r="AX914" s="25"/>
      <c r="AY914" s="25"/>
      <c r="AZ914" s="25"/>
      <c r="BA914" s="25"/>
      <c r="BB914" s="25"/>
      <c r="BC914" s="25"/>
      <c r="BD914" s="25"/>
      <c r="BE914" s="25"/>
      <c r="BF914" s="25"/>
      <c r="BG914" s="25"/>
      <c r="BH914" s="25"/>
      <c r="BI914" s="25"/>
      <c r="BJ914" s="25"/>
      <c r="BK914" s="25"/>
      <c r="BL914" s="25"/>
      <c r="BM914" s="25"/>
      <c r="BN914" s="25"/>
      <c r="BO914" s="25"/>
      <c r="BP914" s="25"/>
      <c r="BQ914" s="25"/>
      <c r="BR914" s="25"/>
      <c r="BS914" s="25"/>
      <c r="BT914" s="25"/>
      <c r="BU914" s="39">
        <v>43738</v>
      </c>
      <c r="BV914" s="39" t="s">
        <v>1041</v>
      </c>
      <c r="BW914" s="39" t="s">
        <v>2927</v>
      </c>
      <c r="BX914" s="39" t="s">
        <v>2928</v>
      </c>
      <c r="BY914" s="71">
        <v>810</v>
      </c>
      <c r="BZ914" s="71">
        <v>820</v>
      </c>
      <c r="CA914" s="71">
        <v>970</v>
      </c>
      <c r="CB914" s="71">
        <v>1320</v>
      </c>
      <c r="CC914" s="71">
        <v>1440</v>
      </c>
      <c r="CD914" s="25"/>
      <c r="CE914" s="200"/>
      <c r="CF914" s="200"/>
      <c r="CG914" s="200"/>
      <c r="CH914" s="200"/>
      <c r="CI914" s="200"/>
      <c r="CJ914" s="200"/>
      <c r="CK914" s="200"/>
      <c r="CL914" s="200"/>
      <c r="CM914" s="200"/>
      <c r="CN914" s="200"/>
      <c r="CO914" s="200"/>
      <c r="CP914" s="200"/>
      <c r="CQ914" s="200"/>
      <c r="CR914" s="200"/>
      <c r="CS914" s="200"/>
      <c r="CT914" s="200"/>
      <c r="CU914" s="200"/>
    </row>
    <row r="915" spans="1:99" s="17" customFormat="1" x14ac:dyDescent="0.2">
      <c r="A915" s="25"/>
      <c r="B915" s="20">
        <v>39085201200</v>
      </c>
      <c r="C915" s="20">
        <v>2012</v>
      </c>
      <c r="D915" s="20" t="s">
        <v>48</v>
      </c>
      <c r="E915" s="20" t="s">
        <v>2829</v>
      </c>
      <c r="F915" s="20" t="s">
        <v>8</v>
      </c>
      <c r="G915" s="861">
        <v>57.319334490099799</v>
      </c>
      <c r="H915" s="861">
        <v>50.397600642750902</v>
      </c>
      <c r="I915" s="861">
        <v>35.260746458990504</v>
      </c>
      <c r="J915" s="861">
        <v>28.762120447015</v>
      </c>
      <c r="K915" s="982">
        <v>0</v>
      </c>
      <c r="L915" s="735">
        <v>3616</v>
      </c>
      <c r="M915" s="735">
        <v>3619</v>
      </c>
      <c r="N915" s="845">
        <f t="shared" si="83"/>
        <v>8.2964601769911503E-4</v>
      </c>
      <c r="O915" s="735">
        <v>1.4210980296739664</v>
      </c>
      <c r="P915" s="735">
        <f t="shared" si="84"/>
        <v>2546.6223472495312</v>
      </c>
      <c r="Q915" s="849">
        <v>57.4</v>
      </c>
      <c r="R915" s="71">
        <v>47165</v>
      </c>
      <c r="S915" s="845">
        <v>0.11376041367423154</v>
      </c>
      <c r="T915" s="845">
        <v>6.9000000000000006E-2</v>
      </c>
      <c r="U915" s="845">
        <v>0</v>
      </c>
      <c r="V915" s="845">
        <v>3.1E-2</v>
      </c>
      <c r="W915" s="845">
        <v>0.38469234617308656</v>
      </c>
      <c r="X915" s="845">
        <v>0.55266579973992203</v>
      </c>
      <c r="Y915" s="845">
        <v>0.86377452334899141</v>
      </c>
      <c r="Z915" s="845">
        <v>7.9027355623100301E-2</v>
      </c>
      <c r="AA915" s="845">
        <v>0</v>
      </c>
      <c r="AB915" s="845">
        <v>1.878972091738049E-2</v>
      </c>
      <c r="AC915" s="845">
        <v>0</v>
      </c>
      <c r="AD915" s="845">
        <v>1.5197568389057751E-2</v>
      </c>
      <c r="AE915" s="845">
        <v>2.321083172147002E-2</v>
      </c>
      <c r="AF915" s="845">
        <v>1.9894998618402875E-2</v>
      </c>
      <c r="AG915" s="845">
        <v>0.86377452334899141</v>
      </c>
      <c r="AH915" s="20" t="str">
        <f t="shared" si="85"/>
        <v>No</v>
      </c>
      <c r="AI915" s="25"/>
      <c r="AJ915" s="20">
        <v>44432</v>
      </c>
      <c r="AK915" s="20" t="s">
        <v>1337</v>
      </c>
      <c r="AL915" s="20">
        <v>39029</v>
      </c>
      <c r="AM915" s="20" t="s">
        <v>21</v>
      </c>
      <c r="AN915" s="37" t="str">
        <f t="shared" si="86"/>
        <v>N/A</v>
      </c>
      <c r="AO915" s="37" t="str">
        <f t="shared" si="87"/>
        <v>N/A</v>
      </c>
      <c r="AP915" s="20" t="s">
        <v>8</v>
      </c>
      <c r="AQ915" s="25"/>
      <c r="AR915" s="25"/>
      <c r="AS915" s="25"/>
      <c r="AT915" s="25"/>
      <c r="AU915" s="36"/>
      <c r="AV915" s="36"/>
      <c r="AW915" s="36"/>
      <c r="AX915" s="25"/>
      <c r="AY915" s="25"/>
      <c r="AZ915" s="25"/>
      <c r="BA915" s="25"/>
      <c r="BB915" s="25"/>
      <c r="BC915" s="25"/>
      <c r="BD915" s="25"/>
      <c r="BE915" s="25"/>
      <c r="BF915" s="25"/>
      <c r="BG915" s="25"/>
      <c r="BH915" s="25"/>
      <c r="BI915" s="25"/>
      <c r="BJ915" s="25"/>
      <c r="BK915" s="25"/>
      <c r="BL915" s="25"/>
      <c r="BM915" s="25"/>
      <c r="BN915" s="25"/>
      <c r="BO915" s="25"/>
      <c r="BP915" s="25"/>
      <c r="BQ915" s="25"/>
      <c r="BR915" s="25"/>
      <c r="BS915" s="25"/>
      <c r="BT915" s="25"/>
      <c r="BU915" s="39">
        <v>43767</v>
      </c>
      <c r="BV915" s="39" t="s">
        <v>1059</v>
      </c>
      <c r="BW915" s="39" t="s">
        <v>2927</v>
      </c>
      <c r="BX915" s="39" t="s">
        <v>2928</v>
      </c>
      <c r="BY915" s="71">
        <v>850</v>
      </c>
      <c r="BZ915" s="71">
        <v>850</v>
      </c>
      <c r="CA915" s="71">
        <v>1010</v>
      </c>
      <c r="CB915" s="71">
        <v>1370</v>
      </c>
      <c r="CC915" s="71">
        <v>1490</v>
      </c>
      <c r="CD915" s="25"/>
      <c r="CE915" s="200"/>
      <c r="CF915" s="200"/>
      <c r="CG915" s="200"/>
      <c r="CH915" s="200"/>
      <c r="CI915" s="200"/>
      <c r="CJ915" s="200"/>
      <c r="CK915" s="200"/>
      <c r="CL915" s="200"/>
      <c r="CM915" s="200"/>
      <c r="CN915" s="200"/>
      <c r="CO915" s="200"/>
      <c r="CP915" s="200"/>
      <c r="CQ915" s="200"/>
      <c r="CR915" s="200"/>
      <c r="CS915" s="200"/>
      <c r="CT915" s="200"/>
      <c r="CU915" s="200"/>
    </row>
    <row r="916" spans="1:99" s="17" customFormat="1" x14ac:dyDescent="0.2">
      <c r="A916" s="25"/>
      <c r="B916" s="20">
        <v>39113050104</v>
      </c>
      <c r="C916" s="20">
        <v>501.04</v>
      </c>
      <c r="D916" s="20" t="s">
        <v>62</v>
      </c>
      <c r="E916" s="20" t="s">
        <v>2833</v>
      </c>
      <c r="F916" s="20" t="s">
        <v>8</v>
      </c>
      <c r="G916" s="861">
        <v>57.273178126503701</v>
      </c>
      <c r="H916" s="861">
        <v>52.679073117329203</v>
      </c>
      <c r="I916" s="861">
        <v>45.736169129196902</v>
      </c>
      <c r="J916" s="861">
        <v>46.9196900720315</v>
      </c>
      <c r="K916" s="982">
        <v>0</v>
      </c>
      <c r="L916" s="735">
        <v>2327</v>
      </c>
      <c r="M916" s="735">
        <v>2897</v>
      </c>
      <c r="N916" s="845">
        <f t="shared" si="83"/>
        <v>0.24495058014611087</v>
      </c>
      <c r="O916" s="735">
        <v>1.0920386039918926</v>
      </c>
      <c r="P916" s="735">
        <f t="shared" si="84"/>
        <v>2652.8366208027455</v>
      </c>
      <c r="Q916" s="849">
        <v>37.700000000000003</v>
      </c>
      <c r="R916" s="71">
        <v>68750</v>
      </c>
      <c r="S916" s="845">
        <v>8.4367245657568243E-2</v>
      </c>
      <c r="T916" s="845">
        <v>6.9000000000000006E-2</v>
      </c>
      <c r="U916" s="845">
        <v>0</v>
      </c>
      <c r="V916" s="845">
        <v>1.7000000000000001E-2</v>
      </c>
      <c r="W916" s="845">
        <v>0.45833333333333331</v>
      </c>
      <c r="X916" s="845">
        <v>0.47962382445141066</v>
      </c>
      <c r="Y916" s="845">
        <v>0.82913358646876079</v>
      </c>
      <c r="Z916" s="845">
        <v>5.4539178460476352E-2</v>
      </c>
      <c r="AA916" s="845">
        <v>0</v>
      </c>
      <c r="AB916" s="845">
        <v>1.6568864342423197E-2</v>
      </c>
      <c r="AC916" s="845">
        <v>0</v>
      </c>
      <c r="AD916" s="845">
        <v>2.416292716603383E-2</v>
      </c>
      <c r="AE916" s="845">
        <v>7.5595443562305839E-2</v>
      </c>
      <c r="AF916" s="845">
        <v>3.3137728684846393E-2</v>
      </c>
      <c r="AG916" s="845">
        <v>0.82913358646876079</v>
      </c>
      <c r="AH916" s="20" t="str">
        <f t="shared" si="85"/>
        <v>No</v>
      </c>
      <c r="AI916" s="25"/>
      <c r="AJ916" s="37">
        <v>44441</v>
      </c>
      <c r="AK916" s="37" t="s">
        <v>1343</v>
      </c>
      <c r="AL916" s="37">
        <v>39029</v>
      </c>
      <c r="AM916" s="37" t="s">
        <v>21</v>
      </c>
      <c r="AN916" s="37" t="str">
        <f t="shared" si="86"/>
        <v>N/A</v>
      </c>
      <c r="AO916" s="37" t="str">
        <f t="shared" si="87"/>
        <v>N/A</v>
      </c>
      <c r="AP916" s="20" t="s">
        <v>8</v>
      </c>
      <c r="AQ916" s="25"/>
      <c r="AR916" s="25"/>
      <c r="AS916" s="25"/>
      <c r="AT916" s="25"/>
      <c r="AU916" s="36"/>
      <c r="AV916" s="36"/>
      <c r="AW916" s="36"/>
      <c r="AX916" s="25"/>
      <c r="AY916" s="25"/>
      <c r="AZ916" s="25"/>
      <c r="BA916" s="25"/>
      <c r="BB916" s="25"/>
      <c r="BC916" s="25"/>
      <c r="BD916" s="25"/>
      <c r="BE916" s="25"/>
      <c r="BF916" s="25"/>
      <c r="BG916" s="25"/>
      <c r="BH916" s="25"/>
      <c r="BI916" s="25"/>
      <c r="BJ916" s="25"/>
      <c r="BK916" s="25"/>
      <c r="BL916" s="25"/>
      <c r="BM916" s="25"/>
      <c r="BN916" s="25"/>
      <c r="BO916" s="25"/>
      <c r="BP916" s="25"/>
      <c r="BQ916" s="25"/>
      <c r="BR916" s="25"/>
      <c r="BS916" s="25"/>
      <c r="BT916" s="25"/>
      <c r="BU916" s="39">
        <v>43771</v>
      </c>
      <c r="BV916" s="39" t="s">
        <v>1061</v>
      </c>
      <c r="BW916" s="39" t="s">
        <v>2927</v>
      </c>
      <c r="BX916" s="39" t="s">
        <v>2928</v>
      </c>
      <c r="BY916" s="71">
        <v>810</v>
      </c>
      <c r="BZ916" s="71">
        <v>820</v>
      </c>
      <c r="CA916" s="71">
        <v>970</v>
      </c>
      <c r="CB916" s="71">
        <v>1320</v>
      </c>
      <c r="CC916" s="71">
        <v>1440</v>
      </c>
      <c r="CD916" s="25"/>
      <c r="CE916" s="200"/>
      <c r="CF916" s="200"/>
      <c r="CG916" s="200"/>
      <c r="CH916" s="200"/>
      <c r="CI916" s="200"/>
      <c r="CJ916" s="200"/>
      <c r="CK916" s="200"/>
      <c r="CL916" s="200"/>
      <c r="CM916" s="200"/>
      <c r="CN916" s="200"/>
      <c r="CO916" s="200"/>
      <c r="CP916" s="200"/>
      <c r="CQ916" s="200"/>
      <c r="CR916" s="200"/>
      <c r="CS916" s="200"/>
      <c r="CT916" s="200"/>
      <c r="CU916" s="200"/>
    </row>
    <row r="917" spans="1:99" s="17" customFormat="1" x14ac:dyDescent="0.2">
      <c r="A917" s="25"/>
      <c r="B917" s="20">
        <v>39093094102</v>
      </c>
      <c r="C917" s="20">
        <v>941.02</v>
      </c>
      <c r="D917" s="20" t="s">
        <v>52</v>
      </c>
      <c r="E917" s="20" t="s">
        <v>2829</v>
      </c>
      <c r="F917" s="20" t="s">
        <v>8</v>
      </c>
      <c r="G917" s="861">
        <v>57.271103101286897</v>
      </c>
      <c r="H917" s="861">
        <v>66.284482012367604</v>
      </c>
      <c r="I917" s="861">
        <v>22.660405640380201</v>
      </c>
      <c r="J917" s="861">
        <v>45.367918269069101</v>
      </c>
      <c r="K917" s="982">
        <v>0</v>
      </c>
      <c r="L917" s="735" t="s">
        <v>2466</v>
      </c>
      <c r="M917" s="735">
        <v>3673</v>
      </c>
      <c r="N917" s="845" t="str">
        <f t="shared" si="83"/>
        <v/>
      </c>
      <c r="O917" s="735">
        <v>12.949811958789263</v>
      </c>
      <c r="P917" s="735">
        <f t="shared" si="84"/>
        <v>283.63346214514496</v>
      </c>
      <c r="Q917" s="849">
        <v>42.3</v>
      </c>
      <c r="R917" s="71">
        <v>97891</v>
      </c>
      <c r="S917" s="845">
        <v>3.4804055905727597E-2</v>
      </c>
      <c r="T917" s="845">
        <v>4.2000000000000003E-2</v>
      </c>
      <c r="U917" s="845">
        <v>0</v>
      </c>
      <c r="V917" s="845">
        <v>0</v>
      </c>
      <c r="W917" s="845">
        <v>0.16292974588938713</v>
      </c>
      <c r="X917" s="845">
        <v>0.3165137614678899</v>
      </c>
      <c r="Y917" s="845">
        <v>0.89790362101824117</v>
      </c>
      <c r="Z917" s="845">
        <v>1.361285053090117E-3</v>
      </c>
      <c r="AA917" s="845">
        <v>0</v>
      </c>
      <c r="AB917" s="845">
        <v>2.9948271167982575E-3</v>
      </c>
      <c r="AC917" s="845">
        <v>0</v>
      </c>
      <c r="AD917" s="845">
        <v>5.989654233596515E-3</v>
      </c>
      <c r="AE917" s="845">
        <v>9.1750612578273896E-2</v>
      </c>
      <c r="AF917" s="845">
        <v>0.11325891641709775</v>
      </c>
      <c r="AG917" s="845">
        <v>0.85243670024503126</v>
      </c>
      <c r="AH917" s="20" t="str">
        <f t="shared" si="85"/>
        <v>No</v>
      </c>
      <c r="AI917" s="25"/>
      <c r="AJ917" s="37">
        <v>44443</v>
      </c>
      <c r="AK917" s="37" t="s">
        <v>1345</v>
      </c>
      <c r="AL917" s="37">
        <v>39029</v>
      </c>
      <c r="AM917" s="37" t="s">
        <v>21</v>
      </c>
      <c r="AN917" s="37" t="str">
        <f t="shared" si="86"/>
        <v>N/A</v>
      </c>
      <c r="AO917" s="37" t="str">
        <f t="shared" si="87"/>
        <v>N/A</v>
      </c>
      <c r="AP917" s="20" t="s">
        <v>8</v>
      </c>
      <c r="AQ917" s="25"/>
      <c r="AR917" s="25"/>
      <c r="AS917" s="25"/>
      <c r="AT917" s="25"/>
      <c r="AU917" s="36"/>
      <c r="AV917" s="36"/>
      <c r="AW917" s="36"/>
      <c r="AX917" s="25"/>
      <c r="AY917" s="25"/>
      <c r="AZ917" s="25"/>
      <c r="BA917" s="25"/>
      <c r="BB917" s="25"/>
      <c r="BC917" s="25"/>
      <c r="BD917" s="25"/>
      <c r="BE917" s="25"/>
      <c r="BF917" s="25"/>
      <c r="BG917" s="25"/>
      <c r="BH917" s="25"/>
      <c r="BI917" s="25"/>
      <c r="BJ917" s="25"/>
      <c r="BK917" s="25"/>
      <c r="BL917" s="25"/>
      <c r="BM917" s="25"/>
      <c r="BN917" s="25"/>
      <c r="BO917" s="25"/>
      <c r="BP917" s="25"/>
      <c r="BQ917" s="25"/>
      <c r="BR917" s="25"/>
      <c r="BS917" s="25"/>
      <c r="BT917" s="25"/>
      <c r="BU917" s="39">
        <v>43791</v>
      </c>
      <c r="BV917" s="39" t="s">
        <v>1073</v>
      </c>
      <c r="BW917" s="39" t="s">
        <v>2927</v>
      </c>
      <c r="BX917" s="39" t="s">
        <v>2928</v>
      </c>
      <c r="BY917" s="71">
        <v>850</v>
      </c>
      <c r="BZ917" s="71">
        <v>850</v>
      </c>
      <c r="CA917" s="71">
        <v>1010</v>
      </c>
      <c r="CB917" s="71">
        <v>1370</v>
      </c>
      <c r="CC917" s="71">
        <v>1490</v>
      </c>
      <c r="CD917" s="25"/>
      <c r="CE917" s="200"/>
      <c r="CF917" s="200"/>
      <c r="CG917" s="200"/>
      <c r="CH917" s="200"/>
      <c r="CI917" s="200"/>
      <c r="CJ917" s="200"/>
      <c r="CK917" s="200"/>
      <c r="CL917" s="200"/>
      <c r="CM917" s="200"/>
      <c r="CN917" s="200"/>
      <c r="CO917" s="200"/>
      <c r="CP917" s="200"/>
      <c r="CQ917" s="200"/>
      <c r="CR917" s="200"/>
      <c r="CS917" s="200"/>
      <c r="CT917" s="200"/>
      <c r="CU917" s="200"/>
    </row>
    <row r="918" spans="1:99" s="17" customFormat="1" x14ac:dyDescent="0.2">
      <c r="A918" s="25"/>
      <c r="B918" s="20">
        <v>39023003700</v>
      </c>
      <c r="C918" s="20">
        <v>37</v>
      </c>
      <c r="D918" s="20" t="s">
        <v>18</v>
      </c>
      <c r="E918" s="20" t="s">
        <v>2838</v>
      </c>
      <c r="F918" s="20" t="s">
        <v>8</v>
      </c>
      <c r="G918" s="861">
        <v>57.266846662407403</v>
      </c>
      <c r="H918" s="861">
        <v>66.649724664256198</v>
      </c>
      <c r="I918" s="861">
        <v>33.409855644895501</v>
      </c>
      <c r="J918" s="861">
        <v>44.729801030249497</v>
      </c>
      <c r="K918" s="982">
        <v>0</v>
      </c>
      <c r="L918" s="735">
        <v>4525</v>
      </c>
      <c r="M918" s="735">
        <v>4812</v>
      </c>
      <c r="N918" s="845">
        <f t="shared" si="83"/>
        <v>6.3425414364640886E-2</v>
      </c>
      <c r="O918" s="735">
        <v>3.1809122861185646</v>
      </c>
      <c r="P918" s="735">
        <f t="shared" si="84"/>
        <v>1512.7735590193633</v>
      </c>
      <c r="Q918" s="849">
        <v>44.6</v>
      </c>
      <c r="R918" s="71">
        <v>68083</v>
      </c>
      <c r="S918" s="845">
        <v>8.6519974364452037E-2</v>
      </c>
      <c r="T918" s="845">
        <v>7.2999999999999995E-2</v>
      </c>
      <c r="U918" s="845">
        <v>5.5999999999999994E-2</v>
      </c>
      <c r="V918" s="845">
        <v>0.05</v>
      </c>
      <c r="W918" s="845">
        <v>0.41618217054263568</v>
      </c>
      <c r="X918" s="845">
        <v>0.43771827706635624</v>
      </c>
      <c r="Y918" s="845">
        <v>0.8002909393183707</v>
      </c>
      <c r="Z918" s="845">
        <v>0.14837905236907731</v>
      </c>
      <c r="AA918" s="845">
        <v>0</v>
      </c>
      <c r="AB918" s="845">
        <v>2.5561097256857856E-2</v>
      </c>
      <c r="AC918" s="845">
        <v>0</v>
      </c>
      <c r="AD918" s="845">
        <v>0</v>
      </c>
      <c r="AE918" s="845">
        <v>2.5768911055694097E-2</v>
      </c>
      <c r="AF918" s="845">
        <v>2.9093931837073984E-3</v>
      </c>
      <c r="AG918" s="845">
        <v>0.79738154613466339</v>
      </c>
      <c r="AH918" s="20" t="str">
        <f t="shared" si="85"/>
        <v>No</v>
      </c>
      <c r="AI918" s="25"/>
      <c r="AJ918" s="20">
        <v>44445</v>
      </c>
      <c r="AK918" s="20" t="s">
        <v>1347</v>
      </c>
      <c r="AL918" s="20">
        <v>39029</v>
      </c>
      <c r="AM918" s="20" t="s">
        <v>21</v>
      </c>
      <c r="AN918" s="37" t="str">
        <f t="shared" si="86"/>
        <v>N/A</v>
      </c>
      <c r="AO918" s="37" t="str">
        <f t="shared" si="87"/>
        <v>N/A</v>
      </c>
      <c r="AP918" s="20" t="s">
        <v>8</v>
      </c>
      <c r="AQ918" s="25"/>
      <c r="AR918" s="25"/>
      <c r="AS918" s="25"/>
      <c r="AT918" s="25"/>
      <c r="AU918" s="36"/>
      <c r="AV918" s="36"/>
      <c r="AW918" s="36"/>
      <c r="AX918" s="25"/>
      <c r="AY918" s="25"/>
      <c r="AZ918" s="25"/>
      <c r="BA918" s="25"/>
      <c r="BB918" s="25"/>
      <c r="BC918" s="25"/>
      <c r="BD918" s="25"/>
      <c r="BE918" s="25"/>
      <c r="BF918" s="25"/>
      <c r="BG918" s="25"/>
      <c r="BH918" s="25"/>
      <c r="BI918" s="25"/>
      <c r="BJ918" s="25"/>
      <c r="BK918" s="25"/>
      <c r="BL918" s="25"/>
      <c r="BM918" s="25"/>
      <c r="BN918" s="25"/>
      <c r="BO918" s="25"/>
      <c r="BP918" s="25"/>
      <c r="BQ918" s="25"/>
      <c r="BR918" s="25"/>
      <c r="BS918" s="25"/>
      <c r="BT918" s="25"/>
      <c r="BU918" s="39">
        <v>43802</v>
      </c>
      <c r="BV918" s="39" t="s">
        <v>1075</v>
      </c>
      <c r="BW918" s="39" t="s">
        <v>2927</v>
      </c>
      <c r="BX918" s="39" t="s">
        <v>2928</v>
      </c>
      <c r="BY918" s="71">
        <v>850</v>
      </c>
      <c r="BZ918" s="71">
        <v>860</v>
      </c>
      <c r="CA918" s="71">
        <v>1020</v>
      </c>
      <c r="CB918" s="71">
        <v>1380</v>
      </c>
      <c r="CC918" s="71">
        <v>1540</v>
      </c>
      <c r="CD918" s="25"/>
      <c r="CE918" s="200"/>
      <c r="CF918" s="200"/>
      <c r="CG918" s="200"/>
      <c r="CH918" s="200"/>
      <c r="CI918" s="200"/>
      <c r="CJ918" s="200"/>
      <c r="CK918" s="200"/>
      <c r="CL918" s="200"/>
      <c r="CM918" s="200"/>
      <c r="CN918" s="200"/>
      <c r="CO918" s="200"/>
      <c r="CP918" s="200"/>
      <c r="CQ918" s="200"/>
      <c r="CR918" s="200"/>
      <c r="CS918" s="200"/>
      <c r="CT918" s="200"/>
      <c r="CU918" s="200"/>
    </row>
    <row r="919" spans="1:99" s="17" customFormat="1" x14ac:dyDescent="0.2">
      <c r="A919" s="25"/>
      <c r="B919" s="20">
        <v>39151711112</v>
      </c>
      <c r="C919" s="20">
        <v>7111.12</v>
      </c>
      <c r="D919" s="20" t="s">
        <v>81</v>
      </c>
      <c r="E919" s="20" t="s">
        <v>2844</v>
      </c>
      <c r="F919" s="20" t="s">
        <v>8</v>
      </c>
      <c r="G919" s="861">
        <v>57.265806944574599</v>
      </c>
      <c r="H919" s="861">
        <v>53.734922041401099</v>
      </c>
      <c r="I919" s="861">
        <v>13.621297482940999</v>
      </c>
      <c r="J919" s="861">
        <v>48.577057592819997</v>
      </c>
      <c r="K919" s="982">
        <v>0</v>
      </c>
      <c r="L919" s="735">
        <v>5141</v>
      </c>
      <c r="M919" s="735">
        <v>5050</v>
      </c>
      <c r="N919" s="845">
        <f t="shared" si="83"/>
        <v>-1.7700836413149193E-2</v>
      </c>
      <c r="O919" s="735">
        <v>4.1320170384874855</v>
      </c>
      <c r="P919" s="735">
        <f t="shared" si="84"/>
        <v>1222.1634017870701</v>
      </c>
      <c r="Q919" s="849">
        <v>43.3</v>
      </c>
      <c r="R919" s="71">
        <v>119178</v>
      </c>
      <c r="S919" s="845">
        <v>2.9504950495049503E-2</v>
      </c>
      <c r="T919" s="845">
        <v>6.0000000000000001E-3</v>
      </c>
      <c r="U919" s="845">
        <v>0</v>
      </c>
      <c r="V919" s="845">
        <v>0</v>
      </c>
      <c r="W919" s="845">
        <v>5.897840968931016E-2</v>
      </c>
      <c r="X919" s="845">
        <v>0.23214285714285715</v>
      </c>
      <c r="Y919" s="845">
        <v>0.9354455445544555</v>
      </c>
      <c r="Z919" s="845">
        <v>0</v>
      </c>
      <c r="AA919" s="845">
        <v>0</v>
      </c>
      <c r="AB919" s="845">
        <v>2.1980198019801979E-2</v>
      </c>
      <c r="AC919" s="845">
        <v>0</v>
      </c>
      <c r="AD919" s="845">
        <v>1.7821782178217822E-3</v>
      </c>
      <c r="AE919" s="845">
        <v>4.0792079207920794E-2</v>
      </c>
      <c r="AF919" s="845">
        <v>3.3465346534653467E-2</v>
      </c>
      <c r="AG919" s="845">
        <v>0.91980198019801984</v>
      </c>
      <c r="AH919" s="20" t="str">
        <f t="shared" si="85"/>
        <v>Yes</v>
      </c>
      <c r="AI919" s="25"/>
      <c r="AJ919" s="20">
        <v>44454</v>
      </c>
      <c r="AK919" s="20" t="s">
        <v>1353</v>
      </c>
      <c r="AL919" s="20">
        <v>39029</v>
      </c>
      <c r="AM919" s="20" t="s">
        <v>21</v>
      </c>
      <c r="AN919" s="37" t="str">
        <f t="shared" si="86"/>
        <v>N/A</v>
      </c>
      <c r="AO919" s="37" t="str">
        <f t="shared" si="87"/>
        <v>N/A</v>
      </c>
      <c r="AP919" s="20" t="s">
        <v>8</v>
      </c>
      <c r="AQ919" s="25"/>
      <c r="AR919" s="25"/>
      <c r="AS919" s="25"/>
      <c r="AT919" s="25"/>
      <c r="AU919" s="36"/>
      <c r="AV919" s="36"/>
      <c r="AW919" s="36"/>
      <c r="AX919" s="25"/>
      <c r="AY919" s="25"/>
      <c r="AZ919" s="25"/>
      <c r="BA919" s="25"/>
      <c r="BB919" s="25"/>
      <c r="BC919" s="25"/>
      <c r="BD919" s="25"/>
      <c r="BE919" s="25"/>
      <c r="BF919" s="25"/>
      <c r="BG919" s="25"/>
      <c r="BH919" s="25"/>
      <c r="BI919" s="25"/>
      <c r="BJ919" s="25"/>
      <c r="BK919" s="25"/>
      <c r="BL919" s="25"/>
      <c r="BM919" s="25"/>
      <c r="BN919" s="25"/>
      <c r="BO919" s="25"/>
      <c r="BP919" s="25"/>
      <c r="BQ919" s="25"/>
      <c r="BR919" s="25"/>
      <c r="BS919" s="25"/>
      <c r="BT919" s="25"/>
      <c r="BU919" s="39">
        <v>43842</v>
      </c>
      <c r="BV919" s="39" t="s">
        <v>1088</v>
      </c>
      <c r="BW919" s="39" t="s">
        <v>2927</v>
      </c>
      <c r="BX919" s="39" t="s">
        <v>2928</v>
      </c>
      <c r="BY919" s="71">
        <v>900</v>
      </c>
      <c r="BZ919" s="71">
        <v>920</v>
      </c>
      <c r="CA919" s="71">
        <v>1090</v>
      </c>
      <c r="CB919" s="71">
        <v>1480</v>
      </c>
      <c r="CC919" s="71">
        <v>1650</v>
      </c>
      <c r="CD919" s="25"/>
      <c r="CE919" s="200"/>
      <c r="CF919" s="200"/>
      <c r="CG919" s="200"/>
      <c r="CH919" s="200"/>
      <c r="CI919" s="200"/>
      <c r="CJ919" s="200"/>
      <c r="CK919" s="200"/>
      <c r="CL919" s="200"/>
      <c r="CM919" s="200"/>
      <c r="CN919" s="200"/>
      <c r="CO919" s="200"/>
      <c r="CP919" s="200"/>
      <c r="CQ919" s="200"/>
      <c r="CR919" s="200"/>
      <c r="CS919" s="200"/>
      <c r="CT919" s="200"/>
      <c r="CU919" s="200"/>
    </row>
    <row r="920" spans="1:99" s="17" customFormat="1" x14ac:dyDescent="0.2">
      <c r="A920" s="25"/>
      <c r="B920" s="20">
        <v>39061004604</v>
      </c>
      <c r="C920" s="20">
        <v>46.04</v>
      </c>
      <c r="D920" s="20" t="s">
        <v>37</v>
      </c>
      <c r="E920" s="20" t="s">
        <v>2828</v>
      </c>
      <c r="F920" s="20" t="s">
        <v>8</v>
      </c>
      <c r="G920" s="861">
        <v>57.264299170492997</v>
      </c>
      <c r="H920" s="861">
        <v>67.278821496566493</v>
      </c>
      <c r="I920" s="861">
        <v>42.331472227982403</v>
      </c>
      <c r="J920" s="861">
        <v>49.633549082052703</v>
      </c>
      <c r="K920" s="982">
        <v>0</v>
      </c>
      <c r="L920" s="735">
        <v>3464</v>
      </c>
      <c r="M920" s="735">
        <v>3417</v>
      </c>
      <c r="N920" s="845">
        <f t="shared" si="83"/>
        <v>-1.3568129330254041E-2</v>
      </c>
      <c r="O920" s="735">
        <v>1.0697852199792532</v>
      </c>
      <c r="P920" s="735">
        <f t="shared" si="84"/>
        <v>3194.0990922142923</v>
      </c>
      <c r="Q920" s="849">
        <v>33.9</v>
      </c>
      <c r="R920" s="71">
        <v>56173</v>
      </c>
      <c r="S920" s="845">
        <v>0.16070381231671554</v>
      </c>
      <c r="T920" s="845">
        <v>2.4E-2</v>
      </c>
      <c r="U920" s="845">
        <v>0</v>
      </c>
      <c r="V920" s="845">
        <v>7.6999999999999999E-2</v>
      </c>
      <c r="W920" s="845">
        <v>0.3998832457676591</v>
      </c>
      <c r="X920" s="845">
        <v>0.40291970802919708</v>
      </c>
      <c r="Y920" s="845">
        <v>0.83465027802165648</v>
      </c>
      <c r="Z920" s="845">
        <v>8.4869768803043602E-2</v>
      </c>
      <c r="AA920" s="845">
        <v>8.7796312554872696E-4</v>
      </c>
      <c r="AB920" s="845">
        <v>2.2241732513901082E-2</v>
      </c>
      <c r="AC920" s="845">
        <v>0</v>
      </c>
      <c r="AD920" s="845">
        <v>1.2584138132865087E-2</v>
      </c>
      <c r="AE920" s="845">
        <v>4.4776119402985072E-2</v>
      </c>
      <c r="AF920" s="845">
        <v>2.0778460637986537E-2</v>
      </c>
      <c r="AG920" s="845">
        <v>0.83465027802165648</v>
      </c>
      <c r="AH920" s="20" t="str">
        <f t="shared" si="85"/>
        <v>No</v>
      </c>
      <c r="AI920" s="25"/>
      <c r="AJ920" s="20">
        <v>44455</v>
      </c>
      <c r="AK920" s="20" t="s">
        <v>1354</v>
      </c>
      <c r="AL920" s="20">
        <v>39029</v>
      </c>
      <c r="AM920" s="20" t="s">
        <v>21</v>
      </c>
      <c r="AN920" s="37" t="str">
        <f t="shared" si="86"/>
        <v>N/A</v>
      </c>
      <c r="AO920" s="37" t="str">
        <f t="shared" si="87"/>
        <v>N/A</v>
      </c>
      <c r="AP920" s="20" t="s">
        <v>8</v>
      </c>
      <c r="AQ920" s="25"/>
      <c r="AR920" s="25"/>
      <c r="AS920" s="25"/>
      <c r="AT920" s="25"/>
      <c r="AU920" s="36"/>
      <c r="AV920" s="36"/>
      <c r="AW920" s="36"/>
      <c r="AX920" s="25"/>
      <c r="AY920" s="25"/>
      <c r="AZ920" s="25"/>
      <c r="BA920" s="25"/>
      <c r="BB920" s="25"/>
      <c r="BC920" s="25"/>
      <c r="BD920" s="25"/>
      <c r="BE920" s="25"/>
      <c r="BF920" s="25"/>
      <c r="BG920" s="25"/>
      <c r="BH920" s="25"/>
      <c r="BI920" s="25"/>
      <c r="BJ920" s="25"/>
      <c r="BK920" s="25"/>
      <c r="BL920" s="25"/>
      <c r="BM920" s="25"/>
      <c r="BN920" s="25"/>
      <c r="BO920" s="25"/>
      <c r="BP920" s="25"/>
      <c r="BQ920" s="25"/>
      <c r="BR920" s="25"/>
      <c r="BS920" s="25"/>
      <c r="BT920" s="25"/>
      <c r="BU920" s="39">
        <v>43711</v>
      </c>
      <c r="BV920" s="39" t="s">
        <v>1020</v>
      </c>
      <c r="BW920" s="39" t="s">
        <v>2898</v>
      </c>
      <c r="BX920" s="39" t="s">
        <v>2899</v>
      </c>
      <c r="BY920" s="71">
        <v>740</v>
      </c>
      <c r="BZ920" s="71">
        <v>750</v>
      </c>
      <c r="CA920" s="71">
        <v>980</v>
      </c>
      <c r="CB920" s="71">
        <v>1250</v>
      </c>
      <c r="CC920" s="71">
        <v>1470</v>
      </c>
      <c r="CD920" s="25"/>
      <c r="CE920" s="200"/>
      <c r="CF920" s="200"/>
      <c r="CG920" s="200"/>
      <c r="CH920" s="200"/>
      <c r="CI920" s="200"/>
      <c r="CJ920" s="200"/>
      <c r="CK920" s="200"/>
      <c r="CL920" s="200"/>
      <c r="CM920" s="200"/>
      <c r="CN920" s="200"/>
      <c r="CO920" s="200"/>
      <c r="CP920" s="200"/>
      <c r="CQ920" s="200"/>
      <c r="CR920" s="200"/>
      <c r="CS920" s="200"/>
      <c r="CT920" s="200"/>
      <c r="CU920" s="200"/>
    </row>
    <row r="921" spans="1:99" s="17" customFormat="1" x14ac:dyDescent="0.2">
      <c r="A921" s="25"/>
      <c r="B921" s="20">
        <v>39049006931</v>
      </c>
      <c r="C921" s="20">
        <v>69.31</v>
      </c>
      <c r="D921" s="20" t="s">
        <v>31</v>
      </c>
      <c r="E921" s="20" t="s">
        <v>2830</v>
      </c>
      <c r="F921" s="20" t="s">
        <v>6</v>
      </c>
      <c r="G921" s="861">
        <v>57.254748153201298</v>
      </c>
      <c r="H921" s="861">
        <v>61.5747823595418</v>
      </c>
      <c r="I921" s="861">
        <v>37.584210959320103</v>
      </c>
      <c r="J921" s="861">
        <v>31.226965694367198</v>
      </c>
      <c r="K921" s="982">
        <v>0</v>
      </c>
      <c r="L921" s="735">
        <v>6637</v>
      </c>
      <c r="M921" s="735">
        <v>7220</v>
      </c>
      <c r="N921" s="845">
        <f t="shared" si="83"/>
        <v>8.7840891969263216E-2</v>
      </c>
      <c r="O921" s="735">
        <v>0.78017114912546837</v>
      </c>
      <c r="P921" s="735">
        <f t="shared" si="84"/>
        <v>9254.379642330081</v>
      </c>
      <c r="Q921" s="849">
        <v>32.299999999999997</v>
      </c>
      <c r="R921" s="71">
        <v>53543</v>
      </c>
      <c r="S921" s="845">
        <v>0.33031218529707956</v>
      </c>
      <c r="T921" s="845">
        <v>4.4000000000000004E-2</v>
      </c>
      <c r="U921" s="845">
        <v>0</v>
      </c>
      <c r="V921" s="845">
        <v>0</v>
      </c>
      <c r="W921" s="845">
        <v>0.69591078066914502</v>
      </c>
      <c r="X921" s="845">
        <v>0.35737179487179488</v>
      </c>
      <c r="Y921" s="845">
        <v>0.23614958448753462</v>
      </c>
      <c r="Z921" s="845">
        <v>0.49612188365650972</v>
      </c>
      <c r="AA921" s="845">
        <v>1.9806094182825484E-2</v>
      </c>
      <c r="AB921" s="845">
        <v>1.1218836565096953E-2</v>
      </c>
      <c r="AC921" s="845">
        <v>0</v>
      </c>
      <c r="AD921" s="845">
        <v>5.1246537396121887E-2</v>
      </c>
      <c r="AE921" s="845">
        <v>0.18545706371191137</v>
      </c>
      <c r="AF921" s="845">
        <v>0.22977839335180056</v>
      </c>
      <c r="AG921" s="845">
        <v>0.23614958448753462</v>
      </c>
      <c r="AH921" s="20" t="str">
        <f t="shared" si="85"/>
        <v>No</v>
      </c>
      <c r="AI921" s="25"/>
      <c r="AJ921" s="37">
        <v>44460</v>
      </c>
      <c r="AK921" s="37" t="s">
        <v>1355</v>
      </c>
      <c r="AL921" s="37">
        <v>39029</v>
      </c>
      <c r="AM921" s="37" t="s">
        <v>21</v>
      </c>
      <c r="AN921" s="37" t="str">
        <f t="shared" si="86"/>
        <v>N/A</v>
      </c>
      <c r="AO921" s="37" t="str">
        <f t="shared" si="87"/>
        <v>N/A</v>
      </c>
      <c r="AP921" s="20" t="s">
        <v>8</v>
      </c>
      <c r="AQ921" s="25"/>
      <c r="AR921" s="25"/>
      <c r="AS921" s="25"/>
      <c r="AT921" s="25"/>
      <c r="AU921" s="36"/>
      <c r="AV921" s="36"/>
      <c r="AW921" s="36"/>
      <c r="AX921" s="25"/>
      <c r="AY921" s="25"/>
      <c r="AZ921" s="25"/>
      <c r="BA921" s="25"/>
      <c r="BB921" s="25"/>
      <c r="BC921" s="25"/>
      <c r="BD921" s="25"/>
      <c r="BE921" s="25"/>
      <c r="BF921" s="25"/>
      <c r="BG921" s="25"/>
      <c r="BH921" s="25"/>
      <c r="BI921" s="25"/>
      <c r="BJ921" s="25"/>
      <c r="BK921" s="25"/>
      <c r="BL921" s="25"/>
      <c r="BM921" s="25"/>
      <c r="BN921" s="25"/>
      <c r="BO921" s="25"/>
      <c r="BP921" s="25"/>
      <c r="BQ921" s="25"/>
      <c r="BR921" s="25"/>
      <c r="BS921" s="25"/>
      <c r="BT921" s="25"/>
      <c r="BU921" s="39">
        <v>43717</v>
      </c>
      <c r="BV921" s="39" t="s">
        <v>1023</v>
      </c>
      <c r="BW921" s="39" t="s">
        <v>2898</v>
      </c>
      <c r="BX921" s="39" t="s">
        <v>2899</v>
      </c>
      <c r="BY921" s="71">
        <v>740</v>
      </c>
      <c r="BZ921" s="71">
        <v>740</v>
      </c>
      <c r="CA921" s="71">
        <v>970</v>
      </c>
      <c r="CB921" s="71">
        <v>1200</v>
      </c>
      <c r="CC921" s="71">
        <v>1370</v>
      </c>
      <c r="CD921" s="25"/>
      <c r="CE921" s="200"/>
      <c r="CF921" s="200"/>
      <c r="CG921" s="200"/>
      <c r="CH921" s="200"/>
      <c r="CI921" s="200"/>
      <c r="CJ921" s="200"/>
      <c r="CK921" s="200"/>
      <c r="CL921" s="200"/>
      <c r="CM921" s="200"/>
      <c r="CN921" s="200"/>
      <c r="CO921" s="200"/>
      <c r="CP921" s="200"/>
      <c r="CQ921" s="200"/>
      <c r="CR921" s="200"/>
      <c r="CS921" s="200"/>
      <c r="CT921" s="200"/>
      <c r="CU921" s="200"/>
    </row>
    <row r="922" spans="1:99" s="17" customFormat="1" x14ac:dyDescent="0.2">
      <c r="A922" s="25"/>
      <c r="B922" s="20">
        <v>39035105900</v>
      </c>
      <c r="C922" s="20">
        <v>1059</v>
      </c>
      <c r="D922" s="20" t="s">
        <v>24</v>
      </c>
      <c r="E922" s="20" t="s">
        <v>2829</v>
      </c>
      <c r="F922" s="20" t="s">
        <v>8</v>
      </c>
      <c r="G922" s="861">
        <v>57.250743682424897</v>
      </c>
      <c r="H922" s="861">
        <v>60.214884946691697</v>
      </c>
      <c r="I922" s="861">
        <v>38.462260271025698</v>
      </c>
      <c r="J922" s="861">
        <v>55.374289752192198</v>
      </c>
      <c r="K922" s="982">
        <v>0</v>
      </c>
      <c r="L922" s="735">
        <v>2926</v>
      </c>
      <c r="M922" s="735">
        <v>2584</v>
      </c>
      <c r="N922" s="845">
        <f t="shared" si="83"/>
        <v>-0.11688311688311688</v>
      </c>
      <c r="O922" s="735">
        <v>0.5960069832135253</v>
      </c>
      <c r="P922" s="735">
        <f t="shared" si="84"/>
        <v>4335.5196713764963</v>
      </c>
      <c r="Q922" s="849">
        <v>46.3</v>
      </c>
      <c r="R922" s="71">
        <v>70288</v>
      </c>
      <c r="S922" s="845">
        <v>9.9071207430340563E-2</v>
      </c>
      <c r="T922" s="845">
        <v>6.7000000000000004E-2</v>
      </c>
      <c r="U922" s="845">
        <v>3.4000000000000002E-2</v>
      </c>
      <c r="V922" s="845">
        <v>0.17899999999999999</v>
      </c>
      <c r="W922" s="845">
        <v>0.24689312344656172</v>
      </c>
      <c r="X922" s="845">
        <v>0.13758389261744966</v>
      </c>
      <c r="Y922" s="845">
        <v>0.8227554179566563</v>
      </c>
      <c r="Z922" s="845">
        <v>5.3405572755417956E-2</v>
      </c>
      <c r="AA922" s="845">
        <v>0</v>
      </c>
      <c r="AB922" s="845">
        <v>0</v>
      </c>
      <c r="AC922" s="845">
        <v>0</v>
      </c>
      <c r="AD922" s="845">
        <v>8.2043343653250778E-2</v>
      </c>
      <c r="AE922" s="845">
        <v>4.1795665634674919E-2</v>
      </c>
      <c r="AF922" s="845">
        <v>9.6362229102167185E-2</v>
      </c>
      <c r="AG922" s="845">
        <v>0.77321981424148611</v>
      </c>
      <c r="AH922" s="20" t="str">
        <f t="shared" si="85"/>
        <v>No</v>
      </c>
      <c r="AI922" s="25"/>
      <c r="AJ922" s="37">
        <v>44490</v>
      </c>
      <c r="AK922" s="37" t="s">
        <v>1363</v>
      </c>
      <c r="AL922" s="37">
        <v>39029</v>
      </c>
      <c r="AM922" s="37" t="s">
        <v>21</v>
      </c>
      <c r="AN922" s="37" t="str">
        <f t="shared" si="86"/>
        <v>N/A</v>
      </c>
      <c r="AO922" s="37" t="str">
        <f t="shared" si="87"/>
        <v>N/A</v>
      </c>
      <c r="AP922" s="20" t="s">
        <v>8</v>
      </c>
      <c r="AQ922" s="25"/>
      <c r="AR922" s="25"/>
      <c r="AS922" s="25"/>
      <c r="AT922" s="25"/>
      <c r="AU922" s="36"/>
      <c r="AV922" s="36"/>
      <c r="AW922" s="36"/>
      <c r="AX922" s="25"/>
      <c r="AY922" s="25"/>
      <c r="AZ922" s="25"/>
      <c r="BA922" s="25"/>
      <c r="BB922" s="25"/>
      <c r="BC922" s="25"/>
      <c r="BD922" s="25"/>
      <c r="BE922" s="25"/>
      <c r="BF922" s="25"/>
      <c r="BG922" s="25"/>
      <c r="BH922" s="25"/>
      <c r="BI922" s="25"/>
      <c r="BJ922" s="25"/>
      <c r="BK922" s="25"/>
      <c r="BL922" s="25"/>
      <c r="BM922" s="25"/>
      <c r="BN922" s="25"/>
      <c r="BO922" s="25"/>
      <c r="BP922" s="25"/>
      <c r="BQ922" s="25"/>
      <c r="BR922" s="25"/>
      <c r="BS922" s="25"/>
      <c r="BT922" s="25"/>
      <c r="BU922" s="39">
        <v>43779</v>
      </c>
      <c r="BV922" s="39" t="s">
        <v>1066</v>
      </c>
      <c r="BW922" s="39" t="s">
        <v>2898</v>
      </c>
      <c r="BX922" s="39" t="s">
        <v>2899</v>
      </c>
      <c r="BY922" s="71">
        <v>780</v>
      </c>
      <c r="BZ922" s="71">
        <v>780</v>
      </c>
      <c r="CA922" s="71">
        <v>1020</v>
      </c>
      <c r="CB922" s="71">
        <v>1290</v>
      </c>
      <c r="CC922" s="71">
        <v>1490</v>
      </c>
      <c r="CD922" s="25"/>
      <c r="CE922" s="200"/>
      <c r="CF922" s="200"/>
      <c r="CG922" s="200"/>
      <c r="CH922" s="200"/>
      <c r="CI922" s="200"/>
      <c r="CJ922" s="200"/>
      <c r="CK922" s="200"/>
      <c r="CL922" s="200"/>
      <c r="CM922" s="200"/>
      <c r="CN922" s="200"/>
      <c r="CO922" s="200"/>
      <c r="CP922" s="200"/>
      <c r="CQ922" s="200"/>
      <c r="CR922" s="200"/>
      <c r="CS922" s="200"/>
      <c r="CT922" s="200"/>
      <c r="CU922" s="200"/>
    </row>
    <row r="923" spans="1:99" s="17" customFormat="1" x14ac:dyDescent="0.2">
      <c r="A923" s="25"/>
      <c r="B923" s="20">
        <v>39113021601</v>
      </c>
      <c r="C923" s="20">
        <v>216.01</v>
      </c>
      <c r="D923" s="20" t="s">
        <v>62</v>
      </c>
      <c r="E923" s="20" t="s">
        <v>2833</v>
      </c>
      <c r="F923" s="20" t="s">
        <v>8</v>
      </c>
      <c r="G923" s="861">
        <v>57.243681138419902</v>
      </c>
      <c r="H923" s="861">
        <v>46.970720361523398</v>
      </c>
      <c r="I923" s="861">
        <v>25.7345170699646</v>
      </c>
      <c r="J923" s="861">
        <v>39.9839999998282</v>
      </c>
      <c r="K923" s="982">
        <v>0</v>
      </c>
      <c r="L923" s="735">
        <v>2174</v>
      </c>
      <c r="M923" s="735">
        <v>2014</v>
      </c>
      <c r="N923" s="845">
        <f t="shared" si="83"/>
        <v>-7.3597056117755286E-2</v>
      </c>
      <c r="O923" s="735">
        <v>0.8148404202519679</v>
      </c>
      <c r="P923" s="735">
        <f t="shared" si="84"/>
        <v>2471.6496014977065</v>
      </c>
      <c r="Q923" s="849">
        <v>43.4</v>
      </c>
      <c r="R923" s="71">
        <v>73750</v>
      </c>
      <c r="S923" s="845">
        <v>5.2790346907993967E-2</v>
      </c>
      <c r="T923" s="845">
        <v>0.06</v>
      </c>
      <c r="U923" s="845">
        <v>0</v>
      </c>
      <c r="V923" s="845">
        <v>0</v>
      </c>
      <c r="W923" s="845">
        <v>0.28445424476295478</v>
      </c>
      <c r="X923" s="845">
        <v>0.31782945736434109</v>
      </c>
      <c r="Y923" s="845">
        <v>0.91261171797418073</v>
      </c>
      <c r="Z923" s="845">
        <v>4.1708043694141016E-2</v>
      </c>
      <c r="AA923" s="845">
        <v>3.9721946375372392E-3</v>
      </c>
      <c r="AB923" s="845">
        <v>1.5888778550148957E-2</v>
      </c>
      <c r="AC923" s="845">
        <v>0</v>
      </c>
      <c r="AD923" s="845">
        <v>6.4548162859980138E-3</v>
      </c>
      <c r="AE923" s="845">
        <v>1.9364448857994043E-2</v>
      </c>
      <c r="AF923" s="845">
        <v>1.8867924528301886E-2</v>
      </c>
      <c r="AG923" s="845">
        <v>0.89721946375372397</v>
      </c>
      <c r="AH923" s="20" t="str">
        <f t="shared" si="85"/>
        <v>No</v>
      </c>
      <c r="AI923" s="25"/>
      <c r="AJ923" s="20">
        <v>44493</v>
      </c>
      <c r="AK923" s="20" t="s">
        <v>1365</v>
      </c>
      <c r="AL923" s="20">
        <v>39029</v>
      </c>
      <c r="AM923" s="20" t="s">
        <v>21</v>
      </c>
      <c r="AN923" s="37" t="str">
        <f t="shared" si="86"/>
        <v>N/A</v>
      </c>
      <c r="AO923" s="37" t="str">
        <f t="shared" si="87"/>
        <v>N/A</v>
      </c>
      <c r="AP923" s="20" t="s">
        <v>8</v>
      </c>
      <c r="AQ923" s="25"/>
      <c r="AR923" s="25"/>
      <c r="AS923" s="25"/>
      <c r="AT923" s="25"/>
      <c r="AU923" s="36"/>
      <c r="AV923" s="36"/>
      <c r="AW923" s="36"/>
      <c r="AX923" s="25"/>
      <c r="AY923" s="25"/>
      <c r="AZ923" s="25"/>
      <c r="BA923" s="25"/>
      <c r="BB923" s="25"/>
      <c r="BC923" s="25"/>
      <c r="BD923" s="25"/>
      <c r="BE923" s="25"/>
      <c r="BF923" s="25"/>
      <c r="BG923" s="25"/>
      <c r="BH923" s="25"/>
      <c r="BI923" s="25"/>
      <c r="BJ923" s="25"/>
      <c r="BK923" s="25"/>
      <c r="BL923" s="25"/>
      <c r="BM923" s="25"/>
      <c r="BN923" s="25"/>
      <c r="BO923" s="25"/>
      <c r="BP923" s="25"/>
      <c r="BQ923" s="25"/>
      <c r="BR923" s="25"/>
      <c r="BS923" s="25"/>
      <c r="BT923" s="25"/>
      <c r="BU923" s="39">
        <v>45727</v>
      </c>
      <c r="BV923" s="39" t="s">
        <v>1843</v>
      </c>
      <c r="BW923" s="39" t="s">
        <v>2898</v>
      </c>
      <c r="BX923" s="39" t="s">
        <v>2899</v>
      </c>
      <c r="BY923" s="71">
        <v>740</v>
      </c>
      <c r="BZ923" s="71">
        <v>740</v>
      </c>
      <c r="CA923" s="71">
        <v>970</v>
      </c>
      <c r="CB923" s="71">
        <v>1210</v>
      </c>
      <c r="CC923" s="71">
        <v>1380</v>
      </c>
      <c r="CD923" s="25"/>
      <c r="CE923" s="200"/>
      <c r="CF923" s="200"/>
      <c r="CG923" s="200"/>
      <c r="CH923" s="200"/>
      <c r="CI923" s="200"/>
      <c r="CJ923" s="200"/>
      <c r="CK923" s="200"/>
      <c r="CL923" s="200"/>
      <c r="CM923" s="200"/>
      <c r="CN923" s="200"/>
      <c r="CO923" s="200"/>
      <c r="CP923" s="200"/>
      <c r="CQ923" s="200"/>
      <c r="CR923" s="200"/>
      <c r="CS923" s="200"/>
      <c r="CT923" s="200"/>
      <c r="CU923" s="200"/>
    </row>
    <row r="924" spans="1:99" s="17" customFormat="1" x14ac:dyDescent="0.2">
      <c r="A924" s="25"/>
      <c r="B924" s="20">
        <v>39089757100</v>
      </c>
      <c r="C924" s="20">
        <v>7571</v>
      </c>
      <c r="D924" s="20" t="s">
        <v>50</v>
      </c>
      <c r="E924" s="20" t="s">
        <v>2830</v>
      </c>
      <c r="F924" s="20" t="s">
        <v>8</v>
      </c>
      <c r="G924" s="861">
        <v>57.2340525166547</v>
      </c>
      <c r="H924" s="861">
        <v>65.055419535510595</v>
      </c>
      <c r="I924" s="861">
        <v>23.315284882874099</v>
      </c>
      <c r="J924" s="861">
        <v>41.731891174592597</v>
      </c>
      <c r="K924" s="982">
        <v>0</v>
      </c>
      <c r="L924" s="735">
        <v>4030</v>
      </c>
      <c r="M924" s="735">
        <v>4235</v>
      </c>
      <c r="N924" s="845">
        <f t="shared" si="83"/>
        <v>5.0868486352357321E-2</v>
      </c>
      <c r="O924" s="735">
        <v>16.675432537024275</v>
      </c>
      <c r="P924" s="735">
        <f t="shared" si="84"/>
        <v>253.96642579417818</v>
      </c>
      <c r="Q924" s="849">
        <v>41.8</v>
      </c>
      <c r="R924" s="71">
        <v>102206</v>
      </c>
      <c r="S924" s="845">
        <v>6.5639810426540282E-2</v>
      </c>
      <c r="T924" s="845">
        <v>1.4999999999999999E-2</v>
      </c>
      <c r="U924" s="845">
        <v>0</v>
      </c>
      <c r="V924" s="845">
        <v>5.7999999999999996E-2</v>
      </c>
      <c r="W924" s="845">
        <v>7.6558265582655827E-2</v>
      </c>
      <c r="X924" s="845">
        <v>0.70796460176991149</v>
      </c>
      <c r="Y924" s="845">
        <v>0.93907910271546635</v>
      </c>
      <c r="Z924" s="845">
        <v>9.6812278630460449E-3</v>
      </c>
      <c r="AA924" s="845">
        <v>0</v>
      </c>
      <c r="AB924" s="845">
        <v>6.3754427390791029E-3</v>
      </c>
      <c r="AC924" s="845">
        <v>0</v>
      </c>
      <c r="AD924" s="845">
        <v>8.2644628099173556E-3</v>
      </c>
      <c r="AE924" s="845">
        <v>3.6599763872491142E-2</v>
      </c>
      <c r="AF924" s="845">
        <v>2.8571428571428571E-2</v>
      </c>
      <c r="AG924" s="845">
        <v>0.92609208972845336</v>
      </c>
      <c r="AH924" s="20" t="str">
        <f t="shared" si="85"/>
        <v>Yes</v>
      </c>
      <c r="AI924" s="25"/>
      <c r="AJ924" s="20">
        <v>44601</v>
      </c>
      <c r="AK924" s="20" t="s">
        <v>1379</v>
      </c>
      <c r="AL924" s="20">
        <v>39029</v>
      </c>
      <c r="AM924" s="20" t="s">
        <v>21</v>
      </c>
      <c r="AN924" s="37" t="str">
        <f t="shared" si="86"/>
        <v>N/A</v>
      </c>
      <c r="AO924" s="37" t="str">
        <f t="shared" si="87"/>
        <v>N/A</v>
      </c>
      <c r="AP924" s="20" t="s">
        <v>8</v>
      </c>
      <c r="AQ924" s="25"/>
      <c r="AR924" s="25"/>
      <c r="AS924" s="25"/>
      <c r="AT924" s="25"/>
      <c r="AU924" s="36"/>
      <c r="AV924" s="36"/>
      <c r="AW924" s="36"/>
      <c r="AX924" s="25"/>
      <c r="AY924" s="25"/>
      <c r="AZ924" s="25"/>
      <c r="BA924" s="25"/>
      <c r="BB924" s="25"/>
      <c r="BC924" s="25"/>
      <c r="BD924" s="25"/>
      <c r="BE924" s="25"/>
      <c r="BF924" s="25"/>
      <c r="BG924" s="25"/>
      <c r="BH924" s="25"/>
      <c r="BI924" s="25"/>
      <c r="BJ924" s="25"/>
      <c r="BK924" s="25"/>
      <c r="BL924" s="25"/>
      <c r="BM924" s="25"/>
      <c r="BN924" s="25"/>
      <c r="BO924" s="25"/>
      <c r="BP924" s="25"/>
      <c r="BQ924" s="25"/>
      <c r="BR924" s="25"/>
      <c r="BS924" s="25"/>
      <c r="BT924" s="25"/>
      <c r="BU924" s="39">
        <v>45746</v>
      </c>
      <c r="BV924" s="39" t="s">
        <v>1855</v>
      </c>
      <c r="BW924" s="39" t="s">
        <v>2898</v>
      </c>
      <c r="BX924" s="39" t="s">
        <v>2899</v>
      </c>
      <c r="BY924" s="71">
        <v>950</v>
      </c>
      <c r="BZ924" s="71">
        <v>960</v>
      </c>
      <c r="CA924" s="71">
        <v>1230</v>
      </c>
      <c r="CB924" s="71">
        <v>1640</v>
      </c>
      <c r="CC924" s="71">
        <v>1820</v>
      </c>
      <c r="CD924" s="25"/>
      <c r="CE924" s="200"/>
      <c r="CF924" s="200"/>
      <c r="CG924" s="200"/>
      <c r="CH924" s="200"/>
      <c r="CI924" s="200"/>
      <c r="CJ924" s="200"/>
      <c r="CK924" s="200"/>
      <c r="CL924" s="200"/>
      <c r="CM924" s="200"/>
      <c r="CN924" s="200"/>
      <c r="CO924" s="200"/>
      <c r="CP924" s="200"/>
      <c r="CQ924" s="200"/>
      <c r="CR924" s="200"/>
      <c r="CS924" s="200"/>
      <c r="CT924" s="200"/>
      <c r="CU924" s="200"/>
    </row>
    <row r="925" spans="1:99" s="17" customFormat="1" x14ac:dyDescent="0.2">
      <c r="A925" s="25"/>
      <c r="B925" s="20">
        <v>39091004600</v>
      </c>
      <c r="C925" s="20">
        <v>46</v>
      </c>
      <c r="D925" s="20" t="s">
        <v>51</v>
      </c>
      <c r="E925" s="20" t="s">
        <v>265</v>
      </c>
      <c r="F925" s="20" t="s">
        <v>8</v>
      </c>
      <c r="G925" s="861">
        <v>57.230991114888901</v>
      </c>
      <c r="H925" s="861">
        <v>42.242926913825997</v>
      </c>
      <c r="I925" s="861">
        <v>28.943652861674199</v>
      </c>
      <c r="J925" s="861">
        <v>45.8022020755581</v>
      </c>
      <c r="K925" s="982">
        <v>0</v>
      </c>
      <c r="L925" s="735">
        <v>4895</v>
      </c>
      <c r="M925" s="735">
        <v>5519</v>
      </c>
      <c r="N925" s="845">
        <f t="shared" si="83"/>
        <v>0.1274770173646578</v>
      </c>
      <c r="O925" s="735">
        <v>7.3903018805750431</v>
      </c>
      <c r="P925" s="735">
        <f t="shared" si="84"/>
        <v>746.78952080514523</v>
      </c>
      <c r="Q925" s="849">
        <v>41.9</v>
      </c>
      <c r="R925" s="71">
        <v>77663</v>
      </c>
      <c r="S925" s="845">
        <v>0.10029017047515415</v>
      </c>
      <c r="T925" s="845">
        <v>7.0999999999999994E-2</v>
      </c>
      <c r="U925" s="845">
        <v>0.03</v>
      </c>
      <c r="V925" s="845">
        <v>0</v>
      </c>
      <c r="W925" s="845">
        <v>0.20063694267515925</v>
      </c>
      <c r="X925" s="845">
        <v>0.28968253968253971</v>
      </c>
      <c r="Y925" s="845">
        <v>0.8900163073020475</v>
      </c>
      <c r="Z925" s="845">
        <v>5.0371444102192429E-2</v>
      </c>
      <c r="AA925" s="845">
        <v>4.7109983692697954E-3</v>
      </c>
      <c r="AB925" s="845">
        <v>2.536691429606813E-3</v>
      </c>
      <c r="AC925" s="845">
        <v>0</v>
      </c>
      <c r="AD925" s="845">
        <v>0</v>
      </c>
      <c r="AE925" s="845">
        <v>5.2364558796883495E-2</v>
      </c>
      <c r="AF925" s="845">
        <v>3.0983873890197501E-2</v>
      </c>
      <c r="AG925" s="845">
        <v>0.8900163073020475</v>
      </c>
      <c r="AH925" s="20" t="str">
        <f t="shared" si="85"/>
        <v>No</v>
      </c>
      <c r="AI925" s="25"/>
      <c r="AJ925" s="20">
        <v>44609</v>
      </c>
      <c r="AK925" s="20" t="s">
        <v>1383</v>
      </c>
      <c r="AL925" s="20">
        <v>39029</v>
      </c>
      <c r="AM925" s="20" t="s">
        <v>21</v>
      </c>
      <c r="AN925" s="37" t="str">
        <f t="shared" si="86"/>
        <v>N/A</v>
      </c>
      <c r="AO925" s="37" t="str">
        <f t="shared" si="87"/>
        <v>N/A</v>
      </c>
      <c r="AP925" s="20" t="s">
        <v>8</v>
      </c>
      <c r="AQ925" s="25"/>
      <c r="AR925" s="25"/>
      <c r="AS925" s="25"/>
      <c r="AT925" s="25"/>
      <c r="AU925" s="36"/>
      <c r="AV925" s="36"/>
      <c r="AW925" s="36"/>
      <c r="AX925" s="25"/>
      <c r="AY925" s="25"/>
      <c r="AZ925" s="25"/>
      <c r="BA925" s="25"/>
      <c r="BB925" s="25"/>
      <c r="BC925" s="25"/>
      <c r="BD925" s="25"/>
      <c r="BE925" s="25"/>
      <c r="BF925" s="25"/>
      <c r="BG925" s="25"/>
      <c r="BH925" s="25"/>
      <c r="BI925" s="25"/>
      <c r="BJ925" s="25"/>
      <c r="BK925" s="25"/>
      <c r="BL925" s="25"/>
      <c r="BM925" s="25"/>
      <c r="BN925" s="25"/>
      <c r="BO925" s="25"/>
      <c r="BP925" s="25"/>
      <c r="BQ925" s="25"/>
      <c r="BR925" s="25"/>
      <c r="BS925" s="25"/>
      <c r="BT925" s="25"/>
      <c r="BU925" s="39">
        <v>43408</v>
      </c>
      <c r="BV925" s="39" t="s">
        <v>910</v>
      </c>
      <c r="BW925" s="39" t="s">
        <v>2901</v>
      </c>
      <c r="BX925" s="39" t="s">
        <v>310</v>
      </c>
      <c r="BY925" s="71">
        <v>850</v>
      </c>
      <c r="BZ925" s="71">
        <v>900</v>
      </c>
      <c r="CA925" s="71">
        <v>1180</v>
      </c>
      <c r="CB925" s="71">
        <v>1460</v>
      </c>
      <c r="CC925" s="71">
        <v>1700</v>
      </c>
      <c r="CD925" s="25"/>
      <c r="CE925" s="200"/>
      <c r="CF925" s="200"/>
      <c r="CG925" s="200"/>
      <c r="CH925" s="200"/>
      <c r="CI925" s="200"/>
      <c r="CJ925" s="200"/>
      <c r="CK925" s="200"/>
      <c r="CL925" s="200"/>
      <c r="CM925" s="200"/>
      <c r="CN925" s="200"/>
      <c r="CO925" s="200"/>
      <c r="CP925" s="200"/>
      <c r="CQ925" s="200"/>
      <c r="CR925" s="200"/>
      <c r="CS925" s="200"/>
      <c r="CT925" s="200"/>
      <c r="CU925" s="200"/>
    </row>
    <row r="926" spans="1:99" s="17" customFormat="1" x14ac:dyDescent="0.2">
      <c r="A926" s="25"/>
      <c r="B926" s="20">
        <v>39049004810</v>
      </c>
      <c r="C926" s="20">
        <v>48.1</v>
      </c>
      <c r="D926" s="20" t="s">
        <v>31</v>
      </c>
      <c r="E926" s="20" t="s">
        <v>2830</v>
      </c>
      <c r="F926" s="20" t="s">
        <v>8</v>
      </c>
      <c r="G926" s="861">
        <v>57.224199845463403</v>
      </c>
      <c r="H926" s="861">
        <v>68.0181408230616</v>
      </c>
      <c r="I926" s="861">
        <v>41.523402386680303</v>
      </c>
      <c r="J926" s="861">
        <v>52.887386146435396</v>
      </c>
      <c r="K926" s="982">
        <v>0</v>
      </c>
      <c r="L926" s="735">
        <v>3321</v>
      </c>
      <c r="M926" s="735">
        <v>2459</v>
      </c>
      <c r="N926" s="845">
        <f t="shared" si="83"/>
        <v>-0.25956037338151161</v>
      </c>
      <c r="O926" s="735">
        <v>0.30502340800321281</v>
      </c>
      <c r="P926" s="735">
        <f t="shared" si="84"/>
        <v>8061.6763680448394</v>
      </c>
      <c r="Q926" s="849">
        <v>37.6</v>
      </c>
      <c r="R926" s="71">
        <v>61736</v>
      </c>
      <c r="S926" s="845">
        <v>0.16470109800732005</v>
      </c>
      <c r="T926" s="845">
        <v>0.06</v>
      </c>
      <c r="U926" s="845">
        <v>0</v>
      </c>
      <c r="V926" s="845">
        <v>0.114</v>
      </c>
      <c r="W926" s="845">
        <v>0.27671913835956918</v>
      </c>
      <c r="X926" s="845">
        <v>0.67964071856287422</v>
      </c>
      <c r="Y926" s="845">
        <v>0.76413176087840584</v>
      </c>
      <c r="Z926" s="845">
        <v>0.14070760471736479</v>
      </c>
      <c r="AA926" s="845">
        <v>0</v>
      </c>
      <c r="AB926" s="845">
        <v>2.0333468889792597E-3</v>
      </c>
      <c r="AC926" s="845">
        <v>0</v>
      </c>
      <c r="AD926" s="845">
        <v>0</v>
      </c>
      <c r="AE926" s="845">
        <v>9.3127287515250096E-2</v>
      </c>
      <c r="AF926" s="845">
        <v>4.8800325335502236E-2</v>
      </c>
      <c r="AG926" s="845">
        <v>0.75721838145587639</v>
      </c>
      <c r="AH926" s="20" t="str">
        <f t="shared" si="85"/>
        <v>No</v>
      </c>
      <c r="AI926" s="25"/>
      <c r="AJ926" s="20">
        <v>44619</v>
      </c>
      <c r="AK926" s="20" t="s">
        <v>1391</v>
      </c>
      <c r="AL926" s="20">
        <v>39029</v>
      </c>
      <c r="AM926" s="20" t="s">
        <v>21</v>
      </c>
      <c r="AN926" s="37" t="str">
        <f t="shared" si="86"/>
        <v>N/A</v>
      </c>
      <c r="AO926" s="37" t="str">
        <f t="shared" si="87"/>
        <v>N/A</v>
      </c>
      <c r="AP926" s="20" t="s">
        <v>8</v>
      </c>
      <c r="AQ926" s="25"/>
      <c r="AR926" s="25"/>
      <c r="AS926" s="25"/>
      <c r="AT926" s="25"/>
      <c r="AU926" s="36"/>
      <c r="AV926" s="36"/>
      <c r="AW926" s="36"/>
      <c r="AX926" s="25"/>
      <c r="AY926" s="25"/>
      <c r="AZ926" s="25"/>
      <c r="BA926" s="25"/>
      <c r="BB926" s="25"/>
      <c r="BC926" s="25"/>
      <c r="BD926" s="25"/>
      <c r="BE926" s="25"/>
      <c r="BF926" s="25"/>
      <c r="BG926" s="25"/>
      <c r="BH926" s="25"/>
      <c r="BI926" s="25"/>
      <c r="BJ926" s="25"/>
      <c r="BK926" s="25"/>
      <c r="BL926" s="25"/>
      <c r="BM926" s="25"/>
      <c r="BN926" s="25"/>
      <c r="BO926" s="25"/>
      <c r="BP926" s="25"/>
      <c r="BQ926" s="25"/>
      <c r="BR926" s="25"/>
      <c r="BS926" s="25"/>
      <c r="BT926" s="25"/>
      <c r="BU926" s="39">
        <v>43412</v>
      </c>
      <c r="BV926" s="39" t="s">
        <v>912</v>
      </c>
      <c r="BW926" s="39" t="s">
        <v>2901</v>
      </c>
      <c r="BX926" s="39" t="s">
        <v>310</v>
      </c>
      <c r="BY926" s="71">
        <v>950</v>
      </c>
      <c r="BZ926" s="71">
        <v>1000</v>
      </c>
      <c r="CA926" s="71">
        <v>1320</v>
      </c>
      <c r="CB926" s="71">
        <v>1640</v>
      </c>
      <c r="CC926" s="71">
        <v>1900</v>
      </c>
      <c r="CD926" s="25"/>
      <c r="CE926" s="200"/>
      <c r="CF926" s="200"/>
      <c r="CG926" s="200"/>
      <c r="CH926" s="200"/>
      <c r="CI926" s="200"/>
      <c r="CJ926" s="200"/>
      <c r="CK926" s="200"/>
      <c r="CL926" s="200"/>
      <c r="CM926" s="200"/>
      <c r="CN926" s="200"/>
      <c r="CO926" s="200"/>
      <c r="CP926" s="200"/>
      <c r="CQ926" s="200"/>
      <c r="CR926" s="200"/>
      <c r="CS926" s="200"/>
      <c r="CT926" s="200"/>
      <c r="CU926" s="200"/>
    </row>
    <row r="927" spans="1:99" s="17" customFormat="1" x14ac:dyDescent="0.2">
      <c r="A927" s="25"/>
      <c r="B927" s="20">
        <v>39049002760</v>
      </c>
      <c r="C927" s="20">
        <v>27.6</v>
      </c>
      <c r="D927" s="20" t="s">
        <v>31</v>
      </c>
      <c r="E927" s="20" t="s">
        <v>2830</v>
      </c>
      <c r="F927" s="20" t="s">
        <v>6</v>
      </c>
      <c r="G927" s="861">
        <v>57.222409888202399</v>
      </c>
      <c r="H927" s="861">
        <v>50.727357476455197</v>
      </c>
      <c r="I927" s="861">
        <v>39.717019928292203</v>
      </c>
      <c r="J927" s="861">
        <v>34.106797103407999</v>
      </c>
      <c r="K927" s="982">
        <v>0</v>
      </c>
      <c r="L927" s="735">
        <v>3420</v>
      </c>
      <c r="M927" s="735">
        <v>3273</v>
      </c>
      <c r="N927" s="845">
        <f t="shared" si="83"/>
        <v>-4.2982456140350879E-2</v>
      </c>
      <c r="O927" s="735">
        <v>0.50635097317106992</v>
      </c>
      <c r="P927" s="735">
        <f t="shared" si="84"/>
        <v>6463.8959406013064</v>
      </c>
      <c r="Q927" s="849">
        <v>40.700000000000003</v>
      </c>
      <c r="R927" s="71">
        <v>49617</v>
      </c>
      <c r="S927" s="845">
        <v>0.18484570730216926</v>
      </c>
      <c r="T927" s="845">
        <v>0.17399999999999999</v>
      </c>
      <c r="U927" s="845">
        <v>0</v>
      </c>
      <c r="V927" s="845">
        <v>0.05</v>
      </c>
      <c r="W927" s="845">
        <v>0.7055961070559611</v>
      </c>
      <c r="X927" s="845">
        <v>0.35862068965517241</v>
      </c>
      <c r="Y927" s="845">
        <v>0.44271310724106322</v>
      </c>
      <c r="Z927" s="845">
        <v>0.45432325084020775</v>
      </c>
      <c r="AA927" s="845">
        <v>7.6382523678582342E-3</v>
      </c>
      <c r="AB927" s="845">
        <v>0</v>
      </c>
      <c r="AC927" s="845">
        <v>0</v>
      </c>
      <c r="AD927" s="845">
        <v>1.8026275588145433E-2</v>
      </c>
      <c r="AE927" s="845">
        <v>7.7299113962725333E-2</v>
      </c>
      <c r="AF927" s="845">
        <v>1.4054384356859151E-2</v>
      </c>
      <c r="AG927" s="845">
        <v>0.43751909563091962</v>
      </c>
      <c r="AH927" s="20" t="str">
        <f t="shared" si="85"/>
        <v>No</v>
      </c>
      <c r="AI927" s="25"/>
      <c r="AJ927" s="20">
        <v>44625</v>
      </c>
      <c r="AK927" s="20" t="s">
        <v>1396</v>
      </c>
      <c r="AL927" s="20">
        <v>39029</v>
      </c>
      <c r="AM927" s="20" t="s">
        <v>21</v>
      </c>
      <c r="AN927" s="37" t="str">
        <f t="shared" si="86"/>
        <v>N/A</v>
      </c>
      <c r="AO927" s="37" t="str">
        <f t="shared" si="87"/>
        <v>N/A</v>
      </c>
      <c r="AP927" s="20" t="s">
        <v>8</v>
      </c>
      <c r="AQ927" s="25"/>
      <c r="AR927" s="25"/>
      <c r="AS927" s="25"/>
      <c r="AT927" s="25"/>
      <c r="AU927" s="36"/>
      <c r="AV927" s="36"/>
      <c r="AW927" s="36"/>
      <c r="AX927" s="25"/>
      <c r="AY927" s="25"/>
      <c r="AZ927" s="25"/>
      <c r="BA927" s="25"/>
      <c r="BB927" s="25"/>
      <c r="BC927" s="25"/>
      <c r="BD927" s="25"/>
      <c r="BE927" s="25"/>
      <c r="BF927" s="25"/>
      <c r="BG927" s="25"/>
      <c r="BH927" s="25"/>
      <c r="BI927" s="25"/>
      <c r="BJ927" s="25"/>
      <c r="BK927" s="25"/>
      <c r="BL927" s="25"/>
      <c r="BM927" s="25"/>
      <c r="BN927" s="25"/>
      <c r="BO927" s="25"/>
      <c r="BP927" s="25"/>
      <c r="BQ927" s="25"/>
      <c r="BR927" s="25"/>
      <c r="BS927" s="25"/>
      <c r="BT927" s="25"/>
      <c r="BU927" s="39">
        <v>43416</v>
      </c>
      <c r="BV927" s="39" t="s">
        <v>915</v>
      </c>
      <c r="BW927" s="39" t="s">
        <v>2901</v>
      </c>
      <c r="BX927" s="39" t="s">
        <v>310</v>
      </c>
      <c r="BY927" s="71">
        <v>770</v>
      </c>
      <c r="BZ927" s="71">
        <v>810</v>
      </c>
      <c r="CA927" s="71">
        <v>1060</v>
      </c>
      <c r="CB927" s="71">
        <v>1270</v>
      </c>
      <c r="CC927" s="71">
        <v>1610</v>
      </c>
      <c r="CD927" s="25"/>
      <c r="CE927" s="200"/>
      <c r="CF927" s="200"/>
      <c r="CG927" s="200"/>
      <c r="CH927" s="200"/>
      <c r="CI927" s="200"/>
      <c r="CJ927" s="200"/>
      <c r="CK927" s="200"/>
      <c r="CL927" s="200"/>
      <c r="CM927" s="200"/>
      <c r="CN927" s="200"/>
      <c r="CO927" s="200"/>
      <c r="CP927" s="200"/>
      <c r="CQ927" s="200"/>
      <c r="CR927" s="200"/>
      <c r="CS927" s="200"/>
      <c r="CT927" s="200"/>
      <c r="CU927" s="200"/>
    </row>
    <row r="928" spans="1:99" s="17" customFormat="1" x14ac:dyDescent="0.2">
      <c r="A928" s="25"/>
      <c r="B928" s="20">
        <v>39119911202</v>
      </c>
      <c r="C928" s="20">
        <v>9112.02</v>
      </c>
      <c r="D928" s="20" t="s">
        <v>65</v>
      </c>
      <c r="E928" s="20" t="s">
        <v>265</v>
      </c>
      <c r="F928" s="20" t="s">
        <v>8</v>
      </c>
      <c r="G928" s="861">
        <v>57.201095700050303</v>
      </c>
      <c r="H928" s="861">
        <v>67.468882418726693</v>
      </c>
      <c r="I928" s="861">
        <v>19.036676004470699</v>
      </c>
      <c r="J928" s="861">
        <v>76.120964982362096</v>
      </c>
      <c r="K928" s="982">
        <v>0</v>
      </c>
      <c r="L928" s="735" t="s">
        <v>2466</v>
      </c>
      <c r="M928" s="735">
        <v>4118</v>
      </c>
      <c r="N928" s="845" t="str">
        <f t="shared" si="83"/>
        <v/>
      </c>
      <c r="O928" s="735">
        <v>30.017604598192538</v>
      </c>
      <c r="P928" s="735">
        <f t="shared" si="84"/>
        <v>137.18616309070708</v>
      </c>
      <c r="Q928" s="849">
        <v>39.4</v>
      </c>
      <c r="R928" s="71">
        <v>114389</v>
      </c>
      <c r="S928" s="845">
        <v>8.031151131662205E-2</v>
      </c>
      <c r="T928" s="845">
        <v>6.9999999999999993E-3</v>
      </c>
      <c r="U928" s="845">
        <v>0</v>
      </c>
      <c r="V928" s="845">
        <v>0</v>
      </c>
      <c r="W928" s="845">
        <v>0.14002932551319647</v>
      </c>
      <c r="X928" s="845">
        <v>0.26178010471204188</v>
      </c>
      <c r="Y928" s="845">
        <v>0.97644487615347253</v>
      </c>
      <c r="Z928" s="845">
        <v>6.0709082078678972E-3</v>
      </c>
      <c r="AA928" s="845">
        <v>0</v>
      </c>
      <c r="AB928" s="845">
        <v>0</v>
      </c>
      <c r="AC928" s="845">
        <v>0</v>
      </c>
      <c r="AD928" s="845">
        <v>0</v>
      </c>
      <c r="AE928" s="845">
        <v>1.7484215638659543E-2</v>
      </c>
      <c r="AF928" s="845">
        <v>4.8567265662943174E-4</v>
      </c>
      <c r="AG928" s="845">
        <v>0.97644487615347253</v>
      </c>
      <c r="AH928" s="20" t="str">
        <f t="shared" si="85"/>
        <v>Yes</v>
      </c>
      <c r="AI928" s="25"/>
      <c r="AJ928" s="20">
        <v>44634</v>
      </c>
      <c r="AK928" s="20" t="s">
        <v>1404</v>
      </c>
      <c r="AL928" s="20">
        <v>39029</v>
      </c>
      <c r="AM928" s="20" t="s">
        <v>21</v>
      </c>
      <c r="AN928" s="37" t="str">
        <f t="shared" si="86"/>
        <v>N/A</v>
      </c>
      <c r="AO928" s="37" t="str">
        <f t="shared" si="87"/>
        <v>N/A</v>
      </c>
      <c r="AP928" s="20" t="s">
        <v>8</v>
      </c>
      <c r="AQ928" s="25"/>
      <c r="AR928" s="25"/>
      <c r="AS928" s="25"/>
      <c r="AT928" s="25"/>
      <c r="AU928" s="36"/>
      <c r="AV928" s="36"/>
      <c r="AW928" s="36"/>
      <c r="AX928" s="25"/>
      <c r="AY928" s="25"/>
      <c r="AZ928" s="25"/>
      <c r="BA928" s="25"/>
      <c r="BB928" s="25"/>
      <c r="BC928" s="25"/>
      <c r="BD928" s="25"/>
      <c r="BE928" s="25"/>
      <c r="BF928" s="25"/>
      <c r="BG928" s="25"/>
      <c r="BH928" s="25"/>
      <c r="BI928" s="25"/>
      <c r="BJ928" s="25"/>
      <c r="BK928" s="25"/>
      <c r="BL928" s="25"/>
      <c r="BM928" s="25"/>
      <c r="BN928" s="25"/>
      <c r="BO928" s="25"/>
      <c r="BP928" s="25"/>
      <c r="BQ928" s="25"/>
      <c r="BR928" s="25"/>
      <c r="BS928" s="25"/>
      <c r="BT928" s="25"/>
      <c r="BU928" s="39">
        <v>43420</v>
      </c>
      <c r="BV928" s="39" t="s">
        <v>916</v>
      </c>
      <c r="BW928" s="39" t="s">
        <v>2901</v>
      </c>
      <c r="BX928" s="39" t="s">
        <v>310</v>
      </c>
      <c r="BY928" s="71">
        <v>680</v>
      </c>
      <c r="BZ928" s="71">
        <v>810</v>
      </c>
      <c r="CA928" s="71">
        <v>990</v>
      </c>
      <c r="CB928" s="71">
        <v>1240</v>
      </c>
      <c r="CC928" s="71">
        <v>1340</v>
      </c>
      <c r="CD928" s="25"/>
      <c r="CE928" s="200"/>
      <c r="CF928" s="200"/>
      <c r="CG928" s="200"/>
      <c r="CH928" s="200"/>
      <c r="CI928" s="200"/>
      <c r="CJ928" s="200"/>
      <c r="CK928" s="200"/>
      <c r="CL928" s="200"/>
      <c r="CM928" s="200"/>
      <c r="CN928" s="200"/>
      <c r="CO928" s="200"/>
      <c r="CP928" s="200"/>
      <c r="CQ928" s="200"/>
      <c r="CR928" s="200"/>
      <c r="CS928" s="200"/>
      <c r="CT928" s="200"/>
      <c r="CU928" s="200"/>
    </row>
    <row r="929" spans="1:99" s="17" customFormat="1" x14ac:dyDescent="0.2">
      <c r="A929" s="25"/>
      <c r="B929" s="20">
        <v>39059977700</v>
      </c>
      <c r="C929" s="20">
        <v>9777</v>
      </c>
      <c r="D929" s="20" t="s">
        <v>36</v>
      </c>
      <c r="E929" s="20" t="s">
        <v>265</v>
      </c>
      <c r="F929" s="20" t="s">
        <v>8</v>
      </c>
      <c r="G929" s="861">
        <v>57.198979348581503</v>
      </c>
      <c r="H929" s="861">
        <v>41.3853639043054</v>
      </c>
      <c r="I929" s="861">
        <v>22.020948011934799</v>
      </c>
      <c r="J929" s="861">
        <v>53.7607745035817</v>
      </c>
      <c r="K929" s="982">
        <v>0</v>
      </c>
      <c r="L929" s="735">
        <v>3681</v>
      </c>
      <c r="M929" s="735">
        <v>3623</v>
      </c>
      <c r="N929" s="845">
        <f t="shared" si="83"/>
        <v>-1.5756587883727247E-2</v>
      </c>
      <c r="O929" s="735">
        <v>65.776335938468847</v>
      </c>
      <c r="P929" s="735">
        <f t="shared" si="84"/>
        <v>55.080599250605459</v>
      </c>
      <c r="Q929" s="849">
        <v>50.6</v>
      </c>
      <c r="R929" s="71">
        <v>72054</v>
      </c>
      <c r="S929" s="845">
        <v>6.3199105145413867E-2</v>
      </c>
      <c r="T929" s="845">
        <v>0.115</v>
      </c>
      <c r="U929" s="845">
        <v>3.0000000000000001E-3</v>
      </c>
      <c r="V929" s="845">
        <v>0.121</v>
      </c>
      <c r="W929" s="845">
        <v>0.19682726204465334</v>
      </c>
      <c r="X929" s="845">
        <v>0.25970149253731345</v>
      </c>
      <c r="Y929" s="845">
        <v>0.92796025393320458</v>
      </c>
      <c r="Z929" s="845">
        <v>9.1084736406293124E-3</v>
      </c>
      <c r="AA929" s="845">
        <v>0</v>
      </c>
      <c r="AB929" s="845">
        <v>3.3673751035053823E-2</v>
      </c>
      <c r="AC929" s="845">
        <v>0</v>
      </c>
      <c r="AD929" s="845">
        <v>3.5881865857024567E-3</v>
      </c>
      <c r="AE929" s="845">
        <v>2.566933480540988E-2</v>
      </c>
      <c r="AF929" s="845">
        <v>1.9044990339497653E-2</v>
      </c>
      <c r="AG929" s="845">
        <v>0.92023185205630698</v>
      </c>
      <c r="AH929" s="20" t="str">
        <f t="shared" si="85"/>
        <v>Yes</v>
      </c>
      <c r="AI929" s="25"/>
      <c r="AJ929" s="20">
        <v>44657</v>
      </c>
      <c r="AK929" s="20" t="s">
        <v>1420</v>
      </c>
      <c r="AL929" s="20">
        <v>39029</v>
      </c>
      <c r="AM929" s="20" t="s">
        <v>21</v>
      </c>
      <c r="AN929" s="37" t="str">
        <f t="shared" si="86"/>
        <v>N/A</v>
      </c>
      <c r="AO929" s="37" t="str">
        <f t="shared" si="87"/>
        <v>N/A</v>
      </c>
      <c r="AP929" s="20" t="s">
        <v>8</v>
      </c>
      <c r="AQ929" s="25"/>
      <c r="AR929" s="25"/>
      <c r="AS929" s="25"/>
      <c r="AT929" s="25"/>
      <c r="AU929" s="36"/>
      <c r="AV929" s="36"/>
      <c r="AW929" s="36"/>
      <c r="AX929" s="25"/>
      <c r="AY929" s="25"/>
      <c r="AZ929" s="25"/>
      <c r="BA929" s="25"/>
      <c r="BB929" s="25"/>
      <c r="BC929" s="25"/>
      <c r="BD929" s="25"/>
      <c r="BE929" s="25"/>
      <c r="BF929" s="25"/>
      <c r="BG929" s="25"/>
      <c r="BH929" s="25"/>
      <c r="BI929" s="25"/>
      <c r="BJ929" s="25"/>
      <c r="BK929" s="25"/>
      <c r="BL929" s="25"/>
      <c r="BM929" s="25"/>
      <c r="BN929" s="25"/>
      <c r="BO929" s="25"/>
      <c r="BP929" s="25"/>
      <c r="BQ929" s="25"/>
      <c r="BR929" s="25"/>
      <c r="BS929" s="25"/>
      <c r="BT929" s="25"/>
      <c r="BU929" s="39">
        <v>43430</v>
      </c>
      <c r="BV929" s="39" t="s">
        <v>917</v>
      </c>
      <c r="BW929" s="39" t="s">
        <v>2901</v>
      </c>
      <c r="BX929" s="39" t="s">
        <v>310</v>
      </c>
      <c r="BY929" s="71">
        <v>750</v>
      </c>
      <c r="BZ929" s="71">
        <v>790</v>
      </c>
      <c r="CA929" s="71">
        <v>1030</v>
      </c>
      <c r="CB929" s="71">
        <v>1250</v>
      </c>
      <c r="CC929" s="71">
        <v>1570</v>
      </c>
      <c r="CD929" s="25"/>
      <c r="CE929" s="200"/>
      <c r="CF929" s="200"/>
      <c r="CG929" s="200"/>
      <c r="CH929" s="200"/>
      <c r="CI929" s="200"/>
      <c r="CJ929" s="200"/>
      <c r="CK929" s="200"/>
      <c r="CL929" s="200"/>
      <c r="CM929" s="200"/>
      <c r="CN929" s="200"/>
      <c r="CO929" s="200"/>
      <c r="CP929" s="200"/>
      <c r="CQ929" s="200"/>
      <c r="CR929" s="200"/>
      <c r="CS929" s="200"/>
      <c r="CT929" s="200"/>
      <c r="CU929" s="200"/>
    </row>
    <row r="930" spans="1:99" s="17" customFormat="1" x14ac:dyDescent="0.2">
      <c r="A930" s="25"/>
      <c r="B930" s="20">
        <v>39093097401</v>
      </c>
      <c r="C930" s="20">
        <v>974.01</v>
      </c>
      <c r="D930" s="20" t="s">
        <v>52</v>
      </c>
      <c r="E930" s="20" t="s">
        <v>2829</v>
      </c>
      <c r="F930" s="20" t="s">
        <v>8</v>
      </c>
      <c r="G930" s="861">
        <v>57.141385907190603</v>
      </c>
      <c r="H930" s="861">
        <v>52.8178763152249</v>
      </c>
      <c r="I930" s="861">
        <v>31.456496907688301</v>
      </c>
      <c r="J930" s="861">
        <v>35.058332540759302</v>
      </c>
      <c r="K930" s="982">
        <v>0</v>
      </c>
      <c r="L930" s="735" t="s">
        <v>2466</v>
      </c>
      <c r="M930" s="735">
        <v>5646</v>
      </c>
      <c r="N930" s="845" t="str">
        <f t="shared" si="83"/>
        <v/>
      </c>
      <c r="O930" s="735">
        <v>2.6331414316801633</v>
      </c>
      <c r="P930" s="735">
        <f t="shared" si="84"/>
        <v>2144.2068899418678</v>
      </c>
      <c r="Q930" s="849">
        <v>49.8</v>
      </c>
      <c r="R930" s="71">
        <v>132113</v>
      </c>
      <c r="S930" s="845">
        <v>4.2153737159050658E-2</v>
      </c>
      <c r="T930" s="845">
        <v>2.2000000000000002E-2</v>
      </c>
      <c r="U930" s="845">
        <v>6.0000000000000001E-3</v>
      </c>
      <c r="V930" s="845">
        <v>0</v>
      </c>
      <c r="W930" s="845">
        <v>1.3780431786862656E-2</v>
      </c>
      <c r="X930" s="845">
        <v>0</v>
      </c>
      <c r="Y930" s="845">
        <v>0.95554374778604323</v>
      </c>
      <c r="Z930" s="845">
        <v>0</v>
      </c>
      <c r="AA930" s="845">
        <v>0</v>
      </c>
      <c r="AB930" s="845">
        <v>1.8597236981934114E-2</v>
      </c>
      <c r="AC930" s="845">
        <v>0</v>
      </c>
      <c r="AD930" s="845">
        <v>1.7711654268508677E-2</v>
      </c>
      <c r="AE930" s="845">
        <v>8.1473609635139919E-3</v>
      </c>
      <c r="AF930" s="845">
        <v>1.7711654268508677E-2</v>
      </c>
      <c r="AG930" s="845">
        <v>0.95554374778604323</v>
      </c>
      <c r="AH930" s="20" t="str">
        <f t="shared" si="85"/>
        <v>Yes</v>
      </c>
      <c r="AI930" s="25"/>
      <c r="AJ930" s="37">
        <v>44665</v>
      </c>
      <c r="AK930" s="37" t="s">
        <v>1426</v>
      </c>
      <c r="AL930" s="37">
        <v>39029</v>
      </c>
      <c r="AM930" s="37" t="s">
        <v>21</v>
      </c>
      <c r="AN930" s="37" t="str">
        <f t="shared" si="86"/>
        <v>N/A</v>
      </c>
      <c r="AO930" s="37" t="str">
        <f t="shared" si="87"/>
        <v>N/A</v>
      </c>
      <c r="AP930" s="20" t="s">
        <v>8</v>
      </c>
      <c r="AQ930" s="25"/>
      <c r="AR930" s="25"/>
      <c r="AS930" s="25"/>
      <c r="AT930" s="25"/>
      <c r="AU930" s="36"/>
      <c r="AV930" s="36"/>
      <c r="AW930" s="36"/>
      <c r="AX930" s="25"/>
      <c r="AY930" s="25"/>
      <c r="AZ930" s="25"/>
      <c r="BA930" s="25"/>
      <c r="BB930" s="25"/>
      <c r="BC930" s="25"/>
      <c r="BD930" s="25"/>
      <c r="BE930" s="25"/>
      <c r="BF930" s="25"/>
      <c r="BG930" s="25"/>
      <c r="BH930" s="25"/>
      <c r="BI930" s="25"/>
      <c r="BJ930" s="25"/>
      <c r="BK930" s="25"/>
      <c r="BL930" s="25"/>
      <c r="BM930" s="25"/>
      <c r="BN930" s="25"/>
      <c r="BO930" s="25"/>
      <c r="BP930" s="25"/>
      <c r="BQ930" s="25"/>
      <c r="BR930" s="25"/>
      <c r="BS930" s="25"/>
      <c r="BT930" s="25"/>
      <c r="BU930" s="39">
        <v>43432</v>
      </c>
      <c r="BV930" s="39" t="s">
        <v>919</v>
      </c>
      <c r="BW930" s="39" t="s">
        <v>2901</v>
      </c>
      <c r="BX930" s="39" t="s">
        <v>310</v>
      </c>
      <c r="BY930" s="71">
        <v>770</v>
      </c>
      <c r="BZ930" s="71">
        <v>810</v>
      </c>
      <c r="CA930" s="71">
        <v>1060</v>
      </c>
      <c r="CB930" s="71">
        <v>1270</v>
      </c>
      <c r="CC930" s="71">
        <v>1620</v>
      </c>
      <c r="CD930" s="25"/>
      <c r="CE930" s="200"/>
      <c r="CF930" s="200"/>
      <c r="CG930" s="200"/>
      <c r="CH930" s="200"/>
      <c r="CI930" s="200"/>
      <c r="CJ930" s="200"/>
      <c r="CK930" s="200"/>
      <c r="CL930" s="200"/>
      <c r="CM930" s="200"/>
      <c r="CN930" s="200"/>
      <c r="CO930" s="200"/>
      <c r="CP930" s="200"/>
      <c r="CQ930" s="200"/>
      <c r="CR930" s="200"/>
      <c r="CS930" s="200"/>
      <c r="CT930" s="200"/>
      <c r="CU930" s="200"/>
    </row>
    <row r="931" spans="1:99" s="17" customFormat="1" x14ac:dyDescent="0.2">
      <c r="A931" s="25"/>
      <c r="B931" s="20">
        <v>39155933002</v>
      </c>
      <c r="C931" s="20">
        <v>9330.02</v>
      </c>
      <c r="D931" s="20" t="s">
        <v>83</v>
      </c>
      <c r="E931" s="20" t="s">
        <v>2842</v>
      </c>
      <c r="F931" s="20" t="s">
        <v>8</v>
      </c>
      <c r="G931" s="861">
        <v>57.1261779983124</v>
      </c>
      <c r="H931" s="861">
        <v>59.367903583270298</v>
      </c>
      <c r="I931" s="861">
        <v>23.234357399098101</v>
      </c>
      <c r="J931" s="861">
        <v>38.995438731167603</v>
      </c>
      <c r="K931" s="982">
        <v>0</v>
      </c>
      <c r="L931" s="735">
        <v>4319</v>
      </c>
      <c r="M931" s="735">
        <v>4037</v>
      </c>
      <c r="N931" s="845">
        <f t="shared" si="83"/>
        <v>-6.5292891873118777E-2</v>
      </c>
      <c r="O931" s="735">
        <v>3.7019525159132876</v>
      </c>
      <c r="P931" s="735">
        <f t="shared" si="84"/>
        <v>1090.5056136313124</v>
      </c>
      <c r="Q931" s="849">
        <v>50.4</v>
      </c>
      <c r="R931" s="71">
        <v>72021</v>
      </c>
      <c r="S931" s="845">
        <v>2.3202447730749618E-2</v>
      </c>
      <c r="T931" s="845">
        <v>1.3000000000000001E-2</v>
      </c>
      <c r="U931" s="845">
        <v>0</v>
      </c>
      <c r="V931" s="845">
        <v>9.8000000000000004E-2</v>
      </c>
      <c r="W931" s="845">
        <v>0.24437467294610152</v>
      </c>
      <c r="X931" s="845">
        <v>0.3340471092077088</v>
      </c>
      <c r="Y931" s="845">
        <v>0.90810007431260842</v>
      </c>
      <c r="Z931" s="845">
        <v>3.8394847659152839E-2</v>
      </c>
      <c r="AA931" s="845">
        <v>0</v>
      </c>
      <c r="AB931" s="845">
        <v>1.0156056477582363E-2</v>
      </c>
      <c r="AC931" s="845">
        <v>0</v>
      </c>
      <c r="AD931" s="845">
        <v>1.3871686896210057E-2</v>
      </c>
      <c r="AE931" s="845">
        <v>2.9477334654446369E-2</v>
      </c>
      <c r="AF931" s="845">
        <v>6.1927173643794896E-3</v>
      </c>
      <c r="AG931" s="845">
        <v>0.90265048303195439</v>
      </c>
      <c r="AH931" s="20" t="str">
        <f t="shared" si="85"/>
        <v>Yes</v>
      </c>
      <c r="AI931" s="25"/>
      <c r="AJ931" s="20">
        <v>43006</v>
      </c>
      <c r="AK931" s="20" t="s">
        <v>733</v>
      </c>
      <c r="AL931" s="20">
        <v>39031</v>
      </c>
      <c r="AM931" s="20" t="s">
        <v>22</v>
      </c>
      <c r="AN931" s="37" t="str">
        <f t="shared" si="86"/>
        <v>N/A</v>
      </c>
      <c r="AO931" s="37" t="str">
        <f t="shared" si="87"/>
        <v>N/A</v>
      </c>
      <c r="AP931" s="20" t="s">
        <v>8</v>
      </c>
      <c r="AQ931" s="25"/>
      <c r="AR931" s="25"/>
      <c r="AS931" s="25"/>
      <c r="AT931" s="25"/>
      <c r="AU931" s="36"/>
      <c r="AV931" s="36"/>
      <c r="AW931" s="36"/>
      <c r="AX931" s="25"/>
      <c r="AY931" s="25"/>
      <c r="AZ931" s="25"/>
      <c r="BA931" s="25"/>
      <c r="BB931" s="25"/>
      <c r="BC931" s="25"/>
      <c r="BD931" s="25"/>
      <c r="BE931" s="25"/>
      <c r="BF931" s="25"/>
      <c r="BG931" s="25"/>
      <c r="BH931" s="25"/>
      <c r="BI931" s="25"/>
      <c r="BJ931" s="25"/>
      <c r="BK931" s="25"/>
      <c r="BL931" s="25"/>
      <c r="BM931" s="25"/>
      <c r="BN931" s="25"/>
      <c r="BO931" s="25"/>
      <c r="BP931" s="25"/>
      <c r="BQ931" s="25"/>
      <c r="BR931" s="25"/>
      <c r="BS931" s="25"/>
      <c r="BT931" s="25"/>
      <c r="BU931" s="39">
        <v>43433</v>
      </c>
      <c r="BV931" s="39" t="s">
        <v>920</v>
      </c>
      <c r="BW931" s="39" t="s">
        <v>2901</v>
      </c>
      <c r="BX931" s="39" t="s">
        <v>310</v>
      </c>
      <c r="BY931" s="71">
        <v>810</v>
      </c>
      <c r="BZ931" s="71">
        <v>850</v>
      </c>
      <c r="CA931" s="71">
        <v>1110</v>
      </c>
      <c r="CB931" s="71">
        <v>1330</v>
      </c>
      <c r="CC931" s="71">
        <v>1700</v>
      </c>
      <c r="CD931" s="25"/>
      <c r="CE931" s="200"/>
      <c r="CF931" s="200"/>
      <c r="CG931" s="200"/>
      <c r="CH931" s="200"/>
      <c r="CI931" s="200"/>
      <c r="CJ931" s="200"/>
      <c r="CK931" s="200"/>
      <c r="CL931" s="200"/>
      <c r="CM931" s="200"/>
      <c r="CN931" s="200"/>
      <c r="CO931" s="200"/>
      <c r="CP931" s="200"/>
      <c r="CQ931" s="200"/>
      <c r="CR931" s="200"/>
      <c r="CS931" s="200"/>
      <c r="CT931" s="200"/>
      <c r="CU931" s="200"/>
    </row>
    <row r="932" spans="1:99" s="17" customFormat="1" x14ac:dyDescent="0.2">
      <c r="A932" s="25"/>
      <c r="B932" s="20">
        <v>39103415400</v>
      </c>
      <c r="C932" s="20">
        <v>4154</v>
      </c>
      <c r="D932" s="20" t="s">
        <v>57</v>
      </c>
      <c r="E932" s="20" t="s">
        <v>2829</v>
      </c>
      <c r="F932" s="20" t="s">
        <v>8</v>
      </c>
      <c r="G932" s="861">
        <v>57.122840325065802</v>
      </c>
      <c r="H932" s="861">
        <v>60.233380368407801</v>
      </c>
      <c r="I932" s="861">
        <v>22.200765975876099</v>
      </c>
      <c r="J932" s="861">
        <v>47.139934646262603</v>
      </c>
      <c r="K932" s="982">
        <v>0</v>
      </c>
      <c r="L932" s="735">
        <v>4726</v>
      </c>
      <c r="M932" s="735">
        <v>4263</v>
      </c>
      <c r="N932" s="845">
        <f t="shared" si="83"/>
        <v>-9.7968683876428264E-2</v>
      </c>
      <c r="O932" s="735">
        <v>1.5844868106363623</v>
      </c>
      <c r="P932" s="735">
        <f t="shared" si="84"/>
        <v>2690.4610195448026</v>
      </c>
      <c r="Q932" s="849">
        <v>46.4</v>
      </c>
      <c r="R932" s="71">
        <v>92917</v>
      </c>
      <c r="S932" s="845">
        <v>9.1730038022813681E-2</v>
      </c>
      <c r="T932" s="845">
        <v>1.3000000000000001E-2</v>
      </c>
      <c r="U932" s="845">
        <v>0</v>
      </c>
      <c r="V932" s="845">
        <v>0</v>
      </c>
      <c r="W932" s="845">
        <v>0.17583046964490265</v>
      </c>
      <c r="X932" s="845">
        <v>0.37785016286644951</v>
      </c>
      <c r="Y932" s="845">
        <v>0.90523105794041758</v>
      </c>
      <c r="Z932" s="845">
        <v>8.9139103917429043E-3</v>
      </c>
      <c r="AA932" s="845">
        <v>0</v>
      </c>
      <c r="AB932" s="845">
        <v>2.3457658925639222E-3</v>
      </c>
      <c r="AC932" s="845">
        <v>0</v>
      </c>
      <c r="AD932" s="845">
        <v>2.1581046211588083E-2</v>
      </c>
      <c r="AE932" s="845">
        <v>6.1928219563687541E-2</v>
      </c>
      <c r="AF932" s="845">
        <v>2.6507154585972321E-2</v>
      </c>
      <c r="AG932" s="845">
        <v>0.89889749003049491</v>
      </c>
      <c r="AH932" s="20" t="str">
        <f t="shared" si="85"/>
        <v>No</v>
      </c>
      <c r="AI932" s="25"/>
      <c r="AJ932" s="20">
        <v>43014</v>
      </c>
      <c r="AK932" s="20" t="s">
        <v>740</v>
      </c>
      <c r="AL932" s="20">
        <v>39031</v>
      </c>
      <c r="AM932" s="20" t="s">
        <v>22</v>
      </c>
      <c r="AN932" s="37" t="str">
        <f t="shared" si="86"/>
        <v>N/A</v>
      </c>
      <c r="AO932" s="37" t="str">
        <f t="shared" si="87"/>
        <v>N/A</v>
      </c>
      <c r="AP932" s="20" t="s">
        <v>8</v>
      </c>
      <c r="AQ932" s="25"/>
      <c r="AR932" s="25"/>
      <c r="AS932" s="25"/>
      <c r="AT932" s="25"/>
      <c r="AU932" s="36"/>
      <c r="AV932" s="36"/>
      <c r="AW932" s="36"/>
      <c r="AX932" s="25"/>
      <c r="AY932" s="25"/>
      <c r="AZ932" s="25"/>
      <c r="BA932" s="25"/>
      <c r="BB932" s="25"/>
      <c r="BC932" s="25"/>
      <c r="BD932" s="25"/>
      <c r="BE932" s="25"/>
      <c r="BF932" s="25"/>
      <c r="BG932" s="25"/>
      <c r="BH932" s="25"/>
      <c r="BI932" s="25"/>
      <c r="BJ932" s="25"/>
      <c r="BK932" s="25"/>
      <c r="BL932" s="25"/>
      <c r="BM932" s="25"/>
      <c r="BN932" s="25"/>
      <c r="BO932" s="25"/>
      <c r="BP932" s="25"/>
      <c r="BQ932" s="25"/>
      <c r="BR932" s="25"/>
      <c r="BS932" s="25"/>
      <c r="BT932" s="25"/>
      <c r="BU932" s="39">
        <v>43436</v>
      </c>
      <c r="BV932" s="39" t="s">
        <v>923</v>
      </c>
      <c r="BW932" s="39" t="s">
        <v>2901</v>
      </c>
      <c r="BX932" s="39" t="s">
        <v>310</v>
      </c>
      <c r="BY932" s="71">
        <v>810</v>
      </c>
      <c r="BZ932" s="71">
        <v>850</v>
      </c>
      <c r="CA932" s="71">
        <v>1110</v>
      </c>
      <c r="CB932" s="71">
        <v>1330</v>
      </c>
      <c r="CC932" s="71">
        <v>1700</v>
      </c>
      <c r="CD932" s="25"/>
      <c r="CE932" s="200"/>
      <c r="CF932" s="200"/>
      <c r="CG932" s="200"/>
      <c r="CH932" s="200"/>
      <c r="CI932" s="200"/>
      <c r="CJ932" s="200"/>
      <c r="CK932" s="200"/>
      <c r="CL932" s="200"/>
      <c r="CM932" s="200"/>
      <c r="CN932" s="200"/>
      <c r="CO932" s="200"/>
      <c r="CP932" s="200"/>
      <c r="CQ932" s="200"/>
      <c r="CR932" s="200"/>
      <c r="CS932" s="200"/>
      <c r="CT932" s="200"/>
      <c r="CU932" s="200"/>
    </row>
    <row r="933" spans="1:99" s="17" customFormat="1" x14ac:dyDescent="0.2">
      <c r="A933" s="25"/>
      <c r="B933" s="20">
        <v>39035189110</v>
      </c>
      <c r="C933" s="20">
        <v>1891.1</v>
      </c>
      <c r="D933" s="20" t="s">
        <v>24</v>
      </c>
      <c r="E933" s="20" t="s">
        <v>2829</v>
      </c>
      <c r="F933" s="20" t="s">
        <v>8</v>
      </c>
      <c r="G933" s="861">
        <v>57.122004070766003</v>
      </c>
      <c r="H933" s="861">
        <v>57.418519197656003</v>
      </c>
      <c r="I933" s="861">
        <v>38.791355315034302</v>
      </c>
      <c r="J933" s="861">
        <v>52.088993456426103</v>
      </c>
      <c r="K933" s="982">
        <v>0</v>
      </c>
      <c r="L933" s="735">
        <v>4377</v>
      </c>
      <c r="M933" s="735">
        <v>4560</v>
      </c>
      <c r="N933" s="845">
        <f t="shared" si="83"/>
        <v>4.1809458533241944E-2</v>
      </c>
      <c r="O933" s="735">
        <v>2.4075878865714175</v>
      </c>
      <c r="P933" s="735">
        <f t="shared" si="84"/>
        <v>1894.0118553652369</v>
      </c>
      <c r="Q933" s="849">
        <v>40.4</v>
      </c>
      <c r="R933" s="71">
        <v>80682</v>
      </c>
      <c r="S933" s="845">
        <v>4.3018173452956061E-2</v>
      </c>
      <c r="T933" s="845">
        <v>6.2E-2</v>
      </c>
      <c r="U933" s="845">
        <v>0</v>
      </c>
      <c r="V933" s="845">
        <v>9.0000000000000011E-3</v>
      </c>
      <c r="W933" s="845">
        <v>0.54952215464813203</v>
      </c>
      <c r="X933" s="845">
        <v>0.41976284584980239</v>
      </c>
      <c r="Y933" s="845">
        <v>0.87960526315789478</v>
      </c>
      <c r="Z933" s="845">
        <v>3.1798245614035089E-2</v>
      </c>
      <c r="AA933" s="845">
        <v>0</v>
      </c>
      <c r="AB933" s="845">
        <v>5.7236842105263155E-2</v>
      </c>
      <c r="AC933" s="845">
        <v>0</v>
      </c>
      <c r="AD933" s="845">
        <v>2.4122807017543861E-3</v>
      </c>
      <c r="AE933" s="845">
        <v>2.8947368421052631E-2</v>
      </c>
      <c r="AF933" s="845">
        <v>2.5877192982456141E-2</v>
      </c>
      <c r="AG933" s="845">
        <v>0.85614035087719298</v>
      </c>
      <c r="AH933" s="20" t="str">
        <f t="shared" si="85"/>
        <v>No</v>
      </c>
      <c r="AI933" s="25"/>
      <c r="AJ933" s="20">
        <v>43749</v>
      </c>
      <c r="AK933" s="20" t="s">
        <v>1047</v>
      </c>
      <c r="AL933" s="20">
        <v>39031</v>
      </c>
      <c r="AM933" s="20" t="s">
        <v>22</v>
      </c>
      <c r="AN933" s="37" t="str">
        <f t="shared" si="86"/>
        <v>N/A</v>
      </c>
      <c r="AO933" s="37" t="str">
        <f t="shared" si="87"/>
        <v>N/A</v>
      </c>
      <c r="AP933" s="20" t="s">
        <v>8</v>
      </c>
      <c r="AQ933" s="25"/>
      <c r="AR933" s="25"/>
      <c r="AS933" s="25"/>
      <c r="AT933" s="25"/>
      <c r="AU933" s="36"/>
      <c r="AV933" s="36"/>
      <c r="AW933" s="36"/>
      <c r="AX933" s="25"/>
      <c r="AY933" s="25"/>
      <c r="AZ933" s="25"/>
      <c r="BA933" s="25"/>
      <c r="BB933" s="25"/>
      <c r="BC933" s="25"/>
      <c r="BD933" s="25"/>
      <c r="BE933" s="25"/>
      <c r="BF933" s="25"/>
      <c r="BG933" s="25"/>
      <c r="BH933" s="25"/>
      <c r="BI933" s="25"/>
      <c r="BJ933" s="25"/>
      <c r="BK933" s="25"/>
      <c r="BL933" s="25"/>
      <c r="BM933" s="25"/>
      <c r="BN933" s="25"/>
      <c r="BO933" s="25"/>
      <c r="BP933" s="25"/>
      <c r="BQ933" s="25"/>
      <c r="BR933" s="25"/>
      <c r="BS933" s="25"/>
      <c r="BT933" s="25"/>
      <c r="BU933" s="39">
        <v>43439</v>
      </c>
      <c r="BV933" s="39" t="s">
        <v>926</v>
      </c>
      <c r="BW933" s="39" t="s">
        <v>2901</v>
      </c>
      <c r="BX933" s="39" t="s">
        <v>310</v>
      </c>
      <c r="BY933" s="71">
        <v>800</v>
      </c>
      <c r="BZ933" s="71">
        <v>840</v>
      </c>
      <c r="CA933" s="71">
        <v>1100</v>
      </c>
      <c r="CB933" s="71">
        <v>1320</v>
      </c>
      <c r="CC933" s="71">
        <v>1690</v>
      </c>
      <c r="CD933" s="25"/>
      <c r="CE933" s="200"/>
      <c r="CF933" s="200"/>
      <c r="CG933" s="200"/>
      <c r="CH933" s="200"/>
      <c r="CI933" s="200"/>
      <c r="CJ933" s="200"/>
      <c r="CK933" s="200"/>
      <c r="CL933" s="200"/>
      <c r="CM933" s="200"/>
      <c r="CN933" s="200"/>
      <c r="CO933" s="200"/>
      <c r="CP933" s="200"/>
      <c r="CQ933" s="200"/>
      <c r="CR933" s="200"/>
      <c r="CS933" s="200"/>
      <c r="CT933" s="200"/>
      <c r="CU933" s="200"/>
    </row>
    <row r="934" spans="1:99" s="17" customFormat="1" x14ac:dyDescent="0.2">
      <c r="A934" s="25"/>
      <c r="B934" s="20">
        <v>39043040100</v>
      </c>
      <c r="C934" s="20">
        <v>401</v>
      </c>
      <c r="D934" s="20" t="s">
        <v>28</v>
      </c>
      <c r="E934" s="20" t="s">
        <v>2837</v>
      </c>
      <c r="F934" s="20" t="s">
        <v>8</v>
      </c>
      <c r="G934" s="861">
        <v>57.121761856266403</v>
      </c>
      <c r="H934" s="861">
        <v>45.179127925807997</v>
      </c>
      <c r="I934" s="861">
        <v>27.1359960019014</v>
      </c>
      <c r="J934" s="861">
        <v>45.099362807587397</v>
      </c>
      <c r="K934" s="982">
        <v>0</v>
      </c>
      <c r="L934" s="735">
        <v>5830</v>
      </c>
      <c r="M934" s="735">
        <v>5348</v>
      </c>
      <c r="N934" s="845">
        <f t="shared" si="83"/>
        <v>-8.267581475128645E-2</v>
      </c>
      <c r="O934" s="735">
        <v>3.7246070600687045</v>
      </c>
      <c r="P934" s="735">
        <f t="shared" si="84"/>
        <v>1435.8561624756601</v>
      </c>
      <c r="Q934" s="849">
        <v>45.8</v>
      </c>
      <c r="R934" s="71">
        <v>91774</v>
      </c>
      <c r="S934" s="845">
        <v>3.7810383747178329E-2</v>
      </c>
      <c r="T934" s="845">
        <v>3.3000000000000002E-2</v>
      </c>
      <c r="U934" s="845">
        <v>0</v>
      </c>
      <c r="V934" s="845">
        <v>0</v>
      </c>
      <c r="W934" s="845">
        <v>0.27214101461736889</v>
      </c>
      <c r="X934" s="845">
        <v>0.19747235387045814</v>
      </c>
      <c r="Y934" s="845">
        <v>0.97251308900523559</v>
      </c>
      <c r="Z934" s="845">
        <v>0</v>
      </c>
      <c r="AA934" s="845">
        <v>0</v>
      </c>
      <c r="AB934" s="845">
        <v>2.9917726252804786E-3</v>
      </c>
      <c r="AC934" s="845">
        <v>0</v>
      </c>
      <c r="AD934" s="845">
        <v>2.0568436798803292E-3</v>
      </c>
      <c r="AE934" s="845">
        <v>2.243829468960359E-2</v>
      </c>
      <c r="AF934" s="845">
        <v>4.7307404637247571E-2</v>
      </c>
      <c r="AG934" s="845">
        <v>0.93474195961106954</v>
      </c>
      <c r="AH934" s="20" t="str">
        <f t="shared" si="85"/>
        <v>Yes</v>
      </c>
      <c r="AI934" s="25"/>
      <c r="AJ934" s="37">
        <v>43804</v>
      </c>
      <c r="AK934" s="37" t="s">
        <v>1076</v>
      </c>
      <c r="AL934" s="37">
        <v>39031</v>
      </c>
      <c r="AM934" s="37" t="s">
        <v>22</v>
      </c>
      <c r="AN934" s="37" t="str">
        <f t="shared" si="86"/>
        <v>N/A</v>
      </c>
      <c r="AO934" s="37" t="str">
        <f t="shared" si="87"/>
        <v>N/A</v>
      </c>
      <c r="AP934" s="20" t="s">
        <v>8</v>
      </c>
      <c r="AQ934" s="25"/>
      <c r="AR934" s="25"/>
      <c r="AS934" s="25"/>
      <c r="AT934" s="25"/>
      <c r="AU934" s="36"/>
      <c r="AV934" s="36"/>
      <c r="AW934" s="36"/>
      <c r="AX934" s="25"/>
      <c r="AY934" s="25"/>
      <c r="AZ934" s="25"/>
      <c r="BA934" s="25"/>
      <c r="BB934" s="25"/>
      <c r="BC934" s="25"/>
      <c r="BD934" s="25"/>
      <c r="BE934" s="25"/>
      <c r="BF934" s="25"/>
      <c r="BG934" s="25"/>
      <c r="BH934" s="25"/>
      <c r="BI934" s="25"/>
      <c r="BJ934" s="25"/>
      <c r="BK934" s="25"/>
      <c r="BL934" s="25"/>
      <c r="BM934" s="25"/>
      <c r="BN934" s="25"/>
      <c r="BO934" s="25"/>
      <c r="BP934" s="25"/>
      <c r="BQ934" s="25"/>
      <c r="BR934" s="25"/>
      <c r="BS934" s="25"/>
      <c r="BT934" s="25"/>
      <c r="BU934" s="39">
        <v>43440</v>
      </c>
      <c r="BV934" s="39" t="s">
        <v>927</v>
      </c>
      <c r="BW934" s="39" t="s">
        <v>2901</v>
      </c>
      <c r="BX934" s="39" t="s">
        <v>310</v>
      </c>
      <c r="BY934" s="71">
        <v>860</v>
      </c>
      <c r="BZ934" s="71">
        <v>900</v>
      </c>
      <c r="CA934" s="71">
        <v>1180</v>
      </c>
      <c r="CB934" s="71">
        <v>1410</v>
      </c>
      <c r="CC934" s="71">
        <v>1810</v>
      </c>
      <c r="CD934" s="25"/>
      <c r="CE934" s="200"/>
      <c r="CF934" s="200"/>
      <c r="CG934" s="200"/>
      <c r="CH934" s="200"/>
      <c r="CI934" s="200"/>
      <c r="CJ934" s="200"/>
      <c r="CK934" s="200"/>
      <c r="CL934" s="200"/>
      <c r="CM934" s="200"/>
      <c r="CN934" s="200"/>
      <c r="CO934" s="200"/>
      <c r="CP934" s="200"/>
      <c r="CQ934" s="200"/>
      <c r="CR934" s="200"/>
      <c r="CS934" s="200"/>
      <c r="CT934" s="200"/>
      <c r="CU934" s="200"/>
    </row>
    <row r="935" spans="1:99" s="17" customFormat="1" x14ac:dyDescent="0.2">
      <c r="A935" s="25"/>
      <c r="B935" s="20">
        <v>39025040403</v>
      </c>
      <c r="C935" s="20">
        <v>404.03</v>
      </c>
      <c r="D935" s="20" t="s">
        <v>19</v>
      </c>
      <c r="E935" s="20" t="s">
        <v>2828</v>
      </c>
      <c r="F935" s="20" t="s">
        <v>8</v>
      </c>
      <c r="G935" s="861">
        <v>57.119510944275099</v>
      </c>
      <c r="H935" s="861">
        <v>52.6016599875854</v>
      </c>
      <c r="I935" s="861">
        <v>39.867891279138902</v>
      </c>
      <c r="J935" s="861">
        <v>59.214404643597703</v>
      </c>
      <c r="K935" s="982">
        <v>1</v>
      </c>
      <c r="L935" s="735">
        <v>2791</v>
      </c>
      <c r="M935" s="735">
        <v>2809</v>
      </c>
      <c r="N935" s="845">
        <f t="shared" si="83"/>
        <v>6.4493013256897167E-3</v>
      </c>
      <c r="O935" s="735">
        <v>1.3034820457148739</v>
      </c>
      <c r="P935" s="735">
        <f t="shared" si="84"/>
        <v>2154.9970781986867</v>
      </c>
      <c r="Q935" s="849">
        <v>33.299999999999997</v>
      </c>
      <c r="R935" s="71">
        <v>74805</v>
      </c>
      <c r="S935" s="845">
        <v>0.10857956568173727</v>
      </c>
      <c r="T935" s="845">
        <v>6.0000000000000001E-3</v>
      </c>
      <c r="U935" s="845">
        <v>0</v>
      </c>
      <c r="V935" s="845">
        <v>0</v>
      </c>
      <c r="W935" s="845">
        <v>0.38724168912848156</v>
      </c>
      <c r="X935" s="845">
        <v>0.49651972157772623</v>
      </c>
      <c r="Y935" s="845">
        <v>0.91242435030259883</v>
      </c>
      <c r="Z935" s="845">
        <v>2.5631897472410112E-2</v>
      </c>
      <c r="AA935" s="845">
        <v>0</v>
      </c>
      <c r="AB935" s="845">
        <v>0</v>
      </c>
      <c r="AC935" s="845">
        <v>0</v>
      </c>
      <c r="AD935" s="845">
        <v>5.6247775008899964E-2</v>
      </c>
      <c r="AE935" s="845">
        <v>5.6959772160911359E-3</v>
      </c>
      <c r="AF935" s="845">
        <v>4.4499822000711994E-2</v>
      </c>
      <c r="AG935" s="845">
        <v>0.87397650409398364</v>
      </c>
      <c r="AH935" s="20" t="str">
        <f t="shared" si="85"/>
        <v>No</v>
      </c>
      <c r="AI935" s="25"/>
      <c r="AJ935" s="37">
        <v>43805</v>
      </c>
      <c r="AK935" s="37" t="s">
        <v>1077</v>
      </c>
      <c r="AL935" s="37">
        <v>39031</v>
      </c>
      <c r="AM935" s="37" t="s">
        <v>22</v>
      </c>
      <c r="AN935" s="37" t="str">
        <f t="shared" si="86"/>
        <v>N/A</v>
      </c>
      <c r="AO935" s="37" t="str">
        <f t="shared" si="87"/>
        <v>N/A</v>
      </c>
      <c r="AP935" s="20" t="s">
        <v>8</v>
      </c>
      <c r="AQ935" s="25"/>
      <c r="AR935" s="25"/>
      <c r="AS935" s="25"/>
      <c r="AT935" s="25"/>
      <c r="AU935" s="36"/>
      <c r="AV935" s="36"/>
      <c r="AW935" s="36"/>
      <c r="AX935" s="25"/>
      <c r="AY935" s="25"/>
      <c r="AZ935" s="25"/>
      <c r="BA935" s="25"/>
      <c r="BB935" s="25"/>
      <c r="BC935" s="25"/>
      <c r="BD935" s="25"/>
      <c r="BE935" s="25"/>
      <c r="BF935" s="25"/>
      <c r="BG935" s="25"/>
      <c r="BH935" s="25"/>
      <c r="BI935" s="25"/>
      <c r="BJ935" s="25"/>
      <c r="BK935" s="25"/>
      <c r="BL935" s="25"/>
      <c r="BM935" s="25"/>
      <c r="BN935" s="25"/>
      <c r="BO935" s="25"/>
      <c r="BP935" s="25"/>
      <c r="BQ935" s="25"/>
      <c r="BR935" s="25"/>
      <c r="BS935" s="25"/>
      <c r="BT935" s="25"/>
      <c r="BU935" s="39">
        <v>43442</v>
      </c>
      <c r="BV935" s="39" t="s">
        <v>928</v>
      </c>
      <c r="BW935" s="39" t="s">
        <v>2901</v>
      </c>
      <c r="BX935" s="39" t="s">
        <v>310</v>
      </c>
      <c r="BY935" s="71">
        <v>670</v>
      </c>
      <c r="BZ935" s="71">
        <v>800</v>
      </c>
      <c r="CA935" s="71">
        <v>970</v>
      </c>
      <c r="CB935" s="71">
        <v>1210</v>
      </c>
      <c r="CC935" s="71">
        <v>1310</v>
      </c>
      <c r="CD935" s="25"/>
      <c r="CE935" s="200"/>
      <c r="CF935" s="200"/>
      <c r="CG935" s="200"/>
      <c r="CH935" s="200"/>
      <c r="CI935" s="200"/>
      <c r="CJ935" s="200"/>
      <c r="CK935" s="200"/>
      <c r="CL935" s="200"/>
      <c r="CM935" s="200"/>
      <c r="CN935" s="200"/>
      <c r="CO935" s="200"/>
      <c r="CP935" s="200"/>
      <c r="CQ935" s="200"/>
      <c r="CR935" s="200"/>
      <c r="CS935" s="200"/>
      <c r="CT935" s="200"/>
      <c r="CU935" s="200"/>
    </row>
    <row r="936" spans="1:99" s="17" customFormat="1" x14ac:dyDescent="0.2">
      <c r="A936" s="25"/>
      <c r="B936" s="20">
        <v>39017010910</v>
      </c>
      <c r="C936" s="20">
        <v>109.1</v>
      </c>
      <c r="D936" s="20" t="s">
        <v>15</v>
      </c>
      <c r="E936" s="20" t="s">
        <v>2828</v>
      </c>
      <c r="F936" s="20" t="s">
        <v>8</v>
      </c>
      <c r="G936" s="861">
        <v>57.117462902007702</v>
      </c>
      <c r="H936" s="861">
        <v>61.054933901962997</v>
      </c>
      <c r="I936" s="861">
        <v>28.639062349223298</v>
      </c>
      <c r="J936" s="861">
        <v>43.456681622268498</v>
      </c>
      <c r="K936" s="982">
        <v>0</v>
      </c>
      <c r="L936" s="735">
        <v>4475</v>
      </c>
      <c r="M936" s="735">
        <v>4567</v>
      </c>
      <c r="N936" s="845">
        <f t="shared" si="83"/>
        <v>2.0558659217877095E-2</v>
      </c>
      <c r="O936" s="735">
        <v>1.9958921741922593</v>
      </c>
      <c r="P936" s="735">
        <f t="shared" si="84"/>
        <v>2288.1997630198998</v>
      </c>
      <c r="Q936" s="849">
        <v>42.3</v>
      </c>
      <c r="R936" s="71">
        <v>86811</v>
      </c>
      <c r="S936" s="845">
        <v>4.7126183659986789E-2</v>
      </c>
      <c r="T936" s="845">
        <v>1.3999999999999999E-2</v>
      </c>
      <c r="U936" s="845">
        <v>0</v>
      </c>
      <c r="V936" s="845">
        <v>8.900000000000001E-2</v>
      </c>
      <c r="W936" s="845">
        <v>0.19607843137254902</v>
      </c>
      <c r="X936" s="845">
        <v>0.49142857142857144</v>
      </c>
      <c r="Y936" s="845">
        <v>0.75388657762207134</v>
      </c>
      <c r="Z936" s="845">
        <v>0.12634114298226407</v>
      </c>
      <c r="AA936" s="845">
        <v>0</v>
      </c>
      <c r="AB936" s="845">
        <v>0.10838624917889206</v>
      </c>
      <c r="AC936" s="845">
        <v>0</v>
      </c>
      <c r="AD936" s="845">
        <v>9.1964090212393254E-3</v>
      </c>
      <c r="AE936" s="845">
        <v>2.1896211955331727E-3</v>
      </c>
      <c r="AF936" s="845">
        <v>2.102036347711846E-2</v>
      </c>
      <c r="AG936" s="845">
        <v>0.73921611561199907</v>
      </c>
      <c r="AH936" s="20" t="str">
        <f t="shared" si="85"/>
        <v>No</v>
      </c>
      <c r="AI936" s="25"/>
      <c r="AJ936" s="37">
        <v>43811</v>
      </c>
      <c r="AK936" s="37" t="s">
        <v>1078</v>
      </c>
      <c r="AL936" s="37">
        <v>39031</v>
      </c>
      <c r="AM936" s="37" t="s">
        <v>22</v>
      </c>
      <c r="AN936" s="37" t="str">
        <f t="shared" si="86"/>
        <v>N/A</v>
      </c>
      <c r="AO936" s="37" t="str">
        <f t="shared" si="87"/>
        <v>N/A</v>
      </c>
      <c r="AP936" s="20" t="s">
        <v>8</v>
      </c>
      <c r="AQ936" s="25"/>
      <c r="AR936" s="25"/>
      <c r="AS936" s="25"/>
      <c r="AT936" s="25"/>
      <c r="AU936" s="36"/>
      <c r="AV936" s="36"/>
      <c r="AW936" s="36"/>
      <c r="AX936" s="25"/>
      <c r="AY936" s="25"/>
      <c r="AZ936" s="25"/>
      <c r="BA936" s="25"/>
      <c r="BB936" s="25"/>
      <c r="BC936" s="25"/>
      <c r="BD936" s="25"/>
      <c r="BE936" s="25"/>
      <c r="BF936" s="25"/>
      <c r="BG936" s="25"/>
      <c r="BH936" s="25"/>
      <c r="BI936" s="25"/>
      <c r="BJ936" s="25"/>
      <c r="BK936" s="25"/>
      <c r="BL936" s="25"/>
      <c r="BM936" s="25"/>
      <c r="BN936" s="25"/>
      <c r="BO936" s="25"/>
      <c r="BP936" s="25"/>
      <c r="BQ936" s="25"/>
      <c r="BR936" s="25"/>
      <c r="BS936" s="25"/>
      <c r="BT936" s="25"/>
      <c r="BU936" s="39">
        <v>43445</v>
      </c>
      <c r="BV936" s="39" t="s">
        <v>930</v>
      </c>
      <c r="BW936" s="39" t="s">
        <v>2901</v>
      </c>
      <c r="BX936" s="39" t="s">
        <v>310</v>
      </c>
      <c r="BY936" s="71">
        <v>870</v>
      </c>
      <c r="BZ936" s="71">
        <v>920</v>
      </c>
      <c r="CA936" s="71">
        <v>1200</v>
      </c>
      <c r="CB936" s="71">
        <v>1480</v>
      </c>
      <c r="CC936" s="71">
        <v>1770</v>
      </c>
      <c r="CD936" s="25"/>
      <c r="CE936" s="200"/>
      <c r="CF936" s="200"/>
      <c r="CG936" s="200"/>
      <c r="CH936" s="200"/>
      <c r="CI936" s="200"/>
      <c r="CJ936" s="200"/>
      <c r="CK936" s="200"/>
      <c r="CL936" s="200"/>
      <c r="CM936" s="200"/>
      <c r="CN936" s="200"/>
      <c r="CO936" s="200"/>
      <c r="CP936" s="200"/>
      <c r="CQ936" s="200"/>
      <c r="CR936" s="200"/>
      <c r="CS936" s="200"/>
      <c r="CT936" s="200"/>
      <c r="CU936" s="200"/>
    </row>
    <row r="937" spans="1:99" s="17" customFormat="1" x14ac:dyDescent="0.2">
      <c r="A937" s="25"/>
      <c r="B937" s="20">
        <v>39095007206</v>
      </c>
      <c r="C937" s="20">
        <v>72.06</v>
      </c>
      <c r="D937" s="20" t="s">
        <v>53</v>
      </c>
      <c r="E937" s="20" t="s">
        <v>2839</v>
      </c>
      <c r="F937" s="20" t="s">
        <v>8</v>
      </c>
      <c r="G937" s="861">
        <v>57.107531329843198</v>
      </c>
      <c r="H937" s="861">
        <v>60.084424862046397</v>
      </c>
      <c r="I937" s="861">
        <v>20.681238053153798</v>
      </c>
      <c r="J937" s="861">
        <v>51.0242658291222</v>
      </c>
      <c r="K937" s="982">
        <v>0</v>
      </c>
      <c r="L937" s="735" t="s">
        <v>2466</v>
      </c>
      <c r="M937" s="735">
        <v>1736</v>
      </c>
      <c r="N937" s="845" t="str">
        <f t="shared" si="83"/>
        <v/>
      </c>
      <c r="O937" s="735">
        <v>0.67233976606942802</v>
      </c>
      <c r="P937" s="735">
        <f t="shared" si="84"/>
        <v>2582.0278490276519</v>
      </c>
      <c r="Q937" s="849">
        <v>38.299999999999997</v>
      </c>
      <c r="R937" s="71">
        <v>87829</v>
      </c>
      <c r="S937" s="845">
        <v>8.8709677419354843E-2</v>
      </c>
      <c r="T937" s="845">
        <v>0</v>
      </c>
      <c r="U937" s="845">
        <v>3.2000000000000001E-2</v>
      </c>
      <c r="V937" s="845">
        <v>0</v>
      </c>
      <c r="W937" s="845">
        <v>1.4144271570014143E-2</v>
      </c>
      <c r="X937" s="845">
        <v>0</v>
      </c>
      <c r="Y937" s="845">
        <v>0.86808755760368661</v>
      </c>
      <c r="Z937" s="845">
        <v>9.1013824884792621E-2</v>
      </c>
      <c r="AA937" s="845">
        <v>0</v>
      </c>
      <c r="AB937" s="845">
        <v>0</v>
      </c>
      <c r="AC937" s="845">
        <v>0</v>
      </c>
      <c r="AD937" s="845">
        <v>4.0898617511520741E-2</v>
      </c>
      <c r="AE937" s="845">
        <v>0</v>
      </c>
      <c r="AF937" s="845">
        <v>4.0898617511520741E-2</v>
      </c>
      <c r="AG937" s="845">
        <v>0.84907834101382484</v>
      </c>
      <c r="AH937" s="20" t="str">
        <f t="shared" si="85"/>
        <v>No</v>
      </c>
      <c r="AI937" s="25"/>
      <c r="AJ937" s="37">
        <v>43812</v>
      </c>
      <c r="AK937" s="37" t="s">
        <v>1079</v>
      </c>
      <c r="AL937" s="37">
        <v>39031</v>
      </c>
      <c r="AM937" s="37" t="s">
        <v>22</v>
      </c>
      <c r="AN937" s="37" t="str">
        <f t="shared" si="86"/>
        <v>N/A</v>
      </c>
      <c r="AO937" s="37" t="str">
        <f t="shared" si="87"/>
        <v>N/A</v>
      </c>
      <c r="AP937" s="20" t="s">
        <v>8</v>
      </c>
      <c r="AQ937" s="25"/>
      <c r="AR937" s="25"/>
      <c r="AS937" s="25"/>
      <c r="AT937" s="25"/>
      <c r="AU937" s="36"/>
      <c r="AV937" s="36"/>
      <c r="AW937" s="36"/>
      <c r="AX937" s="25"/>
      <c r="AY937" s="25"/>
      <c r="AZ937" s="25"/>
      <c r="BA937" s="25"/>
      <c r="BB937" s="25"/>
      <c r="BC937" s="25"/>
      <c r="BD937" s="25"/>
      <c r="BE937" s="25"/>
      <c r="BF937" s="25"/>
      <c r="BG937" s="25"/>
      <c r="BH937" s="25"/>
      <c r="BI937" s="25"/>
      <c r="BJ937" s="25"/>
      <c r="BK937" s="25"/>
      <c r="BL937" s="25"/>
      <c r="BM937" s="25"/>
      <c r="BN937" s="25"/>
      <c r="BO937" s="25"/>
      <c r="BP937" s="25"/>
      <c r="BQ937" s="25"/>
      <c r="BR937" s="25"/>
      <c r="BS937" s="25"/>
      <c r="BT937" s="25"/>
      <c r="BU937" s="39">
        <v>43446</v>
      </c>
      <c r="BV937" s="39" t="s">
        <v>931</v>
      </c>
      <c r="BW937" s="39" t="s">
        <v>2901</v>
      </c>
      <c r="BX937" s="39" t="s">
        <v>310</v>
      </c>
      <c r="BY937" s="71">
        <v>810</v>
      </c>
      <c r="BZ937" s="71">
        <v>850</v>
      </c>
      <c r="CA937" s="71">
        <v>1110</v>
      </c>
      <c r="CB937" s="71">
        <v>1330</v>
      </c>
      <c r="CC937" s="71">
        <v>1700</v>
      </c>
      <c r="CD937" s="25"/>
      <c r="CE937" s="200"/>
      <c r="CF937" s="200"/>
      <c r="CG937" s="200"/>
      <c r="CH937" s="200"/>
      <c r="CI937" s="200"/>
      <c r="CJ937" s="200"/>
      <c r="CK937" s="200"/>
      <c r="CL937" s="200"/>
      <c r="CM937" s="200"/>
      <c r="CN937" s="200"/>
      <c r="CO937" s="200"/>
      <c r="CP937" s="200"/>
      <c r="CQ937" s="200"/>
      <c r="CR937" s="200"/>
      <c r="CS937" s="200"/>
      <c r="CT937" s="200"/>
      <c r="CU937" s="200"/>
    </row>
    <row r="938" spans="1:99" s="17" customFormat="1" x14ac:dyDescent="0.2">
      <c r="A938" s="25"/>
      <c r="B938" s="20">
        <v>39049010700</v>
      </c>
      <c r="C938" s="20">
        <v>107</v>
      </c>
      <c r="D938" s="20" t="s">
        <v>31</v>
      </c>
      <c r="E938" s="20" t="s">
        <v>2830</v>
      </c>
      <c r="F938" s="20" t="s">
        <v>8</v>
      </c>
      <c r="G938" s="861">
        <v>57.0864897376957</v>
      </c>
      <c r="H938" s="861">
        <v>62.042978340367803</v>
      </c>
      <c r="I938" s="861">
        <v>40.692155821881599</v>
      </c>
      <c r="J938" s="861">
        <v>49.684420144832103</v>
      </c>
      <c r="K938" s="982">
        <v>0</v>
      </c>
      <c r="L938" s="735">
        <v>1451</v>
      </c>
      <c r="M938" s="735">
        <v>1220</v>
      </c>
      <c r="N938" s="845">
        <f t="shared" si="83"/>
        <v>-0.15920055134390076</v>
      </c>
      <c r="O938" s="735">
        <v>0.53812216149517389</v>
      </c>
      <c r="P938" s="735">
        <f t="shared" si="84"/>
        <v>2267.1432014809179</v>
      </c>
      <c r="Q938" s="849">
        <v>32.5</v>
      </c>
      <c r="R938" s="71">
        <v>56250</v>
      </c>
      <c r="S938" s="845">
        <v>9.1058244462674326E-2</v>
      </c>
      <c r="T938" s="845">
        <v>2.6000000000000002E-2</v>
      </c>
      <c r="U938" s="845">
        <v>0</v>
      </c>
      <c r="V938" s="845">
        <v>2.3E-2</v>
      </c>
      <c r="W938" s="845">
        <v>0.79575596816976124</v>
      </c>
      <c r="X938" s="845">
        <v>0.38333333333333336</v>
      </c>
      <c r="Y938" s="845">
        <v>0.76147540983606554</v>
      </c>
      <c r="Z938" s="845">
        <v>6.7213114754098358E-2</v>
      </c>
      <c r="AA938" s="845">
        <v>5.7377049180327867E-3</v>
      </c>
      <c r="AB938" s="845">
        <v>3.0327868852459017E-2</v>
      </c>
      <c r="AC938" s="845">
        <v>0</v>
      </c>
      <c r="AD938" s="845">
        <v>9.8360655737704916E-2</v>
      </c>
      <c r="AE938" s="845">
        <v>3.6885245901639344E-2</v>
      </c>
      <c r="AF938" s="845">
        <v>0.14590163934426228</v>
      </c>
      <c r="AG938" s="845">
        <v>0.7188524590163935</v>
      </c>
      <c r="AH938" s="20" t="str">
        <f t="shared" si="85"/>
        <v>No</v>
      </c>
      <c r="AI938" s="25"/>
      <c r="AJ938" s="20">
        <v>43821</v>
      </c>
      <c r="AK938" s="20" t="s">
        <v>1080</v>
      </c>
      <c r="AL938" s="20">
        <v>39031</v>
      </c>
      <c r="AM938" s="20" t="s">
        <v>22</v>
      </c>
      <c r="AN938" s="37" t="str">
        <f t="shared" si="86"/>
        <v>N/A</v>
      </c>
      <c r="AO938" s="37" t="str">
        <f t="shared" si="87"/>
        <v>N/A</v>
      </c>
      <c r="AP938" s="20" t="s">
        <v>8</v>
      </c>
      <c r="AQ938" s="25"/>
      <c r="AR938" s="25"/>
      <c r="AS938" s="25"/>
      <c r="AT938" s="25"/>
      <c r="AU938" s="36"/>
      <c r="AV938" s="36"/>
      <c r="AW938" s="36"/>
      <c r="AX938" s="25"/>
      <c r="AY938" s="25"/>
      <c r="AZ938" s="25"/>
      <c r="BA938" s="25"/>
      <c r="BB938" s="25"/>
      <c r="BC938" s="25"/>
      <c r="BD938" s="25"/>
      <c r="BE938" s="25"/>
      <c r="BF938" s="25"/>
      <c r="BG938" s="25"/>
      <c r="BH938" s="25"/>
      <c r="BI938" s="25"/>
      <c r="BJ938" s="25"/>
      <c r="BK938" s="25"/>
      <c r="BL938" s="25"/>
      <c r="BM938" s="25"/>
      <c r="BN938" s="25"/>
      <c r="BO938" s="25"/>
      <c r="BP938" s="25"/>
      <c r="BQ938" s="25"/>
      <c r="BR938" s="25"/>
      <c r="BS938" s="25"/>
      <c r="BT938" s="25"/>
      <c r="BU938" s="39">
        <v>43447</v>
      </c>
      <c r="BV938" s="39" t="s">
        <v>932</v>
      </c>
      <c r="BW938" s="39" t="s">
        <v>2901</v>
      </c>
      <c r="BX938" s="39" t="s">
        <v>310</v>
      </c>
      <c r="BY938" s="71">
        <v>860</v>
      </c>
      <c r="BZ938" s="71">
        <v>920</v>
      </c>
      <c r="CA938" s="71">
        <v>1200</v>
      </c>
      <c r="CB938" s="71">
        <v>1520</v>
      </c>
      <c r="CC938" s="71">
        <v>1670</v>
      </c>
      <c r="CD938" s="25"/>
      <c r="CE938" s="200"/>
      <c r="CF938" s="200"/>
      <c r="CG938" s="200"/>
      <c r="CH938" s="200"/>
      <c r="CI938" s="200"/>
      <c r="CJ938" s="200"/>
      <c r="CK938" s="200"/>
      <c r="CL938" s="200"/>
      <c r="CM938" s="200"/>
      <c r="CN938" s="200"/>
      <c r="CO938" s="200"/>
      <c r="CP938" s="200"/>
      <c r="CQ938" s="200"/>
      <c r="CR938" s="200"/>
      <c r="CS938" s="200"/>
      <c r="CT938" s="200"/>
      <c r="CU938" s="200"/>
    </row>
    <row r="939" spans="1:99" s="17" customFormat="1" x14ac:dyDescent="0.2">
      <c r="A939" s="25"/>
      <c r="B939" s="20">
        <v>39061020802</v>
      </c>
      <c r="C939" s="20">
        <v>208.02</v>
      </c>
      <c r="D939" s="20" t="s">
        <v>37</v>
      </c>
      <c r="E939" s="20" t="s">
        <v>2828</v>
      </c>
      <c r="F939" s="20" t="s">
        <v>8</v>
      </c>
      <c r="G939" s="861">
        <v>57.086415224722899</v>
      </c>
      <c r="H939" s="861">
        <v>62.600245776552299</v>
      </c>
      <c r="I939" s="861">
        <v>24.963714987721399</v>
      </c>
      <c r="J939" s="861">
        <v>35.016862493433997</v>
      </c>
      <c r="K939" s="982">
        <v>0</v>
      </c>
      <c r="L939" s="735">
        <v>5716</v>
      </c>
      <c r="M939" s="735">
        <v>5032</v>
      </c>
      <c r="N939" s="845">
        <f t="shared" si="83"/>
        <v>-0.11966410076976906</v>
      </c>
      <c r="O939" s="735">
        <v>2.9969585458830545</v>
      </c>
      <c r="P939" s="735">
        <f t="shared" si="84"/>
        <v>1679.035569882172</v>
      </c>
      <c r="Q939" s="849">
        <v>37.5</v>
      </c>
      <c r="R939" s="71">
        <v>96826</v>
      </c>
      <c r="S939" s="845">
        <v>5.3855325914149446E-2</v>
      </c>
      <c r="T939" s="845">
        <v>3.1E-2</v>
      </c>
      <c r="U939" s="845">
        <v>0</v>
      </c>
      <c r="V939" s="845">
        <v>0</v>
      </c>
      <c r="W939" s="845">
        <v>0.11901306240928883</v>
      </c>
      <c r="X939" s="845">
        <v>0.45121951219512196</v>
      </c>
      <c r="Y939" s="845">
        <v>0.7219793322734499</v>
      </c>
      <c r="Z939" s="845">
        <v>0.21840222575516693</v>
      </c>
      <c r="AA939" s="845">
        <v>1.3910969793322734E-2</v>
      </c>
      <c r="AB939" s="845">
        <v>0</v>
      </c>
      <c r="AC939" s="845">
        <v>0</v>
      </c>
      <c r="AD939" s="845">
        <v>0</v>
      </c>
      <c r="AE939" s="845">
        <v>4.5707472178060413E-2</v>
      </c>
      <c r="AF939" s="845">
        <v>1.1526232114467409E-2</v>
      </c>
      <c r="AG939" s="845">
        <v>0.71045310015898255</v>
      </c>
      <c r="AH939" s="20" t="str">
        <f t="shared" si="85"/>
        <v>No</v>
      </c>
      <c r="AI939" s="25"/>
      <c r="AJ939" s="20">
        <v>43822</v>
      </c>
      <c r="AK939" s="20" t="s">
        <v>1081</v>
      </c>
      <c r="AL939" s="20">
        <v>39031</v>
      </c>
      <c r="AM939" s="20" t="s">
        <v>22</v>
      </c>
      <c r="AN939" s="37" t="str">
        <f t="shared" si="86"/>
        <v>N/A</v>
      </c>
      <c r="AO939" s="37" t="str">
        <f t="shared" si="87"/>
        <v>N/A</v>
      </c>
      <c r="AP939" s="20" t="s">
        <v>8</v>
      </c>
      <c r="AQ939" s="25"/>
      <c r="AR939" s="25"/>
      <c r="AS939" s="25"/>
      <c r="AT939" s="25"/>
      <c r="AU939" s="36"/>
      <c r="AV939" s="36"/>
      <c r="AW939" s="36"/>
      <c r="AX939" s="25"/>
      <c r="AY939" s="25"/>
      <c r="AZ939" s="25"/>
      <c r="BA939" s="25"/>
      <c r="BB939" s="25"/>
      <c r="BC939" s="25"/>
      <c r="BD939" s="25"/>
      <c r="BE939" s="25"/>
      <c r="BF939" s="25"/>
      <c r="BG939" s="25"/>
      <c r="BH939" s="25"/>
      <c r="BI939" s="25"/>
      <c r="BJ939" s="25"/>
      <c r="BK939" s="25"/>
      <c r="BL939" s="25"/>
      <c r="BM939" s="25"/>
      <c r="BN939" s="25"/>
      <c r="BO939" s="25"/>
      <c r="BP939" s="25"/>
      <c r="BQ939" s="25"/>
      <c r="BR939" s="25"/>
      <c r="BS939" s="25"/>
      <c r="BT939" s="25"/>
      <c r="BU939" s="39">
        <v>43449</v>
      </c>
      <c r="BV939" s="39" t="s">
        <v>933</v>
      </c>
      <c r="BW939" s="39" t="s">
        <v>2901</v>
      </c>
      <c r="BX939" s="39" t="s">
        <v>310</v>
      </c>
      <c r="BY939" s="71">
        <v>780</v>
      </c>
      <c r="BZ939" s="71">
        <v>820</v>
      </c>
      <c r="CA939" s="71">
        <v>1070</v>
      </c>
      <c r="CB939" s="71">
        <v>1280</v>
      </c>
      <c r="CC939" s="71">
        <v>1640</v>
      </c>
      <c r="CD939" s="25"/>
      <c r="CE939" s="200"/>
      <c r="CF939" s="200"/>
      <c r="CG939" s="200"/>
      <c r="CH939" s="200"/>
      <c r="CI939" s="200"/>
      <c r="CJ939" s="200"/>
      <c r="CK939" s="200"/>
      <c r="CL939" s="200"/>
      <c r="CM939" s="200"/>
      <c r="CN939" s="200"/>
      <c r="CO939" s="200"/>
      <c r="CP939" s="200"/>
      <c r="CQ939" s="200"/>
      <c r="CR939" s="200"/>
      <c r="CS939" s="200"/>
      <c r="CT939" s="200"/>
      <c r="CU939" s="200"/>
    </row>
    <row r="940" spans="1:99" s="17" customFormat="1" x14ac:dyDescent="0.2">
      <c r="A940" s="25"/>
      <c r="B940" s="20">
        <v>39025040302</v>
      </c>
      <c r="C940" s="20">
        <v>403.02</v>
      </c>
      <c r="D940" s="20" t="s">
        <v>19</v>
      </c>
      <c r="E940" s="20" t="s">
        <v>2828</v>
      </c>
      <c r="F940" s="20" t="s">
        <v>8</v>
      </c>
      <c r="G940" s="861">
        <v>57.051096186729801</v>
      </c>
      <c r="H940" s="861">
        <v>60.328956770457197</v>
      </c>
      <c r="I940" s="861">
        <v>35.846149425708397</v>
      </c>
      <c r="J940" s="861">
        <v>39.459715164486802</v>
      </c>
      <c r="K940" s="982">
        <v>0</v>
      </c>
      <c r="L940" s="735">
        <v>3462</v>
      </c>
      <c r="M940" s="735">
        <v>3652</v>
      </c>
      <c r="N940" s="845">
        <f t="shared" si="83"/>
        <v>5.4881571346042747E-2</v>
      </c>
      <c r="O940" s="735">
        <v>2.9912311064624926</v>
      </c>
      <c r="P940" s="735">
        <f t="shared" si="84"/>
        <v>1220.901986513155</v>
      </c>
      <c r="Q940" s="849">
        <v>43.3</v>
      </c>
      <c r="R940" s="71">
        <v>116714</v>
      </c>
      <c r="S940" s="845">
        <v>5.6149000273897562E-2</v>
      </c>
      <c r="T940" s="845">
        <v>3.9E-2</v>
      </c>
      <c r="U940" s="845">
        <v>0.02</v>
      </c>
      <c r="V940" s="845">
        <v>0</v>
      </c>
      <c r="W940" s="845">
        <v>0.18732394366197183</v>
      </c>
      <c r="X940" s="845">
        <v>0.39473684210526316</v>
      </c>
      <c r="Y940" s="845">
        <v>0.85706462212486312</v>
      </c>
      <c r="Z940" s="845">
        <v>0</v>
      </c>
      <c r="AA940" s="845">
        <v>0</v>
      </c>
      <c r="AB940" s="845">
        <v>2.2727272727272728E-2</v>
      </c>
      <c r="AC940" s="845">
        <v>0</v>
      </c>
      <c r="AD940" s="845">
        <v>4.6549835706462209E-3</v>
      </c>
      <c r="AE940" s="845">
        <v>0.11555312157721796</v>
      </c>
      <c r="AF940" s="845">
        <v>7.6670317634173054E-3</v>
      </c>
      <c r="AG940" s="845">
        <v>0.84967141292442494</v>
      </c>
      <c r="AH940" s="20" t="str">
        <f t="shared" si="85"/>
        <v>No</v>
      </c>
      <c r="AI940" s="25"/>
      <c r="AJ940" s="37">
        <v>43824</v>
      </c>
      <c r="AK940" s="37" t="s">
        <v>1082</v>
      </c>
      <c r="AL940" s="37">
        <v>39031</v>
      </c>
      <c r="AM940" s="37" t="s">
        <v>22</v>
      </c>
      <c r="AN940" s="37" t="str">
        <f t="shared" si="86"/>
        <v>N/A</v>
      </c>
      <c r="AO940" s="37" t="str">
        <f t="shared" si="87"/>
        <v>N/A</v>
      </c>
      <c r="AP940" s="20" t="s">
        <v>8</v>
      </c>
      <c r="AQ940" s="25"/>
      <c r="AR940" s="25"/>
      <c r="AS940" s="25"/>
      <c r="AT940" s="25"/>
      <c r="AU940" s="36"/>
      <c r="AV940" s="36"/>
      <c r="AW940" s="36"/>
      <c r="AX940" s="25"/>
      <c r="AY940" s="25"/>
      <c r="AZ940" s="25"/>
      <c r="BA940" s="25"/>
      <c r="BB940" s="25"/>
      <c r="BC940" s="25"/>
      <c r="BD940" s="25"/>
      <c r="BE940" s="25"/>
      <c r="BF940" s="25"/>
      <c r="BG940" s="25"/>
      <c r="BH940" s="25"/>
      <c r="BI940" s="25"/>
      <c r="BJ940" s="25"/>
      <c r="BK940" s="25"/>
      <c r="BL940" s="25"/>
      <c r="BM940" s="25"/>
      <c r="BN940" s="25"/>
      <c r="BO940" s="25"/>
      <c r="BP940" s="25"/>
      <c r="BQ940" s="25"/>
      <c r="BR940" s="25"/>
      <c r="BS940" s="25"/>
      <c r="BT940" s="25"/>
      <c r="BU940" s="39">
        <v>43452</v>
      </c>
      <c r="BV940" s="39" t="s">
        <v>936</v>
      </c>
      <c r="BW940" s="39" t="s">
        <v>2901</v>
      </c>
      <c r="BX940" s="39" t="s">
        <v>310</v>
      </c>
      <c r="BY940" s="71">
        <v>800</v>
      </c>
      <c r="BZ940" s="71">
        <v>840</v>
      </c>
      <c r="CA940" s="71">
        <v>1100</v>
      </c>
      <c r="CB940" s="71">
        <v>1320</v>
      </c>
      <c r="CC940" s="71">
        <v>1690</v>
      </c>
      <c r="CD940" s="25"/>
      <c r="CE940" s="200"/>
      <c r="CF940" s="200"/>
      <c r="CG940" s="200"/>
      <c r="CH940" s="200"/>
      <c r="CI940" s="200"/>
      <c r="CJ940" s="200"/>
      <c r="CK940" s="200"/>
      <c r="CL940" s="200"/>
      <c r="CM940" s="200"/>
      <c r="CN940" s="200"/>
      <c r="CO940" s="200"/>
      <c r="CP940" s="200"/>
      <c r="CQ940" s="200"/>
      <c r="CR940" s="200"/>
      <c r="CS940" s="200"/>
      <c r="CT940" s="200"/>
      <c r="CU940" s="200"/>
    </row>
    <row r="941" spans="1:99" s="17" customFormat="1" x14ac:dyDescent="0.2">
      <c r="A941" s="25"/>
      <c r="B941" s="20">
        <v>39049006821</v>
      </c>
      <c r="C941" s="20">
        <v>68.209999999999994</v>
      </c>
      <c r="D941" s="20" t="s">
        <v>31</v>
      </c>
      <c r="E941" s="20" t="s">
        <v>2830</v>
      </c>
      <c r="F941" s="20" t="s">
        <v>6</v>
      </c>
      <c r="G941" s="861">
        <v>57.004698455135603</v>
      </c>
      <c r="H941" s="861">
        <v>57.0462771765227</v>
      </c>
      <c r="I941" s="861">
        <v>40.387208576338203</v>
      </c>
      <c r="J941" s="861">
        <v>38.999657642541102</v>
      </c>
      <c r="K941" s="982">
        <v>0</v>
      </c>
      <c r="L941" s="735">
        <v>3659</v>
      </c>
      <c r="M941" s="735">
        <v>3599</v>
      </c>
      <c r="N941" s="845">
        <f t="shared" si="83"/>
        <v>-1.6397922929762231E-2</v>
      </c>
      <c r="O941" s="735">
        <v>0.57781964103302397</v>
      </c>
      <c r="P941" s="735">
        <f t="shared" si="84"/>
        <v>6228.5871653059767</v>
      </c>
      <c r="Q941" s="849">
        <v>37.6</v>
      </c>
      <c r="R941" s="71">
        <v>42907</v>
      </c>
      <c r="S941" s="845">
        <v>0.24452658515780495</v>
      </c>
      <c r="T941" s="845">
        <v>0.113</v>
      </c>
      <c r="U941" s="845">
        <v>5.2000000000000005E-2</v>
      </c>
      <c r="V941" s="845">
        <v>2.6000000000000002E-2</v>
      </c>
      <c r="W941" s="845">
        <v>0.74827586206896557</v>
      </c>
      <c r="X941" s="845">
        <v>0.45819618169848586</v>
      </c>
      <c r="Y941" s="845">
        <v>0.83050847457627119</v>
      </c>
      <c r="Z941" s="845">
        <v>0.10891914420672409</v>
      </c>
      <c r="AA941" s="845">
        <v>2.7785495971103086E-3</v>
      </c>
      <c r="AB941" s="845">
        <v>3.0841900527924425E-2</v>
      </c>
      <c r="AC941" s="845">
        <v>0</v>
      </c>
      <c r="AD941" s="845">
        <v>6.3906640733537093E-3</v>
      </c>
      <c r="AE941" s="845">
        <v>2.0561267018616283E-2</v>
      </c>
      <c r="AF941" s="845">
        <v>1.1392053348152265E-2</v>
      </c>
      <c r="AG941" s="845">
        <v>0.82550708530147265</v>
      </c>
      <c r="AH941" s="20" t="str">
        <f t="shared" si="85"/>
        <v>No</v>
      </c>
      <c r="AI941" s="25"/>
      <c r="AJ941" s="20">
        <v>43832</v>
      </c>
      <c r="AK941" s="20" t="s">
        <v>1084</v>
      </c>
      <c r="AL941" s="20">
        <v>39031</v>
      </c>
      <c r="AM941" s="20" t="s">
        <v>22</v>
      </c>
      <c r="AN941" s="37" t="str">
        <f t="shared" si="86"/>
        <v>N/A</v>
      </c>
      <c r="AO941" s="37" t="str">
        <f t="shared" si="87"/>
        <v>N/A</v>
      </c>
      <c r="AP941" s="20" t="s">
        <v>8</v>
      </c>
      <c r="AQ941" s="25"/>
      <c r="AR941" s="25"/>
      <c r="AS941" s="25"/>
      <c r="AT941" s="25"/>
      <c r="AU941" s="36"/>
      <c r="AV941" s="36"/>
      <c r="AW941" s="36"/>
      <c r="AX941" s="25"/>
      <c r="AY941" s="25"/>
      <c r="AZ941" s="25"/>
      <c r="BA941" s="25"/>
      <c r="BB941" s="25"/>
      <c r="BC941" s="25"/>
      <c r="BD941" s="25"/>
      <c r="BE941" s="25"/>
      <c r="BF941" s="25"/>
      <c r="BG941" s="25"/>
      <c r="BH941" s="25"/>
      <c r="BI941" s="25"/>
      <c r="BJ941" s="25"/>
      <c r="BK941" s="25"/>
      <c r="BL941" s="25"/>
      <c r="BM941" s="25"/>
      <c r="BN941" s="25"/>
      <c r="BO941" s="25"/>
      <c r="BP941" s="25"/>
      <c r="BQ941" s="25"/>
      <c r="BR941" s="25"/>
      <c r="BS941" s="25"/>
      <c r="BT941" s="25"/>
      <c r="BU941" s="39">
        <v>43456</v>
      </c>
      <c r="BV941" s="39" t="s">
        <v>937</v>
      </c>
      <c r="BW941" s="39" t="s">
        <v>2901</v>
      </c>
      <c r="BX941" s="39" t="s">
        <v>310</v>
      </c>
      <c r="BY941" s="71">
        <v>810</v>
      </c>
      <c r="BZ941" s="71">
        <v>850</v>
      </c>
      <c r="CA941" s="71">
        <v>1110</v>
      </c>
      <c r="CB941" s="71">
        <v>1330</v>
      </c>
      <c r="CC941" s="71">
        <v>1700</v>
      </c>
      <c r="CD941" s="25"/>
      <c r="CE941" s="200"/>
      <c r="CF941" s="200"/>
      <c r="CG941" s="200"/>
      <c r="CH941" s="200"/>
      <c r="CI941" s="200"/>
      <c r="CJ941" s="200"/>
      <c r="CK941" s="200"/>
      <c r="CL941" s="200"/>
      <c r="CM941" s="200"/>
      <c r="CN941" s="200"/>
      <c r="CO941" s="200"/>
      <c r="CP941" s="200"/>
      <c r="CQ941" s="200"/>
      <c r="CR941" s="200"/>
      <c r="CS941" s="200"/>
      <c r="CT941" s="200"/>
      <c r="CU941" s="200"/>
    </row>
    <row r="942" spans="1:99" s="17" customFormat="1" x14ac:dyDescent="0.2">
      <c r="A942" s="25"/>
      <c r="B942" s="20">
        <v>39061010100</v>
      </c>
      <c r="C942" s="20">
        <v>101</v>
      </c>
      <c r="D942" s="20" t="s">
        <v>37</v>
      </c>
      <c r="E942" s="20" t="s">
        <v>2828</v>
      </c>
      <c r="F942" s="20" t="s">
        <v>8</v>
      </c>
      <c r="G942" s="861">
        <v>57.003154503188902</v>
      </c>
      <c r="H942" s="861">
        <v>62.673737594938899</v>
      </c>
      <c r="I942" s="861">
        <v>39.720929914063397</v>
      </c>
      <c r="J942" s="861">
        <v>60.234966981438198</v>
      </c>
      <c r="K942" s="982">
        <v>0</v>
      </c>
      <c r="L942" s="735">
        <v>5128</v>
      </c>
      <c r="M942" s="735">
        <v>4425</v>
      </c>
      <c r="N942" s="845">
        <f t="shared" si="83"/>
        <v>-0.13709048361934478</v>
      </c>
      <c r="O942" s="735">
        <v>1.5622156659244277</v>
      </c>
      <c r="P942" s="735">
        <f t="shared" si="84"/>
        <v>2832.5154436225321</v>
      </c>
      <c r="Q942" s="849">
        <v>36.799999999999997</v>
      </c>
      <c r="R942" s="71">
        <v>52421</v>
      </c>
      <c r="S942" s="845">
        <v>0.11163841807909604</v>
      </c>
      <c r="T942" s="845">
        <v>4.4000000000000004E-2</v>
      </c>
      <c r="U942" s="845">
        <v>6.8000000000000005E-2</v>
      </c>
      <c r="V942" s="845">
        <v>5.7000000000000002E-2</v>
      </c>
      <c r="W942" s="845">
        <v>0.644718792866941</v>
      </c>
      <c r="X942" s="845">
        <v>0.38581560283687943</v>
      </c>
      <c r="Y942" s="845">
        <v>0.40655367231638417</v>
      </c>
      <c r="Z942" s="845">
        <v>0.50395480225988698</v>
      </c>
      <c r="AA942" s="845">
        <v>0</v>
      </c>
      <c r="AB942" s="845">
        <v>4.7457627118644066E-3</v>
      </c>
      <c r="AC942" s="845">
        <v>0</v>
      </c>
      <c r="AD942" s="845">
        <v>0</v>
      </c>
      <c r="AE942" s="845">
        <v>8.4745762711864403E-2</v>
      </c>
      <c r="AF942" s="845">
        <v>7.3446327683615822E-2</v>
      </c>
      <c r="AG942" s="845">
        <v>0.40655367231638417</v>
      </c>
      <c r="AH942" s="20" t="str">
        <f t="shared" si="85"/>
        <v>No</v>
      </c>
      <c r="AI942" s="25"/>
      <c r="AJ942" s="20">
        <v>43836</v>
      </c>
      <c r="AK942" s="20" t="s">
        <v>1085</v>
      </c>
      <c r="AL942" s="20">
        <v>39031</v>
      </c>
      <c r="AM942" s="20" t="s">
        <v>22</v>
      </c>
      <c r="AN942" s="37" t="str">
        <f t="shared" si="86"/>
        <v>N/A</v>
      </c>
      <c r="AO942" s="37" t="str">
        <f t="shared" si="87"/>
        <v>N/A</v>
      </c>
      <c r="AP942" s="20" t="s">
        <v>8</v>
      </c>
      <c r="AQ942" s="25"/>
      <c r="AR942" s="25"/>
      <c r="AS942" s="25"/>
      <c r="AT942" s="25"/>
      <c r="AU942" s="36"/>
      <c r="AV942" s="36"/>
      <c r="AW942" s="36"/>
      <c r="AX942" s="25"/>
      <c r="AY942" s="25"/>
      <c r="AZ942" s="25"/>
      <c r="BA942" s="25"/>
      <c r="BB942" s="25"/>
      <c r="BC942" s="25"/>
      <c r="BD942" s="25"/>
      <c r="BE942" s="25"/>
      <c r="BF942" s="25"/>
      <c r="BG942" s="25"/>
      <c r="BH942" s="25"/>
      <c r="BI942" s="25"/>
      <c r="BJ942" s="25"/>
      <c r="BK942" s="25"/>
      <c r="BL942" s="25"/>
      <c r="BM942" s="25"/>
      <c r="BN942" s="25"/>
      <c r="BO942" s="25"/>
      <c r="BP942" s="25"/>
      <c r="BQ942" s="25"/>
      <c r="BR942" s="25"/>
      <c r="BS942" s="25"/>
      <c r="BT942" s="25"/>
      <c r="BU942" s="39">
        <v>43458</v>
      </c>
      <c r="BV942" s="39" t="s">
        <v>939</v>
      </c>
      <c r="BW942" s="39" t="s">
        <v>2901</v>
      </c>
      <c r="BX942" s="39" t="s">
        <v>310</v>
      </c>
      <c r="BY942" s="71">
        <v>710</v>
      </c>
      <c r="BZ942" s="71">
        <v>740</v>
      </c>
      <c r="CA942" s="71">
        <v>970</v>
      </c>
      <c r="CB942" s="71">
        <v>1170</v>
      </c>
      <c r="CC942" s="71">
        <v>1490</v>
      </c>
      <c r="CD942" s="25"/>
      <c r="CE942" s="200"/>
      <c r="CF942" s="200"/>
      <c r="CG942" s="200"/>
      <c r="CH942" s="200"/>
      <c r="CI942" s="200"/>
      <c r="CJ942" s="200"/>
      <c r="CK942" s="200"/>
      <c r="CL942" s="200"/>
      <c r="CM942" s="200"/>
      <c r="CN942" s="200"/>
      <c r="CO942" s="200"/>
      <c r="CP942" s="200"/>
      <c r="CQ942" s="200"/>
      <c r="CR942" s="200"/>
      <c r="CS942" s="200"/>
      <c r="CT942" s="200"/>
      <c r="CU942" s="200"/>
    </row>
    <row r="943" spans="1:99" s="17" customFormat="1" x14ac:dyDescent="0.2">
      <c r="A943" s="25"/>
      <c r="B943" s="20">
        <v>39093096100</v>
      </c>
      <c r="C943" s="20">
        <v>961</v>
      </c>
      <c r="D943" s="20" t="s">
        <v>52</v>
      </c>
      <c r="E943" s="20" t="s">
        <v>2829</v>
      </c>
      <c r="F943" s="20" t="s">
        <v>8</v>
      </c>
      <c r="G943" s="861">
        <v>56.997211542815101</v>
      </c>
      <c r="H943" s="861">
        <v>61.847402444042899</v>
      </c>
      <c r="I943" s="861">
        <v>31.6448377190443</v>
      </c>
      <c r="J943" s="861">
        <v>54.8871304701131</v>
      </c>
      <c r="K943" s="982">
        <v>0</v>
      </c>
      <c r="L943" s="735">
        <v>6227</v>
      </c>
      <c r="M943" s="735">
        <v>6171</v>
      </c>
      <c r="N943" s="845">
        <f t="shared" si="83"/>
        <v>-8.9930945880841492E-3</v>
      </c>
      <c r="O943" s="735">
        <v>22.169514129545561</v>
      </c>
      <c r="P943" s="735">
        <f t="shared" si="84"/>
        <v>278.3552207748134</v>
      </c>
      <c r="Q943" s="849">
        <v>37.5</v>
      </c>
      <c r="R943" s="71">
        <v>77799</v>
      </c>
      <c r="S943" s="845">
        <v>0.10263977701262501</v>
      </c>
      <c r="T943" s="845">
        <v>2.5000000000000001E-2</v>
      </c>
      <c r="U943" s="845">
        <v>0</v>
      </c>
      <c r="V943" s="845">
        <v>7.0000000000000007E-2</v>
      </c>
      <c r="W943" s="845">
        <v>0.30526789734353893</v>
      </c>
      <c r="X943" s="845">
        <v>0.42330383480825956</v>
      </c>
      <c r="Y943" s="845">
        <v>0.96224274833900503</v>
      </c>
      <c r="Z943" s="845">
        <v>0</v>
      </c>
      <c r="AA943" s="845">
        <v>9.7228974234321824E-4</v>
      </c>
      <c r="AB943" s="845">
        <v>8.1024145195268196E-3</v>
      </c>
      <c r="AC943" s="845">
        <v>0</v>
      </c>
      <c r="AD943" s="845">
        <v>0</v>
      </c>
      <c r="AE943" s="845">
        <v>2.8682547399124941E-2</v>
      </c>
      <c r="AF943" s="845">
        <v>1.7825311942959002E-2</v>
      </c>
      <c r="AG943" s="845">
        <v>0.9530059957867445</v>
      </c>
      <c r="AH943" s="20" t="str">
        <f t="shared" si="85"/>
        <v>Yes</v>
      </c>
      <c r="AI943" s="25"/>
      <c r="AJ943" s="20">
        <v>43840</v>
      </c>
      <c r="AK943" s="20" t="s">
        <v>1087</v>
      </c>
      <c r="AL943" s="20">
        <v>39031</v>
      </c>
      <c r="AM943" s="20" t="s">
        <v>22</v>
      </c>
      <c r="AN943" s="37" t="str">
        <f t="shared" si="86"/>
        <v>N/A</v>
      </c>
      <c r="AO943" s="37" t="str">
        <f t="shared" si="87"/>
        <v>N/A</v>
      </c>
      <c r="AP943" s="20" t="s">
        <v>8</v>
      </c>
      <c r="AQ943" s="25"/>
      <c r="AR943" s="25"/>
      <c r="AS943" s="25"/>
      <c r="AT943" s="25"/>
      <c r="AU943" s="36"/>
      <c r="AV943" s="36"/>
      <c r="AW943" s="36"/>
      <c r="AX943" s="25"/>
      <c r="AY943" s="25"/>
      <c r="AZ943" s="25"/>
      <c r="BA943" s="25"/>
      <c r="BB943" s="25"/>
      <c r="BC943" s="25"/>
      <c r="BD943" s="25"/>
      <c r="BE943" s="25"/>
      <c r="BF943" s="25"/>
      <c r="BG943" s="25"/>
      <c r="BH943" s="25"/>
      <c r="BI943" s="25"/>
      <c r="BJ943" s="25"/>
      <c r="BK943" s="25"/>
      <c r="BL943" s="25"/>
      <c r="BM943" s="25"/>
      <c r="BN943" s="25"/>
      <c r="BO943" s="25"/>
      <c r="BP943" s="25"/>
      <c r="BQ943" s="25"/>
      <c r="BR943" s="25"/>
      <c r="BS943" s="25"/>
      <c r="BT943" s="25"/>
      <c r="BU943" s="39">
        <v>43468</v>
      </c>
      <c r="BV943" s="39" t="s">
        <v>947</v>
      </c>
      <c r="BW943" s="39" t="s">
        <v>2901</v>
      </c>
      <c r="BX943" s="39" t="s">
        <v>310</v>
      </c>
      <c r="BY943" s="71">
        <v>950</v>
      </c>
      <c r="BZ943" s="71">
        <v>1000</v>
      </c>
      <c r="CA943" s="71">
        <v>1320</v>
      </c>
      <c r="CB943" s="71">
        <v>1640</v>
      </c>
      <c r="CC943" s="71">
        <v>1900</v>
      </c>
      <c r="CD943" s="25"/>
      <c r="CE943" s="200"/>
      <c r="CF943" s="200"/>
      <c r="CG943" s="200"/>
      <c r="CH943" s="200"/>
      <c r="CI943" s="200"/>
      <c r="CJ943" s="200"/>
      <c r="CK943" s="200"/>
      <c r="CL943" s="200"/>
      <c r="CM943" s="200"/>
      <c r="CN943" s="200"/>
      <c r="CO943" s="200"/>
      <c r="CP943" s="200"/>
      <c r="CQ943" s="200"/>
      <c r="CR943" s="200"/>
      <c r="CS943" s="200"/>
      <c r="CT943" s="200"/>
      <c r="CU943" s="200"/>
    </row>
    <row r="944" spans="1:99" s="17" customFormat="1" x14ac:dyDescent="0.2">
      <c r="A944" s="25"/>
      <c r="B944" s="20">
        <v>39045033102</v>
      </c>
      <c r="C944" s="20">
        <v>331.02</v>
      </c>
      <c r="D944" s="20" t="s">
        <v>29</v>
      </c>
      <c r="E944" s="20" t="s">
        <v>2830</v>
      </c>
      <c r="F944" s="20" t="s">
        <v>8</v>
      </c>
      <c r="G944" s="861">
        <v>56.976645322429299</v>
      </c>
      <c r="H944" s="861">
        <v>65.281994191596695</v>
      </c>
      <c r="I944" s="861">
        <v>30.5142313997912</v>
      </c>
      <c r="J944" s="861">
        <v>48.183106028095402</v>
      </c>
      <c r="K944" s="982">
        <v>0</v>
      </c>
      <c r="L944" s="735" t="s">
        <v>2466</v>
      </c>
      <c r="M944" s="735">
        <v>5157</v>
      </c>
      <c r="N944" s="845" t="str">
        <f t="shared" si="83"/>
        <v/>
      </c>
      <c r="O944" s="735">
        <v>1.7300535020602856</v>
      </c>
      <c r="P944" s="735">
        <f t="shared" si="84"/>
        <v>2980.8326701218393</v>
      </c>
      <c r="Q944" s="849">
        <v>40.200000000000003</v>
      </c>
      <c r="R944" s="71">
        <v>95882</v>
      </c>
      <c r="S944" s="845">
        <v>2.4025206774320598E-2</v>
      </c>
      <c r="T944" s="845">
        <v>2.6000000000000002E-2</v>
      </c>
      <c r="U944" s="845">
        <v>0</v>
      </c>
      <c r="V944" s="845">
        <v>0.34399999999999997</v>
      </c>
      <c r="W944" s="845">
        <v>0.37006737247353222</v>
      </c>
      <c r="X944" s="845">
        <v>0.6254876462938882</v>
      </c>
      <c r="Y944" s="845">
        <v>0.63253829745976342</v>
      </c>
      <c r="Z944" s="845">
        <v>0.26081054876866394</v>
      </c>
      <c r="AA944" s="845">
        <v>0</v>
      </c>
      <c r="AB944" s="845">
        <v>2.8311033546635642E-2</v>
      </c>
      <c r="AC944" s="845">
        <v>0</v>
      </c>
      <c r="AD944" s="845">
        <v>4.3436106263331394E-2</v>
      </c>
      <c r="AE944" s="845">
        <v>3.4904013961605584E-2</v>
      </c>
      <c r="AF944" s="845">
        <v>4.6732596470816366E-2</v>
      </c>
      <c r="AG944" s="845">
        <v>0.63253829745976342</v>
      </c>
      <c r="AH944" s="20" t="str">
        <f t="shared" si="85"/>
        <v>No</v>
      </c>
      <c r="AI944" s="25"/>
      <c r="AJ944" s="20">
        <v>43843</v>
      </c>
      <c r="AK944" s="20" t="s">
        <v>1089</v>
      </c>
      <c r="AL944" s="20">
        <v>39031</v>
      </c>
      <c r="AM944" s="20" t="s">
        <v>22</v>
      </c>
      <c r="AN944" s="37" t="str">
        <f t="shared" si="86"/>
        <v>N/A</v>
      </c>
      <c r="AO944" s="37" t="str">
        <f t="shared" si="87"/>
        <v>N/A</v>
      </c>
      <c r="AP944" s="20" t="s">
        <v>8</v>
      </c>
      <c r="AQ944" s="25"/>
      <c r="AR944" s="25"/>
      <c r="AS944" s="25"/>
      <c r="AT944" s="25"/>
      <c r="AU944" s="36"/>
      <c r="AV944" s="36"/>
      <c r="AW944" s="36"/>
      <c r="AX944" s="25"/>
      <c r="AY944" s="25"/>
      <c r="AZ944" s="25"/>
      <c r="BA944" s="25"/>
      <c r="BB944" s="25"/>
      <c r="BC944" s="25"/>
      <c r="BD944" s="25"/>
      <c r="BE944" s="25"/>
      <c r="BF944" s="25"/>
      <c r="BG944" s="25"/>
      <c r="BH944" s="25"/>
      <c r="BI944" s="25"/>
      <c r="BJ944" s="25"/>
      <c r="BK944" s="25"/>
      <c r="BL944" s="25"/>
      <c r="BM944" s="25"/>
      <c r="BN944" s="25"/>
      <c r="BO944" s="25"/>
      <c r="BP944" s="25"/>
      <c r="BQ944" s="25"/>
      <c r="BR944" s="25"/>
      <c r="BS944" s="25"/>
      <c r="BT944" s="25"/>
      <c r="BU944" s="39">
        <v>43469</v>
      </c>
      <c r="BV944" s="39" t="s">
        <v>948</v>
      </c>
      <c r="BW944" s="39" t="s">
        <v>2901</v>
      </c>
      <c r="BX944" s="39" t="s">
        <v>310</v>
      </c>
      <c r="BY944" s="71">
        <v>680</v>
      </c>
      <c r="BZ944" s="71">
        <v>790</v>
      </c>
      <c r="CA944" s="71">
        <v>970</v>
      </c>
      <c r="CB944" s="71">
        <v>1240</v>
      </c>
      <c r="CC944" s="71">
        <v>1330</v>
      </c>
      <c r="CD944" s="25"/>
      <c r="CE944" s="200"/>
      <c r="CF944" s="200"/>
      <c r="CG944" s="200"/>
      <c r="CH944" s="200"/>
      <c r="CI944" s="200"/>
      <c r="CJ944" s="200"/>
      <c r="CK944" s="200"/>
      <c r="CL944" s="200"/>
      <c r="CM944" s="200"/>
      <c r="CN944" s="200"/>
      <c r="CO944" s="200"/>
      <c r="CP944" s="200"/>
      <c r="CQ944" s="200"/>
      <c r="CR944" s="200"/>
      <c r="CS944" s="200"/>
      <c r="CT944" s="200"/>
      <c r="CU944" s="200"/>
    </row>
    <row r="945" spans="1:99" s="17" customFormat="1" x14ac:dyDescent="0.2">
      <c r="A945" s="25"/>
      <c r="B945" s="20">
        <v>39035152202</v>
      </c>
      <c r="C945" s="20">
        <v>1522.02</v>
      </c>
      <c r="D945" s="20" t="s">
        <v>24</v>
      </c>
      <c r="E945" s="20" t="s">
        <v>2829</v>
      </c>
      <c r="F945" s="20" t="s">
        <v>8</v>
      </c>
      <c r="G945" s="861">
        <v>56.936811157615402</v>
      </c>
      <c r="H945" s="861">
        <v>65.334777916462201</v>
      </c>
      <c r="I945" s="861">
        <v>50.202781066891802</v>
      </c>
      <c r="J945" s="861">
        <v>52.058741616052998</v>
      </c>
      <c r="K945" s="982">
        <v>0</v>
      </c>
      <c r="L945" s="735">
        <v>3691</v>
      </c>
      <c r="M945" s="735">
        <v>4224</v>
      </c>
      <c r="N945" s="845">
        <f t="shared" si="83"/>
        <v>0.14440531021403413</v>
      </c>
      <c r="O945" s="735">
        <v>0.85268962875663556</v>
      </c>
      <c r="P945" s="735">
        <f t="shared" si="84"/>
        <v>4953.7368082678577</v>
      </c>
      <c r="Q945" s="849">
        <v>38.700000000000003</v>
      </c>
      <c r="R945" s="71">
        <v>50190</v>
      </c>
      <c r="S945" s="845">
        <v>0.21117424242424243</v>
      </c>
      <c r="T945" s="845">
        <v>8.5999999999999993E-2</v>
      </c>
      <c r="U945" s="845">
        <v>8.3000000000000004E-2</v>
      </c>
      <c r="V945" s="845">
        <v>0</v>
      </c>
      <c r="W945" s="845">
        <v>0.49379036264282167</v>
      </c>
      <c r="X945" s="845">
        <v>0.51006036217303818</v>
      </c>
      <c r="Y945" s="845">
        <v>0.23390151515151514</v>
      </c>
      <c r="Z945" s="845">
        <v>0.73248106060606055</v>
      </c>
      <c r="AA945" s="845">
        <v>0</v>
      </c>
      <c r="AB945" s="845">
        <v>0</v>
      </c>
      <c r="AC945" s="845">
        <v>0</v>
      </c>
      <c r="AD945" s="845">
        <v>5.4450757575757579E-3</v>
      </c>
      <c r="AE945" s="845">
        <v>2.8172348484848484E-2</v>
      </c>
      <c r="AF945" s="845">
        <v>0</v>
      </c>
      <c r="AG945" s="845">
        <v>0.23390151515151514</v>
      </c>
      <c r="AH945" s="20" t="str">
        <f t="shared" si="85"/>
        <v>No</v>
      </c>
      <c r="AI945" s="25"/>
      <c r="AJ945" s="37">
        <v>43844</v>
      </c>
      <c r="AK945" s="37" t="s">
        <v>1090</v>
      </c>
      <c r="AL945" s="37">
        <v>39031</v>
      </c>
      <c r="AM945" s="37" t="s">
        <v>22</v>
      </c>
      <c r="AN945" s="37" t="str">
        <f t="shared" si="86"/>
        <v>N/A</v>
      </c>
      <c r="AO945" s="37" t="str">
        <f t="shared" si="87"/>
        <v>N/A</v>
      </c>
      <c r="AP945" s="20" t="s">
        <v>8</v>
      </c>
      <c r="AQ945" s="25"/>
      <c r="AR945" s="25"/>
      <c r="AS945" s="25"/>
      <c r="AT945" s="25"/>
      <c r="AU945" s="36"/>
      <c r="AV945" s="36"/>
      <c r="AW945" s="36"/>
      <c r="AX945" s="25"/>
      <c r="AY945" s="25"/>
      <c r="AZ945" s="25"/>
      <c r="BA945" s="25"/>
      <c r="BB945" s="25"/>
      <c r="BC945" s="25"/>
      <c r="BD945" s="25"/>
      <c r="BE945" s="25"/>
      <c r="BF945" s="25"/>
      <c r="BG945" s="25"/>
      <c r="BH945" s="25"/>
      <c r="BI945" s="25"/>
      <c r="BJ945" s="25"/>
      <c r="BK945" s="25"/>
      <c r="BL945" s="25"/>
      <c r="BM945" s="25"/>
      <c r="BN945" s="25"/>
      <c r="BO945" s="25"/>
      <c r="BP945" s="25"/>
      <c r="BQ945" s="25"/>
      <c r="BR945" s="25"/>
      <c r="BS945" s="25"/>
      <c r="BT945" s="25"/>
      <c r="BU945" s="39">
        <v>45827</v>
      </c>
      <c r="BV945" s="39" t="s">
        <v>1898</v>
      </c>
      <c r="BW945" s="39" t="s">
        <v>2905</v>
      </c>
      <c r="BX945" s="39" t="s">
        <v>2906</v>
      </c>
      <c r="BY945" s="71">
        <v>770</v>
      </c>
      <c r="BZ945" s="71">
        <v>790</v>
      </c>
      <c r="CA945" s="71">
        <v>1020</v>
      </c>
      <c r="CB945" s="71">
        <v>1240</v>
      </c>
      <c r="CC945" s="71">
        <v>1380</v>
      </c>
      <c r="CD945" s="25"/>
      <c r="CE945" s="200"/>
      <c r="CF945" s="200"/>
      <c r="CG945" s="200"/>
      <c r="CH945" s="200"/>
      <c r="CI945" s="200"/>
      <c r="CJ945" s="200"/>
      <c r="CK945" s="200"/>
      <c r="CL945" s="200"/>
      <c r="CM945" s="200"/>
      <c r="CN945" s="200"/>
      <c r="CO945" s="200"/>
      <c r="CP945" s="200"/>
      <c r="CQ945" s="200"/>
      <c r="CR945" s="200"/>
      <c r="CS945" s="200"/>
      <c r="CT945" s="200"/>
      <c r="CU945" s="200"/>
    </row>
    <row r="946" spans="1:99" s="17" customFormat="1" x14ac:dyDescent="0.2">
      <c r="A946" s="25"/>
      <c r="B946" s="20">
        <v>39049008171</v>
      </c>
      <c r="C946" s="20">
        <v>81.709999999999994</v>
      </c>
      <c r="D946" s="20" t="s">
        <v>31</v>
      </c>
      <c r="E946" s="20" t="s">
        <v>2830</v>
      </c>
      <c r="F946" s="20" t="s">
        <v>8</v>
      </c>
      <c r="G946" s="861">
        <v>56.924601348924099</v>
      </c>
      <c r="H946" s="861">
        <v>51.4496097954544</v>
      </c>
      <c r="I946" s="861">
        <v>34.732148716373501</v>
      </c>
      <c r="J946" s="861">
        <v>44.997682873569701</v>
      </c>
      <c r="K946" s="982">
        <v>0</v>
      </c>
      <c r="L946" s="735" t="s">
        <v>2466</v>
      </c>
      <c r="M946" s="735">
        <v>3212</v>
      </c>
      <c r="N946" s="845" t="str">
        <f t="shared" si="83"/>
        <v/>
      </c>
      <c r="O946" s="735">
        <v>0.52214564027477328</v>
      </c>
      <c r="P946" s="735">
        <f t="shared" si="84"/>
        <v>6151.5403984024861</v>
      </c>
      <c r="Q946" s="849">
        <v>31.4</v>
      </c>
      <c r="R946" s="71">
        <v>59003</v>
      </c>
      <c r="S946" s="845">
        <v>0.13792029887920298</v>
      </c>
      <c r="T946" s="845">
        <v>1.6E-2</v>
      </c>
      <c r="U946" s="845">
        <v>0</v>
      </c>
      <c r="V946" s="845">
        <v>0.14300000000000002</v>
      </c>
      <c r="W946" s="845">
        <v>0.80138969310943831</v>
      </c>
      <c r="X946" s="845">
        <v>0.36994219653179189</v>
      </c>
      <c r="Y946" s="845">
        <v>0.53953922789539233</v>
      </c>
      <c r="Z946" s="845">
        <v>0.31195516811955171</v>
      </c>
      <c r="AA946" s="845">
        <v>0</v>
      </c>
      <c r="AB946" s="845">
        <v>1.0585305105853052E-2</v>
      </c>
      <c r="AC946" s="845">
        <v>0</v>
      </c>
      <c r="AD946" s="845">
        <v>1.0273972602739725E-2</v>
      </c>
      <c r="AE946" s="845">
        <v>0.12764632627646327</v>
      </c>
      <c r="AF946" s="845">
        <v>0.15722291407222913</v>
      </c>
      <c r="AG946" s="845">
        <v>0.50653798256537985</v>
      </c>
      <c r="AH946" s="20" t="str">
        <f t="shared" si="85"/>
        <v>No</v>
      </c>
      <c r="AI946" s="25"/>
      <c r="AJ946" s="20">
        <v>43845</v>
      </c>
      <c r="AK946" s="20" t="s">
        <v>1091</v>
      </c>
      <c r="AL946" s="20">
        <v>39031</v>
      </c>
      <c r="AM946" s="20" t="s">
        <v>22</v>
      </c>
      <c r="AN946" s="37" t="str">
        <f t="shared" si="86"/>
        <v>N/A</v>
      </c>
      <c r="AO946" s="37" t="str">
        <f t="shared" si="87"/>
        <v>N/A</v>
      </c>
      <c r="AP946" s="20" t="s">
        <v>8</v>
      </c>
      <c r="AQ946" s="25"/>
      <c r="AR946" s="25"/>
      <c r="AS946" s="25"/>
      <c r="AT946" s="25"/>
      <c r="AU946" s="36"/>
      <c r="AV946" s="36"/>
      <c r="AW946" s="36"/>
      <c r="AX946" s="25"/>
      <c r="AY946" s="25"/>
      <c r="AZ946" s="25"/>
      <c r="BA946" s="25"/>
      <c r="BB946" s="25"/>
      <c r="BC946" s="25"/>
      <c r="BD946" s="25"/>
      <c r="BE946" s="25"/>
      <c r="BF946" s="25"/>
      <c r="BG946" s="25"/>
      <c r="BH946" s="25"/>
      <c r="BI946" s="25"/>
      <c r="BJ946" s="25"/>
      <c r="BK946" s="25"/>
      <c r="BL946" s="25"/>
      <c r="BM946" s="25"/>
      <c r="BN946" s="25"/>
      <c r="BO946" s="25"/>
      <c r="BP946" s="25"/>
      <c r="BQ946" s="25"/>
      <c r="BR946" s="25"/>
      <c r="BS946" s="25"/>
      <c r="BT946" s="25"/>
      <c r="BU946" s="39">
        <v>45832</v>
      </c>
      <c r="BV946" s="39" t="s">
        <v>1902</v>
      </c>
      <c r="BW946" s="39" t="s">
        <v>2905</v>
      </c>
      <c r="BX946" s="39" t="s">
        <v>2906</v>
      </c>
      <c r="BY946" s="71">
        <v>720</v>
      </c>
      <c r="BZ946" s="71">
        <v>760</v>
      </c>
      <c r="CA946" s="71">
        <v>970</v>
      </c>
      <c r="CB946" s="71">
        <v>1220</v>
      </c>
      <c r="CC946" s="71">
        <v>1320</v>
      </c>
      <c r="CD946" s="25"/>
      <c r="CE946" s="200"/>
      <c r="CF946" s="200"/>
      <c r="CG946" s="200"/>
      <c r="CH946" s="200"/>
      <c r="CI946" s="200"/>
      <c r="CJ946" s="200"/>
      <c r="CK946" s="200"/>
      <c r="CL946" s="200"/>
      <c r="CM946" s="200"/>
      <c r="CN946" s="200"/>
      <c r="CO946" s="200"/>
      <c r="CP946" s="200"/>
      <c r="CQ946" s="200"/>
      <c r="CR946" s="200"/>
      <c r="CS946" s="200"/>
      <c r="CT946" s="200"/>
      <c r="CU946" s="200"/>
    </row>
    <row r="947" spans="1:99" s="17" customFormat="1" x14ac:dyDescent="0.2">
      <c r="A947" s="25"/>
      <c r="B947" s="20">
        <v>39061027700</v>
      </c>
      <c r="C947" s="20">
        <v>277</v>
      </c>
      <c r="D947" s="20" t="s">
        <v>37</v>
      </c>
      <c r="E947" s="20" t="s">
        <v>2828</v>
      </c>
      <c r="F947" s="20" t="s">
        <v>8</v>
      </c>
      <c r="G947" s="861">
        <v>56.912799244212302</v>
      </c>
      <c r="H947" s="861">
        <v>61.0770571374551</v>
      </c>
      <c r="I947" s="861">
        <v>46.847562380385597</v>
      </c>
      <c r="J947" s="861">
        <v>48.472933155342403</v>
      </c>
      <c r="K947" s="982">
        <v>0</v>
      </c>
      <c r="L947" s="735" t="s">
        <v>2466</v>
      </c>
      <c r="M947" s="735">
        <v>4297</v>
      </c>
      <c r="N947" s="845" t="str">
        <f t="shared" si="83"/>
        <v/>
      </c>
      <c r="O947" s="735">
        <v>0.84741740378105446</v>
      </c>
      <c r="P947" s="735">
        <f t="shared" si="84"/>
        <v>5070.7006733959024</v>
      </c>
      <c r="Q947" s="849">
        <v>39.4</v>
      </c>
      <c r="R947" s="71">
        <v>66439</v>
      </c>
      <c r="S947" s="845">
        <v>0.1638352338841052</v>
      </c>
      <c r="T947" s="845">
        <v>5.0999999999999997E-2</v>
      </c>
      <c r="U947" s="845">
        <v>0</v>
      </c>
      <c r="V947" s="845">
        <v>1.2E-2</v>
      </c>
      <c r="W947" s="845">
        <v>0.49904671115347948</v>
      </c>
      <c r="X947" s="845">
        <v>0.36771728748806115</v>
      </c>
      <c r="Y947" s="845">
        <v>0.69885966953688616</v>
      </c>
      <c r="Z947" s="845">
        <v>0.25482895043053294</v>
      </c>
      <c r="AA947" s="845">
        <v>0</v>
      </c>
      <c r="AB947" s="845">
        <v>5.8180125669071445E-3</v>
      </c>
      <c r="AC947" s="845">
        <v>0</v>
      </c>
      <c r="AD947" s="845">
        <v>1.3963230160577147E-3</v>
      </c>
      <c r="AE947" s="845">
        <v>3.9097044449616009E-2</v>
      </c>
      <c r="AF947" s="845">
        <v>2.0944845240865721E-3</v>
      </c>
      <c r="AG947" s="845">
        <v>0.69885966953688616</v>
      </c>
      <c r="AH947" s="20" t="str">
        <f t="shared" si="85"/>
        <v>No</v>
      </c>
      <c r="AI947" s="25"/>
      <c r="AJ947" s="20">
        <v>44637</v>
      </c>
      <c r="AK947" s="20" t="s">
        <v>1405</v>
      </c>
      <c r="AL947" s="20">
        <v>39031</v>
      </c>
      <c r="AM947" s="20" t="s">
        <v>22</v>
      </c>
      <c r="AN947" s="37" t="str">
        <f t="shared" si="86"/>
        <v>N/A</v>
      </c>
      <c r="AO947" s="37" t="str">
        <f t="shared" si="87"/>
        <v>N/A</v>
      </c>
      <c r="AP947" s="20" t="s">
        <v>8</v>
      </c>
      <c r="AQ947" s="25"/>
      <c r="AR947" s="25"/>
      <c r="AS947" s="25"/>
      <c r="AT947" s="25"/>
      <c r="AU947" s="36"/>
      <c r="AV947" s="36"/>
      <c r="AW947" s="36"/>
      <c r="AX947" s="25"/>
      <c r="AY947" s="25"/>
      <c r="AZ947" s="25"/>
      <c r="BA947" s="25"/>
      <c r="BB947" s="25"/>
      <c r="BC947" s="25"/>
      <c r="BD947" s="25"/>
      <c r="BE947" s="25"/>
      <c r="BF947" s="25"/>
      <c r="BG947" s="25"/>
      <c r="BH947" s="25"/>
      <c r="BI947" s="25"/>
      <c r="BJ947" s="25"/>
      <c r="BK947" s="25"/>
      <c r="BL947" s="25"/>
      <c r="BM947" s="25"/>
      <c r="BN947" s="25"/>
      <c r="BO947" s="25"/>
      <c r="BP947" s="25"/>
      <c r="BQ947" s="25"/>
      <c r="BR947" s="25"/>
      <c r="BS947" s="25"/>
      <c r="BT947" s="25"/>
      <c r="BU947" s="39">
        <v>45849</v>
      </c>
      <c r="BV947" s="39" t="s">
        <v>1914</v>
      </c>
      <c r="BW947" s="39" t="s">
        <v>2905</v>
      </c>
      <c r="BX947" s="39" t="s">
        <v>2906</v>
      </c>
      <c r="BY947" s="71">
        <v>760</v>
      </c>
      <c r="BZ947" s="71">
        <v>800</v>
      </c>
      <c r="CA947" s="71">
        <v>1010</v>
      </c>
      <c r="CB947" s="71">
        <v>1310</v>
      </c>
      <c r="CC947" s="71">
        <v>1470</v>
      </c>
      <c r="CD947" s="25"/>
      <c r="CE947" s="200"/>
      <c r="CF947" s="200"/>
      <c r="CG947" s="200"/>
      <c r="CH947" s="200"/>
      <c r="CI947" s="200"/>
      <c r="CJ947" s="200"/>
      <c r="CK947" s="200"/>
      <c r="CL947" s="200"/>
      <c r="CM947" s="200"/>
      <c r="CN947" s="200"/>
      <c r="CO947" s="200"/>
      <c r="CP947" s="200"/>
      <c r="CQ947" s="200"/>
      <c r="CR947" s="200"/>
      <c r="CS947" s="200"/>
      <c r="CT947" s="200"/>
      <c r="CU947" s="200"/>
    </row>
    <row r="948" spans="1:99" s="17" customFormat="1" x14ac:dyDescent="0.2">
      <c r="A948" s="25"/>
      <c r="B948" s="20">
        <v>39113050105</v>
      </c>
      <c r="C948" s="20">
        <v>501.05</v>
      </c>
      <c r="D948" s="20" t="s">
        <v>62</v>
      </c>
      <c r="E948" s="20" t="s">
        <v>2833</v>
      </c>
      <c r="F948" s="20" t="s">
        <v>8</v>
      </c>
      <c r="G948" s="861">
        <v>56.908109031101198</v>
      </c>
      <c r="H948" s="861">
        <v>62.150274505662203</v>
      </c>
      <c r="I948" s="861">
        <v>20.565196225521198</v>
      </c>
      <c r="J948" s="861">
        <v>42.710954570552403</v>
      </c>
      <c r="K948" s="982">
        <v>0</v>
      </c>
      <c r="L948" s="735">
        <v>4781</v>
      </c>
      <c r="M948" s="735">
        <v>5027</v>
      </c>
      <c r="N948" s="845">
        <f t="shared" si="83"/>
        <v>5.1453670780171511E-2</v>
      </c>
      <c r="O948" s="735">
        <v>1.5108061635078318</v>
      </c>
      <c r="P948" s="735">
        <f t="shared" si="84"/>
        <v>3327.3626501020963</v>
      </c>
      <c r="Q948" s="849">
        <v>40.6</v>
      </c>
      <c r="R948" s="71">
        <v>87774</v>
      </c>
      <c r="S948" s="845">
        <v>1.7875075316328579E-2</v>
      </c>
      <c r="T948" s="845">
        <v>1.8000000000000002E-2</v>
      </c>
      <c r="U948" s="845">
        <v>1.7000000000000001E-2</v>
      </c>
      <c r="V948" s="845">
        <v>8.4000000000000005E-2</v>
      </c>
      <c r="W948" s="845">
        <v>0.38791423001949316</v>
      </c>
      <c r="X948" s="845">
        <v>0.26884422110552764</v>
      </c>
      <c r="Y948" s="845">
        <v>0.80385916053312112</v>
      </c>
      <c r="Z948" s="845">
        <v>6.9226178635369007E-2</v>
      </c>
      <c r="AA948" s="845">
        <v>0</v>
      </c>
      <c r="AB948" s="845">
        <v>6.8231549631987271E-2</v>
      </c>
      <c r="AC948" s="845">
        <v>0</v>
      </c>
      <c r="AD948" s="845">
        <v>1.9892580067634773E-2</v>
      </c>
      <c r="AE948" s="845">
        <v>3.8790531131887802E-2</v>
      </c>
      <c r="AF948" s="845">
        <v>3.7199124726477024E-2</v>
      </c>
      <c r="AG948" s="845">
        <v>0.78496120946886816</v>
      </c>
      <c r="AH948" s="20" t="str">
        <f t="shared" si="85"/>
        <v>No</v>
      </c>
      <c r="AI948" s="25"/>
      <c r="AJ948" s="20">
        <v>44654</v>
      </c>
      <c r="AK948" s="20" t="s">
        <v>1418</v>
      </c>
      <c r="AL948" s="20">
        <v>39031</v>
      </c>
      <c r="AM948" s="20" t="s">
        <v>22</v>
      </c>
      <c r="AN948" s="37" t="str">
        <f t="shared" si="86"/>
        <v>N/A</v>
      </c>
      <c r="AO948" s="37" t="str">
        <f t="shared" si="87"/>
        <v>N/A</v>
      </c>
      <c r="AP948" s="20" t="s">
        <v>8</v>
      </c>
      <c r="AQ948" s="25"/>
      <c r="AR948" s="25"/>
      <c r="AS948" s="25"/>
      <c r="AT948" s="25"/>
      <c r="AU948" s="36"/>
      <c r="AV948" s="36"/>
      <c r="AW948" s="36"/>
      <c r="AX948" s="25"/>
      <c r="AY948" s="25"/>
      <c r="AZ948" s="25"/>
      <c r="BA948" s="25"/>
      <c r="BB948" s="25"/>
      <c r="BC948" s="25"/>
      <c r="BD948" s="25"/>
      <c r="BE948" s="25"/>
      <c r="BF948" s="25"/>
      <c r="BG948" s="25"/>
      <c r="BH948" s="25"/>
      <c r="BI948" s="25"/>
      <c r="BJ948" s="25"/>
      <c r="BK948" s="25"/>
      <c r="BL948" s="25"/>
      <c r="BM948" s="25"/>
      <c r="BN948" s="25"/>
      <c r="BO948" s="25"/>
      <c r="BP948" s="25"/>
      <c r="BQ948" s="25"/>
      <c r="BR948" s="25"/>
      <c r="BS948" s="25"/>
      <c r="BT948" s="25"/>
      <c r="BU948" s="39">
        <v>45851</v>
      </c>
      <c r="BV948" s="39" t="s">
        <v>1916</v>
      </c>
      <c r="BW948" s="39" t="s">
        <v>2905</v>
      </c>
      <c r="BX948" s="39" t="s">
        <v>2906</v>
      </c>
      <c r="BY948" s="71">
        <v>820</v>
      </c>
      <c r="BZ948" s="71">
        <v>870</v>
      </c>
      <c r="CA948" s="71">
        <v>1090</v>
      </c>
      <c r="CB948" s="71">
        <v>1500</v>
      </c>
      <c r="CC948" s="71">
        <v>1710</v>
      </c>
      <c r="CD948" s="25"/>
      <c r="CE948" s="200"/>
      <c r="CF948" s="200"/>
      <c r="CG948" s="200"/>
      <c r="CH948" s="200"/>
      <c r="CI948" s="200"/>
      <c r="CJ948" s="200"/>
      <c r="CK948" s="200"/>
      <c r="CL948" s="200"/>
      <c r="CM948" s="200"/>
      <c r="CN948" s="200"/>
      <c r="CO948" s="200"/>
      <c r="CP948" s="200"/>
      <c r="CQ948" s="200"/>
      <c r="CR948" s="200"/>
      <c r="CS948" s="200"/>
      <c r="CT948" s="200"/>
      <c r="CU948" s="200"/>
    </row>
    <row r="949" spans="1:99" s="17" customFormat="1" x14ac:dyDescent="0.2">
      <c r="A949" s="25"/>
      <c r="B949" s="20">
        <v>39041010422</v>
      </c>
      <c r="C949" s="20">
        <v>104.22</v>
      </c>
      <c r="D949" s="20" t="s">
        <v>27</v>
      </c>
      <c r="E949" s="20" t="s">
        <v>2830</v>
      </c>
      <c r="F949" s="20" t="s">
        <v>8</v>
      </c>
      <c r="G949" s="861">
        <v>56.884446422434301</v>
      </c>
      <c r="H949" s="861">
        <v>65.275516594577994</v>
      </c>
      <c r="I949" s="861">
        <v>39.260069122512697</v>
      </c>
      <c r="J949" s="861">
        <v>33.2156859889676</v>
      </c>
      <c r="K949" s="982">
        <v>0</v>
      </c>
      <c r="L949" s="735">
        <v>5959</v>
      </c>
      <c r="M949" s="735">
        <v>6368</v>
      </c>
      <c r="N949" s="845">
        <f t="shared" si="83"/>
        <v>6.8635677127034736E-2</v>
      </c>
      <c r="O949" s="735">
        <v>2.3987345640748909</v>
      </c>
      <c r="P949" s="735">
        <f t="shared" si="84"/>
        <v>2654.7330810884937</v>
      </c>
      <c r="Q949" s="849">
        <v>35.799999999999997</v>
      </c>
      <c r="R949" s="71">
        <v>87396</v>
      </c>
      <c r="S949" s="845">
        <v>0.10587118214907422</v>
      </c>
      <c r="T949" s="845">
        <v>1.8000000000000002E-2</v>
      </c>
      <c r="U949" s="845">
        <v>0</v>
      </c>
      <c r="V949" s="845">
        <v>0</v>
      </c>
      <c r="W949" s="845">
        <v>0.36956521739130432</v>
      </c>
      <c r="X949" s="845">
        <v>0.49611542730299668</v>
      </c>
      <c r="Y949" s="845">
        <v>0.81940954773869346</v>
      </c>
      <c r="Z949" s="845">
        <v>3.3291457286432159E-2</v>
      </c>
      <c r="AA949" s="845">
        <v>0</v>
      </c>
      <c r="AB949" s="845">
        <v>1.1306532663316583E-2</v>
      </c>
      <c r="AC949" s="845">
        <v>5.4962311557788949E-3</v>
      </c>
      <c r="AD949" s="845">
        <v>7.2236180904522614E-3</v>
      </c>
      <c r="AE949" s="845">
        <v>0.12327261306532664</v>
      </c>
      <c r="AF949" s="845">
        <v>6.1557788944723621E-2</v>
      </c>
      <c r="AG949" s="845">
        <v>0.80904522613065322</v>
      </c>
      <c r="AH949" s="20" t="str">
        <f t="shared" si="85"/>
        <v>No</v>
      </c>
      <c r="AI949" s="25"/>
      <c r="AJ949" s="20">
        <v>43302</v>
      </c>
      <c r="AK949" s="20" t="s">
        <v>866</v>
      </c>
      <c r="AL949" s="20">
        <v>39033</v>
      </c>
      <c r="AM949" s="20" t="s">
        <v>23</v>
      </c>
      <c r="AN949" s="37" t="str">
        <f t="shared" si="86"/>
        <v>N/A</v>
      </c>
      <c r="AO949" s="37" t="str">
        <f t="shared" si="87"/>
        <v>N/A</v>
      </c>
      <c r="AP949" s="20" t="s">
        <v>8</v>
      </c>
      <c r="AQ949" s="25"/>
      <c r="AR949" s="25"/>
      <c r="AS949" s="25"/>
      <c r="AT949" s="25"/>
      <c r="AU949" s="36"/>
      <c r="AV949" s="36"/>
      <c r="AW949" s="36"/>
      <c r="AX949" s="25"/>
      <c r="AY949" s="25"/>
      <c r="AZ949" s="25"/>
      <c r="BA949" s="25"/>
      <c r="BB949" s="25"/>
      <c r="BC949" s="25"/>
      <c r="BD949" s="25"/>
      <c r="BE949" s="25"/>
      <c r="BF949" s="25"/>
      <c r="BG949" s="25"/>
      <c r="BH949" s="25"/>
      <c r="BI949" s="25"/>
      <c r="BJ949" s="25"/>
      <c r="BK949" s="25"/>
      <c r="BL949" s="25"/>
      <c r="BM949" s="25"/>
      <c r="BN949" s="25"/>
      <c r="BO949" s="25"/>
      <c r="BP949" s="25"/>
      <c r="BQ949" s="25"/>
      <c r="BR949" s="25"/>
      <c r="BS949" s="25"/>
      <c r="BT949" s="25"/>
      <c r="BU949" s="39">
        <v>45855</v>
      </c>
      <c r="BV949" s="39" t="s">
        <v>1919</v>
      </c>
      <c r="BW949" s="39" t="s">
        <v>2905</v>
      </c>
      <c r="BX949" s="39" t="s">
        <v>2906</v>
      </c>
      <c r="BY949" s="71">
        <v>1100</v>
      </c>
      <c r="BZ949" s="71">
        <v>1170</v>
      </c>
      <c r="CA949" s="71">
        <v>1460</v>
      </c>
      <c r="CB949" s="71">
        <v>2020</v>
      </c>
      <c r="CC949" s="71">
        <v>2300</v>
      </c>
      <c r="CD949" s="25"/>
      <c r="CE949" s="200"/>
      <c r="CF949" s="200"/>
      <c r="CG949" s="200"/>
      <c r="CH949" s="200"/>
      <c r="CI949" s="200"/>
      <c r="CJ949" s="200"/>
      <c r="CK949" s="200"/>
      <c r="CL949" s="200"/>
      <c r="CM949" s="200"/>
      <c r="CN949" s="200"/>
      <c r="CO949" s="200"/>
      <c r="CP949" s="200"/>
      <c r="CQ949" s="200"/>
      <c r="CR949" s="200"/>
      <c r="CS949" s="200"/>
      <c r="CT949" s="200"/>
      <c r="CU949" s="200"/>
    </row>
    <row r="950" spans="1:99" s="17" customFormat="1" x14ac:dyDescent="0.2">
      <c r="A950" s="25"/>
      <c r="B950" s="20">
        <v>39099813502</v>
      </c>
      <c r="C950" s="20">
        <v>8135.02</v>
      </c>
      <c r="D950" s="20" t="s">
        <v>55</v>
      </c>
      <c r="E950" s="20" t="s">
        <v>2842</v>
      </c>
      <c r="F950" s="20" t="s">
        <v>8</v>
      </c>
      <c r="G950" s="861">
        <v>56.861848061364498</v>
      </c>
      <c r="H950" s="861">
        <v>60.594531755645498</v>
      </c>
      <c r="I950" s="861">
        <v>29.880746113152899</v>
      </c>
      <c r="J950" s="861">
        <v>59.872359495325703</v>
      </c>
      <c r="K950" s="982">
        <v>0</v>
      </c>
      <c r="L950" s="735" t="s">
        <v>2466</v>
      </c>
      <c r="M950" s="735">
        <v>4184</v>
      </c>
      <c r="N950" s="845" t="str">
        <f t="shared" si="83"/>
        <v/>
      </c>
      <c r="O950" s="735">
        <v>23.448280231680293</v>
      </c>
      <c r="P950" s="735">
        <f t="shared" si="84"/>
        <v>178.43526086604504</v>
      </c>
      <c r="Q950" s="849">
        <v>53.8</v>
      </c>
      <c r="R950" s="71">
        <v>116662</v>
      </c>
      <c r="S950" s="845">
        <v>9.1064453125E-2</v>
      </c>
      <c r="T950" s="845">
        <v>6.8000000000000005E-2</v>
      </c>
      <c r="U950" s="845">
        <v>0</v>
      </c>
      <c r="V950" s="845">
        <v>0</v>
      </c>
      <c r="W950" s="845">
        <v>0.13450624290578889</v>
      </c>
      <c r="X950" s="845">
        <v>0.32489451476793246</v>
      </c>
      <c r="Y950" s="845">
        <v>0.95052581261950286</v>
      </c>
      <c r="Z950" s="845">
        <v>3.3460803059273425E-3</v>
      </c>
      <c r="AA950" s="845">
        <v>0</v>
      </c>
      <c r="AB950" s="845">
        <v>1.4579349904397706E-2</v>
      </c>
      <c r="AC950" s="845">
        <v>0</v>
      </c>
      <c r="AD950" s="845">
        <v>1.5535372848948376E-2</v>
      </c>
      <c r="AE950" s="845">
        <v>1.6013384321223709E-2</v>
      </c>
      <c r="AF950" s="845">
        <v>4.7801147227533459E-4</v>
      </c>
      <c r="AG950" s="845">
        <v>0.95052581261950286</v>
      </c>
      <c r="AH950" s="20" t="str">
        <f t="shared" si="85"/>
        <v>Yes</v>
      </c>
      <c r="AI950" s="25"/>
      <c r="AJ950" s="20">
        <v>43314</v>
      </c>
      <c r="AK950" s="20" t="s">
        <v>869</v>
      </c>
      <c r="AL950" s="20">
        <v>39033</v>
      </c>
      <c r="AM950" s="20" t="s">
        <v>23</v>
      </c>
      <c r="AN950" s="37" t="str">
        <f t="shared" si="86"/>
        <v>N/A</v>
      </c>
      <c r="AO950" s="37" t="str">
        <f t="shared" si="87"/>
        <v>N/A</v>
      </c>
      <c r="AP950" s="20" t="s">
        <v>8</v>
      </c>
      <c r="AQ950" s="25"/>
      <c r="AR950" s="25"/>
      <c r="AS950" s="25"/>
      <c r="AT950" s="25"/>
      <c r="AU950" s="36"/>
      <c r="AV950" s="36"/>
      <c r="AW950" s="36"/>
      <c r="AX950" s="25"/>
      <c r="AY950" s="25"/>
      <c r="AZ950" s="25"/>
      <c r="BA950" s="25"/>
      <c r="BB950" s="25"/>
      <c r="BC950" s="25"/>
      <c r="BD950" s="25"/>
      <c r="BE950" s="25"/>
      <c r="BF950" s="25"/>
      <c r="BG950" s="25"/>
      <c r="BH950" s="25"/>
      <c r="BI950" s="25"/>
      <c r="BJ950" s="25"/>
      <c r="BK950" s="25"/>
      <c r="BL950" s="25"/>
      <c r="BM950" s="25"/>
      <c r="BN950" s="25"/>
      <c r="BO950" s="25"/>
      <c r="BP950" s="25"/>
      <c r="BQ950" s="25"/>
      <c r="BR950" s="25"/>
      <c r="BS950" s="25"/>
      <c r="BT950" s="25"/>
      <c r="BU950" s="39">
        <v>45861</v>
      </c>
      <c r="BV950" s="39" t="s">
        <v>1924</v>
      </c>
      <c r="BW950" s="39" t="s">
        <v>2905</v>
      </c>
      <c r="BX950" s="39" t="s">
        <v>2906</v>
      </c>
      <c r="BY950" s="71">
        <v>740</v>
      </c>
      <c r="BZ950" s="71">
        <v>780</v>
      </c>
      <c r="CA950" s="71">
        <v>970</v>
      </c>
      <c r="CB950" s="71">
        <v>1340</v>
      </c>
      <c r="CC950" s="71">
        <v>1530</v>
      </c>
      <c r="CD950" s="25"/>
      <c r="CE950" s="200"/>
      <c r="CF950" s="200"/>
      <c r="CG950" s="200"/>
      <c r="CH950" s="200"/>
      <c r="CI950" s="200"/>
      <c r="CJ950" s="200"/>
      <c r="CK950" s="200"/>
      <c r="CL950" s="200"/>
      <c r="CM950" s="200"/>
      <c r="CN950" s="200"/>
      <c r="CO950" s="200"/>
      <c r="CP950" s="200"/>
      <c r="CQ950" s="200"/>
      <c r="CR950" s="200"/>
      <c r="CS950" s="200"/>
      <c r="CT950" s="200"/>
      <c r="CU950" s="200"/>
    </row>
    <row r="951" spans="1:99" s="17" customFormat="1" x14ac:dyDescent="0.2">
      <c r="A951" s="25"/>
      <c r="B951" s="20">
        <v>39061002902</v>
      </c>
      <c r="C951" s="20">
        <v>29.02</v>
      </c>
      <c r="D951" s="20" t="s">
        <v>37</v>
      </c>
      <c r="E951" s="20" t="s">
        <v>2828</v>
      </c>
      <c r="F951" s="20" t="s">
        <v>6</v>
      </c>
      <c r="G951" s="861">
        <v>56.844419936159902</v>
      </c>
      <c r="H951" s="861">
        <v>64.1653674922443</v>
      </c>
      <c r="I951" s="861">
        <v>59.2029011353332</v>
      </c>
      <c r="J951" s="861">
        <v>59.025500292369998</v>
      </c>
      <c r="K951" s="982">
        <v>0</v>
      </c>
      <c r="L951" s="735" t="s">
        <v>2466</v>
      </c>
      <c r="M951" s="735">
        <v>2716</v>
      </c>
      <c r="N951" s="845" t="str">
        <f t="shared" si="83"/>
        <v/>
      </c>
      <c r="O951" s="735">
        <v>0.27899703369680723</v>
      </c>
      <c r="P951" s="735">
        <f t="shared" si="84"/>
        <v>9734.870525367458</v>
      </c>
      <c r="Q951" s="849">
        <v>27.3</v>
      </c>
      <c r="R951" s="71">
        <v>32790</v>
      </c>
      <c r="S951" s="845">
        <v>0.31545490663488279</v>
      </c>
      <c r="T951" s="845">
        <v>3.6000000000000004E-2</v>
      </c>
      <c r="U951" s="845">
        <v>0</v>
      </c>
      <c r="V951" s="845">
        <v>6.9000000000000006E-2</v>
      </c>
      <c r="W951" s="845">
        <v>0.9726384364820847</v>
      </c>
      <c r="X951" s="845">
        <v>0.64567983924983252</v>
      </c>
      <c r="Y951" s="845">
        <v>0.42673048600883651</v>
      </c>
      <c r="Z951" s="845">
        <v>0.33652430044182624</v>
      </c>
      <c r="AA951" s="845">
        <v>0</v>
      </c>
      <c r="AB951" s="845">
        <v>0.21391752577319587</v>
      </c>
      <c r="AC951" s="845">
        <v>0</v>
      </c>
      <c r="AD951" s="845">
        <v>0</v>
      </c>
      <c r="AE951" s="845">
        <v>2.2827687776141383E-2</v>
      </c>
      <c r="AF951" s="845">
        <v>5.8910162002945507E-3</v>
      </c>
      <c r="AG951" s="845">
        <v>0.42378497790868924</v>
      </c>
      <c r="AH951" s="20" t="str">
        <f t="shared" si="85"/>
        <v>No</v>
      </c>
      <c r="AI951" s="25"/>
      <c r="AJ951" s="20">
        <v>44818</v>
      </c>
      <c r="AK951" s="20" t="s">
        <v>1475</v>
      </c>
      <c r="AL951" s="20">
        <v>39033</v>
      </c>
      <c r="AM951" s="20" t="s">
        <v>23</v>
      </c>
      <c r="AN951" s="37" t="str">
        <f t="shared" si="86"/>
        <v>N/A</v>
      </c>
      <c r="AO951" s="37" t="str">
        <f t="shared" si="87"/>
        <v>N/A</v>
      </c>
      <c r="AP951" s="20" t="s">
        <v>8</v>
      </c>
      <c r="AQ951" s="25"/>
      <c r="AR951" s="25"/>
      <c r="AS951" s="25"/>
      <c r="AT951" s="25"/>
      <c r="AU951" s="36"/>
      <c r="AV951" s="36"/>
      <c r="AW951" s="36"/>
      <c r="AX951" s="25"/>
      <c r="AY951" s="25"/>
      <c r="AZ951" s="25"/>
      <c r="BA951" s="25"/>
      <c r="BB951" s="25"/>
      <c r="BC951" s="25"/>
      <c r="BD951" s="25"/>
      <c r="BE951" s="25"/>
      <c r="BF951" s="25"/>
      <c r="BG951" s="25"/>
      <c r="BH951" s="25"/>
      <c r="BI951" s="25"/>
      <c r="BJ951" s="25"/>
      <c r="BK951" s="25"/>
      <c r="BL951" s="25"/>
      <c r="BM951" s="25"/>
      <c r="BN951" s="25"/>
      <c r="BO951" s="25"/>
      <c r="BP951" s="25"/>
      <c r="BQ951" s="25"/>
      <c r="BR951" s="25"/>
      <c r="BS951" s="25"/>
      <c r="BT951" s="25"/>
      <c r="BU951" s="39">
        <v>45873</v>
      </c>
      <c r="BV951" s="39" t="s">
        <v>1936</v>
      </c>
      <c r="BW951" s="39" t="s">
        <v>2905</v>
      </c>
      <c r="BX951" s="39" t="s">
        <v>2906</v>
      </c>
      <c r="BY951" s="71">
        <v>750</v>
      </c>
      <c r="BZ951" s="71">
        <v>790</v>
      </c>
      <c r="CA951" s="71">
        <v>990</v>
      </c>
      <c r="CB951" s="71">
        <v>1270</v>
      </c>
      <c r="CC951" s="71">
        <v>1430</v>
      </c>
      <c r="CD951" s="25"/>
      <c r="CE951" s="200"/>
      <c r="CF951" s="200"/>
      <c r="CG951" s="200"/>
      <c r="CH951" s="200"/>
      <c r="CI951" s="200"/>
      <c r="CJ951" s="200"/>
      <c r="CK951" s="200"/>
      <c r="CL951" s="200"/>
      <c r="CM951" s="200"/>
      <c r="CN951" s="200"/>
      <c r="CO951" s="200"/>
      <c r="CP951" s="200"/>
      <c r="CQ951" s="200"/>
      <c r="CR951" s="200"/>
      <c r="CS951" s="200"/>
      <c r="CT951" s="200"/>
      <c r="CU951" s="200"/>
    </row>
    <row r="952" spans="1:99" s="17" customFormat="1" x14ac:dyDescent="0.2">
      <c r="A952" s="25"/>
      <c r="B952" s="20">
        <v>39167021500</v>
      </c>
      <c r="C952" s="20">
        <v>215</v>
      </c>
      <c r="D952" s="20" t="s">
        <v>89</v>
      </c>
      <c r="E952" s="20" t="s">
        <v>265</v>
      </c>
      <c r="F952" s="20" t="s">
        <v>8</v>
      </c>
      <c r="G952" s="861">
        <v>56.8430322800764</v>
      </c>
      <c r="H952" s="861">
        <v>46.309443793432102</v>
      </c>
      <c r="I952" s="861">
        <v>17.736329566842301</v>
      </c>
      <c r="J952" s="861">
        <v>36.271551752868703</v>
      </c>
      <c r="K952" s="982">
        <v>0</v>
      </c>
      <c r="L952" s="735">
        <v>1410</v>
      </c>
      <c r="M952" s="735">
        <v>1410</v>
      </c>
      <c r="N952" s="845">
        <f t="shared" si="83"/>
        <v>0</v>
      </c>
      <c r="O952" s="735">
        <v>15.585460737887326</v>
      </c>
      <c r="P952" s="735">
        <f t="shared" si="84"/>
        <v>90.468932790185278</v>
      </c>
      <c r="Q952" s="849">
        <v>51</v>
      </c>
      <c r="R952" s="71">
        <v>60667</v>
      </c>
      <c r="S952" s="845">
        <v>4.75177304964539E-2</v>
      </c>
      <c r="T952" s="845">
        <v>3.2000000000000001E-2</v>
      </c>
      <c r="U952" s="845">
        <v>0</v>
      </c>
      <c r="V952" s="845">
        <v>0</v>
      </c>
      <c r="W952" s="845">
        <v>0.12423312883435583</v>
      </c>
      <c r="X952" s="845">
        <v>0.34567901234567899</v>
      </c>
      <c r="Y952" s="845">
        <v>0.99007092198581559</v>
      </c>
      <c r="Z952" s="845">
        <v>3.5460992907801418E-3</v>
      </c>
      <c r="AA952" s="845">
        <v>1.4184397163120568E-3</v>
      </c>
      <c r="AB952" s="845">
        <v>0</v>
      </c>
      <c r="AC952" s="845">
        <v>0</v>
      </c>
      <c r="AD952" s="845">
        <v>0</v>
      </c>
      <c r="AE952" s="845">
        <v>4.9645390070921988E-3</v>
      </c>
      <c r="AF952" s="845">
        <v>4.9645390070921988E-3</v>
      </c>
      <c r="AG952" s="845">
        <v>0.99007092198581559</v>
      </c>
      <c r="AH952" s="20" t="str">
        <f t="shared" si="85"/>
        <v>Yes</v>
      </c>
      <c r="AI952" s="25"/>
      <c r="AJ952" s="20">
        <v>44820</v>
      </c>
      <c r="AK952" s="20" t="s">
        <v>1476</v>
      </c>
      <c r="AL952" s="20">
        <v>39033</v>
      </c>
      <c r="AM952" s="20" t="s">
        <v>23</v>
      </c>
      <c r="AN952" s="37" t="str">
        <f t="shared" si="86"/>
        <v>N/A</v>
      </c>
      <c r="AO952" s="37" t="str">
        <f t="shared" si="87"/>
        <v>N/A</v>
      </c>
      <c r="AP952" s="20" t="s">
        <v>8</v>
      </c>
      <c r="AQ952" s="25"/>
      <c r="AR952" s="25"/>
      <c r="AS952" s="25"/>
      <c r="AT952" s="25"/>
      <c r="AU952" s="36"/>
      <c r="AV952" s="36"/>
      <c r="AW952" s="36"/>
      <c r="AX952" s="25"/>
      <c r="AY952" s="25"/>
      <c r="AZ952" s="25"/>
      <c r="BA952" s="25"/>
      <c r="BB952" s="25"/>
      <c r="BC952" s="25"/>
      <c r="BD952" s="25"/>
      <c r="BE952" s="25"/>
      <c r="BF952" s="25"/>
      <c r="BG952" s="25"/>
      <c r="BH952" s="25"/>
      <c r="BI952" s="25"/>
      <c r="BJ952" s="25"/>
      <c r="BK952" s="25"/>
      <c r="BL952" s="25"/>
      <c r="BM952" s="25"/>
      <c r="BN952" s="25"/>
      <c r="BO952" s="25"/>
      <c r="BP952" s="25"/>
      <c r="BQ952" s="25"/>
      <c r="BR952" s="25"/>
      <c r="BS952" s="25"/>
      <c r="BT952" s="25"/>
      <c r="BU952" s="39">
        <v>45879</v>
      </c>
      <c r="BV952" s="39" t="s">
        <v>1941</v>
      </c>
      <c r="BW952" s="39" t="s">
        <v>2905</v>
      </c>
      <c r="BX952" s="39" t="s">
        <v>2906</v>
      </c>
      <c r="BY952" s="71">
        <v>740</v>
      </c>
      <c r="BZ952" s="71">
        <v>780</v>
      </c>
      <c r="CA952" s="71">
        <v>970</v>
      </c>
      <c r="CB952" s="71">
        <v>1340</v>
      </c>
      <c r="CC952" s="71">
        <v>1530</v>
      </c>
      <c r="CD952" s="25"/>
      <c r="CE952" s="200"/>
      <c r="CF952" s="200"/>
      <c r="CG952" s="200"/>
      <c r="CH952" s="200"/>
      <c r="CI952" s="200"/>
      <c r="CJ952" s="200"/>
      <c r="CK952" s="200"/>
      <c r="CL952" s="200"/>
      <c r="CM952" s="200"/>
      <c r="CN952" s="200"/>
      <c r="CO952" s="200"/>
      <c r="CP952" s="200"/>
      <c r="CQ952" s="200"/>
      <c r="CR952" s="200"/>
      <c r="CS952" s="200"/>
      <c r="CT952" s="200"/>
      <c r="CU952" s="200"/>
    </row>
    <row r="953" spans="1:99" s="17" customFormat="1" x14ac:dyDescent="0.2">
      <c r="A953" s="25"/>
      <c r="B953" s="20">
        <v>39167020800</v>
      </c>
      <c r="C953" s="20">
        <v>208</v>
      </c>
      <c r="D953" s="20" t="s">
        <v>89</v>
      </c>
      <c r="E953" s="20" t="s">
        <v>265</v>
      </c>
      <c r="F953" s="20" t="s">
        <v>8</v>
      </c>
      <c r="G953" s="861">
        <v>56.819604525615702</v>
      </c>
      <c r="H953" s="861">
        <v>59.583126763180303</v>
      </c>
      <c r="I953" s="861">
        <v>58.288801958795602</v>
      </c>
      <c r="J953" s="861">
        <v>28.390598455907799</v>
      </c>
      <c r="K953" s="982">
        <v>0</v>
      </c>
      <c r="L953" s="735">
        <v>3888</v>
      </c>
      <c r="M953" s="735">
        <v>3595</v>
      </c>
      <c r="N953" s="845">
        <f t="shared" si="83"/>
        <v>-7.5360082304526746E-2</v>
      </c>
      <c r="O953" s="735">
        <v>0.93318729559727598</v>
      </c>
      <c r="P953" s="735">
        <f t="shared" si="84"/>
        <v>3852.3884936721743</v>
      </c>
      <c r="Q953" s="849">
        <v>45</v>
      </c>
      <c r="R953" s="71">
        <v>54762</v>
      </c>
      <c r="S953" s="845">
        <v>0.18057493720346079</v>
      </c>
      <c r="T953" s="845">
        <v>3.1E-2</v>
      </c>
      <c r="U953" s="845">
        <v>0</v>
      </c>
      <c r="V953" s="845">
        <v>4.0999999999999995E-2</v>
      </c>
      <c r="W953" s="845">
        <v>0.44124047878128403</v>
      </c>
      <c r="X953" s="845">
        <v>0.45745992601726265</v>
      </c>
      <c r="Y953" s="845">
        <v>0.92433936022253127</v>
      </c>
      <c r="Z953" s="845">
        <v>1.3908205841446453E-3</v>
      </c>
      <c r="AA953" s="845">
        <v>6.954102920723227E-3</v>
      </c>
      <c r="AB953" s="845">
        <v>2.2253129346314324E-2</v>
      </c>
      <c r="AC953" s="845">
        <v>0</v>
      </c>
      <c r="AD953" s="845">
        <v>1.5577190542420028E-2</v>
      </c>
      <c r="AE953" s="845">
        <v>2.9485396383866481E-2</v>
      </c>
      <c r="AF953" s="845">
        <v>2.6703755215577191E-2</v>
      </c>
      <c r="AG953" s="845">
        <v>0.91265646731571626</v>
      </c>
      <c r="AH953" s="20" t="str">
        <f t="shared" si="85"/>
        <v>Yes</v>
      </c>
      <c r="AI953" s="25"/>
      <c r="AJ953" s="20">
        <v>44825</v>
      </c>
      <c r="AK953" s="20" t="s">
        <v>1479</v>
      </c>
      <c r="AL953" s="20">
        <v>39033</v>
      </c>
      <c r="AM953" s="20" t="s">
        <v>23</v>
      </c>
      <c r="AN953" s="37" t="str">
        <f t="shared" si="86"/>
        <v>N/A</v>
      </c>
      <c r="AO953" s="37" t="str">
        <f t="shared" si="87"/>
        <v>N/A</v>
      </c>
      <c r="AP953" s="20" t="s">
        <v>8</v>
      </c>
      <c r="AQ953" s="25"/>
      <c r="AR953" s="25"/>
      <c r="AS953" s="25"/>
      <c r="AT953" s="25"/>
      <c r="AU953" s="36"/>
      <c r="AV953" s="36"/>
      <c r="AW953" s="36"/>
      <c r="AX953" s="25"/>
      <c r="AY953" s="25"/>
      <c r="AZ953" s="25"/>
      <c r="BA953" s="25"/>
      <c r="BB953" s="25"/>
      <c r="BC953" s="25"/>
      <c r="BD953" s="25"/>
      <c r="BE953" s="25"/>
      <c r="BF953" s="25"/>
      <c r="BG953" s="25"/>
      <c r="BH953" s="25"/>
      <c r="BI953" s="25"/>
      <c r="BJ953" s="25"/>
      <c r="BK953" s="25"/>
      <c r="BL953" s="25"/>
      <c r="BM953" s="25"/>
      <c r="BN953" s="25"/>
      <c r="BO953" s="25"/>
      <c r="BP953" s="25"/>
      <c r="BQ953" s="25"/>
      <c r="BR953" s="25"/>
      <c r="BS953" s="25"/>
      <c r="BT953" s="25"/>
      <c r="BU953" s="39">
        <v>45880</v>
      </c>
      <c r="BV953" s="39" t="s">
        <v>1942</v>
      </c>
      <c r="BW953" s="39" t="s">
        <v>2905</v>
      </c>
      <c r="BX953" s="39" t="s">
        <v>2906</v>
      </c>
      <c r="BY953" s="71">
        <v>800</v>
      </c>
      <c r="BZ953" s="71">
        <v>850</v>
      </c>
      <c r="CA953" s="71">
        <v>1060</v>
      </c>
      <c r="CB953" s="71">
        <v>1460</v>
      </c>
      <c r="CC953" s="71">
        <v>1670</v>
      </c>
      <c r="CD953" s="25"/>
      <c r="CE953" s="200"/>
      <c r="CF953" s="200"/>
      <c r="CG953" s="200"/>
      <c r="CH953" s="200"/>
      <c r="CI953" s="200"/>
      <c r="CJ953" s="200"/>
      <c r="CK953" s="200"/>
      <c r="CL953" s="200"/>
      <c r="CM953" s="200"/>
      <c r="CN953" s="200"/>
      <c r="CO953" s="200"/>
      <c r="CP953" s="200"/>
      <c r="CQ953" s="200"/>
      <c r="CR953" s="200"/>
      <c r="CS953" s="200"/>
      <c r="CT953" s="200"/>
      <c r="CU953" s="200"/>
    </row>
    <row r="954" spans="1:99" s="17" customFormat="1" x14ac:dyDescent="0.2">
      <c r="A954" s="25"/>
      <c r="B954" s="20">
        <v>39049006924</v>
      </c>
      <c r="C954" s="20">
        <v>69.239999999999995</v>
      </c>
      <c r="D954" s="20" t="s">
        <v>31</v>
      </c>
      <c r="E954" s="20" t="s">
        <v>2830</v>
      </c>
      <c r="F954" s="20" t="s">
        <v>8</v>
      </c>
      <c r="G954" s="861">
        <v>56.815872482089802</v>
      </c>
      <c r="H954" s="861">
        <v>51.999921832657698</v>
      </c>
      <c r="I954" s="861">
        <v>42.069988479310503</v>
      </c>
      <c r="J954" s="861">
        <v>46.433075039288397</v>
      </c>
      <c r="K954" s="982">
        <v>0</v>
      </c>
      <c r="L954" s="735">
        <v>3493</v>
      </c>
      <c r="M954" s="735">
        <v>3837</v>
      </c>
      <c r="N954" s="845">
        <f t="shared" si="83"/>
        <v>9.848267964500429E-2</v>
      </c>
      <c r="O954" s="735">
        <v>0.63748671031543847</v>
      </c>
      <c r="P954" s="735">
        <f t="shared" si="84"/>
        <v>6018.9490038174945</v>
      </c>
      <c r="Q954" s="849">
        <v>36.299999999999997</v>
      </c>
      <c r="R954" s="71">
        <v>59889</v>
      </c>
      <c r="S954" s="845">
        <v>6.2940715591538257E-2</v>
      </c>
      <c r="T954" s="845">
        <v>5.7999999999999996E-2</v>
      </c>
      <c r="U954" s="845">
        <v>0</v>
      </c>
      <c r="V954" s="845">
        <v>0</v>
      </c>
      <c r="W954" s="845">
        <v>0.55279861511829198</v>
      </c>
      <c r="X954" s="845">
        <v>0.43841336116910229</v>
      </c>
      <c r="Y954" s="845">
        <v>0.30596820432629657</v>
      </c>
      <c r="Z954" s="845">
        <v>0.33124837112327338</v>
      </c>
      <c r="AA954" s="845">
        <v>0</v>
      </c>
      <c r="AB954" s="845">
        <v>0.13578316393015377</v>
      </c>
      <c r="AC954" s="845">
        <v>0</v>
      </c>
      <c r="AD954" s="845">
        <v>4.4044826687516289E-2</v>
      </c>
      <c r="AE954" s="845">
        <v>0.18295543393275998</v>
      </c>
      <c r="AF954" s="845">
        <v>0.13656502475892623</v>
      </c>
      <c r="AG954" s="845">
        <v>0.29606463382851184</v>
      </c>
      <c r="AH954" s="20" t="str">
        <f t="shared" si="85"/>
        <v>No</v>
      </c>
      <c r="AI954" s="25"/>
      <c r="AJ954" s="20">
        <v>44827</v>
      </c>
      <c r="AK954" s="20" t="s">
        <v>1481</v>
      </c>
      <c r="AL954" s="20">
        <v>39033</v>
      </c>
      <c r="AM954" s="20" t="s">
        <v>23</v>
      </c>
      <c r="AN954" s="37" t="str">
        <f t="shared" si="86"/>
        <v>N/A</v>
      </c>
      <c r="AO954" s="37" t="str">
        <f t="shared" si="87"/>
        <v>N/A</v>
      </c>
      <c r="AP954" s="20" t="s">
        <v>8</v>
      </c>
      <c r="AQ954" s="25"/>
      <c r="AR954" s="25"/>
      <c r="AS954" s="25"/>
      <c r="AT954" s="25"/>
      <c r="AU954" s="36"/>
      <c r="AV954" s="36"/>
      <c r="AW954" s="36"/>
      <c r="AX954" s="25"/>
      <c r="AY954" s="25"/>
      <c r="AZ954" s="25"/>
      <c r="BA954" s="25"/>
      <c r="BB954" s="25"/>
      <c r="BC954" s="25"/>
      <c r="BD954" s="25"/>
      <c r="BE954" s="25"/>
      <c r="BF954" s="25"/>
      <c r="BG954" s="25"/>
      <c r="BH954" s="25"/>
      <c r="BI954" s="25"/>
      <c r="BJ954" s="25"/>
      <c r="BK954" s="25"/>
      <c r="BL954" s="25"/>
      <c r="BM954" s="25"/>
      <c r="BN954" s="25"/>
      <c r="BO954" s="25"/>
      <c r="BP954" s="25"/>
      <c r="BQ954" s="25"/>
      <c r="BR954" s="25"/>
      <c r="BS954" s="25"/>
      <c r="BT954" s="25"/>
      <c r="BU954" s="39">
        <v>45886</v>
      </c>
      <c r="BV954" s="39" t="s">
        <v>1948</v>
      </c>
      <c r="BW954" s="39" t="s">
        <v>2905</v>
      </c>
      <c r="BX954" s="39" t="s">
        <v>2906</v>
      </c>
      <c r="BY954" s="71">
        <v>730</v>
      </c>
      <c r="BZ954" s="71">
        <v>770</v>
      </c>
      <c r="CA954" s="71">
        <v>970</v>
      </c>
      <c r="CB954" s="71">
        <v>1290</v>
      </c>
      <c r="CC954" s="71">
        <v>1440</v>
      </c>
      <c r="CD954" s="25"/>
      <c r="CE954" s="200"/>
      <c r="CF954" s="200"/>
      <c r="CG954" s="200"/>
      <c r="CH954" s="200"/>
      <c r="CI954" s="200"/>
      <c r="CJ954" s="200"/>
      <c r="CK954" s="200"/>
      <c r="CL954" s="200"/>
      <c r="CM954" s="200"/>
      <c r="CN954" s="200"/>
      <c r="CO954" s="200"/>
      <c r="CP954" s="200"/>
      <c r="CQ954" s="200"/>
      <c r="CR954" s="200"/>
      <c r="CS954" s="200"/>
      <c r="CT954" s="200"/>
      <c r="CU954" s="200"/>
    </row>
    <row r="955" spans="1:99" s="17" customFormat="1" x14ac:dyDescent="0.2">
      <c r="A955" s="25"/>
      <c r="B955" s="20">
        <v>39099811002</v>
      </c>
      <c r="C955" s="20">
        <v>8110.02</v>
      </c>
      <c r="D955" s="20" t="s">
        <v>55</v>
      </c>
      <c r="E955" s="20" t="s">
        <v>2842</v>
      </c>
      <c r="F955" s="20" t="s">
        <v>8</v>
      </c>
      <c r="G955" s="861">
        <v>56.7834392029933</v>
      </c>
      <c r="H955" s="861">
        <v>50.021381778234797</v>
      </c>
      <c r="I955" s="861">
        <v>27.328877030471499</v>
      </c>
      <c r="J955" s="861">
        <v>32.975116948686001</v>
      </c>
      <c r="K955" s="982">
        <v>0</v>
      </c>
      <c r="L955" s="735">
        <v>7630</v>
      </c>
      <c r="M955" s="735">
        <v>7676</v>
      </c>
      <c r="N955" s="845">
        <f t="shared" si="83"/>
        <v>6.0288335517693315E-3</v>
      </c>
      <c r="O955" s="735">
        <v>11.854601911666691</v>
      </c>
      <c r="P955" s="735">
        <f t="shared" si="84"/>
        <v>647.51225365447954</v>
      </c>
      <c r="Q955" s="849">
        <v>43.3</v>
      </c>
      <c r="R955" s="71">
        <v>102474</v>
      </c>
      <c r="S955" s="845">
        <v>2.8400208441896821E-2</v>
      </c>
      <c r="T955" s="845">
        <v>1.1000000000000001E-2</v>
      </c>
      <c r="U955" s="845">
        <v>4.0000000000000001E-3</v>
      </c>
      <c r="V955" s="845">
        <v>0</v>
      </c>
      <c r="W955" s="845">
        <v>3.2011640596580578E-2</v>
      </c>
      <c r="X955" s="845">
        <v>0.61363636363636365</v>
      </c>
      <c r="Y955" s="845">
        <v>0.9455445544554455</v>
      </c>
      <c r="Z955" s="845">
        <v>1.6935904116727463E-2</v>
      </c>
      <c r="AA955" s="845">
        <v>0</v>
      </c>
      <c r="AB955" s="845">
        <v>1.6935904116727463E-3</v>
      </c>
      <c r="AC955" s="845">
        <v>0</v>
      </c>
      <c r="AD955" s="845">
        <v>0</v>
      </c>
      <c r="AE955" s="845">
        <v>3.5825951016154246E-2</v>
      </c>
      <c r="AF955" s="845">
        <v>2.2537780093798854E-2</v>
      </c>
      <c r="AG955" s="845">
        <v>0.94059405940594054</v>
      </c>
      <c r="AH955" s="20" t="str">
        <f t="shared" si="85"/>
        <v>Yes</v>
      </c>
      <c r="AI955" s="25"/>
      <c r="AJ955" s="20">
        <v>44833</v>
      </c>
      <c r="AK955" s="20" t="s">
        <v>1484</v>
      </c>
      <c r="AL955" s="20">
        <v>39033</v>
      </c>
      <c r="AM955" s="20" t="s">
        <v>23</v>
      </c>
      <c r="AN955" s="37" t="str">
        <f t="shared" si="86"/>
        <v>N/A</v>
      </c>
      <c r="AO955" s="37" t="str">
        <f t="shared" si="87"/>
        <v>N/A</v>
      </c>
      <c r="AP955" s="20" t="s">
        <v>8</v>
      </c>
      <c r="AQ955" s="25"/>
      <c r="AR955" s="25"/>
      <c r="AS955" s="25"/>
      <c r="AT955" s="25"/>
      <c r="AU955" s="36"/>
      <c r="AV955" s="36"/>
      <c r="AW955" s="36"/>
      <c r="AX955" s="25"/>
      <c r="AY955" s="25"/>
      <c r="AZ955" s="25"/>
      <c r="BA955" s="25"/>
      <c r="BB955" s="25"/>
      <c r="BC955" s="25"/>
      <c r="BD955" s="25"/>
      <c r="BE955" s="25"/>
      <c r="BF955" s="25"/>
      <c r="BG955" s="25"/>
      <c r="BH955" s="25"/>
      <c r="BI955" s="25"/>
      <c r="BJ955" s="25"/>
      <c r="BK955" s="25"/>
      <c r="BL955" s="25"/>
      <c r="BM955" s="25"/>
      <c r="BN955" s="25"/>
      <c r="BO955" s="25"/>
      <c r="BP955" s="25"/>
      <c r="BQ955" s="25"/>
      <c r="BR955" s="25"/>
      <c r="BS955" s="25"/>
      <c r="BT955" s="25"/>
      <c r="BU955" s="39">
        <v>43701</v>
      </c>
      <c r="BV955" s="39" t="s">
        <v>1019</v>
      </c>
      <c r="BW955" s="39" t="s">
        <v>2887</v>
      </c>
      <c r="BX955" s="39" t="s">
        <v>306</v>
      </c>
      <c r="BY955" s="71">
        <v>850</v>
      </c>
      <c r="BZ955" s="71">
        <v>850</v>
      </c>
      <c r="CA955" s="71">
        <v>1010</v>
      </c>
      <c r="CB955" s="71">
        <v>1370</v>
      </c>
      <c r="CC955" s="71">
        <v>1490</v>
      </c>
      <c r="CD955" s="25"/>
      <c r="CE955" s="200"/>
      <c r="CF955" s="200"/>
      <c r="CG955" s="200"/>
      <c r="CH955" s="200"/>
      <c r="CI955" s="200"/>
      <c r="CJ955" s="200"/>
      <c r="CK955" s="200"/>
      <c r="CL955" s="200"/>
      <c r="CM955" s="200"/>
      <c r="CN955" s="200"/>
      <c r="CO955" s="200"/>
      <c r="CP955" s="200"/>
      <c r="CQ955" s="200"/>
      <c r="CR955" s="200"/>
      <c r="CS955" s="200"/>
      <c r="CT955" s="200"/>
      <c r="CU955" s="200"/>
    </row>
    <row r="956" spans="1:99" s="17" customFormat="1" x14ac:dyDescent="0.2">
      <c r="A956" s="25"/>
      <c r="B956" s="20">
        <v>39137030301</v>
      </c>
      <c r="C956" s="20">
        <v>303.01</v>
      </c>
      <c r="D956" s="20" t="s">
        <v>74</v>
      </c>
      <c r="E956" s="20" t="s">
        <v>265</v>
      </c>
      <c r="F956" s="20" t="s">
        <v>8</v>
      </c>
      <c r="G956" s="861">
        <v>56.760226479653802</v>
      </c>
      <c r="H956" s="861">
        <v>51.564697009330096</v>
      </c>
      <c r="I956" s="861">
        <v>26.083209700317099</v>
      </c>
      <c r="J956" s="861">
        <v>44.533677200811198</v>
      </c>
      <c r="K956" s="982">
        <v>0</v>
      </c>
      <c r="L956" s="735" t="s">
        <v>2466</v>
      </c>
      <c r="M956" s="735">
        <v>3694</v>
      </c>
      <c r="N956" s="845" t="str">
        <f t="shared" si="83"/>
        <v/>
      </c>
      <c r="O956" s="735">
        <v>17.334949850406844</v>
      </c>
      <c r="P956" s="735">
        <f t="shared" si="84"/>
        <v>213.09551120006864</v>
      </c>
      <c r="Q956" s="849">
        <v>36.299999999999997</v>
      </c>
      <c r="R956" s="71">
        <v>87120</v>
      </c>
      <c r="S956" s="845">
        <v>7.1762441572724767E-2</v>
      </c>
      <c r="T956" s="845">
        <v>0</v>
      </c>
      <c r="U956" s="845">
        <v>0</v>
      </c>
      <c r="V956" s="845">
        <v>0</v>
      </c>
      <c r="W956" s="845">
        <v>0.19047619047619047</v>
      </c>
      <c r="X956" s="845">
        <v>0.19444444444444445</v>
      </c>
      <c r="Y956" s="845">
        <v>0.89658906334596644</v>
      </c>
      <c r="Z956" s="845">
        <v>2.6258798050893341E-2</v>
      </c>
      <c r="AA956" s="845">
        <v>0</v>
      </c>
      <c r="AB956" s="845">
        <v>1.0557661072008662E-2</v>
      </c>
      <c r="AC956" s="845">
        <v>0</v>
      </c>
      <c r="AD956" s="845">
        <v>3.7899296155928533E-2</v>
      </c>
      <c r="AE956" s="845">
        <v>2.8695181375203032E-2</v>
      </c>
      <c r="AF956" s="845">
        <v>8.3919870059556034E-2</v>
      </c>
      <c r="AG956" s="845">
        <v>0.87655657823497568</v>
      </c>
      <c r="AH956" s="20" t="str">
        <f t="shared" si="85"/>
        <v>No</v>
      </c>
      <c r="AI956" s="25"/>
      <c r="AJ956" s="20">
        <v>44849</v>
      </c>
      <c r="AK956" s="20" t="s">
        <v>1496</v>
      </c>
      <c r="AL956" s="20">
        <v>39033</v>
      </c>
      <c r="AM956" s="20" t="s">
        <v>23</v>
      </c>
      <c r="AN956" s="37" t="str">
        <f t="shared" si="86"/>
        <v>N/A</v>
      </c>
      <c r="AO956" s="37" t="str">
        <f t="shared" si="87"/>
        <v>N/A</v>
      </c>
      <c r="AP956" s="20" t="s">
        <v>8</v>
      </c>
      <c r="AQ956" s="25"/>
      <c r="AR956" s="25"/>
      <c r="AS956" s="25"/>
      <c r="AT956" s="25"/>
      <c r="AU956" s="36"/>
      <c r="AV956" s="36"/>
      <c r="AW956" s="36"/>
      <c r="AX956" s="25"/>
      <c r="AY956" s="25"/>
      <c r="AZ956" s="25"/>
      <c r="BA956" s="25"/>
      <c r="BB956" s="25"/>
      <c r="BC956" s="25"/>
      <c r="BD956" s="25"/>
      <c r="BE956" s="25"/>
      <c r="BF956" s="25"/>
      <c r="BG956" s="25"/>
      <c r="BH956" s="25"/>
      <c r="BI956" s="25"/>
      <c r="BJ956" s="25"/>
      <c r="BK956" s="25"/>
      <c r="BL956" s="25"/>
      <c r="BM956" s="25"/>
      <c r="BN956" s="25"/>
      <c r="BO956" s="25"/>
      <c r="BP956" s="25"/>
      <c r="BQ956" s="25"/>
      <c r="BR956" s="25"/>
      <c r="BS956" s="25"/>
      <c r="BT956" s="25"/>
      <c r="BU956" s="39">
        <v>43730</v>
      </c>
      <c r="BV956" s="39" t="s">
        <v>1034</v>
      </c>
      <c r="BW956" s="39" t="s">
        <v>2887</v>
      </c>
      <c r="BX956" s="39" t="s">
        <v>306</v>
      </c>
      <c r="BY956" s="71">
        <v>790</v>
      </c>
      <c r="BZ956" s="71">
        <v>790</v>
      </c>
      <c r="CA956" s="71">
        <v>970</v>
      </c>
      <c r="CB956" s="71">
        <v>1200</v>
      </c>
      <c r="CC956" s="71">
        <v>1430</v>
      </c>
      <c r="CD956" s="25"/>
      <c r="CE956" s="200"/>
      <c r="CF956" s="200"/>
      <c r="CG956" s="200"/>
      <c r="CH956" s="200"/>
      <c r="CI956" s="200"/>
      <c r="CJ956" s="200"/>
      <c r="CK956" s="200"/>
      <c r="CL956" s="200"/>
      <c r="CM956" s="200"/>
      <c r="CN956" s="200"/>
      <c r="CO956" s="200"/>
      <c r="CP956" s="200"/>
      <c r="CQ956" s="200"/>
      <c r="CR956" s="200"/>
      <c r="CS956" s="200"/>
      <c r="CT956" s="200"/>
      <c r="CU956" s="200"/>
    </row>
    <row r="957" spans="1:99" s="17" customFormat="1" x14ac:dyDescent="0.2">
      <c r="A957" s="25"/>
      <c r="B957" s="20">
        <v>39153532999</v>
      </c>
      <c r="C957" s="20">
        <v>5329.99</v>
      </c>
      <c r="D957" s="20" t="s">
        <v>82</v>
      </c>
      <c r="E957" s="20" t="s">
        <v>2843</v>
      </c>
      <c r="F957" s="20" t="s">
        <v>8</v>
      </c>
      <c r="G957" s="861">
        <v>56.754597479191702</v>
      </c>
      <c r="H957" s="861">
        <v>58.898630335225299</v>
      </c>
      <c r="I957" s="861">
        <v>36.443536924446903</v>
      </c>
      <c r="J957" s="861">
        <v>51.200300794320299</v>
      </c>
      <c r="K957" s="982">
        <v>0</v>
      </c>
      <c r="L957" s="735">
        <v>5861</v>
      </c>
      <c r="M957" s="735">
        <v>5865</v>
      </c>
      <c r="N957" s="845">
        <f t="shared" si="83"/>
        <v>6.8247739293635903E-4</v>
      </c>
      <c r="O957" s="735">
        <v>6.6811866561039928</v>
      </c>
      <c r="P957" s="735">
        <f t="shared" si="84"/>
        <v>877.83807007422593</v>
      </c>
      <c r="Q957" s="849">
        <v>42.5</v>
      </c>
      <c r="R957" s="71">
        <v>103661</v>
      </c>
      <c r="S957" s="845">
        <v>8.2352941176470587E-2</v>
      </c>
      <c r="T957" s="845">
        <v>3.2000000000000001E-2</v>
      </c>
      <c r="U957" s="845">
        <v>0</v>
      </c>
      <c r="V957" s="845">
        <v>0</v>
      </c>
      <c r="W957" s="845">
        <v>0.1924174480228292</v>
      </c>
      <c r="X957" s="845">
        <v>0.20550847457627119</v>
      </c>
      <c r="Y957" s="845">
        <v>0.94936061381074166</v>
      </c>
      <c r="Z957" s="845">
        <v>2.0460358056265983E-3</v>
      </c>
      <c r="AA957" s="845">
        <v>0</v>
      </c>
      <c r="AB957" s="845">
        <v>2.8985507246376812E-3</v>
      </c>
      <c r="AC957" s="845">
        <v>0</v>
      </c>
      <c r="AD957" s="845">
        <v>1.5004262574595055E-2</v>
      </c>
      <c r="AE957" s="845">
        <v>3.0690537084398978E-2</v>
      </c>
      <c r="AF957" s="845">
        <v>1.3810741687979539E-2</v>
      </c>
      <c r="AG957" s="845">
        <v>0.94492753623188408</v>
      </c>
      <c r="AH957" s="20" t="str">
        <f t="shared" si="85"/>
        <v>Yes</v>
      </c>
      <c r="AI957" s="25"/>
      <c r="AJ957" s="20">
        <v>44854</v>
      </c>
      <c r="AK957" s="20" t="s">
        <v>1500</v>
      </c>
      <c r="AL957" s="20">
        <v>39033</v>
      </c>
      <c r="AM957" s="20" t="s">
        <v>23</v>
      </c>
      <c r="AN957" s="37" t="str">
        <f t="shared" si="86"/>
        <v>N/A</v>
      </c>
      <c r="AO957" s="37" t="str">
        <f t="shared" si="87"/>
        <v>N/A</v>
      </c>
      <c r="AP957" s="20" t="s">
        <v>8</v>
      </c>
      <c r="AQ957" s="25"/>
      <c r="AR957" s="25"/>
      <c r="AS957" s="25"/>
      <c r="AT957" s="25"/>
      <c r="AU957" s="36"/>
      <c r="AV957" s="36"/>
      <c r="AW957" s="36"/>
      <c r="AX957" s="25"/>
      <c r="AY957" s="25"/>
      <c r="AZ957" s="25"/>
      <c r="BA957" s="25"/>
      <c r="BB957" s="25"/>
      <c r="BC957" s="25"/>
      <c r="BD957" s="25"/>
      <c r="BE957" s="25"/>
      <c r="BF957" s="25"/>
      <c r="BG957" s="25"/>
      <c r="BH957" s="25"/>
      <c r="BI957" s="25"/>
      <c r="BJ957" s="25"/>
      <c r="BK957" s="25"/>
      <c r="BL957" s="25"/>
      <c r="BM957" s="25"/>
      <c r="BN957" s="25"/>
      <c r="BO957" s="25"/>
      <c r="BP957" s="25"/>
      <c r="BQ957" s="25"/>
      <c r="BR957" s="25"/>
      <c r="BS957" s="25"/>
      <c r="BT957" s="25"/>
      <c r="BU957" s="39">
        <v>43731</v>
      </c>
      <c r="BV957" s="39" t="s">
        <v>1035</v>
      </c>
      <c r="BW957" s="39" t="s">
        <v>2887</v>
      </c>
      <c r="BX957" s="39" t="s">
        <v>306</v>
      </c>
      <c r="BY957" s="71">
        <v>780</v>
      </c>
      <c r="BZ957" s="71">
        <v>800</v>
      </c>
      <c r="CA957" s="71">
        <v>970</v>
      </c>
      <c r="CB957" s="71">
        <v>1200</v>
      </c>
      <c r="CC957" s="71">
        <v>1430</v>
      </c>
      <c r="CD957" s="25"/>
      <c r="CE957" s="200"/>
      <c r="CF957" s="200"/>
      <c r="CG957" s="200"/>
      <c r="CH957" s="200"/>
      <c r="CI957" s="200"/>
      <c r="CJ957" s="200"/>
      <c r="CK957" s="200"/>
      <c r="CL957" s="200"/>
      <c r="CM957" s="200"/>
      <c r="CN957" s="200"/>
      <c r="CO957" s="200"/>
      <c r="CP957" s="200"/>
      <c r="CQ957" s="200"/>
      <c r="CR957" s="200"/>
      <c r="CS957" s="200"/>
      <c r="CT957" s="200"/>
      <c r="CU957" s="200"/>
    </row>
    <row r="958" spans="1:99" s="17" customFormat="1" x14ac:dyDescent="0.2">
      <c r="A958" s="25"/>
      <c r="B958" s="20">
        <v>39041010530</v>
      </c>
      <c r="C958" s="20">
        <v>105.3</v>
      </c>
      <c r="D958" s="20" t="s">
        <v>27</v>
      </c>
      <c r="E958" s="20" t="s">
        <v>2830</v>
      </c>
      <c r="F958" s="20" t="s">
        <v>8</v>
      </c>
      <c r="G958" s="861">
        <v>56.739735837483401</v>
      </c>
      <c r="H958" s="861">
        <v>54.218492276247503</v>
      </c>
      <c r="I958" s="861">
        <v>34.919619655897797</v>
      </c>
      <c r="J958" s="861">
        <v>55.966152739696597</v>
      </c>
      <c r="K958" s="982">
        <v>0</v>
      </c>
      <c r="L958" s="735">
        <v>3125</v>
      </c>
      <c r="M958" s="735">
        <v>3404</v>
      </c>
      <c r="N958" s="845">
        <f t="shared" si="83"/>
        <v>8.9279999999999998E-2</v>
      </c>
      <c r="O958" s="735">
        <v>0.98343038339276401</v>
      </c>
      <c r="P958" s="735">
        <f t="shared" si="84"/>
        <v>3461.3532970747206</v>
      </c>
      <c r="Q958" s="849">
        <v>30.9</v>
      </c>
      <c r="R958" s="71">
        <v>54340</v>
      </c>
      <c r="S958" s="845">
        <v>0.23761194029850746</v>
      </c>
      <c r="T958" s="845">
        <v>1.6E-2</v>
      </c>
      <c r="U958" s="845">
        <v>0</v>
      </c>
      <c r="V958" s="845">
        <v>3.7999999999999999E-2</v>
      </c>
      <c r="W958" s="845">
        <v>0.51762940735183793</v>
      </c>
      <c r="X958" s="845">
        <v>0.46376811594202899</v>
      </c>
      <c r="Y958" s="845">
        <v>0.84723854289071676</v>
      </c>
      <c r="Z958" s="845">
        <v>3.2608695652173912E-2</v>
      </c>
      <c r="AA958" s="845">
        <v>0</v>
      </c>
      <c r="AB958" s="845">
        <v>0</v>
      </c>
      <c r="AC958" s="845">
        <v>0</v>
      </c>
      <c r="AD958" s="845">
        <v>9.106933019976499E-3</v>
      </c>
      <c r="AE958" s="845">
        <v>0.11104582843713279</v>
      </c>
      <c r="AF958" s="845">
        <v>8.7544065804935373E-2</v>
      </c>
      <c r="AG958" s="845">
        <v>0.83783783783783783</v>
      </c>
      <c r="AH958" s="20" t="str">
        <f t="shared" si="85"/>
        <v>No</v>
      </c>
      <c r="AI958" s="25"/>
      <c r="AJ958" s="37">
        <v>44856</v>
      </c>
      <c r="AK958" s="37" t="s">
        <v>1502</v>
      </c>
      <c r="AL958" s="37">
        <v>39033</v>
      </c>
      <c r="AM958" s="37" t="s">
        <v>23</v>
      </c>
      <c r="AN958" s="37" t="str">
        <f t="shared" si="86"/>
        <v>N/A</v>
      </c>
      <c r="AO958" s="37" t="str">
        <f t="shared" si="87"/>
        <v>N/A</v>
      </c>
      <c r="AP958" s="20" t="s">
        <v>8</v>
      </c>
      <c r="AQ958" s="25"/>
      <c r="AR958" s="25"/>
      <c r="AS958" s="25"/>
      <c r="AT958" s="25"/>
      <c r="AU958" s="36"/>
      <c r="AV958" s="36"/>
      <c r="AW958" s="36"/>
      <c r="AX958" s="25"/>
      <c r="AY958" s="25"/>
      <c r="AZ958" s="25"/>
      <c r="BA958" s="25"/>
      <c r="BB958" s="25"/>
      <c r="BC958" s="25"/>
      <c r="BD958" s="25"/>
      <c r="BE958" s="25"/>
      <c r="BF958" s="25"/>
      <c r="BG958" s="25"/>
      <c r="BH958" s="25"/>
      <c r="BI958" s="25"/>
      <c r="BJ958" s="25"/>
      <c r="BK958" s="25"/>
      <c r="BL958" s="25"/>
      <c r="BM958" s="25"/>
      <c r="BN958" s="25"/>
      <c r="BO958" s="25"/>
      <c r="BP958" s="25"/>
      <c r="BQ958" s="25"/>
      <c r="BR958" s="25"/>
      <c r="BS958" s="25"/>
      <c r="BT958" s="25"/>
      <c r="BU958" s="39">
        <v>43748</v>
      </c>
      <c r="BV958" s="39" t="s">
        <v>1046</v>
      </c>
      <c r="BW958" s="39" t="s">
        <v>2887</v>
      </c>
      <c r="BX958" s="39" t="s">
        <v>306</v>
      </c>
      <c r="BY958" s="71">
        <v>790</v>
      </c>
      <c r="BZ958" s="71">
        <v>790</v>
      </c>
      <c r="CA958" s="71">
        <v>970</v>
      </c>
      <c r="CB958" s="71">
        <v>1200</v>
      </c>
      <c r="CC958" s="71">
        <v>1430</v>
      </c>
      <c r="CD958" s="25"/>
      <c r="CE958" s="200"/>
      <c r="CF958" s="200"/>
      <c r="CG958" s="200"/>
      <c r="CH958" s="200"/>
      <c r="CI958" s="200"/>
      <c r="CJ958" s="200"/>
      <c r="CK958" s="200"/>
      <c r="CL958" s="200"/>
      <c r="CM958" s="200"/>
      <c r="CN958" s="200"/>
      <c r="CO958" s="200"/>
      <c r="CP958" s="200"/>
      <c r="CQ958" s="200"/>
      <c r="CR958" s="200"/>
      <c r="CS958" s="200"/>
      <c r="CT958" s="200"/>
      <c r="CU958" s="200"/>
    </row>
    <row r="959" spans="1:99" s="17" customFormat="1" x14ac:dyDescent="0.2">
      <c r="A959" s="25"/>
      <c r="B959" s="20">
        <v>39095008906</v>
      </c>
      <c r="C959" s="20">
        <v>89.06</v>
      </c>
      <c r="D959" s="20" t="s">
        <v>53</v>
      </c>
      <c r="E959" s="20" t="s">
        <v>2839</v>
      </c>
      <c r="F959" s="20" t="s">
        <v>8</v>
      </c>
      <c r="G959" s="861">
        <v>56.737915263644702</v>
      </c>
      <c r="H959" s="861">
        <v>39.766570081106501</v>
      </c>
      <c r="I959" s="861">
        <v>26.576696674370599</v>
      </c>
      <c r="J959" s="861">
        <v>36.845962265820397</v>
      </c>
      <c r="K959" s="982">
        <v>0</v>
      </c>
      <c r="L959" s="735" t="s">
        <v>2466</v>
      </c>
      <c r="M959" s="735">
        <v>2366</v>
      </c>
      <c r="N959" s="845" t="str">
        <f t="shared" si="83"/>
        <v/>
      </c>
      <c r="O959" s="735">
        <v>7.7603336951226396</v>
      </c>
      <c r="P959" s="735">
        <f t="shared" si="84"/>
        <v>304.88379661908459</v>
      </c>
      <c r="Q959" s="849">
        <v>53.9</v>
      </c>
      <c r="R959" s="71">
        <v>90814</v>
      </c>
      <c r="S959" s="845">
        <v>3.4560143626570915E-2</v>
      </c>
      <c r="T959" s="845">
        <v>5.9000000000000004E-2</v>
      </c>
      <c r="U959" s="845">
        <v>0</v>
      </c>
      <c r="V959" s="845">
        <v>0.14000000000000001</v>
      </c>
      <c r="W959" s="845">
        <v>0.20781893004115226</v>
      </c>
      <c r="X959" s="845">
        <v>0.29207920792079206</v>
      </c>
      <c r="Y959" s="845">
        <v>0.92054099746407436</v>
      </c>
      <c r="Z959" s="845">
        <v>2.6627218934911243E-2</v>
      </c>
      <c r="AA959" s="845">
        <v>3.3812341504649195E-3</v>
      </c>
      <c r="AB959" s="845">
        <v>0</v>
      </c>
      <c r="AC959" s="845">
        <v>0</v>
      </c>
      <c r="AD959" s="845">
        <v>4.22654268808115E-3</v>
      </c>
      <c r="AE959" s="845">
        <v>4.5224006762468301E-2</v>
      </c>
      <c r="AF959" s="845">
        <v>6.5088757396449703E-2</v>
      </c>
      <c r="AG959" s="845">
        <v>0.89264581572273882</v>
      </c>
      <c r="AH959" s="20" t="str">
        <f t="shared" si="85"/>
        <v>No</v>
      </c>
      <c r="AI959" s="25"/>
      <c r="AJ959" s="37">
        <v>44865</v>
      </c>
      <c r="AK959" s="37" t="s">
        <v>1507</v>
      </c>
      <c r="AL959" s="37">
        <v>39033</v>
      </c>
      <c r="AM959" s="37" t="s">
        <v>23</v>
      </c>
      <c r="AN959" s="37" t="str">
        <f t="shared" si="86"/>
        <v>N/A</v>
      </c>
      <c r="AO959" s="37" t="str">
        <f t="shared" si="87"/>
        <v>N/A</v>
      </c>
      <c r="AP959" s="20" t="s">
        <v>8</v>
      </c>
      <c r="AQ959" s="25"/>
      <c r="AR959" s="25"/>
      <c r="AS959" s="25"/>
      <c r="AT959" s="25"/>
      <c r="AU959" s="36"/>
      <c r="AV959" s="36"/>
      <c r="AW959" s="36"/>
      <c r="AX959" s="25"/>
      <c r="AY959" s="25"/>
      <c r="AZ959" s="25"/>
      <c r="BA959" s="25"/>
      <c r="BB959" s="25"/>
      <c r="BC959" s="25"/>
      <c r="BD959" s="25"/>
      <c r="BE959" s="25"/>
      <c r="BF959" s="25"/>
      <c r="BG959" s="25"/>
      <c r="BH959" s="25"/>
      <c r="BI959" s="25"/>
      <c r="BJ959" s="25"/>
      <c r="BK959" s="25"/>
      <c r="BL959" s="25"/>
      <c r="BM959" s="25"/>
      <c r="BN959" s="25"/>
      <c r="BO959" s="25"/>
      <c r="BP959" s="25"/>
      <c r="BQ959" s="25"/>
      <c r="BR959" s="25"/>
      <c r="BS959" s="25"/>
      <c r="BT959" s="25"/>
      <c r="BU959" s="39">
        <v>43761</v>
      </c>
      <c r="BV959" s="39" t="s">
        <v>1055</v>
      </c>
      <c r="BW959" s="39" t="s">
        <v>2887</v>
      </c>
      <c r="BX959" s="39" t="s">
        <v>306</v>
      </c>
      <c r="BY959" s="71">
        <v>800</v>
      </c>
      <c r="BZ959" s="71">
        <v>810</v>
      </c>
      <c r="CA959" s="71">
        <v>990</v>
      </c>
      <c r="CB959" s="71">
        <v>1220</v>
      </c>
      <c r="CC959" s="71">
        <v>1450</v>
      </c>
      <c r="CD959" s="25"/>
      <c r="CE959" s="200"/>
      <c r="CF959" s="200"/>
      <c r="CG959" s="200"/>
      <c r="CH959" s="200"/>
      <c r="CI959" s="200"/>
      <c r="CJ959" s="200"/>
      <c r="CK959" s="200"/>
      <c r="CL959" s="200"/>
      <c r="CM959" s="200"/>
      <c r="CN959" s="200"/>
      <c r="CO959" s="200"/>
      <c r="CP959" s="200"/>
      <c r="CQ959" s="200"/>
      <c r="CR959" s="200"/>
      <c r="CS959" s="200"/>
      <c r="CT959" s="200"/>
      <c r="CU959" s="200"/>
    </row>
    <row r="960" spans="1:99" s="17" customFormat="1" x14ac:dyDescent="0.2">
      <c r="A960" s="25"/>
      <c r="B960" s="20">
        <v>39017011136</v>
      </c>
      <c r="C960" s="20">
        <v>111.36</v>
      </c>
      <c r="D960" s="20" t="s">
        <v>15</v>
      </c>
      <c r="E960" s="20" t="s">
        <v>2828</v>
      </c>
      <c r="F960" s="20" t="s">
        <v>8</v>
      </c>
      <c r="G960" s="861">
        <v>56.736437627130798</v>
      </c>
      <c r="H960" s="861">
        <v>62.445450554696897</v>
      </c>
      <c r="I960" s="861">
        <v>15.135761048179999</v>
      </c>
      <c r="J960" s="861">
        <v>40.121356048244003</v>
      </c>
      <c r="K960" s="982">
        <v>0</v>
      </c>
      <c r="L960" s="735" t="s">
        <v>2466</v>
      </c>
      <c r="M960" s="735">
        <v>5506</v>
      </c>
      <c r="N960" s="845" t="str">
        <f t="shared" si="83"/>
        <v/>
      </c>
      <c r="O960" s="735">
        <v>2.4179775095569842</v>
      </c>
      <c r="P960" s="735">
        <f t="shared" si="84"/>
        <v>2277.1096828807126</v>
      </c>
      <c r="Q960" s="849">
        <v>40.799999999999997</v>
      </c>
      <c r="R960" s="71">
        <v>146719</v>
      </c>
      <c r="S960" s="845">
        <v>2.8066338618552945E-2</v>
      </c>
      <c r="T960" s="845">
        <v>5.2000000000000005E-2</v>
      </c>
      <c r="U960" s="845">
        <v>0</v>
      </c>
      <c r="V960" s="845">
        <v>0</v>
      </c>
      <c r="W960" s="845">
        <v>4.0548598688133569E-2</v>
      </c>
      <c r="X960" s="845">
        <v>0.4264705882352941</v>
      </c>
      <c r="Y960" s="845">
        <v>0.76007991282237564</v>
      </c>
      <c r="Z960" s="845">
        <v>0.10697420995277879</v>
      </c>
      <c r="AA960" s="845">
        <v>3.4507809662186707E-3</v>
      </c>
      <c r="AB960" s="845">
        <v>3.1783508899382494E-2</v>
      </c>
      <c r="AC960" s="845">
        <v>0</v>
      </c>
      <c r="AD960" s="845">
        <v>0</v>
      </c>
      <c r="AE960" s="845">
        <v>9.7711587359244456E-2</v>
      </c>
      <c r="AF960" s="845">
        <v>2.5245187068652378E-2</v>
      </c>
      <c r="AG960" s="845">
        <v>0.76007991282237564</v>
      </c>
      <c r="AH960" s="20" t="str">
        <f t="shared" si="85"/>
        <v>No</v>
      </c>
      <c r="AI960" s="25"/>
      <c r="AJ960" s="20">
        <v>44875</v>
      </c>
      <c r="AK960" s="20" t="s">
        <v>1512</v>
      </c>
      <c r="AL960" s="20">
        <v>39033</v>
      </c>
      <c r="AM960" s="20" t="s">
        <v>23</v>
      </c>
      <c r="AN960" s="37" t="str">
        <f t="shared" si="86"/>
        <v>N/A</v>
      </c>
      <c r="AO960" s="37" t="str">
        <f t="shared" si="87"/>
        <v>N/A</v>
      </c>
      <c r="AP960" s="20" t="s">
        <v>8</v>
      </c>
      <c r="AQ960" s="25"/>
      <c r="AR960" s="25"/>
      <c r="AS960" s="25"/>
      <c r="AT960" s="25"/>
      <c r="AU960" s="36"/>
      <c r="AV960" s="36"/>
      <c r="AW960" s="36"/>
      <c r="AX960" s="25"/>
      <c r="AY960" s="25"/>
      <c r="AZ960" s="25"/>
      <c r="BA960" s="25"/>
      <c r="BB960" s="25"/>
      <c r="BC960" s="25"/>
      <c r="BD960" s="25"/>
      <c r="BE960" s="25"/>
      <c r="BF960" s="25"/>
      <c r="BG960" s="25"/>
      <c r="BH960" s="25"/>
      <c r="BI960" s="25"/>
      <c r="BJ960" s="25"/>
      <c r="BK960" s="25"/>
      <c r="BL960" s="25"/>
      <c r="BM960" s="25"/>
      <c r="BN960" s="25"/>
      <c r="BO960" s="25"/>
      <c r="BP960" s="25"/>
      <c r="BQ960" s="25"/>
      <c r="BR960" s="25"/>
      <c r="BS960" s="25"/>
      <c r="BT960" s="25"/>
      <c r="BU960" s="39">
        <v>43764</v>
      </c>
      <c r="BV960" s="39" t="s">
        <v>1057</v>
      </c>
      <c r="BW960" s="39" t="s">
        <v>2887</v>
      </c>
      <c r="BX960" s="39" t="s">
        <v>306</v>
      </c>
      <c r="BY960" s="71">
        <v>820</v>
      </c>
      <c r="BZ960" s="71">
        <v>820</v>
      </c>
      <c r="CA960" s="71">
        <v>1010</v>
      </c>
      <c r="CB960" s="71">
        <v>1250</v>
      </c>
      <c r="CC960" s="71">
        <v>1480</v>
      </c>
      <c r="CD960" s="25"/>
      <c r="CE960" s="200"/>
      <c r="CF960" s="200"/>
      <c r="CG960" s="200"/>
      <c r="CH960" s="200"/>
      <c r="CI960" s="200"/>
      <c r="CJ960" s="200"/>
      <c r="CK960" s="200"/>
      <c r="CL960" s="200"/>
      <c r="CM960" s="200"/>
      <c r="CN960" s="200"/>
      <c r="CO960" s="200"/>
      <c r="CP960" s="200"/>
      <c r="CQ960" s="200"/>
      <c r="CR960" s="200"/>
      <c r="CS960" s="200"/>
      <c r="CT960" s="200"/>
      <c r="CU960" s="200"/>
    </row>
    <row r="961" spans="1:99" s="17" customFormat="1" x14ac:dyDescent="0.2">
      <c r="A961" s="25"/>
      <c r="B961" s="20">
        <v>39109340100</v>
      </c>
      <c r="C961" s="20">
        <v>3401</v>
      </c>
      <c r="D961" s="20" t="s">
        <v>60</v>
      </c>
      <c r="E961" s="20" t="s">
        <v>2833</v>
      </c>
      <c r="F961" s="20" t="s">
        <v>8</v>
      </c>
      <c r="G961" s="861">
        <v>56.699330289180601</v>
      </c>
      <c r="H961" s="861">
        <v>61.411463941456397</v>
      </c>
      <c r="I961" s="861">
        <v>20.202697602075801</v>
      </c>
      <c r="J961" s="861">
        <v>53.694552061136598</v>
      </c>
      <c r="K961" s="982">
        <v>0</v>
      </c>
      <c r="L961" s="735">
        <v>5184</v>
      </c>
      <c r="M961" s="735">
        <v>4895</v>
      </c>
      <c r="N961" s="845">
        <f t="shared" si="83"/>
        <v>-5.5748456790123455E-2</v>
      </c>
      <c r="O961" s="735">
        <v>43.578285770586028</v>
      </c>
      <c r="P961" s="735">
        <f t="shared" si="84"/>
        <v>112.32658452352366</v>
      </c>
      <c r="Q961" s="849">
        <v>44.3</v>
      </c>
      <c r="R961" s="71">
        <v>86068</v>
      </c>
      <c r="S961" s="845">
        <v>3.8753331966372769E-2</v>
      </c>
      <c r="T961" s="845">
        <v>4.4000000000000004E-2</v>
      </c>
      <c r="U961" s="845">
        <v>3.0000000000000001E-3</v>
      </c>
      <c r="V961" s="845">
        <v>0</v>
      </c>
      <c r="W961" s="845">
        <v>0.16103896103896104</v>
      </c>
      <c r="X961" s="845">
        <v>0.12580645161290321</v>
      </c>
      <c r="Y961" s="845">
        <v>0.97160367722165475</v>
      </c>
      <c r="Z961" s="845">
        <v>5.7201225740551587E-3</v>
      </c>
      <c r="AA961" s="845">
        <v>0</v>
      </c>
      <c r="AB961" s="845">
        <v>0</v>
      </c>
      <c r="AC961" s="845">
        <v>0</v>
      </c>
      <c r="AD961" s="845">
        <v>0</v>
      </c>
      <c r="AE961" s="845">
        <v>2.2676200204290092E-2</v>
      </c>
      <c r="AF961" s="845">
        <v>8.988764044943821E-3</v>
      </c>
      <c r="AG961" s="845">
        <v>0.96547497446373853</v>
      </c>
      <c r="AH961" s="20" t="str">
        <f t="shared" si="85"/>
        <v>Yes</v>
      </c>
      <c r="AI961" s="25"/>
      <c r="AJ961" s="37">
        <v>44881</v>
      </c>
      <c r="AK961" s="37" t="s">
        <v>1515</v>
      </c>
      <c r="AL961" s="37">
        <v>39033</v>
      </c>
      <c r="AM961" s="37" t="s">
        <v>23</v>
      </c>
      <c r="AN961" s="37" t="str">
        <f t="shared" si="86"/>
        <v>N/A</v>
      </c>
      <c r="AO961" s="37" t="str">
        <f t="shared" si="87"/>
        <v>N/A</v>
      </c>
      <c r="AP961" s="20" t="s">
        <v>8</v>
      </c>
      <c r="AQ961" s="25"/>
      <c r="AR961" s="25"/>
      <c r="AS961" s="25"/>
      <c r="AT961" s="25"/>
      <c r="AU961" s="36"/>
      <c r="AV961" s="36"/>
      <c r="AW961" s="36"/>
      <c r="AX961" s="25"/>
      <c r="AY961" s="25"/>
      <c r="AZ961" s="25"/>
      <c r="BA961" s="25"/>
      <c r="BB961" s="25"/>
      <c r="BC961" s="25"/>
      <c r="BD961" s="25"/>
      <c r="BE961" s="25"/>
      <c r="BF961" s="25"/>
      <c r="BG961" s="25"/>
      <c r="BH961" s="25"/>
      <c r="BI961" s="25"/>
      <c r="BJ961" s="25"/>
      <c r="BK961" s="25"/>
      <c r="BL961" s="25"/>
      <c r="BM961" s="25"/>
      <c r="BN961" s="25"/>
      <c r="BO961" s="25"/>
      <c r="BP961" s="25"/>
      <c r="BQ961" s="25"/>
      <c r="BR961" s="25"/>
      <c r="BS961" s="25"/>
      <c r="BT961" s="25"/>
      <c r="BU961" s="39">
        <v>43777</v>
      </c>
      <c r="BV961" s="39" t="s">
        <v>1064</v>
      </c>
      <c r="BW961" s="39" t="s">
        <v>2887</v>
      </c>
      <c r="BX961" s="39" t="s">
        <v>306</v>
      </c>
      <c r="BY961" s="71">
        <v>800</v>
      </c>
      <c r="BZ961" s="71">
        <v>810</v>
      </c>
      <c r="CA961" s="71">
        <v>970</v>
      </c>
      <c r="CB961" s="71">
        <v>1270</v>
      </c>
      <c r="CC961" s="71">
        <v>1430</v>
      </c>
      <c r="CD961" s="25"/>
      <c r="CE961" s="200"/>
      <c r="CF961" s="200"/>
      <c r="CG961" s="200"/>
      <c r="CH961" s="200"/>
      <c r="CI961" s="200"/>
      <c r="CJ961" s="200"/>
      <c r="CK961" s="200"/>
      <c r="CL961" s="200"/>
      <c r="CM961" s="200"/>
      <c r="CN961" s="200"/>
      <c r="CO961" s="200"/>
      <c r="CP961" s="200"/>
      <c r="CQ961" s="200"/>
      <c r="CR961" s="200"/>
      <c r="CS961" s="200"/>
      <c r="CT961" s="200"/>
      <c r="CU961" s="200"/>
    </row>
    <row r="962" spans="1:99" s="17" customFormat="1" x14ac:dyDescent="0.2">
      <c r="A962" s="25"/>
      <c r="B962" s="20">
        <v>39035141000</v>
      </c>
      <c r="C962" s="20">
        <v>1410</v>
      </c>
      <c r="D962" s="20" t="s">
        <v>24</v>
      </c>
      <c r="E962" s="20" t="s">
        <v>2829</v>
      </c>
      <c r="F962" s="20" t="s">
        <v>6</v>
      </c>
      <c r="G962" s="861">
        <v>56.679835397033102</v>
      </c>
      <c r="H962" s="861">
        <v>69.075175507690105</v>
      </c>
      <c r="I962" s="861">
        <v>77.471867607552198</v>
      </c>
      <c r="J962" s="861">
        <v>59.111513752176997</v>
      </c>
      <c r="K962" s="982">
        <v>0</v>
      </c>
      <c r="L962" s="735">
        <v>1151</v>
      </c>
      <c r="M962" s="735">
        <v>914</v>
      </c>
      <c r="N962" s="845">
        <f t="shared" si="83"/>
        <v>-0.20590790616854909</v>
      </c>
      <c r="O962" s="735">
        <v>0.31154776227910946</v>
      </c>
      <c r="P962" s="735">
        <f t="shared" si="84"/>
        <v>2933.7395759599954</v>
      </c>
      <c r="Q962" s="849">
        <v>26.1</v>
      </c>
      <c r="R962" s="71">
        <v>48194</v>
      </c>
      <c r="S962" s="845">
        <v>0.35229759299781183</v>
      </c>
      <c r="T962" s="845">
        <v>0.107</v>
      </c>
      <c r="U962" s="845">
        <v>0</v>
      </c>
      <c r="V962" s="845">
        <v>0.13</v>
      </c>
      <c r="W962" s="845">
        <v>0.96029776674937961</v>
      </c>
      <c r="X962" s="845">
        <v>0.4573643410852713</v>
      </c>
      <c r="Y962" s="845">
        <v>0.28008752735229758</v>
      </c>
      <c r="Z962" s="845">
        <v>0.6816192560175055</v>
      </c>
      <c r="AA962" s="845">
        <v>0</v>
      </c>
      <c r="AB962" s="845">
        <v>1.0940919037199124E-2</v>
      </c>
      <c r="AC962" s="845">
        <v>0</v>
      </c>
      <c r="AD962" s="845">
        <v>1.8599562363238512E-2</v>
      </c>
      <c r="AE962" s="845">
        <v>8.7527352297592995E-3</v>
      </c>
      <c r="AF962" s="845">
        <v>5.0328227571115977E-2</v>
      </c>
      <c r="AG962" s="845">
        <v>0.22975929978118162</v>
      </c>
      <c r="AH962" s="20" t="str">
        <f t="shared" si="85"/>
        <v>No</v>
      </c>
      <c r="AI962" s="25"/>
      <c r="AJ962" s="20">
        <v>44882</v>
      </c>
      <c r="AK962" s="20" t="s">
        <v>1516</v>
      </c>
      <c r="AL962" s="20">
        <v>39033</v>
      </c>
      <c r="AM962" s="20" t="s">
        <v>23</v>
      </c>
      <c r="AN962" s="37" t="str">
        <f t="shared" si="86"/>
        <v>N/A</v>
      </c>
      <c r="AO962" s="37" t="str">
        <f t="shared" si="87"/>
        <v>N/A</v>
      </c>
      <c r="AP962" s="20" t="s">
        <v>8</v>
      </c>
      <c r="AQ962" s="25"/>
      <c r="AR962" s="25"/>
      <c r="AS962" s="25"/>
      <c r="AT962" s="25"/>
      <c r="AU962" s="36"/>
      <c r="AV962" s="36"/>
      <c r="AW962" s="36"/>
      <c r="AX962" s="25"/>
      <c r="AY962" s="25"/>
      <c r="AZ962" s="25"/>
      <c r="BA962" s="25"/>
      <c r="BB962" s="25"/>
      <c r="BC962" s="25"/>
      <c r="BD962" s="25"/>
      <c r="BE962" s="25"/>
      <c r="BF962" s="25"/>
      <c r="BG962" s="25"/>
      <c r="BH962" s="25"/>
      <c r="BI962" s="25"/>
      <c r="BJ962" s="25"/>
      <c r="BK962" s="25"/>
      <c r="BL962" s="25"/>
      <c r="BM962" s="25"/>
      <c r="BN962" s="25"/>
      <c r="BO962" s="25"/>
      <c r="BP962" s="25"/>
      <c r="BQ962" s="25"/>
      <c r="BR962" s="25"/>
      <c r="BS962" s="25"/>
      <c r="BT962" s="25"/>
      <c r="BU962" s="39">
        <v>43782</v>
      </c>
      <c r="BV962" s="39" t="s">
        <v>1068</v>
      </c>
      <c r="BW962" s="39" t="s">
        <v>2887</v>
      </c>
      <c r="BX962" s="39" t="s">
        <v>306</v>
      </c>
      <c r="BY962" s="71">
        <v>800</v>
      </c>
      <c r="BZ962" s="71">
        <v>810</v>
      </c>
      <c r="CA962" s="71">
        <v>1000</v>
      </c>
      <c r="CB962" s="71">
        <v>1240</v>
      </c>
      <c r="CC962" s="71">
        <v>1460</v>
      </c>
      <c r="CD962" s="25"/>
      <c r="CE962" s="200"/>
      <c r="CF962" s="200"/>
      <c r="CG962" s="200"/>
      <c r="CH962" s="200"/>
      <c r="CI962" s="200"/>
      <c r="CJ962" s="200"/>
      <c r="CK962" s="200"/>
      <c r="CL962" s="200"/>
      <c r="CM962" s="200"/>
      <c r="CN962" s="200"/>
      <c r="CO962" s="200"/>
      <c r="CP962" s="200"/>
      <c r="CQ962" s="200"/>
      <c r="CR962" s="200"/>
      <c r="CS962" s="200"/>
      <c r="CT962" s="200"/>
      <c r="CU962" s="200"/>
    </row>
    <row r="963" spans="1:99" s="17" customFormat="1" x14ac:dyDescent="0.2">
      <c r="A963" s="25"/>
      <c r="B963" s="20">
        <v>39017011800</v>
      </c>
      <c r="C963" s="20">
        <v>118</v>
      </c>
      <c r="D963" s="20" t="s">
        <v>15</v>
      </c>
      <c r="E963" s="20" t="s">
        <v>2828</v>
      </c>
      <c r="F963" s="20" t="s">
        <v>8</v>
      </c>
      <c r="G963" s="861">
        <v>56.665862248248899</v>
      </c>
      <c r="H963" s="861">
        <v>62.761516348632099</v>
      </c>
      <c r="I963" s="861">
        <v>26.914595967064599</v>
      </c>
      <c r="J963" s="861">
        <v>48.579620343636897</v>
      </c>
      <c r="K963" s="982">
        <v>0</v>
      </c>
      <c r="L963" s="735">
        <v>5585</v>
      </c>
      <c r="M963" s="735">
        <v>6478</v>
      </c>
      <c r="N963" s="845">
        <f t="shared" si="83"/>
        <v>0.15989256938227395</v>
      </c>
      <c r="O963" s="735">
        <v>2.1791455251120824</v>
      </c>
      <c r="P963" s="735">
        <f t="shared" si="84"/>
        <v>2972.7248250971261</v>
      </c>
      <c r="Q963" s="849">
        <v>39.200000000000003</v>
      </c>
      <c r="R963" s="71">
        <v>96274</v>
      </c>
      <c r="S963" s="845">
        <v>5.5261519302615192E-2</v>
      </c>
      <c r="T963" s="845">
        <v>7.9000000000000001E-2</v>
      </c>
      <c r="U963" s="845">
        <v>0</v>
      </c>
      <c r="V963" s="845">
        <v>0</v>
      </c>
      <c r="W963" s="845">
        <v>8.3750568957669552E-2</v>
      </c>
      <c r="X963" s="845">
        <v>0.63586956521739135</v>
      </c>
      <c r="Y963" s="845">
        <v>0.97375733251003393</v>
      </c>
      <c r="Z963" s="845">
        <v>0</v>
      </c>
      <c r="AA963" s="845">
        <v>0</v>
      </c>
      <c r="AB963" s="845">
        <v>0</v>
      </c>
      <c r="AC963" s="845">
        <v>0</v>
      </c>
      <c r="AD963" s="845">
        <v>4.9397962334053721E-3</v>
      </c>
      <c r="AE963" s="845">
        <v>2.1302871256560666E-2</v>
      </c>
      <c r="AF963" s="845">
        <v>2.0531028095091077E-2</v>
      </c>
      <c r="AG963" s="845">
        <v>0.96217968508799012</v>
      </c>
      <c r="AH963" s="20" t="str">
        <f t="shared" si="85"/>
        <v>Yes</v>
      </c>
      <c r="AI963" s="25"/>
      <c r="AJ963" s="37">
        <v>44887</v>
      </c>
      <c r="AK963" s="37" t="s">
        <v>1518</v>
      </c>
      <c r="AL963" s="37">
        <v>39033</v>
      </c>
      <c r="AM963" s="37" t="s">
        <v>23</v>
      </c>
      <c r="AN963" s="37" t="str">
        <f t="shared" si="86"/>
        <v>N/A</v>
      </c>
      <c r="AO963" s="37" t="str">
        <f t="shared" si="87"/>
        <v>N/A</v>
      </c>
      <c r="AP963" s="20" t="s">
        <v>8</v>
      </c>
      <c r="AQ963" s="25"/>
      <c r="AR963" s="25"/>
      <c r="AS963" s="25"/>
      <c r="AT963" s="25"/>
      <c r="AU963" s="36"/>
      <c r="AV963" s="36"/>
      <c r="AW963" s="36"/>
      <c r="AX963" s="25"/>
      <c r="AY963" s="25"/>
      <c r="AZ963" s="25"/>
      <c r="BA963" s="25"/>
      <c r="BB963" s="25"/>
      <c r="BC963" s="25"/>
      <c r="BD963" s="25"/>
      <c r="BE963" s="25"/>
      <c r="BF963" s="25"/>
      <c r="BG963" s="25"/>
      <c r="BH963" s="25"/>
      <c r="BI963" s="25"/>
      <c r="BJ963" s="25"/>
      <c r="BK963" s="25"/>
      <c r="BL963" s="25"/>
      <c r="BM963" s="25"/>
      <c r="BN963" s="25"/>
      <c r="BO963" s="25"/>
      <c r="BP963" s="25"/>
      <c r="BQ963" s="25"/>
      <c r="BR963" s="25"/>
      <c r="BS963" s="25"/>
      <c r="BT963" s="25"/>
      <c r="BU963" s="39">
        <v>43783</v>
      </c>
      <c r="BV963" s="39" t="s">
        <v>1069</v>
      </c>
      <c r="BW963" s="39" t="s">
        <v>2887</v>
      </c>
      <c r="BX963" s="39" t="s">
        <v>306</v>
      </c>
      <c r="BY963" s="71">
        <v>880</v>
      </c>
      <c r="BZ963" s="71">
        <v>890</v>
      </c>
      <c r="CA963" s="71">
        <v>1090</v>
      </c>
      <c r="CB963" s="71">
        <v>1350</v>
      </c>
      <c r="CC963" s="71">
        <v>1600</v>
      </c>
      <c r="CD963" s="25"/>
      <c r="CE963" s="200"/>
      <c r="CF963" s="200"/>
      <c r="CG963" s="200"/>
      <c r="CH963" s="200"/>
      <c r="CI963" s="200"/>
      <c r="CJ963" s="200"/>
      <c r="CK963" s="200"/>
      <c r="CL963" s="200"/>
      <c r="CM963" s="200"/>
      <c r="CN963" s="200"/>
      <c r="CO963" s="200"/>
      <c r="CP963" s="200"/>
      <c r="CQ963" s="200"/>
      <c r="CR963" s="200"/>
      <c r="CS963" s="200"/>
      <c r="CT963" s="200"/>
      <c r="CU963" s="200"/>
    </row>
    <row r="964" spans="1:99" s="17" customFormat="1" x14ac:dyDescent="0.2">
      <c r="A964" s="25"/>
      <c r="B964" s="20">
        <v>39129021201</v>
      </c>
      <c r="C964" s="20">
        <v>212.01</v>
      </c>
      <c r="D964" s="20" t="s">
        <v>70</v>
      </c>
      <c r="E964" s="20" t="s">
        <v>2830</v>
      </c>
      <c r="F964" s="20" t="s">
        <v>8</v>
      </c>
      <c r="G964" s="861">
        <v>56.654649570571699</v>
      </c>
      <c r="H964" s="861">
        <v>59.430533098187098</v>
      </c>
      <c r="I964" s="861">
        <v>35.611263064812199</v>
      </c>
      <c r="J964" s="861">
        <v>53.736035515766602</v>
      </c>
      <c r="K964" s="982">
        <v>0</v>
      </c>
      <c r="L964" s="735" t="s">
        <v>2466</v>
      </c>
      <c r="M964" s="735">
        <v>4953</v>
      </c>
      <c r="N964" s="845" t="str">
        <f t="shared" si="83"/>
        <v/>
      </c>
      <c r="O964" s="735">
        <v>8.766032520512228</v>
      </c>
      <c r="P964" s="735">
        <f t="shared" si="84"/>
        <v>565.02186005015869</v>
      </c>
      <c r="Q964" s="849">
        <v>35.4</v>
      </c>
      <c r="R964" s="71">
        <v>79088</v>
      </c>
      <c r="S964" s="845">
        <v>4.7849788007268322E-2</v>
      </c>
      <c r="T964" s="845">
        <v>6.4000000000000001E-2</v>
      </c>
      <c r="U964" s="845">
        <v>0</v>
      </c>
      <c r="V964" s="845">
        <v>0</v>
      </c>
      <c r="W964" s="845">
        <v>0.42691292875989445</v>
      </c>
      <c r="X964" s="845">
        <v>0.32756489493201485</v>
      </c>
      <c r="Y964" s="845">
        <v>0.95861094286291137</v>
      </c>
      <c r="Z964" s="845">
        <v>5.4512416717141131E-3</v>
      </c>
      <c r="AA964" s="845">
        <v>0</v>
      </c>
      <c r="AB964" s="845">
        <v>0</v>
      </c>
      <c r="AC964" s="845">
        <v>0</v>
      </c>
      <c r="AD964" s="845">
        <v>9.2873006258833036E-3</v>
      </c>
      <c r="AE964" s="845">
        <v>2.6650514839491216E-2</v>
      </c>
      <c r="AF964" s="845">
        <v>2.2612558045628912E-2</v>
      </c>
      <c r="AG964" s="845">
        <v>0.9539672925499697</v>
      </c>
      <c r="AH964" s="20" t="str">
        <f t="shared" si="85"/>
        <v>Yes</v>
      </c>
      <c r="AI964" s="25"/>
      <c r="AJ964" s="20">
        <v>45303</v>
      </c>
      <c r="AK964" s="20" t="s">
        <v>1657</v>
      </c>
      <c r="AL964" s="20">
        <v>39037</v>
      </c>
      <c r="AM964" s="20" t="s">
        <v>25</v>
      </c>
      <c r="AN964" s="37" t="str">
        <f t="shared" si="86"/>
        <v>N/A</v>
      </c>
      <c r="AO964" s="37" t="str">
        <f t="shared" si="87"/>
        <v>N/A</v>
      </c>
      <c r="AP964" s="20" t="s">
        <v>8</v>
      </c>
      <c r="AQ964" s="25"/>
      <c r="AR964" s="25"/>
      <c r="AS964" s="25"/>
      <c r="AT964" s="25"/>
      <c r="AU964" s="36"/>
      <c r="AV964" s="36"/>
      <c r="AW964" s="36"/>
      <c r="AX964" s="25"/>
      <c r="AY964" s="25"/>
      <c r="AZ964" s="25"/>
      <c r="BA964" s="25"/>
      <c r="BB964" s="25"/>
      <c r="BC964" s="25"/>
      <c r="BD964" s="25"/>
      <c r="BE964" s="25"/>
      <c r="BF964" s="25"/>
      <c r="BG964" s="25"/>
      <c r="BH964" s="25"/>
      <c r="BI964" s="25"/>
      <c r="BJ964" s="25"/>
      <c r="BK964" s="25"/>
      <c r="BL964" s="25"/>
      <c r="BM964" s="25"/>
      <c r="BN964" s="25"/>
      <c r="BO964" s="25"/>
      <c r="BP964" s="25"/>
      <c r="BQ964" s="25"/>
      <c r="BR964" s="25"/>
      <c r="BS964" s="25"/>
      <c r="BT964" s="25"/>
      <c r="BU964" s="39">
        <v>45624</v>
      </c>
      <c r="BV964" s="39" t="s">
        <v>1780</v>
      </c>
      <c r="BW964" s="39" t="s">
        <v>2878</v>
      </c>
      <c r="BX964" s="39" t="s">
        <v>2879</v>
      </c>
      <c r="BY964" s="71">
        <v>770</v>
      </c>
      <c r="BZ964" s="71">
        <v>850</v>
      </c>
      <c r="CA964" s="71">
        <v>1020</v>
      </c>
      <c r="CB964" s="71">
        <v>1270</v>
      </c>
      <c r="CC964" s="71">
        <v>1460</v>
      </c>
      <c r="CD964" s="25"/>
      <c r="CE964" s="200"/>
      <c r="CF964" s="200"/>
      <c r="CG964" s="200"/>
      <c r="CH964" s="200"/>
      <c r="CI964" s="200"/>
      <c r="CJ964" s="200"/>
      <c r="CK964" s="200"/>
      <c r="CL964" s="200"/>
      <c r="CM964" s="200"/>
      <c r="CN964" s="200"/>
      <c r="CO964" s="200"/>
      <c r="CP964" s="200"/>
      <c r="CQ964" s="200"/>
      <c r="CR964" s="200"/>
      <c r="CS964" s="200"/>
      <c r="CT964" s="200"/>
      <c r="CU964" s="200"/>
    </row>
    <row r="965" spans="1:99" s="17" customFormat="1" x14ac:dyDescent="0.2">
      <c r="A965" s="25"/>
      <c r="B965" s="20">
        <v>39035174204</v>
      </c>
      <c r="C965" s="20">
        <v>1742.04</v>
      </c>
      <c r="D965" s="20" t="s">
        <v>24</v>
      </c>
      <c r="E965" s="20" t="s">
        <v>2829</v>
      </c>
      <c r="F965" s="20" t="s">
        <v>8</v>
      </c>
      <c r="G965" s="861">
        <v>56.637310765954403</v>
      </c>
      <c r="H965" s="861">
        <v>63.462708450945598</v>
      </c>
      <c r="I965" s="861">
        <v>20.713170843642501</v>
      </c>
      <c r="J965" s="861">
        <v>50.960942426941799</v>
      </c>
      <c r="K965" s="982">
        <v>0</v>
      </c>
      <c r="L965" s="735">
        <v>3867</v>
      </c>
      <c r="M965" s="735">
        <v>3733</v>
      </c>
      <c r="N965" s="845">
        <f t="shared" si="83"/>
        <v>-3.4652185156452027E-2</v>
      </c>
      <c r="O965" s="735">
        <v>1.2863240518891803</v>
      </c>
      <c r="P965" s="735">
        <f t="shared" si="84"/>
        <v>2902.0681021376145</v>
      </c>
      <c r="Q965" s="849">
        <v>44.2</v>
      </c>
      <c r="R965" s="71">
        <v>111958</v>
      </c>
      <c r="S965" s="845">
        <v>4.9597855227882036E-2</v>
      </c>
      <c r="T965" s="845">
        <v>1.3999999999999999E-2</v>
      </c>
      <c r="U965" s="845">
        <v>3.2000000000000001E-2</v>
      </c>
      <c r="V965" s="845">
        <v>0</v>
      </c>
      <c r="W965" s="845">
        <v>4.49438202247191E-2</v>
      </c>
      <c r="X965" s="845">
        <v>0.51666666666666672</v>
      </c>
      <c r="Y965" s="845">
        <v>0.87811411733190459</v>
      </c>
      <c r="Z965" s="845">
        <v>2.1966246986338065E-2</v>
      </c>
      <c r="AA965" s="845">
        <v>0</v>
      </c>
      <c r="AB965" s="845">
        <v>5.3576212161800162E-2</v>
      </c>
      <c r="AC965" s="845">
        <v>2.6788106080900078E-3</v>
      </c>
      <c r="AD965" s="845">
        <v>0</v>
      </c>
      <c r="AE965" s="845">
        <v>4.3664612911867129E-2</v>
      </c>
      <c r="AF965" s="845">
        <v>5.5183498526654162E-2</v>
      </c>
      <c r="AG965" s="845">
        <v>0.84945084382534153</v>
      </c>
      <c r="AH965" s="20" t="str">
        <f t="shared" si="85"/>
        <v>No</v>
      </c>
      <c r="AI965" s="25"/>
      <c r="AJ965" s="20">
        <v>45304</v>
      </c>
      <c r="AK965" s="20" t="s">
        <v>1658</v>
      </c>
      <c r="AL965" s="20">
        <v>39037</v>
      </c>
      <c r="AM965" s="20" t="s">
        <v>25</v>
      </c>
      <c r="AN965" s="37" t="str">
        <f t="shared" si="86"/>
        <v>N/A</v>
      </c>
      <c r="AO965" s="37" t="str">
        <f t="shared" si="87"/>
        <v>N/A</v>
      </c>
      <c r="AP965" s="20" t="s">
        <v>8</v>
      </c>
      <c r="AQ965" s="25"/>
      <c r="AR965" s="25"/>
      <c r="AS965" s="25"/>
      <c r="AT965" s="25"/>
      <c r="AU965" s="36"/>
      <c r="AV965" s="36"/>
      <c r="AW965" s="36"/>
      <c r="AX965" s="25"/>
      <c r="AY965" s="25"/>
      <c r="AZ965" s="25"/>
      <c r="BA965" s="25"/>
      <c r="BB965" s="25"/>
      <c r="BC965" s="25"/>
      <c r="BD965" s="25"/>
      <c r="BE965" s="25"/>
      <c r="BF965" s="25"/>
      <c r="BG965" s="25"/>
      <c r="BH965" s="25"/>
      <c r="BI965" s="25"/>
      <c r="BJ965" s="25"/>
      <c r="BK965" s="25"/>
      <c r="BL965" s="25"/>
      <c r="BM965" s="25"/>
      <c r="BN965" s="25"/>
      <c r="BO965" s="25"/>
      <c r="BP965" s="25"/>
      <c r="BQ965" s="25"/>
      <c r="BR965" s="25"/>
      <c r="BS965" s="25"/>
      <c r="BT965" s="25"/>
      <c r="BU965" s="39">
        <v>45642</v>
      </c>
      <c r="BV965" s="39" t="s">
        <v>1789</v>
      </c>
      <c r="BW965" s="39" t="s">
        <v>2878</v>
      </c>
      <c r="BX965" s="39" t="s">
        <v>2879</v>
      </c>
      <c r="BY965" s="71">
        <v>740</v>
      </c>
      <c r="BZ965" s="71">
        <v>750</v>
      </c>
      <c r="CA965" s="71">
        <v>980</v>
      </c>
      <c r="CB965" s="71">
        <v>1220</v>
      </c>
      <c r="CC965" s="71">
        <v>1450</v>
      </c>
      <c r="CD965" s="25"/>
      <c r="CE965" s="200"/>
      <c r="CF965" s="200"/>
      <c r="CG965" s="200"/>
      <c r="CH965" s="200"/>
      <c r="CI965" s="200"/>
      <c r="CJ965" s="200"/>
      <c r="CK965" s="200"/>
      <c r="CL965" s="200"/>
      <c r="CM965" s="200"/>
      <c r="CN965" s="200"/>
      <c r="CO965" s="200"/>
      <c r="CP965" s="200"/>
      <c r="CQ965" s="200"/>
      <c r="CR965" s="200"/>
      <c r="CS965" s="200"/>
      <c r="CT965" s="200"/>
      <c r="CU965" s="200"/>
    </row>
    <row r="966" spans="1:99" s="17" customFormat="1" x14ac:dyDescent="0.2">
      <c r="A966" s="25"/>
      <c r="B966" s="20">
        <v>39109365102</v>
      </c>
      <c r="C966" s="20">
        <v>3651.02</v>
      </c>
      <c r="D966" s="20" t="s">
        <v>60</v>
      </c>
      <c r="E966" s="20" t="s">
        <v>2833</v>
      </c>
      <c r="F966" s="20" t="s">
        <v>8</v>
      </c>
      <c r="G966" s="861">
        <v>56.631742389543298</v>
      </c>
      <c r="H966" s="861">
        <v>50.652224187457897</v>
      </c>
      <c r="I966" s="861">
        <v>21.461673348928599</v>
      </c>
      <c r="J966" s="861">
        <v>54.078270367319</v>
      </c>
      <c r="K966" s="982">
        <v>0</v>
      </c>
      <c r="L966" s="735">
        <v>5022</v>
      </c>
      <c r="M966" s="735">
        <v>5441</v>
      </c>
      <c r="N966" s="845">
        <f t="shared" si="83"/>
        <v>8.3432895260852249E-2</v>
      </c>
      <c r="O966" s="735">
        <v>11.019225875905663</v>
      </c>
      <c r="P966" s="735">
        <f t="shared" si="84"/>
        <v>493.77334317986362</v>
      </c>
      <c r="Q966" s="849">
        <v>37.6</v>
      </c>
      <c r="R966" s="71">
        <v>71489</v>
      </c>
      <c r="S966" s="845">
        <v>8.0316118360595476E-2</v>
      </c>
      <c r="T966" s="845">
        <v>5.5999999999999994E-2</v>
      </c>
      <c r="U966" s="845">
        <v>0</v>
      </c>
      <c r="V966" s="845">
        <v>0</v>
      </c>
      <c r="W966" s="845">
        <v>0.17590822179732313</v>
      </c>
      <c r="X966" s="845">
        <v>0.59782608695652173</v>
      </c>
      <c r="Y966" s="845">
        <v>0.93475464069104941</v>
      </c>
      <c r="Z966" s="845">
        <v>2.3708877044660907E-2</v>
      </c>
      <c r="AA966" s="845">
        <v>0</v>
      </c>
      <c r="AB966" s="845">
        <v>6.9840102922256939E-3</v>
      </c>
      <c r="AC966" s="845">
        <v>0</v>
      </c>
      <c r="AD966" s="845">
        <v>0</v>
      </c>
      <c r="AE966" s="845">
        <v>3.4552471972063958E-2</v>
      </c>
      <c r="AF966" s="845">
        <v>1.4519389818048152E-2</v>
      </c>
      <c r="AG966" s="845">
        <v>0.92335967653004958</v>
      </c>
      <c r="AH966" s="20" t="str">
        <f t="shared" si="85"/>
        <v>Yes</v>
      </c>
      <c r="AI966" s="25"/>
      <c r="AJ966" s="37">
        <v>45308</v>
      </c>
      <c r="AK966" s="37" t="s">
        <v>1662</v>
      </c>
      <c r="AL966" s="37">
        <v>39037</v>
      </c>
      <c r="AM966" s="37" t="s">
        <v>25</v>
      </c>
      <c r="AN966" s="37" t="str">
        <f t="shared" si="86"/>
        <v>N/A</v>
      </c>
      <c r="AO966" s="37" t="str">
        <f t="shared" si="87"/>
        <v>N/A</v>
      </c>
      <c r="AP966" s="20" t="s">
        <v>8</v>
      </c>
      <c r="AQ966" s="25"/>
      <c r="AR966" s="25"/>
      <c r="AS966" s="25"/>
      <c r="AT966" s="25"/>
      <c r="AU966" s="36"/>
      <c r="AV966" s="36"/>
      <c r="AW966" s="36"/>
      <c r="AX966" s="25"/>
      <c r="AY966" s="25"/>
      <c r="AZ966" s="25"/>
      <c r="BA966" s="25"/>
      <c r="BB966" s="25"/>
      <c r="BC966" s="25"/>
      <c r="BD966" s="25"/>
      <c r="BE966" s="25"/>
      <c r="BF966" s="25"/>
      <c r="BG966" s="25"/>
      <c r="BH966" s="25"/>
      <c r="BI966" s="25"/>
      <c r="BJ966" s="25"/>
      <c r="BK966" s="25"/>
      <c r="BL966" s="25"/>
      <c r="BM966" s="25"/>
      <c r="BN966" s="25"/>
      <c r="BO966" s="25"/>
      <c r="BP966" s="25"/>
      <c r="BQ966" s="25"/>
      <c r="BR966" s="25"/>
      <c r="BS966" s="25"/>
      <c r="BT966" s="25"/>
      <c r="BU966" s="39">
        <v>45646</v>
      </c>
      <c r="BV966" s="39" t="s">
        <v>1792</v>
      </c>
      <c r="BW966" s="39" t="s">
        <v>2878</v>
      </c>
      <c r="BX966" s="39" t="s">
        <v>2879</v>
      </c>
      <c r="BY966" s="71">
        <v>740</v>
      </c>
      <c r="BZ966" s="71">
        <v>790</v>
      </c>
      <c r="CA966" s="71">
        <v>980</v>
      </c>
      <c r="CB966" s="71">
        <v>1210</v>
      </c>
      <c r="CC966" s="71">
        <v>1370</v>
      </c>
      <c r="CD966" s="25"/>
      <c r="CE966" s="200"/>
      <c r="CF966" s="200"/>
      <c r="CG966" s="200"/>
      <c r="CH966" s="200"/>
      <c r="CI966" s="200"/>
      <c r="CJ966" s="200"/>
      <c r="CK966" s="200"/>
      <c r="CL966" s="200"/>
      <c r="CM966" s="200"/>
      <c r="CN966" s="200"/>
      <c r="CO966" s="200"/>
      <c r="CP966" s="200"/>
      <c r="CQ966" s="200"/>
      <c r="CR966" s="200"/>
      <c r="CS966" s="200"/>
      <c r="CT966" s="200"/>
      <c r="CU966" s="200"/>
    </row>
    <row r="967" spans="1:99" s="17" customFormat="1" x14ac:dyDescent="0.2">
      <c r="A967" s="25"/>
      <c r="B967" s="20">
        <v>39049006000</v>
      </c>
      <c r="C967" s="20">
        <v>60</v>
      </c>
      <c r="D967" s="20" t="s">
        <v>31</v>
      </c>
      <c r="E967" s="20" t="s">
        <v>2830</v>
      </c>
      <c r="F967" s="20" t="s">
        <v>6</v>
      </c>
      <c r="G967" s="861">
        <v>56.599629007434501</v>
      </c>
      <c r="H967" s="861">
        <v>57.607854728271199</v>
      </c>
      <c r="I967" s="861">
        <v>65.9498122560734</v>
      </c>
      <c r="J967" s="861">
        <v>52.622340598880598</v>
      </c>
      <c r="K967" s="982">
        <v>0</v>
      </c>
      <c r="L967" s="735">
        <v>1898</v>
      </c>
      <c r="M967" s="735">
        <v>1957</v>
      </c>
      <c r="N967" s="845">
        <f t="shared" si="83"/>
        <v>3.1085353003161221E-2</v>
      </c>
      <c r="O967" s="735">
        <v>0.37394997925299356</v>
      </c>
      <c r="P967" s="735">
        <f t="shared" si="84"/>
        <v>5233.3202529100927</v>
      </c>
      <c r="Q967" s="849">
        <v>33.5</v>
      </c>
      <c r="R967" s="71">
        <v>46809</v>
      </c>
      <c r="S967" s="845">
        <v>0.20081757792539601</v>
      </c>
      <c r="T967" s="845">
        <v>7.9000000000000001E-2</v>
      </c>
      <c r="U967" s="845">
        <v>0.10800000000000001</v>
      </c>
      <c r="V967" s="845">
        <v>3.2000000000000001E-2</v>
      </c>
      <c r="W967" s="845">
        <v>0.61875761266747864</v>
      </c>
      <c r="X967" s="845">
        <v>0.42716535433070868</v>
      </c>
      <c r="Y967" s="845">
        <v>0.54726622381195711</v>
      </c>
      <c r="Z967" s="845">
        <v>0.28206438426162495</v>
      </c>
      <c r="AA967" s="845">
        <v>0</v>
      </c>
      <c r="AB967" s="845">
        <v>6.7961165048543687E-2</v>
      </c>
      <c r="AC967" s="845">
        <v>0</v>
      </c>
      <c r="AD967" s="845">
        <v>3.5769034236075624E-3</v>
      </c>
      <c r="AE967" s="845">
        <v>9.9131323454266729E-2</v>
      </c>
      <c r="AF967" s="845">
        <v>1.6862544711292796E-2</v>
      </c>
      <c r="AG967" s="845">
        <v>0.54726622381195711</v>
      </c>
      <c r="AH967" s="20" t="str">
        <f t="shared" si="85"/>
        <v>No</v>
      </c>
      <c r="AI967" s="25"/>
      <c r="AJ967" s="20">
        <v>45309</v>
      </c>
      <c r="AK967" s="20" t="s">
        <v>1663</v>
      </c>
      <c r="AL967" s="20">
        <v>39037</v>
      </c>
      <c r="AM967" s="20" t="s">
        <v>25</v>
      </c>
      <c r="AN967" s="37" t="str">
        <f t="shared" si="86"/>
        <v>N/A</v>
      </c>
      <c r="AO967" s="37" t="str">
        <f t="shared" si="87"/>
        <v>N/A</v>
      </c>
      <c r="AP967" s="20" t="s">
        <v>8</v>
      </c>
      <c r="AQ967" s="25"/>
      <c r="AR967" s="25"/>
      <c r="AS967" s="25"/>
      <c r="AT967" s="25"/>
      <c r="AU967" s="36"/>
      <c r="AV967" s="36"/>
      <c r="AW967" s="36"/>
      <c r="AX967" s="25"/>
      <c r="AY967" s="25"/>
      <c r="AZ967" s="25"/>
      <c r="BA967" s="25"/>
      <c r="BB967" s="25"/>
      <c r="BC967" s="25"/>
      <c r="BD967" s="25"/>
      <c r="BE967" s="25"/>
      <c r="BF967" s="25"/>
      <c r="BG967" s="25"/>
      <c r="BH967" s="25"/>
      <c r="BI967" s="25"/>
      <c r="BJ967" s="25"/>
      <c r="BK967" s="25"/>
      <c r="BL967" s="25"/>
      <c r="BM967" s="25"/>
      <c r="BN967" s="25"/>
      <c r="BO967" s="25"/>
      <c r="BP967" s="25"/>
      <c r="BQ967" s="25"/>
      <c r="BR967" s="25"/>
      <c r="BS967" s="25"/>
      <c r="BT967" s="25"/>
      <c r="BU967" s="39">
        <v>45648</v>
      </c>
      <c r="BV967" s="39" t="s">
        <v>1794</v>
      </c>
      <c r="BW967" s="39" t="s">
        <v>2878</v>
      </c>
      <c r="BX967" s="39" t="s">
        <v>2879</v>
      </c>
      <c r="BY967" s="71">
        <v>700</v>
      </c>
      <c r="BZ967" s="71">
        <v>830</v>
      </c>
      <c r="CA967" s="71">
        <v>1010</v>
      </c>
      <c r="CB967" s="71">
        <v>1360</v>
      </c>
      <c r="CC967" s="71">
        <v>1510</v>
      </c>
      <c r="CD967" s="25"/>
      <c r="CE967" s="200"/>
      <c r="CF967" s="200"/>
      <c r="CG967" s="200"/>
      <c r="CH967" s="200"/>
      <c r="CI967" s="200"/>
      <c r="CJ967" s="200"/>
      <c r="CK967" s="200"/>
      <c r="CL967" s="200"/>
      <c r="CM967" s="200"/>
      <c r="CN967" s="200"/>
      <c r="CO967" s="200"/>
      <c r="CP967" s="200"/>
      <c r="CQ967" s="200"/>
      <c r="CR967" s="200"/>
      <c r="CS967" s="200"/>
      <c r="CT967" s="200"/>
      <c r="CU967" s="200"/>
    </row>
    <row r="968" spans="1:99" s="17" customFormat="1" x14ac:dyDescent="0.2">
      <c r="A968" s="25"/>
      <c r="B968" s="20">
        <v>39035177604</v>
      </c>
      <c r="C968" s="20">
        <v>1776.04</v>
      </c>
      <c r="D968" s="20" t="s">
        <v>24</v>
      </c>
      <c r="E968" s="20" t="s">
        <v>2829</v>
      </c>
      <c r="F968" s="20" t="s">
        <v>8</v>
      </c>
      <c r="G968" s="861">
        <v>56.591664724564197</v>
      </c>
      <c r="H968" s="861">
        <v>65.861711549531606</v>
      </c>
      <c r="I968" s="861">
        <v>18.7116284345243</v>
      </c>
      <c r="J968" s="861">
        <v>46.297973808387503</v>
      </c>
      <c r="K968" s="982">
        <v>0</v>
      </c>
      <c r="L968" s="735">
        <v>2069</v>
      </c>
      <c r="M968" s="735">
        <v>1934</v>
      </c>
      <c r="N968" s="845">
        <f t="shared" si="83"/>
        <v>-6.5248912518124702E-2</v>
      </c>
      <c r="O968" s="735">
        <v>0.86679046569059348</v>
      </c>
      <c r="P968" s="735">
        <f t="shared" si="84"/>
        <v>2231.2197428926888</v>
      </c>
      <c r="Q968" s="849">
        <v>51.3</v>
      </c>
      <c r="R968" s="71">
        <v>82064</v>
      </c>
      <c r="S968" s="845">
        <v>5.7911065149948295E-2</v>
      </c>
      <c r="T968" s="845">
        <v>1.6E-2</v>
      </c>
      <c r="U968" s="845">
        <v>0</v>
      </c>
      <c r="V968" s="845">
        <v>0</v>
      </c>
      <c r="W968" s="845">
        <v>0.12514484356894554</v>
      </c>
      <c r="X968" s="845">
        <v>0.21296296296296297</v>
      </c>
      <c r="Y968" s="845">
        <v>0.88779731127197514</v>
      </c>
      <c r="Z968" s="845">
        <v>3.1023784901758012E-3</v>
      </c>
      <c r="AA968" s="845">
        <v>0</v>
      </c>
      <c r="AB968" s="845">
        <v>1.1892450879007239E-2</v>
      </c>
      <c r="AC968" s="845">
        <v>0</v>
      </c>
      <c r="AD968" s="845">
        <v>3.3092037228541885E-2</v>
      </c>
      <c r="AE968" s="845">
        <v>6.4115822130299899E-2</v>
      </c>
      <c r="AF968" s="845">
        <v>0.12202688728024819</v>
      </c>
      <c r="AG968" s="845">
        <v>0.85263702171664946</v>
      </c>
      <c r="AH968" s="20" t="str">
        <f t="shared" si="85"/>
        <v>No</v>
      </c>
      <c r="AI968" s="25"/>
      <c r="AJ968" s="20">
        <v>45310</v>
      </c>
      <c r="AK968" s="20" t="s">
        <v>1664</v>
      </c>
      <c r="AL968" s="20">
        <v>39037</v>
      </c>
      <c r="AM968" s="20" t="s">
        <v>25</v>
      </c>
      <c r="AN968" s="37" t="str">
        <f t="shared" si="86"/>
        <v>N/A</v>
      </c>
      <c r="AO968" s="37" t="str">
        <f t="shared" si="87"/>
        <v>N/A</v>
      </c>
      <c r="AP968" s="20" t="s">
        <v>8</v>
      </c>
      <c r="AQ968" s="25"/>
      <c r="AR968" s="25"/>
      <c r="AS968" s="25"/>
      <c r="AT968" s="25"/>
      <c r="AU968" s="36"/>
      <c r="AV968" s="36"/>
      <c r="AW968" s="36"/>
      <c r="AX968" s="25"/>
      <c r="AY968" s="25"/>
      <c r="AZ968" s="25"/>
      <c r="BA968" s="25"/>
      <c r="BB968" s="25"/>
      <c r="BC968" s="25"/>
      <c r="BD968" s="25"/>
      <c r="BE968" s="25"/>
      <c r="BF968" s="25"/>
      <c r="BG968" s="25"/>
      <c r="BH968" s="25"/>
      <c r="BI968" s="25"/>
      <c r="BJ968" s="25"/>
      <c r="BK968" s="25"/>
      <c r="BL968" s="25"/>
      <c r="BM968" s="25"/>
      <c r="BN968" s="25"/>
      <c r="BO968" s="25"/>
      <c r="BP968" s="25"/>
      <c r="BQ968" s="25"/>
      <c r="BR968" s="25"/>
      <c r="BS968" s="25"/>
      <c r="BT968" s="25"/>
      <c r="BU968" s="39">
        <v>45661</v>
      </c>
      <c r="BV968" s="39" t="s">
        <v>1805</v>
      </c>
      <c r="BW968" s="39" t="s">
        <v>2878</v>
      </c>
      <c r="BX968" s="39" t="s">
        <v>2879</v>
      </c>
      <c r="BY968" s="71">
        <v>740</v>
      </c>
      <c r="BZ968" s="71">
        <v>740</v>
      </c>
      <c r="CA968" s="71">
        <v>970</v>
      </c>
      <c r="CB968" s="71">
        <v>1210</v>
      </c>
      <c r="CC968" s="71">
        <v>1440</v>
      </c>
      <c r="CD968" s="25"/>
      <c r="CE968" s="200"/>
      <c r="CF968" s="200"/>
      <c r="CG968" s="200"/>
      <c r="CH968" s="200"/>
      <c r="CI968" s="200"/>
      <c r="CJ968" s="200"/>
      <c r="CK968" s="200"/>
      <c r="CL968" s="200"/>
      <c r="CM968" s="200"/>
      <c r="CN968" s="200"/>
      <c r="CO968" s="200"/>
      <c r="CP968" s="200"/>
      <c r="CQ968" s="200"/>
      <c r="CR968" s="200"/>
      <c r="CS968" s="200"/>
      <c r="CT968" s="200"/>
      <c r="CU968" s="200"/>
    </row>
    <row r="969" spans="1:99" s="17" customFormat="1" x14ac:dyDescent="0.2">
      <c r="A969" s="25"/>
      <c r="B969" s="20">
        <v>39095008501</v>
      </c>
      <c r="C969" s="20">
        <v>85.01</v>
      </c>
      <c r="D969" s="20" t="s">
        <v>53</v>
      </c>
      <c r="E969" s="20" t="s">
        <v>2839</v>
      </c>
      <c r="F969" s="20" t="s">
        <v>8</v>
      </c>
      <c r="G969" s="861">
        <v>56.579434343856903</v>
      </c>
      <c r="H969" s="861">
        <v>62.5343467999597</v>
      </c>
      <c r="I969" s="861">
        <v>43.393187224100402</v>
      </c>
      <c r="J969" s="861">
        <v>50.659951557010402</v>
      </c>
      <c r="K969" s="982">
        <v>0</v>
      </c>
      <c r="L969" s="735" t="s">
        <v>2466</v>
      </c>
      <c r="M969" s="735">
        <v>2868</v>
      </c>
      <c r="N969" s="845" t="str">
        <f t="shared" si="83"/>
        <v/>
      </c>
      <c r="O969" s="735">
        <v>0.83829187926271986</v>
      </c>
      <c r="P969" s="735">
        <f t="shared" si="84"/>
        <v>3421.2427329278371</v>
      </c>
      <c r="Q969" s="849">
        <v>39.5</v>
      </c>
      <c r="R969" s="71">
        <v>71576</v>
      </c>
      <c r="S969" s="845">
        <v>9.0241343126967466E-2</v>
      </c>
      <c r="T969" s="845">
        <v>7.4999999999999997E-2</v>
      </c>
      <c r="U969" s="845">
        <v>0</v>
      </c>
      <c r="V969" s="845">
        <v>0</v>
      </c>
      <c r="W969" s="845">
        <v>0.27945859872611467</v>
      </c>
      <c r="X969" s="845">
        <v>0.46438746438746437</v>
      </c>
      <c r="Y969" s="845">
        <v>0.73675034867503486</v>
      </c>
      <c r="Z969" s="845">
        <v>0.24860529986052998</v>
      </c>
      <c r="AA969" s="845">
        <v>3.4867503486750347E-4</v>
      </c>
      <c r="AB969" s="845">
        <v>2.7894002789400278E-3</v>
      </c>
      <c r="AC969" s="845">
        <v>0</v>
      </c>
      <c r="AD969" s="845">
        <v>0</v>
      </c>
      <c r="AE969" s="845">
        <v>1.1506276150627616E-2</v>
      </c>
      <c r="AF969" s="845">
        <v>5.2301255230125521E-3</v>
      </c>
      <c r="AG969" s="845">
        <v>0.73675034867503486</v>
      </c>
      <c r="AH969" s="20" t="str">
        <f t="shared" si="85"/>
        <v>No</v>
      </c>
      <c r="AI969" s="25"/>
      <c r="AJ969" s="20">
        <v>45318</v>
      </c>
      <c r="AK969" s="20" t="s">
        <v>1671</v>
      </c>
      <c r="AL969" s="20">
        <v>39037</v>
      </c>
      <c r="AM969" s="20" t="s">
        <v>25</v>
      </c>
      <c r="AN969" s="37" t="str">
        <f t="shared" si="86"/>
        <v>N/A</v>
      </c>
      <c r="AO969" s="37" t="str">
        <f t="shared" si="87"/>
        <v>N/A</v>
      </c>
      <c r="AP969" s="20" t="s">
        <v>8</v>
      </c>
      <c r="AQ969" s="25"/>
      <c r="AR969" s="25"/>
      <c r="AS969" s="25"/>
      <c r="AT969" s="25"/>
      <c r="AU969" s="36"/>
      <c r="AV969" s="36"/>
      <c r="AW969" s="36"/>
      <c r="AX969" s="25"/>
      <c r="AY969" s="25"/>
      <c r="AZ969" s="25"/>
      <c r="BA969" s="25"/>
      <c r="BB969" s="25"/>
      <c r="BC969" s="25"/>
      <c r="BD969" s="25"/>
      <c r="BE969" s="25"/>
      <c r="BF969" s="25"/>
      <c r="BG969" s="25"/>
      <c r="BH969" s="25"/>
      <c r="BI969" s="25"/>
      <c r="BJ969" s="25"/>
      <c r="BK969" s="25"/>
      <c r="BL969" s="25"/>
      <c r="BM969" s="25"/>
      <c r="BN969" s="25"/>
      <c r="BO969" s="25"/>
      <c r="BP969" s="25"/>
      <c r="BQ969" s="25"/>
      <c r="BR969" s="25"/>
      <c r="BS969" s="25"/>
      <c r="BT969" s="25"/>
      <c r="BU969" s="39">
        <v>45690</v>
      </c>
      <c r="BV969" s="39" t="s">
        <v>1823</v>
      </c>
      <c r="BW969" s="39" t="s">
        <v>2878</v>
      </c>
      <c r="BX969" s="39" t="s">
        <v>2879</v>
      </c>
      <c r="BY969" s="71">
        <v>800</v>
      </c>
      <c r="BZ969" s="71">
        <v>820</v>
      </c>
      <c r="CA969" s="71">
        <v>1060</v>
      </c>
      <c r="CB969" s="71">
        <v>1320</v>
      </c>
      <c r="CC969" s="71">
        <v>1540</v>
      </c>
      <c r="CD969" s="25"/>
      <c r="CE969" s="200"/>
      <c r="CF969" s="200"/>
      <c r="CG969" s="200"/>
      <c r="CH969" s="200"/>
      <c r="CI969" s="200"/>
      <c r="CJ969" s="200"/>
      <c r="CK969" s="200"/>
      <c r="CL969" s="200"/>
      <c r="CM969" s="200"/>
      <c r="CN969" s="200"/>
      <c r="CO969" s="200"/>
      <c r="CP969" s="200"/>
      <c r="CQ969" s="200"/>
      <c r="CR969" s="200"/>
      <c r="CS969" s="200"/>
      <c r="CT969" s="200"/>
      <c r="CU969" s="200"/>
    </row>
    <row r="970" spans="1:99" s="17" customFormat="1" x14ac:dyDescent="0.2">
      <c r="A970" s="25"/>
      <c r="B970" s="20">
        <v>39063001000</v>
      </c>
      <c r="C970" s="20">
        <v>10</v>
      </c>
      <c r="D970" s="20" t="s">
        <v>38</v>
      </c>
      <c r="E970" s="20" t="s">
        <v>265</v>
      </c>
      <c r="F970" s="20" t="s">
        <v>8</v>
      </c>
      <c r="G970" s="861">
        <v>56.568895300185197</v>
      </c>
      <c r="H970" s="861">
        <v>62.146136265918699</v>
      </c>
      <c r="I970" s="861">
        <v>22.705881450371599</v>
      </c>
      <c r="J970" s="861">
        <v>39.553858385342799</v>
      </c>
      <c r="K970" s="982">
        <v>0</v>
      </c>
      <c r="L970" s="735">
        <v>6321</v>
      </c>
      <c r="M970" s="735">
        <v>6648</v>
      </c>
      <c r="N970" s="845">
        <f t="shared" si="83"/>
        <v>5.1732320835310867E-2</v>
      </c>
      <c r="O970" s="735">
        <v>7.7679213747432998</v>
      </c>
      <c r="P970" s="735">
        <f t="shared" si="84"/>
        <v>855.827405979594</v>
      </c>
      <c r="Q970" s="849">
        <v>39.299999999999997</v>
      </c>
      <c r="R970" s="71">
        <v>72252</v>
      </c>
      <c r="S970" s="845">
        <v>7.5340393343419063E-2</v>
      </c>
      <c r="T970" s="845">
        <v>5.2999999999999999E-2</v>
      </c>
      <c r="U970" s="845">
        <v>0</v>
      </c>
      <c r="V970" s="845">
        <v>4.0000000000000001E-3</v>
      </c>
      <c r="W970" s="845">
        <v>0.37791652974038775</v>
      </c>
      <c r="X970" s="845">
        <v>0.23217391304347826</v>
      </c>
      <c r="Y970" s="845">
        <v>0.90222623345367026</v>
      </c>
      <c r="Z970" s="845">
        <v>4.0914560770156441E-2</v>
      </c>
      <c r="AA970" s="845">
        <v>5.1143200962695552E-3</v>
      </c>
      <c r="AB970" s="845">
        <v>0</v>
      </c>
      <c r="AC970" s="845">
        <v>0</v>
      </c>
      <c r="AD970" s="845">
        <v>0</v>
      </c>
      <c r="AE970" s="845">
        <v>5.1744885679903728E-2</v>
      </c>
      <c r="AF970" s="845">
        <v>9.9277978339350186E-3</v>
      </c>
      <c r="AG970" s="845">
        <v>0.89380264741275572</v>
      </c>
      <c r="AH970" s="20" t="str">
        <f t="shared" si="85"/>
        <v>No</v>
      </c>
      <c r="AI970" s="25"/>
      <c r="AJ970" s="37">
        <v>45328</v>
      </c>
      <c r="AK970" s="37" t="s">
        <v>1681</v>
      </c>
      <c r="AL970" s="37">
        <v>39037</v>
      </c>
      <c r="AM970" s="37" t="s">
        <v>25</v>
      </c>
      <c r="AN970" s="37" t="str">
        <f t="shared" si="86"/>
        <v>N/A</v>
      </c>
      <c r="AO970" s="37" t="str">
        <f t="shared" si="87"/>
        <v>N/A</v>
      </c>
      <c r="AP970" s="20" t="s">
        <v>8</v>
      </c>
      <c r="AQ970" s="25"/>
      <c r="AR970" s="25"/>
      <c r="AS970" s="25"/>
      <c r="AT970" s="25"/>
      <c r="AU970" s="36"/>
      <c r="AV970" s="36"/>
      <c r="AW970" s="36"/>
      <c r="AX970" s="25"/>
      <c r="AY970" s="25"/>
      <c r="AZ970" s="25"/>
      <c r="BA970" s="25"/>
      <c r="BB970" s="25"/>
      <c r="BC970" s="25"/>
      <c r="BD970" s="25"/>
      <c r="BE970" s="25"/>
      <c r="BF970" s="25"/>
      <c r="BG970" s="25"/>
      <c r="BH970" s="25"/>
      <c r="BI970" s="25"/>
      <c r="BJ970" s="25"/>
      <c r="BK970" s="25"/>
      <c r="BL970" s="25"/>
      <c r="BM970" s="25"/>
      <c r="BN970" s="25"/>
      <c r="BO970" s="25"/>
      <c r="BP970" s="25"/>
      <c r="BQ970" s="25"/>
      <c r="BR970" s="25"/>
      <c r="BS970" s="25"/>
      <c r="BT970" s="25"/>
      <c r="BU970" s="39">
        <v>45311</v>
      </c>
      <c r="BV970" s="39" t="s">
        <v>1665</v>
      </c>
      <c r="BW970" s="39" t="s">
        <v>2894</v>
      </c>
      <c r="BX970" s="39" t="s">
        <v>2895</v>
      </c>
      <c r="BY970" s="71">
        <v>740</v>
      </c>
      <c r="BZ970" s="71">
        <v>740</v>
      </c>
      <c r="CA970" s="71">
        <v>970</v>
      </c>
      <c r="CB970" s="71">
        <v>1300</v>
      </c>
      <c r="CC970" s="71">
        <v>1420</v>
      </c>
      <c r="CD970" s="25"/>
      <c r="CE970" s="200"/>
      <c r="CF970" s="200"/>
      <c r="CG970" s="200"/>
      <c r="CH970" s="200"/>
      <c r="CI970" s="200"/>
      <c r="CJ970" s="200"/>
      <c r="CK970" s="200"/>
      <c r="CL970" s="200"/>
      <c r="CM970" s="200"/>
      <c r="CN970" s="200"/>
      <c r="CO970" s="200"/>
      <c r="CP970" s="200"/>
      <c r="CQ970" s="200"/>
      <c r="CR970" s="200"/>
      <c r="CS970" s="200"/>
      <c r="CT970" s="200"/>
      <c r="CU970" s="200"/>
    </row>
    <row r="971" spans="1:99" s="17" customFormat="1" x14ac:dyDescent="0.2">
      <c r="A971" s="25"/>
      <c r="B971" s="20">
        <v>39099812301</v>
      </c>
      <c r="C971" s="20">
        <v>8123.01</v>
      </c>
      <c r="D971" s="20" t="s">
        <v>55</v>
      </c>
      <c r="E971" s="20" t="s">
        <v>2842</v>
      </c>
      <c r="F971" s="20" t="s">
        <v>8</v>
      </c>
      <c r="G971" s="861">
        <v>56.568459649964502</v>
      </c>
      <c r="H971" s="861">
        <v>44.6718817926171</v>
      </c>
      <c r="I971" s="861">
        <v>35.762539734671499</v>
      </c>
      <c r="J971" s="861">
        <v>43.451040842419701</v>
      </c>
      <c r="K971" s="982">
        <v>0</v>
      </c>
      <c r="L971" s="735">
        <v>4132</v>
      </c>
      <c r="M971" s="735">
        <v>4460</v>
      </c>
      <c r="N971" s="845">
        <f t="shared" ref="N971:N1034" si="88">IF(OR(L971="",M971=""),"",(M971-L971)/L971)</f>
        <v>7.9380445304937083E-2</v>
      </c>
      <c r="O971" s="735">
        <v>1.1173151679063114</v>
      </c>
      <c r="P971" s="735">
        <f t="shared" ref="P971:P1034" si="89">M971/O971</f>
        <v>3991.7116746543425</v>
      </c>
      <c r="Q971" s="849">
        <v>34.299999999999997</v>
      </c>
      <c r="R971" s="71">
        <v>49966</v>
      </c>
      <c r="S971" s="845">
        <v>0.21216278006401462</v>
      </c>
      <c r="T971" s="845">
        <v>4.4999999999999998E-2</v>
      </c>
      <c r="U971" s="845">
        <v>5.0999999999999997E-2</v>
      </c>
      <c r="V971" s="845">
        <v>0</v>
      </c>
      <c r="W971" s="845">
        <v>0.25929806181246728</v>
      </c>
      <c r="X971" s="845">
        <v>0.4080808080808081</v>
      </c>
      <c r="Y971" s="845">
        <v>0.78744394618834079</v>
      </c>
      <c r="Z971" s="845">
        <v>0.13139013452914799</v>
      </c>
      <c r="AA971" s="845">
        <v>0</v>
      </c>
      <c r="AB971" s="845">
        <v>1.0986547085201795E-2</v>
      </c>
      <c r="AC971" s="845">
        <v>0</v>
      </c>
      <c r="AD971" s="845">
        <v>1.0762331838565023E-2</v>
      </c>
      <c r="AE971" s="845">
        <v>5.9417040358744393E-2</v>
      </c>
      <c r="AF971" s="845">
        <v>2.6905829596412557E-2</v>
      </c>
      <c r="AG971" s="845">
        <v>0.77309417040358741</v>
      </c>
      <c r="AH971" s="20" t="str">
        <f t="shared" ref="AH971:AH1034" si="90">IF(AG971&gt;=0.9,"Yes","No")</f>
        <v>No</v>
      </c>
      <c r="AI971" s="25"/>
      <c r="AJ971" s="20">
        <v>45331</v>
      </c>
      <c r="AK971" s="20" t="s">
        <v>1683</v>
      </c>
      <c r="AL971" s="20">
        <v>39037</v>
      </c>
      <c r="AM971" s="20" t="s">
        <v>25</v>
      </c>
      <c r="AN971" s="37" t="str">
        <f t="shared" ref="AN971:AN1034" si="91">VLOOKUP(AM971,$CY$11:$DA$98,2,FALSE)</f>
        <v>N/A</v>
      </c>
      <c r="AO971" s="37" t="str">
        <f t="shared" ref="AO971:AO1034" si="92">VLOOKUP(AM971,$CY$11:$DA$98,3,FALSE)</f>
        <v>N/A</v>
      </c>
      <c r="AP971" s="20" t="s">
        <v>8</v>
      </c>
      <c r="AQ971" s="25"/>
      <c r="AR971" s="25"/>
      <c r="AS971" s="25"/>
      <c r="AT971" s="25"/>
      <c r="AU971" s="36"/>
      <c r="AV971" s="36"/>
      <c r="AW971" s="36"/>
      <c r="AX971" s="25"/>
      <c r="AY971" s="25"/>
      <c r="AZ971" s="25"/>
      <c r="BA971" s="25"/>
      <c r="BB971" s="25"/>
      <c r="BC971" s="25"/>
      <c r="BD971" s="25"/>
      <c r="BE971" s="25"/>
      <c r="BF971" s="25"/>
      <c r="BG971" s="25"/>
      <c r="BH971" s="25"/>
      <c r="BI971" s="25"/>
      <c r="BJ971" s="25"/>
      <c r="BK971" s="25"/>
      <c r="BL971" s="25"/>
      <c r="BM971" s="25"/>
      <c r="BN971" s="25"/>
      <c r="BO971" s="25"/>
      <c r="BP971" s="25"/>
      <c r="BQ971" s="25"/>
      <c r="BR971" s="25"/>
      <c r="BS971" s="25"/>
      <c r="BT971" s="25"/>
      <c r="BU971" s="39">
        <v>45320</v>
      </c>
      <c r="BV971" s="39" t="s">
        <v>1673</v>
      </c>
      <c r="BW971" s="39" t="s">
        <v>2894</v>
      </c>
      <c r="BX971" s="39" t="s">
        <v>2895</v>
      </c>
      <c r="BY971" s="71">
        <v>740</v>
      </c>
      <c r="BZ971" s="71">
        <v>740</v>
      </c>
      <c r="CA971" s="71">
        <v>970</v>
      </c>
      <c r="CB971" s="71">
        <v>1300</v>
      </c>
      <c r="CC971" s="71">
        <v>1420</v>
      </c>
      <c r="CD971" s="25"/>
      <c r="CE971" s="200"/>
      <c r="CF971" s="200"/>
      <c r="CG971" s="200"/>
      <c r="CH971" s="200"/>
      <c r="CI971" s="200"/>
      <c r="CJ971" s="200"/>
      <c r="CK971" s="200"/>
      <c r="CL971" s="200"/>
      <c r="CM971" s="200"/>
      <c r="CN971" s="200"/>
      <c r="CO971" s="200"/>
      <c r="CP971" s="200"/>
      <c r="CQ971" s="200"/>
      <c r="CR971" s="200"/>
      <c r="CS971" s="200"/>
      <c r="CT971" s="200"/>
      <c r="CU971" s="200"/>
    </row>
    <row r="972" spans="1:99" s="17" customFormat="1" x14ac:dyDescent="0.2">
      <c r="A972" s="25"/>
      <c r="B972" s="20">
        <v>39085205800</v>
      </c>
      <c r="C972" s="20">
        <v>2058</v>
      </c>
      <c r="D972" s="20" t="s">
        <v>48</v>
      </c>
      <c r="E972" s="20" t="s">
        <v>2829</v>
      </c>
      <c r="F972" s="20" t="s">
        <v>8</v>
      </c>
      <c r="G972" s="861">
        <v>56.562954307235898</v>
      </c>
      <c r="H972" s="861">
        <v>61.313472577444401</v>
      </c>
      <c r="I972" s="861">
        <v>17.435810563172701</v>
      </c>
      <c r="J972" s="861">
        <v>44.799176303438003</v>
      </c>
      <c r="K972" s="982">
        <v>0</v>
      </c>
      <c r="L972" s="735">
        <v>1262</v>
      </c>
      <c r="M972" s="735">
        <v>1237</v>
      </c>
      <c r="N972" s="845">
        <f t="shared" si="88"/>
        <v>-1.9809825673534072E-2</v>
      </c>
      <c r="O972" s="735">
        <v>11.061303289149077</v>
      </c>
      <c r="P972" s="735">
        <f t="shared" si="89"/>
        <v>111.83130664299503</v>
      </c>
      <c r="Q972" s="849">
        <v>53.2</v>
      </c>
      <c r="R972" s="71">
        <v>106250</v>
      </c>
      <c r="S972" s="845">
        <v>4.2242079610073112E-2</v>
      </c>
      <c r="T972" s="845">
        <v>3.4000000000000002E-2</v>
      </c>
      <c r="U972" s="845">
        <v>0</v>
      </c>
      <c r="V972" s="845">
        <v>0</v>
      </c>
      <c r="W972" s="845">
        <v>4.5356371490280781E-2</v>
      </c>
      <c r="X972" s="845">
        <v>0</v>
      </c>
      <c r="Y972" s="845">
        <v>0.95634599838318513</v>
      </c>
      <c r="Z972" s="845">
        <v>0</v>
      </c>
      <c r="AA972" s="845">
        <v>4.850444624090542E-3</v>
      </c>
      <c r="AB972" s="845">
        <v>0</v>
      </c>
      <c r="AC972" s="845">
        <v>0</v>
      </c>
      <c r="AD972" s="845">
        <v>0</v>
      </c>
      <c r="AE972" s="845">
        <v>3.8803556992724336E-2</v>
      </c>
      <c r="AF972" s="845">
        <v>5.1738075990299108E-2</v>
      </c>
      <c r="AG972" s="845">
        <v>0.92077607113985449</v>
      </c>
      <c r="AH972" s="20" t="str">
        <f t="shared" si="90"/>
        <v>Yes</v>
      </c>
      <c r="AI972" s="25"/>
      <c r="AJ972" s="20">
        <v>45332</v>
      </c>
      <c r="AK972" s="20" t="s">
        <v>1684</v>
      </c>
      <c r="AL972" s="20">
        <v>39037</v>
      </c>
      <c r="AM972" s="20" t="s">
        <v>25</v>
      </c>
      <c r="AN972" s="37" t="str">
        <f t="shared" si="91"/>
        <v>N/A</v>
      </c>
      <c r="AO972" s="37" t="str">
        <f t="shared" si="92"/>
        <v>N/A</v>
      </c>
      <c r="AP972" s="20" t="s">
        <v>8</v>
      </c>
      <c r="AQ972" s="25"/>
      <c r="AR972" s="25"/>
      <c r="AS972" s="25"/>
      <c r="AT972" s="25"/>
      <c r="AU972" s="36"/>
      <c r="AV972" s="36"/>
      <c r="AW972" s="36"/>
      <c r="AX972" s="25"/>
      <c r="AY972" s="25"/>
      <c r="AZ972" s="25"/>
      <c r="BA972" s="25"/>
      <c r="BB972" s="25"/>
      <c r="BC972" s="25"/>
      <c r="BD972" s="25"/>
      <c r="BE972" s="25"/>
      <c r="BF972" s="25"/>
      <c r="BG972" s="25"/>
      <c r="BH972" s="25"/>
      <c r="BI972" s="25"/>
      <c r="BJ972" s="25"/>
      <c r="BK972" s="25"/>
      <c r="BL972" s="25"/>
      <c r="BM972" s="25"/>
      <c r="BN972" s="25"/>
      <c r="BO972" s="25"/>
      <c r="BP972" s="25"/>
      <c r="BQ972" s="25"/>
      <c r="BR972" s="25"/>
      <c r="BS972" s="25"/>
      <c r="BT972" s="25"/>
      <c r="BU972" s="39">
        <v>45321</v>
      </c>
      <c r="BV972" s="39" t="s">
        <v>1674</v>
      </c>
      <c r="BW972" s="39" t="s">
        <v>2894</v>
      </c>
      <c r="BX972" s="39" t="s">
        <v>2895</v>
      </c>
      <c r="BY972" s="71">
        <v>900</v>
      </c>
      <c r="BZ972" s="71">
        <v>910</v>
      </c>
      <c r="CA972" s="71">
        <v>1190</v>
      </c>
      <c r="CB972" s="71">
        <v>1590</v>
      </c>
      <c r="CC972" s="71">
        <v>1740</v>
      </c>
      <c r="CD972" s="25"/>
      <c r="CE972" s="200"/>
      <c r="CF972" s="200"/>
      <c r="CG972" s="200"/>
      <c r="CH972" s="200"/>
      <c r="CI972" s="200"/>
      <c r="CJ972" s="200"/>
      <c r="CK972" s="200"/>
      <c r="CL972" s="200"/>
      <c r="CM972" s="200"/>
      <c r="CN972" s="200"/>
      <c r="CO972" s="200"/>
      <c r="CP972" s="200"/>
      <c r="CQ972" s="200"/>
      <c r="CR972" s="200"/>
      <c r="CS972" s="200"/>
      <c r="CT972" s="200"/>
      <c r="CU972" s="200"/>
    </row>
    <row r="973" spans="1:99" s="17" customFormat="1" x14ac:dyDescent="0.2">
      <c r="A973" s="25"/>
      <c r="B973" s="20">
        <v>39035175202</v>
      </c>
      <c r="C973" s="20">
        <v>1752.02</v>
      </c>
      <c r="D973" s="20" t="s">
        <v>24</v>
      </c>
      <c r="E973" s="20" t="s">
        <v>2829</v>
      </c>
      <c r="F973" s="20" t="s">
        <v>8</v>
      </c>
      <c r="G973" s="861">
        <v>56.562607791980497</v>
      </c>
      <c r="H973" s="861">
        <v>55.605576324544302</v>
      </c>
      <c r="I973" s="861">
        <v>31.434803371518399</v>
      </c>
      <c r="J973" s="861">
        <v>42.136201002359201</v>
      </c>
      <c r="K973" s="982">
        <v>0</v>
      </c>
      <c r="L973" s="735">
        <v>3109</v>
      </c>
      <c r="M973" s="735">
        <v>3173</v>
      </c>
      <c r="N973" s="845">
        <f t="shared" si="88"/>
        <v>2.0585397233837247E-2</v>
      </c>
      <c r="O973" s="735">
        <v>4.7413206078386212</v>
      </c>
      <c r="P973" s="735">
        <f t="shared" si="89"/>
        <v>669.22283103028633</v>
      </c>
      <c r="Q973" s="849">
        <v>51.2</v>
      </c>
      <c r="R973" s="71">
        <v>68485</v>
      </c>
      <c r="S973" s="845">
        <v>6.5237945162306965E-2</v>
      </c>
      <c r="T973" s="845">
        <v>0.01</v>
      </c>
      <c r="U973" s="845">
        <v>2.3E-2</v>
      </c>
      <c r="V973" s="845">
        <v>6.6000000000000003E-2</v>
      </c>
      <c r="W973" s="845">
        <v>0.39572192513368987</v>
      </c>
      <c r="X973" s="845">
        <v>0.26689189189189189</v>
      </c>
      <c r="Y973" s="845">
        <v>0.89316104632839588</v>
      </c>
      <c r="Z973" s="845">
        <v>7.8789788843365901E-3</v>
      </c>
      <c r="AA973" s="845">
        <v>0</v>
      </c>
      <c r="AB973" s="845">
        <v>4.128584935392373E-2</v>
      </c>
      <c r="AC973" s="845">
        <v>0</v>
      </c>
      <c r="AD973" s="845">
        <v>0</v>
      </c>
      <c r="AE973" s="845">
        <v>5.767412543334384E-2</v>
      </c>
      <c r="AF973" s="845">
        <v>3.4667507091080997E-2</v>
      </c>
      <c r="AG973" s="845">
        <v>0.89316104632839588</v>
      </c>
      <c r="AH973" s="20" t="str">
        <f t="shared" si="90"/>
        <v>No</v>
      </c>
      <c r="AI973" s="25"/>
      <c r="AJ973" s="20">
        <v>45337</v>
      </c>
      <c r="AK973" s="20" t="s">
        <v>1689</v>
      </c>
      <c r="AL973" s="20">
        <v>39037</v>
      </c>
      <c r="AM973" s="20" t="s">
        <v>25</v>
      </c>
      <c r="AN973" s="37" t="str">
        <f t="shared" si="91"/>
        <v>N/A</v>
      </c>
      <c r="AO973" s="37" t="str">
        <f t="shared" si="92"/>
        <v>N/A</v>
      </c>
      <c r="AP973" s="20" t="s">
        <v>8</v>
      </c>
      <c r="AQ973" s="25"/>
      <c r="AR973" s="25"/>
      <c r="AS973" s="25"/>
      <c r="AT973" s="25"/>
      <c r="AU973" s="36"/>
      <c r="AV973" s="36"/>
      <c r="AW973" s="36"/>
      <c r="AX973" s="25"/>
      <c r="AY973" s="25"/>
      <c r="AZ973" s="25"/>
      <c r="BA973" s="25"/>
      <c r="BB973" s="25"/>
      <c r="BC973" s="25"/>
      <c r="BD973" s="25"/>
      <c r="BE973" s="25"/>
      <c r="BF973" s="25"/>
      <c r="BG973" s="25"/>
      <c r="BH973" s="25"/>
      <c r="BI973" s="25"/>
      <c r="BJ973" s="25"/>
      <c r="BK973" s="25"/>
      <c r="BL973" s="25"/>
      <c r="BM973" s="25"/>
      <c r="BN973" s="25"/>
      <c r="BO973" s="25"/>
      <c r="BP973" s="25"/>
      <c r="BQ973" s="25"/>
      <c r="BR973" s="25"/>
      <c r="BS973" s="25"/>
      <c r="BT973" s="25"/>
      <c r="BU973" s="39">
        <v>45330</v>
      </c>
      <c r="BV973" s="39" t="s">
        <v>1682</v>
      </c>
      <c r="BW973" s="39" t="s">
        <v>2894</v>
      </c>
      <c r="BX973" s="39" t="s">
        <v>2895</v>
      </c>
      <c r="BY973" s="71">
        <v>790</v>
      </c>
      <c r="BZ973" s="71">
        <v>800</v>
      </c>
      <c r="CA973" s="71">
        <v>1050</v>
      </c>
      <c r="CB973" s="71">
        <v>1400</v>
      </c>
      <c r="CC973" s="71">
        <v>1540</v>
      </c>
      <c r="CD973" s="25"/>
      <c r="CE973" s="200"/>
      <c r="CF973" s="200"/>
      <c r="CG973" s="200"/>
      <c r="CH973" s="200"/>
      <c r="CI973" s="200"/>
      <c r="CJ973" s="200"/>
      <c r="CK973" s="200"/>
      <c r="CL973" s="200"/>
      <c r="CM973" s="200"/>
      <c r="CN973" s="200"/>
      <c r="CO973" s="200"/>
      <c r="CP973" s="200"/>
      <c r="CQ973" s="200"/>
      <c r="CR973" s="200"/>
      <c r="CS973" s="200"/>
      <c r="CT973" s="200"/>
      <c r="CU973" s="200"/>
    </row>
    <row r="974" spans="1:99" s="17" customFormat="1" x14ac:dyDescent="0.2">
      <c r="A974" s="25"/>
      <c r="B974" s="20">
        <v>39061020741</v>
      </c>
      <c r="C974" s="20">
        <v>207.41</v>
      </c>
      <c r="D974" s="20" t="s">
        <v>37</v>
      </c>
      <c r="E974" s="20" t="s">
        <v>2828</v>
      </c>
      <c r="F974" s="20" t="s">
        <v>8</v>
      </c>
      <c r="G974" s="861">
        <v>56.5591343106938</v>
      </c>
      <c r="H974" s="861">
        <v>56.758746632494301</v>
      </c>
      <c r="I974" s="861">
        <v>32.004981192106001</v>
      </c>
      <c r="J974" s="861">
        <v>46.846148920394398</v>
      </c>
      <c r="K974" s="982">
        <v>0</v>
      </c>
      <c r="L974" s="735">
        <v>3344</v>
      </c>
      <c r="M974" s="735">
        <v>3044</v>
      </c>
      <c r="N974" s="845">
        <f t="shared" si="88"/>
        <v>-8.9712918660287078E-2</v>
      </c>
      <c r="O974" s="735">
        <v>0.50589189770450338</v>
      </c>
      <c r="P974" s="735">
        <f t="shared" si="89"/>
        <v>6017.0957744376283</v>
      </c>
      <c r="Q974" s="849">
        <v>36.5</v>
      </c>
      <c r="R974" s="71">
        <v>67292</v>
      </c>
      <c r="S974" s="845">
        <v>0.14750328515111696</v>
      </c>
      <c r="T974" s="845">
        <v>0.02</v>
      </c>
      <c r="U974" s="845">
        <v>2.3E-2</v>
      </c>
      <c r="V974" s="845">
        <v>0</v>
      </c>
      <c r="W974" s="845">
        <v>0.25986597170513775</v>
      </c>
      <c r="X974" s="845">
        <v>0.30945558739255014</v>
      </c>
      <c r="Y974" s="845">
        <v>0.4940867279894875</v>
      </c>
      <c r="Z974" s="845">
        <v>0.38600525624178711</v>
      </c>
      <c r="AA974" s="845">
        <v>0</v>
      </c>
      <c r="AB974" s="845">
        <v>2.6609724047306178E-2</v>
      </c>
      <c r="AC974" s="845">
        <v>0</v>
      </c>
      <c r="AD974" s="845">
        <v>5.2562417871222077E-3</v>
      </c>
      <c r="AE974" s="845">
        <v>8.8042049934296984E-2</v>
      </c>
      <c r="AF974" s="845">
        <v>5.1576872536136666E-2</v>
      </c>
      <c r="AG974" s="845">
        <v>0.4911300919842313</v>
      </c>
      <c r="AH974" s="20" t="str">
        <f t="shared" si="90"/>
        <v>No</v>
      </c>
      <c r="AI974" s="25"/>
      <c r="AJ974" s="20">
        <v>45338</v>
      </c>
      <c r="AK974" s="20" t="s">
        <v>1690</v>
      </c>
      <c r="AL974" s="20">
        <v>39037</v>
      </c>
      <c r="AM974" s="20" t="s">
        <v>25</v>
      </c>
      <c r="AN974" s="37" t="str">
        <f t="shared" si="91"/>
        <v>N/A</v>
      </c>
      <c r="AO974" s="37" t="str">
        <f t="shared" si="92"/>
        <v>N/A</v>
      </c>
      <c r="AP974" s="20" t="s">
        <v>8</v>
      </c>
      <c r="AQ974" s="25"/>
      <c r="AR974" s="25"/>
      <c r="AS974" s="25"/>
      <c r="AT974" s="25"/>
      <c r="AU974" s="36"/>
      <c r="AV974" s="36"/>
      <c r="AW974" s="36"/>
      <c r="AX974" s="25"/>
      <c r="AY974" s="25"/>
      <c r="AZ974" s="25"/>
      <c r="BA974" s="25"/>
      <c r="BB974" s="25"/>
      <c r="BC974" s="25"/>
      <c r="BD974" s="25"/>
      <c r="BE974" s="25"/>
      <c r="BF974" s="25"/>
      <c r="BG974" s="25"/>
      <c r="BH974" s="25"/>
      <c r="BI974" s="25"/>
      <c r="BJ974" s="25"/>
      <c r="BK974" s="25"/>
      <c r="BL974" s="25"/>
      <c r="BM974" s="25"/>
      <c r="BN974" s="25"/>
      <c r="BO974" s="25"/>
      <c r="BP974" s="25"/>
      <c r="BQ974" s="25"/>
      <c r="BR974" s="25"/>
      <c r="BS974" s="25"/>
      <c r="BT974" s="25"/>
      <c r="BU974" s="39">
        <v>45815</v>
      </c>
      <c r="BV974" s="39" t="s">
        <v>1890</v>
      </c>
      <c r="BW974" s="39" t="s">
        <v>2921</v>
      </c>
      <c r="BX974" s="39" t="s">
        <v>2922</v>
      </c>
      <c r="BY974" s="71">
        <v>940</v>
      </c>
      <c r="BZ974" s="71">
        <v>960</v>
      </c>
      <c r="CA974" s="71">
        <v>1250</v>
      </c>
      <c r="CB974" s="71">
        <v>1500</v>
      </c>
      <c r="CC974" s="71">
        <v>1660</v>
      </c>
      <c r="CD974" s="25"/>
      <c r="CE974" s="200"/>
      <c r="CF974" s="200"/>
      <c r="CG974" s="200"/>
      <c r="CH974" s="200"/>
      <c r="CI974" s="200"/>
      <c r="CJ974" s="200"/>
      <c r="CK974" s="200"/>
      <c r="CL974" s="200"/>
      <c r="CM974" s="200"/>
      <c r="CN974" s="200"/>
      <c r="CO974" s="200"/>
      <c r="CP974" s="200"/>
      <c r="CQ974" s="200"/>
      <c r="CR974" s="200"/>
      <c r="CS974" s="200"/>
      <c r="CT974" s="200"/>
      <c r="CU974" s="200"/>
    </row>
    <row r="975" spans="1:99" s="17" customFormat="1" x14ac:dyDescent="0.2">
      <c r="A975" s="25"/>
      <c r="B975" s="20">
        <v>39155931200</v>
      </c>
      <c r="C975" s="20">
        <v>9312</v>
      </c>
      <c r="D975" s="20" t="s">
        <v>83</v>
      </c>
      <c r="E975" s="20" t="s">
        <v>2842</v>
      </c>
      <c r="F975" s="20" t="s">
        <v>8</v>
      </c>
      <c r="G975" s="861">
        <v>56.556059950774902</v>
      </c>
      <c r="H975" s="861">
        <v>52.680728098635299</v>
      </c>
      <c r="I975" s="861">
        <v>13.017742949641701</v>
      </c>
      <c r="J975" s="861">
        <v>51.794837238160902</v>
      </c>
      <c r="K975" s="982">
        <v>0</v>
      </c>
      <c r="L975" s="735">
        <v>3942</v>
      </c>
      <c r="M975" s="735">
        <v>4055</v>
      </c>
      <c r="N975" s="845">
        <f t="shared" si="88"/>
        <v>2.8665651953323185E-2</v>
      </c>
      <c r="O975" s="735">
        <v>23.388691927238231</v>
      </c>
      <c r="P975" s="735">
        <f t="shared" si="89"/>
        <v>173.37438162916621</v>
      </c>
      <c r="Q975" s="849">
        <v>47.7</v>
      </c>
      <c r="R975" s="71">
        <v>77604</v>
      </c>
      <c r="S975" s="845">
        <v>6.9451309935739003E-2</v>
      </c>
      <c r="T975" s="845">
        <v>5.7000000000000002E-2</v>
      </c>
      <c r="U975" s="845">
        <v>2.3E-2</v>
      </c>
      <c r="V975" s="845">
        <v>0</v>
      </c>
      <c r="W975" s="845">
        <v>0.18340104468949506</v>
      </c>
      <c r="X975" s="845">
        <v>0.14240506329113925</v>
      </c>
      <c r="Y975" s="845">
        <v>0.9546239210850801</v>
      </c>
      <c r="Z975" s="845">
        <v>7.3982737361282371E-4</v>
      </c>
      <c r="AA975" s="845">
        <v>3.9457459926017261E-3</v>
      </c>
      <c r="AB975" s="845">
        <v>5.6720098643649819E-3</v>
      </c>
      <c r="AC975" s="845">
        <v>0</v>
      </c>
      <c r="AD975" s="845">
        <v>0</v>
      </c>
      <c r="AE975" s="845">
        <v>3.5018495684340317E-2</v>
      </c>
      <c r="AF975" s="845">
        <v>1.0604192355117139E-2</v>
      </c>
      <c r="AG975" s="845">
        <v>0.9546239210850801</v>
      </c>
      <c r="AH975" s="20" t="str">
        <f t="shared" si="90"/>
        <v>Yes</v>
      </c>
      <c r="AI975" s="25"/>
      <c r="AJ975" s="20">
        <v>45346</v>
      </c>
      <c r="AK975" s="20" t="s">
        <v>1697</v>
      </c>
      <c r="AL975" s="20">
        <v>39037</v>
      </c>
      <c r="AM975" s="20" t="s">
        <v>25</v>
      </c>
      <c r="AN975" s="37" t="str">
        <f t="shared" si="91"/>
        <v>N/A</v>
      </c>
      <c r="AO975" s="37" t="str">
        <f t="shared" si="92"/>
        <v>N/A</v>
      </c>
      <c r="AP975" s="20" t="s">
        <v>8</v>
      </c>
      <c r="AQ975" s="25"/>
      <c r="AR975" s="25"/>
      <c r="AS975" s="25"/>
      <c r="AT975" s="25"/>
      <c r="AU975" s="36"/>
      <c r="AV975" s="36"/>
      <c r="AW975" s="36"/>
      <c r="AX975" s="25"/>
      <c r="AY975" s="25"/>
      <c r="AZ975" s="25"/>
      <c r="BA975" s="25"/>
      <c r="BB975" s="25"/>
      <c r="BC975" s="25"/>
      <c r="BD975" s="25"/>
      <c r="BE975" s="25"/>
      <c r="BF975" s="25"/>
      <c r="BG975" s="25"/>
      <c r="BH975" s="25"/>
      <c r="BI975" s="25"/>
      <c r="BJ975" s="25"/>
      <c r="BK975" s="25"/>
      <c r="BL975" s="25"/>
      <c r="BM975" s="25"/>
      <c r="BN975" s="25"/>
      <c r="BO975" s="25"/>
      <c r="BP975" s="25"/>
      <c r="BQ975" s="25"/>
      <c r="BR975" s="25"/>
      <c r="BS975" s="25"/>
      <c r="BT975" s="25"/>
      <c r="BU975" s="39">
        <v>45848</v>
      </c>
      <c r="BV975" s="39" t="s">
        <v>1913</v>
      </c>
      <c r="BW975" s="39" t="s">
        <v>2921</v>
      </c>
      <c r="BX975" s="39" t="s">
        <v>2922</v>
      </c>
      <c r="BY975" s="71">
        <v>760</v>
      </c>
      <c r="BZ975" s="71">
        <v>780</v>
      </c>
      <c r="CA975" s="71">
        <v>1010</v>
      </c>
      <c r="CB975" s="71">
        <v>1210</v>
      </c>
      <c r="CC975" s="71">
        <v>1340</v>
      </c>
      <c r="CD975" s="25"/>
      <c r="CE975" s="200"/>
      <c r="CF975" s="200"/>
      <c r="CG975" s="200"/>
      <c r="CH975" s="200"/>
      <c r="CI975" s="200"/>
      <c r="CJ975" s="200"/>
      <c r="CK975" s="200"/>
      <c r="CL975" s="200"/>
      <c r="CM975" s="200"/>
      <c r="CN975" s="200"/>
      <c r="CO975" s="200"/>
      <c r="CP975" s="200"/>
      <c r="CQ975" s="200"/>
      <c r="CR975" s="200"/>
      <c r="CS975" s="200"/>
      <c r="CT975" s="200"/>
      <c r="CU975" s="200"/>
    </row>
    <row r="976" spans="1:99" s="17" customFormat="1" x14ac:dyDescent="0.2">
      <c r="A976" s="25"/>
      <c r="B976" s="20">
        <v>39089756500</v>
      </c>
      <c r="C976" s="20">
        <v>7565</v>
      </c>
      <c r="D976" s="20" t="s">
        <v>50</v>
      </c>
      <c r="E976" s="20" t="s">
        <v>2830</v>
      </c>
      <c r="F976" s="20" t="s">
        <v>8</v>
      </c>
      <c r="G976" s="861">
        <v>56.549525655704699</v>
      </c>
      <c r="H976" s="861">
        <v>60.517222049003699</v>
      </c>
      <c r="I976" s="861">
        <v>35.845386150754003</v>
      </c>
      <c r="J976" s="861">
        <v>71.028723226522501</v>
      </c>
      <c r="K976" s="982">
        <v>0</v>
      </c>
      <c r="L976" s="735">
        <v>4411</v>
      </c>
      <c r="M976" s="735">
        <v>4771</v>
      </c>
      <c r="N976" s="845">
        <f t="shared" si="88"/>
        <v>8.1614146452051686E-2</v>
      </c>
      <c r="O976" s="735">
        <v>15.259765806415228</v>
      </c>
      <c r="P976" s="735">
        <f t="shared" si="89"/>
        <v>312.65224253928358</v>
      </c>
      <c r="Q976" s="849">
        <v>40.6</v>
      </c>
      <c r="R976" s="71">
        <v>91198</v>
      </c>
      <c r="S976" s="845">
        <v>4.3833261710356682E-2</v>
      </c>
      <c r="T976" s="845">
        <v>1.2E-2</v>
      </c>
      <c r="U976" s="845">
        <v>5.0000000000000001E-3</v>
      </c>
      <c r="V976" s="845">
        <v>0</v>
      </c>
      <c r="W976" s="845">
        <v>0.20966835300730749</v>
      </c>
      <c r="X976" s="845">
        <v>0.27345844504021449</v>
      </c>
      <c r="Y976" s="845">
        <v>0.84489624816600295</v>
      </c>
      <c r="Z976" s="845">
        <v>4.3387130580591071E-2</v>
      </c>
      <c r="AA976" s="845">
        <v>0</v>
      </c>
      <c r="AB976" s="845">
        <v>2.7457556067910293E-2</v>
      </c>
      <c r="AC976" s="845">
        <v>7.7551875916998534E-3</v>
      </c>
      <c r="AD976" s="845">
        <v>0</v>
      </c>
      <c r="AE976" s="845">
        <v>7.6503877593795844E-2</v>
      </c>
      <c r="AF976" s="845">
        <v>5.7430308111507018E-2</v>
      </c>
      <c r="AG976" s="845">
        <v>0.84489624816600295</v>
      </c>
      <c r="AH976" s="20" t="str">
        <f t="shared" si="90"/>
        <v>No</v>
      </c>
      <c r="AI976" s="25"/>
      <c r="AJ976" s="20">
        <v>45347</v>
      </c>
      <c r="AK976" s="20" t="s">
        <v>1698</v>
      </c>
      <c r="AL976" s="20">
        <v>39037</v>
      </c>
      <c r="AM976" s="20" t="s">
        <v>25</v>
      </c>
      <c r="AN976" s="37" t="str">
        <f t="shared" si="91"/>
        <v>N/A</v>
      </c>
      <c r="AO976" s="37" t="str">
        <f t="shared" si="92"/>
        <v>N/A</v>
      </c>
      <c r="AP976" s="20" t="s">
        <v>8</v>
      </c>
      <c r="AQ976" s="25"/>
      <c r="AR976" s="25"/>
      <c r="AS976" s="25"/>
      <c r="AT976" s="25"/>
      <c r="AU976" s="36"/>
      <c r="AV976" s="36"/>
      <c r="AW976" s="36"/>
      <c r="AX976" s="25"/>
      <c r="AY976" s="25"/>
      <c r="AZ976" s="25"/>
      <c r="BA976" s="25"/>
      <c r="BB976" s="25"/>
      <c r="BC976" s="25"/>
      <c r="BD976" s="25"/>
      <c r="BE976" s="25"/>
      <c r="BF976" s="25"/>
      <c r="BG976" s="25"/>
      <c r="BH976" s="25"/>
      <c r="BI976" s="25"/>
      <c r="BJ976" s="25"/>
      <c r="BK976" s="25"/>
      <c r="BL976" s="25"/>
      <c r="BM976" s="25"/>
      <c r="BN976" s="25"/>
      <c r="BO976" s="25"/>
      <c r="BP976" s="25"/>
      <c r="BQ976" s="25"/>
      <c r="BR976" s="25"/>
      <c r="BS976" s="25"/>
      <c r="BT976" s="25"/>
      <c r="BU976" s="39">
        <v>45853</v>
      </c>
      <c r="BV976" s="39" t="s">
        <v>1917</v>
      </c>
      <c r="BW976" s="39" t="s">
        <v>2921</v>
      </c>
      <c r="BX976" s="39" t="s">
        <v>2922</v>
      </c>
      <c r="BY976" s="71">
        <v>830</v>
      </c>
      <c r="BZ976" s="71">
        <v>840</v>
      </c>
      <c r="CA976" s="71">
        <v>1100</v>
      </c>
      <c r="CB976" s="71">
        <v>1320</v>
      </c>
      <c r="CC976" s="71">
        <v>1460</v>
      </c>
      <c r="CD976" s="25"/>
      <c r="CE976" s="200"/>
      <c r="CF976" s="200"/>
      <c r="CG976" s="200"/>
      <c r="CH976" s="200"/>
      <c r="CI976" s="200"/>
      <c r="CJ976" s="200"/>
      <c r="CK976" s="200"/>
      <c r="CL976" s="200"/>
      <c r="CM976" s="200"/>
      <c r="CN976" s="200"/>
      <c r="CO976" s="200"/>
      <c r="CP976" s="200"/>
      <c r="CQ976" s="200"/>
      <c r="CR976" s="200"/>
      <c r="CS976" s="200"/>
      <c r="CT976" s="200"/>
      <c r="CU976" s="200"/>
    </row>
    <row r="977" spans="1:99" s="17" customFormat="1" x14ac:dyDescent="0.2">
      <c r="A977" s="25"/>
      <c r="B977" s="20">
        <v>39033974500</v>
      </c>
      <c r="C977" s="20">
        <v>9745</v>
      </c>
      <c r="D977" s="20" t="s">
        <v>23</v>
      </c>
      <c r="E977" s="20" t="s">
        <v>265</v>
      </c>
      <c r="F977" s="20" t="s">
        <v>8</v>
      </c>
      <c r="G977" s="861">
        <v>56.545562877279998</v>
      </c>
      <c r="H977" s="861">
        <v>63.319078613539901</v>
      </c>
      <c r="I977" s="861">
        <v>44.018964984309903</v>
      </c>
      <c r="J977" s="861">
        <v>34.234311642333601</v>
      </c>
      <c r="K977" s="982">
        <v>0</v>
      </c>
      <c r="L977" s="735">
        <v>3930</v>
      </c>
      <c r="M977" s="735">
        <v>3746</v>
      </c>
      <c r="N977" s="845">
        <f t="shared" si="88"/>
        <v>-4.681933842239186E-2</v>
      </c>
      <c r="O977" s="735">
        <v>0.90990224661687735</v>
      </c>
      <c r="P977" s="735">
        <f t="shared" si="89"/>
        <v>4116.9257620014287</v>
      </c>
      <c r="Q977" s="849">
        <v>34.6</v>
      </c>
      <c r="R977" s="71">
        <v>52443</v>
      </c>
      <c r="S977" s="845">
        <v>0.22159396876682821</v>
      </c>
      <c r="T977" s="845">
        <v>4.8000000000000001E-2</v>
      </c>
      <c r="U977" s="845">
        <v>0</v>
      </c>
      <c r="V977" s="845">
        <v>9.0999999999999998E-2</v>
      </c>
      <c r="W977" s="845">
        <v>0.29275715155203896</v>
      </c>
      <c r="X977" s="845">
        <v>0.46569646569646572</v>
      </c>
      <c r="Y977" s="845">
        <v>0.95728777362520023</v>
      </c>
      <c r="Z977" s="845">
        <v>1.8953550453817407E-2</v>
      </c>
      <c r="AA977" s="845">
        <v>0</v>
      </c>
      <c r="AB977" s="845">
        <v>0</v>
      </c>
      <c r="AC977" s="845">
        <v>0</v>
      </c>
      <c r="AD977" s="845">
        <v>0</v>
      </c>
      <c r="AE977" s="845">
        <v>2.3758675920982381E-2</v>
      </c>
      <c r="AF977" s="845">
        <v>1.8686599038974908E-2</v>
      </c>
      <c r="AG977" s="845">
        <v>0.93860117458622527</v>
      </c>
      <c r="AH977" s="20" t="str">
        <f t="shared" si="90"/>
        <v>Yes</v>
      </c>
      <c r="AI977" s="25"/>
      <c r="AJ977" s="20">
        <v>45348</v>
      </c>
      <c r="AK977" s="20" t="s">
        <v>1699</v>
      </c>
      <c r="AL977" s="20">
        <v>39037</v>
      </c>
      <c r="AM977" s="20" t="s">
        <v>25</v>
      </c>
      <c r="AN977" s="37" t="str">
        <f t="shared" si="91"/>
        <v>N/A</v>
      </c>
      <c r="AO977" s="37" t="str">
        <f t="shared" si="92"/>
        <v>N/A</v>
      </c>
      <c r="AP977" s="20" t="s">
        <v>8</v>
      </c>
      <c r="AQ977" s="25"/>
      <c r="AR977" s="25"/>
      <c r="AS977" s="25"/>
      <c r="AT977" s="25"/>
      <c r="AU977" s="36"/>
      <c r="AV977" s="36"/>
      <c r="AW977" s="36"/>
      <c r="AX977" s="25"/>
      <c r="AY977" s="25"/>
      <c r="AZ977" s="25"/>
      <c r="BA977" s="25"/>
      <c r="BB977" s="25"/>
      <c r="BC977" s="25"/>
      <c r="BD977" s="25"/>
      <c r="BE977" s="25"/>
      <c r="BF977" s="25"/>
      <c r="BG977" s="25"/>
      <c r="BH977" s="25"/>
      <c r="BI977" s="25"/>
      <c r="BJ977" s="25"/>
      <c r="BK977" s="25"/>
      <c r="BL977" s="25"/>
      <c r="BM977" s="25"/>
      <c r="BN977" s="25"/>
      <c r="BO977" s="25"/>
      <c r="BP977" s="25"/>
      <c r="BQ977" s="25"/>
      <c r="BR977" s="25"/>
      <c r="BS977" s="25"/>
      <c r="BT977" s="25"/>
      <c r="BU977" s="39">
        <v>45864</v>
      </c>
      <c r="BV977" s="39" t="s">
        <v>1927</v>
      </c>
      <c r="BW977" s="39" t="s">
        <v>2921</v>
      </c>
      <c r="BX977" s="39" t="s">
        <v>2922</v>
      </c>
      <c r="BY977" s="71">
        <v>840</v>
      </c>
      <c r="BZ977" s="71">
        <v>860</v>
      </c>
      <c r="CA977" s="71">
        <v>1110</v>
      </c>
      <c r="CB977" s="71">
        <v>1340</v>
      </c>
      <c r="CC977" s="71">
        <v>1480</v>
      </c>
      <c r="CD977" s="25"/>
      <c r="CE977" s="200"/>
      <c r="CF977" s="200"/>
      <c r="CG977" s="200"/>
      <c r="CH977" s="200"/>
      <c r="CI977" s="200"/>
      <c r="CJ977" s="200"/>
      <c r="CK977" s="200"/>
      <c r="CL977" s="200"/>
      <c r="CM977" s="200"/>
      <c r="CN977" s="200"/>
      <c r="CO977" s="200"/>
      <c r="CP977" s="200"/>
      <c r="CQ977" s="200"/>
      <c r="CR977" s="200"/>
      <c r="CS977" s="200"/>
      <c r="CT977" s="200"/>
      <c r="CU977" s="200"/>
    </row>
    <row r="978" spans="1:99" s="17" customFormat="1" x14ac:dyDescent="0.2">
      <c r="A978" s="25"/>
      <c r="B978" s="20">
        <v>39049006241</v>
      </c>
      <c r="C978" s="20">
        <v>62.41</v>
      </c>
      <c r="D978" s="20" t="s">
        <v>31</v>
      </c>
      <c r="E978" s="20" t="s">
        <v>2830</v>
      </c>
      <c r="F978" s="20" t="s">
        <v>8</v>
      </c>
      <c r="G978" s="861">
        <v>56.540473254256803</v>
      </c>
      <c r="H978" s="861">
        <v>66.054133415639399</v>
      </c>
      <c r="I978" s="861">
        <v>35.960455285869898</v>
      </c>
      <c r="J978" s="861">
        <v>62.0699003216954</v>
      </c>
      <c r="K978" s="982">
        <v>0</v>
      </c>
      <c r="L978" s="735" t="s">
        <v>2466</v>
      </c>
      <c r="M978" s="735">
        <v>8591</v>
      </c>
      <c r="N978" s="845" t="str">
        <f t="shared" si="88"/>
        <v/>
      </c>
      <c r="O978" s="735">
        <v>3.3557208106256522</v>
      </c>
      <c r="P978" s="735">
        <f t="shared" si="89"/>
        <v>2560.1057074823411</v>
      </c>
      <c r="Q978" s="849">
        <v>35.5</v>
      </c>
      <c r="R978" s="71">
        <v>100677</v>
      </c>
      <c r="S978" s="845">
        <v>0.1172868582195007</v>
      </c>
      <c r="T978" s="845">
        <v>5.2999999999999999E-2</v>
      </c>
      <c r="U978" s="845">
        <v>0</v>
      </c>
      <c r="V978" s="845">
        <v>0.17600000000000002</v>
      </c>
      <c r="W978" s="845">
        <v>0.53638593622240394</v>
      </c>
      <c r="X978" s="845">
        <v>0.26778455284552843</v>
      </c>
      <c r="Y978" s="845">
        <v>0.68257478756838552</v>
      </c>
      <c r="Z978" s="845">
        <v>2.2465370736817598E-2</v>
      </c>
      <c r="AA978" s="845">
        <v>0</v>
      </c>
      <c r="AB978" s="845">
        <v>0.25037830287510188</v>
      </c>
      <c r="AC978" s="845">
        <v>0</v>
      </c>
      <c r="AD978" s="845">
        <v>1.4782912350133862E-2</v>
      </c>
      <c r="AE978" s="845">
        <v>2.9798626469561169E-2</v>
      </c>
      <c r="AF978" s="845">
        <v>2.0602956582470026E-2</v>
      </c>
      <c r="AG978" s="845">
        <v>0.67454312652776161</v>
      </c>
      <c r="AH978" s="20" t="str">
        <f t="shared" si="90"/>
        <v>No</v>
      </c>
      <c r="AI978" s="25"/>
      <c r="AJ978" s="20">
        <v>45350</v>
      </c>
      <c r="AK978" s="20" t="s">
        <v>1701</v>
      </c>
      <c r="AL978" s="20">
        <v>39037</v>
      </c>
      <c r="AM978" s="20" t="s">
        <v>25</v>
      </c>
      <c r="AN978" s="37" t="str">
        <f t="shared" si="91"/>
        <v>N/A</v>
      </c>
      <c r="AO978" s="37" t="str">
        <f t="shared" si="92"/>
        <v>N/A</v>
      </c>
      <c r="AP978" s="20" t="s">
        <v>8</v>
      </c>
      <c r="AQ978" s="25"/>
      <c r="AR978" s="25"/>
      <c r="AS978" s="25"/>
      <c r="AT978" s="25"/>
      <c r="AU978" s="36"/>
      <c r="AV978" s="36"/>
      <c r="AW978" s="36"/>
      <c r="AX978" s="25"/>
      <c r="AY978" s="25"/>
      <c r="AZ978" s="25"/>
      <c r="BA978" s="25"/>
      <c r="BB978" s="25"/>
      <c r="BC978" s="25"/>
      <c r="BD978" s="25"/>
      <c r="BE978" s="25"/>
      <c r="BF978" s="25"/>
      <c r="BG978" s="25"/>
      <c r="BH978" s="25"/>
      <c r="BI978" s="25"/>
      <c r="BJ978" s="25"/>
      <c r="BK978" s="25"/>
      <c r="BL978" s="25"/>
      <c r="BM978" s="25"/>
      <c r="BN978" s="25"/>
      <c r="BO978" s="25"/>
      <c r="BP978" s="25"/>
      <c r="BQ978" s="25"/>
      <c r="BR978" s="25"/>
      <c r="BS978" s="25"/>
      <c r="BT978" s="25"/>
      <c r="BU978" s="39">
        <v>45875</v>
      </c>
      <c r="BV978" s="39" t="s">
        <v>1938</v>
      </c>
      <c r="BW978" s="39" t="s">
        <v>2921</v>
      </c>
      <c r="BX978" s="39" t="s">
        <v>2922</v>
      </c>
      <c r="BY978" s="71">
        <v>760</v>
      </c>
      <c r="BZ978" s="71">
        <v>780</v>
      </c>
      <c r="CA978" s="71">
        <v>1010</v>
      </c>
      <c r="CB978" s="71">
        <v>1210</v>
      </c>
      <c r="CC978" s="71">
        <v>1340</v>
      </c>
      <c r="CD978" s="25"/>
      <c r="CE978" s="200"/>
      <c r="CF978" s="200"/>
      <c r="CG978" s="200"/>
      <c r="CH978" s="200"/>
      <c r="CI978" s="200"/>
      <c r="CJ978" s="200"/>
      <c r="CK978" s="200"/>
      <c r="CL978" s="200"/>
      <c r="CM978" s="200"/>
      <c r="CN978" s="200"/>
      <c r="CO978" s="200"/>
      <c r="CP978" s="200"/>
      <c r="CQ978" s="200"/>
      <c r="CR978" s="200"/>
      <c r="CS978" s="200"/>
      <c r="CT978" s="200"/>
      <c r="CU978" s="200"/>
    </row>
    <row r="979" spans="1:99" s="17" customFormat="1" x14ac:dyDescent="0.2">
      <c r="A979" s="25"/>
      <c r="B979" s="20">
        <v>39061001600</v>
      </c>
      <c r="C979" s="20">
        <v>16</v>
      </c>
      <c r="D979" s="20" t="s">
        <v>37</v>
      </c>
      <c r="E979" s="20" t="s">
        <v>2828</v>
      </c>
      <c r="F979" s="20" t="s">
        <v>6</v>
      </c>
      <c r="G979" s="861">
        <v>56.531958712867798</v>
      </c>
      <c r="H979" s="861">
        <v>40.092800779261196</v>
      </c>
      <c r="I979" s="861">
        <v>91.567283486813807</v>
      </c>
      <c r="J979" s="861">
        <v>61.141915987227101</v>
      </c>
      <c r="K979" s="982">
        <v>0</v>
      </c>
      <c r="L979" s="735">
        <v>965</v>
      </c>
      <c r="M979" s="735">
        <v>896</v>
      </c>
      <c r="N979" s="845">
        <f t="shared" si="88"/>
        <v>-7.1502590673575131E-2</v>
      </c>
      <c r="O979" s="735">
        <v>0.13237937219719514</v>
      </c>
      <c r="P979" s="735">
        <f t="shared" si="89"/>
        <v>6768.4261160061951</v>
      </c>
      <c r="Q979" s="849">
        <v>31.5</v>
      </c>
      <c r="R979" s="71">
        <v>36148</v>
      </c>
      <c r="S979" s="845">
        <v>0.30743243243243246</v>
      </c>
      <c r="T979" s="845">
        <v>6.4000000000000001E-2</v>
      </c>
      <c r="U979" s="845">
        <v>0</v>
      </c>
      <c r="V979" s="845">
        <v>2.4E-2</v>
      </c>
      <c r="W979" s="845">
        <v>0.88545454545454549</v>
      </c>
      <c r="X979" s="845">
        <v>0.46817248459958932</v>
      </c>
      <c r="Y979" s="845">
        <v>0.6127232142857143</v>
      </c>
      <c r="Z979" s="845">
        <v>0.29799107142857145</v>
      </c>
      <c r="AA979" s="845">
        <v>0</v>
      </c>
      <c r="AB979" s="845">
        <v>2.1205357142857144E-2</v>
      </c>
      <c r="AC979" s="845">
        <v>0</v>
      </c>
      <c r="AD979" s="845">
        <v>2.232142857142857E-3</v>
      </c>
      <c r="AE979" s="845">
        <v>6.5848214285714288E-2</v>
      </c>
      <c r="AF979" s="845">
        <v>0</v>
      </c>
      <c r="AG979" s="845">
        <v>0.6127232142857143</v>
      </c>
      <c r="AH979" s="20" t="str">
        <f t="shared" si="90"/>
        <v>No</v>
      </c>
      <c r="AI979" s="25"/>
      <c r="AJ979" s="20">
        <v>45351</v>
      </c>
      <c r="AK979" s="20" t="s">
        <v>1702</v>
      </c>
      <c r="AL979" s="20">
        <v>39037</v>
      </c>
      <c r="AM979" s="20" t="s">
        <v>25</v>
      </c>
      <c r="AN979" s="37" t="str">
        <f t="shared" si="91"/>
        <v>N/A</v>
      </c>
      <c r="AO979" s="37" t="str">
        <f t="shared" si="92"/>
        <v>N/A</v>
      </c>
      <c r="AP979" s="20" t="s">
        <v>8</v>
      </c>
      <c r="AQ979" s="25"/>
      <c r="AR979" s="25"/>
      <c r="AS979" s="25"/>
      <c r="AT979" s="25"/>
      <c r="AU979" s="36"/>
      <c r="AV979" s="36"/>
      <c r="AW979" s="36"/>
      <c r="AX979" s="25"/>
      <c r="AY979" s="25"/>
      <c r="AZ979" s="25"/>
      <c r="BA979" s="25"/>
      <c r="BB979" s="25"/>
      <c r="BC979" s="25"/>
      <c r="BD979" s="25"/>
      <c r="BE979" s="25"/>
      <c r="BF979" s="25"/>
      <c r="BG979" s="25"/>
      <c r="BH979" s="25"/>
      <c r="BI979" s="25"/>
      <c r="BJ979" s="25"/>
      <c r="BK979" s="25"/>
      <c r="BL979" s="25"/>
      <c r="BM979" s="25"/>
      <c r="BN979" s="25"/>
      <c r="BO979" s="25"/>
      <c r="BP979" s="25"/>
      <c r="BQ979" s="25"/>
      <c r="BR979" s="25"/>
      <c r="BS979" s="25"/>
      <c r="BT979" s="25"/>
      <c r="BU979" s="39">
        <v>45876</v>
      </c>
      <c r="BV979" s="39" t="s">
        <v>1939</v>
      </c>
      <c r="BW979" s="39" t="s">
        <v>2921</v>
      </c>
      <c r="BX979" s="39" t="s">
        <v>2922</v>
      </c>
      <c r="BY979" s="71">
        <v>840</v>
      </c>
      <c r="BZ979" s="71">
        <v>850</v>
      </c>
      <c r="CA979" s="71">
        <v>1110</v>
      </c>
      <c r="CB979" s="71">
        <v>1330</v>
      </c>
      <c r="CC979" s="71">
        <v>1470</v>
      </c>
      <c r="CD979" s="25"/>
      <c r="CE979" s="200"/>
      <c r="CF979" s="200"/>
      <c r="CG979" s="200"/>
      <c r="CH979" s="200"/>
      <c r="CI979" s="200"/>
      <c r="CJ979" s="200"/>
      <c r="CK979" s="200"/>
      <c r="CL979" s="200"/>
      <c r="CM979" s="200"/>
      <c r="CN979" s="200"/>
      <c r="CO979" s="200"/>
      <c r="CP979" s="200"/>
      <c r="CQ979" s="200"/>
      <c r="CR979" s="200"/>
      <c r="CS979" s="200"/>
      <c r="CT979" s="200"/>
      <c r="CU979" s="200"/>
    </row>
    <row r="980" spans="1:99" s="17" customFormat="1" x14ac:dyDescent="0.2">
      <c r="A980" s="25"/>
      <c r="B980" s="20">
        <v>39061001900</v>
      </c>
      <c r="C980" s="20">
        <v>19</v>
      </c>
      <c r="D980" s="20" t="s">
        <v>37</v>
      </c>
      <c r="E980" s="20" t="s">
        <v>2828</v>
      </c>
      <c r="F980" s="20" t="s">
        <v>8</v>
      </c>
      <c r="G980" s="861">
        <v>56.531522559157899</v>
      </c>
      <c r="H980" s="861">
        <v>70.249090687507007</v>
      </c>
      <c r="I980" s="861">
        <v>46.2475694567527</v>
      </c>
      <c r="J980" s="861">
        <v>35.436686999645701</v>
      </c>
      <c r="K980" s="982">
        <v>0</v>
      </c>
      <c r="L980" s="735">
        <v>1609</v>
      </c>
      <c r="M980" s="735">
        <v>1993</v>
      </c>
      <c r="N980" s="845">
        <f t="shared" si="88"/>
        <v>0.23865755127408328</v>
      </c>
      <c r="O980" s="735">
        <v>0.45466695211971458</v>
      </c>
      <c r="P980" s="735">
        <f t="shared" si="89"/>
        <v>4383.428332999315</v>
      </c>
      <c r="Q980" s="849">
        <v>30.5</v>
      </c>
      <c r="R980" s="71">
        <v>61568</v>
      </c>
      <c r="S980" s="845">
        <v>0.17840851495184998</v>
      </c>
      <c r="T980" s="845">
        <v>3.4000000000000002E-2</v>
      </c>
      <c r="U980" s="845">
        <v>0</v>
      </c>
      <c r="V980" s="845">
        <v>3.4000000000000002E-2</v>
      </c>
      <c r="W980" s="845">
        <v>0.7940046118370484</v>
      </c>
      <c r="X980" s="845">
        <v>0.2836398838334947</v>
      </c>
      <c r="Y980" s="845">
        <v>0.68991470145509282</v>
      </c>
      <c r="Z980" s="845">
        <v>0.24987456096337179</v>
      </c>
      <c r="AA980" s="845">
        <v>2.007024586051179E-3</v>
      </c>
      <c r="AB980" s="845">
        <v>2.2579026593075764E-2</v>
      </c>
      <c r="AC980" s="845">
        <v>0</v>
      </c>
      <c r="AD980" s="845">
        <v>9.0316106372303057E-3</v>
      </c>
      <c r="AE980" s="845">
        <v>2.6593075765178123E-2</v>
      </c>
      <c r="AF980" s="845">
        <v>3.9638735574510787E-2</v>
      </c>
      <c r="AG980" s="845">
        <v>0.66532865027596588</v>
      </c>
      <c r="AH980" s="20" t="str">
        <f t="shared" si="90"/>
        <v>No</v>
      </c>
      <c r="AI980" s="25"/>
      <c r="AJ980" s="37">
        <v>45352</v>
      </c>
      <c r="AK980" s="37" t="s">
        <v>1703</v>
      </c>
      <c r="AL980" s="37">
        <v>39037</v>
      </c>
      <c r="AM980" s="37" t="s">
        <v>25</v>
      </c>
      <c r="AN980" s="37" t="str">
        <f t="shared" si="91"/>
        <v>N/A</v>
      </c>
      <c r="AO980" s="37" t="str">
        <f t="shared" si="92"/>
        <v>N/A</v>
      </c>
      <c r="AP980" s="20" t="s">
        <v>8</v>
      </c>
      <c r="AQ980" s="25"/>
      <c r="AR980" s="25"/>
      <c r="AS980" s="25"/>
      <c r="AT980" s="25"/>
      <c r="AU980" s="36"/>
      <c r="AV980" s="36"/>
      <c r="AW980" s="36"/>
      <c r="AX980" s="25"/>
      <c r="AY980" s="25"/>
      <c r="AZ980" s="25"/>
      <c r="BA980" s="25"/>
      <c r="BB980" s="25"/>
      <c r="BC980" s="25"/>
      <c r="BD980" s="25"/>
      <c r="BE980" s="25"/>
      <c r="BF980" s="25"/>
      <c r="BG980" s="25"/>
      <c r="BH980" s="25"/>
      <c r="BI980" s="25"/>
      <c r="BJ980" s="25"/>
      <c r="BK980" s="25"/>
      <c r="BL980" s="25"/>
      <c r="BM980" s="25"/>
      <c r="BN980" s="25"/>
      <c r="BO980" s="25"/>
      <c r="BP980" s="25"/>
      <c r="BQ980" s="25"/>
      <c r="BR980" s="25"/>
      <c r="BS980" s="25"/>
      <c r="BT980" s="25"/>
      <c r="BU980" s="39">
        <v>45893</v>
      </c>
      <c r="BV980" s="39" t="s">
        <v>1954</v>
      </c>
      <c r="BW980" s="39" t="s">
        <v>2921</v>
      </c>
      <c r="BX980" s="39" t="s">
        <v>2922</v>
      </c>
      <c r="BY980" s="71">
        <v>850</v>
      </c>
      <c r="BZ980" s="71">
        <v>860</v>
      </c>
      <c r="CA980" s="71">
        <v>1120</v>
      </c>
      <c r="CB980" s="71">
        <v>1350</v>
      </c>
      <c r="CC980" s="71">
        <v>1490</v>
      </c>
      <c r="CD980" s="25"/>
      <c r="CE980" s="200"/>
      <c r="CF980" s="200"/>
      <c r="CG980" s="200"/>
      <c r="CH980" s="200"/>
      <c r="CI980" s="200"/>
      <c r="CJ980" s="200"/>
      <c r="CK980" s="200"/>
      <c r="CL980" s="200"/>
      <c r="CM980" s="200"/>
      <c r="CN980" s="200"/>
      <c r="CO980" s="200"/>
      <c r="CP980" s="200"/>
      <c r="CQ980" s="200"/>
      <c r="CR980" s="200"/>
      <c r="CS980" s="200"/>
      <c r="CT980" s="200"/>
      <c r="CU980" s="200"/>
    </row>
    <row r="981" spans="1:99" s="17" customFormat="1" x14ac:dyDescent="0.2">
      <c r="A981" s="25"/>
      <c r="B981" s="20">
        <v>39043041100</v>
      </c>
      <c r="C981" s="20">
        <v>411</v>
      </c>
      <c r="D981" s="20" t="s">
        <v>28</v>
      </c>
      <c r="E981" s="20" t="s">
        <v>2837</v>
      </c>
      <c r="F981" s="20" t="s">
        <v>8</v>
      </c>
      <c r="G981" s="861">
        <v>56.525258344224397</v>
      </c>
      <c r="H981" s="861">
        <v>62.423281888056898</v>
      </c>
      <c r="I981" s="861">
        <v>38.861447828477303</v>
      </c>
      <c r="J981" s="861">
        <v>48.933886319715398</v>
      </c>
      <c r="K981" s="982">
        <v>0</v>
      </c>
      <c r="L981" s="735">
        <v>3746</v>
      </c>
      <c r="M981" s="735">
        <v>4223</v>
      </c>
      <c r="N981" s="845">
        <f t="shared" si="88"/>
        <v>0.12733582487987186</v>
      </c>
      <c r="O981" s="735">
        <v>0.4759392505473703</v>
      </c>
      <c r="P981" s="735">
        <f t="shared" si="89"/>
        <v>8872.9811528324117</v>
      </c>
      <c r="Q981" s="849">
        <v>28.5</v>
      </c>
      <c r="R981" s="71">
        <v>63023</v>
      </c>
      <c r="S981" s="845">
        <v>0.20838266635093536</v>
      </c>
      <c r="T981" s="845">
        <v>0.11800000000000001</v>
      </c>
      <c r="U981" s="845">
        <v>2.6000000000000002E-2</v>
      </c>
      <c r="V981" s="845">
        <v>5.7000000000000002E-2</v>
      </c>
      <c r="W981" s="845">
        <v>0.33229036295369213</v>
      </c>
      <c r="X981" s="845">
        <v>0.37853107344632769</v>
      </c>
      <c r="Y981" s="845">
        <v>0.6466966611413687</v>
      </c>
      <c r="Z981" s="845">
        <v>0.16528534217381008</v>
      </c>
      <c r="AA981" s="845">
        <v>0</v>
      </c>
      <c r="AB981" s="845">
        <v>0</v>
      </c>
      <c r="AC981" s="845">
        <v>0</v>
      </c>
      <c r="AD981" s="845">
        <v>1.2313521193464362E-2</v>
      </c>
      <c r="AE981" s="845">
        <v>0.17570447549135684</v>
      </c>
      <c r="AF981" s="845">
        <v>7.1986739284868581E-2</v>
      </c>
      <c r="AG981" s="845">
        <v>0.62372720814586791</v>
      </c>
      <c r="AH981" s="20" t="str">
        <f t="shared" si="90"/>
        <v>No</v>
      </c>
      <c r="AI981" s="25"/>
      <c r="AJ981" s="37">
        <v>45358</v>
      </c>
      <c r="AK981" s="37" t="s">
        <v>1707</v>
      </c>
      <c r="AL981" s="37">
        <v>39037</v>
      </c>
      <c r="AM981" s="37" t="s">
        <v>25</v>
      </c>
      <c r="AN981" s="37" t="str">
        <f t="shared" si="91"/>
        <v>N/A</v>
      </c>
      <c r="AO981" s="37" t="str">
        <f t="shared" si="92"/>
        <v>N/A</v>
      </c>
      <c r="AP981" s="20" t="s">
        <v>8</v>
      </c>
      <c r="AQ981" s="25"/>
      <c r="AR981" s="25"/>
      <c r="AS981" s="25"/>
      <c r="AT981" s="25"/>
      <c r="AU981" s="36"/>
      <c r="AV981" s="36"/>
      <c r="AW981" s="36"/>
      <c r="AX981" s="25"/>
      <c r="AY981" s="25"/>
      <c r="AZ981" s="25"/>
      <c r="BA981" s="25"/>
      <c r="BB981" s="25"/>
      <c r="BC981" s="25"/>
      <c r="BD981" s="25"/>
      <c r="BE981" s="25"/>
      <c r="BF981" s="25"/>
      <c r="BG981" s="25"/>
      <c r="BH981" s="25"/>
      <c r="BI981" s="25"/>
      <c r="BJ981" s="25"/>
      <c r="BK981" s="25"/>
      <c r="BL981" s="25"/>
      <c r="BM981" s="25"/>
      <c r="BN981" s="25"/>
      <c r="BO981" s="25"/>
      <c r="BP981" s="25"/>
      <c r="BQ981" s="25"/>
      <c r="BR981" s="25"/>
      <c r="BS981" s="25"/>
      <c r="BT981" s="25"/>
      <c r="BU981" s="39">
        <v>45617</v>
      </c>
      <c r="BV981" s="39" t="s">
        <v>1773</v>
      </c>
      <c r="BW981" s="39" t="s">
        <v>2890</v>
      </c>
      <c r="BX981" s="39" t="s">
        <v>2891</v>
      </c>
      <c r="BY981" s="71">
        <v>790</v>
      </c>
      <c r="BZ981" s="71">
        <v>880</v>
      </c>
      <c r="CA981" s="71">
        <v>1060</v>
      </c>
      <c r="CB981" s="71">
        <v>1340</v>
      </c>
      <c r="CC981" s="71">
        <v>1400</v>
      </c>
      <c r="CD981" s="25"/>
      <c r="CE981" s="200"/>
      <c r="CF981" s="200"/>
      <c r="CG981" s="200"/>
      <c r="CH981" s="200"/>
      <c r="CI981" s="200"/>
      <c r="CJ981" s="200"/>
      <c r="CK981" s="200"/>
      <c r="CL981" s="200"/>
      <c r="CM981" s="200"/>
      <c r="CN981" s="200"/>
      <c r="CO981" s="200"/>
      <c r="CP981" s="200"/>
      <c r="CQ981" s="200"/>
      <c r="CR981" s="200"/>
      <c r="CS981" s="200"/>
      <c r="CT981" s="200"/>
      <c r="CU981" s="200"/>
    </row>
    <row r="982" spans="1:99" s="17" customFormat="1" x14ac:dyDescent="0.2">
      <c r="A982" s="25"/>
      <c r="B982" s="20">
        <v>39017010103</v>
      </c>
      <c r="C982" s="20">
        <v>101.03</v>
      </c>
      <c r="D982" s="20" t="s">
        <v>15</v>
      </c>
      <c r="E982" s="20" t="s">
        <v>2828</v>
      </c>
      <c r="F982" s="20" t="s">
        <v>8</v>
      </c>
      <c r="G982" s="861">
        <v>56.523054498464496</v>
      </c>
      <c r="H982" s="861">
        <v>59.061731032971998</v>
      </c>
      <c r="I982" s="861">
        <v>33.627509421857098</v>
      </c>
      <c r="J982" s="861">
        <v>45.576069667968603</v>
      </c>
      <c r="K982" s="982">
        <v>0</v>
      </c>
      <c r="L982" s="735">
        <v>5894</v>
      </c>
      <c r="M982" s="735">
        <v>5236</v>
      </c>
      <c r="N982" s="845">
        <f t="shared" si="88"/>
        <v>-0.11163895486935867</v>
      </c>
      <c r="O982" s="735">
        <v>6.5410678661378103</v>
      </c>
      <c r="P982" s="735">
        <f t="shared" si="89"/>
        <v>800.48091644271676</v>
      </c>
      <c r="Q982" s="849">
        <v>32.5</v>
      </c>
      <c r="R982" s="71">
        <v>70600</v>
      </c>
      <c r="S982" s="845">
        <v>0.23579271816605663</v>
      </c>
      <c r="T982" s="845">
        <v>4.4999999999999998E-2</v>
      </c>
      <c r="U982" s="845">
        <v>0</v>
      </c>
      <c r="V982" s="845">
        <v>2.7999999999999997E-2</v>
      </c>
      <c r="W982" s="845">
        <v>0.54711375212224111</v>
      </c>
      <c r="X982" s="845">
        <v>0.45306439100077578</v>
      </c>
      <c r="Y982" s="845">
        <v>0.86497326203208558</v>
      </c>
      <c r="Z982" s="845">
        <v>4.9656226126814362E-2</v>
      </c>
      <c r="AA982" s="845">
        <v>0</v>
      </c>
      <c r="AB982" s="845">
        <v>5.4048892284186405E-2</v>
      </c>
      <c r="AC982" s="845">
        <v>0</v>
      </c>
      <c r="AD982" s="845">
        <v>1.6615737203972497E-2</v>
      </c>
      <c r="AE982" s="845">
        <v>1.4705882352941176E-2</v>
      </c>
      <c r="AF982" s="845">
        <v>2.922077922077922E-2</v>
      </c>
      <c r="AG982" s="845">
        <v>0.84912146676852562</v>
      </c>
      <c r="AH982" s="20" t="str">
        <f t="shared" si="90"/>
        <v>No</v>
      </c>
      <c r="AI982" s="25"/>
      <c r="AJ982" s="37">
        <v>45362</v>
      </c>
      <c r="AK982" s="37" t="s">
        <v>1711</v>
      </c>
      <c r="AL982" s="37">
        <v>39037</v>
      </c>
      <c r="AM982" s="37" t="s">
        <v>25</v>
      </c>
      <c r="AN982" s="37" t="str">
        <f t="shared" si="91"/>
        <v>N/A</v>
      </c>
      <c r="AO982" s="37" t="str">
        <f t="shared" si="92"/>
        <v>N/A</v>
      </c>
      <c r="AP982" s="20" t="s">
        <v>8</v>
      </c>
      <c r="AQ982" s="25"/>
      <c r="AR982" s="25"/>
      <c r="AS982" s="25"/>
      <c r="AT982" s="25"/>
      <c r="AU982" s="36"/>
      <c r="AV982" s="36"/>
      <c r="AW982" s="36"/>
      <c r="AX982" s="25"/>
      <c r="AY982" s="25"/>
      <c r="AZ982" s="25"/>
      <c r="BA982" s="25"/>
      <c r="BB982" s="25"/>
      <c r="BC982" s="25"/>
      <c r="BD982" s="25"/>
      <c r="BE982" s="25"/>
      <c r="BF982" s="25"/>
      <c r="BG982" s="25"/>
      <c r="BH982" s="25"/>
      <c r="BI982" s="25"/>
      <c r="BJ982" s="25"/>
      <c r="BK982" s="25"/>
      <c r="BL982" s="25"/>
      <c r="BM982" s="25"/>
      <c r="BN982" s="25"/>
      <c r="BO982" s="25"/>
      <c r="BP982" s="25"/>
      <c r="BQ982" s="25"/>
      <c r="BR982" s="25"/>
      <c r="BS982" s="25"/>
      <c r="BT982" s="25"/>
      <c r="BU982" s="39">
        <v>45628</v>
      </c>
      <c r="BV982" s="39" t="s">
        <v>1781</v>
      </c>
      <c r="BW982" s="39" t="s">
        <v>2890</v>
      </c>
      <c r="BX982" s="39" t="s">
        <v>2891</v>
      </c>
      <c r="BY982" s="71">
        <v>880</v>
      </c>
      <c r="BZ982" s="71">
        <v>990</v>
      </c>
      <c r="CA982" s="71">
        <v>1190</v>
      </c>
      <c r="CB982" s="71">
        <v>1500</v>
      </c>
      <c r="CC982" s="71">
        <v>1580</v>
      </c>
      <c r="CD982" s="25"/>
      <c r="CE982" s="200"/>
      <c r="CF982" s="200"/>
      <c r="CG982" s="200"/>
      <c r="CH982" s="200"/>
      <c r="CI982" s="200"/>
      <c r="CJ982" s="200"/>
      <c r="CK982" s="200"/>
      <c r="CL982" s="200"/>
      <c r="CM982" s="200"/>
      <c r="CN982" s="200"/>
      <c r="CO982" s="200"/>
      <c r="CP982" s="200"/>
      <c r="CQ982" s="200"/>
      <c r="CR982" s="200"/>
      <c r="CS982" s="200"/>
      <c r="CT982" s="200"/>
      <c r="CU982" s="200"/>
    </row>
    <row r="983" spans="1:99" s="17" customFormat="1" x14ac:dyDescent="0.2">
      <c r="A983" s="25"/>
      <c r="B983" s="20">
        <v>39099812604</v>
      </c>
      <c r="C983" s="20">
        <v>8126.04</v>
      </c>
      <c r="D983" s="20" t="s">
        <v>55</v>
      </c>
      <c r="E983" s="20" t="s">
        <v>2842</v>
      </c>
      <c r="F983" s="20" t="s">
        <v>8</v>
      </c>
      <c r="G983" s="861">
        <v>56.511017245438303</v>
      </c>
      <c r="H983" s="861">
        <v>48.101179144999399</v>
      </c>
      <c r="I983" s="861">
        <v>29.603321254555301</v>
      </c>
      <c r="J983" s="861">
        <v>52.036665764664001</v>
      </c>
      <c r="K983" s="982">
        <v>0</v>
      </c>
      <c r="L983" s="735" t="s">
        <v>2466</v>
      </c>
      <c r="M983" s="735">
        <v>5507</v>
      </c>
      <c r="N983" s="845" t="str">
        <f t="shared" si="88"/>
        <v/>
      </c>
      <c r="O983" s="735">
        <v>2.2295113933940032</v>
      </c>
      <c r="P983" s="735">
        <f t="shared" si="89"/>
        <v>2470.047929029261</v>
      </c>
      <c r="Q983" s="849">
        <v>45.6</v>
      </c>
      <c r="R983" s="71">
        <v>94777</v>
      </c>
      <c r="S983" s="845">
        <v>0.10669883095193913</v>
      </c>
      <c r="T983" s="845">
        <v>4.7E-2</v>
      </c>
      <c r="U983" s="845">
        <v>0</v>
      </c>
      <c r="V983" s="845">
        <v>0</v>
      </c>
      <c r="W983" s="845">
        <v>0.1359017781541067</v>
      </c>
      <c r="X983" s="845">
        <v>0.45794392523364486</v>
      </c>
      <c r="Y983" s="845">
        <v>0.94679498819684038</v>
      </c>
      <c r="Z983" s="845">
        <v>3.4138369348102417E-2</v>
      </c>
      <c r="AA983" s="845">
        <v>1.0895224260032686E-3</v>
      </c>
      <c r="AB983" s="845">
        <v>4.9028509170147084E-3</v>
      </c>
      <c r="AC983" s="845">
        <v>0</v>
      </c>
      <c r="AD983" s="845">
        <v>1.6342836390049029E-3</v>
      </c>
      <c r="AE983" s="845">
        <v>1.143998547303432E-2</v>
      </c>
      <c r="AF983" s="845">
        <v>3.9949155620119846E-3</v>
      </c>
      <c r="AG983" s="845">
        <v>0.94679498819684038</v>
      </c>
      <c r="AH983" s="20" t="str">
        <f t="shared" si="90"/>
        <v>Yes</v>
      </c>
      <c r="AI983" s="25"/>
      <c r="AJ983" s="20">
        <v>45380</v>
      </c>
      <c r="AK983" s="20" t="s">
        <v>1722</v>
      </c>
      <c r="AL983" s="20">
        <v>39037</v>
      </c>
      <c r="AM983" s="20" t="s">
        <v>25</v>
      </c>
      <c r="AN983" s="37" t="str">
        <f t="shared" si="91"/>
        <v>N/A</v>
      </c>
      <c r="AO983" s="37" t="str">
        <f t="shared" si="92"/>
        <v>N/A</v>
      </c>
      <c r="AP983" s="20" t="s">
        <v>8</v>
      </c>
      <c r="AQ983" s="25"/>
      <c r="AR983" s="25"/>
      <c r="AS983" s="25"/>
      <c r="AT983" s="25"/>
      <c r="AU983" s="36"/>
      <c r="AV983" s="36"/>
      <c r="AW983" s="36"/>
      <c r="AX983" s="25"/>
      <c r="AY983" s="25"/>
      <c r="AZ983" s="25"/>
      <c r="BA983" s="25"/>
      <c r="BB983" s="25"/>
      <c r="BC983" s="25"/>
      <c r="BD983" s="25"/>
      <c r="BE983" s="25"/>
      <c r="BF983" s="25"/>
      <c r="BG983" s="25"/>
      <c r="BH983" s="25"/>
      <c r="BI983" s="25"/>
      <c r="BJ983" s="25"/>
      <c r="BK983" s="25"/>
      <c r="BL983" s="25"/>
      <c r="BM983" s="25"/>
      <c r="BN983" s="25"/>
      <c r="BO983" s="25"/>
      <c r="BP983" s="25"/>
      <c r="BQ983" s="25"/>
      <c r="BR983" s="25"/>
      <c r="BS983" s="25"/>
      <c r="BT983" s="25"/>
      <c r="BU983" s="39">
        <v>45647</v>
      </c>
      <c r="BV983" s="39" t="s">
        <v>1793</v>
      </c>
      <c r="BW983" s="39" t="s">
        <v>2890</v>
      </c>
      <c r="BX983" s="39" t="s">
        <v>2891</v>
      </c>
      <c r="BY983" s="71">
        <v>730</v>
      </c>
      <c r="BZ983" s="71">
        <v>800</v>
      </c>
      <c r="CA983" s="71">
        <v>970</v>
      </c>
      <c r="CB983" s="71">
        <v>1190</v>
      </c>
      <c r="CC983" s="71">
        <v>1340</v>
      </c>
      <c r="CD983" s="25"/>
      <c r="CE983" s="200"/>
      <c r="CF983" s="200"/>
      <c r="CG983" s="200"/>
      <c r="CH983" s="200"/>
      <c r="CI983" s="200"/>
      <c r="CJ983" s="200"/>
      <c r="CK983" s="200"/>
      <c r="CL983" s="200"/>
      <c r="CM983" s="200"/>
      <c r="CN983" s="200"/>
      <c r="CO983" s="200"/>
      <c r="CP983" s="200"/>
      <c r="CQ983" s="200"/>
      <c r="CR983" s="200"/>
      <c r="CS983" s="200"/>
      <c r="CT983" s="200"/>
      <c r="CU983" s="200"/>
    </row>
    <row r="984" spans="1:99" s="17" customFormat="1" x14ac:dyDescent="0.2">
      <c r="A984" s="25"/>
      <c r="B984" s="20">
        <v>39017011134</v>
      </c>
      <c r="C984" s="20">
        <v>111.34</v>
      </c>
      <c r="D984" s="20" t="s">
        <v>15</v>
      </c>
      <c r="E984" s="20" t="s">
        <v>2828</v>
      </c>
      <c r="F984" s="20" t="s">
        <v>8</v>
      </c>
      <c r="G984" s="861">
        <v>56.509086518649198</v>
      </c>
      <c r="H984" s="861">
        <v>57.661076332899597</v>
      </c>
      <c r="I984" s="861">
        <v>12.309871553349099</v>
      </c>
      <c r="J984" s="861">
        <v>58.154814122262003</v>
      </c>
      <c r="K984" s="982">
        <v>0</v>
      </c>
      <c r="L984" s="735" t="s">
        <v>2466</v>
      </c>
      <c r="M984" s="735">
        <v>7728</v>
      </c>
      <c r="N984" s="845" t="str">
        <f t="shared" si="88"/>
        <v/>
      </c>
      <c r="O984" s="735">
        <v>5.4416384946261394</v>
      </c>
      <c r="P984" s="735">
        <f t="shared" si="89"/>
        <v>1420.1604916665715</v>
      </c>
      <c r="Q984" s="849">
        <v>43.6</v>
      </c>
      <c r="R984" s="71">
        <v>139494</v>
      </c>
      <c r="S984" s="845">
        <v>3.272490221642764E-2</v>
      </c>
      <c r="T984" s="845">
        <v>5.0000000000000001E-3</v>
      </c>
      <c r="U984" s="845">
        <v>2.8999999999999998E-2</v>
      </c>
      <c r="V984" s="845">
        <v>0</v>
      </c>
      <c r="W984" s="845">
        <v>2.7293404094010616E-2</v>
      </c>
      <c r="X984" s="845">
        <v>0.47222222222222221</v>
      </c>
      <c r="Y984" s="845">
        <v>0.90372670807453415</v>
      </c>
      <c r="Z984" s="845">
        <v>5.1371635610766048E-2</v>
      </c>
      <c r="AA984" s="845">
        <v>0</v>
      </c>
      <c r="AB984" s="845">
        <v>0</v>
      </c>
      <c r="AC984" s="845">
        <v>0</v>
      </c>
      <c r="AD984" s="845">
        <v>6.728778467908903E-3</v>
      </c>
      <c r="AE984" s="845">
        <v>3.8172877846790888E-2</v>
      </c>
      <c r="AF984" s="845">
        <v>7.8416149068322977E-2</v>
      </c>
      <c r="AG984" s="845">
        <v>0.84523809523809523</v>
      </c>
      <c r="AH984" s="20" t="str">
        <f t="shared" si="90"/>
        <v>No</v>
      </c>
      <c r="AI984" s="25"/>
      <c r="AJ984" s="20">
        <v>45382</v>
      </c>
      <c r="AK984" s="20" t="s">
        <v>1724</v>
      </c>
      <c r="AL984" s="20">
        <v>39037</v>
      </c>
      <c r="AM984" s="20" t="s">
        <v>25</v>
      </c>
      <c r="AN984" s="37" t="str">
        <f t="shared" si="91"/>
        <v>N/A</v>
      </c>
      <c r="AO984" s="37" t="str">
        <f t="shared" si="92"/>
        <v>N/A</v>
      </c>
      <c r="AP984" s="20" t="s">
        <v>8</v>
      </c>
      <c r="AQ984" s="25"/>
      <c r="AR984" s="25"/>
      <c r="AS984" s="25"/>
      <c r="AT984" s="25"/>
      <c r="AU984" s="36"/>
      <c r="AV984" s="36"/>
      <c r="AW984" s="36"/>
      <c r="AX984" s="25"/>
      <c r="AY984" s="25"/>
      <c r="AZ984" s="25"/>
      <c r="BA984" s="25"/>
      <c r="BB984" s="25"/>
      <c r="BC984" s="25"/>
      <c r="BD984" s="25"/>
      <c r="BE984" s="25"/>
      <c r="BF984" s="25"/>
      <c r="BG984" s="25"/>
      <c r="BH984" s="25"/>
      <c r="BI984" s="25"/>
      <c r="BJ984" s="25"/>
      <c r="BK984" s="25"/>
      <c r="BL984" s="25"/>
      <c r="BM984" s="25"/>
      <c r="BN984" s="25"/>
      <c r="BO984" s="25"/>
      <c r="BP984" s="25"/>
      <c r="BQ984" s="25"/>
      <c r="BR984" s="25"/>
      <c r="BS984" s="25"/>
      <c r="BT984" s="25"/>
      <c r="BU984" s="39">
        <v>45673</v>
      </c>
      <c r="BV984" s="39" t="s">
        <v>1811</v>
      </c>
      <c r="BW984" s="39" t="s">
        <v>2890</v>
      </c>
      <c r="BX984" s="39" t="s">
        <v>2891</v>
      </c>
      <c r="BY984" s="71">
        <v>800</v>
      </c>
      <c r="BZ984" s="71">
        <v>900</v>
      </c>
      <c r="CA984" s="71">
        <v>1080</v>
      </c>
      <c r="CB984" s="71">
        <v>1360</v>
      </c>
      <c r="CC984" s="71">
        <v>1430</v>
      </c>
      <c r="CD984" s="25"/>
      <c r="CE984" s="200"/>
      <c r="CF984" s="200"/>
      <c r="CG984" s="200"/>
      <c r="CH984" s="200"/>
      <c r="CI984" s="200"/>
      <c r="CJ984" s="200"/>
      <c r="CK984" s="200"/>
      <c r="CL984" s="200"/>
      <c r="CM984" s="200"/>
      <c r="CN984" s="200"/>
      <c r="CO984" s="200"/>
      <c r="CP984" s="200"/>
      <c r="CQ984" s="200"/>
      <c r="CR984" s="200"/>
      <c r="CS984" s="200"/>
      <c r="CT984" s="200"/>
      <c r="CU984" s="200"/>
    </row>
    <row r="985" spans="1:99" s="17" customFormat="1" x14ac:dyDescent="0.2">
      <c r="A985" s="25"/>
      <c r="B985" s="20">
        <v>39049009361</v>
      </c>
      <c r="C985" s="20">
        <v>93.61</v>
      </c>
      <c r="D985" s="20" t="s">
        <v>31</v>
      </c>
      <c r="E985" s="20" t="s">
        <v>2830</v>
      </c>
      <c r="F985" s="20" t="s">
        <v>8</v>
      </c>
      <c r="G985" s="861">
        <v>56.489040602499301</v>
      </c>
      <c r="H985" s="861">
        <v>61.1376850345276</v>
      </c>
      <c r="I985" s="861">
        <v>36.779620893578503</v>
      </c>
      <c r="J985" s="861">
        <v>55.472070528051503</v>
      </c>
      <c r="K985" s="982">
        <v>0</v>
      </c>
      <c r="L985" s="735">
        <v>5489</v>
      </c>
      <c r="M985" s="735">
        <v>5427</v>
      </c>
      <c r="N985" s="845">
        <f t="shared" si="88"/>
        <v>-1.1295317908544362E-2</v>
      </c>
      <c r="O985" s="735">
        <v>2.3949523073293184</v>
      </c>
      <c r="P985" s="735">
        <f t="shared" si="89"/>
        <v>2266.0158965970422</v>
      </c>
      <c r="Q985" s="849">
        <v>58.7</v>
      </c>
      <c r="R985" s="71">
        <v>60435</v>
      </c>
      <c r="S985" s="845">
        <v>0.12361241768579492</v>
      </c>
      <c r="T985" s="845">
        <v>1.2E-2</v>
      </c>
      <c r="U985" s="845">
        <v>0</v>
      </c>
      <c r="V985" s="845">
        <v>0</v>
      </c>
      <c r="W985" s="845">
        <v>0.46601285086236049</v>
      </c>
      <c r="X985" s="845">
        <v>0.44267053701015963</v>
      </c>
      <c r="Y985" s="845">
        <v>0.40574903261470424</v>
      </c>
      <c r="Z985" s="845">
        <v>0.51206928321356182</v>
      </c>
      <c r="AA985" s="845">
        <v>0</v>
      </c>
      <c r="AB985" s="845">
        <v>1.7320803390455133E-2</v>
      </c>
      <c r="AC985" s="845">
        <v>0</v>
      </c>
      <c r="AD985" s="845">
        <v>1.0318776487930717E-2</v>
      </c>
      <c r="AE985" s="845">
        <v>5.4542104293348076E-2</v>
      </c>
      <c r="AF985" s="845">
        <v>1.658374792703151E-2</v>
      </c>
      <c r="AG985" s="845">
        <v>0.40574903261470424</v>
      </c>
      <c r="AH985" s="20" t="str">
        <f t="shared" si="90"/>
        <v>No</v>
      </c>
      <c r="AI985" s="25"/>
      <c r="AJ985" s="20">
        <v>45388</v>
      </c>
      <c r="AK985" s="20" t="s">
        <v>1729</v>
      </c>
      <c r="AL985" s="20">
        <v>39037</v>
      </c>
      <c r="AM985" s="20" t="s">
        <v>25</v>
      </c>
      <c r="AN985" s="37" t="str">
        <f t="shared" si="91"/>
        <v>N/A</v>
      </c>
      <c r="AO985" s="37" t="str">
        <f t="shared" si="92"/>
        <v>N/A</v>
      </c>
      <c r="AP985" s="20" t="s">
        <v>8</v>
      </c>
      <c r="AQ985" s="25"/>
      <c r="AR985" s="25"/>
      <c r="AS985" s="25"/>
      <c r="AT985" s="25"/>
      <c r="AU985" s="36"/>
      <c r="AV985" s="36"/>
      <c r="AW985" s="36"/>
      <c r="AX985" s="25"/>
      <c r="AY985" s="25"/>
      <c r="AZ985" s="25"/>
      <c r="BA985" s="25"/>
      <c r="BB985" s="25"/>
      <c r="BC985" s="25"/>
      <c r="BD985" s="25"/>
      <c r="BE985" s="25"/>
      <c r="BF985" s="25"/>
      <c r="BG985" s="25"/>
      <c r="BH985" s="25"/>
      <c r="BI985" s="25"/>
      <c r="BJ985" s="25"/>
      <c r="BK985" s="25"/>
      <c r="BL985" s="25"/>
      <c r="BM985" s="25"/>
      <c r="BN985" s="25"/>
      <c r="BO985" s="25"/>
      <c r="BP985" s="25"/>
      <c r="BQ985" s="25"/>
      <c r="BR985" s="25"/>
      <c r="BS985" s="25"/>
      <c r="BT985" s="25"/>
      <c r="BU985" s="39">
        <v>45681</v>
      </c>
      <c r="BV985" s="39" t="s">
        <v>1817</v>
      </c>
      <c r="BW985" s="39" t="s">
        <v>2890</v>
      </c>
      <c r="BX985" s="39" t="s">
        <v>2891</v>
      </c>
      <c r="BY985" s="71">
        <v>850</v>
      </c>
      <c r="BZ985" s="71">
        <v>950</v>
      </c>
      <c r="CA985" s="71">
        <v>1140</v>
      </c>
      <c r="CB985" s="71">
        <v>1440</v>
      </c>
      <c r="CC985" s="71">
        <v>1510</v>
      </c>
      <c r="CD985" s="25"/>
      <c r="CE985" s="200"/>
      <c r="CF985" s="200"/>
      <c r="CG985" s="200"/>
      <c r="CH985" s="200"/>
      <c r="CI985" s="200"/>
      <c r="CJ985" s="200"/>
      <c r="CK985" s="200"/>
      <c r="CL985" s="200"/>
      <c r="CM985" s="200"/>
      <c r="CN985" s="200"/>
      <c r="CO985" s="200"/>
      <c r="CP985" s="200"/>
      <c r="CQ985" s="200"/>
      <c r="CR985" s="200"/>
      <c r="CS985" s="200"/>
      <c r="CT985" s="200"/>
      <c r="CU985" s="200"/>
    </row>
    <row r="986" spans="1:99" s="17" customFormat="1" x14ac:dyDescent="0.2">
      <c r="A986" s="25"/>
      <c r="B986" s="20">
        <v>39153504400</v>
      </c>
      <c r="C986" s="20">
        <v>5044</v>
      </c>
      <c r="D986" s="20" t="s">
        <v>82</v>
      </c>
      <c r="E986" s="20" t="s">
        <v>2843</v>
      </c>
      <c r="F986" s="20" t="s">
        <v>6</v>
      </c>
      <c r="G986" s="861">
        <v>56.4820735836689</v>
      </c>
      <c r="H986" s="861">
        <v>54.586821342423697</v>
      </c>
      <c r="I986" s="861">
        <v>64.034106692119494</v>
      </c>
      <c r="J986" s="861">
        <v>63.745659585516798</v>
      </c>
      <c r="K986" s="982">
        <v>0</v>
      </c>
      <c r="L986" s="735">
        <v>1291</v>
      </c>
      <c r="M986" s="735">
        <v>1069</v>
      </c>
      <c r="N986" s="845">
        <f t="shared" si="88"/>
        <v>-0.17195972114639815</v>
      </c>
      <c r="O986" s="735">
        <v>0.21924888296108819</v>
      </c>
      <c r="P986" s="735">
        <f t="shared" si="89"/>
        <v>4875.7374977811123</v>
      </c>
      <c r="Q986" s="849">
        <v>33.6</v>
      </c>
      <c r="R986" s="71">
        <v>45000</v>
      </c>
      <c r="S986" s="845">
        <v>0.25164319248826289</v>
      </c>
      <c r="T986" s="845">
        <v>5.2999999999999999E-2</v>
      </c>
      <c r="U986" s="845">
        <v>0</v>
      </c>
      <c r="V986" s="845">
        <v>0</v>
      </c>
      <c r="W986" s="845">
        <v>0.59859154929577463</v>
      </c>
      <c r="X986" s="845">
        <v>0.37254901960784315</v>
      </c>
      <c r="Y986" s="845">
        <v>0.28811973807296537</v>
      </c>
      <c r="Z986" s="845">
        <v>0.62488306828811979</v>
      </c>
      <c r="AA986" s="845">
        <v>6.5481758652946682E-3</v>
      </c>
      <c r="AB986" s="845">
        <v>0</v>
      </c>
      <c r="AC986" s="845">
        <v>0</v>
      </c>
      <c r="AD986" s="845">
        <v>0</v>
      </c>
      <c r="AE986" s="845">
        <v>8.0449017773620207E-2</v>
      </c>
      <c r="AF986" s="845">
        <v>2.1515434985968196E-2</v>
      </c>
      <c r="AG986" s="845">
        <v>0.28811973807296537</v>
      </c>
      <c r="AH986" s="20" t="str">
        <f t="shared" si="90"/>
        <v>No</v>
      </c>
      <c r="AI986" s="25"/>
      <c r="AJ986" s="20">
        <v>45390</v>
      </c>
      <c r="AK986" s="20" t="s">
        <v>1731</v>
      </c>
      <c r="AL986" s="20">
        <v>39037</v>
      </c>
      <c r="AM986" s="20" t="s">
        <v>25</v>
      </c>
      <c r="AN986" s="37" t="str">
        <f t="shared" si="91"/>
        <v>N/A</v>
      </c>
      <c r="AO986" s="37" t="str">
        <f t="shared" si="92"/>
        <v>N/A</v>
      </c>
      <c r="AP986" s="20" t="s">
        <v>8</v>
      </c>
      <c r="AQ986" s="25"/>
      <c r="AR986" s="25"/>
      <c r="AS986" s="25"/>
      <c r="AT986" s="25"/>
      <c r="AU986" s="36"/>
      <c r="AV986" s="36"/>
      <c r="AW986" s="36"/>
      <c r="AX986" s="25"/>
      <c r="AY986" s="25"/>
      <c r="AZ986" s="25"/>
      <c r="BA986" s="25"/>
      <c r="BB986" s="25"/>
      <c r="BC986" s="25"/>
      <c r="BD986" s="25"/>
      <c r="BE986" s="25"/>
      <c r="BF986" s="25"/>
      <c r="BG986" s="25"/>
      <c r="BH986" s="25"/>
      <c r="BI986" s="25"/>
      <c r="BJ986" s="25"/>
      <c r="BK986" s="25"/>
      <c r="BL986" s="25"/>
      <c r="BM986" s="25"/>
      <c r="BN986" s="25"/>
      <c r="BO986" s="25"/>
      <c r="BP986" s="25"/>
      <c r="BQ986" s="25"/>
      <c r="BR986" s="25"/>
      <c r="BS986" s="25"/>
      <c r="BT986" s="25"/>
      <c r="BU986" s="39">
        <v>43407</v>
      </c>
      <c r="BV986" s="39" t="s">
        <v>909</v>
      </c>
      <c r="BW986" s="39" t="s">
        <v>2951</v>
      </c>
      <c r="BX986" s="39" t="s">
        <v>2952</v>
      </c>
      <c r="BY986" s="71">
        <v>700</v>
      </c>
      <c r="BZ986" s="71">
        <v>830</v>
      </c>
      <c r="CA986" s="71">
        <v>1010</v>
      </c>
      <c r="CB986" s="71">
        <v>1260</v>
      </c>
      <c r="CC986" s="71">
        <v>1360</v>
      </c>
      <c r="CD986" s="25"/>
      <c r="CE986" s="200"/>
      <c r="CF986" s="200"/>
      <c r="CG986" s="200"/>
      <c r="CH986" s="200"/>
      <c r="CI986" s="200"/>
      <c r="CJ986" s="200"/>
      <c r="CK986" s="200"/>
      <c r="CL986" s="200"/>
      <c r="CM986" s="200"/>
      <c r="CN986" s="200"/>
      <c r="CO986" s="200"/>
      <c r="CP986" s="200"/>
      <c r="CQ986" s="200"/>
      <c r="CR986" s="200"/>
      <c r="CS986" s="200"/>
      <c r="CT986" s="200"/>
      <c r="CU986" s="200"/>
    </row>
    <row r="987" spans="1:99" s="17" customFormat="1" x14ac:dyDescent="0.2">
      <c r="A987" s="25"/>
      <c r="B987" s="20">
        <v>39093021200</v>
      </c>
      <c r="C987" s="20">
        <v>212</v>
      </c>
      <c r="D987" s="20" t="s">
        <v>52</v>
      </c>
      <c r="E987" s="20" t="s">
        <v>2829</v>
      </c>
      <c r="F987" s="20" t="s">
        <v>8</v>
      </c>
      <c r="G987" s="861">
        <v>56.479558242078497</v>
      </c>
      <c r="H987" s="861">
        <v>52.401101351268203</v>
      </c>
      <c r="I987" s="861">
        <v>31.495383929059201</v>
      </c>
      <c r="J987" s="861">
        <v>49.144565048541097</v>
      </c>
      <c r="K987" s="982">
        <v>0</v>
      </c>
      <c r="L987" s="735">
        <v>5774</v>
      </c>
      <c r="M987" s="735">
        <v>5603</v>
      </c>
      <c r="N987" s="845">
        <f t="shared" si="88"/>
        <v>-2.9615517838586767E-2</v>
      </c>
      <c r="O987" s="735">
        <v>1.3833252693967002</v>
      </c>
      <c r="P987" s="735">
        <f t="shared" si="89"/>
        <v>4050.3850569024858</v>
      </c>
      <c r="Q987" s="849">
        <v>44.6</v>
      </c>
      <c r="R987" s="71">
        <v>60942</v>
      </c>
      <c r="S987" s="845">
        <v>0.12291515591007977</v>
      </c>
      <c r="T987" s="845">
        <v>4.0999999999999995E-2</v>
      </c>
      <c r="U987" s="845">
        <v>0</v>
      </c>
      <c r="V987" s="845">
        <v>0</v>
      </c>
      <c r="W987" s="845">
        <v>0.19142419601837674</v>
      </c>
      <c r="X987" s="845">
        <v>0.36199999999999999</v>
      </c>
      <c r="Y987" s="845">
        <v>0.9063001963233982</v>
      </c>
      <c r="Z987" s="845">
        <v>1.2314831340353383E-2</v>
      </c>
      <c r="AA987" s="845">
        <v>1.6062823487417454E-3</v>
      </c>
      <c r="AB987" s="845">
        <v>0</v>
      </c>
      <c r="AC987" s="845">
        <v>0</v>
      </c>
      <c r="AD987" s="845">
        <v>1.9632339817954668E-2</v>
      </c>
      <c r="AE987" s="845">
        <v>6.0146350169552026E-2</v>
      </c>
      <c r="AF987" s="845">
        <v>7.7636980189184371E-2</v>
      </c>
      <c r="AG987" s="845">
        <v>0.89701945386400139</v>
      </c>
      <c r="AH987" s="20" t="str">
        <f t="shared" si="90"/>
        <v>No</v>
      </c>
      <c r="AI987" s="25"/>
      <c r="AJ987" s="20">
        <v>45846</v>
      </c>
      <c r="AK987" s="20" t="s">
        <v>1912</v>
      </c>
      <c r="AL987" s="20">
        <v>39037</v>
      </c>
      <c r="AM987" s="20" t="s">
        <v>25</v>
      </c>
      <c r="AN987" s="37" t="str">
        <f t="shared" si="91"/>
        <v>N/A</v>
      </c>
      <c r="AO987" s="37" t="str">
        <f t="shared" si="92"/>
        <v>N/A</v>
      </c>
      <c r="AP987" s="20" t="s">
        <v>8</v>
      </c>
      <c r="AQ987" s="25"/>
      <c r="AR987" s="25"/>
      <c r="AS987" s="25"/>
      <c r="AT987" s="25"/>
      <c r="AU987" s="36"/>
      <c r="AV987" s="36"/>
      <c r="AW987" s="36"/>
      <c r="AX987" s="25"/>
      <c r="AY987" s="25"/>
      <c r="AZ987" s="25"/>
      <c r="BA987" s="25"/>
      <c r="BB987" s="25"/>
      <c r="BC987" s="25"/>
      <c r="BD987" s="25"/>
      <c r="BE987" s="25"/>
      <c r="BF987" s="25"/>
      <c r="BG987" s="25"/>
      <c r="BH987" s="25"/>
      <c r="BI987" s="25"/>
      <c r="BJ987" s="25"/>
      <c r="BK987" s="25"/>
      <c r="BL987" s="25"/>
      <c r="BM987" s="25"/>
      <c r="BN987" s="25"/>
      <c r="BO987" s="25"/>
      <c r="BP987" s="25"/>
      <c r="BQ987" s="25"/>
      <c r="BR987" s="25"/>
      <c r="BS987" s="25"/>
      <c r="BT987" s="25"/>
      <c r="BU987" s="39">
        <v>43410</v>
      </c>
      <c r="BV987" s="39" t="s">
        <v>911</v>
      </c>
      <c r="BW987" s="39" t="s">
        <v>2951</v>
      </c>
      <c r="BX987" s="39" t="s">
        <v>2952</v>
      </c>
      <c r="BY987" s="71">
        <v>670</v>
      </c>
      <c r="BZ987" s="71">
        <v>800</v>
      </c>
      <c r="CA987" s="71">
        <v>970</v>
      </c>
      <c r="CB987" s="71">
        <v>1210</v>
      </c>
      <c r="CC987" s="71">
        <v>1310</v>
      </c>
      <c r="CD987" s="25"/>
      <c r="CE987" s="200"/>
      <c r="CF987" s="200"/>
      <c r="CG987" s="200"/>
      <c r="CH987" s="200"/>
      <c r="CI987" s="200"/>
      <c r="CJ987" s="200"/>
      <c r="CK987" s="200"/>
      <c r="CL987" s="200"/>
      <c r="CM987" s="200"/>
      <c r="CN987" s="200"/>
      <c r="CO987" s="200"/>
      <c r="CP987" s="200"/>
      <c r="CQ987" s="200"/>
      <c r="CR987" s="200"/>
      <c r="CS987" s="200"/>
      <c r="CT987" s="200"/>
      <c r="CU987" s="200"/>
    </row>
    <row r="988" spans="1:99" s="17" customFormat="1" x14ac:dyDescent="0.2">
      <c r="A988" s="25"/>
      <c r="B988" s="20">
        <v>39061023201</v>
      </c>
      <c r="C988" s="20">
        <v>232.01</v>
      </c>
      <c r="D988" s="20" t="s">
        <v>37</v>
      </c>
      <c r="E988" s="20" t="s">
        <v>2828</v>
      </c>
      <c r="F988" s="20" t="s">
        <v>6</v>
      </c>
      <c r="G988" s="861">
        <v>56.461250898372398</v>
      </c>
      <c r="H988" s="861">
        <v>42.186495846483901</v>
      </c>
      <c r="I988" s="861">
        <v>53.556505893271002</v>
      </c>
      <c r="J988" s="861">
        <v>42.4799249205564</v>
      </c>
      <c r="K988" s="982">
        <v>0</v>
      </c>
      <c r="L988" s="735">
        <v>2930</v>
      </c>
      <c r="M988" s="735">
        <v>2712</v>
      </c>
      <c r="N988" s="845">
        <f t="shared" si="88"/>
        <v>-7.4402730375426621E-2</v>
      </c>
      <c r="O988" s="735">
        <v>1.0044810591813875</v>
      </c>
      <c r="P988" s="735">
        <f t="shared" si="89"/>
        <v>2699.9015812305838</v>
      </c>
      <c r="Q988" s="849">
        <v>37.700000000000003</v>
      </c>
      <c r="R988" s="71">
        <v>38313</v>
      </c>
      <c r="S988" s="845">
        <v>0.22566371681415928</v>
      </c>
      <c r="T988" s="845">
        <v>0.13</v>
      </c>
      <c r="U988" s="845">
        <v>0</v>
      </c>
      <c r="V988" s="845">
        <v>1.2E-2</v>
      </c>
      <c r="W988" s="845">
        <v>0.56141672946495857</v>
      </c>
      <c r="X988" s="845">
        <v>0.52483221476510067</v>
      </c>
      <c r="Y988" s="845">
        <v>0.82743362831858402</v>
      </c>
      <c r="Z988" s="845">
        <v>6.9690265486725661E-2</v>
      </c>
      <c r="AA988" s="845">
        <v>0</v>
      </c>
      <c r="AB988" s="845">
        <v>0</v>
      </c>
      <c r="AC988" s="845">
        <v>0</v>
      </c>
      <c r="AD988" s="845">
        <v>3.687315634218289E-4</v>
      </c>
      <c r="AE988" s="845">
        <v>0.10250737463126844</v>
      </c>
      <c r="AF988" s="845">
        <v>0</v>
      </c>
      <c r="AG988" s="845">
        <v>0.82743362831858402</v>
      </c>
      <c r="AH988" s="20" t="str">
        <f t="shared" si="90"/>
        <v>No</v>
      </c>
      <c r="AI988" s="25"/>
      <c r="AJ988" s="20">
        <v>45883</v>
      </c>
      <c r="AK988" s="20" t="s">
        <v>1945</v>
      </c>
      <c r="AL988" s="20">
        <v>39037</v>
      </c>
      <c r="AM988" s="20" t="s">
        <v>25</v>
      </c>
      <c r="AN988" s="37" t="str">
        <f t="shared" si="91"/>
        <v>N/A</v>
      </c>
      <c r="AO988" s="37" t="str">
        <f t="shared" si="92"/>
        <v>N/A</v>
      </c>
      <c r="AP988" s="20" t="s">
        <v>8</v>
      </c>
      <c r="AQ988" s="25"/>
      <c r="AR988" s="25"/>
      <c r="AS988" s="25"/>
      <c r="AT988" s="25"/>
      <c r="AU988" s="36"/>
      <c r="AV988" s="36"/>
      <c r="AW988" s="36"/>
      <c r="AX988" s="25"/>
      <c r="AY988" s="25"/>
      <c r="AZ988" s="25"/>
      <c r="BA988" s="25"/>
      <c r="BB988" s="25"/>
      <c r="BC988" s="25"/>
      <c r="BD988" s="25"/>
      <c r="BE988" s="25"/>
      <c r="BF988" s="25"/>
      <c r="BG988" s="25"/>
      <c r="BH988" s="25"/>
      <c r="BI988" s="25"/>
      <c r="BJ988" s="25"/>
      <c r="BK988" s="25"/>
      <c r="BL988" s="25"/>
      <c r="BM988" s="25"/>
      <c r="BN988" s="25"/>
      <c r="BO988" s="25"/>
      <c r="BP988" s="25"/>
      <c r="BQ988" s="25"/>
      <c r="BR988" s="25"/>
      <c r="BS988" s="25"/>
      <c r="BT988" s="25"/>
      <c r="BU988" s="39">
        <v>43435</v>
      </c>
      <c r="BV988" s="39" t="s">
        <v>922</v>
      </c>
      <c r="BW988" s="39" t="s">
        <v>2951</v>
      </c>
      <c r="BX988" s="39" t="s">
        <v>2952</v>
      </c>
      <c r="BY988" s="71">
        <v>680</v>
      </c>
      <c r="BZ988" s="71">
        <v>810</v>
      </c>
      <c r="CA988" s="71">
        <v>990</v>
      </c>
      <c r="CB988" s="71">
        <v>1240</v>
      </c>
      <c r="CC988" s="71">
        <v>1340</v>
      </c>
      <c r="CD988" s="25"/>
      <c r="CE988" s="200"/>
      <c r="CF988" s="200"/>
      <c r="CG988" s="200"/>
      <c r="CH988" s="200"/>
      <c r="CI988" s="200"/>
      <c r="CJ988" s="200"/>
      <c r="CK988" s="200"/>
      <c r="CL988" s="200"/>
      <c r="CM988" s="200"/>
      <c r="CN988" s="200"/>
      <c r="CO988" s="200"/>
      <c r="CP988" s="200"/>
      <c r="CQ988" s="200"/>
      <c r="CR988" s="200"/>
      <c r="CS988" s="200"/>
      <c r="CT988" s="200"/>
      <c r="CU988" s="200"/>
    </row>
    <row r="989" spans="1:99" s="17" customFormat="1" x14ac:dyDescent="0.2">
      <c r="A989" s="25"/>
      <c r="B989" s="20">
        <v>39103408202</v>
      </c>
      <c r="C989" s="20">
        <v>4082.02</v>
      </c>
      <c r="D989" s="20" t="s">
        <v>57</v>
      </c>
      <c r="E989" s="20" t="s">
        <v>2829</v>
      </c>
      <c r="F989" s="20" t="s">
        <v>8</v>
      </c>
      <c r="G989" s="861">
        <v>56.436622456491598</v>
      </c>
      <c r="H989" s="861">
        <v>60.812850500027601</v>
      </c>
      <c r="I989" s="861">
        <v>24.390883936098</v>
      </c>
      <c r="J989" s="861">
        <v>50.335164056194202</v>
      </c>
      <c r="K989" s="982">
        <v>0</v>
      </c>
      <c r="L989" s="735">
        <v>5379</v>
      </c>
      <c r="M989" s="735">
        <v>5207</v>
      </c>
      <c r="N989" s="845">
        <f t="shared" si="88"/>
        <v>-3.1976203755344858E-2</v>
      </c>
      <c r="O989" s="735">
        <v>2.2654219829603774</v>
      </c>
      <c r="P989" s="735">
        <f t="shared" si="89"/>
        <v>2298.4680289875473</v>
      </c>
      <c r="Q989" s="849">
        <v>43.2</v>
      </c>
      <c r="R989" s="71">
        <v>109885</v>
      </c>
      <c r="S989" s="845">
        <v>6.9548133595284875E-2</v>
      </c>
      <c r="T989" s="845">
        <v>3.1E-2</v>
      </c>
      <c r="U989" s="845">
        <v>0</v>
      </c>
      <c r="V989" s="845">
        <v>5.2000000000000005E-2</v>
      </c>
      <c r="W989" s="845">
        <v>0.18425925925925926</v>
      </c>
      <c r="X989" s="845">
        <v>0.4020100502512563</v>
      </c>
      <c r="Y989" s="845">
        <v>0.93662377568657573</v>
      </c>
      <c r="Z989" s="845">
        <v>4.1098521221432684E-2</v>
      </c>
      <c r="AA989" s="845">
        <v>0</v>
      </c>
      <c r="AB989" s="845">
        <v>4.6091799500672173E-3</v>
      </c>
      <c r="AC989" s="845">
        <v>0</v>
      </c>
      <c r="AD989" s="845">
        <v>8.6422124063760316E-3</v>
      </c>
      <c r="AE989" s="845">
        <v>9.0263107355483003E-3</v>
      </c>
      <c r="AF989" s="845">
        <v>2.7078932206644903E-2</v>
      </c>
      <c r="AG989" s="845">
        <v>0.92682926829268297</v>
      </c>
      <c r="AH989" s="20" t="str">
        <f t="shared" si="90"/>
        <v>Yes</v>
      </c>
      <c r="AI989" s="25"/>
      <c r="AJ989" s="20">
        <v>43506</v>
      </c>
      <c r="AK989" s="20" t="s">
        <v>953</v>
      </c>
      <c r="AL989" s="20">
        <v>39039</v>
      </c>
      <c r="AM989" s="20" t="s">
        <v>26</v>
      </c>
      <c r="AN989" s="37" t="str">
        <f t="shared" si="91"/>
        <v>N/A</v>
      </c>
      <c r="AO989" s="37" t="str">
        <f t="shared" si="92"/>
        <v>N/A</v>
      </c>
      <c r="AP989" s="20" t="s">
        <v>8</v>
      </c>
      <c r="AQ989" s="25"/>
      <c r="AR989" s="25"/>
      <c r="AS989" s="25"/>
      <c r="AT989" s="25"/>
      <c r="AU989" s="36"/>
      <c r="AV989" s="36"/>
      <c r="AW989" s="36"/>
      <c r="AX989" s="25"/>
      <c r="AY989" s="25"/>
      <c r="AZ989" s="25"/>
      <c r="BA989" s="25"/>
      <c r="BB989" s="25"/>
      <c r="BC989" s="25"/>
      <c r="BD989" s="25"/>
      <c r="BE989" s="25"/>
      <c r="BF989" s="25"/>
      <c r="BG989" s="25"/>
      <c r="BH989" s="25"/>
      <c r="BI989" s="25"/>
      <c r="BJ989" s="25"/>
      <c r="BK989" s="25"/>
      <c r="BL989" s="25"/>
      <c r="BM989" s="25"/>
      <c r="BN989" s="25"/>
      <c r="BO989" s="25"/>
      <c r="BP989" s="25"/>
      <c r="BQ989" s="25"/>
      <c r="BR989" s="25"/>
      <c r="BS989" s="25"/>
      <c r="BT989" s="25"/>
      <c r="BU989" s="39">
        <v>44836</v>
      </c>
      <c r="BV989" s="39" t="s">
        <v>1485</v>
      </c>
      <c r="BW989" s="39" t="s">
        <v>2951</v>
      </c>
      <c r="BX989" s="39" t="s">
        <v>2952</v>
      </c>
      <c r="BY989" s="71">
        <v>810</v>
      </c>
      <c r="BZ989" s="71">
        <v>860</v>
      </c>
      <c r="CA989" s="71">
        <v>1100</v>
      </c>
      <c r="CB989" s="71">
        <v>1360</v>
      </c>
      <c r="CC989" s="71">
        <v>1470</v>
      </c>
      <c r="CD989" s="25"/>
      <c r="CE989" s="200"/>
      <c r="CF989" s="200"/>
      <c r="CG989" s="200"/>
      <c r="CH989" s="200"/>
      <c r="CI989" s="200"/>
      <c r="CJ989" s="200"/>
      <c r="CK989" s="200"/>
      <c r="CL989" s="200"/>
      <c r="CM989" s="200"/>
      <c r="CN989" s="200"/>
      <c r="CO989" s="200"/>
      <c r="CP989" s="200"/>
      <c r="CQ989" s="200"/>
      <c r="CR989" s="200"/>
      <c r="CS989" s="200"/>
      <c r="CT989" s="200"/>
      <c r="CU989" s="200"/>
    </row>
    <row r="990" spans="1:99" s="17" customFormat="1" x14ac:dyDescent="0.2">
      <c r="A990" s="25"/>
      <c r="B990" s="20">
        <v>39099812200</v>
      </c>
      <c r="C990" s="20">
        <v>8122</v>
      </c>
      <c r="D990" s="20" t="s">
        <v>55</v>
      </c>
      <c r="E990" s="20" t="s">
        <v>2842</v>
      </c>
      <c r="F990" s="20" t="s">
        <v>8</v>
      </c>
      <c r="G990" s="861">
        <v>56.420483672546098</v>
      </c>
      <c r="H990" s="861">
        <v>44.649306499678303</v>
      </c>
      <c r="I990" s="861">
        <v>21.033235679645699</v>
      </c>
      <c r="J990" s="861">
        <v>35.884412476769697</v>
      </c>
      <c r="K990" s="982">
        <v>0</v>
      </c>
      <c r="L990" s="735">
        <v>6514</v>
      </c>
      <c r="M990" s="735">
        <v>6364</v>
      </c>
      <c r="N990" s="845">
        <f t="shared" si="88"/>
        <v>-2.302732575990175E-2</v>
      </c>
      <c r="O990" s="735">
        <v>4.1078609430373021</v>
      </c>
      <c r="P990" s="735">
        <f t="shared" si="89"/>
        <v>1549.2247883382674</v>
      </c>
      <c r="Q990" s="849">
        <v>50.3</v>
      </c>
      <c r="R990" s="71">
        <v>99112</v>
      </c>
      <c r="S990" s="845">
        <v>3.1793736159443212E-2</v>
      </c>
      <c r="T990" s="845">
        <v>4.2999999999999997E-2</v>
      </c>
      <c r="U990" s="845">
        <v>2.4E-2</v>
      </c>
      <c r="V990" s="845">
        <v>8.4000000000000005E-2</v>
      </c>
      <c r="W990" s="845">
        <v>0.16847622613253463</v>
      </c>
      <c r="X990" s="845">
        <v>0.2688888888888889</v>
      </c>
      <c r="Y990" s="845">
        <v>0.89880578252671273</v>
      </c>
      <c r="Z990" s="845">
        <v>3.0326838466373351E-2</v>
      </c>
      <c r="AA990" s="845">
        <v>1.257071024512885E-3</v>
      </c>
      <c r="AB990" s="845">
        <v>1.2099308610936518E-2</v>
      </c>
      <c r="AC990" s="845">
        <v>0</v>
      </c>
      <c r="AD990" s="845">
        <v>3.1426775612822125E-3</v>
      </c>
      <c r="AE990" s="845">
        <v>5.4368321810182273E-2</v>
      </c>
      <c r="AF990" s="845">
        <v>2.5927089880578253E-2</v>
      </c>
      <c r="AG990" s="845">
        <v>0.8841923318667505</v>
      </c>
      <c r="AH990" s="20" t="str">
        <f t="shared" si="90"/>
        <v>No</v>
      </c>
      <c r="AI990" s="25"/>
      <c r="AJ990" s="37">
        <v>43512</v>
      </c>
      <c r="AK990" s="37" t="s">
        <v>956</v>
      </c>
      <c r="AL990" s="37">
        <v>39039</v>
      </c>
      <c r="AM990" s="37" t="s">
        <v>26</v>
      </c>
      <c r="AN990" s="37" t="str">
        <f t="shared" si="91"/>
        <v>N/A</v>
      </c>
      <c r="AO990" s="37" t="str">
        <f t="shared" si="92"/>
        <v>N/A</v>
      </c>
      <c r="AP990" s="20" t="s">
        <v>8</v>
      </c>
      <c r="AQ990" s="25"/>
      <c r="AR990" s="25"/>
      <c r="AS990" s="25"/>
      <c r="AT990" s="25"/>
      <c r="AU990" s="36"/>
      <c r="AV990" s="36"/>
      <c r="AW990" s="36"/>
      <c r="AX990" s="25"/>
      <c r="AY990" s="25"/>
      <c r="AZ990" s="25"/>
      <c r="BA990" s="25"/>
      <c r="BB990" s="25"/>
      <c r="BC990" s="25"/>
      <c r="BD990" s="25"/>
      <c r="BE990" s="25"/>
      <c r="BF990" s="25"/>
      <c r="BG990" s="25"/>
      <c r="BH990" s="25"/>
      <c r="BI990" s="25"/>
      <c r="BJ990" s="25"/>
      <c r="BK990" s="25"/>
      <c r="BL990" s="25"/>
      <c r="BM990" s="25"/>
      <c r="BN990" s="25"/>
      <c r="BO990" s="25"/>
      <c r="BP990" s="25"/>
      <c r="BQ990" s="25"/>
      <c r="BR990" s="25"/>
      <c r="BS990" s="25"/>
      <c r="BT990" s="25"/>
      <c r="BU990" s="39">
        <v>44841</v>
      </c>
      <c r="BV990" s="39" t="s">
        <v>1490</v>
      </c>
      <c r="BW990" s="39" t="s">
        <v>2951</v>
      </c>
      <c r="BX990" s="39" t="s">
        <v>2952</v>
      </c>
      <c r="BY990" s="71">
        <v>710</v>
      </c>
      <c r="BZ990" s="71">
        <v>760</v>
      </c>
      <c r="CA990" s="71">
        <v>970</v>
      </c>
      <c r="CB990" s="71">
        <v>1190</v>
      </c>
      <c r="CC990" s="71">
        <v>1300</v>
      </c>
      <c r="CD990" s="25"/>
      <c r="CE990" s="200"/>
      <c r="CF990" s="200"/>
      <c r="CG990" s="200"/>
      <c r="CH990" s="200"/>
      <c r="CI990" s="200"/>
      <c r="CJ990" s="200"/>
      <c r="CK990" s="200"/>
      <c r="CL990" s="200"/>
      <c r="CM990" s="200"/>
      <c r="CN990" s="200"/>
      <c r="CO990" s="200"/>
      <c r="CP990" s="200"/>
      <c r="CQ990" s="200"/>
      <c r="CR990" s="200"/>
      <c r="CS990" s="200"/>
      <c r="CT990" s="200"/>
      <c r="CU990" s="200"/>
    </row>
    <row r="991" spans="1:99" s="17" customFormat="1" x14ac:dyDescent="0.2">
      <c r="A991" s="25"/>
      <c r="B991" s="20">
        <v>39093060100</v>
      </c>
      <c r="C991" s="20">
        <v>601</v>
      </c>
      <c r="D991" s="20" t="s">
        <v>52</v>
      </c>
      <c r="E991" s="20" t="s">
        <v>2829</v>
      </c>
      <c r="F991" s="20" t="s">
        <v>8</v>
      </c>
      <c r="G991" s="861">
        <v>56.380401567579803</v>
      </c>
      <c r="H991" s="861">
        <v>48.784162406691202</v>
      </c>
      <c r="I991" s="861">
        <v>45.353105646000301</v>
      </c>
      <c r="J991" s="861">
        <v>41.813574765381397</v>
      </c>
      <c r="K991" s="982">
        <v>0</v>
      </c>
      <c r="L991" s="735">
        <v>3936</v>
      </c>
      <c r="M991" s="735">
        <v>3881</v>
      </c>
      <c r="N991" s="845">
        <f t="shared" si="88"/>
        <v>-1.3973577235772357E-2</v>
      </c>
      <c r="O991" s="735">
        <v>7.1128855491155134</v>
      </c>
      <c r="P991" s="735">
        <f t="shared" si="89"/>
        <v>545.62947388948248</v>
      </c>
      <c r="Q991" s="849">
        <v>39.6</v>
      </c>
      <c r="R991" s="71">
        <v>73110</v>
      </c>
      <c r="S991" s="845">
        <v>0.15045548045841906</v>
      </c>
      <c r="T991" s="845">
        <v>7.0999999999999994E-2</v>
      </c>
      <c r="U991" s="845">
        <v>0</v>
      </c>
      <c r="V991" s="845">
        <v>3.6000000000000004E-2</v>
      </c>
      <c r="W991" s="845">
        <v>0.52851985559566783</v>
      </c>
      <c r="X991" s="845">
        <v>0.41803278688524592</v>
      </c>
      <c r="Y991" s="845">
        <v>0.70961092501932488</v>
      </c>
      <c r="Z991" s="845">
        <v>0.13295542385982995</v>
      </c>
      <c r="AA991" s="845">
        <v>0</v>
      </c>
      <c r="AB991" s="845">
        <v>3.555784591600103E-2</v>
      </c>
      <c r="AC991" s="845">
        <v>0</v>
      </c>
      <c r="AD991" s="845">
        <v>0</v>
      </c>
      <c r="AE991" s="845">
        <v>0.12187580520484412</v>
      </c>
      <c r="AF991" s="845">
        <v>6.6220046379799016E-2</v>
      </c>
      <c r="AG991" s="845">
        <v>0.69105900541097653</v>
      </c>
      <c r="AH991" s="20" t="str">
        <f t="shared" si="90"/>
        <v>No</v>
      </c>
      <c r="AI991" s="25"/>
      <c r="AJ991" s="20">
        <v>43517</v>
      </c>
      <c r="AK991" s="20" t="s">
        <v>959</v>
      </c>
      <c r="AL991" s="20">
        <v>39039</v>
      </c>
      <c r="AM991" s="20" t="s">
        <v>26</v>
      </c>
      <c r="AN991" s="37" t="str">
        <f t="shared" si="91"/>
        <v>N/A</v>
      </c>
      <c r="AO991" s="37" t="str">
        <f t="shared" si="92"/>
        <v>N/A</v>
      </c>
      <c r="AP991" s="20" t="s">
        <v>8</v>
      </c>
      <c r="AQ991" s="25"/>
      <c r="AR991" s="25"/>
      <c r="AS991" s="25"/>
      <c r="AT991" s="25"/>
      <c r="AU991" s="36"/>
      <c r="AV991" s="36"/>
      <c r="AW991" s="36"/>
      <c r="AX991" s="25"/>
      <c r="AY991" s="25"/>
      <c r="AZ991" s="25"/>
      <c r="BA991" s="25"/>
      <c r="BB991" s="25"/>
      <c r="BC991" s="25"/>
      <c r="BD991" s="25"/>
      <c r="BE991" s="25"/>
      <c r="BF991" s="25"/>
      <c r="BG991" s="25"/>
      <c r="BH991" s="25"/>
      <c r="BI991" s="25"/>
      <c r="BJ991" s="25"/>
      <c r="BK991" s="25"/>
      <c r="BL991" s="25"/>
      <c r="BM991" s="25"/>
      <c r="BN991" s="25"/>
      <c r="BO991" s="25"/>
      <c r="BP991" s="25"/>
      <c r="BQ991" s="25"/>
      <c r="BR991" s="25"/>
      <c r="BS991" s="25"/>
      <c r="BT991" s="25"/>
      <c r="BU991" s="39">
        <v>45630</v>
      </c>
      <c r="BV991" s="39" t="s">
        <v>1783</v>
      </c>
      <c r="BW991" s="39" t="s">
        <v>2892</v>
      </c>
      <c r="BX991" s="39" t="s">
        <v>2893</v>
      </c>
      <c r="BY991" s="71">
        <v>780</v>
      </c>
      <c r="BZ991" s="71">
        <v>910</v>
      </c>
      <c r="CA991" s="71">
        <v>1100</v>
      </c>
      <c r="CB991" s="71">
        <v>1480</v>
      </c>
      <c r="CC991" s="71">
        <v>1620</v>
      </c>
      <c r="CD991" s="25"/>
      <c r="CE991" s="200"/>
      <c r="CF991" s="200"/>
      <c r="CG991" s="200"/>
      <c r="CH991" s="200"/>
      <c r="CI991" s="200"/>
      <c r="CJ991" s="200"/>
      <c r="CK991" s="200"/>
      <c r="CL991" s="200"/>
      <c r="CM991" s="200"/>
      <c r="CN991" s="200"/>
      <c r="CO991" s="200"/>
      <c r="CP991" s="200"/>
      <c r="CQ991" s="200"/>
      <c r="CR991" s="200"/>
      <c r="CS991" s="200"/>
      <c r="CT991" s="200"/>
      <c r="CU991" s="200"/>
    </row>
    <row r="992" spans="1:99" s="17" customFormat="1" x14ac:dyDescent="0.2">
      <c r="A992" s="25"/>
      <c r="B992" s="20">
        <v>39061021101</v>
      </c>
      <c r="C992" s="20">
        <v>211.01</v>
      </c>
      <c r="D992" s="20" t="s">
        <v>37</v>
      </c>
      <c r="E992" s="20" t="s">
        <v>2828</v>
      </c>
      <c r="F992" s="20" t="s">
        <v>8</v>
      </c>
      <c r="G992" s="861">
        <v>56.360033938510199</v>
      </c>
      <c r="H992" s="861">
        <v>67.297211418096595</v>
      </c>
      <c r="I992" s="861">
        <v>18.031464416653399</v>
      </c>
      <c r="J992" s="861">
        <v>32.397415662941398</v>
      </c>
      <c r="K992" s="982">
        <v>0</v>
      </c>
      <c r="L992" s="735">
        <v>4978</v>
      </c>
      <c r="M992" s="735">
        <v>4410</v>
      </c>
      <c r="N992" s="845">
        <f t="shared" si="88"/>
        <v>-0.11410204901566895</v>
      </c>
      <c r="O992" s="735">
        <v>3.8197704313013237</v>
      </c>
      <c r="P992" s="735">
        <f t="shared" si="89"/>
        <v>1154.51964439067</v>
      </c>
      <c r="Q992" s="849">
        <v>47.3</v>
      </c>
      <c r="R992" s="71">
        <v>111484</v>
      </c>
      <c r="S992" s="845">
        <v>5.2088113813676E-2</v>
      </c>
      <c r="T992" s="845">
        <v>3.9E-2</v>
      </c>
      <c r="U992" s="845">
        <v>0</v>
      </c>
      <c r="V992" s="845">
        <v>0</v>
      </c>
      <c r="W992" s="845">
        <v>3.7237237237237236E-2</v>
      </c>
      <c r="X992" s="845">
        <v>0.62903225806451613</v>
      </c>
      <c r="Y992" s="845">
        <v>0.98140589569160996</v>
      </c>
      <c r="Z992" s="845">
        <v>3.6281179138321997E-3</v>
      </c>
      <c r="AA992" s="845">
        <v>0</v>
      </c>
      <c r="AB992" s="845">
        <v>0</v>
      </c>
      <c r="AC992" s="845">
        <v>0</v>
      </c>
      <c r="AD992" s="845">
        <v>1.8140589569160999E-3</v>
      </c>
      <c r="AE992" s="845">
        <v>1.3151927437641724E-2</v>
      </c>
      <c r="AF992" s="845">
        <v>3.8548752834467121E-3</v>
      </c>
      <c r="AG992" s="845">
        <v>0.97755102040816322</v>
      </c>
      <c r="AH992" s="20" t="str">
        <f t="shared" si="90"/>
        <v>Yes</v>
      </c>
      <c r="AI992" s="25"/>
      <c r="AJ992" s="20">
        <v>43519</v>
      </c>
      <c r="AK992" s="20" t="s">
        <v>961</v>
      </c>
      <c r="AL992" s="20">
        <v>39039</v>
      </c>
      <c r="AM992" s="20" t="s">
        <v>26</v>
      </c>
      <c r="AN992" s="37" t="str">
        <f t="shared" si="91"/>
        <v>N/A</v>
      </c>
      <c r="AO992" s="37" t="str">
        <f t="shared" si="92"/>
        <v>N/A</v>
      </c>
      <c r="AP992" s="20" t="s">
        <v>8</v>
      </c>
      <c r="AQ992" s="25"/>
      <c r="AR992" s="25"/>
      <c r="AS992" s="25"/>
      <c r="AT992" s="25"/>
      <c r="AU992" s="36"/>
      <c r="AV992" s="36"/>
      <c r="AW992" s="36"/>
      <c r="AX992" s="25"/>
      <c r="AY992" s="25"/>
      <c r="AZ992" s="25"/>
      <c r="BA992" s="25"/>
      <c r="BB992" s="25"/>
      <c r="BC992" s="25"/>
      <c r="BD992" s="25"/>
      <c r="BE992" s="25"/>
      <c r="BF992" s="25"/>
      <c r="BG992" s="25"/>
      <c r="BH992" s="25"/>
      <c r="BI992" s="25"/>
      <c r="BJ992" s="25"/>
      <c r="BK992" s="25"/>
      <c r="BL992" s="25"/>
      <c r="BM992" s="25"/>
      <c r="BN992" s="25"/>
      <c r="BO992" s="25"/>
      <c r="BP992" s="25"/>
      <c r="BQ992" s="25"/>
      <c r="BR992" s="25"/>
      <c r="BS992" s="25"/>
      <c r="BT992" s="25"/>
      <c r="BU992" s="39">
        <v>45636</v>
      </c>
      <c r="BV992" s="39" t="s">
        <v>1786</v>
      </c>
      <c r="BW992" s="39" t="s">
        <v>2892</v>
      </c>
      <c r="BX992" s="39" t="s">
        <v>2893</v>
      </c>
      <c r="BY992" s="71">
        <v>790</v>
      </c>
      <c r="BZ992" s="71">
        <v>840</v>
      </c>
      <c r="CA992" s="71">
        <v>980</v>
      </c>
      <c r="CB992" s="71">
        <v>1290</v>
      </c>
      <c r="CC992" s="71">
        <v>1450</v>
      </c>
      <c r="CD992" s="25"/>
      <c r="CE992" s="200"/>
      <c r="CF992" s="200"/>
      <c r="CG992" s="200"/>
      <c r="CH992" s="200"/>
      <c r="CI992" s="200"/>
      <c r="CJ992" s="200"/>
      <c r="CK992" s="200"/>
      <c r="CL992" s="200"/>
      <c r="CM992" s="200"/>
      <c r="CN992" s="200"/>
      <c r="CO992" s="200"/>
      <c r="CP992" s="200"/>
      <c r="CQ992" s="200"/>
      <c r="CR992" s="200"/>
      <c r="CS992" s="200"/>
      <c r="CT992" s="200"/>
      <c r="CU992" s="200"/>
    </row>
    <row r="993" spans="1:99" s="17" customFormat="1" x14ac:dyDescent="0.2">
      <c r="A993" s="25"/>
      <c r="B993" s="20">
        <v>39017011123</v>
      </c>
      <c r="C993" s="20">
        <v>111.23</v>
      </c>
      <c r="D993" s="20" t="s">
        <v>15</v>
      </c>
      <c r="E993" s="20" t="s">
        <v>2828</v>
      </c>
      <c r="F993" s="20" t="s">
        <v>6</v>
      </c>
      <c r="G993" s="861">
        <v>56.352813213318797</v>
      </c>
      <c r="H993" s="861">
        <v>62.400732020489201</v>
      </c>
      <c r="I993" s="861">
        <v>37.802749321133298</v>
      </c>
      <c r="J993" s="861">
        <v>46.761699737662298</v>
      </c>
      <c r="K993" s="982">
        <v>0</v>
      </c>
      <c r="L993" s="735">
        <v>4571</v>
      </c>
      <c r="M993" s="735">
        <v>4986</v>
      </c>
      <c r="N993" s="845">
        <f t="shared" si="88"/>
        <v>9.0789761540144384E-2</v>
      </c>
      <c r="O993" s="735">
        <v>7.5292457616726285</v>
      </c>
      <c r="P993" s="735">
        <f t="shared" si="89"/>
        <v>662.21772509818516</v>
      </c>
      <c r="Q993" s="849">
        <v>36.5</v>
      </c>
      <c r="R993" s="71">
        <v>55714</v>
      </c>
      <c r="S993" s="845">
        <v>0.1548006509357201</v>
      </c>
      <c r="T993" s="845">
        <v>3.3000000000000002E-2</v>
      </c>
      <c r="U993" s="845">
        <v>2.7000000000000003E-2</v>
      </c>
      <c r="V993" s="845">
        <v>2.1000000000000001E-2</v>
      </c>
      <c r="W993" s="845">
        <v>0.51777609682299541</v>
      </c>
      <c r="X993" s="845">
        <v>0.48648648648648651</v>
      </c>
      <c r="Y993" s="845">
        <v>0.57079823505816285</v>
      </c>
      <c r="Z993" s="845">
        <v>0.20256718812675492</v>
      </c>
      <c r="AA993" s="845">
        <v>1.1231448054552748E-2</v>
      </c>
      <c r="AB993" s="845">
        <v>8.4035298836742878E-2</v>
      </c>
      <c r="AC993" s="845">
        <v>0</v>
      </c>
      <c r="AD993" s="845">
        <v>3.168872843963097E-2</v>
      </c>
      <c r="AE993" s="845">
        <v>9.9679101484155638E-2</v>
      </c>
      <c r="AF993" s="845">
        <v>0.21239470517448858</v>
      </c>
      <c r="AG993" s="845">
        <v>0.42940232651423987</v>
      </c>
      <c r="AH993" s="20" t="str">
        <f t="shared" si="90"/>
        <v>No</v>
      </c>
      <c r="AI993" s="25"/>
      <c r="AJ993" s="37">
        <v>43520</v>
      </c>
      <c r="AK993" s="37" t="s">
        <v>962</v>
      </c>
      <c r="AL993" s="37">
        <v>39039</v>
      </c>
      <c r="AM993" s="37" t="s">
        <v>26</v>
      </c>
      <c r="AN993" s="37" t="str">
        <f t="shared" si="91"/>
        <v>N/A</v>
      </c>
      <c r="AO993" s="37" t="str">
        <f t="shared" si="92"/>
        <v>N/A</v>
      </c>
      <c r="AP993" s="20" t="s">
        <v>8</v>
      </c>
      <c r="AQ993" s="25"/>
      <c r="AR993" s="25"/>
      <c r="AS993" s="25"/>
      <c r="AT993" s="25"/>
      <c r="AU993" s="36"/>
      <c r="AV993" s="36"/>
      <c r="AW993" s="36"/>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39">
        <v>45652</v>
      </c>
      <c r="BV993" s="39" t="s">
        <v>1797</v>
      </c>
      <c r="BW993" s="39" t="s">
        <v>2892</v>
      </c>
      <c r="BX993" s="39" t="s">
        <v>2893</v>
      </c>
      <c r="BY993" s="71">
        <v>680</v>
      </c>
      <c r="BZ993" s="71">
        <v>810</v>
      </c>
      <c r="CA993" s="71">
        <v>980</v>
      </c>
      <c r="CB993" s="71">
        <v>1330</v>
      </c>
      <c r="CC993" s="71">
        <v>1480</v>
      </c>
      <c r="CD993" s="25"/>
      <c r="CE993" s="200"/>
      <c r="CF993" s="200"/>
      <c r="CG993" s="200"/>
      <c r="CH993" s="200"/>
      <c r="CI993" s="200"/>
      <c r="CJ993" s="200"/>
      <c r="CK993" s="200"/>
      <c r="CL993" s="200"/>
      <c r="CM993" s="200"/>
      <c r="CN993" s="200"/>
      <c r="CO993" s="200"/>
      <c r="CP993" s="200"/>
      <c r="CQ993" s="200"/>
      <c r="CR993" s="200"/>
      <c r="CS993" s="200"/>
      <c r="CT993" s="200"/>
      <c r="CU993" s="200"/>
    </row>
    <row r="994" spans="1:99" s="17" customFormat="1" x14ac:dyDescent="0.2">
      <c r="A994" s="25"/>
      <c r="B994" s="20">
        <v>39165031905</v>
      </c>
      <c r="C994" s="20">
        <v>319.05</v>
      </c>
      <c r="D994" s="20" t="s">
        <v>88</v>
      </c>
      <c r="E994" s="20" t="s">
        <v>2828</v>
      </c>
      <c r="F994" s="20" t="s">
        <v>8</v>
      </c>
      <c r="G994" s="861">
        <v>56.3493612119589</v>
      </c>
      <c r="H994" s="861">
        <v>57.191650559074802</v>
      </c>
      <c r="I994" s="861">
        <v>22.889407117299399</v>
      </c>
      <c r="J994" s="861">
        <v>44.489045164534602</v>
      </c>
      <c r="K994" s="982">
        <v>0</v>
      </c>
      <c r="L994" s="735" t="s">
        <v>2466</v>
      </c>
      <c r="M994" s="735">
        <v>6154</v>
      </c>
      <c r="N994" s="845" t="str">
        <f t="shared" si="88"/>
        <v/>
      </c>
      <c r="O994" s="735">
        <v>3.3060707757457624</v>
      </c>
      <c r="P994" s="735">
        <f t="shared" si="89"/>
        <v>1861.4241549658959</v>
      </c>
      <c r="Q994" s="849">
        <v>37.5</v>
      </c>
      <c r="R994" s="71">
        <v>106648</v>
      </c>
      <c r="S994" s="845">
        <v>7.6255931926035025E-2</v>
      </c>
      <c r="T994" s="845">
        <v>3.2000000000000001E-2</v>
      </c>
      <c r="U994" s="845">
        <v>0</v>
      </c>
      <c r="V994" s="845">
        <v>5.5E-2</v>
      </c>
      <c r="W994" s="845">
        <v>0.3868003341687552</v>
      </c>
      <c r="X994" s="845">
        <v>0.17062634989200864</v>
      </c>
      <c r="Y994" s="845">
        <v>0.61228469288267795</v>
      </c>
      <c r="Z994" s="845">
        <v>0.15404614884627885</v>
      </c>
      <c r="AA994" s="845">
        <v>0</v>
      </c>
      <c r="AB994" s="845">
        <v>0.17988300292492687</v>
      </c>
      <c r="AC994" s="845">
        <v>0</v>
      </c>
      <c r="AD994" s="845">
        <v>1.3324666883327917E-2</v>
      </c>
      <c r="AE994" s="845">
        <v>4.0461488462788429E-2</v>
      </c>
      <c r="AF994" s="845">
        <v>1.3324666883327917E-2</v>
      </c>
      <c r="AG994" s="845">
        <v>0.61228469288267795</v>
      </c>
      <c r="AH994" s="20" t="str">
        <f t="shared" si="90"/>
        <v>No</v>
      </c>
      <c r="AI994" s="25"/>
      <c r="AJ994" s="37">
        <v>43526</v>
      </c>
      <c r="AK994" s="37" t="s">
        <v>968</v>
      </c>
      <c r="AL994" s="37">
        <v>39039</v>
      </c>
      <c r="AM994" s="37" t="s">
        <v>26</v>
      </c>
      <c r="AN994" s="37" t="str">
        <f t="shared" si="91"/>
        <v>N/A</v>
      </c>
      <c r="AO994" s="37" t="str">
        <f t="shared" si="92"/>
        <v>N/A</v>
      </c>
      <c r="AP994" s="20" t="s">
        <v>8</v>
      </c>
      <c r="AQ994" s="25"/>
      <c r="AR994" s="25"/>
      <c r="AS994" s="25"/>
      <c r="AT994" s="25"/>
      <c r="AU994" s="36"/>
      <c r="AV994" s="36"/>
      <c r="AW994" s="36"/>
      <c r="AX994" s="25"/>
      <c r="AY994" s="25"/>
      <c r="AZ994" s="25"/>
      <c r="BA994" s="25"/>
      <c r="BB994" s="25"/>
      <c r="BC994" s="25"/>
      <c r="BD994" s="25"/>
      <c r="BE994" s="25"/>
      <c r="BF994" s="25"/>
      <c r="BG994" s="25"/>
      <c r="BH994" s="25"/>
      <c r="BI994" s="25"/>
      <c r="BJ994" s="25"/>
      <c r="BK994" s="25"/>
      <c r="BL994" s="25"/>
      <c r="BM994" s="25"/>
      <c r="BN994" s="25"/>
      <c r="BO994" s="25"/>
      <c r="BP994" s="25"/>
      <c r="BQ994" s="25"/>
      <c r="BR994" s="25"/>
      <c r="BS994" s="25"/>
      <c r="BT994" s="25"/>
      <c r="BU994" s="39">
        <v>45662</v>
      </c>
      <c r="BV994" s="39" t="s">
        <v>1806</v>
      </c>
      <c r="BW994" s="39" t="s">
        <v>2892</v>
      </c>
      <c r="BX994" s="39" t="s">
        <v>2893</v>
      </c>
      <c r="BY994" s="71">
        <v>670</v>
      </c>
      <c r="BZ994" s="71">
        <v>810</v>
      </c>
      <c r="CA994" s="71">
        <v>970</v>
      </c>
      <c r="CB994" s="71">
        <v>1330</v>
      </c>
      <c r="CC994" s="71">
        <v>1470</v>
      </c>
      <c r="CD994" s="25"/>
      <c r="CE994" s="200"/>
      <c r="CF994" s="200"/>
      <c r="CG994" s="200"/>
      <c r="CH994" s="200"/>
      <c r="CI994" s="200"/>
      <c r="CJ994" s="200"/>
      <c r="CK994" s="200"/>
      <c r="CL994" s="200"/>
      <c r="CM994" s="200"/>
      <c r="CN994" s="200"/>
      <c r="CO994" s="200"/>
      <c r="CP994" s="200"/>
      <c r="CQ994" s="200"/>
      <c r="CR994" s="200"/>
      <c r="CS994" s="200"/>
      <c r="CT994" s="200"/>
      <c r="CU994" s="200"/>
    </row>
    <row r="995" spans="1:99" s="17" customFormat="1" x14ac:dyDescent="0.2">
      <c r="A995" s="25"/>
      <c r="B995" s="20">
        <v>39173020401</v>
      </c>
      <c r="C995" s="20">
        <v>204.01</v>
      </c>
      <c r="D995" s="20" t="s">
        <v>92</v>
      </c>
      <c r="E995" s="20" t="s">
        <v>2839</v>
      </c>
      <c r="F995" s="20" t="s">
        <v>8</v>
      </c>
      <c r="G995" s="861">
        <v>56.338301430761902</v>
      </c>
      <c r="H995" s="861">
        <v>54.233997179992201</v>
      </c>
      <c r="I995" s="861">
        <v>46.735896879426001</v>
      </c>
      <c r="J995" s="861">
        <v>53.538276267795503</v>
      </c>
      <c r="K995" s="982">
        <v>0</v>
      </c>
      <c r="L995" s="735">
        <v>5299</v>
      </c>
      <c r="M995" s="735">
        <v>6179</v>
      </c>
      <c r="N995" s="845">
        <f t="shared" si="88"/>
        <v>0.16606906963578033</v>
      </c>
      <c r="O995" s="735">
        <v>2.3808889223047438</v>
      </c>
      <c r="P995" s="735">
        <f t="shared" si="89"/>
        <v>2595.2491702211018</v>
      </c>
      <c r="Q995" s="849">
        <v>44.3</v>
      </c>
      <c r="R995" s="71">
        <v>75997</v>
      </c>
      <c r="S995" s="845">
        <v>8.1303544431379132E-2</v>
      </c>
      <c r="T995" s="845">
        <v>2.1000000000000001E-2</v>
      </c>
      <c r="U995" s="845">
        <v>0</v>
      </c>
      <c r="V995" s="845">
        <v>0</v>
      </c>
      <c r="W995" s="845">
        <v>0.46236559139784944</v>
      </c>
      <c r="X995" s="845">
        <v>0.48462115528882221</v>
      </c>
      <c r="Y995" s="845">
        <v>0.88784592976209742</v>
      </c>
      <c r="Z995" s="845">
        <v>2.1200841560122998E-2</v>
      </c>
      <c r="AA995" s="845">
        <v>0</v>
      </c>
      <c r="AB995" s="845">
        <v>1.2461563359766952E-2</v>
      </c>
      <c r="AC995" s="845">
        <v>0</v>
      </c>
      <c r="AD995" s="845">
        <v>1.9420618223013431E-2</v>
      </c>
      <c r="AE995" s="845">
        <v>5.9071047094999191E-2</v>
      </c>
      <c r="AF995" s="845">
        <v>6.0203916491341644E-2</v>
      </c>
      <c r="AG995" s="845">
        <v>0.87328046609483734</v>
      </c>
      <c r="AH995" s="20" t="str">
        <f t="shared" si="90"/>
        <v>No</v>
      </c>
      <c r="AI995" s="25"/>
      <c r="AJ995" s="37">
        <v>43527</v>
      </c>
      <c r="AK995" s="37" t="s">
        <v>969</v>
      </c>
      <c r="AL995" s="37">
        <v>39039</v>
      </c>
      <c r="AM995" s="37" t="s">
        <v>26</v>
      </c>
      <c r="AN995" s="37" t="str">
        <f t="shared" si="91"/>
        <v>N/A</v>
      </c>
      <c r="AO995" s="37" t="str">
        <f t="shared" si="92"/>
        <v>N/A</v>
      </c>
      <c r="AP995" s="20" t="s">
        <v>8</v>
      </c>
      <c r="AQ995" s="25"/>
      <c r="AR995" s="25"/>
      <c r="AS995" s="25"/>
      <c r="AT995" s="25"/>
      <c r="AU995" s="36"/>
      <c r="AV995" s="36"/>
      <c r="AW995" s="36"/>
      <c r="AX995" s="25"/>
      <c r="AY995" s="25"/>
      <c r="AZ995" s="25"/>
      <c r="BA995" s="25"/>
      <c r="BB995" s="25"/>
      <c r="BC995" s="25"/>
      <c r="BD995" s="25"/>
      <c r="BE995" s="25"/>
      <c r="BF995" s="25"/>
      <c r="BG995" s="25"/>
      <c r="BH995" s="25"/>
      <c r="BI995" s="25"/>
      <c r="BJ995" s="25"/>
      <c r="BK995" s="25"/>
      <c r="BL995" s="25"/>
      <c r="BM995" s="25"/>
      <c r="BN995" s="25"/>
      <c r="BO995" s="25"/>
      <c r="BP995" s="25"/>
      <c r="BQ995" s="25"/>
      <c r="BR995" s="25"/>
      <c r="BS995" s="25"/>
      <c r="BT995" s="25"/>
      <c r="BU995" s="39">
        <v>45663</v>
      </c>
      <c r="BV995" s="39" t="s">
        <v>1807</v>
      </c>
      <c r="BW995" s="39" t="s">
        <v>2892</v>
      </c>
      <c r="BX995" s="39" t="s">
        <v>2893</v>
      </c>
      <c r="BY995" s="71">
        <v>670</v>
      </c>
      <c r="BZ995" s="71">
        <v>810</v>
      </c>
      <c r="CA995" s="71">
        <v>970</v>
      </c>
      <c r="CB995" s="71">
        <v>1330</v>
      </c>
      <c r="CC995" s="71">
        <v>1470</v>
      </c>
      <c r="CD995" s="25"/>
      <c r="CE995" s="200"/>
      <c r="CF995" s="200"/>
      <c r="CG995" s="200"/>
      <c r="CH995" s="200"/>
      <c r="CI995" s="200"/>
      <c r="CJ995" s="200"/>
      <c r="CK995" s="200"/>
      <c r="CL995" s="200"/>
      <c r="CM995" s="200"/>
      <c r="CN995" s="200"/>
      <c r="CO995" s="200"/>
      <c r="CP995" s="200"/>
      <c r="CQ995" s="200"/>
      <c r="CR995" s="200"/>
      <c r="CS995" s="200"/>
      <c r="CT995" s="200"/>
      <c r="CU995" s="200"/>
    </row>
    <row r="996" spans="1:99" s="17" customFormat="1" x14ac:dyDescent="0.2">
      <c r="A996" s="25"/>
      <c r="B996" s="20">
        <v>39035101300</v>
      </c>
      <c r="C996" s="20">
        <v>1013</v>
      </c>
      <c r="D996" s="20" t="s">
        <v>24</v>
      </c>
      <c r="E996" s="20" t="s">
        <v>2829</v>
      </c>
      <c r="F996" s="20" t="s">
        <v>6</v>
      </c>
      <c r="G996" s="861">
        <v>56.312677122224699</v>
      </c>
      <c r="H996" s="861">
        <v>60.8616586994237</v>
      </c>
      <c r="I996" s="861">
        <v>48.0791046843947</v>
      </c>
      <c r="J996" s="861">
        <v>59.777434408279099</v>
      </c>
      <c r="K996" s="982">
        <v>1</v>
      </c>
      <c r="L996" s="735">
        <v>1856</v>
      </c>
      <c r="M996" s="735">
        <v>1770</v>
      </c>
      <c r="N996" s="845">
        <f t="shared" si="88"/>
        <v>-4.6336206896551727E-2</v>
      </c>
      <c r="O996" s="735">
        <v>0.24192196002011762</v>
      </c>
      <c r="P996" s="735">
        <f t="shared" si="89"/>
        <v>7316.4089768982167</v>
      </c>
      <c r="Q996" s="849">
        <v>43.6</v>
      </c>
      <c r="R996" s="71">
        <v>39922</v>
      </c>
      <c r="S996" s="845">
        <v>0.21930360415394012</v>
      </c>
      <c r="T996" s="845">
        <v>0</v>
      </c>
      <c r="U996" s="845">
        <v>0</v>
      </c>
      <c r="V996" s="845">
        <v>4.2000000000000003E-2</v>
      </c>
      <c r="W996" s="845">
        <v>0.91167811579980373</v>
      </c>
      <c r="X996" s="845">
        <v>0.35952637244348762</v>
      </c>
      <c r="Y996" s="845">
        <v>0.56101694915254241</v>
      </c>
      <c r="Z996" s="845">
        <v>0.3</v>
      </c>
      <c r="AA996" s="845">
        <v>4.5197740112994352E-3</v>
      </c>
      <c r="AB996" s="845">
        <v>4.9717514124293788E-2</v>
      </c>
      <c r="AC996" s="845">
        <v>0</v>
      </c>
      <c r="AD996" s="845">
        <v>3.7288135593220341E-2</v>
      </c>
      <c r="AE996" s="845">
        <v>4.7457627118644069E-2</v>
      </c>
      <c r="AF996" s="845">
        <v>9.3220338983050849E-2</v>
      </c>
      <c r="AG996" s="845">
        <v>0.54915254237288136</v>
      </c>
      <c r="AH996" s="20" t="str">
        <f t="shared" si="90"/>
        <v>No</v>
      </c>
      <c r="AI996" s="25"/>
      <c r="AJ996" s="20">
        <v>43530</v>
      </c>
      <c r="AK996" s="20" t="s">
        <v>972</v>
      </c>
      <c r="AL996" s="20">
        <v>39039</v>
      </c>
      <c r="AM996" s="20" t="s">
        <v>26</v>
      </c>
      <c r="AN996" s="37" t="str">
        <f t="shared" si="91"/>
        <v>N/A</v>
      </c>
      <c r="AO996" s="37" t="str">
        <f t="shared" si="92"/>
        <v>N/A</v>
      </c>
      <c r="AP996" s="20" t="s">
        <v>8</v>
      </c>
      <c r="AQ996" s="25"/>
      <c r="AR996" s="25"/>
      <c r="AS996" s="25"/>
      <c r="AT996" s="25"/>
      <c r="AU996" s="36"/>
      <c r="AV996" s="36"/>
      <c r="AW996" s="36"/>
      <c r="AX996" s="25"/>
      <c r="AY996" s="25"/>
      <c r="AZ996" s="25"/>
      <c r="BA996" s="25"/>
      <c r="BB996" s="25"/>
      <c r="BC996" s="25"/>
      <c r="BD996" s="25"/>
      <c r="BE996" s="25"/>
      <c r="BF996" s="25"/>
      <c r="BG996" s="25"/>
      <c r="BH996" s="25"/>
      <c r="BI996" s="25"/>
      <c r="BJ996" s="25"/>
      <c r="BK996" s="25"/>
      <c r="BL996" s="25"/>
      <c r="BM996" s="25"/>
      <c r="BN996" s="25"/>
      <c r="BO996" s="25"/>
      <c r="BP996" s="25"/>
      <c r="BQ996" s="25"/>
      <c r="BR996" s="25"/>
      <c r="BS996" s="25"/>
      <c r="BT996" s="25"/>
      <c r="BU996" s="39">
        <v>45677</v>
      </c>
      <c r="BV996" s="39" t="s">
        <v>1813</v>
      </c>
      <c r="BW996" s="39" t="s">
        <v>2892</v>
      </c>
      <c r="BX996" s="39" t="s">
        <v>2893</v>
      </c>
      <c r="BY996" s="71">
        <v>710</v>
      </c>
      <c r="BZ996" s="71">
        <v>860</v>
      </c>
      <c r="CA996" s="71">
        <v>1030</v>
      </c>
      <c r="CB996" s="71">
        <v>1400</v>
      </c>
      <c r="CC996" s="71">
        <v>1540</v>
      </c>
      <c r="CD996" s="25"/>
      <c r="CE996" s="200"/>
      <c r="CF996" s="200"/>
      <c r="CG996" s="200"/>
      <c r="CH996" s="200"/>
      <c r="CI996" s="200"/>
      <c r="CJ996" s="200"/>
      <c r="CK996" s="200"/>
      <c r="CL996" s="200"/>
      <c r="CM996" s="200"/>
      <c r="CN996" s="200"/>
      <c r="CO996" s="200"/>
      <c r="CP996" s="200"/>
      <c r="CQ996" s="200"/>
      <c r="CR996" s="200"/>
      <c r="CS996" s="200"/>
      <c r="CT996" s="200"/>
      <c r="CU996" s="200"/>
    </row>
    <row r="997" spans="1:99" s="17" customFormat="1" x14ac:dyDescent="0.2">
      <c r="A997" s="25"/>
      <c r="B997" s="20">
        <v>39005970700</v>
      </c>
      <c r="C997" s="20">
        <v>9707</v>
      </c>
      <c r="D997" s="20" t="s">
        <v>9</v>
      </c>
      <c r="E997" s="20" t="s">
        <v>265</v>
      </c>
      <c r="F997" s="20" t="s">
        <v>8</v>
      </c>
      <c r="G997" s="861">
        <v>56.306472998127802</v>
      </c>
      <c r="H997" s="861">
        <v>51.021776974881199</v>
      </c>
      <c r="I997" s="861">
        <v>35.9951787012902</v>
      </c>
      <c r="J997" s="861">
        <v>33.462094224493697</v>
      </c>
      <c r="K997" s="982">
        <v>0</v>
      </c>
      <c r="L997" s="735">
        <v>5409</v>
      </c>
      <c r="M997" s="735">
        <v>5196</v>
      </c>
      <c r="N997" s="845">
        <f t="shared" si="88"/>
        <v>-3.9378813089295618E-2</v>
      </c>
      <c r="O997" s="735">
        <v>17.738579888693003</v>
      </c>
      <c r="P997" s="735">
        <f t="shared" si="89"/>
        <v>292.92085570570703</v>
      </c>
      <c r="Q997" s="849">
        <v>46.8</v>
      </c>
      <c r="R997" s="71">
        <v>56793</v>
      </c>
      <c r="S997" s="845">
        <v>0.10403605015673981</v>
      </c>
      <c r="T997" s="845">
        <v>0.02</v>
      </c>
      <c r="U997" s="845">
        <v>0</v>
      </c>
      <c r="V997" s="845">
        <v>0.121</v>
      </c>
      <c r="W997" s="845">
        <v>0.1753681392235609</v>
      </c>
      <c r="X997" s="845">
        <v>0.62849872773536897</v>
      </c>
      <c r="Y997" s="845">
        <v>0.95804464973056203</v>
      </c>
      <c r="Z997" s="845">
        <v>6.3510392609699767E-3</v>
      </c>
      <c r="AA997" s="845">
        <v>1.9245573518090838E-4</v>
      </c>
      <c r="AB997" s="845">
        <v>7.1208622016936101E-3</v>
      </c>
      <c r="AC997" s="845">
        <v>0</v>
      </c>
      <c r="AD997" s="845">
        <v>0</v>
      </c>
      <c r="AE997" s="845">
        <v>2.8290993071593534E-2</v>
      </c>
      <c r="AF997" s="845">
        <v>1.0969976905311778E-2</v>
      </c>
      <c r="AG997" s="845">
        <v>0.95246343341031559</v>
      </c>
      <c r="AH997" s="20" t="str">
        <f t="shared" si="90"/>
        <v>Yes</v>
      </c>
      <c r="AI997" s="25"/>
      <c r="AJ997" s="37">
        <v>43536</v>
      </c>
      <c r="AK997" s="37" t="s">
        <v>978</v>
      </c>
      <c r="AL997" s="37">
        <v>39039</v>
      </c>
      <c r="AM997" s="37" t="s">
        <v>26</v>
      </c>
      <c r="AN997" s="37" t="str">
        <f t="shared" si="91"/>
        <v>N/A</v>
      </c>
      <c r="AO997" s="37" t="str">
        <f t="shared" si="92"/>
        <v>N/A</v>
      </c>
      <c r="AP997" s="20" t="s">
        <v>8</v>
      </c>
      <c r="AQ997" s="25"/>
      <c r="AR997" s="25"/>
      <c r="AS997" s="25"/>
      <c r="AT997" s="25"/>
      <c r="AU997" s="36"/>
      <c r="AV997" s="36"/>
      <c r="AW997" s="36"/>
      <c r="AX997" s="25"/>
      <c r="AY997" s="25"/>
      <c r="AZ997" s="25"/>
      <c r="BA997" s="25"/>
      <c r="BB997" s="25"/>
      <c r="BC997" s="25"/>
      <c r="BD997" s="25"/>
      <c r="BE997" s="25"/>
      <c r="BF997" s="25"/>
      <c r="BG997" s="25"/>
      <c r="BH997" s="25"/>
      <c r="BI997" s="25"/>
      <c r="BJ997" s="25"/>
      <c r="BK997" s="25"/>
      <c r="BL997" s="25"/>
      <c r="BM997" s="25"/>
      <c r="BN997" s="25"/>
      <c r="BO997" s="25"/>
      <c r="BP997" s="25"/>
      <c r="BQ997" s="25"/>
      <c r="BR997" s="25"/>
      <c r="BS997" s="25"/>
      <c r="BT997" s="25"/>
      <c r="BU997" s="39">
        <v>45694</v>
      </c>
      <c r="BV997" s="39" t="s">
        <v>1826</v>
      </c>
      <c r="BW997" s="39" t="s">
        <v>2892</v>
      </c>
      <c r="BX997" s="39" t="s">
        <v>2893</v>
      </c>
      <c r="BY997" s="71">
        <v>740</v>
      </c>
      <c r="BZ997" s="71">
        <v>890</v>
      </c>
      <c r="CA997" s="71">
        <v>1070</v>
      </c>
      <c r="CB997" s="71">
        <v>1460</v>
      </c>
      <c r="CC997" s="71">
        <v>1610</v>
      </c>
      <c r="CD997" s="25"/>
      <c r="CE997" s="200"/>
      <c r="CF997" s="200"/>
      <c r="CG997" s="200"/>
      <c r="CH997" s="200"/>
      <c r="CI997" s="200"/>
      <c r="CJ997" s="200"/>
      <c r="CK997" s="200"/>
      <c r="CL997" s="200"/>
      <c r="CM997" s="200"/>
      <c r="CN997" s="200"/>
      <c r="CO997" s="200"/>
      <c r="CP997" s="200"/>
      <c r="CQ997" s="200"/>
      <c r="CR997" s="200"/>
      <c r="CS997" s="200"/>
      <c r="CT997" s="200"/>
      <c r="CU997" s="200"/>
    </row>
    <row r="998" spans="1:99" s="17" customFormat="1" x14ac:dyDescent="0.2">
      <c r="A998" s="25"/>
      <c r="B998" s="20">
        <v>39017011125</v>
      </c>
      <c r="C998" s="20">
        <v>111.25</v>
      </c>
      <c r="D998" s="20" t="s">
        <v>15</v>
      </c>
      <c r="E998" s="20" t="s">
        <v>2828</v>
      </c>
      <c r="F998" s="20" t="s">
        <v>8</v>
      </c>
      <c r="G998" s="861">
        <v>56.305266201289903</v>
      </c>
      <c r="H998" s="861">
        <v>70.063421413693803</v>
      </c>
      <c r="I998" s="861">
        <v>19.978465360453502</v>
      </c>
      <c r="J998" s="861">
        <v>56.549809048863303</v>
      </c>
      <c r="K998" s="982">
        <v>0</v>
      </c>
      <c r="L998" s="735">
        <v>3525</v>
      </c>
      <c r="M998" s="735">
        <v>3751</v>
      </c>
      <c r="N998" s="845">
        <f t="shared" si="88"/>
        <v>6.4113475177304965E-2</v>
      </c>
      <c r="O998" s="735">
        <v>2.0602708481159784</v>
      </c>
      <c r="P998" s="735">
        <f t="shared" si="89"/>
        <v>1820.6344100000806</v>
      </c>
      <c r="Q998" s="849">
        <v>45.7</v>
      </c>
      <c r="R998" s="71">
        <v>131569</v>
      </c>
      <c r="S998" s="845">
        <v>2.5859770727805917E-2</v>
      </c>
      <c r="T998" s="845">
        <v>2.7999999999999997E-2</v>
      </c>
      <c r="U998" s="845">
        <v>5.2999999999999999E-2</v>
      </c>
      <c r="V998" s="845">
        <v>0.34700000000000003</v>
      </c>
      <c r="W998" s="845">
        <v>8.8508208422555315E-2</v>
      </c>
      <c r="X998" s="845">
        <v>0.57258064516129037</v>
      </c>
      <c r="Y998" s="845">
        <v>0.68595041322314054</v>
      </c>
      <c r="Z998" s="845">
        <v>8.1578245801119706E-2</v>
      </c>
      <c r="AA998" s="845">
        <v>0</v>
      </c>
      <c r="AB998" s="845">
        <v>0.14369501466275661</v>
      </c>
      <c r="AC998" s="845">
        <v>0</v>
      </c>
      <c r="AD998" s="845">
        <v>2.0794454812050119E-2</v>
      </c>
      <c r="AE998" s="845">
        <v>6.7981871500933086E-2</v>
      </c>
      <c r="AF998" s="845">
        <v>7.0914422820581177E-2</v>
      </c>
      <c r="AG998" s="845">
        <v>0.68301786190349245</v>
      </c>
      <c r="AH998" s="20" t="str">
        <f t="shared" si="90"/>
        <v>No</v>
      </c>
      <c r="AI998" s="25"/>
      <c r="AJ998" s="37">
        <v>43545</v>
      </c>
      <c r="AK998" s="37" t="s">
        <v>984</v>
      </c>
      <c r="AL998" s="37">
        <v>39039</v>
      </c>
      <c r="AM998" s="37" t="s">
        <v>26</v>
      </c>
      <c r="AN998" s="37" t="str">
        <f t="shared" si="91"/>
        <v>N/A</v>
      </c>
      <c r="AO998" s="37" t="str">
        <f t="shared" si="92"/>
        <v>N/A</v>
      </c>
      <c r="AP998" s="20" t="s">
        <v>8</v>
      </c>
      <c r="AQ998" s="25"/>
      <c r="AR998" s="25"/>
      <c r="AS998" s="25"/>
      <c r="AT998" s="25"/>
      <c r="AU998" s="36"/>
      <c r="AV998" s="36"/>
      <c r="AW998" s="36"/>
      <c r="AX998" s="25"/>
      <c r="AY998" s="25"/>
      <c r="AZ998" s="25"/>
      <c r="BA998" s="25"/>
      <c r="BB998" s="25"/>
      <c r="BC998" s="25"/>
      <c r="BD998" s="25"/>
      <c r="BE998" s="25"/>
      <c r="BF998" s="25"/>
      <c r="BG998" s="25"/>
      <c r="BH998" s="25"/>
      <c r="BI998" s="25"/>
      <c r="BJ998" s="25"/>
      <c r="BK998" s="25"/>
      <c r="BL998" s="25"/>
      <c r="BM998" s="25"/>
      <c r="BN998" s="25"/>
      <c r="BO998" s="25"/>
      <c r="BP998" s="25"/>
      <c r="BQ998" s="25"/>
      <c r="BR998" s="25"/>
      <c r="BS998" s="25"/>
      <c r="BT998" s="25"/>
      <c r="BU998" s="39">
        <v>45699</v>
      </c>
      <c r="BV998" s="39" t="s">
        <v>1831</v>
      </c>
      <c r="BW998" s="39" t="s">
        <v>2892</v>
      </c>
      <c r="BX998" s="39" t="s">
        <v>2893</v>
      </c>
      <c r="BY998" s="71">
        <v>700</v>
      </c>
      <c r="BZ998" s="71">
        <v>830</v>
      </c>
      <c r="CA998" s="71">
        <v>1010</v>
      </c>
      <c r="CB998" s="71">
        <v>1360</v>
      </c>
      <c r="CC998" s="71">
        <v>1510</v>
      </c>
      <c r="CD998" s="25"/>
      <c r="CE998" s="200"/>
      <c r="CF998" s="200"/>
      <c r="CG998" s="200"/>
      <c r="CH998" s="200"/>
      <c r="CI998" s="200"/>
      <c r="CJ998" s="200"/>
      <c r="CK998" s="200"/>
      <c r="CL998" s="200"/>
      <c r="CM998" s="200"/>
      <c r="CN998" s="200"/>
      <c r="CO998" s="200"/>
      <c r="CP998" s="200"/>
      <c r="CQ998" s="200"/>
      <c r="CR998" s="200"/>
      <c r="CS998" s="200"/>
      <c r="CT998" s="200"/>
      <c r="CU998" s="200"/>
    </row>
    <row r="999" spans="1:99" s="17" customFormat="1" x14ac:dyDescent="0.2">
      <c r="A999" s="25"/>
      <c r="B999" s="20">
        <v>39151712700</v>
      </c>
      <c r="C999" s="20">
        <v>7127</v>
      </c>
      <c r="D999" s="20" t="s">
        <v>81</v>
      </c>
      <c r="E999" s="20" t="s">
        <v>2844</v>
      </c>
      <c r="F999" s="20" t="s">
        <v>8</v>
      </c>
      <c r="G999" s="861">
        <v>56.281086769381503</v>
      </c>
      <c r="H999" s="861">
        <v>57.451789443487201</v>
      </c>
      <c r="I999" s="861">
        <v>18.4794481354974</v>
      </c>
      <c r="J999" s="861">
        <v>50.7001755577216</v>
      </c>
      <c r="K999" s="982">
        <v>0</v>
      </c>
      <c r="L999" s="735">
        <v>5475</v>
      </c>
      <c r="M999" s="735">
        <v>4630</v>
      </c>
      <c r="N999" s="845">
        <f t="shared" si="88"/>
        <v>-0.15433789954337901</v>
      </c>
      <c r="O999" s="735">
        <v>25.540833467378352</v>
      </c>
      <c r="P999" s="735">
        <f t="shared" si="89"/>
        <v>181.27834418221309</v>
      </c>
      <c r="Q999" s="849">
        <v>46.8</v>
      </c>
      <c r="R999" s="71">
        <v>95487</v>
      </c>
      <c r="S999" s="845">
        <v>8.6122266845158418E-2</v>
      </c>
      <c r="T999" s="845">
        <v>2.1000000000000001E-2</v>
      </c>
      <c r="U999" s="845">
        <v>0</v>
      </c>
      <c r="V999" s="845">
        <v>0</v>
      </c>
      <c r="W999" s="845">
        <v>0.1944922547332186</v>
      </c>
      <c r="X999" s="845">
        <v>0.19764011799410031</v>
      </c>
      <c r="Y999" s="845">
        <v>0.97796976241900646</v>
      </c>
      <c r="Z999" s="845">
        <v>4.7516198704103674E-3</v>
      </c>
      <c r="AA999" s="845">
        <v>0</v>
      </c>
      <c r="AB999" s="845">
        <v>0</v>
      </c>
      <c r="AC999" s="845">
        <v>0</v>
      </c>
      <c r="AD999" s="845">
        <v>4.1036717062634988E-3</v>
      </c>
      <c r="AE999" s="845">
        <v>1.3174946004319654E-2</v>
      </c>
      <c r="AF999" s="845">
        <v>4.1036717062634988E-3</v>
      </c>
      <c r="AG999" s="845">
        <v>0.97796976241900646</v>
      </c>
      <c r="AH999" s="20" t="str">
        <f t="shared" si="90"/>
        <v>Yes</v>
      </c>
      <c r="AI999" s="25"/>
      <c r="AJ999" s="20">
        <v>43548</v>
      </c>
      <c r="AK999" s="20" t="s">
        <v>986</v>
      </c>
      <c r="AL999" s="20">
        <v>39039</v>
      </c>
      <c r="AM999" s="20" t="s">
        <v>26</v>
      </c>
      <c r="AN999" s="37" t="str">
        <f t="shared" si="91"/>
        <v>N/A</v>
      </c>
      <c r="AO999" s="37" t="str">
        <f t="shared" si="92"/>
        <v>N/A</v>
      </c>
      <c r="AP999" s="20" t="s">
        <v>8</v>
      </c>
      <c r="AQ999" s="25"/>
      <c r="AR999" s="25"/>
      <c r="AS999" s="25"/>
      <c r="AT999" s="25"/>
      <c r="AU999" s="36"/>
      <c r="AV999" s="36"/>
      <c r="AW999" s="36"/>
      <c r="AX999" s="25"/>
      <c r="AY999" s="25"/>
      <c r="AZ999" s="25"/>
      <c r="BA999" s="25"/>
      <c r="BB999" s="25"/>
      <c r="BC999" s="25"/>
      <c r="BD999" s="25"/>
      <c r="BE999" s="25"/>
      <c r="BF999" s="25"/>
      <c r="BG999" s="25"/>
      <c r="BH999" s="25"/>
      <c r="BI999" s="25"/>
      <c r="BJ999" s="25"/>
      <c r="BK999" s="25"/>
      <c r="BL999" s="25"/>
      <c r="BM999" s="25"/>
      <c r="BN999" s="25"/>
      <c r="BO999" s="25"/>
      <c r="BP999" s="25"/>
      <c r="BQ999" s="25"/>
      <c r="BR999" s="25"/>
      <c r="BS999" s="25"/>
      <c r="BT999" s="25"/>
      <c r="BU999" s="39">
        <v>44809</v>
      </c>
      <c r="BV999" s="39" t="s">
        <v>1469</v>
      </c>
      <c r="BW999" s="39" t="s">
        <v>2938</v>
      </c>
      <c r="BX999" s="39" t="s">
        <v>2939</v>
      </c>
      <c r="BY999" s="71">
        <v>740</v>
      </c>
      <c r="BZ999" s="71">
        <v>760</v>
      </c>
      <c r="CA999" s="71">
        <v>990</v>
      </c>
      <c r="CB999" s="71">
        <v>1220</v>
      </c>
      <c r="CC999" s="71">
        <v>1330</v>
      </c>
      <c r="CD999" s="25"/>
      <c r="CE999" s="200"/>
      <c r="CF999" s="200"/>
      <c r="CG999" s="200"/>
      <c r="CH999" s="200"/>
      <c r="CI999" s="200"/>
      <c r="CJ999" s="200"/>
      <c r="CK999" s="200"/>
      <c r="CL999" s="200"/>
      <c r="CM999" s="200"/>
      <c r="CN999" s="200"/>
      <c r="CO999" s="200"/>
      <c r="CP999" s="200"/>
      <c r="CQ999" s="200"/>
      <c r="CR999" s="200"/>
      <c r="CS999" s="200"/>
      <c r="CT999" s="200"/>
      <c r="CU999" s="200"/>
    </row>
    <row r="1000" spans="1:99" s="17" customFormat="1" x14ac:dyDescent="0.2">
      <c r="A1000" s="25"/>
      <c r="B1000" s="20">
        <v>39017011129</v>
      </c>
      <c r="C1000" s="20">
        <v>111.29</v>
      </c>
      <c r="D1000" s="20" t="s">
        <v>15</v>
      </c>
      <c r="E1000" s="20" t="s">
        <v>2828</v>
      </c>
      <c r="F1000" s="20" t="s">
        <v>8</v>
      </c>
      <c r="G1000" s="861">
        <v>56.258462528107998</v>
      </c>
      <c r="H1000" s="861">
        <v>61.171490988116602</v>
      </c>
      <c r="I1000" s="861">
        <v>24.5678680416543</v>
      </c>
      <c r="J1000" s="861">
        <v>53.514212431745001</v>
      </c>
      <c r="K1000" s="982">
        <v>0</v>
      </c>
      <c r="L1000" s="735">
        <v>3783</v>
      </c>
      <c r="M1000" s="735">
        <v>5017</v>
      </c>
      <c r="N1000" s="845">
        <f t="shared" si="88"/>
        <v>0.32619614062913033</v>
      </c>
      <c r="O1000" s="735">
        <v>1.8338273375316769</v>
      </c>
      <c r="P1000" s="735">
        <f t="shared" si="89"/>
        <v>2735.8082723059733</v>
      </c>
      <c r="Q1000" s="849">
        <v>37.1</v>
      </c>
      <c r="R1000" s="71">
        <v>120457</v>
      </c>
      <c r="S1000" s="845">
        <v>7.633892885691447E-2</v>
      </c>
      <c r="T1000" s="845">
        <v>0.05</v>
      </c>
      <c r="U1000" s="845">
        <v>0</v>
      </c>
      <c r="V1000" s="845">
        <v>0</v>
      </c>
      <c r="W1000" s="845">
        <v>0.10964187327823692</v>
      </c>
      <c r="X1000" s="845">
        <v>0.29648241206030151</v>
      </c>
      <c r="Y1000" s="845">
        <v>0.82619095076739091</v>
      </c>
      <c r="Z1000" s="845">
        <v>9.0890970699621293E-2</v>
      </c>
      <c r="AA1000" s="845">
        <v>0</v>
      </c>
      <c r="AB1000" s="845">
        <v>5.1624476778951565E-2</v>
      </c>
      <c r="AC1000" s="845">
        <v>0</v>
      </c>
      <c r="AD1000" s="845">
        <v>2.7905122583217062E-3</v>
      </c>
      <c r="AE1000" s="845">
        <v>2.8503089495714569E-2</v>
      </c>
      <c r="AF1000" s="845">
        <v>3.3486147099860475E-2</v>
      </c>
      <c r="AG1000" s="845">
        <v>0.80586007574247553</v>
      </c>
      <c r="AH1000" s="20" t="str">
        <f t="shared" si="90"/>
        <v>No</v>
      </c>
      <c r="AI1000" s="25"/>
      <c r="AJ1000" s="20">
        <v>43549</v>
      </c>
      <c r="AK1000" s="20" t="s">
        <v>987</v>
      </c>
      <c r="AL1000" s="20">
        <v>39039</v>
      </c>
      <c r="AM1000" s="20" t="s">
        <v>26</v>
      </c>
      <c r="AN1000" s="37" t="str">
        <f t="shared" si="91"/>
        <v>N/A</v>
      </c>
      <c r="AO1000" s="37" t="str">
        <f t="shared" si="92"/>
        <v>N/A</v>
      </c>
      <c r="AP1000" s="20" t="s">
        <v>8</v>
      </c>
      <c r="AQ1000" s="25"/>
      <c r="AR1000" s="25"/>
      <c r="AS1000" s="25"/>
      <c r="AT1000" s="25"/>
      <c r="AU1000" s="36"/>
      <c r="AV1000" s="36"/>
      <c r="AW1000" s="36"/>
      <c r="AX1000" s="25"/>
      <c r="AY1000" s="25"/>
      <c r="AZ1000" s="25"/>
      <c r="BA1000" s="25"/>
      <c r="BB1000" s="25"/>
      <c r="BC1000" s="25"/>
      <c r="BD1000" s="25"/>
      <c r="BE1000" s="25"/>
      <c r="BF1000" s="25"/>
      <c r="BG1000" s="25"/>
      <c r="BH1000" s="25"/>
      <c r="BI1000" s="25"/>
      <c r="BJ1000" s="25"/>
      <c r="BK1000" s="25"/>
      <c r="BL1000" s="25"/>
      <c r="BM1000" s="25"/>
      <c r="BN1000" s="25"/>
      <c r="BO1000" s="25"/>
      <c r="BP1000" s="25"/>
      <c r="BQ1000" s="25"/>
      <c r="BR1000" s="25"/>
      <c r="BS1000" s="25"/>
      <c r="BT1000" s="25"/>
      <c r="BU1000" s="39">
        <v>44815</v>
      </c>
      <c r="BV1000" s="39" t="s">
        <v>1473</v>
      </c>
      <c r="BW1000" s="39" t="s">
        <v>2938</v>
      </c>
      <c r="BX1000" s="39" t="s">
        <v>2939</v>
      </c>
      <c r="BY1000" s="71">
        <v>740</v>
      </c>
      <c r="BZ1000" s="71">
        <v>740</v>
      </c>
      <c r="CA1000" s="71">
        <v>970</v>
      </c>
      <c r="CB1000" s="71">
        <v>1180</v>
      </c>
      <c r="CC1000" s="71">
        <v>1290</v>
      </c>
      <c r="CD1000" s="25"/>
      <c r="CE1000" s="200"/>
      <c r="CF1000" s="200"/>
      <c r="CG1000" s="200"/>
      <c r="CH1000" s="200"/>
      <c r="CI1000" s="200"/>
      <c r="CJ1000" s="200"/>
      <c r="CK1000" s="200"/>
      <c r="CL1000" s="200"/>
      <c r="CM1000" s="200"/>
      <c r="CN1000" s="200"/>
      <c r="CO1000" s="200"/>
      <c r="CP1000" s="200"/>
      <c r="CQ1000" s="200"/>
      <c r="CR1000" s="200"/>
      <c r="CS1000" s="200"/>
      <c r="CT1000" s="200"/>
      <c r="CU1000" s="200"/>
    </row>
    <row r="1001" spans="1:99" s="17" customFormat="1" x14ac:dyDescent="0.2">
      <c r="A1001" s="25"/>
      <c r="B1001" s="20">
        <v>39049008001</v>
      </c>
      <c r="C1001" s="20">
        <v>80.010000000000005</v>
      </c>
      <c r="D1001" s="20" t="s">
        <v>31</v>
      </c>
      <c r="E1001" s="20" t="s">
        <v>2830</v>
      </c>
      <c r="F1001" s="20" t="s">
        <v>8</v>
      </c>
      <c r="G1001" s="861">
        <v>56.253885076135703</v>
      </c>
      <c r="H1001" s="861">
        <v>50.994243527217101</v>
      </c>
      <c r="I1001" s="861">
        <v>20.421551997362702</v>
      </c>
      <c r="J1001" s="861">
        <v>69.384799965811197</v>
      </c>
      <c r="K1001" s="982">
        <v>0</v>
      </c>
      <c r="L1001" s="735" t="s">
        <v>2466</v>
      </c>
      <c r="M1001" s="735">
        <v>3515</v>
      </c>
      <c r="N1001" s="845" t="str">
        <f t="shared" si="88"/>
        <v/>
      </c>
      <c r="O1001" s="735">
        <v>18.929900415643221</v>
      </c>
      <c r="P1001" s="735">
        <f t="shared" si="89"/>
        <v>185.68507613992978</v>
      </c>
      <c r="Q1001" s="849">
        <v>41.8</v>
      </c>
      <c r="R1001" s="71">
        <v>151058</v>
      </c>
      <c r="S1001" s="845">
        <v>1.4793741109530583E-2</v>
      </c>
      <c r="T1001" s="845">
        <v>5.7999999999999996E-2</v>
      </c>
      <c r="U1001" s="845">
        <v>0</v>
      </c>
      <c r="V1001" s="845">
        <v>0</v>
      </c>
      <c r="W1001" s="845">
        <v>0.15083798882681565</v>
      </c>
      <c r="X1001" s="845">
        <v>5.2910052910052907E-2</v>
      </c>
      <c r="Y1001" s="845">
        <v>0.8415362731152205</v>
      </c>
      <c r="Z1001" s="845">
        <v>1.3086770981507824E-2</v>
      </c>
      <c r="AA1001" s="845">
        <v>7.6813655761024183E-3</v>
      </c>
      <c r="AB1001" s="845">
        <v>9.1607396870554761E-2</v>
      </c>
      <c r="AC1001" s="845">
        <v>0</v>
      </c>
      <c r="AD1001" s="845">
        <v>1.2802275960170697E-2</v>
      </c>
      <c r="AE1001" s="845">
        <v>3.3285917496443815E-2</v>
      </c>
      <c r="AF1001" s="845">
        <v>2.4751066856330012E-2</v>
      </c>
      <c r="AG1001" s="845">
        <v>0.82788051209103841</v>
      </c>
      <c r="AH1001" s="20" t="str">
        <f t="shared" si="90"/>
        <v>No</v>
      </c>
      <c r="AI1001" s="25"/>
      <c r="AJ1001" s="37">
        <v>43556</v>
      </c>
      <c r="AK1001" s="37" t="s">
        <v>992</v>
      </c>
      <c r="AL1001" s="37">
        <v>39039</v>
      </c>
      <c r="AM1001" s="37" t="s">
        <v>26</v>
      </c>
      <c r="AN1001" s="37" t="str">
        <f t="shared" si="91"/>
        <v>N/A</v>
      </c>
      <c r="AO1001" s="37" t="str">
        <f t="shared" si="92"/>
        <v>N/A</v>
      </c>
      <c r="AP1001" s="20" t="s">
        <v>8</v>
      </c>
      <c r="AQ1001" s="25"/>
      <c r="AR1001" s="25"/>
      <c r="AS1001" s="25"/>
      <c r="AT1001" s="25"/>
      <c r="AU1001" s="36"/>
      <c r="AV1001" s="36"/>
      <c r="AW1001" s="36"/>
      <c r="AX1001" s="25"/>
      <c r="AY1001" s="25"/>
      <c r="AZ1001" s="25"/>
      <c r="BA1001" s="25"/>
      <c r="BB1001" s="25"/>
      <c r="BC1001" s="25"/>
      <c r="BD1001" s="25"/>
      <c r="BE1001" s="25"/>
      <c r="BF1001" s="25"/>
      <c r="BG1001" s="25"/>
      <c r="BH1001" s="25"/>
      <c r="BI1001" s="25"/>
      <c r="BJ1001" s="25"/>
      <c r="BK1001" s="25"/>
      <c r="BL1001" s="25"/>
      <c r="BM1001" s="25"/>
      <c r="BN1001" s="25"/>
      <c r="BO1001" s="25"/>
      <c r="BP1001" s="25"/>
      <c r="BQ1001" s="25"/>
      <c r="BR1001" s="25"/>
      <c r="BS1001" s="25"/>
      <c r="BT1001" s="25"/>
      <c r="BU1001" s="39">
        <v>44828</v>
      </c>
      <c r="BV1001" s="39" t="s">
        <v>1482</v>
      </c>
      <c r="BW1001" s="39" t="s">
        <v>2938</v>
      </c>
      <c r="BX1001" s="39" t="s">
        <v>2939</v>
      </c>
      <c r="BY1001" s="71">
        <v>980</v>
      </c>
      <c r="BZ1001" s="71">
        <v>990</v>
      </c>
      <c r="CA1001" s="71">
        <v>1300</v>
      </c>
      <c r="CB1001" s="71">
        <v>1580</v>
      </c>
      <c r="CC1001" s="71">
        <v>1720</v>
      </c>
      <c r="CD1001" s="25"/>
      <c r="CE1001" s="200"/>
      <c r="CF1001" s="200"/>
      <c r="CG1001" s="200"/>
      <c r="CH1001" s="200"/>
      <c r="CI1001" s="200"/>
      <c r="CJ1001" s="200"/>
      <c r="CK1001" s="200"/>
      <c r="CL1001" s="200"/>
      <c r="CM1001" s="200"/>
      <c r="CN1001" s="200"/>
      <c r="CO1001" s="200"/>
      <c r="CP1001" s="200"/>
      <c r="CQ1001" s="200"/>
      <c r="CR1001" s="200"/>
      <c r="CS1001" s="200"/>
      <c r="CT1001" s="200"/>
      <c r="CU1001" s="200"/>
    </row>
    <row r="1002" spans="1:99" s="17" customFormat="1" x14ac:dyDescent="0.2">
      <c r="A1002" s="25"/>
      <c r="B1002" s="20">
        <v>39155933001</v>
      </c>
      <c r="C1002" s="20">
        <v>9330.01</v>
      </c>
      <c r="D1002" s="20" t="s">
        <v>83</v>
      </c>
      <c r="E1002" s="20" t="s">
        <v>2842</v>
      </c>
      <c r="F1002" s="20" t="s">
        <v>8</v>
      </c>
      <c r="G1002" s="861">
        <v>56.241357801068602</v>
      </c>
      <c r="H1002" s="861">
        <v>62.947057446931197</v>
      </c>
      <c r="I1002" s="861">
        <v>23.213527524274099</v>
      </c>
      <c r="J1002" s="861">
        <v>38.750030950915097</v>
      </c>
      <c r="K1002" s="982">
        <v>0</v>
      </c>
      <c r="L1002" s="735">
        <v>5998</v>
      </c>
      <c r="M1002" s="735">
        <v>5643</v>
      </c>
      <c r="N1002" s="845">
        <f t="shared" si="88"/>
        <v>-5.9186395465155049E-2</v>
      </c>
      <c r="O1002" s="735">
        <v>4.4561470979108089</v>
      </c>
      <c r="P1002" s="735">
        <f t="shared" si="89"/>
        <v>1266.340602321146</v>
      </c>
      <c r="Q1002" s="849">
        <v>42.3</v>
      </c>
      <c r="R1002" s="71">
        <v>101642</v>
      </c>
      <c r="S1002" s="845">
        <v>9.1263512316143894E-2</v>
      </c>
      <c r="T1002" s="845">
        <v>7.0999999999999994E-2</v>
      </c>
      <c r="U1002" s="845">
        <v>0</v>
      </c>
      <c r="V1002" s="845">
        <v>0</v>
      </c>
      <c r="W1002" s="845">
        <v>7.7355836849507739E-2</v>
      </c>
      <c r="X1002" s="845">
        <v>7.2727272727272724E-2</v>
      </c>
      <c r="Y1002" s="845">
        <v>0.92291334396597557</v>
      </c>
      <c r="Z1002" s="845">
        <v>1.4708488392698919E-2</v>
      </c>
      <c r="AA1002" s="845">
        <v>0</v>
      </c>
      <c r="AB1002" s="845">
        <v>9.9237993974836073E-3</v>
      </c>
      <c r="AC1002" s="845">
        <v>0</v>
      </c>
      <c r="AD1002" s="845">
        <v>2.1265284423179162E-3</v>
      </c>
      <c r="AE1002" s="845">
        <v>5.0327839801524013E-2</v>
      </c>
      <c r="AF1002" s="845">
        <v>3.3670033670033669E-2</v>
      </c>
      <c r="AG1002" s="845">
        <v>0.91192628034733303</v>
      </c>
      <c r="AH1002" s="20" t="str">
        <f t="shared" si="90"/>
        <v>Yes</v>
      </c>
      <c r="AI1002" s="25"/>
      <c r="AJ1002" s="37">
        <v>45813</v>
      </c>
      <c r="AK1002" s="37" t="s">
        <v>1888</v>
      </c>
      <c r="AL1002" s="37">
        <v>39039</v>
      </c>
      <c r="AM1002" s="37" t="s">
        <v>26</v>
      </c>
      <c r="AN1002" s="37" t="str">
        <f t="shared" si="91"/>
        <v>N/A</v>
      </c>
      <c r="AO1002" s="37" t="str">
        <f t="shared" si="92"/>
        <v>N/A</v>
      </c>
      <c r="AP1002" s="20" t="s">
        <v>8</v>
      </c>
      <c r="AQ1002" s="25"/>
      <c r="AR1002" s="25"/>
      <c r="AS1002" s="25"/>
      <c r="AT1002" s="25"/>
      <c r="AU1002" s="36"/>
      <c r="AV1002" s="36"/>
      <c r="AW1002" s="36"/>
      <c r="AX1002" s="25"/>
      <c r="AY1002" s="25"/>
      <c r="AZ1002" s="25"/>
      <c r="BA1002" s="25"/>
      <c r="BB1002" s="25"/>
      <c r="BC1002" s="25"/>
      <c r="BD1002" s="25"/>
      <c r="BE1002" s="25"/>
      <c r="BF1002" s="25"/>
      <c r="BG1002" s="25"/>
      <c r="BH1002" s="25"/>
      <c r="BI1002" s="25"/>
      <c r="BJ1002" s="25"/>
      <c r="BK1002" s="25"/>
      <c r="BL1002" s="25"/>
      <c r="BM1002" s="25"/>
      <c r="BN1002" s="25"/>
      <c r="BO1002" s="25"/>
      <c r="BP1002" s="25"/>
      <c r="BQ1002" s="25"/>
      <c r="BR1002" s="25"/>
      <c r="BS1002" s="25"/>
      <c r="BT1002" s="25"/>
      <c r="BU1002" s="39">
        <v>44844</v>
      </c>
      <c r="BV1002" s="39" t="s">
        <v>1493</v>
      </c>
      <c r="BW1002" s="39" t="s">
        <v>2938</v>
      </c>
      <c r="BX1002" s="39" t="s">
        <v>2939</v>
      </c>
      <c r="BY1002" s="71">
        <v>770</v>
      </c>
      <c r="BZ1002" s="71">
        <v>800</v>
      </c>
      <c r="CA1002" s="71">
        <v>1010</v>
      </c>
      <c r="CB1002" s="71">
        <v>1270</v>
      </c>
      <c r="CC1002" s="71">
        <v>1410</v>
      </c>
      <c r="CD1002" s="25"/>
      <c r="CE1002" s="200"/>
      <c r="CF1002" s="200"/>
      <c r="CG1002" s="200"/>
      <c r="CH1002" s="200"/>
      <c r="CI1002" s="200"/>
      <c r="CJ1002" s="200"/>
      <c r="CK1002" s="200"/>
      <c r="CL1002" s="200"/>
      <c r="CM1002" s="200"/>
      <c r="CN1002" s="200"/>
      <c r="CO1002" s="200"/>
      <c r="CP1002" s="200"/>
      <c r="CQ1002" s="200"/>
      <c r="CR1002" s="200"/>
      <c r="CS1002" s="200"/>
      <c r="CT1002" s="200"/>
      <c r="CU1002" s="200"/>
    </row>
    <row r="1003" spans="1:99" s="17" customFormat="1" x14ac:dyDescent="0.2">
      <c r="A1003" s="25"/>
      <c r="B1003" s="20">
        <v>39035197500</v>
      </c>
      <c r="C1003" s="20">
        <v>1975</v>
      </c>
      <c r="D1003" s="20" t="s">
        <v>24</v>
      </c>
      <c r="E1003" s="20" t="s">
        <v>2829</v>
      </c>
      <c r="F1003" s="20" t="s">
        <v>6</v>
      </c>
      <c r="G1003" s="861">
        <v>56.229497617888903</v>
      </c>
      <c r="H1003" s="861">
        <v>69.209054863963203</v>
      </c>
      <c r="I1003" s="861">
        <v>63.921984420353098</v>
      </c>
      <c r="J1003" s="861">
        <v>52.8072228627275</v>
      </c>
      <c r="K1003" s="982">
        <v>0</v>
      </c>
      <c r="L1003" s="735" t="s">
        <v>2466</v>
      </c>
      <c r="M1003" s="735">
        <v>3436</v>
      </c>
      <c r="N1003" s="845" t="str">
        <f t="shared" si="88"/>
        <v/>
      </c>
      <c r="O1003" s="735">
        <v>0.51370313047498894</v>
      </c>
      <c r="P1003" s="735">
        <f t="shared" si="89"/>
        <v>6688.6880693581661</v>
      </c>
      <c r="Q1003" s="849">
        <v>32.9</v>
      </c>
      <c r="R1003" s="71">
        <v>54900</v>
      </c>
      <c r="S1003" s="845">
        <v>0.19644935972060534</v>
      </c>
      <c r="T1003" s="845">
        <v>8.5000000000000006E-2</v>
      </c>
      <c r="U1003" s="845">
        <v>0.11800000000000001</v>
      </c>
      <c r="V1003" s="845">
        <v>0</v>
      </c>
      <c r="W1003" s="845">
        <v>0.67152917505030185</v>
      </c>
      <c r="X1003" s="845">
        <v>0.37752808988764047</v>
      </c>
      <c r="Y1003" s="845">
        <v>0.73195576251455186</v>
      </c>
      <c r="Z1003" s="845">
        <v>9.9534342258440045E-2</v>
      </c>
      <c r="AA1003" s="845">
        <v>8.4400465657741564E-3</v>
      </c>
      <c r="AB1003" s="845">
        <v>3.2013969732246801E-2</v>
      </c>
      <c r="AC1003" s="845">
        <v>0</v>
      </c>
      <c r="AD1003" s="845">
        <v>6.9848661233993014E-3</v>
      </c>
      <c r="AE1003" s="845">
        <v>0.12107101280558789</v>
      </c>
      <c r="AF1003" s="845">
        <v>0.16821885913853318</v>
      </c>
      <c r="AG1003" s="845">
        <v>0.62980209545983701</v>
      </c>
      <c r="AH1003" s="20" t="str">
        <f t="shared" si="90"/>
        <v>No</v>
      </c>
      <c r="AI1003" s="25"/>
      <c r="AJ1003" s="20">
        <v>45821</v>
      </c>
      <c r="AK1003" s="20" t="s">
        <v>1895</v>
      </c>
      <c r="AL1003" s="20">
        <v>39039</v>
      </c>
      <c r="AM1003" s="20" t="s">
        <v>26</v>
      </c>
      <c r="AN1003" s="37" t="str">
        <f t="shared" si="91"/>
        <v>N/A</v>
      </c>
      <c r="AO1003" s="37" t="str">
        <f t="shared" si="92"/>
        <v>N/A</v>
      </c>
      <c r="AP1003" s="20" t="s">
        <v>8</v>
      </c>
      <c r="AQ1003" s="25"/>
      <c r="AR1003" s="25"/>
      <c r="AS1003" s="25"/>
      <c r="AT1003" s="25"/>
      <c r="AU1003" s="36"/>
      <c r="AV1003" s="36"/>
      <c r="AW1003" s="36"/>
      <c r="AX1003" s="25"/>
      <c r="AY1003" s="25"/>
      <c r="AZ1003" s="25"/>
      <c r="BA1003" s="25"/>
      <c r="BB1003" s="25"/>
      <c r="BC1003" s="25"/>
      <c r="BD1003" s="25"/>
      <c r="BE1003" s="25"/>
      <c r="BF1003" s="25"/>
      <c r="BG1003" s="25"/>
      <c r="BH1003" s="25"/>
      <c r="BI1003" s="25"/>
      <c r="BJ1003" s="25"/>
      <c r="BK1003" s="25"/>
      <c r="BL1003" s="25"/>
      <c r="BM1003" s="25"/>
      <c r="BN1003" s="25"/>
      <c r="BO1003" s="25"/>
      <c r="BP1003" s="25"/>
      <c r="BQ1003" s="25"/>
      <c r="BR1003" s="25"/>
      <c r="BS1003" s="25"/>
      <c r="BT1003" s="25"/>
      <c r="BU1003" s="39">
        <v>44853</v>
      </c>
      <c r="BV1003" s="39" t="s">
        <v>1499</v>
      </c>
      <c r="BW1003" s="39" t="s">
        <v>2938</v>
      </c>
      <c r="BX1003" s="39" t="s">
        <v>2939</v>
      </c>
      <c r="BY1003" s="71">
        <v>790</v>
      </c>
      <c r="BZ1003" s="71">
        <v>790</v>
      </c>
      <c r="CA1003" s="71">
        <v>1040</v>
      </c>
      <c r="CB1003" s="71">
        <v>1270</v>
      </c>
      <c r="CC1003" s="71">
        <v>1380</v>
      </c>
      <c r="CD1003" s="25"/>
      <c r="CE1003" s="200"/>
      <c r="CF1003" s="200"/>
      <c r="CG1003" s="200"/>
      <c r="CH1003" s="200"/>
      <c r="CI1003" s="200"/>
      <c r="CJ1003" s="200"/>
      <c r="CK1003" s="200"/>
      <c r="CL1003" s="200"/>
      <c r="CM1003" s="200"/>
      <c r="CN1003" s="200"/>
      <c r="CO1003" s="200"/>
      <c r="CP1003" s="200"/>
      <c r="CQ1003" s="200"/>
      <c r="CR1003" s="200"/>
      <c r="CS1003" s="200"/>
      <c r="CT1003" s="200"/>
      <c r="CU1003" s="200"/>
    </row>
    <row r="1004" spans="1:99" s="17" customFormat="1" x14ac:dyDescent="0.2">
      <c r="A1004" s="25"/>
      <c r="B1004" s="20">
        <v>39003014000</v>
      </c>
      <c r="C1004" s="20">
        <v>140</v>
      </c>
      <c r="D1004" s="20" t="s">
        <v>7</v>
      </c>
      <c r="E1004" s="20" t="s">
        <v>2835</v>
      </c>
      <c r="F1004" s="20" t="s">
        <v>8</v>
      </c>
      <c r="G1004" s="861">
        <v>56.207201585512699</v>
      </c>
      <c r="H1004" s="861">
        <v>54.655371503713603</v>
      </c>
      <c r="I1004" s="861">
        <v>18.9401591085755</v>
      </c>
      <c r="J1004" s="861">
        <v>38.559207509754501</v>
      </c>
      <c r="K1004" s="982">
        <v>0</v>
      </c>
      <c r="L1004" s="735">
        <v>3350</v>
      </c>
      <c r="M1004" s="735">
        <v>3333</v>
      </c>
      <c r="N1004" s="845">
        <f t="shared" si="88"/>
        <v>-5.0746268656716416E-3</v>
      </c>
      <c r="O1004" s="735">
        <v>15.524447716480058</v>
      </c>
      <c r="P1004" s="735">
        <f t="shared" si="89"/>
        <v>214.6936278101434</v>
      </c>
      <c r="Q1004" s="849">
        <v>40.5</v>
      </c>
      <c r="R1004" s="71">
        <v>87250</v>
      </c>
      <c r="S1004" s="845">
        <v>8.3385189794648415E-2</v>
      </c>
      <c r="T1004" s="845">
        <v>2.5000000000000001E-2</v>
      </c>
      <c r="U1004" s="845">
        <v>0</v>
      </c>
      <c r="V1004" s="845">
        <v>0</v>
      </c>
      <c r="W1004" s="845">
        <v>0.16086235489220563</v>
      </c>
      <c r="X1004" s="845">
        <v>0.1134020618556701</v>
      </c>
      <c r="Y1004" s="845">
        <v>0.94719471947194722</v>
      </c>
      <c r="Z1004" s="845">
        <v>1.0201020102010201E-2</v>
      </c>
      <c r="AA1004" s="845">
        <v>1.0201020102010201E-2</v>
      </c>
      <c r="AB1004" s="845">
        <v>0</v>
      </c>
      <c r="AC1004" s="845">
        <v>0</v>
      </c>
      <c r="AD1004" s="845">
        <v>0</v>
      </c>
      <c r="AE1004" s="845">
        <v>3.2403240324032405E-2</v>
      </c>
      <c r="AF1004" s="845">
        <v>2.7602760276027604E-2</v>
      </c>
      <c r="AG1004" s="845">
        <v>0.93879387938793879</v>
      </c>
      <c r="AH1004" s="20" t="str">
        <f t="shared" si="90"/>
        <v>Yes</v>
      </c>
      <c r="AI1004" s="25"/>
      <c r="AJ1004" s="20">
        <v>45831</v>
      </c>
      <c r="AK1004" s="20" t="s">
        <v>1901</v>
      </c>
      <c r="AL1004" s="20">
        <v>39039</v>
      </c>
      <c r="AM1004" s="20" t="s">
        <v>26</v>
      </c>
      <c r="AN1004" s="37" t="str">
        <f t="shared" si="91"/>
        <v>N/A</v>
      </c>
      <c r="AO1004" s="37" t="str">
        <f t="shared" si="92"/>
        <v>N/A</v>
      </c>
      <c r="AP1004" s="20" t="s">
        <v>8</v>
      </c>
      <c r="AQ1004" s="25"/>
      <c r="AR1004" s="25"/>
      <c r="AS1004" s="25"/>
      <c r="AT1004" s="25"/>
      <c r="AU1004" s="36"/>
      <c r="AV1004" s="36"/>
      <c r="AW1004" s="36"/>
      <c r="AX1004" s="25"/>
      <c r="AY1004" s="25"/>
      <c r="AZ1004" s="25"/>
      <c r="BA1004" s="25"/>
      <c r="BB1004" s="25"/>
      <c r="BC1004" s="25"/>
      <c r="BD1004" s="25"/>
      <c r="BE1004" s="25"/>
      <c r="BF1004" s="25"/>
      <c r="BG1004" s="25"/>
      <c r="BH1004" s="25"/>
      <c r="BI1004" s="25"/>
      <c r="BJ1004" s="25"/>
      <c r="BK1004" s="25"/>
      <c r="BL1004" s="25"/>
      <c r="BM1004" s="25"/>
      <c r="BN1004" s="25"/>
      <c r="BO1004" s="25"/>
      <c r="BP1004" s="25"/>
      <c r="BQ1004" s="25"/>
      <c r="BR1004" s="25"/>
      <c r="BS1004" s="25"/>
      <c r="BT1004" s="25"/>
      <c r="BU1004" s="39">
        <v>44861</v>
      </c>
      <c r="BV1004" s="39" t="s">
        <v>1505</v>
      </c>
      <c r="BW1004" s="39" t="s">
        <v>2938</v>
      </c>
      <c r="BX1004" s="39" t="s">
        <v>2939</v>
      </c>
      <c r="BY1004" s="71">
        <v>770</v>
      </c>
      <c r="BZ1004" s="71">
        <v>790</v>
      </c>
      <c r="CA1004" s="71">
        <v>1030</v>
      </c>
      <c r="CB1004" s="71">
        <v>1260</v>
      </c>
      <c r="CC1004" s="71">
        <v>1370</v>
      </c>
      <c r="CD1004" s="25"/>
      <c r="CE1004" s="200"/>
      <c r="CF1004" s="200"/>
      <c r="CG1004" s="200"/>
      <c r="CH1004" s="200"/>
      <c r="CI1004" s="200"/>
      <c r="CJ1004" s="200"/>
      <c r="CK1004" s="200"/>
      <c r="CL1004" s="200"/>
      <c r="CM1004" s="200"/>
      <c r="CN1004" s="200"/>
      <c r="CO1004" s="200"/>
      <c r="CP1004" s="200"/>
      <c r="CQ1004" s="200"/>
      <c r="CR1004" s="200"/>
      <c r="CS1004" s="200"/>
      <c r="CT1004" s="200"/>
      <c r="CU1004" s="200"/>
    </row>
    <row r="1005" spans="1:99" s="17" customFormat="1" x14ac:dyDescent="0.2">
      <c r="A1005" s="25"/>
      <c r="B1005" s="20">
        <v>39035123700</v>
      </c>
      <c r="C1005" s="20">
        <v>1237</v>
      </c>
      <c r="D1005" s="20" t="s">
        <v>24</v>
      </c>
      <c r="E1005" s="20" t="s">
        <v>2829</v>
      </c>
      <c r="F1005" s="20" t="s">
        <v>8</v>
      </c>
      <c r="G1005" s="861">
        <v>56.206761553244696</v>
      </c>
      <c r="H1005" s="861">
        <v>61.7727174742841</v>
      </c>
      <c r="I1005" s="861">
        <v>27.888133270206801</v>
      </c>
      <c r="J1005" s="861">
        <v>41.613769547525003</v>
      </c>
      <c r="K1005" s="982">
        <v>0</v>
      </c>
      <c r="L1005" s="735">
        <v>2440</v>
      </c>
      <c r="M1005" s="735">
        <v>2605</v>
      </c>
      <c r="N1005" s="845">
        <f t="shared" si="88"/>
        <v>6.7622950819672137E-2</v>
      </c>
      <c r="O1005" s="735">
        <v>1.3477718243270238</v>
      </c>
      <c r="P1005" s="735">
        <f t="shared" si="89"/>
        <v>1932.8197495898401</v>
      </c>
      <c r="Q1005" s="849">
        <v>40.4</v>
      </c>
      <c r="R1005" s="71">
        <v>76625</v>
      </c>
      <c r="S1005" s="845">
        <v>0.1471861471861472</v>
      </c>
      <c r="T1005" s="845">
        <v>1.4999999999999999E-2</v>
      </c>
      <c r="U1005" s="845">
        <v>0</v>
      </c>
      <c r="V1005" s="845">
        <v>0</v>
      </c>
      <c r="W1005" s="845">
        <v>0.31875607385811466</v>
      </c>
      <c r="X1005" s="845">
        <v>0.17073170731707318</v>
      </c>
      <c r="Y1005" s="845">
        <v>0.70134357005758152</v>
      </c>
      <c r="Z1005" s="845">
        <v>0.15969289827255279</v>
      </c>
      <c r="AA1005" s="845">
        <v>1.5355086372360845E-3</v>
      </c>
      <c r="AB1005" s="845">
        <v>6.7946257197696744E-2</v>
      </c>
      <c r="AC1005" s="845">
        <v>0</v>
      </c>
      <c r="AD1005" s="845">
        <v>1.7274472168905951E-2</v>
      </c>
      <c r="AE1005" s="845">
        <v>5.2207293666026874E-2</v>
      </c>
      <c r="AF1005" s="845">
        <v>0.1182341650671785</v>
      </c>
      <c r="AG1005" s="845">
        <v>0.63685220729366598</v>
      </c>
      <c r="AH1005" s="20" t="str">
        <f t="shared" si="90"/>
        <v>No</v>
      </c>
      <c r="AI1005" s="25"/>
      <c r="AJ1005" s="37">
        <v>43106</v>
      </c>
      <c r="AK1005" s="37" t="s">
        <v>794</v>
      </c>
      <c r="AL1005" s="37">
        <v>39047</v>
      </c>
      <c r="AM1005" s="37" t="s">
        <v>30</v>
      </c>
      <c r="AN1005" s="37" t="str">
        <f t="shared" si="91"/>
        <v>N/A</v>
      </c>
      <c r="AO1005" s="37" t="str">
        <f t="shared" si="92"/>
        <v>N/A</v>
      </c>
      <c r="AP1005" s="20" t="s">
        <v>8</v>
      </c>
      <c r="AQ1005" s="25"/>
      <c r="AR1005" s="25"/>
      <c r="AS1005" s="25"/>
      <c r="AT1005" s="25"/>
      <c r="AU1005" s="36"/>
      <c r="AV1005" s="36"/>
      <c r="AW1005" s="36"/>
      <c r="AX1005" s="25"/>
      <c r="AY1005" s="25"/>
      <c r="AZ1005" s="25"/>
      <c r="BA1005" s="25"/>
      <c r="BB1005" s="25"/>
      <c r="BC1005" s="25"/>
      <c r="BD1005" s="25"/>
      <c r="BE1005" s="25"/>
      <c r="BF1005" s="25"/>
      <c r="BG1005" s="25"/>
      <c r="BH1005" s="25"/>
      <c r="BI1005" s="25"/>
      <c r="BJ1005" s="25"/>
      <c r="BK1005" s="25"/>
      <c r="BL1005" s="25"/>
      <c r="BM1005" s="25"/>
      <c r="BN1005" s="25"/>
      <c r="BO1005" s="25"/>
      <c r="BP1005" s="25"/>
      <c r="BQ1005" s="25"/>
      <c r="BR1005" s="25"/>
      <c r="BS1005" s="25"/>
      <c r="BT1005" s="25"/>
      <c r="BU1005" s="39">
        <v>44867</v>
      </c>
      <c r="BV1005" s="39" t="s">
        <v>1509</v>
      </c>
      <c r="BW1005" s="39" t="s">
        <v>2938</v>
      </c>
      <c r="BX1005" s="39" t="s">
        <v>2939</v>
      </c>
      <c r="BY1005" s="71">
        <v>950</v>
      </c>
      <c r="BZ1005" s="71">
        <v>960</v>
      </c>
      <c r="CA1005" s="71">
        <v>1260</v>
      </c>
      <c r="CB1005" s="71">
        <v>1530</v>
      </c>
      <c r="CC1005" s="71">
        <v>1670</v>
      </c>
      <c r="CD1005" s="25"/>
      <c r="CE1005" s="200"/>
      <c r="CF1005" s="200"/>
      <c r="CG1005" s="200"/>
      <c r="CH1005" s="200"/>
      <c r="CI1005" s="200"/>
      <c r="CJ1005" s="200"/>
      <c r="CK1005" s="200"/>
      <c r="CL1005" s="200"/>
      <c r="CM1005" s="200"/>
      <c r="CN1005" s="200"/>
      <c r="CO1005" s="200"/>
      <c r="CP1005" s="200"/>
      <c r="CQ1005" s="200"/>
      <c r="CR1005" s="200"/>
      <c r="CS1005" s="200"/>
      <c r="CT1005" s="200"/>
      <c r="CU1005" s="200"/>
    </row>
    <row r="1006" spans="1:99" s="17" customFormat="1" x14ac:dyDescent="0.2">
      <c r="A1006" s="25"/>
      <c r="B1006" s="20">
        <v>39149971700</v>
      </c>
      <c r="C1006" s="20">
        <v>9717</v>
      </c>
      <c r="D1006" s="20" t="s">
        <v>80</v>
      </c>
      <c r="E1006" s="20" t="s">
        <v>265</v>
      </c>
      <c r="F1006" s="20" t="s">
        <v>8</v>
      </c>
      <c r="G1006" s="861">
        <v>56.1857079025473</v>
      </c>
      <c r="H1006" s="861">
        <v>60.054032193082101</v>
      </c>
      <c r="I1006" s="861">
        <v>24.080101661571199</v>
      </c>
      <c r="J1006" s="861">
        <v>41.593514425511302</v>
      </c>
      <c r="K1006" s="982">
        <v>0</v>
      </c>
      <c r="L1006" s="735">
        <v>4368</v>
      </c>
      <c r="M1006" s="735">
        <v>4293</v>
      </c>
      <c r="N1006" s="845">
        <f t="shared" si="88"/>
        <v>-1.7170329670329672E-2</v>
      </c>
      <c r="O1006" s="735">
        <v>54.640028057889424</v>
      </c>
      <c r="P1006" s="735">
        <f t="shared" si="89"/>
        <v>78.568773710212938</v>
      </c>
      <c r="Q1006" s="849">
        <v>47.2</v>
      </c>
      <c r="R1006" s="71">
        <v>80083</v>
      </c>
      <c r="S1006" s="845">
        <v>9.6301633045148896E-2</v>
      </c>
      <c r="T1006" s="845">
        <v>3.7999999999999999E-2</v>
      </c>
      <c r="U1006" s="845">
        <v>1.1000000000000001E-2</v>
      </c>
      <c r="V1006" s="845">
        <v>0.17699999999999999</v>
      </c>
      <c r="W1006" s="845">
        <v>0.19888475836431227</v>
      </c>
      <c r="X1006" s="845">
        <v>0.4174454828660436</v>
      </c>
      <c r="Y1006" s="845">
        <v>0.96948520847891917</v>
      </c>
      <c r="Z1006" s="845">
        <v>2.7952480782669461E-3</v>
      </c>
      <c r="AA1006" s="845">
        <v>0</v>
      </c>
      <c r="AB1006" s="845">
        <v>1.9100861868157466E-2</v>
      </c>
      <c r="AC1006" s="845">
        <v>0</v>
      </c>
      <c r="AD1006" s="845">
        <v>0</v>
      </c>
      <c r="AE1006" s="845">
        <v>8.6186815746564175E-3</v>
      </c>
      <c r="AF1006" s="845">
        <v>3.5639412997903561E-2</v>
      </c>
      <c r="AG1006" s="845">
        <v>0.93570929419986026</v>
      </c>
      <c r="AH1006" s="20" t="str">
        <f t="shared" si="90"/>
        <v>Yes</v>
      </c>
      <c r="AI1006" s="25"/>
      <c r="AJ1006" s="20">
        <v>43128</v>
      </c>
      <c r="AK1006" s="20" t="s">
        <v>809</v>
      </c>
      <c r="AL1006" s="20">
        <v>39047</v>
      </c>
      <c r="AM1006" s="20" t="s">
        <v>30</v>
      </c>
      <c r="AN1006" s="37" t="str">
        <f t="shared" si="91"/>
        <v>N/A</v>
      </c>
      <c r="AO1006" s="37" t="str">
        <f t="shared" si="92"/>
        <v>N/A</v>
      </c>
      <c r="AP1006" s="20" t="s">
        <v>8</v>
      </c>
      <c r="AQ1006" s="25"/>
      <c r="AR1006" s="25"/>
      <c r="AS1006" s="25"/>
      <c r="AT1006" s="25"/>
      <c r="AU1006" s="36"/>
      <c r="AV1006" s="36"/>
      <c r="AW1006" s="36"/>
      <c r="AX1006" s="25"/>
      <c r="AY1006" s="25"/>
      <c r="AZ1006" s="25"/>
      <c r="BA1006" s="25"/>
      <c r="BB1006" s="25"/>
      <c r="BC1006" s="25"/>
      <c r="BD1006" s="25"/>
      <c r="BE1006" s="25"/>
      <c r="BF1006" s="25"/>
      <c r="BG1006" s="25"/>
      <c r="BH1006" s="25"/>
      <c r="BI1006" s="25"/>
      <c r="BJ1006" s="25"/>
      <c r="BK1006" s="25"/>
      <c r="BL1006" s="25"/>
      <c r="BM1006" s="25"/>
      <c r="BN1006" s="25"/>
      <c r="BO1006" s="25"/>
      <c r="BP1006" s="25"/>
      <c r="BQ1006" s="25"/>
      <c r="BR1006" s="25"/>
      <c r="BS1006" s="25"/>
      <c r="BT1006" s="25"/>
      <c r="BU1006" s="39">
        <v>44883</v>
      </c>
      <c r="BV1006" s="39" t="s">
        <v>1517</v>
      </c>
      <c r="BW1006" s="39" t="s">
        <v>2938</v>
      </c>
      <c r="BX1006" s="39" t="s">
        <v>2939</v>
      </c>
      <c r="BY1006" s="71">
        <v>760</v>
      </c>
      <c r="BZ1006" s="71">
        <v>770</v>
      </c>
      <c r="CA1006" s="71">
        <v>1010</v>
      </c>
      <c r="CB1006" s="71">
        <v>1230</v>
      </c>
      <c r="CC1006" s="71">
        <v>1340</v>
      </c>
      <c r="CD1006" s="25"/>
      <c r="CE1006" s="200"/>
      <c r="CF1006" s="200"/>
      <c r="CG1006" s="200"/>
      <c r="CH1006" s="200"/>
      <c r="CI1006" s="200"/>
      <c r="CJ1006" s="200"/>
      <c r="CK1006" s="200"/>
      <c r="CL1006" s="200"/>
      <c r="CM1006" s="200"/>
      <c r="CN1006" s="200"/>
      <c r="CO1006" s="200"/>
      <c r="CP1006" s="200"/>
      <c r="CQ1006" s="200"/>
      <c r="CR1006" s="200"/>
      <c r="CS1006" s="200"/>
      <c r="CT1006" s="200"/>
      <c r="CU1006" s="200"/>
    </row>
    <row r="1007" spans="1:99" s="17" customFormat="1" x14ac:dyDescent="0.2">
      <c r="A1007" s="25"/>
      <c r="B1007" s="20">
        <v>39095006100</v>
      </c>
      <c r="C1007" s="20">
        <v>61</v>
      </c>
      <c r="D1007" s="20" t="s">
        <v>53</v>
      </c>
      <c r="E1007" s="20" t="s">
        <v>2839</v>
      </c>
      <c r="F1007" s="20" t="s">
        <v>8</v>
      </c>
      <c r="G1007" s="861">
        <v>56.183921878376701</v>
      </c>
      <c r="H1007" s="861">
        <v>67.427715200739001</v>
      </c>
      <c r="I1007" s="861">
        <v>25.740865863473399</v>
      </c>
      <c r="J1007" s="861">
        <v>44.337713312249299</v>
      </c>
      <c r="K1007" s="982">
        <v>0</v>
      </c>
      <c r="L1007" s="735">
        <v>3219</v>
      </c>
      <c r="M1007" s="735">
        <v>2892</v>
      </c>
      <c r="N1007" s="845">
        <f t="shared" si="88"/>
        <v>-0.1015843429636533</v>
      </c>
      <c r="O1007" s="735">
        <v>0.46989327684596977</v>
      </c>
      <c r="P1007" s="735">
        <f t="shared" si="89"/>
        <v>6154.58901521588</v>
      </c>
      <c r="Q1007" s="849">
        <v>32.4</v>
      </c>
      <c r="R1007" s="71">
        <v>73299</v>
      </c>
      <c r="S1007" s="845">
        <v>0.11414213926776741</v>
      </c>
      <c r="T1007" s="845">
        <v>4.4000000000000004E-2</v>
      </c>
      <c r="U1007" s="845">
        <v>0</v>
      </c>
      <c r="V1007" s="845">
        <v>0</v>
      </c>
      <c r="W1007" s="845">
        <v>0.17090069284064666</v>
      </c>
      <c r="X1007" s="845">
        <v>0.24774774774774774</v>
      </c>
      <c r="Y1007" s="845">
        <v>0.92634854771784236</v>
      </c>
      <c r="Z1007" s="845">
        <v>5.8782849239280774E-3</v>
      </c>
      <c r="AA1007" s="845">
        <v>2.0746887966804979E-3</v>
      </c>
      <c r="AB1007" s="845">
        <v>0</v>
      </c>
      <c r="AC1007" s="845">
        <v>0</v>
      </c>
      <c r="AD1007" s="845">
        <v>8.6445366528354085E-3</v>
      </c>
      <c r="AE1007" s="845">
        <v>5.7053941908713691E-2</v>
      </c>
      <c r="AF1007" s="845">
        <v>7.0193637621023514E-2</v>
      </c>
      <c r="AG1007" s="845">
        <v>0.88589211618257258</v>
      </c>
      <c r="AH1007" s="20" t="str">
        <f t="shared" si="90"/>
        <v>No</v>
      </c>
      <c r="AI1007" s="25"/>
      <c r="AJ1007" s="20">
        <v>43142</v>
      </c>
      <c r="AK1007" s="20" t="s">
        <v>816</v>
      </c>
      <c r="AL1007" s="20">
        <v>39047</v>
      </c>
      <c r="AM1007" s="20" t="s">
        <v>30</v>
      </c>
      <c r="AN1007" s="37" t="str">
        <f t="shared" si="91"/>
        <v>N/A</v>
      </c>
      <c r="AO1007" s="37" t="str">
        <f t="shared" si="92"/>
        <v>N/A</v>
      </c>
      <c r="AP1007" s="20" t="s">
        <v>8</v>
      </c>
      <c r="AQ1007" s="25"/>
      <c r="AR1007" s="25"/>
      <c r="AS1007" s="25"/>
      <c r="AT1007" s="25"/>
      <c r="AU1007" s="36"/>
      <c r="AV1007" s="36"/>
      <c r="AW1007" s="36"/>
      <c r="AX1007" s="25"/>
      <c r="AY1007" s="25"/>
      <c r="AZ1007" s="25"/>
      <c r="BA1007" s="25"/>
      <c r="BB1007" s="25"/>
      <c r="BC1007" s="25"/>
      <c r="BD1007" s="25"/>
      <c r="BE1007" s="25"/>
      <c r="BF1007" s="25"/>
      <c r="BG1007" s="25"/>
      <c r="BH1007" s="25"/>
      <c r="BI1007" s="25"/>
      <c r="BJ1007" s="25"/>
      <c r="BK1007" s="25"/>
      <c r="BL1007" s="25"/>
      <c r="BM1007" s="25"/>
      <c r="BN1007" s="25"/>
      <c r="BO1007" s="25"/>
      <c r="BP1007" s="25"/>
      <c r="BQ1007" s="25"/>
      <c r="BR1007" s="25"/>
      <c r="BS1007" s="25"/>
      <c r="BT1007" s="25"/>
      <c r="BU1007" s="39">
        <v>45302</v>
      </c>
      <c r="BV1007" s="39" t="s">
        <v>1656</v>
      </c>
      <c r="BW1007" s="39" t="s">
        <v>2909</v>
      </c>
      <c r="BX1007" s="39" t="s">
        <v>2910</v>
      </c>
      <c r="BY1007" s="71">
        <v>860</v>
      </c>
      <c r="BZ1007" s="71">
        <v>940</v>
      </c>
      <c r="CA1007" s="71">
        <v>1230</v>
      </c>
      <c r="CB1007" s="71">
        <v>1650</v>
      </c>
      <c r="CC1007" s="71">
        <v>1720</v>
      </c>
      <c r="CD1007" s="25"/>
      <c r="CE1007" s="200"/>
      <c r="CF1007" s="200"/>
      <c r="CG1007" s="200"/>
      <c r="CH1007" s="200"/>
      <c r="CI1007" s="200"/>
      <c r="CJ1007" s="200"/>
      <c r="CK1007" s="200"/>
      <c r="CL1007" s="200"/>
      <c r="CM1007" s="200"/>
      <c r="CN1007" s="200"/>
      <c r="CO1007" s="200"/>
      <c r="CP1007" s="200"/>
      <c r="CQ1007" s="200"/>
      <c r="CR1007" s="200"/>
      <c r="CS1007" s="200"/>
      <c r="CT1007" s="200"/>
      <c r="CU1007" s="200"/>
    </row>
    <row r="1008" spans="1:99" s="17" customFormat="1" x14ac:dyDescent="0.2">
      <c r="A1008" s="25"/>
      <c r="B1008" s="20">
        <v>39035138110</v>
      </c>
      <c r="C1008" s="20">
        <v>1381.1</v>
      </c>
      <c r="D1008" s="20" t="s">
        <v>24</v>
      </c>
      <c r="E1008" s="20" t="s">
        <v>2829</v>
      </c>
      <c r="F1008" s="20" t="s">
        <v>8</v>
      </c>
      <c r="G1008" s="861">
        <v>56.175021837284703</v>
      </c>
      <c r="H1008" s="861">
        <v>59.5650692489778</v>
      </c>
      <c r="I1008" s="861">
        <v>23.665634584699301</v>
      </c>
      <c r="J1008" s="861">
        <v>52.032689341118697</v>
      </c>
      <c r="K1008" s="982">
        <v>0</v>
      </c>
      <c r="L1008" s="735">
        <v>3937</v>
      </c>
      <c r="M1008" s="735">
        <v>3923</v>
      </c>
      <c r="N1008" s="845">
        <f t="shared" si="88"/>
        <v>-3.5560071120142242E-3</v>
      </c>
      <c r="O1008" s="735">
        <v>0.80523226803539272</v>
      </c>
      <c r="P1008" s="735">
        <f t="shared" si="89"/>
        <v>4871.8862317469511</v>
      </c>
      <c r="Q1008" s="849">
        <v>48.6</v>
      </c>
      <c r="R1008" s="71">
        <v>73427</v>
      </c>
      <c r="S1008" s="845">
        <v>0.10854323552324072</v>
      </c>
      <c r="T1008" s="845">
        <v>2.7000000000000003E-2</v>
      </c>
      <c r="U1008" s="845">
        <v>0</v>
      </c>
      <c r="V1008" s="845">
        <v>0.13100000000000001</v>
      </c>
      <c r="W1008" s="845">
        <v>0.12839059674502712</v>
      </c>
      <c r="X1008" s="845">
        <v>0.40845070422535212</v>
      </c>
      <c r="Y1008" s="845">
        <v>0.8980372164160082</v>
      </c>
      <c r="Z1008" s="845">
        <v>3.8236043843996939E-3</v>
      </c>
      <c r="AA1008" s="845">
        <v>0</v>
      </c>
      <c r="AB1008" s="845">
        <v>3.6706602090237066E-2</v>
      </c>
      <c r="AC1008" s="845">
        <v>0</v>
      </c>
      <c r="AD1008" s="845">
        <v>3.6961509049197046E-2</v>
      </c>
      <c r="AE1008" s="845">
        <v>2.4471068060158044E-2</v>
      </c>
      <c r="AF1008" s="845">
        <v>7.7491715523833798E-2</v>
      </c>
      <c r="AG1008" s="845">
        <v>0.87713484578128986</v>
      </c>
      <c r="AH1008" s="20" t="str">
        <f t="shared" si="90"/>
        <v>No</v>
      </c>
      <c r="AI1008" s="25"/>
      <c r="AJ1008" s="20">
        <v>43143</v>
      </c>
      <c r="AK1008" s="20" t="s">
        <v>817</v>
      </c>
      <c r="AL1008" s="20">
        <v>39047</v>
      </c>
      <c r="AM1008" s="20" t="s">
        <v>30</v>
      </c>
      <c r="AN1008" s="37" t="str">
        <f t="shared" si="91"/>
        <v>N/A</v>
      </c>
      <c r="AO1008" s="37" t="str">
        <f t="shared" si="92"/>
        <v>N/A</v>
      </c>
      <c r="AP1008" s="20" t="s">
        <v>8</v>
      </c>
      <c r="AQ1008" s="25"/>
      <c r="AR1008" s="25"/>
      <c r="AS1008" s="25"/>
      <c r="AT1008" s="25"/>
      <c r="AU1008" s="36"/>
      <c r="AV1008" s="36"/>
      <c r="AW1008" s="36"/>
      <c r="AX1008" s="25"/>
      <c r="AY1008" s="25"/>
      <c r="AZ1008" s="25"/>
      <c r="BA1008" s="25"/>
      <c r="BB1008" s="25"/>
      <c r="BC1008" s="25"/>
      <c r="BD1008" s="25"/>
      <c r="BE1008" s="25"/>
      <c r="BF1008" s="25"/>
      <c r="BG1008" s="25"/>
      <c r="BH1008" s="25"/>
      <c r="BI1008" s="25"/>
      <c r="BJ1008" s="25"/>
      <c r="BK1008" s="25"/>
      <c r="BL1008" s="25"/>
      <c r="BM1008" s="25"/>
      <c r="BN1008" s="25"/>
      <c r="BO1008" s="25"/>
      <c r="BP1008" s="25"/>
      <c r="BQ1008" s="25"/>
      <c r="BR1008" s="25"/>
      <c r="BS1008" s="25"/>
      <c r="BT1008" s="25"/>
      <c r="BU1008" s="39">
        <v>45333</v>
      </c>
      <c r="BV1008" s="39" t="s">
        <v>1685</v>
      </c>
      <c r="BW1008" s="39" t="s">
        <v>2909</v>
      </c>
      <c r="BX1008" s="39" t="s">
        <v>2910</v>
      </c>
      <c r="BY1008" s="71">
        <v>740</v>
      </c>
      <c r="BZ1008" s="71">
        <v>810</v>
      </c>
      <c r="CA1008" s="71">
        <v>1050</v>
      </c>
      <c r="CB1008" s="71">
        <v>1390</v>
      </c>
      <c r="CC1008" s="71">
        <v>1480</v>
      </c>
      <c r="CD1008" s="25"/>
      <c r="CE1008" s="200"/>
      <c r="CF1008" s="200"/>
      <c r="CG1008" s="200"/>
      <c r="CH1008" s="200"/>
      <c r="CI1008" s="200"/>
      <c r="CJ1008" s="200"/>
      <c r="CK1008" s="200"/>
      <c r="CL1008" s="200"/>
      <c r="CM1008" s="200"/>
      <c r="CN1008" s="200"/>
      <c r="CO1008" s="200"/>
      <c r="CP1008" s="200"/>
      <c r="CQ1008" s="200"/>
      <c r="CR1008" s="200"/>
      <c r="CS1008" s="200"/>
      <c r="CT1008" s="200"/>
      <c r="CU1008" s="200"/>
    </row>
    <row r="1009" spans="1:99" s="17" customFormat="1" x14ac:dyDescent="0.2">
      <c r="A1009" s="25"/>
      <c r="B1009" s="20">
        <v>39109380100</v>
      </c>
      <c r="C1009" s="20">
        <v>3801</v>
      </c>
      <c r="D1009" s="20" t="s">
        <v>60</v>
      </c>
      <c r="E1009" s="20" t="s">
        <v>2833</v>
      </c>
      <c r="F1009" s="20" t="s">
        <v>8</v>
      </c>
      <c r="G1009" s="861">
        <v>56.161969531663701</v>
      </c>
      <c r="H1009" s="861">
        <v>62.4404179612973</v>
      </c>
      <c r="I1009" s="861">
        <v>34.695184862899303</v>
      </c>
      <c r="J1009" s="861">
        <v>63.649123210945703</v>
      </c>
      <c r="K1009" s="982">
        <v>0</v>
      </c>
      <c r="L1009" s="735">
        <v>6188</v>
      </c>
      <c r="M1009" s="735">
        <v>10408</v>
      </c>
      <c r="N1009" s="845">
        <f t="shared" si="88"/>
        <v>0.68196509372979963</v>
      </c>
      <c r="O1009" s="735">
        <v>35.089474213841086</v>
      </c>
      <c r="P1009" s="735">
        <f t="shared" si="89"/>
        <v>296.61316486453796</v>
      </c>
      <c r="Q1009" s="849">
        <v>42.6</v>
      </c>
      <c r="R1009" s="71">
        <v>96110</v>
      </c>
      <c r="S1009" s="845">
        <v>2.165543792107796E-2</v>
      </c>
      <c r="T1009" s="845">
        <v>2.7000000000000003E-2</v>
      </c>
      <c r="U1009" s="845">
        <v>0</v>
      </c>
      <c r="V1009" s="845">
        <v>0</v>
      </c>
      <c r="W1009" s="845">
        <v>0.25511432009626955</v>
      </c>
      <c r="X1009" s="845">
        <v>0.38396226415094342</v>
      </c>
      <c r="Y1009" s="845">
        <v>0.88720215219062259</v>
      </c>
      <c r="Z1009" s="845">
        <v>4.9289008455034589E-2</v>
      </c>
      <c r="AA1009" s="845">
        <v>0</v>
      </c>
      <c r="AB1009" s="845">
        <v>3.8816295157571096E-2</v>
      </c>
      <c r="AC1009" s="845">
        <v>0</v>
      </c>
      <c r="AD1009" s="845">
        <v>0</v>
      </c>
      <c r="AE1009" s="845">
        <v>2.4692544196771714E-2</v>
      </c>
      <c r="AF1009" s="845">
        <v>2.9784780937740198E-2</v>
      </c>
      <c r="AG1009" s="845">
        <v>0.87576863950807071</v>
      </c>
      <c r="AH1009" s="20" t="str">
        <f t="shared" si="90"/>
        <v>No</v>
      </c>
      <c r="AI1009" s="25"/>
      <c r="AJ1009" s="37">
        <v>43145</v>
      </c>
      <c r="AK1009" s="37" t="s">
        <v>819</v>
      </c>
      <c r="AL1009" s="37">
        <v>39047</v>
      </c>
      <c r="AM1009" s="37" t="s">
        <v>30</v>
      </c>
      <c r="AN1009" s="37" t="str">
        <f t="shared" si="91"/>
        <v>N/A</v>
      </c>
      <c r="AO1009" s="37" t="str">
        <f t="shared" si="92"/>
        <v>N/A</v>
      </c>
      <c r="AP1009" s="20" t="s">
        <v>8</v>
      </c>
      <c r="AQ1009" s="25"/>
      <c r="AR1009" s="25"/>
      <c r="AS1009" s="25"/>
      <c r="AT1009" s="25"/>
      <c r="AU1009" s="36"/>
      <c r="AV1009" s="36"/>
      <c r="AW1009" s="36"/>
      <c r="AX1009" s="25"/>
      <c r="AY1009" s="25"/>
      <c r="AZ1009" s="25"/>
      <c r="BA1009" s="25"/>
      <c r="BB1009" s="25"/>
      <c r="BC1009" s="25"/>
      <c r="BD1009" s="25"/>
      <c r="BE1009" s="25"/>
      <c r="BF1009" s="25"/>
      <c r="BG1009" s="25"/>
      <c r="BH1009" s="25"/>
      <c r="BI1009" s="25"/>
      <c r="BJ1009" s="25"/>
      <c r="BK1009" s="25"/>
      <c r="BL1009" s="25"/>
      <c r="BM1009" s="25"/>
      <c r="BN1009" s="25"/>
      <c r="BO1009" s="25"/>
      <c r="BP1009" s="25"/>
      <c r="BQ1009" s="25"/>
      <c r="BR1009" s="25"/>
      <c r="BS1009" s="25"/>
      <c r="BT1009" s="25"/>
      <c r="BU1009" s="39">
        <v>45336</v>
      </c>
      <c r="BV1009" s="39" t="s">
        <v>1688</v>
      </c>
      <c r="BW1009" s="39" t="s">
        <v>2909</v>
      </c>
      <c r="BX1009" s="39" t="s">
        <v>2910</v>
      </c>
      <c r="BY1009" s="71">
        <v>780</v>
      </c>
      <c r="BZ1009" s="71">
        <v>850</v>
      </c>
      <c r="CA1009" s="71">
        <v>1120</v>
      </c>
      <c r="CB1009" s="71">
        <v>1500</v>
      </c>
      <c r="CC1009" s="71">
        <v>1560</v>
      </c>
      <c r="CD1009" s="25"/>
      <c r="CE1009" s="200"/>
      <c r="CF1009" s="200"/>
      <c r="CG1009" s="200"/>
      <c r="CH1009" s="200"/>
      <c r="CI1009" s="200"/>
      <c r="CJ1009" s="200"/>
      <c r="CK1009" s="200"/>
      <c r="CL1009" s="200"/>
      <c r="CM1009" s="200"/>
      <c r="CN1009" s="200"/>
      <c r="CO1009" s="200"/>
      <c r="CP1009" s="200"/>
      <c r="CQ1009" s="200"/>
      <c r="CR1009" s="200"/>
      <c r="CS1009" s="200"/>
      <c r="CT1009" s="200"/>
      <c r="CU1009" s="200"/>
    </row>
    <row r="1010" spans="1:99" s="17" customFormat="1" x14ac:dyDescent="0.2">
      <c r="A1010" s="25"/>
      <c r="B1010" s="20">
        <v>39099812001</v>
      </c>
      <c r="C1010" s="20">
        <v>8120.01</v>
      </c>
      <c r="D1010" s="20" t="s">
        <v>55</v>
      </c>
      <c r="E1010" s="20" t="s">
        <v>2842</v>
      </c>
      <c r="F1010" s="20" t="s">
        <v>8</v>
      </c>
      <c r="G1010" s="861">
        <v>56.157609708758699</v>
      </c>
      <c r="H1010" s="861">
        <v>54.2327486813669</v>
      </c>
      <c r="I1010" s="861">
        <v>26.2494938358202</v>
      </c>
      <c r="J1010" s="861">
        <v>32.211305854134103</v>
      </c>
      <c r="K1010" s="982">
        <v>0</v>
      </c>
      <c r="L1010" s="735">
        <v>5447</v>
      </c>
      <c r="M1010" s="735">
        <v>5192</v>
      </c>
      <c r="N1010" s="845">
        <f t="shared" si="88"/>
        <v>-4.6814760418579036E-2</v>
      </c>
      <c r="O1010" s="735">
        <v>3.0985721397771204</v>
      </c>
      <c r="P1010" s="735">
        <f t="shared" si="89"/>
        <v>1675.6104959923441</v>
      </c>
      <c r="Q1010" s="849">
        <v>44.5</v>
      </c>
      <c r="R1010" s="71">
        <v>76523</v>
      </c>
      <c r="S1010" s="845">
        <v>7.0493066255778114E-2</v>
      </c>
      <c r="T1010" s="845">
        <v>5.5999999999999994E-2</v>
      </c>
      <c r="U1010" s="845">
        <v>0</v>
      </c>
      <c r="V1010" s="845">
        <v>0</v>
      </c>
      <c r="W1010" s="845">
        <v>0.41162129215765947</v>
      </c>
      <c r="X1010" s="845">
        <v>0.30700888450148073</v>
      </c>
      <c r="Y1010" s="845">
        <v>0.82357473035439133</v>
      </c>
      <c r="Z1010" s="845">
        <v>5.8359013867488443E-2</v>
      </c>
      <c r="AA1010" s="845">
        <v>4.0446841294298919E-3</v>
      </c>
      <c r="AB1010" s="845">
        <v>2.3882896764252697E-2</v>
      </c>
      <c r="AC1010" s="845">
        <v>0</v>
      </c>
      <c r="AD1010" s="845">
        <v>0</v>
      </c>
      <c r="AE1010" s="845">
        <v>9.0138674884437595E-2</v>
      </c>
      <c r="AF1010" s="845">
        <v>8.0123266563944529E-2</v>
      </c>
      <c r="AG1010" s="845">
        <v>0.80142526964560867</v>
      </c>
      <c r="AH1010" s="20" t="str">
        <f t="shared" si="90"/>
        <v>No</v>
      </c>
      <c r="AI1010" s="25"/>
      <c r="AJ1010" s="20">
        <v>43153</v>
      </c>
      <c r="AK1010" s="20" t="s">
        <v>827</v>
      </c>
      <c r="AL1010" s="20">
        <v>39047</v>
      </c>
      <c r="AM1010" s="20" t="s">
        <v>30</v>
      </c>
      <c r="AN1010" s="37" t="str">
        <f t="shared" si="91"/>
        <v>N/A</v>
      </c>
      <c r="AO1010" s="37" t="str">
        <f t="shared" si="92"/>
        <v>N/A</v>
      </c>
      <c r="AP1010" s="20" t="s">
        <v>8</v>
      </c>
      <c r="AQ1010" s="25"/>
      <c r="AR1010" s="25"/>
      <c r="AS1010" s="25"/>
      <c r="AT1010" s="25"/>
      <c r="AU1010" s="36"/>
      <c r="AV1010" s="36"/>
      <c r="AW1010" s="36"/>
      <c r="AX1010" s="25"/>
      <c r="AY1010" s="25"/>
      <c r="AZ1010" s="25"/>
      <c r="BA1010" s="25"/>
      <c r="BB1010" s="25"/>
      <c r="BC1010" s="25"/>
      <c r="BD1010" s="25"/>
      <c r="BE1010" s="25"/>
      <c r="BF1010" s="25"/>
      <c r="BG1010" s="25"/>
      <c r="BH1010" s="25"/>
      <c r="BI1010" s="25"/>
      <c r="BJ1010" s="25"/>
      <c r="BK1010" s="25"/>
      <c r="BL1010" s="25"/>
      <c r="BM1010" s="25"/>
      <c r="BN1010" s="25"/>
      <c r="BO1010" s="25"/>
      <c r="BP1010" s="25"/>
      <c r="BQ1010" s="25"/>
      <c r="BR1010" s="25"/>
      <c r="BS1010" s="25"/>
      <c r="BT1010" s="25"/>
      <c r="BU1010" s="39">
        <v>45340</v>
      </c>
      <c r="BV1010" s="39" t="s">
        <v>1692</v>
      </c>
      <c r="BW1010" s="39" t="s">
        <v>2909</v>
      </c>
      <c r="BX1010" s="39" t="s">
        <v>2910</v>
      </c>
      <c r="BY1010" s="71">
        <v>760</v>
      </c>
      <c r="BZ1010" s="71">
        <v>820</v>
      </c>
      <c r="CA1010" s="71">
        <v>1080</v>
      </c>
      <c r="CB1010" s="71">
        <v>1420</v>
      </c>
      <c r="CC1010" s="71">
        <v>1500</v>
      </c>
      <c r="CD1010" s="25"/>
      <c r="CE1010" s="200"/>
      <c r="CF1010" s="200"/>
      <c r="CG1010" s="200"/>
      <c r="CH1010" s="200"/>
      <c r="CI1010" s="200"/>
      <c r="CJ1010" s="200"/>
      <c r="CK1010" s="200"/>
      <c r="CL1010" s="200"/>
      <c r="CM1010" s="200"/>
      <c r="CN1010" s="200"/>
      <c r="CO1010" s="200"/>
      <c r="CP1010" s="200"/>
      <c r="CQ1010" s="200"/>
      <c r="CR1010" s="200"/>
      <c r="CS1010" s="200"/>
      <c r="CT1010" s="200"/>
      <c r="CU1010" s="200"/>
    </row>
    <row r="1011" spans="1:99" s="17" customFormat="1" x14ac:dyDescent="0.2">
      <c r="A1011" s="25"/>
      <c r="B1011" s="20">
        <v>39123051201</v>
      </c>
      <c r="C1011" s="20">
        <v>512.01</v>
      </c>
      <c r="D1011" s="20" t="s">
        <v>67</v>
      </c>
      <c r="E1011" s="20" t="s">
        <v>2837</v>
      </c>
      <c r="F1011" s="20" t="s">
        <v>8</v>
      </c>
      <c r="G1011" s="861">
        <v>56.143000033883901</v>
      </c>
      <c r="H1011" s="861">
        <v>56.7054287787928</v>
      </c>
      <c r="I1011" s="861">
        <v>50.518799076716697</v>
      </c>
      <c r="J1011" s="861">
        <v>43.587778615484403</v>
      </c>
      <c r="K1011" s="982">
        <v>0</v>
      </c>
      <c r="L1011" s="735" t="s">
        <v>2466</v>
      </c>
      <c r="M1011" s="735">
        <v>1042</v>
      </c>
      <c r="N1011" s="845" t="str">
        <f t="shared" si="88"/>
        <v/>
      </c>
      <c r="O1011" s="735">
        <v>8.1598285792902736</v>
      </c>
      <c r="P1011" s="735">
        <f t="shared" si="89"/>
        <v>127.69876105542295</v>
      </c>
      <c r="Q1011" s="849">
        <v>52.3</v>
      </c>
      <c r="R1011" s="71">
        <v>84740</v>
      </c>
      <c r="S1011" s="845">
        <v>0.15547024952015356</v>
      </c>
      <c r="T1011" s="845">
        <v>4.7E-2</v>
      </c>
      <c r="U1011" s="845">
        <v>0</v>
      </c>
      <c r="V1011" s="845">
        <v>0</v>
      </c>
      <c r="W1011" s="845">
        <v>0.13174946004319654</v>
      </c>
      <c r="X1011" s="845">
        <v>0</v>
      </c>
      <c r="Y1011" s="845">
        <v>0.94337811900191937</v>
      </c>
      <c r="Z1011" s="845">
        <v>0</v>
      </c>
      <c r="AA1011" s="845">
        <v>1.055662188099808E-2</v>
      </c>
      <c r="AB1011" s="845">
        <v>0</v>
      </c>
      <c r="AC1011" s="845">
        <v>0</v>
      </c>
      <c r="AD1011" s="845">
        <v>2.5911708253358926E-2</v>
      </c>
      <c r="AE1011" s="845">
        <v>2.0153550863723609E-2</v>
      </c>
      <c r="AF1011" s="845">
        <v>4.6065259117082535E-2</v>
      </c>
      <c r="AG1011" s="845">
        <v>0.94337811900191937</v>
      </c>
      <c r="AH1011" s="20" t="str">
        <f t="shared" si="90"/>
        <v>Yes</v>
      </c>
      <c r="AI1011" s="25"/>
      <c r="AJ1011" s="20">
        <v>43160</v>
      </c>
      <c r="AK1011" s="20" t="s">
        <v>833</v>
      </c>
      <c r="AL1011" s="20">
        <v>39047</v>
      </c>
      <c r="AM1011" s="20" t="s">
        <v>30</v>
      </c>
      <c r="AN1011" s="37" t="str">
        <f t="shared" si="91"/>
        <v>N/A</v>
      </c>
      <c r="AO1011" s="37" t="str">
        <f t="shared" si="92"/>
        <v>N/A</v>
      </c>
      <c r="AP1011" s="20" t="s">
        <v>8</v>
      </c>
      <c r="AQ1011" s="25"/>
      <c r="AR1011" s="25"/>
      <c r="AS1011" s="25"/>
      <c r="AT1011" s="25"/>
      <c r="AU1011" s="36"/>
      <c r="AV1011" s="36"/>
      <c r="AW1011" s="36"/>
      <c r="AX1011" s="25"/>
      <c r="AY1011" s="25"/>
      <c r="AZ1011" s="25"/>
      <c r="BA1011" s="25"/>
      <c r="BB1011" s="25"/>
      <c r="BC1011" s="25"/>
      <c r="BD1011" s="25"/>
      <c r="BE1011" s="25"/>
      <c r="BF1011" s="25"/>
      <c r="BG1011" s="25"/>
      <c r="BH1011" s="25"/>
      <c r="BI1011" s="25"/>
      <c r="BJ1011" s="25"/>
      <c r="BK1011" s="25"/>
      <c r="BL1011" s="25"/>
      <c r="BM1011" s="25"/>
      <c r="BN1011" s="25"/>
      <c r="BO1011" s="25"/>
      <c r="BP1011" s="25"/>
      <c r="BQ1011" s="25"/>
      <c r="BR1011" s="25"/>
      <c r="BS1011" s="25"/>
      <c r="BT1011" s="25"/>
      <c r="BU1011" s="39">
        <v>45353</v>
      </c>
      <c r="BV1011" s="39" t="s">
        <v>1704</v>
      </c>
      <c r="BW1011" s="39" t="s">
        <v>2909</v>
      </c>
      <c r="BX1011" s="39" t="s">
        <v>2910</v>
      </c>
      <c r="BY1011" s="71">
        <v>710</v>
      </c>
      <c r="BZ1011" s="71">
        <v>780</v>
      </c>
      <c r="CA1011" s="71">
        <v>1020</v>
      </c>
      <c r="CB1011" s="71">
        <v>1360</v>
      </c>
      <c r="CC1011" s="71">
        <v>1420</v>
      </c>
      <c r="CD1011" s="25"/>
      <c r="CE1011" s="200"/>
      <c r="CF1011" s="200"/>
      <c r="CG1011" s="200"/>
      <c r="CH1011" s="200"/>
      <c r="CI1011" s="200"/>
      <c r="CJ1011" s="200"/>
      <c r="CK1011" s="200"/>
      <c r="CL1011" s="200"/>
      <c r="CM1011" s="200"/>
      <c r="CN1011" s="200"/>
      <c r="CO1011" s="200"/>
      <c r="CP1011" s="200"/>
      <c r="CQ1011" s="200"/>
      <c r="CR1011" s="200"/>
      <c r="CS1011" s="200"/>
      <c r="CT1011" s="200"/>
      <c r="CU1011" s="200"/>
    </row>
    <row r="1012" spans="1:99" s="17" customFormat="1" x14ac:dyDescent="0.2">
      <c r="A1012" s="25"/>
      <c r="B1012" s="20">
        <v>39049000820</v>
      </c>
      <c r="C1012" s="20">
        <v>8.1999999999999993</v>
      </c>
      <c r="D1012" s="20" t="s">
        <v>31</v>
      </c>
      <c r="E1012" s="20" t="s">
        <v>2830</v>
      </c>
      <c r="F1012" s="20" t="s">
        <v>8</v>
      </c>
      <c r="G1012" s="861">
        <v>56.141078010172201</v>
      </c>
      <c r="H1012" s="861">
        <v>72.150603366419801</v>
      </c>
      <c r="I1012" s="861">
        <v>41.130901432304903</v>
      </c>
      <c r="J1012" s="861">
        <v>60.269661335541898</v>
      </c>
      <c r="K1012" s="982">
        <v>0</v>
      </c>
      <c r="L1012" s="735">
        <v>2700</v>
      </c>
      <c r="M1012" s="735">
        <v>3646</v>
      </c>
      <c r="N1012" s="845">
        <f t="shared" si="88"/>
        <v>0.35037037037037039</v>
      </c>
      <c r="O1012" s="735">
        <v>0.55875430254388314</v>
      </c>
      <c r="P1012" s="735">
        <f t="shared" si="89"/>
        <v>6525.229395819556</v>
      </c>
      <c r="Q1012" s="849">
        <v>39.6</v>
      </c>
      <c r="R1012" s="71">
        <v>58750</v>
      </c>
      <c r="S1012" s="845">
        <v>0.11848601206801974</v>
      </c>
      <c r="T1012" s="845">
        <v>0.05</v>
      </c>
      <c r="U1012" s="845">
        <v>0</v>
      </c>
      <c r="V1012" s="845">
        <v>6.0999999999999999E-2</v>
      </c>
      <c r="W1012" s="845">
        <v>0.41510611735330838</v>
      </c>
      <c r="X1012" s="845">
        <v>0.35939849624060149</v>
      </c>
      <c r="Y1012" s="845">
        <v>0.38974218321448162</v>
      </c>
      <c r="Z1012" s="845">
        <v>0.40455293472298409</v>
      </c>
      <c r="AA1012" s="845">
        <v>3.0170049369171694E-2</v>
      </c>
      <c r="AB1012" s="845">
        <v>6.0340098738343388E-2</v>
      </c>
      <c r="AC1012" s="845">
        <v>0</v>
      </c>
      <c r="AD1012" s="845">
        <v>2.4684585847504115E-3</v>
      </c>
      <c r="AE1012" s="845">
        <v>0.11272627537026879</v>
      </c>
      <c r="AF1012" s="845">
        <v>0.14042786615469008</v>
      </c>
      <c r="AG1012" s="845">
        <v>0.37575425123422929</v>
      </c>
      <c r="AH1012" s="20" t="str">
        <f t="shared" si="90"/>
        <v>No</v>
      </c>
      <c r="AI1012" s="25"/>
      <c r="AJ1012" s="20">
        <v>45123</v>
      </c>
      <c r="AK1012" s="20" t="s">
        <v>1576</v>
      </c>
      <c r="AL1012" s="20">
        <v>39047</v>
      </c>
      <c r="AM1012" s="20" t="s">
        <v>30</v>
      </c>
      <c r="AN1012" s="37" t="str">
        <f t="shared" si="91"/>
        <v>N/A</v>
      </c>
      <c r="AO1012" s="37" t="str">
        <f t="shared" si="92"/>
        <v>N/A</v>
      </c>
      <c r="AP1012" s="20" t="s">
        <v>8</v>
      </c>
      <c r="AQ1012" s="25"/>
      <c r="AR1012" s="25"/>
      <c r="AS1012" s="25"/>
      <c r="AT1012" s="25"/>
      <c r="AU1012" s="36"/>
      <c r="AV1012" s="36"/>
      <c r="AW1012" s="36"/>
      <c r="AX1012" s="25"/>
      <c r="AY1012" s="25"/>
      <c r="AZ1012" s="25"/>
      <c r="BA1012" s="25"/>
      <c r="BB1012" s="25"/>
      <c r="BC1012" s="25"/>
      <c r="BD1012" s="25"/>
      <c r="BE1012" s="25"/>
      <c r="BF1012" s="25"/>
      <c r="BG1012" s="25"/>
      <c r="BH1012" s="25"/>
      <c r="BI1012" s="25"/>
      <c r="BJ1012" s="25"/>
      <c r="BK1012" s="25"/>
      <c r="BL1012" s="25"/>
      <c r="BM1012" s="25"/>
      <c r="BN1012" s="25"/>
      <c r="BO1012" s="25"/>
      <c r="BP1012" s="25"/>
      <c r="BQ1012" s="25"/>
      <c r="BR1012" s="25"/>
      <c r="BS1012" s="25"/>
      <c r="BT1012" s="25"/>
      <c r="BU1012" s="39">
        <v>45360</v>
      </c>
      <c r="BV1012" s="39" t="s">
        <v>1709</v>
      </c>
      <c r="BW1012" s="39" t="s">
        <v>2909</v>
      </c>
      <c r="BX1012" s="39" t="s">
        <v>2910</v>
      </c>
      <c r="BY1012" s="71">
        <v>680</v>
      </c>
      <c r="BZ1012" s="71">
        <v>750</v>
      </c>
      <c r="CA1012" s="71">
        <v>980</v>
      </c>
      <c r="CB1012" s="71">
        <v>1310</v>
      </c>
      <c r="CC1012" s="71">
        <v>1370</v>
      </c>
      <c r="CD1012" s="25"/>
      <c r="CE1012" s="200"/>
      <c r="CF1012" s="200"/>
      <c r="CG1012" s="200"/>
      <c r="CH1012" s="200"/>
      <c r="CI1012" s="200"/>
      <c r="CJ1012" s="200"/>
      <c r="CK1012" s="200"/>
      <c r="CL1012" s="200"/>
      <c r="CM1012" s="200"/>
      <c r="CN1012" s="200"/>
      <c r="CO1012" s="200"/>
      <c r="CP1012" s="200"/>
      <c r="CQ1012" s="200"/>
      <c r="CR1012" s="200"/>
      <c r="CS1012" s="200"/>
      <c r="CT1012" s="200"/>
      <c r="CU1012" s="200"/>
    </row>
    <row r="1013" spans="1:99" s="17" customFormat="1" x14ac:dyDescent="0.2">
      <c r="A1013" s="25"/>
      <c r="B1013" s="20">
        <v>39149972300</v>
      </c>
      <c r="C1013" s="20">
        <v>9723</v>
      </c>
      <c r="D1013" s="20" t="s">
        <v>80</v>
      </c>
      <c r="E1013" s="20" t="s">
        <v>265</v>
      </c>
      <c r="F1013" s="20" t="s">
        <v>8</v>
      </c>
      <c r="G1013" s="861">
        <v>56.135316321951301</v>
      </c>
      <c r="H1013" s="861">
        <v>50.570074469189798</v>
      </c>
      <c r="I1013" s="861">
        <v>21.784399721839101</v>
      </c>
      <c r="J1013" s="861">
        <v>43.861861737217801</v>
      </c>
      <c r="K1013" s="982">
        <v>0</v>
      </c>
      <c r="L1013" s="735">
        <v>5427</v>
      </c>
      <c r="M1013" s="735">
        <v>5273</v>
      </c>
      <c r="N1013" s="845">
        <f t="shared" si="88"/>
        <v>-2.837663534180947E-2</v>
      </c>
      <c r="O1013" s="735">
        <v>76.306272695591645</v>
      </c>
      <c r="P1013" s="735">
        <f t="shared" si="89"/>
        <v>69.103100095526372</v>
      </c>
      <c r="Q1013" s="849">
        <v>40.4</v>
      </c>
      <c r="R1013" s="71">
        <v>77426</v>
      </c>
      <c r="S1013" s="845">
        <v>0.11382434029145333</v>
      </c>
      <c r="T1013" s="845">
        <v>7.400000000000001E-2</v>
      </c>
      <c r="U1013" s="845">
        <v>0</v>
      </c>
      <c r="V1013" s="845">
        <v>0</v>
      </c>
      <c r="W1013" s="845">
        <v>0.14701378254211334</v>
      </c>
      <c r="X1013" s="845">
        <v>0.28125</v>
      </c>
      <c r="Y1013" s="845">
        <v>0.93665844870092929</v>
      </c>
      <c r="Z1013" s="845">
        <v>5.1204248056135031E-3</v>
      </c>
      <c r="AA1013" s="845">
        <v>0</v>
      </c>
      <c r="AB1013" s="845">
        <v>5.4997155319552434E-3</v>
      </c>
      <c r="AC1013" s="845">
        <v>0</v>
      </c>
      <c r="AD1013" s="845">
        <v>3.8118717997344967E-2</v>
      </c>
      <c r="AE1013" s="845">
        <v>1.4602692964157026E-2</v>
      </c>
      <c r="AF1013" s="845">
        <v>1.0051204248056136E-2</v>
      </c>
      <c r="AG1013" s="845">
        <v>0.93002086098994885</v>
      </c>
      <c r="AH1013" s="20" t="str">
        <f t="shared" si="90"/>
        <v>Yes</v>
      </c>
      <c r="AI1013" s="25"/>
      <c r="AJ1013" s="37">
        <v>45135</v>
      </c>
      <c r="AK1013" s="37" t="s">
        <v>1581</v>
      </c>
      <c r="AL1013" s="37">
        <v>39047</v>
      </c>
      <c r="AM1013" s="37" t="s">
        <v>30</v>
      </c>
      <c r="AN1013" s="37" t="str">
        <f t="shared" si="91"/>
        <v>N/A</v>
      </c>
      <c r="AO1013" s="37" t="str">
        <f t="shared" si="92"/>
        <v>N/A</v>
      </c>
      <c r="AP1013" s="20" t="s">
        <v>8</v>
      </c>
      <c r="AQ1013" s="25"/>
      <c r="AR1013" s="25"/>
      <c r="AS1013" s="25"/>
      <c r="AT1013" s="25"/>
      <c r="AU1013" s="36"/>
      <c r="AV1013" s="36"/>
      <c r="AW1013" s="36"/>
      <c r="AX1013" s="25"/>
      <c r="AY1013" s="25"/>
      <c r="AZ1013" s="25"/>
      <c r="BA1013" s="25"/>
      <c r="BB1013" s="25"/>
      <c r="BC1013" s="25"/>
      <c r="BD1013" s="25"/>
      <c r="BE1013" s="25"/>
      <c r="BF1013" s="25"/>
      <c r="BG1013" s="25"/>
      <c r="BH1013" s="25"/>
      <c r="BI1013" s="25"/>
      <c r="BJ1013" s="25"/>
      <c r="BK1013" s="25"/>
      <c r="BL1013" s="25"/>
      <c r="BM1013" s="25"/>
      <c r="BN1013" s="25"/>
      <c r="BO1013" s="25"/>
      <c r="BP1013" s="25"/>
      <c r="BQ1013" s="25"/>
      <c r="BR1013" s="25"/>
      <c r="BS1013" s="25"/>
      <c r="BT1013" s="25"/>
      <c r="BU1013" s="39">
        <v>43010</v>
      </c>
      <c r="BV1013" s="39" t="s">
        <v>737</v>
      </c>
      <c r="BW1013" s="39" t="s">
        <v>2965</v>
      </c>
      <c r="BX1013" s="39" t="s">
        <v>270</v>
      </c>
      <c r="BY1013" s="71">
        <v>860</v>
      </c>
      <c r="BZ1013" s="71">
        <v>950</v>
      </c>
      <c r="CA1013" s="71">
        <v>1250</v>
      </c>
      <c r="CB1013" s="71">
        <v>1530</v>
      </c>
      <c r="CC1013" s="71">
        <v>1780</v>
      </c>
      <c r="CD1013" s="25"/>
      <c r="CE1013" s="200"/>
      <c r="CF1013" s="200"/>
      <c r="CG1013" s="200"/>
      <c r="CH1013" s="200"/>
      <c r="CI1013" s="200"/>
      <c r="CJ1013" s="200"/>
      <c r="CK1013" s="200"/>
      <c r="CL1013" s="200"/>
      <c r="CM1013" s="200"/>
      <c r="CN1013" s="200"/>
      <c r="CO1013" s="200"/>
      <c r="CP1013" s="200"/>
      <c r="CQ1013" s="200"/>
      <c r="CR1013" s="200"/>
      <c r="CS1013" s="200"/>
      <c r="CT1013" s="200"/>
      <c r="CU1013" s="200"/>
    </row>
    <row r="1014" spans="1:99" s="17" customFormat="1" x14ac:dyDescent="0.2">
      <c r="A1014" s="25"/>
      <c r="B1014" s="20">
        <v>39085204700</v>
      </c>
      <c r="C1014" s="20">
        <v>2047</v>
      </c>
      <c r="D1014" s="20" t="s">
        <v>48</v>
      </c>
      <c r="E1014" s="20" t="s">
        <v>2829</v>
      </c>
      <c r="F1014" s="20" t="s">
        <v>8</v>
      </c>
      <c r="G1014" s="861">
        <v>56.125191985780198</v>
      </c>
      <c r="H1014" s="861">
        <v>55.205915724556803</v>
      </c>
      <c r="I1014" s="861">
        <v>25.745774279337098</v>
      </c>
      <c r="J1014" s="861">
        <v>36.206839840424998</v>
      </c>
      <c r="K1014" s="982">
        <v>0</v>
      </c>
      <c r="L1014" s="735">
        <v>4525</v>
      </c>
      <c r="M1014" s="735">
        <v>5027</v>
      </c>
      <c r="N1014" s="845">
        <f t="shared" si="88"/>
        <v>0.11093922651933702</v>
      </c>
      <c r="O1014" s="735">
        <v>1.7087503154599424</v>
      </c>
      <c r="P1014" s="735">
        <f t="shared" si="89"/>
        <v>2941.916062585708</v>
      </c>
      <c r="Q1014" s="849">
        <v>39.799999999999997</v>
      </c>
      <c r="R1014" s="71">
        <v>84792</v>
      </c>
      <c r="S1014" s="845">
        <v>4.1523886313243295E-2</v>
      </c>
      <c r="T1014" s="845">
        <v>6.9000000000000006E-2</v>
      </c>
      <c r="U1014" s="845">
        <v>0</v>
      </c>
      <c r="V1014" s="845">
        <v>0</v>
      </c>
      <c r="W1014" s="845">
        <v>0.24672048435923311</v>
      </c>
      <c r="X1014" s="845">
        <v>0.41922290388548056</v>
      </c>
      <c r="Y1014" s="845">
        <v>0.86254227173264375</v>
      </c>
      <c r="Z1014" s="845">
        <v>3.7795902128506066E-2</v>
      </c>
      <c r="AA1014" s="845">
        <v>9.9462900338173859E-4</v>
      </c>
      <c r="AB1014" s="845">
        <v>2.4865725084543464E-2</v>
      </c>
      <c r="AC1014" s="845">
        <v>0</v>
      </c>
      <c r="AD1014" s="845">
        <v>8.354883628406605E-3</v>
      </c>
      <c r="AE1014" s="845">
        <v>6.5446588422518395E-2</v>
      </c>
      <c r="AF1014" s="845">
        <v>0.13885020887209071</v>
      </c>
      <c r="AG1014" s="845">
        <v>0.76984284861746566</v>
      </c>
      <c r="AH1014" s="20" t="str">
        <f t="shared" si="90"/>
        <v>No</v>
      </c>
      <c r="AI1014" s="25"/>
      <c r="AJ1014" s="20">
        <v>45169</v>
      </c>
      <c r="AK1014" s="20" t="s">
        <v>1603</v>
      </c>
      <c r="AL1014" s="20">
        <v>39047</v>
      </c>
      <c r="AM1014" s="20" t="s">
        <v>30</v>
      </c>
      <c r="AN1014" s="37" t="str">
        <f t="shared" si="91"/>
        <v>N/A</v>
      </c>
      <c r="AO1014" s="37" t="str">
        <f t="shared" si="92"/>
        <v>N/A</v>
      </c>
      <c r="AP1014" s="20" t="s">
        <v>8</v>
      </c>
      <c r="AQ1014" s="25"/>
      <c r="AR1014" s="25"/>
      <c r="AS1014" s="25"/>
      <c r="AT1014" s="25"/>
      <c r="AU1014" s="36"/>
      <c r="AV1014" s="36"/>
      <c r="AW1014" s="36"/>
      <c r="AX1014" s="25"/>
      <c r="AY1014" s="25"/>
      <c r="AZ1014" s="25"/>
      <c r="BA1014" s="25"/>
      <c r="BB1014" s="25"/>
      <c r="BC1014" s="25"/>
      <c r="BD1014" s="25"/>
      <c r="BE1014" s="25"/>
      <c r="BF1014" s="25"/>
      <c r="BG1014" s="25"/>
      <c r="BH1014" s="25"/>
      <c r="BI1014" s="25"/>
      <c r="BJ1014" s="25"/>
      <c r="BK1014" s="25"/>
      <c r="BL1014" s="25"/>
      <c r="BM1014" s="25"/>
      <c r="BN1014" s="25"/>
      <c r="BO1014" s="25"/>
      <c r="BP1014" s="25"/>
      <c r="BQ1014" s="25"/>
      <c r="BR1014" s="25"/>
      <c r="BS1014" s="25"/>
      <c r="BT1014" s="25"/>
      <c r="BU1014" s="39">
        <v>43078</v>
      </c>
      <c r="BV1014" s="39" t="s">
        <v>784</v>
      </c>
      <c r="BW1014" s="39" t="s">
        <v>2965</v>
      </c>
      <c r="BX1014" s="39" t="s">
        <v>270</v>
      </c>
      <c r="BY1014" s="71">
        <v>730</v>
      </c>
      <c r="BZ1014" s="71">
        <v>810</v>
      </c>
      <c r="CA1014" s="71">
        <v>1040</v>
      </c>
      <c r="CB1014" s="71">
        <v>1330</v>
      </c>
      <c r="CC1014" s="71">
        <v>1460</v>
      </c>
      <c r="CD1014" s="25"/>
      <c r="CE1014" s="200"/>
      <c r="CF1014" s="200"/>
      <c r="CG1014" s="200"/>
      <c r="CH1014" s="200"/>
      <c r="CI1014" s="200"/>
      <c r="CJ1014" s="200"/>
      <c r="CK1014" s="200"/>
      <c r="CL1014" s="200"/>
      <c r="CM1014" s="200"/>
      <c r="CN1014" s="200"/>
      <c r="CO1014" s="200"/>
      <c r="CP1014" s="200"/>
      <c r="CQ1014" s="200"/>
      <c r="CR1014" s="200"/>
      <c r="CS1014" s="200"/>
      <c r="CT1014" s="200"/>
      <c r="CU1014" s="200"/>
    </row>
    <row r="1015" spans="1:99" s="17" customFormat="1" x14ac:dyDescent="0.2">
      <c r="A1015" s="25"/>
      <c r="B1015" s="20">
        <v>39153532708</v>
      </c>
      <c r="C1015" s="20">
        <v>5327.08</v>
      </c>
      <c r="D1015" s="20" t="s">
        <v>82</v>
      </c>
      <c r="E1015" s="20" t="s">
        <v>2843</v>
      </c>
      <c r="F1015" s="20" t="s">
        <v>8</v>
      </c>
      <c r="G1015" s="861">
        <v>56.099863968099797</v>
      </c>
      <c r="H1015" s="861">
        <v>57.527716510929501</v>
      </c>
      <c r="I1015" s="861">
        <v>25.0480174245893</v>
      </c>
      <c r="J1015" s="861">
        <v>41.340612000158004</v>
      </c>
      <c r="K1015" s="982">
        <v>0</v>
      </c>
      <c r="L1015" s="735">
        <v>5411</v>
      </c>
      <c r="M1015" s="735">
        <v>5152</v>
      </c>
      <c r="N1015" s="845">
        <f t="shared" si="88"/>
        <v>-4.7865459249676584E-2</v>
      </c>
      <c r="O1015" s="735">
        <v>3.2124008476625789</v>
      </c>
      <c r="P1015" s="735">
        <f t="shared" si="89"/>
        <v>1603.784908645109</v>
      </c>
      <c r="Q1015" s="849">
        <v>45.1</v>
      </c>
      <c r="R1015" s="71">
        <v>104931</v>
      </c>
      <c r="S1015" s="845">
        <v>6.8322981366459631E-2</v>
      </c>
      <c r="T1015" s="845">
        <v>2.5000000000000001E-2</v>
      </c>
      <c r="U1015" s="845">
        <v>0</v>
      </c>
      <c r="V1015" s="845">
        <v>0</v>
      </c>
      <c r="W1015" s="845">
        <v>6.0281690140845071E-2</v>
      </c>
      <c r="X1015" s="845">
        <v>0.71962616822429903</v>
      </c>
      <c r="Y1015" s="845">
        <v>0.83210403726708071</v>
      </c>
      <c r="Z1015" s="845">
        <v>8.9868012422360255E-2</v>
      </c>
      <c r="AA1015" s="845">
        <v>9.7049689440993788E-4</v>
      </c>
      <c r="AB1015" s="845">
        <v>3.1638198757763976E-2</v>
      </c>
      <c r="AC1015" s="845">
        <v>0</v>
      </c>
      <c r="AD1015" s="845">
        <v>0</v>
      </c>
      <c r="AE1015" s="845">
        <v>4.5419254658385096E-2</v>
      </c>
      <c r="AF1015" s="845">
        <v>1.6692546583850932E-2</v>
      </c>
      <c r="AG1015" s="845">
        <v>0.82996894409937894</v>
      </c>
      <c r="AH1015" s="20" t="str">
        <f t="shared" si="90"/>
        <v>No</v>
      </c>
      <c r="AI1015" s="25"/>
      <c r="AJ1015" s="37">
        <v>45335</v>
      </c>
      <c r="AK1015" s="37" t="s">
        <v>1687</v>
      </c>
      <c r="AL1015" s="37">
        <v>39047</v>
      </c>
      <c r="AM1015" s="37" t="s">
        <v>30</v>
      </c>
      <c r="AN1015" s="37" t="str">
        <f t="shared" si="91"/>
        <v>N/A</v>
      </c>
      <c r="AO1015" s="37" t="str">
        <f t="shared" si="92"/>
        <v>N/A</v>
      </c>
      <c r="AP1015" s="20" t="s">
        <v>8</v>
      </c>
      <c r="AQ1015" s="25"/>
      <c r="AR1015" s="25"/>
      <c r="AS1015" s="25"/>
      <c r="AT1015" s="25"/>
      <c r="AU1015" s="36"/>
      <c r="AV1015" s="36"/>
      <c r="AW1015" s="36"/>
      <c r="AX1015" s="25"/>
      <c r="AY1015" s="25"/>
      <c r="AZ1015" s="25"/>
      <c r="BA1015" s="25"/>
      <c r="BB1015" s="25"/>
      <c r="BC1015" s="25"/>
      <c r="BD1015" s="25"/>
      <c r="BE1015" s="25"/>
      <c r="BF1015" s="25"/>
      <c r="BG1015" s="25"/>
      <c r="BH1015" s="25"/>
      <c r="BI1015" s="25"/>
      <c r="BJ1015" s="25"/>
      <c r="BK1015" s="25"/>
      <c r="BL1015" s="25"/>
      <c r="BM1015" s="25"/>
      <c r="BN1015" s="25"/>
      <c r="BO1015" s="25"/>
      <c r="BP1015" s="25"/>
      <c r="BQ1015" s="25"/>
      <c r="BR1015" s="25"/>
      <c r="BS1015" s="25"/>
      <c r="BT1015" s="25"/>
      <c r="BU1015" s="39">
        <v>45319</v>
      </c>
      <c r="BV1015" s="39" t="s">
        <v>1672</v>
      </c>
      <c r="BW1015" s="39" t="s">
        <v>2965</v>
      </c>
      <c r="BX1015" s="39" t="s">
        <v>270</v>
      </c>
      <c r="BY1015" s="71">
        <v>700</v>
      </c>
      <c r="BZ1015" s="71">
        <v>780</v>
      </c>
      <c r="CA1015" s="71">
        <v>1020</v>
      </c>
      <c r="CB1015" s="71">
        <v>1250</v>
      </c>
      <c r="CC1015" s="71">
        <v>1450</v>
      </c>
      <c r="CD1015" s="25"/>
      <c r="CE1015" s="200"/>
      <c r="CF1015" s="200"/>
      <c r="CG1015" s="200"/>
      <c r="CH1015" s="200"/>
      <c r="CI1015" s="200"/>
      <c r="CJ1015" s="200"/>
      <c r="CK1015" s="200"/>
      <c r="CL1015" s="200"/>
      <c r="CM1015" s="200"/>
      <c r="CN1015" s="200"/>
      <c r="CO1015" s="200"/>
      <c r="CP1015" s="200"/>
      <c r="CQ1015" s="200"/>
      <c r="CR1015" s="200"/>
      <c r="CS1015" s="200"/>
      <c r="CT1015" s="200"/>
      <c r="CU1015" s="200"/>
    </row>
    <row r="1016" spans="1:99" s="17" customFormat="1" x14ac:dyDescent="0.2">
      <c r="A1016" s="25"/>
      <c r="B1016" s="20">
        <v>39035123601</v>
      </c>
      <c r="C1016" s="20">
        <v>1236.01</v>
      </c>
      <c r="D1016" s="20" t="s">
        <v>24</v>
      </c>
      <c r="E1016" s="20" t="s">
        <v>2829</v>
      </c>
      <c r="F1016" s="20" t="s">
        <v>8</v>
      </c>
      <c r="G1016" s="861">
        <v>56.090943518498399</v>
      </c>
      <c r="H1016" s="861">
        <v>79.556108347110694</v>
      </c>
      <c r="I1016" s="861">
        <v>17.864221211971401</v>
      </c>
      <c r="J1016" s="861">
        <v>46.304534909249199</v>
      </c>
      <c r="K1016" s="982">
        <v>0</v>
      </c>
      <c r="L1016" s="735">
        <v>3017</v>
      </c>
      <c r="M1016" s="735">
        <v>3126</v>
      </c>
      <c r="N1016" s="845">
        <f t="shared" si="88"/>
        <v>3.6128604574080216E-2</v>
      </c>
      <c r="O1016" s="735">
        <v>0.49296790014993547</v>
      </c>
      <c r="P1016" s="735">
        <f t="shared" si="89"/>
        <v>6341.1836735195775</v>
      </c>
      <c r="Q1016" s="849">
        <v>39.200000000000003</v>
      </c>
      <c r="R1016" s="71">
        <v>102153</v>
      </c>
      <c r="S1016" s="845">
        <v>8.6372360844529747E-2</v>
      </c>
      <c r="T1016" s="845">
        <v>1.8000000000000002E-2</v>
      </c>
      <c r="U1016" s="845">
        <v>0</v>
      </c>
      <c r="V1016" s="845">
        <v>0</v>
      </c>
      <c r="W1016" s="845">
        <v>0.14362934362934363</v>
      </c>
      <c r="X1016" s="845">
        <v>0.29569892473118281</v>
      </c>
      <c r="Y1016" s="845">
        <v>0.79206653870761357</v>
      </c>
      <c r="Z1016" s="845">
        <v>1.0236724248240563E-2</v>
      </c>
      <c r="AA1016" s="845">
        <v>2.5591810620601407E-3</v>
      </c>
      <c r="AB1016" s="845">
        <v>0</v>
      </c>
      <c r="AC1016" s="845">
        <v>0</v>
      </c>
      <c r="AD1016" s="845">
        <v>3.1349968010236727E-2</v>
      </c>
      <c r="AE1016" s="845">
        <v>0.163787587971849</v>
      </c>
      <c r="AF1016" s="845">
        <v>0.16666666666666666</v>
      </c>
      <c r="AG1016" s="845">
        <v>0.78822776711452336</v>
      </c>
      <c r="AH1016" s="20" t="str">
        <f t="shared" si="90"/>
        <v>No</v>
      </c>
      <c r="AI1016" s="25"/>
      <c r="AJ1016" s="20">
        <v>45614</v>
      </c>
      <c r="AK1016" s="20" t="s">
        <v>1771</v>
      </c>
      <c r="AL1016" s="20">
        <v>39053</v>
      </c>
      <c r="AM1016" s="20" t="s">
        <v>33</v>
      </c>
      <c r="AN1016" s="37" t="str">
        <f t="shared" si="91"/>
        <v>N/A</v>
      </c>
      <c r="AO1016" s="37" t="str">
        <f t="shared" si="92"/>
        <v>N/A</v>
      </c>
      <c r="AP1016" s="20" t="s">
        <v>8</v>
      </c>
      <c r="AQ1016" s="25"/>
      <c r="AR1016" s="25"/>
      <c r="AS1016" s="25"/>
      <c r="AT1016" s="25"/>
      <c r="AU1016" s="36"/>
      <c r="AV1016" s="36"/>
      <c r="AW1016" s="36"/>
      <c r="AX1016" s="25"/>
      <c r="AY1016" s="25"/>
      <c r="AZ1016" s="25"/>
      <c r="BA1016" s="25"/>
      <c r="BB1016" s="25"/>
      <c r="BC1016" s="25"/>
      <c r="BD1016" s="25"/>
      <c r="BE1016" s="25"/>
      <c r="BF1016" s="25"/>
      <c r="BG1016" s="25"/>
      <c r="BH1016" s="25"/>
      <c r="BI1016" s="25"/>
      <c r="BJ1016" s="25"/>
      <c r="BK1016" s="25"/>
      <c r="BL1016" s="25"/>
      <c r="BM1016" s="25"/>
      <c r="BN1016" s="25"/>
      <c r="BO1016" s="25"/>
      <c r="BP1016" s="25"/>
      <c r="BQ1016" s="25"/>
      <c r="BR1016" s="25"/>
      <c r="BS1016" s="25"/>
      <c r="BT1016" s="25"/>
      <c r="BU1016" s="39">
        <v>45323</v>
      </c>
      <c r="BV1016" s="39" t="s">
        <v>1676</v>
      </c>
      <c r="BW1016" s="39" t="s">
        <v>2965</v>
      </c>
      <c r="BX1016" s="39" t="s">
        <v>270</v>
      </c>
      <c r="BY1016" s="71">
        <v>710</v>
      </c>
      <c r="BZ1016" s="71">
        <v>780</v>
      </c>
      <c r="CA1016" s="71">
        <v>1030</v>
      </c>
      <c r="CB1016" s="71">
        <v>1260</v>
      </c>
      <c r="CC1016" s="71">
        <v>1460</v>
      </c>
      <c r="CD1016" s="25"/>
      <c r="CE1016" s="200"/>
      <c r="CF1016" s="200"/>
      <c r="CG1016" s="200"/>
      <c r="CH1016" s="200"/>
      <c r="CI1016" s="200"/>
      <c r="CJ1016" s="200"/>
      <c r="CK1016" s="200"/>
      <c r="CL1016" s="200"/>
      <c r="CM1016" s="200"/>
      <c r="CN1016" s="200"/>
      <c r="CO1016" s="200"/>
      <c r="CP1016" s="200"/>
      <c r="CQ1016" s="200"/>
      <c r="CR1016" s="200"/>
      <c r="CS1016" s="200"/>
      <c r="CT1016" s="200"/>
      <c r="CU1016" s="200"/>
    </row>
    <row r="1017" spans="1:99" s="17" customFormat="1" x14ac:dyDescent="0.2">
      <c r="A1017" s="25"/>
      <c r="B1017" s="20">
        <v>39093070102</v>
      </c>
      <c r="C1017" s="20">
        <v>701.02</v>
      </c>
      <c r="D1017" s="20" t="s">
        <v>52</v>
      </c>
      <c r="E1017" s="20" t="s">
        <v>2829</v>
      </c>
      <c r="F1017" s="20" t="s">
        <v>8</v>
      </c>
      <c r="G1017" s="861">
        <v>56.087913425236202</v>
      </c>
      <c r="H1017" s="861">
        <v>54.976948688076703</v>
      </c>
      <c r="I1017" s="861">
        <v>19.044353831402599</v>
      </c>
      <c r="J1017" s="861">
        <v>54.312706123453701</v>
      </c>
      <c r="K1017" s="982">
        <v>0</v>
      </c>
      <c r="L1017" s="735">
        <v>5790</v>
      </c>
      <c r="M1017" s="735">
        <v>5234</v>
      </c>
      <c r="N1017" s="845">
        <f t="shared" si="88"/>
        <v>-9.602763385146805E-2</v>
      </c>
      <c r="O1017" s="735">
        <v>1.4612646233345064</v>
      </c>
      <c r="P1017" s="735">
        <f t="shared" si="89"/>
        <v>3581.8289968974741</v>
      </c>
      <c r="Q1017" s="849">
        <v>38.700000000000003</v>
      </c>
      <c r="R1017" s="71">
        <v>71036</v>
      </c>
      <c r="S1017" s="845">
        <v>3.8365624400537118E-2</v>
      </c>
      <c r="T1017" s="845">
        <v>2.2000000000000002E-2</v>
      </c>
      <c r="U1017" s="845">
        <v>0</v>
      </c>
      <c r="V1017" s="845">
        <v>8.199999999999999E-2</v>
      </c>
      <c r="W1017" s="845">
        <v>0.32890659583886678</v>
      </c>
      <c r="X1017" s="845">
        <v>0.17362045760430686</v>
      </c>
      <c r="Y1017" s="845">
        <v>0.75716469239587314</v>
      </c>
      <c r="Z1017" s="845">
        <v>9.1517004203286206E-2</v>
      </c>
      <c r="AA1017" s="845">
        <v>0</v>
      </c>
      <c r="AB1017" s="845">
        <v>0</v>
      </c>
      <c r="AC1017" s="845">
        <v>0</v>
      </c>
      <c r="AD1017" s="845">
        <v>2.3691249522353842E-2</v>
      </c>
      <c r="AE1017" s="845">
        <v>0.12762705387848683</v>
      </c>
      <c r="AF1017" s="845">
        <v>0.14998089415361102</v>
      </c>
      <c r="AG1017" s="845">
        <v>0.69163163928162019</v>
      </c>
      <c r="AH1017" s="20" t="str">
        <f t="shared" si="90"/>
        <v>No</v>
      </c>
      <c r="AI1017" s="25"/>
      <c r="AJ1017" s="20">
        <v>45620</v>
      </c>
      <c r="AK1017" s="20" t="s">
        <v>1776</v>
      </c>
      <c r="AL1017" s="20">
        <v>39053</v>
      </c>
      <c r="AM1017" s="20" t="s">
        <v>33</v>
      </c>
      <c r="AN1017" s="37" t="str">
        <f t="shared" si="91"/>
        <v>N/A</v>
      </c>
      <c r="AO1017" s="37" t="str">
        <f t="shared" si="92"/>
        <v>N/A</v>
      </c>
      <c r="AP1017" s="20" t="s">
        <v>8</v>
      </c>
      <c r="AQ1017" s="25"/>
      <c r="AR1017" s="25"/>
      <c r="AS1017" s="25"/>
      <c r="AT1017" s="25"/>
      <c r="AU1017" s="36"/>
      <c r="AV1017" s="36"/>
      <c r="AW1017" s="36"/>
      <c r="AX1017" s="25"/>
      <c r="AY1017" s="25"/>
      <c r="AZ1017" s="25"/>
      <c r="BA1017" s="25"/>
      <c r="BB1017" s="25"/>
      <c r="BC1017" s="25"/>
      <c r="BD1017" s="25"/>
      <c r="BE1017" s="25"/>
      <c r="BF1017" s="25"/>
      <c r="BG1017" s="25"/>
      <c r="BH1017" s="25"/>
      <c r="BI1017" s="25"/>
      <c r="BJ1017" s="25"/>
      <c r="BK1017" s="25"/>
      <c r="BL1017" s="25"/>
      <c r="BM1017" s="25"/>
      <c r="BN1017" s="25"/>
      <c r="BO1017" s="25"/>
      <c r="BP1017" s="25"/>
      <c r="BQ1017" s="25"/>
      <c r="BR1017" s="25"/>
      <c r="BS1017" s="25"/>
      <c r="BT1017" s="25"/>
      <c r="BU1017" s="39">
        <v>45341</v>
      </c>
      <c r="BV1017" s="39" t="s">
        <v>1693</v>
      </c>
      <c r="BW1017" s="39" t="s">
        <v>2965</v>
      </c>
      <c r="BX1017" s="39" t="s">
        <v>270</v>
      </c>
      <c r="BY1017" s="71">
        <v>750</v>
      </c>
      <c r="BZ1017" s="71">
        <v>830</v>
      </c>
      <c r="CA1017" s="71">
        <v>1090</v>
      </c>
      <c r="CB1017" s="71">
        <v>1330</v>
      </c>
      <c r="CC1017" s="71">
        <v>1550</v>
      </c>
      <c r="CD1017" s="25"/>
      <c r="CE1017" s="200"/>
      <c r="CF1017" s="200"/>
      <c r="CG1017" s="200"/>
      <c r="CH1017" s="200"/>
      <c r="CI1017" s="200"/>
      <c r="CJ1017" s="200"/>
      <c r="CK1017" s="200"/>
      <c r="CL1017" s="200"/>
      <c r="CM1017" s="200"/>
      <c r="CN1017" s="200"/>
      <c r="CO1017" s="200"/>
      <c r="CP1017" s="200"/>
      <c r="CQ1017" s="200"/>
      <c r="CR1017" s="200"/>
      <c r="CS1017" s="200"/>
      <c r="CT1017" s="200"/>
      <c r="CU1017" s="200"/>
    </row>
    <row r="1018" spans="1:99" s="17" customFormat="1" x14ac:dyDescent="0.2">
      <c r="A1018" s="25"/>
      <c r="B1018" s="20">
        <v>39061020762</v>
      </c>
      <c r="C1018" s="20">
        <v>207.62</v>
      </c>
      <c r="D1018" s="20" t="s">
        <v>37</v>
      </c>
      <c r="E1018" s="20" t="s">
        <v>2828</v>
      </c>
      <c r="F1018" s="20" t="s">
        <v>8</v>
      </c>
      <c r="G1018" s="861">
        <v>56.082948614318298</v>
      </c>
      <c r="H1018" s="861">
        <v>64.797832193423503</v>
      </c>
      <c r="I1018" s="861">
        <v>37.268917350956002</v>
      </c>
      <c r="J1018" s="861">
        <v>45.7561562296844</v>
      </c>
      <c r="K1018" s="982">
        <v>0</v>
      </c>
      <c r="L1018" s="735">
        <v>3092</v>
      </c>
      <c r="M1018" s="735">
        <v>3242</v>
      </c>
      <c r="N1018" s="845">
        <f t="shared" si="88"/>
        <v>4.8512289780077621E-2</v>
      </c>
      <c r="O1018" s="735">
        <v>0.65199604333318739</v>
      </c>
      <c r="P1018" s="735">
        <f t="shared" si="89"/>
        <v>4972.4228132213548</v>
      </c>
      <c r="Q1018" s="849">
        <v>31.6</v>
      </c>
      <c r="R1018" s="71">
        <v>59695</v>
      </c>
      <c r="S1018" s="845">
        <v>0.1230721776681061</v>
      </c>
      <c r="T1018" s="845">
        <v>4.9000000000000002E-2</v>
      </c>
      <c r="U1018" s="845">
        <v>0</v>
      </c>
      <c r="V1018" s="845">
        <v>0</v>
      </c>
      <c r="W1018" s="845">
        <v>0.45550527903469079</v>
      </c>
      <c r="X1018" s="845">
        <v>0.46688741721854304</v>
      </c>
      <c r="Y1018" s="845">
        <v>0.45003084515731029</v>
      </c>
      <c r="Z1018" s="845">
        <v>0.24922887106724245</v>
      </c>
      <c r="AA1018" s="845">
        <v>0</v>
      </c>
      <c r="AB1018" s="845">
        <v>9.9012954966070321E-2</v>
      </c>
      <c r="AC1018" s="845">
        <v>0</v>
      </c>
      <c r="AD1018" s="845">
        <v>6.0148056755089448E-2</v>
      </c>
      <c r="AE1018" s="845">
        <v>0.14157927205428747</v>
      </c>
      <c r="AF1018" s="845">
        <v>0.10425663170882171</v>
      </c>
      <c r="AG1018" s="845">
        <v>0.45003084515731029</v>
      </c>
      <c r="AH1018" s="20" t="str">
        <f t="shared" si="90"/>
        <v>No</v>
      </c>
      <c r="AI1018" s="25"/>
      <c r="AJ1018" s="20">
        <v>45623</v>
      </c>
      <c r="AK1018" s="20" t="s">
        <v>1779</v>
      </c>
      <c r="AL1018" s="20">
        <v>39053</v>
      </c>
      <c r="AM1018" s="20" t="s">
        <v>33</v>
      </c>
      <c r="AN1018" s="37" t="str">
        <f t="shared" si="91"/>
        <v>N/A</v>
      </c>
      <c r="AO1018" s="37" t="str">
        <f t="shared" si="92"/>
        <v>N/A</v>
      </c>
      <c r="AP1018" s="20" t="s">
        <v>8</v>
      </c>
      <c r="AQ1018" s="25"/>
      <c r="AR1018" s="25"/>
      <c r="AS1018" s="25"/>
      <c r="AT1018" s="25"/>
      <c r="AU1018" s="36"/>
      <c r="AV1018" s="36"/>
      <c r="AW1018" s="36"/>
      <c r="AX1018" s="25"/>
      <c r="AY1018" s="25"/>
      <c r="AZ1018" s="25"/>
      <c r="BA1018" s="25"/>
      <c r="BB1018" s="25"/>
      <c r="BC1018" s="25"/>
      <c r="BD1018" s="25"/>
      <c r="BE1018" s="25"/>
      <c r="BF1018" s="25"/>
      <c r="BG1018" s="25"/>
      <c r="BH1018" s="25"/>
      <c r="BI1018" s="25"/>
      <c r="BJ1018" s="25"/>
      <c r="BK1018" s="25"/>
      <c r="BL1018" s="25"/>
      <c r="BM1018" s="25"/>
      <c r="BN1018" s="25"/>
      <c r="BO1018" s="25"/>
      <c r="BP1018" s="25"/>
      <c r="BQ1018" s="25"/>
      <c r="BR1018" s="25"/>
      <c r="BS1018" s="25"/>
      <c r="BT1018" s="25"/>
      <c r="BU1018" s="39">
        <v>45349</v>
      </c>
      <c r="BV1018" s="39" t="s">
        <v>1700</v>
      </c>
      <c r="BW1018" s="39" t="s">
        <v>2965</v>
      </c>
      <c r="BX1018" s="39" t="s">
        <v>270</v>
      </c>
      <c r="BY1018" s="71">
        <v>1140</v>
      </c>
      <c r="BZ1018" s="71">
        <v>1270</v>
      </c>
      <c r="CA1018" s="71">
        <v>1660</v>
      </c>
      <c r="CB1018" s="71">
        <v>2030</v>
      </c>
      <c r="CC1018" s="71">
        <v>2360</v>
      </c>
      <c r="CD1018" s="25"/>
      <c r="CE1018" s="200"/>
      <c r="CF1018" s="200"/>
      <c r="CG1018" s="200"/>
      <c r="CH1018" s="200"/>
      <c r="CI1018" s="200"/>
      <c r="CJ1018" s="200"/>
      <c r="CK1018" s="200"/>
      <c r="CL1018" s="200"/>
      <c r="CM1018" s="200"/>
      <c r="CN1018" s="200"/>
      <c r="CO1018" s="200"/>
      <c r="CP1018" s="200"/>
      <c r="CQ1018" s="200"/>
      <c r="CR1018" s="200"/>
      <c r="CS1018" s="200"/>
      <c r="CT1018" s="200"/>
      <c r="CU1018" s="200"/>
    </row>
    <row r="1019" spans="1:99" s="17" customFormat="1" x14ac:dyDescent="0.2">
      <c r="A1019" s="25"/>
      <c r="B1019" s="20">
        <v>39049006100</v>
      </c>
      <c r="C1019" s="20">
        <v>61</v>
      </c>
      <c r="D1019" s="20" t="s">
        <v>31</v>
      </c>
      <c r="E1019" s="20" t="s">
        <v>2830</v>
      </c>
      <c r="F1019" s="20" t="s">
        <v>6</v>
      </c>
      <c r="G1019" s="861">
        <v>56.0781295136373</v>
      </c>
      <c r="H1019" s="861">
        <v>66.729194230210894</v>
      </c>
      <c r="I1019" s="861">
        <v>76.9852931599291</v>
      </c>
      <c r="J1019" s="861">
        <v>53.6316075583252</v>
      </c>
      <c r="K1019" s="982">
        <v>0</v>
      </c>
      <c r="L1019" s="735">
        <v>2870</v>
      </c>
      <c r="M1019" s="735">
        <v>2407</v>
      </c>
      <c r="N1019" s="845">
        <f t="shared" si="88"/>
        <v>-0.1613240418118467</v>
      </c>
      <c r="O1019" s="735">
        <v>0.40741924487058745</v>
      </c>
      <c r="P1019" s="735">
        <f t="shared" si="89"/>
        <v>5907.9192510028797</v>
      </c>
      <c r="Q1019" s="849">
        <v>29.1</v>
      </c>
      <c r="R1019" s="71">
        <v>44812</v>
      </c>
      <c r="S1019" s="845">
        <v>0.46904860822600747</v>
      </c>
      <c r="T1019" s="845">
        <v>9.1999999999999998E-2</v>
      </c>
      <c r="U1019" s="845">
        <v>0</v>
      </c>
      <c r="V1019" s="845">
        <v>4.2000000000000003E-2</v>
      </c>
      <c r="W1019" s="845">
        <v>0.64611005692599621</v>
      </c>
      <c r="X1019" s="845">
        <v>0.66960352422907488</v>
      </c>
      <c r="Y1019" s="845">
        <v>0.63439966763606148</v>
      </c>
      <c r="Z1019" s="845">
        <v>0.17989198171998338</v>
      </c>
      <c r="AA1019" s="845">
        <v>0</v>
      </c>
      <c r="AB1019" s="845">
        <v>0.10054009140008309</v>
      </c>
      <c r="AC1019" s="845">
        <v>0</v>
      </c>
      <c r="AD1019" s="845">
        <v>5.8163689239717487E-3</v>
      </c>
      <c r="AE1019" s="845">
        <v>7.9351890319900295E-2</v>
      </c>
      <c r="AF1019" s="845">
        <v>2.4927295388450354E-2</v>
      </c>
      <c r="AG1019" s="845">
        <v>0.63024511840465314</v>
      </c>
      <c r="AH1019" s="20" t="str">
        <f t="shared" si="90"/>
        <v>No</v>
      </c>
      <c r="AI1019" s="25"/>
      <c r="AJ1019" s="20">
        <v>45631</v>
      </c>
      <c r="AK1019" s="20" t="s">
        <v>1784</v>
      </c>
      <c r="AL1019" s="20">
        <v>39053</v>
      </c>
      <c r="AM1019" s="20" t="s">
        <v>33</v>
      </c>
      <c r="AN1019" s="37" t="str">
        <f t="shared" si="91"/>
        <v>N/A</v>
      </c>
      <c r="AO1019" s="37" t="str">
        <f t="shared" si="92"/>
        <v>N/A</v>
      </c>
      <c r="AP1019" s="20" t="s">
        <v>8</v>
      </c>
      <c r="AQ1019" s="25"/>
      <c r="AR1019" s="25"/>
      <c r="AS1019" s="25"/>
      <c r="AT1019" s="25"/>
      <c r="AU1019" s="36"/>
      <c r="AV1019" s="36"/>
      <c r="AW1019" s="36"/>
      <c r="AX1019" s="25"/>
      <c r="AY1019" s="25"/>
      <c r="AZ1019" s="25"/>
      <c r="BA1019" s="25"/>
      <c r="BB1019" s="25"/>
      <c r="BC1019" s="25"/>
      <c r="BD1019" s="25"/>
      <c r="BE1019" s="25"/>
      <c r="BF1019" s="25"/>
      <c r="BG1019" s="25"/>
      <c r="BH1019" s="25"/>
      <c r="BI1019" s="25"/>
      <c r="BJ1019" s="25"/>
      <c r="BK1019" s="25"/>
      <c r="BL1019" s="25"/>
      <c r="BM1019" s="25"/>
      <c r="BN1019" s="25"/>
      <c r="BO1019" s="25"/>
      <c r="BP1019" s="25"/>
      <c r="BQ1019" s="25"/>
      <c r="BR1019" s="25"/>
      <c r="BS1019" s="25"/>
      <c r="BT1019" s="25"/>
      <c r="BU1019" s="39">
        <v>45372</v>
      </c>
      <c r="BV1019" s="39" t="s">
        <v>1718</v>
      </c>
      <c r="BW1019" s="39" t="s">
        <v>2965</v>
      </c>
      <c r="BX1019" s="39" t="s">
        <v>270</v>
      </c>
      <c r="BY1019" s="71">
        <v>770</v>
      </c>
      <c r="BZ1019" s="71">
        <v>850</v>
      </c>
      <c r="CA1019" s="71">
        <v>1120</v>
      </c>
      <c r="CB1019" s="71">
        <v>1370</v>
      </c>
      <c r="CC1019" s="71">
        <v>1590</v>
      </c>
      <c r="CD1019" s="25"/>
      <c r="CE1019" s="200"/>
      <c r="CF1019" s="200"/>
      <c r="CG1019" s="200"/>
      <c r="CH1019" s="200"/>
      <c r="CI1019" s="200"/>
      <c r="CJ1019" s="200"/>
      <c r="CK1019" s="200"/>
      <c r="CL1019" s="200"/>
      <c r="CM1019" s="200"/>
      <c r="CN1019" s="200"/>
      <c r="CO1019" s="200"/>
      <c r="CP1019" s="200"/>
      <c r="CQ1019" s="200"/>
      <c r="CR1019" s="200"/>
      <c r="CS1019" s="200"/>
      <c r="CT1019" s="200"/>
      <c r="CU1019" s="200"/>
    </row>
    <row r="1020" spans="1:99" s="17" customFormat="1" x14ac:dyDescent="0.2">
      <c r="A1020" s="25"/>
      <c r="B1020" s="20">
        <v>39153531501</v>
      </c>
      <c r="C1020" s="20">
        <v>5315.01</v>
      </c>
      <c r="D1020" s="20" t="s">
        <v>82</v>
      </c>
      <c r="E1020" s="20" t="s">
        <v>2843</v>
      </c>
      <c r="F1020" s="20" t="s">
        <v>8</v>
      </c>
      <c r="G1020" s="861">
        <v>56.077101756339196</v>
      </c>
      <c r="H1020" s="861">
        <v>45.686596235168999</v>
      </c>
      <c r="I1020" s="861">
        <v>27.110316018527101</v>
      </c>
      <c r="J1020" s="861">
        <v>26.3896857308672</v>
      </c>
      <c r="K1020" s="982">
        <v>0</v>
      </c>
      <c r="L1020" s="735" t="s">
        <v>2466</v>
      </c>
      <c r="M1020" s="735">
        <v>4104</v>
      </c>
      <c r="N1020" s="845" t="str">
        <f t="shared" si="88"/>
        <v/>
      </c>
      <c r="O1020" s="735">
        <v>2.7107089692392452</v>
      </c>
      <c r="P1020" s="735">
        <f t="shared" si="89"/>
        <v>1513.9950642328745</v>
      </c>
      <c r="Q1020" s="849">
        <v>45.4</v>
      </c>
      <c r="R1020" s="71">
        <v>83821</v>
      </c>
      <c r="S1020" s="845">
        <v>5.665149215983814E-2</v>
      </c>
      <c r="T1020" s="845">
        <v>8.8000000000000009E-2</v>
      </c>
      <c r="U1020" s="845">
        <v>0</v>
      </c>
      <c r="V1020" s="845">
        <v>0</v>
      </c>
      <c r="W1020" s="845">
        <v>0.21014964216005205</v>
      </c>
      <c r="X1020" s="845">
        <v>0.20123839009287925</v>
      </c>
      <c r="Y1020" s="845">
        <v>0.9478557504873294</v>
      </c>
      <c r="Z1020" s="845">
        <v>7.5536062378167637E-3</v>
      </c>
      <c r="AA1020" s="845">
        <v>0</v>
      </c>
      <c r="AB1020" s="845">
        <v>4.4346978557504871E-2</v>
      </c>
      <c r="AC1020" s="845">
        <v>0</v>
      </c>
      <c r="AD1020" s="845">
        <v>0</v>
      </c>
      <c r="AE1020" s="845">
        <v>2.4366471734892786E-4</v>
      </c>
      <c r="AF1020" s="845">
        <v>3.4113060428849901E-3</v>
      </c>
      <c r="AG1020" s="845">
        <v>0.94468810916179335</v>
      </c>
      <c r="AH1020" s="20" t="str">
        <f t="shared" si="90"/>
        <v>Yes</v>
      </c>
      <c r="AI1020" s="25"/>
      <c r="AJ1020" s="37">
        <v>45656</v>
      </c>
      <c r="AK1020" s="37" t="s">
        <v>1800</v>
      </c>
      <c r="AL1020" s="37">
        <v>39053</v>
      </c>
      <c r="AM1020" s="37" t="s">
        <v>33</v>
      </c>
      <c r="AN1020" s="37" t="str">
        <f t="shared" si="91"/>
        <v>N/A</v>
      </c>
      <c r="AO1020" s="37" t="str">
        <f t="shared" si="92"/>
        <v>N/A</v>
      </c>
      <c r="AP1020" s="20" t="s">
        <v>8</v>
      </c>
      <c r="AQ1020" s="25"/>
      <c r="AR1020" s="25"/>
      <c r="AS1020" s="25"/>
      <c r="AT1020" s="25"/>
      <c r="AU1020" s="36"/>
      <c r="AV1020" s="36"/>
      <c r="AW1020" s="36"/>
      <c r="AX1020" s="25"/>
      <c r="AY1020" s="25"/>
      <c r="AZ1020" s="25"/>
      <c r="BA1020" s="25"/>
      <c r="BB1020" s="25"/>
      <c r="BC1020" s="25"/>
      <c r="BD1020" s="25"/>
      <c r="BE1020" s="25"/>
      <c r="BF1020" s="25"/>
      <c r="BG1020" s="25"/>
      <c r="BH1020" s="25"/>
      <c r="BI1020" s="25"/>
      <c r="BJ1020" s="25"/>
      <c r="BK1020" s="25"/>
      <c r="BL1020" s="25"/>
      <c r="BM1020" s="25"/>
      <c r="BN1020" s="25"/>
      <c r="BO1020" s="25"/>
      <c r="BP1020" s="25"/>
      <c r="BQ1020" s="25"/>
      <c r="BR1020" s="25"/>
      <c r="BS1020" s="25"/>
      <c r="BT1020" s="25"/>
      <c r="BU1020" s="39">
        <v>45501</v>
      </c>
      <c r="BV1020" s="39" t="s">
        <v>1762</v>
      </c>
      <c r="BW1020" s="39" t="s">
        <v>2965</v>
      </c>
      <c r="BX1020" s="39" t="s">
        <v>270</v>
      </c>
      <c r="BY1020" s="71">
        <v>770</v>
      </c>
      <c r="BZ1020" s="71">
        <v>850</v>
      </c>
      <c r="CA1020" s="71">
        <v>1110</v>
      </c>
      <c r="CB1020" s="71">
        <v>1360</v>
      </c>
      <c r="CC1020" s="71">
        <v>1580</v>
      </c>
      <c r="CD1020" s="25"/>
      <c r="CE1020" s="200"/>
      <c r="CF1020" s="200"/>
      <c r="CG1020" s="200"/>
      <c r="CH1020" s="200"/>
      <c r="CI1020" s="200"/>
      <c r="CJ1020" s="200"/>
      <c r="CK1020" s="200"/>
      <c r="CL1020" s="200"/>
      <c r="CM1020" s="200"/>
      <c r="CN1020" s="200"/>
      <c r="CO1020" s="200"/>
      <c r="CP1020" s="200"/>
      <c r="CQ1020" s="200"/>
      <c r="CR1020" s="200"/>
      <c r="CS1020" s="200"/>
      <c r="CT1020" s="200"/>
      <c r="CU1020" s="200"/>
    </row>
    <row r="1021" spans="1:99" s="17" customFormat="1" x14ac:dyDescent="0.2">
      <c r="A1021" s="25"/>
      <c r="B1021" s="20">
        <v>39169002500</v>
      </c>
      <c r="C1021" s="20">
        <v>25</v>
      </c>
      <c r="D1021" s="20" t="s">
        <v>90</v>
      </c>
      <c r="E1021" s="20" t="s">
        <v>265</v>
      </c>
      <c r="F1021" s="20" t="s">
        <v>8</v>
      </c>
      <c r="G1021" s="861">
        <v>56.063380108314298</v>
      </c>
      <c r="H1021" s="861">
        <v>59.872095737265603</v>
      </c>
      <c r="I1021" s="861">
        <v>20.8315177936901</v>
      </c>
      <c r="J1021" s="861">
        <v>39.989135792760898</v>
      </c>
      <c r="K1021" s="982">
        <v>0</v>
      </c>
      <c r="L1021" s="735">
        <v>2628</v>
      </c>
      <c r="M1021" s="735">
        <v>2605</v>
      </c>
      <c r="N1021" s="845">
        <f t="shared" si="88"/>
        <v>-8.7519025875190254E-3</v>
      </c>
      <c r="O1021" s="735">
        <v>27.291914092995587</v>
      </c>
      <c r="P1021" s="735">
        <f t="shared" si="89"/>
        <v>95.449516333798215</v>
      </c>
      <c r="Q1021" s="849">
        <v>44.1</v>
      </c>
      <c r="R1021" s="71">
        <v>63125</v>
      </c>
      <c r="S1021" s="845">
        <v>0.1557052297939778</v>
      </c>
      <c r="T1021" s="845">
        <v>1.8000000000000002E-2</v>
      </c>
      <c r="U1021" s="845">
        <v>0</v>
      </c>
      <c r="V1021" s="845">
        <v>0</v>
      </c>
      <c r="W1021" s="845">
        <v>0.20721649484536084</v>
      </c>
      <c r="X1021" s="845">
        <v>0.48258706467661694</v>
      </c>
      <c r="Y1021" s="845">
        <v>0.95777351247600773</v>
      </c>
      <c r="Z1021" s="845">
        <v>0</v>
      </c>
      <c r="AA1021" s="845">
        <v>0</v>
      </c>
      <c r="AB1021" s="845">
        <v>0</v>
      </c>
      <c r="AC1021" s="845">
        <v>0</v>
      </c>
      <c r="AD1021" s="845">
        <v>2.5719769673704415E-2</v>
      </c>
      <c r="AE1021" s="845">
        <v>1.6506717850287907E-2</v>
      </c>
      <c r="AF1021" s="845">
        <v>0</v>
      </c>
      <c r="AG1021" s="845">
        <v>0.95777351247600773</v>
      </c>
      <c r="AH1021" s="20" t="str">
        <f t="shared" si="90"/>
        <v>Yes</v>
      </c>
      <c r="AI1021" s="25"/>
      <c r="AJ1021" s="20">
        <v>45658</v>
      </c>
      <c r="AK1021" s="20" t="s">
        <v>1802</v>
      </c>
      <c r="AL1021" s="20">
        <v>39053</v>
      </c>
      <c r="AM1021" s="20" t="s">
        <v>33</v>
      </c>
      <c r="AN1021" s="37" t="str">
        <f t="shared" si="91"/>
        <v>N/A</v>
      </c>
      <c r="AO1021" s="37" t="str">
        <f t="shared" si="92"/>
        <v>N/A</v>
      </c>
      <c r="AP1021" s="20" t="s">
        <v>8</v>
      </c>
      <c r="AQ1021" s="25"/>
      <c r="AR1021" s="25"/>
      <c r="AS1021" s="25"/>
      <c r="AT1021" s="25"/>
      <c r="AU1021" s="36"/>
      <c r="AV1021" s="36"/>
      <c r="AW1021" s="36"/>
      <c r="AX1021" s="25"/>
      <c r="AY1021" s="25"/>
      <c r="AZ1021" s="25"/>
      <c r="BA1021" s="25"/>
      <c r="BB1021" s="25"/>
      <c r="BC1021" s="25"/>
      <c r="BD1021" s="25"/>
      <c r="BE1021" s="25"/>
      <c r="BF1021" s="25"/>
      <c r="BG1021" s="25"/>
      <c r="BH1021" s="25"/>
      <c r="BI1021" s="25"/>
      <c r="BJ1021" s="25"/>
      <c r="BK1021" s="25"/>
      <c r="BL1021" s="25"/>
      <c r="BM1021" s="25"/>
      <c r="BN1021" s="25"/>
      <c r="BO1021" s="25"/>
      <c r="BP1021" s="25"/>
      <c r="BQ1021" s="25"/>
      <c r="BR1021" s="25"/>
      <c r="BS1021" s="25"/>
      <c r="BT1021" s="25"/>
      <c r="BU1021" s="39">
        <v>45502</v>
      </c>
      <c r="BV1021" s="39" t="s">
        <v>1763</v>
      </c>
      <c r="BW1021" s="39" t="s">
        <v>2965</v>
      </c>
      <c r="BX1021" s="39" t="s">
        <v>270</v>
      </c>
      <c r="BY1021" s="71">
        <v>840</v>
      </c>
      <c r="BZ1021" s="71">
        <v>930</v>
      </c>
      <c r="CA1021" s="71">
        <v>1220</v>
      </c>
      <c r="CB1021" s="71">
        <v>1490</v>
      </c>
      <c r="CC1021" s="71">
        <v>1730</v>
      </c>
      <c r="CD1021" s="25"/>
      <c r="CE1021" s="200"/>
      <c r="CF1021" s="200"/>
      <c r="CG1021" s="200"/>
      <c r="CH1021" s="200"/>
      <c r="CI1021" s="200"/>
      <c r="CJ1021" s="200"/>
      <c r="CK1021" s="200"/>
      <c r="CL1021" s="200"/>
      <c r="CM1021" s="200"/>
      <c r="CN1021" s="200"/>
      <c r="CO1021" s="200"/>
      <c r="CP1021" s="200"/>
      <c r="CQ1021" s="200"/>
      <c r="CR1021" s="200"/>
      <c r="CS1021" s="200"/>
      <c r="CT1021" s="200"/>
      <c r="CU1021" s="200"/>
    </row>
    <row r="1022" spans="1:99" s="17" customFormat="1" x14ac:dyDescent="0.2">
      <c r="A1022" s="25"/>
      <c r="B1022" s="20">
        <v>39139002400</v>
      </c>
      <c r="C1022" s="20">
        <v>24</v>
      </c>
      <c r="D1022" s="20" t="s">
        <v>75</v>
      </c>
      <c r="E1022" s="20" t="s">
        <v>2836</v>
      </c>
      <c r="F1022" s="20" t="s">
        <v>8</v>
      </c>
      <c r="G1022" s="861">
        <v>56.0379970739275</v>
      </c>
      <c r="H1022" s="861">
        <v>53.499235569124103</v>
      </c>
      <c r="I1022" s="861">
        <v>23.456923858112901</v>
      </c>
      <c r="J1022" s="861">
        <v>37.735727773827399</v>
      </c>
      <c r="K1022" s="982">
        <v>0</v>
      </c>
      <c r="L1022" s="735">
        <v>5608</v>
      </c>
      <c r="M1022" s="735">
        <v>5945</v>
      </c>
      <c r="N1022" s="845">
        <f t="shared" si="88"/>
        <v>6.0092724679029957E-2</v>
      </c>
      <c r="O1022" s="735">
        <v>10.348562951511003</v>
      </c>
      <c r="P1022" s="735">
        <f t="shared" si="89"/>
        <v>574.47589852385886</v>
      </c>
      <c r="Q1022" s="849">
        <v>42.9</v>
      </c>
      <c r="R1022" s="71">
        <v>73264</v>
      </c>
      <c r="S1022" s="845">
        <v>6.1172901921132457E-2</v>
      </c>
      <c r="T1022" s="845">
        <v>4.4999999999999998E-2</v>
      </c>
      <c r="U1022" s="845">
        <v>0</v>
      </c>
      <c r="V1022" s="845">
        <v>6.4000000000000001E-2</v>
      </c>
      <c r="W1022" s="845">
        <v>0.2807017543859649</v>
      </c>
      <c r="X1022" s="845">
        <v>0.31097560975609756</v>
      </c>
      <c r="Y1022" s="845">
        <v>0.87317073170731707</v>
      </c>
      <c r="Z1022" s="845">
        <v>9.2514718250630776E-3</v>
      </c>
      <c r="AA1022" s="845">
        <v>1.009251471825063E-3</v>
      </c>
      <c r="AB1022" s="845">
        <v>4.6593776282590413E-2</v>
      </c>
      <c r="AC1022" s="845">
        <v>0</v>
      </c>
      <c r="AD1022" s="845">
        <v>4.3061396131202689E-2</v>
      </c>
      <c r="AE1022" s="845">
        <v>2.6913372582001681E-2</v>
      </c>
      <c r="AF1022" s="845">
        <v>9.587888982338099E-3</v>
      </c>
      <c r="AG1022" s="845">
        <v>0.872161480235492</v>
      </c>
      <c r="AH1022" s="20" t="str">
        <f t="shared" si="90"/>
        <v>No</v>
      </c>
      <c r="AI1022" s="25"/>
      <c r="AJ1022" s="37">
        <v>45674</v>
      </c>
      <c r="AK1022" s="37" t="s">
        <v>1812</v>
      </c>
      <c r="AL1022" s="37">
        <v>39053</v>
      </c>
      <c r="AM1022" s="37" t="s">
        <v>33</v>
      </c>
      <c r="AN1022" s="37" t="str">
        <f t="shared" si="91"/>
        <v>N/A</v>
      </c>
      <c r="AO1022" s="37" t="str">
        <f t="shared" si="92"/>
        <v>N/A</v>
      </c>
      <c r="AP1022" s="20" t="s">
        <v>8</v>
      </c>
      <c r="AQ1022" s="25"/>
      <c r="AR1022" s="25"/>
      <c r="AS1022" s="25"/>
      <c r="AT1022" s="25"/>
      <c r="AU1022" s="36"/>
      <c r="AV1022" s="36"/>
      <c r="AW1022" s="36"/>
      <c r="AX1022" s="25"/>
      <c r="AY1022" s="25"/>
      <c r="AZ1022" s="25"/>
      <c r="BA1022" s="25"/>
      <c r="BB1022" s="25"/>
      <c r="BC1022" s="25"/>
      <c r="BD1022" s="25"/>
      <c r="BE1022" s="25"/>
      <c r="BF1022" s="25"/>
      <c r="BG1022" s="25"/>
      <c r="BH1022" s="25"/>
      <c r="BI1022" s="25"/>
      <c r="BJ1022" s="25"/>
      <c r="BK1022" s="25"/>
      <c r="BL1022" s="25"/>
      <c r="BM1022" s="25"/>
      <c r="BN1022" s="25"/>
      <c r="BO1022" s="25"/>
      <c r="BP1022" s="25"/>
      <c r="BQ1022" s="25"/>
      <c r="BR1022" s="25"/>
      <c r="BS1022" s="25"/>
      <c r="BT1022" s="25"/>
      <c r="BU1022" s="39">
        <v>45503</v>
      </c>
      <c r="BV1022" s="39" t="s">
        <v>1764</v>
      </c>
      <c r="BW1022" s="39" t="s">
        <v>2965</v>
      </c>
      <c r="BX1022" s="39" t="s">
        <v>270</v>
      </c>
      <c r="BY1022" s="71">
        <v>800</v>
      </c>
      <c r="BZ1022" s="71">
        <v>880</v>
      </c>
      <c r="CA1022" s="71">
        <v>1160</v>
      </c>
      <c r="CB1022" s="71">
        <v>1420</v>
      </c>
      <c r="CC1022" s="71">
        <v>1650</v>
      </c>
      <c r="CD1022" s="25"/>
      <c r="CE1022" s="200"/>
      <c r="CF1022" s="200"/>
      <c r="CG1022" s="200"/>
      <c r="CH1022" s="200"/>
      <c r="CI1022" s="200"/>
      <c r="CJ1022" s="200"/>
      <c r="CK1022" s="200"/>
      <c r="CL1022" s="200"/>
      <c r="CM1022" s="200"/>
      <c r="CN1022" s="200"/>
      <c r="CO1022" s="200"/>
      <c r="CP1022" s="200"/>
      <c r="CQ1022" s="200"/>
      <c r="CR1022" s="200"/>
      <c r="CS1022" s="200"/>
      <c r="CT1022" s="200"/>
      <c r="CU1022" s="200"/>
    </row>
    <row r="1023" spans="1:99" s="17" customFormat="1" x14ac:dyDescent="0.2">
      <c r="A1023" s="25"/>
      <c r="B1023" s="20">
        <v>39049007811</v>
      </c>
      <c r="C1023" s="20">
        <v>78.11</v>
      </c>
      <c r="D1023" s="20" t="s">
        <v>31</v>
      </c>
      <c r="E1023" s="20" t="s">
        <v>2830</v>
      </c>
      <c r="F1023" s="20" t="s">
        <v>8</v>
      </c>
      <c r="G1023" s="861">
        <v>56.0213432482836</v>
      </c>
      <c r="H1023" s="861">
        <v>67.8909968456895</v>
      </c>
      <c r="I1023" s="861">
        <v>34.295484289684602</v>
      </c>
      <c r="J1023" s="861">
        <v>32.726908884378801</v>
      </c>
      <c r="K1023" s="982">
        <v>0</v>
      </c>
      <c r="L1023" s="735">
        <v>3552</v>
      </c>
      <c r="M1023" s="735">
        <v>4084</v>
      </c>
      <c r="N1023" s="845">
        <f t="shared" si="88"/>
        <v>0.14977477477477477</v>
      </c>
      <c r="O1023" s="735">
        <v>0.84704018197210951</v>
      </c>
      <c r="P1023" s="735">
        <f t="shared" si="89"/>
        <v>4821.4949974291467</v>
      </c>
      <c r="Q1023" s="849">
        <v>36.700000000000003</v>
      </c>
      <c r="R1023" s="71">
        <v>76028</v>
      </c>
      <c r="S1023" s="845">
        <v>0.17704757233938204</v>
      </c>
      <c r="T1023" s="845">
        <v>2.7999999999999997E-2</v>
      </c>
      <c r="U1023" s="845">
        <v>0</v>
      </c>
      <c r="V1023" s="845">
        <v>3.4000000000000002E-2</v>
      </c>
      <c r="W1023" s="845">
        <v>0.39072847682119205</v>
      </c>
      <c r="X1023" s="845">
        <v>0.44980443285528032</v>
      </c>
      <c r="Y1023" s="845">
        <v>0.84647404505386881</v>
      </c>
      <c r="Z1023" s="845">
        <v>3.2566111655239961E-2</v>
      </c>
      <c r="AA1023" s="845">
        <v>0</v>
      </c>
      <c r="AB1023" s="845">
        <v>4.9706170421155729E-2</v>
      </c>
      <c r="AC1023" s="845">
        <v>0</v>
      </c>
      <c r="AD1023" s="845">
        <v>1.6650342801175319E-2</v>
      </c>
      <c r="AE1023" s="845">
        <v>5.4603330068560232E-2</v>
      </c>
      <c r="AF1023" s="845">
        <v>5.1175318315377083E-2</v>
      </c>
      <c r="AG1023" s="845">
        <v>0.83937316356513225</v>
      </c>
      <c r="AH1023" s="20" t="str">
        <f t="shared" si="90"/>
        <v>No</v>
      </c>
      <c r="AI1023" s="25"/>
      <c r="AJ1023" s="20">
        <v>45678</v>
      </c>
      <c r="AK1023" s="20" t="s">
        <v>1814</v>
      </c>
      <c r="AL1023" s="20">
        <v>39053</v>
      </c>
      <c r="AM1023" s="20" t="s">
        <v>33</v>
      </c>
      <c r="AN1023" s="37" t="str">
        <f t="shared" si="91"/>
        <v>N/A</v>
      </c>
      <c r="AO1023" s="37" t="str">
        <f t="shared" si="92"/>
        <v>N/A</v>
      </c>
      <c r="AP1023" s="20" t="s">
        <v>8</v>
      </c>
      <c r="AQ1023" s="25"/>
      <c r="AR1023" s="25"/>
      <c r="AS1023" s="25"/>
      <c r="AT1023" s="25"/>
      <c r="AU1023" s="36"/>
      <c r="AV1023" s="36"/>
      <c r="AW1023" s="36"/>
      <c r="AX1023" s="25"/>
      <c r="AY1023" s="25"/>
      <c r="AZ1023" s="25"/>
      <c r="BA1023" s="25"/>
      <c r="BB1023" s="25"/>
      <c r="BC1023" s="25"/>
      <c r="BD1023" s="25"/>
      <c r="BE1023" s="25"/>
      <c r="BF1023" s="25"/>
      <c r="BG1023" s="25"/>
      <c r="BH1023" s="25"/>
      <c r="BI1023" s="25"/>
      <c r="BJ1023" s="25"/>
      <c r="BK1023" s="25"/>
      <c r="BL1023" s="25"/>
      <c r="BM1023" s="25"/>
      <c r="BN1023" s="25"/>
      <c r="BO1023" s="25"/>
      <c r="BP1023" s="25"/>
      <c r="BQ1023" s="25"/>
      <c r="BR1023" s="25"/>
      <c r="BS1023" s="25"/>
      <c r="BT1023" s="25"/>
      <c r="BU1023" s="39">
        <v>45504</v>
      </c>
      <c r="BV1023" s="39" t="s">
        <v>1765</v>
      </c>
      <c r="BW1023" s="39" t="s">
        <v>2965</v>
      </c>
      <c r="BX1023" s="39" t="s">
        <v>270</v>
      </c>
      <c r="BY1023" s="71">
        <v>790</v>
      </c>
      <c r="BZ1023" s="71">
        <v>880</v>
      </c>
      <c r="CA1023" s="71">
        <v>1150</v>
      </c>
      <c r="CB1023" s="71">
        <v>1410</v>
      </c>
      <c r="CC1023" s="71">
        <v>1630</v>
      </c>
      <c r="CD1023" s="25"/>
      <c r="CE1023" s="200"/>
      <c r="CF1023" s="200"/>
      <c r="CG1023" s="200"/>
      <c r="CH1023" s="200"/>
      <c r="CI1023" s="200"/>
      <c r="CJ1023" s="200"/>
      <c r="CK1023" s="200"/>
      <c r="CL1023" s="200"/>
      <c r="CM1023" s="200"/>
      <c r="CN1023" s="200"/>
      <c r="CO1023" s="200"/>
      <c r="CP1023" s="200"/>
      <c r="CQ1023" s="200"/>
      <c r="CR1023" s="200"/>
      <c r="CS1023" s="200"/>
      <c r="CT1023" s="200"/>
      <c r="CU1023" s="200"/>
    </row>
    <row r="1024" spans="1:99" s="17" customFormat="1" x14ac:dyDescent="0.2">
      <c r="A1024" s="25"/>
      <c r="B1024" s="20">
        <v>39049007301</v>
      </c>
      <c r="C1024" s="20">
        <v>73.010000000000005</v>
      </c>
      <c r="D1024" s="20" t="s">
        <v>31</v>
      </c>
      <c r="E1024" s="20" t="s">
        <v>2830</v>
      </c>
      <c r="F1024" s="20" t="s">
        <v>8</v>
      </c>
      <c r="G1024" s="861">
        <v>55.992093089303602</v>
      </c>
      <c r="H1024" s="861">
        <v>62.5999235741075</v>
      </c>
      <c r="I1024" s="861">
        <v>26.495060123450902</v>
      </c>
      <c r="J1024" s="861">
        <v>64.787106490166394</v>
      </c>
      <c r="K1024" s="982">
        <v>0</v>
      </c>
      <c r="L1024" s="735" t="s">
        <v>2466</v>
      </c>
      <c r="M1024" s="735">
        <v>6812</v>
      </c>
      <c r="N1024" s="845" t="str">
        <f t="shared" si="88"/>
        <v/>
      </c>
      <c r="O1024" s="735">
        <v>1.0637191689656058</v>
      </c>
      <c r="P1024" s="735">
        <f t="shared" si="89"/>
        <v>6403.9458898011626</v>
      </c>
      <c r="Q1024" s="849">
        <v>31.4</v>
      </c>
      <c r="R1024" s="71">
        <v>111175</v>
      </c>
      <c r="S1024" s="845">
        <v>3.992953611274222E-2</v>
      </c>
      <c r="T1024" s="845">
        <v>9.0000000000000011E-3</v>
      </c>
      <c r="U1024" s="845">
        <v>0</v>
      </c>
      <c r="V1024" s="845">
        <v>5.0999999999999997E-2</v>
      </c>
      <c r="W1024" s="845">
        <v>0.1462872387727879</v>
      </c>
      <c r="X1024" s="845">
        <v>0.38297872340425532</v>
      </c>
      <c r="Y1024" s="845">
        <v>0.62463300058719906</v>
      </c>
      <c r="Z1024" s="845">
        <v>9.5126247798003521E-2</v>
      </c>
      <c r="AA1024" s="845">
        <v>0</v>
      </c>
      <c r="AB1024" s="845">
        <v>6.8555490311215508E-2</v>
      </c>
      <c r="AC1024" s="845">
        <v>0</v>
      </c>
      <c r="AD1024" s="845">
        <v>0.12404580152671756</v>
      </c>
      <c r="AE1024" s="845">
        <v>8.7639459776864354E-2</v>
      </c>
      <c r="AF1024" s="845">
        <v>0.14239577216676452</v>
      </c>
      <c r="AG1024" s="845">
        <v>0.62463300058719906</v>
      </c>
      <c r="AH1024" s="20" t="str">
        <f t="shared" si="90"/>
        <v>No</v>
      </c>
      <c r="AI1024" s="25"/>
      <c r="AJ1024" s="20">
        <v>45685</v>
      </c>
      <c r="AK1024" s="20" t="s">
        <v>1820</v>
      </c>
      <c r="AL1024" s="20">
        <v>39053</v>
      </c>
      <c r="AM1024" s="20" t="s">
        <v>33</v>
      </c>
      <c r="AN1024" s="37" t="str">
        <f t="shared" si="91"/>
        <v>N/A</v>
      </c>
      <c r="AO1024" s="37" t="str">
        <f t="shared" si="92"/>
        <v>N/A</v>
      </c>
      <c r="AP1024" s="20" t="s">
        <v>8</v>
      </c>
      <c r="AQ1024" s="25"/>
      <c r="AR1024" s="25"/>
      <c r="AS1024" s="25"/>
      <c r="AT1024" s="25"/>
      <c r="AU1024" s="36"/>
      <c r="AV1024" s="36"/>
      <c r="AW1024" s="36"/>
      <c r="AX1024" s="25"/>
      <c r="AY1024" s="25"/>
      <c r="AZ1024" s="25"/>
      <c r="BA1024" s="25"/>
      <c r="BB1024" s="25"/>
      <c r="BC1024" s="25"/>
      <c r="BD1024" s="25"/>
      <c r="BE1024" s="25"/>
      <c r="BF1024" s="25"/>
      <c r="BG1024" s="25"/>
      <c r="BH1024" s="25"/>
      <c r="BI1024" s="25"/>
      <c r="BJ1024" s="25"/>
      <c r="BK1024" s="25"/>
      <c r="BL1024" s="25"/>
      <c r="BM1024" s="25"/>
      <c r="BN1024" s="25"/>
      <c r="BO1024" s="25"/>
      <c r="BP1024" s="25"/>
      <c r="BQ1024" s="25"/>
      <c r="BR1024" s="25"/>
      <c r="BS1024" s="25"/>
      <c r="BT1024" s="25"/>
      <c r="BU1024" s="39">
        <v>45505</v>
      </c>
      <c r="BV1024" s="39" t="s">
        <v>1766</v>
      </c>
      <c r="BW1024" s="39" t="s">
        <v>2965</v>
      </c>
      <c r="BX1024" s="39" t="s">
        <v>270</v>
      </c>
      <c r="BY1024" s="71">
        <v>740</v>
      </c>
      <c r="BZ1024" s="71">
        <v>820</v>
      </c>
      <c r="CA1024" s="71">
        <v>1070</v>
      </c>
      <c r="CB1024" s="71">
        <v>1310</v>
      </c>
      <c r="CC1024" s="71">
        <v>1520</v>
      </c>
      <c r="CD1024" s="25"/>
      <c r="CE1024" s="200"/>
      <c r="CF1024" s="200"/>
      <c r="CG1024" s="200"/>
      <c r="CH1024" s="200"/>
      <c r="CI1024" s="200"/>
      <c r="CJ1024" s="200"/>
      <c r="CK1024" s="200"/>
      <c r="CL1024" s="200"/>
      <c r="CM1024" s="200"/>
      <c r="CN1024" s="200"/>
      <c r="CO1024" s="200"/>
      <c r="CP1024" s="200"/>
      <c r="CQ1024" s="200"/>
      <c r="CR1024" s="200"/>
      <c r="CS1024" s="200"/>
      <c r="CT1024" s="200"/>
      <c r="CU1024" s="200"/>
    </row>
    <row r="1025" spans="1:99" s="17" customFormat="1" x14ac:dyDescent="0.2">
      <c r="A1025" s="25"/>
      <c r="B1025" s="20">
        <v>39049001122</v>
      </c>
      <c r="C1025" s="20">
        <v>11.22</v>
      </c>
      <c r="D1025" s="20" t="s">
        <v>31</v>
      </c>
      <c r="E1025" s="20" t="s">
        <v>2830</v>
      </c>
      <c r="F1025" s="20" t="s">
        <v>6</v>
      </c>
      <c r="G1025" s="861">
        <v>55.989609377146103</v>
      </c>
      <c r="H1025" s="861">
        <v>59.631609705589597</v>
      </c>
      <c r="I1025" s="861">
        <v>43.732826569304699</v>
      </c>
      <c r="J1025" s="861">
        <v>44.945702169213703</v>
      </c>
      <c r="K1025" s="982">
        <v>0</v>
      </c>
      <c r="L1025" s="735">
        <v>3135</v>
      </c>
      <c r="M1025" s="735">
        <v>2327</v>
      </c>
      <c r="N1025" s="845">
        <f t="shared" si="88"/>
        <v>-0.25773524720893143</v>
      </c>
      <c r="O1025" s="735">
        <v>2.335747402330739</v>
      </c>
      <c r="P1025" s="735">
        <f t="shared" si="89"/>
        <v>996.25498788010623</v>
      </c>
      <c r="Q1025" s="849">
        <v>19.600000000000001</v>
      </c>
      <c r="R1025" s="71">
        <v>46563</v>
      </c>
      <c r="S1025" s="845">
        <v>0.33828996282527879</v>
      </c>
      <c r="T1025" s="845">
        <v>0.09</v>
      </c>
      <c r="U1025" s="845">
        <v>0</v>
      </c>
      <c r="V1025" s="845">
        <v>0.18100000000000002</v>
      </c>
      <c r="W1025" s="845">
        <v>0.68921775898520088</v>
      </c>
      <c r="X1025" s="845">
        <v>0.53987730061349692</v>
      </c>
      <c r="Y1025" s="845">
        <v>0.62655779974215731</v>
      </c>
      <c r="Z1025" s="845">
        <v>5.1138805328749461E-2</v>
      </c>
      <c r="AA1025" s="845">
        <v>0</v>
      </c>
      <c r="AB1025" s="845">
        <v>0.26858616244091105</v>
      </c>
      <c r="AC1025" s="845">
        <v>0</v>
      </c>
      <c r="AD1025" s="845">
        <v>1.5040825096691019E-2</v>
      </c>
      <c r="AE1025" s="845">
        <v>3.867640739149119E-2</v>
      </c>
      <c r="AF1025" s="845">
        <v>4.8130640309411256E-2</v>
      </c>
      <c r="AG1025" s="845">
        <v>0.60936828534593901</v>
      </c>
      <c r="AH1025" s="20" t="str">
        <f t="shared" si="90"/>
        <v>No</v>
      </c>
      <c r="AI1025" s="25"/>
      <c r="AJ1025" s="37">
        <v>45686</v>
      </c>
      <c r="AK1025" s="37" t="s">
        <v>1821</v>
      </c>
      <c r="AL1025" s="37">
        <v>39053</v>
      </c>
      <c r="AM1025" s="37" t="s">
        <v>33</v>
      </c>
      <c r="AN1025" s="37" t="str">
        <f t="shared" si="91"/>
        <v>N/A</v>
      </c>
      <c r="AO1025" s="37" t="str">
        <f t="shared" si="92"/>
        <v>N/A</v>
      </c>
      <c r="AP1025" s="20" t="s">
        <v>8</v>
      </c>
      <c r="AQ1025" s="25"/>
      <c r="AR1025" s="25"/>
      <c r="AS1025" s="25"/>
      <c r="AT1025" s="25"/>
      <c r="AU1025" s="36"/>
      <c r="AV1025" s="36"/>
      <c r="AW1025" s="36"/>
      <c r="AX1025" s="25"/>
      <c r="AY1025" s="25"/>
      <c r="AZ1025" s="25"/>
      <c r="BA1025" s="25"/>
      <c r="BB1025" s="25"/>
      <c r="BC1025" s="25"/>
      <c r="BD1025" s="25"/>
      <c r="BE1025" s="25"/>
      <c r="BF1025" s="25"/>
      <c r="BG1025" s="25"/>
      <c r="BH1025" s="25"/>
      <c r="BI1025" s="25"/>
      <c r="BJ1025" s="25"/>
      <c r="BK1025" s="25"/>
      <c r="BL1025" s="25"/>
      <c r="BM1025" s="25"/>
      <c r="BN1025" s="25"/>
      <c r="BO1025" s="25"/>
      <c r="BP1025" s="25"/>
      <c r="BQ1025" s="25"/>
      <c r="BR1025" s="25"/>
      <c r="BS1025" s="25"/>
      <c r="BT1025" s="25"/>
      <c r="BU1025" s="39">
        <v>45506</v>
      </c>
      <c r="BV1025" s="39" t="s">
        <v>1767</v>
      </c>
      <c r="BW1025" s="39" t="s">
        <v>2965</v>
      </c>
      <c r="BX1025" s="39" t="s">
        <v>270</v>
      </c>
      <c r="BY1025" s="71">
        <v>770</v>
      </c>
      <c r="BZ1025" s="71">
        <v>850</v>
      </c>
      <c r="CA1025" s="71">
        <v>1120</v>
      </c>
      <c r="CB1025" s="71">
        <v>1370</v>
      </c>
      <c r="CC1025" s="71">
        <v>1590</v>
      </c>
      <c r="CD1025" s="25"/>
      <c r="CE1025" s="200"/>
      <c r="CF1025" s="200"/>
      <c r="CG1025" s="200"/>
      <c r="CH1025" s="200"/>
      <c r="CI1025" s="200"/>
      <c r="CJ1025" s="200"/>
      <c r="CK1025" s="200"/>
      <c r="CL1025" s="200"/>
      <c r="CM1025" s="200"/>
      <c r="CN1025" s="200"/>
      <c r="CO1025" s="200"/>
      <c r="CP1025" s="200"/>
      <c r="CQ1025" s="200"/>
      <c r="CR1025" s="200"/>
      <c r="CS1025" s="200"/>
      <c r="CT1025" s="200"/>
      <c r="CU1025" s="200"/>
    </row>
    <row r="1026" spans="1:99" s="17" customFormat="1" x14ac:dyDescent="0.2">
      <c r="A1026" s="25"/>
      <c r="B1026" s="20">
        <v>39025040704</v>
      </c>
      <c r="C1026" s="20">
        <v>407.04</v>
      </c>
      <c r="D1026" s="20" t="s">
        <v>19</v>
      </c>
      <c r="E1026" s="20" t="s">
        <v>2828</v>
      </c>
      <c r="F1026" s="20" t="s">
        <v>8</v>
      </c>
      <c r="G1026" s="861">
        <v>55.9790116412629</v>
      </c>
      <c r="H1026" s="861">
        <v>49.4482145886358</v>
      </c>
      <c r="I1026" s="861">
        <v>48.901765934879499</v>
      </c>
      <c r="J1026" s="861">
        <v>47.640454010027199</v>
      </c>
      <c r="K1026" s="982">
        <v>0</v>
      </c>
      <c r="L1026" s="735" t="s">
        <v>2466</v>
      </c>
      <c r="M1026" s="735">
        <v>3354</v>
      </c>
      <c r="N1026" s="845" t="str">
        <f t="shared" si="88"/>
        <v/>
      </c>
      <c r="O1026" s="735">
        <v>1.5886208064484126</v>
      </c>
      <c r="P1026" s="735">
        <f t="shared" si="89"/>
        <v>2111.2653103784678</v>
      </c>
      <c r="Q1026" s="849">
        <v>39.9</v>
      </c>
      <c r="R1026" s="71">
        <v>67003</v>
      </c>
      <c r="S1026" s="845">
        <v>3.7104072398190045E-2</v>
      </c>
      <c r="T1026" s="845">
        <v>1.4999999999999999E-2</v>
      </c>
      <c r="U1026" s="845">
        <v>0</v>
      </c>
      <c r="V1026" s="845">
        <v>6.9000000000000006E-2</v>
      </c>
      <c r="W1026" s="845">
        <v>0.47931713722915298</v>
      </c>
      <c r="X1026" s="845">
        <v>0.4589041095890411</v>
      </c>
      <c r="Y1026" s="845">
        <v>0.89594514013118665</v>
      </c>
      <c r="Z1026" s="845">
        <v>2.6237328562909959E-2</v>
      </c>
      <c r="AA1026" s="845">
        <v>2.9815146094215863E-3</v>
      </c>
      <c r="AB1026" s="845">
        <v>6.0524746571258198E-2</v>
      </c>
      <c r="AC1026" s="845">
        <v>0</v>
      </c>
      <c r="AD1026" s="845">
        <v>0</v>
      </c>
      <c r="AE1026" s="845">
        <v>1.4311270125223614E-2</v>
      </c>
      <c r="AF1026" s="845">
        <v>2.1765056648777578E-2</v>
      </c>
      <c r="AG1026" s="845">
        <v>0.87418008348240905</v>
      </c>
      <c r="AH1026" s="20" t="str">
        <f t="shared" si="90"/>
        <v>No</v>
      </c>
      <c r="AI1026" s="25"/>
      <c r="AJ1026" s="20">
        <v>45688</v>
      </c>
      <c r="AK1026" s="20" t="s">
        <v>1822</v>
      </c>
      <c r="AL1026" s="20">
        <v>39053</v>
      </c>
      <c r="AM1026" s="20" t="s">
        <v>33</v>
      </c>
      <c r="AN1026" s="37" t="str">
        <f t="shared" si="91"/>
        <v>N/A</v>
      </c>
      <c r="AO1026" s="37" t="str">
        <f t="shared" si="92"/>
        <v>N/A</v>
      </c>
      <c r="AP1026" s="20" t="s">
        <v>8</v>
      </c>
      <c r="AQ1026" s="25"/>
      <c r="AR1026" s="25"/>
      <c r="AS1026" s="25"/>
      <c r="AT1026" s="25"/>
      <c r="AU1026" s="36"/>
      <c r="AV1026" s="36"/>
      <c r="AW1026" s="36"/>
      <c r="AX1026" s="25"/>
      <c r="AY1026" s="25"/>
      <c r="AZ1026" s="25"/>
      <c r="BA1026" s="25"/>
      <c r="BB1026" s="25"/>
      <c r="BC1026" s="25"/>
      <c r="BD1026" s="25"/>
      <c r="BE1026" s="25"/>
      <c r="BF1026" s="25"/>
      <c r="BG1026" s="25"/>
      <c r="BH1026" s="25"/>
      <c r="BI1026" s="25"/>
      <c r="BJ1026" s="25"/>
      <c r="BK1026" s="25"/>
      <c r="BL1026" s="25"/>
      <c r="BM1026" s="25"/>
      <c r="BN1026" s="25"/>
      <c r="BO1026" s="25"/>
      <c r="BP1026" s="25"/>
      <c r="BQ1026" s="25"/>
      <c r="BR1026" s="25"/>
      <c r="BS1026" s="25"/>
      <c r="BT1026" s="25"/>
      <c r="BU1026" s="39">
        <v>43402</v>
      </c>
      <c r="BV1026" s="39" t="s">
        <v>906</v>
      </c>
      <c r="BW1026" s="39" t="s">
        <v>2904</v>
      </c>
      <c r="BX1026" s="39" t="s">
        <v>271</v>
      </c>
      <c r="BY1026" s="71">
        <v>770</v>
      </c>
      <c r="BZ1026" s="71">
        <v>820</v>
      </c>
      <c r="CA1026" s="71">
        <v>1080</v>
      </c>
      <c r="CB1026" s="71">
        <v>1390</v>
      </c>
      <c r="CC1026" s="71">
        <v>1460</v>
      </c>
      <c r="CD1026" s="25"/>
      <c r="CE1026" s="200"/>
      <c r="CF1026" s="200"/>
      <c r="CG1026" s="200"/>
      <c r="CH1026" s="200"/>
      <c r="CI1026" s="200"/>
      <c r="CJ1026" s="200"/>
      <c r="CK1026" s="200"/>
      <c r="CL1026" s="200"/>
      <c r="CM1026" s="200"/>
      <c r="CN1026" s="200"/>
      <c r="CO1026" s="200"/>
      <c r="CP1026" s="200"/>
      <c r="CQ1026" s="200"/>
      <c r="CR1026" s="200"/>
      <c r="CS1026" s="200"/>
      <c r="CT1026" s="200"/>
      <c r="CU1026" s="200"/>
    </row>
    <row r="1027" spans="1:99" s="17" customFormat="1" x14ac:dyDescent="0.2">
      <c r="A1027" s="25"/>
      <c r="B1027" s="20">
        <v>39097040101</v>
      </c>
      <c r="C1027" s="20">
        <v>401.01</v>
      </c>
      <c r="D1027" s="20" t="s">
        <v>54</v>
      </c>
      <c r="E1027" s="20" t="s">
        <v>2830</v>
      </c>
      <c r="F1027" s="20" t="s">
        <v>8</v>
      </c>
      <c r="G1027" s="861">
        <v>55.974561128715202</v>
      </c>
      <c r="H1027" s="861">
        <v>59.253912014271499</v>
      </c>
      <c r="I1027" s="861">
        <v>14.5576734505632</v>
      </c>
      <c r="J1027" s="861">
        <v>49.498117210439602</v>
      </c>
      <c r="K1027" s="982">
        <v>0</v>
      </c>
      <c r="L1027" s="735">
        <v>2239</v>
      </c>
      <c r="M1027" s="735">
        <v>2363</v>
      </c>
      <c r="N1027" s="845">
        <f t="shared" si="88"/>
        <v>5.5381866904868245E-2</v>
      </c>
      <c r="O1027" s="735">
        <v>57.908586692314969</v>
      </c>
      <c r="P1027" s="735">
        <f t="shared" si="89"/>
        <v>40.805692816426358</v>
      </c>
      <c r="Q1027" s="849">
        <v>41.3</v>
      </c>
      <c r="R1027" s="71">
        <v>105372</v>
      </c>
      <c r="S1027" s="845">
        <v>3.9895923677363401E-2</v>
      </c>
      <c r="T1027" s="845">
        <v>6.0000000000000001E-3</v>
      </c>
      <c r="U1027" s="845">
        <v>0</v>
      </c>
      <c r="V1027" s="845">
        <v>0</v>
      </c>
      <c r="W1027" s="845">
        <v>0.192</v>
      </c>
      <c r="X1027" s="845">
        <v>3.4722222222222224E-2</v>
      </c>
      <c r="Y1027" s="845">
        <v>0.85611510791366907</v>
      </c>
      <c r="Z1027" s="845">
        <v>0</v>
      </c>
      <c r="AA1027" s="845">
        <v>8.8870080406263218E-3</v>
      </c>
      <c r="AB1027" s="845">
        <v>2.5391451544646637E-3</v>
      </c>
      <c r="AC1027" s="845">
        <v>0</v>
      </c>
      <c r="AD1027" s="845">
        <v>2.0736352094794751E-2</v>
      </c>
      <c r="AE1027" s="845">
        <v>0.11172238679644519</v>
      </c>
      <c r="AF1027" s="845">
        <v>0.1366906474820144</v>
      </c>
      <c r="AG1027" s="845">
        <v>0.80575539568345322</v>
      </c>
      <c r="AH1027" s="20" t="str">
        <f t="shared" si="90"/>
        <v>No</v>
      </c>
      <c r="AI1027" s="25"/>
      <c r="AJ1027" s="20">
        <v>45760</v>
      </c>
      <c r="AK1027" s="20" t="s">
        <v>1857</v>
      </c>
      <c r="AL1027" s="20">
        <v>39053</v>
      </c>
      <c r="AM1027" s="20" t="s">
        <v>33</v>
      </c>
      <c r="AN1027" s="37" t="str">
        <f t="shared" si="91"/>
        <v>N/A</v>
      </c>
      <c r="AO1027" s="37" t="str">
        <f t="shared" si="92"/>
        <v>N/A</v>
      </c>
      <c r="AP1027" s="20" t="s">
        <v>8</v>
      </c>
      <c r="AQ1027" s="25"/>
      <c r="AR1027" s="25"/>
      <c r="AS1027" s="25"/>
      <c r="AT1027" s="25"/>
      <c r="AU1027" s="36"/>
      <c r="AV1027" s="36"/>
      <c r="AW1027" s="36"/>
      <c r="AX1027" s="25"/>
      <c r="AY1027" s="25"/>
      <c r="AZ1027" s="25"/>
      <c r="BA1027" s="25"/>
      <c r="BB1027" s="25"/>
      <c r="BC1027" s="25"/>
      <c r="BD1027" s="25"/>
      <c r="BE1027" s="25"/>
      <c r="BF1027" s="25"/>
      <c r="BG1027" s="25"/>
      <c r="BH1027" s="25"/>
      <c r="BI1027" s="25"/>
      <c r="BJ1027" s="25"/>
      <c r="BK1027" s="25"/>
      <c r="BL1027" s="25"/>
      <c r="BM1027" s="25"/>
      <c r="BN1027" s="25"/>
      <c r="BO1027" s="25"/>
      <c r="BP1027" s="25"/>
      <c r="BQ1027" s="25"/>
      <c r="BR1027" s="25"/>
      <c r="BS1027" s="25"/>
      <c r="BT1027" s="25"/>
      <c r="BU1027" s="39">
        <v>43403</v>
      </c>
      <c r="BV1027" s="39" t="s">
        <v>907</v>
      </c>
      <c r="BW1027" s="39" t="s">
        <v>2904</v>
      </c>
      <c r="BX1027" s="39" t="s">
        <v>271</v>
      </c>
      <c r="BY1027" s="71">
        <v>770</v>
      </c>
      <c r="BZ1027" s="71">
        <v>820</v>
      </c>
      <c r="CA1027" s="71">
        <v>1080</v>
      </c>
      <c r="CB1027" s="71">
        <v>1390</v>
      </c>
      <c r="CC1027" s="71">
        <v>1460</v>
      </c>
      <c r="CD1027" s="25"/>
      <c r="CE1027" s="200"/>
      <c r="CF1027" s="200"/>
      <c r="CG1027" s="200"/>
      <c r="CH1027" s="200"/>
      <c r="CI1027" s="200"/>
      <c r="CJ1027" s="200"/>
      <c r="CK1027" s="200"/>
      <c r="CL1027" s="200"/>
      <c r="CM1027" s="200"/>
      <c r="CN1027" s="200"/>
      <c r="CO1027" s="200"/>
      <c r="CP1027" s="200"/>
      <c r="CQ1027" s="200"/>
      <c r="CR1027" s="200"/>
      <c r="CS1027" s="200"/>
      <c r="CT1027" s="200"/>
      <c r="CU1027" s="200"/>
    </row>
    <row r="1028" spans="1:99" s="17" customFormat="1" x14ac:dyDescent="0.2">
      <c r="A1028" s="25"/>
      <c r="B1028" s="20">
        <v>39113110202</v>
      </c>
      <c r="C1028" s="20">
        <v>1102.02</v>
      </c>
      <c r="D1028" s="20" t="s">
        <v>62</v>
      </c>
      <c r="E1028" s="20" t="s">
        <v>2833</v>
      </c>
      <c r="F1028" s="20" t="s">
        <v>8</v>
      </c>
      <c r="G1028" s="861">
        <v>55.972172995944099</v>
      </c>
      <c r="H1028" s="861">
        <v>35.956295480430597</v>
      </c>
      <c r="I1028" s="861">
        <v>35.879098200025197</v>
      </c>
      <c r="J1028" s="861">
        <v>38.050718735821597</v>
      </c>
      <c r="K1028" s="982">
        <v>0</v>
      </c>
      <c r="L1028" s="735">
        <v>2837</v>
      </c>
      <c r="M1028" s="735">
        <v>3182</v>
      </c>
      <c r="N1028" s="845">
        <f t="shared" si="88"/>
        <v>0.12160733168840324</v>
      </c>
      <c r="O1028" s="735">
        <v>4.2412464974597901</v>
      </c>
      <c r="P1028" s="735">
        <f t="shared" si="89"/>
        <v>750.2511353456573</v>
      </c>
      <c r="Q1028" s="849">
        <v>42</v>
      </c>
      <c r="R1028" s="71">
        <v>66447</v>
      </c>
      <c r="S1028" s="845">
        <v>0.14604591836734693</v>
      </c>
      <c r="T1028" s="845">
        <v>0.13</v>
      </c>
      <c r="U1028" s="845">
        <v>0</v>
      </c>
      <c r="V1028" s="845">
        <v>2.2000000000000002E-2</v>
      </c>
      <c r="W1028" s="845">
        <v>0.44740437158469948</v>
      </c>
      <c r="X1028" s="845">
        <v>0.34045801526717556</v>
      </c>
      <c r="Y1028" s="845">
        <v>0.8293526084223759</v>
      </c>
      <c r="Z1028" s="845">
        <v>9.9937146448774355E-2</v>
      </c>
      <c r="AA1028" s="845">
        <v>0</v>
      </c>
      <c r="AB1028" s="845">
        <v>1.3199245757385292E-2</v>
      </c>
      <c r="AC1028" s="845">
        <v>0</v>
      </c>
      <c r="AD1028" s="845">
        <v>0</v>
      </c>
      <c r="AE1028" s="845">
        <v>5.7510999371464484E-2</v>
      </c>
      <c r="AF1028" s="845">
        <v>5.6568196103079825E-3</v>
      </c>
      <c r="AG1028" s="845">
        <v>0.8293526084223759</v>
      </c>
      <c r="AH1028" s="20" t="str">
        <f t="shared" si="90"/>
        <v>No</v>
      </c>
      <c r="AI1028" s="25"/>
      <c r="AJ1028" s="20">
        <v>43722</v>
      </c>
      <c r="AK1028" s="20" t="s">
        <v>1028</v>
      </c>
      <c r="AL1028" s="20">
        <v>39059</v>
      </c>
      <c r="AM1028" s="20" t="s">
        <v>36</v>
      </c>
      <c r="AN1028" s="37" t="str">
        <f t="shared" si="91"/>
        <v>N/A</v>
      </c>
      <c r="AO1028" s="37" t="str">
        <f t="shared" si="92"/>
        <v>N/A</v>
      </c>
      <c r="AP1028" s="20" t="s">
        <v>8</v>
      </c>
      <c r="AQ1028" s="25"/>
      <c r="AR1028" s="25"/>
      <c r="AS1028" s="25"/>
      <c r="AT1028" s="25"/>
      <c r="AU1028" s="36"/>
      <c r="AV1028" s="36"/>
      <c r="AW1028" s="36"/>
      <c r="AX1028" s="25"/>
      <c r="AY1028" s="25"/>
      <c r="AZ1028" s="25"/>
      <c r="BA1028" s="25"/>
      <c r="BB1028" s="25"/>
      <c r="BC1028" s="25"/>
      <c r="BD1028" s="25"/>
      <c r="BE1028" s="25"/>
      <c r="BF1028" s="25"/>
      <c r="BG1028" s="25"/>
      <c r="BH1028" s="25"/>
      <c r="BI1028" s="25"/>
      <c r="BJ1028" s="25"/>
      <c r="BK1028" s="25"/>
      <c r="BL1028" s="25"/>
      <c r="BM1028" s="25"/>
      <c r="BN1028" s="25"/>
      <c r="BO1028" s="25"/>
      <c r="BP1028" s="25"/>
      <c r="BQ1028" s="25"/>
      <c r="BR1028" s="25"/>
      <c r="BS1028" s="25"/>
      <c r="BT1028" s="25"/>
      <c r="BU1028" s="39">
        <v>43406</v>
      </c>
      <c r="BV1028" s="39" t="s">
        <v>908</v>
      </c>
      <c r="BW1028" s="39" t="s">
        <v>2904</v>
      </c>
      <c r="BX1028" s="39" t="s">
        <v>271</v>
      </c>
      <c r="BY1028" s="71">
        <v>700</v>
      </c>
      <c r="BZ1028" s="71">
        <v>740</v>
      </c>
      <c r="CA1028" s="71">
        <v>970</v>
      </c>
      <c r="CB1028" s="71">
        <v>1250</v>
      </c>
      <c r="CC1028" s="71">
        <v>1310</v>
      </c>
      <c r="CD1028" s="25"/>
      <c r="CE1028" s="200"/>
      <c r="CF1028" s="200"/>
      <c r="CG1028" s="200"/>
      <c r="CH1028" s="200"/>
      <c r="CI1028" s="200"/>
      <c r="CJ1028" s="200"/>
      <c r="CK1028" s="200"/>
      <c r="CL1028" s="200"/>
      <c r="CM1028" s="200"/>
      <c r="CN1028" s="200"/>
      <c r="CO1028" s="200"/>
      <c r="CP1028" s="200"/>
      <c r="CQ1028" s="200"/>
      <c r="CR1028" s="200"/>
      <c r="CS1028" s="200"/>
      <c r="CT1028" s="200"/>
      <c r="CU1028" s="200"/>
    </row>
    <row r="1029" spans="1:99" s="17" customFormat="1" x14ac:dyDescent="0.2">
      <c r="A1029" s="25"/>
      <c r="B1029" s="20">
        <v>39085206600</v>
      </c>
      <c r="C1029" s="20">
        <v>2066</v>
      </c>
      <c r="D1029" s="20" t="s">
        <v>48</v>
      </c>
      <c r="E1029" s="20" t="s">
        <v>2829</v>
      </c>
      <c r="F1029" s="20" t="s">
        <v>8</v>
      </c>
      <c r="G1029" s="861">
        <v>55.9671009050873</v>
      </c>
      <c r="H1029" s="861">
        <v>45.257276671826297</v>
      </c>
      <c r="I1029" s="861">
        <v>24.594865090006099</v>
      </c>
      <c r="J1029" s="861">
        <v>39.3666941059534</v>
      </c>
      <c r="K1029" s="982">
        <v>0</v>
      </c>
      <c r="L1029" s="735">
        <v>4680</v>
      </c>
      <c r="M1029" s="735">
        <v>4847</v>
      </c>
      <c r="N1029" s="845">
        <f t="shared" si="88"/>
        <v>3.5683760683760682E-2</v>
      </c>
      <c r="O1029" s="735">
        <v>1.0182456011352115</v>
      </c>
      <c r="P1029" s="735">
        <f t="shared" si="89"/>
        <v>4760.1482339783497</v>
      </c>
      <c r="Q1029" s="849">
        <v>44.7</v>
      </c>
      <c r="R1029" s="71">
        <v>72072</v>
      </c>
      <c r="S1029" s="845">
        <v>0.10152815574628428</v>
      </c>
      <c r="T1029" s="845">
        <v>8.4000000000000005E-2</v>
      </c>
      <c r="U1029" s="845">
        <v>1E-3</v>
      </c>
      <c r="V1029" s="845">
        <v>0</v>
      </c>
      <c r="W1029" s="845">
        <v>0.1927236971484759</v>
      </c>
      <c r="X1029" s="845">
        <v>0.43877551020408162</v>
      </c>
      <c r="Y1029" s="845">
        <v>0.90942851248194756</v>
      </c>
      <c r="Z1029" s="845">
        <v>4.0437383948834331E-2</v>
      </c>
      <c r="AA1029" s="845">
        <v>2.6820713843614609E-3</v>
      </c>
      <c r="AB1029" s="845">
        <v>4.3325768516608212E-3</v>
      </c>
      <c r="AC1029" s="845">
        <v>4.3325768516608212E-3</v>
      </c>
      <c r="AD1029" s="845">
        <v>4.1262636682484009E-3</v>
      </c>
      <c r="AE1029" s="845">
        <v>3.4660614813286569E-2</v>
      </c>
      <c r="AF1029" s="845">
        <v>2.8058592944089127E-2</v>
      </c>
      <c r="AG1029" s="845">
        <v>0.90427068289663715</v>
      </c>
      <c r="AH1029" s="20" t="str">
        <f t="shared" si="90"/>
        <v>Yes</v>
      </c>
      <c r="AI1029" s="25"/>
      <c r="AJ1029" s="37">
        <v>43723</v>
      </c>
      <c r="AK1029" s="37" t="s">
        <v>1029</v>
      </c>
      <c r="AL1029" s="37">
        <v>39059</v>
      </c>
      <c r="AM1029" s="37" t="s">
        <v>36</v>
      </c>
      <c r="AN1029" s="37" t="str">
        <f t="shared" si="91"/>
        <v>N/A</v>
      </c>
      <c r="AO1029" s="37" t="str">
        <f t="shared" si="92"/>
        <v>N/A</v>
      </c>
      <c r="AP1029" s="20" t="s">
        <v>8</v>
      </c>
      <c r="AQ1029" s="25"/>
      <c r="AR1029" s="25"/>
      <c r="AS1029" s="25"/>
      <c r="AT1029" s="25"/>
      <c r="AU1029" s="36"/>
      <c r="AV1029" s="36"/>
      <c r="AW1029" s="36"/>
      <c r="AX1029" s="25"/>
      <c r="AY1029" s="25"/>
      <c r="AZ1029" s="25"/>
      <c r="BA1029" s="25"/>
      <c r="BB1029" s="25"/>
      <c r="BC1029" s="25"/>
      <c r="BD1029" s="25"/>
      <c r="BE1029" s="25"/>
      <c r="BF1029" s="25"/>
      <c r="BG1029" s="25"/>
      <c r="BH1029" s="25"/>
      <c r="BI1029" s="25"/>
      <c r="BJ1029" s="25"/>
      <c r="BK1029" s="25"/>
      <c r="BL1029" s="25"/>
      <c r="BM1029" s="25"/>
      <c r="BN1029" s="25"/>
      <c r="BO1029" s="25"/>
      <c r="BP1029" s="25"/>
      <c r="BQ1029" s="25"/>
      <c r="BR1029" s="25"/>
      <c r="BS1029" s="25"/>
      <c r="BT1029" s="25"/>
      <c r="BU1029" s="39">
        <v>43413</v>
      </c>
      <c r="BV1029" s="39" t="s">
        <v>913</v>
      </c>
      <c r="BW1029" s="39" t="s">
        <v>2904</v>
      </c>
      <c r="BX1029" s="39" t="s">
        <v>271</v>
      </c>
      <c r="BY1029" s="71">
        <v>840</v>
      </c>
      <c r="BZ1029" s="71">
        <v>900</v>
      </c>
      <c r="CA1029" s="71">
        <v>1180</v>
      </c>
      <c r="CB1029" s="71">
        <v>1510</v>
      </c>
      <c r="CC1029" s="71">
        <v>1590</v>
      </c>
      <c r="CD1029" s="25"/>
      <c r="CE1029" s="200"/>
      <c r="CF1029" s="200"/>
      <c r="CG1029" s="200"/>
      <c r="CH1029" s="200"/>
      <c r="CI1029" s="200"/>
      <c r="CJ1029" s="200"/>
      <c r="CK1029" s="200"/>
      <c r="CL1029" s="200"/>
      <c r="CM1029" s="200"/>
      <c r="CN1029" s="200"/>
      <c r="CO1029" s="200"/>
      <c r="CP1029" s="200"/>
      <c r="CQ1029" s="200"/>
      <c r="CR1029" s="200"/>
      <c r="CS1029" s="200"/>
      <c r="CT1029" s="200"/>
      <c r="CU1029" s="200"/>
    </row>
    <row r="1030" spans="1:99" s="17" customFormat="1" x14ac:dyDescent="0.2">
      <c r="A1030" s="25"/>
      <c r="B1030" s="20">
        <v>39061020901</v>
      </c>
      <c r="C1030" s="20">
        <v>209.01</v>
      </c>
      <c r="D1030" s="20" t="s">
        <v>37</v>
      </c>
      <c r="E1030" s="20" t="s">
        <v>2828</v>
      </c>
      <c r="F1030" s="20" t="s">
        <v>8</v>
      </c>
      <c r="G1030" s="861">
        <v>55.961385166588997</v>
      </c>
      <c r="H1030" s="861">
        <v>72.125543427918302</v>
      </c>
      <c r="I1030" s="861">
        <v>41.269553589859001</v>
      </c>
      <c r="J1030" s="861">
        <v>41.985927086175501</v>
      </c>
      <c r="K1030" s="982">
        <v>0</v>
      </c>
      <c r="L1030" s="735">
        <v>3550</v>
      </c>
      <c r="M1030" s="735">
        <v>3105</v>
      </c>
      <c r="N1030" s="845">
        <f t="shared" si="88"/>
        <v>-0.12535211267605634</v>
      </c>
      <c r="O1030" s="735">
        <v>0.6186711799229071</v>
      </c>
      <c r="P1030" s="735">
        <f t="shared" si="89"/>
        <v>5018.821145647863</v>
      </c>
      <c r="Q1030" s="849">
        <v>35.299999999999997</v>
      </c>
      <c r="R1030" s="71">
        <v>53981</v>
      </c>
      <c r="S1030" s="845">
        <v>6.1432325886990803E-2</v>
      </c>
      <c r="T1030" s="845">
        <v>2.2000000000000002E-2</v>
      </c>
      <c r="U1030" s="845">
        <v>0</v>
      </c>
      <c r="V1030" s="845">
        <v>5.9000000000000004E-2</v>
      </c>
      <c r="W1030" s="845">
        <v>0.37099125364431484</v>
      </c>
      <c r="X1030" s="845">
        <v>0.52259332023575633</v>
      </c>
      <c r="Y1030" s="845">
        <v>0.77101449275362322</v>
      </c>
      <c r="Z1030" s="845">
        <v>0.1285024154589372</v>
      </c>
      <c r="AA1030" s="845">
        <v>0</v>
      </c>
      <c r="AB1030" s="845">
        <v>4.830917874396135E-3</v>
      </c>
      <c r="AC1030" s="845">
        <v>4.1867954911433171E-3</v>
      </c>
      <c r="AD1030" s="845">
        <v>9.017713365539453E-3</v>
      </c>
      <c r="AE1030" s="845">
        <v>8.2447665056360711E-2</v>
      </c>
      <c r="AF1030" s="845">
        <v>4.959742351046699E-2</v>
      </c>
      <c r="AG1030" s="845">
        <v>0.73623188405797102</v>
      </c>
      <c r="AH1030" s="20" t="str">
        <f t="shared" si="90"/>
        <v>No</v>
      </c>
      <c r="AI1030" s="25"/>
      <c r="AJ1030" s="20">
        <v>43724</v>
      </c>
      <c r="AK1030" s="20" t="s">
        <v>1030</v>
      </c>
      <c r="AL1030" s="20">
        <v>39059</v>
      </c>
      <c r="AM1030" s="20" t="s">
        <v>36</v>
      </c>
      <c r="AN1030" s="37" t="str">
        <f t="shared" si="91"/>
        <v>N/A</v>
      </c>
      <c r="AO1030" s="37" t="str">
        <f t="shared" si="92"/>
        <v>N/A</v>
      </c>
      <c r="AP1030" s="20" t="s">
        <v>8</v>
      </c>
      <c r="AQ1030" s="25"/>
      <c r="AR1030" s="25"/>
      <c r="AS1030" s="25"/>
      <c r="AT1030" s="25"/>
      <c r="AU1030" s="36"/>
      <c r="AV1030" s="36"/>
      <c r="AW1030" s="36"/>
      <c r="AX1030" s="25"/>
      <c r="AY1030" s="25"/>
      <c r="AZ1030" s="25"/>
      <c r="BA1030" s="25"/>
      <c r="BB1030" s="25"/>
      <c r="BC1030" s="25"/>
      <c r="BD1030" s="25"/>
      <c r="BE1030" s="25"/>
      <c r="BF1030" s="25"/>
      <c r="BG1030" s="25"/>
      <c r="BH1030" s="25"/>
      <c r="BI1030" s="25"/>
      <c r="BJ1030" s="25"/>
      <c r="BK1030" s="25"/>
      <c r="BL1030" s="25"/>
      <c r="BM1030" s="25"/>
      <c r="BN1030" s="25"/>
      <c r="BO1030" s="25"/>
      <c r="BP1030" s="25"/>
      <c r="BQ1030" s="25"/>
      <c r="BR1030" s="25"/>
      <c r="BS1030" s="25"/>
      <c r="BT1030" s="25"/>
      <c r="BU1030" s="39">
        <v>43414</v>
      </c>
      <c r="BV1030" s="39" t="s">
        <v>914</v>
      </c>
      <c r="BW1030" s="39" t="s">
        <v>2904</v>
      </c>
      <c r="BX1030" s="39" t="s">
        <v>271</v>
      </c>
      <c r="BY1030" s="71">
        <v>770</v>
      </c>
      <c r="BZ1030" s="71">
        <v>820</v>
      </c>
      <c r="CA1030" s="71">
        <v>1080</v>
      </c>
      <c r="CB1030" s="71">
        <v>1390</v>
      </c>
      <c r="CC1030" s="71">
        <v>1460</v>
      </c>
      <c r="CD1030" s="25"/>
      <c r="CE1030" s="200"/>
      <c r="CF1030" s="200"/>
      <c r="CG1030" s="200"/>
      <c r="CH1030" s="200"/>
      <c r="CI1030" s="200"/>
      <c r="CJ1030" s="200"/>
      <c r="CK1030" s="200"/>
      <c r="CL1030" s="200"/>
      <c r="CM1030" s="200"/>
      <c r="CN1030" s="200"/>
      <c r="CO1030" s="200"/>
      <c r="CP1030" s="200"/>
      <c r="CQ1030" s="200"/>
      <c r="CR1030" s="200"/>
      <c r="CS1030" s="200"/>
      <c r="CT1030" s="200"/>
      <c r="CU1030" s="200"/>
    </row>
    <row r="1031" spans="1:99" s="17" customFormat="1" x14ac:dyDescent="0.2">
      <c r="A1031" s="25"/>
      <c r="B1031" s="20">
        <v>39049009350</v>
      </c>
      <c r="C1031" s="20">
        <v>93.5</v>
      </c>
      <c r="D1031" s="20" t="s">
        <v>31</v>
      </c>
      <c r="E1031" s="20" t="s">
        <v>2830</v>
      </c>
      <c r="F1031" s="20" t="s">
        <v>8</v>
      </c>
      <c r="G1031" s="861">
        <v>55.956057231124397</v>
      </c>
      <c r="H1031" s="861">
        <v>64.188365540291798</v>
      </c>
      <c r="I1031" s="861">
        <v>48.250550636100598</v>
      </c>
      <c r="J1031" s="861">
        <v>45.773516392675802</v>
      </c>
      <c r="K1031" s="982">
        <v>0</v>
      </c>
      <c r="L1031" s="735">
        <v>2590</v>
      </c>
      <c r="M1031" s="735">
        <v>3079</v>
      </c>
      <c r="N1031" s="845">
        <f t="shared" si="88"/>
        <v>0.1888030888030888</v>
      </c>
      <c r="O1031" s="735">
        <v>0.68173478989446024</v>
      </c>
      <c r="P1031" s="735">
        <f t="shared" si="89"/>
        <v>4516.4190615483503</v>
      </c>
      <c r="Q1031" s="849">
        <v>37</v>
      </c>
      <c r="R1031" s="71">
        <v>59519</v>
      </c>
      <c r="S1031" s="845">
        <v>7.0152646963299772E-2</v>
      </c>
      <c r="T1031" s="845">
        <v>1.3000000000000001E-2</v>
      </c>
      <c r="U1031" s="845">
        <v>0</v>
      </c>
      <c r="V1031" s="845">
        <v>6.3E-2</v>
      </c>
      <c r="W1031" s="845">
        <v>0.54215976331360949</v>
      </c>
      <c r="X1031" s="845">
        <v>0.5443383356070941</v>
      </c>
      <c r="Y1031" s="845">
        <v>0.27021760311789544</v>
      </c>
      <c r="Z1031" s="845">
        <v>0.65638194218902246</v>
      </c>
      <c r="AA1031" s="845">
        <v>2.9230269568041572E-3</v>
      </c>
      <c r="AB1031" s="845">
        <v>0</v>
      </c>
      <c r="AC1031" s="845">
        <v>0</v>
      </c>
      <c r="AD1031" s="845">
        <v>1.9811627151672621E-2</v>
      </c>
      <c r="AE1031" s="845">
        <v>5.0665800584605389E-2</v>
      </c>
      <c r="AF1031" s="845">
        <v>4.222150048717116E-2</v>
      </c>
      <c r="AG1031" s="845">
        <v>0.27021760311789544</v>
      </c>
      <c r="AH1031" s="20" t="str">
        <f t="shared" si="90"/>
        <v>No</v>
      </c>
      <c r="AI1031" s="25"/>
      <c r="AJ1031" s="20">
        <v>43725</v>
      </c>
      <c r="AK1031" s="20" t="s">
        <v>1031</v>
      </c>
      <c r="AL1031" s="20">
        <v>39059</v>
      </c>
      <c r="AM1031" s="20" t="s">
        <v>36</v>
      </c>
      <c r="AN1031" s="37" t="str">
        <f t="shared" si="91"/>
        <v>N/A</v>
      </c>
      <c r="AO1031" s="37" t="str">
        <f t="shared" si="92"/>
        <v>N/A</v>
      </c>
      <c r="AP1031" s="20" t="s">
        <v>8</v>
      </c>
      <c r="AQ1031" s="25"/>
      <c r="AR1031" s="25"/>
      <c r="AS1031" s="25"/>
      <c r="AT1031" s="25"/>
      <c r="AU1031" s="36"/>
      <c r="AV1031" s="36"/>
      <c r="AW1031" s="36"/>
      <c r="AX1031" s="25"/>
      <c r="AY1031" s="25"/>
      <c r="AZ1031" s="25"/>
      <c r="BA1031" s="25"/>
      <c r="BB1031" s="25"/>
      <c r="BC1031" s="25"/>
      <c r="BD1031" s="25"/>
      <c r="BE1031" s="25"/>
      <c r="BF1031" s="25"/>
      <c r="BG1031" s="25"/>
      <c r="BH1031" s="25"/>
      <c r="BI1031" s="25"/>
      <c r="BJ1031" s="25"/>
      <c r="BK1031" s="25"/>
      <c r="BL1031" s="25"/>
      <c r="BM1031" s="25"/>
      <c r="BN1031" s="25"/>
      <c r="BO1031" s="25"/>
      <c r="BP1031" s="25"/>
      <c r="BQ1031" s="25"/>
      <c r="BR1031" s="25"/>
      <c r="BS1031" s="25"/>
      <c r="BT1031" s="25"/>
      <c r="BU1031" s="39">
        <v>43431</v>
      </c>
      <c r="BV1031" s="39" t="s">
        <v>918</v>
      </c>
      <c r="BW1031" s="39" t="s">
        <v>2904</v>
      </c>
      <c r="BX1031" s="39" t="s">
        <v>271</v>
      </c>
      <c r="BY1031" s="71">
        <v>680</v>
      </c>
      <c r="BZ1031" s="71">
        <v>800</v>
      </c>
      <c r="CA1031" s="71">
        <v>970</v>
      </c>
      <c r="CB1031" s="71">
        <v>1240</v>
      </c>
      <c r="CC1031" s="71">
        <v>1310</v>
      </c>
      <c r="CD1031" s="25"/>
      <c r="CE1031" s="200"/>
      <c r="CF1031" s="200"/>
      <c r="CG1031" s="200"/>
      <c r="CH1031" s="200"/>
      <c r="CI1031" s="200"/>
      <c r="CJ1031" s="200"/>
      <c r="CK1031" s="200"/>
      <c r="CL1031" s="200"/>
      <c r="CM1031" s="200"/>
      <c r="CN1031" s="200"/>
      <c r="CO1031" s="200"/>
      <c r="CP1031" s="200"/>
      <c r="CQ1031" s="200"/>
      <c r="CR1031" s="200"/>
      <c r="CS1031" s="200"/>
      <c r="CT1031" s="200"/>
      <c r="CU1031" s="200"/>
    </row>
    <row r="1032" spans="1:99" s="17" customFormat="1" x14ac:dyDescent="0.2">
      <c r="A1032" s="25"/>
      <c r="B1032" s="20">
        <v>39035177302</v>
      </c>
      <c r="C1032" s="20">
        <v>1773.02</v>
      </c>
      <c r="D1032" s="20" t="s">
        <v>24</v>
      </c>
      <c r="E1032" s="20" t="s">
        <v>2829</v>
      </c>
      <c r="F1032" s="20" t="s">
        <v>8</v>
      </c>
      <c r="G1032" s="861">
        <v>55.941063906049202</v>
      </c>
      <c r="H1032" s="861">
        <v>71.727942052415798</v>
      </c>
      <c r="I1032" s="861">
        <v>25.381249534409299</v>
      </c>
      <c r="J1032" s="861">
        <v>46.348171137359103</v>
      </c>
      <c r="K1032" s="982">
        <v>0</v>
      </c>
      <c r="L1032" s="735">
        <v>2356</v>
      </c>
      <c r="M1032" s="735">
        <v>2493</v>
      </c>
      <c r="N1032" s="845">
        <f t="shared" si="88"/>
        <v>5.8149405772495756E-2</v>
      </c>
      <c r="O1032" s="735">
        <v>0.71972338127837976</v>
      </c>
      <c r="P1032" s="735">
        <f t="shared" si="89"/>
        <v>3463.830778391427</v>
      </c>
      <c r="Q1032" s="849">
        <v>45.8</v>
      </c>
      <c r="R1032" s="71">
        <v>66080</v>
      </c>
      <c r="S1032" s="845">
        <v>5.9366225431207384E-2</v>
      </c>
      <c r="T1032" s="845">
        <v>2.4E-2</v>
      </c>
      <c r="U1032" s="845">
        <v>0</v>
      </c>
      <c r="V1032" s="845">
        <v>0</v>
      </c>
      <c r="W1032" s="845">
        <v>0.29162833486660533</v>
      </c>
      <c r="X1032" s="845">
        <v>0.37539432176656151</v>
      </c>
      <c r="Y1032" s="845">
        <v>0.85639791415964706</v>
      </c>
      <c r="Z1032" s="845">
        <v>1.9655034095467309E-2</v>
      </c>
      <c r="AA1032" s="845">
        <v>0</v>
      </c>
      <c r="AB1032" s="845">
        <v>1.1231448054552748E-2</v>
      </c>
      <c r="AC1032" s="845">
        <v>0</v>
      </c>
      <c r="AD1032" s="845">
        <v>2.0858403529883673E-2</v>
      </c>
      <c r="AE1032" s="845">
        <v>9.1857200160449251E-2</v>
      </c>
      <c r="AF1032" s="845">
        <v>0.10268752507019654</v>
      </c>
      <c r="AG1032" s="845">
        <v>0.85158443642198156</v>
      </c>
      <c r="AH1032" s="20" t="str">
        <f t="shared" si="90"/>
        <v>No</v>
      </c>
      <c r="AI1032" s="25"/>
      <c r="AJ1032" s="20">
        <v>43732</v>
      </c>
      <c r="AK1032" s="20" t="s">
        <v>1036</v>
      </c>
      <c r="AL1032" s="20">
        <v>39059</v>
      </c>
      <c r="AM1032" s="20" t="s">
        <v>36</v>
      </c>
      <c r="AN1032" s="37" t="str">
        <f t="shared" si="91"/>
        <v>N/A</v>
      </c>
      <c r="AO1032" s="37" t="str">
        <f t="shared" si="92"/>
        <v>N/A</v>
      </c>
      <c r="AP1032" s="20" t="s">
        <v>8</v>
      </c>
      <c r="AQ1032" s="25"/>
      <c r="AR1032" s="25"/>
      <c r="AS1032" s="25"/>
      <c r="AT1032" s="25"/>
      <c r="AU1032" s="36"/>
      <c r="AV1032" s="36"/>
      <c r="AW1032" s="36"/>
      <c r="AX1032" s="25"/>
      <c r="AY1032" s="25"/>
      <c r="AZ1032" s="25"/>
      <c r="BA1032" s="25"/>
      <c r="BB1032" s="25"/>
      <c r="BC1032" s="25"/>
      <c r="BD1032" s="25"/>
      <c r="BE1032" s="25"/>
      <c r="BF1032" s="25"/>
      <c r="BG1032" s="25"/>
      <c r="BH1032" s="25"/>
      <c r="BI1032" s="25"/>
      <c r="BJ1032" s="25"/>
      <c r="BK1032" s="25"/>
      <c r="BL1032" s="25"/>
      <c r="BM1032" s="25"/>
      <c r="BN1032" s="25"/>
      <c r="BO1032" s="25"/>
      <c r="BP1032" s="25"/>
      <c r="BQ1032" s="25"/>
      <c r="BR1032" s="25"/>
      <c r="BS1032" s="25"/>
      <c r="BT1032" s="25"/>
      <c r="BU1032" s="39">
        <v>43434</v>
      </c>
      <c r="BV1032" s="39" t="s">
        <v>921</v>
      </c>
      <c r="BW1032" s="39" t="s">
        <v>2904</v>
      </c>
      <c r="BX1032" s="39" t="s">
        <v>271</v>
      </c>
      <c r="BY1032" s="71">
        <v>770</v>
      </c>
      <c r="BZ1032" s="71">
        <v>820</v>
      </c>
      <c r="CA1032" s="71">
        <v>1080</v>
      </c>
      <c r="CB1032" s="71">
        <v>1390</v>
      </c>
      <c r="CC1032" s="71">
        <v>1460</v>
      </c>
      <c r="CD1032" s="25"/>
      <c r="CE1032" s="200"/>
      <c r="CF1032" s="200"/>
      <c r="CG1032" s="200"/>
      <c r="CH1032" s="200"/>
      <c r="CI1032" s="200"/>
      <c r="CJ1032" s="200"/>
      <c r="CK1032" s="200"/>
      <c r="CL1032" s="200"/>
      <c r="CM1032" s="200"/>
      <c r="CN1032" s="200"/>
      <c r="CO1032" s="200"/>
      <c r="CP1032" s="200"/>
      <c r="CQ1032" s="200"/>
      <c r="CR1032" s="200"/>
      <c r="CS1032" s="200"/>
      <c r="CT1032" s="200"/>
      <c r="CU1032" s="200"/>
    </row>
    <row r="1033" spans="1:99" s="17" customFormat="1" x14ac:dyDescent="0.2">
      <c r="A1033" s="25"/>
      <c r="B1033" s="20">
        <v>39035176200</v>
      </c>
      <c r="C1033" s="20">
        <v>1762</v>
      </c>
      <c r="D1033" s="20" t="s">
        <v>24</v>
      </c>
      <c r="E1033" s="20" t="s">
        <v>2829</v>
      </c>
      <c r="F1033" s="20" t="s">
        <v>8</v>
      </c>
      <c r="G1033" s="861">
        <v>55.940047521308699</v>
      </c>
      <c r="H1033" s="861">
        <v>55.074545967586097</v>
      </c>
      <c r="I1033" s="861">
        <v>33.013568886936902</v>
      </c>
      <c r="J1033" s="861">
        <v>44.1093633464438</v>
      </c>
      <c r="K1033" s="982">
        <v>0</v>
      </c>
      <c r="L1033" s="735">
        <v>5741</v>
      </c>
      <c r="M1033" s="735">
        <v>5305</v>
      </c>
      <c r="N1033" s="845">
        <f t="shared" si="88"/>
        <v>-7.5944957324507928E-2</v>
      </c>
      <c r="O1033" s="735">
        <v>2.0912119167991086</v>
      </c>
      <c r="P1033" s="735">
        <f t="shared" si="89"/>
        <v>2536.8065079315547</v>
      </c>
      <c r="Q1033" s="849">
        <v>44.9</v>
      </c>
      <c r="R1033" s="71">
        <v>85451</v>
      </c>
      <c r="S1033" s="845">
        <v>6.9762960107920602E-2</v>
      </c>
      <c r="T1033" s="845">
        <v>2.6000000000000002E-2</v>
      </c>
      <c r="U1033" s="845">
        <v>0</v>
      </c>
      <c r="V1033" s="845">
        <v>0</v>
      </c>
      <c r="W1033" s="845">
        <v>0.2060483870967742</v>
      </c>
      <c r="X1033" s="845">
        <v>0.4227005870841487</v>
      </c>
      <c r="Y1033" s="845">
        <v>0.87917059377945339</v>
      </c>
      <c r="Z1033" s="845">
        <v>3.0160226201696512E-2</v>
      </c>
      <c r="AA1033" s="845">
        <v>0</v>
      </c>
      <c r="AB1033" s="845">
        <v>1.8661639962299716E-2</v>
      </c>
      <c r="AC1033" s="845">
        <v>0</v>
      </c>
      <c r="AD1033" s="845">
        <v>0</v>
      </c>
      <c r="AE1033" s="845">
        <v>7.2007540056550426E-2</v>
      </c>
      <c r="AF1033" s="845">
        <v>7.426955702167766E-2</v>
      </c>
      <c r="AG1033" s="845">
        <v>0.86767200754005658</v>
      </c>
      <c r="AH1033" s="20" t="str">
        <f t="shared" si="90"/>
        <v>No</v>
      </c>
      <c r="AI1033" s="25"/>
      <c r="AJ1033" s="20">
        <v>43733</v>
      </c>
      <c r="AK1033" s="20" t="s">
        <v>1037</v>
      </c>
      <c r="AL1033" s="20">
        <v>39059</v>
      </c>
      <c r="AM1033" s="20" t="s">
        <v>36</v>
      </c>
      <c r="AN1033" s="37" t="str">
        <f t="shared" si="91"/>
        <v>N/A</v>
      </c>
      <c r="AO1033" s="37" t="str">
        <f t="shared" si="92"/>
        <v>N/A</v>
      </c>
      <c r="AP1033" s="20" t="s">
        <v>8</v>
      </c>
      <c r="AQ1033" s="25"/>
      <c r="AR1033" s="25"/>
      <c r="AS1033" s="25"/>
      <c r="AT1033" s="25"/>
      <c r="AU1033" s="36"/>
      <c r="AV1033" s="36"/>
      <c r="AW1033" s="36"/>
      <c r="AX1033" s="25"/>
      <c r="AY1033" s="25"/>
      <c r="AZ1033" s="25"/>
      <c r="BA1033" s="25"/>
      <c r="BB1033" s="25"/>
      <c r="BC1033" s="25"/>
      <c r="BD1033" s="25"/>
      <c r="BE1033" s="25"/>
      <c r="BF1033" s="25"/>
      <c r="BG1033" s="25"/>
      <c r="BH1033" s="25"/>
      <c r="BI1033" s="25"/>
      <c r="BJ1033" s="25"/>
      <c r="BK1033" s="25"/>
      <c r="BL1033" s="25"/>
      <c r="BM1033" s="25"/>
      <c r="BN1033" s="25"/>
      <c r="BO1033" s="25"/>
      <c r="BP1033" s="25"/>
      <c r="BQ1033" s="25"/>
      <c r="BR1033" s="25"/>
      <c r="BS1033" s="25"/>
      <c r="BT1033" s="25"/>
      <c r="BU1033" s="39">
        <v>43437</v>
      </c>
      <c r="BV1033" s="39" t="s">
        <v>924</v>
      </c>
      <c r="BW1033" s="39" t="s">
        <v>2904</v>
      </c>
      <c r="BX1033" s="39" t="s">
        <v>271</v>
      </c>
      <c r="BY1033" s="71">
        <v>770</v>
      </c>
      <c r="BZ1033" s="71">
        <v>820</v>
      </c>
      <c r="CA1033" s="71">
        <v>1080</v>
      </c>
      <c r="CB1033" s="71">
        <v>1390</v>
      </c>
      <c r="CC1033" s="71">
        <v>1460</v>
      </c>
      <c r="CD1033" s="25"/>
      <c r="CE1033" s="200"/>
      <c r="CF1033" s="200"/>
      <c r="CG1033" s="200"/>
      <c r="CH1033" s="200"/>
      <c r="CI1033" s="200"/>
      <c r="CJ1033" s="200"/>
      <c r="CK1033" s="200"/>
      <c r="CL1033" s="200"/>
      <c r="CM1033" s="200"/>
      <c r="CN1033" s="200"/>
      <c r="CO1033" s="200"/>
      <c r="CP1033" s="200"/>
      <c r="CQ1033" s="200"/>
      <c r="CR1033" s="200"/>
      <c r="CS1033" s="200"/>
      <c r="CT1033" s="200"/>
      <c r="CU1033" s="200"/>
    </row>
    <row r="1034" spans="1:99" s="17" customFormat="1" x14ac:dyDescent="0.2">
      <c r="A1034" s="25"/>
      <c r="B1034" s="20">
        <v>39109330100</v>
      </c>
      <c r="C1034" s="20">
        <v>3301</v>
      </c>
      <c r="D1034" s="20" t="s">
        <v>60</v>
      </c>
      <c r="E1034" s="20" t="s">
        <v>2833</v>
      </c>
      <c r="F1034" s="20" t="s">
        <v>8</v>
      </c>
      <c r="G1034" s="861">
        <v>55.924217272790798</v>
      </c>
      <c r="H1034" s="861">
        <v>63.959554256285898</v>
      </c>
      <c r="I1034" s="861">
        <v>18.366898756162598</v>
      </c>
      <c r="J1034" s="861">
        <v>54.659035607530399</v>
      </c>
      <c r="K1034" s="982">
        <v>0</v>
      </c>
      <c r="L1034" s="735">
        <v>3418</v>
      </c>
      <c r="M1034" s="735">
        <v>3528</v>
      </c>
      <c r="N1034" s="845">
        <f t="shared" si="88"/>
        <v>3.2182562902282039E-2</v>
      </c>
      <c r="O1034" s="735">
        <v>41.700653598753398</v>
      </c>
      <c r="P1034" s="735">
        <f t="shared" si="89"/>
        <v>84.602990493786081</v>
      </c>
      <c r="Q1034" s="849">
        <v>43.6</v>
      </c>
      <c r="R1034" s="71">
        <v>81563</v>
      </c>
      <c r="S1034" s="845">
        <v>0.10157819225251076</v>
      </c>
      <c r="T1034" s="845">
        <v>1.7000000000000001E-2</v>
      </c>
      <c r="U1034" s="845">
        <v>6.9999999999999993E-3</v>
      </c>
      <c r="V1034" s="845">
        <v>0</v>
      </c>
      <c r="W1034" s="845">
        <v>0.22467320261437909</v>
      </c>
      <c r="X1034" s="845">
        <v>0.27272727272727271</v>
      </c>
      <c r="Y1034" s="845">
        <v>0.95266439909297052</v>
      </c>
      <c r="Z1034" s="845">
        <v>8.5034013605442174E-4</v>
      </c>
      <c r="AA1034" s="845">
        <v>0</v>
      </c>
      <c r="AB1034" s="845">
        <v>0</v>
      </c>
      <c r="AC1034" s="845">
        <v>0</v>
      </c>
      <c r="AD1034" s="845">
        <v>1.1054421768707483E-2</v>
      </c>
      <c r="AE1034" s="845">
        <v>3.5430839002267574E-2</v>
      </c>
      <c r="AF1034" s="845">
        <v>9.9206349206349201E-3</v>
      </c>
      <c r="AG1034" s="845">
        <v>0.95181405895691606</v>
      </c>
      <c r="AH1034" s="20" t="str">
        <f t="shared" si="90"/>
        <v>Yes</v>
      </c>
      <c r="AI1034" s="25"/>
      <c r="AJ1034" s="37">
        <v>43736</v>
      </c>
      <c r="AK1034" s="37" t="s">
        <v>1040</v>
      </c>
      <c r="AL1034" s="37">
        <v>39059</v>
      </c>
      <c r="AM1034" s="37" t="s">
        <v>36</v>
      </c>
      <c r="AN1034" s="37" t="str">
        <f t="shared" si="91"/>
        <v>N/A</v>
      </c>
      <c r="AO1034" s="37" t="str">
        <f t="shared" si="92"/>
        <v>N/A</v>
      </c>
      <c r="AP1034" s="20" t="s">
        <v>8</v>
      </c>
      <c r="AQ1034" s="25"/>
      <c r="AR1034" s="25"/>
      <c r="AS1034" s="25"/>
      <c r="AT1034" s="25"/>
      <c r="AU1034" s="36"/>
      <c r="AV1034" s="36"/>
      <c r="AW1034" s="36"/>
      <c r="AX1034" s="25"/>
      <c r="AY1034" s="25"/>
      <c r="AZ1034" s="25"/>
      <c r="BA1034" s="25"/>
      <c r="BB1034" s="25"/>
      <c r="BC1034" s="25"/>
      <c r="BD1034" s="25"/>
      <c r="BE1034" s="25"/>
      <c r="BF1034" s="25"/>
      <c r="BG1034" s="25"/>
      <c r="BH1034" s="25"/>
      <c r="BI1034" s="25"/>
      <c r="BJ1034" s="25"/>
      <c r="BK1034" s="25"/>
      <c r="BL1034" s="25"/>
      <c r="BM1034" s="25"/>
      <c r="BN1034" s="25"/>
      <c r="BO1034" s="25"/>
      <c r="BP1034" s="25"/>
      <c r="BQ1034" s="25"/>
      <c r="BR1034" s="25"/>
      <c r="BS1034" s="25"/>
      <c r="BT1034" s="25"/>
      <c r="BU1034" s="39">
        <v>43443</v>
      </c>
      <c r="BV1034" s="39" t="s">
        <v>929</v>
      </c>
      <c r="BW1034" s="39" t="s">
        <v>2904</v>
      </c>
      <c r="BX1034" s="39" t="s">
        <v>271</v>
      </c>
      <c r="BY1034" s="71">
        <v>730</v>
      </c>
      <c r="BZ1034" s="71">
        <v>780</v>
      </c>
      <c r="CA1034" s="71">
        <v>1020</v>
      </c>
      <c r="CB1034" s="71">
        <v>1310</v>
      </c>
      <c r="CC1034" s="71">
        <v>1380</v>
      </c>
      <c r="CD1034" s="25"/>
      <c r="CE1034" s="200"/>
      <c r="CF1034" s="200"/>
      <c r="CG1034" s="200"/>
      <c r="CH1034" s="200"/>
      <c r="CI1034" s="200"/>
      <c r="CJ1034" s="200"/>
      <c r="CK1034" s="200"/>
      <c r="CL1034" s="200"/>
      <c r="CM1034" s="200"/>
      <c r="CN1034" s="200"/>
      <c r="CO1034" s="200"/>
      <c r="CP1034" s="200"/>
      <c r="CQ1034" s="200"/>
      <c r="CR1034" s="200"/>
      <c r="CS1034" s="200"/>
      <c r="CT1034" s="200"/>
      <c r="CU1034" s="200"/>
    </row>
    <row r="1035" spans="1:99" s="17" customFormat="1" x14ac:dyDescent="0.2">
      <c r="A1035" s="25"/>
      <c r="B1035" s="20">
        <v>39035140400</v>
      </c>
      <c r="C1035" s="20">
        <v>1404</v>
      </c>
      <c r="D1035" s="20" t="s">
        <v>24</v>
      </c>
      <c r="E1035" s="20" t="s">
        <v>2829</v>
      </c>
      <c r="F1035" s="20" t="s">
        <v>8</v>
      </c>
      <c r="G1035" s="861">
        <v>55.916975903080903</v>
      </c>
      <c r="H1035" s="861">
        <v>70.411208881092307</v>
      </c>
      <c r="I1035" s="861">
        <v>50.226777660746599</v>
      </c>
      <c r="J1035" s="861">
        <v>40.203974702032497</v>
      </c>
      <c r="K1035" s="982">
        <v>0</v>
      </c>
      <c r="L1035" s="735">
        <v>3012</v>
      </c>
      <c r="M1035" s="735">
        <v>3824</v>
      </c>
      <c r="N1035" s="845">
        <f t="shared" ref="N1035:N1098" si="93">IF(OR(L1035="",M1035=""),"",(M1035-L1035)/L1035)</f>
        <v>0.26958831341301459</v>
      </c>
      <c r="O1035" s="735">
        <v>0.44653834337486592</v>
      </c>
      <c r="P1035" s="735">
        <f t="shared" ref="P1035:P1098" si="94">M1035/O1035</f>
        <v>8563.6542902426136</v>
      </c>
      <c r="Q1035" s="849">
        <v>36.9</v>
      </c>
      <c r="R1035" s="71">
        <v>80927</v>
      </c>
      <c r="S1035" s="845">
        <v>5.2562761506276152E-2</v>
      </c>
      <c r="T1035" s="845">
        <v>9.4E-2</v>
      </c>
      <c r="U1035" s="845">
        <v>5.4000000000000006E-2</v>
      </c>
      <c r="V1035" s="845">
        <v>0</v>
      </c>
      <c r="W1035" s="845">
        <v>0.24615384615384617</v>
      </c>
      <c r="X1035" s="845">
        <v>0.51190476190476186</v>
      </c>
      <c r="Y1035" s="845">
        <v>0.41788702928870292</v>
      </c>
      <c r="Z1035" s="845">
        <v>0.45920502092050208</v>
      </c>
      <c r="AA1035" s="845">
        <v>0</v>
      </c>
      <c r="AB1035" s="845">
        <v>6.956066945606694E-2</v>
      </c>
      <c r="AC1035" s="845">
        <v>0</v>
      </c>
      <c r="AD1035" s="845">
        <v>1.2552301255230125E-2</v>
      </c>
      <c r="AE1035" s="845">
        <v>4.079497907949791E-2</v>
      </c>
      <c r="AF1035" s="845">
        <v>2.3274058577405856E-2</v>
      </c>
      <c r="AG1035" s="845">
        <v>0.41788702928870292</v>
      </c>
      <c r="AH1035" s="20" t="str">
        <f t="shared" ref="AH1035:AH1098" si="95">IF(AG1035&gt;=0.9,"Yes","No")</f>
        <v>No</v>
      </c>
      <c r="AI1035" s="25"/>
      <c r="AJ1035" s="20">
        <v>43749</v>
      </c>
      <c r="AK1035" s="20" t="s">
        <v>1047</v>
      </c>
      <c r="AL1035" s="20">
        <v>39059</v>
      </c>
      <c r="AM1035" s="20" t="s">
        <v>36</v>
      </c>
      <c r="AN1035" s="37" t="str">
        <f t="shared" ref="AN1035:AN1098" si="96">VLOOKUP(AM1035,$CY$11:$DA$98,2,FALSE)</f>
        <v>N/A</v>
      </c>
      <c r="AO1035" s="37" t="str">
        <f t="shared" ref="AO1035:AO1098" si="97">VLOOKUP(AM1035,$CY$11:$DA$98,3,FALSE)</f>
        <v>N/A</v>
      </c>
      <c r="AP1035" s="20" t="s">
        <v>8</v>
      </c>
      <c r="AQ1035" s="25"/>
      <c r="AR1035" s="25"/>
      <c r="AS1035" s="25"/>
      <c r="AT1035" s="25"/>
      <c r="AU1035" s="36"/>
      <c r="AV1035" s="36"/>
      <c r="AW1035" s="36"/>
      <c r="AX1035" s="25"/>
      <c r="AY1035" s="25"/>
      <c r="AZ1035" s="25"/>
      <c r="BA1035" s="25"/>
      <c r="BB1035" s="25"/>
      <c r="BC1035" s="25"/>
      <c r="BD1035" s="25"/>
      <c r="BE1035" s="25"/>
      <c r="BF1035" s="25"/>
      <c r="BG1035" s="25"/>
      <c r="BH1035" s="25"/>
      <c r="BI1035" s="25"/>
      <c r="BJ1035" s="25"/>
      <c r="BK1035" s="25"/>
      <c r="BL1035" s="25"/>
      <c r="BM1035" s="25"/>
      <c r="BN1035" s="25"/>
      <c r="BO1035" s="25"/>
      <c r="BP1035" s="25"/>
      <c r="BQ1035" s="25"/>
      <c r="BR1035" s="25"/>
      <c r="BS1035" s="25"/>
      <c r="BT1035" s="25"/>
      <c r="BU1035" s="39">
        <v>43450</v>
      </c>
      <c r="BV1035" s="39" t="s">
        <v>934</v>
      </c>
      <c r="BW1035" s="39" t="s">
        <v>2904</v>
      </c>
      <c r="BX1035" s="39" t="s">
        <v>271</v>
      </c>
      <c r="BY1035" s="71">
        <v>1090</v>
      </c>
      <c r="BZ1035" s="71">
        <v>1160</v>
      </c>
      <c r="CA1035" s="71">
        <v>1520</v>
      </c>
      <c r="CB1035" s="71">
        <v>1950</v>
      </c>
      <c r="CC1035" s="71">
        <v>2050</v>
      </c>
      <c r="CD1035" s="25"/>
      <c r="CE1035" s="200"/>
      <c r="CF1035" s="200"/>
      <c r="CG1035" s="200"/>
      <c r="CH1035" s="200"/>
      <c r="CI1035" s="200"/>
      <c r="CJ1035" s="200"/>
      <c r="CK1035" s="200"/>
      <c r="CL1035" s="200"/>
      <c r="CM1035" s="200"/>
      <c r="CN1035" s="200"/>
      <c r="CO1035" s="200"/>
      <c r="CP1035" s="200"/>
      <c r="CQ1035" s="200"/>
      <c r="CR1035" s="200"/>
      <c r="CS1035" s="200"/>
      <c r="CT1035" s="200"/>
      <c r="CU1035" s="200"/>
    </row>
    <row r="1036" spans="1:99" s="17" customFormat="1" x14ac:dyDescent="0.2">
      <c r="A1036" s="25"/>
      <c r="B1036" s="20">
        <v>39061006502</v>
      </c>
      <c r="C1036" s="20">
        <v>65.02</v>
      </c>
      <c r="D1036" s="20" t="s">
        <v>37</v>
      </c>
      <c r="E1036" s="20" t="s">
        <v>2828</v>
      </c>
      <c r="F1036" s="20" t="s">
        <v>8</v>
      </c>
      <c r="G1036" s="861">
        <v>55.914310727639801</v>
      </c>
      <c r="H1036" s="861">
        <v>69.484684220667404</v>
      </c>
      <c r="I1036" s="861">
        <v>43.8475306828188</v>
      </c>
      <c r="J1036" s="861">
        <v>63.783784557323301</v>
      </c>
      <c r="K1036" s="982">
        <v>0</v>
      </c>
      <c r="L1036" s="735" t="s">
        <v>2466</v>
      </c>
      <c r="M1036" s="735">
        <v>2981</v>
      </c>
      <c r="N1036" s="845" t="str">
        <f t="shared" si="93"/>
        <v/>
      </c>
      <c r="O1036" s="735">
        <v>0.91501578360527691</v>
      </c>
      <c r="P1036" s="735">
        <f t="shared" si="94"/>
        <v>3257.8672995721299</v>
      </c>
      <c r="Q1036" s="849">
        <v>40.200000000000003</v>
      </c>
      <c r="R1036" s="71">
        <v>75872</v>
      </c>
      <c r="S1036" s="845">
        <v>9.9630996309963096E-2</v>
      </c>
      <c r="T1036" s="845">
        <v>0.106</v>
      </c>
      <c r="U1036" s="845">
        <v>5.2999999999999999E-2</v>
      </c>
      <c r="V1036" s="845">
        <v>7.8E-2</v>
      </c>
      <c r="W1036" s="845">
        <v>0.43134535367545074</v>
      </c>
      <c r="X1036" s="845">
        <v>0.545016077170418</v>
      </c>
      <c r="Y1036" s="845">
        <v>0.54847366655484742</v>
      </c>
      <c r="Z1036" s="845">
        <v>0.33076148943307615</v>
      </c>
      <c r="AA1036" s="845">
        <v>0</v>
      </c>
      <c r="AB1036" s="845">
        <v>3.2539416303253944E-2</v>
      </c>
      <c r="AC1036" s="845">
        <v>1.4760147601476014E-2</v>
      </c>
      <c r="AD1036" s="845">
        <v>0</v>
      </c>
      <c r="AE1036" s="845">
        <v>7.3465280107346528E-2</v>
      </c>
      <c r="AF1036" s="845">
        <v>3.2203958403220392E-2</v>
      </c>
      <c r="AG1036" s="845">
        <v>0.53404897685340491</v>
      </c>
      <c r="AH1036" s="20" t="str">
        <f t="shared" si="95"/>
        <v>No</v>
      </c>
      <c r="AI1036" s="25"/>
      <c r="AJ1036" s="20">
        <v>43750</v>
      </c>
      <c r="AK1036" s="20" t="s">
        <v>1048</v>
      </c>
      <c r="AL1036" s="20">
        <v>39059</v>
      </c>
      <c r="AM1036" s="20" t="s">
        <v>36</v>
      </c>
      <c r="AN1036" s="37" t="str">
        <f t="shared" si="96"/>
        <v>N/A</v>
      </c>
      <c r="AO1036" s="37" t="str">
        <f t="shared" si="97"/>
        <v>N/A</v>
      </c>
      <c r="AP1036" s="20" t="s">
        <v>8</v>
      </c>
      <c r="AQ1036" s="25"/>
      <c r="AR1036" s="25"/>
      <c r="AS1036" s="25"/>
      <c r="AT1036" s="25"/>
      <c r="AU1036" s="36"/>
      <c r="AV1036" s="36"/>
      <c r="AW1036" s="36"/>
      <c r="AX1036" s="25"/>
      <c r="AY1036" s="25"/>
      <c r="AZ1036" s="25"/>
      <c r="BA1036" s="25"/>
      <c r="BB1036" s="25"/>
      <c r="BC1036" s="25"/>
      <c r="BD1036" s="25"/>
      <c r="BE1036" s="25"/>
      <c r="BF1036" s="25"/>
      <c r="BG1036" s="25"/>
      <c r="BH1036" s="25"/>
      <c r="BI1036" s="25"/>
      <c r="BJ1036" s="25"/>
      <c r="BK1036" s="25"/>
      <c r="BL1036" s="25"/>
      <c r="BM1036" s="25"/>
      <c r="BN1036" s="25"/>
      <c r="BO1036" s="25"/>
      <c r="BP1036" s="25"/>
      <c r="BQ1036" s="25"/>
      <c r="BR1036" s="25"/>
      <c r="BS1036" s="25"/>
      <c r="BT1036" s="25"/>
      <c r="BU1036" s="39">
        <v>43451</v>
      </c>
      <c r="BV1036" s="39" t="s">
        <v>935</v>
      </c>
      <c r="BW1036" s="39" t="s">
        <v>2904</v>
      </c>
      <c r="BX1036" s="39" t="s">
        <v>271</v>
      </c>
      <c r="BY1036" s="71">
        <v>700</v>
      </c>
      <c r="BZ1036" s="71">
        <v>740</v>
      </c>
      <c r="CA1036" s="71">
        <v>970</v>
      </c>
      <c r="CB1036" s="71">
        <v>1250</v>
      </c>
      <c r="CC1036" s="71">
        <v>1310</v>
      </c>
      <c r="CD1036" s="25"/>
      <c r="CE1036" s="200"/>
      <c r="CF1036" s="200"/>
      <c r="CG1036" s="200"/>
      <c r="CH1036" s="200"/>
      <c r="CI1036" s="200"/>
      <c r="CJ1036" s="200"/>
      <c r="CK1036" s="200"/>
      <c r="CL1036" s="200"/>
      <c r="CM1036" s="200"/>
      <c r="CN1036" s="200"/>
      <c r="CO1036" s="200"/>
      <c r="CP1036" s="200"/>
      <c r="CQ1036" s="200"/>
      <c r="CR1036" s="200"/>
      <c r="CS1036" s="200"/>
      <c r="CT1036" s="200"/>
      <c r="CU1036" s="200"/>
    </row>
    <row r="1037" spans="1:99" s="17" customFormat="1" x14ac:dyDescent="0.2">
      <c r="A1037" s="25"/>
      <c r="B1037" s="20">
        <v>39153520201</v>
      </c>
      <c r="C1037" s="20">
        <v>5202.01</v>
      </c>
      <c r="D1037" s="20" t="s">
        <v>82</v>
      </c>
      <c r="E1037" s="20" t="s">
        <v>2843</v>
      </c>
      <c r="F1037" s="20" t="s">
        <v>8</v>
      </c>
      <c r="G1037" s="861">
        <v>55.897037576240102</v>
      </c>
      <c r="H1037" s="861">
        <v>67.642369992135102</v>
      </c>
      <c r="I1037" s="861">
        <v>29.751986921609301</v>
      </c>
      <c r="J1037" s="861">
        <v>41.366091037609202</v>
      </c>
      <c r="K1037" s="982">
        <v>0</v>
      </c>
      <c r="L1037" s="735">
        <v>2834</v>
      </c>
      <c r="M1037" s="735">
        <v>3131</v>
      </c>
      <c r="N1037" s="845">
        <f t="shared" si="93"/>
        <v>0.10479887085391673</v>
      </c>
      <c r="O1037" s="735">
        <v>0.81718830747836912</v>
      </c>
      <c r="P1037" s="735">
        <f t="shared" si="94"/>
        <v>3831.4302485083917</v>
      </c>
      <c r="Q1037" s="849">
        <v>37.299999999999997</v>
      </c>
      <c r="R1037" s="71">
        <v>80000</v>
      </c>
      <c r="S1037" s="845">
        <v>4.1200894282976686E-2</v>
      </c>
      <c r="T1037" s="845">
        <v>0.01</v>
      </c>
      <c r="U1037" s="845">
        <v>0</v>
      </c>
      <c r="V1037" s="845">
        <v>0</v>
      </c>
      <c r="W1037" s="845">
        <v>0.25288184438040345</v>
      </c>
      <c r="X1037" s="845">
        <v>0.3504273504273504</v>
      </c>
      <c r="Y1037" s="845">
        <v>0.96103481315873518</v>
      </c>
      <c r="Z1037" s="845">
        <v>2.0121366975407218E-2</v>
      </c>
      <c r="AA1037" s="845">
        <v>0</v>
      </c>
      <c r="AB1037" s="845">
        <v>0</v>
      </c>
      <c r="AC1037" s="845">
        <v>0</v>
      </c>
      <c r="AD1037" s="845">
        <v>0</v>
      </c>
      <c r="AE1037" s="845">
        <v>1.8843819865857554E-2</v>
      </c>
      <c r="AF1037" s="845">
        <v>1.8843819865857554E-2</v>
      </c>
      <c r="AG1037" s="845">
        <v>0.95273075694666243</v>
      </c>
      <c r="AH1037" s="20" t="str">
        <f t="shared" si="95"/>
        <v>Yes</v>
      </c>
      <c r="AI1037" s="25"/>
      <c r="AJ1037" s="20">
        <v>43755</v>
      </c>
      <c r="AK1037" s="20" t="s">
        <v>1050</v>
      </c>
      <c r="AL1037" s="20">
        <v>39059</v>
      </c>
      <c r="AM1037" s="20" t="s">
        <v>36</v>
      </c>
      <c r="AN1037" s="37" t="str">
        <f t="shared" si="96"/>
        <v>N/A</v>
      </c>
      <c r="AO1037" s="37" t="str">
        <f t="shared" si="97"/>
        <v>N/A</v>
      </c>
      <c r="AP1037" s="20" t="s">
        <v>8</v>
      </c>
      <c r="AQ1037" s="25"/>
      <c r="AR1037" s="25"/>
      <c r="AS1037" s="25"/>
      <c r="AT1037" s="25"/>
      <c r="AU1037" s="36"/>
      <c r="AV1037" s="36"/>
      <c r="AW1037" s="36"/>
      <c r="AX1037" s="25"/>
      <c r="AY1037" s="25"/>
      <c r="AZ1037" s="25"/>
      <c r="BA1037" s="25"/>
      <c r="BB1037" s="25"/>
      <c r="BC1037" s="25"/>
      <c r="BD1037" s="25"/>
      <c r="BE1037" s="25"/>
      <c r="BF1037" s="25"/>
      <c r="BG1037" s="25"/>
      <c r="BH1037" s="25"/>
      <c r="BI1037" s="25"/>
      <c r="BJ1037" s="25"/>
      <c r="BK1037" s="25"/>
      <c r="BL1037" s="25"/>
      <c r="BM1037" s="25"/>
      <c r="BN1037" s="25"/>
      <c r="BO1037" s="25"/>
      <c r="BP1037" s="25"/>
      <c r="BQ1037" s="25"/>
      <c r="BR1037" s="25"/>
      <c r="BS1037" s="25"/>
      <c r="BT1037" s="25"/>
      <c r="BU1037" s="39">
        <v>43457</v>
      </c>
      <c r="BV1037" s="39" t="s">
        <v>938</v>
      </c>
      <c r="BW1037" s="39" t="s">
        <v>2904</v>
      </c>
      <c r="BX1037" s="39" t="s">
        <v>271</v>
      </c>
      <c r="BY1037" s="71">
        <v>690</v>
      </c>
      <c r="BZ1037" s="71">
        <v>760</v>
      </c>
      <c r="CA1037" s="71">
        <v>970</v>
      </c>
      <c r="CB1037" s="71">
        <v>1240</v>
      </c>
      <c r="CC1037" s="71">
        <v>1310</v>
      </c>
      <c r="CD1037" s="25"/>
      <c r="CE1037" s="200"/>
      <c r="CF1037" s="200"/>
      <c r="CG1037" s="200"/>
      <c r="CH1037" s="200"/>
      <c r="CI1037" s="200"/>
      <c r="CJ1037" s="200"/>
      <c r="CK1037" s="200"/>
      <c r="CL1037" s="200"/>
      <c r="CM1037" s="200"/>
      <c r="CN1037" s="200"/>
      <c r="CO1037" s="200"/>
      <c r="CP1037" s="200"/>
      <c r="CQ1037" s="200"/>
      <c r="CR1037" s="200"/>
      <c r="CS1037" s="200"/>
      <c r="CT1037" s="200"/>
      <c r="CU1037" s="200"/>
    </row>
    <row r="1038" spans="1:99" s="17" customFormat="1" x14ac:dyDescent="0.2">
      <c r="A1038" s="25"/>
      <c r="B1038" s="20">
        <v>39035178201</v>
      </c>
      <c r="C1038" s="20">
        <v>1782.01</v>
      </c>
      <c r="D1038" s="20" t="s">
        <v>24</v>
      </c>
      <c r="E1038" s="20" t="s">
        <v>2829</v>
      </c>
      <c r="F1038" s="20" t="s">
        <v>8</v>
      </c>
      <c r="G1038" s="861">
        <v>55.8875112068813</v>
      </c>
      <c r="H1038" s="861">
        <v>71.003811315877201</v>
      </c>
      <c r="I1038" s="861">
        <v>37.056393392578101</v>
      </c>
      <c r="J1038" s="861">
        <v>45.282276004959698</v>
      </c>
      <c r="K1038" s="982">
        <v>0</v>
      </c>
      <c r="L1038" s="735">
        <v>3453</v>
      </c>
      <c r="M1038" s="735">
        <v>3036</v>
      </c>
      <c r="N1038" s="845">
        <f t="shared" si="93"/>
        <v>-0.12076455256298871</v>
      </c>
      <c r="O1038" s="735">
        <v>0.78960632757499416</v>
      </c>
      <c r="P1038" s="735">
        <f t="shared" si="94"/>
        <v>3844.9539903308983</v>
      </c>
      <c r="Q1038" s="849">
        <v>43.3</v>
      </c>
      <c r="R1038" s="71">
        <v>59939</v>
      </c>
      <c r="S1038" s="845">
        <v>0.16061312895701432</v>
      </c>
      <c r="T1038" s="845">
        <v>3.6000000000000004E-2</v>
      </c>
      <c r="U1038" s="845">
        <v>6.0999999999999999E-2</v>
      </c>
      <c r="V1038" s="845">
        <v>4.4000000000000004E-2</v>
      </c>
      <c r="W1038" s="845">
        <v>0.24313462826523777</v>
      </c>
      <c r="X1038" s="845">
        <v>0.66391184573002759</v>
      </c>
      <c r="Y1038" s="845">
        <v>0.87450592885375489</v>
      </c>
      <c r="Z1038" s="845">
        <v>7.6416337285902497E-2</v>
      </c>
      <c r="AA1038" s="845">
        <v>0</v>
      </c>
      <c r="AB1038" s="845">
        <v>2.30566534914361E-3</v>
      </c>
      <c r="AC1038" s="845">
        <v>0</v>
      </c>
      <c r="AD1038" s="845">
        <v>7.9051383399209481E-3</v>
      </c>
      <c r="AE1038" s="845">
        <v>3.8866930171278E-2</v>
      </c>
      <c r="AF1038" s="845">
        <v>4.61133069828722E-2</v>
      </c>
      <c r="AG1038" s="845">
        <v>0.8554018445322793</v>
      </c>
      <c r="AH1038" s="20" t="str">
        <f t="shared" si="95"/>
        <v>No</v>
      </c>
      <c r="AI1038" s="25"/>
      <c r="AJ1038" s="20">
        <v>43762</v>
      </c>
      <c r="AK1038" s="20" t="s">
        <v>1056</v>
      </c>
      <c r="AL1038" s="20">
        <v>39059</v>
      </c>
      <c r="AM1038" s="20" t="s">
        <v>36</v>
      </c>
      <c r="AN1038" s="37" t="str">
        <f t="shared" si="96"/>
        <v>N/A</v>
      </c>
      <c r="AO1038" s="37" t="str">
        <f t="shared" si="97"/>
        <v>N/A</v>
      </c>
      <c r="AP1038" s="20" t="s">
        <v>8</v>
      </c>
      <c r="AQ1038" s="25"/>
      <c r="AR1038" s="25"/>
      <c r="AS1038" s="25"/>
      <c r="AT1038" s="25"/>
      <c r="AU1038" s="36"/>
      <c r="AV1038" s="36"/>
      <c r="AW1038" s="36"/>
      <c r="AX1038" s="25"/>
      <c r="AY1038" s="25"/>
      <c r="AZ1038" s="25"/>
      <c r="BA1038" s="25"/>
      <c r="BB1038" s="25"/>
      <c r="BC1038" s="25"/>
      <c r="BD1038" s="25"/>
      <c r="BE1038" s="25"/>
      <c r="BF1038" s="25"/>
      <c r="BG1038" s="25"/>
      <c r="BH1038" s="25"/>
      <c r="BI1038" s="25"/>
      <c r="BJ1038" s="25"/>
      <c r="BK1038" s="25"/>
      <c r="BL1038" s="25"/>
      <c r="BM1038" s="25"/>
      <c r="BN1038" s="25"/>
      <c r="BO1038" s="25"/>
      <c r="BP1038" s="25"/>
      <c r="BQ1038" s="25"/>
      <c r="BR1038" s="25"/>
      <c r="BS1038" s="25"/>
      <c r="BT1038" s="25"/>
      <c r="BU1038" s="39">
        <v>43460</v>
      </c>
      <c r="BV1038" s="39" t="s">
        <v>940</v>
      </c>
      <c r="BW1038" s="39" t="s">
        <v>2904</v>
      </c>
      <c r="BX1038" s="39" t="s">
        <v>271</v>
      </c>
      <c r="BY1038" s="71">
        <v>710</v>
      </c>
      <c r="BZ1038" s="71">
        <v>750</v>
      </c>
      <c r="CA1038" s="71">
        <v>990</v>
      </c>
      <c r="CB1038" s="71">
        <v>1270</v>
      </c>
      <c r="CC1038" s="71">
        <v>1340</v>
      </c>
      <c r="CD1038" s="25"/>
      <c r="CE1038" s="200"/>
      <c r="CF1038" s="200"/>
      <c r="CG1038" s="200"/>
      <c r="CH1038" s="200"/>
      <c r="CI1038" s="200"/>
      <c r="CJ1038" s="200"/>
      <c r="CK1038" s="200"/>
      <c r="CL1038" s="200"/>
      <c r="CM1038" s="200"/>
      <c r="CN1038" s="200"/>
      <c r="CO1038" s="200"/>
      <c r="CP1038" s="200"/>
      <c r="CQ1038" s="200"/>
      <c r="CR1038" s="200"/>
      <c r="CS1038" s="200"/>
      <c r="CT1038" s="200"/>
      <c r="CU1038" s="200"/>
    </row>
    <row r="1039" spans="1:99" s="17" customFormat="1" x14ac:dyDescent="0.2">
      <c r="A1039" s="25"/>
      <c r="B1039" s="20">
        <v>39109365002</v>
      </c>
      <c r="C1039" s="20">
        <v>3650.02</v>
      </c>
      <c r="D1039" s="20" t="s">
        <v>60</v>
      </c>
      <c r="E1039" s="20" t="s">
        <v>2833</v>
      </c>
      <c r="F1039" s="20" t="s">
        <v>8</v>
      </c>
      <c r="G1039" s="861">
        <v>55.845234440398798</v>
      </c>
      <c r="H1039" s="861">
        <v>49.433773639176401</v>
      </c>
      <c r="I1039" s="861">
        <v>26.2582681642895</v>
      </c>
      <c r="J1039" s="861">
        <v>45.571390963228502</v>
      </c>
      <c r="K1039" s="982">
        <v>0</v>
      </c>
      <c r="L1039" s="735" t="s">
        <v>2466</v>
      </c>
      <c r="M1039" s="735">
        <v>4909</v>
      </c>
      <c r="N1039" s="845" t="str">
        <f t="shared" si="93"/>
        <v/>
      </c>
      <c r="O1039" s="735">
        <v>10.308197901340945</v>
      </c>
      <c r="P1039" s="735">
        <f t="shared" si="94"/>
        <v>476.22290986103508</v>
      </c>
      <c r="Q1039" s="849">
        <v>44.4</v>
      </c>
      <c r="R1039" s="71">
        <v>70016</v>
      </c>
      <c r="S1039" s="845">
        <v>7.8234917927947137E-2</v>
      </c>
      <c r="T1039" s="845">
        <v>2.5000000000000001E-2</v>
      </c>
      <c r="U1039" s="845">
        <v>0</v>
      </c>
      <c r="V1039" s="845">
        <v>6.9000000000000006E-2</v>
      </c>
      <c r="W1039" s="845">
        <v>0.42625169147496617</v>
      </c>
      <c r="X1039" s="845">
        <v>0.37037037037037035</v>
      </c>
      <c r="Y1039" s="845">
        <v>0.87512731717254022</v>
      </c>
      <c r="Z1039" s="845">
        <v>5.0519454063964145E-2</v>
      </c>
      <c r="AA1039" s="845">
        <v>0</v>
      </c>
      <c r="AB1039" s="845">
        <v>0</v>
      </c>
      <c r="AC1039" s="845">
        <v>0</v>
      </c>
      <c r="AD1039" s="845">
        <v>1.8333672845793441E-3</v>
      </c>
      <c r="AE1039" s="845">
        <v>7.2519861478916273E-2</v>
      </c>
      <c r="AF1039" s="845">
        <v>3.0963536361784477E-2</v>
      </c>
      <c r="AG1039" s="845">
        <v>0.87105316765125285</v>
      </c>
      <c r="AH1039" s="20" t="str">
        <f t="shared" si="95"/>
        <v>No</v>
      </c>
      <c r="AI1039" s="25"/>
      <c r="AJ1039" s="20">
        <v>43768</v>
      </c>
      <c r="AK1039" s="20" t="s">
        <v>1060</v>
      </c>
      <c r="AL1039" s="20">
        <v>39059</v>
      </c>
      <c r="AM1039" s="20" t="s">
        <v>36</v>
      </c>
      <c r="AN1039" s="37" t="str">
        <f t="shared" si="96"/>
        <v>N/A</v>
      </c>
      <c r="AO1039" s="37" t="str">
        <f t="shared" si="97"/>
        <v>N/A</v>
      </c>
      <c r="AP1039" s="20" t="s">
        <v>8</v>
      </c>
      <c r="AQ1039" s="25"/>
      <c r="AR1039" s="25"/>
      <c r="AS1039" s="25"/>
      <c r="AT1039" s="25"/>
      <c r="AU1039" s="36"/>
      <c r="AV1039" s="36"/>
      <c r="AW1039" s="36"/>
      <c r="AX1039" s="25"/>
      <c r="AY1039" s="25"/>
      <c r="AZ1039" s="25"/>
      <c r="BA1039" s="25"/>
      <c r="BB1039" s="25"/>
      <c r="BC1039" s="25"/>
      <c r="BD1039" s="25"/>
      <c r="BE1039" s="25"/>
      <c r="BF1039" s="25"/>
      <c r="BG1039" s="25"/>
      <c r="BH1039" s="25"/>
      <c r="BI1039" s="25"/>
      <c r="BJ1039" s="25"/>
      <c r="BK1039" s="25"/>
      <c r="BL1039" s="25"/>
      <c r="BM1039" s="25"/>
      <c r="BN1039" s="25"/>
      <c r="BO1039" s="25"/>
      <c r="BP1039" s="25"/>
      <c r="BQ1039" s="25"/>
      <c r="BR1039" s="25"/>
      <c r="BS1039" s="25"/>
      <c r="BT1039" s="25"/>
      <c r="BU1039" s="39">
        <v>43462</v>
      </c>
      <c r="BV1039" s="39" t="s">
        <v>941</v>
      </c>
      <c r="BW1039" s="39" t="s">
        <v>2904</v>
      </c>
      <c r="BX1039" s="39" t="s">
        <v>271</v>
      </c>
      <c r="BY1039" s="71">
        <v>760</v>
      </c>
      <c r="BZ1039" s="71">
        <v>820</v>
      </c>
      <c r="CA1039" s="71">
        <v>1070</v>
      </c>
      <c r="CB1039" s="71">
        <v>1370</v>
      </c>
      <c r="CC1039" s="71">
        <v>1450</v>
      </c>
      <c r="CD1039" s="25"/>
      <c r="CE1039" s="200"/>
      <c r="CF1039" s="200"/>
      <c r="CG1039" s="200"/>
      <c r="CH1039" s="200"/>
      <c r="CI1039" s="200"/>
      <c r="CJ1039" s="200"/>
      <c r="CK1039" s="200"/>
      <c r="CL1039" s="200"/>
      <c r="CM1039" s="200"/>
      <c r="CN1039" s="200"/>
      <c r="CO1039" s="200"/>
      <c r="CP1039" s="200"/>
      <c r="CQ1039" s="200"/>
      <c r="CR1039" s="200"/>
      <c r="CS1039" s="200"/>
      <c r="CT1039" s="200"/>
      <c r="CU1039" s="200"/>
    </row>
    <row r="1040" spans="1:99" s="17" customFormat="1" x14ac:dyDescent="0.2">
      <c r="A1040" s="25"/>
      <c r="B1040" s="20">
        <v>39033974700</v>
      </c>
      <c r="C1040" s="20">
        <v>9747</v>
      </c>
      <c r="D1040" s="20" t="s">
        <v>23</v>
      </c>
      <c r="E1040" s="20" t="s">
        <v>265</v>
      </c>
      <c r="F1040" s="20" t="s">
        <v>8</v>
      </c>
      <c r="G1040" s="861">
        <v>55.844080345542601</v>
      </c>
      <c r="H1040" s="861">
        <v>53.612069562390403</v>
      </c>
      <c r="I1040" s="861">
        <v>18.207484490247001</v>
      </c>
      <c r="J1040" s="861">
        <v>44.6316047311145</v>
      </c>
      <c r="K1040" s="982">
        <v>0</v>
      </c>
      <c r="L1040" s="735">
        <v>3996</v>
      </c>
      <c r="M1040" s="735">
        <v>4075</v>
      </c>
      <c r="N1040" s="845">
        <f t="shared" si="93"/>
        <v>1.9769769769769768E-2</v>
      </c>
      <c r="O1040" s="735">
        <v>81.319125437992838</v>
      </c>
      <c r="P1040" s="735">
        <f t="shared" si="94"/>
        <v>50.111212805740934</v>
      </c>
      <c r="Q1040" s="849">
        <v>47.7</v>
      </c>
      <c r="R1040" s="71">
        <v>77953</v>
      </c>
      <c r="S1040" s="845">
        <v>5.2553663952627686E-2</v>
      </c>
      <c r="T1040" s="845">
        <v>4.0999999999999995E-2</v>
      </c>
      <c r="U1040" s="845">
        <v>0</v>
      </c>
      <c r="V1040" s="845">
        <v>0</v>
      </c>
      <c r="W1040" s="845">
        <v>0.13977204559088183</v>
      </c>
      <c r="X1040" s="845">
        <v>4.2918454935622317E-3</v>
      </c>
      <c r="Y1040" s="845">
        <v>0.96736196319018408</v>
      </c>
      <c r="Z1040" s="845">
        <v>8.8343558282208585E-3</v>
      </c>
      <c r="AA1040" s="845">
        <v>0</v>
      </c>
      <c r="AB1040" s="845">
        <v>0</v>
      </c>
      <c r="AC1040" s="845">
        <v>0</v>
      </c>
      <c r="AD1040" s="845">
        <v>2.4539877300613498E-3</v>
      </c>
      <c r="AE1040" s="845">
        <v>2.1349693251533741E-2</v>
      </c>
      <c r="AF1040" s="845">
        <v>2.2085889570552146E-3</v>
      </c>
      <c r="AG1040" s="845">
        <v>0.96736196319018408</v>
      </c>
      <c r="AH1040" s="20" t="str">
        <f t="shared" si="95"/>
        <v>Yes</v>
      </c>
      <c r="AI1040" s="25"/>
      <c r="AJ1040" s="20">
        <v>43772</v>
      </c>
      <c r="AK1040" s="20" t="s">
        <v>1062</v>
      </c>
      <c r="AL1040" s="20">
        <v>39059</v>
      </c>
      <c r="AM1040" s="20" t="s">
        <v>36</v>
      </c>
      <c r="AN1040" s="37" t="str">
        <f t="shared" si="96"/>
        <v>N/A</v>
      </c>
      <c r="AO1040" s="37" t="str">
        <f t="shared" si="97"/>
        <v>N/A</v>
      </c>
      <c r="AP1040" s="20" t="s">
        <v>8</v>
      </c>
      <c r="AQ1040" s="25"/>
      <c r="AR1040" s="25"/>
      <c r="AS1040" s="25"/>
      <c r="AT1040" s="25"/>
      <c r="AU1040" s="36"/>
      <c r="AV1040" s="36"/>
      <c r="AW1040" s="36"/>
      <c r="AX1040" s="25"/>
      <c r="AY1040" s="25"/>
      <c r="AZ1040" s="25"/>
      <c r="BA1040" s="25"/>
      <c r="BB1040" s="25"/>
      <c r="BC1040" s="25"/>
      <c r="BD1040" s="25"/>
      <c r="BE1040" s="25"/>
      <c r="BF1040" s="25"/>
      <c r="BG1040" s="25"/>
      <c r="BH1040" s="25"/>
      <c r="BI1040" s="25"/>
      <c r="BJ1040" s="25"/>
      <c r="BK1040" s="25"/>
      <c r="BL1040" s="25"/>
      <c r="BM1040" s="25"/>
      <c r="BN1040" s="25"/>
      <c r="BO1040" s="25"/>
      <c r="BP1040" s="25"/>
      <c r="BQ1040" s="25"/>
      <c r="BR1040" s="25"/>
      <c r="BS1040" s="25"/>
      <c r="BT1040" s="25"/>
      <c r="BU1040" s="39">
        <v>43463</v>
      </c>
      <c r="BV1040" s="39" t="s">
        <v>942</v>
      </c>
      <c r="BW1040" s="39" t="s">
        <v>2904</v>
      </c>
      <c r="BX1040" s="39" t="s">
        <v>271</v>
      </c>
      <c r="BY1040" s="71">
        <v>720</v>
      </c>
      <c r="BZ1040" s="71">
        <v>780</v>
      </c>
      <c r="CA1040" s="71">
        <v>1020</v>
      </c>
      <c r="CB1040" s="71">
        <v>1350</v>
      </c>
      <c r="CC1040" s="71">
        <v>1430</v>
      </c>
      <c r="CD1040" s="25"/>
      <c r="CE1040" s="200"/>
      <c r="CF1040" s="200"/>
      <c r="CG1040" s="200"/>
      <c r="CH1040" s="200"/>
      <c r="CI1040" s="200"/>
      <c r="CJ1040" s="200"/>
      <c r="CK1040" s="200"/>
      <c r="CL1040" s="200"/>
      <c r="CM1040" s="200"/>
      <c r="CN1040" s="200"/>
      <c r="CO1040" s="200"/>
      <c r="CP1040" s="200"/>
      <c r="CQ1040" s="200"/>
      <c r="CR1040" s="200"/>
      <c r="CS1040" s="200"/>
      <c r="CT1040" s="200"/>
      <c r="CU1040" s="200"/>
    </row>
    <row r="1041" spans="1:99" s="17" customFormat="1" x14ac:dyDescent="0.2">
      <c r="A1041" s="25"/>
      <c r="B1041" s="20">
        <v>39085201800</v>
      </c>
      <c r="C1041" s="20">
        <v>2018</v>
      </c>
      <c r="D1041" s="20" t="s">
        <v>48</v>
      </c>
      <c r="E1041" s="20" t="s">
        <v>2829</v>
      </c>
      <c r="F1041" s="20" t="s">
        <v>8</v>
      </c>
      <c r="G1041" s="861">
        <v>55.824297275923001</v>
      </c>
      <c r="H1041" s="861">
        <v>56.199471456201103</v>
      </c>
      <c r="I1041" s="861">
        <v>34.0026640657968</v>
      </c>
      <c r="J1041" s="861">
        <v>50.650145455776197</v>
      </c>
      <c r="K1041" s="982">
        <v>0</v>
      </c>
      <c r="L1041" s="735">
        <v>3508</v>
      </c>
      <c r="M1041" s="735">
        <v>3661</v>
      </c>
      <c r="N1041" s="845">
        <f t="shared" si="93"/>
        <v>4.3614595210946405E-2</v>
      </c>
      <c r="O1041" s="735">
        <v>0.74205398572273762</v>
      </c>
      <c r="P1041" s="735">
        <f t="shared" si="94"/>
        <v>4933.6033097838554</v>
      </c>
      <c r="Q1041" s="849">
        <v>46.7</v>
      </c>
      <c r="R1041" s="71">
        <v>70052</v>
      </c>
      <c r="S1041" s="845">
        <v>7.0745697896749518E-2</v>
      </c>
      <c r="T1041" s="845">
        <v>7.8E-2</v>
      </c>
      <c r="U1041" s="845">
        <v>0</v>
      </c>
      <c r="V1041" s="845">
        <v>0</v>
      </c>
      <c r="W1041" s="845">
        <v>9.3237032173342088E-2</v>
      </c>
      <c r="X1041" s="845">
        <v>0.18309859154929578</v>
      </c>
      <c r="Y1041" s="845">
        <v>0.90439770554493304</v>
      </c>
      <c r="Z1041" s="845">
        <v>4.9713193116634802E-2</v>
      </c>
      <c r="AA1041" s="845">
        <v>0</v>
      </c>
      <c r="AB1041" s="845">
        <v>0</v>
      </c>
      <c r="AC1041" s="845">
        <v>0</v>
      </c>
      <c r="AD1041" s="845">
        <v>9.2870800327779293E-3</v>
      </c>
      <c r="AE1041" s="845">
        <v>3.6602021305654195E-2</v>
      </c>
      <c r="AF1041" s="845">
        <v>4.1245561322043156E-2</v>
      </c>
      <c r="AG1041" s="845">
        <v>0.90139306200491665</v>
      </c>
      <c r="AH1041" s="20" t="str">
        <f t="shared" si="95"/>
        <v>Yes</v>
      </c>
      <c r="AI1041" s="25"/>
      <c r="AJ1041" s="37">
        <v>43773</v>
      </c>
      <c r="AK1041" s="37" t="s">
        <v>1063</v>
      </c>
      <c r="AL1041" s="37">
        <v>39059</v>
      </c>
      <c r="AM1041" s="37" t="s">
        <v>36</v>
      </c>
      <c r="AN1041" s="37" t="str">
        <f t="shared" si="96"/>
        <v>N/A</v>
      </c>
      <c r="AO1041" s="37" t="str">
        <f t="shared" si="97"/>
        <v>N/A</v>
      </c>
      <c r="AP1041" s="20" t="s">
        <v>8</v>
      </c>
      <c r="AQ1041" s="25"/>
      <c r="AR1041" s="25"/>
      <c r="AS1041" s="25"/>
      <c r="AT1041" s="25"/>
      <c r="AU1041" s="36"/>
      <c r="AV1041" s="36"/>
      <c r="AW1041" s="36"/>
      <c r="AX1041" s="25"/>
      <c r="AY1041" s="25"/>
      <c r="AZ1041" s="25"/>
      <c r="BA1041" s="25"/>
      <c r="BB1041" s="25"/>
      <c r="BC1041" s="25"/>
      <c r="BD1041" s="25"/>
      <c r="BE1041" s="25"/>
      <c r="BF1041" s="25"/>
      <c r="BG1041" s="25"/>
      <c r="BH1041" s="25"/>
      <c r="BI1041" s="25"/>
      <c r="BJ1041" s="25"/>
      <c r="BK1041" s="25"/>
      <c r="BL1041" s="25"/>
      <c r="BM1041" s="25"/>
      <c r="BN1041" s="25"/>
      <c r="BO1041" s="25"/>
      <c r="BP1041" s="25"/>
      <c r="BQ1041" s="25"/>
      <c r="BR1041" s="25"/>
      <c r="BS1041" s="25"/>
      <c r="BT1041" s="25"/>
      <c r="BU1041" s="39">
        <v>43465</v>
      </c>
      <c r="BV1041" s="39" t="s">
        <v>944</v>
      </c>
      <c r="BW1041" s="39" t="s">
        <v>2904</v>
      </c>
      <c r="BX1041" s="39" t="s">
        <v>271</v>
      </c>
      <c r="BY1041" s="71">
        <v>740</v>
      </c>
      <c r="BZ1041" s="71">
        <v>780</v>
      </c>
      <c r="CA1041" s="71">
        <v>1030</v>
      </c>
      <c r="CB1041" s="71">
        <v>1320</v>
      </c>
      <c r="CC1041" s="71">
        <v>1390</v>
      </c>
      <c r="CD1041" s="25"/>
      <c r="CE1041" s="200"/>
      <c r="CF1041" s="200"/>
      <c r="CG1041" s="200"/>
      <c r="CH1041" s="200"/>
      <c r="CI1041" s="200"/>
      <c r="CJ1041" s="200"/>
      <c r="CK1041" s="200"/>
      <c r="CL1041" s="200"/>
      <c r="CM1041" s="200"/>
      <c r="CN1041" s="200"/>
      <c r="CO1041" s="200"/>
      <c r="CP1041" s="200"/>
      <c r="CQ1041" s="200"/>
      <c r="CR1041" s="200"/>
      <c r="CS1041" s="200"/>
      <c r="CT1041" s="200"/>
      <c r="CU1041" s="200"/>
    </row>
    <row r="1042" spans="1:99" s="17" customFormat="1" x14ac:dyDescent="0.2">
      <c r="A1042" s="25"/>
      <c r="B1042" s="20">
        <v>39035123100</v>
      </c>
      <c r="C1042" s="20">
        <v>1231</v>
      </c>
      <c r="D1042" s="20" t="s">
        <v>24</v>
      </c>
      <c r="E1042" s="20" t="s">
        <v>2829</v>
      </c>
      <c r="F1042" s="20" t="s">
        <v>8</v>
      </c>
      <c r="G1042" s="861">
        <v>55.816681606448803</v>
      </c>
      <c r="H1042" s="861">
        <v>71.968742265470993</v>
      </c>
      <c r="I1042" s="861">
        <v>30.536214186262399</v>
      </c>
      <c r="J1042" s="861">
        <v>47.766090544764801</v>
      </c>
      <c r="K1042" s="982">
        <v>0</v>
      </c>
      <c r="L1042" s="735">
        <v>2575</v>
      </c>
      <c r="M1042" s="735">
        <v>2651</v>
      </c>
      <c r="N1042" s="845">
        <f t="shared" si="93"/>
        <v>2.9514563106796118E-2</v>
      </c>
      <c r="O1042" s="735">
        <v>0.45593143668910513</v>
      </c>
      <c r="P1042" s="735">
        <f t="shared" si="94"/>
        <v>5814.4707442222043</v>
      </c>
      <c r="Q1042" s="849">
        <v>43</v>
      </c>
      <c r="R1042" s="71">
        <v>97292</v>
      </c>
      <c r="S1042" s="845">
        <v>0.10278945357279327</v>
      </c>
      <c r="T1042" s="845">
        <v>6.7000000000000004E-2</v>
      </c>
      <c r="U1042" s="845">
        <v>6.9999999999999993E-3</v>
      </c>
      <c r="V1042" s="845">
        <v>0</v>
      </c>
      <c r="W1042" s="845">
        <v>0.25394321766561512</v>
      </c>
      <c r="X1042" s="845">
        <v>0.49068322981366458</v>
      </c>
      <c r="Y1042" s="845">
        <v>0.86986043002640512</v>
      </c>
      <c r="Z1042" s="845">
        <v>4.0739343643907959E-2</v>
      </c>
      <c r="AA1042" s="845">
        <v>0</v>
      </c>
      <c r="AB1042" s="845">
        <v>0</v>
      </c>
      <c r="AC1042" s="845">
        <v>0</v>
      </c>
      <c r="AD1042" s="845">
        <v>4.5265937382119956E-3</v>
      </c>
      <c r="AE1042" s="845">
        <v>8.4873632591474915E-2</v>
      </c>
      <c r="AF1042" s="845">
        <v>4.7906450396076952E-2</v>
      </c>
      <c r="AG1042" s="845">
        <v>0.86684270086759718</v>
      </c>
      <c r="AH1042" s="20" t="str">
        <f t="shared" si="95"/>
        <v>No</v>
      </c>
      <c r="AI1042" s="25"/>
      <c r="AJ1042" s="20">
        <v>43778</v>
      </c>
      <c r="AK1042" s="20" t="s">
        <v>1065</v>
      </c>
      <c r="AL1042" s="20">
        <v>39059</v>
      </c>
      <c r="AM1042" s="20" t="s">
        <v>36</v>
      </c>
      <c r="AN1042" s="37" t="str">
        <f t="shared" si="96"/>
        <v>N/A</v>
      </c>
      <c r="AO1042" s="37" t="str">
        <f t="shared" si="97"/>
        <v>N/A</v>
      </c>
      <c r="AP1042" s="20" t="s">
        <v>8</v>
      </c>
      <c r="AQ1042" s="25"/>
      <c r="AR1042" s="25"/>
      <c r="AS1042" s="25"/>
      <c r="AT1042" s="25"/>
      <c r="AU1042" s="36"/>
      <c r="AV1042" s="36"/>
      <c r="AW1042" s="36"/>
      <c r="AX1042" s="25"/>
      <c r="AY1042" s="25"/>
      <c r="AZ1042" s="25"/>
      <c r="BA1042" s="25"/>
      <c r="BB1042" s="25"/>
      <c r="BC1042" s="25"/>
      <c r="BD1042" s="25"/>
      <c r="BE1042" s="25"/>
      <c r="BF1042" s="25"/>
      <c r="BG1042" s="25"/>
      <c r="BH1042" s="25"/>
      <c r="BI1042" s="25"/>
      <c r="BJ1042" s="25"/>
      <c r="BK1042" s="25"/>
      <c r="BL1042" s="25"/>
      <c r="BM1042" s="25"/>
      <c r="BN1042" s="25"/>
      <c r="BO1042" s="25"/>
      <c r="BP1042" s="25"/>
      <c r="BQ1042" s="25"/>
      <c r="BR1042" s="25"/>
      <c r="BS1042" s="25"/>
      <c r="BT1042" s="25"/>
      <c r="BU1042" s="39">
        <v>43466</v>
      </c>
      <c r="BV1042" s="39" t="s">
        <v>945</v>
      </c>
      <c r="BW1042" s="39" t="s">
        <v>2904</v>
      </c>
      <c r="BX1042" s="39" t="s">
        <v>271</v>
      </c>
      <c r="BY1042" s="71">
        <v>910</v>
      </c>
      <c r="BZ1042" s="71">
        <v>980</v>
      </c>
      <c r="CA1042" s="71">
        <v>1280</v>
      </c>
      <c r="CB1042" s="71">
        <v>1640</v>
      </c>
      <c r="CC1042" s="71">
        <v>1730</v>
      </c>
      <c r="CD1042" s="25"/>
      <c r="CE1042" s="200"/>
      <c r="CF1042" s="200"/>
      <c r="CG1042" s="200"/>
      <c r="CH1042" s="200"/>
      <c r="CI1042" s="200"/>
      <c r="CJ1042" s="200"/>
      <c r="CK1042" s="200"/>
      <c r="CL1042" s="200"/>
      <c r="CM1042" s="200"/>
      <c r="CN1042" s="200"/>
      <c r="CO1042" s="200"/>
      <c r="CP1042" s="200"/>
      <c r="CQ1042" s="200"/>
      <c r="CR1042" s="200"/>
      <c r="CS1042" s="200"/>
      <c r="CT1042" s="200"/>
      <c r="CU1042" s="200"/>
    </row>
    <row r="1043" spans="1:99" s="17" customFormat="1" x14ac:dyDescent="0.2">
      <c r="A1043" s="25"/>
      <c r="B1043" s="20">
        <v>39113091000</v>
      </c>
      <c r="C1043" s="20">
        <v>910</v>
      </c>
      <c r="D1043" s="20" t="s">
        <v>62</v>
      </c>
      <c r="E1043" s="20" t="s">
        <v>2833</v>
      </c>
      <c r="F1043" s="20" t="s">
        <v>8</v>
      </c>
      <c r="G1043" s="861">
        <v>55.814163937361897</v>
      </c>
      <c r="H1043" s="861">
        <v>66.385850349717003</v>
      </c>
      <c r="I1043" s="861">
        <v>30.486904803911301</v>
      </c>
      <c r="J1043" s="861">
        <v>53.0404752365165</v>
      </c>
      <c r="K1043" s="982">
        <v>0</v>
      </c>
      <c r="L1043" s="735">
        <v>2471</v>
      </c>
      <c r="M1043" s="735">
        <v>2489</v>
      </c>
      <c r="N1043" s="845">
        <f t="shared" si="93"/>
        <v>7.2845002023472277E-3</v>
      </c>
      <c r="O1043" s="735">
        <v>0.98758329821058533</v>
      </c>
      <c r="P1043" s="735">
        <f t="shared" si="94"/>
        <v>2520.2937357383935</v>
      </c>
      <c r="Q1043" s="849">
        <v>42.3</v>
      </c>
      <c r="R1043" s="71">
        <v>59283</v>
      </c>
      <c r="S1043" s="845">
        <v>0.21702299314239612</v>
      </c>
      <c r="T1043" s="845">
        <v>1.7000000000000001E-2</v>
      </c>
      <c r="U1043" s="845">
        <v>1.1000000000000001E-2</v>
      </c>
      <c r="V1043" s="845">
        <v>0</v>
      </c>
      <c r="W1043" s="845">
        <v>0.2121724429416737</v>
      </c>
      <c r="X1043" s="845">
        <v>0.40239043824701193</v>
      </c>
      <c r="Y1043" s="845">
        <v>0.76295701084773004</v>
      </c>
      <c r="Z1043" s="845">
        <v>0.12655685014061871</v>
      </c>
      <c r="AA1043" s="845">
        <v>0</v>
      </c>
      <c r="AB1043" s="845">
        <v>1.0445962233828847E-2</v>
      </c>
      <c r="AC1043" s="845">
        <v>0</v>
      </c>
      <c r="AD1043" s="845">
        <v>5.2631578947368418E-2</v>
      </c>
      <c r="AE1043" s="845">
        <v>4.7408597830454001E-2</v>
      </c>
      <c r="AF1043" s="845">
        <v>4.8613901165126559E-2</v>
      </c>
      <c r="AG1043" s="845">
        <v>0.76295701084773004</v>
      </c>
      <c r="AH1043" s="20" t="str">
        <f t="shared" si="95"/>
        <v>No</v>
      </c>
      <c r="AI1043" s="25"/>
      <c r="AJ1043" s="37">
        <v>43780</v>
      </c>
      <c r="AK1043" s="37" t="s">
        <v>1067</v>
      </c>
      <c r="AL1043" s="37">
        <v>39059</v>
      </c>
      <c r="AM1043" s="37" t="s">
        <v>36</v>
      </c>
      <c r="AN1043" s="37" t="str">
        <f t="shared" si="96"/>
        <v>N/A</v>
      </c>
      <c r="AO1043" s="37" t="str">
        <f t="shared" si="97"/>
        <v>N/A</v>
      </c>
      <c r="AP1043" s="20" t="s">
        <v>8</v>
      </c>
      <c r="AQ1043" s="25"/>
      <c r="AR1043" s="25"/>
      <c r="AS1043" s="25"/>
      <c r="AT1043" s="25"/>
      <c r="AU1043" s="36"/>
      <c r="AV1043" s="36"/>
      <c r="AW1043" s="36"/>
      <c r="AX1043" s="25"/>
      <c r="AY1043" s="25"/>
      <c r="AZ1043" s="25"/>
      <c r="BA1043" s="25"/>
      <c r="BB1043" s="25"/>
      <c r="BC1043" s="25"/>
      <c r="BD1043" s="25"/>
      <c r="BE1043" s="25"/>
      <c r="BF1043" s="25"/>
      <c r="BG1043" s="25"/>
      <c r="BH1043" s="25"/>
      <c r="BI1043" s="25"/>
      <c r="BJ1043" s="25"/>
      <c r="BK1043" s="25"/>
      <c r="BL1043" s="25"/>
      <c r="BM1043" s="25"/>
      <c r="BN1043" s="25"/>
      <c r="BO1043" s="25"/>
      <c r="BP1043" s="25"/>
      <c r="BQ1043" s="25"/>
      <c r="BR1043" s="25"/>
      <c r="BS1043" s="25"/>
      <c r="BT1043" s="25"/>
      <c r="BU1043" s="39">
        <v>43467</v>
      </c>
      <c r="BV1043" s="39" t="s">
        <v>946</v>
      </c>
      <c r="BW1043" s="39" t="s">
        <v>2904</v>
      </c>
      <c r="BX1043" s="39" t="s">
        <v>271</v>
      </c>
      <c r="BY1043" s="71">
        <v>720</v>
      </c>
      <c r="BZ1043" s="71">
        <v>770</v>
      </c>
      <c r="CA1043" s="71">
        <v>1000</v>
      </c>
      <c r="CB1043" s="71">
        <v>1260</v>
      </c>
      <c r="CC1043" s="71">
        <v>1350</v>
      </c>
      <c r="CD1043" s="25"/>
      <c r="CE1043" s="200"/>
      <c r="CF1043" s="200"/>
      <c r="CG1043" s="200"/>
      <c r="CH1043" s="200"/>
      <c r="CI1043" s="200"/>
      <c r="CJ1043" s="200"/>
      <c r="CK1043" s="200"/>
      <c r="CL1043" s="200"/>
      <c r="CM1043" s="200"/>
      <c r="CN1043" s="200"/>
      <c r="CO1043" s="200"/>
      <c r="CP1043" s="200"/>
      <c r="CQ1043" s="200"/>
      <c r="CR1043" s="200"/>
      <c r="CS1043" s="200"/>
      <c r="CT1043" s="200"/>
      <c r="CU1043" s="200"/>
    </row>
    <row r="1044" spans="1:99" s="17" customFormat="1" x14ac:dyDescent="0.2">
      <c r="A1044" s="25"/>
      <c r="B1044" s="20">
        <v>39037520100</v>
      </c>
      <c r="C1044" s="20">
        <v>5201</v>
      </c>
      <c r="D1044" s="20" t="s">
        <v>25</v>
      </c>
      <c r="E1044" s="20" t="s">
        <v>265</v>
      </c>
      <c r="F1044" s="20" t="s">
        <v>8</v>
      </c>
      <c r="G1044" s="861">
        <v>55.764608402775302</v>
      </c>
      <c r="H1044" s="861">
        <v>57.059913116206602</v>
      </c>
      <c r="I1044" s="861">
        <v>17.7482979452429</v>
      </c>
      <c r="J1044" s="861">
        <v>35.778787395016103</v>
      </c>
      <c r="K1044" s="982">
        <v>0</v>
      </c>
      <c r="L1044" s="735">
        <v>3194</v>
      </c>
      <c r="M1044" s="735">
        <v>3210</v>
      </c>
      <c r="N1044" s="845">
        <f t="shared" si="93"/>
        <v>5.0093926111458983E-3</v>
      </c>
      <c r="O1044" s="735">
        <v>72.450872757095397</v>
      </c>
      <c r="P1044" s="735">
        <f t="shared" si="94"/>
        <v>44.305884495858365</v>
      </c>
      <c r="Q1044" s="849">
        <v>39.5</v>
      </c>
      <c r="R1044" s="71">
        <v>64813</v>
      </c>
      <c r="S1044" s="845">
        <v>0.1161189358372457</v>
      </c>
      <c r="T1044" s="845">
        <v>1.8000000000000002E-2</v>
      </c>
      <c r="U1044" s="845">
        <v>1.1000000000000001E-2</v>
      </c>
      <c r="V1044" s="845">
        <v>0</v>
      </c>
      <c r="W1044" s="845">
        <v>0.23252160251374707</v>
      </c>
      <c r="X1044" s="845">
        <v>0.17229729729729729</v>
      </c>
      <c r="Y1044" s="845">
        <v>0.97476635514018695</v>
      </c>
      <c r="Z1044" s="845">
        <v>9.9688473520249225E-3</v>
      </c>
      <c r="AA1044" s="845">
        <v>0</v>
      </c>
      <c r="AB1044" s="845">
        <v>3.7383177570093459E-3</v>
      </c>
      <c r="AC1044" s="845">
        <v>0</v>
      </c>
      <c r="AD1044" s="845">
        <v>0</v>
      </c>
      <c r="AE1044" s="845">
        <v>1.1526479750778817E-2</v>
      </c>
      <c r="AF1044" s="845">
        <v>1.7757009345794394E-2</v>
      </c>
      <c r="AG1044" s="845">
        <v>0.9610591900311527</v>
      </c>
      <c r="AH1044" s="20" t="str">
        <f t="shared" si="95"/>
        <v>Yes</v>
      </c>
      <c r="AI1044" s="25"/>
      <c r="AJ1044" s="37">
        <v>43832</v>
      </c>
      <c r="AK1044" s="37" t="s">
        <v>1084</v>
      </c>
      <c r="AL1044" s="37">
        <v>39059</v>
      </c>
      <c r="AM1044" s="37" t="s">
        <v>36</v>
      </c>
      <c r="AN1044" s="37" t="str">
        <f t="shared" si="96"/>
        <v>N/A</v>
      </c>
      <c r="AO1044" s="37" t="str">
        <f t="shared" si="97"/>
        <v>N/A</v>
      </c>
      <c r="AP1044" s="20" t="s">
        <v>8</v>
      </c>
      <c r="AQ1044" s="25"/>
      <c r="AR1044" s="25"/>
      <c r="AS1044" s="25"/>
      <c r="AT1044" s="25"/>
      <c r="AU1044" s="36"/>
      <c r="AV1044" s="36"/>
      <c r="AW1044" s="36"/>
      <c r="AX1044" s="25"/>
      <c r="AY1044" s="25"/>
      <c r="AZ1044" s="25"/>
      <c r="BA1044" s="25"/>
      <c r="BB1044" s="25"/>
      <c r="BC1044" s="25"/>
      <c r="BD1044" s="25"/>
      <c r="BE1044" s="25"/>
      <c r="BF1044" s="25"/>
      <c r="BG1044" s="25"/>
      <c r="BH1044" s="25"/>
      <c r="BI1044" s="25"/>
      <c r="BJ1044" s="25"/>
      <c r="BK1044" s="25"/>
      <c r="BL1044" s="25"/>
      <c r="BM1044" s="25"/>
      <c r="BN1044" s="25"/>
      <c r="BO1044" s="25"/>
      <c r="BP1044" s="25"/>
      <c r="BQ1044" s="25"/>
      <c r="BR1044" s="25"/>
      <c r="BS1044" s="25"/>
      <c r="BT1044" s="25"/>
      <c r="BU1044" s="39">
        <v>43502</v>
      </c>
      <c r="BV1044" s="39" t="s">
        <v>950</v>
      </c>
      <c r="BW1044" s="39" t="s">
        <v>2904</v>
      </c>
      <c r="BX1044" s="39" t="s">
        <v>271</v>
      </c>
      <c r="BY1044" s="71">
        <v>700</v>
      </c>
      <c r="BZ1044" s="71">
        <v>740</v>
      </c>
      <c r="CA1044" s="71">
        <v>970</v>
      </c>
      <c r="CB1044" s="71">
        <v>1250</v>
      </c>
      <c r="CC1044" s="71">
        <v>1320</v>
      </c>
      <c r="CD1044" s="25"/>
      <c r="CE1044" s="200"/>
      <c r="CF1044" s="200"/>
      <c r="CG1044" s="200"/>
      <c r="CH1044" s="200"/>
      <c r="CI1044" s="200"/>
      <c r="CJ1044" s="200"/>
      <c r="CK1044" s="200"/>
      <c r="CL1044" s="200"/>
      <c r="CM1044" s="200"/>
      <c r="CN1044" s="200"/>
      <c r="CO1044" s="200"/>
      <c r="CP1044" s="200"/>
      <c r="CQ1044" s="200"/>
      <c r="CR1044" s="200"/>
      <c r="CS1044" s="200"/>
      <c r="CT1044" s="200"/>
      <c r="CU1044" s="200"/>
    </row>
    <row r="1045" spans="1:99" s="17" customFormat="1" x14ac:dyDescent="0.2">
      <c r="A1045" s="25"/>
      <c r="B1045" s="20">
        <v>39021010100</v>
      </c>
      <c r="C1045" s="20">
        <v>101</v>
      </c>
      <c r="D1045" s="20" t="s">
        <v>17</v>
      </c>
      <c r="E1045" s="20" t="s">
        <v>265</v>
      </c>
      <c r="F1045" s="20" t="s">
        <v>8</v>
      </c>
      <c r="G1045" s="861">
        <v>55.750828698683399</v>
      </c>
      <c r="H1045" s="861">
        <v>62.160933645823299</v>
      </c>
      <c r="I1045" s="861">
        <v>22.069939244141501</v>
      </c>
      <c r="J1045" s="861">
        <v>47.8834335975532</v>
      </c>
      <c r="K1045" s="982">
        <v>0</v>
      </c>
      <c r="L1045" s="735">
        <v>2000</v>
      </c>
      <c r="M1045" s="735">
        <v>1834</v>
      </c>
      <c r="N1045" s="845">
        <f t="shared" si="93"/>
        <v>-8.3000000000000004E-2</v>
      </c>
      <c r="O1045" s="735">
        <v>32.2494326045381</v>
      </c>
      <c r="P1045" s="735">
        <f t="shared" si="94"/>
        <v>56.869217591813438</v>
      </c>
      <c r="Q1045" s="849">
        <v>41.7</v>
      </c>
      <c r="R1045" s="71">
        <v>91808</v>
      </c>
      <c r="S1045" s="845">
        <v>2.4711696869851731E-2</v>
      </c>
      <c r="T1045" s="845">
        <v>0.01</v>
      </c>
      <c r="U1045" s="845">
        <v>0</v>
      </c>
      <c r="V1045" s="845">
        <v>0</v>
      </c>
      <c r="W1045" s="845">
        <v>0.14055636896046853</v>
      </c>
      <c r="X1045" s="845">
        <v>0.11458333333333333</v>
      </c>
      <c r="Y1045" s="845">
        <v>0.98745910577971652</v>
      </c>
      <c r="Z1045" s="845">
        <v>5.4525627044711015E-3</v>
      </c>
      <c r="AA1045" s="845">
        <v>1.6357688113413304E-3</v>
      </c>
      <c r="AB1045" s="845">
        <v>0</v>
      </c>
      <c r="AC1045" s="845">
        <v>0</v>
      </c>
      <c r="AD1045" s="845">
        <v>4.3620501635768813E-3</v>
      </c>
      <c r="AE1045" s="845">
        <v>1.0905125408942203E-3</v>
      </c>
      <c r="AF1045" s="845">
        <v>1.0905125408942203E-2</v>
      </c>
      <c r="AG1045" s="845">
        <v>0.97818974918211554</v>
      </c>
      <c r="AH1045" s="20" t="str">
        <f t="shared" si="95"/>
        <v>Yes</v>
      </c>
      <c r="AI1045" s="25"/>
      <c r="AJ1045" s="20">
        <v>43837</v>
      </c>
      <c r="AK1045" s="20" t="s">
        <v>1086</v>
      </c>
      <c r="AL1045" s="20">
        <v>39059</v>
      </c>
      <c r="AM1045" s="20" t="s">
        <v>36</v>
      </c>
      <c r="AN1045" s="37" t="str">
        <f t="shared" si="96"/>
        <v>N/A</v>
      </c>
      <c r="AO1045" s="37" t="str">
        <f t="shared" si="97"/>
        <v>N/A</v>
      </c>
      <c r="AP1045" s="20" t="s">
        <v>8</v>
      </c>
      <c r="AQ1045" s="25"/>
      <c r="AR1045" s="25"/>
      <c r="AS1045" s="25"/>
      <c r="AT1045" s="25"/>
      <c r="AU1045" s="36"/>
      <c r="AV1045" s="36"/>
      <c r="AW1045" s="36"/>
      <c r="AX1045" s="25"/>
      <c r="AY1045" s="25"/>
      <c r="AZ1045" s="25"/>
      <c r="BA1045" s="25"/>
      <c r="BB1045" s="25"/>
      <c r="BC1045" s="25"/>
      <c r="BD1045" s="25"/>
      <c r="BE1045" s="25"/>
      <c r="BF1045" s="25"/>
      <c r="BG1045" s="25"/>
      <c r="BH1045" s="25"/>
      <c r="BI1045" s="25"/>
      <c r="BJ1045" s="25"/>
      <c r="BK1045" s="25"/>
      <c r="BL1045" s="25"/>
      <c r="BM1045" s="25"/>
      <c r="BN1045" s="25"/>
      <c r="BO1045" s="25"/>
      <c r="BP1045" s="25"/>
      <c r="BQ1045" s="25"/>
      <c r="BR1045" s="25"/>
      <c r="BS1045" s="25"/>
      <c r="BT1045" s="25"/>
      <c r="BU1045" s="39">
        <v>43504</v>
      </c>
      <c r="BV1045" s="39" t="s">
        <v>951</v>
      </c>
      <c r="BW1045" s="39" t="s">
        <v>2904</v>
      </c>
      <c r="BX1045" s="39" t="s">
        <v>271</v>
      </c>
      <c r="BY1045" s="71">
        <v>830</v>
      </c>
      <c r="BZ1045" s="71">
        <v>900</v>
      </c>
      <c r="CA1045" s="71">
        <v>1170</v>
      </c>
      <c r="CB1045" s="71">
        <v>1500</v>
      </c>
      <c r="CC1045" s="71">
        <v>1610</v>
      </c>
      <c r="CD1045" s="25"/>
      <c r="CE1045" s="200"/>
      <c r="CF1045" s="200"/>
      <c r="CG1045" s="200"/>
      <c r="CH1045" s="200"/>
      <c r="CI1045" s="200"/>
      <c r="CJ1045" s="200"/>
      <c r="CK1045" s="200"/>
      <c r="CL1045" s="200"/>
      <c r="CM1045" s="200"/>
      <c r="CN1045" s="200"/>
      <c r="CO1045" s="200"/>
      <c r="CP1045" s="200"/>
      <c r="CQ1045" s="200"/>
      <c r="CR1045" s="200"/>
      <c r="CS1045" s="200"/>
      <c r="CT1045" s="200"/>
      <c r="CU1045" s="200"/>
    </row>
    <row r="1046" spans="1:99" s="17" customFormat="1" x14ac:dyDescent="0.2">
      <c r="A1046" s="25"/>
      <c r="B1046" s="20">
        <v>39103408303</v>
      </c>
      <c r="C1046" s="20">
        <v>4083.03</v>
      </c>
      <c r="D1046" s="20" t="s">
        <v>57</v>
      </c>
      <c r="E1046" s="20" t="s">
        <v>2829</v>
      </c>
      <c r="F1046" s="20" t="s">
        <v>8</v>
      </c>
      <c r="G1046" s="861">
        <v>55.743256464732298</v>
      </c>
      <c r="H1046" s="861">
        <v>66.906487119601593</v>
      </c>
      <c r="I1046" s="861">
        <v>23.579828162124102</v>
      </c>
      <c r="J1046" s="861">
        <v>29.343953361560299</v>
      </c>
      <c r="K1046" s="982">
        <v>0</v>
      </c>
      <c r="L1046" s="735" t="s">
        <v>2466</v>
      </c>
      <c r="M1046" s="735">
        <v>3676</v>
      </c>
      <c r="N1046" s="845" t="str">
        <f t="shared" si="93"/>
        <v/>
      </c>
      <c r="O1046" s="735">
        <v>0.82144469767469319</v>
      </c>
      <c r="P1046" s="735">
        <f t="shared" si="94"/>
        <v>4475.0425809623548</v>
      </c>
      <c r="Q1046" s="849">
        <v>39.4</v>
      </c>
      <c r="R1046" s="71">
        <v>96250</v>
      </c>
      <c r="S1046" s="845">
        <v>6.4776202390881291E-2</v>
      </c>
      <c r="T1046" s="845">
        <v>3.2000000000000001E-2</v>
      </c>
      <c r="U1046" s="845">
        <v>0</v>
      </c>
      <c r="V1046" s="845">
        <v>0</v>
      </c>
      <c r="W1046" s="845">
        <v>0.34847356664184659</v>
      </c>
      <c r="X1046" s="845">
        <v>0.32905982905982906</v>
      </c>
      <c r="Y1046" s="845">
        <v>0.91784548422198042</v>
      </c>
      <c r="Z1046" s="845">
        <v>5.4951033732317738E-2</v>
      </c>
      <c r="AA1046" s="845">
        <v>0</v>
      </c>
      <c r="AB1046" s="845">
        <v>0</v>
      </c>
      <c r="AC1046" s="845">
        <v>0</v>
      </c>
      <c r="AD1046" s="845">
        <v>4.6245919477693144E-3</v>
      </c>
      <c r="AE1046" s="845">
        <v>2.2578890097932534E-2</v>
      </c>
      <c r="AF1046" s="845">
        <v>3.1828073993471165E-2</v>
      </c>
      <c r="AG1046" s="845">
        <v>0.8982589771490751</v>
      </c>
      <c r="AH1046" s="20" t="str">
        <f t="shared" si="95"/>
        <v>No</v>
      </c>
      <c r="AI1046" s="25"/>
      <c r="AJ1046" s="20">
        <v>43973</v>
      </c>
      <c r="AK1046" s="20" t="s">
        <v>1138</v>
      </c>
      <c r="AL1046" s="20">
        <v>39059</v>
      </c>
      <c r="AM1046" s="20" t="s">
        <v>36</v>
      </c>
      <c r="AN1046" s="37" t="str">
        <f t="shared" si="96"/>
        <v>N/A</v>
      </c>
      <c r="AO1046" s="37" t="str">
        <f t="shared" si="97"/>
        <v>N/A</v>
      </c>
      <c r="AP1046" s="20" t="s">
        <v>8</v>
      </c>
      <c r="AQ1046" s="25"/>
      <c r="AR1046" s="25"/>
      <c r="AS1046" s="25"/>
      <c r="AT1046" s="25"/>
      <c r="AU1046" s="36"/>
      <c r="AV1046" s="36"/>
      <c r="AW1046" s="36"/>
      <c r="AX1046" s="25"/>
      <c r="AY1046" s="25"/>
      <c r="AZ1046" s="25"/>
      <c r="BA1046" s="25"/>
      <c r="BB1046" s="25"/>
      <c r="BC1046" s="25"/>
      <c r="BD1046" s="25"/>
      <c r="BE1046" s="25"/>
      <c r="BF1046" s="25"/>
      <c r="BG1046" s="25"/>
      <c r="BH1046" s="25"/>
      <c r="BI1046" s="25"/>
      <c r="BJ1046" s="25"/>
      <c r="BK1046" s="25"/>
      <c r="BL1046" s="25"/>
      <c r="BM1046" s="25"/>
      <c r="BN1046" s="25"/>
      <c r="BO1046" s="25"/>
      <c r="BP1046" s="25"/>
      <c r="BQ1046" s="25"/>
      <c r="BR1046" s="25"/>
      <c r="BS1046" s="25"/>
      <c r="BT1046" s="25"/>
      <c r="BU1046" s="39">
        <v>43511</v>
      </c>
      <c r="BV1046" s="39" t="s">
        <v>955</v>
      </c>
      <c r="BW1046" s="39" t="s">
        <v>2904</v>
      </c>
      <c r="BX1046" s="39" t="s">
        <v>271</v>
      </c>
      <c r="BY1046" s="71">
        <v>1150</v>
      </c>
      <c r="BZ1046" s="71">
        <v>1220</v>
      </c>
      <c r="CA1046" s="71">
        <v>1610</v>
      </c>
      <c r="CB1046" s="71">
        <v>2060</v>
      </c>
      <c r="CC1046" s="71">
        <v>2180</v>
      </c>
      <c r="CD1046" s="25"/>
      <c r="CE1046" s="200"/>
      <c r="CF1046" s="200"/>
      <c r="CG1046" s="200"/>
      <c r="CH1046" s="200"/>
      <c r="CI1046" s="200"/>
      <c r="CJ1046" s="200"/>
      <c r="CK1046" s="200"/>
      <c r="CL1046" s="200"/>
      <c r="CM1046" s="200"/>
      <c r="CN1046" s="200"/>
      <c r="CO1046" s="200"/>
      <c r="CP1046" s="200"/>
      <c r="CQ1046" s="200"/>
      <c r="CR1046" s="200"/>
      <c r="CS1046" s="200"/>
      <c r="CT1046" s="200"/>
      <c r="CU1046" s="200"/>
    </row>
    <row r="1047" spans="1:99" s="17" customFormat="1" x14ac:dyDescent="0.2">
      <c r="A1047" s="25"/>
      <c r="B1047" s="20">
        <v>39061021002</v>
      </c>
      <c r="C1047" s="20">
        <v>210.02</v>
      </c>
      <c r="D1047" s="20" t="s">
        <v>37</v>
      </c>
      <c r="E1047" s="20" t="s">
        <v>2828</v>
      </c>
      <c r="F1047" s="20" t="s">
        <v>8</v>
      </c>
      <c r="G1047" s="861">
        <v>55.722066910760802</v>
      </c>
      <c r="H1047" s="861">
        <v>65.939132323907799</v>
      </c>
      <c r="I1047" s="861">
        <v>21.790710467127401</v>
      </c>
      <c r="J1047" s="861">
        <v>50.162666894825499</v>
      </c>
      <c r="K1047" s="982">
        <v>0</v>
      </c>
      <c r="L1047" s="735">
        <v>3687</v>
      </c>
      <c r="M1047" s="735">
        <v>3787</v>
      </c>
      <c r="N1047" s="845">
        <f t="shared" si="93"/>
        <v>2.7122321670735014E-2</v>
      </c>
      <c r="O1047" s="735">
        <v>0.75940348621909315</v>
      </c>
      <c r="P1047" s="735">
        <f t="shared" si="94"/>
        <v>4986.8088160283005</v>
      </c>
      <c r="Q1047" s="849">
        <v>36.200000000000003</v>
      </c>
      <c r="R1047" s="71">
        <v>86420</v>
      </c>
      <c r="S1047" s="845">
        <v>6.6454013822434876E-2</v>
      </c>
      <c r="T1047" s="845">
        <v>2.4E-2</v>
      </c>
      <c r="U1047" s="845">
        <v>0</v>
      </c>
      <c r="V1047" s="845">
        <v>0</v>
      </c>
      <c r="W1047" s="845">
        <v>6.905890318212593E-2</v>
      </c>
      <c r="X1047" s="845">
        <v>8.8235294117647065E-2</v>
      </c>
      <c r="Y1047" s="845">
        <v>0.94903617639292315</v>
      </c>
      <c r="Z1047" s="845">
        <v>4.224980195405334E-3</v>
      </c>
      <c r="AA1047" s="845">
        <v>0</v>
      </c>
      <c r="AB1047" s="845">
        <v>6.6015315553208343E-3</v>
      </c>
      <c r="AC1047" s="845">
        <v>0</v>
      </c>
      <c r="AD1047" s="845">
        <v>0</v>
      </c>
      <c r="AE1047" s="845">
        <v>4.0137311856350673E-2</v>
      </c>
      <c r="AF1047" s="845">
        <v>8.449960390810668E-3</v>
      </c>
      <c r="AG1047" s="845">
        <v>0.94058621600211245</v>
      </c>
      <c r="AH1047" s="20" t="str">
        <f t="shared" si="95"/>
        <v>Yes</v>
      </c>
      <c r="AI1047" s="25"/>
      <c r="AJ1047" s="20">
        <v>43983</v>
      </c>
      <c r="AK1047" s="20" t="s">
        <v>1143</v>
      </c>
      <c r="AL1047" s="20">
        <v>39059</v>
      </c>
      <c r="AM1047" s="20" t="s">
        <v>36</v>
      </c>
      <c r="AN1047" s="37" t="str">
        <f t="shared" si="96"/>
        <v>N/A</v>
      </c>
      <c r="AO1047" s="37" t="str">
        <f t="shared" si="97"/>
        <v>N/A</v>
      </c>
      <c r="AP1047" s="20" t="s">
        <v>8</v>
      </c>
      <c r="AQ1047" s="25"/>
      <c r="AR1047" s="25"/>
      <c r="AS1047" s="25"/>
      <c r="AT1047" s="25"/>
      <c r="AU1047" s="36"/>
      <c r="AV1047" s="36"/>
      <c r="AW1047" s="36"/>
      <c r="AX1047" s="25"/>
      <c r="AY1047" s="25"/>
      <c r="AZ1047" s="25"/>
      <c r="BA1047" s="25"/>
      <c r="BB1047" s="25"/>
      <c r="BC1047" s="25"/>
      <c r="BD1047" s="25"/>
      <c r="BE1047" s="25"/>
      <c r="BF1047" s="25"/>
      <c r="BG1047" s="25"/>
      <c r="BH1047" s="25"/>
      <c r="BI1047" s="25"/>
      <c r="BJ1047" s="25"/>
      <c r="BK1047" s="25"/>
      <c r="BL1047" s="25"/>
      <c r="BM1047" s="25"/>
      <c r="BN1047" s="25"/>
      <c r="BO1047" s="25"/>
      <c r="BP1047" s="25"/>
      <c r="BQ1047" s="25"/>
      <c r="BR1047" s="25"/>
      <c r="BS1047" s="25"/>
      <c r="BT1047" s="25"/>
      <c r="BU1047" s="39">
        <v>43515</v>
      </c>
      <c r="BV1047" s="39" t="s">
        <v>957</v>
      </c>
      <c r="BW1047" s="39" t="s">
        <v>2904</v>
      </c>
      <c r="BX1047" s="39" t="s">
        <v>271</v>
      </c>
      <c r="BY1047" s="71">
        <v>700</v>
      </c>
      <c r="BZ1047" s="71">
        <v>740</v>
      </c>
      <c r="CA1047" s="71">
        <v>970</v>
      </c>
      <c r="CB1047" s="71">
        <v>1250</v>
      </c>
      <c r="CC1047" s="71">
        <v>1320</v>
      </c>
      <c r="CD1047" s="25"/>
      <c r="CE1047" s="200"/>
      <c r="CF1047" s="200"/>
      <c r="CG1047" s="200"/>
      <c r="CH1047" s="200"/>
      <c r="CI1047" s="200"/>
      <c r="CJ1047" s="200"/>
      <c r="CK1047" s="200"/>
      <c r="CL1047" s="200"/>
      <c r="CM1047" s="200"/>
      <c r="CN1047" s="200"/>
      <c r="CO1047" s="200"/>
      <c r="CP1047" s="200"/>
      <c r="CQ1047" s="200"/>
      <c r="CR1047" s="200"/>
      <c r="CS1047" s="200"/>
      <c r="CT1047" s="200"/>
      <c r="CU1047" s="200"/>
    </row>
    <row r="1048" spans="1:99" s="17" customFormat="1" x14ac:dyDescent="0.2">
      <c r="A1048" s="25"/>
      <c r="B1048" s="20">
        <v>39057240100</v>
      </c>
      <c r="C1048" s="20">
        <v>2401</v>
      </c>
      <c r="D1048" s="20" t="s">
        <v>35</v>
      </c>
      <c r="E1048" s="20" t="s">
        <v>2833</v>
      </c>
      <c r="F1048" s="20" t="s">
        <v>8</v>
      </c>
      <c r="G1048" s="861">
        <v>55.6902039274838</v>
      </c>
      <c r="H1048" s="861">
        <v>57.399848888270903</v>
      </c>
      <c r="I1048" s="861">
        <v>30.0788899333152</v>
      </c>
      <c r="J1048" s="861">
        <v>59.782297882349901</v>
      </c>
      <c r="K1048" s="982">
        <v>0</v>
      </c>
      <c r="L1048" s="735">
        <v>3307</v>
      </c>
      <c r="M1048" s="735">
        <v>2927</v>
      </c>
      <c r="N1048" s="845">
        <f t="shared" si="93"/>
        <v>-0.1149077713940127</v>
      </c>
      <c r="O1048" s="735">
        <v>3.9776954806174767</v>
      </c>
      <c r="P1048" s="735">
        <f t="shared" si="94"/>
        <v>735.85321306336596</v>
      </c>
      <c r="Q1048" s="849">
        <v>39.5</v>
      </c>
      <c r="R1048" s="71">
        <v>65179</v>
      </c>
      <c r="S1048" s="845">
        <v>0.1475913905022207</v>
      </c>
      <c r="T1048" s="845">
        <v>3.3000000000000002E-2</v>
      </c>
      <c r="U1048" s="845">
        <v>4.0999999999999995E-2</v>
      </c>
      <c r="V1048" s="845">
        <v>6.9000000000000006E-2</v>
      </c>
      <c r="W1048" s="845">
        <v>0.44435975609756095</v>
      </c>
      <c r="X1048" s="845">
        <v>0.42024013722126929</v>
      </c>
      <c r="Y1048" s="845">
        <v>0.90399726682610182</v>
      </c>
      <c r="Z1048" s="845">
        <v>5.295524427741715E-2</v>
      </c>
      <c r="AA1048" s="845">
        <v>0</v>
      </c>
      <c r="AB1048" s="845">
        <v>0</v>
      </c>
      <c r="AC1048" s="845">
        <v>0</v>
      </c>
      <c r="AD1048" s="845">
        <v>5.8079945336522035E-3</v>
      </c>
      <c r="AE1048" s="845">
        <v>3.7239494362828834E-2</v>
      </c>
      <c r="AF1048" s="845">
        <v>5.8079945336522035E-3</v>
      </c>
      <c r="AG1048" s="845">
        <v>0.90399726682610182</v>
      </c>
      <c r="AH1048" s="20" t="str">
        <f t="shared" si="95"/>
        <v>Yes</v>
      </c>
      <c r="AI1048" s="25"/>
      <c r="AJ1048" s="37">
        <v>43316</v>
      </c>
      <c r="AK1048" s="37" t="s">
        <v>871</v>
      </c>
      <c r="AL1048" s="37">
        <v>39063</v>
      </c>
      <c r="AM1048" s="37" t="s">
        <v>38</v>
      </c>
      <c r="AN1048" s="37" t="str">
        <f t="shared" si="96"/>
        <v>N/A</v>
      </c>
      <c r="AO1048" s="37" t="str">
        <f t="shared" si="97"/>
        <v>N/A</v>
      </c>
      <c r="AP1048" s="20" t="s">
        <v>8</v>
      </c>
      <c r="AQ1048" s="25"/>
      <c r="AR1048" s="25"/>
      <c r="AS1048" s="25"/>
      <c r="AT1048" s="25"/>
      <c r="AU1048" s="36"/>
      <c r="AV1048" s="36"/>
      <c r="AW1048" s="36"/>
      <c r="AX1048" s="25"/>
      <c r="AY1048" s="25"/>
      <c r="AZ1048" s="25"/>
      <c r="BA1048" s="25"/>
      <c r="BB1048" s="25"/>
      <c r="BC1048" s="25"/>
      <c r="BD1048" s="25"/>
      <c r="BE1048" s="25"/>
      <c r="BF1048" s="25"/>
      <c r="BG1048" s="25"/>
      <c r="BH1048" s="25"/>
      <c r="BI1048" s="25"/>
      <c r="BJ1048" s="25"/>
      <c r="BK1048" s="25"/>
      <c r="BL1048" s="25"/>
      <c r="BM1048" s="25"/>
      <c r="BN1048" s="25"/>
      <c r="BO1048" s="25"/>
      <c r="BP1048" s="25"/>
      <c r="BQ1048" s="25"/>
      <c r="BR1048" s="25"/>
      <c r="BS1048" s="25"/>
      <c r="BT1048" s="25"/>
      <c r="BU1048" s="39">
        <v>43516</v>
      </c>
      <c r="BV1048" s="39" t="s">
        <v>958</v>
      </c>
      <c r="BW1048" s="39" t="s">
        <v>2904</v>
      </c>
      <c r="BX1048" s="39" t="s">
        <v>271</v>
      </c>
      <c r="BY1048" s="71">
        <v>800</v>
      </c>
      <c r="BZ1048" s="71">
        <v>810</v>
      </c>
      <c r="CA1048" s="71">
        <v>1030</v>
      </c>
      <c r="CB1048" s="71">
        <v>1370</v>
      </c>
      <c r="CC1048" s="71">
        <v>1700</v>
      </c>
      <c r="CD1048" s="25"/>
      <c r="CE1048" s="200"/>
      <c r="CF1048" s="200"/>
      <c r="CG1048" s="200"/>
      <c r="CH1048" s="200"/>
      <c r="CI1048" s="200"/>
      <c r="CJ1048" s="200"/>
      <c r="CK1048" s="200"/>
      <c r="CL1048" s="200"/>
      <c r="CM1048" s="200"/>
      <c r="CN1048" s="200"/>
      <c r="CO1048" s="200"/>
      <c r="CP1048" s="200"/>
      <c r="CQ1048" s="200"/>
      <c r="CR1048" s="200"/>
      <c r="CS1048" s="200"/>
      <c r="CT1048" s="200"/>
      <c r="CU1048" s="200"/>
    </row>
    <row r="1049" spans="1:99" s="17" customFormat="1" x14ac:dyDescent="0.2">
      <c r="A1049" s="25"/>
      <c r="B1049" s="20">
        <v>39035196800</v>
      </c>
      <c r="C1049" s="20">
        <v>1968</v>
      </c>
      <c r="D1049" s="20" t="s">
        <v>24</v>
      </c>
      <c r="E1049" s="20" t="s">
        <v>2829</v>
      </c>
      <c r="F1049" s="20" t="s">
        <v>6</v>
      </c>
      <c r="G1049" s="861">
        <v>55.672943458493499</v>
      </c>
      <c r="H1049" s="861">
        <v>67.172270179713806</v>
      </c>
      <c r="I1049" s="861">
        <v>56.914591328635503</v>
      </c>
      <c r="J1049" s="861">
        <v>73.703754432055305</v>
      </c>
      <c r="K1049" s="982">
        <v>1</v>
      </c>
      <c r="L1049" s="735" t="s">
        <v>2466</v>
      </c>
      <c r="M1049" s="735">
        <v>4060</v>
      </c>
      <c r="N1049" s="845" t="str">
        <f t="shared" si="93"/>
        <v/>
      </c>
      <c r="O1049" s="735">
        <v>0.80627860488517844</v>
      </c>
      <c r="P1049" s="735">
        <f t="shared" si="94"/>
        <v>5035.480261290304</v>
      </c>
      <c r="Q1049" s="849">
        <v>20.9</v>
      </c>
      <c r="R1049" s="71">
        <v>37474</v>
      </c>
      <c r="S1049" s="845">
        <v>0.3172185430463576</v>
      </c>
      <c r="T1049" s="845">
        <v>7.4999999999999997E-2</v>
      </c>
      <c r="U1049" s="845">
        <v>0</v>
      </c>
      <c r="V1049" s="845">
        <v>6.2E-2</v>
      </c>
      <c r="W1049" s="845">
        <v>0.87898089171974525</v>
      </c>
      <c r="X1049" s="845">
        <v>0.44306418219461696</v>
      </c>
      <c r="Y1049" s="845">
        <v>0.53275862068965518</v>
      </c>
      <c r="Z1049" s="845">
        <v>0.14556650246305419</v>
      </c>
      <c r="AA1049" s="845">
        <v>0</v>
      </c>
      <c r="AB1049" s="845">
        <v>0.21625615763546799</v>
      </c>
      <c r="AC1049" s="845">
        <v>0</v>
      </c>
      <c r="AD1049" s="845">
        <v>8.8669950738916262E-3</v>
      </c>
      <c r="AE1049" s="845">
        <v>9.6551724137931033E-2</v>
      </c>
      <c r="AF1049" s="845">
        <v>6.625615763546798E-2</v>
      </c>
      <c r="AG1049" s="845">
        <v>0.50369458128078815</v>
      </c>
      <c r="AH1049" s="20" t="str">
        <f t="shared" si="95"/>
        <v>No</v>
      </c>
      <c r="AI1049" s="25"/>
      <c r="AJ1049" s="20">
        <v>43516</v>
      </c>
      <c r="AK1049" s="20" t="s">
        <v>958</v>
      </c>
      <c r="AL1049" s="20">
        <v>39063</v>
      </c>
      <c r="AM1049" s="20" t="s">
        <v>38</v>
      </c>
      <c r="AN1049" s="37" t="str">
        <f t="shared" si="96"/>
        <v>N/A</v>
      </c>
      <c r="AO1049" s="37" t="str">
        <f t="shared" si="97"/>
        <v>N/A</v>
      </c>
      <c r="AP1049" s="20" t="s">
        <v>8</v>
      </c>
      <c r="AQ1049" s="25"/>
      <c r="AR1049" s="25"/>
      <c r="AS1049" s="25"/>
      <c r="AT1049" s="25"/>
      <c r="AU1049" s="36"/>
      <c r="AV1049" s="36"/>
      <c r="AW1049" s="36"/>
      <c r="AX1049" s="25"/>
      <c r="AY1049" s="25"/>
      <c r="AZ1049" s="25"/>
      <c r="BA1049" s="25"/>
      <c r="BB1049" s="25"/>
      <c r="BC1049" s="25"/>
      <c r="BD1049" s="25"/>
      <c r="BE1049" s="25"/>
      <c r="BF1049" s="25"/>
      <c r="BG1049" s="25"/>
      <c r="BH1049" s="25"/>
      <c r="BI1049" s="25"/>
      <c r="BJ1049" s="25"/>
      <c r="BK1049" s="25"/>
      <c r="BL1049" s="25"/>
      <c r="BM1049" s="25"/>
      <c r="BN1049" s="25"/>
      <c r="BO1049" s="25"/>
      <c r="BP1049" s="25"/>
      <c r="BQ1049" s="25"/>
      <c r="BR1049" s="25"/>
      <c r="BS1049" s="25"/>
      <c r="BT1049" s="25"/>
      <c r="BU1049" s="39">
        <v>43521</v>
      </c>
      <c r="BV1049" s="39" t="s">
        <v>963</v>
      </c>
      <c r="BW1049" s="39" t="s">
        <v>2904</v>
      </c>
      <c r="BX1049" s="39" t="s">
        <v>271</v>
      </c>
      <c r="BY1049" s="71">
        <v>700</v>
      </c>
      <c r="BZ1049" s="71">
        <v>740</v>
      </c>
      <c r="CA1049" s="71">
        <v>970</v>
      </c>
      <c r="CB1049" s="71">
        <v>1250</v>
      </c>
      <c r="CC1049" s="71">
        <v>1310</v>
      </c>
      <c r="CD1049" s="25"/>
      <c r="CE1049" s="200"/>
      <c r="CF1049" s="200"/>
      <c r="CG1049" s="200"/>
      <c r="CH1049" s="200"/>
      <c r="CI1049" s="200"/>
      <c r="CJ1049" s="200"/>
      <c r="CK1049" s="200"/>
      <c r="CL1049" s="200"/>
      <c r="CM1049" s="200"/>
      <c r="CN1049" s="200"/>
      <c r="CO1049" s="200"/>
      <c r="CP1049" s="200"/>
      <c r="CQ1049" s="200"/>
      <c r="CR1049" s="200"/>
      <c r="CS1049" s="200"/>
      <c r="CT1049" s="200"/>
      <c r="CU1049" s="200"/>
    </row>
    <row r="1050" spans="1:99" s="17" customFormat="1" x14ac:dyDescent="0.2">
      <c r="A1050" s="25"/>
      <c r="B1050" s="20">
        <v>39095009500</v>
      </c>
      <c r="C1050" s="20">
        <v>95</v>
      </c>
      <c r="D1050" s="20" t="s">
        <v>53</v>
      </c>
      <c r="E1050" s="20" t="s">
        <v>2839</v>
      </c>
      <c r="F1050" s="20" t="s">
        <v>8</v>
      </c>
      <c r="G1050" s="861">
        <v>55.653832471282698</v>
      </c>
      <c r="H1050" s="861">
        <v>60.590979448506197</v>
      </c>
      <c r="I1050" s="861">
        <v>26.257117813646602</v>
      </c>
      <c r="J1050" s="861">
        <v>41.674754229537001</v>
      </c>
      <c r="K1050" s="982">
        <v>0</v>
      </c>
      <c r="L1050" s="735">
        <v>2997</v>
      </c>
      <c r="M1050" s="735">
        <v>2827</v>
      </c>
      <c r="N1050" s="845">
        <f t="shared" si="93"/>
        <v>-5.6723390056723388E-2</v>
      </c>
      <c r="O1050" s="735">
        <v>22.019062087508967</v>
      </c>
      <c r="P1050" s="735">
        <f t="shared" si="94"/>
        <v>128.38875646768389</v>
      </c>
      <c r="Q1050" s="849">
        <v>50.3</v>
      </c>
      <c r="R1050" s="71">
        <v>85469</v>
      </c>
      <c r="S1050" s="845">
        <v>4.2447824548991861E-2</v>
      </c>
      <c r="T1050" s="845">
        <v>3.4000000000000002E-2</v>
      </c>
      <c r="U1050" s="845">
        <v>0</v>
      </c>
      <c r="V1050" s="845">
        <v>0.124</v>
      </c>
      <c r="W1050" s="845">
        <v>0.11130587204206836</v>
      </c>
      <c r="X1050" s="845">
        <v>0.22047244094488189</v>
      </c>
      <c r="Y1050" s="845">
        <v>0.86699681641315884</v>
      </c>
      <c r="Z1050" s="845">
        <v>2.4053767244428724E-2</v>
      </c>
      <c r="AA1050" s="845">
        <v>0</v>
      </c>
      <c r="AB1050" s="845">
        <v>3.9617969579059074E-2</v>
      </c>
      <c r="AC1050" s="845">
        <v>0</v>
      </c>
      <c r="AD1050" s="845">
        <v>6.013441811107181E-3</v>
      </c>
      <c r="AE1050" s="845">
        <v>6.3318004952246196E-2</v>
      </c>
      <c r="AF1050" s="845">
        <v>3.1128404669260701E-2</v>
      </c>
      <c r="AG1050" s="845">
        <v>0.8592147152458437</v>
      </c>
      <c r="AH1050" s="20" t="str">
        <f t="shared" si="95"/>
        <v>No</v>
      </c>
      <c r="AI1050" s="25"/>
      <c r="AJ1050" s="37">
        <v>44802</v>
      </c>
      <c r="AK1050" s="37" t="s">
        <v>1465</v>
      </c>
      <c r="AL1050" s="37">
        <v>39063</v>
      </c>
      <c r="AM1050" s="37" t="s">
        <v>38</v>
      </c>
      <c r="AN1050" s="37" t="str">
        <f t="shared" si="96"/>
        <v>N/A</v>
      </c>
      <c r="AO1050" s="37" t="str">
        <f t="shared" si="97"/>
        <v>N/A</v>
      </c>
      <c r="AP1050" s="20" t="s">
        <v>8</v>
      </c>
      <c r="AQ1050" s="25"/>
      <c r="AR1050" s="25"/>
      <c r="AS1050" s="25"/>
      <c r="AT1050" s="25"/>
      <c r="AU1050" s="36"/>
      <c r="AV1050" s="36"/>
      <c r="AW1050" s="36"/>
      <c r="AX1050" s="25"/>
      <c r="AY1050" s="25"/>
      <c r="AZ1050" s="25"/>
      <c r="BA1050" s="25"/>
      <c r="BB1050" s="25"/>
      <c r="BC1050" s="25"/>
      <c r="BD1050" s="25"/>
      <c r="BE1050" s="25"/>
      <c r="BF1050" s="25"/>
      <c r="BG1050" s="25"/>
      <c r="BH1050" s="25"/>
      <c r="BI1050" s="25"/>
      <c r="BJ1050" s="25"/>
      <c r="BK1050" s="25"/>
      <c r="BL1050" s="25"/>
      <c r="BM1050" s="25"/>
      <c r="BN1050" s="25"/>
      <c r="BO1050" s="25"/>
      <c r="BP1050" s="25"/>
      <c r="BQ1050" s="25"/>
      <c r="BR1050" s="25"/>
      <c r="BS1050" s="25"/>
      <c r="BT1050" s="25"/>
      <c r="BU1050" s="39">
        <v>43522</v>
      </c>
      <c r="BV1050" s="39" t="s">
        <v>964</v>
      </c>
      <c r="BW1050" s="39" t="s">
        <v>2904</v>
      </c>
      <c r="BX1050" s="39" t="s">
        <v>271</v>
      </c>
      <c r="BY1050" s="71">
        <v>840</v>
      </c>
      <c r="BZ1050" s="71">
        <v>890</v>
      </c>
      <c r="CA1050" s="71">
        <v>1170</v>
      </c>
      <c r="CB1050" s="71">
        <v>1500</v>
      </c>
      <c r="CC1050" s="71">
        <v>1580</v>
      </c>
      <c r="CD1050" s="25"/>
      <c r="CE1050" s="200"/>
      <c r="CF1050" s="200"/>
      <c r="CG1050" s="200"/>
      <c r="CH1050" s="200"/>
      <c r="CI1050" s="200"/>
      <c r="CJ1050" s="200"/>
      <c r="CK1050" s="200"/>
      <c r="CL1050" s="200"/>
      <c r="CM1050" s="200"/>
      <c r="CN1050" s="200"/>
      <c r="CO1050" s="200"/>
      <c r="CP1050" s="200"/>
      <c r="CQ1050" s="200"/>
      <c r="CR1050" s="200"/>
      <c r="CS1050" s="200"/>
      <c r="CT1050" s="200"/>
      <c r="CU1050" s="200"/>
    </row>
    <row r="1051" spans="1:99" s="17" customFormat="1" x14ac:dyDescent="0.2">
      <c r="A1051" s="25"/>
      <c r="B1051" s="20">
        <v>39021010200</v>
      </c>
      <c r="C1051" s="20">
        <v>102</v>
      </c>
      <c r="D1051" s="20" t="s">
        <v>17</v>
      </c>
      <c r="E1051" s="20" t="s">
        <v>265</v>
      </c>
      <c r="F1051" s="20" t="s">
        <v>8</v>
      </c>
      <c r="G1051" s="861">
        <v>55.6175949187244</v>
      </c>
      <c r="H1051" s="861">
        <v>66.284021739868905</v>
      </c>
      <c r="I1051" s="861">
        <v>22.843483295127999</v>
      </c>
      <c r="J1051" s="861">
        <v>47.815435756649499</v>
      </c>
      <c r="K1051" s="982">
        <v>0</v>
      </c>
      <c r="L1051" s="735">
        <v>7303</v>
      </c>
      <c r="M1051" s="735">
        <v>6936</v>
      </c>
      <c r="N1051" s="845">
        <f t="shared" si="93"/>
        <v>-5.0253320553197318E-2</v>
      </c>
      <c r="O1051" s="735">
        <v>98.448849635838684</v>
      </c>
      <c r="P1051" s="735">
        <f t="shared" si="94"/>
        <v>70.45282931853643</v>
      </c>
      <c r="Q1051" s="849">
        <v>45.2</v>
      </c>
      <c r="R1051" s="71">
        <v>78176</v>
      </c>
      <c r="S1051" s="845">
        <v>5.3633217993079588E-2</v>
      </c>
      <c r="T1051" s="845">
        <v>5.5E-2</v>
      </c>
      <c r="U1051" s="845">
        <v>1E-3</v>
      </c>
      <c r="V1051" s="845">
        <v>2.2000000000000002E-2</v>
      </c>
      <c r="W1051" s="845">
        <v>0.17779291553133514</v>
      </c>
      <c r="X1051" s="845">
        <v>0.41379310344827586</v>
      </c>
      <c r="Y1051" s="845">
        <v>0.93656286043829295</v>
      </c>
      <c r="Z1051" s="845">
        <v>6.7762399077277973E-3</v>
      </c>
      <c r="AA1051" s="845">
        <v>9.3713956170703577E-3</v>
      </c>
      <c r="AB1051" s="845">
        <v>8.6505190311418688E-4</v>
      </c>
      <c r="AC1051" s="845">
        <v>0</v>
      </c>
      <c r="AD1051" s="845">
        <v>7.7854671280276812E-3</v>
      </c>
      <c r="AE1051" s="845">
        <v>3.8638985005767013E-2</v>
      </c>
      <c r="AF1051" s="845">
        <v>3.5755478662053058E-2</v>
      </c>
      <c r="AG1051" s="845">
        <v>0.93137254901960786</v>
      </c>
      <c r="AH1051" s="20" t="str">
        <f t="shared" si="95"/>
        <v>Yes</v>
      </c>
      <c r="AI1051" s="25"/>
      <c r="AJ1051" s="20">
        <v>44804</v>
      </c>
      <c r="AK1051" s="20" t="s">
        <v>1466</v>
      </c>
      <c r="AL1051" s="20">
        <v>39063</v>
      </c>
      <c r="AM1051" s="20" t="s">
        <v>38</v>
      </c>
      <c r="AN1051" s="37" t="str">
        <f t="shared" si="96"/>
        <v>N/A</v>
      </c>
      <c r="AO1051" s="37" t="str">
        <f t="shared" si="97"/>
        <v>N/A</v>
      </c>
      <c r="AP1051" s="20" t="s">
        <v>8</v>
      </c>
      <c r="AQ1051" s="25"/>
      <c r="AR1051" s="25"/>
      <c r="AS1051" s="25"/>
      <c r="AT1051" s="25"/>
      <c r="AU1051" s="36"/>
      <c r="AV1051" s="36"/>
      <c r="AW1051" s="36"/>
      <c r="AX1051" s="25"/>
      <c r="AY1051" s="25"/>
      <c r="AZ1051" s="25"/>
      <c r="BA1051" s="25"/>
      <c r="BB1051" s="25"/>
      <c r="BC1051" s="25"/>
      <c r="BD1051" s="25"/>
      <c r="BE1051" s="25"/>
      <c r="BF1051" s="25"/>
      <c r="BG1051" s="25"/>
      <c r="BH1051" s="25"/>
      <c r="BI1051" s="25"/>
      <c r="BJ1051" s="25"/>
      <c r="BK1051" s="25"/>
      <c r="BL1051" s="25"/>
      <c r="BM1051" s="25"/>
      <c r="BN1051" s="25"/>
      <c r="BO1051" s="25"/>
      <c r="BP1051" s="25"/>
      <c r="BQ1051" s="25"/>
      <c r="BR1051" s="25"/>
      <c r="BS1051" s="25"/>
      <c r="BT1051" s="25"/>
      <c r="BU1051" s="39">
        <v>43525</v>
      </c>
      <c r="BV1051" s="39" t="s">
        <v>967</v>
      </c>
      <c r="BW1051" s="39" t="s">
        <v>2904</v>
      </c>
      <c r="BX1051" s="39" t="s">
        <v>271</v>
      </c>
      <c r="BY1051" s="71">
        <v>780</v>
      </c>
      <c r="BZ1051" s="71">
        <v>830</v>
      </c>
      <c r="CA1051" s="71">
        <v>1090</v>
      </c>
      <c r="CB1051" s="71">
        <v>1400</v>
      </c>
      <c r="CC1051" s="71">
        <v>1470</v>
      </c>
      <c r="CD1051" s="25"/>
      <c r="CE1051" s="200"/>
      <c r="CF1051" s="200"/>
      <c r="CG1051" s="200"/>
      <c r="CH1051" s="200"/>
      <c r="CI1051" s="200"/>
      <c r="CJ1051" s="200"/>
      <c r="CK1051" s="200"/>
      <c r="CL1051" s="200"/>
      <c r="CM1051" s="200"/>
      <c r="CN1051" s="200"/>
      <c r="CO1051" s="200"/>
      <c r="CP1051" s="200"/>
      <c r="CQ1051" s="200"/>
      <c r="CR1051" s="200"/>
      <c r="CS1051" s="200"/>
      <c r="CT1051" s="200"/>
      <c r="CU1051" s="200"/>
    </row>
    <row r="1052" spans="1:99" s="17" customFormat="1" x14ac:dyDescent="0.2">
      <c r="A1052" s="25"/>
      <c r="B1052" s="20">
        <v>39025040703</v>
      </c>
      <c r="C1052" s="20">
        <v>407.03</v>
      </c>
      <c r="D1052" s="20" t="s">
        <v>19</v>
      </c>
      <c r="E1052" s="20" t="s">
        <v>2828</v>
      </c>
      <c r="F1052" s="20" t="s">
        <v>8</v>
      </c>
      <c r="G1052" s="861">
        <v>55.609161918250301</v>
      </c>
      <c r="H1052" s="861">
        <v>57.330334009937602</v>
      </c>
      <c r="I1052" s="861">
        <v>26.773929537243902</v>
      </c>
      <c r="J1052" s="861">
        <v>39.4407991552483</v>
      </c>
      <c r="K1052" s="982">
        <v>0</v>
      </c>
      <c r="L1052" s="735" t="s">
        <v>2466</v>
      </c>
      <c r="M1052" s="735">
        <v>2998</v>
      </c>
      <c r="N1052" s="845" t="str">
        <f t="shared" si="93"/>
        <v/>
      </c>
      <c r="O1052" s="735">
        <v>1.5291178305833999</v>
      </c>
      <c r="P1052" s="735">
        <f t="shared" si="94"/>
        <v>1960.6075738821132</v>
      </c>
      <c r="Q1052" s="849">
        <v>47.6</v>
      </c>
      <c r="R1052" s="71">
        <v>92353</v>
      </c>
      <c r="S1052" s="845">
        <v>1.5343562374916611E-2</v>
      </c>
      <c r="T1052" s="845">
        <v>6.8000000000000005E-2</v>
      </c>
      <c r="U1052" s="845">
        <v>1.7000000000000001E-2</v>
      </c>
      <c r="V1052" s="845">
        <v>0</v>
      </c>
      <c r="W1052" s="845">
        <v>3.6741214057507986E-2</v>
      </c>
      <c r="X1052" s="845">
        <v>0.52173913043478259</v>
      </c>
      <c r="Y1052" s="845">
        <v>0.95830553702468313</v>
      </c>
      <c r="Z1052" s="845">
        <v>8.3388925950633758E-3</v>
      </c>
      <c r="AA1052" s="845">
        <v>0</v>
      </c>
      <c r="AB1052" s="845">
        <v>1.0006671114076051E-2</v>
      </c>
      <c r="AC1052" s="845">
        <v>0</v>
      </c>
      <c r="AD1052" s="845">
        <v>1.1674449633088725E-2</v>
      </c>
      <c r="AE1052" s="845">
        <v>1.1674449633088725E-2</v>
      </c>
      <c r="AF1052" s="845">
        <v>3.6691127418278853E-2</v>
      </c>
      <c r="AG1052" s="845">
        <v>0.93328885923949301</v>
      </c>
      <c r="AH1052" s="20" t="str">
        <f t="shared" si="95"/>
        <v>Yes</v>
      </c>
      <c r="AI1052" s="25"/>
      <c r="AJ1052" s="20">
        <v>44817</v>
      </c>
      <c r="AK1052" s="20" t="s">
        <v>1474</v>
      </c>
      <c r="AL1052" s="20">
        <v>39063</v>
      </c>
      <c r="AM1052" s="20" t="s">
        <v>38</v>
      </c>
      <c r="AN1052" s="37" t="str">
        <f t="shared" si="96"/>
        <v>N/A</v>
      </c>
      <c r="AO1052" s="37" t="str">
        <f t="shared" si="97"/>
        <v>N/A</v>
      </c>
      <c r="AP1052" s="20" t="s">
        <v>8</v>
      </c>
      <c r="AQ1052" s="25"/>
      <c r="AR1052" s="25"/>
      <c r="AS1052" s="25"/>
      <c r="AT1052" s="25"/>
      <c r="AU1052" s="36"/>
      <c r="AV1052" s="36"/>
      <c r="AW1052" s="36"/>
      <c r="AX1052" s="25"/>
      <c r="AY1052" s="25"/>
      <c r="AZ1052" s="25"/>
      <c r="BA1052" s="25"/>
      <c r="BB1052" s="25"/>
      <c r="BC1052" s="25"/>
      <c r="BD1052" s="25"/>
      <c r="BE1052" s="25"/>
      <c r="BF1052" s="25"/>
      <c r="BG1052" s="25"/>
      <c r="BH1052" s="25"/>
      <c r="BI1052" s="25"/>
      <c r="BJ1052" s="25"/>
      <c r="BK1052" s="25"/>
      <c r="BL1052" s="25"/>
      <c r="BM1052" s="25"/>
      <c r="BN1052" s="25"/>
      <c r="BO1052" s="25"/>
      <c r="BP1052" s="25"/>
      <c r="BQ1052" s="25"/>
      <c r="BR1052" s="25"/>
      <c r="BS1052" s="25"/>
      <c r="BT1052" s="25"/>
      <c r="BU1052" s="39">
        <v>43528</v>
      </c>
      <c r="BV1052" s="39" t="s">
        <v>970</v>
      </c>
      <c r="BW1052" s="39" t="s">
        <v>2904</v>
      </c>
      <c r="BX1052" s="39" t="s">
        <v>271</v>
      </c>
      <c r="BY1052" s="71">
        <v>910</v>
      </c>
      <c r="BZ1052" s="71">
        <v>970</v>
      </c>
      <c r="CA1052" s="71">
        <v>1270</v>
      </c>
      <c r="CB1052" s="71">
        <v>1630</v>
      </c>
      <c r="CC1052" s="71">
        <v>1720</v>
      </c>
      <c r="CD1052" s="25"/>
      <c r="CE1052" s="200"/>
      <c r="CF1052" s="200"/>
      <c r="CG1052" s="200"/>
      <c r="CH1052" s="200"/>
      <c r="CI1052" s="200"/>
      <c r="CJ1052" s="200"/>
      <c r="CK1052" s="200"/>
      <c r="CL1052" s="200"/>
      <c r="CM1052" s="200"/>
      <c r="CN1052" s="200"/>
      <c r="CO1052" s="200"/>
      <c r="CP1052" s="200"/>
      <c r="CQ1052" s="200"/>
      <c r="CR1052" s="200"/>
      <c r="CS1052" s="200"/>
      <c r="CT1052" s="200"/>
      <c r="CU1052" s="200"/>
    </row>
    <row r="1053" spans="1:99" s="17" customFormat="1" x14ac:dyDescent="0.2">
      <c r="A1053" s="25"/>
      <c r="B1053" s="20">
        <v>39117965201</v>
      </c>
      <c r="C1053" s="20">
        <v>9652.01</v>
      </c>
      <c r="D1053" s="20" t="s">
        <v>64</v>
      </c>
      <c r="E1053" s="20" t="s">
        <v>2830</v>
      </c>
      <c r="F1053" s="20" t="s">
        <v>8</v>
      </c>
      <c r="G1053" s="861">
        <v>55.603252412574598</v>
      </c>
      <c r="H1053" s="861">
        <v>60.677612959795603</v>
      </c>
      <c r="I1053" s="861">
        <v>42.853645454694302</v>
      </c>
      <c r="J1053" s="861">
        <v>35.8304309628857</v>
      </c>
      <c r="K1053" s="982">
        <v>1</v>
      </c>
      <c r="L1053" s="735" t="s">
        <v>2466</v>
      </c>
      <c r="M1053" s="735">
        <v>4973</v>
      </c>
      <c r="N1053" s="845" t="str">
        <f t="shared" si="93"/>
        <v/>
      </c>
      <c r="O1053" s="735">
        <v>39.964036359997039</v>
      </c>
      <c r="P1053" s="735">
        <f t="shared" si="94"/>
        <v>124.43688007895628</v>
      </c>
      <c r="Q1053" s="849">
        <v>41.7</v>
      </c>
      <c r="R1053" s="71">
        <v>61486</v>
      </c>
      <c r="S1053" s="845">
        <v>8.443809912298593E-2</v>
      </c>
      <c r="T1053" s="845">
        <v>5.2000000000000005E-2</v>
      </c>
      <c r="U1053" s="845">
        <v>0</v>
      </c>
      <c r="V1053" s="845">
        <v>0.106</v>
      </c>
      <c r="W1053" s="845">
        <v>0.26798378926038502</v>
      </c>
      <c r="X1053" s="845">
        <v>0.45935727788279773</v>
      </c>
      <c r="Y1053" s="845">
        <v>0.95294590790267442</v>
      </c>
      <c r="Z1053" s="845">
        <v>1.1864065956163282E-2</v>
      </c>
      <c r="AA1053" s="845">
        <v>0</v>
      </c>
      <c r="AB1053" s="845">
        <v>3.6195455459481197E-3</v>
      </c>
      <c r="AC1053" s="845">
        <v>0</v>
      </c>
      <c r="AD1053" s="845">
        <v>9.0488638648702994E-3</v>
      </c>
      <c r="AE1053" s="845">
        <v>2.2521616730343856E-2</v>
      </c>
      <c r="AF1053" s="845">
        <v>1.4277096320128696E-2</v>
      </c>
      <c r="AG1053" s="845">
        <v>0.94852201890207122</v>
      </c>
      <c r="AH1053" s="20" t="str">
        <f t="shared" si="95"/>
        <v>Yes</v>
      </c>
      <c r="AI1053" s="25"/>
      <c r="AJ1053" s="20">
        <v>44830</v>
      </c>
      <c r="AK1053" s="20" t="s">
        <v>1483</v>
      </c>
      <c r="AL1053" s="20">
        <v>39063</v>
      </c>
      <c r="AM1053" s="20" t="s">
        <v>38</v>
      </c>
      <c r="AN1053" s="37" t="str">
        <f t="shared" si="96"/>
        <v>N/A</v>
      </c>
      <c r="AO1053" s="37" t="str">
        <f t="shared" si="97"/>
        <v>N/A</v>
      </c>
      <c r="AP1053" s="20" t="s">
        <v>8</v>
      </c>
      <c r="AQ1053" s="25"/>
      <c r="AR1053" s="25"/>
      <c r="AS1053" s="25"/>
      <c r="AT1053" s="25"/>
      <c r="AU1053" s="36"/>
      <c r="AV1053" s="36"/>
      <c r="AW1053" s="36"/>
      <c r="AX1053" s="25"/>
      <c r="AY1053" s="25"/>
      <c r="AZ1053" s="25"/>
      <c r="BA1053" s="25"/>
      <c r="BB1053" s="25"/>
      <c r="BC1053" s="25"/>
      <c r="BD1053" s="25"/>
      <c r="BE1053" s="25"/>
      <c r="BF1053" s="25"/>
      <c r="BG1053" s="25"/>
      <c r="BH1053" s="25"/>
      <c r="BI1053" s="25"/>
      <c r="BJ1053" s="25"/>
      <c r="BK1053" s="25"/>
      <c r="BL1053" s="25"/>
      <c r="BM1053" s="25"/>
      <c r="BN1053" s="25"/>
      <c r="BO1053" s="25"/>
      <c r="BP1053" s="25"/>
      <c r="BQ1053" s="25"/>
      <c r="BR1053" s="25"/>
      <c r="BS1053" s="25"/>
      <c r="BT1053" s="25"/>
      <c r="BU1053" s="39">
        <v>43529</v>
      </c>
      <c r="BV1053" s="39" t="s">
        <v>971</v>
      </c>
      <c r="BW1053" s="39" t="s">
        <v>2904</v>
      </c>
      <c r="BX1053" s="39" t="s">
        <v>271</v>
      </c>
      <c r="BY1053" s="71">
        <v>820</v>
      </c>
      <c r="BZ1053" s="71">
        <v>880</v>
      </c>
      <c r="CA1053" s="71">
        <v>1150</v>
      </c>
      <c r="CB1053" s="71">
        <v>1480</v>
      </c>
      <c r="CC1053" s="71">
        <v>1550</v>
      </c>
      <c r="CD1053" s="25"/>
      <c r="CE1053" s="200"/>
      <c r="CF1053" s="200"/>
      <c r="CG1053" s="200"/>
      <c r="CH1053" s="200"/>
      <c r="CI1053" s="200"/>
      <c r="CJ1053" s="200"/>
      <c r="CK1053" s="200"/>
      <c r="CL1053" s="200"/>
      <c r="CM1053" s="200"/>
      <c r="CN1053" s="200"/>
      <c r="CO1053" s="200"/>
      <c r="CP1053" s="200"/>
      <c r="CQ1053" s="200"/>
      <c r="CR1053" s="200"/>
      <c r="CS1053" s="200"/>
      <c r="CT1053" s="200"/>
      <c r="CU1053" s="200"/>
    </row>
    <row r="1054" spans="1:99" s="17" customFormat="1" x14ac:dyDescent="0.2">
      <c r="A1054" s="25"/>
      <c r="B1054" s="20">
        <v>39033974100</v>
      </c>
      <c r="C1054" s="20">
        <v>9741</v>
      </c>
      <c r="D1054" s="20" t="s">
        <v>23</v>
      </c>
      <c r="E1054" s="20" t="s">
        <v>265</v>
      </c>
      <c r="F1054" s="20" t="s">
        <v>8</v>
      </c>
      <c r="G1054" s="861">
        <v>55.588015151282697</v>
      </c>
      <c r="H1054" s="861">
        <v>59.897985244204797</v>
      </c>
      <c r="I1054" s="861">
        <v>16.140108485450899</v>
      </c>
      <c r="J1054" s="861">
        <v>45.049002328521702</v>
      </c>
      <c r="K1054" s="982">
        <v>0</v>
      </c>
      <c r="L1054" s="735">
        <v>3447</v>
      </c>
      <c r="M1054" s="735">
        <v>3366</v>
      </c>
      <c r="N1054" s="845">
        <f t="shared" si="93"/>
        <v>-2.3498694516971279E-2</v>
      </c>
      <c r="O1054" s="735">
        <v>102.11777613141244</v>
      </c>
      <c r="P1054" s="735">
        <f t="shared" si="94"/>
        <v>32.961939904257129</v>
      </c>
      <c r="Q1054" s="849">
        <v>41.5</v>
      </c>
      <c r="R1054" s="71">
        <v>61277</v>
      </c>
      <c r="S1054" s="845">
        <v>8.3778966131907315E-2</v>
      </c>
      <c r="T1054" s="845">
        <v>3.7999999999999999E-2</v>
      </c>
      <c r="U1054" s="845">
        <v>4.0000000000000001E-3</v>
      </c>
      <c r="V1054" s="845">
        <v>5.4000000000000006E-2</v>
      </c>
      <c r="W1054" s="845">
        <v>0.14646110721793973</v>
      </c>
      <c r="X1054" s="845">
        <v>0.15311004784688995</v>
      </c>
      <c r="Y1054" s="845">
        <v>0.96702317290552586</v>
      </c>
      <c r="Z1054" s="845">
        <v>1.0101010101010102E-2</v>
      </c>
      <c r="AA1054" s="845">
        <v>0</v>
      </c>
      <c r="AB1054" s="845">
        <v>0</v>
      </c>
      <c r="AC1054" s="845">
        <v>0</v>
      </c>
      <c r="AD1054" s="845">
        <v>1.3963161021984551E-2</v>
      </c>
      <c r="AE1054" s="845">
        <v>8.9126559714795012E-3</v>
      </c>
      <c r="AF1054" s="845">
        <v>2.8520499108734401E-2</v>
      </c>
      <c r="AG1054" s="845">
        <v>0.95603089720736778</v>
      </c>
      <c r="AH1054" s="20" t="str">
        <f t="shared" si="95"/>
        <v>Yes</v>
      </c>
      <c r="AI1054" s="25"/>
      <c r="AJ1054" s="37">
        <v>45810</v>
      </c>
      <c r="AK1054" s="37" t="s">
        <v>1886</v>
      </c>
      <c r="AL1054" s="37">
        <v>39063</v>
      </c>
      <c r="AM1054" s="37" t="s">
        <v>38</v>
      </c>
      <c r="AN1054" s="37" t="str">
        <f t="shared" si="96"/>
        <v>N/A</v>
      </c>
      <c r="AO1054" s="37" t="str">
        <f t="shared" si="97"/>
        <v>N/A</v>
      </c>
      <c r="AP1054" s="20" t="s">
        <v>8</v>
      </c>
      <c r="AQ1054" s="25"/>
      <c r="AR1054" s="25"/>
      <c r="AS1054" s="25"/>
      <c r="AT1054" s="25"/>
      <c r="AU1054" s="36"/>
      <c r="AV1054" s="36"/>
      <c r="AW1054" s="36"/>
      <c r="AX1054" s="25"/>
      <c r="AY1054" s="25"/>
      <c r="AZ1054" s="25"/>
      <c r="BA1054" s="25"/>
      <c r="BB1054" s="25"/>
      <c r="BC1054" s="25"/>
      <c r="BD1054" s="25"/>
      <c r="BE1054" s="25"/>
      <c r="BF1054" s="25"/>
      <c r="BG1054" s="25"/>
      <c r="BH1054" s="25"/>
      <c r="BI1054" s="25"/>
      <c r="BJ1054" s="25"/>
      <c r="BK1054" s="25"/>
      <c r="BL1054" s="25"/>
      <c r="BM1054" s="25"/>
      <c r="BN1054" s="25"/>
      <c r="BO1054" s="25"/>
      <c r="BP1054" s="25"/>
      <c r="BQ1054" s="25"/>
      <c r="BR1054" s="25"/>
      <c r="BS1054" s="25"/>
      <c r="BT1054" s="25"/>
      <c r="BU1054" s="39">
        <v>43532</v>
      </c>
      <c r="BV1054" s="39" t="s">
        <v>974</v>
      </c>
      <c r="BW1054" s="39" t="s">
        <v>2904</v>
      </c>
      <c r="BX1054" s="39" t="s">
        <v>271</v>
      </c>
      <c r="BY1054" s="71">
        <v>810</v>
      </c>
      <c r="BZ1054" s="71">
        <v>820</v>
      </c>
      <c r="CA1054" s="71">
        <v>1050</v>
      </c>
      <c r="CB1054" s="71">
        <v>1390</v>
      </c>
      <c r="CC1054" s="71">
        <v>1750</v>
      </c>
      <c r="CD1054" s="25"/>
      <c r="CE1054" s="200"/>
      <c r="CF1054" s="200"/>
      <c r="CG1054" s="200"/>
      <c r="CH1054" s="200"/>
      <c r="CI1054" s="200"/>
      <c r="CJ1054" s="200"/>
      <c r="CK1054" s="200"/>
      <c r="CL1054" s="200"/>
      <c r="CM1054" s="200"/>
      <c r="CN1054" s="200"/>
      <c r="CO1054" s="200"/>
      <c r="CP1054" s="200"/>
      <c r="CQ1054" s="200"/>
      <c r="CR1054" s="200"/>
      <c r="CS1054" s="200"/>
      <c r="CT1054" s="200"/>
      <c r="CU1054" s="200"/>
    </row>
    <row r="1055" spans="1:99" s="17" customFormat="1" x14ac:dyDescent="0.2">
      <c r="A1055" s="25"/>
      <c r="B1055" s="20">
        <v>39089755602</v>
      </c>
      <c r="C1055" s="20">
        <v>7556.02</v>
      </c>
      <c r="D1055" s="20" t="s">
        <v>50</v>
      </c>
      <c r="E1055" s="20" t="s">
        <v>2830</v>
      </c>
      <c r="F1055" s="20" t="s">
        <v>8</v>
      </c>
      <c r="G1055" s="861">
        <v>55.577293043321902</v>
      </c>
      <c r="H1055" s="861">
        <v>58.3742673679373</v>
      </c>
      <c r="I1055" s="861">
        <v>26.4715360511087</v>
      </c>
      <c r="J1055" s="861">
        <v>49.1668345654098</v>
      </c>
      <c r="K1055" s="982">
        <v>0</v>
      </c>
      <c r="L1055" s="735" t="s">
        <v>2466</v>
      </c>
      <c r="M1055" s="735">
        <v>2553</v>
      </c>
      <c r="N1055" s="845" t="str">
        <f t="shared" si="93"/>
        <v/>
      </c>
      <c r="O1055" s="735">
        <v>25.821900008645216</v>
      </c>
      <c r="P1055" s="735">
        <f t="shared" si="94"/>
        <v>98.869564174024816</v>
      </c>
      <c r="Q1055" s="849">
        <v>51.3</v>
      </c>
      <c r="R1055" s="71">
        <v>87807</v>
      </c>
      <c r="S1055" s="845">
        <v>7.6069730586370843E-2</v>
      </c>
      <c r="T1055" s="845">
        <v>1.2E-2</v>
      </c>
      <c r="U1055" s="845">
        <v>4.2000000000000003E-2</v>
      </c>
      <c r="V1055" s="845">
        <v>4.0999999999999995E-2</v>
      </c>
      <c r="W1055" s="845">
        <v>0.10783410138248847</v>
      </c>
      <c r="X1055" s="845">
        <v>0.41025641025641024</v>
      </c>
      <c r="Y1055" s="845">
        <v>0.94085389737563652</v>
      </c>
      <c r="Z1055" s="845">
        <v>7.833920877399138E-4</v>
      </c>
      <c r="AA1055" s="845">
        <v>1.1750881316098707E-3</v>
      </c>
      <c r="AB1055" s="845">
        <v>5.483744614179397E-3</v>
      </c>
      <c r="AC1055" s="845">
        <v>0</v>
      </c>
      <c r="AD1055" s="845">
        <v>1.3709361535448493E-2</v>
      </c>
      <c r="AE1055" s="845">
        <v>3.7994516255385823E-2</v>
      </c>
      <c r="AF1055" s="845">
        <v>5.0920485703094395E-3</v>
      </c>
      <c r="AG1055" s="845">
        <v>0.93928711320015668</v>
      </c>
      <c r="AH1055" s="20" t="str">
        <f t="shared" si="95"/>
        <v>Yes</v>
      </c>
      <c r="AI1055" s="25"/>
      <c r="AJ1055" s="20">
        <v>45814</v>
      </c>
      <c r="AK1055" s="20" t="s">
        <v>1889</v>
      </c>
      <c r="AL1055" s="20">
        <v>39063</v>
      </c>
      <c r="AM1055" s="20" t="s">
        <v>38</v>
      </c>
      <c r="AN1055" s="37" t="str">
        <f t="shared" si="96"/>
        <v>N/A</v>
      </c>
      <c r="AO1055" s="37" t="str">
        <f t="shared" si="97"/>
        <v>N/A</v>
      </c>
      <c r="AP1055" s="20" t="s">
        <v>8</v>
      </c>
      <c r="AQ1055" s="25"/>
      <c r="AR1055" s="25"/>
      <c r="AS1055" s="25"/>
      <c r="AT1055" s="25"/>
      <c r="AU1055" s="36"/>
      <c r="AV1055" s="36"/>
      <c r="AW1055" s="36"/>
      <c r="AX1055" s="25"/>
      <c r="AY1055" s="25"/>
      <c r="AZ1055" s="25"/>
      <c r="BA1055" s="25"/>
      <c r="BB1055" s="25"/>
      <c r="BC1055" s="25"/>
      <c r="BD1055" s="25"/>
      <c r="BE1055" s="25"/>
      <c r="BF1055" s="25"/>
      <c r="BG1055" s="25"/>
      <c r="BH1055" s="25"/>
      <c r="BI1055" s="25"/>
      <c r="BJ1055" s="25"/>
      <c r="BK1055" s="25"/>
      <c r="BL1055" s="25"/>
      <c r="BM1055" s="25"/>
      <c r="BN1055" s="25"/>
      <c r="BO1055" s="25"/>
      <c r="BP1055" s="25"/>
      <c r="BQ1055" s="25"/>
      <c r="BR1055" s="25"/>
      <c r="BS1055" s="25"/>
      <c r="BT1055" s="25"/>
      <c r="BU1055" s="39">
        <v>43533</v>
      </c>
      <c r="BV1055" s="39" t="s">
        <v>975</v>
      </c>
      <c r="BW1055" s="39" t="s">
        <v>2904</v>
      </c>
      <c r="BX1055" s="39" t="s">
        <v>271</v>
      </c>
      <c r="BY1055" s="71">
        <v>710</v>
      </c>
      <c r="BZ1055" s="71">
        <v>750</v>
      </c>
      <c r="CA1055" s="71">
        <v>990</v>
      </c>
      <c r="CB1055" s="71">
        <v>1270</v>
      </c>
      <c r="CC1055" s="71">
        <v>1340</v>
      </c>
      <c r="CD1055" s="25"/>
      <c r="CE1055" s="200"/>
      <c r="CF1055" s="200"/>
      <c r="CG1055" s="200"/>
      <c r="CH1055" s="200"/>
      <c r="CI1055" s="200"/>
      <c r="CJ1055" s="200"/>
      <c r="CK1055" s="200"/>
      <c r="CL1055" s="200"/>
      <c r="CM1055" s="200"/>
      <c r="CN1055" s="200"/>
      <c r="CO1055" s="200"/>
      <c r="CP1055" s="200"/>
      <c r="CQ1055" s="200"/>
      <c r="CR1055" s="200"/>
      <c r="CS1055" s="200"/>
      <c r="CT1055" s="200"/>
      <c r="CU1055" s="200"/>
    </row>
    <row r="1056" spans="1:99" s="17" customFormat="1" x14ac:dyDescent="0.2">
      <c r="A1056" s="25"/>
      <c r="B1056" s="20">
        <v>39035177403</v>
      </c>
      <c r="C1056" s="20">
        <v>1774.03</v>
      </c>
      <c r="D1056" s="20" t="s">
        <v>24</v>
      </c>
      <c r="E1056" s="20" t="s">
        <v>2829</v>
      </c>
      <c r="F1056" s="20" t="s">
        <v>8</v>
      </c>
      <c r="G1056" s="861">
        <v>55.576276337743202</v>
      </c>
      <c r="H1056" s="861">
        <v>69.532368486211197</v>
      </c>
      <c r="I1056" s="861">
        <v>24.076321686810001</v>
      </c>
      <c r="J1056" s="861">
        <v>38.219038815845103</v>
      </c>
      <c r="K1056" s="982">
        <v>0</v>
      </c>
      <c r="L1056" s="735">
        <v>3225</v>
      </c>
      <c r="M1056" s="735">
        <v>2806</v>
      </c>
      <c r="N1056" s="845">
        <f t="shared" si="93"/>
        <v>-0.12992248062015505</v>
      </c>
      <c r="O1056" s="735">
        <v>0.37905579419822127</v>
      </c>
      <c r="P1056" s="735">
        <f t="shared" si="94"/>
        <v>7402.6041626279593</v>
      </c>
      <c r="Q1056" s="849">
        <v>40.5</v>
      </c>
      <c r="R1056" s="71">
        <v>71842</v>
      </c>
      <c r="S1056" s="845">
        <v>7.2297780959198282E-2</v>
      </c>
      <c r="T1056" s="845">
        <v>3.7999999999999999E-2</v>
      </c>
      <c r="U1056" s="845">
        <v>0</v>
      </c>
      <c r="V1056" s="845">
        <v>0.16600000000000001</v>
      </c>
      <c r="W1056" s="845">
        <v>0.155</v>
      </c>
      <c r="X1056" s="845">
        <v>0.45698924731182794</v>
      </c>
      <c r="Y1056" s="845">
        <v>0.8731290092658589</v>
      </c>
      <c r="Z1056" s="845">
        <v>8.1967213114754103E-3</v>
      </c>
      <c r="AA1056" s="845">
        <v>7.1275837491090524E-4</v>
      </c>
      <c r="AB1056" s="845">
        <v>2.851033499643621E-3</v>
      </c>
      <c r="AC1056" s="845">
        <v>0</v>
      </c>
      <c r="AD1056" s="845">
        <v>9.7647897362794014E-2</v>
      </c>
      <c r="AE1056" s="845">
        <v>1.7462580185317177E-2</v>
      </c>
      <c r="AF1056" s="845">
        <v>0.13399857448325017</v>
      </c>
      <c r="AG1056" s="845">
        <v>0.83856022808267994</v>
      </c>
      <c r="AH1056" s="20" t="str">
        <f t="shared" si="95"/>
        <v>No</v>
      </c>
      <c r="AI1056" s="25"/>
      <c r="AJ1056" s="20">
        <v>45816</v>
      </c>
      <c r="AK1056" s="20" t="s">
        <v>1891</v>
      </c>
      <c r="AL1056" s="20">
        <v>39063</v>
      </c>
      <c r="AM1056" s="20" t="s">
        <v>38</v>
      </c>
      <c r="AN1056" s="37" t="str">
        <f t="shared" si="96"/>
        <v>N/A</v>
      </c>
      <c r="AO1056" s="37" t="str">
        <f t="shared" si="97"/>
        <v>N/A</v>
      </c>
      <c r="AP1056" s="20" t="s">
        <v>8</v>
      </c>
      <c r="AQ1056" s="25"/>
      <c r="AR1056" s="25"/>
      <c r="AS1056" s="25"/>
      <c r="AT1056" s="25"/>
      <c r="AU1056" s="36"/>
      <c r="AV1056" s="36"/>
      <c r="AW1056" s="36"/>
      <c r="AX1056" s="25"/>
      <c r="AY1056" s="25"/>
      <c r="AZ1056" s="25"/>
      <c r="BA1056" s="25"/>
      <c r="BB1056" s="25"/>
      <c r="BC1056" s="25"/>
      <c r="BD1056" s="25"/>
      <c r="BE1056" s="25"/>
      <c r="BF1056" s="25"/>
      <c r="BG1056" s="25"/>
      <c r="BH1056" s="25"/>
      <c r="BI1056" s="25"/>
      <c r="BJ1056" s="25"/>
      <c r="BK1056" s="25"/>
      <c r="BL1056" s="25"/>
      <c r="BM1056" s="25"/>
      <c r="BN1056" s="25"/>
      <c r="BO1056" s="25"/>
      <c r="BP1056" s="25"/>
      <c r="BQ1056" s="25"/>
      <c r="BR1056" s="25"/>
      <c r="BS1056" s="25"/>
      <c r="BT1056" s="25"/>
      <c r="BU1056" s="39">
        <v>43537</v>
      </c>
      <c r="BV1056" s="39" t="s">
        <v>979</v>
      </c>
      <c r="BW1056" s="39" t="s">
        <v>2904</v>
      </c>
      <c r="BX1056" s="39" t="s">
        <v>271</v>
      </c>
      <c r="BY1056" s="71">
        <v>820</v>
      </c>
      <c r="BZ1056" s="71">
        <v>880</v>
      </c>
      <c r="CA1056" s="71">
        <v>1150</v>
      </c>
      <c r="CB1056" s="71">
        <v>1480</v>
      </c>
      <c r="CC1056" s="71">
        <v>1550</v>
      </c>
      <c r="CD1056" s="25"/>
      <c r="CE1056" s="200"/>
      <c r="CF1056" s="200"/>
      <c r="CG1056" s="200"/>
      <c r="CH1056" s="200"/>
      <c r="CI1056" s="200"/>
      <c r="CJ1056" s="200"/>
      <c r="CK1056" s="200"/>
      <c r="CL1056" s="200"/>
      <c r="CM1056" s="200"/>
      <c r="CN1056" s="200"/>
      <c r="CO1056" s="200"/>
      <c r="CP1056" s="200"/>
      <c r="CQ1056" s="200"/>
      <c r="CR1056" s="200"/>
      <c r="CS1056" s="200"/>
      <c r="CT1056" s="200"/>
      <c r="CU1056" s="200"/>
    </row>
    <row r="1057" spans="1:99" s="17" customFormat="1" x14ac:dyDescent="0.2">
      <c r="A1057" s="25"/>
      <c r="B1057" s="20">
        <v>39153532701</v>
      </c>
      <c r="C1057" s="20">
        <v>5327.01</v>
      </c>
      <c r="D1057" s="20" t="s">
        <v>82</v>
      </c>
      <c r="E1057" s="20" t="s">
        <v>2843</v>
      </c>
      <c r="F1057" s="20" t="s">
        <v>8</v>
      </c>
      <c r="G1057" s="861">
        <v>55.562205992378999</v>
      </c>
      <c r="H1057" s="861">
        <v>49.396993230341899</v>
      </c>
      <c r="I1057" s="861">
        <v>22.6200263033355</v>
      </c>
      <c r="J1057" s="861">
        <v>18.6518328627748</v>
      </c>
      <c r="K1057" s="982">
        <v>1</v>
      </c>
      <c r="L1057" s="735">
        <v>7211</v>
      </c>
      <c r="M1057" s="735">
        <v>7997</v>
      </c>
      <c r="N1057" s="845">
        <f t="shared" si="93"/>
        <v>0.10900013867702121</v>
      </c>
      <c r="O1057" s="735">
        <v>8.8350112155534184</v>
      </c>
      <c r="P1057" s="735">
        <f t="shared" si="94"/>
        <v>905.14882266610391</v>
      </c>
      <c r="Q1057" s="849">
        <v>43.1</v>
      </c>
      <c r="R1057" s="71">
        <v>112157</v>
      </c>
      <c r="S1057" s="845">
        <v>2.4896784686600774E-2</v>
      </c>
      <c r="T1057" s="845">
        <v>3.7000000000000005E-2</v>
      </c>
      <c r="U1057" s="845">
        <v>0</v>
      </c>
      <c r="V1057" s="845">
        <v>0.157</v>
      </c>
      <c r="W1057" s="845">
        <v>0.11121408711770157</v>
      </c>
      <c r="X1057" s="845">
        <v>0.41944444444444445</v>
      </c>
      <c r="Y1057" s="845">
        <v>0.73214955608353127</v>
      </c>
      <c r="Z1057" s="845">
        <v>0.14330373890208828</v>
      </c>
      <c r="AA1057" s="845">
        <v>0</v>
      </c>
      <c r="AB1057" s="845">
        <v>8.3406277354007755E-2</v>
      </c>
      <c r="AC1057" s="845">
        <v>0</v>
      </c>
      <c r="AD1057" s="845">
        <v>3.8764536701262975E-3</v>
      </c>
      <c r="AE1057" s="845">
        <v>3.7263973990246342E-2</v>
      </c>
      <c r="AF1057" s="845">
        <v>1.5630861573089908E-2</v>
      </c>
      <c r="AG1057" s="845">
        <v>0.72977366512442166</v>
      </c>
      <c r="AH1057" s="20" t="str">
        <f t="shared" si="95"/>
        <v>No</v>
      </c>
      <c r="AI1057" s="25"/>
      <c r="AJ1057" s="20">
        <v>45817</v>
      </c>
      <c r="AK1057" s="20" t="s">
        <v>1892</v>
      </c>
      <c r="AL1057" s="20">
        <v>39063</v>
      </c>
      <c r="AM1057" s="20" t="s">
        <v>38</v>
      </c>
      <c r="AN1057" s="37" t="str">
        <f t="shared" si="96"/>
        <v>N/A</v>
      </c>
      <c r="AO1057" s="37" t="str">
        <f t="shared" si="97"/>
        <v>N/A</v>
      </c>
      <c r="AP1057" s="20" t="s">
        <v>8</v>
      </c>
      <c r="AQ1057" s="25"/>
      <c r="AR1057" s="25"/>
      <c r="AS1057" s="25"/>
      <c r="AT1057" s="25"/>
      <c r="AU1057" s="36"/>
      <c r="AV1057" s="36"/>
      <c r="AW1057" s="36"/>
      <c r="AX1057" s="25"/>
      <c r="AY1057" s="25"/>
      <c r="AZ1057" s="25"/>
      <c r="BA1057" s="25"/>
      <c r="BB1057" s="25"/>
      <c r="BC1057" s="25"/>
      <c r="BD1057" s="25"/>
      <c r="BE1057" s="25"/>
      <c r="BF1057" s="25"/>
      <c r="BG1057" s="25"/>
      <c r="BH1057" s="25"/>
      <c r="BI1057" s="25"/>
      <c r="BJ1057" s="25"/>
      <c r="BK1057" s="25"/>
      <c r="BL1057" s="25"/>
      <c r="BM1057" s="25"/>
      <c r="BN1057" s="25"/>
      <c r="BO1057" s="25"/>
      <c r="BP1057" s="25"/>
      <c r="BQ1057" s="25"/>
      <c r="BR1057" s="25"/>
      <c r="BS1057" s="25"/>
      <c r="BT1057" s="25"/>
      <c r="BU1057" s="39">
        <v>43540</v>
      </c>
      <c r="BV1057" s="39" t="s">
        <v>980</v>
      </c>
      <c r="BW1057" s="39" t="s">
        <v>2904</v>
      </c>
      <c r="BX1057" s="39" t="s">
        <v>271</v>
      </c>
      <c r="BY1057" s="71">
        <v>870</v>
      </c>
      <c r="BZ1057" s="71">
        <v>930</v>
      </c>
      <c r="CA1057" s="71">
        <v>1220</v>
      </c>
      <c r="CB1057" s="71">
        <v>1570</v>
      </c>
      <c r="CC1057" s="71">
        <v>1650</v>
      </c>
      <c r="CD1057" s="25"/>
      <c r="CE1057" s="200"/>
      <c r="CF1057" s="200"/>
      <c r="CG1057" s="200"/>
      <c r="CH1057" s="200"/>
      <c r="CI1057" s="200"/>
      <c r="CJ1057" s="200"/>
      <c r="CK1057" s="200"/>
      <c r="CL1057" s="200"/>
      <c r="CM1057" s="200"/>
      <c r="CN1057" s="200"/>
      <c r="CO1057" s="200"/>
      <c r="CP1057" s="200"/>
      <c r="CQ1057" s="200"/>
      <c r="CR1057" s="200"/>
      <c r="CS1057" s="200"/>
      <c r="CT1057" s="200"/>
      <c r="CU1057" s="200"/>
    </row>
    <row r="1058" spans="1:99" s="17" customFormat="1" x14ac:dyDescent="0.2">
      <c r="A1058" s="25"/>
      <c r="B1058" s="20">
        <v>39101000700</v>
      </c>
      <c r="C1058" s="20">
        <v>7</v>
      </c>
      <c r="D1058" s="20" t="s">
        <v>56</v>
      </c>
      <c r="E1058" s="20" t="s">
        <v>265</v>
      </c>
      <c r="F1058" s="20" t="s">
        <v>8</v>
      </c>
      <c r="G1058" s="861">
        <v>55.548330956750704</v>
      </c>
      <c r="H1058" s="861">
        <v>55.764928767695103</v>
      </c>
      <c r="I1058" s="861">
        <v>28.726266219500399</v>
      </c>
      <c r="J1058" s="861">
        <v>42.977044259928498</v>
      </c>
      <c r="K1058" s="982">
        <v>0</v>
      </c>
      <c r="L1058" s="735">
        <v>2655</v>
      </c>
      <c r="M1058" s="735">
        <v>2673</v>
      </c>
      <c r="N1058" s="845">
        <f t="shared" si="93"/>
        <v>6.7796610169491523E-3</v>
      </c>
      <c r="O1058" s="735">
        <v>0.48315858870873352</v>
      </c>
      <c r="P1058" s="735">
        <f t="shared" si="94"/>
        <v>5532.3449949295773</v>
      </c>
      <c r="Q1058" s="849">
        <v>41.2</v>
      </c>
      <c r="R1058" s="71">
        <v>60114</v>
      </c>
      <c r="S1058" s="845">
        <v>0.10213414634146341</v>
      </c>
      <c r="T1058" s="845">
        <v>0.04</v>
      </c>
      <c r="U1058" s="845">
        <v>0</v>
      </c>
      <c r="V1058" s="845">
        <v>8.3000000000000004E-2</v>
      </c>
      <c r="W1058" s="845">
        <v>0.32196339434276205</v>
      </c>
      <c r="X1058" s="845">
        <v>0.31266149870801035</v>
      </c>
      <c r="Y1058" s="845">
        <v>0.88365132809577251</v>
      </c>
      <c r="Z1058" s="845">
        <v>5.9109614665170222E-2</v>
      </c>
      <c r="AA1058" s="845">
        <v>0</v>
      </c>
      <c r="AB1058" s="845">
        <v>3.3670033670033669E-3</v>
      </c>
      <c r="AC1058" s="845">
        <v>0</v>
      </c>
      <c r="AD1058" s="845">
        <v>0</v>
      </c>
      <c r="AE1058" s="845">
        <v>5.387205387205387E-2</v>
      </c>
      <c r="AF1058" s="845">
        <v>5.2375607931163482E-3</v>
      </c>
      <c r="AG1058" s="845">
        <v>0.87841376730265619</v>
      </c>
      <c r="AH1058" s="20" t="str">
        <f t="shared" si="95"/>
        <v>No</v>
      </c>
      <c r="AI1058" s="25"/>
      <c r="AJ1058" s="20">
        <v>45836</v>
      </c>
      <c r="AK1058" s="20" t="s">
        <v>1905</v>
      </c>
      <c r="AL1058" s="20">
        <v>39063</v>
      </c>
      <c r="AM1058" s="20" t="s">
        <v>38</v>
      </c>
      <c r="AN1058" s="37" t="str">
        <f t="shared" si="96"/>
        <v>N/A</v>
      </c>
      <c r="AO1058" s="37" t="str">
        <f t="shared" si="97"/>
        <v>N/A</v>
      </c>
      <c r="AP1058" s="20" t="s">
        <v>8</v>
      </c>
      <c r="AQ1058" s="25"/>
      <c r="AR1058" s="25"/>
      <c r="AS1058" s="25"/>
      <c r="AT1058" s="25"/>
      <c r="AU1058" s="36"/>
      <c r="AV1058" s="36"/>
      <c r="AW1058" s="36"/>
      <c r="AX1058" s="25"/>
      <c r="AY1058" s="25"/>
      <c r="AZ1058" s="25"/>
      <c r="BA1058" s="25"/>
      <c r="BB1058" s="25"/>
      <c r="BC1058" s="25"/>
      <c r="BD1058" s="25"/>
      <c r="BE1058" s="25"/>
      <c r="BF1058" s="25"/>
      <c r="BG1058" s="25"/>
      <c r="BH1058" s="25"/>
      <c r="BI1058" s="25"/>
      <c r="BJ1058" s="25"/>
      <c r="BK1058" s="25"/>
      <c r="BL1058" s="25"/>
      <c r="BM1058" s="25"/>
      <c r="BN1058" s="25"/>
      <c r="BO1058" s="25"/>
      <c r="BP1058" s="25"/>
      <c r="BQ1058" s="25"/>
      <c r="BR1058" s="25"/>
      <c r="BS1058" s="25"/>
      <c r="BT1058" s="25"/>
      <c r="BU1058" s="39">
        <v>43541</v>
      </c>
      <c r="BV1058" s="39" t="s">
        <v>981</v>
      </c>
      <c r="BW1058" s="39" t="s">
        <v>2904</v>
      </c>
      <c r="BX1058" s="39" t="s">
        <v>271</v>
      </c>
      <c r="BY1058" s="71">
        <v>1150</v>
      </c>
      <c r="BZ1058" s="71">
        <v>1220</v>
      </c>
      <c r="CA1058" s="71">
        <v>1610</v>
      </c>
      <c r="CB1058" s="71">
        <v>2060</v>
      </c>
      <c r="CC1058" s="71">
        <v>2180</v>
      </c>
      <c r="CD1058" s="25"/>
      <c r="CE1058" s="200"/>
      <c r="CF1058" s="200"/>
      <c r="CG1058" s="200"/>
      <c r="CH1058" s="200"/>
      <c r="CI1058" s="200"/>
      <c r="CJ1058" s="200"/>
      <c r="CK1058" s="200"/>
      <c r="CL1058" s="200"/>
      <c r="CM1058" s="200"/>
      <c r="CN1058" s="200"/>
      <c r="CO1058" s="200"/>
      <c r="CP1058" s="200"/>
      <c r="CQ1058" s="200"/>
      <c r="CR1058" s="200"/>
      <c r="CS1058" s="200"/>
      <c r="CT1058" s="200"/>
      <c r="CU1058" s="200"/>
    </row>
    <row r="1059" spans="1:99" s="17" customFormat="1" x14ac:dyDescent="0.2">
      <c r="A1059" s="25"/>
      <c r="B1059" s="20">
        <v>39035175106</v>
      </c>
      <c r="C1059" s="20">
        <v>1751.06</v>
      </c>
      <c r="D1059" s="20" t="s">
        <v>24</v>
      </c>
      <c r="E1059" s="20" t="s">
        <v>2829</v>
      </c>
      <c r="F1059" s="20" t="s">
        <v>8</v>
      </c>
      <c r="G1059" s="861">
        <v>55.545021436070201</v>
      </c>
      <c r="H1059" s="861">
        <v>50.507770644974102</v>
      </c>
      <c r="I1059" s="861">
        <v>25.2711276507763</v>
      </c>
      <c r="J1059" s="861">
        <v>41.115517008800197</v>
      </c>
      <c r="K1059" s="982">
        <v>0</v>
      </c>
      <c r="L1059" s="735">
        <v>3040</v>
      </c>
      <c r="M1059" s="735">
        <v>2659</v>
      </c>
      <c r="N1059" s="845">
        <f t="shared" si="93"/>
        <v>-0.12532894736842104</v>
      </c>
      <c r="O1059" s="735">
        <v>1.4209169477615866</v>
      </c>
      <c r="P1059" s="735">
        <f t="shared" si="94"/>
        <v>1871.3268246879616</v>
      </c>
      <c r="Q1059" s="849">
        <v>46.2</v>
      </c>
      <c r="R1059" s="71">
        <v>115000</v>
      </c>
      <c r="S1059" s="845">
        <v>7.220759684091764E-2</v>
      </c>
      <c r="T1059" s="845">
        <v>7.5999999999999998E-2</v>
      </c>
      <c r="U1059" s="845">
        <v>5.9000000000000004E-2</v>
      </c>
      <c r="V1059" s="845">
        <v>0</v>
      </c>
      <c r="W1059" s="845">
        <v>5.4285714285714284E-2</v>
      </c>
      <c r="X1059" s="845">
        <v>0.19298245614035087</v>
      </c>
      <c r="Y1059" s="845">
        <v>0.9044753666792027</v>
      </c>
      <c r="Z1059" s="845">
        <v>4.1368935690109063E-2</v>
      </c>
      <c r="AA1059" s="845">
        <v>0</v>
      </c>
      <c r="AB1059" s="845">
        <v>3.3847311019180142E-2</v>
      </c>
      <c r="AC1059" s="845">
        <v>0</v>
      </c>
      <c r="AD1059" s="845">
        <v>0</v>
      </c>
      <c r="AE1059" s="845">
        <v>2.0308386611508085E-2</v>
      </c>
      <c r="AF1059" s="845">
        <v>2.4069198946972545E-2</v>
      </c>
      <c r="AG1059" s="845">
        <v>0.90071455434373826</v>
      </c>
      <c r="AH1059" s="20" t="str">
        <f t="shared" si="95"/>
        <v>Yes</v>
      </c>
      <c r="AI1059" s="25"/>
      <c r="AJ1059" s="20">
        <v>45840</v>
      </c>
      <c r="AK1059" s="20" t="s">
        <v>1907</v>
      </c>
      <c r="AL1059" s="20">
        <v>39063</v>
      </c>
      <c r="AM1059" s="20" t="s">
        <v>38</v>
      </c>
      <c r="AN1059" s="37" t="str">
        <f t="shared" si="96"/>
        <v>N/A</v>
      </c>
      <c r="AO1059" s="37" t="str">
        <f t="shared" si="97"/>
        <v>N/A</v>
      </c>
      <c r="AP1059" s="20" t="s">
        <v>8</v>
      </c>
      <c r="AQ1059" s="25"/>
      <c r="AR1059" s="25"/>
      <c r="AS1059" s="25"/>
      <c r="AT1059" s="25"/>
      <c r="AU1059" s="36"/>
      <c r="AV1059" s="36"/>
      <c r="AW1059" s="36"/>
      <c r="AX1059" s="25"/>
      <c r="AY1059" s="25"/>
      <c r="AZ1059" s="25"/>
      <c r="BA1059" s="25"/>
      <c r="BB1059" s="25"/>
      <c r="BC1059" s="25"/>
      <c r="BD1059" s="25"/>
      <c r="BE1059" s="25"/>
      <c r="BF1059" s="25"/>
      <c r="BG1059" s="25"/>
      <c r="BH1059" s="25"/>
      <c r="BI1059" s="25"/>
      <c r="BJ1059" s="25"/>
      <c r="BK1059" s="25"/>
      <c r="BL1059" s="25"/>
      <c r="BM1059" s="25"/>
      <c r="BN1059" s="25"/>
      <c r="BO1059" s="25"/>
      <c r="BP1059" s="25"/>
      <c r="BQ1059" s="25"/>
      <c r="BR1059" s="25"/>
      <c r="BS1059" s="25"/>
      <c r="BT1059" s="25"/>
      <c r="BU1059" s="39">
        <v>43542</v>
      </c>
      <c r="BV1059" s="39" t="s">
        <v>982</v>
      </c>
      <c r="BW1059" s="39" t="s">
        <v>2904</v>
      </c>
      <c r="BX1059" s="39" t="s">
        <v>271</v>
      </c>
      <c r="BY1059" s="71">
        <v>830</v>
      </c>
      <c r="BZ1059" s="71">
        <v>880</v>
      </c>
      <c r="CA1059" s="71">
        <v>1150</v>
      </c>
      <c r="CB1059" s="71">
        <v>1480</v>
      </c>
      <c r="CC1059" s="71">
        <v>1560</v>
      </c>
      <c r="CD1059" s="25"/>
      <c r="CE1059" s="200"/>
      <c r="CF1059" s="200"/>
      <c r="CG1059" s="200"/>
      <c r="CH1059" s="200"/>
      <c r="CI1059" s="200"/>
      <c r="CJ1059" s="200"/>
      <c r="CK1059" s="200"/>
      <c r="CL1059" s="200"/>
      <c r="CM1059" s="200"/>
      <c r="CN1059" s="200"/>
      <c r="CO1059" s="200"/>
      <c r="CP1059" s="200"/>
      <c r="CQ1059" s="200"/>
      <c r="CR1059" s="200"/>
      <c r="CS1059" s="200"/>
      <c r="CT1059" s="200"/>
      <c r="CU1059" s="200"/>
    </row>
    <row r="1060" spans="1:99" s="17" customFormat="1" x14ac:dyDescent="0.2">
      <c r="A1060" s="25"/>
      <c r="B1060" s="20">
        <v>39035171205</v>
      </c>
      <c r="C1060" s="20">
        <v>1712.05</v>
      </c>
      <c r="D1060" s="20" t="s">
        <v>24</v>
      </c>
      <c r="E1060" s="20" t="s">
        <v>2829</v>
      </c>
      <c r="F1060" s="20" t="s">
        <v>8</v>
      </c>
      <c r="G1060" s="861">
        <v>55.540270157254199</v>
      </c>
      <c r="H1060" s="861">
        <v>50.684986697240397</v>
      </c>
      <c r="I1060" s="861">
        <v>33.220133716900101</v>
      </c>
      <c r="J1060" s="861">
        <v>36.730482247003401</v>
      </c>
      <c r="K1060" s="982">
        <v>0</v>
      </c>
      <c r="L1060" s="735">
        <v>2691</v>
      </c>
      <c r="M1060" s="735">
        <v>2555</v>
      </c>
      <c r="N1060" s="845">
        <f t="shared" si="93"/>
        <v>-5.05388331475288E-2</v>
      </c>
      <c r="O1060" s="735">
        <v>0.69068965725869691</v>
      </c>
      <c r="P1060" s="735">
        <f t="shared" si="94"/>
        <v>3699.2011870289643</v>
      </c>
      <c r="Q1060" s="849">
        <v>40.1</v>
      </c>
      <c r="R1060" s="71">
        <v>50949</v>
      </c>
      <c r="S1060" s="845">
        <v>0.23248532289628179</v>
      </c>
      <c r="T1060" s="845">
        <v>0.13300000000000001</v>
      </c>
      <c r="U1060" s="845">
        <v>0</v>
      </c>
      <c r="V1060" s="845">
        <v>0</v>
      </c>
      <c r="W1060" s="845">
        <v>0.3273350471293916</v>
      </c>
      <c r="X1060" s="845">
        <v>0.34554973821989526</v>
      </c>
      <c r="Y1060" s="845">
        <v>0.22935420743639923</v>
      </c>
      <c r="Z1060" s="845">
        <v>0.70176125244618393</v>
      </c>
      <c r="AA1060" s="845">
        <v>0</v>
      </c>
      <c r="AB1060" s="845">
        <v>0</v>
      </c>
      <c r="AC1060" s="845">
        <v>0</v>
      </c>
      <c r="AD1060" s="845">
        <v>6.4187866927592957E-2</v>
      </c>
      <c r="AE1060" s="845">
        <v>4.6966731898238747E-3</v>
      </c>
      <c r="AF1060" s="845">
        <v>6.6144814090019571E-2</v>
      </c>
      <c r="AG1060" s="845">
        <v>0.22739726027397261</v>
      </c>
      <c r="AH1060" s="20" t="str">
        <f t="shared" si="95"/>
        <v>No</v>
      </c>
      <c r="AI1060" s="25"/>
      <c r="AJ1060" s="37">
        <v>45841</v>
      </c>
      <c r="AK1060" s="37" t="s">
        <v>1908</v>
      </c>
      <c r="AL1060" s="37">
        <v>39063</v>
      </c>
      <c r="AM1060" s="37" t="s">
        <v>38</v>
      </c>
      <c r="AN1060" s="37" t="str">
        <f t="shared" si="96"/>
        <v>N/A</v>
      </c>
      <c r="AO1060" s="37" t="str">
        <f t="shared" si="97"/>
        <v>N/A</v>
      </c>
      <c r="AP1060" s="20" t="s">
        <v>8</v>
      </c>
      <c r="AQ1060" s="25"/>
      <c r="AR1060" s="25"/>
      <c r="AS1060" s="25"/>
      <c r="AT1060" s="25"/>
      <c r="AU1060" s="36"/>
      <c r="AV1060" s="36"/>
      <c r="AW1060" s="36"/>
      <c r="AX1060" s="25"/>
      <c r="AY1060" s="25"/>
      <c r="AZ1060" s="25"/>
      <c r="BA1060" s="25"/>
      <c r="BB1060" s="25"/>
      <c r="BC1060" s="25"/>
      <c r="BD1060" s="25"/>
      <c r="BE1060" s="25"/>
      <c r="BF1060" s="25"/>
      <c r="BG1060" s="25"/>
      <c r="BH1060" s="25"/>
      <c r="BI1060" s="25"/>
      <c r="BJ1060" s="25"/>
      <c r="BK1060" s="25"/>
      <c r="BL1060" s="25"/>
      <c r="BM1060" s="25"/>
      <c r="BN1060" s="25"/>
      <c r="BO1060" s="25"/>
      <c r="BP1060" s="25"/>
      <c r="BQ1060" s="25"/>
      <c r="BR1060" s="25"/>
      <c r="BS1060" s="25"/>
      <c r="BT1060" s="25"/>
      <c r="BU1060" s="39">
        <v>43545</v>
      </c>
      <c r="BV1060" s="39" t="s">
        <v>984</v>
      </c>
      <c r="BW1060" s="39" t="s">
        <v>2904</v>
      </c>
      <c r="BX1060" s="39" t="s">
        <v>271</v>
      </c>
      <c r="BY1060" s="71">
        <v>770</v>
      </c>
      <c r="BZ1060" s="71">
        <v>780</v>
      </c>
      <c r="CA1060" s="71">
        <v>1000</v>
      </c>
      <c r="CB1060" s="71">
        <v>1330</v>
      </c>
      <c r="CC1060" s="71">
        <v>1680</v>
      </c>
      <c r="CD1060" s="25"/>
      <c r="CE1060" s="200"/>
      <c r="CF1060" s="200"/>
      <c r="CG1060" s="200"/>
      <c r="CH1060" s="200"/>
      <c r="CI1060" s="200"/>
      <c r="CJ1060" s="200"/>
      <c r="CK1060" s="200"/>
      <c r="CL1060" s="200"/>
      <c r="CM1060" s="200"/>
      <c r="CN1060" s="200"/>
      <c r="CO1060" s="200"/>
      <c r="CP1060" s="200"/>
      <c r="CQ1060" s="200"/>
      <c r="CR1060" s="200"/>
      <c r="CS1060" s="200"/>
      <c r="CT1060" s="200"/>
      <c r="CU1060" s="200"/>
    </row>
    <row r="1061" spans="1:99" s="17" customFormat="1" x14ac:dyDescent="0.2">
      <c r="A1061" s="25"/>
      <c r="B1061" s="20">
        <v>39097040400</v>
      </c>
      <c r="C1061" s="20">
        <v>404</v>
      </c>
      <c r="D1061" s="20" t="s">
        <v>54</v>
      </c>
      <c r="E1061" s="20" t="s">
        <v>2830</v>
      </c>
      <c r="F1061" s="20" t="s">
        <v>8</v>
      </c>
      <c r="G1061" s="861">
        <v>55.5335117596996</v>
      </c>
      <c r="H1061" s="861">
        <v>63.127009171240402</v>
      </c>
      <c r="I1061" s="861">
        <v>31.882858341696799</v>
      </c>
      <c r="J1061" s="861">
        <v>53.468068642670097</v>
      </c>
      <c r="K1061" s="982">
        <v>0</v>
      </c>
      <c r="L1061" s="735">
        <v>2721</v>
      </c>
      <c r="M1061" s="735">
        <v>2543</v>
      </c>
      <c r="N1061" s="845">
        <f t="shared" si="93"/>
        <v>-6.5417126056596844E-2</v>
      </c>
      <c r="O1061" s="735">
        <v>26.490755588835505</v>
      </c>
      <c r="P1061" s="735">
        <f t="shared" si="94"/>
        <v>95.995751856611605</v>
      </c>
      <c r="Q1061" s="849">
        <v>49.9</v>
      </c>
      <c r="R1061" s="71">
        <v>81083</v>
      </c>
      <c r="S1061" s="845">
        <v>0.10232368528332654</v>
      </c>
      <c r="T1061" s="845">
        <v>8.199999999999999E-2</v>
      </c>
      <c r="U1061" s="845">
        <v>0</v>
      </c>
      <c r="V1061" s="845">
        <v>0</v>
      </c>
      <c r="W1061" s="845">
        <v>0.15566037735849056</v>
      </c>
      <c r="X1061" s="845">
        <v>0.23030303030303031</v>
      </c>
      <c r="Y1061" s="845">
        <v>0.89775855289028705</v>
      </c>
      <c r="Z1061" s="845">
        <v>4.3255996854109323E-3</v>
      </c>
      <c r="AA1061" s="845">
        <v>0</v>
      </c>
      <c r="AB1061" s="845">
        <v>3.5391270153362171E-3</v>
      </c>
      <c r="AC1061" s="845">
        <v>0</v>
      </c>
      <c r="AD1061" s="845">
        <v>0</v>
      </c>
      <c r="AE1061" s="845">
        <v>9.4376720408965789E-2</v>
      </c>
      <c r="AF1061" s="845">
        <v>2.791977978765238E-2</v>
      </c>
      <c r="AG1061" s="845">
        <v>0.88871411718442783</v>
      </c>
      <c r="AH1061" s="20" t="str">
        <f t="shared" si="95"/>
        <v>No</v>
      </c>
      <c r="AI1061" s="25"/>
      <c r="AJ1061" s="37">
        <v>45843</v>
      </c>
      <c r="AK1061" s="37" t="s">
        <v>1909</v>
      </c>
      <c r="AL1061" s="37">
        <v>39063</v>
      </c>
      <c r="AM1061" s="37" t="s">
        <v>38</v>
      </c>
      <c r="AN1061" s="37" t="str">
        <f t="shared" si="96"/>
        <v>N/A</v>
      </c>
      <c r="AO1061" s="37" t="str">
        <f t="shared" si="97"/>
        <v>N/A</v>
      </c>
      <c r="AP1061" s="20" t="s">
        <v>8</v>
      </c>
      <c r="AQ1061" s="25"/>
      <c r="AR1061" s="25"/>
      <c r="AS1061" s="25"/>
      <c r="AT1061" s="25"/>
      <c r="AU1061" s="36"/>
      <c r="AV1061" s="36"/>
      <c r="AW1061" s="36"/>
      <c r="AX1061" s="25"/>
      <c r="AY1061" s="25"/>
      <c r="AZ1061" s="25"/>
      <c r="BA1061" s="25"/>
      <c r="BB1061" s="25"/>
      <c r="BC1061" s="25"/>
      <c r="BD1061" s="25"/>
      <c r="BE1061" s="25"/>
      <c r="BF1061" s="25"/>
      <c r="BG1061" s="25"/>
      <c r="BH1061" s="25"/>
      <c r="BI1061" s="25"/>
      <c r="BJ1061" s="25"/>
      <c r="BK1061" s="25"/>
      <c r="BL1061" s="25"/>
      <c r="BM1061" s="25"/>
      <c r="BN1061" s="25"/>
      <c r="BO1061" s="25"/>
      <c r="BP1061" s="25"/>
      <c r="BQ1061" s="25"/>
      <c r="BR1061" s="25"/>
      <c r="BS1061" s="25"/>
      <c r="BT1061" s="25"/>
      <c r="BU1061" s="39">
        <v>43547</v>
      </c>
      <c r="BV1061" s="39" t="s">
        <v>985</v>
      </c>
      <c r="BW1061" s="39" t="s">
        <v>2904</v>
      </c>
      <c r="BX1061" s="39" t="s">
        <v>271</v>
      </c>
      <c r="BY1061" s="71">
        <v>800</v>
      </c>
      <c r="BZ1061" s="71">
        <v>840</v>
      </c>
      <c r="CA1061" s="71">
        <v>1090</v>
      </c>
      <c r="CB1061" s="71">
        <v>1420</v>
      </c>
      <c r="CC1061" s="71">
        <v>1580</v>
      </c>
      <c r="CD1061" s="25"/>
      <c r="CE1061" s="200"/>
      <c r="CF1061" s="200"/>
      <c r="CG1061" s="200"/>
      <c r="CH1061" s="200"/>
      <c r="CI1061" s="200"/>
      <c r="CJ1061" s="200"/>
      <c r="CK1061" s="200"/>
      <c r="CL1061" s="200"/>
      <c r="CM1061" s="200"/>
      <c r="CN1061" s="200"/>
      <c r="CO1061" s="200"/>
      <c r="CP1061" s="200"/>
      <c r="CQ1061" s="200"/>
      <c r="CR1061" s="200"/>
      <c r="CS1061" s="200"/>
      <c r="CT1061" s="200"/>
      <c r="CU1061" s="200"/>
    </row>
    <row r="1062" spans="1:99" s="17" customFormat="1" x14ac:dyDescent="0.2">
      <c r="A1062" s="25"/>
      <c r="B1062" s="20">
        <v>39035178101</v>
      </c>
      <c r="C1062" s="20">
        <v>1781.01</v>
      </c>
      <c r="D1062" s="20" t="s">
        <v>24</v>
      </c>
      <c r="E1062" s="20" t="s">
        <v>2829</v>
      </c>
      <c r="F1062" s="20" t="s">
        <v>8</v>
      </c>
      <c r="G1062" s="861">
        <v>55.525556591410201</v>
      </c>
      <c r="H1062" s="861">
        <v>57.356568417545297</v>
      </c>
      <c r="I1062" s="861">
        <v>31.195228198996901</v>
      </c>
      <c r="J1062" s="861">
        <v>46.8077708486042</v>
      </c>
      <c r="K1062" s="982">
        <v>0</v>
      </c>
      <c r="L1062" s="735">
        <v>2793</v>
      </c>
      <c r="M1062" s="735">
        <v>2603</v>
      </c>
      <c r="N1062" s="845">
        <f t="shared" si="93"/>
        <v>-6.8027210884353748E-2</v>
      </c>
      <c r="O1062" s="735">
        <v>0.69977657156117223</v>
      </c>
      <c r="P1062" s="735">
        <f t="shared" si="94"/>
        <v>3719.7587141175877</v>
      </c>
      <c r="Q1062" s="849">
        <v>45.1</v>
      </c>
      <c r="R1062" s="71">
        <v>66083</v>
      </c>
      <c r="S1062" s="845">
        <v>8.4496124031007758E-2</v>
      </c>
      <c r="T1062" s="845">
        <v>0.03</v>
      </c>
      <c r="U1062" s="845">
        <v>0</v>
      </c>
      <c r="V1062" s="845">
        <v>0</v>
      </c>
      <c r="W1062" s="845">
        <v>0.24684542586750788</v>
      </c>
      <c r="X1062" s="845">
        <v>0.57507987220447288</v>
      </c>
      <c r="Y1062" s="845">
        <v>0.87168651555897037</v>
      </c>
      <c r="Z1062" s="845">
        <v>3.6880522474068381E-2</v>
      </c>
      <c r="AA1062" s="845">
        <v>2.3050326546292738E-3</v>
      </c>
      <c r="AB1062" s="845">
        <v>1.2677679600461006E-2</v>
      </c>
      <c r="AC1062" s="845">
        <v>0</v>
      </c>
      <c r="AD1062" s="845">
        <v>1.844026123703419E-2</v>
      </c>
      <c r="AE1062" s="845">
        <v>5.8009988474836724E-2</v>
      </c>
      <c r="AF1062" s="845">
        <v>3.3422973492124475E-2</v>
      </c>
      <c r="AG1062" s="845">
        <v>0.87168651555897037</v>
      </c>
      <c r="AH1062" s="20" t="str">
        <f t="shared" si="95"/>
        <v>No</v>
      </c>
      <c r="AI1062" s="25"/>
      <c r="AJ1062" s="20">
        <v>45856</v>
      </c>
      <c r="AK1062" s="20" t="s">
        <v>1920</v>
      </c>
      <c r="AL1062" s="20">
        <v>39063</v>
      </c>
      <c r="AM1062" s="20" t="s">
        <v>38</v>
      </c>
      <c r="AN1062" s="37" t="str">
        <f t="shared" si="96"/>
        <v>N/A</v>
      </c>
      <c r="AO1062" s="37" t="str">
        <f t="shared" si="97"/>
        <v>N/A</v>
      </c>
      <c r="AP1062" s="20" t="s">
        <v>8</v>
      </c>
      <c r="AQ1062" s="25"/>
      <c r="AR1062" s="25"/>
      <c r="AS1062" s="25"/>
      <c r="AT1062" s="25"/>
      <c r="AU1062" s="36"/>
      <c r="AV1062" s="36"/>
      <c r="AW1062" s="36"/>
      <c r="AX1062" s="25"/>
      <c r="AY1062" s="25"/>
      <c r="AZ1062" s="25"/>
      <c r="BA1062" s="25"/>
      <c r="BB1062" s="25"/>
      <c r="BC1062" s="25"/>
      <c r="BD1062" s="25"/>
      <c r="BE1062" s="25"/>
      <c r="BF1062" s="25"/>
      <c r="BG1062" s="25"/>
      <c r="BH1062" s="25"/>
      <c r="BI1062" s="25"/>
      <c r="BJ1062" s="25"/>
      <c r="BK1062" s="25"/>
      <c r="BL1062" s="25"/>
      <c r="BM1062" s="25"/>
      <c r="BN1062" s="25"/>
      <c r="BO1062" s="25"/>
      <c r="BP1062" s="25"/>
      <c r="BQ1062" s="25"/>
      <c r="BR1062" s="25"/>
      <c r="BS1062" s="25"/>
      <c r="BT1062" s="25"/>
      <c r="BU1062" s="39">
        <v>43551</v>
      </c>
      <c r="BV1062" s="39" t="s">
        <v>988</v>
      </c>
      <c r="BW1062" s="39" t="s">
        <v>2904</v>
      </c>
      <c r="BX1062" s="39" t="s">
        <v>271</v>
      </c>
      <c r="BY1062" s="71">
        <v>980</v>
      </c>
      <c r="BZ1062" s="71">
        <v>1040</v>
      </c>
      <c r="CA1062" s="71">
        <v>1370</v>
      </c>
      <c r="CB1062" s="71">
        <v>1760</v>
      </c>
      <c r="CC1062" s="71">
        <v>1850</v>
      </c>
      <c r="CD1062" s="25"/>
      <c r="CE1062" s="200"/>
      <c r="CF1062" s="200"/>
      <c r="CG1062" s="200"/>
      <c r="CH1062" s="200"/>
      <c r="CI1062" s="200"/>
      <c r="CJ1062" s="200"/>
      <c r="CK1062" s="200"/>
      <c r="CL1062" s="200"/>
      <c r="CM1062" s="200"/>
      <c r="CN1062" s="200"/>
      <c r="CO1062" s="200"/>
      <c r="CP1062" s="200"/>
      <c r="CQ1062" s="200"/>
      <c r="CR1062" s="200"/>
      <c r="CS1062" s="200"/>
      <c r="CT1062" s="200"/>
      <c r="CU1062" s="200"/>
    </row>
    <row r="1063" spans="1:99" s="17" customFormat="1" x14ac:dyDescent="0.2">
      <c r="A1063" s="25"/>
      <c r="B1063" s="20">
        <v>39133601501</v>
      </c>
      <c r="C1063" s="20">
        <v>6015.01</v>
      </c>
      <c r="D1063" s="20" t="s">
        <v>72</v>
      </c>
      <c r="E1063" s="20" t="s">
        <v>2843</v>
      </c>
      <c r="F1063" s="20" t="s">
        <v>6</v>
      </c>
      <c r="G1063" s="861">
        <v>55.518569460668097</v>
      </c>
      <c r="H1063" s="861">
        <v>60.343090996432799</v>
      </c>
      <c r="I1063" s="861">
        <v>48.513405398812203</v>
      </c>
      <c r="J1063" s="861">
        <v>41.1946965574244</v>
      </c>
      <c r="K1063" s="982">
        <v>0</v>
      </c>
      <c r="L1063" s="735">
        <v>2413</v>
      </c>
      <c r="M1063" s="735">
        <v>1746</v>
      </c>
      <c r="N1063" s="845">
        <f t="shared" si="93"/>
        <v>-0.27641939494405304</v>
      </c>
      <c r="O1063" s="735">
        <v>0.38996781340436348</v>
      </c>
      <c r="P1063" s="735">
        <f t="shared" si="94"/>
        <v>4477.2925866821379</v>
      </c>
      <c r="Q1063" s="849">
        <v>31</v>
      </c>
      <c r="R1063" s="71">
        <v>29792</v>
      </c>
      <c r="S1063" s="845">
        <v>0.32188841201716739</v>
      </c>
      <c r="T1063" s="845">
        <v>3.4000000000000002E-2</v>
      </c>
      <c r="U1063" s="845">
        <v>0</v>
      </c>
      <c r="V1063" s="845">
        <v>0</v>
      </c>
      <c r="W1063" s="845">
        <v>0.48757396449704143</v>
      </c>
      <c r="X1063" s="845">
        <v>0.63592233009708743</v>
      </c>
      <c r="Y1063" s="845">
        <v>0.90091638029782362</v>
      </c>
      <c r="Z1063" s="845">
        <v>1.7182130584192441E-2</v>
      </c>
      <c r="AA1063" s="845">
        <v>0</v>
      </c>
      <c r="AB1063" s="845">
        <v>1.3172966781214204E-2</v>
      </c>
      <c r="AC1063" s="845">
        <v>0</v>
      </c>
      <c r="AD1063" s="845">
        <v>0</v>
      </c>
      <c r="AE1063" s="845">
        <v>6.8728522336769765E-2</v>
      </c>
      <c r="AF1063" s="845">
        <v>4.1237113402061855E-2</v>
      </c>
      <c r="AG1063" s="845">
        <v>0.90091638029782362</v>
      </c>
      <c r="AH1063" s="20" t="str">
        <f t="shared" si="95"/>
        <v>Yes</v>
      </c>
      <c r="AI1063" s="25"/>
      <c r="AJ1063" s="37">
        <v>45858</v>
      </c>
      <c r="AK1063" s="37" t="s">
        <v>1921</v>
      </c>
      <c r="AL1063" s="37">
        <v>39063</v>
      </c>
      <c r="AM1063" s="37" t="s">
        <v>38</v>
      </c>
      <c r="AN1063" s="37" t="str">
        <f t="shared" si="96"/>
        <v>N/A</v>
      </c>
      <c r="AO1063" s="37" t="str">
        <f t="shared" si="97"/>
        <v>N/A</v>
      </c>
      <c r="AP1063" s="20" t="s">
        <v>8</v>
      </c>
      <c r="AQ1063" s="25"/>
      <c r="AR1063" s="25"/>
      <c r="AS1063" s="25"/>
      <c r="AT1063" s="25"/>
      <c r="AU1063" s="36"/>
      <c r="AV1063" s="36"/>
      <c r="AW1063" s="36"/>
      <c r="AX1063" s="25"/>
      <c r="AY1063" s="25"/>
      <c r="AZ1063" s="25"/>
      <c r="BA1063" s="25"/>
      <c r="BB1063" s="25"/>
      <c r="BC1063" s="25"/>
      <c r="BD1063" s="25"/>
      <c r="BE1063" s="25"/>
      <c r="BF1063" s="25"/>
      <c r="BG1063" s="25"/>
      <c r="BH1063" s="25"/>
      <c r="BI1063" s="25"/>
      <c r="BJ1063" s="25"/>
      <c r="BK1063" s="25"/>
      <c r="BL1063" s="25"/>
      <c r="BM1063" s="25"/>
      <c r="BN1063" s="25"/>
      <c r="BO1063" s="25"/>
      <c r="BP1063" s="25"/>
      <c r="BQ1063" s="25"/>
      <c r="BR1063" s="25"/>
      <c r="BS1063" s="25"/>
      <c r="BT1063" s="25"/>
      <c r="BU1063" s="39">
        <v>43553</v>
      </c>
      <c r="BV1063" s="39" t="s">
        <v>989</v>
      </c>
      <c r="BW1063" s="39" t="s">
        <v>2904</v>
      </c>
      <c r="BX1063" s="39" t="s">
        <v>271</v>
      </c>
      <c r="BY1063" s="71">
        <v>700</v>
      </c>
      <c r="BZ1063" s="71">
        <v>740</v>
      </c>
      <c r="CA1063" s="71">
        <v>970</v>
      </c>
      <c r="CB1063" s="71">
        <v>1250</v>
      </c>
      <c r="CC1063" s="71">
        <v>1320</v>
      </c>
      <c r="CD1063" s="25"/>
      <c r="CE1063" s="200"/>
      <c r="CF1063" s="200"/>
      <c r="CG1063" s="200"/>
      <c r="CH1063" s="200"/>
      <c r="CI1063" s="200"/>
      <c r="CJ1063" s="200"/>
      <c r="CK1063" s="200"/>
      <c r="CL1063" s="200"/>
      <c r="CM1063" s="200"/>
      <c r="CN1063" s="200"/>
      <c r="CO1063" s="200"/>
      <c r="CP1063" s="200"/>
      <c r="CQ1063" s="200"/>
      <c r="CR1063" s="200"/>
      <c r="CS1063" s="200"/>
      <c r="CT1063" s="200"/>
      <c r="CU1063" s="200"/>
    </row>
    <row r="1064" spans="1:99" s="17" customFormat="1" x14ac:dyDescent="0.2">
      <c r="A1064" s="25"/>
      <c r="B1064" s="20">
        <v>39095009003</v>
      </c>
      <c r="C1064" s="20">
        <v>90.03</v>
      </c>
      <c r="D1064" s="20" t="s">
        <v>53</v>
      </c>
      <c r="E1064" s="20" t="s">
        <v>2839</v>
      </c>
      <c r="F1064" s="20" t="s">
        <v>8</v>
      </c>
      <c r="G1064" s="861">
        <v>55.516403837147102</v>
      </c>
      <c r="H1064" s="861">
        <v>36.858607370324499</v>
      </c>
      <c r="I1064" s="861">
        <v>28.9622774900838</v>
      </c>
      <c r="J1064" s="861">
        <v>35.600830593837699</v>
      </c>
      <c r="K1064" s="982">
        <v>0</v>
      </c>
      <c r="L1064" s="735" t="s">
        <v>2466</v>
      </c>
      <c r="M1064" s="735">
        <v>4082</v>
      </c>
      <c r="N1064" s="845" t="str">
        <f t="shared" si="93"/>
        <v/>
      </c>
      <c r="O1064" s="735">
        <v>5.2771535696354999</v>
      </c>
      <c r="P1064" s="735">
        <f t="shared" si="94"/>
        <v>773.52306430641727</v>
      </c>
      <c r="Q1064" s="849">
        <v>54.5</v>
      </c>
      <c r="R1064" s="71">
        <v>93558</v>
      </c>
      <c r="S1064" s="845">
        <v>4.3249999999999997E-2</v>
      </c>
      <c r="T1064" s="845">
        <v>0.113</v>
      </c>
      <c r="U1064" s="845">
        <v>2.5000000000000001E-2</v>
      </c>
      <c r="V1064" s="845">
        <v>0</v>
      </c>
      <c r="W1064" s="845">
        <v>0.17152917505030182</v>
      </c>
      <c r="X1064" s="845">
        <v>0.39002932551319647</v>
      </c>
      <c r="Y1064" s="845">
        <v>0.90323370896619304</v>
      </c>
      <c r="Z1064" s="845">
        <v>2.8172464478196962E-2</v>
      </c>
      <c r="AA1064" s="845">
        <v>0</v>
      </c>
      <c r="AB1064" s="845">
        <v>0</v>
      </c>
      <c r="AC1064" s="845">
        <v>0</v>
      </c>
      <c r="AD1064" s="845">
        <v>1.8373346398824104E-2</v>
      </c>
      <c r="AE1064" s="845">
        <v>5.0220480156785888E-2</v>
      </c>
      <c r="AF1064" s="845">
        <v>6.565409113179814E-2</v>
      </c>
      <c r="AG1064" s="845">
        <v>0.86869181773640369</v>
      </c>
      <c r="AH1064" s="20" t="str">
        <f t="shared" si="95"/>
        <v>No</v>
      </c>
      <c r="AI1064" s="25"/>
      <c r="AJ1064" s="20">
        <v>45867</v>
      </c>
      <c r="AK1064" s="20" t="s">
        <v>1930</v>
      </c>
      <c r="AL1064" s="20">
        <v>39063</v>
      </c>
      <c r="AM1064" s="20" t="s">
        <v>38</v>
      </c>
      <c r="AN1064" s="37" t="str">
        <f t="shared" si="96"/>
        <v>N/A</v>
      </c>
      <c r="AO1064" s="37" t="str">
        <f t="shared" si="97"/>
        <v>N/A</v>
      </c>
      <c r="AP1064" s="20" t="s">
        <v>8</v>
      </c>
      <c r="AQ1064" s="25"/>
      <c r="AR1064" s="25"/>
      <c r="AS1064" s="25"/>
      <c r="AT1064" s="25"/>
      <c r="AU1064" s="36"/>
      <c r="AV1064" s="36"/>
      <c r="AW1064" s="36"/>
      <c r="AX1064" s="25"/>
      <c r="AY1064" s="25"/>
      <c r="AZ1064" s="25"/>
      <c r="BA1064" s="25"/>
      <c r="BB1064" s="25"/>
      <c r="BC1064" s="25"/>
      <c r="BD1064" s="25"/>
      <c r="BE1064" s="25"/>
      <c r="BF1064" s="25"/>
      <c r="BG1064" s="25"/>
      <c r="BH1064" s="25"/>
      <c r="BI1064" s="25"/>
      <c r="BJ1064" s="25"/>
      <c r="BK1064" s="25"/>
      <c r="BL1064" s="25"/>
      <c r="BM1064" s="25"/>
      <c r="BN1064" s="25"/>
      <c r="BO1064" s="25"/>
      <c r="BP1064" s="25"/>
      <c r="BQ1064" s="25"/>
      <c r="BR1064" s="25"/>
      <c r="BS1064" s="25"/>
      <c r="BT1064" s="25"/>
      <c r="BU1064" s="39">
        <v>43557</v>
      </c>
      <c r="BV1064" s="39" t="s">
        <v>993</v>
      </c>
      <c r="BW1064" s="39" t="s">
        <v>2904</v>
      </c>
      <c r="BX1064" s="39" t="s">
        <v>271</v>
      </c>
      <c r="BY1064" s="71">
        <v>840</v>
      </c>
      <c r="BZ1064" s="71">
        <v>860</v>
      </c>
      <c r="CA1064" s="71">
        <v>1110</v>
      </c>
      <c r="CB1064" s="71">
        <v>1380</v>
      </c>
      <c r="CC1064" s="71">
        <v>1480</v>
      </c>
      <c r="CD1064" s="25"/>
      <c r="CE1064" s="200"/>
      <c r="CF1064" s="200"/>
      <c r="CG1064" s="200"/>
      <c r="CH1064" s="200"/>
      <c r="CI1064" s="200"/>
      <c r="CJ1064" s="200"/>
      <c r="CK1064" s="200"/>
      <c r="CL1064" s="200"/>
      <c r="CM1064" s="200"/>
      <c r="CN1064" s="200"/>
      <c r="CO1064" s="200"/>
      <c r="CP1064" s="200"/>
      <c r="CQ1064" s="200"/>
      <c r="CR1064" s="200"/>
      <c r="CS1064" s="200"/>
      <c r="CT1064" s="200"/>
      <c r="CU1064" s="200"/>
    </row>
    <row r="1065" spans="1:99" s="17" customFormat="1" x14ac:dyDescent="0.2">
      <c r="A1065" s="25"/>
      <c r="B1065" s="20">
        <v>39107967600</v>
      </c>
      <c r="C1065" s="20">
        <v>9676</v>
      </c>
      <c r="D1065" s="20" t="s">
        <v>59</v>
      </c>
      <c r="E1065" s="20" t="s">
        <v>265</v>
      </c>
      <c r="F1065" s="20" t="s">
        <v>8</v>
      </c>
      <c r="G1065" s="861">
        <v>55.512422399342199</v>
      </c>
      <c r="H1065" s="861">
        <v>57.483315712551303</v>
      </c>
      <c r="I1065" s="861">
        <v>41.335355918653498</v>
      </c>
      <c r="J1065" s="861">
        <v>32.712636615954104</v>
      </c>
      <c r="K1065" s="982">
        <v>0</v>
      </c>
      <c r="L1065" s="735">
        <v>3089</v>
      </c>
      <c r="M1065" s="735">
        <v>2989</v>
      </c>
      <c r="N1065" s="845">
        <f t="shared" si="93"/>
        <v>-3.2372936225315639E-2</v>
      </c>
      <c r="O1065" s="735">
        <v>8.132220344440114</v>
      </c>
      <c r="P1065" s="735">
        <f t="shared" si="94"/>
        <v>367.55029664727886</v>
      </c>
      <c r="Q1065" s="849">
        <v>45.9</v>
      </c>
      <c r="R1065" s="71">
        <v>72019</v>
      </c>
      <c r="S1065" s="845">
        <v>7.5522589345920432E-2</v>
      </c>
      <c r="T1065" s="845">
        <v>3.7000000000000005E-2</v>
      </c>
      <c r="U1065" s="845">
        <v>4.0999999999999995E-2</v>
      </c>
      <c r="V1065" s="845">
        <v>0</v>
      </c>
      <c r="W1065" s="845">
        <v>0.33278955954323003</v>
      </c>
      <c r="X1065" s="845">
        <v>0.30882352941176472</v>
      </c>
      <c r="Y1065" s="845">
        <v>0.88758782201405151</v>
      </c>
      <c r="Z1065" s="845">
        <v>7.3603211776513888E-3</v>
      </c>
      <c r="AA1065" s="845">
        <v>0</v>
      </c>
      <c r="AB1065" s="845">
        <v>3.4459685513549679E-2</v>
      </c>
      <c r="AC1065" s="845">
        <v>0</v>
      </c>
      <c r="AD1065" s="845">
        <v>0</v>
      </c>
      <c r="AE1065" s="845">
        <v>7.0592171294747402E-2</v>
      </c>
      <c r="AF1065" s="845">
        <v>0</v>
      </c>
      <c r="AG1065" s="845">
        <v>0.88758782201405151</v>
      </c>
      <c r="AH1065" s="20" t="str">
        <f t="shared" si="95"/>
        <v>No</v>
      </c>
      <c r="AI1065" s="25"/>
      <c r="AJ1065" s="37">
        <v>45868</v>
      </c>
      <c r="AK1065" s="37" t="s">
        <v>1931</v>
      </c>
      <c r="AL1065" s="37">
        <v>39063</v>
      </c>
      <c r="AM1065" s="37" t="s">
        <v>38</v>
      </c>
      <c r="AN1065" s="37" t="str">
        <f t="shared" si="96"/>
        <v>N/A</v>
      </c>
      <c r="AO1065" s="37" t="str">
        <f t="shared" si="97"/>
        <v>N/A</v>
      </c>
      <c r="AP1065" s="20" t="s">
        <v>8</v>
      </c>
      <c r="AQ1065" s="25"/>
      <c r="AR1065" s="25"/>
      <c r="AS1065" s="25"/>
      <c r="AT1065" s="25"/>
      <c r="AU1065" s="36"/>
      <c r="AV1065" s="36"/>
      <c r="AW1065" s="36"/>
      <c r="AX1065" s="25"/>
      <c r="AY1065" s="25"/>
      <c r="AZ1065" s="25"/>
      <c r="BA1065" s="25"/>
      <c r="BB1065" s="25"/>
      <c r="BC1065" s="25"/>
      <c r="BD1065" s="25"/>
      <c r="BE1065" s="25"/>
      <c r="BF1065" s="25"/>
      <c r="BG1065" s="25"/>
      <c r="BH1065" s="25"/>
      <c r="BI1065" s="25"/>
      <c r="BJ1065" s="25"/>
      <c r="BK1065" s="25"/>
      <c r="BL1065" s="25"/>
      <c r="BM1065" s="25"/>
      <c r="BN1065" s="25"/>
      <c r="BO1065" s="25"/>
      <c r="BP1065" s="25"/>
      <c r="BQ1065" s="25"/>
      <c r="BR1065" s="25"/>
      <c r="BS1065" s="25"/>
      <c r="BT1065" s="25"/>
      <c r="BU1065" s="39">
        <v>43558</v>
      </c>
      <c r="BV1065" s="39" t="s">
        <v>994</v>
      </c>
      <c r="BW1065" s="39" t="s">
        <v>2904</v>
      </c>
      <c r="BX1065" s="39" t="s">
        <v>271</v>
      </c>
      <c r="BY1065" s="71">
        <v>760</v>
      </c>
      <c r="BZ1065" s="71">
        <v>810</v>
      </c>
      <c r="CA1065" s="71">
        <v>1060</v>
      </c>
      <c r="CB1065" s="71">
        <v>1360</v>
      </c>
      <c r="CC1065" s="71">
        <v>1430</v>
      </c>
      <c r="CD1065" s="25"/>
      <c r="CE1065" s="200"/>
      <c r="CF1065" s="200"/>
      <c r="CG1065" s="200"/>
      <c r="CH1065" s="200"/>
      <c r="CI1065" s="200"/>
      <c r="CJ1065" s="200"/>
      <c r="CK1065" s="200"/>
      <c r="CL1065" s="200"/>
      <c r="CM1065" s="200"/>
      <c r="CN1065" s="200"/>
      <c r="CO1065" s="200"/>
      <c r="CP1065" s="200"/>
      <c r="CQ1065" s="200"/>
      <c r="CR1065" s="200"/>
      <c r="CS1065" s="200"/>
      <c r="CT1065" s="200"/>
      <c r="CU1065" s="200"/>
    </row>
    <row r="1066" spans="1:99" s="17" customFormat="1" x14ac:dyDescent="0.2">
      <c r="A1066" s="25"/>
      <c r="B1066" s="20">
        <v>39041011432</v>
      </c>
      <c r="C1066" s="20">
        <v>114.32</v>
      </c>
      <c r="D1066" s="20" t="s">
        <v>27</v>
      </c>
      <c r="E1066" s="20" t="s">
        <v>2830</v>
      </c>
      <c r="F1066" s="20" t="s">
        <v>8</v>
      </c>
      <c r="G1066" s="861">
        <v>55.473654911624699</v>
      </c>
      <c r="H1066" s="861">
        <v>57.716192234543101</v>
      </c>
      <c r="I1066" s="861">
        <v>27.252267024735101</v>
      </c>
      <c r="J1066" s="861">
        <v>53.545973796995597</v>
      </c>
      <c r="K1066" s="982">
        <v>0</v>
      </c>
      <c r="L1066" s="735" t="s">
        <v>2466</v>
      </c>
      <c r="M1066" s="735">
        <v>8058</v>
      </c>
      <c r="N1066" s="845" t="str">
        <f t="shared" si="93"/>
        <v/>
      </c>
      <c r="O1066" s="735">
        <v>12.858764822669398</v>
      </c>
      <c r="P1066" s="735">
        <f t="shared" si="94"/>
        <v>626.65427909484151</v>
      </c>
      <c r="Q1066" s="849">
        <v>41.7</v>
      </c>
      <c r="R1066" s="71">
        <v>146662</v>
      </c>
      <c r="S1066" s="845">
        <v>2.1069896543022961E-2</v>
      </c>
      <c r="T1066" s="845">
        <v>4.5999999999999999E-2</v>
      </c>
      <c r="U1066" s="845">
        <v>0</v>
      </c>
      <c r="V1066" s="845">
        <v>0</v>
      </c>
      <c r="W1066" s="845">
        <v>0.10545065906661917</v>
      </c>
      <c r="X1066" s="845">
        <v>0.70945945945945943</v>
      </c>
      <c r="Y1066" s="845">
        <v>0.84288905435591954</v>
      </c>
      <c r="Z1066" s="845">
        <v>2.4695954331099529E-2</v>
      </c>
      <c r="AA1066" s="845">
        <v>0</v>
      </c>
      <c r="AB1066" s="845">
        <v>8.3891784561926031E-2</v>
      </c>
      <c r="AC1066" s="845">
        <v>0</v>
      </c>
      <c r="AD1066" s="845">
        <v>0</v>
      </c>
      <c r="AE1066" s="845">
        <v>4.852320675105485E-2</v>
      </c>
      <c r="AF1066" s="845">
        <v>7.6942169272772396E-3</v>
      </c>
      <c r="AG1066" s="845">
        <v>0.84288905435591954</v>
      </c>
      <c r="AH1066" s="20" t="str">
        <f t="shared" si="95"/>
        <v>No</v>
      </c>
      <c r="AI1066" s="25"/>
      <c r="AJ1066" s="20">
        <v>45872</v>
      </c>
      <c r="AK1066" s="20" t="s">
        <v>1935</v>
      </c>
      <c r="AL1066" s="20">
        <v>39063</v>
      </c>
      <c r="AM1066" s="20" t="s">
        <v>38</v>
      </c>
      <c r="AN1066" s="37" t="str">
        <f t="shared" si="96"/>
        <v>N/A</v>
      </c>
      <c r="AO1066" s="37" t="str">
        <f t="shared" si="97"/>
        <v>N/A</v>
      </c>
      <c r="AP1066" s="20" t="s">
        <v>8</v>
      </c>
      <c r="AQ1066" s="25"/>
      <c r="AR1066" s="25"/>
      <c r="AS1066" s="25"/>
      <c r="AT1066" s="25"/>
      <c r="AU1066" s="36"/>
      <c r="AV1066" s="36"/>
      <c r="AW1066" s="36"/>
      <c r="AX1066" s="25"/>
      <c r="AY1066" s="25"/>
      <c r="AZ1066" s="25"/>
      <c r="BA1066" s="25"/>
      <c r="BB1066" s="25"/>
      <c r="BC1066" s="25"/>
      <c r="BD1066" s="25"/>
      <c r="BE1066" s="25"/>
      <c r="BF1066" s="25"/>
      <c r="BG1066" s="25"/>
      <c r="BH1066" s="25"/>
      <c r="BI1066" s="25"/>
      <c r="BJ1066" s="25"/>
      <c r="BK1066" s="25"/>
      <c r="BL1066" s="25"/>
      <c r="BM1066" s="25"/>
      <c r="BN1066" s="25"/>
      <c r="BO1066" s="25"/>
      <c r="BP1066" s="25"/>
      <c r="BQ1066" s="25"/>
      <c r="BR1066" s="25"/>
      <c r="BS1066" s="25"/>
      <c r="BT1066" s="25"/>
      <c r="BU1066" s="39">
        <v>43560</v>
      </c>
      <c r="BV1066" s="39" t="s">
        <v>995</v>
      </c>
      <c r="BW1066" s="39" t="s">
        <v>2904</v>
      </c>
      <c r="BX1066" s="39" t="s">
        <v>271</v>
      </c>
      <c r="BY1066" s="71">
        <v>870</v>
      </c>
      <c r="BZ1066" s="71">
        <v>930</v>
      </c>
      <c r="CA1066" s="71">
        <v>1220</v>
      </c>
      <c r="CB1066" s="71">
        <v>1570</v>
      </c>
      <c r="CC1066" s="71">
        <v>1650</v>
      </c>
      <c r="CD1066" s="25"/>
      <c r="CE1066" s="200"/>
      <c r="CF1066" s="200"/>
      <c r="CG1066" s="200"/>
      <c r="CH1066" s="200"/>
      <c r="CI1066" s="200"/>
      <c r="CJ1066" s="200"/>
      <c r="CK1066" s="200"/>
      <c r="CL1066" s="200"/>
      <c r="CM1066" s="200"/>
      <c r="CN1066" s="200"/>
      <c r="CO1066" s="200"/>
      <c r="CP1066" s="200"/>
      <c r="CQ1066" s="200"/>
      <c r="CR1066" s="200"/>
      <c r="CS1066" s="200"/>
      <c r="CT1066" s="200"/>
      <c r="CU1066" s="200"/>
    </row>
    <row r="1067" spans="1:99" s="17" customFormat="1" x14ac:dyDescent="0.2">
      <c r="A1067" s="25"/>
      <c r="B1067" s="20">
        <v>39049009401</v>
      </c>
      <c r="C1067" s="20">
        <v>94.01</v>
      </c>
      <c r="D1067" s="20" t="s">
        <v>31</v>
      </c>
      <c r="E1067" s="20" t="s">
        <v>2830</v>
      </c>
      <c r="F1067" s="20" t="s">
        <v>8</v>
      </c>
      <c r="G1067" s="861">
        <v>55.472220513667502</v>
      </c>
      <c r="H1067" s="861">
        <v>76.838297020904093</v>
      </c>
      <c r="I1067" s="861">
        <v>23.118658062596801</v>
      </c>
      <c r="J1067" s="861">
        <v>61.514896052980099</v>
      </c>
      <c r="K1067" s="982">
        <v>0</v>
      </c>
      <c r="L1067" s="735" t="s">
        <v>2466</v>
      </c>
      <c r="M1067" s="735">
        <v>5096</v>
      </c>
      <c r="N1067" s="845" t="str">
        <f t="shared" si="93"/>
        <v/>
      </c>
      <c r="O1067" s="735">
        <v>2.4680132604933078</v>
      </c>
      <c r="P1067" s="735">
        <f t="shared" si="94"/>
        <v>2064.8187275061109</v>
      </c>
      <c r="Q1067" s="849">
        <v>39.299999999999997</v>
      </c>
      <c r="R1067" s="71">
        <v>84298</v>
      </c>
      <c r="S1067" s="845">
        <v>9.4525403702244978E-2</v>
      </c>
      <c r="T1067" s="845">
        <v>4.5999999999999999E-2</v>
      </c>
      <c r="U1067" s="845">
        <v>0</v>
      </c>
      <c r="V1067" s="845">
        <v>0</v>
      </c>
      <c r="W1067" s="845">
        <v>0.36496350364963503</v>
      </c>
      <c r="X1067" s="845">
        <v>0.33285714285714285</v>
      </c>
      <c r="Y1067" s="845">
        <v>0.56652276295133441</v>
      </c>
      <c r="Z1067" s="845">
        <v>0.35125588697017268</v>
      </c>
      <c r="AA1067" s="845">
        <v>2.1585557299843012E-3</v>
      </c>
      <c r="AB1067" s="845">
        <v>0</v>
      </c>
      <c r="AC1067" s="845">
        <v>0</v>
      </c>
      <c r="AD1067" s="845">
        <v>4.5525902668759811E-2</v>
      </c>
      <c r="AE1067" s="845">
        <v>3.453689167974882E-2</v>
      </c>
      <c r="AF1067" s="845">
        <v>6.3186813186813184E-2</v>
      </c>
      <c r="AG1067" s="845">
        <v>0.56338304552590268</v>
      </c>
      <c r="AH1067" s="20" t="str">
        <f t="shared" si="95"/>
        <v>No</v>
      </c>
      <c r="AI1067" s="25"/>
      <c r="AJ1067" s="20">
        <v>45877</v>
      </c>
      <c r="AK1067" s="20" t="s">
        <v>1940</v>
      </c>
      <c r="AL1067" s="20">
        <v>39063</v>
      </c>
      <c r="AM1067" s="20" t="s">
        <v>38</v>
      </c>
      <c r="AN1067" s="37" t="str">
        <f t="shared" si="96"/>
        <v>N/A</v>
      </c>
      <c r="AO1067" s="37" t="str">
        <f t="shared" si="97"/>
        <v>N/A</v>
      </c>
      <c r="AP1067" s="20" t="s">
        <v>8</v>
      </c>
      <c r="AQ1067" s="25"/>
      <c r="AR1067" s="25"/>
      <c r="AS1067" s="25"/>
      <c r="AT1067" s="25"/>
      <c r="AU1067" s="36"/>
      <c r="AV1067" s="36"/>
      <c r="AW1067" s="36"/>
      <c r="AX1067" s="25"/>
      <c r="AY1067" s="25"/>
      <c r="AZ1067" s="25"/>
      <c r="BA1067" s="25"/>
      <c r="BB1067" s="25"/>
      <c r="BC1067" s="25"/>
      <c r="BD1067" s="25"/>
      <c r="BE1067" s="25"/>
      <c r="BF1067" s="25"/>
      <c r="BG1067" s="25"/>
      <c r="BH1067" s="25"/>
      <c r="BI1067" s="25"/>
      <c r="BJ1067" s="25"/>
      <c r="BK1067" s="25"/>
      <c r="BL1067" s="25"/>
      <c r="BM1067" s="25"/>
      <c r="BN1067" s="25"/>
      <c r="BO1067" s="25"/>
      <c r="BP1067" s="25"/>
      <c r="BQ1067" s="25"/>
      <c r="BR1067" s="25"/>
      <c r="BS1067" s="25"/>
      <c r="BT1067" s="25"/>
      <c r="BU1067" s="39">
        <v>43565</v>
      </c>
      <c r="BV1067" s="39" t="s">
        <v>996</v>
      </c>
      <c r="BW1067" s="39" t="s">
        <v>2904</v>
      </c>
      <c r="BX1067" s="39" t="s">
        <v>271</v>
      </c>
      <c r="BY1067" s="71">
        <v>810</v>
      </c>
      <c r="BZ1067" s="71">
        <v>870</v>
      </c>
      <c r="CA1067" s="71">
        <v>1140</v>
      </c>
      <c r="CB1067" s="71">
        <v>1460</v>
      </c>
      <c r="CC1067" s="71">
        <v>1540</v>
      </c>
      <c r="CD1067" s="25"/>
      <c r="CE1067" s="200"/>
      <c r="CF1067" s="200"/>
      <c r="CG1067" s="200"/>
      <c r="CH1067" s="200"/>
      <c r="CI1067" s="200"/>
      <c r="CJ1067" s="200"/>
      <c r="CK1067" s="200"/>
      <c r="CL1067" s="200"/>
      <c r="CM1067" s="200"/>
      <c r="CN1067" s="200"/>
      <c r="CO1067" s="200"/>
      <c r="CP1067" s="200"/>
      <c r="CQ1067" s="200"/>
      <c r="CR1067" s="200"/>
      <c r="CS1067" s="200"/>
      <c r="CT1067" s="200"/>
      <c r="CU1067" s="200"/>
    </row>
    <row r="1068" spans="1:99" s="17" customFormat="1" x14ac:dyDescent="0.2">
      <c r="A1068" s="25"/>
      <c r="B1068" s="20">
        <v>39023001900</v>
      </c>
      <c r="C1068" s="20">
        <v>19</v>
      </c>
      <c r="D1068" s="20" t="s">
        <v>18</v>
      </c>
      <c r="E1068" s="20" t="s">
        <v>2838</v>
      </c>
      <c r="F1068" s="20" t="s">
        <v>8</v>
      </c>
      <c r="G1068" s="861">
        <v>55.463987864483599</v>
      </c>
      <c r="H1068" s="861">
        <v>49.613361813381502</v>
      </c>
      <c r="I1068" s="861">
        <v>27.021525392137701</v>
      </c>
      <c r="J1068" s="861">
        <v>33.1625873972582</v>
      </c>
      <c r="K1068" s="982">
        <v>0</v>
      </c>
      <c r="L1068" s="735">
        <v>2857</v>
      </c>
      <c r="M1068" s="735">
        <v>3058</v>
      </c>
      <c r="N1068" s="845">
        <f t="shared" si="93"/>
        <v>7.0353517675883798E-2</v>
      </c>
      <c r="O1068" s="735">
        <v>2.4868531153218307</v>
      </c>
      <c r="P1068" s="735">
        <f t="shared" si="94"/>
        <v>1229.6665135384385</v>
      </c>
      <c r="Q1068" s="849">
        <v>37.299999999999997</v>
      </c>
      <c r="R1068" s="71">
        <v>62188</v>
      </c>
      <c r="S1068" s="845">
        <v>0.13547052740434332</v>
      </c>
      <c r="T1068" s="845">
        <v>4.5999999999999999E-2</v>
      </c>
      <c r="U1068" s="845">
        <v>0</v>
      </c>
      <c r="V1068" s="845">
        <v>3.3000000000000002E-2</v>
      </c>
      <c r="W1068" s="845">
        <v>0.19532554257095158</v>
      </c>
      <c r="X1068" s="845">
        <v>0.18803418803418803</v>
      </c>
      <c r="Y1068" s="845">
        <v>0.74656638325703073</v>
      </c>
      <c r="Z1068" s="845">
        <v>0.13178548070634402</v>
      </c>
      <c r="AA1068" s="845">
        <v>0</v>
      </c>
      <c r="AB1068" s="845">
        <v>0</v>
      </c>
      <c r="AC1068" s="845">
        <v>0</v>
      </c>
      <c r="AD1068" s="845">
        <v>0</v>
      </c>
      <c r="AE1068" s="845">
        <v>0.12164813603662525</v>
      </c>
      <c r="AF1068" s="845">
        <v>2.1909744931327666E-2</v>
      </c>
      <c r="AG1068" s="845">
        <v>0.74558534990189662</v>
      </c>
      <c r="AH1068" s="20" t="str">
        <f t="shared" si="95"/>
        <v>No</v>
      </c>
      <c r="AI1068" s="25"/>
      <c r="AJ1068" s="37">
        <v>45881</v>
      </c>
      <c r="AK1068" s="37" t="s">
        <v>1943</v>
      </c>
      <c r="AL1068" s="37">
        <v>39063</v>
      </c>
      <c r="AM1068" s="37" t="s">
        <v>38</v>
      </c>
      <c r="AN1068" s="37" t="str">
        <f t="shared" si="96"/>
        <v>N/A</v>
      </c>
      <c r="AO1068" s="37" t="str">
        <f t="shared" si="97"/>
        <v>N/A</v>
      </c>
      <c r="AP1068" s="20" t="s">
        <v>8</v>
      </c>
      <c r="AQ1068" s="25"/>
      <c r="AR1068" s="25"/>
      <c r="AS1068" s="25"/>
      <c r="AT1068" s="25"/>
      <c r="AU1068" s="36"/>
      <c r="AV1068" s="36"/>
      <c r="AW1068" s="36"/>
      <c r="AX1068" s="25"/>
      <c r="AY1068" s="25"/>
      <c r="AZ1068" s="25"/>
      <c r="BA1068" s="25"/>
      <c r="BB1068" s="25"/>
      <c r="BC1068" s="25"/>
      <c r="BD1068" s="25"/>
      <c r="BE1068" s="25"/>
      <c r="BF1068" s="25"/>
      <c r="BG1068" s="25"/>
      <c r="BH1068" s="25"/>
      <c r="BI1068" s="25"/>
      <c r="BJ1068" s="25"/>
      <c r="BK1068" s="25"/>
      <c r="BL1068" s="25"/>
      <c r="BM1068" s="25"/>
      <c r="BN1068" s="25"/>
      <c r="BO1068" s="25"/>
      <c r="BP1068" s="25"/>
      <c r="BQ1068" s="25"/>
      <c r="BR1068" s="25"/>
      <c r="BS1068" s="25"/>
      <c r="BT1068" s="25"/>
      <c r="BU1068" s="39">
        <v>43566</v>
      </c>
      <c r="BV1068" s="39" t="s">
        <v>997</v>
      </c>
      <c r="BW1068" s="39" t="s">
        <v>2904</v>
      </c>
      <c r="BX1068" s="39" t="s">
        <v>271</v>
      </c>
      <c r="BY1068" s="71">
        <v>1080</v>
      </c>
      <c r="BZ1068" s="71">
        <v>1150</v>
      </c>
      <c r="CA1068" s="71">
        <v>1510</v>
      </c>
      <c r="CB1068" s="71">
        <v>1940</v>
      </c>
      <c r="CC1068" s="71">
        <v>2040</v>
      </c>
      <c r="CD1068" s="25"/>
      <c r="CE1068" s="200"/>
      <c r="CF1068" s="200"/>
      <c r="CG1068" s="200"/>
      <c r="CH1068" s="200"/>
      <c r="CI1068" s="200"/>
      <c r="CJ1068" s="200"/>
      <c r="CK1068" s="200"/>
      <c r="CL1068" s="200"/>
      <c r="CM1068" s="200"/>
      <c r="CN1068" s="200"/>
      <c r="CO1068" s="200"/>
      <c r="CP1068" s="200"/>
      <c r="CQ1068" s="200"/>
      <c r="CR1068" s="200"/>
      <c r="CS1068" s="200"/>
      <c r="CT1068" s="200"/>
      <c r="CU1068" s="200"/>
    </row>
    <row r="1069" spans="1:99" s="17" customFormat="1" x14ac:dyDescent="0.2">
      <c r="A1069" s="25"/>
      <c r="B1069" s="20">
        <v>39089752802</v>
      </c>
      <c r="C1069" s="20">
        <v>7528.02</v>
      </c>
      <c r="D1069" s="20" t="s">
        <v>50</v>
      </c>
      <c r="E1069" s="20" t="s">
        <v>2830</v>
      </c>
      <c r="F1069" s="20" t="s">
        <v>8</v>
      </c>
      <c r="G1069" s="861">
        <v>55.442920603049998</v>
      </c>
      <c r="H1069" s="861">
        <v>58.948441872019202</v>
      </c>
      <c r="I1069" s="861">
        <v>23.640038243903899</v>
      </c>
      <c r="J1069" s="861">
        <v>48.863113973832398</v>
      </c>
      <c r="K1069" s="982">
        <v>0</v>
      </c>
      <c r="L1069" s="735" t="s">
        <v>2466</v>
      </c>
      <c r="M1069" s="735">
        <v>3203</v>
      </c>
      <c r="N1069" s="845" t="str">
        <f t="shared" si="93"/>
        <v/>
      </c>
      <c r="O1069" s="735">
        <v>6.2256444103907489</v>
      </c>
      <c r="P1069" s="735">
        <f t="shared" si="94"/>
        <v>514.48489326729236</v>
      </c>
      <c r="Q1069" s="849">
        <v>44.3</v>
      </c>
      <c r="R1069" s="71">
        <v>78864</v>
      </c>
      <c r="S1069" s="845">
        <v>9.8345301280049952E-2</v>
      </c>
      <c r="T1069" s="845">
        <v>9.0000000000000011E-3</v>
      </c>
      <c r="U1069" s="845">
        <v>0</v>
      </c>
      <c r="V1069" s="845">
        <v>0.115</v>
      </c>
      <c r="W1069" s="845">
        <v>0.28519593613933236</v>
      </c>
      <c r="X1069" s="845">
        <v>0.37150127226463103</v>
      </c>
      <c r="Y1069" s="845">
        <v>0.91757727130814859</v>
      </c>
      <c r="Z1069" s="845">
        <v>1.7483609116453323E-2</v>
      </c>
      <c r="AA1069" s="845">
        <v>0</v>
      </c>
      <c r="AB1069" s="845">
        <v>1.2488292226038089E-2</v>
      </c>
      <c r="AC1069" s="845">
        <v>0</v>
      </c>
      <c r="AD1069" s="845">
        <v>0</v>
      </c>
      <c r="AE1069" s="845">
        <v>5.2450827349359977E-2</v>
      </c>
      <c r="AF1069" s="845">
        <v>4.9640961598501405E-2</v>
      </c>
      <c r="AG1069" s="845">
        <v>0.89822041835778954</v>
      </c>
      <c r="AH1069" s="20" t="str">
        <f t="shared" si="95"/>
        <v>No</v>
      </c>
      <c r="AI1069" s="25"/>
      <c r="AJ1069" s="20">
        <v>45889</v>
      </c>
      <c r="AK1069" s="20" t="s">
        <v>1951</v>
      </c>
      <c r="AL1069" s="20">
        <v>39063</v>
      </c>
      <c r="AM1069" s="20" t="s">
        <v>38</v>
      </c>
      <c r="AN1069" s="37" t="str">
        <f t="shared" si="96"/>
        <v>N/A</v>
      </c>
      <c r="AO1069" s="37" t="str">
        <f t="shared" si="97"/>
        <v>N/A</v>
      </c>
      <c r="AP1069" s="20" t="s">
        <v>8</v>
      </c>
      <c r="AQ1069" s="25"/>
      <c r="AR1069" s="25"/>
      <c r="AS1069" s="25"/>
      <c r="AT1069" s="25"/>
      <c r="AU1069" s="36"/>
      <c r="AV1069" s="36"/>
      <c r="AW1069" s="36"/>
      <c r="AX1069" s="25"/>
      <c r="AY1069" s="25"/>
      <c r="AZ1069" s="25"/>
      <c r="BA1069" s="25"/>
      <c r="BB1069" s="25"/>
      <c r="BC1069" s="25"/>
      <c r="BD1069" s="25"/>
      <c r="BE1069" s="25"/>
      <c r="BF1069" s="25"/>
      <c r="BG1069" s="25"/>
      <c r="BH1069" s="25"/>
      <c r="BI1069" s="25"/>
      <c r="BJ1069" s="25"/>
      <c r="BK1069" s="25"/>
      <c r="BL1069" s="25"/>
      <c r="BM1069" s="25"/>
      <c r="BN1069" s="25"/>
      <c r="BO1069" s="25"/>
      <c r="BP1069" s="25"/>
      <c r="BQ1069" s="25"/>
      <c r="BR1069" s="25"/>
      <c r="BS1069" s="25"/>
      <c r="BT1069" s="25"/>
      <c r="BU1069" s="39">
        <v>43567</v>
      </c>
      <c r="BV1069" s="39" t="s">
        <v>998</v>
      </c>
      <c r="BW1069" s="39" t="s">
        <v>2904</v>
      </c>
      <c r="BX1069" s="39" t="s">
        <v>271</v>
      </c>
      <c r="BY1069" s="71">
        <v>700</v>
      </c>
      <c r="BZ1069" s="71">
        <v>740</v>
      </c>
      <c r="CA1069" s="71">
        <v>970</v>
      </c>
      <c r="CB1069" s="71">
        <v>1250</v>
      </c>
      <c r="CC1069" s="71">
        <v>1320</v>
      </c>
      <c r="CD1069" s="25"/>
      <c r="CE1069" s="200"/>
      <c r="CF1069" s="200"/>
      <c r="CG1069" s="200"/>
      <c r="CH1069" s="200"/>
      <c r="CI1069" s="200"/>
      <c r="CJ1069" s="200"/>
      <c r="CK1069" s="200"/>
      <c r="CL1069" s="200"/>
      <c r="CM1069" s="200"/>
      <c r="CN1069" s="200"/>
      <c r="CO1069" s="200"/>
      <c r="CP1069" s="200"/>
      <c r="CQ1069" s="200"/>
      <c r="CR1069" s="200"/>
      <c r="CS1069" s="200"/>
      <c r="CT1069" s="200"/>
      <c r="CU1069" s="200"/>
    </row>
    <row r="1070" spans="1:99" s="17" customFormat="1" x14ac:dyDescent="0.2">
      <c r="A1070" s="25"/>
      <c r="B1070" s="20">
        <v>39173020200</v>
      </c>
      <c r="C1070" s="20">
        <v>202</v>
      </c>
      <c r="D1070" s="20" t="s">
        <v>92</v>
      </c>
      <c r="E1070" s="20" t="s">
        <v>2839</v>
      </c>
      <c r="F1070" s="20" t="s">
        <v>8</v>
      </c>
      <c r="G1070" s="861">
        <v>55.429884397543503</v>
      </c>
      <c r="H1070" s="861">
        <v>59.182707828210702</v>
      </c>
      <c r="I1070" s="861">
        <v>29.3444911583336</v>
      </c>
      <c r="J1070" s="861">
        <v>39.518845975350899</v>
      </c>
      <c r="K1070" s="982">
        <v>0</v>
      </c>
      <c r="L1070" s="735">
        <v>2780</v>
      </c>
      <c r="M1070" s="735">
        <v>2890</v>
      </c>
      <c r="N1070" s="845">
        <f t="shared" si="93"/>
        <v>3.9568345323741004E-2</v>
      </c>
      <c r="O1070" s="735">
        <v>1.3554131721477285</v>
      </c>
      <c r="P1070" s="735">
        <f t="shared" si="94"/>
        <v>2132.1911719513778</v>
      </c>
      <c r="Q1070" s="849">
        <v>40.1</v>
      </c>
      <c r="R1070" s="71">
        <v>70750</v>
      </c>
      <c r="S1070" s="845">
        <v>9.9307958477508645E-2</v>
      </c>
      <c r="T1070" s="845">
        <v>4.2999999999999997E-2</v>
      </c>
      <c r="U1070" s="845">
        <v>0</v>
      </c>
      <c r="V1070" s="845">
        <v>0</v>
      </c>
      <c r="W1070" s="845">
        <v>0.30258899676375406</v>
      </c>
      <c r="X1070" s="845">
        <v>0.31016042780748665</v>
      </c>
      <c r="Y1070" s="845">
        <v>0.93944636678200688</v>
      </c>
      <c r="Z1070" s="845">
        <v>0</v>
      </c>
      <c r="AA1070" s="845">
        <v>1.3840830449826989E-3</v>
      </c>
      <c r="AB1070" s="845">
        <v>1.384083044982699E-2</v>
      </c>
      <c r="AC1070" s="845">
        <v>0</v>
      </c>
      <c r="AD1070" s="845">
        <v>1.8339100346020761E-2</v>
      </c>
      <c r="AE1070" s="845">
        <v>2.698961937716263E-2</v>
      </c>
      <c r="AF1070" s="845">
        <v>5.5017301038062287E-2</v>
      </c>
      <c r="AG1070" s="845">
        <v>0.91799307958477505</v>
      </c>
      <c r="AH1070" s="20" t="str">
        <f t="shared" si="95"/>
        <v>Yes</v>
      </c>
      <c r="AI1070" s="25"/>
      <c r="AJ1070" s="37">
        <v>45890</v>
      </c>
      <c r="AK1070" s="37" t="s">
        <v>1952</v>
      </c>
      <c r="AL1070" s="37">
        <v>39063</v>
      </c>
      <c r="AM1070" s="37" t="s">
        <v>38</v>
      </c>
      <c r="AN1070" s="37" t="str">
        <f t="shared" si="96"/>
        <v>N/A</v>
      </c>
      <c r="AO1070" s="37" t="str">
        <f t="shared" si="97"/>
        <v>N/A</v>
      </c>
      <c r="AP1070" s="20" t="s">
        <v>8</v>
      </c>
      <c r="AQ1070" s="25"/>
      <c r="AR1070" s="25"/>
      <c r="AS1070" s="25"/>
      <c r="AT1070" s="25"/>
      <c r="AU1070" s="36"/>
      <c r="AV1070" s="36"/>
      <c r="AW1070" s="36"/>
      <c r="AX1070" s="25"/>
      <c r="AY1070" s="25"/>
      <c r="AZ1070" s="25"/>
      <c r="BA1070" s="25"/>
      <c r="BB1070" s="25"/>
      <c r="BC1070" s="25"/>
      <c r="BD1070" s="25"/>
      <c r="BE1070" s="25"/>
      <c r="BF1070" s="25"/>
      <c r="BG1070" s="25"/>
      <c r="BH1070" s="25"/>
      <c r="BI1070" s="25"/>
      <c r="BJ1070" s="25"/>
      <c r="BK1070" s="25"/>
      <c r="BL1070" s="25"/>
      <c r="BM1070" s="25"/>
      <c r="BN1070" s="25"/>
      <c r="BO1070" s="25"/>
      <c r="BP1070" s="25"/>
      <c r="BQ1070" s="25"/>
      <c r="BR1070" s="25"/>
      <c r="BS1070" s="25"/>
      <c r="BT1070" s="25"/>
      <c r="BU1070" s="39">
        <v>43569</v>
      </c>
      <c r="BV1070" s="39" t="s">
        <v>999</v>
      </c>
      <c r="BW1070" s="39" t="s">
        <v>2904</v>
      </c>
      <c r="BX1070" s="39" t="s">
        <v>271</v>
      </c>
      <c r="BY1070" s="71">
        <v>700</v>
      </c>
      <c r="BZ1070" s="71">
        <v>740</v>
      </c>
      <c r="CA1070" s="71">
        <v>970</v>
      </c>
      <c r="CB1070" s="71">
        <v>1250</v>
      </c>
      <c r="CC1070" s="71">
        <v>1310</v>
      </c>
      <c r="CD1070" s="25"/>
      <c r="CE1070" s="200"/>
      <c r="CF1070" s="200"/>
      <c r="CG1070" s="200"/>
      <c r="CH1070" s="200"/>
      <c r="CI1070" s="200"/>
      <c r="CJ1070" s="200"/>
      <c r="CK1070" s="200"/>
      <c r="CL1070" s="200"/>
      <c r="CM1070" s="200"/>
      <c r="CN1070" s="200"/>
      <c r="CO1070" s="200"/>
      <c r="CP1070" s="200"/>
      <c r="CQ1070" s="200"/>
      <c r="CR1070" s="200"/>
      <c r="CS1070" s="200"/>
      <c r="CT1070" s="200"/>
      <c r="CU1070" s="200"/>
    </row>
    <row r="1071" spans="1:99" s="17" customFormat="1" x14ac:dyDescent="0.2">
      <c r="A1071" s="25"/>
      <c r="B1071" s="20">
        <v>39049007303</v>
      </c>
      <c r="C1071" s="20">
        <v>73.03</v>
      </c>
      <c r="D1071" s="20" t="s">
        <v>31</v>
      </c>
      <c r="E1071" s="20" t="s">
        <v>2830</v>
      </c>
      <c r="F1071" s="20" t="s">
        <v>8</v>
      </c>
      <c r="G1071" s="861">
        <v>55.411002292141497</v>
      </c>
      <c r="H1071" s="861">
        <v>55.833497965152503</v>
      </c>
      <c r="I1071" s="861">
        <v>34.213410334633203</v>
      </c>
      <c r="J1071" s="861">
        <v>45.997623657437003</v>
      </c>
      <c r="K1071" s="982">
        <v>0</v>
      </c>
      <c r="L1071" s="735" t="s">
        <v>2466</v>
      </c>
      <c r="M1071" s="735">
        <v>6738</v>
      </c>
      <c r="N1071" s="845" t="str">
        <f t="shared" si="93"/>
        <v/>
      </c>
      <c r="O1071" s="735">
        <v>4.6043435311369061</v>
      </c>
      <c r="P1071" s="735">
        <f t="shared" si="94"/>
        <v>1463.4007984926031</v>
      </c>
      <c r="Q1071" s="849">
        <v>39.9</v>
      </c>
      <c r="R1071" s="71">
        <v>84523</v>
      </c>
      <c r="S1071" s="845">
        <v>2.983081032947462E-2</v>
      </c>
      <c r="T1071" s="845">
        <v>3.9E-2</v>
      </c>
      <c r="U1071" s="845">
        <v>0</v>
      </c>
      <c r="V1071" s="845">
        <v>0</v>
      </c>
      <c r="W1071" s="845">
        <v>0.35580237456913061</v>
      </c>
      <c r="X1071" s="845">
        <v>0.18191603875134554</v>
      </c>
      <c r="Y1071" s="845">
        <v>0.50934995547640249</v>
      </c>
      <c r="Z1071" s="845">
        <v>0.30454140694568121</v>
      </c>
      <c r="AA1071" s="845">
        <v>0</v>
      </c>
      <c r="AB1071" s="845">
        <v>0.13698426832888097</v>
      </c>
      <c r="AC1071" s="845">
        <v>0</v>
      </c>
      <c r="AD1071" s="845">
        <v>2.3003858711783912E-2</v>
      </c>
      <c r="AE1071" s="845">
        <v>2.612051053725141E-2</v>
      </c>
      <c r="AF1071" s="845">
        <v>1.1724547343425349E-2</v>
      </c>
      <c r="AG1071" s="845">
        <v>0.49762540813297712</v>
      </c>
      <c r="AH1071" s="20" t="str">
        <f t="shared" si="95"/>
        <v>No</v>
      </c>
      <c r="AI1071" s="25"/>
      <c r="AJ1071" s="37">
        <v>45897</v>
      </c>
      <c r="AK1071" s="37" t="s">
        <v>1958</v>
      </c>
      <c r="AL1071" s="37">
        <v>39063</v>
      </c>
      <c r="AM1071" s="37" t="s">
        <v>38</v>
      </c>
      <c r="AN1071" s="37" t="str">
        <f t="shared" si="96"/>
        <v>N/A</v>
      </c>
      <c r="AO1071" s="37" t="str">
        <f t="shared" si="97"/>
        <v>N/A</v>
      </c>
      <c r="AP1071" s="20" t="s">
        <v>8</v>
      </c>
      <c r="AQ1071" s="25"/>
      <c r="AR1071" s="25"/>
      <c r="AS1071" s="25"/>
      <c r="AT1071" s="25"/>
      <c r="AU1071" s="36"/>
      <c r="AV1071" s="36"/>
      <c r="AW1071" s="36"/>
      <c r="AX1071" s="25"/>
      <c r="AY1071" s="25"/>
      <c r="AZ1071" s="25"/>
      <c r="BA1071" s="25"/>
      <c r="BB1071" s="25"/>
      <c r="BC1071" s="25"/>
      <c r="BD1071" s="25"/>
      <c r="BE1071" s="25"/>
      <c r="BF1071" s="25"/>
      <c r="BG1071" s="25"/>
      <c r="BH1071" s="25"/>
      <c r="BI1071" s="25"/>
      <c r="BJ1071" s="25"/>
      <c r="BK1071" s="25"/>
      <c r="BL1071" s="25"/>
      <c r="BM1071" s="25"/>
      <c r="BN1071" s="25"/>
      <c r="BO1071" s="25"/>
      <c r="BP1071" s="25"/>
      <c r="BQ1071" s="25"/>
      <c r="BR1071" s="25"/>
      <c r="BS1071" s="25"/>
      <c r="BT1071" s="25"/>
      <c r="BU1071" s="39">
        <v>43570</v>
      </c>
      <c r="BV1071" s="39" t="s">
        <v>1000</v>
      </c>
      <c r="BW1071" s="39" t="s">
        <v>2904</v>
      </c>
      <c r="BX1071" s="39" t="s">
        <v>271</v>
      </c>
      <c r="BY1071" s="71">
        <v>740</v>
      </c>
      <c r="BZ1071" s="71">
        <v>770</v>
      </c>
      <c r="CA1071" s="71">
        <v>980</v>
      </c>
      <c r="CB1071" s="71">
        <v>1240</v>
      </c>
      <c r="CC1071" s="71">
        <v>1300</v>
      </c>
      <c r="CD1071" s="25"/>
      <c r="CE1071" s="200"/>
      <c r="CF1071" s="200"/>
      <c r="CG1071" s="200"/>
      <c r="CH1071" s="200"/>
      <c r="CI1071" s="200"/>
      <c r="CJ1071" s="200"/>
      <c r="CK1071" s="200"/>
      <c r="CL1071" s="200"/>
      <c r="CM1071" s="200"/>
      <c r="CN1071" s="200"/>
      <c r="CO1071" s="200"/>
      <c r="CP1071" s="200"/>
      <c r="CQ1071" s="200"/>
      <c r="CR1071" s="200"/>
      <c r="CS1071" s="200"/>
      <c r="CT1071" s="200"/>
      <c r="CU1071" s="200"/>
    </row>
    <row r="1072" spans="1:99" s="17" customFormat="1" x14ac:dyDescent="0.2">
      <c r="A1072" s="25"/>
      <c r="B1072" s="20">
        <v>39133601702</v>
      </c>
      <c r="C1072" s="20">
        <v>6017.02</v>
      </c>
      <c r="D1072" s="20" t="s">
        <v>72</v>
      </c>
      <c r="E1072" s="20" t="s">
        <v>2843</v>
      </c>
      <c r="F1072" s="20" t="s">
        <v>8</v>
      </c>
      <c r="G1072" s="861">
        <v>55.406177976412003</v>
      </c>
      <c r="H1072" s="861">
        <v>52.532996506199297</v>
      </c>
      <c r="I1072" s="861">
        <v>20.524744774802201</v>
      </c>
      <c r="J1072" s="861">
        <v>44.695019336010503</v>
      </c>
      <c r="K1072" s="982">
        <v>0</v>
      </c>
      <c r="L1072" s="735">
        <v>6094</v>
      </c>
      <c r="M1072" s="735">
        <v>5303</v>
      </c>
      <c r="N1072" s="845">
        <f t="shared" si="93"/>
        <v>-0.12979980308500164</v>
      </c>
      <c r="O1072" s="735">
        <v>12.10864902387525</v>
      </c>
      <c r="P1072" s="735">
        <f t="shared" si="94"/>
        <v>437.95141716832325</v>
      </c>
      <c r="Q1072" s="849">
        <v>41.9</v>
      </c>
      <c r="R1072" s="71">
        <v>94348</v>
      </c>
      <c r="S1072" s="845">
        <v>4.720379146919431E-2</v>
      </c>
      <c r="T1072" s="845">
        <v>1.3000000000000001E-2</v>
      </c>
      <c r="U1072" s="845">
        <v>6.9999999999999993E-3</v>
      </c>
      <c r="V1072" s="845">
        <v>0.11800000000000001</v>
      </c>
      <c r="W1072" s="845">
        <v>0.14149226569608736</v>
      </c>
      <c r="X1072" s="845">
        <v>0.21543408360128619</v>
      </c>
      <c r="Y1072" s="845">
        <v>0.94116537808787482</v>
      </c>
      <c r="Z1072" s="845">
        <v>1.8480105600603432E-2</v>
      </c>
      <c r="AA1072" s="845">
        <v>0</v>
      </c>
      <c r="AB1072" s="845">
        <v>0</v>
      </c>
      <c r="AC1072" s="845">
        <v>0</v>
      </c>
      <c r="AD1072" s="845">
        <v>1.1880067886102207E-2</v>
      </c>
      <c r="AE1072" s="845">
        <v>2.8474448425419574E-2</v>
      </c>
      <c r="AF1072" s="845">
        <v>1.5085800490288516E-2</v>
      </c>
      <c r="AG1072" s="845">
        <v>0.94116537808787482</v>
      </c>
      <c r="AH1072" s="20" t="str">
        <f t="shared" si="95"/>
        <v>Yes</v>
      </c>
      <c r="AI1072" s="25"/>
      <c r="AJ1072" s="37">
        <v>43310</v>
      </c>
      <c r="AK1072" s="37" t="s">
        <v>867</v>
      </c>
      <c r="AL1072" s="37">
        <v>39065</v>
      </c>
      <c r="AM1072" s="37" t="s">
        <v>39</v>
      </c>
      <c r="AN1072" s="37" t="str">
        <f t="shared" si="96"/>
        <v>N/A</v>
      </c>
      <c r="AO1072" s="37" t="str">
        <f t="shared" si="97"/>
        <v>N/A</v>
      </c>
      <c r="AP1072" s="20" t="s">
        <v>8</v>
      </c>
      <c r="AQ1072" s="25"/>
      <c r="AR1072" s="25"/>
      <c r="AS1072" s="25"/>
      <c r="AT1072" s="25"/>
      <c r="AU1072" s="36"/>
      <c r="AV1072" s="36"/>
      <c r="AW1072" s="36"/>
      <c r="AX1072" s="25"/>
      <c r="AY1072" s="25"/>
      <c r="AZ1072" s="25"/>
      <c r="BA1072" s="25"/>
      <c r="BB1072" s="25"/>
      <c r="BC1072" s="25"/>
      <c r="BD1072" s="25"/>
      <c r="BE1072" s="25"/>
      <c r="BF1072" s="25"/>
      <c r="BG1072" s="25"/>
      <c r="BH1072" s="25"/>
      <c r="BI1072" s="25"/>
      <c r="BJ1072" s="25"/>
      <c r="BK1072" s="25"/>
      <c r="BL1072" s="25"/>
      <c r="BM1072" s="25"/>
      <c r="BN1072" s="25"/>
      <c r="BO1072" s="25"/>
      <c r="BP1072" s="25"/>
      <c r="BQ1072" s="25"/>
      <c r="BR1072" s="25"/>
      <c r="BS1072" s="25"/>
      <c r="BT1072" s="25"/>
      <c r="BU1072" s="39">
        <v>43571</v>
      </c>
      <c r="BV1072" s="39" t="s">
        <v>1001</v>
      </c>
      <c r="BW1072" s="39" t="s">
        <v>2904</v>
      </c>
      <c r="BX1072" s="39" t="s">
        <v>271</v>
      </c>
      <c r="BY1072" s="71">
        <v>740</v>
      </c>
      <c r="BZ1072" s="71">
        <v>780</v>
      </c>
      <c r="CA1072" s="71">
        <v>1030</v>
      </c>
      <c r="CB1072" s="71">
        <v>1320</v>
      </c>
      <c r="CC1072" s="71">
        <v>1390</v>
      </c>
      <c r="CD1072" s="25"/>
      <c r="CE1072" s="200"/>
      <c r="CF1072" s="200"/>
      <c r="CG1072" s="200"/>
      <c r="CH1072" s="200"/>
      <c r="CI1072" s="200"/>
      <c r="CJ1072" s="200"/>
      <c r="CK1072" s="200"/>
      <c r="CL1072" s="200"/>
      <c r="CM1072" s="200"/>
      <c r="CN1072" s="200"/>
      <c r="CO1072" s="200"/>
      <c r="CP1072" s="200"/>
      <c r="CQ1072" s="200"/>
      <c r="CR1072" s="200"/>
      <c r="CS1072" s="200"/>
      <c r="CT1072" s="200"/>
      <c r="CU1072" s="200"/>
    </row>
    <row r="1073" spans="1:99" s="17" customFormat="1" x14ac:dyDescent="0.2">
      <c r="A1073" s="25"/>
      <c r="B1073" s="20">
        <v>39109355001</v>
      </c>
      <c r="C1073" s="20">
        <v>3550.01</v>
      </c>
      <c r="D1073" s="20" t="s">
        <v>60</v>
      </c>
      <c r="E1073" s="20" t="s">
        <v>2833</v>
      </c>
      <c r="F1073" s="20" t="s">
        <v>8</v>
      </c>
      <c r="G1073" s="861">
        <v>55.384972569423503</v>
      </c>
      <c r="H1073" s="861">
        <v>48.619625738615497</v>
      </c>
      <c r="I1073" s="861">
        <v>26.680353172450602</v>
      </c>
      <c r="J1073" s="861">
        <v>33.1933496064335</v>
      </c>
      <c r="K1073" s="982">
        <v>0</v>
      </c>
      <c r="L1073" s="735">
        <v>6188</v>
      </c>
      <c r="M1073" s="735">
        <v>5921</v>
      </c>
      <c r="N1073" s="845">
        <f t="shared" si="93"/>
        <v>-4.3148028442146089E-2</v>
      </c>
      <c r="O1073" s="735">
        <v>3.10073122304797</v>
      </c>
      <c r="P1073" s="735">
        <f t="shared" si="94"/>
        <v>1909.5495784957943</v>
      </c>
      <c r="Q1073" s="849">
        <v>39.200000000000003</v>
      </c>
      <c r="R1073" s="71">
        <v>65820</v>
      </c>
      <c r="S1073" s="845">
        <v>7.8848131642098043E-2</v>
      </c>
      <c r="T1073" s="845">
        <v>1.1000000000000001E-2</v>
      </c>
      <c r="U1073" s="845">
        <v>0</v>
      </c>
      <c r="V1073" s="845">
        <v>0</v>
      </c>
      <c r="W1073" s="845">
        <v>0.36902985074626865</v>
      </c>
      <c r="X1073" s="845">
        <v>0.34580384226491406</v>
      </c>
      <c r="Y1073" s="845">
        <v>0.9045769295727073</v>
      </c>
      <c r="Z1073" s="845">
        <v>5.404492484377639E-3</v>
      </c>
      <c r="AA1073" s="845">
        <v>0</v>
      </c>
      <c r="AB1073" s="845">
        <v>3.1075831785171423E-2</v>
      </c>
      <c r="AC1073" s="845">
        <v>0</v>
      </c>
      <c r="AD1073" s="845">
        <v>4.8978213139672351E-3</v>
      </c>
      <c r="AE1073" s="845">
        <v>5.404492484377639E-2</v>
      </c>
      <c r="AF1073" s="845">
        <v>8.7823002871136625E-3</v>
      </c>
      <c r="AG1073" s="845">
        <v>0.89849687552778246</v>
      </c>
      <c r="AH1073" s="20" t="str">
        <f t="shared" si="95"/>
        <v>No</v>
      </c>
      <c r="AI1073" s="25"/>
      <c r="AJ1073" s="37">
        <v>43326</v>
      </c>
      <c r="AK1073" s="37" t="s">
        <v>881</v>
      </c>
      <c r="AL1073" s="37">
        <v>39065</v>
      </c>
      <c r="AM1073" s="37" t="s">
        <v>39</v>
      </c>
      <c r="AN1073" s="37" t="str">
        <f t="shared" si="96"/>
        <v>N/A</v>
      </c>
      <c r="AO1073" s="37" t="str">
        <f t="shared" si="97"/>
        <v>N/A</v>
      </c>
      <c r="AP1073" s="20" t="s">
        <v>8</v>
      </c>
      <c r="AQ1073" s="25"/>
      <c r="AR1073" s="25"/>
      <c r="AS1073" s="25"/>
      <c r="AT1073" s="25"/>
      <c r="AU1073" s="36"/>
      <c r="AV1073" s="36"/>
      <c r="AW1073" s="36"/>
      <c r="AX1073" s="25"/>
      <c r="AY1073" s="25"/>
      <c r="AZ1073" s="25"/>
      <c r="BA1073" s="25"/>
      <c r="BB1073" s="25"/>
      <c r="BC1073" s="25"/>
      <c r="BD1073" s="25"/>
      <c r="BE1073" s="25"/>
      <c r="BF1073" s="25"/>
      <c r="BG1073" s="25"/>
      <c r="BH1073" s="25"/>
      <c r="BI1073" s="25"/>
      <c r="BJ1073" s="25"/>
      <c r="BK1073" s="25"/>
      <c r="BL1073" s="25"/>
      <c r="BM1073" s="25"/>
      <c r="BN1073" s="25"/>
      <c r="BO1073" s="25"/>
      <c r="BP1073" s="25"/>
      <c r="BQ1073" s="25"/>
      <c r="BR1073" s="25"/>
      <c r="BS1073" s="25"/>
      <c r="BT1073" s="25"/>
      <c r="BU1073" s="39">
        <v>43604</v>
      </c>
      <c r="BV1073" s="39" t="s">
        <v>1002</v>
      </c>
      <c r="BW1073" s="39" t="s">
        <v>2904</v>
      </c>
      <c r="BX1073" s="39" t="s">
        <v>271</v>
      </c>
      <c r="BY1073" s="71">
        <v>700</v>
      </c>
      <c r="BZ1073" s="71">
        <v>740</v>
      </c>
      <c r="CA1073" s="71">
        <v>970</v>
      </c>
      <c r="CB1073" s="71">
        <v>1250</v>
      </c>
      <c r="CC1073" s="71">
        <v>1310</v>
      </c>
      <c r="CD1073" s="25"/>
      <c r="CE1073" s="200"/>
      <c r="CF1073" s="200"/>
      <c r="CG1073" s="200"/>
      <c r="CH1073" s="200"/>
      <c r="CI1073" s="200"/>
      <c r="CJ1073" s="200"/>
      <c r="CK1073" s="200"/>
      <c r="CL1073" s="200"/>
      <c r="CM1073" s="200"/>
      <c r="CN1073" s="200"/>
      <c r="CO1073" s="200"/>
      <c r="CP1073" s="200"/>
      <c r="CQ1073" s="200"/>
      <c r="CR1073" s="200"/>
      <c r="CS1073" s="200"/>
      <c r="CT1073" s="200"/>
      <c r="CU1073" s="200"/>
    </row>
    <row r="1074" spans="1:99" s="17" customFormat="1" x14ac:dyDescent="0.2">
      <c r="A1074" s="25"/>
      <c r="B1074" s="20">
        <v>39077915500</v>
      </c>
      <c r="C1074" s="20">
        <v>9155</v>
      </c>
      <c r="D1074" s="20" t="s">
        <v>45</v>
      </c>
      <c r="E1074" s="20" t="s">
        <v>265</v>
      </c>
      <c r="F1074" s="20" t="s">
        <v>8</v>
      </c>
      <c r="G1074" s="861">
        <v>55.367856720657002</v>
      </c>
      <c r="H1074" s="861">
        <v>48.672469686414203</v>
      </c>
      <c r="I1074" s="861">
        <v>29.174428418885899</v>
      </c>
      <c r="J1074" s="861">
        <v>42.5102878687238</v>
      </c>
      <c r="K1074" s="982">
        <v>0</v>
      </c>
      <c r="L1074" s="735">
        <v>5802</v>
      </c>
      <c r="M1074" s="735">
        <v>5712</v>
      </c>
      <c r="N1074" s="845">
        <f t="shared" si="93"/>
        <v>-1.5511892450879007E-2</v>
      </c>
      <c r="O1074" s="735">
        <v>7.7262570908095798</v>
      </c>
      <c r="P1074" s="735">
        <f t="shared" si="94"/>
        <v>739.29716975046711</v>
      </c>
      <c r="Q1074" s="849">
        <v>41.5</v>
      </c>
      <c r="R1074" s="71">
        <v>66191</v>
      </c>
      <c r="S1074" s="845">
        <v>6.2324929971988796E-2</v>
      </c>
      <c r="T1074" s="845">
        <v>6.4000000000000001E-2</v>
      </c>
      <c r="U1074" s="845">
        <v>0</v>
      </c>
      <c r="V1074" s="845">
        <v>9.1999999999999998E-2</v>
      </c>
      <c r="W1074" s="845">
        <v>0.31037181996086105</v>
      </c>
      <c r="X1074" s="845">
        <v>0.44766708701134933</v>
      </c>
      <c r="Y1074" s="845">
        <v>0.91684173669467783</v>
      </c>
      <c r="Z1074" s="845">
        <v>1.7682072829131652E-2</v>
      </c>
      <c r="AA1074" s="845">
        <v>0</v>
      </c>
      <c r="AB1074" s="845">
        <v>0</v>
      </c>
      <c r="AC1074" s="845">
        <v>0</v>
      </c>
      <c r="AD1074" s="845">
        <v>2.100840336134454E-2</v>
      </c>
      <c r="AE1074" s="845">
        <v>4.446778711484594E-2</v>
      </c>
      <c r="AF1074" s="845">
        <v>4.6743697478991597E-2</v>
      </c>
      <c r="AG1074" s="845">
        <v>0.88550420168067223</v>
      </c>
      <c r="AH1074" s="20" t="str">
        <f t="shared" si="95"/>
        <v>No</v>
      </c>
      <c r="AI1074" s="25"/>
      <c r="AJ1074" s="37">
        <v>43331</v>
      </c>
      <c r="AK1074" s="37" t="s">
        <v>883</v>
      </c>
      <c r="AL1074" s="37">
        <v>39065</v>
      </c>
      <c r="AM1074" s="37" t="s">
        <v>39</v>
      </c>
      <c r="AN1074" s="37" t="str">
        <f t="shared" si="96"/>
        <v>N/A</v>
      </c>
      <c r="AO1074" s="37" t="str">
        <f t="shared" si="97"/>
        <v>N/A</v>
      </c>
      <c r="AP1074" s="20" t="s">
        <v>8</v>
      </c>
      <c r="AQ1074" s="25"/>
      <c r="AR1074" s="25"/>
      <c r="AS1074" s="25"/>
      <c r="AT1074" s="25"/>
      <c r="AU1074" s="36"/>
      <c r="AV1074" s="36"/>
      <c r="AW1074" s="36"/>
      <c r="AX1074" s="25"/>
      <c r="AY1074" s="25"/>
      <c r="AZ1074" s="25"/>
      <c r="BA1074" s="25"/>
      <c r="BB1074" s="25"/>
      <c r="BC1074" s="25"/>
      <c r="BD1074" s="25"/>
      <c r="BE1074" s="25"/>
      <c r="BF1074" s="25"/>
      <c r="BG1074" s="25"/>
      <c r="BH1074" s="25"/>
      <c r="BI1074" s="25"/>
      <c r="BJ1074" s="25"/>
      <c r="BK1074" s="25"/>
      <c r="BL1074" s="25"/>
      <c r="BM1074" s="25"/>
      <c r="BN1074" s="25"/>
      <c r="BO1074" s="25"/>
      <c r="BP1074" s="25"/>
      <c r="BQ1074" s="25"/>
      <c r="BR1074" s="25"/>
      <c r="BS1074" s="25"/>
      <c r="BT1074" s="25"/>
      <c r="BU1074" s="39">
        <v>43605</v>
      </c>
      <c r="BV1074" s="39" t="s">
        <v>1003</v>
      </c>
      <c r="BW1074" s="39" t="s">
        <v>2904</v>
      </c>
      <c r="BX1074" s="39" t="s">
        <v>271</v>
      </c>
      <c r="BY1074" s="71">
        <v>770</v>
      </c>
      <c r="BZ1074" s="71">
        <v>820</v>
      </c>
      <c r="CA1074" s="71">
        <v>1080</v>
      </c>
      <c r="CB1074" s="71">
        <v>1390</v>
      </c>
      <c r="CC1074" s="71">
        <v>1460</v>
      </c>
      <c r="CD1074" s="25"/>
      <c r="CE1074" s="200"/>
      <c r="CF1074" s="200"/>
      <c r="CG1074" s="200"/>
      <c r="CH1074" s="200"/>
      <c r="CI1074" s="200"/>
      <c r="CJ1074" s="200"/>
      <c r="CK1074" s="200"/>
      <c r="CL1074" s="200"/>
      <c r="CM1074" s="200"/>
      <c r="CN1074" s="200"/>
      <c r="CO1074" s="200"/>
      <c r="CP1074" s="200"/>
      <c r="CQ1074" s="200"/>
      <c r="CR1074" s="200"/>
      <c r="CS1074" s="200"/>
      <c r="CT1074" s="200"/>
      <c r="CU1074" s="200"/>
    </row>
    <row r="1075" spans="1:99" s="17" customFormat="1" x14ac:dyDescent="0.2">
      <c r="A1075" s="25"/>
      <c r="B1075" s="20">
        <v>39095009101</v>
      </c>
      <c r="C1075" s="20">
        <v>91.01</v>
      </c>
      <c r="D1075" s="20" t="s">
        <v>53</v>
      </c>
      <c r="E1075" s="20" t="s">
        <v>2839</v>
      </c>
      <c r="F1075" s="20" t="s">
        <v>8</v>
      </c>
      <c r="G1075" s="861">
        <v>55.364378808418103</v>
      </c>
      <c r="H1075" s="861">
        <v>60.512505874739603</v>
      </c>
      <c r="I1075" s="861">
        <v>22.772336443787999</v>
      </c>
      <c r="J1075" s="861">
        <v>47.7475940370093</v>
      </c>
      <c r="K1075" s="982">
        <v>0</v>
      </c>
      <c r="L1075" s="735">
        <v>3936</v>
      </c>
      <c r="M1075" s="735">
        <v>5208</v>
      </c>
      <c r="N1075" s="845">
        <f t="shared" si="93"/>
        <v>0.32317073170731708</v>
      </c>
      <c r="O1075" s="735">
        <v>4.7257915790200293</v>
      </c>
      <c r="P1075" s="735">
        <f t="shared" si="94"/>
        <v>1102.0375979170806</v>
      </c>
      <c r="Q1075" s="849">
        <v>45.5</v>
      </c>
      <c r="R1075" s="71">
        <v>146804</v>
      </c>
      <c r="S1075" s="845">
        <v>4.0706605222734255E-2</v>
      </c>
      <c r="T1075" s="845">
        <v>1.9E-2</v>
      </c>
      <c r="U1075" s="845">
        <v>0</v>
      </c>
      <c r="V1075" s="845">
        <v>0</v>
      </c>
      <c r="W1075" s="845">
        <v>6.8840579710144928E-2</v>
      </c>
      <c r="X1075" s="845">
        <v>0.25563909774436089</v>
      </c>
      <c r="Y1075" s="845">
        <v>0.81758832565284179</v>
      </c>
      <c r="Z1075" s="845">
        <v>7.3924731182795703E-2</v>
      </c>
      <c r="AA1075" s="845">
        <v>0</v>
      </c>
      <c r="AB1075" s="845">
        <v>3.1874039938556066E-2</v>
      </c>
      <c r="AC1075" s="845">
        <v>0</v>
      </c>
      <c r="AD1075" s="845">
        <v>5.0691244239631339E-2</v>
      </c>
      <c r="AE1075" s="845">
        <v>2.5921658986175114E-2</v>
      </c>
      <c r="AF1075" s="845">
        <v>0.12730414746543778</v>
      </c>
      <c r="AG1075" s="845">
        <v>0.77419354838709675</v>
      </c>
      <c r="AH1075" s="20" t="str">
        <f t="shared" si="95"/>
        <v>No</v>
      </c>
      <c r="AI1075" s="25"/>
      <c r="AJ1075" s="20">
        <v>43332</v>
      </c>
      <c r="AK1075" s="20" t="s">
        <v>884</v>
      </c>
      <c r="AL1075" s="20">
        <v>39065</v>
      </c>
      <c r="AM1075" s="20" t="s">
        <v>39</v>
      </c>
      <c r="AN1075" s="37" t="str">
        <f t="shared" si="96"/>
        <v>N/A</v>
      </c>
      <c r="AO1075" s="37" t="str">
        <f t="shared" si="97"/>
        <v>N/A</v>
      </c>
      <c r="AP1075" s="20" t="s">
        <v>8</v>
      </c>
      <c r="AQ1075" s="25"/>
      <c r="AR1075" s="25"/>
      <c r="AS1075" s="25"/>
      <c r="AT1075" s="25"/>
      <c r="AU1075" s="36"/>
      <c r="AV1075" s="36"/>
      <c r="AW1075" s="36"/>
      <c r="AX1075" s="25"/>
      <c r="AY1075" s="25"/>
      <c r="AZ1075" s="25"/>
      <c r="BA1075" s="25"/>
      <c r="BB1075" s="25"/>
      <c r="BC1075" s="25"/>
      <c r="BD1075" s="25"/>
      <c r="BE1075" s="25"/>
      <c r="BF1075" s="25"/>
      <c r="BG1075" s="25"/>
      <c r="BH1075" s="25"/>
      <c r="BI1075" s="25"/>
      <c r="BJ1075" s="25"/>
      <c r="BK1075" s="25"/>
      <c r="BL1075" s="25"/>
      <c r="BM1075" s="25"/>
      <c r="BN1075" s="25"/>
      <c r="BO1075" s="25"/>
      <c r="BP1075" s="25"/>
      <c r="BQ1075" s="25"/>
      <c r="BR1075" s="25"/>
      <c r="BS1075" s="25"/>
      <c r="BT1075" s="25"/>
      <c r="BU1075" s="39">
        <v>43606</v>
      </c>
      <c r="BV1075" s="39" t="s">
        <v>1004</v>
      </c>
      <c r="BW1075" s="39" t="s">
        <v>2904</v>
      </c>
      <c r="BX1075" s="39" t="s">
        <v>271</v>
      </c>
      <c r="BY1075" s="71">
        <v>760</v>
      </c>
      <c r="BZ1075" s="71">
        <v>820</v>
      </c>
      <c r="CA1075" s="71">
        <v>1070</v>
      </c>
      <c r="CB1075" s="71">
        <v>1370</v>
      </c>
      <c r="CC1075" s="71">
        <v>1450</v>
      </c>
      <c r="CD1075" s="25"/>
      <c r="CE1075" s="200"/>
      <c r="CF1075" s="200"/>
      <c r="CG1075" s="200"/>
      <c r="CH1075" s="200"/>
      <c r="CI1075" s="200"/>
      <c r="CJ1075" s="200"/>
      <c r="CK1075" s="200"/>
      <c r="CL1075" s="200"/>
      <c r="CM1075" s="200"/>
      <c r="CN1075" s="200"/>
      <c r="CO1075" s="200"/>
      <c r="CP1075" s="200"/>
      <c r="CQ1075" s="200"/>
      <c r="CR1075" s="200"/>
      <c r="CS1075" s="200"/>
      <c r="CT1075" s="200"/>
      <c r="CU1075" s="200"/>
    </row>
    <row r="1076" spans="1:99" s="17" customFormat="1" x14ac:dyDescent="0.2">
      <c r="A1076" s="25"/>
      <c r="B1076" s="20">
        <v>39093080500</v>
      </c>
      <c r="C1076" s="20">
        <v>805</v>
      </c>
      <c r="D1076" s="20" t="s">
        <v>52</v>
      </c>
      <c r="E1076" s="20" t="s">
        <v>2829</v>
      </c>
      <c r="F1076" s="20" t="s">
        <v>8</v>
      </c>
      <c r="G1076" s="861">
        <v>55.345089249968098</v>
      </c>
      <c r="H1076" s="861">
        <v>61.040072952109803</v>
      </c>
      <c r="I1076" s="861">
        <v>22.667289632486298</v>
      </c>
      <c r="J1076" s="861">
        <v>49.609693762834098</v>
      </c>
      <c r="K1076" s="982">
        <v>0</v>
      </c>
      <c r="L1076" s="735">
        <v>6055</v>
      </c>
      <c r="M1076" s="735">
        <v>9453</v>
      </c>
      <c r="N1076" s="845">
        <f t="shared" si="93"/>
        <v>0.56118909991742361</v>
      </c>
      <c r="O1076" s="735">
        <v>7.6375902744974384</v>
      </c>
      <c r="P1076" s="735">
        <f t="shared" si="94"/>
        <v>1237.6940448827647</v>
      </c>
      <c r="Q1076" s="849">
        <v>37.200000000000003</v>
      </c>
      <c r="R1076" s="71">
        <v>114906</v>
      </c>
      <c r="S1076" s="845">
        <v>6.4716597021322195E-2</v>
      </c>
      <c r="T1076" s="845">
        <v>3.4000000000000002E-2</v>
      </c>
      <c r="U1076" s="845">
        <v>0</v>
      </c>
      <c r="V1076" s="845">
        <v>0.34899999999999998</v>
      </c>
      <c r="W1076" s="845">
        <v>4.1903621670158632E-2</v>
      </c>
      <c r="X1076" s="845">
        <v>0.51428571428571423</v>
      </c>
      <c r="Y1076" s="845">
        <v>0.86744948693536439</v>
      </c>
      <c r="Z1076" s="845">
        <v>4.4324553051941183E-2</v>
      </c>
      <c r="AA1076" s="845">
        <v>1.0578652279699566E-3</v>
      </c>
      <c r="AB1076" s="845">
        <v>2.1580450650587116E-2</v>
      </c>
      <c r="AC1076" s="845">
        <v>0</v>
      </c>
      <c r="AD1076" s="845">
        <v>1.5127472759970379E-2</v>
      </c>
      <c r="AE1076" s="845">
        <v>5.0460171374166932E-2</v>
      </c>
      <c r="AF1076" s="845">
        <v>7.8493599915370776E-2</v>
      </c>
      <c r="AG1076" s="845">
        <v>0.8390986988257696</v>
      </c>
      <c r="AH1076" s="20" t="str">
        <f t="shared" si="95"/>
        <v>No</v>
      </c>
      <c r="AI1076" s="25"/>
      <c r="AJ1076" s="20">
        <v>43340</v>
      </c>
      <c r="AK1076" s="20" t="s">
        <v>890</v>
      </c>
      <c r="AL1076" s="20">
        <v>39065</v>
      </c>
      <c r="AM1076" s="20" t="s">
        <v>39</v>
      </c>
      <c r="AN1076" s="37" t="str">
        <f t="shared" si="96"/>
        <v>N/A</v>
      </c>
      <c r="AO1076" s="37" t="str">
        <f t="shared" si="97"/>
        <v>N/A</v>
      </c>
      <c r="AP1076" s="20" t="s">
        <v>8</v>
      </c>
      <c r="AQ1076" s="25"/>
      <c r="AR1076" s="25"/>
      <c r="AS1076" s="25"/>
      <c r="AT1076" s="25"/>
      <c r="AU1076" s="36"/>
      <c r="AV1076" s="36"/>
      <c r="AW1076" s="36"/>
      <c r="AX1076" s="25"/>
      <c r="AY1076" s="25"/>
      <c r="AZ1076" s="25"/>
      <c r="BA1076" s="25"/>
      <c r="BB1076" s="25"/>
      <c r="BC1076" s="25"/>
      <c r="BD1076" s="25"/>
      <c r="BE1076" s="25"/>
      <c r="BF1076" s="25"/>
      <c r="BG1076" s="25"/>
      <c r="BH1076" s="25"/>
      <c r="BI1076" s="25"/>
      <c r="BJ1076" s="25"/>
      <c r="BK1076" s="25"/>
      <c r="BL1076" s="25"/>
      <c r="BM1076" s="25"/>
      <c r="BN1076" s="25"/>
      <c r="BO1076" s="25"/>
      <c r="BP1076" s="25"/>
      <c r="BQ1076" s="25"/>
      <c r="BR1076" s="25"/>
      <c r="BS1076" s="25"/>
      <c r="BT1076" s="25"/>
      <c r="BU1076" s="39">
        <v>43607</v>
      </c>
      <c r="BV1076" s="39" t="s">
        <v>1005</v>
      </c>
      <c r="BW1076" s="39" t="s">
        <v>2904</v>
      </c>
      <c r="BX1076" s="39" t="s">
        <v>271</v>
      </c>
      <c r="BY1076" s="71">
        <v>740</v>
      </c>
      <c r="BZ1076" s="71">
        <v>780</v>
      </c>
      <c r="CA1076" s="71">
        <v>1030</v>
      </c>
      <c r="CB1076" s="71">
        <v>1320</v>
      </c>
      <c r="CC1076" s="71">
        <v>1390</v>
      </c>
      <c r="CD1076" s="25"/>
      <c r="CE1076" s="200"/>
      <c r="CF1076" s="200"/>
      <c r="CG1076" s="200"/>
      <c r="CH1076" s="200"/>
      <c r="CI1076" s="200"/>
      <c r="CJ1076" s="200"/>
      <c r="CK1076" s="200"/>
      <c r="CL1076" s="200"/>
      <c r="CM1076" s="200"/>
      <c r="CN1076" s="200"/>
      <c r="CO1076" s="200"/>
      <c r="CP1076" s="200"/>
      <c r="CQ1076" s="200"/>
      <c r="CR1076" s="200"/>
      <c r="CS1076" s="200"/>
      <c r="CT1076" s="200"/>
      <c r="CU1076" s="200"/>
    </row>
    <row r="1077" spans="1:99" s="17" customFormat="1" x14ac:dyDescent="0.2">
      <c r="A1077" s="25"/>
      <c r="B1077" s="20">
        <v>39113125102</v>
      </c>
      <c r="C1077" s="20">
        <v>1251.02</v>
      </c>
      <c r="D1077" s="20" t="s">
        <v>62</v>
      </c>
      <c r="E1077" s="20" t="s">
        <v>2833</v>
      </c>
      <c r="F1077" s="20" t="s">
        <v>8</v>
      </c>
      <c r="G1077" s="861">
        <v>55.314625615208598</v>
      </c>
      <c r="H1077" s="861">
        <v>65.159899273939601</v>
      </c>
      <c r="I1077" s="861">
        <v>26.944953216559998</v>
      </c>
      <c r="J1077" s="861">
        <v>44.524288272832898</v>
      </c>
      <c r="K1077" s="982">
        <v>0</v>
      </c>
      <c r="L1077" s="735">
        <v>6209</v>
      </c>
      <c r="M1077" s="735">
        <v>6021</v>
      </c>
      <c r="N1077" s="845">
        <f t="shared" si="93"/>
        <v>-3.0278627798357223E-2</v>
      </c>
      <c r="O1077" s="735">
        <v>3.2680729179100365</v>
      </c>
      <c r="P1077" s="735">
        <f t="shared" si="94"/>
        <v>1842.3701524537851</v>
      </c>
      <c r="Q1077" s="849">
        <v>39.6</v>
      </c>
      <c r="R1077" s="71">
        <v>63538</v>
      </c>
      <c r="S1077" s="845">
        <v>8.1859525012632647E-2</v>
      </c>
      <c r="T1077" s="845">
        <v>4.2000000000000003E-2</v>
      </c>
      <c r="U1077" s="845">
        <v>2.4E-2</v>
      </c>
      <c r="V1077" s="845">
        <v>5.0999999999999997E-2</v>
      </c>
      <c r="W1077" s="845">
        <v>0.3357791754018169</v>
      </c>
      <c r="X1077" s="845">
        <v>0.50156087408949013</v>
      </c>
      <c r="Y1077" s="845">
        <v>0.70968277694735094</v>
      </c>
      <c r="Z1077" s="845">
        <v>0.13718651386812822</v>
      </c>
      <c r="AA1077" s="845">
        <v>0</v>
      </c>
      <c r="AB1077" s="845">
        <v>1.5279853844876266E-2</v>
      </c>
      <c r="AC1077" s="845">
        <v>0</v>
      </c>
      <c r="AD1077" s="845">
        <v>5.0988207938880585E-2</v>
      </c>
      <c r="AE1077" s="845">
        <v>8.6862647400763993E-2</v>
      </c>
      <c r="AF1077" s="845">
        <v>4.8995183524331506E-2</v>
      </c>
      <c r="AG1077" s="845">
        <v>0.70719149642916457</v>
      </c>
      <c r="AH1077" s="20" t="str">
        <f t="shared" si="95"/>
        <v>No</v>
      </c>
      <c r="AI1077" s="25"/>
      <c r="AJ1077" s="37">
        <v>43345</v>
      </c>
      <c r="AK1077" s="37" t="s">
        <v>895</v>
      </c>
      <c r="AL1077" s="37">
        <v>39065</v>
      </c>
      <c r="AM1077" s="37" t="s">
        <v>39</v>
      </c>
      <c r="AN1077" s="37" t="str">
        <f t="shared" si="96"/>
        <v>N/A</v>
      </c>
      <c r="AO1077" s="37" t="str">
        <f t="shared" si="97"/>
        <v>N/A</v>
      </c>
      <c r="AP1077" s="20" t="s">
        <v>8</v>
      </c>
      <c r="AQ1077" s="25"/>
      <c r="AR1077" s="25"/>
      <c r="AS1077" s="25"/>
      <c r="AT1077" s="25"/>
      <c r="AU1077" s="36"/>
      <c r="AV1077" s="36"/>
      <c r="AW1077" s="36"/>
      <c r="AX1077" s="25"/>
      <c r="AY1077" s="25"/>
      <c r="AZ1077" s="25"/>
      <c r="BA1077" s="25"/>
      <c r="BB1077" s="25"/>
      <c r="BC1077" s="25"/>
      <c r="BD1077" s="25"/>
      <c r="BE1077" s="25"/>
      <c r="BF1077" s="25"/>
      <c r="BG1077" s="25"/>
      <c r="BH1077" s="25"/>
      <c r="BI1077" s="25"/>
      <c r="BJ1077" s="25"/>
      <c r="BK1077" s="25"/>
      <c r="BL1077" s="25"/>
      <c r="BM1077" s="25"/>
      <c r="BN1077" s="25"/>
      <c r="BO1077" s="25"/>
      <c r="BP1077" s="25"/>
      <c r="BQ1077" s="25"/>
      <c r="BR1077" s="25"/>
      <c r="BS1077" s="25"/>
      <c r="BT1077" s="25"/>
      <c r="BU1077" s="39">
        <v>43608</v>
      </c>
      <c r="BV1077" s="39" t="s">
        <v>1006</v>
      </c>
      <c r="BW1077" s="39" t="s">
        <v>2904</v>
      </c>
      <c r="BX1077" s="39" t="s">
        <v>271</v>
      </c>
      <c r="BY1077" s="71">
        <v>700</v>
      </c>
      <c r="BZ1077" s="71">
        <v>740</v>
      </c>
      <c r="CA1077" s="71">
        <v>970</v>
      </c>
      <c r="CB1077" s="71">
        <v>1250</v>
      </c>
      <c r="CC1077" s="71">
        <v>1310</v>
      </c>
      <c r="CD1077" s="25"/>
      <c r="CE1077" s="200"/>
      <c r="CF1077" s="200"/>
      <c r="CG1077" s="200"/>
      <c r="CH1077" s="200"/>
      <c r="CI1077" s="200"/>
      <c r="CJ1077" s="200"/>
      <c r="CK1077" s="200"/>
      <c r="CL1077" s="200"/>
      <c r="CM1077" s="200"/>
      <c r="CN1077" s="200"/>
      <c r="CO1077" s="200"/>
      <c r="CP1077" s="200"/>
      <c r="CQ1077" s="200"/>
      <c r="CR1077" s="200"/>
      <c r="CS1077" s="200"/>
      <c r="CT1077" s="200"/>
      <c r="CU1077" s="200"/>
    </row>
    <row r="1078" spans="1:99" s="17" customFormat="1" x14ac:dyDescent="0.2">
      <c r="A1078" s="25"/>
      <c r="B1078" s="20">
        <v>39135455001</v>
      </c>
      <c r="C1078" s="20">
        <v>4550.01</v>
      </c>
      <c r="D1078" s="20" t="s">
        <v>73</v>
      </c>
      <c r="E1078" s="20" t="s">
        <v>265</v>
      </c>
      <c r="F1078" s="20" t="s">
        <v>8</v>
      </c>
      <c r="G1078" s="861">
        <v>55.311829566599499</v>
      </c>
      <c r="H1078" s="861">
        <v>62.697173151971498</v>
      </c>
      <c r="I1078" s="861">
        <v>29.741422877945698</v>
      </c>
      <c r="J1078" s="861">
        <v>47.9839686684901</v>
      </c>
      <c r="K1078" s="982">
        <v>0</v>
      </c>
      <c r="L1078" s="735">
        <v>2377</v>
      </c>
      <c r="M1078" s="735">
        <v>2031</v>
      </c>
      <c r="N1078" s="845">
        <f t="shared" si="93"/>
        <v>-0.14556163230963398</v>
      </c>
      <c r="O1078" s="735">
        <v>4.1594974735231505</v>
      </c>
      <c r="P1078" s="735">
        <f t="shared" si="94"/>
        <v>488.28013790803328</v>
      </c>
      <c r="Q1078" s="849">
        <v>48.2</v>
      </c>
      <c r="R1078" s="71">
        <v>62292</v>
      </c>
      <c r="S1078" s="845">
        <v>8.2484725050916502E-2</v>
      </c>
      <c r="T1078" s="845">
        <v>2.4E-2</v>
      </c>
      <c r="U1078" s="845">
        <v>0</v>
      </c>
      <c r="V1078" s="845">
        <v>0.111</v>
      </c>
      <c r="W1078" s="845">
        <v>0.26333711691259931</v>
      </c>
      <c r="X1078" s="845">
        <v>0.21551724137931033</v>
      </c>
      <c r="Y1078" s="845">
        <v>0.96110290497291972</v>
      </c>
      <c r="Z1078" s="845">
        <v>9.3549975381585423E-3</v>
      </c>
      <c r="AA1078" s="845">
        <v>0</v>
      </c>
      <c r="AB1078" s="845">
        <v>0</v>
      </c>
      <c r="AC1078" s="845">
        <v>0</v>
      </c>
      <c r="AD1078" s="845">
        <v>1.5755785327424915E-2</v>
      </c>
      <c r="AE1078" s="845">
        <v>1.3786312161496799E-2</v>
      </c>
      <c r="AF1078" s="845">
        <v>0</v>
      </c>
      <c r="AG1078" s="845">
        <v>0.96110290497291972</v>
      </c>
      <c r="AH1078" s="20" t="str">
        <f t="shared" si="95"/>
        <v>Yes</v>
      </c>
      <c r="AI1078" s="25"/>
      <c r="AJ1078" s="20">
        <v>43346</v>
      </c>
      <c r="AK1078" s="20" t="s">
        <v>896</v>
      </c>
      <c r="AL1078" s="20">
        <v>39065</v>
      </c>
      <c r="AM1078" s="20" t="s">
        <v>39</v>
      </c>
      <c r="AN1078" s="37" t="str">
        <f t="shared" si="96"/>
        <v>N/A</v>
      </c>
      <c r="AO1078" s="37" t="str">
        <f t="shared" si="97"/>
        <v>N/A</v>
      </c>
      <c r="AP1078" s="20" t="s">
        <v>8</v>
      </c>
      <c r="AQ1078" s="25"/>
      <c r="AR1078" s="25"/>
      <c r="AS1078" s="25"/>
      <c r="AT1078" s="25"/>
      <c r="AU1078" s="36"/>
      <c r="AV1078" s="36"/>
      <c r="AW1078" s="36"/>
      <c r="AX1078" s="25"/>
      <c r="AY1078" s="25"/>
      <c r="AZ1078" s="25"/>
      <c r="BA1078" s="25"/>
      <c r="BB1078" s="25"/>
      <c r="BC1078" s="25"/>
      <c r="BD1078" s="25"/>
      <c r="BE1078" s="25"/>
      <c r="BF1078" s="25"/>
      <c r="BG1078" s="25"/>
      <c r="BH1078" s="25"/>
      <c r="BI1078" s="25"/>
      <c r="BJ1078" s="25"/>
      <c r="BK1078" s="25"/>
      <c r="BL1078" s="25"/>
      <c r="BM1078" s="25"/>
      <c r="BN1078" s="25"/>
      <c r="BO1078" s="25"/>
      <c r="BP1078" s="25"/>
      <c r="BQ1078" s="25"/>
      <c r="BR1078" s="25"/>
      <c r="BS1078" s="25"/>
      <c r="BT1078" s="25"/>
      <c r="BU1078" s="39">
        <v>43609</v>
      </c>
      <c r="BV1078" s="39" t="s">
        <v>1007</v>
      </c>
      <c r="BW1078" s="39" t="s">
        <v>2904</v>
      </c>
      <c r="BX1078" s="39" t="s">
        <v>271</v>
      </c>
      <c r="BY1078" s="71">
        <v>790</v>
      </c>
      <c r="BZ1078" s="71">
        <v>840</v>
      </c>
      <c r="CA1078" s="71">
        <v>1100</v>
      </c>
      <c r="CB1078" s="71">
        <v>1410</v>
      </c>
      <c r="CC1078" s="71">
        <v>1490</v>
      </c>
      <c r="CD1078" s="25"/>
      <c r="CE1078" s="200"/>
      <c r="CF1078" s="200"/>
      <c r="CG1078" s="200"/>
      <c r="CH1078" s="200"/>
      <c r="CI1078" s="200"/>
      <c r="CJ1078" s="200"/>
      <c r="CK1078" s="200"/>
      <c r="CL1078" s="200"/>
      <c r="CM1078" s="200"/>
      <c r="CN1078" s="200"/>
      <c r="CO1078" s="200"/>
      <c r="CP1078" s="200"/>
      <c r="CQ1078" s="200"/>
      <c r="CR1078" s="200"/>
      <c r="CS1078" s="200"/>
      <c r="CT1078" s="200"/>
      <c r="CU1078" s="200"/>
    </row>
    <row r="1079" spans="1:99" s="17" customFormat="1" x14ac:dyDescent="0.2">
      <c r="A1079" s="25"/>
      <c r="B1079" s="20">
        <v>39035178102</v>
      </c>
      <c r="C1079" s="20">
        <v>1781.02</v>
      </c>
      <c r="D1079" s="20" t="s">
        <v>24</v>
      </c>
      <c r="E1079" s="20" t="s">
        <v>2829</v>
      </c>
      <c r="F1079" s="20" t="s">
        <v>8</v>
      </c>
      <c r="G1079" s="861">
        <v>55.307073549054401</v>
      </c>
      <c r="H1079" s="861">
        <v>67.831251383292098</v>
      </c>
      <c r="I1079" s="861">
        <v>36.252250493659602</v>
      </c>
      <c r="J1079" s="861">
        <v>36.669328260678903</v>
      </c>
      <c r="K1079" s="982">
        <v>0</v>
      </c>
      <c r="L1079" s="735">
        <v>4995</v>
      </c>
      <c r="M1079" s="735">
        <v>4363</v>
      </c>
      <c r="N1079" s="845">
        <f t="shared" si="93"/>
        <v>-0.12652652652652652</v>
      </c>
      <c r="O1079" s="735">
        <v>0.84921895645304724</v>
      </c>
      <c r="P1079" s="735">
        <f t="shared" si="94"/>
        <v>5137.662044454406</v>
      </c>
      <c r="Q1079" s="849">
        <v>36.9</v>
      </c>
      <c r="R1079" s="71">
        <v>59728</v>
      </c>
      <c r="S1079" s="845">
        <v>0.11861652739090064</v>
      </c>
      <c r="T1079" s="845">
        <v>1.6E-2</v>
      </c>
      <c r="U1079" s="845">
        <v>0</v>
      </c>
      <c r="V1079" s="845">
        <v>3.7000000000000005E-2</v>
      </c>
      <c r="W1079" s="845">
        <v>0.54141319606925598</v>
      </c>
      <c r="X1079" s="845">
        <v>0.4347450302506482</v>
      </c>
      <c r="Y1079" s="845">
        <v>0.79074031629612651</v>
      </c>
      <c r="Z1079" s="845">
        <v>0.15425166170066468</v>
      </c>
      <c r="AA1079" s="845">
        <v>0</v>
      </c>
      <c r="AB1079" s="845">
        <v>6.6468026587210632E-3</v>
      </c>
      <c r="AC1079" s="845">
        <v>0</v>
      </c>
      <c r="AD1079" s="845">
        <v>0</v>
      </c>
      <c r="AE1079" s="845">
        <v>4.8361219344487741E-2</v>
      </c>
      <c r="AF1079" s="845">
        <v>6.303002521201008E-2</v>
      </c>
      <c r="AG1079" s="845">
        <v>0.76140270456108183</v>
      </c>
      <c r="AH1079" s="20" t="str">
        <f t="shared" si="95"/>
        <v>No</v>
      </c>
      <c r="AI1079" s="25"/>
      <c r="AJ1079" s="20">
        <v>43347</v>
      </c>
      <c r="AK1079" s="20" t="s">
        <v>897</v>
      </c>
      <c r="AL1079" s="20">
        <v>39065</v>
      </c>
      <c r="AM1079" s="20" t="s">
        <v>39</v>
      </c>
      <c r="AN1079" s="37" t="str">
        <f t="shared" si="96"/>
        <v>N/A</v>
      </c>
      <c r="AO1079" s="37" t="str">
        <f t="shared" si="97"/>
        <v>N/A</v>
      </c>
      <c r="AP1079" s="20" t="s">
        <v>8</v>
      </c>
      <c r="AQ1079" s="25"/>
      <c r="AR1079" s="25"/>
      <c r="AS1079" s="25"/>
      <c r="AT1079" s="25"/>
      <c r="AU1079" s="36"/>
      <c r="AV1079" s="36"/>
      <c r="AW1079" s="36"/>
      <c r="AX1079" s="25"/>
      <c r="AY1079" s="25"/>
      <c r="AZ1079" s="25"/>
      <c r="BA1079" s="25"/>
      <c r="BB1079" s="25"/>
      <c r="BC1079" s="25"/>
      <c r="BD1079" s="25"/>
      <c r="BE1079" s="25"/>
      <c r="BF1079" s="25"/>
      <c r="BG1079" s="25"/>
      <c r="BH1079" s="25"/>
      <c r="BI1079" s="25"/>
      <c r="BJ1079" s="25"/>
      <c r="BK1079" s="25"/>
      <c r="BL1079" s="25"/>
      <c r="BM1079" s="25"/>
      <c r="BN1079" s="25"/>
      <c r="BO1079" s="25"/>
      <c r="BP1079" s="25"/>
      <c r="BQ1079" s="25"/>
      <c r="BR1079" s="25"/>
      <c r="BS1079" s="25"/>
      <c r="BT1079" s="25"/>
      <c r="BU1079" s="39">
        <v>43610</v>
      </c>
      <c r="BV1079" s="39" t="s">
        <v>1008</v>
      </c>
      <c r="BW1079" s="39" t="s">
        <v>2904</v>
      </c>
      <c r="BX1079" s="39" t="s">
        <v>271</v>
      </c>
      <c r="BY1079" s="71">
        <v>720</v>
      </c>
      <c r="BZ1079" s="71">
        <v>770</v>
      </c>
      <c r="CA1079" s="71">
        <v>1010</v>
      </c>
      <c r="CB1079" s="71">
        <v>1300</v>
      </c>
      <c r="CC1079" s="71">
        <v>1360</v>
      </c>
      <c r="CD1079" s="25"/>
      <c r="CE1079" s="200"/>
      <c r="CF1079" s="200"/>
      <c r="CG1079" s="200"/>
      <c r="CH1079" s="200"/>
      <c r="CI1079" s="200"/>
      <c r="CJ1079" s="200"/>
      <c r="CK1079" s="200"/>
      <c r="CL1079" s="200"/>
      <c r="CM1079" s="200"/>
      <c r="CN1079" s="200"/>
      <c r="CO1079" s="200"/>
      <c r="CP1079" s="200"/>
      <c r="CQ1079" s="200"/>
      <c r="CR1079" s="200"/>
      <c r="CS1079" s="200"/>
      <c r="CT1079" s="200"/>
      <c r="CU1079" s="200"/>
    </row>
    <row r="1080" spans="1:99" s="17" customFormat="1" x14ac:dyDescent="0.2">
      <c r="A1080" s="25"/>
      <c r="B1080" s="20">
        <v>39063000400</v>
      </c>
      <c r="C1080" s="20">
        <v>4</v>
      </c>
      <c r="D1080" s="20" t="s">
        <v>38</v>
      </c>
      <c r="E1080" s="20" t="s">
        <v>265</v>
      </c>
      <c r="F1080" s="20" t="s">
        <v>8</v>
      </c>
      <c r="G1080" s="861">
        <v>55.306674047488997</v>
      </c>
      <c r="H1080" s="861">
        <v>47.097803425246198</v>
      </c>
      <c r="I1080" s="861">
        <v>28.699806641619301</v>
      </c>
      <c r="J1080" s="861">
        <v>45.3380483984918</v>
      </c>
      <c r="K1080" s="982">
        <v>0</v>
      </c>
      <c r="L1080" s="735">
        <v>7504</v>
      </c>
      <c r="M1080" s="735">
        <v>7673</v>
      </c>
      <c r="N1080" s="845">
        <f t="shared" si="93"/>
        <v>2.2521321961620468E-2</v>
      </c>
      <c r="O1080" s="735">
        <v>4.003504479408595</v>
      </c>
      <c r="P1080" s="735">
        <f t="shared" si="94"/>
        <v>1916.5708542265625</v>
      </c>
      <c r="Q1080" s="849">
        <v>37.5</v>
      </c>
      <c r="R1080" s="71">
        <v>76287</v>
      </c>
      <c r="S1080" s="845">
        <v>0.13555435662260587</v>
      </c>
      <c r="T1080" s="845">
        <v>1.6E-2</v>
      </c>
      <c r="U1080" s="845">
        <v>5.4000000000000006E-2</v>
      </c>
      <c r="V1080" s="845">
        <v>0</v>
      </c>
      <c r="W1080" s="845">
        <v>0.24357691024357692</v>
      </c>
      <c r="X1080" s="845">
        <v>0.38493150684931504</v>
      </c>
      <c r="Y1080" s="845">
        <v>0.87097615013684349</v>
      </c>
      <c r="Z1080" s="845">
        <v>3.5318649811025678E-2</v>
      </c>
      <c r="AA1080" s="845">
        <v>0</v>
      </c>
      <c r="AB1080" s="845">
        <v>2.1634302098266649E-2</v>
      </c>
      <c r="AC1080" s="845">
        <v>0</v>
      </c>
      <c r="AD1080" s="845">
        <v>1.5248273165645771E-2</v>
      </c>
      <c r="AE1080" s="845">
        <v>5.682262478821843E-2</v>
      </c>
      <c r="AF1080" s="845">
        <v>6.2687345236543721E-2</v>
      </c>
      <c r="AG1080" s="845">
        <v>0.84152222077414307</v>
      </c>
      <c r="AH1080" s="20" t="str">
        <f t="shared" si="95"/>
        <v>No</v>
      </c>
      <c r="AI1080" s="25"/>
      <c r="AJ1080" s="20">
        <v>45810</v>
      </c>
      <c r="AK1080" s="20" t="s">
        <v>1886</v>
      </c>
      <c r="AL1080" s="20">
        <v>39065</v>
      </c>
      <c r="AM1080" s="20" t="s">
        <v>39</v>
      </c>
      <c r="AN1080" s="37" t="str">
        <f t="shared" si="96"/>
        <v>N/A</v>
      </c>
      <c r="AO1080" s="37" t="str">
        <f t="shared" si="97"/>
        <v>N/A</v>
      </c>
      <c r="AP1080" s="20" t="s">
        <v>8</v>
      </c>
      <c r="AQ1080" s="25"/>
      <c r="AR1080" s="25"/>
      <c r="AS1080" s="25"/>
      <c r="AT1080" s="25"/>
      <c r="AU1080" s="36"/>
      <c r="AV1080" s="36"/>
      <c r="AW1080" s="36"/>
      <c r="AX1080" s="25"/>
      <c r="AY1080" s="25"/>
      <c r="AZ1080" s="25"/>
      <c r="BA1080" s="25"/>
      <c r="BB1080" s="25"/>
      <c r="BC1080" s="25"/>
      <c r="BD1080" s="25"/>
      <c r="BE1080" s="25"/>
      <c r="BF1080" s="25"/>
      <c r="BG1080" s="25"/>
      <c r="BH1080" s="25"/>
      <c r="BI1080" s="25"/>
      <c r="BJ1080" s="25"/>
      <c r="BK1080" s="25"/>
      <c r="BL1080" s="25"/>
      <c r="BM1080" s="25"/>
      <c r="BN1080" s="25"/>
      <c r="BO1080" s="25"/>
      <c r="BP1080" s="25"/>
      <c r="BQ1080" s="25"/>
      <c r="BR1080" s="25"/>
      <c r="BS1080" s="25"/>
      <c r="BT1080" s="25"/>
      <c r="BU1080" s="39">
        <v>43611</v>
      </c>
      <c r="BV1080" s="39" t="s">
        <v>1009</v>
      </c>
      <c r="BW1080" s="39" t="s">
        <v>2904</v>
      </c>
      <c r="BX1080" s="39" t="s">
        <v>271</v>
      </c>
      <c r="BY1080" s="71">
        <v>730</v>
      </c>
      <c r="BZ1080" s="71">
        <v>780</v>
      </c>
      <c r="CA1080" s="71">
        <v>1020</v>
      </c>
      <c r="CB1080" s="71">
        <v>1310</v>
      </c>
      <c r="CC1080" s="71">
        <v>1380</v>
      </c>
      <c r="CD1080" s="25"/>
      <c r="CE1080" s="200"/>
      <c r="CF1080" s="200"/>
      <c r="CG1080" s="200"/>
      <c r="CH1080" s="200"/>
      <c r="CI1080" s="200"/>
      <c r="CJ1080" s="200"/>
      <c r="CK1080" s="200"/>
      <c r="CL1080" s="200"/>
      <c r="CM1080" s="200"/>
      <c r="CN1080" s="200"/>
      <c r="CO1080" s="200"/>
      <c r="CP1080" s="200"/>
      <c r="CQ1080" s="200"/>
      <c r="CR1080" s="200"/>
      <c r="CS1080" s="200"/>
      <c r="CT1080" s="200"/>
      <c r="CU1080" s="200"/>
    </row>
    <row r="1081" spans="1:99" s="17" customFormat="1" x14ac:dyDescent="0.2">
      <c r="A1081" s="25"/>
      <c r="B1081" s="20">
        <v>39095009203</v>
      </c>
      <c r="C1081" s="20">
        <v>92.03</v>
      </c>
      <c r="D1081" s="20" t="s">
        <v>53</v>
      </c>
      <c r="E1081" s="20" t="s">
        <v>2839</v>
      </c>
      <c r="F1081" s="20" t="s">
        <v>8</v>
      </c>
      <c r="G1081" s="861">
        <v>55.295309443638899</v>
      </c>
      <c r="H1081" s="861">
        <v>71.589655404629596</v>
      </c>
      <c r="I1081" s="861">
        <v>19.353682184714899</v>
      </c>
      <c r="J1081" s="861">
        <v>43.400722170049001</v>
      </c>
      <c r="K1081" s="982">
        <v>0</v>
      </c>
      <c r="L1081" s="735" t="s">
        <v>2466</v>
      </c>
      <c r="M1081" s="735">
        <v>3465</v>
      </c>
      <c r="N1081" s="845" t="str">
        <f t="shared" si="93"/>
        <v/>
      </c>
      <c r="O1081" s="735">
        <v>4.0308493925865942</v>
      </c>
      <c r="P1081" s="735">
        <f t="shared" si="94"/>
        <v>859.62030890380424</v>
      </c>
      <c r="Q1081" s="849">
        <v>46.2</v>
      </c>
      <c r="R1081" s="71">
        <v>155455</v>
      </c>
      <c r="S1081" s="845">
        <v>5.3968253968253971E-2</v>
      </c>
      <c r="T1081" s="845">
        <v>2.6000000000000002E-2</v>
      </c>
      <c r="U1081" s="845">
        <v>0</v>
      </c>
      <c r="V1081" s="845">
        <v>0.245</v>
      </c>
      <c r="W1081" s="845">
        <v>0.11182336182336182</v>
      </c>
      <c r="X1081" s="845">
        <v>7.0063694267515922E-2</v>
      </c>
      <c r="Y1081" s="845">
        <v>0.81183261183261179</v>
      </c>
      <c r="Z1081" s="845">
        <v>3.8383838383838381E-2</v>
      </c>
      <c r="AA1081" s="845">
        <v>0</v>
      </c>
      <c r="AB1081" s="845">
        <v>8.1673881673881676E-2</v>
      </c>
      <c r="AC1081" s="845">
        <v>0</v>
      </c>
      <c r="AD1081" s="845">
        <v>0</v>
      </c>
      <c r="AE1081" s="845">
        <v>6.8109668109668106E-2</v>
      </c>
      <c r="AF1081" s="845">
        <v>3.0303030303030304E-2</v>
      </c>
      <c r="AG1081" s="845">
        <v>0.81183261183261179</v>
      </c>
      <c r="AH1081" s="20" t="str">
        <f t="shared" si="95"/>
        <v>No</v>
      </c>
      <c r="AI1081" s="25"/>
      <c r="AJ1081" s="20">
        <v>45812</v>
      </c>
      <c r="AK1081" s="20" t="s">
        <v>1887</v>
      </c>
      <c r="AL1081" s="20">
        <v>39065</v>
      </c>
      <c r="AM1081" s="20" t="s">
        <v>39</v>
      </c>
      <c r="AN1081" s="37" t="str">
        <f t="shared" si="96"/>
        <v>N/A</v>
      </c>
      <c r="AO1081" s="37" t="str">
        <f t="shared" si="97"/>
        <v>N/A</v>
      </c>
      <c r="AP1081" s="20" t="s">
        <v>8</v>
      </c>
      <c r="AQ1081" s="25"/>
      <c r="AR1081" s="25"/>
      <c r="AS1081" s="25"/>
      <c r="AT1081" s="25"/>
      <c r="AU1081" s="36"/>
      <c r="AV1081" s="36"/>
      <c r="AW1081" s="36"/>
      <c r="AX1081" s="25"/>
      <c r="AY1081" s="25"/>
      <c r="AZ1081" s="25"/>
      <c r="BA1081" s="25"/>
      <c r="BB1081" s="25"/>
      <c r="BC1081" s="25"/>
      <c r="BD1081" s="25"/>
      <c r="BE1081" s="25"/>
      <c r="BF1081" s="25"/>
      <c r="BG1081" s="25"/>
      <c r="BH1081" s="25"/>
      <c r="BI1081" s="25"/>
      <c r="BJ1081" s="25"/>
      <c r="BK1081" s="25"/>
      <c r="BL1081" s="25"/>
      <c r="BM1081" s="25"/>
      <c r="BN1081" s="25"/>
      <c r="BO1081" s="25"/>
      <c r="BP1081" s="25"/>
      <c r="BQ1081" s="25"/>
      <c r="BR1081" s="25"/>
      <c r="BS1081" s="25"/>
      <c r="BT1081" s="25"/>
      <c r="BU1081" s="39">
        <v>43612</v>
      </c>
      <c r="BV1081" s="39" t="s">
        <v>1010</v>
      </c>
      <c r="BW1081" s="39" t="s">
        <v>2904</v>
      </c>
      <c r="BX1081" s="39" t="s">
        <v>271</v>
      </c>
      <c r="BY1081" s="71">
        <v>810</v>
      </c>
      <c r="BZ1081" s="71">
        <v>860</v>
      </c>
      <c r="CA1081" s="71">
        <v>1130</v>
      </c>
      <c r="CB1081" s="71">
        <v>1450</v>
      </c>
      <c r="CC1081" s="71">
        <v>1530</v>
      </c>
      <c r="CD1081" s="25"/>
      <c r="CE1081" s="200"/>
      <c r="CF1081" s="200"/>
      <c r="CG1081" s="200"/>
      <c r="CH1081" s="200"/>
      <c r="CI1081" s="200"/>
      <c r="CJ1081" s="200"/>
      <c r="CK1081" s="200"/>
      <c r="CL1081" s="200"/>
      <c r="CM1081" s="200"/>
      <c r="CN1081" s="200"/>
      <c r="CO1081" s="200"/>
      <c r="CP1081" s="200"/>
      <c r="CQ1081" s="200"/>
      <c r="CR1081" s="200"/>
      <c r="CS1081" s="200"/>
      <c r="CT1081" s="200"/>
      <c r="CU1081" s="200"/>
    </row>
    <row r="1082" spans="1:99" s="17" customFormat="1" x14ac:dyDescent="0.2">
      <c r="A1082" s="25"/>
      <c r="B1082" s="20">
        <v>39011040300</v>
      </c>
      <c r="C1082" s="20">
        <v>403</v>
      </c>
      <c r="D1082" s="20" t="s">
        <v>12</v>
      </c>
      <c r="E1082" s="20" t="s">
        <v>265</v>
      </c>
      <c r="F1082" s="20" t="s">
        <v>8</v>
      </c>
      <c r="G1082" s="861">
        <v>55.295139504842702</v>
      </c>
      <c r="H1082" s="861">
        <v>51.037518495127998</v>
      </c>
      <c r="I1082" s="861">
        <v>31.4533436061147</v>
      </c>
      <c r="J1082" s="861">
        <v>42.164009467604799</v>
      </c>
      <c r="K1082" s="982">
        <v>0</v>
      </c>
      <c r="L1082" s="735">
        <v>3636</v>
      </c>
      <c r="M1082" s="735">
        <v>3288</v>
      </c>
      <c r="N1082" s="845">
        <f t="shared" si="93"/>
        <v>-9.5709570957095716E-2</v>
      </c>
      <c r="O1082" s="735">
        <v>2.8503343206467462</v>
      </c>
      <c r="P1082" s="735">
        <f t="shared" si="94"/>
        <v>1153.5488929080946</v>
      </c>
      <c r="Q1082" s="849">
        <v>34.5</v>
      </c>
      <c r="R1082" s="71">
        <v>53536</v>
      </c>
      <c r="S1082" s="845">
        <v>0.17396593673965938</v>
      </c>
      <c r="T1082" s="845">
        <v>1.4999999999999999E-2</v>
      </c>
      <c r="U1082" s="845">
        <v>4.0999999999999995E-2</v>
      </c>
      <c r="V1082" s="845">
        <v>0</v>
      </c>
      <c r="W1082" s="845">
        <v>0.34133679428942243</v>
      </c>
      <c r="X1082" s="845">
        <v>0.3193916349809886</v>
      </c>
      <c r="Y1082" s="845">
        <v>0.98175182481751821</v>
      </c>
      <c r="Z1082" s="845">
        <v>0</v>
      </c>
      <c r="AA1082" s="845">
        <v>1.5206812652068127E-3</v>
      </c>
      <c r="AB1082" s="845">
        <v>0</v>
      </c>
      <c r="AC1082" s="845">
        <v>0</v>
      </c>
      <c r="AD1082" s="845">
        <v>0</v>
      </c>
      <c r="AE1082" s="845">
        <v>1.672749391727494E-2</v>
      </c>
      <c r="AF1082" s="845">
        <v>1.0644768856447688E-2</v>
      </c>
      <c r="AG1082" s="845">
        <v>0.97110705596107061</v>
      </c>
      <c r="AH1082" s="20" t="str">
        <f t="shared" si="95"/>
        <v>Yes</v>
      </c>
      <c r="AI1082" s="25"/>
      <c r="AJ1082" s="20">
        <v>45835</v>
      </c>
      <c r="AK1082" s="20" t="s">
        <v>1904</v>
      </c>
      <c r="AL1082" s="20">
        <v>39065</v>
      </c>
      <c r="AM1082" s="20" t="s">
        <v>39</v>
      </c>
      <c r="AN1082" s="37" t="str">
        <f t="shared" si="96"/>
        <v>N/A</v>
      </c>
      <c r="AO1082" s="37" t="str">
        <f t="shared" si="97"/>
        <v>N/A</v>
      </c>
      <c r="AP1082" s="20" t="s">
        <v>8</v>
      </c>
      <c r="AQ1082" s="25"/>
      <c r="AR1082" s="25"/>
      <c r="AS1082" s="25"/>
      <c r="AT1082" s="25"/>
      <c r="AU1082" s="36"/>
      <c r="AV1082" s="36"/>
      <c r="AW1082" s="36"/>
      <c r="AX1082" s="25"/>
      <c r="AY1082" s="25"/>
      <c r="AZ1082" s="25"/>
      <c r="BA1082" s="25"/>
      <c r="BB1082" s="25"/>
      <c r="BC1082" s="25"/>
      <c r="BD1082" s="25"/>
      <c r="BE1082" s="25"/>
      <c r="BF1082" s="25"/>
      <c r="BG1082" s="25"/>
      <c r="BH1082" s="25"/>
      <c r="BI1082" s="25"/>
      <c r="BJ1082" s="25"/>
      <c r="BK1082" s="25"/>
      <c r="BL1082" s="25"/>
      <c r="BM1082" s="25"/>
      <c r="BN1082" s="25"/>
      <c r="BO1082" s="25"/>
      <c r="BP1082" s="25"/>
      <c r="BQ1082" s="25"/>
      <c r="BR1082" s="25"/>
      <c r="BS1082" s="25"/>
      <c r="BT1082" s="25"/>
      <c r="BU1082" s="39">
        <v>43613</v>
      </c>
      <c r="BV1082" s="39" t="s">
        <v>1011</v>
      </c>
      <c r="BW1082" s="39" t="s">
        <v>2904</v>
      </c>
      <c r="BX1082" s="39" t="s">
        <v>271</v>
      </c>
      <c r="BY1082" s="71">
        <v>760</v>
      </c>
      <c r="BZ1082" s="71">
        <v>810</v>
      </c>
      <c r="CA1082" s="71">
        <v>1060</v>
      </c>
      <c r="CB1082" s="71">
        <v>1360</v>
      </c>
      <c r="CC1082" s="71">
        <v>1430</v>
      </c>
      <c r="CD1082" s="25"/>
      <c r="CE1082" s="200"/>
      <c r="CF1082" s="200"/>
      <c r="CG1082" s="200"/>
      <c r="CH1082" s="200"/>
      <c r="CI1082" s="200"/>
      <c r="CJ1082" s="200"/>
      <c r="CK1082" s="200"/>
      <c r="CL1082" s="200"/>
      <c r="CM1082" s="200"/>
      <c r="CN1082" s="200"/>
      <c r="CO1082" s="200"/>
      <c r="CP1082" s="200"/>
      <c r="CQ1082" s="200"/>
      <c r="CR1082" s="200"/>
      <c r="CS1082" s="200"/>
      <c r="CT1082" s="200"/>
      <c r="CU1082" s="200"/>
    </row>
    <row r="1083" spans="1:99" s="17" customFormat="1" x14ac:dyDescent="0.2">
      <c r="A1083" s="25"/>
      <c r="B1083" s="20">
        <v>39099812302</v>
      </c>
      <c r="C1083" s="20">
        <v>8123.02</v>
      </c>
      <c r="D1083" s="20" t="s">
        <v>55</v>
      </c>
      <c r="E1083" s="20" t="s">
        <v>2842</v>
      </c>
      <c r="F1083" s="20" t="s">
        <v>8</v>
      </c>
      <c r="G1083" s="861">
        <v>55.287061527518297</v>
      </c>
      <c r="H1083" s="861">
        <v>49.966571709553797</v>
      </c>
      <c r="I1083" s="861">
        <v>27.317121445409398</v>
      </c>
      <c r="J1083" s="861">
        <v>40.833554348742503</v>
      </c>
      <c r="K1083" s="982">
        <v>0</v>
      </c>
      <c r="L1083" s="735">
        <v>6281</v>
      </c>
      <c r="M1083" s="735">
        <v>5504</v>
      </c>
      <c r="N1083" s="845">
        <f t="shared" si="93"/>
        <v>-0.12370641617576819</v>
      </c>
      <c r="O1083" s="735">
        <v>2.0198081140997979</v>
      </c>
      <c r="P1083" s="735">
        <f t="shared" si="94"/>
        <v>2725.0113323032474</v>
      </c>
      <c r="Q1083" s="849">
        <v>48.4</v>
      </c>
      <c r="R1083" s="71">
        <v>55597</v>
      </c>
      <c r="S1083" s="845">
        <v>9.4295058139534885E-2</v>
      </c>
      <c r="T1083" s="845">
        <v>6.0000000000000001E-3</v>
      </c>
      <c r="U1083" s="845">
        <v>3.5000000000000003E-2</v>
      </c>
      <c r="V1083" s="845">
        <v>0</v>
      </c>
      <c r="W1083" s="845">
        <v>0.2235202492211838</v>
      </c>
      <c r="X1083" s="845">
        <v>0.33101045296167247</v>
      </c>
      <c r="Y1083" s="845">
        <v>0.85337936046511631</v>
      </c>
      <c r="Z1083" s="845">
        <v>7.8851744186046513E-2</v>
      </c>
      <c r="AA1083" s="845">
        <v>0</v>
      </c>
      <c r="AB1083" s="845">
        <v>1.816860465116279E-3</v>
      </c>
      <c r="AC1083" s="845">
        <v>0</v>
      </c>
      <c r="AD1083" s="845">
        <v>3.4338662790697673E-2</v>
      </c>
      <c r="AE1083" s="845">
        <v>3.1613372093023256E-2</v>
      </c>
      <c r="AF1083" s="845">
        <v>7.2492732558139539E-2</v>
      </c>
      <c r="AG1083" s="845">
        <v>0.83502906976744184</v>
      </c>
      <c r="AH1083" s="20" t="str">
        <f t="shared" si="95"/>
        <v>No</v>
      </c>
      <c r="AI1083" s="25"/>
      <c r="AJ1083" s="20">
        <v>45836</v>
      </c>
      <c r="AK1083" s="20" t="s">
        <v>1905</v>
      </c>
      <c r="AL1083" s="20">
        <v>39065</v>
      </c>
      <c r="AM1083" s="20" t="s">
        <v>39</v>
      </c>
      <c r="AN1083" s="37" t="str">
        <f t="shared" si="96"/>
        <v>N/A</v>
      </c>
      <c r="AO1083" s="37" t="str">
        <f t="shared" si="97"/>
        <v>N/A</v>
      </c>
      <c r="AP1083" s="20" t="s">
        <v>8</v>
      </c>
      <c r="AQ1083" s="25"/>
      <c r="AR1083" s="25"/>
      <c r="AS1083" s="25"/>
      <c r="AT1083" s="25"/>
      <c r="AU1083" s="36"/>
      <c r="AV1083" s="36"/>
      <c r="AW1083" s="36"/>
      <c r="AX1083" s="25"/>
      <c r="AY1083" s="25"/>
      <c r="AZ1083" s="25"/>
      <c r="BA1083" s="25"/>
      <c r="BB1083" s="25"/>
      <c r="BC1083" s="25"/>
      <c r="BD1083" s="25"/>
      <c r="BE1083" s="25"/>
      <c r="BF1083" s="25"/>
      <c r="BG1083" s="25"/>
      <c r="BH1083" s="25"/>
      <c r="BI1083" s="25"/>
      <c r="BJ1083" s="25"/>
      <c r="BK1083" s="25"/>
      <c r="BL1083" s="25"/>
      <c r="BM1083" s="25"/>
      <c r="BN1083" s="25"/>
      <c r="BO1083" s="25"/>
      <c r="BP1083" s="25"/>
      <c r="BQ1083" s="25"/>
      <c r="BR1083" s="25"/>
      <c r="BS1083" s="25"/>
      <c r="BT1083" s="25"/>
      <c r="BU1083" s="39">
        <v>43614</v>
      </c>
      <c r="BV1083" s="39" t="s">
        <v>1012</v>
      </c>
      <c r="BW1083" s="39" t="s">
        <v>2904</v>
      </c>
      <c r="BX1083" s="39" t="s">
        <v>271</v>
      </c>
      <c r="BY1083" s="71">
        <v>720</v>
      </c>
      <c r="BZ1083" s="71">
        <v>770</v>
      </c>
      <c r="CA1083" s="71">
        <v>1010</v>
      </c>
      <c r="CB1083" s="71">
        <v>1300</v>
      </c>
      <c r="CC1083" s="71">
        <v>1360</v>
      </c>
      <c r="CD1083" s="25"/>
      <c r="CE1083" s="200"/>
      <c r="CF1083" s="200"/>
      <c r="CG1083" s="200"/>
      <c r="CH1083" s="200"/>
      <c r="CI1083" s="200"/>
      <c r="CJ1083" s="200"/>
      <c r="CK1083" s="200"/>
      <c r="CL1083" s="200"/>
      <c r="CM1083" s="200"/>
      <c r="CN1083" s="200"/>
      <c r="CO1083" s="200"/>
      <c r="CP1083" s="200"/>
      <c r="CQ1083" s="200"/>
      <c r="CR1083" s="200"/>
      <c r="CS1083" s="200"/>
      <c r="CT1083" s="200"/>
      <c r="CU1083" s="200"/>
    </row>
    <row r="1084" spans="1:99" s="17" customFormat="1" x14ac:dyDescent="0.2">
      <c r="A1084" s="25"/>
      <c r="B1084" s="20">
        <v>39017011133</v>
      </c>
      <c r="C1084" s="20">
        <v>111.33</v>
      </c>
      <c r="D1084" s="20" t="s">
        <v>15</v>
      </c>
      <c r="E1084" s="20" t="s">
        <v>2828</v>
      </c>
      <c r="F1084" s="20" t="s">
        <v>8</v>
      </c>
      <c r="G1084" s="861">
        <v>55.286215904733297</v>
      </c>
      <c r="H1084" s="861">
        <v>58.007806014339202</v>
      </c>
      <c r="I1084" s="861">
        <v>21.498028164984401</v>
      </c>
      <c r="J1084" s="861">
        <v>54.603386572991099</v>
      </c>
      <c r="K1084" s="982">
        <v>0</v>
      </c>
      <c r="L1084" s="735" t="s">
        <v>2466</v>
      </c>
      <c r="M1084" s="735">
        <v>4378</v>
      </c>
      <c r="N1084" s="845" t="str">
        <f t="shared" si="93"/>
        <v/>
      </c>
      <c r="O1084" s="735">
        <v>3.4980195333792481</v>
      </c>
      <c r="P1084" s="735">
        <f t="shared" si="94"/>
        <v>1251.5653381073748</v>
      </c>
      <c r="Q1084" s="849">
        <v>37.1</v>
      </c>
      <c r="R1084" s="71">
        <v>179453</v>
      </c>
      <c r="S1084" s="845">
        <v>7.4234810415714933E-2</v>
      </c>
      <c r="T1084" s="845">
        <v>6.3E-2</v>
      </c>
      <c r="U1084" s="845">
        <v>0</v>
      </c>
      <c r="V1084" s="845" t="s">
        <v>2466</v>
      </c>
      <c r="W1084" s="845">
        <v>0</v>
      </c>
      <c r="X1084" s="845"/>
      <c r="Y1084" s="845">
        <v>0.7521699406121517</v>
      </c>
      <c r="Z1084" s="845">
        <v>4.5911375057103701E-2</v>
      </c>
      <c r="AA1084" s="845">
        <v>0</v>
      </c>
      <c r="AB1084" s="845">
        <v>0.10301507537688442</v>
      </c>
      <c r="AC1084" s="845">
        <v>0</v>
      </c>
      <c r="AD1084" s="845">
        <v>4.5682960255824575E-3</v>
      </c>
      <c r="AE1084" s="845">
        <v>9.4335312928277751E-2</v>
      </c>
      <c r="AF1084" s="845">
        <v>2.9465509365006852E-2</v>
      </c>
      <c r="AG1084" s="845">
        <v>0.73343992690726356</v>
      </c>
      <c r="AH1084" s="20" t="str">
        <f t="shared" si="95"/>
        <v>No</v>
      </c>
      <c r="AI1084" s="25"/>
      <c r="AJ1084" s="20">
        <v>45843</v>
      </c>
      <c r="AK1084" s="20" t="s">
        <v>1909</v>
      </c>
      <c r="AL1084" s="20">
        <v>39065</v>
      </c>
      <c r="AM1084" s="20" t="s">
        <v>39</v>
      </c>
      <c r="AN1084" s="37" t="str">
        <f t="shared" si="96"/>
        <v>N/A</v>
      </c>
      <c r="AO1084" s="37" t="str">
        <f t="shared" si="97"/>
        <v>N/A</v>
      </c>
      <c r="AP1084" s="20" t="s">
        <v>8</v>
      </c>
      <c r="AQ1084" s="25"/>
      <c r="AR1084" s="25"/>
      <c r="AS1084" s="25"/>
      <c r="AT1084" s="25"/>
      <c r="AU1084" s="36"/>
      <c r="AV1084" s="36"/>
      <c r="AW1084" s="36"/>
      <c r="AX1084" s="25"/>
      <c r="AY1084" s="25"/>
      <c r="AZ1084" s="25"/>
      <c r="BA1084" s="25"/>
      <c r="BB1084" s="25"/>
      <c r="BC1084" s="25"/>
      <c r="BD1084" s="25"/>
      <c r="BE1084" s="25"/>
      <c r="BF1084" s="25"/>
      <c r="BG1084" s="25"/>
      <c r="BH1084" s="25"/>
      <c r="BI1084" s="25"/>
      <c r="BJ1084" s="25"/>
      <c r="BK1084" s="25"/>
      <c r="BL1084" s="25"/>
      <c r="BM1084" s="25"/>
      <c r="BN1084" s="25"/>
      <c r="BO1084" s="25"/>
      <c r="BP1084" s="25"/>
      <c r="BQ1084" s="25"/>
      <c r="BR1084" s="25"/>
      <c r="BS1084" s="25"/>
      <c r="BT1084" s="25"/>
      <c r="BU1084" s="39">
        <v>43615</v>
      </c>
      <c r="BV1084" s="39" t="s">
        <v>1013</v>
      </c>
      <c r="BW1084" s="39" t="s">
        <v>2904</v>
      </c>
      <c r="BX1084" s="39" t="s">
        <v>271</v>
      </c>
      <c r="BY1084" s="71">
        <v>850</v>
      </c>
      <c r="BZ1084" s="71">
        <v>910</v>
      </c>
      <c r="CA1084" s="71">
        <v>1190</v>
      </c>
      <c r="CB1084" s="71">
        <v>1530</v>
      </c>
      <c r="CC1084" s="71">
        <v>1610</v>
      </c>
      <c r="CD1084" s="25"/>
      <c r="CE1084" s="200"/>
      <c r="CF1084" s="200"/>
      <c r="CG1084" s="200"/>
      <c r="CH1084" s="200"/>
      <c r="CI1084" s="200"/>
      <c r="CJ1084" s="200"/>
      <c r="CK1084" s="200"/>
      <c r="CL1084" s="200"/>
      <c r="CM1084" s="200"/>
      <c r="CN1084" s="200"/>
      <c r="CO1084" s="200"/>
      <c r="CP1084" s="200"/>
      <c r="CQ1084" s="200"/>
      <c r="CR1084" s="200"/>
      <c r="CS1084" s="200"/>
      <c r="CT1084" s="200"/>
      <c r="CU1084" s="200"/>
    </row>
    <row r="1085" spans="1:99" s="17" customFormat="1" x14ac:dyDescent="0.2">
      <c r="A1085" s="25"/>
      <c r="B1085" s="20">
        <v>39017011127</v>
      </c>
      <c r="C1085" s="20">
        <v>111.27</v>
      </c>
      <c r="D1085" s="20" t="s">
        <v>15</v>
      </c>
      <c r="E1085" s="20" t="s">
        <v>2828</v>
      </c>
      <c r="F1085" s="20" t="s">
        <v>8</v>
      </c>
      <c r="G1085" s="861">
        <v>55.271008575593299</v>
      </c>
      <c r="H1085" s="861">
        <v>62.559119921138603</v>
      </c>
      <c r="I1085" s="861">
        <v>15.741987682461</v>
      </c>
      <c r="J1085" s="861">
        <v>49.5940504248371</v>
      </c>
      <c r="K1085" s="982">
        <v>0</v>
      </c>
      <c r="L1085" s="735">
        <v>4551</v>
      </c>
      <c r="M1085" s="735">
        <v>4858</v>
      </c>
      <c r="N1085" s="845">
        <f t="shared" si="93"/>
        <v>6.7457701604043074E-2</v>
      </c>
      <c r="O1085" s="735">
        <v>1.3274416151663337</v>
      </c>
      <c r="P1085" s="735">
        <f t="shared" si="94"/>
        <v>3659.6713139743424</v>
      </c>
      <c r="Q1085" s="849">
        <v>36.200000000000003</v>
      </c>
      <c r="R1085" s="71">
        <v>116549</v>
      </c>
      <c r="S1085" s="845">
        <v>1.9310631229235882E-2</v>
      </c>
      <c r="T1085" s="845">
        <v>5.7999999999999996E-2</v>
      </c>
      <c r="U1085" s="845">
        <v>0</v>
      </c>
      <c r="V1085" s="845">
        <v>0</v>
      </c>
      <c r="W1085" s="845">
        <v>4.9739733950260268E-2</v>
      </c>
      <c r="X1085" s="845">
        <v>0.29069767441860467</v>
      </c>
      <c r="Y1085" s="845">
        <v>0.75092630712227249</v>
      </c>
      <c r="Z1085" s="845">
        <v>0.10580485796624126</v>
      </c>
      <c r="AA1085" s="845">
        <v>0</v>
      </c>
      <c r="AB1085" s="845">
        <v>8.6249485384932073E-2</v>
      </c>
      <c r="AC1085" s="845">
        <v>0</v>
      </c>
      <c r="AD1085" s="845">
        <v>1.6467682173734047E-3</v>
      </c>
      <c r="AE1085" s="845">
        <v>5.5372581309180734E-2</v>
      </c>
      <c r="AF1085" s="845">
        <v>4.1169205434335117E-2</v>
      </c>
      <c r="AG1085" s="845">
        <v>0.75092630712227249</v>
      </c>
      <c r="AH1085" s="20" t="str">
        <f t="shared" si="95"/>
        <v>No</v>
      </c>
      <c r="AI1085" s="25"/>
      <c r="AJ1085" s="20">
        <v>45850</v>
      </c>
      <c r="AK1085" s="20" t="s">
        <v>1915</v>
      </c>
      <c r="AL1085" s="20">
        <v>39065</v>
      </c>
      <c r="AM1085" s="20" t="s">
        <v>39</v>
      </c>
      <c r="AN1085" s="37" t="str">
        <f t="shared" si="96"/>
        <v>N/A</v>
      </c>
      <c r="AO1085" s="37" t="str">
        <f t="shared" si="97"/>
        <v>N/A</v>
      </c>
      <c r="AP1085" s="20" t="s">
        <v>8</v>
      </c>
      <c r="AQ1085" s="25"/>
      <c r="AR1085" s="25"/>
      <c r="AS1085" s="25"/>
      <c r="AT1085" s="25"/>
      <c r="AU1085" s="36"/>
      <c r="AV1085" s="36"/>
      <c r="AW1085" s="36"/>
      <c r="AX1085" s="25"/>
      <c r="AY1085" s="25"/>
      <c r="AZ1085" s="25"/>
      <c r="BA1085" s="25"/>
      <c r="BB1085" s="25"/>
      <c r="BC1085" s="25"/>
      <c r="BD1085" s="25"/>
      <c r="BE1085" s="25"/>
      <c r="BF1085" s="25"/>
      <c r="BG1085" s="25"/>
      <c r="BH1085" s="25"/>
      <c r="BI1085" s="25"/>
      <c r="BJ1085" s="25"/>
      <c r="BK1085" s="25"/>
      <c r="BL1085" s="25"/>
      <c r="BM1085" s="25"/>
      <c r="BN1085" s="25"/>
      <c r="BO1085" s="25"/>
      <c r="BP1085" s="25"/>
      <c r="BQ1085" s="25"/>
      <c r="BR1085" s="25"/>
      <c r="BS1085" s="25"/>
      <c r="BT1085" s="25"/>
      <c r="BU1085" s="39">
        <v>43616</v>
      </c>
      <c r="BV1085" s="39" t="s">
        <v>1014</v>
      </c>
      <c r="BW1085" s="39" t="s">
        <v>2904</v>
      </c>
      <c r="BX1085" s="39" t="s">
        <v>271</v>
      </c>
      <c r="BY1085" s="71">
        <v>730</v>
      </c>
      <c r="BZ1085" s="71">
        <v>780</v>
      </c>
      <c r="CA1085" s="71">
        <v>1020</v>
      </c>
      <c r="CB1085" s="71">
        <v>1310</v>
      </c>
      <c r="CC1085" s="71">
        <v>1380</v>
      </c>
      <c r="CD1085" s="25"/>
      <c r="CE1085" s="200"/>
      <c r="CF1085" s="200"/>
      <c r="CG1085" s="200"/>
      <c r="CH1085" s="200"/>
      <c r="CI1085" s="200"/>
      <c r="CJ1085" s="200"/>
      <c r="CK1085" s="200"/>
      <c r="CL1085" s="200"/>
      <c r="CM1085" s="200"/>
      <c r="CN1085" s="200"/>
      <c r="CO1085" s="200"/>
      <c r="CP1085" s="200"/>
      <c r="CQ1085" s="200"/>
      <c r="CR1085" s="200"/>
      <c r="CS1085" s="200"/>
      <c r="CT1085" s="200"/>
      <c r="CU1085" s="200"/>
    </row>
    <row r="1086" spans="1:99" s="17" customFormat="1" x14ac:dyDescent="0.2">
      <c r="A1086" s="25"/>
      <c r="B1086" s="20">
        <v>39095008905</v>
      </c>
      <c r="C1086" s="20">
        <v>89.05</v>
      </c>
      <c r="D1086" s="20" t="s">
        <v>53</v>
      </c>
      <c r="E1086" s="20" t="s">
        <v>2839</v>
      </c>
      <c r="F1086" s="20" t="s">
        <v>8</v>
      </c>
      <c r="G1086" s="861">
        <v>55.265745343914404</v>
      </c>
      <c r="H1086" s="861">
        <v>50.907022069826297</v>
      </c>
      <c r="I1086" s="861">
        <v>14.866109441911799</v>
      </c>
      <c r="J1086" s="861">
        <v>60.253212450761602</v>
      </c>
      <c r="K1086" s="982">
        <v>1</v>
      </c>
      <c r="L1086" s="735" t="s">
        <v>2466</v>
      </c>
      <c r="M1086" s="735">
        <v>4015</v>
      </c>
      <c r="N1086" s="845" t="str">
        <f t="shared" si="93"/>
        <v/>
      </c>
      <c r="O1086" s="735">
        <v>3.5454267008198737</v>
      </c>
      <c r="P1086" s="735">
        <f t="shared" si="94"/>
        <v>1132.4447912211915</v>
      </c>
      <c r="Q1086" s="849">
        <v>39.700000000000003</v>
      </c>
      <c r="R1086" s="71">
        <v>112188</v>
      </c>
      <c r="S1086" s="845">
        <v>3.4869240348692404E-2</v>
      </c>
      <c r="T1086" s="845">
        <v>3.3000000000000002E-2</v>
      </c>
      <c r="U1086" s="845">
        <v>0</v>
      </c>
      <c r="V1086" s="845">
        <v>0.16300000000000001</v>
      </c>
      <c r="W1086" s="845">
        <v>0.24778200253485425</v>
      </c>
      <c r="X1086" s="845">
        <v>0.13299232736572891</v>
      </c>
      <c r="Y1086" s="845">
        <v>0.85354919053549194</v>
      </c>
      <c r="Z1086" s="845">
        <v>0</v>
      </c>
      <c r="AA1086" s="845">
        <v>0</v>
      </c>
      <c r="AB1086" s="845">
        <v>2.0174346201743461E-2</v>
      </c>
      <c r="AC1086" s="845">
        <v>0</v>
      </c>
      <c r="AD1086" s="845">
        <v>4.4831880448318803E-3</v>
      </c>
      <c r="AE1086" s="845">
        <v>0.12179327521793275</v>
      </c>
      <c r="AF1086" s="845">
        <v>6.3013698630136991E-2</v>
      </c>
      <c r="AG1086" s="845">
        <v>0.83711083437110834</v>
      </c>
      <c r="AH1086" s="20" t="str">
        <f t="shared" si="95"/>
        <v>No</v>
      </c>
      <c r="AI1086" s="25"/>
      <c r="AJ1086" s="37">
        <v>45859</v>
      </c>
      <c r="AK1086" s="37" t="s">
        <v>1922</v>
      </c>
      <c r="AL1086" s="37">
        <v>39065</v>
      </c>
      <c r="AM1086" s="37" t="s">
        <v>39</v>
      </c>
      <c r="AN1086" s="37" t="str">
        <f t="shared" si="96"/>
        <v>N/A</v>
      </c>
      <c r="AO1086" s="37" t="str">
        <f t="shared" si="97"/>
        <v>N/A</v>
      </c>
      <c r="AP1086" s="20" t="s">
        <v>8</v>
      </c>
      <c r="AQ1086" s="25"/>
      <c r="AR1086" s="25"/>
      <c r="AS1086" s="25"/>
      <c r="AT1086" s="25"/>
      <c r="AU1086" s="36"/>
      <c r="AV1086" s="36"/>
      <c r="AW1086" s="36"/>
      <c r="AX1086" s="25"/>
      <c r="AY1086" s="25"/>
      <c r="AZ1086" s="25"/>
      <c r="BA1086" s="25"/>
      <c r="BB1086" s="25"/>
      <c r="BC1086" s="25"/>
      <c r="BD1086" s="25"/>
      <c r="BE1086" s="25"/>
      <c r="BF1086" s="25"/>
      <c r="BG1086" s="25"/>
      <c r="BH1086" s="25"/>
      <c r="BI1086" s="25"/>
      <c r="BJ1086" s="25"/>
      <c r="BK1086" s="25"/>
      <c r="BL1086" s="25"/>
      <c r="BM1086" s="25"/>
      <c r="BN1086" s="25"/>
      <c r="BO1086" s="25"/>
      <c r="BP1086" s="25"/>
      <c r="BQ1086" s="25"/>
      <c r="BR1086" s="25"/>
      <c r="BS1086" s="25"/>
      <c r="BT1086" s="25"/>
      <c r="BU1086" s="39">
        <v>43617</v>
      </c>
      <c r="BV1086" s="39" t="s">
        <v>1015</v>
      </c>
      <c r="BW1086" s="39" t="s">
        <v>2904</v>
      </c>
      <c r="BX1086" s="39" t="s">
        <v>271</v>
      </c>
      <c r="BY1086" s="71">
        <v>870</v>
      </c>
      <c r="BZ1086" s="71">
        <v>930</v>
      </c>
      <c r="CA1086" s="71">
        <v>1220</v>
      </c>
      <c r="CB1086" s="71">
        <v>1570</v>
      </c>
      <c r="CC1086" s="71">
        <v>1650</v>
      </c>
      <c r="CD1086" s="25"/>
      <c r="CE1086" s="200"/>
      <c r="CF1086" s="200"/>
      <c r="CG1086" s="200"/>
      <c r="CH1086" s="200"/>
      <c r="CI1086" s="200"/>
      <c r="CJ1086" s="200"/>
      <c r="CK1086" s="200"/>
      <c r="CL1086" s="200"/>
      <c r="CM1086" s="200"/>
      <c r="CN1086" s="200"/>
      <c r="CO1086" s="200"/>
      <c r="CP1086" s="200"/>
      <c r="CQ1086" s="200"/>
      <c r="CR1086" s="200"/>
      <c r="CS1086" s="200"/>
      <c r="CT1086" s="200"/>
      <c r="CU1086" s="200"/>
    </row>
    <row r="1087" spans="1:99" s="17" customFormat="1" x14ac:dyDescent="0.2">
      <c r="A1087" s="25"/>
      <c r="B1087" s="20">
        <v>39081001400</v>
      </c>
      <c r="C1087" s="20">
        <v>14</v>
      </c>
      <c r="D1087" s="20" t="s">
        <v>47</v>
      </c>
      <c r="E1087" s="20" t="s">
        <v>2840</v>
      </c>
      <c r="F1087" s="20" t="s">
        <v>8</v>
      </c>
      <c r="G1087" s="861">
        <v>55.2636253419562</v>
      </c>
      <c r="H1087" s="861">
        <v>62.006337797915897</v>
      </c>
      <c r="I1087" s="861">
        <v>28.795887269610201</v>
      </c>
      <c r="J1087" s="861">
        <v>34.840299315946098</v>
      </c>
      <c r="K1087" s="982">
        <v>0</v>
      </c>
      <c r="L1087" s="735">
        <v>3752</v>
      </c>
      <c r="M1087" s="735">
        <v>3994</v>
      </c>
      <c r="N1087" s="845">
        <f t="shared" si="93"/>
        <v>6.4498933901918978E-2</v>
      </c>
      <c r="O1087" s="735">
        <v>1.8821735054219999</v>
      </c>
      <c r="P1087" s="735">
        <f t="shared" si="94"/>
        <v>2122.0147815780192</v>
      </c>
      <c r="Q1087" s="849">
        <v>40.799999999999997</v>
      </c>
      <c r="R1087" s="71">
        <v>62440</v>
      </c>
      <c r="S1087" s="845">
        <v>0.12418464626191671</v>
      </c>
      <c r="T1087" s="845">
        <v>5.7000000000000002E-2</v>
      </c>
      <c r="U1087" s="845">
        <v>0</v>
      </c>
      <c r="V1087" s="845">
        <v>0</v>
      </c>
      <c r="W1087" s="845">
        <v>0.30017657445556212</v>
      </c>
      <c r="X1087" s="845">
        <v>0.23921568627450981</v>
      </c>
      <c r="Y1087" s="845">
        <v>0.83550325488232347</v>
      </c>
      <c r="Z1087" s="845">
        <v>6.8853279919879815E-2</v>
      </c>
      <c r="AA1087" s="845">
        <v>0</v>
      </c>
      <c r="AB1087" s="845">
        <v>1.3019529293940912E-2</v>
      </c>
      <c r="AC1087" s="845">
        <v>0</v>
      </c>
      <c r="AD1087" s="845">
        <v>3.0045067601402103E-2</v>
      </c>
      <c r="AE1087" s="845">
        <v>5.2578868302453681E-2</v>
      </c>
      <c r="AF1087" s="845">
        <v>2.0280420630946421E-2</v>
      </c>
      <c r="AG1087" s="845">
        <v>0.83550325488232347</v>
      </c>
      <c r="AH1087" s="20" t="str">
        <f t="shared" si="95"/>
        <v>No</v>
      </c>
      <c r="AI1087" s="25"/>
      <c r="AJ1087" s="20">
        <v>45896</v>
      </c>
      <c r="AK1087" s="20" t="s">
        <v>1957</v>
      </c>
      <c r="AL1087" s="20">
        <v>39065</v>
      </c>
      <c r="AM1087" s="20" t="s">
        <v>39</v>
      </c>
      <c r="AN1087" s="37" t="str">
        <f t="shared" si="96"/>
        <v>N/A</v>
      </c>
      <c r="AO1087" s="37" t="str">
        <f t="shared" si="97"/>
        <v>N/A</v>
      </c>
      <c r="AP1087" s="20" t="s">
        <v>8</v>
      </c>
      <c r="AQ1087" s="25"/>
      <c r="AR1087" s="25"/>
      <c r="AS1087" s="25"/>
      <c r="AT1087" s="25"/>
      <c r="AU1087" s="36"/>
      <c r="AV1087" s="36"/>
      <c r="AW1087" s="36"/>
      <c r="AX1087" s="25"/>
      <c r="AY1087" s="25"/>
      <c r="AZ1087" s="25"/>
      <c r="BA1087" s="25"/>
      <c r="BB1087" s="25"/>
      <c r="BC1087" s="25"/>
      <c r="BD1087" s="25"/>
      <c r="BE1087" s="25"/>
      <c r="BF1087" s="25"/>
      <c r="BG1087" s="25"/>
      <c r="BH1087" s="25"/>
      <c r="BI1087" s="25"/>
      <c r="BJ1087" s="25"/>
      <c r="BK1087" s="25"/>
      <c r="BL1087" s="25"/>
      <c r="BM1087" s="25"/>
      <c r="BN1087" s="25"/>
      <c r="BO1087" s="25"/>
      <c r="BP1087" s="25"/>
      <c r="BQ1087" s="25"/>
      <c r="BR1087" s="25"/>
      <c r="BS1087" s="25"/>
      <c r="BT1087" s="25"/>
      <c r="BU1087" s="39">
        <v>43619</v>
      </c>
      <c r="BV1087" s="39" t="s">
        <v>1016</v>
      </c>
      <c r="BW1087" s="39" t="s">
        <v>2904</v>
      </c>
      <c r="BX1087" s="39" t="s">
        <v>271</v>
      </c>
      <c r="BY1087" s="71">
        <v>720</v>
      </c>
      <c r="BZ1087" s="71">
        <v>770</v>
      </c>
      <c r="CA1087" s="71">
        <v>1010</v>
      </c>
      <c r="CB1087" s="71">
        <v>1300</v>
      </c>
      <c r="CC1087" s="71">
        <v>1360</v>
      </c>
      <c r="CD1087" s="25"/>
      <c r="CE1087" s="200"/>
      <c r="CF1087" s="200"/>
      <c r="CG1087" s="200"/>
      <c r="CH1087" s="200"/>
      <c r="CI1087" s="200"/>
      <c r="CJ1087" s="200"/>
      <c r="CK1087" s="200"/>
      <c r="CL1087" s="200"/>
      <c r="CM1087" s="200"/>
      <c r="CN1087" s="200"/>
      <c r="CO1087" s="200"/>
      <c r="CP1087" s="200"/>
      <c r="CQ1087" s="200"/>
      <c r="CR1087" s="200"/>
      <c r="CS1087" s="200"/>
      <c r="CT1087" s="200"/>
      <c r="CU1087" s="200"/>
    </row>
    <row r="1088" spans="1:99" s="17" customFormat="1" x14ac:dyDescent="0.2">
      <c r="A1088" s="25"/>
      <c r="B1088" s="20">
        <v>39035186206</v>
      </c>
      <c r="C1088" s="20">
        <v>1862.06</v>
      </c>
      <c r="D1088" s="20" t="s">
        <v>24</v>
      </c>
      <c r="E1088" s="20" t="s">
        <v>2829</v>
      </c>
      <c r="F1088" s="20" t="s">
        <v>8</v>
      </c>
      <c r="G1088" s="861">
        <v>55.257273346871401</v>
      </c>
      <c r="H1088" s="861">
        <v>53.551576329890104</v>
      </c>
      <c r="I1088" s="861">
        <v>30.037969285393999</v>
      </c>
      <c r="J1088" s="861">
        <v>34.597273235251997</v>
      </c>
      <c r="K1088" s="982">
        <v>0</v>
      </c>
      <c r="L1088" s="735">
        <v>4167</v>
      </c>
      <c r="M1088" s="735">
        <v>4296</v>
      </c>
      <c r="N1088" s="845">
        <f t="shared" si="93"/>
        <v>3.0957523398128149E-2</v>
      </c>
      <c r="O1088" s="735">
        <v>3.8725868899838312</v>
      </c>
      <c r="P1088" s="735">
        <f t="shared" si="94"/>
        <v>1109.335987040419</v>
      </c>
      <c r="Q1088" s="849">
        <v>43.3</v>
      </c>
      <c r="R1088" s="71">
        <v>144013</v>
      </c>
      <c r="S1088" s="845">
        <v>2.4071044636597337E-2</v>
      </c>
      <c r="T1088" s="845">
        <v>0.02</v>
      </c>
      <c r="U1088" s="845">
        <v>2.3E-2</v>
      </c>
      <c r="V1088" s="845">
        <v>0</v>
      </c>
      <c r="W1088" s="845">
        <v>8.2274247491638794E-2</v>
      </c>
      <c r="X1088" s="845">
        <v>0.47154471544715448</v>
      </c>
      <c r="Y1088" s="845">
        <v>0.88198324022346364</v>
      </c>
      <c r="Z1088" s="845">
        <v>8.3798882681564244E-3</v>
      </c>
      <c r="AA1088" s="845">
        <v>0</v>
      </c>
      <c r="AB1088" s="845">
        <v>8.7290502793296088E-2</v>
      </c>
      <c r="AC1088" s="845">
        <v>0</v>
      </c>
      <c r="AD1088" s="845">
        <v>8.6126629422718804E-3</v>
      </c>
      <c r="AE1088" s="845">
        <v>1.3733705772811917E-2</v>
      </c>
      <c r="AF1088" s="845">
        <v>1.3733705772811917E-2</v>
      </c>
      <c r="AG1088" s="845">
        <v>0.86987895716945995</v>
      </c>
      <c r="AH1088" s="20" t="str">
        <f t="shared" si="95"/>
        <v>No</v>
      </c>
      <c r="AI1088" s="25"/>
      <c r="AJ1088" s="20">
        <v>43901</v>
      </c>
      <c r="AK1088" s="20" t="s">
        <v>1092</v>
      </c>
      <c r="AL1088" s="20">
        <v>39067</v>
      </c>
      <c r="AM1088" s="20" t="s">
        <v>40</v>
      </c>
      <c r="AN1088" s="37" t="str">
        <f t="shared" si="96"/>
        <v>N/A</v>
      </c>
      <c r="AO1088" s="37" t="str">
        <f t="shared" si="97"/>
        <v>N/A</v>
      </c>
      <c r="AP1088" s="20" t="s">
        <v>8</v>
      </c>
      <c r="AQ1088" s="25"/>
      <c r="AR1088" s="25"/>
      <c r="AS1088" s="25"/>
      <c r="AT1088" s="25"/>
      <c r="AU1088" s="36"/>
      <c r="AV1088" s="36"/>
      <c r="AW1088" s="36"/>
      <c r="AX1088" s="25"/>
      <c r="AY1088" s="25"/>
      <c r="AZ1088" s="25"/>
      <c r="BA1088" s="25"/>
      <c r="BB1088" s="25"/>
      <c r="BC1088" s="25"/>
      <c r="BD1088" s="25"/>
      <c r="BE1088" s="25"/>
      <c r="BF1088" s="25"/>
      <c r="BG1088" s="25"/>
      <c r="BH1088" s="25"/>
      <c r="BI1088" s="25"/>
      <c r="BJ1088" s="25"/>
      <c r="BK1088" s="25"/>
      <c r="BL1088" s="25"/>
      <c r="BM1088" s="25"/>
      <c r="BN1088" s="25"/>
      <c r="BO1088" s="25"/>
      <c r="BP1088" s="25"/>
      <c r="BQ1088" s="25"/>
      <c r="BR1088" s="25"/>
      <c r="BS1088" s="25"/>
      <c r="BT1088" s="25"/>
      <c r="BU1088" s="39">
        <v>43620</v>
      </c>
      <c r="BV1088" s="39" t="s">
        <v>1017</v>
      </c>
      <c r="BW1088" s="39" t="s">
        <v>2904</v>
      </c>
      <c r="BX1088" s="39" t="s">
        <v>271</v>
      </c>
      <c r="BY1088" s="71">
        <v>700</v>
      </c>
      <c r="BZ1088" s="71">
        <v>740</v>
      </c>
      <c r="CA1088" s="71">
        <v>970</v>
      </c>
      <c r="CB1088" s="71">
        <v>1250</v>
      </c>
      <c r="CC1088" s="71">
        <v>1310</v>
      </c>
      <c r="CD1088" s="25"/>
      <c r="CE1088" s="200"/>
      <c r="CF1088" s="200"/>
      <c r="CG1088" s="200"/>
      <c r="CH1088" s="200"/>
      <c r="CI1088" s="200"/>
      <c r="CJ1088" s="200"/>
      <c r="CK1088" s="200"/>
      <c r="CL1088" s="200"/>
      <c r="CM1088" s="200"/>
      <c r="CN1088" s="200"/>
      <c r="CO1088" s="200"/>
      <c r="CP1088" s="200"/>
      <c r="CQ1088" s="200"/>
      <c r="CR1088" s="200"/>
      <c r="CS1088" s="200"/>
      <c r="CT1088" s="200"/>
      <c r="CU1088" s="200"/>
    </row>
    <row r="1089" spans="1:99" s="17" customFormat="1" x14ac:dyDescent="0.2">
      <c r="A1089" s="25"/>
      <c r="B1089" s="20">
        <v>39049009394</v>
      </c>
      <c r="C1089" s="20">
        <v>93.94</v>
      </c>
      <c r="D1089" s="20" t="s">
        <v>31</v>
      </c>
      <c r="E1089" s="20" t="s">
        <v>2830</v>
      </c>
      <c r="F1089" s="20" t="s">
        <v>8</v>
      </c>
      <c r="G1089" s="861">
        <v>55.255939652617002</v>
      </c>
      <c r="H1089" s="861">
        <v>69.559888413287993</v>
      </c>
      <c r="I1089" s="861">
        <v>32.310997340388298</v>
      </c>
      <c r="J1089" s="861">
        <v>40.252449314015998</v>
      </c>
      <c r="K1089" s="982">
        <v>0</v>
      </c>
      <c r="L1089" s="735" t="s">
        <v>2466</v>
      </c>
      <c r="M1089" s="735">
        <v>1969</v>
      </c>
      <c r="N1089" s="845" t="str">
        <f t="shared" si="93"/>
        <v/>
      </c>
      <c r="O1089" s="735">
        <v>0.62745191521361854</v>
      </c>
      <c r="P1089" s="735">
        <f t="shared" si="94"/>
        <v>3138.0890746498812</v>
      </c>
      <c r="Q1089" s="849">
        <v>48.6</v>
      </c>
      <c r="R1089" s="71">
        <v>67540</v>
      </c>
      <c r="S1089" s="845">
        <v>3.4535297105129509E-2</v>
      </c>
      <c r="T1089" s="845">
        <v>2.1000000000000001E-2</v>
      </c>
      <c r="U1089" s="845">
        <v>0</v>
      </c>
      <c r="V1089" s="845">
        <v>0</v>
      </c>
      <c r="W1089" s="845">
        <v>0.15986769570011025</v>
      </c>
      <c r="X1089" s="845">
        <v>0.59310344827586203</v>
      </c>
      <c r="Y1089" s="845">
        <v>0.56881665820213301</v>
      </c>
      <c r="Z1089" s="845">
        <v>0.24225495175215844</v>
      </c>
      <c r="AA1089" s="845">
        <v>0</v>
      </c>
      <c r="AB1089" s="845">
        <v>1.9299136617572373E-2</v>
      </c>
      <c r="AC1089" s="845">
        <v>0</v>
      </c>
      <c r="AD1089" s="845">
        <v>3.0472320975114273E-3</v>
      </c>
      <c r="AE1089" s="845">
        <v>0.16658202133062469</v>
      </c>
      <c r="AF1089" s="845">
        <v>2.23463687150838E-2</v>
      </c>
      <c r="AG1089" s="845">
        <v>0.54951752158456069</v>
      </c>
      <c r="AH1089" s="20" t="str">
        <f t="shared" si="95"/>
        <v>No</v>
      </c>
      <c r="AI1089" s="25"/>
      <c r="AJ1089" s="20">
        <v>43907</v>
      </c>
      <c r="AK1089" s="20" t="s">
        <v>1097</v>
      </c>
      <c r="AL1089" s="20">
        <v>39067</v>
      </c>
      <c r="AM1089" s="20" t="s">
        <v>40</v>
      </c>
      <c r="AN1089" s="37" t="str">
        <f t="shared" si="96"/>
        <v>N/A</v>
      </c>
      <c r="AO1089" s="37" t="str">
        <f t="shared" si="97"/>
        <v>N/A</v>
      </c>
      <c r="AP1089" s="20" t="s">
        <v>8</v>
      </c>
      <c r="AQ1089" s="25"/>
      <c r="AR1089" s="25"/>
      <c r="AS1089" s="25"/>
      <c r="AT1089" s="25"/>
      <c r="AU1089" s="36"/>
      <c r="AV1089" s="36"/>
      <c r="AW1089" s="36"/>
      <c r="AX1089" s="25"/>
      <c r="AY1089" s="25"/>
      <c r="AZ1089" s="25"/>
      <c r="BA1089" s="25"/>
      <c r="BB1089" s="25"/>
      <c r="BC1089" s="25"/>
      <c r="BD1089" s="25"/>
      <c r="BE1089" s="25"/>
      <c r="BF1089" s="25"/>
      <c r="BG1089" s="25"/>
      <c r="BH1089" s="25"/>
      <c r="BI1089" s="25"/>
      <c r="BJ1089" s="25"/>
      <c r="BK1089" s="25"/>
      <c r="BL1089" s="25"/>
      <c r="BM1089" s="25"/>
      <c r="BN1089" s="25"/>
      <c r="BO1089" s="25"/>
      <c r="BP1089" s="25"/>
      <c r="BQ1089" s="25"/>
      <c r="BR1089" s="25"/>
      <c r="BS1089" s="25"/>
      <c r="BT1089" s="25"/>
      <c r="BU1089" s="39">
        <v>43623</v>
      </c>
      <c r="BV1089" s="39" t="s">
        <v>1018</v>
      </c>
      <c r="BW1089" s="39" t="s">
        <v>2904</v>
      </c>
      <c r="BX1089" s="39" t="s">
        <v>271</v>
      </c>
      <c r="BY1089" s="71">
        <v>760</v>
      </c>
      <c r="BZ1089" s="71">
        <v>810</v>
      </c>
      <c r="CA1089" s="71">
        <v>1060</v>
      </c>
      <c r="CB1089" s="71">
        <v>1360</v>
      </c>
      <c r="CC1089" s="71">
        <v>1430</v>
      </c>
      <c r="CD1089" s="25"/>
      <c r="CE1089" s="200"/>
      <c r="CF1089" s="200"/>
      <c r="CG1089" s="200"/>
      <c r="CH1089" s="200"/>
      <c r="CI1089" s="200"/>
      <c r="CJ1089" s="200"/>
      <c r="CK1089" s="200"/>
      <c r="CL1089" s="200"/>
      <c r="CM1089" s="200"/>
      <c r="CN1089" s="200"/>
      <c r="CO1089" s="200"/>
      <c r="CP1089" s="200"/>
      <c r="CQ1089" s="200"/>
      <c r="CR1089" s="200"/>
      <c r="CS1089" s="200"/>
      <c r="CT1089" s="200"/>
      <c r="CU1089" s="200"/>
    </row>
    <row r="1090" spans="1:99" s="17" customFormat="1" x14ac:dyDescent="0.2">
      <c r="A1090" s="25"/>
      <c r="B1090" s="20">
        <v>39165030200</v>
      </c>
      <c r="C1090" s="20">
        <v>302</v>
      </c>
      <c r="D1090" s="20" t="s">
        <v>88</v>
      </c>
      <c r="E1090" s="20" t="s">
        <v>2828</v>
      </c>
      <c r="F1090" s="20" t="s">
        <v>6</v>
      </c>
      <c r="G1090" s="861">
        <v>55.239878919264299</v>
      </c>
      <c r="H1090" s="861">
        <v>43.272144813464003</v>
      </c>
      <c r="I1090" s="861">
        <v>45.697154760618801</v>
      </c>
      <c r="J1090" s="861">
        <v>51.901431079656398</v>
      </c>
      <c r="K1090" s="982">
        <v>0</v>
      </c>
      <c r="L1090" s="735">
        <v>1201</v>
      </c>
      <c r="M1090" s="735">
        <v>1266</v>
      </c>
      <c r="N1090" s="845">
        <f t="shared" si="93"/>
        <v>5.4121565362198171E-2</v>
      </c>
      <c r="O1090" s="735">
        <v>1.4662264221745791</v>
      </c>
      <c r="P1090" s="735">
        <f t="shared" si="94"/>
        <v>863.44099441502306</v>
      </c>
      <c r="Q1090" s="849">
        <v>37.5</v>
      </c>
      <c r="R1090" s="71">
        <v>47614</v>
      </c>
      <c r="S1090" s="845">
        <v>0.19587628865979381</v>
      </c>
      <c r="T1090" s="845">
        <v>0.13600000000000001</v>
      </c>
      <c r="U1090" s="845">
        <v>0</v>
      </c>
      <c r="V1090" s="845">
        <v>0</v>
      </c>
      <c r="W1090" s="845">
        <v>0.5</v>
      </c>
      <c r="X1090" s="845">
        <v>0.29220779220779219</v>
      </c>
      <c r="Y1090" s="845">
        <v>0.97946287519747233</v>
      </c>
      <c r="Z1090" s="845">
        <v>3.9494470774091624E-3</v>
      </c>
      <c r="AA1090" s="845">
        <v>0</v>
      </c>
      <c r="AB1090" s="845">
        <v>0</v>
      </c>
      <c r="AC1090" s="845">
        <v>0</v>
      </c>
      <c r="AD1090" s="845">
        <v>0</v>
      </c>
      <c r="AE1090" s="845">
        <v>1.6587677725118485E-2</v>
      </c>
      <c r="AF1090" s="845">
        <v>1.1058451816745656E-2</v>
      </c>
      <c r="AG1090" s="845">
        <v>0.96840442338072674</v>
      </c>
      <c r="AH1090" s="20" t="str">
        <f t="shared" si="95"/>
        <v>Yes</v>
      </c>
      <c r="AI1090" s="25"/>
      <c r="AJ1090" s="37">
        <v>43910</v>
      </c>
      <c r="AK1090" s="37" t="s">
        <v>1100</v>
      </c>
      <c r="AL1090" s="37">
        <v>39067</v>
      </c>
      <c r="AM1090" s="37" t="s">
        <v>40</v>
      </c>
      <c r="AN1090" s="37" t="str">
        <f t="shared" si="96"/>
        <v>N/A</v>
      </c>
      <c r="AO1090" s="37" t="str">
        <f t="shared" si="97"/>
        <v>N/A</v>
      </c>
      <c r="AP1090" s="20" t="s">
        <v>8</v>
      </c>
      <c r="AQ1090" s="25"/>
      <c r="AR1090" s="25"/>
      <c r="AS1090" s="25"/>
      <c r="AT1090" s="25"/>
      <c r="AU1090" s="36"/>
      <c r="AV1090" s="36"/>
      <c r="AW1090" s="36"/>
      <c r="AX1090" s="25"/>
      <c r="AY1090" s="25"/>
      <c r="AZ1090" s="25"/>
      <c r="BA1090" s="25"/>
      <c r="BB1090" s="25"/>
      <c r="BC1090" s="25"/>
      <c r="BD1090" s="25"/>
      <c r="BE1090" s="25"/>
      <c r="BF1090" s="25"/>
      <c r="BG1090" s="25"/>
      <c r="BH1090" s="25"/>
      <c r="BI1090" s="25"/>
      <c r="BJ1090" s="25"/>
      <c r="BK1090" s="25"/>
      <c r="BL1090" s="25"/>
      <c r="BM1090" s="25"/>
      <c r="BN1090" s="25"/>
      <c r="BO1090" s="25"/>
      <c r="BP1090" s="25"/>
      <c r="BQ1090" s="25"/>
      <c r="BR1090" s="25"/>
      <c r="BS1090" s="25"/>
      <c r="BT1090" s="25"/>
      <c r="BU1090" s="39">
        <v>44817</v>
      </c>
      <c r="BV1090" s="39" t="s">
        <v>1474</v>
      </c>
      <c r="BW1090" s="39" t="s">
        <v>2904</v>
      </c>
      <c r="BX1090" s="39" t="s">
        <v>271</v>
      </c>
      <c r="BY1090" s="71">
        <v>770</v>
      </c>
      <c r="BZ1090" s="71">
        <v>820</v>
      </c>
      <c r="CA1090" s="71">
        <v>1080</v>
      </c>
      <c r="CB1090" s="71">
        <v>1390</v>
      </c>
      <c r="CC1090" s="71">
        <v>1480</v>
      </c>
      <c r="CD1090" s="25"/>
      <c r="CE1090" s="200"/>
      <c r="CF1090" s="200"/>
      <c r="CG1090" s="200"/>
      <c r="CH1090" s="200"/>
      <c r="CI1090" s="200"/>
      <c r="CJ1090" s="200"/>
      <c r="CK1090" s="200"/>
      <c r="CL1090" s="200"/>
      <c r="CM1090" s="200"/>
      <c r="CN1090" s="200"/>
      <c r="CO1090" s="200"/>
      <c r="CP1090" s="200"/>
      <c r="CQ1090" s="200"/>
      <c r="CR1090" s="200"/>
      <c r="CS1090" s="200"/>
      <c r="CT1090" s="200"/>
      <c r="CU1090" s="200"/>
    </row>
    <row r="1091" spans="1:99" s="17" customFormat="1" x14ac:dyDescent="0.2">
      <c r="A1091" s="25"/>
      <c r="B1091" s="20">
        <v>39153532004</v>
      </c>
      <c r="C1091" s="20">
        <v>5320.04</v>
      </c>
      <c r="D1091" s="20" t="s">
        <v>82</v>
      </c>
      <c r="E1091" s="20" t="s">
        <v>2843</v>
      </c>
      <c r="F1091" s="20" t="s">
        <v>8</v>
      </c>
      <c r="G1091" s="861">
        <v>55.2393544769157</v>
      </c>
      <c r="H1091" s="861">
        <v>60.193424491176003</v>
      </c>
      <c r="I1091" s="861">
        <v>23.706030360711701</v>
      </c>
      <c r="J1091" s="861">
        <v>43.456706591388397</v>
      </c>
      <c r="K1091" s="982">
        <v>0</v>
      </c>
      <c r="L1091" s="735">
        <v>3994</v>
      </c>
      <c r="M1091" s="735">
        <v>3897</v>
      </c>
      <c r="N1091" s="845">
        <f t="shared" si="93"/>
        <v>-2.42864296444667E-2</v>
      </c>
      <c r="O1091" s="735">
        <v>5.8914984748713772</v>
      </c>
      <c r="P1091" s="735">
        <f t="shared" si="94"/>
        <v>661.46159871238513</v>
      </c>
      <c r="Q1091" s="849">
        <v>47.9</v>
      </c>
      <c r="R1091" s="71">
        <v>91050</v>
      </c>
      <c r="S1091" s="845">
        <v>7.5573897343306676E-2</v>
      </c>
      <c r="T1091" s="845">
        <v>0.03</v>
      </c>
      <c r="U1091" s="845">
        <v>8.0000000000000002E-3</v>
      </c>
      <c r="V1091" s="845">
        <v>0</v>
      </c>
      <c r="W1091" s="845">
        <v>0.12935954343690551</v>
      </c>
      <c r="X1091" s="845">
        <v>0.29901960784313725</v>
      </c>
      <c r="Y1091" s="845">
        <v>0.90351552476263797</v>
      </c>
      <c r="Z1091" s="845">
        <v>3.2845778804208366E-2</v>
      </c>
      <c r="AA1091" s="845">
        <v>0</v>
      </c>
      <c r="AB1091" s="845">
        <v>0</v>
      </c>
      <c r="AC1091" s="845">
        <v>2.8226841159866563E-3</v>
      </c>
      <c r="AD1091" s="845">
        <v>1.4883243520656916E-2</v>
      </c>
      <c r="AE1091" s="845">
        <v>4.5932768796510134E-2</v>
      </c>
      <c r="AF1091" s="845">
        <v>4.4649730561970746E-2</v>
      </c>
      <c r="AG1091" s="845">
        <v>0.90351552476263797</v>
      </c>
      <c r="AH1091" s="20" t="str">
        <f t="shared" si="95"/>
        <v>Yes</v>
      </c>
      <c r="AI1091" s="25"/>
      <c r="AJ1091" s="20">
        <v>43950</v>
      </c>
      <c r="AK1091" s="20" t="s">
        <v>1126</v>
      </c>
      <c r="AL1091" s="20">
        <v>39067</v>
      </c>
      <c r="AM1091" s="20" t="s">
        <v>40</v>
      </c>
      <c r="AN1091" s="37" t="str">
        <f t="shared" si="96"/>
        <v>N/A</v>
      </c>
      <c r="AO1091" s="37" t="str">
        <f t="shared" si="97"/>
        <v>N/A</v>
      </c>
      <c r="AP1091" s="20" t="s">
        <v>8</v>
      </c>
      <c r="AQ1091" s="25"/>
      <c r="AR1091" s="25"/>
      <c r="AS1091" s="25"/>
      <c r="AT1091" s="25"/>
      <c r="AU1091" s="36"/>
      <c r="AV1091" s="36"/>
      <c r="AW1091" s="36"/>
      <c r="AX1091" s="25"/>
      <c r="AY1091" s="25"/>
      <c r="AZ1091" s="25"/>
      <c r="BA1091" s="25"/>
      <c r="BB1091" s="25"/>
      <c r="BC1091" s="25"/>
      <c r="BD1091" s="25"/>
      <c r="BE1091" s="25"/>
      <c r="BF1091" s="25"/>
      <c r="BG1091" s="25"/>
      <c r="BH1091" s="25"/>
      <c r="BI1091" s="25"/>
      <c r="BJ1091" s="25"/>
      <c r="BK1091" s="25"/>
      <c r="BL1091" s="25"/>
      <c r="BM1091" s="25"/>
      <c r="BN1091" s="25"/>
      <c r="BO1091" s="25"/>
      <c r="BP1091" s="25"/>
      <c r="BQ1091" s="25"/>
      <c r="BR1091" s="25"/>
      <c r="BS1091" s="25"/>
      <c r="BT1091" s="25"/>
      <c r="BU1091" s="39">
        <v>44830</v>
      </c>
      <c r="BV1091" s="39" t="s">
        <v>1483</v>
      </c>
      <c r="BW1091" s="39" t="s">
        <v>2904</v>
      </c>
      <c r="BX1091" s="39" t="s">
        <v>271</v>
      </c>
      <c r="BY1091" s="71">
        <v>720</v>
      </c>
      <c r="BZ1091" s="71">
        <v>740</v>
      </c>
      <c r="CA1091" s="71">
        <v>970</v>
      </c>
      <c r="CB1091" s="71">
        <v>1240</v>
      </c>
      <c r="CC1091" s="71">
        <v>1380</v>
      </c>
      <c r="CD1091" s="25"/>
      <c r="CE1091" s="200"/>
      <c r="CF1091" s="200"/>
      <c r="CG1091" s="200"/>
      <c r="CH1091" s="200"/>
      <c r="CI1091" s="200"/>
      <c r="CJ1091" s="200"/>
      <c r="CK1091" s="200"/>
      <c r="CL1091" s="200"/>
      <c r="CM1091" s="200"/>
      <c r="CN1091" s="200"/>
      <c r="CO1091" s="200"/>
      <c r="CP1091" s="200"/>
      <c r="CQ1091" s="200"/>
      <c r="CR1091" s="200"/>
      <c r="CS1091" s="200"/>
      <c r="CT1091" s="200"/>
      <c r="CU1091" s="200"/>
    </row>
    <row r="1092" spans="1:99" s="17" customFormat="1" x14ac:dyDescent="0.2">
      <c r="A1092" s="25"/>
      <c r="B1092" s="20">
        <v>39165032100</v>
      </c>
      <c r="C1092" s="20">
        <v>321</v>
      </c>
      <c r="D1092" s="20" t="s">
        <v>88</v>
      </c>
      <c r="E1092" s="20" t="s">
        <v>2828</v>
      </c>
      <c r="F1092" s="20" t="s">
        <v>8</v>
      </c>
      <c r="G1092" s="861">
        <v>55.2308837412453</v>
      </c>
      <c r="H1092" s="861">
        <v>51.804937490366399</v>
      </c>
      <c r="I1092" s="861">
        <v>24.346485542276699</v>
      </c>
      <c r="J1092" s="861">
        <v>78.148880556767196</v>
      </c>
      <c r="K1092" s="982">
        <v>0</v>
      </c>
      <c r="L1092" s="735">
        <v>6076</v>
      </c>
      <c r="M1092" s="735">
        <v>9876</v>
      </c>
      <c r="N1092" s="845">
        <f t="shared" si="93"/>
        <v>0.62541145490454242</v>
      </c>
      <c r="O1092" s="735">
        <v>18.924688808706541</v>
      </c>
      <c r="P1092" s="735">
        <f t="shared" si="94"/>
        <v>521.85798666641335</v>
      </c>
      <c r="Q1092" s="849">
        <v>38.4</v>
      </c>
      <c r="R1092" s="71">
        <v>138417</v>
      </c>
      <c r="S1092" s="845">
        <v>6.1533767290480067E-2</v>
      </c>
      <c r="T1092" s="845">
        <v>2.7000000000000003E-2</v>
      </c>
      <c r="U1092" s="845">
        <v>0.02</v>
      </c>
      <c r="V1092" s="845">
        <v>0.11699999999999999</v>
      </c>
      <c r="W1092" s="845">
        <v>0.13502235469448584</v>
      </c>
      <c r="X1092" s="845">
        <v>0.31346578366445915</v>
      </c>
      <c r="Y1092" s="845">
        <v>0.73268529769137303</v>
      </c>
      <c r="Z1092" s="845">
        <v>3.7768327257999189E-2</v>
      </c>
      <c r="AA1092" s="845">
        <v>2.5313892264074525E-3</v>
      </c>
      <c r="AB1092" s="845">
        <v>0.13385986229242608</v>
      </c>
      <c r="AC1092" s="845">
        <v>0</v>
      </c>
      <c r="AD1092" s="845">
        <v>6.2575941676792229E-2</v>
      </c>
      <c r="AE1092" s="845">
        <v>3.0579181855002024E-2</v>
      </c>
      <c r="AF1092" s="845">
        <v>2.0554880518428513E-2</v>
      </c>
      <c r="AG1092" s="845">
        <v>0.72407857432158773</v>
      </c>
      <c r="AH1092" s="20" t="str">
        <f t="shared" si="95"/>
        <v>No</v>
      </c>
      <c r="AI1092" s="25"/>
      <c r="AJ1092" s="20">
        <v>43973</v>
      </c>
      <c r="AK1092" s="20" t="s">
        <v>1138</v>
      </c>
      <c r="AL1092" s="20">
        <v>39067</v>
      </c>
      <c r="AM1092" s="20" t="s">
        <v>40</v>
      </c>
      <c r="AN1092" s="37" t="str">
        <f t="shared" si="96"/>
        <v>N/A</v>
      </c>
      <c r="AO1092" s="37" t="str">
        <f t="shared" si="97"/>
        <v>N/A</v>
      </c>
      <c r="AP1092" s="20" t="s">
        <v>8</v>
      </c>
      <c r="AQ1092" s="25"/>
      <c r="AR1092" s="25"/>
      <c r="AS1092" s="25"/>
      <c r="AT1092" s="25"/>
      <c r="AU1092" s="36"/>
      <c r="AV1092" s="36"/>
      <c r="AW1092" s="36"/>
      <c r="AX1092" s="25"/>
      <c r="AY1092" s="25"/>
      <c r="AZ1092" s="25"/>
      <c r="BA1092" s="25"/>
      <c r="BB1092" s="25"/>
      <c r="BC1092" s="25"/>
      <c r="BD1092" s="25"/>
      <c r="BE1092" s="25"/>
      <c r="BF1092" s="25"/>
      <c r="BG1092" s="25"/>
      <c r="BH1092" s="25"/>
      <c r="BI1092" s="25"/>
      <c r="BJ1092" s="25"/>
      <c r="BK1092" s="25"/>
      <c r="BL1092" s="25"/>
      <c r="BM1092" s="25"/>
      <c r="BN1092" s="25"/>
      <c r="BO1092" s="25"/>
      <c r="BP1092" s="25"/>
      <c r="BQ1092" s="25"/>
      <c r="BR1092" s="25"/>
      <c r="BS1092" s="25"/>
      <c r="BT1092" s="25"/>
      <c r="BU1092" s="39">
        <v>45858</v>
      </c>
      <c r="BV1092" s="39" t="s">
        <v>1921</v>
      </c>
      <c r="BW1092" s="39" t="s">
        <v>2904</v>
      </c>
      <c r="BX1092" s="39" t="s">
        <v>271</v>
      </c>
      <c r="BY1092" s="71">
        <v>740</v>
      </c>
      <c r="BZ1092" s="71">
        <v>820</v>
      </c>
      <c r="CA1092" s="71">
        <v>1080</v>
      </c>
      <c r="CB1092" s="71">
        <v>1420</v>
      </c>
      <c r="CC1092" s="71">
        <v>1620</v>
      </c>
      <c r="CD1092" s="25"/>
      <c r="CE1092" s="200"/>
      <c r="CF1092" s="200"/>
      <c r="CG1092" s="200"/>
      <c r="CH1092" s="200"/>
      <c r="CI1092" s="200"/>
      <c r="CJ1092" s="200"/>
      <c r="CK1092" s="200"/>
      <c r="CL1092" s="200"/>
      <c r="CM1092" s="200"/>
      <c r="CN1092" s="200"/>
      <c r="CO1092" s="200"/>
      <c r="CP1092" s="200"/>
      <c r="CQ1092" s="200"/>
      <c r="CR1092" s="200"/>
      <c r="CS1092" s="200"/>
      <c r="CT1092" s="200"/>
      <c r="CU1092" s="200"/>
    </row>
    <row r="1093" spans="1:99" s="17" customFormat="1" x14ac:dyDescent="0.2">
      <c r="A1093" s="25"/>
      <c r="B1093" s="20">
        <v>39103417300</v>
      </c>
      <c r="C1093" s="20">
        <v>4173</v>
      </c>
      <c r="D1093" s="20" t="s">
        <v>57</v>
      </c>
      <c r="E1093" s="20" t="s">
        <v>2829</v>
      </c>
      <c r="F1093" s="20" t="s">
        <v>8</v>
      </c>
      <c r="G1093" s="861">
        <v>55.222254087275701</v>
      </c>
      <c r="H1093" s="861">
        <v>61.291343545021697</v>
      </c>
      <c r="I1093" s="861">
        <v>33.905651960141597</v>
      </c>
      <c r="J1093" s="861">
        <v>41.135648201962098</v>
      </c>
      <c r="K1093" s="982">
        <v>0</v>
      </c>
      <c r="L1093" s="735">
        <v>4585</v>
      </c>
      <c r="M1093" s="735">
        <v>4589</v>
      </c>
      <c r="N1093" s="845">
        <f t="shared" si="93"/>
        <v>8.724100327153762E-4</v>
      </c>
      <c r="O1093" s="735">
        <v>7.4663149708436309</v>
      </c>
      <c r="P1093" s="735">
        <f t="shared" si="94"/>
        <v>614.62716452765471</v>
      </c>
      <c r="Q1093" s="849">
        <v>39.9</v>
      </c>
      <c r="R1093" s="71">
        <v>56294</v>
      </c>
      <c r="S1093" s="845">
        <v>9.3701313153794791E-2</v>
      </c>
      <c r="T1093" s="845">
        <v>5.2999999999999999E-2</v>
      </c>
      <c r="U1093" s="845">
        <v>0</v>
      </c>
      <c r="V1093" s="845">
        <v>3.1E-2</v>
      </c>
      <c r="W1093" s="845">
        <v>0.49201596806387227</v>
      </c>
      <c r="X1093" s="845">
        <v>0.33164300202839758</v>
      </c>
      <c r="Y1093" s="845">
        <v>0.9503159729788625</v>
      </c>
      <c r="Z1093" s="845">
        <v>3.2033122684680761E-2</v>
      </c>
      <c r="AA1093" s="845">
        <v>0</v>
      </c>
      <c r="AB1093" s="845">
        <v>1.5253867945086074E-3</v>
      </c>
      <c r="AC1093" s="845">
        <v>0</v>
      </c>
      <c r="AD1093" s="845">
        <v>2.8328611898016999E-3</v>
      </c>
      <c r="AE1093" s="845">
        <v>1.3292656352146437E-2</v>
      </c>
      <c r="AF1093" s="845">
        <v>1.0241882763129222E-2</v>
      </c>
      <c r="AG1093" s="845">
        <v>0.9503159729788625</v>
      </c>
      <c r="AH1093" s="20" t="str">
        <f t="shared" si="95"/>
        <v>Yes</v>
      </c>
      <c r="AI1093" s="25"/>
      <c r="AJ1093" s="20">
        <v>43974</v>
      </c>
      <c r="AK1093" s="20" t="s">
        <v>1139</v>
      </c>
      <c r="AL1093" s="20">
        <v>39067</v>
      </c>
      <c r="AM1093" s="20" t="s">
        <v>40</v>
      </c>
      <c r="AN1093" s="37" t="str">
        <f t="shared" si="96"/>
        <v>N/A</v>
      </c>
      <c r="AO1093" s="37" t="str">
        <f t="shared" si="97"/>
        <v>N/A</v>
      </c>
      <c r="AP1093" s="20" t="s">
        <v>8</v>
      </c>
      <c r="AQ1093" s="25"/>
      <c r="AR1093" s="25"/>
      <c r="AS1093" s="25"/>
      <c r="AT1093" s="25"/>
      <c r="AU1093" s="36"/>
      <c r="AV1093" s="36"/>
      <c r="AW1093" s="36"/>
      <c r="AX1093" s="25"/>
      <c r="AY1093" s="25"/>
      <c r="AZ1093" s="25"/>
      <c r="BA1093" s="25"/>
      <c r="BB1093" s="25"/>
      <c r="BC1093" s="25"/>
      <c r="BD1093" s="25"/>
      <c r="BE1093" s="25"/>
      <c r="BF1093" s="25"/>
      <c r="BG1093" s="25"/>
      <c r="BH1093" s="25"/>
      <c r="BI1093" s="25"/>
      <c r="BJ1093" s="25"/>
      <c r="BK1093" s="25"/>
      <c r="BL1093" s="25"/>
      <c r="BM1093" s="25"/>
      <c r="BN1093" s="25"/>
      <c r="BO1093" s="25"/>
      <c r="BP1093" s="25"/>
      <c r="BQ1093" s="25"/>
      <c r="BR1093" s="25"/>
      <c r="BS1093" s="25"/>
      <c r="BT1093" s="25"/>
      <c r="BU1093" s="39">
        <v>45872</v>
      </c>
      <c r="BV1093" s="39" t="s">
        <v>1935</v>
      </c>
      <c r="BW1093" s="39" t="s">
        <v>2904</v>
      </c>
      <c r="BX1093" s="39" t="s">
        <v>271</v>
      </c>
      <c r="BY1093" s="71">
        <v>750</v>
      </c>
      <c r="BZ1093" s="71">
        <v>800</v>
      </c>
      <c r="CA1093" s="71">
        <v>1050</v>
      </c>
      <c r="CB1093" s="71">
        <v>1350</v>
      </c>
      <c r="CC1093" s="71">
        <v>1430</v>
      </c>
      <c r="CD1093" s="25"/>
      <c r="CE1093" s="200"/>
      <c r="CF1093" s="200"/>
      <c r="CG1093" s="200"/>
      <c r="CH1093" s="200"/>
      <c r="CI1093" s="200"/>
      <c r="CJ1093" s="200"/>
      <c r="CK1093" s="200"/>
      <c r="CL1093" s="200"/>
      <c r="CM1093" s="200"/>
      <c r="CN1093" s="200"/>
      <c r="CO1093" s="200"/>
      <c r="CP1093" s="200"/>
      <c r="CQ1093" s="200"/>
      <c r="CR1093" s="200"/>
      <c r="CS1093" s="200"/>
      <c r="CT1093" s="200"/>
      <c r="CU1093" s="200"/>
    </row>
    <row r="1094" spans="1:99" s="17" customFormat="1" x14ac:dyDescent="0.2">
      <c r="A1094" s="25"/>
      <c r="B1094" s="20">
        <v>39109390100</v>
      </c>
      <c r="C1094" s="20">
        <v>3901</v>
      </c>
      <c r="D1094" s="20" t="s">
        <v>60</v>
      </c>
      <c r="E1094" s="20" t="s">
        <v>2833</v>
      </c>
      <c r="F1094" s="20" t="s">
        <v>8</v>
      </c>
      <c r="G1094" s="861">
        <v>55.200840760547301</v>
      </c>
      <c r="H1094" s="861">
        <v>60.444922097840397</v>
      </c>
      <c r="I1094" s="861">
        <v>17.917629113512302</v>
      </c>
      <c r="J1094" s="861">
        <v>63.5384808953064</v>
      </c>
      <c r="K1094" s="982">
        <v>0</v>
      </c>
      <c r="L1094" s="735">
        <v>4576</v>
      </c>
      <c r="M1094" s="735">
        <v>4861</v>
      </c>
      <c r="N1094" s="845">
        <f t="shared" si="93"/>
        <v>6.2281468531468528E-2</v>
      </c>
      <c r="O1094" s="735">
        <v>90.192529493890234</v>
      </c>
      <c r="P1094" s="735">
        <f t="shared" si="94"/>
        <v>53.895816286306626</v>
      </c>
      <c r="Q1094" s="849">
        <v>44.6</v>
      </c>
      <c r="R1094" s="71">
        <v>98547</v>
      </c>
      <c r="S1094" s="845">
        <v>5.0505050505050504E-2</v>
      </c>
      <c r="T1094" s="845">
        <v>2.1000000000000001E-2</v>
      </c>
      <c r="U1094" s="845">
        <v>3.0000000000000001E-3</v>
      </c>
      <c r="V1094" s="845">
        <v>0</v>
      </c>
      <c r="W1094" s="845">
        <v>0.10553633217993079</v>
      </c>
      <c r="X1094" s="845">
        <v>0.23497267759562843</v>
      </c>
      <c r="Y1094" s="845">
        <v>0.97469656449290265</v>
      </c>
      <c r="Z1094" s="845">
        <v>2.0571898786257971E-4</v>
      </c>
      <c r="AA1094" s="845">
        <v>0</v>
      </c>
      <c r="AB1094" s="845">
        <v>0</v>
      </c>
      <c r="AC1094" s="845">
        <v>0</v>
      </c>
      <c r="AD1094" s="845">
        <v>2.2629088664883768E-3</v>
      </c>
      <c r="AE1094" s="845">
        <v>2.2834807652746349E-2</v>
      </c>
      <c r="AF1094" s="845">
        <v>1.1108825344579305E-2</v>
      </c>
      <c r="AG1094" s="845">
        <v>0.9738736885414524</v>
      </c>
      <c r="AH1094" s="20" t="str">
        <f t="shared" si="95"/>
        <v>Yes</v>
      </c>
      <c r="AI1094" s="25"/>
      <c r="AJ1094" s="20">
        <v>43976</v>
      </c>
      <c r="AK1094" s="20" t="s">
        <v>1140</v>
      </c>
      <c r="AL1094" s="20">
        <v>39067</v>
      </c>
      <c r="AM1094" s="20" t="s">
        <v>40</v>
      </c>
      <c r="AN1094" s="37" t="str">
        <f t="shared" si="96"/>
        <v>N/A</v>
      </c>
      <c r="AO1094" s="37" t="str">
        <f t="shared" si="97"/>
        <v>N/A</v>
      </c>
      <c r="AP1094" s="20" t="s">
        <v>8</v>
      </c>
      <c r="AQ1094" s="25"/>
      <c r="AR1094" s="25"/>
      <c r="AS1094" s="25"/>
      <c r="AT1094" s="25"/>
      <c r="AU1094" s="36"/>
      <c r="AV1094" s="36"/>
      <c r="AW1094" s="36"/>
      <c r="AX1094" s="25"/>
      <c r="AY1094" s="25"/>
      <c r="AZ1094" s="25"/>
      <c r="BA1094" s="25"/>
      <c r="BB1094" s="25"/>
      <c r="BC1094" s="25"/>
      <c r="BD1094" s="25"/>
      <c r="BE1094" s="25"/>
      <c r="BF1094" s="25"/>
      <c r="BG1094" s="25"/>
      <c r="BH1094" s="25"/>
      <c r="BI1094" s="25"/>
      <c r="BJ1094" s="25"/>
      <c r="BK1094" s="25"/>
      <c r="BL1094" s="25"/>
      <c r="BM1094" s="25"/>
      <c r="BN1094" s="25"/>
      <c r="BO1094" s="25"/>
      <c r="BP1094" s="25"/>
      <c r="BQ1094" s="25"/>
      <c r="BR1094" s="25"/>
      <c r="BS1094" s="25"/>
      <c r="BT1094" s="25"/>
      <c r="BU1094" s="39">
        <v>45889</v>
      </c>
      <c r="BV1094" s="39" t="s">
        <v>1951</v>
      </c>
      <c r="BW1094" s="39" t="s">
        <v>2904</v>
      </c>
      <c r="BX1094" s="39" t="s">
        <v>271</v>
      </c>
      <c r="BY1094" s="71">
        <v>770</v>
      </c>
      <c r="BZ1094" s="71">
        <v>860</v>
      </c>
      <c r="CA1094" s="71">
        <v>1120</v>
      </c>
      <c r="CB1094" s="71">
        <v>1450</v>
      </c>
      <c r="CC1094" s="71">
        <v>1710</v>
      </c>
      <c r="CD1094" s="25"/>
      <c r="CE1094" s="200"/>
      <c r="CF1094" s="200"/>
      <c r="CG1094" s="200"/>
      <c r="CH1094" s="200"/>
      <c r="CI1094" s="200"/>
      <c r="CJ1094" s="200"/>
      <c r="CK1094" s="200"/>
      <c r="CL1094" s="200"/>
      <c r="CM1094" s="200"/>
      <c r="CN1094" s="200"/>
      <c r="CO1094" s="200"/>
      <c r="CP1094" s="200"/>
      <c r="CQ1094" s="200"/>
      <c r="CR1094" s="200"/>
      <c r="CS1094" s="200"/>
      <c r="CT1094" s="200"/>
      <c r="CU1094" s="200"/>
    </row>
    <row r="1095" spans="1:99" s="17" customFormat="1" x14ac:dyDescent="0.2">
      <c r="A1095" s="25"/>
      <c r="B1095" s="20">
        <v>39153531802</v>
      </c>
      <c r="C1095" s="20">
        <v>5318.02</v>
      </c>
      <c r="D1095" s="20" t="s">
        <v>82</v>
      </c>
      <c r="E1095" s="20" t="s">
        <v>2843</v>
      </c>
      <c r="F1095" s="20" t="s">
        <v>8</v>
      </c>
      <c r="G1095" s="861">
        <v>55.170257255764</v>
      </c>
      <c r="H1095" s="861">
        <v>53.111815379571603</v>
      </c>
      <c r="I1095" s="861">
        <v>23.388848852986101</v>
      </c>
      <c r="J1095" s="861">
        <v>26.757585146072</v>
      </c>
      <c r="K1095" s="982">
        <v>0</v>
      </c>
      <c r="L1095" s="735">
        <v>4690</v>
      </c>
      <c r="M1095" s="735">
        <v>4118</v>
      </c>
      <c r="N1095" s="845">
        <f t="shared" si="93"/>
        <v>-0.12196162046908315</v>
      </c>
      <c r="O1095" s="735">
        <v>4.6080782973169709</v>
      </c>
      <c r="P1095" s="735">
        <f t="shared" si="94"/>
        <v>893.6480099302313</v>
      </c>
      <c r="Q1095" s="849">
        <v>46.9</v>
      </c>
      <c r="R1095" s="71">
        <v>74200</v>
      </c>
      <c r="S1095" s="845">
        <v>8.7906750849927148E-2</v>
      </c>
      <c r="T1095" s="845">
        <v>4.5999999999999999E-2</v>
      </c>
      <c r="U1095" s="845">
        <v>1.8000000000000002E-2</v>
      </c>
      <c r="V1095" s="845">
        <v>0</v>
      </c>
      <c r="W1095" s="845">
        <v>0.28835386338185892</v>
      </c>
      <c r="X1095" s="845">
        <v>0.17475728155339806</v>
      </c>
      <c r="Y1095" s="845">
        <v>0.92156386595434681</v>
      </c>
      <c r="Z1095" s="845">
        <v>3.933948518698397E-2</v>
      </c>
      <c r="AA1095" s="845">
        <v>0</v>
      </c>
      <c r="AB1095" s="845">
        <v>4.3710539096648857E-3</v>
      </c>
      <c r="AC1095" s="845">
        <v>0</v>
      </c>
      <c r="AD1095" s="845">
        <v>5.3423992229237492E-3</v>
      </c>
      <c r="AE1095" s="845">
        <v>2.938319572608062E-2</v>
      </c>
      <c r="AF1095" s="845">
        <v>3.7882467217095678E-2</v>
      </c>
      <c r="AG1095" s="845">
        <v>0.89630888780961637</v>
      </c>
      <c r="AH1095" s="20" t="str">
        <f t="shared" si="95"/>
        <v>No</v>
      </c>
      <c r="AI1095" s="25"/>
      <c r="AJ1095" s="20">
        <v>43977</v>
      </c>
      <c r="AK1095" s="20" t="s">
        <v>1141</v>
      </c>
      <c r="AL1095" s="20">
        <v>39067</v>
      </c>
      <c r="AM1095" s="20" t="s">
        <v>40</v>
      </c>
      <c r="AN1095" s="37" t="str">
        <f t="shared" si="96"/>
        <v>N/A</v>
      </c>
      <c r="AO1095" s="37" t="str">
        <f t="shared" si="97"/>
        <v>N/A</v>
      </c>
      <c r="AP1095" s="20" t="s">
        <v>8</v>
      </c>
      <c r="AQ1095" s="25"/>
      <c r="AR1095" s="25"/>
      <c r="AS1095" s="25"/>
      <c r="AT1095" s="25"/>
      <c r="AU1095" s="36"/>
      <c r="AV1095" s="36"/>
      <c r="AW1095" s="36"/>
      <c r="AX1095" s="25"/>
      <c r="AY1095" s="25"/>
      <c r="AZ1095" s="25"/>
      <c r="BA1095" s="25"/>
      <c r="BB1095" s="25"/>
      <c r="BC1095" s="25"/>
      <c r="BD1095" s="25"/>
      <c r="BE1095" s="25"/>
      <c r="BF1095" s="25"/>
      <c r="BG1095" s="25"/>
      <c r="BH1095" s="25"/>
      <c r="BI1095" s="25"/>
      <c r="BJ1095" s="25"/>
      <c r="BK1095" s="25"/>
      <c r="BL1095" s="25"/>
      <c r="BM1095" s="25"/>
      <c r="BN1095" s="25"/>
      <c r="BO1095" s="25"/>
      <c r="BP1095" s="25"/>
      <c r="BQ1095" s="25"/>
      <c r="BR1095" s="25"/>
      <c r="BS1095" s="25"/>
      <c r="BT1095" s="25"/>
      <c r="BU1095" s="39">
        <v>44622</v>
      </c>
      <c r="BV1095" s="39" t="s">
        <v>1394</v>
      </c>
      <c r="BW1095" s="39" t="s">
        <v>2966</v>
      </c>
      <c r="BX1095" s="39" t="s">
        <v>2967</v>
      </c>
      <c r="BY1095" s="71">
        <v>880</v>
      </c>
      <c r="BZ1095" s="71">
        <v>880</v>
      </c>
      <c r="CA1095" s="71">
        <v>1160</v>
      </c>
      <c r="CB1095" s="71">
        <v>1490</v>
      </c>
      <c r="CC1095" s="71">
        <v>1680</v>
      </c>
      <c r="CD1095" s="25"/>
      <c r="CE1095" s="200"/>
      <c r="CF1095" s="200"/>
      <c r="CG1095" s="200"/>
      <c r="CH1095" s="200"/>
      <c r="CI1095" s="200"/>
      <c r="CJ1095" s="200"/>
      <c r="CK1095" s="200"/>
      <c r="CL1095" s="200"/>
      <c r="CM1095" s="200"/>
      <c r="CN1095" s="200"/>
      <c r="CO1095" s="200"/>
      <c r="CP1095" s="200"/>
      <c r="CQ1095" s="200"/>
      <c r="CR1095" s="200"/>
      <c r="CS1095" s="200"/>
      <c r="CT1095" s="200"/>
      <c r="CU1095" s="200"/>
    </row>
    <row r="1096" spans="1:99" s="17" customFormat="1" x14ac:dyDescent="0.2">
      <c r="A1096" s="25"/>
      <c r="B1096" s="20">
        <v>39055312201</v>
      </c>
      <c r="C1096" s="20">
        <v>3122.01</v>
      </c>
      <c r="D1096" s="20" t="s">
        <v>34</v>
      </c>
      <c r="E1096" s="20" t="s">
        <v>2829</v>
      </c>
      <c r="F1096" s="20" t="s">
        <v>8</v>
      </c>
      <c r="G1096" s="861">
        <v>55.150644163950702</v>
      </c>
      <c r="H1096" s="861">
        <v>62.960148104133403</v>
      </c>
      <c r="I1096" s="861">
        <v>27.151066113391401</v>
      </c>
      <c r="J1096" s="861">
        <v>34.809378805003298</v>
      </c>
      <c r="K1096" s="982">
        <v>0</v>
      </c>
      <c r="L1096" s="735">
        <v>5534</v>
      </c>
      <c r="M1096" s="735">
        <v>5549</v>
      </c>
      <c r="N1096" s="845">
        <f t="shared" si="93"/>
        <v>2.7105168052041924E-3</v>
      </c>
      <c r="O1096" s="735">
        <v>5.0663823317706278</v>
      </c>
      <c r="P1096" s="735">
        <f t="shared" si="94"/>
        <v>1095.2588329552113</v>
      </c>
      <c r="Q1096" s="849">
        <v>37.5</v>
      </c>
      <c r="R1096" s="71">
        <v>88438</v>
      </c>
      <c r="S1096" s="845">
        <v>9.4549499443826471E-2</v>
      </c>
      <c r="T1096" s="845">
        <v>2.7999999999999997E-2</v>
      </c>
      <c r="U1096" s="845">
        <v>0</v>
      </c>
      <c r="V1096" s="845">
        <v>5.2000000000000005E-2</v>
      </c>
      <c r="W1096" s="845">
        <v>0.32845379688929549</v>
      </c>
      <c r="X1096" s="845">
        <v>0.33008356545961004</v>
      </c>
      <c r="Y1096" s="845">
        <v>0.96179491800324379</v>
      </c>
      <c r="Z1096" s="845">
        <v>1.2074247612182376E-2</v>
      </c>
      <c r="AA1096" s="845">
        <v>0</v>
      </c>
      <c r="AB1096" s="845">
        <v>0</v>
      </c>
      <c r="AC1096" s="845">
        <v>0</v>
      </c>
      <c r="AD1096" s="845">
        <v>3.6042530185619032E-4</v>
      </c>
      <c r="AE1096" s="845">
        <v>2.5770409082717608E-2</v>
      </c>
      <c r="AF1096" s="845">
        <v>1.8561903045593801E-2</v>
      </c>
      <c r="AG1096" s="845">
        <v>0.95008109569291765</v>
      </c>
      <c r="AH1096" s="20" t="str">
        <f t="shared" si="95"/>
        <v>Yes</v>
      </c>
      <c r="AI1096" s="25"/>
      <c r="AJ1096" s="20">
        <v>43981</v>
      </c>
      <c r="AK1096" s="20" t="s">
        <v>1142</v>
      </c>
      <c r="AL1096" s="20">
        <v>39067</v>
      </c>
      <c r="AM1096" s="20" t="s">
        <v>40</v>
      </c>
      <c r="AN1096" s="37" t="str">
        <f t="shared" si="96"/>
        <v>N/A</v>
      </c>
      <c r="AO1096" s="37" t="str">
        <f t="shared" si="97"/>
        <v>N/A</v>
      </c>
      <c r="AP1096" s="20" t="s">
        <v>8</v>
      </c>
      <c r="AQ1096" s="25"/>
      <c r="AR1096" s="25"/>
      <c r="AS1096" s="25"/>
      <c r="AT1096" s="25"/>
      <c r="AU1096" s="36"/>
      <c r="AV1096" s="36"/>
      <c r="AW1096" s="36"/>
      <c r="AX1096" s="25"/>
      <c r="AY1096" s="25"/>
      <c r="AZ1096" s="25"/>
      <c r="BA1096" s="25"/>
      <c r="BB1096" s="25"/>
      <c r="BC1096" s="25"/>
      <c r="BD1096" s="25"/>
      <c r="BE1096" s="25"/>
      <c r="BF1096" s="25"/>
      <c r="BG1096" s="25"/>
      <c r="BH1096" s="25"/>
      <c r="BI1096" s="25"/>
      <c r="BJ1096" s="25"/>
      <c r="BK1096" s="25"/>
      <c r="BL1096" s="25"/>
      <c r="BM1096" s="25"/>
      <c r="BN1096" s="25"/>
      <c r="BO1096" s="25"/>
      <c r="BP1096" s="25"/>
      <c r="BQ1096" s="25"/>
      <c r="BR1096" s="25"/>
      <c r="BS1096" s="25"/>
      <c r="BT1096" s="25"/>
      <c r="BU1096" s="39">
        <v>44629</v>
      </c>
      <c r="BV1096" s="39" t="s">
        <v>1400</v>
      </c>
      <c r="BW1096" s="39" t="s">
        <v>2966</v>
      </c>
      <c r="BX1096" s="39" t="s">
        <v>2967</v>
      </c>
      <c r="BY1096" s="71">
        <v>740</v>
      </c>
      <c r="BZ1096" s="71">
        <v>750</v>
      </c>
      <c r="CA1096" s="71">
        <v>980</v>
      </c>
      <c r="CB1096" s="71">
        <v>1260</v>
      </c>
      <c r="CC1096" s="71">
        <v>1420</v>
      </c>
      <c r="CD1096" s="25"/>
      <c r="CE1096" s="200"/>
      <c r="CF1096" s="200"/>
      <c r="CG1096" s="200"/>
      <c r="CH1096" s="200"/>
      <c r="CI1096" s="200"/>
      <c r="CJ1096" s="200"/>
      <c r="CK1096" s="200"/>
      <c r="CL1096" s="200"/>
      <c r="CM1096" s="200"/>
      <c r="CN1096" s="200"/>
      <c r="CO1096" s="200"/>
      <c r="CP1096" s="200"/>
      <c r="CQ1096" s="200"/>
      <c r="CR1096" s="200"/>
      <c r="CS1096" s="200"/>
      <c r="CT1096" s="200"/>
      <c r="CU1096" s="200"/>
    </row>
    <row r="1097" spans="1:99" s="17" customFormat="1" x14ac:dyDescent="0.2">
      <c r="A1097" s="25"/>
      <c r="B1097" s="20">
        <v>39089753900</v>
      </c>
      <c r="C1097" s="20">
        <v>7539</v>
      </c>
      <c r="D1097" s="20" t="s">
        <v>50</v>
      </c>
      <c r="E1097" s="20" t="s">
        <v>2830</v>
      </c>
      <c r="F1097" s="20" t="s">
        <v>8</v>
      </c>
      <c r="G1097" s="861">
        <v>55.147389384059998</v>
      </c>
      <c r="H1097" s="861">
        <v>62.287650719256398</v>
      </c>
      <c r="I1097" s="861">
        <v>20.572575526662099</v>
      </c>
      <c r="J1097" s="861">
        <v>50.415850188917197</v>
      </c>
      <c r="K1097" s="982">
        <v>0</v>
      </c>
      <c r="L1097" s="735">
        <v>4752</v>
      </c>
      <c r="M1097" s="735">
        <v>5088</v>
      </c>
      <c r="N1097" s="845">
        <f t="shared" si="93"/>
        <v>7.0707070707070704E-2</v>
      </c>
      <c r="O1097" s="735">
        <v>4.5282180851401668</v>
      </c>
      <c r="P1097" s="735">
        <f t="shared" si="94"/>
        <v>1123.6207939491292</v>
      </c>
      <c r="Q1097" s="849">
        <v>44</v>
      </c>
      <c r="R1097" s="71">
        <v>112000</v>
      </c>
      <c r="S1097" s="845">
        <v>3.6276948590381428E-2</v>
      </c>
      <c r="T1097" s="845">
        <v>2.3E-2</v>
      </c>
      <c r="U1097" s="845">
        <v>2.7999999999999997E-2</v>
      </c>
      <c r="V1097" s="845">
        <v>0</v>
      </c>
      <c r="W1097" s="845">
        <v>7.809224318658281E-2</v>
      </c>
      <c r="X1097" s="845">
        <v>0.32885906040268459</v>
      </c>
      <c r="Y1097" s="845">
        <v>0.93474842767295596</v>
      </c>
      <c r="Z1097" s="845">
        <v>6.2893081761006293E-3</v>
      </c>
      <c r="AA1097" s="845">
        <v>0</v>
      </c>
      <c r="AB1097" s="845">
        <v>1.1988993710691825E-2</v>
      </c>
      <c r="AC1097" s="845">
        <v>0</v>
      </c>
      <c r="AD1097" s="845">
        <v>0</v>
      </c>
      <c r="AE1097" s="845">
        <v>4.6973270440251576E-2</v>
      </c>
      <c r="AF1097" s="845">
        <v>1.6116352201257862E-2</v>
      </c>
      <c r="AG1097" s="845">
        <v>0.93317610062893086</v>
      </c>
      <c r="AH1097" s="20" t="str">
        <f t="shared" si="95"/>
        <v>Yes</v>
      </c>
      <c r="AI1097" s="25"/>
      <c r="AJ1097" s="20">
        <v>43983</v>
      </c>
      <c r="AK1097" s="20" t="s">
        <v>1143</v>
      </c>
      <c r="AL1097" s="20">
        <v>39067</v>
      </c>
      <c r="AM1097" s="20" t="s">
        <v>40</v>
      </c>
      <c r="AN1097" s="37" t="str">
        <f t="shared" si="96"/>
        <v>N/A</v>
      </c>
      <c r="AO1097" s="37" t="str">
        <f t="shared" si="97"/>
        <v>N/A</v>
      </c>
      <c r="AP1097" s="20" t="s">
        <v>8</v>
      </c>
      <c r="AQ1097" s="25"/>
      <c r="AR1097" s="25"/>
      <c r="AS1097" s="25"/>
      <c r="AT1097" s="25"/>
      <c r="AU1097" s="36"/>
      <c r="AV1097" s="36"/>
      <c r="AW1097" s="36"/>
      <c r="AX1097" s="25"/>
      <c r="AY1097" s="25"/>
      <c r="AZ1097" s="25"/>
      <c r="BA1097" s="25"/>
      <c r="BB1097" s="25"/>
      <c r="BC1097" s="25"/>
      <c r="BD1097" s="25"/>
      <c r="BE1097" s="25"/>
      <c r="BF1097" s="25"/>
      <c r="BG1097" s="25"/>
      <c r="BH1097" s="25"/>
      <c r="BI1097" s="25"/>
      <c r="BJ1097" s="25"/>
      <c r="BK1097" s="25"/>
      <c r="BL1097" s="25"/>
      <c r="BM1097" s="25"/>
      <c r="BN1097" s="25"/>
      <c r="BO1097" s="25"/>
      <c r="BP1097" s="25"/>
      <c r="BQ1097" s="25"/>
      <c r="BR1097" s="25"/>
      <c r="BS1097" s="25"/>
      <c r="BT1097" s="25"/>
      <c r="BU1097" s="39">
        <v>44653</v>
      </c>
      <c r="BV1097" s="39" t="s">
        <v>1417</v>
      </c>
      <c r="BW1097" s="39" t="s">
        <v>2966</v>
      </c>
      <c r="BX1097" s="39" t="s">
        <v>2967</v>
      </c>
      <c r="BY1097" s="71">
        <v>860</v>
      </c>
      <c r="BZ1097" s="71">
        <v>860</v>
      </c>
      <c r="CA1097" s="71">
        <v>1130</v>
      </c>
      <c r="CB1097" s="71">
        <v>1450</v>
      </c>
      <c r="CC1097" s="71">
        <v>1640</v>
      </c>
      <c r="CD1097" s="25"/>
      <c r="CE1097" s="200"/>
      <c r="CF1097" s="200"/>
      <c r="CG1097" s="200"/>
      <c r="CH1097" s="200"/>
      <c r="CI1097" s="200"/>
      <c r="CJ1097" s="200"/>
      <c r="CK1097" s="200"/>
      <c r="CL1097" s="200"/>
      <c r="CM1097" s="200"/>
      <c r="CN1097" s="200"/>
      <c r="CO1097" s="200"/>
      <c r="CP1097" s="200"/>
      <c r="CQ1097" s="200"/>
      <c r="CR1097" s="200"/>
      <c r="CS1097" s="200"/>
      <c r="CT1097" s="200"/>
      <c r="CU1097" s="200"/>
    </row>
    <row r="1098" spans="1:99" s="17" customFormat="1" x14ac:dyDescent="0.2">
      <c r="A1098" s="25"/>
      <c r="B1098" s="20">
        <v>39035177304</v>
      </c>
      <c r="C1098" s="20">
        <v>1773.04</v>
      </c>
      <c r="D1098" s="20" t="s">
        <v>24</v>
      </c>
      <c r="E1098" s="20" t="s">
        <v>2829</v>
      </c>
      <c r="F1098" s="20" t="s">
        <v>8</v>
      </c>
      <c r="G1098" s="861">
        <v>55.138999479286397</v>
      </c>
      <c r="H1098" s="861">
        <v>65.863646261837701</v>
      </c>
      <c r="I1098" s="861">
        <v>32.397231734010099</v>
      </c>
      <c r="J1098" s="861">
        <v>28.4893595364105</v>
      </c>
      <c r="K1098" s="982">
        <v>1</v>
      </c>
      <c r="L1098" s="735">
        <v>3408</v>
      </c>
      <c r="M1098" s="735">
        <v>3632</v>
      </c>
      <c r="N1098" s="845">
        <f t="shared" si="93"/>
        <v>6.5727699530516437E-2</v>
      </c>
      <c r="O1098" s="735">
        <v>0.63337588063290373</v>
      </c>
      <c r="P1098" s="735">
        <f t="shared" si="94"/>
        <v>5734.3516086698901</v>
      </c>
      <c r="Q1098" s="849">
        <v>35</v>
      </c>
      <c r="R1098" s="71">
        <v>54135</v>
      </c>
      <c r="S1098" s="845">
        <v>0.2217585692995529</v>
      </c>
      <c r="T1098" s="845">
        <v>9.3000000000000013E-2</v>
      </c>
      <c r="U1098" s="845">
        <v>0</v>
      </c>
      <c r="V1098" s="845">
        <v>3.1E-2</v>
      </c>
      <c r="W1098" s="845">
        <v>0.5499704316972206</v>
      </c>
      <c r="X1098" s="845">
        <v>0.28387096774193549</v>
      </c>
      <c r="Y1098" s="845">
        <v>0.69438325991189431</v>
      </c>
      <c r="Z1098" s="845">
        <v>8.7830396475770928E-2</v>
      </c>
      <c r="AA1098" s="845">
        <v>2.7533039647577095E-4</v>
      </c>
      <c r="AB1098" s="845">
        <v>7.9570484581497791E-2</v>
      </c>
      <c r="AC1098" s="845">
        <v>1.6519823788546256E-3</v>
      </c>
      <c r="AD1098" s="845">
        <v>4.3226872246696038E-2</v>
      </c>
      <c r="AE1098" s="845">
        <v>9.3061674008810574E-2</v>
      </c>
      <c r="AF1098" s="845">
        <v>6.71806167400881E-2</v>
      </c>
      <c r="AG1098" s="845">
        <v>0.68887665198237891</v>
      </c>
      <c r="AH1098" s="20" t="str">
        <f t="shared" si="95"/>
        <v>No</v>
      </c>
      <c r="AI1098" s="25"/>
      <c r="AJ1098" s="20">
        <v>43986</v>
      </c>
      <c r="AK1098" s="20" t="s">
        <v>1145</v>
      </c>
      <c r="AL1098" s="20">
        <v>39067</v>
      </c>
      <c r="AM1098" s="20" t="s">
        <v>40</v>
      </c>
      <c r="AN1098" s="37" t="str">
        <f t="shared" si="96"/>
        <v>N/A</v>
      </c>
      <c r="AO1098" s="37" t="str">
        <f t="shared" si="97"/>
        <v>N/A</v>
      </c>
      <c r="AP1098" s="20" t="s">
        <v>8</v>
      </c>
      <c r="AQ1098" s="25"/>
      <c r="AR1098" s="25"/>
      <c r="AS1098" s="25"/>
      <c r="AT1098" s="25"/>
      <c r="AU1098" s="36"/>
      <c r="AV1098" s="36"/>
      <c r="AW1098" s="36"/>
      <c r="AX1098" s="25"/>
      <c r="AY1098" s="25"/>
      <c r="AZ1098" s="25"/>
      <c r="BA1098" s="25"/>
      <c r="BB1098" s="25"/>
      <c r="BC1098" s="25"/>
      <c r="BD1098" s="25"/>
      <c r="BE1098" s="25"/>
      <c r="BF1098" s="25"/>
      <c r="BG1098" s="25"/>
      <c r="BH1098" s="25"/>
      <c r="BI1098" s="25"/>
      <c r="BJ1098" s="25"/>
      <c r="BK1098" s="25"/>
      <c r="BL1098" s="25"/>
      <c r="BM1098" s="25"/>
      <c r="BN1098" s="25"/>
      <c r="BO1098" s="25"/>
      <c r="BP1098" s="25"/>
      <c r="BQ1098" s="25"/>
      <c r="BR1098" s="25"/>
      <c r="BS1098" s="25"/>
      <c r="BT1098" s="25"/>
      <c r="BU1098" s="39">
        <v>44663</v>
      </c>
      <c r="BV1098" s="39" t="s">
        <v>1425</v>
      </c>
      <c r="BW1098" s="39" t="s">
        <v>2966</v>
      </c>
      <c r="BX1098" s="39" t="s">
        <v>2967</v>
      </c>
      <c r="BY1098" s="71">
        <v>750</v>
      </c>
      <c r="BZ1098" s="71">
        <v>750</v>
      </c>
      <c r="CA1098" s="71">
        <v>990</v>
      </c>
      <c r="CB1098" s="71">
        <v>1270</v>
      </c>
      <c r="CC1098" s="71">
        <v>1440</v>
      </c>
      <c r="CD1098" s="25"/>
      <c r="CE1098" s="200"/>
      <c r="CF1098" s="200"/>
      <c r="CG1098" s="200"/>
      <c r="CH1098" s="200"/>
      <c r="CI1098" s="200"/>
      <c r="CJ1098" s="200"/>
      <c r="CK1098" s="200"/>
      <c r="CL1098" s="200"/>
      <c r="CM1098" s="200"/>
      <c r="CN1098" s="200"/>
      <c r="CO1098" s="200"/>
      <c r="CP1098" s="200"/>
      <c r="CQ1098" s="200"/>
      <c r="CR1098" s="200"/>
      <c r="CS1098" s="200"/>
      <c r="CT1098" s="200"/>
      <c r="CU1098" s="200"/>
    </row>
    <row r="1099" spans="1:99" s="17" customFormat="1" x14ac:dyDescent="0.2">
      <c r="A1099" s="25"/>
      <c r="B1099" s="20">
        <v>39035190503</v>
      </c>
      <c r="C1099" s="20">
        <v>1905.03</v>
      </c>
      <c r="D1099" s="20" t="s">
        <v>24</v>
      </c>
      <c r="E1099" s="20" t="s">
        <v>2829</v>
      </c>
      <c r="F1099" s="20" t="s">
        <v>8</v>
      </c>
      <c r="G1099" s="861">
        <v>55.120127861308902</v>
      </c>
      <c r="H1099" s="861">
        <v>56.994746558288597</v>
      </c>
      <c r="I1099" s="861">
        <v>15.113848790677199</v>
      </c>
      <c r="J1099" s="861">
        <v>36.7708210735371</v>
      </c>
      <c r="K1099" s="982">
        <v>0</v>
      </c>
      <c r="L1099" s="735">
        <v>1736</v>
      </c>
      <c r="M1099" s="735">
        <v>1667</v>
      </c>
      <c r="N1099" s="845">
        <f t="shared" ref="N1099:N1162" si="98">IF(OR(L1099="",M1099=""),"",(M1099-L1099)/L1099)</f>
        <v>-3.9746543778801845E-2</v>
      </c>
      <c r="O1099" s="735">
        <v>0.67672395608024627</v>
      </c>
      <c r="P1099" s="735">
        <f t="shared" ref="P1099:P1162" si="99">M1099/O1099</f>
        <v>2463.3382415714664</v>
      </c>
      <c r="Q1099" s="849">
        <v>48.8</v>
      </c>
      <c r="R1099" s="71">
        <v>101316</v>
      </c>
      <c r="S1099" s="845">
        <v>3.5992801439712056E-2</v>
      </c>
      <c r="T1099" s="845">
        <v>3.3000000000000002E-2</v>
      </c>
      <c r="U1099" s="845">
        <v>8.0000000000000002E-3</v>
      </c>
      <c r="V1099" s="845">
        <v>0</v>
      </c>
      <c r="W1099" s="845">
        <v>5.4711246200607903E-2</v>
      </c>
      <c r="X1099" s="845">
        <v>0</v>
      </c>
      <c r="Y1099" s="845">
        <v>0.96460707858428318</v>
      </c>
      <c r="Z1099" s="845">
        <v>0</v>
      </c>
      <c r="AA1099" s="845">
        <v>0</v>
      </c>
      <c r="AB1099" s="845">
        <v>1.199760047990402E-2</v>
      </c>
      <c r="AC1099" s="845">
        <v>0</v>
      </c>
      <c r="AD1099" s="845">
        <v>2.3995200959808036E-3</v>
      </c>
      <c r="AE1099" s="845">
        <v>2.0995800839832032E-2</v>
      </c>
      <c r="AF1099" s="845">
        <v>8.8182363527294541E-2</v>
      </c>
      <c r="AG1099" s="845">
        <v>0.87882423515296937</v>
      </c>
      <c r="AH1099" s="20" t="str">
        <f t="shared" ref="AH1099:AH1162" si="100">IF(AG1099&gt;=0.9,"Yes","No")</f>
        <v>No</v>
      </c>
      <c r="AI1099" s="25"/>
      <c r="AJ1099" s="37">
        <v>43988</v>
      </c>
      <c r="AK1099" s="37" t="s">
        <v>1146</v>
      </c>
      <c r="AL1099" s="37">
        <v>39067</v>
      </c>
      <c r="AM1099" s="37" t="s">
        <v>40</v>
      </c>
      <c r="AN1099" s="37" t="str">
        <f t="shared" ref="AN1099:AN1162" si="101">VLOOKUP(AM1099,$CY$11:$DA$98,2,FALSE)</f>
        <v>N/A</v>
      </c>
      <c r="AO1099" s="37" t="str">
        <f t="shared" ref="AO1099:AO1162" si="102">VLOOKUP(AM1099,$CY$11:$DA$98,3,FALSE)</f>
        <v>N/A</v>
      </c>
      <c r="AP1099" s="20" t="s">
        <v>8</v>
      </c>
      <c r="AQ1099" s="25"/>
      <c r="AR1099" s="25"/>
      <c r="AS1099" s="25"/>
      <c r="AT1099" s="25"/>
      <c r="AU1099" s="36"/>
      <c r="AV1099" s="36"/>
      <c r="AW1099" s="36"/>
      <c r="AX1099" s="25"/>
      <c r="AY1099" s="25"/>
      <c r="AZ1099" s="25"/>
      <c r="BA1099" s="25"/>
      <c r="BB1099" s="25"/>
      <c r="BC1099" s="25"/>
      <c r="BD1099" s="25"/>
      <c r="BE1099" s="25"/>
      <c r="BF1099" s="25"/>
      <c r="BG1099" s="25"/>
      <c r="BH1099" s="25"/>
      <c r="BI1099" s="25"/>
      <c r="BJ1099" s="25"/>
      <c r="BK1099" s="25"/>
      <c r="BL1099" s="25"/>
      <c r="BM1099" s="25"/>
      <c r="BN1099" s="25"/>
      <c r="BO1099" s="25"/>
      <c r="BP1099" s="25"/>
      <c r="BQ1099" s="25"/>
      <c r="BR1099" s="25"/>
      <c r="BS1099" s="25"/>
      <c r="BT1099" s="25"/>
      <c r="BU1099" s="39">
        <v>44671</v>
      </c>
      <c r="BV1099" s="39" t="s">
        <v>1431</v>
      </c>
      <c r="BW1099" s="39" t="s">
        <v>2966</v>
      </c>
      <c r="BX1099" s="39" t="s">
        <v>2967</v>
      </c>
      <c r="BY1099" s="71">
        <v>780</v>
      </c>
      <c r="BZ1099" s="71">
        <v>880</v>
      </c>
      <c r="CA1099" s="71">
        <v>1130</v>
      </c>
      <c r="CB1099" s="71">
        <v>1430</v>
      </c>
      <c r="CC1099" s="71">
        <v>1530</v>
      </c>
      <c r="CD1099" s="25"/>
      <c r="CE1099" s="200"/>
      <c r="CF1099" s="200"/>
      <c r="CG1099" s="200"/>
      <c r="CH1099" s="200"/>
      <c r="CI1099" s="200"/>
      <c r="CJ1099" s="200"/>
      <c r="CK1099" s="200"/>
      <c r="CL1099" s="200"/>
      <c r="CM1099" s="200"/>
      <c r="CN1099" s="200"/>
      <c r="CO1099" s="200"/>
      <c r="CP1099" s="200"/>
      <c r="CQ1099" s="200"/>
      <c r="CR1099" s="200"/>
      <c r="CS1099" s="200"/>
      <c r="CT1099" s="200"/>
      <c r="CU1099" s="200"/>
    </row>
    <row r="1100" spans="1:99" s="17" customFormat="1" x14ac:dyDescent="0.2">
      <c r="A1100" s="25"/>
      <c r="B1100" s="20">
        <v>39035177103</v>
      </c>
      <c r="C1100" s="20">
        <v>1771.03</v>
      </c>
      <c r="D1100" s="20" t="s">
        <v>24</v>
      </c>
      <c r="E1100" s="20" t="s">
        <v>2829</v>
      </c>
      <c r="F1100" s="20" t="s">
        <v>8</v>
      </c>
      <c r="G1100" s="861">
        <v>55.074081923007299</v>
      </c>
      <c r="H1100" s="861">
        <v>60.259493671255598</v>
      </c>
      <c r="I1100" s="861">
        <v>35.196301676225403</v>
      </c>
      <c r="J1100" s="861">
        <v>41.3605106552085</v>
      </c>
      <c r="K1100" s="982">
        <v>0</v>
      </c>
      <c r="L1100" s="735">
        <v>3907</v>
      </c>
      <c r="M1100" s="735">
        <v>4434</v>
      </c>
      <c r="N1100" s="845">
        <f t="shared" si="98"/>
        <v>0.13488610186844127</v>
      </c>
      <c r="O1100" s="735">
        <v>0.76280813505356215</v>
      </c>
      <c r="P1100" s="735">
        <f t="shared" si="99"/>
        <v>5812.7329747062249</v>
      </c>
      <c r="Q1100" s="849">
        <v>39.799999999999997</v>
      </c>
      <c r="R1100" s="71">
        <v>65974</v>
      </c>
      <c r="S1100" s="845">
        <v>9.4271538114569231E-2</v>
      </c>
      <c r="T1100" s="845">
        <v>4.5999999999999999E-2</v>
      </c>
      <c r="U1100" s="845">
        <v>0</v>
      </c>
      <c r="V1100" s="845">
        <v>0</v>
      </c>
      <c r="W1100" s="845">
        <v>0.39849624060150374</v>
      </c>
      <c r="X1100" s="845">
        <v>0.46037735849056605</v>
      </c>
      <c r="Y1100" s="845">
        <v>0.78890392422192157</v>
      </c>
      <c r="Z1100" s="845">
        <v>5.7961208840775824E-2</v>
      </c>
      <c r="AA1100" s="845">
        <v>6.3148398737032027E-3</v>
      </c>
      <c r="AB1100" s="845">
        <v>2.097428958051421E-2</v>
      </c>
      <c r="AC1100" s="845">
        <v>0</v>
      </c>
      <c r="AD1100" s="845">
        <v>4.5331529093369419E-2</v>
      </c>
      <c r="AE1100" s="845">
        <v>8.0514208389715833E-2</v>
      </c>
      <c r="AF1100" s="845">
        <v>0.12629679747406405</v>
      </c>
      <c r="AG1100" s="845">
        <v>0.76950834460983308</v>
      </c>
      <c r="AH1100" s="20" t="str">
        <f t="shared" si="100"/>
        <v>No</v>
      </c>
      <c r="AI1100" s="25"/>
      <c r="AJ1100" s="20">
        <v>44621</v>
      </c>
      <c r="AK1100" s="20" t="s">
        <v>1393</v>
      </c>
      <c r="AL1100" s="20">
        <v>39067</v>
      </c>
      <c r="AM1100" s="20" t="s">
        <v>40</v>
      </c>
      <c r="AN1100" s="37" t="str">
        <f t="shared" si="101"/>
        <v>N/A</v>
      </c>
      <c r="AO1100" s="37" t="str">
        <f t="shared" si="102"/>
        <v>N/A</v>
      </c>
      <c r="AP1100" s="20" t="s">
        <v>8</v>
      </c>
      <c r="AQ1100" s="25"/>
      <c r="AR1100" s="25"/>
      <c r="AS1100" s="25"/>
      <c r="AT1100" s="25"/>
      <c r="AU1100" s="36"/>
      <c r="AV1100" s="36"/>
      <c r="AW1100" s="36"/>
      <c r="AX1100" s="25"/>
      <c r="AY1100" s="25"/>
      <c r="AZ1100" s="25"/>
      <c r="BA1100" s="25"/>
      <c r="BB1100" s="25"/>
      <c r="BC1100" s="25"/>
      <c r="BD1100" s="25"/>
      <c r="BE1100" s="25"/>
      <c r="BF1100" s="25"/>
      <c r="BG1100" s="25"/>
      <c r="BH1100" s="25"/>
      <c r="BI1100" s="25"/>
      <c r="BJ1100" s="25"/>
      <c r="BK1100" s="25"/>
      <c r="BL1100" s="25"/>
      <c r="BM1100" s="25"/>
      <c r="BN1100" s="25"/>
      <c r="BO1100" s="25"/>
      <c r="BP1100" s="25"/>
      <c r="BQ1100" s="25"/>
      <c r="BR1100" s="25"/>
      <c r="BS1100" s="25"/>
      <c r="BT1100" s="25"/>
      <c r="BU1100" s="39">
        <v>44678</v>
      </c>
      <c r="BV1100" s="39" t="s">
        <v>1436</v>
      </c>
      <c r="BW1100" s="39" t="s">
        <v>2966</v>
      </c>
      <c r="BX1100" s="39" t="s">
        <v>2967</v>
      </c>
      <c r="BY1100" s="71">
        <v>770</v>
      </c>
      <c r="BZ1100" s="71">
        <v>770</v>
      </c>
      <c r="CA1100" s="71">
        <v>1020</v>
      </c>
      <c r="CB1100" s="71">
        <v>1310</v>
      </c>
      <c r="CC1100" s="71">
        <v>1480</v>
      </c>
      <c r="CD1100" s="25"/>
      <c r="CE1100" s="200"/>
      <c r="CF1100" s="200"/>
      <c r="CG1100" s="200"/>
      <c r="CH1100" s="200"/>
      <c r="CI1100" s="200"/>
      <c r="CJ1100" s="200"/>
      <c r="CK1100" s="200"/>
      <c r="CL1100" s="200"/>
      <c r="CM1100" s="200"/>
      <c r="CN1100" s="200"/>
      <c r="CO1100" s="200"/>
      <c r="CP1100" s="200"/>
      <c r="CQ1100" s="200"/>
      <c r="CR1100" s="200"/>
      <c r="CS1100" s="200"/>
      <c r="CT1100" s="200"/>
      <c r="CU1100" s="200"/>
    </row>
    <row r="1101" spans="1:99" s="17" customFormat="1" x14ac:dyDescent="0.2">
      <c r="A1101" s="25"/>
      <c r="B1101" s="20">
        <v>39085200200</v>
      </c>
      <c r="C1101" s="20">
        <v>2002</v>
      </c>
      <c r="D1101" s="20" t="s">
        <v>48</v>
      </c>
      <c r="E1101" s="20" t="s">
        <v>2829</v>
      </c>
      <c r="F1101" s="20" t="s">
        <v>8</v>
      </c>
      <c r="G1101" s="861">
        <v>55.073976557352502</v>
      </c>
      <c r="H1101" s="861">
        <v>63.500479351825902</v>
      </c>
      <c r="I1101" s="861">
        <v>24.071475054830401</v>
      </c>
      <c r="J1101" s="861">
        <v>39.885370022498499</v>
      </c>
      <c r="K1101" s="982">
        <v>0</v>
      </c>
      <c r="L1101" s="735">
        <v>2574</v>
      </c>
      <c r="M1101" s="735">
        <v>2433</v>
      </c>
      <c r="N1101" s="845">
        <f t="shared" si="98"/>
        <v>-5.4778554778554776E-2</v>
      </c>
      <c r="O1101" s="735">
        <v>0.35653715800262886</v>
      </c>
      <c r="P1101" s="735">
        <f t="shared" si="99"/>
        <v>6823.9731691081151</v>
      </c>
      <c r="Q1101" s="849">
        <v>42.2</v>
      </c>
      <c r="R1101" s="71">
        <v>66701</v>
      </c>
      <c r="S1101" s="845">
        <v>4.7677764077270861E-2</v>
      </c>
      <c r="T1101" s="845">
        <v>0</v>
      </c>
      <c r="U1101" s="845">
        <v>1.2E-2</v>
      </c>
      <c r="V1101" s="845">
        <v>0</v>
      </c>
      <c r="W1101" s="845">
        <v>0.24767540152155537</v>
      </c>
      <c r="X1101" s="845">
        <v>0.38566552901023893</v>
      </c>
      <c r="Y1101" s="845">
        <v>0.8573777229757501</v>
      </c>
      <c r="Z1101" s="845">
        <v>0.1220715166461159</v>
      </c>
      <c r="AA1101" s="845">
        <v>0</v>
      </c>
      <c r="AB1101" s="845">
        <v>0</v>
      </c>
      <c r="AC1101" s="845">
        <v>0</v>
      </c>
      <c r="AD1101" s="845">
        <v>0</v>
      </c>
      <c r="AE1101" s="845">
        <v>2.0550760378133991E-2</v>
      </c>
      <c r="AF1101" s="845">
        <v>0</v>
      </c>
      <c r="AG1101" s="845">
        <v>0.8573777229757501</v>
      </c>
      <c r="AH1101" s="20" t="str">
        <f t="shared" si="100"/>
        <v>No</v>
      </c>
      <c r="AI1101" s="25"/>
      <c r="AJ1101" s="20">
        <v>44683</v>
      </c>
      <c r="AK1101" s="20" t="s">
        <v>1440</v>
      </c>
      <c r="AL1101" s="20">
        <v>39067</v>
      </c>
      <c r="AM1101" s="20" t="s">
        <v>40</v>
      </c>
      <c r="AN1101" s="37" t="str">
        <f t="shared" si="101"/>
        <v>N/A</v>
      </c>
      <c r="AO1101" s="37" t="str">
        <f t="shared" si="102"/>
        <v>N/A</v>
      </c>
      <c r="AP1101" s="20" t="s">
        <v>8</v>
      </c>
      <c r="AQ1101" s="25"/>
      <c r="AR1101" s="25"/>
      <c r="AS1101" s="25"/>
      <c r="AT1101" s="25"/>
      <c r="AU1101" s="36"/>
      <c r="AV1101" s="36"/>
      <c r="AW1101" s="36"/>
      <c r="AX1101" s="25"/>
      <c r="AY1101" s="25"/>
      <c r="AZ1101" s="25"/>
      <c r="BA1101" s="25"/>
      <c r="BB1101" s="25"/>
      <c r="BC1101" s="25"/>
      <c r="BD1101" s="25"/>
      <c r="BE1101" s="25"/>
      <c r="BF1101" s="25"/>
      <c r="BG1101" s="25"/>
      <c r="BH1101" s="25"/>
      <c r="BI1101" s="25"/>
      <c r="BJ1101" s="25"/>
      <c r="BK1101" s="25"/>
      <c r="BL1101" s="25"/>
      <c r="BM1101" s="25"/>
      <c r="BN1101" s="25"/>
      <c r="BO1101" s="25"/>
      <c r="BP1101" s="25"/>
      <c r="BQ1101" s="25"/>
      <c r="BR1101" s="25"/>
      <c r="BS1101" s="25"/>
      <c r="BT1101" s="25"/>
      <c r="BU1101" s="39">
        <v>44680</v>
      </c>
      <c r="BV1101" s="39" t="s">
        <v>1437</v>
      </c>
      <c r="BW1101" s="39" t="s">
        <v>2966</v>
      </c>
      <c r="BX1101" s="39" t="s">
        <v>2967</v>
      </c>
      <c r="BY1101" s="71">
        <v>740</v>
      </c>
      <c r="BZ1101" s="71">
        <v>750</v>
      </c>
      <c r="CA1101" s="71">
        <v>980</v>
      </c>
      <c r="CB1101" s="71">
        <v>1260</v>
      </c>
      <c r="CC1101" s="71">
        <v>1420</v>
      </c>
      <c r="CD1101" s="25"/>
      <c r="CE1101" s="200"/>
      <c r="CF1101" s="200"/>
      <c r="CG1101" s="200"/>
      <c r="CH1101" s="200"/>
      <c r="CI1101" s="200"/>
      <c r="CJ1101" s="200"/>
      <c r="CK1101" s="200"/>
      <c r="CL1101" s="200"/>
      <c r="CM1101" s="200"/>
      <c r="CN1101" s="200"/>
      <c r="CO1101" s="200"/>
      <c r="CP1101" s="200"/>
      <c r="CQ1101" s="200"/>
      <c r="CR1101" s="200"/>
      <c r="CS1101" s="200"/>
      <c r="CT1101" s="200"/>
      <c r="CU1101" s="200"/>
    </row>
    <row r="1102" spans="1:99" s="17" customFormat="1" x14ac:dyDescent="0.2">
      <c r="A1102" s="25"/>
      <c r="B1102" s="20">
        <v>39049007115</v>
      </c>
      <c r="C1102" s="20">
        <v>71.150000000000006</v>
      </c>
      <c r="D1102" s="20" t="s">
        <v>31</v>
      </c>
      <c r="E1102" s="20" t="s">
        <v>2830</v>
      </c>
      <c r="F1102" s="20" t="s">
        <v>6</v>
      </c>
      <c r="G1102" s="861">
        <v>55.063740446734798</v>
      </c>
      <c r="H1102" s="861">
        <v>55.997314548343098</v>
      </c>
      <c r="I1102" s="861">
        <v>39.447602837447697</v>
      </c>
      <c r="J1102" s="861">
        <v>48.530034997769</v>
      </c>
      <c r="K1102" s="982">
        <v>0</v>
      </c>
      <c r="L1102" s="735">
        <v>5063</v>
      </c>
      <c r="M1102" s="735">
        <v>5457</v>
      </c>
      <c r="N1102" s="845">
        <f t="shared" si="98"/>
        <v>7.7819474619790635E-2</v>
      </c>
      <c r="O1102" s="735">
        <v>0.67993671214189477</v>
      </c>
      <c r="P1102" s="735">
        <f t="shared" si="99"/>
        <v>8025.7469593158085</v>
      </c>
      <c r="Q1102" s="849">
        <v>36.200000000000003</v>
      </c>
      <c r="R1102" s="71">
        <v>63125</v>
      </c>
      <c r="S1102" s="845">
        <v>0.26557807807807809</v>
      </c>
      <c r="T1102" s="845">
        <v>4.0000000000000001E-3</v>
      </c>
      <c r="U1102" s="845">
        <v>0</v>
      </c>
      <c r="V1102" s="845">
        <v>2.1000000000000001E-2</v>
      </c>
      <c r="W1102" s="845">
        <v>0.70349829351535831</v>
      </c>
      <c r="X1102" s="845">
        <v>0.39417828987265008</v>
      </c>
      <c r="Y1102" s="845">
        <v>0.38042880703683341</v>
      </c>
      <c r="Z1102" s="845">
        <v>0.47223749312809238</v>
      </c>
      <c r="AA1102" s="845">
        <v>2.0157595748579804E-3</v>
      </c>
      <c r="AB1102" s="845">
        <v>5.2409748946307497E-2</v>
      </c>
      <c r="AC1102" s="845">
        <v>0</v>
      </c>
      <c r="AD1102" s="845">
        <v>0</v>
      </c>
      <c r="AE1102" s="845">
        <v>9.2908191313908747E-2</v>
      </c>
      <c r="AF1102" s="845">
        <v>4.782847718526663E-2</v>
      </c>
      <c r="AG1102" s="845">
        <v>0.3644859813084112</v>
      </c>
      <c r="AH1102" s="20" t="str">
        <f t="shared" si="100"/>
        <v>No</v>
      </c>
      <c r="AI1102" s="25"/>
      <c r="AJ1102" s="20">
        <v>44693</v>
      </c>
      <c r="AK1102" s="20" t="s">
        <v>1447</v>
      </c>
      <c r="AL1102" s="20">
        <v>39067</v>
      </c>
      <c r="AM1102" s="20" t="s">
        <v>40</v>
      </c>
      <c r="AN1102" s="37" t="str">
        <f t="shared" si="101"/>
        <v>N/A</v>
      </c>
      <c r="AO1102" s="37" t="str">
        <f t="shared" si="102"/>
        <v>N/A</v>
      </c>
      <c r="AP1102" s="20" t="s">
        <v>8</v>
      </c>
      <c r="AQ1102" s="25"/>
      <c r="AR1102" s="25"/>
      <c r="AS1102" s="25"/>
      <c r="AT1102" s="25"/>
      <c r="AU1102" s="36"/>
      <c r="AV1102" s="36"/>
      <c r="AW1102" s="36"/>
      <c r="AX1102" s="25"/>
      <c r="AY1102" s="25"/>
      <c r="AZ1102" s="25"/>
      <c r="BA1102" s="25"/>
      <c r="BB1102" s="25"/>
      <c r="BC1102" s="25"/>
      <c r="BD1102" s="25"/>
      <c r="BE1102" s="25"/>
      <c r="BF1102" s="25"/>
      <c r="BG1102" s="25"/>
      <c r="BH1102" s="25"/>
      <c r="BI1102" s="25"/>
      <c r="BJ1102" s="25"/>
      <c r="BK1102" s="25"/>
      <c r="BL1102" s="25"/>
      <c r="BM1102" s="25"/>
      <c r="BN1102" s="25"/>
      <c r="BO1102" s="25"/>
      <c r="BP1102" s="25"/>
      <c r="BQ1102" s="25"/>
      <c r="BR1102" s="25"/>
      <c r="BS1102" s="25"/>
      <c r="BT1102" s="25"/>
      <c r="BU1102" s="39">
        <v>44682</v>
      </c>
      <c r="BV1102" s="39" t="s">
        <v>1439</v>
      </c>
      <c r="BW1102" s="39" t="s">
        <v>2966</v>
      </c>
      <c r="BX1102" s="39" t="s">
        <v>2967</v>
      </c>
      <c r="BY1102" s="71">
        <v>810</v>
      </c>
      <c r="BZ1102" s="71">
        <v>820</v>
      </c>
      <c r="CA1102" s="71">
        <v>1070</v>
      </c>
      <c r="CB1102" s="71">
        <v>1380</v>
      </c>
      <c r="CC1102" s="71">
        <v>1550</v>
      </c>
      <c r="CD1102" s="25"/>
      <c r="CE1102" s="200"/>
      <c r="CF1102" s="200"/>
      <c r="CG1102" s="200"/>
      <c r="CH1102" s="200"/>
      <c r="CI1102" s="200"/>
      <c r="CJ1102" s="200"/>
      <c r="CK1102" s="200"/>
      <c r="CL1102" s="200"/>
      <c r="CM1102" s="200"/>
      <c r="CN1102" s="200"/>
      <c r="CO1102" s="200"/>
      <c r="CP1102" s="200"/>
      <c r="CQ1102" s="200"/>
      <c r="CR1102" s="200"/>
      <c r="CS1102" s="200"/>
      <c r="CT1102" s="200"/>
      <c r="CU1102" s="200"/>
    </row>
    <row r="1103" spans="1:99" s="17" customFormat="1" x14ac:dyDescent="0.2">
      <c r="A1103" s="25"/>
      <c r="B1103" s="20">
        <v>39153520600</v>
      </c>
      <c r="C1103" s="20">
        <v>5206</v>
      </c>
      <c r="D1103" s="20" t="s">
        <v>82</v>
      </c>
      <c r="E1103" s="20" t="s">
        <v>2843</v>
      </c>
      <c r="F1103" s="20" t="s">
        <v>8</v>
      </c>
      <c r="G1103" s="861">
        <v>55.062552124114902</v>
      </c>
      <c r="H1103" s="861">
        <v>63.262791441254201</v>
      </c>
      <c r="I1103" s="861">
        <v>22.678764965578999</v>
      </c>
      <c r="J1103" s="861">
        <v>42.339096451388002</v>
      </c>
      <c r="K1103" s="982">
        <v>0</v>
      </c>
      <c r="L1103" s="735">
        <v>3502</v>
      </c>
      <c r="M1103" s="735">
        <v>3784</v>
      </c>
      <c r="N1103" s="845">
        <f t="shared" si="98"/>
        <v>8.0525414049114785E-2</v>
      </c>
      <c r="O1103" s="735">
        <v>0.86162712152373555</v>
      </c>
      <c r="P1103" s="735">
        <f t="shared" si="99"/>
        <v>4391.6909130114482</v>
      </c>
      <c r="Q1103" s="849">
        <v>42.7</v>
      </c>
      <c r="R1103" s="71">
        <v>70486</v>
      </c>
      <c r="S1103" s="845">
        <v>0.10849056603773585</v>
      </c>
      <c r="T1103" s="845">
        <v>8.5999999999999993E-2</v>
      </c>
      <c r="U1103" s="845">
        <v>2.4E-2</v>
      </c>
      <c r="V1103" s="845">
        <v>0</v>
      </c>
      <c r="W1103" s="845">
        <v>0.22741241548862937</v>
      </c>
      <c r="X1103" s="845">
        <v>0.3</v>
      </c>
      <c r="Y1103" s="845">
        <v>0.8781712473572939</v>
      </c>
      <c r="Z1103" s="845">
        <v>9.6987315010570826E-2</v>
      </c>
      <c r="AA1103" s="845">
        <v>0</v>
      </c>
      <c r="AB1103" s="845">
        <v>9.5137420718816069E-3</v>
      </c>
      <c r="AC1103" s="845">
        <v>0</v>
      </c>
      <c r="AD1103" s="845">
        <v>0</v>
      </c>
      <c r="AE1103" s="845">
        <v>1.53276955602537E-2</v>
      </c>
      <c r="AF1103" s="845">
        <v>5.549682875264271E-3</v>
      </c>
      <c r="AG1103" s="845">
        <v>0.87262156448202954</v>
      </c>
      <c r="AH1103" s="20" t="str">
        <f t="shared" si="100"/>
        <v>No</v>
      </c>
      <c r="AI1103" s="25"/>
      <c r="AJ1103" s="20">
        <v>44695</v>
      </c>
      <c r="AK1103" s="20" t="s">
        <v>1448</v>
      </c>
      <c r="AL1103" s="20">
        <v>39067</v>
      </c>
      <c r="AM1103" s="20" t="s">
        <v>40</v>
      </c>
      <c r="AN1103" s="37" t="str">
        <f t="shared" si="101"/>
        <v>N/A</v>
      </c>
      <c r="AO1103" s="37" t="str">
        <f t="shared" si="102"/>
        <v>N/A</v>
      </c>
      <c r="AP1103" s="20" t="s">
        <v>8</v>
      </c>
      <c r="AQ1103" s="25"/>
      <c r="AR1103" s="25"/>
      <c r="AS1103" s="25"/>
      <c r="AT1103" s="25"/>
      <c r="AU1103" s="36"/>
      <c r="AV1103" s="36"/>
      <c r="AW1103" s="36"/>
      <c r="AX1103" s="25"/>
      <c r="AY1103" s="25"/>
      <c r="AZ1103" s="25"/>
      <c r="BA1103" s="25"/>
      <c r="BB1103" s="25"/>
      <c r="BC1103" s="25"/>
      <c r="BD1103" s="25"/>
      <c r="BE1103" s="25"/>
      <c r="BF1103" s="25"/>
      <c r="BG1103" s="25"/>
      <c r="BH1103" s="25"/>
      <c r="BI1103" s="25"/>
      <c r="BJ1103" s="25"/>
      <c r="BK1103" s="25"/>
      <c r="BL1103" s="25"/>
      <c r="BM1103" s="25"/>
      <c r="BN1103" s="25"/>
      <c r="BO1103" s="25"/>
      <c r="BP1103" s="25"/>
      <c r="BQ1103" s="25"/>
      <c r="BR1103" s="25"/>
      <c r="BS1103" s="25"/>
      <c r="BT1103" s="25"/>
      <c r="BU1103" s="39">
        <v>44697</v>
      </c>
      <c r="BV1103" s="39" t="s">
        <v>1449</v>
      </c>
      <c r="BW1103" s="39" t="s">
        <v>2966</v>
      </c>
      <c r="BX1103" s="39" t="s">
        <v>2967</v>
      </c>
      <c r="BY1103" s="71">
        <v>780</v>
      </c>
      <c r="BZ1103" s="71">
        <v>780</v>
      </c>
      <c r="CA1103" s="71">
        <v>1030</v>
      </c>
      <c r="CB1103" s="71">
        <v>1320</v>
      </c>
      <c r="CC1103" s="71">
        <v>1490</v>
      </c>
      <c r="CD1103" s="25"/>
      <c r="CE1103" s="200"/>
      <c r="CF1103" s="200"/>
      <c r="CG1103" s="200"/>
      <c r="CH1103" s="200"/>
      <c r="CI1103" s="200"/>
      <c r="CJ1103" s="200"/>
      <c r="CK1103" s="200"/>
      <c r="CL1103" s="200"/>
      <c r="CM1103" s="200"/>
      <c r="CN1103" s="200"/>
      <c r="CO1103" s="200"/>
      <c r="CP1103" s="200"/>
      <c r="CQ1103" s="200"/>
      <c r="CR1103" s="200"/>
      <c r="CS1103" s="200"/>
      <c r="CT1103" s="200"/>
      <c r="CU1103" s="200"/>
    </row>
    <row r="1104" spans="1:99" s="17" customFormat="1" x14ac:dyDescent="0.2">
      <c r="A1104" s="25"/>
      <c r="B1104" s="20">
        <v>39039958300</v>
      </c>
      <c r="C1104" s="20">
        <v>9583</v>
      </c>
      <c r="D1104" s="20" t="s">
        <v>26</v>
      </c>
      <c r="E1104" s="20" t="s">
        <v>265</v>
      </c>
      <c r="F1104" s="20" t="s">
        <v>8</v>
      </c>
      <c r="G1104" s="861">
        <v>55.045220017987504</v>
      </c>
      <c r="H1104" s="861">
        <v>55.774867801509998</v>
      </c>
      <c r="I1104" s="861">
        <v>28.495178641627799</v>
      </c>
      <c r="J1104" s="861">
        <v>42.771100192839199</v>
      </c>
      <c r="K1104" s="982">
        <v>0</v>
      </c>
      <c r="L1104" s="735">
        <v>4007</v>
      </c>
      <c r="M1104" s="735">
        <v>4054</v>
      </c>
      <c r="N1104" s="845">
        <f t="shared" si="98"/>
        <v>1.1729473421512353E-2</v>
      </c>
      <c r="O1104" s="735">
        <v>19.677143228275284</v>
      </c>
      <c r="P1104" s="735">
        <f t="shared" si="99"/>
        <v>206.02584191055544</v>
      </c>
      <c r="Q1104" s="849">
        <v>37.6</v>
      </c>
      <c r="R1104" s="71">
        <v>66490</v>
      </c>
      <c r="S1104" s="845">
        <v>2.5461807289066399E-2</v>
      </c>
      <c r="T1104" s="845">
        <v>1.9E-2</v>
      </c>
      <c r="U1104" s="845">
        <v>0</v>
      </c>
      <c r="V1104" s="845">
        <v>5.7000000000000002E-2</v>
      </c>
      <c r="W1104" s="845">
        <v>0.22866043613707165</v>
      </c>
      <c r="X1104" s="845">
        <v>0.1335149863760218</v>
      </c>
      <c r="Y1104" s="845">
        <v>0.86926492353231377</v>
      </c>
      <c r="Z1104" s="845">
        <v>4.1933892451899357E-3</v>
      </c>
      <c r="AA1104" s="845">
        <v>0</v>
      </c>
      <c r="AB1104" s="845">
        <v>0</v>
      </c>
      <c r="AC1104" s="845">
        <v>0</v>
      </c>
      <c r="AD1104" s="845">
        <v>5.0567340897878642E-2</v>
      </c>
      <c r="AE1104" s="845">
        <v>7.5974346324617664E-2</v>
      </c>
      <c r="AF1104" s="845">
        <v>0.1144548593981253</v>
      </c>
      <c r="AG1104" s="845">
        <v>0.82363098174642324</v>
      </c>
      <c r="AH1104" s="20" t="str">
        <f t="shared" si="100"/>
        <v>No</v>
      </c>
      <c r="AI1104" s="25"/>
      <c r="AJ1104" s="37">
        <v>44699</v>
      </c>
      <c r="AK1104" s="37" t="s">
        <v>1450</v>
      </c>
      <c r="AL1104" s="37">
        <v>39067</v>
      </c>
      <c r="AM1104" s="37" t="s">
        <v>40</v>
      </c>
      <c r="AN1104" s="37" t="str">
        <f t="shared" si="101"/>
        <v>N/A</v>
      </c>
      <c r="AO1104" s="37" t="str">
        <f t="shared" si="102"/>
        <v>N/A</v>
      </c>
      <c r="AP1104" s="20" t="s">
        <v>8</v>
      </c>
      <c r="AQ1104" s="25"/>
      <c r="AR1104" s="25"/>
      <c r="AS1104" s="25"/>
      <c r="AT1104" s="25"/>
      <c r="AU1104" s="36"/>
      <c r="AV1104" s="36"/>
      <c r="AW1104" s="36"/>
      <c r="AX1104" s="25"/>
      <c r="AY1104" s="25"/>
      <c r="AZ1104" s="25"/>
      <c r="BA1104" s="25"/>
      <c r="BB1104" s="25"/>
      <c r="BC1104" s="25"/>
      <c r="BD1104" s="25"/>
      <c r="BE1104" s="25"/>
      <c r="BF1104" s="25"/>
      <c r="BG1104" s="25"/>
      <c r="BH1104" s="25"/>
      <c r="BI1104" s="25"/>
      <c r="BJ1104" s="25"/>
      <c r="BK1104" s="25"/>
      <c r="BL1104" s="25"/>
      <c r="BM1104" s="25"/>
      <c r="BN1104" s="25"/>
      <c r="BO1104" s="25"/>
      <c r="BP1104" s="25"/>
      <c r="BQ1104" s="25"/>
      <c r="BR1104" s="25"/>
      <c r="BS1104" s="25"/>
      <c r="BT1104" s="25"/>
      <c r="BU1104" s="39">
        <v>43007</v>
      </c>
      <c r="BV1104" s="39" t="s">
        <v>734</v>
      </c>
      <c r="BW1104" s="39" t="s">
        <v>2933</v>
      </c>
      <c r="BX1104" s="39" t="s">
        <v>308</v>
      </c>
      <c r="BY1104" s="71">
        <v>1110</v>
      </c>
      <c r="BZ1104" s="71">
        <v>1120</v>
      </c>
      <c r="CA1104" s="71">
        <v>1430</v>
      </c>
      <c r="CB1104" s="71">
        <v>1710</v>
      </c>
      <c r="CC1104" s="71">
        <v>1890</v>
      </c>
      <c r="CD1104" s="25"/>
      <c r="CE1104" s="200"/>
      <c r="CF1104" s="200"/>
      <c r="CG1104" s="200"/>
      <c r="CH1104" s="200"/>
      <c r="CI1104" s="200"/>
      <c r="CJ1104" s="200"/>
      <c r="CK1104" s="200"/>
      <c r="CL1104" s="200"/>
      <c r="CM1104" s="200"/>
      <c r="CN1104" s="200"/>
      <c r="CO1104" s="200"/>
      <c r="CP1104" s="200"/>
      <c r="CQ1104" s="200"/>
      <c r="CR1104" s="200"/>
      <c r="CS1104" s="200"/>
      <c r="CT1104" s="200"/>
      <c r="CU1104" s="200"/>
    </row>
    <row r="1105" spans="1:99" s="17" customFormat="1" x14ac:dyDescent="0.2">
      <c r="A1105" s="25"/>
      <c r="B1105" s="20">
        <v>39055312202</v>
      </c>
      <c r="C1105" s="20">
        <v>3122.02</v>
      </c>
      <c r="D1105" s="20" t="s">
        <v>34</v>
      </c>
      <c r="E1105" s="20" t="s">
        <v>2829</v>
      </c>
      <c r="F1105" s="20" t="s">
        <v>8</v>
      </c>
      <c r="G1105" s="861">
        <v>55.032490612619902</v>
      </c>
      <c r="H1105" s="861">
        <v>69.842973377490793</v>
      </c>
      <c r="I1105" s="861">
        <v>21.8520947357792</v>
      </c>
      <c r="J1105" s="861">
        <v>36.502746598144498</v>
      </c>
      <c r="K1105" s="982">
        <v>0</v>
      </c>
      <c r="L1105" s="735">
        <v>4235</v>
      </c>
      <c r="M1105" s="735">
        <v>4201</v>
      </c>
      <c r="N1105" s="845">
        <f t="shared" si="98"/>
        <v>-8.0283353010625735E-3</v>
      </c>
      <c r="O1105" s="735">
        <v>22.197793023845197</v>
      </c>
      <c r="P1105" s="735">
        <f t="shared" si="99"/>
        <v>189.25304851195</v>
      </c>
      <c r="Q1105" s="849">
        <v>45.3</v>
      </c>
      <c r="R1105" s="71">
        <v>125724</v>
      </c>
      <c r="S1105" s="845">
        <v>4.6539379474940336E-2</v>
      </c>
      <c r="T1105" s="845">
        <v>3.0000000000000001E-3</v>
      </c>
      <c r="U1105" s="845">
        <v>0</v>
      </c>
      <c r="V1105" s="845">
        <v>0</v>
      </c>
      <c r="W1105" s="845">
        <v>2.7855153203342618E-2</v>
      </c>
      <c r="X1105" s="845">
        <v>0.2</v>
      </c>
      <c r="Y1105" s="845">
        <v>0.90383242085217808</v>
      </c>
      <c r="Z1105" s="845">
        <v>0</v>
      </c>
      <c r="AA1105" s="845">
        <v>0</v>
      </c>
      <c r="AB1105" s="845">
        <v>3.3325398714591763E-3</v>
      </c>
      <c r="AC1105" s="845">
        <v>0</v>
      </c>
      <c r="AD1105" s="845">
        <v>2.2613663413472984E-2</v>
      </c>
      <c r="AE1105" s="845">
        <v>7.022137586288979E-2</v>
      </c>
      <c r="AF1105" s="845">
        <v>7.5458224232325635E-2</v>
      </c>
      <c r="AG1105" s="845">
        <v>0.90216615091644847</v>
      </c>
      <c r="AH1105" s="20" t="str">
        <f t="shared" si="100"/>
        <v>Yes</v>
      </c>
      <c r="AI1105" s="25"/>
      <c r="AJ1105" s="37">
        <v>43502</v>
      </c>
      <c r="AK1105" s="37" t="s">
        <v>950</v>
      </c>
      <c r="AL1105" s="37">
        <v>39069</v>
      </c>
      <c r="AM1105" s="37" t="s">
        <v>41</v>
      </c>
      <c r="AN1105" s="37" t="str">
        <f t="shared" si="101"/>
        <v>N/A</v>
      </c>
      <c r="AO1105" s="37" t="str">
        <f t="shared" si="102"/>
        <v>N/A</v>
      </c>
      <c r="AP1105" s="20" t="s">
        <v>8</v>
      </c>
      <c r="AQ1105" s="25"/>
      <c r="AR1105" s="25"/>
      <c r="AS1105" s="25"/>
      <c r="AT1105" s="25"/>
      <c r="AU1105" s="36"/>
      <c r="AV1105" s="36"/>
      <c r="AW1105" s="36"/>
      <c r="AX1105" s="25"/>
      <c r="AY1105" s="25"/>
      <c r="AZ1105" s="25"/>
      <c r="BA1105" s="25"/>
      <c r="BB1105" s="25"/>
      <c r="BC1105" s="25"/>
      <c r="BD1105" s="25"/>
      <c r="BE1105" s="25"/>
      <c r="BF1105" s="25"/>
      <c r="BG1105" s="25"/>
      <c r="BH1105" s="25"/>
      <c r="BI1105" s="25"/>
      <c r="BJ1105" s="25"/>
      <c r="BK1105" s="25"/>
      <c r="BL1105" s="25"/>
      <c r="BM1105" s="25"/>
      <c r="BN1105" s="25"/>
      <c r="BO1105" s="25"/>
      <c r="BP1105" s="25"/>
      <c r="BQ1105" s="25"/>
      <c r="BR1105" s="25"/>
      <c r="BS1105" s="25"/>
      <c r="BT1105" s="25"/>
      <c r="BU1105" s="39">
        <v>43036</v>
      </c>
      <c r="BV1105" s="39" t="s">
        <v>759</v>
      </c>
      <c r="BW1105" s="39" t="s">
        <v>2933</v>
      </c>
      <c r="BX1105" s="39" t="s">
        <v>308</v>
      </c>
      <c r="BY1105" s="71">
        <v>990</v>
      </c>
      <c r="BZ1105" s="71">
        <v>1000</v>
      </c>
      <c r="CA1105" s="71">
        <v>1290</v>
      </c>
      <c r="CB1105" s="71">
        <v>1550</v>
      </c>
      <c r="CC1105" s="71">
        <v>1710</v>
      </c>
      <c r="CD1105" s="25"/>
      <c r="CE1105" s="200"/>
      <c r="CF1105" s="200"/>
      <c r="CG1105" s="200"/>
      <c r="CH1105" s="200"/>
      <c r="CI1105" s="200"/>
      <c r="CJ1105" s="200"/>
      <c r="CK1105" s="200"/>
      <c r="CL1105" s="200"/>
      <c r="CM1105" s="200"/>
      <c r="CN1105" s="200"/>
      <c r="CO1105" s="200"/>
      <c r="CP1105" s="200"/>
      <c r="CQ1105" s="200"/>
      <c r="CR1105" s="200"/>
      <c r="CS1105" s="200"/>
      <c r="CT1105" s="200"/>
      <c r="CU1105" s="200"/>
    </row>
    <row r="1106" spans="1:99" s="17" customFormat="1" x14ac:dyDescent="0.2">
      <c r="A1106" s="25"/>
      <c r="B1106" s="20">
        <v>39011040600</v>
      </c>
      <c r="C1106" s="20">
        <v>406</v>
      </c>
      <c r="D1106" s="20" t="s">
        <v>12</v>
      </c>
      <c r="E1106" s="20" t="s">
        <v>265</v>
      </c>
      <c r="F1106" s="20" t="s">
        <v>8</v>
      </c>
      <c r="G1106" s="861">
        <v>55.023869414354202</v>
      </c>
      <c r="H1106" s="861">
        <v>58.8844168472706</v>
      </c>
      <c r="I1106" s="861">
        <v>32.803899230391998</v>
      </c>
      <c r="J1106" s="861">
        <v>39.407415673801999</v>
      </c>
      <c r="K1106" s="982">
        <v>0</v>
      </c>
      <c r="L1106" s="735">
        <v>3560</v>
      </c>
      <c r="M1106" s="735">
        <v>3869</v>
      </c>
      <c r="N1106" s="845">
        <f t="shared" si="98"/>
        <v>8.6797752808988771E-2</v>
      </c>
      <c r="O1106" s="735">
        <v>25.295183691017023</v>
      </c>
      <c r="P1106" s="735">
        <f t="shared" si="99"/>
        <v>152.95401872784117</v>
      </c>
      <c r="Q1106" s="849">
        <v>40.700000000000003</v>
      </c>
      <c r="R1106" s="71">
        <v>62102</v>
      </c>
      <c r="S1106" s="845">
        <v>0.14574049803407602</v>
      </c>
      <c r="T1106" s="845">
        <v>2.2000000000000002E-2</v>
      </c>
      <c r="U1106" s="845">
        <v>0</v>
      </c>
      <c r="V1106" s="845">
        <v>0</v>
      </c>
      <c r="W1106" s="845">
        <v>0.19987507807620236</v>
      </c>
      <c r="X1106" s="845">
        <v>0.13125000000000001</v>
      </c>
      <c r="Y1106" s="845">
        <v>0.95916257430860685</v>
      </c>
      <c r="Z1106" s="845">
        <v>6.2031532695787026E-3</v>
      </c>
      <c r="AA1106" s="845">
        <v>5.1692943913155855E-4</v>
      </c>
      <c r="AB1106" s="845">
        <v>2.843111915223572E-3</v>
      </c>
      <c r="AC1106" s="845">
        <v>0</v>
      </c>
      <c r="AD1106" s="845">
        <v>1.5507883173946756E-3</v>
      </c>
      <c r="AE1106" s="845">
        <v>2.9723442750064617E-2</v>
      </c>
      <c r="AF1106" s="845">
        <v>8.0124063065391566E-3</v>
      </c>
      <c r="AG1106" s="845">
        <v>0.95916257430860685</v>
      </c>
      <c r="AH1106" s="20" t="str">
        <f t="shared" si="100"/>
        <v>Yes</v>
      </c>
      <c r="AI1106" s="25"/>
      <c r="AJ1106" s="20">
        <v>43510</v>
      </c>
      <c r="AK1106" s="20" t="s">
        <v>954</v>
      </c>
      <c r="AL1106" s="20">
        <v>39069</v>
      </c>
      <c r="AM1106" s="20" t="s">
        <v>41</v>
      </c>
      <c r="AN1106" s="37" t="str">
        <f t="shared" si="101"/>
        <v>N/A</v>
      </c>
      <c r="AO1106" s="37" t="str">
        <f t="shared" si="102"/>
        <v>N/A</v>
      </c>
      <c r="AP1106" s="20" t="s">
        <v>8</v>
      </c>
      <c r="AQ1106" s="25"/>
      <c r="AR1106" s="25"/>
      <c r="AS1106" s="25"/>
      <c r="AT1106" s="25"/>
      <c r="AU1106" s="36"/>
      <c r="AV1106" s="36"/>
      <c r="AW1106" s="36"/>
      <c r="AX1106" s="25"/>
      <c r="AY1106" s="25"/>
      <c r="AZ1106" s="25"/>
      <c r="BA1106" s="25"/>
      <c r="BB1106" s="25"/>
      <c r="BC1106" s="25"/>
      <c r="BD1106" s="25"/>
      <c r="BE1106" s="25"/>
      <c r="BF1106" s="25"/>
      <c r="BG1106" s="25"/>
      <c r="BH1106" s="25"/>
      <c r="BI1106" s="25"/>
      <c r="BJ1106" s="25"/>
      <c r="BK1106" s="25"/>
      <c r="BL1106" s="25"/>
      <c r="BM1106" s="25"/>
      <c r="BN1106" s="25"/>
      <c r="BO1106" s="25"/>
      <c r="BP1106" s="25"/>
      <c r="BQ1106" s="25"/>
      <c r="BR1106" s="25"/>
      <c r="BS1106" s="25"/>
      <c r="BT1106" s="25"/>
      <c r="BU1106" s="39">
        <v>43045</v>
      </c>
      <c r="BV1106" s="39" t="s">
        <v>763</v>
      </c>
      <c r="BW1106" s="39" t="s">
        <v>2933</v>
      </c>
      <c r="BX1106" s="39" t="s">
        <v>308</v>
      </c>
      <c r="BY1106" s="71">
        <v>1050</v>
      </c>
      <c r="BZ1106" s="71">
        <v>1070</v>
      </c>
      <c r="CA1106" s="71">
        <v>1360</v>
      </c>
      <c r="CB1106" s="71">
        <v>1630</v>
      </c>
      <c r="CC1106" s="71">
        <v>1800</v>
      </c>
      <c r="CD1106" s="25"/>
      <c r="CE1106" s="200"/>
      <c r="CF1106" s="200"/>
      <c r="CG1106" s="200"/>
      <c r="CH1106" s="200"/>
      <c r="CI1106" s="200"/>
      <c r="CJ1106" s="200"/>
      <c r="CK1106" s="200"/>
      <c r="CL1106" s="200"/>
      <c r="CM1106" s="200"/>
      <c r="CN1106" s="200"/>
      <c r="CO1106" s="200"/>
      <c r="CP1106" s="200"/>
      <c r="CQ1106" s="200"/>
      <c r="CR1106" s="200"/>
      <c r="CS1106" s="200"/>
      <c r="CT1106" s="200"/>
      <c r="CU1106" s="200"/>
    </row>
    <row r="1107" spans="1:99" s="17" customFormat="1" x14ac:dyDescent="0.2">
      <c r="A1107" s="25"/>
      <c r="B1107" s="20">
        <v>39035154502</v>
      </c>
      <c r="C1107" s="20">
        <v>1545.02</v>
      </c>
      <c r="D1107" s="20" t="s">
        <v>24</v>
      </c>
      <c r="E1107" s="20" t="s">
        <v>2829</v>
      </c>
      <c r="F1107" s="20" t="s">
        <v>8</v>
      </c>
      <c r="G1107" s="861">
        <v>55.022696768553203</v>
      </c>
      <c r="H1107" s="861">
        <v>56.462721878407798</v>
      </c>
      <c r="I1107" s="861">
        <v>35.493975787936897</v>
      </c>
      <c r="J1107" s="861">
        <v>53.0743770404423</v>
      </c>
      <c r="K1107" s="982">
        <v>0</v>
      </c>
      <c r="L1107" s="735">
        <v>2929</v>
      </c>
      <c r="M1107" s="735">
        <v>3779</v>
      </c>
      <c r="N1107" s="845">
        <f t="shared" si="98"/>
        <v>0.29020143393649711</v>
      </c>
      <c r="O1107" s="735">
        <v>1.3154867340298331</v>
      </c>
      <c r="P1107" s="735">
        <f t="shared" si="99"/>
        <v>2872.7009571761282</v>
      </c>
      <c r="Q1107" s="849">
        <v>34.700000000000003</v>
      </c>
      <c r="R1107" s="71">
        <v>58494</v>
      </c>
      <c r="S1107" s="845">
        <v>0.24993208367291497</v>
      </c>
      <c r="T1107" s="845">
        <v>0.08</v>
      </c>
      <c r="U1107" s="845">
        <v>0</v>
      </c>
      <c r="V1107" s="845">
        <v>0</v>
      </c>
      <c r="W1107" s="845">
        <v>0.305685618729097</v>
      </c>
      <c r="X1107" s="845">
        <v>0.50328227571115969</v>
      </c>
      <c r="Y1107" s="845">
        <v>0.23233659698332892</v>
      </c>
      <c r="Z1107" s="845">
        <v>0.64911352209579254</v>
      </c>
      <c r="AA1107" s="845">
        <v>0</v>
      </c>
      <c r="AB1107" s="845">
        <v>2.3815824292140776E-3</v>
      </c>
      <c r="AC1107" s="845">
        <v>0</v>
      </c>
      <c r="AD1107" s="845">
        <v>0</v>
      </c>
      <c r="AE1107" s="845">
        <v>0.11616829849166446</v>
      </c>
      <c r="AF1107" s="845">
        <v>1.1643291876157714E-2</v>
      </c>
      <c r="AG1107" s="845">
        <v>0.23233659698332892</v>
      </c>
      <c r="AH1107" s="20" t="str">
        <f t="shared" si="100"/>
        <v>No</v>
      </c>
      <c r="AI1107" s="25"/>
      <c r="AJ1107" s="20">
        <v>43511</v>
      </c>
      <c r="AK1107" s="20" t="s">
        <v>955</v>
      </c>
      <c r="AL1107" s="20">
        <v>39069</v>
      </c>
      <c r="AM1107" s="20" t="s">
        <v>41</v>
      </c>
      <c r="AN1107" s="37" t="str">
        <f t="shared" si="101"/>
        <v>N/A</v>
      </c>
      <c r="AO1107" s="37" t="str">
        <f t="shared" si="102"/>
        <v>N/A</v>
      </c>
      <c r="AP1107" s="20" t="s">
        <v>8</v>
      </c>
      <c r="AQ1107" s="25"/>
      <c r="AR1107" s="25"/>
      <c r="AS1107" s="25"/>
      <c r="AT1107" s="25"/>
      <c r="AU1107" s="36"/>
      <c r="AV1107" s="36"/>
      <c r="AW1107" s="36"/>
      <c r="AX1107" s="25"/>
      <c r="AY1107" s="25"/>
      <c r="AZ1107" s="25"/>
      <c r="BA1107" s="25"/>
      <c r="BB1107" s="25"/>
      <c r="BC1107" s="25"/>
      <c r="BD1107" s="25"/>
      <c r="BE1107" s="25"/>
      <c r="BF1107" s="25"/>
      <c r="BG1107" s="25"/>
      <c r="BH1107" s="25"/>
      <c r="BI1107" s="25"/>
      <c r="BJ1107" s="25"/>
      <c r="BK1107" s="25"/>
      <c r="BL1107" s="25"/>
      <c r="BM1107" s="25"/>
      <c r="BN1107" s="25"/>
      <c r="BO1107" s="25"/>
      <c r="BP1107" s="25"/>
      <c r="BQ1107" s="25"/>
      <c r="BR1107" s="25"/>
      <c r="BS1107" s="25"/>
      <c r="BT1107" s="25"/>
      <c r="BU1107" s="39">
        <v>43060</v>
      </c>
      <c r="BV1107" s="39" t="s">
        <v>770</v>
      </c>
      <c r="BW1107" s="39" t="s">
        <v>2933</v>
      </c>
      <c r="BX1107" s="39" t="s">
        <v>308</v>
      </c>
      <c r="BY1107" s="71">
        <v>990</v>
      </c>
      <c r="BZ1107" s="71">
        <v>1000</v>
      </c>
      <c r="CA1107" s="71">
        <v>1290</v>
      </c>
      <c r="CB1107" s="71">
        <v>1610</v>
      </c>
      <c r="CC1107" s="71">
        <v>1770</v>
      </c>
      <c r="CD1107" s="25"/>
      <c r="CE1107" s="200"/>
      <c r="CF1107" s="200"/>
      <c r="CG1107" s="200"/>
      <c r="CH1107" s="200"/>
      <c r="CI1107" s="200"/>
      <c r="CJ1107" s="200"/>
      <c r="CK1107" s="200"/>
      <c r="CL1107" s="200"/>
      <c r="CM1107" s="200"/>
      <c r="CN1107" s="200"/>
      <c r="CO1107" s="200"/>
      <c r="CP1107" s="200"/>
      <c r="CQ1107" s="200"/>
      <c r="CR1107" s="200"/>
      <c r="CS1107" s="200"/>
      <c r="CT1107" s="200"/>
      <c r="CU1107" s="200"/>
    </row>
    <row r="1108" spans="1:99" s="17" customFormat="1" x14ac:dyDescent="0.2">
      <c r="A1108" s="25"/>
      <c r="B1108" s="20">
        <v>39173020701</v>
      </c>
      <c r="C1108" s="20">
        <v>207.01</v>
      </c>
      <c r="D1108" s="20" t="s">
        <v>92</v>
      </c>
      <c r="E1108" s="20" t="s">
        <v>2839</v>
      </c>
      <c r="F1108" s="20" t="s">
        <v>8</v>
      </c>
      <c r="G1108" s="861">
        <v>55.013503076460402</v>
      </c>
      <c r="H1108" s="861">
        <v>50.399537094940897</v>
      </c>
      <c r="I1108" s="861">
        <v>29.541995270108501</v>
      </c>
      <c r="J1108" s="861">
        <v>56.031277807545798</v>
      </c>
      <c r="K1108" s="982">
        <v>0</v>
      </c>
      <c r="L1108" s="735" t="s">
        <v>2466</v>
      </c>
      <c r="M1108" s="735">
        <v>3603</v>
      </c>
      <c r="N1108" s="845" t="str">
        <f t="shared" si="98"/>
        <v/>
      </c>
      <c r="O1108" s="735">
        <v>7.9300846674543228</v>
      </c>
      <c r="P1108" s="735">
        <f t="shared" si="99"/>
        <v>454.34571648232065</v>
      </c>
      <c r="Q1108" s="849">
        <v>34.5</v>
      </c>
      <c r="R1108" s="71">
        <v>69263</v>
      </c>
      <c r="S1108" s="845">
        <v>0.12273755656108597</v>
      </c>
      <c r="T1108" s="845">
        <v>5.2000000000000005E-2</v>
      </c>
      <c r="U1108" s="845">
        <v>0</v>
      </c>
      <c r="V1108" s="845">
        <v>2.2000000000000002E-2</v>
      </c>
      <c r="W1108" s="845">
        <v>0.73657802308078268</v>
      </c>
      <c r="X1108" s="845">
        <v>0.24931880108991825</v>
      </c>
      <c r="Y1108" s="845">
        <v>0.87149597557590897</v>
      </c>
      <c r="Z1108" s="845">
        <v>1.5542603386067166E-2</v>
      </c>
      <c r="AA1108" s="845">
        <v>0</v>
      </c>
      <c r="AB1108" s="845">
        <v>5.5509297807382736E-2</v>
      </c>
      <c r="AC1108" s="845">
        <v>0</v>
      </c>
      <c r="AD1108" s="845">
        <v>1.3044684984734944E-2</v>
      </c>
      <c r="AE1108" s="845">
        <v>4.4407438245906192E-2</v>
      </c>
      <c r="AF1108" s="845">
        <v>4.3019705800721619E-2</v>
      </c>
      <c r="AG1108" s="845">
        <v>0.8390230363585901</v>
      </c>
      <c r="AH1108" s="20" t="str">
        <f t="shared" si="100"/>
        <v>No</v>
      </c>
      <c r="AI1108" s="25"/>
      <c r="AJ1108" s="37">
        <v>43512</v>
      </c>
      <c r="AK1108" s="37" t="s">
        <v>956</v>
      </c>
      <c r="AL1108" s="37">
        <v>39069</v>
      </c>
      <c r="AM1108" s="37" t="s">
        <v>41</v>
      </c>
      <c r="AN1108" s="37" t="str">
        <f t="shared" si="101"/>
        <v>N/A</v>
      </c>
      <c r="AO1108" s="37" t="str">
        <f t="shared" si="102"/>
        <v>N/A</v>
      </c>
      <c r="AP1108" s="20" t="s">
        <v>8</v>
      </c>
      <c r="AQ1108" s="25"/>
      <c r="AR1108" s="25"/>
      <c r="AS1108" s="25"/>
      <c r="AT1108" s="25"/>
      <c r="AU1108" s="36"/>
      <c r="AV1108" s="36"/>
      <c r="AW1108" s="36"/>
      <c r="AX1108" s="25"/>
      <c r="AY1108" s="25"/>
      <c r="AZ1108" s="25"/>
      <c r="BA1108" s="25"/>
      <c r="BB1108" s="25"/>
      <c r="BC1108" s="25"/>
      <c r="BD1108" s="25"/>
      <c r="BE1108" s="25"/>
      <c r="BF1108" s="25"/>
      <c r="BG1108" s="25"/>
      <c r="BH1108" s="25"/>
      <c r="BI1108" s="25"/>
      <c r="BJ1108" s="25"/>
      <c r="BK1108" s="25"/>
      <c r="BL1108" s="25"/>
      <c r="BM1108" s="25"/>
      <c r="BN1108" s="25"/>
      <c r="BO1108" s="25"/>
      <c r="BP1108" s="25"/>
      <c r="BQ1108" s="25"/>
      <c r="BR1108" s="25"/>
      <c r="BS1108" s="25"/>
      <c r="BT1108" s="25"/>
      <c r="BU1108" s="39">
        <v>43067</v>
      </c>
      <c r="BV1108" s="39" t="s">
        <v>776</v>
      </c>
      <c r="BW1108" s="39" t="s">
        <v>2933</v>
      </c>
      <c r="BX1108" s="39" t="s">
        <v>308</v>
      </c>
      <c r="BY1108" s="71">
        <v>1020</v>
      </c>
      <c r="BZ1108" s="71">
        <v>1030</v>
      </c>
      <c r="CA1108" s="71">
        <v>1330</v>
      </c>
      <c r="CB1108" s="71">
        <v>1600</v>
      </c>
      <c r="CC1108" s="71">
        <v>1760</v>
      </c>
      <c r="CD1108" s="25"/>
      <c r="CE1108" s="200"/>
      <c r="CF1108" s="200"/>
      <c r="CG1108" s="200"/>
      <c r="CH1108" s="200"/>
      <c r="CI1108" s="200"/>
      <c r="CJ1108" s="200"/>
      <c r="CK1108" s="200"/>
      <c r="CL1108" s="200"/>
      <c r="CM1108" s="200"/>
      <c r="CN1108" s="200"/>
      <c r="CO1108" s="200"/>
      <c r="CP1108" s="200"/>
      <c r="CQ1108" s="200"/>
      <c r="CR1108" s="200"/>
      <c r="CS1108" s="200"/>
      <c r="CT1108" s="200"/>
      <c r="CU1108" s="200"/>
    </row>
    <row r="1109" spans="1:99" s="17" customFormat="1" x14ac:dyDescent="0.2">
      <c r="A1109" s="25"/>
      <c r="B1109" s="20">
        <v>39069000700</v>
      </c>
      <c r="C1109" s="20">
        <v>7</v>
      </c>
      <c r="D1109" s="20" t="s">
        <v>41</v>
      </c>
      <c r="E1109" s="20" t="s">
        <v>265</v>
      </c>
      <c r="F1109" s="20" t="s">
        <v>8</v>
      </c>
      <c r="G1109" s="861">
        <v>55.008298314318203</v>
      </c>
      <c r="H1109" s="861">
        <v>53.973748755503301</v>
      </c>
      <c r="I1109" s="861">
        <v>17.079675736486099</v>
      </c>
      <c r="J1109" s="861">
        <v>46.827008330161902</v>
      </c>
      <c r="K1109" s="982">
        <v>0</v>
      </c>
      <c r="L1109" s="735">
        <v>4185</v>
      </c>
      <c r="M1109" s="735">
        <v>3834</v>
      </c>
      <c r="N1109" s="845">
        <f t="shared" si="98"/>
        <v>-8.387096774193549E-2</v>
      </c>
      <c r="O1109" s="735">
        <v>84.128089684550716</v>
      </c>
      <c r="P1109" s="735">
        <f t="shared" si="99"/>
        <v>45.573363360276986</v>
      </c>
      <c r="Q1109" s="849">
        <v>48.3</v>
      </c>
      <c r="R1109" s="71">
        <v>76579</v>
      </c>
      <c r="S1109" s="845">
        <v>6.8445163028833203E-2</v>
      </c>
      <c r="T1109" s="845">
        <v>4.0999999999999995E-2</v>
      </c>
      <c r="U1109" s="845">
        <v>3.0000000000000001E-3</v>
      </c>
      <c r="V1109" s="845">
        <v>4.2000000000000003E-2</v>
      </c>
      <c r="W1109" s="845">
        <v>0.13434579439252337</v>
      </c>
      <c r="X1109" s="845">
        <v>0.17391304347826086</v>
      </c>
      <c r="Y1109" s="845">
        <v>0.9061032863849765</v>
      </c>
      <c r="Z1109" s="845">
        <v>1.2519561815336464E-2</v>
      </c>
      <c r="AA1109" s="845">
        <v>0</v>
      </c>
      <c r="AB1109" s="845">
        <v>2.0865936358894104E-3</v>
      </c>
      <c r="AC1109" s="845">
        <v>0</v>
      </c>
      <c r="AD1109" s="845">
        <v>2.7125717266562335E-2</v>
      </c>
      <c r="AE1109" s="845">
        <v>5.2164840897235262E-2</v>
      </c>
      <c r="AF1109" s="845">
        <v>7.6682316118935834E-2</v>
      </c>
      <c r="AG1109" s="845">
        <v>0.8959311424100157</v>
      </c>
      <c r="AH1109" s="20" t="str">
        <f t="shared" si="100"/>
        <v>No</v>
      </c>
      <c r="AI1109" s="25"/>
      <c r="AJ1109" s="37">
        <v>43516</v>
      </c>
      <c r="AK1109" s="37" t="s">
        <v>958</v>
      </c>
      <c r="AL1109" s="37">
        <v>39069</v>
      </c>
      <c r="AM1109" s="37" t="s">
        <v>41</v>
      </c>
      <c r="AN1109" s="37" t="str">
        <f t="shared" si="101"/>
        <v>N/A</v>
      </c>
      <c r="AO1109" s="37" t="str">
        <f t="shared" si="102"/>
        <v>N/A</v>
      </c>
      <c r="AP1109" s="20" t="s">
        <v>8</v>
      </c>
      <c r="AQ1109" s="25"/>
      <c r="AR1109" s="25"/>
      <c r="AS1109" s="25"/>
      <c r="AT1109" s="25"/>
      <c r="AU1109" s="36"/>
      <c r="AV1109" s="36"/>
      <c r="AW1109" s="36"/>
      <c r="AX1109" s="25"/>
      <c r="AY1109" s="25"/>
      <c r="AZ1109" s="25"/>
      <c r="BA1109" s="25"/>
      <c r="BB1109" s="25"/>
      <c r="BC1109" s="25"/>
      <c r="BD1109" s="25"/>
      <c r="BE1109" s="25"/>
      <c r="BF1109" s="25"/>
      <c r="BG1109" s="25"/>
      <c r="BH1109" s="25"/>
      <c r="BI1109" s="25"/>
      <c r="BJ1109" s="25"/>
      <c r="BK1109" s="25"/>
      <c r="BL1109" s="25"/>
      <c r="BM1109" s="25"/>
      <c r="BN1109" s="25"/>
      <c r="BO1109" s="25"/>
      <c r="BP1109" s="25"/>
      <c r="BQ1109" s="25"/>
      <c r="BR1109" s="25"/>
      <c r="BS1109" s="25"/>
      <c r="BT1109" s="25"/>
      <c r="BU1109" s="39">
        <v>43077</v>
      </c>
      <c r="BV1109" s="39" t="s">
        <v>783</v>
      </c>
      <c r="BW1109" s="39" t="s">
        <v>2933</v>
      </c>
      <c r="BX1109" s="39" t="s">
        <v>308</v>
      </c>
      <c r="BY1109" s="71">
        <v>1060</v>
      </c>
      <c r="BZ1109" s="71">
        <v>1080</v>
      </c>
      <c r="CA1109" s="71">
        <v>1370</v>
      </c>
      <c r="CB1109" s="71">
        <v>1640</v>
      </c>
      <c r="CC1109" s="71">
        <v>1810</v>
      </c>
      <c r="CD1109" s="25"/>
      <c r="CE1109" s="200"/>
      <c r="CF1109" s="200"/>
      <c r="CG1109" s="200"/>
      <c r="CH1109" s="200"/>
      <c r="CI1109" s="200"/>
      <c r="CJ1109" s="200"/>
      <c r="CK1109" s="200"/>
      <c r="CL1109" s="200"/>
      <c r="CM1109" s="200"/>
      <c r="CN1109" s="200"/>
      <c r="CO1109" s="200"/>
      <c r="CP1109" s="200"/>
      <c r="CQ1109" s="200"/>
      <c r="CR1109" s="200"/>
      <c r="CS1109" s="200"/>
      <c r="CT1109" s="200"/>
      <c r="CU1109" s="200"/>
    </row>
    <row r="1110" spans="1:99" s="17" customFormat="1" x14ac:dyDescent="0.2">
      <c r="A1110" s="25"/>
      <c r="B1110" s="20">
        <v>39165032502</v>
      </c>
      <c r="C1110" s="20">
        <v>325.02</v>
      </c>
      <c r="D1110" s="20" t="s">
        <v>88</v>
      </c>
      <c r="E1110" s="20" t="s">
        <v>2828</v>
      </c>
      <c r="F1110" s="20" t="s">
        <v>6</v>
      </c>
      <c r="G1110" s="861">
        <v>54.992135335083098</v>
      </c>
      <c r="H1110" s="861">
        <v>60.230674996288201</v>
      </c>
      <c r="I1110" s="861">
        <v>44.921646414793202</v>
      </c>
      <c r="J1110" s="861">
        <v>37.115887486985997</v>
      </c>
      <c r="K1110" s="982">
        <v>0</v>
      </c>
      <c r="L1110" s="735">
        <v>4280</v>
      </c>
      <c r="M1110" s="735">
        <v>4087</v>
      </c>
      <c r="N1110" s="845">
        <f t="shared" si="98"/>
        <v>-4.5093457943925233E-2</v>
      </c>
      <c r="O1110" s="735">
        <v>1.4061531734213251</v>
      </c>
      <c r="P1110" s="735">
        <f t="shared" si="99"/>
        <v>2906.5112373610623</v>
      </c>
      <c r="Q1110" s="849">
        <v>30.6</v>
      </c>
      <c r="R1110" s="71">
        <v>45862</v>
      </c>
      <c r="S1110" s="845">
        <v>0.23035230352303523</v>
      </c>
      <c r="T1110" s="845">
        <v>1.1000000000000001E-2</v>
      </c>
      <c r="U1110" s="845">
        <v>2.3E-2</v>
      </c>
      <c r="V1110" s="845">
        <v>5.7000000000000002E-2</v>
      </c>
      <c r="W1110" s="845">
        <v>0.55000000000000004</v>
      </c>
      <c r="X1110" s="845">
        <v>0.3770334928229665</v>
      </c>
      <c r="Y1110" s="845">
        <v>0.89796917054073888</v>
      </c>
      <c r="Z1110" s="845">
        <v>8.3190604355272823E-3</v>
      </c>
      <c r="AA1110" s="845">
        <v>1.027648642035723E-2</v>
      </c>
      <c r="AB1110" s="845">
        <v>1.3946660141913383E-2</v>
      </c>
      <c r="AC1110" s="845">
        <v>0</v>
      </c>
      <c r="AD1110" s="845">
        <v>1.9329581600195742E-2</v>
      </c>
      <c r="AE1110" s="845">
        <v>5.0159040861267434E-2</v>
      </c>
      <c r="AF1110" s="845">
        <v>4.9180327868852458E-2</v>
      </c>
      <c r="AG1110" s="845">
        <v>0.89796917054073888</v>
      </c>
      <c r="AH1110" s="20" t="str">
        <f t="shared" si="100"/>
        <v>No</v>
      </c>
      <c r="AI1110" s="25"/>
      <c r="AJ1110" s="20">
        <v>43522</v>
      </c>
      <c r="AK1110" s="20" t="s">
        <v>964</v>
      </c>
      <c r="AL1110" s="20">
        <v>39069</v>
      </c>
      <c r="AM1110" s="20" t="s">
        <v>41</v>
      </c>
      <c r="AN1110" s="37" t="str">
        <f t="shared" si="101"/>
        <v>N/A</v>
      </c>
      <c r="AO1110" s="37" t="str">
        <f t="shared" si="102"/>
        <v>N/A</v>
      </c>
      <c r="AP1110" s="20" t="s">
        <v>8</v>
      </c>
      <c r="AQ1110" s="25"/>
      <c r="AR1110" s="25"/>
      <c r="AS1110" s="25"/>
      <c r="AT1110" s="25"/>
      <c r="AU1110" s="36"/>
      <c r="AV1110" s="36"/>
      <c r="AW1110" s="36"/>
      <c r="AX1110" s="25"/>
      <c r="AY1110" s="25"/>
      <c r="AZ1110" s="25"/>
      <c r="BA1110" s="25"/>
      <c r="BB1110" s="25"/>
      <c r="BC1110" s="25"/>
      <c r="BD1110" s="25"/>
      <c r="BE1110" s="25"/>
      <c r="BF1110" s="25"/>
      <c r="BG1110" s="25"/>
      <c r="BH1110" s="25"/>
      <c r="BI1110" s="25"/>
      <c r="BJ1110" s="25"/>
      <c r="BK1110" s="25"/>
      <c r="BL1110" s="25"/>
      <c r="BM1110" s="25"/>
      <c r="BN1110" s="25"/>
      <c r="BO1110" s="25"/>
      <c r="BP1110" s="25"/>
      <c r="BQ1110" s="25"/>
      <c r="BR1110" s="25"/>
      <c r="BS1110" s="25"/>
      <c r="BT1110" s="25"/>
      <c r="BU1110" s="39">
        <v>43084</v>
      </c>
      <c r="BV1110" s="39" t="s">
        <v>788</v>
      </c>
      <c r="BW1110" s="39" t="s">
        <v>2933</v>
      </c>
      <c r="BX1110" s="39" t="s">
        <v>308</v>
      </c>
      <c r="BY1110" s="71">
        <v>990</v>
      </c>
      <c r="BZ1110" s="71">
        <v>1000</v>
      </c>
      <c r="CA1110" s="71">
        <v>1290</v>
      </c>
      <c r="CB1110" s="71">
        <v>1550</v>
      </c>
      <c r="CC1110" s="71">
        <v>1710</v>
      </c>
      <c r="CD1110" s="25"/>
      <c r="CE1110" s="200"/>
      <c r="CF1110" s="200"/>
      <c r="CG1110" s="200"/>
      <c r="CH1110" s="200"/>
      <c r="CI1110" s="200"/>
      <c r="CJ1110" s="200"/>
      <c r="CK1110" s="200"/>
      <c r="CL1110" s="200"/>
      <c r="CM1110" s="200"/>
      <c r="CN1110" s="200"/>
      <c r="CO1110" s="200"/>
      <c r="CP1110" s="200"/>
      <c r="CQ1110" s="200"/>
      <c r="CR1110" s="200"/>
      <c r="CS1110" s="200"/>
      <c r="CT1110" s="200"/>
      <c r="CU1110" s="200"/>
    </row>
    <row r="1111" spans="1:99" s="17" customFormat="1" x14ac:dyDescent="0.2">
      <c r="A1111" s="25"/>
      <c r="B1111" s="20">
        <v>39101010500</v>
      </c>
      <c r="C1111" s="20">
        <v>105</v>
      </c>
      <c r="D1111" s="20" t="s">
        <v>56</v>
      </c>
      <c r="E1111" s="20" t="s">
        <v>265</v>
      </c>
      <c r="F1111" s="20" t="s">
        <v>8</v>
      </c>
      <c r="G1111" s="861">
        <v>54.976043677711203</v>
      </c>
      <c r="H1111" s="861">
        <v>61.677754044766999</v>
      </c>
      <c r="I1111" s="861">
        <v>16.0655287124343</v>
      </c>
      <c r="J1111" s="861">
        <v>49.425838218418903</v>
      </c>
      <c r="K1111" s="982">
        <v>0</v>
      </c>
      <c r="L1111" s="735">
        <v>5622</v>
      </c>
      <c r="M1111" s="735">
        <v>5773</v>
      </c>
      <c r="N1111" s="845">
        <f t="shared" si="98"/>
        <v>2.6858769121309144E-2</v>
      </c>
      <c r="O1111" s="735">
        <v>65.042853420666859</v>
      </c>
      <c r="P1111" s="735">
        <f t="shared" si="99"/>
        <v>88.756868685679066</v>
      </c>
      <c r="Q1111" s="849">
        <v>41.3</v>
      </c>
      <c r="R1111" s="71">
        <v>91683</v>
      </c>
      <c r="S1111" s="845">
        <v>4.8182292572621327E-2</v>
      </c>
      <c r="T1111" s="845">
        <v>1.3000000000000001E-2</v>
      </c>
      <c r="U1111" s="845">
        <v>5.7000000000000002E-2</v>
      </c>
      <c r="V1111" s="845">
        <v>0</v>
      </c>
      <c r="W1111" s="845">
        <v>0.1279445727482679</v>
      </c>
      <c r="X1111" s="845">
        <v>0.2563176895306859</v>
      </c>
      <c r="Y1111" s="845">
        <v>0.94491598822102896</v>
      </c>
      <c r="Z1111" s="845">
        <v>0</v>
      </c>
      <c r="AA1111" s="845">
        <v>0</v>
      </c>
      <c r="AB1111" s="845">
        <v>3.8108435821929674E-3</v>
      </c>
      <c r="AC1111" s="845">
        <v>0</v>
      </c>
      <c r="AD1111" s="845">
        <v>9.7003291183093716E-3</v>
      </c>
      <c r="AE1111" s="845">
        <v>4.1572839078468732E-2</v>
      </c>
      <c r="AF1111" s="845">
        <v>9.353888792655465E-3</v>
      </c>
      <c r="AG1111" s="845">
        <v>0.94301056642993242</v>
      </c>
      <c r="AH1111" s="20" t="str">
        <f t="shared" si="100"/>
        <v>Yes</v>
      </c>
      <c r="AI1111" s="25"/>
      <c r="AJ1111" s="20">
        <v>43523</v>
      </c>
      <c r="AK1111" s="20" t="s">
        <v>965</v>
      </c>
      <c r="AL1111" s="20">
        <v>39069</v>
      </c>
      <c r="AM1111" s="20" t="s">
        <v>41</v>
      </c>
      <c r="AN1111" s="37" t="str">
        <f t="shared" si="101"/>
        <v>N/A</v>
      </c>
      <c r="AO1111" s="37" t="str">
        <f t="shared" si="102"/>
        <v>N/A</v>
      </c>
      <c r="AP1111" s="20" t="s">
        <v>8</v>
      </c>
      <c r="AQ1111" s="25"/>
      <c r="AR1111" s="25"/>
      <c r="AS1111" s="25"/>
      <c r="AT1111" s="25"/>
      <c r="AU1111" s="36"/>
      <c r="AV1111" s="36"/>
      <c r="AW1111" s="36"/>
      <c r="AX1111" s="25"/>
      <c r="AY1111" s="25"/>
      <c r="AZ1111" s="25"/>
      <c r="BA1111" s="25"/>
      <c r="BB1111" s="25"/>
      <c r="BC1111" s="25"/>
      <c r="BD1111" s="25"/>
      <c r="BE1111" s="25"/>
      <c r="BF1111" s="25"/>
      <c r="BG1111" s="25"/>
      <c r="BH1111" s="25"/>
      <c r="BI1111" s="25"/>
      <c r="BJ1111" s="25"/>
      <c r="BK1111" s="25"/>
      <c r="BL1111" s="25"/>
      <c r="BM1111" s="25"/>
      <c r="BN1111" s="25"/>
      <c r="BO1111" s="25"/>
      <c r="BP1111" s="25"/>
      <c r="BQ1111" s="25"/>
      <c r="BR1111" s="25"/>
      <c r="BS1111" s="25"/>
      <c r="BT1111" s="25"/>
      <c r="BU1111" s="39">
        <v>43302</v>
      </c>
      <c r="BV1111" s="39" t="s">
        <v>866</v>
      </c>
      <c r="BW1111" s="39" t="s">
        <v>2933</v>
      </c>
      <c r="BX1111" s="39" t="s">
        <v>308</v>
      </c>
      <c r="BY1111" s="71">
        <v>990</v>
      </c>
      <c r="BZ1111" s="71">
        <v>1000</v>
      </c>
      <c r="CA1111" s="71">
        <v>1290</v>
      </c>
      <c r="CB1111" s="71">
        <v>1550</v>
      </c>
      <c r="CC1111" s="71">
        <v>1710</v>
      </c>
      <c r="CD1111" s="25"/>
      <c r="CE1111" s="200"/>
      <c r="CF1111" s="200"/>
      <c r="CG1111" s="200"/>
      <c r="CH1111" s="200"/>
      <c r="CI1111" s="200"/>
      <c r="CJ1111" s="200"/>
      <c r="CK1111" s="200"/>
      <c r="CL1111" s="200"/>
      <c r="CM1111" s="200"/>
      <c r="CN1111" s="200"/>
      <c r="CO1111" s="200"/>
      <c r="CP1111" s="200"/>
      <c r="CQ1111" s="200"/>
      <c r="CR1111" s="200"/>
      <c r="CS1111" s="200"/>
      <c r="CT1111" s="200"/>
      <c r="CU1111" s="200"/>
    </row>
    <row r="1112" spans="1:99" s="17" customFormat="1" x14ac:dyDescent="0.2">
      <c r="A1112" s="25"/>
      <c r="B1112" s="20">
        <v>39035138109</v>
      </c>
      <c r="C1112" s="20">
        <v>1381.09</v>
      </c>
      <c r="D1112" s="20" t="s">
        <v>24</v>
      </c>
      <c r="E1112" s="20" t="s">
        <v>2829</v>
      </c>
      <c r="F1112" s="20" t="s">
        <v>8</v>
      </c>
      <c r="G1112" s="861">
        <v>54.973299616612898</v>
      </c>
      <c r="H1112" s="861">
        <v>59.838905120560099</v>
      </c>
      <c r="I1112" s="861">
        <v>35.292830828765702</v>
      </c>
      <c r="J1112" s="861">
        <v>41.029665431629603</v>
      </c>
      <c r="K1112" s="982">
        <v>0</v>
      </c>
      <c r="L1112" s="735">
        <v>4102</v>
      </c>
      <c r="M1112" s="735">
        <v>4265</v>
      </c>
      <c r="N1112" s="845">
        <f t="shared" si="98"/>
        <v>3.9736713798147243E-2</v>
      </c>
      <c r="O1112" s="735">
        <v>1.5999718238088747</v>
      </c>
      <c r="P1112" s="735">
        <f t="shared" si="99"/>
        <v>2665.6719428013362</v>
      </c>
      <c r="Q1112" s="849">
        <v>45.3</v>
      </c>
      <c r="R1112" s="71">
        <v>68818</v>
      </c>
      <c r="S1112" s="845">
        <v>5.8382180539273153E-2</v>
      </c>
      <c r="T1112" s="845">
        <v>3.3000000000000002E-2</v>
      </c>
      <c r="U1112" s="845">
        <v>0</v>
      </c>
      <c r="V1112" s="845">
        <v>5.7999999999999996E-2</v>
      </c>
      <c r="W1112" s="845">
        <v>0.20981912144702841</v>
      </c>
      <c r="X1112" s="845">
        <v>0.43103448275862066</v>
      </c>
      <c r="Y1112" s="845">
        <v>0.87409144196951938</v>
      </c>
      <c r="Z1112" s="845">
        <v>5.0644783118405624E-2</v>
      </c>
      <c r="AA1112" s="845">
        <v>1.4067995310668229E-3</v>
      </c>
      <c r="AB1112" s="845">
        <v>3.1887456037514653E-2</v>
      </c>
      <c r="AC1112" s="845">
        <v>0</v>
      </c>
      <c r="AD1112" s="845">
        <v>1.1254396248534583E-2</v>
      </c>
      <c r="AE1112" s="845">
        <v>3.0715123094958968E-2</v>
      </c>
      <c r="AF1112" s="845">
        <v>2.3681125439624855E-2</v>
      </c>
      <c r="AG1112" s="845">
        <v>0.87127784290738575</v>
      </c>
      <c r="AH1112" s="20" t="str">
        <f t="shared" si="100"/>
        <v>No</v>
      </c>
      <c r="AI1112" s="25"/>
      <c r="AJ1112" s="20">
        <v>43524</v>
      </c>
      <c r="AK1112" s="20" t="s">
        <v>966</v>
      </c>
      <c r="AL1112" s="20">
        <v>39069</v>
      </c>
      <c r="AM1112" s="20" t="s">
        <v>41</v>
      </c>
      <c r="AN1112" s="37" t="str">
        <f t="shared" si="101"/>
        <v>N/A</v>
      </c>
      <c r="AO1112" s="37" t="str">
        <f t="shared" si="102"/>
        <v>N/A</v>
      </c>
      <c r="AP1112" s="20" t="s">
        <v>8</v>
      </c>
      <c r="AQ1112" s="25"/>
      <c r="AR1112" s="25"/>
      <c r="AS1112" s="25"/>
      <c r="AT1112" s="25"/>
      <c r="AU1112" s="36"/>
      <c r="AV1112" s="36"/>
      <c r="AW1112" s="36"/>
      <c r="AX1112" s="25"/>
      <c r="AY1112" s="25"/>
      <c r="AZ1112" s="25"/>
      <c r="BA1112" s="25"/>
      <c r="BB1112" s="25"/>
      <c r="BC1112" s="25"/>
      <c r="BD1112" s="25"/>
      <c r="BE1112" s="25"/>
      <c r="BF1112" s="25"/>
      <c r="BG1112" s="25"/>
      <c r="BH1112" s="25"/>
      <c r="BI1112" s="25"/>
      <c r="BJ1112" s="25"/>
      <c r="BK1112" s="25"/>
      <c r="BL1112" s="25"/>
      <c r="BM1112" s="25"/>
      <c r="BN1112" s="25"/>
      <c r="BO1112" s="25"/>
      <c r="BP1112" s="25"/>
      <c r="BQ1112" s="25"/>
      <c r="BR1112" s="25"/>
      <c r="BS1112" s="25"/>
      <c r="BT1112" s="25"/>
      <c r="BU1112" s="39">
        <v>43319</v>
      </c>
      <c r="BV1112" s="39" t="s">
        <v>874</v>
      </c>
      <c r="BW1112" s="39" t="s">
        <v>2933</v>
      </c>
      <c r="BX1112" s="39" t="s">
        <v>308</v>
      </c>
      <c r="BY1112" s="71">
        <v>990</v>
      </c>
      <c r="BZ1112" s="71">
        <v>1000</v>
      </c>
      <c r="CA1112" s="71">
        <v>1290</v>
      </c>
      <c r="CB1112" s="71">
        <v>1550</v>
      </c>
      <c r="CC1112" s="71">
        <v>1710</v>
      </c>
      <c r="CD1112" s="25"/>
      <c r="CE1112" s="200"/>
      <c r="CF1112" s="200"/>
      <c r="CG1112" s="200"/>
      <c r="CH1112" s="200"/>
      <c r="CI1112" s="200"/>
      <c r="CJ1112" s="200"/>
      <c r="CK1112" s="200"/>
      <c r="CL1112" s="200"/>
      <c r="CM1112" s="200"/>
      <c r="CN1112" s="200"/>
      <c r="CO1112" s="200"/>
      <c r="CP1112" s="200"/>
      <c r="CQ1112" s="200"/>
      <c r="CR1112" s="200"/>
      <c r="CS1112" s="200"/>
      <c r="CT1112" s="200"/>
      <c r="CU1112" s="200"/>
    </row>
    <row r="1113" spans="1:99" s="17" customFormat="1" x14ac:dyDescent="0.2">
      <c r="A1113" s="25"/>
      <c r="B1113" s="20">
        <v>39123050301</v>
      </c>
      <c r="C1113" s="20">
        <v>503.01</v>
      </c>
      <c r="D1113" s="20" t="s">
        <v>67</v>
      </c>
      <c r="E1113" s="20" t="s">
        <v>2837</v>
      </c>
      <c r="F1113" s="20" t="s">
        <v>8</v>
      </c>
      <c r="G1113" s="861">
        <v>54.965749283535303</v>
      </c>
      <c r="H1113" s="861">
        <v>51.464629356522501</v>
      </c>
      <c r="I1113" s="861">
        <v>46.522299962727303</v>
      </c>
      <c r="J1113" s="861">
        <v>49.666584292229103</v>
      </c>
      <c r="K1113" s="982">
        <v>0</v>
      </c>
      <c r="L1113" s="735">
        <v>2676</v>
      </c>
      <c r="M1113" s="735">
        <v>2695</v>
      </c>
      <c r="N1113" s="845">
        <f t="shared" si="98"/>
        <v>7.1001494768310911E-3</v>
      </c>
      <c r="O1113" s="735">
        <v>11.392287820193893</v>
      </c>
      <c r="P1113" s="735">
        <f t="shared" si="99"/>
        <v>236.56354566664487</v>
      </c>
      <c r="Q1113" s="849">
        <v>60.7</v>
      </c>
      <c r="R1113" s="71">
        <v>64850</v>
      </c>
      <c r="S1113" s="845">
        <v>5.3061224489795916E-2</v>
      </c>
      <c r="T1113" s="845">
        <v>4.4999999999999998E-2</v>
      </c>
      <c r="U1113" s="845">
        <v>0.03</v>
      </c>
      <c r="V1113" s="845">
        <v>0</v>
      </c>
      <c r="W1113" s="845">
        <v>0.14307458143074581</v>
      </c>
      <c r="X1113" s="845">
        <v>0.43085106382978722</v>
      </c>
      <c r="Y1113" s="845">
        <v>0.99554730983302409</v>
      </c>
      <c r="Z1113" s="845">
        <v>0</v>
      </c>
      <c r="AA1113" s="845">
        <v>7.4211502782931351E-4</v>
      </c>
      <c r="AB1113" s="845">
        <v>3.7105751391465678E-3</v>
      </c>
      <c r="AC1113" s="845">
        <v>0</v>
      </c>
      <c r="AD1113" s="845">
        <v>0</v>
      </c>
      <c r="AE1113" s="845">
        <v>0</v>
      </c>
      <c r="AF1113" s="845">
        <v>1.2244897959183673E-2</v>
      </c>
      <c r="AG1113" s="845">
        <v>0.98330241187384049</v>
      </c>
      <c r="AH1113" s="20" t="str">
        <f t="shared" si="100"/>
        <v>Yes</v>
      </c>
      <c r="AI1113" s="25"/>
      <c r="AJ1113" s="20">
        <v>43527</v>
      </c>
      <c r="AK1113" s="20" t="s">
        <v>969</v>
      </c>
      <c r="AL1113" s="20">
        <v>39069</v>
      </c>
      <c r="AM1113" s="20" t="s">
        <v>41</v>
      </c>
      <c r="AN1113" s="37" t="str">
        <f t="shared" si="101"/>
        <v>N/A</v>
      </c>
      <c r="AO1113" s="37" t="str">
        <f t="shared" si="102"/>
        <v>N/A</v>
      </c>
      <c r="AP1113" s="20" t="s">
        <v>8</v>
      </c>
      <c r="AQ1113" s="25"/>
      <c r="AR1113" s="25"/>
      <c r="AS1113" s="25"/>
      <c r="AT1113" s="25"/>
      <c r="AU1113" s="36"/>
      <c r="AV1113" s="36"/>
      <c r="AW1113" s="36"/>
      <c r="AX1113" s="25"/>
      <c r="AY1113" s="25"/>
      <c r="AZ1113" s="25"/>
      <c r="BA1113" s="25"/>
      <c r="BB1113" s="25"/>
      <c r="BC1113" s="25"/>
      <c r="BD1113" s="25"/>
      <c r="BE1113" s="25"/>
      <c r="BF1113" s="25"/>
      <c r="BG1113" s="25"/>
      <c r="BH1113" s="25"/>
      <c r="BI1113" s="25"/>
      <c r="BJ1113" s="25"/>
      <c r="BK1113" s="25"/>
      <c r="BL1113" s="25"/>
      <c r="BM1113" s="25"/>
      <c r="BN1113" s="25"/>
      <c r="BO1113" s="25"/>
      <c r="BP1113" s="25"/>
      <c r="BQ1113" s="25"/>
      <c r="BR1113" s="25"/>
      <c r="BS1113" s="25"/>
      <c r="BT1113" s="25"/>
      <c r="BU1113" s="39">
        <v>43340</v>
      </c>
      <c r="BV1113" s="39" t="s">
        <v>890</v>
      </c>
      <c r="BW1113" s="39" t="s">
        <v>2933</v>
      </c>
      <c r="BX1113" s="39" t="s">
        <v>308</v>
      </c>
      <c r="BY1113" s="71">
        <v>990</v>
      </c>
      <c r="BZ1113" s="71">
        <v>1000</v>
      </c>
      <c r="CA1113" s="71">
        <v>1290</v>
      </c>
      <c r="CB1113" s="71">
        <v>1550</v>
      </c>
      <c r="CC1113" s="71">
        <v>1710</v>
      </c>
      <c r="CD1113" s="25"/>
      <c r="CE1113" s="200"/>
      <c r="CF1113" s="200"/>
      <c r="CG1113" s="200"/>
      <c r="CH1113" s="200"/>
      <c r="CI1113" s="200"/>
      <c r="CJ1113" s="200"/>
      <c r="CK1113" s="200"/>
      <c r="CL1113" s="200"/>
      <c r="CM1113" s="200"/>
      <c r="CN1113" s="200"/>
      <c r="CO1113" s="200"/>
      <c r="CP1113" s="200"/>
      <c r="CQ1113" s="200"/>
      <c r="CR1113" s="200"/>
      <c r="CS1113" s="200"/>
      <c r="CT1113" s="200"/>
      <c r="CU1113" s="200"/>
    </row>
    <row r="1114" spans="1:99" s="17" customFormat="1" x14ac:dyDescent="0.2">
      <c r="A1114" s="25"/>
      <c r="B1114" s="20">
        <v>39153510302</v>
      </c>
      <c r="C1114" s="20">
        <v>5103.0200000000004</v>
      </c>
      <c r="D1114" s="20" t="s">
        <v>82</v>
      </c>
      <c r="E1114" s="20" t="s">
        <v>2843</v>
      </c>
      <c r="F1114" s="20" t="s">
        <v>8</v>
      </c>
      <c r="G1114" s="861">
        <v>54.958491716282801</v>
      </c>
      <c r="H1114" s="861">
        <v>61.650962168126398</v>
      </c>
      <c r="I1114" s="861">
        <v>29.949045775612799</v>
      </c>
      <c r="J1114" s="861">
        <v>49.378689745699198</v>
      </c>
      <c r="K1114" s="982">
        <v>0</v>
      </c>
      <c r="L1114" s="735">
        <v>6058</v>
      </c>
      <c r="M1114" s="735">
        <v>5279</v>
      </c>
      <c r="N1114" s="845">
        <f t="shared" si="98"/>
        <v>-0.12859029382634532</v>
      </c>
      <c r="O1114" s="735">
        <v>2.5069725127039293</v>
      </c>
      <c r="P1114" s="735">
        <f t="shared" si="99"/>
        <v>2105.7271163720352</v>
      </c>
      <c r="Q1114" s="849">
        <v>50.7</v>
      </c>
      <c r="R1114" s="71">
        <v>67500</v>
      </c>
      <c r="S1114" s="845">
        <v>6.6197451017690701E-2</v>
      </c>
      <c r="T1114" s="845">
        <v>4.0000000000000001E-3</v>
      </c>
      <c r="U1114" s="845">
        <v>0</v>
      </c>
      <c r="V1114" s="845">
        <v>0</v>
      </c>
      <c r="W1114" s="845">
        <v>0.14689922480620154</v>
      </c>
      <c r="X1114" s="845">
        <v>0.52506596306068598</v>
      </c>
      <c r="Y1114" s="845">
        <v>0.94336048494032965</v>
      </c>
      <c r="Z1114" s="845">
        <v>1.8564121992801667E-2</v>
      </c>
      <c r="AA1114" s="845">
        <v>0</v>
      </c>
      <c r="AB1114" s="845">
        <v>1.5154385300246258E-3</v>
      </c>
      <c r="AC1114" s="845">
        <v>0</v>
      </c>
      <c r="AD1114" s="845">
        <v>0</v>
      </c>
      <c r="AE1114" s="845">
        <v>3.6559954536844103E-2</v>
      </c>
      <c r="AF1114" s="845">
        <v>8.1454820988823649E-3</v>
      </c>
      <c r="AG1114" s="845">
        <v>0.93957188861526808</v>
      </c>
      <c r="AH1114" s="20" t="str">
        <f t="shared" si="100"/>
        <v>Yes</v>
      </c>
      <c r="AI1114" s="25"/>
      <c r="AJ1114" s="37">
        <v>43532</v>
      </c>
      <c r="AK1114" s="37" t="s">
        <v>974</v>
      </c>
      <c r="AL1114" s="37">
        <v>39069</v>
      </c>
      <c r="AM1114" s="37" t="s">
        <v>41</v>
      </c>
      <c r="AN1114" s="37" t="str">
        <f t="shared" si="101"/>
        <v>N/A</v>
      </c>
      <c r="AO1114" s="37" t="str">
        <f t="shared" si="102"/>
        <v>N/A</v>
      </c>
      <c r="AP1114" s="20" t="s">
        <v>8</v>
      </c>
      <c r="AQ1114" s="25"/>
      <c r="AR1114" s="25"/>
      <c r="AS1114" s="25"/>
      <c r="AT1114" s="25"/>
      <c r="AU1114" s="36"/>
      <c r="AV1114" s="36"/>
      <c r="AW1114" s="36"/>
      <c r="AX1114" s="25"/>
      <c r="AY1114" s="25"/>
      <c r="AZ1114" s="25"/>
      <c r="BA1114" s="25"/>
      <c r="BB1114" s="25"/>
      <c r="BC1114" s="25"/>
      <c r="BD1114" s="25"/>
      <c r="BE1114" s="25"/>
      <c r="BF1114" s="25"/>
      <c r="BG1114" s="25"/>
      <c r="BH1114" s="25"/>
      <c r="BI1114" s="25"/>
      <c r="BJ1114" s="25"/>
      <c r="BK1114" s="25"/>
      <c r="BL1114" s="25"/>
      <c r="BM1114" s="25"/>
      <c r="BN1114" s="25"/>
      <c r="BO1114" s="25"/>
      <c r="BP1114" s="25"/>
      <c r="BQ1114" s="25"/>
      <c r="BR1114" s="25"/>
      <c r="BS1114" s="25"/>
      <c r="BT1114" s="25"/>
      <c r="BU1114" s="39">
        <v>43345</v>
      </c>
      <c r="BV1114" s="39" t="s">
        <v>895</v>
      </c>
      <c r="BW1114" s="39" t="s">
        <v>2933</v>
      </c>
      <c r="BX1114" s="39" t="s">
        <v>308</v>
      </c>
      <c r="BY1114" s="71">
        <v>1100</v>
      </c>
      <c r="BZ1114" s="71">
        <v>1100</v>
      </c>
      <c r="CA1114" s="71">
        <v>1370</v>
      </c>
      <c r="CB1114" s="71">
        <v>1710</v>
      </c>
      <c r="CC1114" s="71">
        <v>1890</v>
      </c>
      <c r="CD1114" s="25"/>
      <c r="CE1114" s="200"/>
      <c r="CF1114" s="200"/>
      <c r="CG1114" s="200"/>
      <c r="CH1114" s="200"/>
      <c r="CI1114" s="200"/>
      <c r="CJ1114" s="200"/>
      <c r="CK1114" s="200"/>
      <c r="CL1114" s="200"/>
      <c r="CM1114" s="200"/>
      <c r="CN1114" s="200"/>
      <c r="CO1114" s="200"/>
      <c r="CP1114" s="200"/>
      <c r="CQ1114" s="200"/>
      <c r="CR1114" s="200"/>
      <c r="CS1114" s="200"/>
      <c r="CT1114" s="200"/>
      <c r="CU1114" s="200"/>
    </row>
    <row r="1115" spans="1:99" s="17" customFormat="1" x14ac:dyDescent="0.2">
      <c r="A1115" s="25"/>
      <c r="B1115" s="20">
        <v>39155932500</v>
      </c>
      <c r="C1115" s="20">
        <v>9325</v>
      </c>
      <c r="D1115" s="20" t="s">
        <v>83</v>
      </c>
      <c r="E1115" s="20" t="s">
        <v>2842</v>
      </c>
      <c r="F1115" s="20" t="s">
        <v>8</v>
      </c>
      <c r="G1115" s="861">
        <v>54.917473165597002</v>
      </c>
      <c r="H1115" s="861">
        <v>50.347926119275598</v>
      </c>
      <c r="I1115" s="861">
        <v>25.012124789871901</v>
      </c>
      <c r="J1115" s="861">
        <v>50.618080195791201</v>
      </c>
      <c r="K1115" s="982">
        <v>0</v>
      </c>
      <c r="L1115" s="735">
        <v>3219</v>
      </c>
      <c r="M1115" s="735">
        <v>3150</v>
      </c>
      <c r="N1115" s="845">
        <f t="shared" si="98"/>
        <v>-2.1435228331780055E-2</v>
      </c>
      <c r="O1115" s="735">
        <v>1.6886058214375355</v>
      </c>
      <c r="P1115" s="735">
        <f t="shared" si="99"/>
        <v>1865.4442380865166</v>
      </c>
      <c r="Q1115" s="849">
        <v>43.4</v>
      </c>
      <c r="R1115" s="71">
        <v>73625</v>
      </c>
      <c r="S1115" s="845">
        <v>3.8055644387591944E-2</v>
      </c>
      <c r="T1115" s="845">
        <v>1.6E-2</v>
      </c>
      <c r="U1115" s="845">
        <v>6.0000000000000001E-3</v>
      </c>
      <c r="V1115" s="845">
        <v>0</v>
      </c>
      <c r="W1115" s="845">
        <v>0.16884057971014493</v>
      </c>
      <c r="X1115" s="845">
        <v>0.12875536480686695</v>
      </c>
      <c r="Y1115" s="845">
        <v>0.97650793650793655</v>
      </c>
      <c r="Z1115" s="845">
        <v>0</v>
      </c>
      <c r="AA1115" s="845">
        <v>0</v>
      </c>
      <c r="AB1115" s="845">
        <v>0</v>
      </c>
      <c r="AC1115" s="845">
        <v>0</v>
      </c>
      <c r="AD1115" s="845">
        <v>0</v>
      </c>
      <c r="AE1115" s="845">
        <v>2.3492063492063491E-2</v>
      </c>
      <c r="AF1115" s="845">
        <v>0</v>
      </c>
      <c r="AG1115" s="845">
        <v>0.97650793650793655</v>
      </c>
      <c r="AH1115" s="20" t="str">
        <f t="shared" si="100"/>
        <v>Yes</v>
      </c>
      <c r="AI1115" s="25"/>
      <c r="AJ1115" s="20">
        <v>43534</v>
      </c>
      <c r="AK1115" s="20" t="s">
        <v>976</v>
      </c>
      <c r="AL1115" s="20">
        <v>39069</v>
      </c>
      <c r="AM1115" s="20" t="s">
        <v>41</v>
      </c>
      <c r="AN1115" s="37" t="str">
        <f t="shared" si="101"/>
        <v>N/A</v>
      </c>
      <c r="AO1115" s="37" t="str">
        <f t="shared" si="102"/>
        <v>N/A</v>
      </c>
      <c r="AP1115" s="20" t="s">
        <v>8</v>
      </c>
      <c r="AQ1115" s="25"/>
      <c r="AR1115" s="25"/>
      <c r="AS1115" s="25"/>
      <c r="AT1115" s="25"/>
      <c r="AU1115" s="36"/>
      <c r="AV1115" s="36"/>
      <c r="AW1115" s="36"/>
      <c r="AX1115" s="25"/>
      <c r="AY1115" s="25"/>
      <c r="AZ1115" s="25"/>
      <c r="BA1115" s="25"/>
      <c r="BB1115" s="25"/>
      <c r="BC1115" s="25"/>
      <c r="BD1115" s="25"/>
      <c r="BE1115" s="25"/>
      <c r="BF1115" s="25"/>
      <c r="BG1115" s="25"/>
      <c r="BH1115" s="25"/>
      <c r="BI1115" s="25"/>
      <c r="BJ1115" s="25"/>
      <c r="BK1115" s="25"/>
      <c r="BL1115" s="25"/>
      <c r="BM1115" s="25"/>
      <c r="BN1115" s="25"/>
      <c r="BO1115" s="25"/>
      <c r="BP1115" s="25"/>
      <c r="BQ1115" s="25"/>
      <c r="BR1115" s="25"/>
      <c r="BS1115" s="25"/>
      <c r="BT1115" s="25"/>
      <c r="BU1115" s="39">
        <v>43358</v>
      </c>
      <c r="BV1115" s="39" t="s">
        <v>903</v>
      </c>
      <c r="BW1115" s="39" t="s">
        <v>2933</v>
      </c>
      <c r="BX1115" s="39" t="s">
        <v>308</v>
      </c>
      <c r="BY1115" s="71">
        <v>990</v>
      </c>
      <c r="BZ1115" s="71">
        <v>1000</v>
      </c>
      <c r="CA1115" s="71">
        <v>1300</v>
      </c>
      <c r="CB1115" s="71">
        <v>1580</v>
      </c>
      <c r="CC1115" s="71">
        <v>1720</v>
      </c>
      <c r="CD1115" s="25"/>
      <c r="CE1115" s="200"/>
      <c r="CF1115" s="200"/>
      <c r="CG1115" s="200"/>
      <c r="CH1115" s="200"/>
      <c r="CI1115" s="200"/>
      <c r="CJ1115" s="200"/>
      <c r="CK1115" s="200"/>
      <c r="CL1115" s="200"/>
      <c r="CM1115" s="200"/>
      <c r="CN1115" s="200"/>
      <c r="CO1115" s="200"/>
      <c r="CP1115" s="200"/>
      <c r="CQ1115" s="200"/>
      <c r="CR1115" s="200"/>
      <c r="CS1115" s="200"/>
      <c r="CT1115" s="200"/>
      <c r="CU1115" s="200"/>
    </row>
    <row r="1116" spans="1:99" s="17" customFormat="1" x14ac:dyDescent="0.2">
      <c r="A1116" s="25"/>
      <c r="B1116" s="20">
        <v>39035103300</v>
      </c>
      <c r="C1116" s="20">
        <v>1033</v>
      </c>
      <c r="D1116" s="20" t="s">
        <v>24</v>
      </c>
      <c r="E1116" s="20" t="s">
        <v>2829</v>
      </c>
      <c r="F1116" s="20" t="s">
        <v>6</v>
      </c>
      <c r="G1116" s="861">
        <v>54.913875835047499</v>
      </c>
      <c r="H1116" s="861">
        <v>65.7146957418326</v>
      </c>
      <c r="I1116" s="861">
        <v>35.482952668780598</v>
      </c>
      <c r="J1116" s="861">
        <v>63.866512007250101</v>
      </c>
      <c r="K1116" s="982">
        <v>0</v>
      </c>
      <c r="L1116" s="735">
        <v>2333</v>
      </c>
      <c r="M1116" s="735">
        <v>2244</v>
      </c>
      <c r="N1116" s="845">
        <f t="shared" si="98"/>
        <v>-3.8148306900985855E-2</v>
      </c>
      <c r="O1116" s="735">
        <v>0.19292675440120072</v>
      </c>
      <c r="P1116" s="735">
        <f t="shared" si="99"/>
        <v>11631.357231737238</v>
      </c>
      <c r="Q1116" s="849">
        <v>27.4</v>
      </c>
      <c r="R1116" s="71"/>
      <c r="S1116" s="845">
        <v>0.59848484848484851</v>
      </c>
      <c r="T1116" s="845">
        <v>0.222</v>
      </c>
      <c r="U1116" s="845">
        <v>0.21899999999999997</v>
      </c>
      <c r="V1116" s="845">
        <v>9.3000000000000013E-2</v>
      </c>
      <c r="W1116" s="845">
        <v>0.9070660522273426</v>
      </c>
      <c r="X1116" s="845">
        <v>0.19390347163420829</v>
      </c>
      <c r="Y1116" s="845">
        <v>0.41265597147950089</v>
      </c>
      <c r="Z1116" s="845">
        <v>0.39884135472370769</v>
      </c>
      <c r="AA1116" s="845">
        <v>3.8324420677361852E-2</v>
      </c>
      <c r="AB1116" s="845">
        <v>3.1639928698752227E-2</v>
      </c>
      <c r="AC1116" s="845">
        <v>0</v>
      </c>
      <c r="AD1116" s="845">
        <v>1.6934046345811051E-2</v>
      </c>
      <c r="AE1116" s="845">
        <v>0.10160427807486631</v>
      </c>
      <c r="AF1116" s="845">
        <v>0.14750445632798573</v>
      </c>
      <c r="AG1116" s="845">
        <v>0.39839572192513367</v>
      </c>
      <c r="AH1116" s="20" t="str">
        <f t="shared" si="100"/>
        <v>No</v>
      </c>
      <c r="AI1116" s="25"/>
      <c r="AJ1116" s="20">
        <v>43535</v>
      </c>
      <c r="AK1116" s="20" t="s">
        <v>977</v>
      </c>
      <c r="AL1116" s="20">
        <v>39069</v>
      </c>
      <c r="AM1116" s="20" t="s">
        <v>41</v>
      </c>
      <c r="AN1116" s="37" t="str">
        <f t="shared" si="101"/>
        <v>N/A</v>
      </c>
      <c r="AO1116" s="37" t="str">
        <f t="shared" si="102"/>
        <v>N/A</v>
      </c>
      <c r="AP1116" s="20" t="s">
        <v>8</v>
      </c>
      <c r="AQ1116" s="25"/>
      <c r="AR1116" s="25"/>
      <c r="AS1116" s="25"/>
      <c r="AT1116" s="25"/>
      <c r="AU1116" s="36"/>
      <c r="AV1116" s="36"/>
      <c r="AW1116" s="36"/>
      <c r="AX1116" s="25"/>
      <c r="AY1116" s="25"/>
      <c r="AZ1116" s="25"/>
      <c r="BA1116" s="25"/>
      <c r="BB1116" s="25"/>
      <c r="BC1116" s="25"/>
      <c r="BD1116" s="25"/>
      <c r="BE1116" s="25"/>
      <c r="BF1116" s="25"/>
      <c r="BG1116" s="25"/>
      <c r="BH1116" s="25"/>
      <c r="BI1116" s="25"/>
      <c r="BJ1116" s="25"/>
      <c r="BK1116" s="25"/>
      <c r="BL1116" s="25"/>
      <c r="BM1116" s="25"/>
      <c r="BN1116" s="25"/>
      <c r="BO1116" s="25"/>
      <c r="BP1116" s="25"/>
      <c r="BQ1116" s="25"/>
      <c r="BR1116" s="25"/>
      <c r="BS1116" s="25"/>
      <c r="BT1116" s="25"/>
      <c r="BU1116" s="39">
        <v>45838</v>
      </c>
      <c r="BV1116" s="39" t="s">
        <v>1906</v>
      </c>
      <c r="BW1116" s="39" t="s">
        <v>2968</v>
      </c>
      <c r="BX1116" s="39" t="s">
        <v>2969</v>
      </c>
      <c r="BY1116" s="71">
        <v>810</v>
      </c>
      <c r="BZ1116" s="71">
        <v>850</v>
      </c>
      <c r="CA1116" s="71">
        <v>1090</v>
      </c>
      <c r="CB1116" s="71">
        <v>1360</v>
      </c>
      <c r="CC1116" s="71">
        <v>1480</v>
      </c>
      <c r="CD1116" s="25"/>
      <c r="CE1116" s="200"/>
      <c r="CF1116" s="200"/>
      <c r="CG1116" s="200"/>
      <c r="CH1116" s="200"/>
      <c r="CI1116" s="200"/>
      <c r="CJ1116" s="200"/>
      <c r="CK1116" s="200"/>
      <c r="CL1116" s="200"/>
      <c r="CM1116" s="200"/>
      <c r="CN1116" s="200"/>
      <c r="CO1116" s="200"/>
      <c r="CP1116" s="200"/>
      <c r="CQ1116" s="200"/>
      <c r="CR1116" s="200"/>
      <c r="CS1116" s="200"/>
      <c r="CT1116" s="200"/>
      <c r="CU1116" s="200"/>
    </row>
    <row r="1117" spans="1:99" s="17" customFormat="1" x14ac:dyDescent="0.2">
      <c r="A1117" s="25"/>
      <c r="B1117" s="20">
        <v>39153520400</v>
      </c>
      <c r="C1117" s="20">
        <v>5204</v>
      </c>
      <c r="D1117" s="20" t="s">
        <v>82</v>
      </c>
      <c r="E1117" s="20" t="s">
        <v>2843</v>
      </c>
      <c r="F1117" s="20" t="s">
        <v>8</v>
      </c>
      <c r="G1117" s="861">
        <v>54.8873821599365</v>
      </c>
      <c r="H1117" s="861">
        <v>69.867846420445503</v>
      </c>
      <c r="I1117" s="861">
        <v>29.1409671318949</v>
      </c>
      <c r="J1117" s="861">
        <v>27.5541834114896</v>
      </c>
      <c r="K1117" s="982">
        <v>0</v>
      </c>
      <c r="L1117" s="735">
        <v>4724</v>
      </c>
      <c r="M1117" s="735">
        <v>4531</v>
      </c>
      <c r="N1117" s="845">
        <f t="shared" si="98"/>
        <v>-4.085520745131245E-2</v>
      </c>
      <c r="O1117" s="735">
        <v>1.0588249380032868</v>
      </c>
      <c r="P1117" s="735">
        <f t="shared" si="99"/>
        <v>4279.2720849061971</v>
      </c>
      <c r="Q1117" s="849">
        <v>40</v>
      </c>
      <c r="R1117" s="71">
        <v>76343</v>
      </c>
      <c r="S1117" s="845">
        <v>9.9315824321341867E-2</v>
      </c>
      <c r="T1117" s="845">
        <v>2.2000000000000002E-2</v>
      </c>
      <c r="U1117" s="845">
        <v>0</v>
      </c>
      <c r="V1117" s="845">
        <v>0</v>
      </c>
      <c r="W1117" s="845">
        <v>0.27930682976554538</v>
      </c>
      <c r="X1117" s="845">
        <v>0.34124087591240876</v>
      </c>
      <c r="Y1117" s="845">
        <v>0.91304347826086951</v>
      </c>
      <c r="Z1117" s="845">
        <v>1.1035091591260207E-3</v>
      </c>
      <c r="AA1117" s="845">
        <v>0</v>
      </c>
      <c r="AB1117" s="845">
        <v>0</v>
      </c>
      <c r="AC1117" s="845">
        <v>0</v>
      </c>
      <c r="AD1117" s="845">
        <v>0</v>
      </c>
      <c r="AE1117" s="845">
        <v>8.5853012580004412E-2</v>
      </c>
      <c r="AF1117" s="845">
        <v>2.8470536305451336E-2</v>
      </c>
      <c r="AG1117" s="845">
        <v>0.89207680423747515</v>
      </c>
      <c r="AH1117" s="20" t="str">
        <f t="shared" si="100"/>
        <v>No</v>
      </c>
      <c r="AI1117" s="25"/>
      <c r="AJ1117" s="20">
        <v>43545</v>
      </c>
      <c r="AK1117" s="20" t="s">
        <v>984</v>
      </c>
      <c r="AL1117" s="20">
        <v>39069</v>
      </c>
      <c r="AM1117" s="20" t="s">
        <v>41</v>
      </c>
      <c r="AN1117" s="37" t="str">
        <f t="shared" si="101"/>
        <v>N/A</v>
      </c>
      <c r="AO1117" s="37" t="str">
        <f t="shared" si="102"/>
        <v>N/A</v>
      </c>
      <c r="AP1117" s="20" t="s">
        <v>8</v>
      </c>
      <c r="AQ1117" s="25"/>
      <c r="AR1117" s="25"/>
      <c r="AS1117" s="25"/>
      <c r="AT1117" s="25"/>
      <c r="AU1117" s="36"/>
      <c r="AV1117" s="36"/>
      <c r="AW1117" s="36"/>
      <c r="AX1117" s="25"/>
      <c r="AY1117" s="25"/>
      <c r="AZ1117" s="25"/>
      <c r="BA1117" s="25"/>
      <c r="BB1117" s="25"/>
      <c r="BC1117" s="25"/>
      <c r="BD1117" s="25"/>
      <c r="BE1117" s="25"/>
      <c r="BF1117" s="25"/>
      <c r="BG1117" s="25"/>
      <c r="BH1117" s="25"/>
      <c r="BI1117" s="25"/>
      <c r="BJ1117" s="25"/>
      <c r="BK1117" s="25"/>
      <c r="BL1117" s="25"/>
      <c r="BM1117" s="25"/>
      <c r="BN1117" s="25"/>
      <c r="BO1117" s="25"/>
      <c r="BP1117" s="25"/>
      <c r="BQ1117" s="25"/>
      <c r="BR1117" s="25"/>
      <c r="BS1117" s="25"/>
      <c r="BT1117" s="25"/>
      <c r="BU1117" s="39">
        <v>45863</v>
      </c>
      <c r="BV1117" s="39" t="s">
        <v>1926</v>
      </c>
      <c r="BW1117" s="39" t="s">
        <v>2968</v>
      </c>
      <c r="BX1117" s="39" t="s">
        <v>2969</v>
      </c>
      <c r="BY1117" s="71">
        <v>720</v>
      </c>
      <c r="BZ1117" s="71">
        <v>760</v>
      </c>
      <c r="CA1117" s="71">
        <v>970</v>
      </c>
      <c r="CB1117" s="71">
        <v>1220</v>
      </c>
      <c r="CC1117" s="71">
        <v>1320</v>
      </c>
      <c r="CD1117" s="25"/>
      <c r="CE1117" s="200"/>
      <c r="CF1117" s="200"/>
      <c r="CG1117" s="200"/>
      <c r="CH1117" s="200"/>
      <c r="CI1117" s="200"/>
      <c r="CJ1117" s="200"/>
      <c r="CK1117" s="200"/>
      <c r="CL1117" s="200"/>
      <c r="CM1117" s="200"/>
      <c r="CN1117" s="200"/>
      <c r="CO1117" s="200"/>
      <c r="CP1117" s="200"/>
      <c r="CQ1117" s="200"/>
      <c r="CR1117" s="200"/>
      <c r="CS1117" s="200"/>
      <c r="CT1117" s="200"/>
      <c r="CU1117" s="200"/>
    </row>
    <row r="1118" spans="1:99" s="17" customFormat="1" x14ac:dyDescent="0.2">
      <c r="A1118" s="25"/>
      <c r="B1118" s="20">
        <v>39049008167</v>
      </c>
      <c r="C1118" s="20">
        <v>81.67</v>
      </c>
      <c r="D1118" s="20" t="s">
        <v>31</v>
      </c>
      <c r="E1118" s="20" t="s">
        <v>2830</v>
      </c>
      <c r="F1118" s="20" t="s">
        <v>8</v>
      </c>
      <c r="G1118" s="861">
        <v>54.8844853034783</v>
      </c>
      <c r="H1118" s="861">
        <v>51.6727849628613</v>
      </c>
      <c r="I1118" s="861">
        <v>36.310807041644203</v>
      </c>
      <c r="J1118" s="861">
        <v>57.863383954441403</v>
      </c>
      <c r="K1118" s="982">
        <v>0</v>
      </c>
      <c r="L1118" s="735" t="s">
        <v>2466</v>
      </c>
      <c r="M1118" s="735">
        <v>3266</v>
      </c>
      <c r="N1118" s="845" t="str">
        <f t="shared" si="98"/>
        <v/>
      </c>
      <c r="O1118" s="735">
        <v>2.85505712225065</v>
      </c>
      <c r="P1118" s="735">
        <f t="shared" si="99"/>
        <v>1143.9350808593988</v>
      </c>
      <c r="Q1118" s="849">
        <v>32.5</v>
      </c>
      <c r="R1118" s="71">
        <v>57863</v>
      </c>
      <c r="S1118" s="845">
        <v>9.9203919167176968E-2</v>
      </c>
      <c r="T1118" s="845">
        <v>2E-3</v>
      </c>
      <c r="U1118" s="845">
        <v>0</v>
      </c>
      <c r="V1118" s="845">
        <v>0.128</v>
      </c>
      <c r="W1118" s="845">
        <v>0.34156378600823045</v>
      </c>
      <c r="X1118" s="845">
        <v>0.4650602409638554</v>
      </c>
      <c r="Y1118" s="845">
        <v>0.73178199632578078</v>
      </c>
      <c r="Z1118" s="845">
        <v>0.17299448867115738</v>
      </c>
      <c r="AA1118" s="845">
        <v>0</v>
      </c>
      <c r="AB1118" s="845">
        <v>9.1855480710349054E-3</v>
      </c>
      <c r="AC1118" s="845">
        <v>0</v>
      </c>
      <c r="AD1118" s="845">
        <v>2.7556644213104716E-2</v>
      </c>
      <c r="AE1118" s="845">
        <v>5.848132271892223E-2</v>
      </c>
      <c r="AF1118" s="845">
        <v>4.2865890998162889E-2</v>
      </c>
      <c r="AG1118" s="845">
        <v>0.73178199632578078</v>
      </c>
      <c r="AH1118" s="20" t="str">
        <f t="shared" si="100"/>
        <v>No</v>
      </c>
      <c r="AI1118" s="25"/>
      <c r="AJ1118" s="20">
        <v>43548</v>
      </c>
      <c r="AK1118" s="20" t="s">
        <v>986</v>
      </c>
      <c r="AL1118" s="20">
        <v>39069</v>
      </c>
      <c r="AM1118" s="20" t="s">
        <v>41</v>
      </c>
      <c r="AN1118" s="37" t="str">
        <f t="shared" si="101"/>
        <v>N/A</v>
      </c>
      <c r="AO1118" s="37" t="str">
        <f t="shared" si="102"/>
        <v>N/A</v>
      </c>
      <c r="AP1118" s="20" t="s">
        <v>8</v>
      </c>
      <c r="AQ1118" s="25"/>
      <c r="AR1118" s="25"/>
      <c r="AS1118" s="25"/>
      <c r="AT1118" s="25"/>
      <c r="AU1118" s="36"/>
      <c r="AV1118" s="36"/>
      <c r="AW1118" s="36"/>
      <c r="AX1118" s="25"/>
      <c r="AY1118" s="25"/>
      <c r="AZ1118" s="25"/>
      <c r="BA1118" s="25"/>
      <c r="BB1118" s="25"/>
      <c r="BC1118" s="25"/>
      <c r="BD1118" s="25"/>
      <c r="BE1118" s="25"/>
      <c r="BF1118" s="25"/>
      <c r="BG1118" s="25"/>
      <c r="BH1118" s="25"/>
      <c r="BI1118" s="25"/>
      <c r="BJ1118" s="25"/>
      <c r="BK1118" s="25"/>
      <c r="BL1118" s="25"/>
      <c r="BM1118" s="25"/>
      <c r="BN1118" s="25"/>
      <c r="BO1118" s="25"/>
      <c r="BP1118" s="25"/>
      <c r="BQ1118" s="25"/>
      <c r="BR1118" s="25"/>
      <c r="BS1118" s="25"/>
      <c r="BT1118" s="25"/>
      <c r="BU1118" s="39">
        <v>45874</v>
      </c>
      <c r="BV1118" s="39" t="s">
        <v>1937</v>
      </c>
      <c r="BW1118" s="39" t="s">
        <v>2968</v>
      </c>
      <c r="BX1118" s="39" t="s">
        <v>2969</v>
      </c>
      <c r="BY1118" s="71">
        <v>800</v>
      </c>
      <c r="BZ1118" s="71">
        <v>850</v>
      </c>
      <c r="CA1118" s="71">
        <v>1080</v>
      </c>
      <c r="CB1118" s="71">
        <v>1350</v>
      </c>
      <c r="CC1118" s="71">
        <v>1470</v>
      </c>
      <c r="CD1118" s="25"/>
      <c r="CE1118" s="200"/>
      <c r="CF1118" s="200"/>
      <c r="CG1118" s="200"/>
      <c r="CH1118" s="200"/>
      <c r="CI1118" s="200"/>
      <c r="CJ1118" s="200"/>
      <c r="CK1118" s="200"/>
      <c r="CL1118" s="200"/>
      <c r="CM1118" s="200"/>
      <c r="CN1118" s="200"/>
      <c r="CO1118" s="200"/>
      <c r="CP1118" s="200"/>
      <c r="CQ1118" s="200"/>
      <c r="CR1118" s="200"/>
      <c r="CS1118" s="200"/>
      <c r="CT1118" s="200"/>
      <c r="CU1118" s="200"/>
    </row>
    <row r="1119" spans="1:99" s="17" customFormat="1" x14ac:dyDescent="0.2">
      <c r="A1119" s="25"/>
      <c r="B1119" s="20">
        <v>39113090900</v>
      </c>
      <c r="C1119" s="20">
        <v>909</v>
      </c>
      <c r="D1119" s="20" t="s">
        <v>62</v>
      </c>
      <c r="E1119" s="20" t="s">
        <v>2833</v>
      </c>
      <c r="F1119" s="20" t="s">
        <v>8</v>
      </c>
      <c r="G1119" s="861">
        <v>54.866975385908503</v>
      </c>
      <c r="H1119" s="861">
        <v>58.325914092481099</v>
      </c>
      <c r="I1119" s="861">
        <v>25.155418777658301</v>
      </c>
      <c r="J1119" s="861">
        <v>41.5829327118539</v>
      </c>
      <c r="K1119" s="982">
        <v>1</v>
      </c>
      <c r="L1119" s="735">
        <v>3738</v>
      </c>
      <c r="M1119" s="735">
        <v>3861</v>
      </c>
      <c r="N1119" s="845">
        <f t="shared" si="98"/>
        <v>3.2905296950240769E-2</v>
      </c>
      <c r="O1119" s="735">
        <v>0.90301534241406234</v>
      </c>
      <c r="P1119" s="735">
        <f t="shared" si="99"/>
        <v>4275.6748624871134</v>
      </c>
      <c r="Q1119" s="849">
        <v>37.299999999999997</v>
      </c>
      <c r="R1119" s="71">
        <v>74625</v>
      </c>
      <c r="S1119" s="845">
        <v>0.15267175572519084</v>
      </c>
      <c r="T1119" s="845">
        <v>2.7000000000000003E-2</v>
      </c>
      <c r="U1119" s="845">
        <v>0</v>
      </c>
      <c r="V1119" s="845">
        <v>0</v>
      </c>
      <c r="W1119" s="845">
        <v>0.28714107365792757</v>
      </c>
      <c r="X1119" s="845">
        <v>0.55217391304347829</v>
      </c>
      <c r="Y1119" s="845">
        <v>0.84848484848484851</v>
      </c>
      <c r="Z1119" s="845">
        <v>6.1642061642061645E-2</v>
      </c>
      <c r="AA1119" s="845">
        <v>0</v>
      </c>
      <c r="AB1119" s="845">
        <v>4.5325045325045325E-2</v>
      </c>
      <c r="AC1119" s="845">
        <v>0</v>
      </c>
      <c r="AD1119" s="845">
        <v>1.3468013468013467E-2</v>
      </c>
      <c r="AE1119" s="845">
        <v>3.108003108003108E-2</v>
      </c>
      <c r="AF1119" s="845">
        <v>3.2375032375032378E-2</v>
      </c>
      <c r="AG1119" s="845">
        <v>0.84848484848484851</v>
      </c>
      <c r="AH1119" s="20" t="str">
        <f t="shared" si="100"/>
        <v>No</v>
      </c>
      <c r="AI1119" s="25"/>
      <c r="AJ1119" s="20">
        <v>43555</v>
      </c>
      <c r="AK1119" s="20" t="s">
        <v>991</v>
      </c>
      <c r="AL1119" s="20">
        <v>39069</v>
      </c>
      <c r="AM1119" s="20" t="s">
        <v>41</v>
      </c>
      <c r="AN1119" s="37" t="str">
        <f t="shared" si="101"/>
        <v>N/A</v>
      </c>
      <c r="AO1119" s="37" t="str">
        <f t="shared" si="102"/>
        <v>N/A</v>
      </c>
      <c r="AP1119" s="20" t="s">
        <v>8</v>
      </c>
      <c r="AQ1119" s="25"/>
      <c r="AR1119" s="25"/>
      <c r="AS1119" s="25"/>
      <c r="AT1119" s="25"/>
      <c r="AU1119" s="36"/>
      <c r="AV1119" s="36"/>
      <c r="AW1119" s="36"/>
      <c r="AX1119" s="25"/>
      <c r="AY1119" s="25"/>
      <c r="AZ1119" s="25"/>
      <c r="BA1119" s="25"/>
      <c r="BB1119" s="25"/>
      <c r="BC1119" s="25"/>
      <c r="BD1119" s="25"/>
      <c r="BE1119" s="25"/>
      <c r="BF1119" s="25"/>
      <c r="BG1119" s="25"/>
      <c r="BH1119" s="25"/>
      <c r="BI1119" s="25"/>
      <c r="BJ1119" s="25"/>
      <c r="BK1119" s="25"/>
      <c r="BL1119" s="25"/>
      <c r="BM1119" s="25"/>
      <c r="BN1119" s="25"/>
      <c r="BO1119" s="25"/>
      <c r="BP1119" s="25"/>
      <c r="BQ1119" s="25"/>
      <c r="BR1119" s="25"/>
      <c r="BS1119" s="25"/>
      <c r="BT1119" s="25"/>
      <c r="BU1119" s="39">
        <v>45891</v>
      </c>
      <c r="BV1119" s="39" t="s">
        <v>1953</v>
      </c>
      <c r="BW1119" s="39" t="s">
        <v>2968</v>
      </c>
      <c r="BX1119" s="39" t="s">
        <v>2969</v>
      </c>
      <c r="BY1119" s="71">
        <v>720</v>
      </c>
      <c r="BZ1119" s="71">
        <v>760</v>
      </c>
      <c r="CA1119" s="71">
        <v>970</v>
      </c>
      <c r="CB1119" s="71">
        <v>1220</v>
      </c>
      <c r="CC1119" s="71">
        <v>1320</v>
      </c>
      <c r="CD1119" s="25"/>
      <c r="CE1119" s="200"/>
      <c r="CF1119" s="200"/>
      <c r="CG1119" s="200"/>
      <c r="CH1119" s="200"/>
      <c r="CI1119" s="200"/>
      <c r="CJ1119" s="200"/>
      <c r="CK1119" s="200"/>
      <c r="CL1119" s="200"/>
      <c r="CM1119" s="200"/>
      <c r="CN1119" s="200"/>
      <c r="CO1119" s="200"/>
      <c r="CP1119" s="200"/>
      <c r="CQ1119" s="200"/>
      <c r="CR1119" s="200"/>
      <c r="CS1119" s="200"/>
      <c r="CT1119" s="200"/>
      <c r="CU1119" s="200"/>
    </row>
    <row r="1120" spans="1:99" s="17" customFormat="1" x14ac:dyDescent="0.2">
      <c r="A1120" s="25"/>
      <c r="B1120" s="20">
        <v>39061021501</v>
      </c>
      <c r="C1120" s="20">
        <v>215.01</v>
      </c>
      <c r="D1120" s="20" t="s">
        <v>37</v>
      </c>
      <c r="E1120" s="20" t="s">
        <v>2828</v>
      </c>
      <c r="F1120" s="20" t="s">
        <v>8</v>
      </c>
      <c r="G1120" s="861">
        <v>54.861632528594697</v>
      </c>
      <c r="H1120" s="861">
        <v>69.379930846715098</v>
      </c>
      <c r="I1120" s="861">
        <v>39.648032828685203</v>
      </c>
      <c r="J1120" s="861">
        <v>44.382875560755799</v>
      </c>
      <c r="K1120" s="982">
        <v>0</v>
      </c>
      <c r="L1120" s="735">
        <v>4517</v>
      </c>
      <c r="M1120" s="735">
        <v>5080</v>
      </c>
      <c r="N1120" s="845">
        <f t="shared" si="98"/>
        <v>0.12464024795218065</v>
      </c>
      <c r="O1120" s="735">
        <v>1.5689898282969339</v>
      </c>
      <c r="P1120" s="735">
        <f t="shared" si="99"/>
        <v>3237.7520289689232</v>
      </c>
      <c r="Q1120" s="849">
        <v>39</v>
      </c>
      <c r="R1120" s="71">
        <v>84233</v>
      </c>
      <c r="S1120" s="845">
        <v>4.6850393700787404E-2</v>
      </c>
      <c r="T1120" s="845">
        <v>8.1000000000000003E-2</v>
      </c>
      <c r="U1120" s="845">
        <v>0</v>
      </c>
      <c r="V1120" s="845">
        <v>8.3000000000000004E-2</v>
      </c>
      <c r="W1120" s="845">
        <v>0.32667017359284589</v>
      </c>
      <c r="X1120" s="845">
        <v>0.50885668276972629</v>
      </c>
      <c r="Y1120" s="845">
        <v>0.29901574803149605</v>
      </c>
      <c r="Z1120" s="845">
        <v>0.50039370078740153</v>
      </c>
      <c r="AA1120" s="845">
        <v>0</v>
      </c>
      <c r="AB1120" s="845">
        <v>8.7401574803149612E-2</v>
      </c>
      <c r="AC1120" s="845">
        <v>0</v>
      </c>
      <c r="AD1120" s="845">
        <v>1.5354330708661417E-2</v>
      </c>
      <c r="AE1120" s="845">
        <v>9.7834645669291342E-2</v>
      </c>
      <c r="AF1120" s="845">
        <v>3.3267716535433069E-2</v>
      </c>
      <c r="AG1120" s="845">
        <v>0.29901574803149605</v>
      </c>
      <c r="AH1120" s="20" t="str">
        <f t="shared" si="100"/>
        <v>No</v>
      </c>
      <c r="AI1120" s="25"/>
      <c r="AJ1120" s="37">
        <v>43557</v>
      </c>
      <c r="AK1120" s="37" t="s">
        <v>993</v>
      </c>
      <c r="AL1120" s="37">
        <v>39069</v>
      </c>
      <c r="AM1120" s="37" t="s">
        <v>41</v>
      </c>
      <c r="AN1120" s="37" t="str">
        <f t="shared" si="101"/>
        <v>N/A</v>
      </c>
      <c r="AO1120" s="37" t="str">
        <f t="shared" si="102"/>
        <v>N/A</v>
      </c>
      <c r="AP1120" s="20" t="s">
        <v>8</v>
      </c>
      <c r="AQ1120" s="25"/>
      <c r="AR1120" s="25"/>
      <c r="AS1120" s="25"/>
      <c r="AT1120" s="25"/>
      <c r="AU1120" s="36"/>
      <c r="AV1120" s="36"/>
      <c r="AW1120" s="36"/>
      <c r="AX1120" s="25"/>
      <c r="AY1120" s="25"/>
      <c r="AZ1120" s="25"/>
      <c r="BA1120" s="25"/>
      <c r="BB1120" s="25"/>
      <c r="BC1120" s="25"/>
      <c r="BD1120" s="25"/>
      <c r="BE1120" s="25"/>
      <c r="BF1120" s="25"/>
      <c r="BG1120" s="25"/>
      <c r="BH1120" s="25"/>
      <c r="BI1120" s="25"/>
      <c r="BJ1120" s="25"/>
      <c r="BK1120" s="25"/>
      <c r="BL1120" s="25"/>
      <c r="BM1120" s="25"/>
      <c r="BN1120" s="25"/>
      <c r="BO1120" s="25"/>
      <c r="BP1120" s="25"/>
      <c r="BQ1120" s="25"/>
      <c r="BR1120" s="25"/>
      <c r="BS1120" s="25"/>
      <c r="BT1120" s="25"/>
      <c r="BU1120" s="39">
        <v>45899</v>
      </c>
      <c r="BV1120" s="39" t="s">
        <v>1960</v>
      </c>
      <c r="BW1120" s="39" t="s">
        <v>2968</v>
      </c>
      <c r="BX1120" s="39" t="s">
        <v>2969</v>
      </c>
      <c r="BY1120" s="71">
        <v>830</v>
      </c>
      <c r="BZ1120" s="71">
        <v>880</v>
      </c>
      <c r="CA1120" s="71">
        <v>1120</v>
      </c>
      <c r="CB1120" s="71">
        <v>1400</v>
      </c>
      <c r="CC1120" s="71">
        <v>1520</v>
      </c>
      <c r="CD1120" s="25"/>
      <c r="CE1120" s="200"/>
      <c r="CF1120" s="200"/>
      <c r="CG1120" s="200"/>
      <c r="CH1120" s="200"/>
      <c r="CI1120" s="200"/>
      <c r="CJ1120" s="200"/>
      <c r="CK1120" s="200"/>
      <c r="CL1120" s="200"/>
      <c r="CM1120" s="200"/>
      <c r="CN1120" s="200"/>
      <c r="CO1120" s="200"/>
      <c r="CP1120" s="200"/>
      <c r="CQ1120" s="200"/>
      <c r="CR1120" s="200"/>
      <c r="CS1120" s="200"/>
      <c r="CT1120" s="200"/>
      <c r="CU1120" s="200"/>
    </row>
    <row r="1121" spans="1:99" s="17" customFormat="1" x14ac:dyDescent="0.2">
      <c r="A1121" s="25"/>
      <c r="B1121" s="20">
        <v>39151711700</v>
      </c>
      <c r="C1121" s="20">
        <v>7117</v>
      </c>
      <c r="D1121" s="20" t="s">
        <v>81</v>
      </c>
      <c r="E1121" s="20" t="s">
        <v>2844</v>
      </c>
      <c r="F1121" s="20" t="s">
        <v>8</v>
      </c>
      <c r="G1121" s="861">
        <v>54.850639189331602</v>
      </c>
      <c r="H1121" s="861">
        <v>56.117496226372502</v>
      </c>
      <c r="I1121" s="861">
        <v>34.601571457168802</v>
      </c>
      <c r="J1121" s="861">
        <v>36.8179166578796</v>
      </c>
      <c r="K1121" s="982">
        <v>0</v>
      </c>
      <c r="L1121" s="735">
        <v>5518</v>
      </c>
      <c r="M1121" s="735">
        <v>5260</v>
      </c>
      <c r="N1121" s="845">
        <f t="shared" si="98"/>
        <v>-4.6756071040231967E-2</v>
      </c>
      <c r="O1121" s="735">
        <v>1.453825593044904</v>
      </c>
      <c r="P1121" s="735">
        <f t="shared" si="99"/>
        <v>3618.0405855859326</v>
      </c>
      <c r="Q1121" s="849">
        <v>43.1</v>
      </c>
      <c r="R1121" s="71">
        <v>55192</v>
      </c>
      <c r="S1121" s="845">
        <v>0.13154362416107382</v>
      </c>
      <c r="T1121" s="845">
        <v>3.7999999999999999E-2</v>
      </c>
      <c r="U1121" s="845">
        <v>0</v>
      </c>
      <c r="V1121" s="845">
        <v>3.4000000000000002E-2</v>
      </c>
      <c r="W1121" s="845">
        <v>0.30416012558869704</v>
      </c>
      <c r="X1121" s="845">
        <v>0.37419354838709679</v>
      </c>
      <c r="Y1121" s="845">
        <v>0.80190114068441065</v>
      </c>
      <c r="Z1121" s="845">
        <v>0.1338403041825095</v>
      </c>
      <c r="AA1121" s="845">
        <v>1.1406844106463879E-3</v>
      </c>
      <c r="AB1121" s="845">
        <v>1.9011406844106464E-3</v>
      </c>
      <c r="AC1121" s="845">
        <v>0</v>
      </c>
      <c r="AD1121" s="845">
        <v>9.125475285171103E-3</v>
      </c>
      <c r="AE1121" s="845">
        <v>5.2091254752851708E-2</v>
      </c>
      <c r="AF1121" s="845">
        <v>7.7946768060836499E-3</v>
      </c>
      <c r="AG1121" s="845">
        <v>0.79581749049429662</v>
      </c>
      <c r="AH1121" s="20" t="str">
        <f t="shared" si="100"/>
        <v>No</v>
      </c>
      <c r="AI1121" s="25"/>
      <c r="AJ1121" s="20">
        <v>43567</v>
      </c>
      <c r="AK1121" s="20" t="s">
        <v>998</v>
      </c>
      <c r="AL1121" s="20">
        <v>39069</v>
      </c>
      <c r="AM1121" s="20" t="s">
        <v>41</v>
      </c>
      <c r="AN1121" s="37" t="str">
        <f t="shared" si="101"/>
        <v>N/A</v>
      </c>
      <c r="AO1121" s="37" t="str">
        <f t="shared" si="102"/>
        <v>N/A</v>
      </c>
      <c r="AP1121" s="20" t="s">
        <v>8</v>
      </c>
      <c r="AQ1121" s="25"/>
      <c r="AR1121" s="25"/>
      <c r="AS1121" s="25"/>
      <c r="AT1121" s="25"/>
      <c r="AU1121" s="36"/>
      <c r="AV1121" s="36"/>
      <c r="AW1121" s="36"/>
      <c r="AX1121" s="25"/>
      <c r="AY1121" s="25"/>
      <c r="AZ1121" s="25"/>
      <c r="BA1121" s="25"/>
      <c r="BB1121" s="25"/>
      <c r="BC1121" s="25"/>
      <c r="BD1121" s="25"/>
      <c r="BE1121" s="25"/>
      <c r="BF1121" s="25"/>
      <c r="BG1121" s="25"/>
      <c r="BH1121" s="25"/>
      <c r="BI1121" s="25"/>
      <c r="BJ1121" s="25"/>
      <c r="BK1121" s="25"/>
      <c r="BL1121" s="25"/>
      <c r="BM1121" s="25"/>
      <c r="BN1121" s="25"/>
      <c r="BO1121" s="25"/>
      <c r="BP1121" s="25"/>
      <c r="BQ1121" s="25"/>
      <c r="BR1121" s="25"/>
      <c r="BS1121" s="25"/>
      <c r="BT1121" s="25"/>
      <c r="BU1121" s="39">
        <v>45651</v>
      </c>
      <c r="BV1121" s="39" t="s">
        <v>1796</v>
      </c>
      <c r="BW1121" s="39" t="s">
        <v>2896</v>
      </c>
      <c r="BX1121" s="39" t="s">
        <v>2897</v>
      </c>
      <c r="BY1121" s="71">
        <v>750</v>
      </c>
      <c r="BZ1121" s="71">
        <v>810</v>
      </c>
      <c r="CA1121" s="71">
        <v>990</v>
      </c>
      <c r="CB1121" s="71">
        <v>1190</v>
      </c>
      <c r="CC1121" s="71">
        <v>1400</v>
      </c>
      <c r="CD1121" s="25"/>
      <c r="CE1121" s="200"/>
      <c r="CF1121" s="200"/>
      <c r="CG1121" s="200"/>
      <c r="CH1121" s="200"/>
      <c r="CI1121" s="200"/>
      <c r="CJ1121" s="200"/>
      <c r="CK1121" s="200"/>
      <c r="CL1121" s="200"/>
      <c r="CM1121" s="200"/>
      <c r="CN1121" s="200"/>
      <c r="CO1121" s="200"/>
      <c r="CP1121" s="200"/>
      <c r="CQ1121" s="200"/>
      <c r="CR1121" s="200"/>
      <c r="CS1121" s="200"/>
      <c r="CT1121" s="200"/>
      <c r="CU1121" s="200"/>
    </row>
    <row r="1122" spans="1:99" s="17" customFormat="1" x14ac:dyDescent="0.2">
      <c r="A1122" s="25"/>
      <c r="B1122" s="20">
        <v>39035138108</v>
      </c>
      <c r="C1122" s="20">
        <v>1381.08</v>
      </c>
      <c r="D1122" s="20" t="s">
        <v>24</v>
      </c>
      <c r="E1122" s="20" t="s">
        <v>2829</v>
      </c>
      <c r="F1122" s="20" t="s">
        <v>8</v>
      </c>
      <c r="G1122" s="861">
        <v>54.843304519557101</v>
      </c>
      <c r="H1122" s="861">
        <v>56.046229251874699</v>
      </c>
      <c r="I1122" s="861">
        <v>26.167281872896101</v>
      </c>
      <c r="J1122" s="861">
        <v>44.722363582661799</v>
      </c>
      <c r="K1122" s="982">
        <v>0</v>
      </c>
      <c r="L1122" s="735">
        <v>4093</v>
      </c>
      <c r="M1122" s="735">
        <v>4214</v>
      </c>
      <c r="N1122" s="845">
        <f t="shared" si="98"/>
        <v>2.9562667969704373E-2</v>
      </c>
      <c r="O1122" s="735">
        <v>0.62533723369100724</v>
      </c>
      <c r="P1122" s="735">
        <f t="shared" si="99"/>
        <v>6738.7639388225352</v>
      </c>
      <c r="Q1122" s="849">
        <v>37.299999999999997</v>
      </c>
      <c r="R1122" s="71">
        <v>68098</v>
      </c>
      <c r="S1122" s="845">
        <v>9.3497864261983865E-2</v>
      </c>
      <c r="T1122" s="845">
        <v>6.8000000000000005E-2</v>
      </c>
      <c r="U1122" s="845">
        <v>0</v>
      </c>
      <c r="V1122" s="845">
        <v>0</v>
      </c>
      <c r="W1122" s="845">
        <v>7.8078078078078081E-2</v>
      </c>
      <c r="X1122" s="845">
        <v>0.2846153846153846</v>
      </c>
      <c r="Y1122" s="845">
        <v>0.84195538680588511</v>
      </c>
      <c r="Z1122" s="845">
        <v>4.2477456098718558E-2</v>
      </c>
      <c r="AA1122" s="845">
        <v>6.8818224964404366E-3</v>
      </c>
      <c r="AB1122" s="845">
        <v>1.7085904129093499E-2</v>
      </c>
      <c r="AC1122" s="845">
        <v>0</v>
      </c>
      <c r="AD1122" s="845">
        <v>0</v>
      </c>
      <c r="AE1122" s="845">
        <v>9.1599430469862367E-2</v>
      </c>
      <c r="AF1122" s="845">
        <v>6.8343616516373995E-2</v>
      </c>
      <c r="AG1122" s="845">
        <v>0.81347887992406265</v>
      </c>
      <c r="AH1122" s="20" t="str">
        <f t="shared" si="100"/>
        <v>No</v>
      </c>
      <c r="AI1122" s="25"/>
      <c r="AJ1122" s="37">
        <v>45856</v>
      </c>
      <c r="AK1122" s="37" t="s">
        <v>1920</v>
      </c>
      <c r="AL1122" s="37">
        <v>39069</v>
      </c>
      <c r="AM1122" s="37" t="s">
        <v>41</v>
      </c>
      <c r="AN1122" s="37" t="str">
        <f t="shared" si="101"/>
        <v>N/A</v>
      </c>
      <c r="AO1122" s="37" t="str">
        <f t="shared" si="102"/>
        <v>N/A</v>
      </c>
      <c r="AP1122" s="20" t="s">
        <v>8</v>
      </c>
      <c r="AQ1122" s="25"/>
      <c r="AR1122" s="25"/>
      <c r="AS1122" s="25"/>
      <c r="AT1122" s="25"/>
      <c r="AU1122" s="36"/>
      <c r="AV1122" s="36"/>
      <c r="AW1122" s="36"/>
      <c r="AX1122" s="25"/>
      <c r="AY1122" s="25"/>
      <c r="AZ1122" s="25"/>
      <c r="BA1122" s="25"/>
      <c r="BB1122" s="25"/>
      <c r="BC1122" s="25"/>
      <c r="BD1122" s="25"/>
      <c r="BE1122" s="25"/>
      <c r="BF1122" s="25"/>
      <c r="BG1122" s="25"/>
      <c r="BH1122" s="25"/>
      <c r="BI1122" s="25"/>
      <c r="BJ1122" s="25"/>
      <c r="BK1122" s="25"/>
      <c r="BL1122" s="25"/>
      <c r="BM1122" s="25"/>
      <c r="BN1122" s="25"/>
      <c r="BO1122" s="25"/>
      <c r="BP1122" s="25"/>
      <c r="BQ1122" s="25"/>
      <c r="BR1122" s="25"/>
      <c r="BS1122" s="25"/>
      <c r="BT1122" s="25"/>
      <c r="BU1122" s="39">
        <v>45695</v>
      </c>
      <c r="BV1122" s="39" t="s">
        <v>1827</v>
      </c>
      <c r="BW1122" s="39" t="s">
        <v>2896</v>
      </c>
      <c r="BX1122" s="39" t="s">
        <v>2897</v>
      </c>
      <c r="BY1122" s="71">
        <v>890</v>
      </c>
      <c r="BZ1122" s="71">
        <v>950</v>
      </c>
      <c r="CA1122" s="71">
        <v>1170</v>
      </c>
      <c r="CB1122" s="71">
        <v>1400</v>
      </c>
      <c r="CC1122" s="71">
        <v>1650</v>
      </c>
      <c r="CD1122" s="25"/>
      <c r="CE1122" s="200"/>
      <c r="CF1122" s="200"/>
      <c r="CG1122" s="200"/>
      <c r="CH1122" s="200"/>
      <c r="CI1122" s="200"/>
      <c r="CJ1122" s="200"/>
      <c r="CK1122" s="200"/>
      <c r="CL1122" s="200"/>
      <c r="CM1122" s="200"/>
      <c r="CN1122" s="200"/>
      <c r="CO1122" s="200"/>
      <c r="CP1122" s="200"/>
      <c r="CQ1122" s="200"/>
      <c r="CR1122" s="200"/>
      <c r="CS1122" s="200"/>
      <c r="CT1122" s="200"/>
      <c r="CU1122" s="200"/>
    </row>
    <row r="1123" spans="1:99" s="17" customFormat="1" x14ac:dyDescent="0.2">
      <c r="A1123" s="25"/>
      <c r="B1123" s="20">
        <v>39153532703</v>
      </c>
      <c r="C1123" s="20">
        <v>5327.03</v>
      </c>
      <c r="D1123" s="20" t="s">
        <v>82</v>
      </c>
      <c r="E1123" s="20" t="s">
        <v>2843</v>
      </c>
      <c r="F1123" s="20" t="s">
        <v>8</v>
      </c>
      <c r="G1123" s="861">
        <v>54.838157837289302</v>
      </c>
      <c r="H1123" s="861">
        <v>62.310468289581699</v>
      </c>
      <c r="I1123" s="861">
        <v>14.037953059293899</v>
      </c>
      <c r="J1123" s="861">
        <v>30.370862114795202</v>
      </c>
      <c r="K1123" s="982">
        <v>0</v>
      </c>
      <c r="L1123" s="735">
        <v>5859</v>
      </c>
      <c r="M1123" s="735">
        <v>5578</v>
      </c>
      <c r="N1123" s="845">
        <f t="shared" si="98"/>
        <v>-4.7960402799112477E-2</v>
      </c>
      <c r="O1123" s="735">
        <v>5.3354310572491395</v>
      </c>
      <c r="P1123" s="735">
        <f t="shared" si="99"/>
        <v>1045.4637947989763</v>
      </c>
      <c r="Q1123" s="849">
        <v>45.1</v>
      </c>
      <c r="R1123" s="71">
        <v>100642</v>
      </c>
      <c r="S1123" s="845">
        <v>1.0218716385801362E-2</v>
      </c>
      <c r="T1123" s="845">
        <v>8.5999999999999993E-2</v>
      </c>
      <c r="U1123" s="845">
        <v>3.7000000000000005E-2</v>
      </c>
      <c r="V1123" s="845">
        <v>0</v>
      </c>
      <c r="W1123" s="845">
        <v>2.2423458387235879E-2</v>
      </c>
      <c r="X1123" s="845">
        <v>0</v>
      </c>
      <c r="Y1123" s="845">
        <v>0.87145930441018282</v>
      </c>
      <c r="Z1123" s="845">
        <v>4.5715310147006097E-2</v>
      </c>
      <c r="AA1123" s="845">
        <v>0</v>
      </c>
      <c r="AB1123" s="845">
        <v>2.0258157045536036E-2</v>
      </c>
      <c r="AC1123" s="845">
        <v>0</v>
      </c>
      <c r="AD1123" s="845">
        <v>5.0197203298673358E-3</v>
      </c>
      <c r="AE1123" s="845">
        <v>5.7547508067407674E-2</v>
      </c>
      <c r="AF1123" s="845">
        <v>2.3485120114736465E-2</v>
      </c>
      <c r="AG1123" s="845">
        <v>0.86249551810684832</v>
      </c>
      <c r="AH1123" s="20" t="str">
        <f t="shared" si="100"/>
        <v>No</v>
      </c>
      <c r="AI1123" s="25"/>
      <c r="AJ1123" s="20">
        <v>45118</v>
      </c>
      <c r="AK1123" s="20" t="s">
        <v>1571</v>
      </c>
      <c r="AL1123" s="20">
        <v>39071</v>
      </c>
      <c r="AM1123" s="20" t="s">
        <v>42</v>
      </c>
      <c r="AN1123" s="37" t="str">
        <f t="shared" si="101"/>
        <v>N/A</v>
      </c>
      <c r="AO1123" s="37" t="str">
        <f t="shared" si="102"/>
        <v>N/A</v>
      </c>
      <c r="AP1123" s="20" t="s">
        <v>8</v>
      </c>
      <c r="AQ1123" s="25"/>
      <c r="AR1123" s="25"/>
      <c r="AS1123" s="25"/>
      <c r="AT1123" s="25"/>
      <c r="AU1123" s="36"/>
      <c r="AV1123" s="36"/>
      <c r="AW1123" s="36"/>
      <c r="AX1123" s="25"/>
      <c r="AY1123" s="25"/>
      <c r="AZ1123" s="25"/>
      <c r="BA1123" s="25"/>
      <c r="BB1123" s="25"/>
      <c r="BC1123" s="25"/>
      <c r="BD1123" s="25"/>
      <c r="BE1123" s="25"/>
      <c r="BF1123" s="25"/>
      <c r="BG1123" s="25"/>
      <c r="BH1123" s="25"/>
      <c r="BI1123" s="25"/>
      <c r="BJ1123" s="25"/>
      <c r="BK1123" s="25"/>
      <c r="BL1123" s="25"/>
      <c r="BM1123" s="25"/>
      <c r="BN1123" s="25"/>
      <c r="BO1123" s="25"/>
      <c r="BP1123" s="25"/>
      <c r="BQ1123" s="25"/>
      <c r="BR1123" s="25"/>
      <c r="BS1123" s="25"/>
      <c r="BT1123" s="25"/>
      <c r="BU1123" s="39">
        <v>45698</v>
      </c>
      <c r="BV1123" s="39" t="s">
        <v>1830</v>
      </c>
      <c r="BW1123" s="39" t="s">
        <v>2896</v>
      </c>
      <c r="BX1123" s="39" t="s">
        <v>2897</v>
      </c>
      <c r="BY1123" s="71">
        <v>750</v>
      </c>
      <c r="BZ1123" s="71">
        <v>810</v>
      </c>
      <c r="CA1123" s="71">
        <v>990</v>
      </c>
      <c r="CB1123" s="71">
        <v>1190</v>
      </c>
      <c r="CC1123" s="71">
        <v>1400</v>
      </c>
      <c r="CD1123" s="25"/>
      <c r="CE1123" s="200"/>
      <c r="CF1123" s="200"/>
      <c r="CG1123" s="200"/>
      <c r="CH1123" s="200"/>
      <c r="CI1123" s="200"/>
      <c r="CJ1123" s="200"/>
      <c r="CK1123" s="200"/>
      <c r="CL1123" s="200"/>
      <c r="CM1123" s="200"/>
      <c r="CN1123" s="200"/>
      <c r="CO1123" s="200"/>
      <c r="CP1123" s="200"/>
      <c r="CQ1123" s="200"/>
      <c r="CR1123" s="200"/>
      <c r="CS1123" s="200"/>
      <c r="CT1123" s="200"/>
      <c r="CU1123" s="200"/>
    </row>
    <row r="1124" spans="1:99" s="17" customFormat="1" x14ac:dyDescent="0.2">
      <c r="A1124" s="25"/>
      <c r="B1124" s="20">
        <v>39095008208</v>
      </c>
      <c r="C1124" s="20">
        <v>82.08</v>
      </c>
      <c r="D1124" s="20" t="s">
        <v>53</v>
      </c>
      <c r="E1124" s="20" t="s">
        <v>2839</v>
      </c>
      <c r="F1124" s="20" t="s">
        <v>8</v>
      </c>
      <c r="G1124" s="861">
        <v>54.829289146690698</v>
      </c>
      <c r="H1124" s="861">
        <v>70.996707312070598</v>
      </c>
      <c r="I1124" s="861">
        <v>26.815881406269799</v>
      </c>
      <c r="J1124" s="861">
        <v>56.6594390218252</v>
      </c>
      <c r="K1124" s="982">
        <v>0</v>
      </c>
      <c r="L1124" s="735" t="s">
        <v>2466</v>
      </c>
      <c r="M1124" s="735">
        <v>3014</v>
      </c>
      <c r="N1124" s="845" t="str">
        <f t="shared" si="98"/>
        <v/>
      </c>
      <c r="O1124" s="735">
        <v>0.94222401661913424</v>
      </c>
      <c r="P1124" s="735">
        <f t="shared" si="99"/>
        <v>3198.8146627961819</v>
      </c>
      <c r="Q1124" s="849">
        <v>53.7</v>
      </c>
      <c r="R1124" s="71">
        <v>121012</v>
      </c>
      <c r="S1124" s="845">
        <v>4.5988934993084374E-2</v>
      </c>
      <c r="T1124" s="845">
        <v>1.4999999999999999E-2</v>
      </c>
      <c r="U1124" s="845">
        <v>0</v>
      </c>
      <c r="V1124" s="845">
        <v>0.13699999999999998</v>
      </c>
      <c r="W1124" s="845">
        <v>0.19304059652029826</v>
      </c>
      <c r="X1124" s="845">
        <v>0.21888412017167383</v>
      </c>
      <c r="Y1124" s="845">
        <v>0.79860650298606506</v>
      </c>
      <c r="Z1124" s="845">
        <v>5.5076310550763105E-2</v>
      </c>
      <c r="AA1124" s="845">
        <v>0</v>
      </c>
      <c r="AB1124" s="845">
        <v>5.5408095554080952E-2</v>
      </c>
      <c r="AC1124" s="845">
        <v>0</v>
      </c>
      <c r="AD1124" s="845">
        <v>1.3271400132714001E-3</v>
      </c>
      <c r="AE1124" s="845">
        <v>8.9581950895819509E-2</v>
      </c>
      <c r="AF1124" s="845">
        <v>4.2800265428002651E-2</v>
      </c>
      <c r="AG1124" s="845">
        <v>0.79329794293297939</v>
      </c>
      <c r="AH1124" s="20" t="str">
        <f t="shared" si="100"/>
        <v>No</v>
      </c>
      <c r="AI1124" s="25"/>
      <c r="AJ1124" s="37">
        <v>45123</v>
      </c>
      <c r="AK1124" s="37" t="s">
        <v>1576</v>
      </c>
      <c r="AL1124" s="37">
        <v>39071</v>
      </c>
      <c r="AM1124" s="37" t="s">
        <v>42</v>
      </c>
      <c r="AN1124" s="37" t="str">
        <f t="shared" si="101"/>
        <v>N/A</v>
      </c>
      <c r="AO1124" s="37" t="str">
        <f t="shared" si="102"/>
        <v>N/A</v>
      </c>
      <c r="AP1124" s="20" t="s">
        <v>8</v>
      </c>
      <c r="AQ1124" s="25"/>
      <c r="AR1124" s="25"/>
      <c r="AS1124" s="25"/>
      <c r="AT1124" s="25"/>
      <c r="AU1124" s="36"/>
      <c r="AV1124" s="36"/>
      <c r="AW1124" s="36"/>
      <c r="AX1124" s="25"/>
      <c r="AY1124" s="25"/>
      <c r="AZ1124" s="25"/>
      <c r="BA1124" s="25"/>
      <c r="BB1124" s="25"/>
      <c r="BC1124" s="25"/>
      <c r="BD1124" s="25"/>
      <c r="BE1124" s="25"/>
      <c r="BF1124" s="25"/>
      <c r="BG1124" s="25"/>
      <c r="BH1124" s="25"/>
      <c r="BI1124" s="25"/>
      <c r="BJ1124" s="25"/>
      <c r="BK1124" s="25"/>
      <c r="BL1124" s="25"/>
      <c r="BM1124" s="25"/>
      <c r="BN1124" s="25"/>
      <c r="BO1124" s="25"/>
      <c r="BP1124" s="25"/>
      <c r="BQ1124" s="25"/>
      <c r="BR1124" s="25"/>
      <c r="BS1124" s="25"/>
      <c r="BT1124" s="25"/>
      <c r="BU1124" s="39">
        <v>45714</v>
      </c>
      <c r="BV1124" s="39" t="s">
        <v>1835</v>
      </c>
      <c r="BW1124" s="39" t="s">
        <v>2888</v>
      </c>
      <c r="BX1124" s="39" t="s">
        <v>2889</v>
      </c>
      <c r="BY1124" s="71">
        <v>760</v>
      </c>
      <c r="BZ1124" s="71">
        <v>770</v>
      </c>
      <c r="CA1124" s="71">
        <v>980</v>
      </c>
      <c r="CB1124" s="71">
        <v>1320</v>
      </c>
      <c r="CC1124" s="71">
        <v>1460</v>
      </c>
      <c r="CD1124" s="25"/>
      <c r="CE1124" s="200"/>
      <c r="CF1124" s="200"/>
      <c r="CG1124" s="200"/>
      <c r="CH1124" s="200"/>
      <c r="CI1124" s="200"/>
      <c r="CJ1124" s="200"/>
      <c r="CK1124" s="200"/>
      <c r="CL1124" s="200"/>
      <c r="CM1124" s="200"/>
      <c r="CN1124" s="200"/>
      <c r="CO1124" s="200"/>
      <c r="CP1124" s="200"/>
      <c r="CQ1124" s="200"/>
      <c r="CR1124" s="200"/>
      <c r="CS1124" s="200"/>
      <c r="CT1124" s="200"/>
      <c r="CU1124" s="200"/>
    </row>
    <row r="1125" spans="1:99" s="17" customFormat="1" x14ac:dyDescent="0.2">
      <c r="A1125" s="25"/>
      <c r="B1125" s="20">
        <v>39147963700</v>
      </c>
      <c r="C1125" s="20">
        <v>9637</v>
      </c>
      <c r="D1125" s="20" t="s">
        <v>79</v>
      </c>
      <c r="E1125" s="20" t="s">
        <v>265</v>
      </c>
      <c r="F1125" s="20" t="s">
        <v>8</v>
      </c>
      <c r="G1125" s="861">
        <v>54.825432727132302</v>
      </c>
      <c r="H1125" s="861">
        <v>55.944356046297401</v>
      </c>
      <c r="I1125" s="861">
        <v>25.132711169622301</v>
      </c>
      <c r="J1125" s="861">
        <v>33.3664149861251</v>
      </c>
      <c r="K1125" s="982">
        <v>0</v>
      </c>
      <c r="L1125" s="735">
        <v>4813</v>
      </c>
      <c r="M1125" s="735">
        <v>4928</v>
      </c>
      <c r="N1125" s="845">
        <f t="shared" si="98"/>
        <v>2.3893621441928112E-2</v>
      </c>
      <c r="O1125" s="735">
        <v>19.651471681852627</v>
      </c>
      <c r="P1125" s="735">
        <f t="shared" si="99"/>
        <v>250.77002271289521</v>
      </c>
      <c r="Q1125" s="849">
        <v>44.2</v>
      </c>
      <c r="R1125" s="71">
        <v>79639</v>
      </c>
      <c r="S1125" s="845">
        <v>5.1945181255526086E-2</v>
      </c>
      <c r="T1125" s="845">
        <v>3.1E-2</v>
      </c>
      <c r="U1125" s="845">
        <v>1.6E-2</v>
      </c>
      <c r="V1125" s="845">
        <v>0</v>
      </c>
      <c r="W1125" s="845">
        <v>0.30034129692832767</v>
      </c>
      <c r="X1125" s="845">
        <v>0.31493506493506496</v>
      </c>
      <c r="Y1125" s="845">
        <v>0.91051136363636365</v>
      </c>
      <c r="Z1125" s="845">
        <v>3.7134740259740256E-2</v>
      </c>
      <c r="AA1125" s="845">
        <v>0</v>
      </c>
      <c r="AB1125" s="845">
        <v>1.968344155844156E-2</v>
      </c>
      <c r="AC1125" s="845">
        <v>0</v>
      </c>
      <c r="AD1125" s="845">
        <v>3.6525974025974025E-3</v>
      </c>
      <c r="AE1125" s="845">
        <v>2.9017857142857144E-2</v>
      </c>
      <c r="AF1125" s="845">
        <v>2.9829545454545456E-2</v>
      </c>
      <c r="AG1125" s="845">
        <v>0.89874188311688308</v>
      </c>
      <c r="AH1125" s="20" t="str">
        <f t="shared" si="100"/>
        <v>No</v>
      </c>
      <c r="AI1125" s="25"/>
      <c r="AJ1125" s="20">
        <v>45132</v>
      </c>
      <c r="AK1125" s="20" t="s">
        <v>1579</v>
      </c>
      <c r="AL1125" s="20">
        <v>39071</v>
      </c>
      <c r="AM1125" s="20" t="s">
        <v>42</v>
      </c>
      <c r="AN1125" s="37" t="str">
        <f t="shared" si="101"/>
        <v>N/A</v>
      </c>
      <c r="AO1125" s="37" t="str">
        <f t="shared" si="102"/>
        <v>N/A</v>
      </c>
      <c r="AP1125" s="20" t="s">
        <v>8</v>
      </c>
      <c r="AQ1125" s="25"/>
      <c r="AR1125" s="25"/>
      <c r="AS1125" s="25"/>
      <c r="AT1125" s="25"/>
      <c r="AU1125" s="36"/>
      <c r="AV1125" s="36"/>
      <c r="AW1125" s="36"/>
      <c r="AX1125" s="25"/>
      <c r="AY1125" s="25"/>
      <c r="AZ1125" s="25"/>
      <c r="BA1125" s="25"/>
      <c r="BB1125" s="25"/>
      <c r="BC1125" s="25"/>
      <c r="BD1125" s="25"/>
      <c r="BE1125" s="25"/>
      <c r="BF1125" s="25"/>
      <c r="BG1125" s="25"/>
      <c r="BH1125" s="25"/>
      <c r="BI1125" s="25"/>
      <c r="BJ1125" s="25"/>
      <c r="BK1125" s="25"/>
      <c r="BL1125" s="25"/>
      <c r="BM1125" s="25"/>
      <c r="BN1125" s="25"/>
      <c r="BO1125" s="25"/>
      <c r="BP1125" s="25"/>
      <c r="BQ1125" s="25"/>
      <c r="BR1125" s="25"/>
      <c r="BS1125" s="25"/>
      <c r="BT1125" s="25"/>
      <c r="BU1125" s="39">
        <v>45721</v>
      </c>
      <c r="BV1125" s="39" t="s">
        <v>1840</v>
      </c>
      <c r="BW1125" s="39" t="s">
        <v>2888</v>
      </c>
      <c r="BX1125" s="39" t="s">
        <v>2889</v>
      </c>
      <c r="BY1125" s="71">
        <v>760</v>
      </c>
      <c r="BZ1125" s="71">
        <v>770</v>
      </c>
      <c r="CA1125" s="71">
        <v>980</v>
      </c>
      <c r="CB1125" s="71">
        <v>1310</v>
      </c>
      <c r="CC1125" s="71">
        <v>1460</v>
      </c>
      <c r="CD1125" s="25"/>
      <c r="CE1125" s="200"/>
      <c r="CF1125" s="200"/>
      <c r="CG1125" s="200"/>
      <c r="CH1125" s="200"/>
      <c r="CI1125" s="200"/>
      <c r="CJ1125" s="200"/>
      <c r="CK1125" s="200"/>
      <c r="CL1125" s="200"/>
      <c r="CM1125" s="200"/>
      <c r="CN1125" s="200"/>
      <c r="CO1125" s="200"/>
      <c r="CP1125" s="200"/>
      <c r="CQ1125" s="200"/>
      <c r="CR1125" s="200"/>
      <c r="CS1125" s="200"/>
      <c r="CT1125" s="200"/>
      <c r="CU1125" s="200"/>
    </row>
    <row r="1126" spans="1:99" s="17" customFormat="1" x14ac:dyDescent="0.2">
      <c r="A1126" s="25"/>
      <c r="B1126" s="20">
        <v>39099813400</v>
      </c>
      <c r="C1126" s="20">
        <v>8134</v>
      </c>
      <c r="D1126" s="20" t="s">
        <v>55</v>
      </c>
      <c r="E1126" s="20" t="s">
        <v>2842</v>
      </c>
      <c r="F1126" s="20" t="s">
        <v>8</v>
      </c>
      <c r="G1126" s="861">
        <v>54.813364518270802</v>
      </c>
      <c r="H1126" s="861">
        <v>58.2045449974188</v>
      </c>
      <c r="I1126" s="861">
        <v>21.890441951174701</v>
      </c>
      <c r="J1126" s="861">
        <v>48.478688582463597</v>
      </c>
      <c r="K1126" s="982">
        <v>0</v>
      </c>
      <c r="L1126" s="735">
        <v>3534</v>
      </c>
      <c r="M1126" s="735">
        <v>3409</v>
      </c>
      <c r="N1126" s="845">
        <f t="shared" si="98"/>
        <v>-3.5370684776457273E-2</v>
      </c>
      <c r="O1126" s="735">
        <v>30.99311911512984</v>
      </c>
      <c r="P1126" s="735">
        <f t="shared" si="99"/>
        <v>109.99215623753842</v>
      </c>
      <c r="Q1126" s="849">
        <v>42.1</v>
      </c>
      <c r="R1126" s="71">
        <v>87903</v>
      </c>
      <c r="S1126" s="845">
        <v>8.2593250444049734E-2</v>
      </c>
      <c r="T1126" s="845">
        <v>2.4E-2</v>
      </c>
      <c r="U1126" s="845">
        <v>0</v>
      </c>
      <c r="V1126" s="845">
        <v>0</v>
      </c>
      <c r="W1126" s="845">
        <v>0.11544850498338871</v>
      </c>
      <c r="X1126" s="845">
        <v>0.35251798561151076</v>
      </c>
      <c r="Y1126" s="845">
        <v>0.94103842769140511</v>
      </c>
      <c r="Z1126" s="845">
        <v>2.1413904370783221E-2</v>
      </c>
      <c r="AA1126" s="845">
        <v>0</v>
      </c>
      <c r="AB1126" s="845">
        <v>0</v>
      </c>
      <c r="AC1126" s="845">
        <v>0</v>
      </c>
      <c r="AD1126" s="845">
        <v>2.0533880903490761E-3</v>
      </c>
      <c r="AE1126" s="845">
        <v>3.5494279847462597E-2</v>
      </c>
      <c r="AF1126" s="845">
        <v>5.8668231152830743E-4</v>
      </c>
      <c r="AG1126" s="845">
        <v>0.94103842769140511</v>
      </c>
      <c r="AH1126" s="20" t="str">
        <f t="shared" si="100"/>
        <v>Yes</v>
      </c>
      <c r="AI1126" s="25"/>
      <c r="AJ1126" s="37">
        <v>45133</v>
      </c>
      <c r="AK1126" s="37" t="s">
        <v>1580</v>
      </c>
      <c r="AL1126" s="37">
        <v>39071</v>
      </c>
      <c r="AM1126" s="37" t="s">
        <v>42</v>
      </c>
      <c r="AN1126" s="37" t="str">
        <f t="shared" si="101"/>
        <v>N/A</v>
      </c>
      <c r="AO1126" s="37" t="str">
        <f t="shared" si="102"/>
        <v>N/A</v>
      </c>
      <c r="AP1126" s="20" t="s">
        <v>8</v>
      </c>
      <c r="AQ1126" s="25"/>
      <c r="AR1126" s="25"/>
      <c r="AS1126" s="25"/>
      <c r="AT1126" s="25"/>
      <c r="AU1126" s="36"/>
      <c r="AV1126" s="36"/>
      <c r="AW1126" s="36"/>
      <c r="AX1126" s="25"/>
      <c r="AY1126" s="25"/>
      <c r="AZ1126" s="25"/>
      <c r="BA1126" s="25"/>
      <c r="BB1126" s="25"/>
      <c r="BC1126" s="25"/>
      <c r="BD1126" s="25"/>
      <c r="BE1126" s="25"/>
      <c r="BF1126" s="25"/>
      <c r="BG1126" s="25"/>
      <c r="BH1126" s="25"/>
      <c r="BI1126" s="25"/>
      <c r="BJ1126" s="25"/>
      <c r="BK1126" s="25"/>
      <c r="BL1126" s="25"/>
      <c r="BM1126" s="25"/>
      <c r="BN1126" s="25"/>
      <c r="BO1126" s="25"/>
      <c r="BP1126" s="25"/>
      <c r="BQ1126" s="25"/>
      <c r="BR1126" s="25"/>
      <c r="BS1126" s="25"/>
      <c r="BT1126" s="25"/>
      <c r="BU1126" s="39">
        <v>45724</v>
      </c>
      <c r="BV1126" s="39" t="s">
        <v>1842</v>
      </c>
      <c r="BW1126" s="39" t="s">
        <v>2888</v>
      </c>
      <c r="BX1126" s="39" t="s">
        <v>2889</v>
      </c>
      <c r="BY1126" s="71">
        <v>860</v>
      </c>
      <c r="BZ1126" s="71">
        <v>900</v>
      </c>
      <c r="CA1126" s="71">
        <v>1100</v>
      </c>
      <c r="CB1126" s="71">
        <v>1410</v>
      </c>
      <c r="CC1126" s="71">
        <v>1610</v>
      </c>
      <c r="CD1126" s="25"/>
      <c r="CE1126" s="200"/>
      <c r="CF1126" s="200"/>
      <c r="CG1126" s="200"/>
      <c r="CH1126" s="200"/>
      <c r="CI1126" s="200"/>
      <c r="CJ1126" s="200"/>
      <c r="CK1126" s="200"/>
      <c r="CL1126" s="200"/>
      <c r="CM1126" s="200"/>
      <c r="CN1126" s="200"/>
      <c r="CO1126" s="200"/>
      <c r="CP1126" s="200"/>
      <c r="CQ1126" s="200"/>
      <c r="CR1126" s="200"/>
      <c r="CS1126" s="200"/>
      <c r="CT1126" s="200"/>
      <c r="CU1126" s="200"/>
    </row>
    <row r="1127" spans="1:99" s="17" customFormat="1" x14ac:dyDescent="0.2">
      <c r="A1127" s="25"/>
      <c r="B1127" s="20">
        <v>39061021505</v>
      </c>
      <c r="C1127" s="20">
        <v>215.05</v>
      </c>
      <c r="D1127" s="20" t="s">
        <v>37</v>
      </c>
      <c r="E1127" s="20" t="s">
        <v>2828</v>
      </c>
      <c r="F1127" s="20" t="s">
        <v>8</v>
      </c>
      <c r="G1127" s="861">
        <v>54.8039480784281</v>
      </c>
      <c r="H1127" s="861">
        <v>64.361567291719695</v>
      </c>
      <c r="I1127" s="861">
        <v>46.792882321177203</v>
      </c>
      <c r="J1127" s="861">
        <v>50.6874985451092</v>
      </c>
      <c r="K1127" s="982">
        <v>0</v>
      </c>
      <c r="L1127" s="735">
        <v>2801</v>
      </c>
      <c r="M1127" s="735">
        <v>3908</v>
      </c>
      <c r="N1127" s="845">
        <f t="shared" si="98"/>
        <v>0.39521599428775439</v>
      </c>
      <c r="O1127" s="735">
        <v>0.96223800811193694</v>
      </c>
      <c r="P1127" s="735">
        <f t="shared" si="99"/>
        <v>4061.365241296292</v>
      </c>
      <c r="Q1127" s="849">
        <v>38.200000000000003</v>
      </c>
      <c r="R1127" s="71">
        <v>50833</v>
      </c>
      <c r="S1127" s="845">
        <v>0.18730808597748208</v>
      </c>
      <c r="T1127" s="845">
        <v>6.7000000000000004E-2</v>
      </c>
      <c r="U1127" s="845">
        <v>0</v>
      </c>
      <c r="V1127" s="845">
        <v>0</v>
      </c>
      <c r="W1127" s="845">
        <v>0.44537815126050423</v>
      </c>
      <c r="X1127" s="845">
        <v>0.45911949685534592</v>
      </c>
      <c r="Y1127" s="845">
        <v>0.17041965199590584</v>
      </c>
      <c r="Z1127" s="845">
        <v>0.5578300921187308</v>
      </c>
      <c r="AA1127" s="845">
        <v>7.6765609007164786E-4</v>
      </c>
      <c r="AB1127" s="845">
        <v>0.11719549641760492</v>
      </c>
      <c r="AC1127" s="845">
        <v>0</v>
      </c>
      <c r="AD1127" s="845">
        <v>3.6079836233367454E-2</v>
      </c>
      <c r="AE1127" s="845">
        <v>0.11770726714431934</v>
      </c>
      <c r="AF1127" s="845">
        <v>6.7809621289662225E-2</v>
      </c>
      <c r="AG1127" s="845">
        <v>0.1653019447287615</v>
      </c>
      <c r="AH1127" s="20" t="str">
        <f t="shared" si="100"/>
        <v>No</v>
      </c>
      <c r="AI1127" s="25"/>
      <c r="AJ1127" s="20">
        <v>45135</v>
      </c>
      <c r="AK1127" s="20" t="s">
        <v>1581</v>
      </c>
      <c r="AL1127" s="20">
        <v>39071</v>
      </c>
      <c r="AM1127" s="20" t="s">
        <v>42</v>
      </c>
      <c r="AN1127" s="37" t="str">
        <f t="shared" si="101"/>
        <v>N/A</v>
      </c>
      <c r="AO1127" s="37" t="str">
        <f t="shared" si="102"/>
        <v>N/A</v>
      </c>
      <c r="AP1127" s="20" t="s">
        <v>8</v>
      </c>
      <c r="AQ1127" s="25"/>
      <c r="AR1127" s="25"/>
      <c r="AS1127" s="25"/>
      <c r="AT1127" s="25"/>
      <c r="AU1127" s="36"/>
      <c r="AV1127" s="36"/>
      <c r="AW1127" s="36"/>
      <c r="AX1127" s="25"/>
      <c r="AY1127" s="25"/>
      <c r="AZ1127" s="25"/>
      <c r="BA1127" s="25"/>
      <c r="BB1127" s="25"/>
      <c r="BC1127" s="25"/>
      <c r="BD1127" s="25"/>
      <c r="BE1127" s="25"/>
      <c r="BF1127" s="25"/>
      <c r="BG1127" s="25"/>
      <c r="BH1127" s="25"/>
      <c r="BI1127" s="25"/>
      <c r="BJ1127" s="25"/>
      <c r="BK1127" s="25"/>
      <c r="BL1127" s="25"/>
      <c r="BM1127" s="25"/>
      <c r="BN1127" s="25"/>
      <c r="BO1127" s="25"/>
      <c r="BP1127" s="25"/>
      <c r="BQ1127" s="25"/>
      <c r="BR1127" s="25"/>
      <c r="BS1127" s="25"/>
      <c r="BT1127" s="25"/>
      <c r="BU1127" s="39">
        <v>45729</v>
      </c>
      <c r="BV1127" s="39" t="s">
        <v>1844</v>
      </c>
      <c r="BW1127" s="39" t="s">
        <v>2888</v>
      </c>
      <c r="BX1127" s="39" t="s">
        <v>2889</v>
      </c>
      <c r="BY1127" s="71">
        <v>770</v>
      </c>
      <c r="BZ1127" s="71">
        <v>770</v>
      </c>
      <c r="CA1127" s="71">
        <v>980</v>
      </c>
      <c r="CB1127" s="71">
        <v>1330</v>
      </c>
      <c r="CC1127" s="71">
        <v>1470</v>
      </c>
      <c r="CD1127" s="25"/>
      <c r="CE1127" s="200"/>
      <c r="CF1127" s="200"/>
      <c r="CG1127" s="200"/>
      <c r="CH1127" s="200"/>
      <c r="CI1127" s="200"/>
      <c r="CJ1127" s="200"/>
      <c r="CK1127" s="200"/>
      <c r="CL1127" s="200"/>
      <c r="CM1127" s="200"/>
      <c r="CN1127" s="200"/>
      <c r="CO1127" s="200"/>
      <c r="CP1127" s="200"/>
      <c r="CQ1127" s="200"/>
      <c r="CR1127" s="200"/>
      <c r="CS1127" s="200"/>
      <c r="CT1127" s="200"/>
      <c r="CU1127" s="200"/>
    </row>
    <row r="1128" spans="1:99" s="17" customFormat="1" x14ac:dyDescent="0.2">
      <c r="A1128" s="25"/>
      <c r="B1128" s="20">
        <v>39095002800</v>
      </c>
      <c r="C1128" s="20">
        <v>28</v>
      </c>
      <c r="D1128" s="20" t="s">
        <v>53</v>
      </c>
      <c r="E1128" s="20" t="s">
        <v>2839</v>
      </c>
      <c r="F1128" s="20" t="s">
        <v>6</v>
      </c>
      <c r="G1128" s="861">
        <v>54.789810225617998</v>
      </c>
      <c r="H1128" s="861">
        <v>71.199556459567404</v>
      </c>
      <c r="I1128" s="861">
        <v>40.581262343666303</v>
      </c>
      <c r="J1128" s="861">
        <v>61.905789493412499</v>
      </c>
      <c r="K1128" s="982">
        <v>0</v>
      </c>
      <c r="L1128" s="735">
        <v>1423</v>
      </c>
      <c r="M1128" s="735">
        <v>1422</v>
      </c>
      <c r="N1128" s="845">
        <f t="shared" si="98"/>
        <v>-7.0274068868587491E-4</v>
      </c>
      <c r="O1128" s="735">
        <v>0.47357553313246681</v>
      </c>
      <c r="P1128" s="735">
        <f t="shared" si="99"/>
        <v>3002.6889070771385</v>
      </c>
      <c r="Q1128" s="849">
        <v>34.4</v>
      </c>
      <c r="R1128" s="71"/>
      <c r="S1128" s="845">
        <v>0.37004830917874398</v>
      </c>
      <c r="T1128" s="845">
        <v>1.9E-2</v>
      </c>
      <c r="U1128" s="845">
        <v>0</v>
      </c>
      <c r="V1128" s="845">
        <v>3.2000000000000001E-2</v>
      </c>
      <c r="W1128" s="845">
        <v>0.97759103641456579</v>
      </c>
      <c r="X1128" s="845">
        <v>0.21346704871060171</v>
      </c>
      <c r="Y1128" s="845">
        <v>0.50140646976090009</v>
      </c>
      <c r="Z1128" s="845">
        <v>0.37271448663853729</v>
      </c>
      <c r="AA1128" s="845">
        <v>0</v>
      </c>
      <c r="AB1128" s="845">
        <v>0</v>
      </c>
      <c r="AC1128" s="845">
        <v>0</v>
      </c>
      <c r="AD1128" s="845">
        <v>4.5710267229254573E-2</v>
      </c>
      <c r="AE1128" s="845">
        <v>8.0168776371308023E-2</v>
      </c>
      <c r="AF1128" s="845">
        <v>7.7355836849507739E-2</v>
      </c>
      <c r="AG1128" s="845">
        <v>0.48452883263009844</v>
      </c>
      <c r="AH1128" s="20" t="str">
        <f t="shared" si="100"/>
        <v>No</v>
      </c>
      <c r="AI1128" s="25"/>
      <c r="AJ1128" s="20">
        <v>45142</v>
      </c>
      <c r="AK1128" s="20" t="s">
        <v>1583</v>
      </c>
      <c r="AL1128" s="20">
        <v>39071</v>
      </c>
      <c r="AM1128" s="20" t="s">
        <v>42</v>
      </c>
      <c r="AN1128" s="37" t="str">
        <f t="shared" si="101"/>
        <v>N/A</v>
      </c>
      <c r="AO1128" s="37" t="str">
        <f t="shared" si="102"/>
        <v>N/A</v>
      </c>
      <c r="AP1128" s="20" t="s">
        <v>8</v>
      </c>
      <c r="AQ1128" s="25"/>
      <c r="AR1128" s="25"/>
      <c r="AS1128" s="25"/>
      <c r="AT1128" s="25"/>
      <c r="AU1128" s="36"/>
      <c r="AV1128" s="36"/>
      <c r="AW1128" s="36"/>
      <c r="AX1128" s="25"/>
      <c r="AY1128" s="25"/>
      <c r="AZ1128" s="25"/>
      <c r="BA1128" s="25"/>
      <c r="BB1128" s="25"/>
      <c r="BC1128" s="25"/>
      <c r="BD1128" s="25"/>
      <c r="BE1128" s="25"/>
      <c r="BF1128" s="25"/>
      <c r="BG1128" s="25"/>
      <c r="BH1128" s="25"/>
      <c r="BI1128" s="25"/>
      <c r="BJ1128" s="25"/>
      <c r="BK1128" s="25"/>
      <c r="BL1128" s="25"/>
      <c r="BM1128" s="25"/>
      <c r="BN1128" s="25"/>
      <c r="BO1128" s="25"/>
      <c r="BP1128" s="25"/>
      <c r="BQ1128" s="25"/>
      <c r="BR1128" s="25"/>
      <c r="BS1128" s="25"/>
      <c r="BT1128" s="25"/>
      <c r="BU1128" s="39">
        <v>45750</v>
      </c>
      <c r="BV1128" s="39" t="s">
        <v>1856</v>
      </c>
      <c r="BW1128" s="39" t="s">
        <v>2888</v>
      </c>
      <c r="BX1128" s="39" t="s">
        <v>2889</v>
      </c>
      <c r="BY1128" s="71">
        <v>760</v>
      </c>
      <c r="BZ1128" s="71">
        <v>770</v>
      </c>
      <c r="CA1128" s="71">
        <v>980</v>
      </c>
      <c r="CB1128" s="71">
        <v>1320</v>
      </c>
      <c r="CC1128" s="71">
        <v>1460</v>
      </c>
      <c r="CD1128" s="25"/>
      <c r="CE1128" s="200"/>
      <c r="CF1128" s="200"/>
      <c r="CG1128" s="200"/>
      <c r="CH1128" s="200"/>
      <c r="CI1128" s="200"/>
      <c r="CJ1128" s="200"/>
      <c r="CK1128" s="200"/>
      <c r="CL1128" s="200"/>
      <c r="CM1128" s="200"/>
      <c r="CN1128" s="200"/>
      <c r="CO1128" s="200"/>
      <c r="CP1128" s="200"/>
      <c r="CQ1128" s="200"/>
      <c r="CR1128" s="200"/>
      <c r="CS1128" s="200"/>
      <c r="CT1128" s="200"/>
      <c r="CU1128" s="200"/>
    </row>
    <row r="1129" spans="1:99" s="17" customFormat="1" x14ac:dyDescent="0.2">
      <c r="A1129" s="25"/>
      <c r="B1129" s="20">
        <v>39017011132</v>
      </c>
      <c r="C1129" s="20">
        <v>111.32</v>
      </c>
      <c r="D1129" s="20" t="s">
        <v>15</v>
      </c>
      <c r="E1129" s="20" t="s">
        <v>2828</v>
      </c>
      <c r="F1129" s="20" t="s">
        <v>8</v>
      </c>
      <c r="G1129" s="861">
        <v>54.770293557118102</v>
      </c>
      <c r="H1129" s="861">
        <v>55.078206886584901</v>
      </c>
      <c r="I1129" s="861">
        <v>21.438707871090301</v>
      </c>
      <c r="J1129" s="861">
        <v>40.637834064951498</v>
      </c>
      <c r="K1129" s="982">
        <v>0</v>
      </c>
      <c r="L1129" s="735" t="s">
        <v>2466</v>
      </c>
      <c r="M1129" s="735">
        <v>4290</v>
      </c>
      <c r="N1129" s="845" t="str">
        <f t="shared" si="98"/>
        <v/>
      </c>
      <c r="O1129" s="735">
        <v>3.0277555984610296</v>
      </c>
      <c r="P1129" s="735">
        <f t="shared" si="99"/>
        <v>1416.8911130675651</v>
      </c>
      <c r="Q1129" s="849">
        <v>34.5</v>
      </c>
      <c r="R1129" s="71">
        <v>136193</v>
      </c>
      <c r="S1129" s="845">
        <v>2.3776223776223775E-2</v>
      </c>
      <c r="T1129" s="845">
        <v>3.1E-2</v>
      </c>
      <c r="U1129" s="845">
        <v>6.9999999999999993E-3</v>
      </c>
      <c r="V1129" s="845">
        <v>0</v>
      </c>
      <c r="W1129" s="845">
        <v>0.14039039039039039</v>
      </c>
      <c r="X1129" s="845">
        <v>0.54545454545454541</v>
      </c>
      <c r="Y1129" s="845">
        <v>0.79300699300699296</v>
      </c>
      <c r="Z1129" s="845">
        <v>2.6806526806526808E-2</v>
      </c>
      <c r="AA1129" s="845">
        <v>0</v>
      </c>
      <c r="AB1129" s="845">
        <v>3.4965034965034968E-2</v>
      </c>
      <c r="AC1129" s="845">
        <v>0</v>
      </c>
      <c r="AD1129" s="845">
        <v>2.2144522144522144E-2</v>
      </c>
      <c r="AE1129" s="845">
        <v>0.12307692307692308</v>
      </c>
      <c r="AF1129" s="845">
        <v>0.10046620046620047</v>
      </c>
      <c r="AG1129" s="845">
        <v>0.77645687645687644</v>
      </c>
      <c r="AH1129" s="20" t="str">
        <f t="shared" si="100"/>
        <v>No</v>
      </c>
      <c r="AI1129" s="25"/>
      <c r="AJ1129" s="37">
        <v>45154</v>
      </c>
      <c r="AK1129" s="37" t="s">
        <v>1591</v>
      </c>
      <c r="AL1129" s="37">
        <v>39071</v>
      </c>
      <c r="AM1129" s="37" t="s">
        <v>42</v>
      </c>
      <c r="AN1129" s="37" t="str">
        <f t="shared" si="101"/>
        <v>N/A</v>
      </c>
      <c r="AO1129" s="37" t="str">
        <f t="shared" si="102"/>
        <v>N/A</v>
      </c>
      <c r="AP1129" s="20" t="s">
        <v>8</v>
      </c>
      <c r="AQ1129" s="25"/>
      <c r="AR1129" s="25"/>
      <c r="AS1129" s="25"/>
      <c r="AT1129" s="25"/>
      <c r="AU1129" s="36"/>
      <c r="AV1129" s="36"/>
      <c r="AW1129" s="36"/>
      <c r="AX1129" s="25"/>
      <c r="AY1129" s="25"/>
      <c r="AZ1129" s="25"/>
      <c r="BA1129" s="25"/>
      <c r="BB1129" s="25"/>
      <c r="BC1129" s="25"/>
      <c r="BD1129" s="25"/>
      <c r="BE1129" s="25"/>
      <c r="BF1129" s="25"/>
      <c r="BG1129" s="25"/>
      <c r="BH1129" s="25"/>
      <c r="BI1129" s="25"/>
      <c r="BJ1129" s="25"/>
      <c r="BK1129" s="25"/>
      <c r="BL1129" s="25"/>
      <c r="BM1129" s="25"/>
      <c r="BN1129" s="25"/>
      <c r="BO1129" s="25"/>
      <c r="BP1129" s="25"/>
      <c r="BQ1129" s="25"/>
      <c r="BR1129" s="25"/>
      <c r="BS1129" s="25"/>
      <c r="BT1129" s="25"/>
      <c r="BU1129" s="39">
        <v>45768</v>
      </c>
      <c r="BV1129" s="39" t="s">
        <v>1862</v>
      </c>
      <c r="BW1129" s="39" t="s">
        <v>2888</v>
      </c>
      <c r="BX1129" s="39" t="s">
        <v>2889</v>
      </c>
      <c r="BY1129" s="71">
        <v>750</v>
      </c>
      <c r="BZ1129" s="71">
        <v>760</v>
      </c>
      <c r="CA1129" s="71">
        <v>970</v>
      </c>
      <c r="CB1129" s="71">
        <v>1300</v>
      </c>
      <c r="CC1129" s="71">
        <v>1390</v>
      </c>
      <c r="CD1129" s="25"/>
      <c r="CE1129" s="200"/>
      <c r="CF1129" s="200"/>
      <c r="CG1129" s="200"/>
      <c r="CH1129" s="200"/>
      <c r="CI1129" s="200"/>
      <c r="CJ1129" s="200"/>
      <c r="CK1129" s="200"/>
      <c r="CL1129" s="200"/>
      <c r="CM1129" s="200"/>
      <c r="CN1129" s="200"/>
      <c r="CO1129" s="200"/>
      <c r="CP1129" s="200"/>
      <c r="CQ1129" s="200"/>
      <c r="CR1129" s="200"/>
      <c r="CS1129" s="200"/>
      <c r="CT1129" s="200"/>
      <c r="CU1129" s="200"/>
    </row>
    <row r="1130" spans="1:99" s="17" customFormat="1" x14ac:dyDescent="0.2">
      <c r="A1130" s="25"/>
      <c r="B1130" s="20">
        <v>39113100400</v>
      </c>
      <c r="C1130" s="20">
        <v>1004</v>
      </c>
      <c r="D1130" s="20" t="s">
        <v>62</v>
      </c>
      <c r="E1130" s="20" t="s">
        <v>2833</v>
      </c>
      <c r="F1130" s="20" t="s">
        <v>8</v>
      </c>
      <c r="G1130" s="861">
        <v>54.762313474682699</v>
      </c>
      <c r="H1130" s="861">
        <v>56.914001643578601</v>
      </c>
      <c r="I1130" s="861">
        <v>29.9905286336536</v>
      </c>
      <c r="J1130" s="861">
        <v>56.684008910188901</v>
      </c>
      <c r="K1130" s="982">
        <v>0</v>
      </c>
      <c r="L1130" s="735">
        <v>4842</v>
      </c>
      <c r="M1130" s="735">
        <v>5068</v>
      </c>
      <c r="N1130" s="845">
        <f t="shared" si="98"/>
        <v>4.6674927715819908E-2</v>
      </c>
      <c r="O1130" s="735">
        <v>8.750750210972976</v>
      </c>
      <c r="P1130" s="735">
        <f t="shared" si="99"/>
        <v>579.15034457788511</v>
      </c>
      <c r="Q1130" s="849">
        <v>39.700000000000003</v>
      </c>
      <c r="R1130" s="71">
        <v>71607</v>
      </c>
      <c r="S1130" s="845">
        <v>7.4585635359116026E-2</v>
      </c>
      <c r="T1130" s="845">
        <v>3.7999999999999999E-2</v>
      </c>
      <c r="U1130" s="845">
        <v>0</v>
      </c>
      <c r="V1130" s="845">
        <v>0</v>
      </c>
      <c r="W1130" s="845">
        <v>0.34570220760920622</v>
      </c>
      <c r="X1130" s="845">
        <v>0.36141304347826086</v>
      </c>
      <c r="Y1130" s="845">
        <v>0.74210734017363855</v>
      </c>
      <c r="Z1130" s="845">
        <v>0.12805840568271507</v>
      </c>
      <c r="AA1130" s="845">
        <v>0</v>
      </c>
      <c r="AB1130" s="845">
        <v>5.6629834254143648E-2</v>
      </c>
      <c r="AC1130" s="845">
        <v>0</v>
      </c>
      <c r="AD1130" s="845">
        <v>9.6685082872928173E-3</v>
      </c>
      <c r="AE1130" s="845">
        <v>6.3535911602209949E-2</v>
      </c>
      <c r="AF1130" s="845">
        <v>1.0655090765588003E-2</v>
      </c>
      <c r="AG1130" s="845">
        <v>0.739542225730071</v>
      </c>
      <c r="AH1130" s="20" t="str">
        <f t="shared" si="100"/>
        <v>No</v>
      </c>
      <c r="AI1130" s="25"/>
      <c r="AJ1130" s="37">
        <v>45155</v>
      </c>
      <c r="AK1130" s="37" t="s">
        <v>1592</v>
      </c>
      <c r="AL1130" s="37">
        <v>39071</v>
      </c>
      <c r="AM1130" s="37" t="s">
        <v>42</v>
      </c>
      <c r="AN1130" s="37" t="str">
        <f t="shared" si="101"/>
        <v>N/A</v>
      </c>
      <c r="AO1130" s="37" t="str">
        <f t="shared" si="102"/>
        <v>N/A</v>
      </c>
      <c r="AP1130" s="20" t="s">
        <v>8</v>
      </c>
      <c r="AQ1130" s="25"/>
      <c r="AR1130" s="25"/>
      <c r="AS1130" s="25"/>
      <c r="AT1130" s="25"/>
      <c r="AU1130" s="36"/>
      <c r="AV1130" s="36"/>
      <c r="AW1130" s="36"/>
      <c r="AX1130" s="25"/>
      <c r="AY1130" s="25"/>
      <c r="AZ1130" s="25"/>
      <c r="BA1130" s="25"/>
      <c r="BB1130" s="25"/>
      <c r="BC1130" s="25"/>
      <c r="BD1130" s="25"/>
      <c r="BE1130" s="25"/>
      <c r="BF1130" s="25"/>
      <c r="BG1130" s="25"/>
      <c r="BH1130" s="25"/>
      <c r="BI1130" s="25"/>
      <c r="BJ1130" s="25"/>
      <c r="BK1130" s="25"/>
      <c r="BL1130" s="25"/>
      <c r="BM1130" s="25"/>
      <c r="BN1130" s="25"/>
      <c r="BO1130" s="25"/>
      <c r="BP1130" s="25"/>
      <c r="BQ1130" s="25"/>
      <c r="BR1130" s="25"/>
      <c r="BS1130" s="25"/>
      <c r="BT1130" s="25"/>
      <c r="BU1130" s="39">
        <v>45773</v>
      </c>
      <c r="BV1130" s="39" t="s">
        <v>1867</v>
      </c>
      <c r="BW1130" s="39" t="s">
        <v>2888</v>
      </c>
      <c r="BX1130" s="39" t="s">
        <v>2889</v>
      </c>
      <c r="BY1130" s="71">
        <v>760</v>
      </c>
      <c r="BZ1130" s="71">
        <v>770</v>
      </c>
      <c r="CA1130" s="71">
        <v>980</v>
      </c>
      <c r="CB1130" s="71">
        <v>1320</v>
      </c>
      <c r="CC1130" s="71">
        <v>1450</v>
      </c>
      <c r="CD1130" s="25"/>
      <c r="CE1130" s="200"/>
      <c r="CF1130" s="200"/>
      <c r="CG1130" s="200"/>
      <c r="CH1130" s="200"/>
      <c r="CI1130" s="200"/>
      <c r="CJ1130" s="200"/>
      <c r="CK1130" s="200"/>
      <c r="CL1130" s="200"/>
      <c r="CM1130" s="200"/>
      <c r="CN1130" s="200"/>
      <c r="CO1130" s="200"/>
      <c r="CP1130" s="200"/>
      <c r="CQ1130" s="200"/>
      <c r="CR1130" s="200"/>
      <c r="CS1130" s="200"/>
      <c r="CT1130" s="200"/>
      <c r="CU1130" s="200"/>
    </row>
    <row r="1131" spans="1:99" s="17" customFormat="1" x14ac:dyDescent="0.2">
      <c r="A1131" s="25"/>
      <c r="B1131" s="20">
        <v>39017012600</v>
      </c>
      <c r="C1131" s="20">
        <v>126</v>
      </c>
      <c r="D1131" s="20" t="s">
        <v>15</v>
      </c>
      <c r="E1131" s="20" t="s">
        <v>2828</v>
      </c>
      <c r="F1131" s="20" t="s">
        <v>8</v>
      </c>
      <c r="G1131" s="861">
        <v>54.761870879382002</v>
      </c>
      <c r="H1131" s="861">
        <v>68.070625439584106</v>
      </c>
      <c r="I1131" s="861">
        <v>25.291594957073301</v>
      </c>
      <c r="J1131" s="861">
        <v>39.651118960017797</v>
      </c>
      <c r="K1131" s="982">
        <v>0</v>
      </c>
      <c r="L1131" s="735">
        <v>2530</v>
      </c>
      <c r="M1131" s="735">
        <v>2312</v>
      </c>
      <c r="N1131" s="845">
        <f t="shared" si="98"/>
        <v>-8.6166007905138342E-2</v>
      </c>
      <c r="O1131" s="735">
        <v>1.2258901837198011</v>
      </c>
      <c r="P1131" s="735">
        <f t="shared" si="99"/>
        <v>1885.976436310586</v>
      </c>
      <c r="Q1131" s="849">
        <v>35.299999999999997</v>
      </c>
      <c r="R1131" s="71">
        <v>96083</v>
      </c>
      <c r="S1131" s="845">
        <v>6.7041522491349481E-2</v>
      </c>
      <c r="T1131" s="845">
        <v>1.7000000000000001E-2</v>
      </c>
      <c r="U1131" s="845">
        <v>0</v>
      </c>
      <c r="V1131" s="845">
        <v>7.400000000000001E-2</v>
      </c>
      <c r="W1131" s="845">
        <v>0.24700854700854702</v>
      </c>
      <c r="X1131" s="845">
        <v>0.23183391003460208</v>
      </c>
      <c r="Y1131" s="845">
        <v>0.93901384083044981</v>
      </c>
      <c r="Z1131" s="845">
        <v>4.3252595155709346E-3</v>
      </c>
      <c r="AA1131" s="845">
        <v>0</v>
      </c>
      <c r="AB1131" s="845">
        <v>3.8494809688581315E-2</v>
      </c>
      <c r="AC1131" s="845">
        <v>0</v>
      </c>
      <c r="AD1131" s="845">
        <v>0</v>
      </c>
      <c r="AE1131" s="845">
        <v>1.8166089965397925E-2</v>
      </c>
      <c r="AF1131" s="845">
        <v>0</v>
      </c>
      <c r="AG1131" s="845">
        <v>0.93901384083044981</v>
      </c>
      <c r="AH1131" s="20" t="str">
        <f t="shared" si="100"/>
        <v>Yes</v>
      </c>
      <c r="AI1131" s="25"/>
      <c r="AJ1131" s="37">
        <v>45159</v>
      </c>
      <c r="AK1131" s="37" t="s">
        <v>1596</v>
      </c>
      <c r="AL1131" s="37">
        <v>39071</v>
      </c>
      <c r="AM1131" s="37" t="s">
        <v>42</v>
      </c>
      <c r="AN1131" s="37" t="str">
        <f t="shared" si="101"/>
        <v>N/A</v>
      </c>
      <c r="AO1131" s="37" t="str">
        <f t="shared" si="102"/>
        <v>N/A</v>
      </c>
      <c r="AP1131" s="20" t="s">
        <v>8</v>
      </c>
      <c r="AQ1131" s="25"/>
      <c r="AR1131" s="25"/>
      <c r="AS1131" s="25"/>
      <c r="AT1131" s="25"/>
      <c r="AU1131" s="36"/>
      <c r="AV1131" s="36"/>
      <c r="AW1131" s="36"/>
      <c r="AX1131" s="25"/>
      <c r="AY1131" s="25"/>
      <c r="AZ1131" s="25"/>
      <c r="BA1131" s="25"/>
      <c r="BB1131" s="25"/>
      <c r="BC1131" s="25"/>
      <c r="BD1131" s="25"/>
      <c r="BE1131" s="25"/>
      <c r="BF1131" s="25"/>
      <c r="BG1131" s="25"/>
      <c r="BH1131" s="25"/>
      <c r="BI1131" s="25"/>
      <c r="BJ1131" s="25"/>
      <c r="BK1131" s="25"/>
      <c r="BL1131" s="25"/>
      <c r="BM1131" s="25"/>
      <c r="BN1131" s="25"/>
      <c r="BO1131" s="25"/>
      <c r="BP1131" s="25"/>
      <c r="BQ1131" s="25"/>
      <c r="BR1131" s="25"/>
      <c r="BS1131" s="25"/>
      <c r="BT1131" s="25"/>
      <c r="BU1131" s="39">
        <v>45784</v>
      </c>
      <c r="BV1131" s="39" t="s">
        <v>1875</v>
      </c>
      <c r="BW1131" s="39" t="s">
        <v>2888</v>
      </c>
      <c r="BX1131" s="39" t="s">
        <v>2889</v>
      </c>
      <c r="BY1131" s="71">
        <v>760</v>
      </c>
      <c r="BZ1131" s="71">
        <v>760</v>
      </c>
      <c r="CA1131" s="71">
        <v>970</v>
      </c>
      <c r="CB1131" s="71">
        <v>1310</v>
      </c>
      <c r="CC1131" s="71">
        <v>1450</v>
      </c>
      <c r="CD1131" s="25"/>
      <c r="CE1131" s="200"/>
      <c r="CF1131" s="200"/>
      <c r="CG1131" s="200"/>
      <c r="CH1131" s="200"/>
      <c r="CI1131" s="200"/>
      <c r="CJ1131" s="200"/>
      <c r="CK1131" s="200"/>
      <c r="CL1131" s="200"/>
      <c r="CM1131" s="200"/>
      <c r="CN1131" s="200"/>
      <c r="CO1131" s="200"/>
      <c r="CP1131" s="200"/>
      <c r="CQ1131" s="200"/>
      <c r="CR1131" s="200"/>
      <c r="CS1131" s="200"/>
      <c r="CT1131" s="200"/>
      <c r="CU1131" s="200"/>
    </row>
    <row r="1132" spans="1:99" s="17" customFormat="1" x14ac:dyDescent="0.2">
      <c r="A1132" s="25"/>
      <c r="B1132" s="20">
        <v>39135470101</v>
      </c>
      <c r="C1132" s="20">
        <v>4701.01</v>
      </c>
      <c r="D1132" s="20" t="s">
        <v>73</v>
      </c>
      <c r="E1132" s="20" t="s">
        <v>265</v>
      </c>
      <c r="F1132" s="20" t="s">
        <v>8</v>
      </c>
      <c r="G1132" s="861">
        <v>54.707703076908899</v>
      </c>
      <c r="H1132" s="861">
        <v>58.785905120998301</v>
      </c>
      <c r="I1132" s="861">
        <v>20.111813892010399</v>
      </c>
      <c r="J1132" s="861">
        <v>51.7729062773723</v>
      </c>
      <c r="K1132" s="982">
        <v>0</v>
      </c>
      <c r="L1132" s="735">
        <v>3528</v>
      </c>
      <c r="M1132" s="735">
        <v>3485</v>
      </c>
      <c r="N1132" s="845">
        <f t="shared" si="98"/>
        <v>-1.2188208616780046E-2</v>
      </c>
      <c r="O1132" s="735">
        <v>11.225587441017248</v>
      </c>
      <c r="P1132" s="735">
        <f t="shared" si="99"/>
        <v>310.45145907163266</v>
      </c>
      <c r="Q1132" s="849">
        <v>46.6</v>
      </c>
      <c r="R1132" s="71">
        <v>88333</v>
      </c>
      <c r="S1132" s="845">
        <v>3.9039907460960095E-2</v>
      </c>
      <c r="T1132" s="845">
        <v>1.4999999999999999E-2</v>
      </c>
      <c r="U1132" s="845">
        <v>9.0000000000000011E-3</v>
      </c>
      <c r="V1132" s="845">
        <v>0</v>
      </c>
      <c r="W1132" s="845">
        <v>7.2902338376891335E-2</v>
      </c>
      <c r="X1132" s="845">
        <v>0.26415094339622641</v>
      </c>
      <c r="Y1132" s="845">
        <v>0.97101865136298426</v>
      </c>
      <c r="Z1132" s="845">
        <v>0</v>
      </c>
      <c r="AA1132" s="845">
        <v>1.4347202295552368E-3</v>
      </c>
      <c r="AB1132" s="845">
        <v>0</v>
      </c>
      <c r="AC1132" s="845">
        <v>0</v>
      </c>
      <c r="AD1132" s="845">
        <v>4.5911047345767574E-3</v>
      </c>
      <c r="AE1132" s="845">
        <v>2.2955523672883789E-2</v>
      </c>
      <c r="AF1132" s="845">
        <v>7.7474892395982785E-3</v>
      </c>
      <c r="AG1132" s="845">
        <v>0.97101865136298426</v>
      </c>
      <c r="AH1132" s="20" t="str">
        <f t="shared" si="100"/>
        <v>Yes</v>
      </c>
      <c r="AI1132" s="25"/>
      <c r="AJ1132" s="20">
        <v>45171</v>
      </c>
      <c r="AK1132" s="20" t="s">
        <v>1604</v>
      </c>
      <c r="AL1132" s="20">
        <v>39071</v>
      </c>
      <c r="AM1132" s="20" t="s">
        <v>42</v>
      </c>
      <c r="AN1132" s="37" t="str">
        <f t="shared" si="101"/>
        <v>N/A</v>
      </c>
      <c r="AO1132" s="37" t="str">
        <f t="shared" si="102"/>
        <v>N/A</v>
      </c>
      <c r="AP1132" s="20" t="s">
        <v>8</v>
      </c>
      <c r="AQ1132" s="25"/>
      <c r="AR1132" s="25"/>
      <c r="AS1132" s="25"/>
      <c r="AT1132" s="25"/>
      <c r="AU1132" s="36"/>
      <c r="AV1132" s="36"/>
      <c r="AW1132" s="36"/>
      <c r="AX1132" s="25"/>
      <c r="AY1132" s="25"/>
      <c r="AZ1132" s="25"/>
      <c r="BA1132" s="25"/>
      <c r="BB1132" s="25"/>
      <c r="BC1132" s="25"/>
      <c r="BD1132" s="25"/>
      <c r="BE1132" s="25"/>
      <c r="BF1132" s="25"/>
      <c r="BG1132" s="25"/>
      <c r="BH1132" s="25"/>
      <c r="BI1132" s="25"/>
      <c r="BJ1132" s="25"/>
      <c r="BK1132" s="25"/>
      <c r="BL1132" s="25"/>
      <c r="BM1132" s="25"/>
      <c r="BN1132" s="25"/>
      <c r="BO1132" s="25"/>
      <c r="BP1132" s="25"/>
      <c r="BQ1132" s="25"/>
      <c r="BR1132" s="25"/>
      <c r="BS1132" s="25"/>
      <c r="BT1132" s="25"/>
      <c r="BU1132" s="39">
        <v>45788</v>
      </c>
      <c r="BV1132" s="39" t="s">
        <v>1877</v>
      </c>
      <c r="BW1132" s="39" t="s">
        <v>2888</v>
      </c>
      <c r="BX1132" s="39" t="s">
        <v>2889</v>
      </c>
      <c r="BY1132" s="71">
        <v>840</v>
      </c>
      <c r="BZ1132" s="71">
        <v>850</v>
      </c>
      <c r="CA1132" s="71">
        <v>1080</v>
      </c>
      <c r="CB1132" s="71">
        <v>1450</v>
      </c>
      <c r="CC1132" s="71">
        <v>1600</v>
      </c>
      <c r="CD1132" s="25"/>
      <c r="CE1132" s="200"/>
      <c r="CF1132" s="200"/>
      <c r="CG1132" s="200"/>
      <c r="CH1132" s="200"/>
      <c r="CI1132" s="200"/>
      <c r="CJ1132" s="200"/>
      <c r="CK1132" s="200"/>
      <c r="CL1132" s="200"/>
      <c r="CM1132" s="200"/>
      <c r="CN1132" s="200"/>
      <c r="CO1132" s="200"/>
      <c r="CP1132" s="200"/>
      <c r="CQ1132" s="200"/>
      <c r="CR1132" s="200"/>
      <c r="CS1132" s="200"/>
      <c r="CT1132" s="200"/>
      <c r="CU1132" s="200"/>
    </row>
    <row r="1133" spans="1:99" s="17" customFormat="1" x14ac:dyDescent="0.2">
      <c r="A1133" s="25"/>
      <c r="B1133" s="20">
        <v>39029950200</v>
      </c>
      <c r="C1133" s="20">
        <v>9502</v>
      </c>
      <c r="D1133" s="20" t="s">
        <v>21</v>
      </c>
      <c r="E1133" s="20" t="s">
        <v>265</v>
      </c>
      <c r="F1133" s="20" t="s">
        <v>6</v>
      </c>
      <c r="G1133" s="861">
        <v>54.686807554846901</v>
      </c>
      <c r="H1133" s="861">
        <v>42.217238085385198</v>
      </c>
      <c r="I1133" s="861">
        <v>33.394989320473002</v>
      </c>
      <c r="J1133" s="861">
        <v>32.403889012729898</v>
      </c>
      <c r="K1133" s="982">
        <v>0</v>
      </c>
      <c r="L1133" s="735">
        <v>4705</v>
      </c>
      <c r="M1133" s="735">
        <v>4582</v>
      </c>
      <c r="N1133" s="845">
        <f t="shared" si="98"/>
        <v>-2.6142401700318809E-2</v>
      </c>
      <c r="O1133" s="735">
        <v>8.2266041754145363</v>
      </c>
      <c r="P1133" s="735">
        <f t="shared" si="99"/>
        <v>556.97343670593148</v>
      </c>
      <c r="Q1133" s="849">
        <v>43.1</v>
      </c>
      <c r="R1133" s="71">
        <v>43611</v>
      </c>
      <c r="S1133" s="845">
        <v>0.1</v>
      </c>
      <c r="T1133" s="845">
        <v>3.9E-2</v>
      </c>
      <c r="U1133" s="845">
        <v>0</v>
      </c>
      <c r="V1133" s="845">
        <v>0</v>
      </c>
      <c r="W1133" s="845">
        <v>0.41218130311614731</v>
      </c>
      <c r="X1133" s="845">
        <v>0.43986254295532645</v>
      </c>
      <c r="Y1133" s="845">
        <v>0.8939327804452204</v>
      </c>
      <c r="Z1133" s="845">
        <v>0</v>
      </c>
      <c r="AA1133" s="845">
        <v>2.4006983849847226E-3</v>
      </c>
      <c r="AB1133" s="845">
        <v>3.8192928852029684E-2</v>
      </c>
      <c r="AC1133" s="845">
        <v>0</v>
      </c>
      <c r="AD1133" s="845">
        <v>4.0375381929288523E-2</v>
      </c>
      <c r="AE1133" s="845">
        <v>2.5098210388476649E-2</v>
      </c>
      <c r="AF1133" s="845">
        <v>4.9978175469227414E-2</v>
      </c>
      <c r="AG1133" s="845">
        <v>0.8939327804452204</v>
      </c>
      <c r="AH1133" s="20" t="str">
        <f t="shared" si="100"/>
        <v>No</v>
      </c>
      <c r="AI1133" s="25"/>
      <c r="AJ1133" s="20">
        <v>45172</v>
      </c>
      <c r="AK1133" s="20" t="s">
        <v>1605</v>
      </c>
      <c r="AL1133" s="20">
        <v>39071</v>
      </c>
      <c r="AM1133" s="20" t="s">
        <v>42</v>
      </c>
      <c r="AN1133" s="37" t="str">
        <f t="shared" si="101"/>
        <v>N/A</v>
      </c>
      <c r="AO1133" s="37" t="str">
        <f t="shared" si="102"/>
        <v>N/A</v>
      </c>
      <c r="AP1133" s="20" t="s">
        <v>8</v>
      </c>
      <c r="AQ1133" s="25"/>
      <c r="AR1133" s="25"/>
      <c r="AS1133" s="25"/>
      <c r="AT1133" s="25"/>
      <c r="AU1133" s="36"/>
      <c r="AV1133" s="36"/>
      <c r="AW1133" s="36"/>
      <c r="AX1133" s="25"/>
      <c r="AY1133" s="25"/>
      <c r="AZ1133" s="25"/>
      <c r="BA1133" s="25"/>
      <c r="BB1133" s="25"/>
      <c r="BC1133" s="25"/>
      <c r="BD1133" s="25"/>
      <c r="BE1133" s="25"/>
      <c r="BF1133" s="25"/>
      <c r="BG1133" s="25"/>
      <c r="BH1133" s="25"/>
      <c r="BI1133" s="25"/>
      <c r="BJ1133" s="25"/>
      <c r="BK1133" s="25"/>
      <c r="BL1133" s="25"/>
      <c r="BM1133" s="25"/>
      <c r="BN1133" s="25"/>
      <c r="BO1133" s="25"/>
      <c r="BP1133" s="25"/>
      <c r="BQ1133" s="25"/>
      <c r="BR1133" s="25"/>
      <c r="BS1133" s="25"/>
      <c r="BT1133" s="25"/>
      <c r="BU1133" s="39">
        <v>44276</v>
      </c>
      <c r="BV1133" s="39" t="s">
        <v>1288</v>
      </c>
      <c r="BW1133" s="39" t="s">
        <v>2963</v>
      </c>
      <c r="BX1133" s="39" t="s">
        <v>2964</v>
      </c>
      <c r="BY1133" s="71">
        <v>680</v>
      </c>
      <c r="BZ1133" s="71">
        <v>780</v>
      </c>
      <c r="CA1133" s="71">
        <v>990</v>
      </c>
      <c r="CB1133" s="71">
        <v>1210</v>
      </c>
      <c r="CC1133" s="71">
        <v>1420</v>
      </c>
      <c r="CD1133" s="25"/>
      <c r="CE1133" s="200"/>
      <c r="CF1133" s="200"/>
      <c r="CG1133" s="200"/>
      <c r="CH1133" s="200"/>
      <c r="CI1133" s="200"/>
      <c r="CJ1133" s="200"/>
      <c r="CK1133" s="200"/>
      <c r="CL1133" s="200"/>
      <c r="CM1133" s="200"/>
      <c r="CN1133" s="200"/>
      <c r="CO1133" s="200"/>
      <c r="CP1133" s="200"/>
      <c r="CQ1133" s="200"/>
      <c r="CR1133" s="200"/>
      <c r="CS1133" s="200"/>
      <c r="CT1133" s="200"/>
      <c r="CU1133" s="200"/>
    </row>
    <row r="1134" spans="1:99" s="17" customFormat="1" x14ac:dyDescent="0.2">
      <c r="A1134" s="25"/>
      <c r="B1134" s="20">
        <v>39153530800</v>
      </c>
      <c r="C1134" s="20">
        <v>5308</v>
      </c>
      <c r="D1134" s="20" t="s">
        <v>82</v>
      </c>
      <c r="E1134" s="20" t="s">
        <v>2843</v>
      </c>
      <c r="F1134" s="20" t="s">
        <v>8</v>
      </c>
      <c r="G1134" s="861">
        <v>54.684085425418701</v>
      </c>
      <c r="H1134" s="861">
        <v>53.7557611058376</v>
      </c>
      <c r="I1134" s="861">
        <v>28.004336615156301</v>
      </c>
      <c r="J1134" s="861">
        <v>45.655910311740797</v>
      </c>
      <c r="K1134" s="982">
        <v>0</v>
      </c>
      <c r="L1134" s="735">
        <v>6514</v>
      </c>
      <c r="M1134" s="735">
        <v>6643</v>
      </c>
      <c r="N1134" s="845">
        <f t="shared" si="98"/>
        <v>1.9803500153515504E-2</v>
      </c>
      <c r="O1134" s="735">
        <v>5.4910854397706101</v>
      </c>
      <c r="P1134" s="735">
        <f t="shared" si="99"/>
        <v>1209.7790269090242</v>
      </c>
      <c r="Q1134" s="849">
        <v>48.7</v>
      </c>
      <c r="R1134" s="71">
        <v>86830</v>
      </c>
      <c r="S1134" s="845">
        <v>3.4689178818112051E-2</v>
      </c>
      <c r="T1134" s="845">
        <v>2.7999999999999997E-2</v>
      </c>
      <c r="U1134" s="845">
        <v>1.1000000000000001E-2</v>
      </c>
      <c r="V1134" s="845">
        <v>0.14599999999999999</v>
      </c>
      <c r="W1134" s="845">
        <v>0.15228245363766049</v>
      </c>
      <c r="X1134" s="845">
        <v>0.47540983606557374</v>
      </c>
      <c r="Y1134" s="845">
        <v>0.91359325605900943</v>
      </c>
      <c r="Z1134" s="845">
        <v>2.9354207436399216E-2</v>
      </c>
      <c r="AA1134" s="845">
        <v>0</v>
      </c>
      <c r="AB1134" s="845">
        <v>1.9720006021375885E-2</v>
      </c>
      <c r="AC1134" s="845">
        <v>0</v>
      </c>
      <c r="AD1134" s="845">
        <v>0</v>
      </c>
      <c r="AE1134" s="845">
        <v>3.7332530483215415E-2</v>
      </c>
      <c r="AF1134" s="845">
        <v>1.9569471624266144E-2</v>
      </c>
      <c r="AG1134" s="845">
        <v>0.89899141953936479</v>
      </c>
      <c r="AH1134" s="20" t="str">
        <f t="shared" si="100"/>
        <v>No</v>
      </c>
      <c r="AI1134" s="25"/>
      <c r="AJ1134" s="20">
        <v>45612</v>
      </c>
      <c r="AK1134" s="20" t="s">
        <v>1769</v>
      </c>
      <c r="AL1134" s="20">
        <v>39071</v>
      </c>
      <c r="AM1134" s="20" t="s">
        <v>42</v>
      </c>
      <c r="AN1134" s="37" t="str">
        <f t="shared" si="101"/>
        <v>N/A</v>
      </c>
      <c r="AO1134" s="37" t="str">
        <f t="shared" si="102"/>
        <v>N/A</v>
      </c>
      <c r="AP1134" s="20" t="s">
        <v>8</v>
      </c>
      <c r="AQ1134" s="25"/>
      <c r="AR1134" s="25"/>
      <c r="AS1134" s="25"/>
      <c r="AT1134" s="25"/>
      <c r="AU1134" s="36"/>
      <c r="AV1134" s="36"/>
      <c r="AW1134" s="36"/>
      <c r="AX1134" s="25"/>
      <c r="AY1134" s="25"/>
      <c r="AZ1134" s="25"/>
      <c r="BA1134" s="25"/>
      <c r="BB1134" s="25"/>
      <c r="BC1134" s="25"/>
      <c r="BD1134" s="25"/>
      <c r="BE1134" s="25"/>
      <c r="BF1134" s="25"/>
      <c r="BG1134" s="25"/>
      <c r="BH1134" s="25"/>
      <c r="BI1134" s="25"/>
      <c r="BJ1134" s="25"/>
      <c r="BK1134" s="25"/>
      <c r="BL1134" s="25"/>
      <c r="BM1134" s="25"/>
      <c r="BN1134" s="25"/>
      <c r="BO1134" s="25"/>
      <c r="BP1134" s="25"/>
      <c r="BQ1134" s="25"/>
      <c r="BR1134" s="25"/>
      <c r="BS1134" s="25"/>
      <c r="BT1134" s="25"/>
      <c r="BU1134" s="39">
        <v>44606</v>
      </c>
      <c r="BV1134" s="39" t="s">
        <v>1380</v>
      </c>
      <c r="BW1134" s="39" t="s">
        <v>2963</v>
      </c>
      <c r="BX1134" s="39" t="s">
        <v>2964</v>
      </c>
      <c r="BY1134" s="71">
        <v>670</v>
      </c>
      <c r="BZ1134" s="71">
        <v>760</v>
      </c>
      <c r="CA1134" s="71">
        <v>970</v>
      </c>
      <c r="CB1134" s="71">
        <v>1190</v>
      </c>
      <c r="CC1134" s="71">
        <v>1390</v>
      </c>
      <c r="CD1134" s="25"/>
      <c r="CE1134" s="200"/>
      <c r="CF1134" s="200"/>
      <c r="CG1134" s="200"/>
      <c r="CH1134" s="200"/>
      <c r="CI1134" s="200"/>
      <c r="CJ1134" s="200"/>
      <c r="CK1134" s="200"/>
      <c r="CL1134" s="200"/>
      <c r="CM1134" s="200"/>
      <c r="CN1134" s="200"/>
      <c r="CO1134" s="200"/>
      <c r="CP1134" s="200"/>
      <c r="CQ1134" s="200"/>
      <c r="CR1134" s="200"/>
      <c r="CS1134" s="200"/>
      <c r="CT1134" s="200"/>
      <c r="CU1134" s="200"/>
    </row>
    <row r="1135" spans="1:99" s="17" customFormat="1" x14ac:dyDescent="0.2">
      <c r="A1135" s="25"/>
      <c r="B1135" s="20">
        <v>39061020902</v>
      </c>
      <c r="C1135" s="20">
        <v>209.02</v>
      </c>
      <c r="D1135" s="20" t="s">
        <v>37</v>
      </c>
      <c r="E1135" s="20" t="s">
        <v>2828</v>
      </c>
      <c r="F1135" s="20" t="s">
        <v>6</v>
      </c>
      <c r="G1135" s="861">
        <v>54.674045433165197</v>
      </c>
      <c r="H1135" s="861">
        <v>43.994428546185297</v>
      </c>
      <c r="I1135" s="861">
        <v>38.287912470090902</v>
      </c>
      <c r="J1135" s="861">
        <v>44.157354398161402</v>
      </c>
      <c r="K1135" s="982">
        <v>0</v>
      </c>
      <c r="L1135" s="735">
        <v>5436</v>
      </c>
      <c r="M1135" s="735">
        <v>5667</v>
      </c>
      <c r="N1135" s="845">
        <f t="shared" si="98"/>
        <v>4.2494481236203092E-2</v>
      </c>
      <c r="O1135" s="735">
        <v>0.74606172612892807</v>
      </c>
      <c r="P1135" s="735">
        <f t="shared" si="99"/>
        <v>7595.8862404109941</v>
      </c>
      <c r="Q1135" s="849">
        <v>32.4</v>
      </c>
      <c r="R1135" s="71">
        <v>55303</v>
      </c>
      <c r="S1135" s="845">
        <v>0.25545851528384278</v>
      </c>
      <c r="T1135" s="845">
        <v>8.5000000000000006E-2</v>
      </c>
      <c r="U1135" s="845">
        <v>0</v>
      </c>
      <c r="V1135" s="845">
        <v>5.5E-2</v>
      </c>
      <c r="W1135" s="845">
        <v>0.51897133220910618</v>
      </c>
      <c r="X1135" s="845">
        <v>0.45897644191714054</v>
      </c>
      <c r="Y1135" s="845">
        <v>0.65713781542262217</v>
      </c>
      <c r="Z1135" s="845">
        <v>0.27157226045526733</v>
      </c>
      <c r="AA1135" s="845">
        <v>8.8230104111522857E-4</v>
      </c>
      <c r="AB1135" s="845">
        <v>0</v>
      </c>
      <c r="AC1135" s="845">
        <v>0</v>
      </c>
      <c r="AD1135" s="845">
        <v>0</v>
      </c>
      <c r="AE1135" s="845">
        <v>7.0407623080995241E-2</v>
      </c>
      <c r="AF1135" s="845">
        <v>4.5879654137991881E-2</v>
      </c>
      <c r="AG1135" s="845">
        <v>0.64407976001411682</v>
      </c>
      <c r="AH1135" s="20" t="str">
        <f t="shared" si="100"/>
        <v>No</v>
      </c>
      <c r="AI1135" s="25"/>
      <c r="AJ1135" s="37">
        <v>45660</v>
      </c>
      <c r="AK1135" s="37" t="s">
        <v>1804</v>
      </c>
      <c r="AL1135" s="37">
        <v>39071</v>
      </c>
      <c r="AM1135" s="37" t="s">
        <v>42</v>
      </c>
      <c r="AN1135" s="37" t="str">
        <f t="shared" si="101"/>
        <v>N/A</v>
      </c>
      <c r="AO1135" s="37" t="str">
        <f t="shared" si="102"/>
        <v>N/A</v>
      </c>
      <c r="AP1135" s="20" t="s">
        <v>8</v>
      </c>
      <c r="AQ1135" s="25"/>
      <c r="AR1135" s="25"/>
      <c r="AS1135" s="25"/>
      <c r="AT1135" s="25"/>
      <c r="AU1135" s="36"/>
      <c r="AV1135" s="36"/>
      <c r="AW1135" s="36"/>
      <c r="AX1135" s="25"/>
      <c r="AY1135" s="25"/>
      <c r="AZ1135" s="25"/>
      <c r="BA1135" s="25"/>
      <c r="BB1135" s="25"/>
      <c r="BC1135" s="25"/>
      <c r="BD1135" s="25"/>
      <c r="BE1135" s="25"/>
      <c r="BF1135" s="25"/>
      <c r="BG1135" s="25"/>
      <c r="BH1135" s="25"/>
      <c r="BI1135" s="25"/>
      <c r="BJ1135" s="25"/>
      <c r="BK1135" s="25"/>
      <c r="BL1135" s="25"/>
      <c r="BM1135" s="25"/>
      <c r="BN1135" s="25"/>
      <c r="BO1135" s="25"/>
      <c r="BP1135" s="25"/>
      <c r="BQ1135" s="25"/>
      <c r="BR1135" s="25"/>
      <c r="BS1135" s="25"/>
      <c r="BT1135" s="25"/>
      <c r="BU1135" s="39">
        <v>44659</v>
      </c>
      <c r="BV1135" s="39" t="s">
        <v>1421</v>
      </c>
      <c r="BW1135" s="39" t="s">
        <v>2963</v>
      </c>
      <c r="BX1135" s="39" t="s">
        <v>2964</v>
      </c>
      <c r="BY1135" s="71">
        <v>680</v>
      </c>
      <c r="BZ1135" s="71">
        <v>770</v>
      </c>
      <c r="CA1135" s="71">
        <v>990</v>
      </c>
      <c r="CB1135" s="71">
        <v>1230</v>
      </c>
      <c r="CC1135" s="71">
        <v>1390</v>
      </c>
      <c r="CD1135" s="25"/>
      <c r="CE1135" s="200"/>
      <c r="CF1135" s="200"/>
      <c r="CG1135" s="200"/>
      <c r="CH1135" s="200"/>
      <c r="CI1135" s="200"/>
      <c r="CJ1135" s="200"/>
      <c r="CK1135" s="200"/>
      <c r="CL1135" s="200"/>
      <c r="CM1135" s="200"/>
      <c r="CN1135" s="200"/>
      <c r="CO1135" s="200"/>
      <c r="CP1135" s="200"/>
      <c r="CQ1135" s="200"/>
      <c r="CR1135" s="200"/>
      <c r="CS1135" s="200"/>
      <c r="CT1135" s="200"/>
      <c r="CU1135" s="200"/>
    </row>
    <row r="1136" spans="1:99" s="17" customFormat="1" x14ac:dyDescent="0.2">
      <c r="A1136" s="25"/>
      <c r="B1136" s="20">
        <v>39049002800</v>
      </c>
      <c r="C1136" s="20">
        <v>28</v>
      </c>
      <c r="D1136" s="20" t="s">
        <v>31</v>
      </c>
      <c r="E1136" s="20" t="s">
        <v>2830</v>
      </c>
      <c r="F1136" s="20" t="s">
        <v>6</v>
      </c>
      <c r="G1136" s="861">
        <v>54.647053649206697</v>
      </c>
      <c r="H1136" s="861">
        <v>62.274263914606699</v>
      </c>
      <c r="I1136" s="861">
        <v>50.8049750933802</v>
      </c>
      <c r="J1136" s="861">
        <v>57.941102708434599</v>
      </c>
      <c r="K1136" s="982">
        <v>0</v>
      </c>
      <c r="L1136" s="735">
        <v>2182</v>
      </c>
      <c r="M1136" s="735">
        <v>2360</v>
      </c>
      <c r="N1136" s="845">
        <f t="shared" si="98"/>
        <v>8.1576535288725938E-2</v>
      </c>
      <c r="O1136" s="735">
        <v>0.44103368489981215</v>
      </c>
      <c r="P1136" s="735">
        <f t="shared" si="99"/>
        <v>5351.0651925285747</v>
      </c>
      <c r="Q1136" s="849">
        <v>36</v>
      </c>
      <c r="R1136" s="71">
        <v>47917</v>
      </c>
      <c r="S1136" s="845">
        <v>0.30508474576271188</v>
      </c>
      <c r="T1136" s="845">
        <v>5.5E-2</v>
      </c>
      <c r="U1136" s="845">
        <v>4.2000000000000003E-2</v>
      </c>
      <c r="V1136" s="845">
        <v>0.01</v>
      </c>
      <c r="W1136" s="845">
        <v>0.62850082372322902</v>
      </c>
      <c r="X1136" s="845">
        <v>0.30013106159895153</v>
      </c>
      <c r="Y1136" s="845">
        <v>0.29788135593220338</v>
      </c>
      <c r="Z1136" s="845">
        <v>0.60338983050847461</v>
      </c>
      <c r="AA1136" s="845">
        <v>0</v>
      </c>
      <c r="AB1136" s="845">
        <v>1.3135593220338982E-2</v>
      </c>
      <c r="AC1136" s="845">
        <v>0</v>
      </c>
      <c r="AD1136" s="845">
        <v>5.9322033898305086E-3</v>
      </c>
      <c r="AE1136" s="845">
        <v>7.9661016949152536E-2</v>
      </c>
      <c r="AF1136" s="845">
        <v>4.5338983050847458E-2</v>
      </c>
      <c r="AG1136" s="845">
        <v>0.29067796610169494</v>
      </c>
      <c r="AH1136" s="20" t="str">
        <f t="shared" si="100"/>
        <v>No</v>
      </c>
      <c r="AI1136" s="25"/>
      <c r="AJ1136" s="20">
        <v>45679</v>
      </c>
      <c r="AK1136" s="20" t="s">
        <v>1815</v>
      </c>
      <c r="AL1136" s="20">
        <v>39071</v>
      </c>
      <c r="AM1136" s="20" t="s">
        <v>42</v>
      </c>
      <c r="AN1136" s="37" t="str">
        <f t="shared" si="101"/>
        <v>N/A</v>
      </c>
      <c r="AO1136" s="37" t="str">
        <f t="shared" si="102"/>
        <v>N/A</v>
      </c>
      <c r="AP1136" s="20" t="s">
        <v>8</v>
      </c>
      <c r="AQ1136" s="25"/>
      <c r="AR1136" s="25"/>
      <c r="AS1136" s="25"/>
      <c r="AT1136" s="25"/>
      <c r="AU1136" s="36"/>
      <c r="AV1136" s="36"/>
      <c r="AW1136" s="36"/>
      <c r="AX1136" s="25"/>
      <c r="AY1136" s="25"/>
      <c r="AZ1136" s="25"/>
      <c r="BA1136" s="25"/>
      <c r="BB1136" s="25"/>
      <c r="BC1136" s="25"/>
      <c r="BD1136" s="25"/>
      <c r="BE1136" s="25"/>
      <c r="BF1136" s="25"/>
      <c r="BG1136" s="25"/>
      <c r="BH1136" s="25"/>
      <c r="BI1136" s="25"/>
      <c r="BJ1136" s="25"/>
      <c r="BK1136" s="25"/>
      <c r="BL1136" s="25"/>
      <c r="BM1136" s="25"/>
      <c r="BN1136" s="25"/>
      <c r="BO1136" s="25"/>
      <c r="BP1136" s="25"/>
      <c r="BQ1136" s="25"/>
      <c r="BR1136" s="25"/>
      <c r="BS1136" s="25"/>
      <c r="BT1136" s="25"/>
      <c r="BU1136" s="39">
        <v>44667</v>
      </c>
      <c r="BV1136" s="39" t="s">
        <v>1428</v>
      </c>
      <c r="BW1136" s="39" t="s">
        <v>2963</v>
      </c>
      <c r="BX1136" s="39" t="s">
        <v>2964</v>
      </c>
      <c r="BY1136" s="71">
        <v>720</v>
      </c>
      <c r="BZ1136" s="71">
        <v>820</v>
      </c>
      <c r="CA1136" s="71">
        <v>1050</v>
      </c>
      <c r="CB1136" s="71">
        <v>1280</v>
      </c>
      <c r="CC1136" s="71">
        <v>1500</v>
      </c>
      <c r="CD1136" s="25"/>
      <c r="CE1136" s="200"/>
      <c r="CF1136" s="200"/>
      <c r="CG1136" s="200"/>
      <c r="CH1136" s="200"/>
      <c r="CI1136" s="200"/>
      <c r="CJ1136" s="200"/>
      <c r="CK1136" s="200"/>
      <c r="CL1136" s="200"/>
      <c r="CM1136" s="200"/>
      <c r="CN1136" s="200"/>
      <c r="CO1136" s="200"/>
      <c r="CP1136" s="200"/>
      <c r="CQ1136" s="200"/>
      <c r="CR1136" s="200"/>
      <c r="CS1136" s="200"/>
      <c r="CT1136" s="200"/>
      <c r="CU1136" s="200"/>
    </row>
    <row r="1137" spans="1:99" s="17" customFormat="1" x14ac:dyDescent="0.2">
      <c r="A1137" s="25"/>
      <c r="B1137" s="20">
        <v>39137030400</v>
      </c>
      <c r="C1137" s="20">
        <v>304</v>
      </c>
      <c r="D1137" s="20" t="s">
        <v>74</v>
      </c>
      <c r="E1137" s="20" t="s">
        <v>265</v>
      </c>
      <c r="F1137" s="20" t="s">
        <v>8</v>
      </c>
      <c r="G1137" s="861">
        <v>54.6355179319755</v>
      </c>
      <c r="H1137" s="861">
        <v>53.923620935164699</v>
      </c>
      <c r="I1137" s="861">
        <v>15.774221699521201</v>
      </c>
      <c r="J1137" s="861">
        <v>38.213742004982201</v>
      </c>
      <c r="K1137" s="982">
        <v>0</v>
      </c>
      <c r="L1137" s="735">
        <v>3217</v>
      </c>
      <c r="M1137" s="735">
        <v>3348</v>
      </c>
      <c r="N1137" s="845">
        <f t="shared" si="98"/>
        <v>4.072116879079888E-2</v>
      </c>
      <c r="O1137" s="735">
        <v>66.220896666587407</v>
      </c>
      <c r="P1137" s="735">
        <f t="shared" si="99"/>
        <v>50.558058989395654</v>
      </c>
      <c r="Q1137" s="849">
        <v>41</v>
      </c>
      <c r="R1137" s="71">
        <v>64889</v>
      </c>
      <c r="S1137" s="845">
        <v>5.5233445224290509E-2</v>
      </c>
      <c r="T1137" s="845">
        <v>1.9E-2</v>
      </c>
      <c r="U1137" s="845">
        <v>0</v>
      </c>
      <c r="V1137" s="845">
        <v>4.4000000000000004E-2</v>
      </c>
      <c r="W1137" s="845">
        <v>0.16194029850746269</v>
      </c>
      <c r="X1137" s="845">
        <v>0.2857142857142857</v>
      </c>
      <c r="Y1137" s="845">
        <v>0.94743130227001193</v>
      </c>
      <c r="Z1137" s="845">
        <v>8.6618876941457583E-3</v>
      </c>
      <c r="AA1137" s="845">
        <v>0</v>
      </c>
      <c r="AB1137" s="845">
        <v>0</v>
      </c>
      <c r="AC1137" s="845">
        <v>0</v>
      </c>
      <c r="AD1137" s="845">
        <v>5.0776583034647547E-3</v>
      </c>
      <c r="AE1137" s="845">
        <v>3.882915173237754E-2</v>
      </c>
      <c r="AF1137" s="845">
        <v>3.0764635603345282E-2</v>
      </c>
      <c r="AG1137" s="845">
        <v>0.94205495818399043</v>
      </c>
      <c r="AH1137" s="20" t="str">
        <f t="shared" si="100"/>
        <v>Yes</v>
      </c>
      <c r="AI1137" s="25"/>
      <c r="AJ1137" s="20">
        <v>45697</v>
      </c>
      <c r="AK1137" s="20" t="s">
        <v>1829</v>
      </c>
      <c r="AL1137" s="20">
        <v>39071</v>
      </c>
      <c r="AM1137" s="20" t="s">
        <v>42</v>
      </c>
      <c r="AN1137" s="37" t="str">
        <f t="shared" si="101"/>
        <v>N/A</v>
      </c>
      <c r="AO1137" s="37" t="str">
        <f t="shared" si="102"/>
        <v>N/A</v>
      </c>
      <c r="AP1137" s="20" t="s">
        <v>8</v>
      </c>
      <c r="AQ1137" s="25"/>
      <c r="AR1137" s="25"/>
      <c r="AS1137" s="25"/>
      <c r="AT1137" s="25"/>
      <c r="AU1137" s="36"/>
      <c r="AV1137" s="36"/>
      <c r="AW1137" s="36"/>
      <c r="AX1137" s="25"/>
      <c r="AY1137" s="25"/>
      <c r="AZ1137" s="25"/>
      <c r="BA1137" s="25"/>
      <c r="BB1137" s="25"/>
      <c r="BC1137" s="25"/>
      <c r="BD1137" s="25"/>
      <c r="BE1137" s="25"/>
      <c r="BF1137" s="25"/>
      <c r="BG1137" s="25"/>
      <c r="BH1137" s="25"/>
      <c r="BI1137" s="25"/>
      <c r="BJ1137" s="25"/>
      <c r="BK1137" s="25"/>
      <c r="BL1137" s="25"/>
      <c r="BM1137" s="25"/>
      <c r="BN1137" s="25"/>
      <c r="BO1137" s="25"/>
      <c r="BP1137" s="25"/>
      <c r="BQ1137" s="25"/>
      <c r="BR1137" s="25"/>
      <c r="BS1137" s="25"/>
      <c r="BT1137" s="25"/>
      <c r="BU1137" s="39">
        <v>44677</v>
      </c>
      <c r="BV1137" s="39" t="s">
        <v>1435</v>
      </c>
      <c r="BW1137" s="39" t="s">
        <v>2963</v>
      </c>
      <c r="BX1137" s="39" t="s">
        <v>2964</v>
      </c>
      <c r="BY1137" s="71">
        <v>770</v>
      </c>
      <c r="BZ1137" s="71">
        <v>870</v>
      </c>
      <c r="CA1137" s="71">
        <v>1110</v>
      </c>
      <c r="CB1137" s="71">
        <v>1350</v>
      </c>
      <c r="CC1137" s="71">
        <v>1590</v>
      </c>
      <c r="CD1137" s="25"/>
      <c r="CE1137" s="200"/>
      <c r="CF1137" s="200"/>
      <c r="CG1137" s="200"/>
      <c r="CH1137" s="200"/>
      <c r="CI1137" s="200"/>
      <c r="CJ1137" s="200"/>
      <c r="CK1137" s="200"/>
      <c r="CL1137" s="200"/>
      <c r="CM1137" s="200"/>
      <c r="CN1137" s="200"/>
      <c r="CO1137" s="200"/>
      <c r="CP1137" s="200"/>
      <c r="CQ1137" s="200"/>
      <c r="CR1137" s="200"/>
      <c r="CS1137" s="200"/>
      <c r="CT1137" s="200"/>
      <c r="CU1137" s="200"/>
    </row>
    <row r="1138" spans="1:99" s="17" customFormat="1" x14ac:dyDescent="0.2">
      <c r="A1138" s="25"/>
      <c r="B1138" s="20">
        <v>39153530104</v>
      </c>
      <c r="C1138" s="20">
        <v>5301.04</v>
      </c>
      <c r="D1138" s="20" t="s">
        <v>82</v>
      </c>
      <c r="E1138" s="20" t="s">
        <v>2843</v>
      </c>
      <c r="F1138" s="20" t="s">
        <v>8</v>
      </c>
      <c r="G1138" s="861">
        <v>54.6317988201559</v>
      </c>
      <c r="H1138" s="861">
        <v>58.186815509970799</v>
      </c>
      <c r="I1138" s="861">
        <v>30.503183060831901</v>
      </c>
      <c r="J1138" s="861">
        <v>42.664877399294099</v>
      </c>
      <c r="K1138" s="982">
        <v>0</v>
      </c>
      <c r="L1138" s="735">
        <v>7287</v>
      </c>
      <c r="M1138" s="735">
        <v>8217</v>
      </c>
      <c r="N1138" s="845">
        <f t="shared" si="98"/>
        <v>0.12762453684643887</v>
      </c>
      <c r="O1138" s="735">
        <v>3.2997549166355054</v>
      </c>
      <c r="P1138" s="735">
        <f t="shared" si="99"/>
        <v>2490.1849402737503</v>
      </c>
      <c r="Q1138" s="849">
        <v>39.700000000000003</v>
      </c>
      <c r="R1138" s="71">
        <v>88129</v>
      </c>
      <c r="S1138" s="845">
        <v>2.4634146341463416E-2</v>
      </c>
      <c r="T1138" s="845">
        <v>1.3999999999999999E-2</v>
      </c>
      <c r="U1138" s="845">
        <v>0</v>
      </c>
      <c r="V1138" s="845">
        <v>0</v>
      </c>
      <c r="W1138" s="845">
        <v>0.27424152290303389</v>
      </c>
      <c r="X1138" s="845">
        <v>0.55748373101952275</v>
      </c>
      <c r="Y1138" s="845">
        <v>0.70950468540829992</v>
      </c>
      <c r="Z1138" s="845">
        <v>0.20494097602531339</v>
      </c>
      <c r="AA1138" s="845">
        <v>3.4075696726299136E-3</v>
      </c>
      <c r="AB1138" s="845">
        <v>5.3547523427041499E-2</v>
      </c>
      <c r="AC1138" s="845">
        <v>0</v>
      </c>
      <c r="AD1138" s="845">
        <v>4.8679566751855911E-3</v>
      </c>
      <c r="AE1138" s="845">
        <v>2.3731288791529755E-2</v>
      </c>
      <c r="AF1138" s="845">
        <v>7.5453328465376656E-3</v>
      </c>
      <c r="AG1138" s="845">
        <v>0.70208105147864186</v>
      </c>
      <c r="AH1138" s="20" t="str">
        <f t="shared" si="100"/>
        <v>No</v>
      </c>
      <c r="AI1138" s="25"/>
      <c r="AJ1138" s="20">
        <v>43006</v>
      </c>
      <c r="AK1138" s="20" t="s">
        <v>733</v>
      </c>
      <c r="AL1138" s="20">
        <v>39075</v>
      </c>
      <c r="AM1138" s="20" t="s">
        <v>44</v>
      </c>
      <c r="AN1138" s="37" t="str">
        <f t="shared" si="101"/>
        <v>N/A</v>
      </c>
      <c r="AO1138" s="37" t="str">
        <f t="shared" si="102"/>
        <v>N/A</v>
      </c>
      <c r="AP1138" s="20" t="s">
        <v>8</v>
      </c>
      <c r="AQ1138" s="25"/>
      <c r="AR1138" s="25"/>
      <c r="AS1138" s="25"/>
      <c r="AT1138" s="25"/>
      <c r="AU1138" s="36"/>
      <c r="AV1138" s="36"/>
      <c r="AW1138" s="36"/>
      <c r="AX1138" s="25"/>
      <c r="AY1138" s="25"/>
      <c r="AZ1138" s="25"/>
      <c r="BA1138" s="25"/>
      <c r="BB1138" s="25"/>
      <c r="BC1138" s="25"/>
      <c r="BD1138" s="25"/>
      <c r="BE1138" s="25"/>
      <c r="BF1138" s="25"/>
      <c r="BG1138" s="25"/>
      <c r="BH1138" s="25"/>
      <c r="BI1138" s="25"/>
      <c r="BJ1138" s="25"/>
      <c r="BK1138" s="25"/>
      <c r="BL1138" s="25"/>
      <c r="BM1138" s="25"/>
      <c r="BN1138" s="25"/>
      <c r="BO1138" s="25"/>
      <c r="BP1138" s="25"/>
      <c r="BQ1138" s="25"/>
      <c r="BR1138" s="25"/>
      <c r="BS1138" s="25"/>
      <c r="BT1138" s="25"/>
      <c r="BU1138" s="39">
        <v>43901</v>
      </c>
      <c r="BV1138" s="39" t="s">
        <v>1092</v>
      </c>
      <c r="BW1138" s="39" t="s">
        <v>2916</v>
      </c>
      <c r="BX1138" s="39" t="s">
        <v>272</v>
      </c>
      <c r="BY1138" s="71">
        <v>840</v>
      </c>
      <c r="BZ1138" s="71">
        <v>860</v>
      </c>
      <c r="CA1138" s="71">
        <v>1100</v>
      </c>
      <c r="CB1138" s="71">
        <v>1450</v>
      </c>
      <c r="CC1138" s="71">
        <v>1620</v>
      </c>
      <c r="CD1138" s="25"/>
      <c r="CE1138" s="200"/>
      <c r="CF1138" s="200"/>
      <c r="CG1138" s="200"/>
      <c r="CH1138" s="200"/>
      <c r="CI1138" s="200"/>
      <c r="CJ1138" s="200"/>
      <c r="CK1138" s="200"/>
      <c r="CL1138" s="200"/>
      <c r="CM1138" s="200"/>
      <c r="CN1138" s="200"/>
      <c r="CO1138" s="200"/>
      <c r="CP1138" s="200"/>
      <c r="CQ1138" s="200"/>
      <c r="CR1138" s="200"/>
      <c r="CS1138" s="200"/>
      <c r="CT1138" s="200"/>
      <c r="CU1138" s="200"/>
    </row>
    <row r="1139" spans="1:99" s="17" customFormat="1" x14ac:dyDescent="0.2">
      <c r="A1139" s="25"/>
      <c r="B1139" s="20">
        <v>39049009753</v>
      </c>
      <c r="C1139" s="20">
        <v>97.53</v>
      </c>
      <c r="D1139" s="20" t="s">
        <v>31</v>
      </c>
      <c r="E1139" s="20" t="s">
        <v>2830</v>
      </c>
      <c r="F1139" s="20" t="s">
        <v>8</v>
      </c>
      <c r="G1139" s="861">
        <v>54.610786300311702</v>
      </c>
      <c r="H1139" s="861">
        <v>73.215980330374407</v>
      </c>
      <c r="I1139" s="861">
        <v>21.0065059148172</v>
      </c>
      <c r="J1139" s="861">
        <v>37.568277290689799</v>
      </c>
      <c r="K1139" s="982">
        <v>0</v>
      </c>
      <c r="L1139" s="735" t="s">
        <v>2466</v>
      </c>
      <c r="M1139" s="735">
        <v>5709</v>
      </c>
      <c r="N1139" s="845" t="str">
        <f t="shared" si="98"/>
        <v/>
      </c>
      <c r="O1139" s="735">
        <v>6.8672828772175336</v>
      </c>
      <c r="P1139" s="735">
        <f t="shared" si="99"/>
        <v>831.33316365047665</v>
      </c>
      <c r="Q1139" s="849">
        <v>49.3</v>
      </c>
      <c r="R1139" s="71">
        <v>119083</v>
      </c>
      <c r="S1139" s="845">
        <v>9.0505767524401062E-3</v>
      </c>
      <c r="T1139" s="845">
        <v>3.2000000000000001E-2</v>
      </c>
      <c r="U1139" s="845">
        <v>2.1000000000000001E-2</v>
      </c>
      <c r="V1139" s="845">
        <v>0</v>
      </c>
      <c r="W1139" s="845">
        <v>1.8025399426464563E-2</v>
      </c>
      <c r="X1139" s="845">
        <v>0</v>
      </c>
      <c r="Y1139" s="845">
        <v>0.94762655456297074</v>
      </c>
      <c r="Z1139" s="845">
        <v>2.3997197407602033E-2</v>
      </c>
      <c r="AA1139" s="845">
        <v>0</v>
      </c>
      <c r="AB1139" s="845">
        <v>0</v>
      </c>
      <c r="AC1139" s="845">
        <v>0</v>
      </c>
      <c r="AD1139" s="845">
        <v>0</v>
      </c>
      <c r="AE1139" s="845">
        <v>2.8376248029427221E-2</v>
      </c>
      <c r="AF1139" s="845">
        <v>2.3296549308110003E-2</v>
      </c>
      <c r="AG1139" s="845">
        <v>0.94447363811525664</v>
      </c>
      <c r="AH1139" s="20" t="str">
        <f t="shared" si="100"/>
        <v>Yes</v>
      </c>
      <c r="AI1139" s="25"/>
      <c r="AJ1139" s="37">
        <v>43804</v>
      </c>
      <c r="AK1139" s="37" t="s">
        <v>1076</v>
      </c>
      <c r="AL1139" s="37">
        <v>39075</v>
      </c>
      <c r="AM1139" s="37" t="s">
        <v>44</v>
      </c>
      <c r="AN1139" s="37" t="str">
        <f t="shared" si="101"/>
        <v>N/A</v>
      </c>
      <c r="AO1139" s="37" t="str">
        <f t="shared" si="102"/>
        <v>N/A</v>
      </c>
      <c r="AP1139" s="20" t="s">
        <v>8</v>
      </c>
      <c r="AQ1139" s="25"/>
      <c r="AR1139" s="25"/>
      <c r="AS1139" s="25"/>
      <c r="AT1139" s="25"/>
      <c r="AU1139" s="36"/>
      <c r="AV1139" s="36"/>
      <c r="AW1139" s="36"/>
      <c r="AX1139" s="25"/>
      <c r="AY1139" s="25"/>
      <c r="AZ1139" s="25"/>
      <c r="BA1139" s="25"/>
      <c r="BB1139" s="25"/>
      <c r="BC1139" s="25"/>
      <c r="BD1139" s="25"/>
      <c r="BE1139" s="25"/>
      <c r="BF1139" s="25"/>
      <c r="BG1139" s="25"/>
      <c r="BH1139" s="25"/>
      <c r="BI1139" s="25"/>
      <c r="BJ1139" s="25"/>
      <c r="BK1139" s="25"/>
      <c r="BL1139" s="25"/>
      <c r="BM1139" s="25"/>
      <c r="BN1139" s="25"/>
      <c r="BO1139" s="25"/>
      <c r="BP1139" s="25"/>
      <c r="BQ1139" s="25"/>
      <c r="BR1139" s="25"/>
      <c r="BS1139" s="25"/>
      <c r="BT1139" s="25"/>
      <c r="BU1139" s="39">
        <v>43907</v>
      </c>
      <c r="BV1139" s="39" t="s">
        <v>1097</v>
      </c>
      <c r="BW1139" s="39" t="s">
        <v>2916</v>
      </c>
      <c r="BX1139" s="39" t="s">
        <v>272</v>
      </c>
      <c r="BY1139" s="71">
        <v>740</v>
      </c>
      <c r="BZ1139" s="71">
        <v>750</v>
      </c>
      <c r="CA1139" s="71">
        <v>970</v>
      </c>
      <c r="CB1139" s="71">
        <v>1280</v>
      </c>
      <c r="CC1139" s="71">
        <v>1290</v>
      </c>
      <c r="CD1139" s="25"/>
      <c r="CE1139" s="200"/>
      <c r="CF1139" s="200"/>
      <c r="CG1139" s="200"/>
      <c r="CH1139" s="200"/>
      <c r="CI1139" s="200"/>
      <c r="CJ1139" s="200"/>
      <c r="CK1139" s="200"/>
      <c r="CL1139" s="200"/>
      <c r="CM1139" s="200"/>
      <c r="CN1139" s="200"/>
      <c r="CO1139" s="200"/>
      <c r="CP1139" s="200"/>
      <c r="CQ1139" s="200"/>
      <c r="CR1139" s="200"/>
      <c r="CS1139" s="200"/>
      <c r="CT1139" s="200"/>
      <c r="CU1139" s="200"/>
    </row>
    <row r="1140" spans="1:99" s="17" customFormat="1" x14ac:dyDescent="0.2">
      <c r="A1140" s="25"/>
      <c r="B1140" s="20">
        <v>39013012202</v>
      </c>
      <c r="C1140" s="20">
        <v>122.02</v>
      </c>
      <c r="D1140" s="20" t="s">
        <v>13</v>
      </c>
      <c r="E1140" s="20" t="s">
        <v>2841</v>
      </c>
      <c r="F1140" s="20" t="s">
        <v>8</v>
      </c>
      <c r="G1140" s="861">
        <v>54.576563930668101</v>
      </c>
      <c r="H1140" s="861">
        <v>51.282343490427102</v>
      </c>
      <c r="I1140" s="861">
        <v>16.3015296154311</v>
      </c>
      <c r="J1140" s="861">
        <v>50.975759727304201</v>
      </c>
      <c r="K1140" s="982">
        <v>0</v>
      </c>
      <c r="L1140" s="735" t="s">
        <v>2466</v>
      </c>
      <c r="M1140" s="735">
        <v>4405</v>
      </c>
      <c r="N1140" s="845" t="str">
        <f t="shared" si="98"/>
        <v/>
      </c>
      <c r="O1140" s="735">
        <v>10.57539990019491</v>
      </c>
      <c r="P1140" s="735">
        <f t="shared" si="99"/>
        <v>416.53271191369453</v>
      </c>
      <c r="Q1140" s="849">
        <v>40.200000000000003</v>
      </c>
      <c r="R1140" s="71">
        <v>88250</v>
      </c>
      <c r="S1140" s="845">
        <v>5.4195804195804193E-2</v>
      </c>
      <c r="T1140" s="845">
        <v>5.2000000000000005E-2</v>
      </c>
      <c r="U1140" s="845">
        <v>0.03</v>
      </c>
      <c r="V1140" s="845">
        <v>0</v>
      </c>
      <c r="W1140" s="845">
        <v>0.125</v>
      </c>
      <c r="X1140" s="845">
        <v>0.53409090909090906</v>
      </c>
      <c r="Y1140" s="845">
        <v>0.78047673098751413</v>
      </c>
      <c r="Z1140" s="845">
        <v>0.1847900113507378</v>
      </c>
      <c r="AA1140" s="845">
        <v>2.2701475595913734E-3</v>
      </c>
      <c r="AB1140" s="845">
        <v>0</v>
      </c>
      <c r="AC1140" s="845">
        <v>0</v>
      </c>
      <c r="AD1140" s="845">
        <v>1.611804767309875E-2</v>
      </c>
      <c r="AE1140" s="845">
        <v>1.634506242905789E-2</v>
      </c>
      <c r="AF1140" s="845">
        <v>2.4063564131668557E-2</v>
      </c>
      <c r="AG1140" s="845">
        <v>0.77389330306469917</v>
      </c>
      <c r="AH1140" s="20" t="str">
        <f t="shared" si="100"/>
        <v>No</v>
      </c>
      <c r="AI1140" s="25"/>
      <c r="AJ1140" s="37">
        <v>44610</v>
      </c>
      <c r="AK1140" s="37" t="s">
        <v>1384</v>
      </c>
      <c r="AL1140" s="37">
        <v>39075</v>
      </c>
      <c r="AM1140" s="37" t="s">
        <v>44</v>
      </c>
      <c r="AN1140" s="37" t="str">
        <f t="shared" si="101"/>
        <v>N/A</v>
      </c>
      <c r="AO1140" s="37" t="str">
        <f t="shared" si="102"/>
        <v>N/A</v>
      </c>
      <c r="AP1140" s="20" t="s">
        <v>8</v>
      </c>
      <c r="AQ1140" s="25"/>
      <c r="AR1140" s="25"/>
      <c r="AS1140" s="25"/>
      <c r="AT1140" s="25"/>
      <c r="AU1140" s="36"/>
      <c r="AV1140" s="36"/>
      <c r="AW1140" s="36"/>
      <c r="AX1140" s="25"/>
      <c r="AY1140" s="25"/>
      <c r="AZ1140" s="25"/>
      <c r="BA1140" s="25"/>
      <c r="BB1140" s="25"/>
      <c r="BC1140" s="25"/>
      <c r="BD1140" s="25"/>
      <c r="BE1140" s="25"/>
      <c r="BF1140" s="25"/>
      <c r="BG1140" s="25"/>
      <c r="BH1140" s="25"/>
      <c r="BI1140" s="25"/>
      <c r="BJ1140" s="25"/>
      <c r="BK1140" s="25"/>
      <c r="BL1140" s="25"/>
      <c r="BM1140" s="25"/>
      <c r="BN1140" s="25"/>
      <c r="BO1140" s="25"/>
      <c r="BP1140" s="25"/>
      <c r="BQ1140" s="25"/>
      <c r="BR1140" s="25"/>
      <c r="BS1140" s="25"/>
      <c r="BT1140" s="25"/>
      <c r="BU1140" s="39">
        <v>43910</v>
      </c>
      <c r="BV1140" s="39" t="s">
        <v>1100</v>
      </c>
      <c r="BW1140" s="39" t="s">
        <v>2916</v>
      </c>
      <c r="BX1140" s="39" t="s">
        <v>272</v>
      </c>
      <c r="BY1140" s="71">
        <v>830</v>
      </c>
      <c r="BZ1140" s="71">
        <v>840</v>
      </c>
      <c r="CA1140" s="71">
        <v>1080</v>
      </c>
      <c r="CB1140" s="71">
        <v>1420</v>
      </c>
      <c r="CC1140" s="71">
        <v>1590</v>
      </c>
      <c r="CD1140" s="25"/>
      <c r="CE1140" s="200"/>
      <c r="CF1140" s="200"/>
      <c r="CG1140" s="200"/>
      <c r="CH1140" s="200"/>
      <c r="CI1140" s="200"/>
      <c r="CJ1140" s="200"/>
      <c r="CK1140" s="200"/>
      <c r="CL1140" s="200"/>
      <c r="CM1140" s="200"/>
      <c r="CN1140" s="200"/>
      <c r="CO1140" s="200"/>
      <c r="CP1140" s="200"/>
      <c r="CQ1140" s="200"/>
      <c r="CR1140" s="200"/>
      <c r="CS1140" s="200"/>
      <c r="CT1140" s="200"/>
      <c r="CU1140" s="200"/>
    </row>
    <row r="1141" spans="1:99" s="17" customFormat="1" x14ac:dyDescent="0.2">
      <c r="A1141" s="25"/>
      <c r="B1141" s="20">
        <v>39043040802</v>
      </c>
      <c r="C1141" s="20">
        <v>408.02</v>
      </c>
      <c r="D1141" s="20" t="s">
        <v>28</v>
      </c>
      <c r="E1141" s="20" t="s">
        <v>2837</v>
      </c>
      <c r="F1141" s="20" t="s">
        <v>6</v>
      </c>
      <c r="G1141" s="861">
        <v>54.555283320898297</v>
      </c>
      <c r="H1141" s="861">
        <v>49.170369928349402</v>
      </c>
      <c r="I1141" s="861">
        <v>46.545456392164198</v>
      </c>
      <c r="J1141" s="861">
        <v>48.350084822001101</v>
      </c>
      <c r="K1141" s="982">
        <v>0</v>
      </c>
      <c r="L1141" s="735" t="s">
        <v>2466</v>
      </c>
      <c r="M1141" s="735">
        <v>1479</v>
      </c>
      <c r="N1141" s="845" t="str">
        <f t="shared" si="98"/>
        <v/>
      </c>
      <c r="O1141" s="735">
        <v>0.48691420440536309</v>
      </c>
      <c r="P1141" s="735">
        <f t="shared" si="99"/>
        <v>3037.4961063339838</v>
      </c>
      <c r="Q1141" s="849">
        <v>44</v>
      </c>
      <c r="R1141" s="71"/>
      <c r="S1141" s="845">
        <v>0.34482758620689657</v>
      </c>
      <c r="T1141" s="845">
        <v>0.14300000000000002</v>
      </c>
      <c r="U1141" s="845">
        <v>0</v>
      </c>
      <c r="V1141" s="845">
        <v>7.400000000000001E-2</v>
      </c>
      <c r="W1141" s="845">
        <v>0.85604606525911708</v>
      </c>
      <c r="X1141" s="845">
        <v>0.32959641255605382</v>
      </c>
      <c r="Y1141" s="845">
        <v>0.71737660581473972</v>
      </c>
      <c r="Z1141" s="845">
        <v>0.21906693711967545</v>
      </c>
      <c r="AA1141" s="845">
        <v>1.8931710615280595E-2</v>
      </c>
      <c r="AB1141" s="845">
        <v>0</v>
      </c>
      <c r="AC1141" s="845">
        <v>0</v>
      </c>
      <c r="AD1141" s="845">
        <v>0</v>
      </c>
      <c r="AE1141" s="845">
        <v>4.4624746450304259E-2</v>
      </c>
      <c r="AF1141" s="845">
        <v>4.2596348884381338E-2</v>
      </c>
      <c r="AG1141" s="845">
        <v>0.69235970250169032</v>
      </c>
      <c r="AH1141" s="20" t="str">
        <f t="shared" si="100"/>
        <v>No</v>
      </c>
      <c r="AI1141" s="25"/>
      <c r="AJ1141" s="37">
        <v>44611</v>
      </c>
      <c r="AK1141" s="37" t="s">
        <v>1385</v>
      </c>
      <c r="AL1141" s="37">
        <v>39075</v>
      </c>
      <c r="AM1141" s="37" t="s">
        <v>44</v>
      </c>
      <c r="AN1141" s="37" t="str">
        <f t="shared" si="101"/>
        <v>N/A</v>
      </c>
      <c r="AO1141" s="37" t="str">
        <f t="shared" si="102"/>
        <v>N/A</v>
      </c>
      <c r="AP1141" s="20" t="s">
        <v>8</v>
      </c>
      <c r="AQ1141" s="25"/>
      <c r="AR1141" s="25"/>
      <c r="AS1141" s="25"/>
      <c r="AT1141" s="25"/>
      <c r="AU1141" s="36"/>
      <c r="AV1141" s="36"/>
      <c r="AW1141" s="36"/>
      <c r="AX1141" s="25"/>
      <c r="AY1141" s="25"/>
      <c r="AZ1141" s="25"/>
      <c r="BA1141" s="25"/>
      <c r="BB1141" s="25"/>
      <c r="BC1141" s="25"/>
      <c r="BD1141" s="25"/>
      <c r="BE1141" s="25"/>
      <c r="BF1141" s="25"/>
      <c r="BG1141" s="25"/>
      <c r="BH1141" s="25"/>
      <c r="BI1141" s="25"/>
      <c r="BJ1141" s="25"/>
      <c r="BK1141" s="25"/>
      <c r="BL1141" s="25"/>
      <c r="BM1141" s="25"/>
      <c r="BN1141" s="25"/>
      <c r="BO1141" s="25"/>
      <c r="BP1141" s="25"/>
      <c r="BQ1141" s="25"/>
      <c r="BR1141" s="25"/>
      <c r="BS1141" s="25"/>
      <c r="BT1141" s="25"/>
      <c r="BU1141" s="39">
        <v>43913</v>
      </c>
      <c r="BV1141" s="39" t="s">
        <v>1102</v>
      </c>
      <c r="BW1141" s="39" t="s">
        <v>2916</v>
      </c>
      <c r="BX1141" s="39" t="s">
        <v>272</v>
      </c>
      <c r="BY1141" s="71">
        <v>750</v>
      </c>
      <c r="BZ1141" s="71">
        <v>760</v>
      </c>
      <c r="CA1141" s="71">
        <v>970</v>
      </c>
      <c r="CB1141" s="71">
        <v>1290</v>
      </c>
      <c r="CC1141" s="71">
        <v>1480</v>
      </c>
      <c r="CD1141" s="25"/>
      <c r="CE1141" s="200"/>
      <c r="CF1141" s="200"/>
      <c r="CG1141" s="200"/>
      <c r="CH1141" s="200"/>
      <c r="CI1141" s="200"/>
      <c r="CJ1141" s="200"/>
      <c r="CK1141" s="200"/>
      <c r="CL1141" s="200"/>
      <c r="CM1141" s="200"/>
      <c r="CN1141" s="200"/>
      <c r="CO1141" s="200"/>
      <c r="CP1141" s="200"/>
      <c r="CQ1141" s="200"/>
      <c r="CR1141" s="200"/>
      <c r="CS1141" s="200"/>
      <c r="CT1141" s="200"/>
      <c r="CU1141" s="200"/>
    </row>
    <row r="1142" spans="1:99" s="17" customFormat="1" x14ac:dyDescent="0.2">
      <c r="A1142" s="25"/>
      <c r="B1142" s="20">
        <v>39061021422</v>
      </c>
      <c r="C1142" s="20">
        <v>214.22</v>
      </c>
      <c r="D1142" s="20" t="s">
        <v>37</v>
      </c>
      <c r="E1142" s="20" t="s">
        <v>2828</v>
      </c>
      <c r="F1142" s="20" t="s">
        <v>8</v>
      </c>
      <c r="G1142" s="861">
        <v>54.5384761339958</v>
      </c>
      <c r="H1142" s="861">
        <v>60.770696333664297</v>
      </c>
      <c r="I1142" s="861">
        <v>27.8484129158755</v>
      </c>
      <c r="J1142" s="861">
        <v>44.584656838460504</v>
      </c>
      <c r="K1142" s="982">
        <v>0</v>
      </c>
      <c r="L1142" s="735">
        <v>2898</v>
      </c>
      <c r="M1142" s="735">
        <v>3226</v>
      </c>
      <c r="N1142" s="845">
        <f t="shared" si="98"/>
        <v>0.11318150448585231</v>
      </c>
      <c r="O1142" s="735">
        <v>0.86073638384386253</v>
      </c>
      <c r="P1142" s="735">
        <f t="shared" si="99"/>
        <v>3747.9535669136953</v>
      </c>
      <c r="Q1142" s="849">
        <v>33.5</v>
      </c>
      <c r="R1142" s="71">
        <v>84167</v>
      </c>
      <c r="S1142" s="845">
        <v>0.19577377252952144</v>
      </c>
      <c r="T1142" s="845">
        <v>8.5999999999999993E-2</v>
      </c>
      <c r="U1142" s="845">
        <v>3.4000000000000002E-2</v>
      </c>
      <c r="V1142" s="845">
        <v>0</v>
      </c>
      <c r="W1142" s="845">
        <v>0.27918781725888325</v>
      </c>
      <c r="X1142" s="845">
        <v>0.58787878787878789</v>
      </c>
      <c r="Y1142" s="845">
        <v>0.73744575325480466</v>
      </c>
      <c r="Z1142" s="845">
        <v>0.16181029138251704</v>
      </c>
      <c r="AA1142" s="845">
        <v>0</v>
      </c>
      <c r="AB1142" s="845">
        <v>4.6497210167389955E-3</v>
      </c>
      <c r="AC1142" s="845">
        <v>0</v>
      </c>
      <c r="AD1142" s="845">
        <v>3.1928084314941103E-2</v>
      </c>
      <c r="AE1142" s="845">
        <v>6.416615003099814E-2</v>
      </c>
      <c r="AF1142" s="845">
        <v>1.4879107253564786E-2</v>
      </c>
      <c r="AG1142" s="845">
        <v>0.7321760694358338</v>
      </c>
      <c r="AH1142" s="20" t="str">
        <f t="shared" si="100"/>
        <v>No</v>
      </c>
      <c r="AI1142" s="25"/>
      <c r="AJ1142" s="37">
        <v>44624</v>
      </c>
      <c r="AK1142" s="37" t="s">
        <v>1395</v>
      </c>
      <c r="AL1142" s="37">
        <v>39075</v>
      </c>
      <c r="AM1142" s="37" t="s">
        <v>44</v>
      </c>
      <c r="AN1142" s="37" t="str">
        <f t="shared" si="101"/>
        <v>N/A</v>
      </c>
      <c r="AO1142" s="37" t="str">
        <f t="shared" si="102"/>
        <v>N/A</v>
      </c>
      <c r="AP1142" s="20" t="s">
        <v>8</v>
      </c>
      <c r="AQ1142" s="25"/>
      <c r="AR1142" s="25"/>
      <c r="AS1142" s="25"/>
      <c r="AT1142" s="25"/>
      <c r="AU1142" s="36"/>
      <c r="AV1142" s="36"/>
      <c r="AW1142" s="36"/>
      <c r="AX1142" s="25"/>
      <c r="AY1142" s="25"/>
      <c r="AZ1142" s="25"/>
      <c r="BA1142" s="25"/>
      <c r="BB1142" s="25"/>
      <c r="BC1142" s="25"/>
      <c r="BD1142" s="25"/>
      <c r="BE1142" s="25"/>
      <c r="BF1142" s="25"/>
      <c r="BG1142" s="25"/>
      <c r="BH1142" s="25"/>
      <c r="BI1142" s="25"/>
      <c r="BJ1142" s="25"/>
      <c r="BK1142" s="25"/>
      <c r="BL1142" s="25"/>
      <c r="BM1142" s="25"/>
      <c r="BN1142" s="25"/>
      <c r="BO1142" s="25"/>
      <c r="BP1142" s="25"/>
      <c r="BQ1142" s="25"/>
      <c r="BR1142" s="25"/>
      <c r="BS1142" s="25"/>
      <c r="BT1142" s="25"/>
      <c r="BU1142" s="39">
        <v>43917</v>
      </c>
      <c r="BV1142" s="39" t="s">
        <v>1105</v>
      </c>
      <c r="BW1142" s="39" t="s">
        <v>2916</v>
      </c>
      <c r="BX1142" s="39" t="s">
        <v>272</v>
      </c>
      <c r="BY1142" s="71">
        <v>740</v>
      </c>
      <c r="BZ1142" s="71">
        <v>770</v>
      </c>
      <c r="CA1142" s="71">
        <v>980</v>
      </c>
      <c r="CB1142" s="71">
        <v>1290</v>
      </c>
      <c r="CC1142" s="71">
        <v>1480</v>
      </c>
      <c r="CD1142" s="25"/>
      <c r="CE1142" s="200"/>
      <c r="CF1142" s="200"/>
      <c r="CG1142" s="200"/>
      <c r="CH1142" s="200"/>
      <c r="CI1142" s="200"/>
      <c r="CJ1142" s="200"/>
      <c r="CK1142" s="200"/>
      <c r="CL1142" s="200"/>
      <c r="CM1142" s="200"/>
      <c r="CN1142" s="200"/>
      <c r="CO1142" s="200"/>
      <c r="CP1142" s="200"/>
      <c r="CQ1142" s="200"/>
      <c r="CR1142" s="200"/>
      <c r="CS1142" s="200"/>
      <c r="CT1142" s="200"/>
      <c r="CU1142" s="200"/>
    </row>
    <row r="1143" spans="1:99" s="17" customFormat="1" x14ac:dyDescent="0.2">
      <c r="A1143" s="25"/>
      <c r="B1143" s="20">
        <v>39153507300</v>
      </c>
      <c r="C1143" s="20">
        <v>5073</v>
      </c>
      <c r="D1143" s="20" t="s">
        <v>82</v>
      </c>
      <c r="E1143" s="20" t="s">
        <v>2843</v>
      </c>
      <c r="F1143" s="20" t="s">
        <v>8</v>
      </c>
      <c r="G1143" s="861">
        <v>54.537030290940102</v>
      </c>
      <c r="H1143" s="861">
        <v>64.424954051793307</v>
      </c>
      <c r="I1143" s="861">
        <v>32.832916602082399</v>
      </c>
      <c r="J1143" s="861">
        <v>49.741701359142198</v>
      </c>
      <c r="K1143" s="982">
        <v>0</v>
      </c>
      <c r="L1143" s="735">
        <v>2933</v>
      </c>
      <c r="M1143" s="735">
        <v>3210</v>
      </c>
      <c r="N1143" s="845">
        <f t="shared" si="98"/>
        <v>9.4442550289805666E-2</v>
      </c>
      <c r="O1143" s="735">
        <v>0.54140750476263777</v>
      </c>
      <c r="P1143" s="735">
        <f t="shared" si="99"/>
        <v>5928.9905879810776</v>
      </c>
      <c r="Q1143" s="849">
        <v>39</v>
      </c>
      <c r="R1143" s="71">
        <v>61484</v>
      </c>
      <c r="S1143" s="845">
        <v>0.14536741214057508</v>
      </c>
      <c r="T1143" s="845">
        <v>7.0000000000000007E-2</v>
      </c>
      <c r="U1143" s="845">
        <v>2.5000000000000001E-2</v>
      </c>
      <c r="V1143" s="845">
        <v>5.4000000000000006E-2</v>
      </c>
      <c r="W1143" s="845">
        <v>0.48821548821548821</v>
      </c>
      <c r="X1143" s="845">
        <v>0.20344827586206896</v>
      </c>
      <c r="Y1143" s="845">
        <v>0.86105919003115261</v>
      </c>
      <c r="Z1143" s="845">
        <v>8.9408099688473519E-2</v>
      </c>
      <c r="AA1143" s="845">
        <v>0</v>
      </c>
      <c r="AB1143" s="845">
        <v>1.2772585669781931E-2</v>
      </c>
      <c r="AC1143" s="845">
        <v>0</v>
      </c>
      <c r="AD1143" s="845">
        <v>1.059190031152648E-2</v>
      </c>
      <c r="AE1143" s="845">
        <v>2.6168224299065422E-2</v>
      </c>
      <c r="AF1143" s="845">
        <v>2.0872274143302182E-2</v>
      </c>
      <c r="AG1143" s="845">
        <v>0.85327102803738319</v>
      </c>
      <c r="AH1143" s="20" t="str">
        <f t="shared" si="100"/>
        <v>No</v>
      </c>
      <c r="AI1143" s="25"/>
      <c r="AJ1143" s="20">
        <v>44627</v>
      </c>
      <c r="AK1143" s="20" t="s">
        <v>1398</v>
      </c>
      <c r="AL1143" s="20">
        <v>39075</v>
      </c>
      <c r="AM1143" s="20" t="s">
        <v>44</v>
      </c>
      <c r="AN1143" s="37" t="str">
        <f t="shared" si="101"/>
        <v>N/A</v>
      </c>
      <c r="AO1143" s="37" t="str">
        <f t="shared" si="102"/>
        <v>N/A</v>
      </c>
      <c r="AP1143" s="20" t="s">
        <v>8</v>
      </c>
      <c r="AQ1143" s="25"/>
      <c r="AR1143" s="25"/>
      <c r="AS1143" s="25"/>
      <c r="AT1143" s="25"/>
      <c r="AU1143" s="36"/>
      <c r="AV1143" s="36"/>
      <c r="AW1143" s="36"/>
      <c r="AX1143" s="25"/>
      <c r="AY1143" s="25"/>
      <c r="AZ1143" s="25"/>
      <c r="BA1143" s="25"/>
      <c r="BB1143" s="25"/>
      <c r="BC1143" s="25"/>
      <c r="BD1143" s="25"/>
      <c r="BE1143" s="25"/>
      <c r="BF1143" s="25"/>
      <c r="BG1143" s="25"/>
      <c r="BH1143" s="25"/>
      <c r="BI1143" s="25"/>
      <c r="BJ1143" s="25"/>
      <c r="BK1143" s="25"/>
      <c r="BL1143" s="25"/>
      <c r="BM1143" s="25"/>
      <c r="BN1143" s="25"/>
      <c r="BO1143" s="25"/>
      <c r="BP1143" s="25"/>
      <c r="BQ1143" s="25"/>
      <c r="BR1143" s="25"/>
      <c r="BS1143" s="25"/>
      <c r="BT1143" s="25"/>
      <c r="BU1143" s="39">
        <v>43925</v>
      </c>
      <c r="BV1143" s="39" t="s">
        <v>1107</v>
      </c>
      <c r="BW1143" s="39" t="s">
        <v>2916</v>
      </c>
      <c r="BX1143" s="39" t="s">
        <v>272</v>
      </c>
      <c r="BY1143" s="71">
        <v>750</v>
      </c>
      <c r="BZ1143" s="71">
        <v>780</v>
      </c>
      <c r="CA1143" s="71">
        <v>990</v>
      </c>
      <c r="CB1143" s="71">
        <v>1300</v>
      </c>
      <c r="CC1143" s="71">
        <v>1480</v>
      </c>
      <c r="CD1143" s="25"/>
      <c r="CE1143" s="200"/>
      <c r="CF1143" s="200"/>
      <c r="CG1143" s="200"/>
      <c r="CH1143" s="200"/>
      <c r="CI1143" s="200"/>
      <c r="CJ1143" s="200"/>
      <c r="CK1143" s="200"/>
      <c r="CL1143" s="200"/>
      <c r="CM1143" s="200"/>
      <c r="CN1143" s="200"/>
      <c r="CO1143" s="200"/>
      <c r="CP1143" s="200"/>
      <c r="CQ1143" s="200"/>
      <c r="CR1143" s="200"/>
      <c r="CS1143" s="200"/>
      <c r="CT1143" s="200"/>
      <c r="CU1143" s="200"/>
    </row>
    <row r="1144" spans="1:99" s="17" customFormat="1" x14ac:dyDescent="0.2">
      <c r="A1144" s="25"/>
      <c r="B1144" s="20">
        <v>39035140701</v>
      </c>
      <c r="C1144" s="20">
        <v>1407.01</v>
      </c>
      <c r="D1144" s="20" t="s">
        <v>24</v>
      </c>
      <c r="E1144" s="20" t="s">
        <v>2829</v>
      </c>
      <c r="F1144" s="20" t="s">
        <v>8</v>
      </c>
      <c r="G1144" s="861">
        <v>54.529172094241702</v>
      </c>
      <c r="H1144" s="861">
        <v>73.278032696064898</v>
      </c>
      <c r="I1144" s="861">
        <v>53.840006194186898</v>
      </c>
      <c r="J1144" s="861">
        <v>48.633249267133301</v>
      </c>
      <c r="K1144" s="982">
        <v>0</v>
      </c>
      <c r="L1144" s="735">
        <v>2230</v>
      </c>
      <c r="M1144" s="735">
        <v>2464</v>
      </c>
      <c r="N1144" s="845">
        <f t="shared" si="98"/>
        <v>0.10493273542600896</v>
      </c>
      <c r="O1144" s="735">
        <v>0.40860689511041809</v>
      </c>
      <c r="P1144" s="735">
        <f t="shared" si="99"/>
        <v>6030.2457679627551</v>
      </c>
      <c r="Q1144" s="849">
        <v>33.4</v>
      </c>
      <c r="R1144" s="71">
        <v>82692</v>
      </c>
      <c r="S1144" s="845">
        <v>0.14042207792207792</v>
      </c>
      <c r="T1144" s="845">
        <v>9.3000000000000013E-2</v>
      </c>
      <c r="U1144" s="845">
        <v>0</v>
      </c>
      <c r="V1144" s="845">
        <v>0.23100000000000001</v>
      </c>
      <c r="W1144" s="845">
        <v>0.40287769784172661</v>
      </c>
      <c r="X1144" s="845">
        <v>0.37797619047619047</v>
      </c>
      <c r="Y1144" s="845">
        <v>0.16599025974025974</v>
      </c>
      <c r="Z1144" s="845">
        <v>0.78246753246753242</v>
      </c>
      <c r="AA1144" s="845">
        <v>0</v>
      </c>
      <c r="AB1144" s="845">
        <v>0</v>
      </c>
      <c r="AC1144" s="845">
        <v>0</v>
      </c>
      <c r="AD1144" s="845">
        <v>0</v>
      </c>
      <c r="AE1144" s="845">
        <v>5.1542207792207792E-2</v>
      </c>
      <c r="AF1144" s="845">
        <v>5.681818181818182E-3</v>
      </c>
      <c r="AG1144" s="845">
        <v>0.16112012987012986</v>
      </c>
      <c r="AH1144" s="20" t="str">
        <f t="shared" si="100"/>
        <v>No</v>
      </c>
      <c r="AI1144" s="25"/>
      <c r="AJ1144" s="20">
        <v>44628</v>
      </c>
      <c r="AK1144" s="20" t="s">
        <v>1399</v>
      </c>
      <c r="AL1144" s="20">
        <v>39075</v>
      </c>
      <c r="AM1144" s="20" t="s">
        <v>44</v>
      </c>
      <c r="AN1144" s="37" t="str">
        <f t="shared" si="101"/>
        <v>N/A</v>
      </c>
      <c r="AO1144" s="37" t="str">
        <f t="shared" si="102"/>
        <v>N/A</v>
      </c>
      <c r="AP1144" s="20" t="s">
        <v>8</v>
      </c>
      <c r="AQ1144" s="25"/>
      <c r="AR1144" s="25"/>
      <c r="AS1144" s="25"/>
      <c r="AT1144" s="25"/>
      <c r="AU1144" s="36"/>
      <c r="AV1144" s="36"/>
      <c r="AW1144" s="36"/>
      <c r="AX1144" s="25"/>
      <c r="AY1144" s="25"/>
      <c r="AZ1144" s="25"/>
      <c r="BA1144" s="25"/>
      <c r="BB1144" s="25"/>
      <c r="BC1144" s="25"/>
      <c r="BD1144" s="25"/>
      <c r="BE1144" s="25"/>
      <c r="BF1144" s="25"/>
      <c r="BG1144" s="25"/>
      <c r="BH1144" s="25"/>
      <c r="BI1144" s="25"/>
      <c r="BJ1144" s="25"/>
      <c r="BK1144" s="25"/>
      <c r="BL1144" s="25"/>
      <c r="BM1144" s="25"/>
      <c r="BN1144" s="25"/>
      <c r="BO1144" s="25"/>
      <c r="BP1144" s="25"/>
      <c r="BQ1144" s="25"/>
      <c r="BR1144" s="25"/>
      <c r="BS1144" s="25"/>
      <c r="BT1144" s="25"/>
      <c r="BU1144" s="39">
        <v>43926</v>
      </c>
      <c r="BV1144" s="39" t="s">
        <v>1108</v>
      </c>
      <c r="BW1144" s="39" t="s">
        <v>2916</v>
      </c>
      <c r="BX1144" s="39" t="s">
        <v>272</v>
      </c>
      <c r="BY1144" s="71">
        <v>750</v>
      </c>
      <c r="BZ1144" s="71">
        <v>760</v>
      </c>
      <c r="CA1144" s="71">
        <v>970</v>
      </c>
      <c r="CB1144" s="71">
        <v>1290</v>
      </c>
      <c r="CC1144" s="71">
        <v>1480</v>
      </c>
      <c r="CD1144" s="25"/>
      <c r="CE1144" s="200"/>
      <c r="CF1144" s="200"/>
      <c r="CG1144" s="200"/>
      <c r="CH1144" s="200"/>
      <c r="CI1144" s="200"/>
      <c r="CJ1144" s="200"/>
      <c r="CK1144" s="200"/>
      <c r="CL1144" s="200"/>
      <c r="CM1144" s="200"/>
      <c r="CN1144" s="200"/>
      <c r="CO1144" s="200"/>
      <c r="CP1144" s="200"/>
      <c r="CQ1144" s="200"/>
      <c r="CR1144" s="200"/>
      <c r="CS1144" s="200"/>
      <c r="CT1144" s="200"/>
      <c r="CU1144" s="200"/>
    </row>
    <row r="1145" spans="1:99" s="17" customFormat="1" x14ac:dyDescent="0.2">
      <c r="A1145" s="25"/>
      <c r="B1145" s="20">
        <v>39035188103</v>
      </c>
      <c r="C1145" s="20">
        <v>1881.03</v>
      </c>
      <c r="D1145" s="20" t="s">
        <v>24</v>
      </c>
      <c r="E1145" s="20" t="s">
        <v>2829</v>
      </c>
      <c r="F1145" s="20" t="s">
        <v>8</v>
      </c>
      <c r="G1145" s="861">
        <v>54.524615747583901</v>
      </c>
      <c r="H1145" s="861">
        <v>46.305237954413698</v>
      </c>
      <c r="I1145" s="861">
        <v>24.080943896104401</v>
      </c>
      <c r="J1145" s="861">
        <v>53.643457199631598</v>
      </c>
      <c r="K1145" s="982">
        <v>0</v>
      </c>
      <c r="L1145" s="735">
        <v>3532</v>
      </c>
      <c r="M1145" s="735">
        <v>2933</v>
      </c>
      <c r="N1145" s="845">
        <f t="shared" si="98"/>
        <v>-0.16959229898074746</v>
      </c>
      <c r="O1145" s="735">
        <v>0.56291069228113177</v>
      </c>
      <c r="P1145" s="735">
        <f t="shared" si="99"/>
        <v>5210.4179938639109</v>
      </c>
      <c r="Q1145" s="849">
        <v>39.200000000000003</v>
      </c>
      <c r="R1145" s="71">
        <v>67083</v>
      </c>
      <c r="S1145" s="845">
        <v>9.1191709844559585E-2</v>
      </c>
      <c r="T1145" s="845">
        <v>0.11</v>
      </c>
      <c r="U1145" s="845">
        <v>0</v>
      </c>
      <c r="V1145" s="845">
        <v>0.161</v>
      </c>
      <c r="W1145" s="845">
        <v>0.14769975786924938</v>
      </c>
      <c r="X1145" s="845">
        <v>0.24590163934426229</v>
      </c>
      <c r="Y1145" s="845">
        <v>2.7275826798499828E-2</v>
      </c>
      <c r="Z1145" s="845">
        <v>0.9324923286737129</v>
      </c>
      <c r="AA1145" s="845">
        <v>0</v>
      </c>
      <c r="AB1145" s="845">
        <v>0</v>
      </c>
      <c r="AC1145" s="845">
        <v>0</v>
      </c>
      <c r="AD1145" s="845">
        <v>0</v>
      </c>
      <c r="AE1145" s="845">
        <v>4.0231844527787247E-2</v>
      </c>
      <c r="AF1145" s="845">
        <v>2.1820661438799863E-2</v>
      </c>
      <c r="AG1145" s="845">
        <v>2.7275826798499828E-2</v>
      </c>
      <c r="AH1145" s="20" t="str">
        <f t="shared" si="100"/>
        <v>No</v>
      </c>
      <c r="AI1145" s="25"/>
      <c r="AJ1145" s="20">
        <v>44633</v>
      </c>
      <c r="AK1145" s="20" t="s">
        <v>1403</v>
      </c>
      <c r="AL1145" s="20">
        <v>39075</v>
      </c>
      <c r="AM1145" s="20" t="s">
        <v>44</v>
      </c>
      <c r="AN1145" s="37" t="str">
        <f t="shared" si="101"/>
        <v>N/A</v>
      </c>
      <c r="AO1145" s="37" t="str">
        <f t="shared" si="102"/>
        <v>N/A</v>
      </c>
      <c r="AP1145" s="20" t="s">
        <v>8</v>
      </c>
      <c r="AQ1145" s="25"/>
      <c r="AR1145" s="25"/>
      <c r="AS1145" s="25"/>
      <c r="AT1145" s="25"/>
      <c r="AU1145" s="36"/>
      <c r="AV1145" s="36"/>
      <c r="AW1145" s="36"/>
      <c r="AX1145" s="25"/>
      <c r="AY1145" s="25"/>
      <c r="AZ1145" s="25"/>
      <c r="BA1145" s="25"/>
      <c r="BB1145" s="25"/>
      <c r="BC1145" s="25"/>
      <c r="BD1145" s="25"/>
      <c r="BE1145" s="25"/>
      <c r="BF1145" s="25"/>
      <c r="BG1145" s="25"/>
      <c r="BH1145" s="25"/>
      <c r="BI1145" s="25"/>
      <c r="BJ1145" s="25"/>
      <c r="BK1145" s="25"/>
      <c r="BL1145" s="25"/>
      <c r="BM1145" s="25"/>
      <c r="BN1145" s="25"/>
      <c r="BO1145" s="25"/>
      <c r="BP1145" s="25"/>
      <c r="BQ1145" s="25"/>
      <c r="BR1145" s="25"/>
      <c r="BS1145" s="25"/>
      <c r="BT1145" s="25"/>
      <c r="BU1145" s="39">
        <v>43930</v>
      </c>
      <c r="BV1145" s="39" t="s">
        <v>1110</v>
      </c>
      <c r="BW1145" s="39" t="s">
        <v>2916</v>
      </c>
      <c r="BX1145" s="39" t="s">
        <v>272</v>
      </c>
      <c r="BY1145" s="71">
        <v>800</v>
      </c>
      <c r="BZ1145" s="71">
        <v>850</v>
      </c>
      <c r="CA1145" s="71">
        <v>1070</v>
      </c>
      <c r="CB1145" s="71">
        <v>1390</v>
      </c>
      <c r="CC1145" s="71">
        <v>1530</v>
      </c>
      <c r="CD1145" s="25"/>
      <c r="CE1145" s="200"/>
      <c r="CF1145" s="200"/>
      <c r="CG1145" s="200"/>
      <c r="CH1145" s="200"/>
      <c r="CI1145" s="200"/>
      <c r="CJ1145" s="200"/>
      <c r="CK1145" s="200"/>
      <c r="CL1145" s="200"/>
      <c r="CM1145" s="200"/>
      <c r="CN1145" s="200"/>
      <c r="CO1145" s="200"/>
      <c r="CP1145" s="200"/>
      <c r="CQ1145" s="200"/>
      <c r="CR1145" s="200"/>
      <c r="CS1145" s="200"/>
      <c r="CT1145" s="200"/>
      <c r="CU1145" s="200"/>
    </row>
    <row r="1146" spans="1:99" s="17" customFormat="1" x14ac:dyDescent="0.2">
      <c r="A1146" s="25"/>
      <c r="B1146" s="20">
        <v>39045032703</v>
      </c>
      <c r="C1146" s="20">
        <v>327.02999999999997</v>
      </c>
      <c r="D1146" s="20" t="s">
        <v>29</v>
      </c>
      <c r="E1146" s="20" t="s">
        <v>2830</v>
      </c>
      <c r="F1146" s="20" t="s">
        <v>8</v>
      </c>
      <c r="G1146" s="861">
        <v>54.523506965935603</v>
      </c>
      <c r="H1146" s="861">
        <v>68.397578817782303</v>
      </c>
      <c r="I1146" s="861">
        <v>35.205851491162903</v>
      </c>
      <c r="J1146" s="861">
        <v>57.442251270476703</v>
      </c>
      <c r="K1146" s="982">
        <v>0</v>
      </c>
      <c r="L1146" s="735" t="s">
        <v>2466</v>
      </c>
      <c r="M1146" s="735">
        <v>4326</v>
      </c>
      <c r="N1146" s="845" t="str">
        <f t="shared" si="98"/>
        <v/>
      </c>
      <c r="O1146" s="735">
        <v>0.48038367249492897</v>
      </c>
      <c r="P1146" s="735">
        <f t="shared" si="99"/>
        <v>9005.3019028153303</v>
      </c>
      <c r="Q1146" s="849">
        <v>27.9</v>
      </c>
      <c r="R1146" s="71">
        <v>87900</v>
      </c>
      <c r="S1146" s="845">
        <v>7.2353213129912164E-2</v>
      </c>
      <c r="T1146" s="845">
        <v>0.02</v>
      </c>
      <c r="U1146" s="845">
        <v>0</v>
      </c>
      <c r="V1146" s="845">
        <v>0</v>
      </c>
      <c r="W1146" s="845">
        <v>0.30717863105175292</v>
      </c>
      <c r="X1146" s="845">
        <v>0.33152173913043476</v>
      </c>
      <c r="Y1146" s="845">
        <v>0.21867776236708275</v>
      </c>
      <c r="Z1146" s="845">
        <v>0.40846047156726767</v>
      </c>
      <c r="AA1146" s="845">
        <v>0</v>
      </c>
      <c r="AB1146" s="845">
        <v>0.28617660656495608</v>
      </c>
      <c r="AC1146" s="845">
        <v>0</v>
      </c>
      <c r="AD1146" s="845">
        <v>4.4382801664355064E-2</v>
      </c>
      <c r="AE1146" s="845">
        <v>4.2302357836338421E-2</v>
      </c>
      <c r="AF1146" s="845">
        <v>3.8372630605640314E-2</v>
      </c>
      <c r="AG1146" s="845">
        <v>0.20989366620434582</v>
      </c>
      <c r="AH1146" s="20" t="str">
        <f t="shared" si="100"/>
        <v>No</v>
      </c>
      <c r="AI1146" s="25"/>
      <c r="AJ1146" s="20">
        <v>44637</v>
      </c>
      <c r="AK1146" s="20" t="s">
        <v>1405</v>
      </c>
      <c r="AL1146" s="20">
        <v>39075</v>
      </c>
      <c r="AM1146" s="20" t="s">
        <v>44</v>
      </c>
      <c r="AN1146" s="37" t="str">
        <f t="shared" si="101"/>
        <v>N/A</v>
      </c>
      <c r="AO1146" s="37" t="str">
        <f t="shared" si="102"/>
        <v>N/A</v>
      </c>
      <c r="AP1146" s="20" t="s">
        <v>8</v>
      </c>
      <c r="AQ1146" s="25"/>
      <c r="AR1146" s="25"/>
      <c r="AS1146" s="25"/>
      <c r="AT1146" s="25"/>
      <c r="AU1146" s="36"/>
      <c r="AV1146" s="36"/>
      <c r="AW1146" s="36"/>
      <c r="AX1146" s="25"/>
      <c r="AY1146" s="25"/>
      <c r="AZ1146" s="25"/>
      <c r="BA1146" s="25"/>
      <c r="BB1146" s="25"/>
      <c r="BC1146" s="25"/>
      <c r="BD1146" s="25"/>
      <c r="BE1146" s="25"/>
      <c r="BF1146" s="25"/>
      <c r="BG1146" s="25"/>
      <c r="BH1146" s="25"/>
      <c r="BI1146" s="25"/>
      <c r="BJ1146" s="25"/>
      <c r="BK1146" s="25"/>
      <c r="BL1146" s="25"/>
      <c r="BM1146" s="25"/>
      <c r="BN1146" s="25"/>
      <c r="BO1146" s="25"/>
      <c r="BP1146" s="25"/>
      <c r="BQ1146" s="25"/>
      <c r="BR1146" s="25"/>
      <c r="BS1146" s="25"/>
      <c r="BT1146" s="25"/>
      <c r="BU1146" s="39">
        <v>43932</v>
      </c>
      <c r="BV1146" s="39" t="s">
        <v>1112</v>
      </c>
      <c r="BW1146" s="39" t="s">
        <v>2916</v>
      </c>
      <c r="BX1146" s="39" t="s">
        <v>272</v>
      </c>
      <c r="BY1146" s="71">
        <v>850</v>
      </c>
      <c r="BZ1146" s="71">
        <v>870</v>
      </c>
      <c r="CA1146" s="71">
        <v>1110</v>
      </c>
      <c r="CB1146" s="71">
        <v>1460</v>
      </c>
      <c r="CC1146" s="71">
        <v>1650</v>
      </c>
      <c r="CD1146" s="25"/>
      <c r="CE1146" s="200"/>
      <c r="CF1146" s="200"/>
      <c r="CG1146" s="200"/>
      <c r="CH1146" s="200"/>
      <c r="CI1146" s="200"/>
      <c r="CJ1146" s="200"/>
      <c r="CK1146" s="200"/>
      <c r="CL1146" s="200"/>
      <c r="CM1146" s="200"/>
      <c r="CN1146" s="200"/>
      <c r="CO1146" s="200"/>
      <c r="CP1146" s="200"/>
      <c r="CQ1146" s="200"/>
      <c r="CR1146" s="200"/>
      <c r="CS1146" s="200"/>
      <c r="CT1146" s="200"/>
      <c r="CU1146" s="200"/>
    </row>
    <row r="1147" spans="1:99" s="17" customFormat="1" x14ac:dyDescent="0.2">
      <c r="A1147" s="25"/>
      <c r="B1147" s="20">
        <v>39055312203</v>
      </c>
      <c r="C1147" s="20">
        <v>3122.03</v>
      </c>
      <c r="D1147" s="20" t="s">
        <v>34</v>
      </c>
      <c r="E1147" s="20" t="s">
        <v>2829</v>
      </c>
      <c r="F1147" s="20" t="s">
        <v>8</v>
      </c>
      <c r="G1147" s="861">
        <v>54.515922221474398</v>
      </c>
      <c r="H1147" s="861">
        <v>59.225902003821297</v>
      </c>
      <c r="I1147" s="861">
        <v>20.9719650521583</v>
      </c>
      <c r="J1147" s="861">
        <v>42.239995034160302</v>
      </c>
      <c r="K1147" s="982">
        <v>0</v>
      </c>
      <c r="L1147" s="735">
        <v>4670</v>
      </c>
      <c r="M1147" s="735">
        <v>4698</v>
      </c>
      <c r="N1147" s="845">
        <f t="shared" si="98"/>
        <v>5.9957173447537475E-3</v>
      </c>
      <c r="O1147" s="735">
        <v>22.276943966356665</v>
      </c>
      <c r="P1147" s="735">
        <f t="shared" si="99"/>
        <v>210.89068622226935</v>
      </c>
      <c r="Q1147" s="849">
        <v>50.1</v>
      </c>
      <c r="R1147" s="71">
        <v>102361</v>
      </c>
      <c r="S1147" s="845">
        <v>3.8320775026910656E-2</v>
      </c>
      <c r="T1147" s="845">
        <v>2.3E-2</v>
      </c>
      <c r="U1147" s="845">
        <v>0</v>
      </c>
      <c r="V1147" s="845">
        <v>0</v>
      </c>
      <c r="W1147" s="845">
        <v>7.3280721533258167E-2</v>
      </c>
      <c r="X1147" s="845">
        <v>0.26153846153846155</v>
      </c>
      <c r="Y1147" s="845">
        <v>0.91102596849723283</v>
      </c>
      <c r="Z1147" s="845">
        <v>1.277139208173691E-2</v>
      </c>
      <c r="AA1147" s="845">
        <v>0</v>
      </c>
      <c r="AB1147" s="845">
        <v>2.554278416347382E-3</v>
      </c>
      <c r="AC1147" s="845">
        <v>0</v>
      </c>
      <c r="AD1147" s="845">
        <v>0</v>
      </c>
      <c r="AE1147" s="845">
        <v>7.3648361004682847E-2</v>
      </c>
      <c r="AF1147" s="845">
        <v>1.2132822477650063E-2</v>
      </c>
      <c r="AG1147" s="845">
        <v>0.90272456364410392</v>
      </c>
      <c r="AH1147" s="20" t="str">
        <f t="shared" si="100"/>
        <v>Yes</v>
      </c>
      <c r="AI1147" s="25"/>
      <c r="AJ1147" s="20">
        <v>44638</v>
      </c>
      <c r="AK1147" s="20" t="s">
        <v>1406</v>
      </c>
      <c r="AL1147" s="20">
        <v>39075</v>
      </c>
      <c r="AM1147" s="20" t="s">
        <v>44</v>
      </c>
      <c r="AN1147" s="37" t="str">
        <f t="shared" si="101"/>
        <v>N/A</v>
      </c>
      <c r="AO1147" s="37" t="str">
        <f t="shared" si="102"/>
        <v>N/A</v>
      </c>
      <c r="AP1147" s="20" t="s">
        <v>8</v>
      </c>
      <c r="AQ1147" s="25"/>
      <c r="AR1147" s="25"/>
      <c r="AS1147" s="25"/>
      <c r="AT1147" s="25"/>
      <c r="AU1147" s="36"/>
      <c r="AV1147" s="36"/>
      <c r="AW1147" s="36"/>
      <c r="AX1147" s="25"/>
      <c r="AY1147" s="25"/>
      <c r="AZ1147" s="25"/>
      <c r="BA1147" s="25"/>
      <c r="BB1147" s="25"/>
      <c r="BC1147" s="25"/>
      <c r="BD1147" s="25"/>
      <c r="BE1147" s="25"/>
      <c r="BF1147" s="25"/>
      <c r="BG1147" s="25"/>
      <c r="BH1147" s="25"/>
      <c r="BI1147" s="25"/>
      <c r="BJ1147" s="25"/>
      <c r="BK1147" s="25"/>
      <c r="BL1147" s="25"/>
      <c r="BM1147" s="25"/>
      <c r="BN1147" s="25"/>
      <c r="BO1147" s="25"/>
      <c r="BP1147" s="25"/>
      <c r="BQ1147" s="25"/>
      <c r="BR1147" s="25"/>
      <c r="BS1147" s="25"/>
      <c r="BT1147" s="25"/>
      <c r="BU1147" s="39">
        <v>43938</v>
      </c>
      <c r="BV1147" s="39" t="s">
        <v>1116</v>
      </c>
      <c r="BW1147" s="39" t="s">
        <v>2916</v>
      </c>
      <c r="BX1147" s="39" t="s">
        <v>272</v>
      </c>
      <c r="BY1147" s="71">
        <v>840</v>
      </c>
      <c r="BZ1147" s="71">
        <v>850</v>
      </c>
      <c r="CA1147" s="71">
        <v>1090</v>
      </c>
      <c r="CB1147" s="71">
        <v>1440</v>
      </c>
      <c r="CC1147" s="71">
        <v>1660</v>
      </c>
      <c r="CD1147" s="25"/>
      <c r="CE1147" s="200"/>
      <c r="CF1147" s="200"/>
      <c r="CG1147" s="200"/>
      <c r="CH1147" s="200"/>
      <c r="CI1147" s="200"/>
      <c r="CJ1147" s="200"/>
      <c r="CK1147" s="200"/>
      <c r="CL1147" s="200"/>
      <c r="CM1147" s="200"/>
      <c r="CN1147" s="200"/>
      <c r="CO1147" s="200"/>
      <c r="CP1147" s="200"/>
      <c r="CQ1147" s="200"/>
      <c r="CR1147" s="200"/>
      <c r="CS1147" s="200"/>
      <c r="CT1147" s="200"/>
      <c r="CU1147" s="200"/>
    </row>
    <row r="1148" spans="1:99" s="17" customFormat="1" x14ac:dyDescent="0.2">
      <c r="A1148" s="25"/>
      <c r="B1148" s="20">
        <v>39049009498</v>
      </c>
      <c r="C1148" s="20">
        <v>94.98</v>
      </c>
      <c r="D1148" s="20" t="s">
        <v>31</v>
      </c>
      <c r="E1148" s="20" t="s">
        <v>2830</v>
      </c>
      <c r="F1148" s="20" t="s">
        <v>8</v>
      </c>
      <c r="G1148" s="861">
        <v>54.515661893050499</v>
      </c>
      <c r="H1148" s="861">
        <v>59.364389887476399</v>
      </c>
      <c r="I1148" s="861">
        <v>29.539997247179102</v>
      </c>
      <c r="J1148" s="861">
        <v>55.499023282611198</v>
      </c>
      <c r="K1148" s="982">
        <v>0</v>
      </c>
      <c r="L1148" s="735" t="s">
        <v>2466</v>
      </c>
      <c r="M1148" s="735">
        <v>3858</v>
      </c>
      <c r="N1148" s="845" t="str">
        <f t="shared" si="98"/>
        <v/>
      </c>
      <c r="O1148" s="735">
        <v>2.1436198793978249</v>
      </c>
      <c r="P1148" s="735">
        <f t="shared" si="99"/>
        <v>1799.7593869505306</v>
      </c>
      <c r="Q1148" s="849">
        <v>40.700000000000003</v>
      </c>
      <c r="R1148" s="71">
        <v>73261</v>
      </c>
      <c r="S1148" s="845">
        <v>0.20913838120104439</v>
      </c>
      <c r="T1148" s="845">
        <v>0.114</v>
      </c>
      <c r="U1148" s="845">
        <v>0</v>
      </c>
      <c r="V1148" s="845">
        <v>0</v>
      </c>
      <c r="W1148" s="845">
        <v>0.68283582089552242</v>
      </c>
      <c r="X1148" s="845">
        <v>0.21493624772313297</v>
      </c>
      <c r="Y1148" s="845">
        <v>0.3724727838258165</v>
      </c>
      <c r="Z1148" s="845">
        <v>0.53810264385692064</v>
      </c>
      <c r="AA1148" s="845">
        <v>1.0368066355624676E-3</v>
      </c>
      <c r="AB1148" s="845">
        <v>3.8880248833592537E-3</v>
      </c>
      <c r="AC1148" s="845">
        <v>0</v>
      </c>
      <c r="AD1148" s="845">
        <v>4.7952306894764124E-2</v>
      </c>
      <c r="AE1148" s="845">
        <v>3.6547433903576981E-2</v>
      </c>
      <c r="AF1148" s="845">
        <v>0.13634007257646449</v>
      </c>
      <c r="AG1148" s="845">
        <v>0.29212026956972525</v>
      </c>
      <c r="AH1148" s="20" t="str">
        <f t="shared" si="100"/>
        <v>No</v>
      </c>
      <c r="AI1148" s="25"/>
      <c r="AJ1148" s="37">
        <v>44654</v>
      </c>
      <c r="AK1148" s="37" t="s">
        <v>1418</v>
      </c>
      <c r="AL1148" s="37">
        <v>39075</v>
      </c>
      <c r="AM1148" s="37" t="s">
        <v>44</v>
      </c>
      <c r="AN1148" s="37" t="str">
        <f t="shared" si="101"/>
        <v>N/A</v>
      </c>
      <c r="AO1148" s="37" t="str">
        <f t="shared" si="102"/>
        <v>N/A</v>
      </c>
      <c r="AP1148" s="20" t="s">
        <v>8</v>
      </c>
      <c r="AQ1148" s="25"/>
      <c r="AR1148" s="25"/>
      <c r="AS1148" s="25"/>
      <c r="AT1148" s="25"/>
      <c r="AU1148" s="36"/>
      <c r="AV1148" s="36"/>
      <c r="AW1148" s="36"/>
      <c r="AX1148" s="25"/>
      <c r="AY1148" s="25"/>
      <c r="AZ1148" s="25"/>
      <c r="BA1148" s="25"/>
      <c r="BB1148" s="25"/>
      <c r="BC1148" s="25"/>
      <c r="BD1148" s="25"/>
      <c r="BE1148" s="25"/>
      <c r="BF1148" s="25"/>
      <c r="BG1148" s="25"/>
      <c r="BH1148" s="25"/>
      <c r="BI1148" s="25"/>
      <c r="BJ1148" s="25"/>
      <c r="BK1148" s="25"/>
      <c r="BL1148" s="25"/>
      <c r="BM1148" s="25"/>
      <c r="BN1148" s="25"/>
      <c r="BO1148" s="25"/>
      <c r="BP1148" s="25"/>
      <c r="BQ1148" s="25"/>
      <c r="BR1148" s="25"/>
      <c r="BS1148" s="25"/>
      <c r="BT1148" s="25"/>
      <c r="BU1148" s="39">
        <v>43939</v>
      </c>
      <c r="BV1148" s="39" t="s">
        <v>1117</v>
      </c>
      <c r="BW1148" s="39" t="s">
        <v>2916</v>
      </c>
      <c r="BX1148" s="39" t="s">
        <v>272</v>
      </c>
      <c r="BY1148" s="71">
        <v>750</v>
      </c>
      <c r="BZ1148" s="71">
        <v>760</v>
      </c>
      <c r="CA1148" s="71">
        <v>970</v>
      </c>
      <c r="CB1148" s="71">
        <v>1290</v>
      </c>
      <c r="CC1148" s="71">
        <v>1480</v>
      </c>
      <c r="CD1148" s="25"/>
      <c r="CE1148" s="200"/>
      <c r="CF1148" s="200"/>
      <c r="CG1148" s="200"/>
      <c r="CH1148" s="200"/>
      <c r="CI1148" s="200"/>
      <c r="CJ1148" s="200"/>
      <c r="CK1148" s="200"/>
      <c r="CL1148" s="200"/>
      <c r="CM1148" s="200"/>
      <c r="CN1148" s="200"/>
      <c r="CO1148" s="200"/>
      <c r="CP1148" s="200"/>
      <c r="CQ1148" s="200"/>
      <c r="CR1148" s="200"/>
      <c r="CS1148" s="200"/>
      <c r="CT1148" s="200"/>
      <c r="CU1148" s="200"/>
    </row>
    <row r="1149" spans="1:99" s="17" customFormat="1" x14ac:dyDescent="0.2">
      <c r="A1149" s="25"/>
      <c r="B1149" s="20">
        <v>39085204303</v>
      </c>
      <c r="C1149" s="20">
        <v>2043.03</v>
      </c>
      <c r="D1149" s="20" t="s">
        <v>48</v>
      </c>
      <c r="E1149" s="20" t="s">
        <v>2829</v>
      </c>
      <c r="F1149" s="20" t="s">
        <v>8</v>
      </c>
      <c r="G1149" s="861">
        <v>54.511677397413699</v>
      </c>
      <c r="H1149" s="861">
        <v>56.462661213370502</v>
      </c>
      <c r="I1149" s="861">
        <v>25.2661427726893</v>
      </c>
      <c r="J1149" s="861">
        <v>49.000280855931699</v>
      </c>
      <c r="K1149" s="982">
        <v>0</v>
      </c>
      <c r="L1149" s="735" t="s">
        <v>2466</v>
      </c>
      <c r="M1149" s="735">
        <v>2796</v>
      </c>
      <c r="N1149" s="845" t="str">
        <f t="shared" si="98"/>
        <v/>
      </c>
      <c r="O1149" s="735">
        <v>1.0357931720389251</v>
      </c>
      <c r="P1149" s="735">
        <f t="shared" si="99"/>
        <v>2699.3806055857322</v>
      </c>
      <c r="Q1149" s="849">
        <v>31.7</v>
      </c>
      <c r="R1149" s="71">
        <v>100969</v>
      </c>
      <c r="S1149" s="845">
        <v>5.3603766751177111E-2</v>
      </c>
      <c r="T1149" s="845">
        <v>4.0999999999999995E-2</v>
      </c>
      <c r="U1149" s="845">
        <v>0</v>
      </c>
      <c r="V1149" s="845">
        <v>0</v>
      </c>
      <c r="W1149" s="845">
        <v>0.43909090909090909</v>
      </c>
      <c r="X1149" s="845">
        <v>0.37267080745341613</v>
      </c>
      <c r="Y1149" s="845">
        <v>0.87267525035765381</v>
      </c>
      <c r="Z1149" s="845">
        <v>5.5793991416309016E-2</v>
      </c>
      <c r="AA1149" s="845">
        <v>0</v>
      </c>
      <c r="AB1149" s="845">
        <v>3.5407725321888413E-2</v>
      </c>
      <c r="AC1149" s="845">
        <v>1.0729613733905579E-2</v>
      </c>
      <c r="AD1149" s="845">
        <v>0</v>
      </c>
      <c r="AE1149" s="845">
        <v>2.5393419170243205E-2</v>
      </c>
      <c r="AF1149" s="845">
        <v>5.5793991416309016E-2</v>
      </c>
      <c r="AG1149" s="845">
        <v>0.81688125894134478</v>
      </c>
      <c r="AH1149" s="20" t="str">
        <f t="shared" si="100"/>
        <v>No</v>
      </c>
      <c r="AI1149" s="25"/>
      <c r="AJ1149" s="37">
        <v>44660</v>
      </c>
      <c r="AK1149" s="37" t="s">
        <v>1422</v>
      </c>
      <c r="AL1149" s="37">
        <v>39075</v>
      </c>
      <c r="AM1149" s="37" t="s">
        <v>44</v>
      </c>
      <c r="AN1149" s="37" t="str">
        <f t="shared" si="101"/>
        <v>N/A</v>
      </c>
      <c r="AO1149" s="37" t="str">
        <f t="shared" si="102"/>
        <v>N/A</v>
      </c>
      <c r="AP1149" s="20" t="s">
        <v>8</v>
      </c>
      <c r="AQ1149" s="25"/>
      <c r="AR1149" s="25"/>
      <c r="AS1149" s="25"/>
      <c r="AT1149" s="25"/>
      <c r="AU1149" s="36"/>
      <c r="AV1149" s="36"/>
      <c r="AW1149" s="36"/>
      <c r="AX1149" s="25"/>
      <c r="AY1149" s="25"/>
      <c r="AZ1149" s="25"/>
      <c r="BA1149" s="25"/>
      <c r="BB1149" s="25"/>
      <c r="BC1149" s="25"/>
      <c r="BD1149" s="25"/>
      <c r="BE1149" s="25"/>
      <c r="BF1149" s="25"/>
      <c r="BG1149" s="25"/>
      <c r="BH1149" s="25"/>
      <c r="BI1149" s="25"/>
      <c r="BJ1149" s="25"/>
      <c r="BK1149" s="25"/>
      <c r="BL1149" s="25"/>
      <c r="BM1149" s="25"/>
      <c r="BN1149" s="25"/>
      <c r="BO1149" s="25"/>
      <c r="BP1149" s="25"/>
      <c r="BQ1149" s="25"/>
      <c r="BR1149" s="25"/>
      <c r="BS1149" s="25"/>
      <c r="BT1149" s="25"/>
      <c r="BU1149" s="39">
        <v>43943</v>
      </c>
      <c r="BV1149" s="39" t="s">
        <v>1120</v>
      </c>
      <c r="BW1149" s="39" t="s">
        <v>2916</v>
      </c>
      <c r="BX1149" s="39" t="s">
        <v>272</v>
      </c>
      <c r="BY1149" s="71">
        <v>750</v>
      </c>
      <c r="BZ1149" s="71">
        <v>760</v>
      </c>
      <c r="CA1149" s="71">
        <v>970</v>
      </c>
      <c r="CB1149" s="71">
        <v>1280</v>
      </c>
      <c r="CC1149" s="71">
        <v>1480</v>
      </c>
      <c r="CD1149" s="25"/>
      <c r="CE1149" s="200"/>
      <c r="CF1149" s="200"/>
      <c r="CG1149" s="200"/>
      <c r="CH1149" s="200"/>
      <c r="CI1149" s="200"/>
      <c r="CJ1149" s="200"/>
      <c r="CK1149" s="200"/>
      <c r="CL1149" s="200"/>
      <c r="CM1149" s="200"/>
      <c r="CN1149" s="200"/>
      <c r="CO1149" s="200"/>
      <c r="CP1149" s="200"/>
      <c r="CQ1149" s="200"/>
      <c r="CR1149" s="200"/>
      <c r="CS1149" s="200"/>
      <c r="CT1149" s="200"/>
      <c r="CU1149" s="200"/>
    </row>
    <row r="1150" spans="1:99" s="17" customFormat="1" x14ac:dyDescent="0.2">
      <c r="A1150" s="25"/>
      <c r="B1150" s="20">
        <v>39049007956</v>
      </c>
      <c r="C1150" s="20">
        <v>79.56</v>
      </c>
      <c r="D1150" s="20" t="s">
        <v>31</v>
      </c>
      <c r="E1150" s="20" t="s">
        <v>2830</v>
      </c>
      <c r="F1150" s="20" t="s">
        <v>8</v>
      </c>
      <c r="G1150" s="861">
        <v>54.5054525964647</v>
      </c>
      <c r="H1150" s="861">
        <v>65.462491840522006</v>
      </c>
      <c r="I1150" s="861">
        <v>24.340766540291899</v>
      </c>
      <c r="J1150" s="861">
        <v>35.891878379999703</v>
      </c>
      <c r="K1150" s="982">
        <v>0</v>
      </c>
      <c r="L1150" s="735" t="s">
        <v>2466</v>
      </c>
      <c r="M1150" s="735">
        <v>4929</v>
      </c>
      <c r="N1150" s="845" t="str">
        <f t="shared" si="98"/>
        <v/>
      </c>
      <c r="O1150" s="735">
        <v>1.582398770162694</v>
      </c>
      <c r="P1150" s="735">
        <f t="shared" si="99"/>
        <v>3114.8911974275775</v>
      </c>
      <c r="Q1150" s="849">
        <v>36.6</v>
      </c>
      <c r="R1150" s="71">
        <v>101235</v>
      </c>
      <c r="S1150" s="845">
        <v>0.14560720868318658</v>
      </c>
      <c r="T1150" s="845">
        <v>5.2000000000000005E-2</v>
      </c>
      <c r="U1150" s="845">
        <v>0</v>
      </c>
      <c r="V1150" s="845">
        <v>0</v>
      </c>
      <c r="W1150" s="845">
        <v>0.13538111490329921</v>
      </c>
      <c r="X1150" s="845">
        <v>0.19327731092436976</v>
      </c>
      <c r="Y1150" s="845">
        <v>0.82856563197403121</v>
      </c>
      <c r="Z1150" s="845">
        <v>0.10022316899979712</v>
      </c>
      <c r="AA1150" s="845">
        <v>0</v>
      </c>
      <c r="AB1150" s="845">
        <v>5.2749036315682691E-3</v>
      </c>
      <c r="AC1150" s="845">
        <v>0</v>
      </c>
      <c r="AD1150" s="845">
        <v>7.1008318117265169E-3</v>
      </c>
      <c r="AE1150" s="845">
        <v>5.8835463582876849E-2</v>
      </c>
      <c r="AF1150" s="845">
        <v>5.7415297220531548E-2</v>
      </c>
      <c r="AG1150" s="845">
        <v>0.81781294380198821</v>
      </c>
      <c r="AH1150" s="20" t="str">
        <f t="shared" si="100"/>
        <v>No</v>
      </c>
      <c r="AI1150" s="25"/>
      <c r="AJ1150" s="37">
        <v>44661</v>
      </c>
      <c r="AK1150" s="37" t="s">
        <v>1423</v>
      </c>
      <c r="AL1150" s="37">
        <v>39075</v>
      </c>
      <c r="AM1150" s="37" t="s">
        <v>44</v>
      </c>
      <c r="AN1150" s="37" t="str">
        <f t="shared" si="101"/>
        <v>N/A</v>
      </c>
      <c r="AO1150" s="37" t="str">
        <f t="shared" si="102"/>
        <v>N/A</v>
      </c>
      <c r="AP1150" s="20" t="s">
        <v>8</v>
      </c>
      <c r="AQ1150" s="25"/>
      <c r="AR1150" s="25"/>
      <c r="AS1150" s="25"/>
      <c r="AT1150" s="25"/>
      <c r="AU1150" s="36"/>
      <c r="AV1150" s="36"/>
      <c r="AW1150" s="36"/>
      <c r="AX1150" s="25"/>
      <c r="AY1150" s="25"/>
      <c r="AZ1150" s="25"/>
      <c r="BA1150" s="25"/>
      <c r="BB1150" s="25"/>
      <c r="BC1150" s="25"/>
      <c r="BD1150" s="25"/>
      <c r="BE1150" s="25"/>
      <c r="BF1150" s="25"/>
      <c r="BG1150" s="25"/>
      <c r="BH1150" s="25"/>
      <c r="BI1150" s="25"/>
      <c r="BJ1150" s="25"/>
      <c r="BK1150" s="25"/>
      <c r="BL1150" s="25"/>
      <c r="BM1150" s="25"/>
      <c r="BN1150" s="25"/>
      <c r="BO1150" s="25"/>
      <c r="BP1150" s="25"/>
      <c r="BQ1150" s="25"/>
      <c r="BR1150" s="25"/>
      <c r="BS1150" s="25"/>
      <c r="BT1150" s="25"/>
      <c r="BU1150" s="39">
        <v>43944</v>
      </c>
      <c r="BV1150" s="39" t="s">
        <v>1121</v>
      </c>
      <c r="BW1150" s="39" t="s">
        <v>2916</v>
      </c>
      <c r="BX1150" s="39" t="s">
        <v>272</v>
      </c>
      <c r="BY1150" s="71">
        <v>880</v>
      </c>
      <c r="BZ1150" s="71">
        <v>890</v>
      </c>
      <c r="CA1150" s="71">
        <v>1140</v>
      </c>
      <c r="CB1150" s="71">
        <v>1510</v>
      </c>
      <c r="CC1150" s="71">
        <v>1740</v>
      </c>
      <c r="CD1150" s="25"/>
      <c r="CE1150" s="200"/>
      <c r="CF1150" s="200"/>
      <c r="CG1150" s="200"/>
      <c r="CH1150" s="200"/>
      <c r="CI1150" s="200"/>
      <c r="CJ1150" s="200"/>
      <c r="CK1150" s="200"/>
      <c r="CL1150" s="200"/>
      <c r="CM1150" s="200"/>
      <c r="CN1150" s="200"/>
      <c r="CO1150" s="200"/>
      <c r="CP1150" s="200"/>
      <c r="CQ1150" s="200"/>
      <c r="CR1150" s="200"/>
      <c r="CS1150" s="200"/>
      <c r="CT1150" s="200"/>
      <c r="CU1150" s="200"/>
    </row>
    <row r="1151" spans="1:99" s="17" customFormat="1" x14ac:dyDescent="0.2">
      <c r="A1151" s="25"/>
      <c r="B1151" s="20">
        <v>39017012400</v>
      </c>
      <c r="C1151" s="20">
        <v>124</v>
      </c>
      <c r="D1151" s="20" t="s">
        <v>15</v>
      </c>
      <c r="E1151" s="20" t="s">
        <v>2828</v>
      </c>
      <c r="F1151" s="20" t="s">
        <v>8</v>
      </c>
      <c r="G1151" s="861">
        <v>54.501746779515102</v>
      </c>
      <c r="H1151" s="861">
        <v>60.2278818844526</v>
      </c>
      <c r="I1151" s="861">
        <v>22.056705222737701</v>
      </c>
      <c r="J1151" s="861">
        <v>41.9030147654072</v>
      </c>
      <c r="K1151" s="982">
        <v>0</v>
      </c>
      <c r="L1151" s="735">
        <v>2258</v>
      </c>
      <c r="M1151" s="735">
        <v>2739</v>
      </c>
      <c r="N1151" s="845">
        <f t="shared" si="98"/>
        <v>0.21302037201062887</v>
      </c>
      <c r="O1151" s="735">
        <v>1.6018204809442156</v>
      </c>
      <c r="P1151" s="735">
        <f t="shared" si="99"/>
        <v>1709.9294412726313</v>
      </c>
      <c r="Q1151" s="849">
        <v>48.1</v>
      </c>
      <c r="R1151" s="71">
        <v>91875</v>
      </c>
      <c r="S1151" s="845">
        <v>2.2984174830444612E-2</v>
      </c>
      <c r="T1151" s="845">
        <v>3.1E-2</v>
      </c>
      <c r="U1151" s="845">
        <v>0</v>
      </c>
      <c r="V1151" s="845">
        <v>0.35799999999999998</v>
      </c>
      <c r="W1151" s="845">
        <v>5.2208835341365459E-2</v>
      </c>
      <c r="X1151" s="845">
        <v>0.26923076923076922</v>
      </c>
      <c r="Y1151" s="845">
        <v>0.88462942679810153</v>
      </c>
      <c r="Z1151" s="845">
        <v>6.0240963855421686E-2</v>
      </c>
      <c r="AA1151" s="845">
        <v>0</v>
      </c>
      <c r="AB1151" s="845">
        <v>7.6670317634173054E-3</v>
      </c>
      <c r="AC1151" s="845">
        <v>0</v>
      </c>
      <c r="AD1151" s="845">
        <v>0</v>
      </c>
      <c r="AE1151" s="845">
        <v>4.7462577583059509E-2</v>
      </c>
      <c r="AF1151" s="845">
        <v>1.0952902519167579E-2</v>
      </c>
      <c r="AG1151" s="845">
        <v>0.88462942679810153</v>
      </c>
      <c r="AH1151" s="20" t="str">
        <f t="shared" si="100"/>
        <v>No</v>
      </c>
      <c r="AI1151" s="25"/>
      <c r="AJ1151" s="20">
        <v>44676</v>
      </c>
      <c r="AK1151" s="20" t="s">
        <v>1434</v>
      </c>
      <c r="AL1151" s="20">
        <v>39075</v>
      </c>
      <c r="AM1151" s="20" t="s">
        <v>44</v>
      </c>
      <c r="AN1151" s="37" t="str">
        <f t="shared" si="101"/>
        <v>N/A</v>
      </c>
      <c r="AO1151" s="37" t="str">
        <f t="shared" si="102"/>
        <v>N/A</v>
      </c>
      <c r="AP1151" s="20" t="s">
        <v>8</v>
      </c>
      <c r="AQ1151" s="25"/>
      <c r="AR1151" s="25"/>
      <c r="AS1151" s="25"/>
      <c r="AT1151" s="25"/>
      <c r="AU1151" s="36"/>
      <c r="AV1151" s="36"/>
      <c r="AW1151" s="36"/>
      <c r="AX1151" s="25"/>
      <c r="AY1151" s="25"/>
      <c r="AZ1151" s="25"/>
      <c r="BA1151" s="25"/>
      <c r="BB1151" s="25"/>
      <c r="BC1151" s="25"/>
      <c r="BD1151" s="25"/>
      <c r="BE1151" s="25"/>
      <c r="BF1151" s="25"/>
      <c r="BG1151" s="25"/>
      <c r="BH1151" s="25"/>
      <c r="BI1151" s="25"/>
      <c r="BJ1151" s="25"/>
      <c r="BK1151" s="25"/>
      <c r="BL1151" s="25"/>
      <c r="BM1151" s="25"/>
      <c r="BN1151" s="25"/>
      <c r="BO1151" s="25"/>
      <c r="BP1151" s="25"/>
      <c r="BQ1151" s="25"/>
      <c r="BR1151" s="25"/>
      <c r="BS1151" s="25"/>
      <c r="BT1151" s="25"/>
      <c r="BU1151" s="39">
        <v>43948</v>
      </c>
      <c r="BV1151" s="39" t="s">
        <v>1125</v>
      </c>
      <c r="BW1151" s="39" t="s">
        <v>2916</v>
      </c>
      <c r="BX1151" s="39" t="s">
        <v>272</v>
      </c>
      <c r="BY1151" s="71">
        <v>940</v>
      </c>
      <c r="BZ1151" s="71">
        <v>940</v>
      </c>
      <c r="CA1151" s="71">
        <v>1210</v>
      </c>
      <c r="CB1151" s="71">
        <v>1600</v>
      </c>
      <c r="CC1151" s="71">
        <v>1840</v>
      </c>
      <c r="CD1151" s="25"/>
      <c r="CE1151" s="200"/>
      <c r="CF1151" s="200"/>
      <c r="CG1151" s="200"/>
      <c r="CH1151" s="200"/>
      <c r="CI1151" s="200"/>
      <c r="CJ1151" s="200"/>
      <c r="CK1151" s="200"/>
      <c r="CL1151" s="200"/>
      <c r="CM1151" s="200"/>
      <c r="CN1151" s="200"/>
      <c r="CO1151" s="200"/>
      <c r="CP1151" s="200"/>
      <c r="CQ1151" s="200"/>
      <c r="CR1151" s="200"/>
      <c r="CS1151" s="200"/>
      <c r="CT1151" s="200"/>
      <c r="CU1151" s="200"/>
    </row>
    <row r="1152" spans="1:99" s="17" customFormat="1" x14ac:dyDescent="0.2">
      <c r="A1152" s="25"/>
      <c r="B1152" s="20">
        <v>39049010203</v>
      </c>
      <c r="C1152" s="20">
        <v>102.03</v>
      </c>
      <c r="D1152" s="20" t="s">
        <v>31</v>
      </c>
      <c r="E1152" s="20" t="s">
        <v>2830</v>
      </c>
      <c r="F1152" s="20" t="s">
        <v>8</v>
      </c>
      <c r="G1152" s="861">
        <v>54.476980803103999</v>
      </c>
      <c r="H1152" s="861">
        <v>70.957061729029604</v>
      </c>
      <c r="I1152" s="861">
        <v>50.194397231846402</v>
      </c>
      <c r="J1152" s="861">
        <v>46.546149023338003</v>
      </c>
      <c r="K1152" s="982">
        <v>0</v>
      </c>
      <c r="L1152" s="735" t="s">
        <v>2466</v>
      </c>
      <c r="M1152" s="735">
        <v>3961</v>
      </c>
      <c r="N1152" s="845" t="str">
        <f t="shared" si="98"/>
        <v/>
      </c>
      <c r="O1152" s="735">
        <v>0.92310732654290062</v>
      </c>
      <c r="P1152" s="735">
        <f t="shared" si="99"/>
        <v>4290.9420021983933</v>
      </c>
      <c r="Q1152" s="849">
        <v>31</v>
      </c>
      <c r="R1152" s="71">
        <v>61209</v>
      </c>
      <c r="S1152" s="845">
        <v>0.17346411977284459</v>
      </c>
      <c r="T1152" s="845">
        <v>3.5000000000000003E-2</v>
      </c>
      <c r="U1152" s="845">
        <v>0</v>
      </c>
      <c r="V1152" s="845">
        <v>0</v>
      </c>
      <c r="W1152" s="845">
        <v>0.77623762376237626</v>
      </c>
      <c r="X1152" s="845">
        <v>0.43813775510204084</v>
      </c>
      <c r="Y1152" s="845">
        <v>0.40191870739712193</v>
      </c>
      <c r="Z1152" s="845">
        <v>0.44786670032819997</v>
      </c>
      <c r="AA1152" s="845">
        <v>0</v>
      </c>
      <c r="AB1152" s="845">
        <v>6.8417066397374396E-2</v>
      </c>
      <c r="AC1152" s="845">
        <v>0</v>
      </c>
      <c r="AD1152" s="845">
        <v>0</v>
      </c>
      <c r="AE1152" s="845">
        <v>8.1797525877303712E-2</v>
      </c>
      <c r="AF1152" s="845">
        <v>7.8263064882605395E-3</v>
      </c>
      <c r="AG1152" s="845">
        <v>0.39914163090128757</v>
      </c>
      <c r="AH1152" s="20" t="str">
        <f t="shared" si="100"/>
        <v>No</v>
      </c>
      <c r="AI1152" s="25"/>
      <c r="AJ1152" s="20">
        <v>44681</v>
      </c>
      <c r="AK1152" s="20" t="s">
        <v>1438</v>
      </c>
      <c r="AL1152" s="20">
        <v>39075</v>
      </c>
      <c r="AM1152" s="20" t="s">
        <v>44</v>
      </c>
      <c r="AN1152" s="37" t="str">
        <f t="shared" si="101"/>
        <v>N/A</v>
      </c>
      <c r="AO1152" s="37" t="str">
        <f t="shared" si="102"/>
        <v>N/A</v>
      </c>
      <c r="AP1152" s="20" t="s">
        <v>8</v>
      </c>
      <c r="AQ1152" s="25"/>
      <c r="AR1152" s="25"/>
      <c r="AS1152" s="25"/>
      <c r="AT1152" s="25"/>
      <c r="AU1152" s="36"/>
      <c r="AV1152" s="36"/>
      <c r="AW1152" s="36"/>
      <c r="AX1152" s="25"/>
      <c r="AY1152" s="25"/>
      <c r="AZ1152" s="25"/>
      <c r="BA1152" s="25"/>
      <c r="BB1152" s="25"/>
      <c r="BC1152" s="25"/>
      <c r="BD1152" s="25"/>
      <c r="BE1152" s="25"/>
      <c r="BF1152" s="25"/>
      <c r="BG1152" s="25"/>
      <c r="BH1152" s="25"/>
      <c r="BI1152" s="25"/>
      <c r="BJ1152" s="25"/>
      <c r="BK1152" s="25"/>
      <c r="BL1152" s="25"/>
      <c r="BM1152" s="25"/>
      <c r="BN1152" s="25"/>
      <c r="BO1152" s="25"/>
      <c r="BP1152" s="25"/>
      <c r="BQ1152" s="25"/>
      <c r="BR1152" s="25"/>
      <c r="BS1152" s="25"/>
      <c r="BT1152" s="25"/>
      <c r="BU1152" s="39">
        <v>43952</v>
      </c>
      <c r="BV1152" s="39" t="s">
        <v>1128</v>
      </c>
      <c r="BW1152" s="39" t="s">
        <v>2916</v>
      </c>
      <c r="BX1152" s="39" t="s">
        <v>272</v>
      </c>
      <c r="BY1152" s="71">
        <v>770</v>
      </c>
      <c r="BZ1152" s="71">
        <v>780</v>
      </c>
      <c r="CA1152" s="71">
        <v>1000</v>
      </c>
      <c r="CB1152" s="71">
        <v>1320</v>
      </c>
      <c r="CC1152" s="71">
        <v>1520</v>
      </c>
      <c r="CD1152" s="25"/>
      <c r="CE1152" s="200"/>
      <c r="CF1152" s="200"/>
      <c r="CG1152" s="200"/>
      <c r="CH1152" s="200"/>
      <c r="CI1152" s="200"/>
      <c r="CJ1152" s="200"/>
      <c r="CK1152" s="200"/>
      <c r="CL1152" s="200"/>
      <c r="CM1152" s="200"/>
      <c r="CN1152" s="200"/>
      <c r="CO1152" s="200"/>
      <c r="CP1152" s="200"/>
      <c r="CQ1152" s="200"/>
      <c r="CR1152" s="200"/>
      <c r="CS1152" s="200"/>
      <c r="CT1152" s="200"/>
      <c r="CU1152" s="200"/>
    </row>
    <row r="1153" spans="1:99" s="17" customFormat="1" x14ac:dyDescent="0.2">
      <c r="A1153" s="25"/>
      <c r="B1153" s="20">
        <v>39143962000</v>
      </c>
      <c r="C1153" s="20">
        <v>9620</v>
      </c>
      <c r="D1153" s="20" t="s">
        <v>77</v>
      </c>
      <c r="E1153" s="20" t="s">
        <v>265</v>
      </c>
      <c r="F1153" s="20" t="s">
        <v>8</v>
      </c>
      <c r="G1153" s="861">
        <v>54.473769505765603</v>
      </c>
      <c r="H1153" s="861">
        <v>61.620462944343203</v>
      </c>
      <c r="I1153" s="861">
        <v>32.194660709214098</v>
      </c>
      <c r="J1153" s="861">
        <v>35.727736491784697</v>
      </c>
      <c r="K1153" s="982">
        <v>0</v>
      </c>
      <c r="L1153" s="735">
        <v>6135</v>
      </c>
      <c r="M1153" s="735">
        <v>6184</v>
      </c>
      <c r="N1153" s="845">
        <f t="shared" si="98"/>
        <v>7.9869600651996733E-3</v>
      </c>
      <c r="O1153" s="735">
        <v>6.6731414454254008</v>
      </c>
      <c r="P1153" s="735">
        <f t="shared" si="99"/>
        <v>926.69997340447219</v>
      </c>
      <c r="Q1153" s="849">
        <v>49.9</v>
      </c>
      <c r="R1153" s="71">
        <v>49799</v>
      </c>
      <c r="S1153" s="845">
        <v>0.10915666611869143</v>
      </c>
      <c r="T1153" s="845">
        <v>5.5E-2</v>
      </c>
      <c r="U1153" s="845">
        <v>3.3000000000000002E-2</v>
      </c>
      <c r="V1153" s="845">
        <v>0</v>
      </c>
      <c r="W1153" s="845">
        <v>0.32826972952945538</v>
      </c>
      <c r="X1153" s="845">
        <v>0.2234762979683973</v>
      </c>
      <c r="Y1153" s="845">
        <v>0.95585381630012933</v>
      </c>
      <c r="Z1153" s="845">
        <v>1.29366106080207E-3</v>
      </c>
      <c r="AA1153" s="845">
        <v>4.5278137128072441E-3</v>
      </c>
      <c r="AB1153" s="845">
        <v>0</v>
      </c>
      <c r="AC1153" s="845">
        <v>0</v>
      </c>
      <c r="AD1153" s="845">
        <v>1.6170763260025875E-4</v>
      </c>
      <c r="AE1153" s="845">
        <v>3.8163001293661063E-2</v>
      </c>
      <c r="AF1153" s="845">
        <v>3.7192755498059511E-2</v>
      </c>
      <c r="AG1153" s="845">
        <v>0.94453428201811129</v>
      </c>
      <c r="AH1153" s="20" t="str">
        <f t="shared" si="100"/>
        <v>Yes</v>
      </c>
      <c r="AI1153" s="25"/>
      <c r="AJ1153" s="20">
        <v>44687</v>
      </c>
      <c r="AK1153" s="20" t="s">
        <v>1442</v>
      </c>
      <c r="AL1153" s="20">
        <v>39075</v>
      </c>
      <c r="AM1153" s="20" t="s">
        <v>44</v>
      </c>
      <c r="AN1153" s="37" t="str">
        <f t="shared" si="101"/>
        <v>N/A</v>
      </c>
      <c r="AO1153" s="37" t="str">
        <f t="shared" si="102"/>
        <v>N/A</v>
      </c>
      <c r="AP1153" s="20" t="s">
        <v>8</v>
      </c>
      <c r="AQ1153" s="25"/>
      <c r="AR1153" s="25"/>
      <c r="AS1153" s="25"/>
      <c r="AT1153" s="25"/>
      <c r="AU1153" s="36"/>
      <c r="AV1153" s="36"/>
      <c r="AW1153" s="36"/>
      <c r="AX1153" s="25"/>
      <c r="AY1153" s="25"/>
      <c r="AZ1153" s="25"/>
      <c r="BA1153" s="25"/>
      <c r="BB1153" s="25"/>
      <c r="BC1153" s="25"/>
      <c r="BD1153" s="25"/>
      <c r="BE1153" s="25"/>
      <c r="BF1153" s="25"/>
      <c r="BG1153" s="25"/>
      <c r="BH1153" s="25"/>
      <c r="BI1153" s="25"/>
      <c r="BJ1153" s="25"/>
      <c r="BK1153" s="25"/>
      <c r="BL1153" s="25"/>
      <c r="BM1153" s="25"/>
      <c r="BN1153" s="25"/>
      <c r="BO1153" s="25"/>
      <c r="BP1153" s="25"/>
      <c r="BQ1153" s="25"/>
      <c r="BR1153" s="25"/>
      <c r="BS1153" s="25"/>
      <c r="BT1153" s="25"/>
      <c r="BU1153" s="39">
        <v>43953</v>
      </c>
      <c r="BV1153" s="39" t="s">
        <v>1129</v>
      </c>
      <c r="BW1153" s="39" t="s">
        <v>2916</v>
      </c>
      <c r="BX1153" s="39" t="s">
        <v>272</v>
      </c>
      <c r="BY1153" s="71">
        <v>840</v>
      </c>
      <c r="BZ1153" s="71">
        <v>850</v>
      </c>
      <c r="CA1153" s="71">
        <v>1090</v>
      </c>
      <c r="CB1153" s="71">
        <v>1440</v>
      </c>
      <c r="CC1153" s="71">
        <v>1660</v>
      </c>
      <c r="CD1153" s="25"/>
      <c r="CE1153" s="200"/>
      <c r="CF1153" s="200"/>
      <c r="CG1153" s="200"/>
      <c r="CH1153" s="200"/>
      <c r="CI1153" s="200"/>
      <c r="CJ1153" s="200"/>
      <c r="CK1153" s="200"/>
      <c r="CL1153" s="200"/>
      <c r="CM1153" s="200"/>
      <c r="CN1153" s="200"/>
      <c r="CO1153" s="200"/>
      <c r="CP1153" s="200"/>
      <c r="CQ1153" s="200"/>
      <c r="CR1153" s="200"/>
      <c r="CS1153" s="200"/>
      <c r="CT1153" s="200"/>
      <c r="CU1153" s="200"/>
    </row>
    <row r="1154" spans="1:99" s="17" customFormat="1" x14ac:dyDescent="0.2">
      <c r="A1154" s="25"/>
      <c r="B1154" s="20">
        <v>39061010005</v>
      </c>
      <c r="C1154" s="20">
        <v>100.05</v>
      </c>
      <c r="D1154" s="20" t="s">
        <v>37</v>
      </c>
      <c r="E1154" s="20" t="s">
        <v>2828</v>
      </c>
      <c r="F1154" s="20" t="s">
        <v>6</v>
      </c>
      <c r="G1154" s="861">
        <v>54.441731894419298</v>
      </c>
      <c r="H1154" s="861">
        <v>62.824583538312901</v>
      </c>
      <c r="I1154" s="861">
        <v>44.949136936040503</v>
      </c>
      <c r="J1154" s="861">
        <v>46.368145862172902</v>
      </c>
      <c r="K1154" s="982">
        <v>0</v>
      </c>
      <c r="L1154" s="735">
        <v>1772</v>
      </c>
      <c r="M1154" s="735">
        <v>1350</v>
      </c>
      <c r="N1154" s="845">
        <f t="shared" si="98"/>
        <v>-0.23814898419864561</v>
      </c>
      <c r="O1154" s="735">
        <v>0.31537635128371305</v>
      </c>
      <c r="P1154" s="735">
        <f t="shared" si="99"/>
        <v>4280.5999704953711</v>
      </c>
      <c r="Q1154" s="849">
        <v>32.299999999999997</v>
      </c>
      <c r="R1154" s="71">
        <v>49375</v>
      </c>
      <c r="S1154" s="845">
        <v>0.11185185185185186</v>
      </c>
      <c r="T1154" s="845">
        <v>1.1000000000000001E-2</v>
      </c>
      <c r="U1154" s="845">
        <v>0</v>
      </c>
      <c r="V1154" s="845">
        <v>0.14499999999999999</v>
      </c>
      <c r="W1154" s="845">
        <v>0.35859519408502771</v>
      </c>
      <c r="X1154" s="845">
        <v>0.64432989690721654</v>
      </c>
      <c r="Y1154" s="845">
        <v>0.49851851851851853</v>
      </c>
      <c r="Z1154" s="845">
        <v>0.43703703703703706</v>
      </c>
      <c r="AA1154" s="845">
        <v>0</v>
      </c>
      <c r="AB1154" s="845">
        <v>5.185185185185185E-3</v>
      </c>
      <c r="AC1154" s="845">
        <v>0</v>
      </c>
      <c r="AD1154" s="845">
        <v>0.02</v>
      </c>
      <c r="AE1154" s="845">
        <v>3.9259259259259258E-2</v>
      </c>
      <c r="AF1154" s="845">
        <v>0</v>
      </c>
      <c r="AG1154" s="845">
        <v>0.49851851851851853</v>
      </c>
      <c r="AH1154" s="20" t="str">
        <f t="shared" si="100"/>
        <v>No</v>
      </c>
      <c r="AI1154" s="25"/>
      <c r="AJ1154" s="20">
        <v>44689</v>
      </c>
      <c r="AK1154" s="20" t="s">
        <v>1444</v>
      </c>
      <c r="AL1154" s="20">
        <v>39075</v>
      </c>
      <c r="AM1154" s="20" t="s">
        <v>44</v>
      </c>
      <c r="AN1154" s="37" t="str">
        <f t="shared" si="101"/>
        <v>N/A</v>
      </c>
      <c r="AO1154" s="37" t="str">
        <f t="shared" si="102"/>
        <v>N/A</v>
      </c>
      <c r="AP1154" s="20" t="s">
        <v>8</v>
      </c>
      <c r="AQ1154" s="25"/>
      <c r="AR1154" s="25"/>
      <c r="AS1154" s="25"/>
      <c r="AT1154" s="25"/>
      <c r="AU1154" s="36"/>
      <c r="AV1154" s="36"/>
      <c r="AW1154" s="36"/>
      <c r="AX1154" s="25"/>
      <c r="AY1154" s="25"/>
      <c r="AZ1154" s="25"/>
      <c r="BA1154" s="25"/>
      <c r="BB1154" s="25"/>
      <c r="BC1154" s="25"/>
      <c r="BD1154" s="25"/>
      <c r="BE1154" s="25"/>
      <c r="BF1154" s="25"/>
      <c r="BG1154" s="25"/>
      <c r="BH1154" s="25"/>
      <c r="BI1154" s="25"/>
      <c r="BJ1154" s="25"/>
      <c r="BK1154" s="25"/>
      <c r="BL1154" s="25"/>
      <c r="BM1154" s="25"/>
      <c r="BN1154" s="25"/>
      <c r="BO1154" s="25"/>
      <c r="BP1154" s="25"/>
      <c r="BQ1154" s="25"/>
      <c r="BR1154" s="25"/>
      <c r="BS1154" s="25"/>
      <c r="BT1154" s="25"/>
      <c r="BU1154" s="39">
        <v>43961</v>
      </c>
      <c r="BV1154" s="39" t="s">
        <v>1130</v>
      </c>
      <c r="BW1154" s="39" t="s">
        <v>2916</v>
      </c>
      <c r="BX1154" s="39" t="s">
        <v>272</v>
      </c>
      <c r="BY1154" s="71">
        <v>750</v>
      </c>
      <c r="BZ1154" s="71">
        <v>760</v>
      </c>
      <c r="CA1154" s="71">
        <v>970</v>
      </c>
      <c r="CB1154" s="71">
        <v>1290</v>
      </c>
      <c r="CC1154" s="71">
        <v>1480</v>
      </c>
      <c r="CD1154" s="25"/>
      <c r="CE1154" s="200"/>
      <c r="CF1154" s="200"/>
      <c r="CG1154" s="200"/>
      <c r="CH1154" s="200"/>
      <c r="CI1154" s="200"/>
      <c r="CJ1154" s="200"/>
      <c r="CK1154" s="200"/>
      <c r="CL1154" s="200"/>
      <c r="CM1154" s="200"/>
      <c r="CN1154" s="200"/>
      <c r="CO1154" s="200"/>
      <c r="CP1154" s="200"/>
      <c r="CQ1154" s="200"/>
      <c r="CR1154" s="200"/>
      <c r="CS1154" s="200"/>
      <c r="CT1154" s="200"/>
      <c r="CU1154" s="200"/>
    </row>
    <row r="1155" spans="1:99" s="17" customFormat="1" x14ac:dyDescent="0.2">
      <c r="A1155" s="25"/>
      <c r="B1155" s="20">
        <v>39085202400</v>
      </c>
      <c r="C1155" s="20">
        <v>2024</v>
      </c>
      <c r="D1155" s="20" t="s">
        <v>48</v>
      </c>
      <c r="E1155" s="20" t="s">
        <v>2829</v>
      </c>
      <c r="F1155" s="20" t="s">
        <v>8</v>
      </c>
      <c r="G1155" s="861">
        <v>54.420019961095598</v>
      </c>
      <c r="H1155" s="861">
        <v>66.453693483117206</v>
      </c>
      <c r="I1155" s="861">
        <v>29.152326960555399</v>
      </c>
      <c r="J1155" s="861">
        <v>41.803955687747198</v>
      </c>
      <c r="K1155" s="982">
        <v>0</v>
      </c>
      <c r="L1155" s="735">
        <v>3075</v>
      </c>
      <c r="M1155" s="735">
        <v>2856</v>
      </c>
      <c r="N1155" s="845">
        <f t="shared" si="98"/>
        <v>-7.1219512195121945E-2</v>
      </c>
      <c r="O1155" s="735">
        <v>0.72421761040439681</v>
      </c>
      <c r="P1155" s="735">
        <f t="shared" si="99"/>
        <v>3943.5660759550356</v>
      </c>
      <c r="Q1155" s="849">
        <v>51.5</v>
      </c>
      <c r="R1155" s="71">
        <v>71090</v>
      </c>
      <c r="S1155" s="845">
        <v>7.1805702217529035E-2</v>
      </c>
      <c r="T1155" s="845">
        <v>1.4999999999999999E-2</v>
      </c>
      <c r="U1155" s="845">
        <v>8.0000000000000002E-3</v>
      </c>
      <c r="V1155" s="845">
        <v>0</v>
      </c>
      <c r="W1155" s="845">
        <v>0.12527798369162343</v>
      </c>
      <c r="X1155" s="845">
        <v>0.34319526627218933</v>
      </c>
      <c r="Y1155" s="845">
        <v>0.94432773109243695</v>
      </c>
      <c r="Z1155" s="845">
        <v>4.5518207282913168E-3</v>
      </c>
      <c r="AA1155" s="845">
        <v>0</v>
      </c>
      <c r="AB1155" s="845">
        <v>3.5014005602240897E-4</v>
      </c>
      <c r="AC1155" s="845">
        <v>0</v>
      </c>
      <c r="AD1155" s="845">
        <v>0</v>
      </c>
      <c r="AE1155" s="845">
        <v>5.07703081232493E-2</v>
      </c>
      <c r="AF1155" s="845">
        <v>3.1862745098039214E-2</v>
      </c>
      <c r="AG1155" s="845">
        <v>0.93417366946778713</v>
      </c>
      <c r="AH1155" s="20" t="str">
        <f t="shared" si="100"/>
        <v>Yes</v>
      </c>
      <c r="AI1155" s="25"/>
      <c r="AJ1155" s="20">
        <v>44690</v>
      </c>
      <c r="AK1155" s="20" t="s">
        <v>1445</v>
      </c>
      <c r="AL1155" s="20">
        <v>39075</v>
      </c>
      <c r="AM1155" s="20" t="s">
        <v>44</v>
      </c>
      <c r="AN1155" s="37" t="str">
        <f t="shared" si="101"/>
        <v>N/A</v>
      </c>
      <c r="AO1155" s="37" t="str">
        <f t="shared" si="102"/>
        <v>N/A</v>
      </c>
      <c r="AP1155" s="20" t="s">
        <v>8</v>
      </c>
      <c r="AQ1155" s="25"/>
      <c r="AR1155" s="25"/>
      <c r="AS1155" s="25"/>
      <c r="AT1155" s="25"/>
      <c r="AU1155" s="36"/>
      <c r="AV1155" s="36"/>
      <c r="AW1155" s="36"/>
      <c r="AX1155" s="25"/>
      <c r="AY1155" s="25"/>
      <c r="AZ1155" s="25"/>
      <c r="BA1155" s="25"/>
      <c r="BB1155" s="25"/>
      <c r="BC1155" s="25"/>
      <c r="BD1155" s="25"/>
      <c r="BE1155" s="25"/>
      <c r="BF1155" s="25"/>
      <c r="BG1155" s="25"/>
      <c r="BH1155" s="25"/>
      <c r="BI1155" s="25"/>
      <c r="BJ1155" s="25"/>
      <c r="BK1155" s="25"/>
      <c r="BL1155" s="25"/>
      <c r="BM1155" s="25"/>
      <c r="BN1155" s="25"/>
      <c r="BO1155" s="25"/>
      <c r="BP1155" s="25"/>
      <c r="BQ1155" s="25"/>
      <c r="BR1155" s="25"/>
      <c r="BS1155" s="25"/>
      <c r="BT1155" s="25"/>
      <c r="BU1155" s="39">
        <v>43963</v>
      </c>
      <c r="BV1155" s="39" t="s">
        <v>1132</v>
      </c>
      <c r="BW1155" s="39" t="s">
        <v>2916</v>
      </c>
      <c r="BX1155" s="39" t="s">
        <v>272</v>
      </c>
      <c r="BY1155" s="71">
        <v>770</v>
      </c>
      <c r="BZ1155" s="71">
        <v>780</v>
      </c>
      <c r="CA1155" s="71">
        <v>1000</v>
      </c>
      <c r="CB1155" s="71">
        <v>1320</v>
      </c>
      <c r="CC1155" s="71">
        <v>1520</v>
      </c>
      <c r="CD1155" s="25"/>
      <c r="CE1155" s="200"/>
      <c r="CF1155" s="200"/>
      <c r="CG1155" s="200"/>
      <c r="CH1155" s="200"/>
      <c r="CI1155" s="200"/>
      <c r="CJ1155" s="200"/>
      <c r="CK1155" s="200"/>
      <c r="CL1155" s="200"/>
      <c r="CM1155" s="200"/>
      <c r="CN1155" s="200"/>
      <c r="CO1155" s="200"/>
      <c r="CP1155" s="200"/>
      <c r="CQ1155" s="200"/>
      <c r="CR1155" s="200"/>
      <c r="CS1155" s="200"/>
      <c r="CT1155" s="200"/>
      <c r="CU1155" s="200"/>
    </row>
    <row r="1156" spans="1:99" s="17" customFormat="1" x14ac:dyDescent="0.2">
      <c r="A1156" s="25"/>
      <c r="B1156" s="20">
        <v>39005970500</v>
      </c>
      <c r="C1156" s="20">
        <v>9705</v>
      </c>
      <c r="D1156" s="20" t="s">
        <v>9</v>
      </c>
      <c r="E1156" s="20" t="s">
        <v>265</v>
      </c>
      <c r="F1156" s="20" t="s">
        <v>8</v>
      </c>
      <c r="G1156" s="861">
        <v>54.412682792923597</v>
      </c>
      <c r="H1156" s="861">
        <v>58.834106231867899</v>
      </c>
      <c r="I1156" s="861">
        <v>48.415164187234701</v>
      </c>
      <c r="J1156" s="861">
        <v>42.275285675308901</v>
      </c>
      <c r="K1156" s="982">
        <v>0</v>
      </c>
      <c r="L1156" s="735">
        <v>2759</v>
      </c>
      <c r="M1156" s="735">
        <v>3049</v>
      </c>
      <c r="N1156" s="845">
        <f t="shared" si="98"/>
        <v>0.10511054729974628</v>
      </c>
      <c r="O1156" s="735">
        <v>0.57046671152478767</v>
      </c>
      <c r="P1156" s="735">
        <f t="shared" si="99"/>
        <v>5344.7465704885681</v>
      </c>
      <c r="Q1156" s="849">
        <v>33.700000000000003</v>
      </c>
      <c r="R1156" s="71">
        <v>44239</v>
      </c>
      <c r="S1156" s="845">
        <v>0.15756738078783691</v>
      </c>
      <c r="T1156" s="845">
        <v>3.3000000000000002E-2</v>
      </c>
      <c r="U1156" s="845">
        <v>0</v>
      </c>
      <c r="V1156" s="845">
        <v>0.214</v>
      </c>
      <c r="W1156" s="845">
        <v>0.62636505460218406</v>
      </c>
      <c r="X1156" s="845">
        <v>0.35491905354919051</v>
      </c>
      <c r="Y1156" s="845">
        <v>0.87176123319121024</v>
      </c>
      <c r="Z1156" s="845">
        <v>2.0662512299114463E-2</v>
      </c>
      <c r="AA1156" s="845">
        <v>1.8694653984913087E-2</v>
      </c>
      <c r="AB1156" s="845">
        <v>1.0495244342407346E-2</v>
      </c>
      <c r="AC1156" s="845">
        <v>0</v>
      </c>
      <c r="AD1156" s="845">
        <v>3.6077402427025255E-3</v>
      </c>
      <c r="AE1156" s="845">
        <v>7.4778615939652349E-2</v>
      </c>
      <c r="AF1156" s="845">
        <v>5.1164316169235814E-2</v>
      </c>
      <c r="AG1156" s="845">
        <v>0.85831420137750081</v>
      </c>
      <c r="AH1156" s="20" t="str">
        <f t="shared" si="100"/>
        <v>No</v>
      </c>
      <c r="AI1156" s="25"/>
      <c r="AJ1156" s="20">
        <v>44842</v>
      </c>
      <c r="AK1156" s="20" t="s">
        <v>1491</v>
      </c>
      <c r="AL1156" s="20">
        <v>39075</v>
      </c>
      <c r="AM1156" s="20" t="s">
        <v>44</v>
      </c>
      <c r="AN1156" s="37" t="str">
        <f t="shared" si="101"/>
        <v>N/A</v>
      </c>
      <c r="AO1156" s="37" t="str">
        <f t="shared" si="102"/>
        <v>N/A</v>
      </c>
      <c r="AP1156" s="20" t="s">
        <v>8</v>
      </c>
      <c r="AQ1156" s="25"/>
      <c r="AR1156" s="25"/>
      <c r="AS1156" s="25"/>
      <c r="AT1156" s="25"/>
      <c r="AU1156" s="36"/>
      <c r="AV1156" s="36"/>
      <c r="AW1156" s="36"/>
      <c r="AX1156" s="25"/>
      <c r="AY1156" s="25"/>
      <c r="AZ1156" s="25"/>
      <c r="BA1156" s="25"/>
      <c r="BB1156" s="25"/>
      <c r="BC1156" s="25"/>
      <c r="BD1156" s="25"/>
      <c r="BE1156" s="25"/>
      <c r="BF1156" s="25"/>
      <c r="BG1156" s="25"/>
      <c r="BH1156" s="25"/>
      <c r="BI1156" s="25"/>
      <c r="BJ1156" s="25"/>
      <c r="BK1156" s="25"/>
      <c r="BL1156" s="25"/>
      <c r="BM1156" s="25"/>
      <c r="BN1156" s="25"/>
      <c r="BO1156" s="25"/>
      <c r="BP1156" s="25"/>
      <c r="BQ1156" s="25"/>
      <c r="BR1156" s="25"/>
      <c r="BS1156" s="25"/>
      <c r="BT1156" s="25"/>
      <c r="BU1156" s="39">
        <v>43964</v>
      </c>
      <c r="BV1156" s="39" t="s">
        <v>1133</v>
      </c>
      <c r="BW1156" s="39" t="s">
        <v>2916</v>
      </c>
      <c r="BX1156" s="39" t="s">
        <v>272</v>
      </c>
      <c r="BY1156" s="71">
        <v>750</v>
      </c>
      <c r="BZ1156" s="71">
        <v>760</v>
      </c>
      <c r="CA1156" s="71">
        <v>970</v>
      </c>
      <c r="CB1156" s="71">
        <v>1290</v>
      </c>
      <c r="CC1156" s="71">
        <v>1480</v>
      </c>
      <c r="CD1156" s="25"/>
      <c r="CE1156" s="200"/>
      <c r="CF1156" s="200"/>
      <c r="CG1156" s="200"/>
      <c r="CH1156" s="200"/>
      <c r="CI1156" s="200"/>
      <c r="CJ1156" s="200"/>
      <c r="CK1156" s="200"/>
      <c r="CL1156" s="200"/>
      <c r="CM1156" s="200"/>
      <c r="CN1156" s="200"/>
      <c r="CO1156" s="200"/>
      <c r="CP1156" s="200"/>
      <c r="CQ1156" s="200"/>
      <c r="CR1156" s="200"/>
      <c r="CS1156" s="200"/>
      <c r="CT1156" s="200"/>
      <c r="CU1156" s="200"/>
    </row>
    <row r="1157" spans="1:99" s="17" customFormat="1" x14ac:dyDescent="0.2">
      <c r="A1157" s="25"/>
      <c r="B1157" s="20">
        <v>39061025600</v>
      </c>
      <c r="C1157" s="20">
        <v>256</v>
      </c>
      <c r="D1157" s="20" t="s">
        <v>37</v>
      </c>
      <c r="E1157" s="20" t="s">
        <v>2828</v>
      </c>
      <c r="F1157" s="20" t="s">
        <v>6</v>
      </c>
      <c r="G1157" s="861">
        <v>54.377405855323602</v>
      </c>
      <c r="H1157" s="861">
        <v>70.689285200640498</v>
      </c>
      <c r="I1157" s="861">
        <v>54.745960310539502</v>
      </c>
      <c r="J1157" s="861">
        <v>57.195417382426299</v>
      </c>
      <c r="K1157" s="982">
        <v>0</v>
      </c>
      <c r="L1157" s="735">
        <v>3284</v>
      </c>
      <c r="M1157" s="735">
        <v>3565</v>
      </c>
      <c r="N1157" s="845">
        <f t="shared" si="98"/>
        <v>8.5566382460414134E-2</v>
      </c>
      <c r="O1157" s="735">
        <v>0.48330221871172996</v>
      </c>
      <c r="P1157" s="735">
        <f t="shared" si="99"/>
        <v>7376.3369212388761</v>
      </c>
      <c r="Q1157" s="849">
        <v>26.3</v>
      </c>
      <c r="R1157" s="71">
        <v>72404</v>
      </c>
      <c r="S1157" s="845">
        <v>0.2819358469330332</v>
      </c>
      <c r="T1157" s="845">
        <v>1.3000000000000001E-2</v>
      </c>
      <c r="U1157" s="845">
        <v>0</v>
      </c>
      <c r="V1157" s="845">
        <v>1.6E-2</v>
      </c>
      <c r="W1157" s="845">
        <v>0.55920114122681885</v>
      </c>
      <c r="X1157" s="845">
        <v>0.60969387755102045</v>
      </c>
      <c r="Y1157" s="845">
        <v>0.83506311360448804</v>
      </c>
      <c r="Z1157" s="845">
        <v>0.11781206171107994</v>
      </c>
      <c r="AA1157" s="845">
        <v>0</v>
      </c>
      <c r="AB1157" s="845">
        <v>6.4516129032258064E-3</v>
      </c>
      <c r="AC1157" s="845">
        <v>0</v>
      </c>
      <c r="AD1157" s="845">
        <v>1.7391304347826087E-2</v>
      </c>
      <c r="AE1157" s="845">
        <v>2.3281907433380083E-2</v>
      </c>
      <c r="AF1157" s="845">
        <v>2.3842917251051893E-2</v>
      </c>
      <c r="AG1157" s="845">
        <v>0.82328190743338003</v>
      </c>
      <c r="AH1157" s="20" t="str">
        <f t="shared" si="100"/>
        <v>No</v>
      </c>
      <c r="AI1157" s="25"/>
      <c r="AJ1157" s="20">
        <v>44807</v>
      </c>
      <c r="AK1157" s="20" t="s">
        <v>1468</v>
      </c>
      <c r="AL1157" s="20">
        <v>39077</v>
      </c>
      <c r="AM1157" s="20" t="s">
        <v>45</v>
      </c>
      <c r="AN1157" s="37" t="str">
        <f t="shared" si="101"/>
        <v>N/A</v>
      </c>
      <c r="AO1157" s="37" t="str">
        <f t="shared" si="102"/>
        <v>N/A</v>
      </c>
      <c r="AP1157" s="20" t="s">
        <v>8</v>
      </c>
      <c r="AQ1157" s="25"/>
      <c r="AR1157" s="25"/>
      <c r="AS1157" s="25"/>
      <c r="AT1157" s="25"/>
      <c r="AU1157" s="36"/>
      <c r="AV1157" s="36"/>
      <c r="AW1157" s="36"/>
      <c r="AX1157" s="25"/>
      <c r="AY1157" s="25"/>
      <c r="AZ1157" s="25"/>
      <c r="BA1157" s="25"/>
      <c r="BB1157" s="25"/>
      <c r="BC1157" s="25"/>
      <c r="BD1157" s="25"/>
      <c r="BE1157" s="25"/>
      <c r="BF1157" s="25"/>
      <c r="BG1157" s="25"/>
      <c r="BH1157" s="25"/>
      <c r="BI1157" s="25"/>
      <c r="BJ1157" s="25"/>
      <c r="BK1157" s="25"/>
      <c r="BL1157" s="25"/>
      <c r="BM1157" s="25"/>
      <c r="BN1157" s="25"/>
      <c r="BO1157" s="25"/>
      <c r="BP1157" s="25"/>
      <c r="BQ1157" s="25"/>
      <c r="BR1157" s="25"/>
      <c r="BS1157" s="25"/>
      <c r="BT1157" s="25"/>
      <c r="BU1157" s="39">
        <v>43971</v>
      </c>
      <c r="BV1157" s="39" t="s">
        <v>1136</v>
      </c>
      <c r="BW1157" s="39" t="s">
        <v>2916</v>
      </c>
      <c r="BX1157" s="39" t="s">
        <v>272</v>
      </c>
      <c r="BY1157" s="71">
        <v>720</v>
      </c>
      <c r="BZ1157" s="71">
        <v>780</v>
      </c>
      <c r="CA1157" s="71">
        <v>970</v>
      </c>
      <c r="CB1157" s="71">
        <v>1270</v>
      </c>
      <c r="CC1157" s="71">
        <v>1440</v>
      </c>
      <c r="CD1157" s="25"/>
      <c r="CE1157" s="200"/>
      <c r="CF1157" s="200"/>
      <c r="CG1157" s="200"/>
      <c r="CH1157" s="200"/>
      <c r="CI1157" s="200"/>
      <c r="CJ1157" s="200"/>
      <c r="CK1157" s="200"/>
      <c r="CL1157" s="200"/>
      <c r="CM1157" s="200"/>
      <c r="CN1157" s="200"/>
      <c r="CO1157" s="200"/>
      <c r="CP1157" s="200"/>
      <c r="CQ1157" s="200"/>
      <c r="CR1157" s="200"/>
      <c r="CS1157" s="200"/>
      <c r="CT1157" s="200"/>
      <c r="CU1157" s="200"/>
    </row>
    <row r="1158" spans="1:99" s="17" customFormat="1" x14ac:dyDescent="0.2">
      <c r="A1158" s="25"/>
      <c r="B1158" s="20">
        <v>39035192900</v>
      </c>
      <c r="C1158" s="20">
        <v>1929</v>
      </c>
      <c r="D1158" s="20" t="s">
        <v>24</v>
      </c>
      <c r="E1158" s="20" t="s">
        <v>2829</v>
      </c>
      <c r="F1158" s="20" t="s">
        <v>8</v>
      </c>
      <c r="G1158" s="861">
        <v>54.352113429167701</v>
      </c>
      <c r="H1158" s="861">
        <v>51.622084320578701</v>
      </c>
      <c r="I1158" s="861">
        <v>34.471622933412803</v>
      </c>
      <c r="J1158" s="861">
        <v>23.599097104124098</v>
      </c>
      <c r="K1158" s="982">
        <v>0</v>
      </c>
      <c r="L1158" s="735">
        <v>1975</v>
      </c>
      <c r="M1158" s="735">
        <v>1934</v>
      </c>
      <c r="N1158" s="845">
        <f t="shared" si="98"/>
        <v>-2.0759493670886076E-2</v>
      </c>
      <c r="O1158" s="735">
        <v>5.4325257114790384</v>
      </c>
      <c r="P1158" s="735">
        <f t="shared" si="99"/>
        <v>356.00383738882601</v>
      </c>
      <c r="Q1158" s="849">
        <v>54.4</v>
      </c>
      <c r="R1158" s="71">
        <v>100179</v>
      </c>
      <c r="S1158" s="845">
        <v>4.9766718506998445E-2</v>
      </c>
      <c r="T1158" s="845">
        <v>7.8E-2</v>
      </c>
      <c r="U1158" s="845">
        <v>4.0000000000000001E-3</v>
      </c>
      <c r="V1158" s="845">
        <v>0.161</v>
      </c>
      <c r="W1158" s="845">
        <v>5.8676654182272157E-2</v>
      </c>
      <c r="X1158" s="845">
        <v>0.10638297872340426</v>
      </c>
      <c r="Y1158" s="845">
        <v>0.90641158221302998</v>
      </c>
      <c r="Z1158" s="845">
        <v>0</v>
      </c>
      <c r="AA1158" s="845">
        <v>0</v>
      </c>
      <c r="AB1158" s="845">
        <v>5.170630816959669E-3</v>
      </c>
      <c r="AC1158" s="845">
        <v>0</v>
      </c>
      <c r="AD1158" s="845">
        <v>6.7218200620475701E-3</v>
      </c>
      <c r="AE1158" s="845">
        <v>8.1695966907962769E-2</v>
      </c>
      <c r="AF1158" s="845">
        <v>6.7218200620475701E-3</v>
      </c>
      <c r="AG1158" s="845">
        <v>0.90175801447776627</v>
      </c>
      <c r="AH1158" s="20" t="str">
        <f t="shared" si="100"/>
        <v>Yes</v>
      </c>
      <c r="AI1158" s="25"/>
      <c r="AJ1158" s="20">
        <v>44811</v>
      </c>
      <c r="AK1158" s="20" t="s">
        <v>1470</v>
      </c>
      <c r="AL1158" s="20">
        <v>39077</v>
      </c>
      <c r="AM1158" s="20" t="s">
        <v>45</v>
      </c>
      <c r="AN1158" s="37" t="str">
        <f t="shared" si="101"/>
        <v>N/A</v>
      </c>
      <c r="AO1158" s="37" t="str">
        <f t="shared" si="102"/>
        <v>N/A</v>
      </c>
      <c r="AP1158" s="20" t="s">
        <v>8</v>
      </c>
      <c r="AQ1158" s="25"/>
      <c r="AR1158" s="25"/>
      <c r="AS1158" s="25"/>
      <c r="AT1158" s="25"/>
      <c r="AU1158" s="36"/>
      <c r="AV1158" s="36"/>
      <c r="AW1158" s="36"/>
      <c r="AX1158" s="25"/>
      <c r="AY1158" s="25"/>
      <c r="AZ1158" s="25"/>
      <c r="BA1158" s="25"/>
      <c r="BB1158" s="25"/>
      <c r="BC1158" s="25"/>
      <c r="BD1158" s="25"/>
      <c r="BE1158" s="25"/>
      <c r="BF1158" s="25"/>
      <c r="BG1158" s="25"/>
      <c r="BH1158" s="25"/>
      <c r="BI1158" s="25"/>
      <c r="BJ1158" s="25"/>
      <c r="BK1158" s="25"/>
      <c r="BL1158" s="25"/>
      <c r="BM1158" s="25"/>
      <c r="BN1158" s="25"/>
      <c r="BO1158" s="25"/>
      <c r="BP1158" s="25"/>
      <c r="BQ1158" s="25"/>
      <c r="BR1158" s="25"/>
      <c r="BS1158" s="25"/>
      <c r="BT1158" s="25"/>
      <c r="BU1158" s="39">
        <v>43713</v>
      </c>
      <c r="BV1158" s="39" t="s">
        <v>1021</v>
      </c>
      <c r="BW1158" s="39" t="s">
        <v>2920</v>
      </c>
      <c r="BX1158" s="39" t="s">
        <v>268</v>
      </c>
      <c r="BY1158" s="71">
        <v>670</v>
      </c>
      <c r="BZ1158" s="71">
        <v>800</v>
      </c>
      <c r="CA1158" s="71">
        <v>970</v>
      </c>
      <c r="CB1158" s="71">
        <v>1250</v>
      </c>
      <c r="CC1158" s="71">
        <v>1390</v>
      </c>
      <c r="CD1158" s="25"/>
      <c r="CE1158" s="200"/>
      <c r="CF1158" s="200"/>
      <c r="CG1158" s="200"/>
      <c r="CH1158" s="200"/>
      <c r="CI1158" s="200"/>
      <c r="CJ1158" s="200"/>
      <c r="CK1158" s="200"/>
      <c r="CL1158" s="200"/>
      <c r="CM1158" s="200"/>
      <c r="CN1158" s="200"/>
      <c r="CO1158" s="200"/>
      <c r="CP1158" s="200"/>
      <c r="CQ1158" s="200"/>
      <c r="CR1158" s="200"/>
      <c r="CS1158" s="200"/>
      <c r="CT1158" s="200"/>
      <c r="CU1158" s="200"/>
    </row>
    <row r="1159" spans="1:99" s="17" customFormat="1" x14ac:dyDescent="0.2">
      <c r="A1159" s="25"/>
      <c r="B1159" s="20">
        <v>39149971500</v>
      </c>
      <c r="C1159" s="20">
        <v>9715</v>
      </c>
      <c r="D1159" s="20" t="s">
        <v>80</v>
      </c>
      <c r="E1159" s="20" t="s">
        <v>265</v>
      </c>
      <c r="F1159" s="20" t="s">
        <v>8</v>
      </c>
      <c r="G1159" s="861">
        <v>54.3193329251256</v>
      </c>
      <c r="H1159" s="861">
        <v>60.0619228926898</v>
      </c>
      <c r="I1159" s="861">
        <v>19.6357209403475</v>
      </c>
      <c r="J1159" s="861">
        <v>40.957961346036697</v>
      </c>
      <c r="K1159" s="982">
        <v>0</v>
      </c>
      <c r="L1159" s="735">
        <v>5451</v>
      </c>
      <c r="M1159" s="735">
        <v>5262</v>
      </c>
      <c r="N1159" s="845">
        <f t="shared" si="98"/>
        <v>-3.4672537149146948E-2</v>
      </c>
      <c r="O1159" s="735">
        <v>55.457385092011101</v>
      </c>
      <c r="P1159" s="735">
        <f t="shared" si="99"/>
        <v>94.883665922395181</v>
      </c>
      <c r="Q1159" s="849">
        <v>34.200000000000003</v>
      </c>
      <c r="R1159" s="71">
        <v>89013</v>
      </c>
      <c r="S1159" s="845">
        <v>5.9372026641294005E-2</v>
      </c>
      <c r="T1159" s="845">
        <v>5.2000000000000005E-2</v>
      </c>
      <c r="U1159" s="845">
        <v>2.4E-2</v>
      </c>
      <c r="V1159" s="845">
        <v>1.4999999999999999E-2</v>
      </c>
      <c r="W1159" s="845">
        <v>0.25163755458515286</v>
      </c>
      <c r="X1159" s="845">
        <v>0.19305856832971802</v>
      </c>
      <c r="Y1159" s="845">
        <v>0.95400988217407834</v>
      </c>
      <c r="Z1159" s="845">
        <v>3.4207525655644243E-3</v>
      </c>
      <c r="AA1159" s="845">
        <v>2.4705435195743063E-3</v>
      </c>
      <c r="AB1159" s="845">
        <v>6.4614215127328008E-3</v>
      </c>
      <c r="AC1159" s="845">
        <v>0</v>
      </c>
      <c r="AD1159" s="845">
        <v>3.040668947168377E-3</v>
      </c>
      <c r="AE1159" s="845">
        <v>3.0596731280881796E-2</v>
      </c>
      <c r="AF1159" s="845">
        <v>2.394526795895097E-2</v>
      </c>
      <c r="AG1159" s="845">
        <v>0.94355758266818701</v>
      </c>
      <c r="AH1159" s="20" t="str">
        <f t="shared" si="100"/>
        <v>Yes</v>
      </c>
      <c r="AI1159" s="25"/>
      <c r="AJ1159" s="37">
        <v>44826</v>
      </c>
      <c r="AK1159" s="37" t="s">
        <v>1480</v>
      </c>
      <c r="AL1159" s="37">
        <v>39077</v>
      </c>
      <c r="AM1159" s="37" t="s">
        <v>45</v>
      </c>
      <c r="AN1159" s="37" t="str">
        <f t="shared" si="101"/>
        <v>N/A</v>
      </c>
      <c r="AO1159" s="37" t="str">
        <f t="shared" si="102"/>
        <v>N/A</v>
      </c>
      <c r="AP1159" s="20" t="s">
        <v>8</v>
      </c>
      <c r="AQ1159" s="25"/>
      <c r="AR1159" s="25"/>
      <c r="AS1159" s="25"/>
      <c r="AT1159" s="25"/>
      <c r="AU1159" s="36"/>
      <c r="AV1159" s="36"/>
      <c r="AW1159" s="36"/>
      <c r="AX1159" s="25"/>
      <c r="AY1159" s="25"/>
      <c r="AZ1159" s="25"/>
      <c r="BA1159" s="25"/>
      <c r="BB1159" s="25"/>
      <c r="BC1159" s="25"/>
      <c r="BD1159" s="25"/>
      <c r="BE1159" s="25"/>
      <c r="BF1159" s="25"/>
      <c r="BG1159" s="25"/>
      <c r="BH1159" s="25"/>
      <c r="BI1159" s="25"/>
      <c r="BJ1159" s="25"/>
      <c r="BK1159" s="25"/>
      <c r="BL1159" s="25"/>
      <c r="BM1159" s="25"/>
      <c r="BN1159" s="25"/>
      <c r="BO1159" s="25"/>
      <c r="BP1159" s="25"/>
      <c r="BQ1159" s="25"/>
      <c r="BR1159" s="25"/>
      <c r="BS1159" s="25"/>
      <c r="BT1159" s="25"/>
      <c r="BU1159" s="39">
        <v>43716</v>
      </c>
      <c r="BV1159" s="39" t="s">
        <v>1022</v>
      </c>
      <c r="BW1159" s="39" t="s">
        <v>2920</v>
      </c>
      <c r="BX1159" s="39" t="s">
        <v>268</v>
      </c>
      <c r="BY1159" s="71">
        <v>740</v>
      </c>
      <c r="BZ1159" s="71">
        <v>770</v>
      </c>
      <c r="CA1159" s="71">
        <v>1000</v>
      </c>
      <c r="CB1159" s="71">
        <v>1310</v>
      </c>
      <c r="CC1159" s="71">
        <v>1340</v>
      </c>
      <c r="CD1159" s="25"/>
      <c r="CE1159" s="200"/>
      <c r="CF1159" s="200"/>
      <c r="CG1159" s="200"/>
      <c r="CH1159" s="200"/>
      <c r="CI1159" s="200"/>
      <c r="CJ1159" s="200"/>
      <c r="CK1159" s="200"/>
      <c r="CL1159" s="200"/>
      <c r="CM1159" s="200"/>
      <c r="CN1159" s="200"/>
      <c r="CO1159" s="200"/>
      <c r="CP1159" s="200"/>
      <c r="CQ1159" s="200"/>
      <c r="CR1159" s="200"/>
      <c r="CS1159" s="200"/>
      <c r="CT1159" s="200"/>
      <c r="CU1159" s="200"/>
    </row>
    <row r="1160" spans="1:99" s="17" customFormat="1" x14ac:dyDescent="0.2">
      <c r="A1160" s="25"/>
      <c r="B1160" s="20">
        <v>39095009103</v>
      </c>
      <c r="C1160" s="20">
        <v>91.03</v>
      </c>
      <c r="D1160" s="20" t="s">
        <v>53</v>
      </c>
      <c r="E1160" s="20" t="s">
        <v>2839</v>
      </c>
      <c r="F1160" s="20" t="s">
        <v>8</v>
      </c>
      <c r="G1160" s="861">
        <v>54.280815308289</v>
      </c>
      <c r="H1160" s="861">
        <v>71.468831834704403</v>
      </c>
      <c r="I1160" s="861">
        <v>22.587837171210399</v>
      </c>
      <c r="J1160" s="861">
        <v>41.298178529072203</v>
      </c>
      <c r="K1160" s="982">
        <v>0</v>
      </c>
      <c r="L1160" s="735" t="s">
        <v>2466</v>
      </c>
      <c r="M1160" s="735">
        <v>2419</v>
      </c>
      <c r="N1160" s="845" t="str">
        <f t="shared" si="98"/>
        <v/>
      </c>
      <c r="O1160" s="735">
        <v>2.144456562775495</v>
      </c>
      <c r="P1160" s="735">
        <f t="shared" si="99"/>
        <v>1128.024713575533</v>
      </c>
      <c r="Q1160" s="849">
        <v>47.6</v>
      </c>
      <c r="R1160" s="71">
        <v>102927</v>
      </c>
      <c r="S1160" s="845">
        <v>9.612983770287141E-2</v>
      </c>
      <c r="T1160" s="845">
        <v>3.4000000000000002E-2</v>
      </c>
      <c r="U1160" s="845">
        <v>0</v>
      </c>
      <c r="V1160" s="845">
        <v>0</v>
      </c>
      <c r="W1160" s="845">
        <v>0.22244897959183674</v>
      </c>
      <c r="X1160" s="845">
        <v>0.3165137614678899</v>
      </c>
      <c r="Y1160" s="845">
        <v>0.78544853245142621</v>
      </c>
      <c r="Z1160" s="845">
        <v>5.8288548987184788E-2</v>
      </c>
      <c r="AA1160" s="845">
        <v>1.0334849111202976E-2</v>
      </c>
      <c r="AB1160" s="845">
        <v>3.4311699049193879E-2</v>
      </c>
      <c r="AC1160" s="845">
        <v>0</v>
      </c>
      <c r="AD1160" s="845">
        <v>2.6457213724679619E-2</v>
      </c>
      <c r="AE1160" s="845">
        <v>8.515915667631252E-2</v>
      </c>
      <c r="AF1160" s="845">
        <v>9.7147581645307984E-2</v>
      </c>
      <c r="AG1160" s="845">
        <v>0.73294749896651512</v>
      </c>
      <c r="AH1160" s="20" t="str">
        <f t="shared" si="100"/>
        <v>No</v>
      </c>
      <c r="AI1160" s="25"/>
      <c r="AJ1160" s="37">
        <v>44837</v>
      </c>
      <c r="AK1160" s="37" t="s">
        <v>1486</v>
      </c>
      <c r="AL1160" s="37">
        <v>39077</v>
      </c>
      <c r="AM1160" s="37" t="s">
        <v>45</v>
      </c>
      <c r="AN1160" s="37" t="str">
        <f t="shared" si="101"/>
        <v>N/A</v>
      </c>
      <c r="AO1160" s="37" t="str">
        <f t="shared" si="102"/>
        <v>N/A</v>
      </c>
      <c r="AP1160" s="20" t="s">
        <v>8</v>
      </c>
      <c r="AQ1160" s="25"/>
      <c r="AR1160" s="25"/>
      <c r="AS1160" s="25"/>
      <c r="AT1160" s="25"/>
      <c r="AU1160" s="36"/>
      <c r="AV1160" s="36"/>
      <c r="AW1160" s="36"/>
      <c r="AX1160" s="25"/>
      <c r="AY1160" s="25"/>
      <c r="AZ1160" s="25"/>
      <c r="BA1160" s="25"/>
      <c r="BB1160" s="25"/>
      <c r="BC1160" s="25"/>
      <c r="BD1160" s="25"/>
      <c r="BE1160" s="25"/>
      <c r="BF1160" s="25"/>
      <c r="BG1160" s="25"/>
      <c r="BH1160" s="25"/>
      <c r="BI1160" s="25"/>
      <c r="BJ1160" s="25"/>
      <c r="BK1160" s="25"/>
      <c r="BL1160" s="25"/>
      <c r="BM1160" s="25"/>
      <c r="BN1160" s="25"/>
      <c r="BO1160" s="25"/>
      <c r="BP1160" s="25"/>
      <c r="BQ1160" s="25"/>
      <c r="BR1160" s="25"/>
      <c r="BS1160" s="25"/>
      <c r="BT1160" s="25"/>
      <c r="BU1160" s="39">
        <v>43718</v>
      </c>
      <c r="BV1160" s="39" t="s">
        <v>1024</v>
      </c>
      <c r="BW1160" s="39" t="s">
        <v>2920</v>
      </c>
      <c r="BX1160" s="39" t="s">
        <v>268</v>
      </c>
      <c r="BY1160" s="71">
        <v>850</v>
      </c>
      <c r="BZ1160" s="71">
        <v>1010</v>
      </c>
      <c r="CA1160" s="71">
        <v>1230</v>
      </c>
      <c r="CB1160" s="71">
        <v>1590</v>
      </c>
      <c r="CC1160" s="71">
        <v>1750</v>
      </c>
      <c r="CD1160" s="25"/>
      <c r="CE1160" s="200"/>
      <c r="CF1160" s="200"/>
      <c r="CG1160" s="200"/>
      <c r="CH1160" s="200"/>
      <c r="CI1160" s="200"/>
      <c r="CJ1160" s="200"/>
      <c r="CK1160" s="200"/>
      <c r="CL1160" s="200"/>
      <c r="CM1160" s="200"/>
      <c r="CN1160" s="200"/>
      <c r="CO1160" s="200"/>
      <c r="CP1160" s="200"/>
      <c r="CQ1160" s="200"/>
      <c r="CR1160" s="200"/>
      <c r="CS1160" s="200"/>
      <c r="CT1160" s="200"/>
      <c r="CU1160" s="200"/>
    </row>
    <row r="1161" spans="1:99" s="17" customFormat="1" x14ac:dyDescent="0.2">
      <c r="A1161" s="25"/>
      <c r="B1161" s="20">
        <v>39061020601</v>
      </c>
      <c r="C1161" s="20">
        <v>206.01</v>
      </c>
      <c r="D1161" s="20" t="s">
        <v>37</v>
      </c>
      <c r="E1161" s="20" t="s">
        <v>2828</v>
      </c>
      <c r="F1161" s="20" t="s">
        <v>8</v>
      </c>
      <c r="G1161" s="861">
        <v>54.264676795661103</v>
      </c>
      <c r="H1161" s="861">
        <v>58.555369567882501</v>
      </c>
      <c r="I1161" s="861">
        <v>26.327234730057199</v>
      </c>
      <c r="J1161" s="861">
        <v>44.735386081779801</v>
      </c>
      <c r="K1161" s="982">
        <v>0</v>
      </c>
      <c r="L1161" s="735">
        <v>6080</v>
      </c>
      <c r="M1161" s="735">
        <v>6412</v>
      </c>
      <c r="N1161" s="845">
        <f t="shared" si="98"/>
        <v>5.460526315789474E-2</v>
      </c>
      <c r="O1161" s="735">
        <v>4.6550097868982112</v>
      </c>
      <c r="P1161" s="735">
        <f t="shared" si="99"/>
        <v>1377.4407130242641</v>
      </c>
      <c r="Q1161" s="849">
        <v>46.4</v>
      </c>
      <c r="R1161" s="71">
        <v>109458</v>
      </c>
      <c r="S1161" s="845">
        <v>7.363793374156069E-2</v>
      </c>
      <c r="T1161" s="845">
        <v>2.8999999999999998E-2</v>
      </c>
      <c r="U1161" s="845">
        <v>0</v>
      </c>
      <c r="V1161" s="845">
        <v>0</v>
      </c>
      <c r="W1161" s="845">
        <v>0.15759312320916904</v>
      </c>
      <c r="X1161" s="845">
        <v>0.61038961038961037</v>
      </c>
      <c r="Y1161" s="845">
        <v>0.94978165938864634</v>
      </c>
      <c r="Z1161" s="845">
        <v>3.649407361197754E-2</v>
      </c>
      <c r="AA1161" s="845">
        <v>0</v>
      </c>
      <c r="AB1161" s="845">
        <v>0</v>
      </c>
      <c r="AC1161" s="845">
        <v>0</v>
      </c>
      <c r="AD1161" s="845">
        <v>0</v>
      </c>
      <c r="AE1161" s="845">
        <v>1.3724266999376169E-2</v>
      </c>
      <c r="AF1161" s="845">
        <v>3.2751091703056767E-3</v>
      </c>
      <c r="AG1161" s="845">
        <v>0.94978165938864634</v>
      </c>
      <c r="AH1161" s="20" t="str">
        <f t="shared" si="100"/>
        <v>Yes</v>
      </c>
      <c r="AI1161" s="25"/>
      <c r="AJ1161" s="37">
        <v>44846</v>
      </c>
      <c r="AK1161" s="37" t="s">
        <v>1494</v>
      </c>
      <c r="AL1161" s="37">
        <v>39077</v>
      </c>
      <c r="AM1161" s="37" t="s">
        <v>45</v>
      </c>
      <c r="AN1161" s="37" t="str">
        <f t="shared" si="101"/>
        <v>N/A</v>
      </c>
      <c r="AO1161" s="37" t="str">
        <f t="shared" si="102"/>
        <v>N/A</v>
      </c>
      <c r="AP1161" s="20" t="s">
        <v>8</v>
      </c>
      <c r="AQ1161" s="25"/>
      <c r="AR1161" s="25"/>
      <c r="AS1161" s="25"/>
      <c r="AT1161" s="25"/>
      <c r="AU1161" s="36"/>
      <c r="AV1161" s="36"/>
      <c r="AW1161" s="36"/>
      <c r="AX1161" s="25"/>
      <c r="AY1161" s="25"/>
      <c r="AZ1161" s="25"/>
      <c r="BA1161" s="25"/>
      <c r="BB1161" s="25"/>
      <c r="BC1161" s="25"/>
      <c r="BD1161" s="25"/>
      <c r="BE1161" s="25"/>
      <c r="BF1161" s="25"/>
      <c r="BG1161" s="25"/>
      <c r="BH1161" s="25"/>
      <c r="BI1161" s="25"/>
      <c r="BJ1161" s="25"/>
      <c r="BK1161" s="25"/>
      <c r="BL1161" s="25"/>
      <c r="BM1161" s="25"/>
      <c r="BN1161" s="25"/>
      <c r="BO1161" s="25"/>
      <c r="BP1161" s="25"/>
      <c r="BQ1161" s="25"/>
      <c r="BR1161" s="25"/>
      <c r="BS1161" s="25"/>
      <c r="BT1161" s="25"/>
      <c r="BU1161" s="39">
        <v>43719</v>
      </c>
      <c r="BV1161" s="39" t="s">
        <v>1025</v>
      </c>
      <c r="BW1161" s="39" t="s">
        <v>2920</v>
      </c>
      <c r="BX1161" s="39" t="s">
        <v>268</v>
      </c>
      <c r="BY1161" s="71">
        <v>670</v>
      </c>
      <c r="BZ1161" s="71">
        <v>800</v>
      </c>
      <c r="CA1161" s="71">
        <v>970</v>
      </c>
      <c r="CB1161" s="71">
        <v>1250</v>
      </c>
      <c r="CC1161" s="71">
        <v>1390</v>
      </c>
      <c r="CD1161" s="25"/>
      <c r="CE1161" s="200"/>
      <c r="CF1161" s="200"/>
      <c r="CG1161" s="200"/>
      <c r="CH1161" s="200"/>
      <c r="CI1161" s="200"/>
      <c r="CJ1161" s="200"/>
      <c r="CK1161" s="200"/>
      <c r="CL1161" s="200"/>
      <c r="CM1161" s="200"/>
      <c r="CN1161" s="200"/>
      <c r="CO1161" s="200"/>
      <c r="CP1161" s="200"/>
      <c r="CQ1161" s="200"/>
      <c r="CR1161" s="200"/>
      <c r="CS1161" s="200"/>
      <c r="CT1161" s="200"/>
      <c r="CU1161" s="200"/>
    </row>
    <row r="1162" spans="1:99" s="17" customFormat="1" x14ac:dyDescent="0.2">
      <c r="A1162" s="25"/>
      <c r="B1162" s="20">
        <v>39035186106</v>
      </c>
      <c r="C1162" s="20">
        <v>1861.06</v>
      </c>
      <c r="D1162" s="20" t="s">
        <v>24</v>
      </c>
      <c r="E1162" s="20" t="s">
        <v>2829</v>
      </c>
      <c r="F1162" s="20" t="s">
        <v>8</v>
      </c>
      <c r="G1162" s="861">
        <v>54.2613123884502</v>
      </c>
      <c r="H1162" s="861">
        <v>60.2995526763237</v>
      </c>
      <c r="I1162" s="861">
        <v>30.6801841165124</v>
      </c>
      <c r="J1162" s="861">
        <v>43.7836148736247</v>
      </c>
      <c r="K1162" s="982">
        <v>0</v>
      </c>
      <c r="L1162" s="735">
        <v>5108</v>
      </c>
      <c r="M1162" s="735">
        <v>4918</v>
      </c>
      <c r="N1162" s="845">
        <f t="shared" si="98"/>
        <v>-3.719655442443226E-2</v>
      </c>
      <c r="O1162" s="735">
        <v>2.2258148513276379</v>
      </c>
      <c r="P1162" s="735">
        <f t="shared" si="99"/>
        <v>2209.5278936010995</v>
      </c>
      <c r="Q1162" s="849">
        <v>39.200000000000003</v>
      </c>
      <c r="R1162" s="71">
        <v>61691</v>
      </c>
      <c r="S1162" s="845">
        <v>0.10262828535669587</v>
      </c>
      <c r="T1162" s="845">
        <v>2.1000000000000001E-2</v>
      </c>
      <c r="U1162" s="845">
        <v>0</v>
      </c>
      <c r="V1162" s="845">
        <v>3.4000000000000002E-2</v>
      </c>
      <c r="W1162" s="845">
        <v>0.70097087378640777</v>
      </c>
      <c r="X1162" s="845">
        <v>0.29695290858725759</v>
      </c>
      <c r="Y1162" s="845">
        <v>0.69926799511996751</v>
      </c>
      <c r="Z1162" s="845">
        <v>7.5437169581130545E-2</v>
      </c>
      <c r="AA1162" s="845">
        <v>3.8633590890605938E-3</v>
      </c>
      <c r="AB1162" s="845">
        <v>0.16287108580723872</v>
      </c>
      <c r="AC1162" s="845">
        <v>0</v>
      </c>
      <c r="AD1162" s="845">
        <v>0</v>
      </c>
      <c r="AE1162" s="845">
        <v>5.8560390402602684E-2</v>
      </c>
      <c r="AF1162" s="845">
        <v>4.3920292801952011E-2</v>
      </c>
      <c r="AG1162" s="845">
        <v>0.69398129320862134</v>
      </c>
      <c r="AH1162" s="20" t="str">
        <f t="shared" si="100"/>
        <v>No</v>
      </c>
      <c r="AI1162" s="25"/>
      <c r="AJ1162" s="37">
        <v>44847</v>
      </c>
      <c r="AK1162" s="37" t="s">
        <v>1495</v>
      </c>
      <c r="AL1162" s="37">
        <v>39077</v>
      </c>
      <c r="AM1162" s="37" t="s">
        <v>45</v>
      </c>
      <c r="AN1162" s="37" t="str">
        <f t="shared" si="101"/>
        <v>N/A</v>
      </c>
      <c r="AO1162" s="37" t="str">
        <f t="shared" si="102"/>
        <v>N/A</v>
      </c>
      <c r="AP1162" s="20" t="s">
        <v>8</v>
      </c>
      <c r="AQ1162" s="25"/>
      <c r="AR1162" s="25"/>
      <c r="AS1162" s="25"/>
      <c r="AT1162" s="25"/>
      <c r="AU1162" s="36"/>
      <c r="AV1162" s="36"/>
      <c r="AW1162" s="36"/>
      <c r="AX1162" s="25"/>
      <c r="AY1162" s="25"/>
      <c r="AZ1162" s="25"/>
      <c r="BA1162" s="25"/>
      <c r="BB1162" s="25"/>
      <c r="BC1162" s="25"/>
      <c r="BD1162" s="25"/>
      <c r="BE1162" s="25"/>
      <c r="BF1162" s="25"/>
      <c r="BG1162" s="25"/>
      <c r="BH1162" s="25"/>
      <c r="BI1162" s="25"/>
      <c r="BJ1162" s="25"/>
      <c r="BK1162" s="25"/>
      <c r="BL1162" s="25"/>
      <c r="BM1162" s="25"/>
      <c r="BN1162" s="25"/>
      <c r="BO1162" s="25"/>
      <c r="BP1162" s="25"/>
      <c r="BQ1162" s="25"/>
      <c r="BR1162" s="25"/>
      <c r="BS1162" s="25"/>
      <c r="BT1162" s="25"/>
      <c r="BU1162" s="39">
        <v>43747</v>
      </c>
      <c r="BV1162" s="39" t="s">
        <v>1045</v>
      </c>
      <c r="BW1162" s="39" t="s">
        <v>2920</v>
      </c>
      <c r="BX1162" s="39" t="s">
        <v>268</v>
      </c>
      <c r="BY1162" s="71">
        <v>710</v>
      </c>
      <c r="BZ1162" s="71">
        <v>770</v>
      </c>
      <c r="CA1162" s="71">
        <v>980</v>
      </c>
      <c r="CB1162" s="71">
        <v>1280</v>
      </c>
      <c r="CC1162" s="71">
        <v>1340</v>
      </c>
      <c r="CD1162" s="25"/>
      <c r="CE1162" s="200"/>
      <c r="CF1162" s="200"/>
      <c r="CG1162" s="200"/>
      <c r="CH1162" s="200"/>
      <c r="CI1162" s="200"/>
      <c r="CJ1162" s="200"/>
      <c r="CK1162" s="200"/>
      <c r="CL1162" s="200"/>
      <c r="CM1162" s="200"/>
      <c r="CN1162" s="200"/>
      <c r="CO1162" s="200"/>
      <c r="CP1162" s="200"/>
      <c r="CQ1162" s="200"/>
      <c r="CR1162" s="200"/>
      <c r="CS1162" s="200"/>
      <c r="CT1162" s="200"/>
      <c r="CU1162" s="200"/>
    </row>
    <row r="1163" spans="1:99" s="17" customFormat="1" x14ac:dyDescent="0.2">
      <c r="A1163" s="25"/>
      <c r="B1163" s="20">
        <v>39061010700</v>
      </c>
      <c r="C1163" s="20">
        <v>107</v>
      </c>
      <c r="D1163" s="20" t="s">
        <v>37</v>
      </c>
      <c r="E1163" s="20" t="s">
        <v>2828</v>
      </c>
      <c r="F1163" s="20" t="s">
        <v>8</v>
      </c>
      <c r="G1163" s="861">
        <v>54.259852288770396</v>
      </c>
      <c r="H1163" s="861">
        <v>74.253115482510296</v>
      </c>
      <c r="I1163" s="861">
        <v>37.6382333446278</v>
      </c>
      <c r="J1163" s="861">
        <v>36.490320942023203</v>
      </c>
      <c r="K1163" s="982">
        <v>0</v>
      </c>
      <c r="L1163" s="735">
        <v>1717</v>
      </c>
      <c r="M1163" s="735">
        <v>1592</v>
      </c>
      <c r="N1163" s="845">
        <f t="shared" ref="N1163:N1226" si="103">IF(OR(L1163="",M1163=""),"",(M1163-L1163)/L1163)</f>
        <v>-7.2801397786837502E-2</v>
      </c>
      <c r="O1163" s="735">
        <v>0.32441307230557132</v>
      </c>
      <c r="P1163" s="735">
        <f t="shared" ref="P1163:P1226" si="104">M1163/O1163</f>
        <v>4907.3238284937624</v>
      </c>
      <c r="Q1163" s="849">
        <v>37.799999999999997</v>
      </c>
      <c r="R1163" s="71">
        <v>58136</v>
      </c>
      <c r="S1163" s="845">
        <v>0.1620603015075377</v>
      </c>
      <c r="T1163" s="845">
        <v>3.1E-2</v>
      </c>
      <c r="U1163" s="845">
        <v>0</v>
      </c>
      <c r="V1163" s="845">
        <v>0</v>
      </c>
      <c r="W1163" s="845">
        <v>0.46973684210526317</v>
      </c>
      <c r="X1163" s="845">
        <v>0.34173669467787116</v>
      </c>
      <c r="Y1163" s="845">
        <v>0.67776381909547734</v>
      </c>
      <c r="Z1163" s="845">
        <v>0.20540201005025124</v>
      </c>
      <c r="AA1163" s="845">
        <v>0</v>
      </c>
      <c r="AB1163" s="845">
        <v>0</v>
      </c>
      <c r="AC1163" s="845">
        <v>0</v>
      </c>
      <c r="AD1163" s="845">
        <v>1.0050251256281407E-2</v>
      </c>
      <c r="AE1163" s="845">
        <v>0.10678391959798995</v>
      </c>
      <c r="AF1163" s="845">
        <v>8.4798994974874378E-2</v>
      </c>
      <c r="AG1163" s="845">
        <v>0.66080402010050254</v>
      </c>
      <c r="AH1163" s="20" t="str">
        <f t="shared" ref="AH1163:AH1226" si="105">IF(AG1163&gt;=0.9,"Yes","No")</f>
        <v>No</v>
      </c>
      <c r="AI1163" s="25"/>
      <c r="AJ1163" s="20">
        <v>44850</v>
      </c>
      <c r="AK1163" s="20" t="s">
        <v>1497</v>
      </c>
      <c r="AL1163" s="20">
        <v>39077</v>
      </c>
      <c r="AM1163" s="20" t="s">
        <v>45</v>
      </c>
      <c r="AN1163" s="37" t="str">
        <f t="shared" ref="AN1163:AN1226" si="106">VLOOKUP(AM1163,$CY$11:$DA$98,2,FALSE)</f>
        <v>N/A</v>
      </c>
      <c r="AO1163" s="37" t="str">
        <f t="shared" ref="AO1163:AO1226" si="107">VLOOKUP(AM1163,$CY$11:$DA$98,3,FALSE)</f>
        <v>N/A</v>
      </c>
      <c r="AP1163" s="20" t="s">
        <v>8</v>
      </c>
      <c r="AQ1163" s="25"/>
      <c r="AR1163" s="25"/>
      <c r="AS1163" s="25"/>
      <c r="AT1163" s="25"/>
      <c r="AU1163" s="36"/>
      <c r="AV1163" s="36"/>
      <c r="AW1163" s="36"/>
      <c r="AX1163" s="25"/>
      <c r="AY1163" s="25"/>
      <c r="AZ1163" s="25"/>
      <c r="BA1163" s="25"/>
      <c r="BB1163" s="25"/>
      <c r="BC1163" s="25"/>
      <c r="BD1163" s="25"/>
      <c r="BE1163" s="25"/>
      <c r="BF1163" s="25"/>
      <c r="BG1163" s="25"/>
      <c r="BH1163" s="25"/>
      <c r="BI1163" s="25"/>
      <c r="BJ1163" s="25"/>
      <c r="BK1163" s="25"/>
      <c r="BL1163" s="25"/>
      <c r="BM1163" s="25"/>
      <c r="BN1163" s="25"/>
      <c r="BO1163" s="25"/>
      <c r="BP1163" s="25"/>
      <c r="BQ1163" s="25"/>
      <c r="BR1163" s="25"/>
      <c r="BS1163" s="25"/>
      <c r="BT1163" s="25"/>
      <c r="BU1163" s="39">
        <v>43759</v>
      </c>
      <c r="BV1163" s="39" t="s">
        <v>1053</v>
      </c>
      <c r="BW1163" s="39" t="s">
        <v>2920</v>
      </c>
      <c r="BX1163" s="39" t="s">
        <v>268</v>
      </c>
      <c r="BY1163" s="71">
        <v>740</v>
      </c>
      <c r="BZ1163" s="71">
        <v>880</v>
      </c>
      <c r="CA1163" s="71">
        <v>1070</v>
      </c>
      <c r="CB1163" s="71">
        <v>1380</v>
      </c>
      <c r="CC1163" s="71">
        <v>1530</v>
      </c>
      <c r="CD1163" s="25"/>
      <c r="CE1163" s="200"/>
      <c r="CF1163" s="200"/>
      <c r="CG1163" s="200"/>
      <c r="CH1163" s="200"/>
      <c r="CI1163" s="200"/>
      <c r="CJ1163" s="200"/>
      <c r="CK1163" s="200"/>
      <c r="CL1163" s="200"/>
      <c r="CM1163" s="200"/>
      <c r="CN1163" s="200"/>
      <c r="CO1163" s="200"/>
      <c r="CP1163" s="200"/>
      <c r="CQ1163" s="200"/>
      <c r="CR1163" s="200"/>
      <c r="CS1163" s="200"/>
      <c r="CT1163" s="200"/>
      <c r="CU1163" s="200"/>
    </row>
    <row r="1164" spans="1:99" s="17" customFormat="1" x14ac:dyDescent="0.2">
      <c r="A1164" s="25"/>
      <c r="B1164" s="20">
        <v>39139002500</v>
      </c>
      <c r="C1164" s="20">
        <v>25</v>
      </c>
      <c r="D1164" s="20" t="s">
        <v>75</v>
      </c>
      <c r="E1164" s="20" t="s">
        <v>2836</v>
      </c>
      <c r="F1164" s="20" t="s">
        <v>8</v>
      </c>
      <c r="G1164" s="861">
        <v>54.246129923264597</v>
      </c>
      <c r="H1164" s="861">
        <v>52.489945632554203</v>
      </c>
      <c r="I1164" s="861">
        <v>28.563383404369901</v>
      </c>
      <c r="J1164" s="861">
        <v>42.178637728362801</v>
      </c>
      <c r="K1164" s="982">
        <v>0</v>
      </c>
      <c r="L1164" s="735">
        <v>4003</v>
      </c>
      <c r="M1164" s="735">
        <v>4271</v>
      </c>
      <c r="N1164" s="845">
        <f t="shared" si="103"/>
        <v>6.6949787659255564E-2</v>
      </c>
      <c r="O1164" s="735">
        <v>21.195719311622632</v>
      </c>
      <c r="P1164" s="735">
        <f t="shared" si="104"/>
        <v>201.50295147841504</v>
      </c>
      <c r="Q1164" s="849">
        <v>42.3</v>
      </c>
      <c r="R1164" s="71">
        <v>64088</v>
      </c>
      <c r="S1164" s="845">
        <v>7.8258742968941059E-2</v>
      </c>
      <c r="T1164" s="845">
        <v>1.8000000000000002E-2</v>
      </c>
      <c r="U1164" s="845">
        <v>0</v>
      </c>
      <c r="V1164" s="845">
        <v>0.23699999999999999</v>
      </c>
      <c r="W1164" s="845">
        <v>0.21118381915526471</v>
      </c>
      <c r="X1164" s="845">
        <v>0.3211267605633803</v>
      </c>
      <c r="Y1164" s="845">
        <v>0.98735659096230388</v>
      </c>
      <c r="Z1164" s="845">
        <v>0</v>
      </c>
      <c r="AA1164" s="845">
        <v>4.682744088035589E-4</v>
      </c>
      <c r="AB1164" s="845">
        <v>0</v>
      </c>
      <c r="AC1164" s="845">
        <v>0</v>
      </c>
      <c r="AD1164" s="845">
        <v>0</v>
      </c>
      <c r="AE1164" s="845">
        <v>1.2175134628892531E-2</v>
      </c>
      <c r="AF1164" s="845">
        <v>1.8028564738937016E-2</v>
      </c>
      <c r="AG1164" s="845">
        <v>0.98056661203465234</v>
      </c>
      <c r="AH1164" s="20" t="str">
        <f t="shared" si="105"/>
        <v>Yes</v>
      </c>
      <c r="AI1164" s="25"/>
      <c r="AJ1164" s="37">
        <v>44851</v>
      </c>
      <c r="AK1164" s="37" t="s">
        <v>1498</v>
      </c>
      <c r="AL1164" s="37">
        <v>39077</v>
      </c>
      <c r="AM1164" s="37" t="s">
        <v>45</v>
      </c>
      <c r="AN1164" s="37" t="str">
        <f t="shared" si="106"/>
        <v>N/A</v>
      </c>
      <c r="AO1164" s="37" t="str">
        <f t="shared" si="107"/>
        <v>N/A</v>
      </c>
      <c r="AP1164" s="20" t="s">
        <v>8</v>
      </c>
      <c r="AQ1164" s="25"/>
      <c r="AR1164" s="25"/>
      <c r="AS1164" s="25"/>
      <c r="AT1164" s="25"/>
      <c r="AU1164" s="36"/>
      <c r="AV1164" s="36"/>
      <c r="AW1164" s="36"/>
      <c r="AX1164" s="25"/>
      <c r="AY1164" s="25"/>
      <c r="AZ1164" s="25"/>
      <c r="BA1164" s="25"/>
      <c r="BB1164" s="25"/>
      <c r="BC1164" s="25"/>
      <c r="BD1164" s="25"/>
      <c r="BE1164" s="25"/>
      <c r="BF1164" s="25"/>
      <c r="BG1164" s="25"/>
      <c r="BH1164" s="25"/>
      <c r="BI1164" s="25"/>
      <c r="BJ1164" s="25"/>
      <c r="BK1164" s="25"/>
      <c r="BL1164" s="25"/>
      <c r="BM1164" s="25"/>
      <c r="BN1164" s="25"/>
      <c r="BO1164" s="25"/>
      <c r="BP1164" s="25"/>
      <c r="BQ1164" s="25"/>
      <c r="BR1164" s="25"/>
      <c r="BS1164" s="25"/>
      <c r="BT1164" s="25"/>
      <c r="BU1164" s="39">
        <v>43773</v>
      </c>
      <c r="BV1164" s="39" t="s">
        <v>1063</v>
      </c>
      <c r="BW1164" s="39" t="s">
        <v>2920</v>
      </c>
      <c r="BX1164" s="39" t="s">
        <v>268</v>
      </c>
      <c r="BY1164" s="71">
        <v>800</v>
      </c>
      <c r="BZ1164" s="71">
        <v>800</v>
      </c>
      <c r="CA1164" s="71">
        <v>1060</v>
      </c>
      <c r="CB1164" s="71">
        <v>1350</v>
      </c>
      <c r="CC1164" s="71">
        <v>1610</v>
      </c>
      <c r="CD1164" s="25"/>
      <c r="CE1164" s="200"/>
      <c r="CF1164" s="200"/>
      <c r="CG1164" s="200"/>
      <c r="CH1164" s="200"/>
      <c r="CI1164" s="200"/>
      <c r="CJ1164" s="200"/>
      <c r="CK1164" s="200"/>
      <c r="CL1164" s="200"/>
      <c r="CM1164" s="200"/>
      <c r="CN1164" s="200"/>
      <c r="CO1164" s="200"/>
      <c r="CP1164" s="200"/>
      <c r="CQ1164" s="200"/>
      <c r="CR1164" s="200"/>
      <c r="CS1164" s="200"/>
      <c r="CT1164" s="200"/>
      <c r="CU1164" s="200"/>
    </row>
    <row r="1165" spans="1:99" s="17" customFormat="1" x14ac:dyDescent="0.2">
      <c r="A1165" s="25"/>
      <c r="B1165" s="20">
        <v>39173021701</v>
      </c>
      <c r="C1165" s="20">
        <v>217.01</v>
      </c>
      <c r="D1165" s="20" t="s">
        <v>92</v>
      </c>
      <c r="E1165" s="20" t="s">
        <v>2839</v>
      </c>
      <c r="F1165" s="20" t="s">
        <v>6</v>
      </c>
      <c r="G1165" s="861">
        <v>54.240068895339398</v>
      </c>
      <c r="H1165" s="861">
        <v>61.879290903982998</v>
      </c>
      <c r="I1165" s="861">
        <v>62.496903215224201</v>
      </c>
      <c r="J1165" s="861">
        <v>52.5864747784481</v>
      </c>
      <c r="K1165" s="982">
        <v>0</v>
      </c>
      <c r="L1165" s="735">
        <v>3259</v>
      </c>
      <c r="M1165" s="735">
        <v>3541</v>
      </c>
      <c r="N1165" s="845">
        <f t="shared" si="103"/>
        <v>8.652961030991102E-2</v>
      </c>
      <c r="O1165" s="735">
        <v>0.48600531992403628</v>
      </c>
      <c r="P1165" s="735">
        <f t="shared" si="104"/>
        <v>7285.9284761604385</v>
      </c>
      <c r="Q1165" s="849">
        <v>22.6</v>
      </c>
      <c r="R1165" s="71">
        <v>26613</v>
      </c>
      <c r="S1165" s="845">
        <v>0.48322729901677269</v>
      </c>
      <c r="T1165" s="845">
        <v>0.04</v>
      </c>
      <c r="U1165" s="845">
        <v>0</v>
      </c>
      <c r="V1165" s="845">
        <v>5.2999999999999999E-2</v>
      </c>
      <c r="W1165" s="845">
        <v>0.78747203579418346</v>
      </c>
      <c r="X1165" s="845">
        <v>0.68678977272727271</v>
      </c>
      <c r="Y1165" s="845">
        <v>0.83761649251623838</v>
      </c>
      <c r="Z1165" s="845">
        <v>5.3657158994634281E-2</v>
      </c>
      <c r="AA1165" s="845">
        <v>1.1296243998870376E-2</v>
      </c>
      <c r="AB1165" s="845">
        <v>2.5416548997458347E-3</v>
      </c>
      <c r="AC1165" s="845">
        <v>0</v>
      </c>
      <c r="AD1165" s="845">
        <v>8.7545890991245403E-3</v>
      </c>
      <c r="AE1165" s="845">
        <v>8.6133860491386618E-2</v>
      </c>
      <c r="AF1165" s="845">
        <v>7.5120022592487998E-2</v>
      </c>
      <c r="AG1165" s="845">
        <v>0.80965828861903422</v>
      </c>
      <c r="AH1165" s="20" t="str">
        <f t="shared" si="105"/>
        <v>No</v>
      </c>
      <c r="AI1165" s="25"/>
      <c r="AJ1165" s="20">
        <v>44855</v>
      </c>
      <c r="AK1165" s="20" t="s">
        <v>1501</v>
      </c>
      <c r="AL1165" s="20">
        <v>39077</v>
      </c>
      <c r="AM1165" s="20" t="s">
        <v>45</v>
      </c>
      <c r="AN1165" s="37" t="str">
        <f t="shared" si="106"/>
        <v>N/A</v>
      </c>
      <c r="AO1165" s="37" t="str">
        <f t="shared" si="107"/>
        <v>N/A</v>
      </c>
      <c r="AP1165" s="20" t="s">
        <v>8</v>
      </c>
      <c r="AQ1165" s="25"/>
      <c r="AR1165" s="25"/>
      <c r="AS1165" s="25"/>
      <c r="AT1165" s="25"/>
      <c r="AU1165" s="36"/>
      <c r="AV1165" s="36"/>
      <c r="AW1165" s="36"/>
      <c r="AX1165" s="25"/>
      <c r="AY1165" s="25"/>
      <c r="AZ1165" s="25"/>
      <c r="BA1165" s="25"/>
      <c r="BB1165" s="25"/>
      <c r="BC1165" s="25"/>
      <c r="BD1165" s="25"/>
      <c r="BE1165" s="25"/>
      <c r="BF1165" s="25"/>
      <c r="BG1165" s="25"/>
      <c r="BH1165" s="25"/>
      <c r="BI1165" s="25"/>
      <c r="BJ1165" s="25"/>
      <c r="BK1165" s="25"/>
      <c r="BL1165" s="25"/>
      <c r="BM1165" s="25"/>
      <c r="BN1165" s="25"/>
      <c r="BO1165" s="25"/>
      <c r="BP1165" s="25"/>
      <c r="BQ1165" s="25"/>
      <c r="BR1165" s="25"/>
      <c r="BS1165" s="25"/>
      <c r="BT1165" s="25"/>
      <c r="BU1165" s="39">
        <v>43902</v>
      </c>
      <c r="BV1165" s="39" t="s">
        <v>1093</v>
      </c>
      <c r="BW1165" s="39" t="s">
        <v>2920</v>
      </c>
      <c r="BX1165" s="39" t="s">
        <v>268</v>
      </c>
      <c r="BY1165" s="71">
        <v>770</v>
      </c>
      <c r="BZ1165" s="71">
        <v>840</v>
      </c>
      <c r="CA1165" s="71">
        <v>1060</v>
      </c>
      <c r="CB1165" s="71">
        <v>1390</v>
      </c>
      <c r="CC1165" s="71">
        <v>1460</v>
      </c>
      <c r="CD1165" s="25"/>
      <c r="CE1165" s="200"/>
      <c r="CF1165" s="200"/>
      <c r="CG1165" s="200"/>
      <c r="CH1165" s="200"/>
      <c r="CI1165" s="200"/>
      <c r="CJ1165" s="200"/>
      <c r="CK1165" s="200"/>
      <c r="CL1165" s="200"/>
      <c r="CM1165" s="200"/>
      <c r="CN1165" s="200"/>
      <c r="CO1165" s="200"/>
      <c r="CP1165" s="200"/>
      <c r="CQ1165" s="200"/>
      <c r="CR1165" s="200"/>
      <c r="CS1165" s="200"/>
      <c r="CT1165" s="200"/>
      <c r="CU1165" s="200"/>
    </row>
    <row r="1166" spans="1:99" s="17" customFormat="1" x14ac:dyDescent="0.2">
      <c r="A1166" s="25"/>
      <c r="B1166" s="20">
        <v>39049008168</v>
      </c>
      <c r="C1166" s="20">
        <v>81.680000000000007</v>
      </c>
      <c r="D1166" s="20" t="s">
        <v>31</v>
      </c>
      <c r="E1166" s="20" t="s">
        <v>2830</v>
      </c>
      <c r="F1166" s="20" t="s">
        <v>8</v>
      </c>
      <c r="G1166" s="861">
        <v>54.214156360964601</v>
      </c>
      <c r="H1166" s="861">
        <v>65.181679231376094</v>
      </c>
      <c r="I1166" s="861">
        <v>43.6551489968639</v>
      </c>
      <c r="J1166" s="861">
        <v>49.032022984700198</v>
      </c>
      <c r="K1166" s="982">
        <v>0</v>
      </c>
      <c r="L1166" s="735" t="s">
        <v>2466</v>
      </c>
      <c r="M1166" s="735">
        <v>3602</v>
      </c>
      <c r="N1166" s="845" t="str">
        <f t="shared" si="103"/>
        <v/>
      </c>
      <c r="O1166" s="735">
        <v>3.9150160422937232</v>
      </c>
      <c r="P1166" s="735">
        <f t="shared" si="104"/>
        <v>920.04731553786075</v>
      </c>
      <c r="Q1166" s="849">
        <v>38.6</v>
      </c>
      <c r="R1166" s="71">
        <v>72478</v>
      </c>
      <c r="S1166" s="845">
        <v>0.12409772348695169</v>
      </c>
      <c r="T1166" s="845">
        <v>2.3E-2</v>
      </c>
      <c r="U1166" s="845">
        <v>0</v>
      </c>
      <c r="V1166" s="845">
        <v>0</v>
      </c>
      <c r="W1166" s="845">
        <v>0.39015939015939016</v>
      </c>
      <c r="X1166" s="845">
        <v>0.43694493783303728</v>
      </c>
      <c r="Y1166" s="845">
        <v>0.74097723486951694</v>
      </c>
      <c r="Z1166" s="845">
        <v>0.19017212659633537</v>
      </c>
      <c r="AA1166" s="845">
        <v>0</v>
      </c>
      <c r="AB1166" s="845">
        <v>1.6102165463631316E-2</v>
      </c>
      <c r="AC1166" s="845">
        <v>0</v>
      </c>
      <c r="AD1166" s="845">
        <v>8.3287062742920595E-3</v>
      </c>
      <c r="AE1166" s="845">
        <v>4.4419766796224322E-2</v>
      </c>
      <c r="AF1166" s="845">
        <v>3.6646307606885066E-2</v>
      </c>
      <c r="AG1166" s="845">
        <v>0.70932815102720714</v>
      </c>
      <c r="AH1166" s="20" t="str">
        <f t="shared" si="105"/>
        <v>No</v>
      </c>
      <c r="AI1166" s="25"/>
      <c r="AJ1166" s="20">
        <v>44857</v>
      </c>
      <c r="AK1166" s="20" t="s">
        <v>1503</v>
      </c>
      <c r="AL1166" s="20">
        <v>39077</v>
      </c>
      <c r="AM1166" s="20" t="s">
        <v>45</v>
      </c>
      <c r="AN1166" s="37" t="str">
        <f t="shared" si="106"/>
        <v>N/A</v>
      </c>
      <c r="AO1166" s="37" t="str">
        <f t="shared" si="107"/>
        <v>N/A</v>
      </c>
      <c r="AP1166" s="20" t="s">
        <v>8</v>
      </c>
      <c r="AQ1166" s="25"/>
      <c r="AR1166" s="25"/>
      <c r="AS1166" s="25"/>
      <c r="AT1166" s="25"/>
      <c r="AU1166" s="36"/>
      <c r="AV1166" s="36"/>
      <c r="AW1166" s="36"/>
      <c r="AX1166" s="25"/>
      <c r="AY1166" s="25"/>
      <c r="AZ1166" s="25"/>
      <c r="BA1166" s="25"/>
      <c r="BB1166" s="25"/>
      <c r="BC1166" s="25"/>
      <c r="BD1166" s="25"/>
      <c r="BE1166" s="25"/>
      <c r="BF1166" s="25"/>
      <c r="BG1166" s="25"/>
      <c r="BH1166" s="25"/>
      <c r="BI1166" s="25"/>
      <c r="BJ1166" s="25"/>
      <c r="BK1166" s="25"/>
      <c r="BL1166" s="25"/>
      <c r="BM1166" s="25"/>
      <c r="BN1166" s="25"/>
      <c r="BO1166" s="25"/>
      <c r="BP1166" s="25"/>
      <c r="BQ1166" s="25"/>
      <c r="BR1166" s="25"/>
      <c r="BS1166" s="25"/>
      <c r="BT1166" s="25"/>
      <c r="BU1166" s="39">
        <v>43905</v>
      </c>
      <c r="BV1166" s="39" t="s">
        <v>1095</v>
      </c>
      <c r="BW1166" s="39" t="s">
        <v>2920</v>
      </c>
      <c r="BX1166" s="39" t="s">
        <v>268</v>
      </c>
      <c r="BY1166" s="71">
        <v>720</v>
      </c>
      <c r="BZ1166" s="71">
        <v>860</v>
      </c>
      <c r="CA1166" s="71">
        <v>1050</v>
      </c>
      <c r="CB1166" s="71">
        <v>1350</v>
      </c>
      <c r="CC1166" s="71">
        <v>1490</v>
      </c>
      <c r="CD1166" s="25"/>
      <c r="CE1166" s="200"/>
      <c r="CF1166" s="200"/>
      <c r="CG1166" s="200"/>
      <c r="CH1166" s="200"/>
      <c r="CI1166" s="200"/>
      <c r="CJ1166" s="200"/>
      <c r="CK1166" s="200"/>
      <c r="CL1166" s="200"/>
      <c r="CM1166" s="200"/>
      <c r="CN1166" s="200"/>
      <c r="CO1166" s="200"/>
      <c r="CP1166" s="200"/>
      <c r="CQ1166" s="200"/>
      <c r="CR1166" s="200"/>
      <c r="CS1166" s="200"/>
      <c r="CT1166" s="200"/>
      <c r="CU1166" s="200"/>
    </row>
    <row r="1167" spans="1:99" s="17" customFormat="1" x14ac:dyDescent="0.2">
      <c r="A1167" s="25"/>
      <c r="B1167" s="20">
        <v>39005970300</v>
      </c>
      <c r="C1167" s="20">
        <v>9703</v>
      </c>
      <c r="D1167" s="20" t="s">
        <v>9</v>
      </c>
      <c r="E1167" s="20" t="s">
        <v>265</v>
      </c>
      <c r="F1167" s="20" t="s">
        <v>8</v>
      </c>
      <c r="G1167" s="861">
        <v>54.213008909994798</v>
      </c>
      <c r="H1167" s="861">
        <v>56.110973871599199</v>
      </c>
      <c r="I1167" s="861">
        <v>28.6314208672127</v>
      </c>
      <c r="J1167" s="861">
        <v>38.801650469699702</v>
      </c>
      <c r="K1167" s="982">
        <v>0</v>
      </c>
      <c r="L1167" s="735">
        <v>3924</v>
      </c>
      <c r="M1167" s="735">
        <v>3544</v>
      </c>
      <c r="N1167" s="845">
        <f t="shared" si="103"/>
        <v>-9.6839959225280325E-2</v>
      </c>
      <c r="O1167" s="735">
        <v>11.093183744384062</v>
      </c>
      <c r="P1167" s="735">
        <f t="shared" si="104"/>
        <v>319.47546183882105</v>
      </c>
      <c r="Q1167" s="849">
        <v>46.1</v>
      </c>
      <c r="R1167" s="71">
        <v>58989</v>
      </c>
      <c r="S1167" s="845">
        <v>0.16349701958558047</v>
      </c>
      <c r="T1167" s="845">
        <v>1.1000000000000001E-2</v>
      </c>
      <c r="U1167" s="845">
        <v>0</v>
      </c>
      <c r="V1167" s="845">
        <v>0</v>
      </c>
      <c r="W1167" s="845">
        <v>0.26674169949352844</v>
      </c>
      <c r="X1167" s="845">
        <v>0.43459915611814348</v>
      </c>
      <c r="Y1167" s="845">
        <v>0.93143340857787815</v>
      </c>
      <c r="Z1167" s="845">
        <v>3.2449209932279913E-2</v>
      </c>
      <c r="AA1167" s="845">
        <v>0</v>
      </c>
      <c r="AB1167" s="845">
        <v>0</v>
      </c>
      <c r="AC1167" s="845">
        <v>0</v>
      </c>
      <c r="AD1167" s="845">
        <v>1.6930022573363433E-2</v>
      </c>
      <c r="AE1167" s="845">
        <v>1.9187358916478554E-2</v>
      </c>
      <c r="AF1167" s="845">
        <v>1.6930022573363433E-2</v>
      </c>
      <c r="AG1167" s="845">
        <v>0.93143340857787815</v>
      </c>
      <c r="AH1167" s="20" t="str">
        <f t="shared" si="105"/>
        <v>Yes</v>
      </c>
      <c r="AI1167" s="25"/>
      <c r="AJ1167" s="20">
        <v>44865</v>
      </c>
      <c r="AK1167" s="20" t="s">
        <v>1507</v>
      </c>
      <c r="AL1167" s="20">
        <v>39077</v>
      </c>
      <c r="AM1167" s="20" t="s">
        <v>45</v>
      </c>
      <c r="AN1167" s="37" t="str">
        <f t="shared" si="106"/>
        <v>N/A</v>
      </c>
      <c r="AO1167" s="37" t="str">
        <f t="shared" si="107"/>
        <v>N/A</v>
      </c>
      <c r="AP1167" s="20" t="s">
        <v>8</v>
      </c>
      <c r="AQ1167" s="25"/>
      <c r="AR1167" s="25"/>
      <c r="AS1167" s="25"/>
      <c r="AT1167" s="25"/>
      <c r="AU1167" s="36"/>
      <c r="AV1167" s="36"/>
      <c r="AW1167" s="36"/>
      <c r="AX1167" s="25"/>
      <c r="AY1167" s="25"/>
      <c r="AZ1167" s="25"/>
      <c r="BA1167" s="25"/>
      <c r="BB1167" s="25"/>
      <c r="BC1167" s="25"/>
      <c r="BD1167" s="25"/>
      <c r="BE1167" s="25"/>
      <c r="BF1167" s="25"/>
      <c r="BG1167" s="25"/>
      <c r="BH1167" s="25"/>
      <c r="BI1167" s="25"/>
      <c r="BJ1167" s="25"/>
      <c r="BK1167" s="25"/>
      <c r="BL1167" s="25"/>
      <c r="BM1167" s="25"/>
      <c r="BN1167" s="25"/>
      <c r="BO1167" s="25"/>
      <c r="BP1167" s="25"/>
      <c r="BQ1167" s="25"/>
      <c r="BR1167" s="25"/>
      <c r="BS1167" s="25"/>
      <c r="BT1167" s="25"/>
      <c r="BU1167" s="39">
        <v>43906</v>
      </c>
      <c r="BV1167" s="39" t="s">
        <v>1096</v>
      </c>
      <c r="BW1167" s="39" t="s">
        <v>2920</v>
      </c>
      <c r="BX1167" s="39" t="s">
        <v>268</v>
      </c>
      <c r="BY1167" s="71">
        <v>670</v>
      </c>
      <c r="BZ1167" s="71">
        <v>800</v>
      </c>
      <c r="CA1167" s="71">
        <v>970</v>
      </c>
      <c r="CB1167" s="71">
        <v>1250</v>
      </c>
      <c r="CC1167" s="71">
        <v>1390</v>
      </c>
      <c r="CD1167" s="25"/>
      <c r="CE1167" s="200"/>
      <c r="CF1167" s="200"/>
      <c r="CG1167" s="200"/>
      <c r="CH1167" s="200"/>
      <c r="CI1167" s="200"/>
      <c r="CJ1167" s="200"/>
      <c r="CK1167" s="200"/>
      <c r="CL1167" s="200"/>
      <c r="CM1167" s="200"/>
      <c r="CN1167" s="200"/>
      <c r="CO1167" s="200"/>
      <c r="CP1167" s="200"/>
      <c r="CQ1167" s="200"/>
      <c r="CR1167" s="200"/>
      <c r="CS1167" s="200"/>
      <c r="CT1167" s="200"/>
      <c r="CU1167" s="200"/>
    </row>
    <row r="1168" spans="1:99" s="17" customFormat="1" x14ac:dyDescent="0.2">
      <c r="A1168" s="25"/>
      <c r="B1168" s="20">
        <v>39137030100</v>
      </c>
      <c r="C1168" s="20">
        <v>301</v>
      </c>
      <c r="D1168" s="20" t="s">
        <v>74</v>
      </c>
      <c r="E1168" s="20" t="s">
        <v>265</v>
      </c>
      <c r="F1168" s="20" t="s">
        <v>8</v>
      </c>
      <c r="G1168" s="861">
        <v>54.180739819568302</v>
      </c>
      <c r="H1168" s="861">
        <v>49.800010265463399</v>
      </c>
      <c r="I1168" s="861">
        <v>30.706923504039501</v>
      </c>
      <c r="J1168" s="861">
        <v>47.6080868489803</v>
      </c>
      <c r="K1168" s="982">
        <v>0</v>
      </c>
      <c r="L1168" s="735">
        <v>4531</v>
      </c>
      <c r="M1168" s="735">
        <v>4508</v>
      </c>
      <c r="N1168" s="845">
        <f t="shared" si="103"/>
        <v>-5.076142131979695E-3</v>
      </c>
      <c r="O1168" s="735">
        <v>72.611678128514654</v>
      </c>
      <c r="P1168" s="735">
        <f t="shared" si="104"/>
        <v>62.083677394445253</v>
      </c>
      <c r="Q1168" s="849">
        <v>35.4</v>
      </c>
      <c r="R1168" s="71">
        <v>79063</v>
      </c>
      <c r="S1168" s="845">
        <v>0.1045912653975364</v>
      </c>
      <c r="T1168" s="845">
        <v>2.1000000000000001E-2</v>
      </c>
      <c r="U1168" s="845">
        <v>2E-3</v>
      </c>
      <c r="V1168" s="845">
        <v>9.5000000000000001E-2</v>
      </c>
      <c r="W1168" s="845">
        <v>0.21987577639751552</v>
      </c>
      <c r="X1168" s="845">
        <v>0.39265536723163841</v>
      </c>
      <c r="Y1168" s="845">
        <v>0.75709849157054121</v>
      </c>
      <c r="Z1168" s="845">
        <v>7.5421472937000885E-3</v>
      </c>
      <c r="AA1168" s="845">
        <v>1.2200532386867791E-2</v>
      </c>
      <c r="AB1168" s="845">
        <v>0</v>
      </c>
      <c r="AC1168" s="845">
        <v>0</v>
      </c>
      <c r="AD1168" s="845">
        <v>0.15638864241348713</v>
      </c>
      <c r="AE1168" s="845">
        <v>6.6770186335403728E-2</v>
      </c>
      <c r="AF1168" s="845">
        <v>0.2391304347826087</v>
      </c>
      <c r="AG1168" s="845">
        <v>0.73136645962732916</v>
      </c>
      <c r="AH1168" s="20" t="str">
        <f t="shared" si="105"/>
        <v>No</v>
      </c>
      <c r="AI1168" s="25"/>
      <c r="AJ1168" s="20">
        <v>44878</v>
      </c>
      <c r="AK1168" s="20" t="s">
        <v>1513</v>
      </c>
      <c r="AL1168" s="20">
        <v>39077</v>
      </c>
      <c r="AM1168" s="20" t="s">
        <v>45</v>
      </c>
      <c r="AN1168" s="37" t="str">
        <f t="shared" si="106"/>
        <v>N/A</v>
      </c>
      <c r="AO1168" s="37" t="str">
        <f t="shared" si="107"/>
        <v>N/A</v>
      </c>
      <c r="AP1168" s="20" t="s">
        <v>8</v>
      </c>
      <c r="AQ1168" s="25"/>
      <c r="AR1168" s="25"/>
      <c r="AS1168" s="25"/>
      <c r="AT1168" s="25"/>
      <c r="AU1168" s="36"/>
      <c r="AV1168" s="36"/>
      <c r="AW1168" s="36"/>
      <c r="AX1168" s="25"/>
      <c r="AY1168" s="25"/>
      <c r="AZ1168" s="25"/>
      <c r="BA1168" s="25"/>
      <c r="BB1168" s="25"/>
      <c r="BC1168" s="25"/>
      <c r="BD1168" s="25"/>
      <c r="BE1168" s="25"/>
      <c r="BF1168" s="25"/>
      <c r="BG1168" s="25"/>
      <c r="BH1168" s="25"/>
      <c r="BI1168" s="25"/>
      <c r="BJ1168" s="25"/>
      <c r="BK1168" s="25"/>
      <c r="BL1168" s="25"/>
      <c r="BM1168" s="25"/>
      <c r="BN1168" s="25"/>
      <c r="BO1168" s="25"/>
      <c r="BP1168" s="25"/>
      <c r="BQ1168" s="25"/>
      <c r="BR1168" s="25"/>
      <c r="BS1168" s="25"/>
      <c r="BT1168" s="25"/>
      <c r="BU1168" s="39">
        <v>43909</v>
      </c>
      <c r="BV1168" s="39" t="s">
        <v>1099</v>
      </c>
      <c r="BW1168" s="39" t="s">
        <v>2920</v>
      </c>
      <c r="BX1168" s="39" t="s">
        <v>268</v>
      </c>
      <c r="BY1168" s="71">
        <v>680</v>
      </c>
      <c r="BZ1168" s="71">
        <v>810</v>
      </c>
      <c r="CA1168" s="71">
        <v>980</v>
      </c>
      <c r="CB1168" s="71">
        <v>1260</v>
      </c>
      <c r="CC1168" s="71">
        <v>1400</v>
      </c>
      <c r="CD1168" s="25"/>
      <c r="CE1168" s="200"/>
      <c r="CF1168" s="200"/>
      <c r="CG1168" s="200"/>
      <c r="CH1168" s="200"/>
      <c r="CI1168" s="200"/>
      <c r="CJ1168" s="200"/>
      <c r="CK1168" s="200"/>
      <c r="CL1168" s="200"/>
      <c r="CM1168" s="200"/>
      <c r="CN1168" s="200"/>
      <c r="CO1168" s="200"/>
      <c r="CP1168" s="200"/>
      <c r="CQ1168" s="200"/>
      <c r="CR1168" s="200"/>
      <c r="CS1168" s="200"/>
      <c r="CT1168" s="200"/>
      <c r="CU1168" s="200"/>
    </row>
    <row r="1169" spans="1:99" s="17" customFormat="1" x14ac:dyDescent="0.2">
      <c r="A1169" s="25"/>
      <c r="B1169" s="20">
        <v>39165030101</v>
      </c>
      <c r="C1169" s="20">
        <v>301.01</v>
      </c>
      <c r="D1169" s="20" t="s">
        <v>88</v>
      </c>
      <c r="E1169" s="20" t="s">
        <v>2828</v>
      </c>
      <c r="F1169" s="20" t="s">
        <v>8</v>
      </c>
      <c r="G1169" s="861">
        <v>54.180686254259101</v>
      </c>
      <c r="H1169" s="861">
        <v>60.269372026959701</v>
      </c>
      <c r="I1169" s="861">
        <v>23.0742432204474</v>
      </c>
      <c r="J1169" s="861">
        <v>40.171890283475904</v>
      </c>
      <c r="K1169" s="982">
        <v>0</v>
      </c>
      <c r="L1169" s="735">
        <v>4283</v>
      </c>
      <c r="M1169" s="735">
        <v>3806</v>
      </c>
      <c r="N1169" s="845">
        <f t="shared" si="103"/>
        <v>-0.11137053467195891</v>
      </c>
      <c r="O1169" s="735">
        <v>4.4149843606810997</v>
      </c>
      <c r="P1169" s="735">
        <f t="shared" si="104"/>
        <v>862.06420885550961</v>
      </c>
      <c r="Q1169" s="849">
        <v>44.2</v>
      </c>
      <c r="R1169" s="71">
        <v>91000</v>
      </c>
      <c r="S1169" s="845">
        <v>4.5980031529164474E-2</v>
      </c>
      <c r="T1169" s="845">
        <v>2.5000000000000001E-2</v>
      </c>
      <c r="U1169" s="845">
        <v>0</v>
      </c>
      <c r="V1169" s="845">
        <v>0</v>
      </c>
      <c r="W1169" s="845">
        <v>0.11618257261410789</v>
      </c>
      <c r="X1169" s="845">
        <v>0.31547619047619047</v>
      </c>
      <c r="Y1169" s="845">
        <v>0.95034156594850239</v>
      </c>
      <c r="Z1169" s="845">
        <v>9.9842354177614289E-3</v>
      </c>
      <c r="AA1169" s="845">
        <v>3.6784025223331584E-3</v>
      </c>
      <c r="AB1169" s="845">
        <v>0</v>
      </c>
      <c r="AC1169" s="845">
        <v>0</v>
      </c>
      <c r="AD1169" s="845">
        <v>0</v>
      </c>
      <c r="AE1169" s="845">
        <v>3.599579611140305E-2</v>
      </c>
      <c r="AF1169" s="845">
        <v>1.8392012611665792E-3</v>
      </c>
      <c r="AG1169" s="845">
        <v>0.95034156594850239</v>
      </c>
      <c r="AH1169" s="20" t="str">
        <f t="shared" si="105"/>
        <v>Yes</v>
      </c>
      <c r="AI1169" s="25"/>
      <c r="AJ1169" s="37">
        <v>44889</v>
      </c>
      <c r="AK1169" s="37" t="s">
        <v>1519</v>
      </c>
      <c r="AL1169" s="37">
        <v>39077</v>
      </c>
      <c r="AM1169" s="37" t="s">
        <v>45</v>
      </c>
      <c r="AN1169" s="37" t="str">
        <f t="shared" si="106"/>
        <v>N/A</v>
      </c>
      <c r="AO1169" s="37" t="str">
        <f t="shared" si="107"/>
        <v>N/A</v>
      </c>
      <c r="AP1169" s="20" t="s">
        <v>8</v>
      </c>
      <c r="AQ1169" s="25"/>
      <c r="AR1169" s="25"/>
      <c r="AS1169" s="25"/>
      <c r="AT1169" s="25"/>
      <c r="AU1169" s="36"/>
      <c r="AV1169" s="36"/>
      <c r="AW1169" s="36"/>
      <c r="AX1169" s="25"/>
      <c r="AY1169" s="25"/>
      <c r="AZ1169" s="25"/>
      <c r="BA1169" s="25"/>
      <c r="BB1169" s="25"/>
      <c r="BC1169" s="25"/>
      <c r="BD1169" s="25"/>
      <c r="BE1169" s="25"/>
      <c r="BF1169" s="25"/>
      <c r="BG1169" s="25"/>
      <c r="BH1169" s="25"/>
      <c r="BI1169" s="25"/>
      <c r="BJ1169" s="25"/>
      <c r="BK1169" s="25"/>
      <c r="BL1169" s="25"/>
      <c r="BM1169" s="25"/>
      <c r="BN1169" s="25"/>
      <c r="BO1169" s="25"/>
      <c r="BP1169" s="25"/>
      <c r="BQ1169" s="25"/>
      <c r="BR1169" s="25"/>
      <c r="BS1169" s="25"/>
      <c r="BT1169" s="25"/>
      <c r="BU1169" s="39">
        <v>43912</v>
      </c>
      <c r="BV1169" s="39" t="s">
        <v>1101</v>
      </c>
      <c r="BW1169" s="39" t="s">
        <v>2920</v>
      </c>
      <c r="BX1169" s="39" t="s">
        <v>268</v>
      </c>
      <c r="BY1169" s="71">
        <v>670</v>
      </c>
      <c r="BZ1169" s="71">
        <v>800</v>
      </c>
      <c r="CA1169" s="71">
        <v>970</v>
      </c>
      <c r="CB1169" s="71">
        <v>1250</v>
      </c>
      <c r="CC1169" s="71">
        <v>1390</v>
      </c>
      <c r="CD1169" s="25"/>
      <c r="CE1169" s="200"/>
      <c r="CF1169" s="200"/>
      <c r="CG1169" s="200"/>
      <c r="CH1169" s="200"/>
      <c r="CI1169" s="200"/>
      <c r="CJ1169" s="200"/>
      <c r="CK1169" s="200"/>
      <c r="CL1169" s="200"/>
      <c r="CM1169" s="200"/>
      <c r="CN1169" s="200"/>
      <c r="CO1169" s="200"/>
      <c r="CP1169" s="200"/>
      <c r="CQ1169" s="200"/>
      <c r="CR1169" s="200"/>
      <c r="CS1169" s="200"/>
      <c r="CT1169" s="200"/>
      <c r="CU1169" s="200"/>
    </row>
    <row r="1170" spans="1:99" s="17" customFormat="1" x14ac:dyDescent="0.2">
      <c r="A1170" s="25"/>
      <c r="B1170" s="20">
        <v>39049004200</v>
      </c>
      <c r="C1170" s="20">
        <v>42</v>
      </c>
      <c r="D1170" s="20" t="s">
        <v>31</v>
      </c>
      <c r="E1170" s="20" t="s">
        <v>2830</v>
      </c>
      <c r="F1170" s="20" t="s">
        <v>6</v>
      </c>
      <c r="G1170" s="861">
        <v>54.165112137001202</v>
      </c>
      <c r="H1170" s="861">
        <v>60.566691168029998</v>
      </c>
      <c r="I1170" s="861">
        <v>41.7850101691688</v>
      </c>
      <c r="J1170" s="861">
        <v>100</v>
      </c>
      <c r="K1170" s="982">
        <v>0</v>
      </c>
      <c r="L1170" s="735">
        <v>692</v>
      </c>
      <c r="M1170" s="735">
        <v>779</v>
      </c>
      <c r="N1170" s="845">
        <f t="shared" si="103"/>
        <v>0.12572254335260116</v>
      </c>
      <c r="O1170" s="735">
        <v>0.45860789685246861</v>
      </c>
      <c r="P1170" s="735">
        <f t="shared" si="104"/>
        <v>1698.6188099822441</v>
      </c>
      <c r="Q1170" s="849">
        <v>33.299999999999997</v>
      </c>
      <c r="R1170" s="71">
        <v>58500</v>
      </c>
      <c r="S1170" s="845">
        <v>0.29910141206675223</v>
      </c>
      <c r="T1170" s="845">
        <v>7.0999999999999994E-2</v>
      </c>
      <c r="U1170" s="845">
        <v>0</v>
      </c>
      <c r="V1170" s="845">
        <v>0.19399999999999998</v>
      </c>
      <c r="W1170" s="845">
        <v>0.90248962655601661</v>
      </c>
      <c r="X1170" s="845">
        <v>0.36781609195402298</v>
      </c>
      <c r="Y1170" s="845">
        <v>0.55712451861360723</v>
      </c>
      <c r="Z1170" s="845">
        <v>0.3080872913992298</v>
      </c>
      <c r="AA1170" s="845">
        <v>0</v>
      </c>
      <c r="AB1170" s="845">
        <v>1.540436456996149E-2</v>
      </c>
      <c r="AC1170" s="845">
        <v>0</v>
      </c>
      <c r="AD1170" s="845">
        <v>2.3106546854942234E-2</v>
      </c>
      <c r="AE1170" s="845">
        <v>9.6277278562259302E-2</v>
      </c>
      <c r="AF1170" s="845">
        <v>3.0808729139922979E-2</v>
      </c>
      <c r="AG1170" s="845">
        <v>0.54942233632862647</v>
      </c>
      <c r="AH1170" s="20" t="str">
        <f t="shared" si="105"/>
        <v>No</v>
      </c>
      <c r="AI1170" s="25"/>
      <c r="AJ1170" s="20">
        <v>44890</v>
      </c>
      <c r="AK1170" s="20" t="s">
        <v>1520</v>
      </c>
      <c r="AL1170" s="20">
        <v>39077</v>
      </c>
      <c r="AM1170" s="20" t="s">
        <v>45</v>
      </c>
      <c r="AN1170" s="37" t="str">
        <f t="shared" si="106"/>
        <v>N/A</v>
      </c>
      <c r="AO1170" s="37" t="str">
        <f t="shared" si="107"/>
        <v>N/A</v>
      </c>
      <c r="AP1170" s="20" t="s">
        <v>8</v>
      </c>
      <c r="AQ1170" s="25"/>
      <c r="AR1170" s="25"/>
      <c r="AS1170" s="25"/>
      <c r="AT1170" s="25"/>
      <c r="AU1170" s="36"/>
      <c r="AV1170" s="36"/>
      <c r="AW1170" s="36"/>
      <c r="AX1170" s="25"/>
      <c r="AY1170" s="25"/>
      <c r="AZ1170" s="25"/>
      <c r="BA1170" s="25"/>
      <c r="BB1170" s="25"/>
      <c r="BC1170" s="25"/>
      <c r="BD1170" s="25"/>
      <c r="BE1170" s="25"/>
      <c r="BF1170" s="25"/>
      <c r="BG1170" s="25"/>
      <c r="BH1170" s="25"/>
      <c r="BI1170" s="25"/>
      <c r="BJ1170" s="25"/>
      <c r="BK1170" s="25"/>
      <c r="BL1170" s="25"/>
      <c r="BM1170" s="25"/>
      <c r="BN1170" s="25"/>
      <c r="BO1170" s="25"/>
      <c r="BP1170" s="25"/>
      <c r="BQ1170" s="25"/>
      <c r="BR1170" s="25"/>
      <c r="BS1170" s="25"/>
      <c r="BT1170" s="25"/>
      <c r="BU1170" s="39">
        <v>43928</v>
      </c>
      <c r="BV1170" s="39" t="s">
        <v>1109</v>
      </c>
      <c r="BW1170" s="39" t="s">
        <v>2920</v>
      </c>
      <c r="BX1170" s="39" t="s">
        <v>268</v>
      </c>
      <c r="BY1170" s="71">
        <v>770</v>
      </c>
      <c r="BZ1170" s="71">
        <v>920</v>
      </c>
      <c r="CA1170" s="71">
        <v>1120</v>
      </c>
      <c r="CB1170" s="71">
        <v>1450</v>
      </c>
      <c r="CC1170" s="71">
        <v>1590</v>
      </c>
      <c r="CD1170" s="25"/>
      <c r="CE1170" s="200"/>
      <c r="CF1170" s="200"/>
      <c r="CG1170" s="200"/>
      <c r="CH1170" s="200"/>
      <c r="CI1170" s="200"/>
      <c r="CJ1170" s="200"/>
      <c r="CK1170" s="200"/>
      <c r="CL1170" s="200"/>
      <c r="CM1170" s="200"/>
      <c r="CN1170" s="200"/>
      <c r="CO1170" s="200"/>
      <c r="CP1170" s="200"/>
      <c r="CQ1170" s="200"/>
      <c r="CR1170" s="200"/>
      <c r="CS1170" s="200"/>
      <c r="CT1170" s="200"/>
      <c r="CU1170" s="200"/>
    </row>
    <row r="1171" spans="1:99" s="17" customFormat="1" x14ac:dyDescent="0.2">
      <c r="A1171" s="25"/>
      <c r="B1171" s="20">
        <v>39035151700</v>
      </c>
      <c r="C1171" s="20">
        <v>1517</v>
      </c>
      <c r="D1171" s="20" t="s">
        <v>24</v>
      </c>
      <c r="E1171" s="20" t="s">
        <v>2829</v>
      </c>
      <c r="F1171" s="20" t="s">
        <v>8</v>
      </c>
      <c r="G1171" s="861">
        <v>54.124766330890097</v>
      </c>
      <c r="H1171" s="861">
        <v>62.272702688481402</v>
      </c>
      <c r="I1171" s="861">
        <v>77.607421922389506</v>
      </c>
      <c r="J1171" s="861">
        <v>53.8527409489947</v>
      </c>
      <c r="K1171" s="982">
        <v>0</v>
      </c>
      <c r="L1171" s="735">
        <v>1251</v>
      </c>
      <c r="M1171" s="735">
        <v>1322</v>
      </c>
      <c r="N1171" s="845">
        <f t="shared" si="103"/>
        <v>5.675459632294165E-2</v>
      </c>
      <c r="O1171" s="735">
        <v>0.19070357817202491</v>
      </c>
      <c r="P1171" s="735">
        <f t="shared" si="104"/>
        <v>6932.224411686102</v>
      </c>
      <c r="Q1171" s="849">
        <v>30.7</v>
      </c>
      <c r="R1171" s="71">
        <v>44276</v>
      </c>
      <c r="S1171" s="845">
        <v>0.4</v>
      </c>
      <c r="T1171" s="845">
        <v>0.158</v>
      </c>
      <c r="U1171" s="845">
        <v>0</v>
      </c>
      <c r="V1171" s="845">
        <v>0.23600000000000002</v>
      </c>
      <c r="W1171" s="845">
        <v>0.32516703786191536</v>
      </c>
      <c r="X1171" s="845">
        <v>0.76712328767123283</v>
      </c>
      <c r="Y1171" s="845">
        <v>1.3615733736762481E-2</v>
      </c>
      <c r="Z1171" s="845">
        <v>0.94704992435703483</v>
      </c>
      <c r="AA1171" s="845">
        <v>0</v>
      </c>
      <c r="AB1171" s="845">
        <v>1.588502269288956E-2</v>
      </c>
      <c r="AC1171" s="845">
        <v>0</v>
      </c>
      <c r="AD1171" s="845">
        <v>0</v>
      </c>
      <c r="AE1171" s="845">
        <v>2.3449319213313162E-2</v>
      </c>
      <c r="AF1171" s="845">
        <v>0</v>
      </c>
      <c r="AG1171" s="845">
        <v>1.3615733736762481E-2</v>
      </c>
      <c r="AH1171" s="20" t="str">
        <f t="shared" si="105"/>
        <v>No</v>
      </c>
      <c r="AI1171" s="25"/>
      <c r="AJ1171" s="20">
        <v>45601</v>
      </c>
      <c r="AK1171" s="20" t="s">
        <v>1768</v>
      </c>
      <c r="AL1171" s="20">
        <v>39079</v>
      </c>
      <c r="AM1171" s="20" t="s">
        <v>46</v>
      </c>
      <c r="AN1171" s="37" t="str">
        <f t="shared" si="106"/>
        <v>N/A</v>
      </c>
      <c r="AO1171" s="37" t="str">
        <f t="shared" si="107"/>
        <v>N/A</v>
      </c>
      <c r="AP1171" s="20" t="s">
        <v>8</v>
      </c>
      <c r="AQ1171" s="25"/>
      <c r="AR1171" s="25"/>
      <c r="AS1171" s="25"/>
      <c r="AT1171" s="25"/>
      <c r="AU1171" s="36"/>
      <c r="AV1171" s="36"/>
      <c r="AW1171" s="36"/>
      <c r="AX1171" s="25"/>
      <c r="AY1171" s="25"/>
      <c r="AZ1171" s="25"/>
      <c r="BA1171" s="25"/>
      <c r="BB1171" s="25"/>
      <c r="BC1171" s="25"/>
      <c r="BD1171" s="25"/>
      <c r="BE1171" s="25"/>
      <c r="BF1171" s="25"/>
      <c r="BG1171" s="25"/>
      <c r="BH1171" s="25"/>
      <c r="BI1171" s="25"/>
      <c r="BJ1171" s="25"/>
      <c r="BK1171" s="25"/>
      <c r="BL1171" s="25"/>
      <c r="BM1171" s="25"/>
      <c r="BN1171" s="25"/>
      <c r="BO1171" s="25"/>
      <c r="BP1171" s="25"/>
      <c r="BQ1171" s="25"/>
      <c r="BR1171" s="25"/>
      <c r="BS1171" s="25"/>
      <c r="BT1171" s="25"/>
      <c r="BU1171" s="39">
        <v>43933</v>
      </c>
      <c r="BV1171" s="39" t="s">
        <v>1113</v>
      </c>
      <c r="BW1171" s="39" t="s">
        <v>2920</v>
      </c>
      <c r="BX1171" s="39" t="s">
        <v>268</v>
      </c>
      <c r="BY1171" s="71">
        <v>720</v>
      </c>
      <c r="BZ1171" s="71">
        <v>860</v>
      </c>
      <c r="CA1171" s="71">
        <v>1050</v>
      </c>
      <c r="CB1171" s="71">
        <v>1350</v>
      </c>
      <c r="CC1171" s="71">
        <v>1500</v>
      </c>
      <c r="CD1171" s="25"/>
      <c r="CE1171" s="200"/>
      <c r="CF1171" s="200"/>
      <c r="CG1171" s="200"/>
      <c r="CH1171" s="200"/>
      <c r="CI1171" s="200"/>
      <c r="CJ1171" s="200"/>
      <c r="CK1171" s="200"/>
      <c r="CL1171" s="200"/>
      <c r="CM1171" s="200"/>
      <c r="CN1171" s="200"/>
      <c r="CO1171" s="200"/>
      <c r="CP1171" s="200"/>
      <c r="CQ1171" s="200"/>
      <c r="CR1171" s="200"/>
      <c r="CS1171" s="200"/>
      <c r="CT1171" s="200"/>
      <c r="CU1171" s="200"/>
    </row>
    <row r="1172" spans="1:99" s="17" customFormat="1" x14ac:dyDescent="0.2">
      <c r="A1172" s="25"/>
      <c r="B1172" s="20">
        <v>39061009901</v>
      </c>
      <c r="C1172" s="20">
        <v>99.01</v>
      </c>
      <c r="D1172" s="20" t="s">
        <v>37</v>
      </c>
      <c r="E1172" s="20" t="s">
        <v>2828</v>
      </c>
      <c r="F1172" s="20" t="s">
        <v>8</v>
      </c>
      <c r="G1172" s="861">
        <v>54.089811073224801</v>
      </c>
      <c r="H1172" s="861">
        <v>67.839909688023099</v>
      </c>
      <c r="I1172" s="861">
        <v>40.960951092567903</v>
      </c>
      <c r="J1172" s="861">
        <v>45.774342219525799</v>
      </c>
      <c r="K1172" s="982">
        <v>0</v>
      </c>
      <c r="L1172" s="735">
        <v>4161</v>
      </c>
      <c r="M1172" s="735">
        <v>4394</v>
      </c>
      <c r="N1172" s="845">
        <f t="shared" si="103"/>
        <v>5.599615477048786E-2</v>
      </c>
      <c r="O1172" s="735">
        <v>0.60094329931113089</v>
      </c>
      <c r="P1172" s="735">
        <f t="shared" si="104"/>
        <v>7311.8379138878818</v>
      </c>
      <c r="Q1172" s="849">
        <v>36.200000000000003</v>
      </c>
      <c r="R1172" s="71">
        <v>62783</v>
      </c>
      <c r="S1172" s="845">
        <v>6.736458807464725E-2</v>
      </c>
      <c r="T1172" s="845">
        <v>3.9E-2</v>
      </c>
      <c r="U1172" s="845">
        <v>8.0000000000000002E-3</v>
      </c>
      <c r="V1172" s="845">
        <v>0.06</v>
      </c>
      <c r="W1172" s="845">
        <v>0.33074361820199777</v>
      </c>
      <c r="X1172" s="845">
        <v>0.6761744966442953</v>
      </c>
      <c r="Y1172" s="845">
        <v>0.62312243969048697</v>
      </c>
      <c r="Z1172" s="845">
        <v>0.23918980427856168</v>
      </c>
      <c r="AA1172" s="845">
        <v>0</v>
      </c>
      <c r="AB1172" s="845">
        <v>1.0468821119708694E-2</v>
      </c>
      <c r="AC1172" s="845">
        <v>0</v>
      </c>
      <c r="AD1172" s="845">
        <v>0</v>
      </c>
      <c r="AE1172" s="845">
        <v>0.12721893491124261</v>
      </c>
      <c r="AF1172" s="845">
        <v>3.9144287664997723E-2</v>
      </c>
      <c r="AG1172" s="845">
        <v>0.60605370960400551</v>
      </c>
      <c r="AH1172" s="20" t="str">
        <f t="shared" si="105"/>
        <v>No</v>
      </c>
      <c r="AI1172" s="25"/>
      <c r="AJ1172" s="37">
        <v>45613</v>
      </c>
      <c r="AK1172" s="37" t="s">
        <v>1770</v>
      </c>
      <c r="AL1172" s="37">
        <v>39079</v>
      </c>
      <c r="AM1172" s="37" t="s">
        <v>46</v>
      </c>
      <c r="AN1172" s="37" t="str">
        <f t="shared" si="106"/>
        <v>N/A</v>
      </c>
      <c r="AO1172" s="37" t="str">
        <f t="shared" si="107"/>
        <v>N/A</v>
      </c>
      <c r="AP1172" s="20" t="s">
        <v>8</v>
      </c>
      <c r="AQ1172" s="25"/>
      <c r="AR1172" s="25"/>
      <c r="AS1172" s="25"/>
      <c r="AT1172" s="25"/>
      <c r="AU1172" s="36"/>
      <c r="AV1172" s="36"/>
      <c r="AW1172" s="36"/>
      <c r="AX1172" s="25"/>
      <c r="AY1172" s="25"/>
      <c r="AZ1172" s="25"/>
      <c r="BA1172" s="25"/>
      <c r="BB1172" s="25"/>
      <c r="BC1172" s="25"/>
      <c r="BD1172" s="25"/>
      <c r="BE1172" s="25"/>
      <c r="BF1172" s="25"/>
      <c r="BG1172" s="25"/>
      <c r="BH1172" s="25"/>
      <c r="BI1172" s="25"/>
      <c r="BJ1172" s="25"/>
      <c r="BK1172" s="25"/>
      <c r="BL1172" s="25"/>
      <c r="BM1172" s="25"/>
      <c r="BN1172" s="25"/>
      <c r="BO1172" s="25"/>
      <c r="BP1172" s="25"/>
      <c r="BQ1172" s="25"/>
      <c r="BR1172" s="25"/>
      <c r="BS1172" s="25"/>
      <c r="BT1172" s="25"/>
      <c r="BU1172" s="39">
        <v>43934</v>
      </c>
      <c r="BV1172" s="39" t="s">
        <v>1114</v>
      </c>
      <c r="BW1172" s="39" t="s">
        <v>2920</v>
      </c>
      <c r="BX1172" s="39" t="s">
        <v>268</v>
      </c>
      <c r="BY1172" s="71">
        <v>670</v>
      </c>
      <c r="BZ1172" s="71">
        <v>800</v>
      </c>
      <c r="CA1172" s="71">
        <v>970</v>
      </c>
      <c r="CB1172" s="71">
        <v>1250</v>
      </c>
      <c r="CC1172" s="71">
        <v>1390</v>
      </c>
      <c r="CD1172" s="25"/>
      <c r="CE1172" s="200"/>
      <c r="CF1172" s="200"/>
      <c r="CG1172" s="200"/>
      <c r="CH1172" s="200"/>
      <c r="CI1172" s="200"/>
      <c r="CJ1172" s="200"/>
      <c r="CK1172" s="200"/>
      <c r="CL1172" s="200"/>
      <c r="CM1172" s="200"/>
      <c r="CN1172" s="200"/>
      <c r="CO1172" s="200"/>
      <c r="CP1172" s="200"/>
      <c r="CQ1172" s="200"/>
      <c r="CR1172" s="200"/>
      <c r="CS1172" s="200"/>
      <c r="CT1172" s="200"/>
      <c r="CU1172" s="200"/>
    </row>
    <row r="1173" spans="1:99" s="17" customFormat="1" x14ac:dyDescent="0.2">
      <c r="A1173" s="25"/>
      <c r="B1173" s="20">
        <v>39099811700</v>
      </c>
      <c r="C1173" s="20">
        <v>8117</v>
      </c>
      <c r="D1173" s="20" t="s">
        <v>55</v>
      </c>
      <c r="E1173" s="20" t="s">
        <v>2842</v>
      </c>
      <c r="F1173" s="20" t="s">
        <v>8</v>
      </c>
      <c r="G1173" s="861">
        <v>54.077053211136601</v>
      </c>
      <c r="H1173" s="861">
        <v>53.413624531525997</v>
      </c>
      <c r="I1173" s="861">
        <v>43.122696788549703</v>
      </c>
      <c r="J1173" s="861">
        <v>24.084345587713099</v>
      </c>
      <c r="K1173" s="982">
        <v>0</v>
      </c>
      <c r="L1173" s="735">
        <v>2569</v>
      </c>
      <c r="M1173" s="735">
        <v>2432</v>
      </c>
      <c r="N1173" s="845">
        <f t="shared" si="103"/>
        <v>-5.3328143246399375E-2</v>
      </c>
      <c r="O1173" s="735">
        <v>0.75856989165869182</v>
      </c>
      <c r="P1173" s="735">
        <f t="shared" si="104"/>
        <v>3206.0328609697117</v>
      </c>
      <c r="Q1173" s="849">
        <v>41.7</v>
      </c>
      <c r="R1173" s="71">
        <v>63992</v>
      </c>
      <c r="S1173" s="845">
        <v>0.16036184210526316</v>
      </c>
      <c r="T1173" s="845">
        <v>2.6000000000000002E-2</v>
      </c>
      <c r="U1173" s="845">
        <v>0</v>
      </c>
      <c r="V1173" s="845">
        <v>6.5000000000000002E-2</v>
      </c>
      <c r="W1173" s="845">
        <v>0.33594429939077458</v>
      </c>
      <c r="X1173" s="845">
        <v>0.58549222797927458</v>
      </c>
      <c r="Y1173" s="845">
        <v>0.89925986842105265</v>
      </c>
      <c r="Z1173" s="845">
        <v>4.8108552631578948E-2</v>
      </c>
      <c r="AA1173" s="845">
        <v>0</v>
      </c>
      <c r="AB1173" s="845">
        <v>0</v>
      </c>
      <c r="AC1173" s="845">
        <v>0</v>
      </c>
      <c r="AD1173" s="845">
        <v>2.7138157894736843E-2</v>
      </c>
      <c r="AE1173" s="845">
        <v>2.5493421052631578E-2</v>
      </c>
      <c r="AF1173" s="845">
        <v>5.2631578947368418E-2</v>
      </c>
      <c r="AG1173" s="845">
        <v>0.87787828947368418</v>
      </c>
      <c r="AH1173" s="20" t="str">
        <f t="shared" si="105"/>
        <v>No</v>
      </c>
      <c r="AI1173" s="25"/>
      <c r="AJ1173" s="20">
        <v>45621</v>
      </c>
      <c r="AK1173" s="20" t="s">
        <v>1777</v>
      </c>
      <c r="AL1173" s="20">
        <v>39079</v>
      </c>
      <c r="AM1173" s="20" t="s">
        <v>46</v>
      </c>
      <c r="AN1173" s="37" t="str">
        <f t="shared" si="106"/>
        <v>N/A</v>
      </c>
      <c r="AO1173" s="37" t="str">
        <f t="shared" si="107"/>
        <v>N/A</v>
      </c>
      <c r="AP1173" s="20" t="s">
        <v>8</v>
      </c>
      <c r="AQ1173" s="25"/>
      <c r="AR1173" s="25"/>
      <c r="AS1173" s="25"/>
      <c r="AT1173" s="25"/>
      <c r="AU1173" s="36"/>
      <c r="AV1173" s="36"/>
      <c r="AW1173" s="36"/>
      <c r="AX1173" s="25"/>
      <c r="AY1173" s="25"/>
      <c r="AZ1173" s="25"/>
      <c r="BA1173" s="25"/>
      <c r="BB1173" s="25"/>
      <c r="BC1173" s="25"/>
      <c r="BD1173" s="25"/>
      <c r="BE1173" s="25"/>
      <c r="BF1173" s="25"/>
      <c r="BG1173" s="25"/>
      <c r="BH1173" s="25"/>
      <c r="BI1173" s="25"/>
      <c r="BJ1173" s="25"/>
      <c r="BK1173" s="25"/>
      <c r="BL1173" s="25"/>
      <c r="BM1173" s="25"/>
      <c r="BN1173" s="25"/>
      <c r="BO1173" s="25"/>
      <c r="BP1173" s="25"/>
      <c r="BQ1173" s="25"/>
      <c r="BR1173" s="25"/>
      <c r="BS1173" s="25"/>
      <c r="BT1173" s="25"/>
      <c r="BU1173" s="39">
        <v>43935</v>
      </c>
      <c r="BV1173" s="39" t="s">
        <v>1115</v>
      </c>
      <c r="BW1173" s="39" t="s">
        <v>2920</v>
      </c>
      <c r="BX1173" s="39" t="s">
        <v>268</v>
      </c>
      <c r="BY1173" s="71">
        <v>670</v>
      </c>
      <c r="BZ1173" s="71">
        <v>800</v>
      </c>
      <c r="CA1173" s="71">
        <v>970</v>
      </c>
      <c r="CB1173" s="71">
        <v>1250</v>
      </c>
      <c r="CC1173" s="71">
        <v>1390</v>
      </c>
      <c r="CD1173" s="25"/>
      <c r="CE1173" s="200"/>
      <c r="CF1173" s="200"/>
      <c r="CG1173" s="200"/>
      <c r="CH1173" s="200"/>
      <c r="CI1173" s="200"/>
      <c r="CJ1173" s="200"/>
      <c r="CK1173" s="200"/>
      <c r="CL1173" s="200"/>
      <c r="CM1173" s="200"/>
      <c r="CN1173" s="200"/>
      <c r="CO1173" s="200"/>
      <c r="CP1173" s="200"/>
      <c r="CQ1173" s="200"/>
      <c r="CR1173" s="200"/>
      <c r="CS1173" s="200"/>
      <c r="CT1173" s="200"/>
      <c r="CU1173" s="200"/>
    </row>
    <row r="1174" spans="1:99" s="17" customFormat="1" x14ac:dyDescent="0.2">
      <c r="A1174" s="25"/>
      <c r="B1174" s="20">
        <v>39095008000</v>
      </c>
      <c r="C1174" s="20">
        <v>80</v>
      </c>
      <c r="D1174" s="20" t="s">
        <v>53</v>
      </c>
      <c r="E1174" s="20" t="s">
        <v>2839</v>
      </c>
      <c r="F1174" s="20" t="s">
        <v>8</v>
      </c>
      <c r="G1174" s="861">
        <v>54.064018886625099</v>
      </c>
      <c r="H1174" s="861">
        <v>49.445399385379197</v>
      </c>
      <c r="I1174" s="861">
        <v>35.173081178479698</v>
      </c>
      <c r="J1174" s="861">
        <v>42.9499031647264</v>
      </c>
      <c r="K1174" s="982">
        <v>0</v>
      </c>
      <c r="L1174" s="735">
        <v>4175</v>
      </c>
      <c r="M1174" s="735">
        <v>4053</v>
      </c>
      <c r="N1174" s="845">
        <f t="shared" si="103"/>
        <v>-2.9221556886227545E-2</v>
      </c>
      <c r="O1174" s="735">
        <v>1.6366005633902312</v>
      </c>
      <c r="P1174" s="735">
        <f t="shared" si="104"/>
        <v>2476.4747676758575</v>
      </c>
      <c r="Q1174" s="849">
        <v>48.7</v>
      </c>
      <c r="R1174" s="71">
        <v>75208</v>
      </c>
      <c r="S1174" s="845">
        <v>7.2399308129478632E-2</v>
      </c>
      <c r="T1174" s="845">
        <v>7.0999999999999994E-2</v>
      </c>
      <c r="U1174" s="845">
        <v>0</v>
      </c>
      <c r="V1174" s="845">
        <v>0.10800000000000001</v>
      </c>
      <c r="W1174" s="845">
        <v>0.12640283520378026</v>
      </c>
      <c r="X1174" s="845">
        <v>0.51869158878504673</v>
      </c>
      <c r="Y1174" s="845">
        <v>0.89217863311127554</v>
      </c>
      <c r="Z1174" s="845">
        <v>1.4063656550703183E-2</v>
      </c>
      <c r="AA1174" s="845">
        <v>1.9738465334320256E-3</v>
      </c>
      <c r="AB1174" s="845">
        <v>4.4905008635578586E-2</v>
      </c>
      <c r="AC1174" s="845">
        <v>0</v>
      </c>
      <c r="AD1174" s="845">
        <v>0</v>
      </c>
      <c r="AE1174" s="845">
        <v>4.6878855169010608E-2</v>
      </c>
      <c r="AF1174" s="845">
        <v>5.0333086602516654E-2</v>
      </c>
      <c r="AG1174" s="845">
        <v>0.84307920059215391</v>
      </c>
      <c r="AH1174" s="20" t="str">
        <f t="shared" si="105"/>
        <v>No</v>
      </c>
      <c r="AI1174" s="25"/>
      <c r="AJ1174" s="20">
        <v>45634</v>
      </c>
      <c r="AK1174" s="20" t="s">
        <v>1785</v>
      </c>
      <c r="AL1174" s="20">
        <v>39079</v>
      </c>
      <c r="AM1174" s="20" t="s">
        <v>46</v>
      </c>
      <c r="AN1174" s="37" t="str">
        <f t="shared" si="106"/>
        <v>N/A</v>
      </c>
      <c r="AO1174" s="37" t="str">
        <f t="shared" si="107"/>
        <v>N/A</v>
      </c>
      <c r="AP1174" s="20" t="s">
        <v>8</v>
      </c>
      <c r="AQ1174" s="25"/>
      <c r="AR1174" s="25"/>
      <c r="AS1174" s="25"/>
      <c r="AT1174" s="25"/>
      <c r="AU1174" s="36"/>
      <c r="AV1174" s="36"/>
      <c r="AW1174" s="36"/>
      <c r="AX1174" s="25"/>
      <c r="AY1174" s="25"/>
      <c r="AZ1174" s="25"/>
      <c r="BA1174" s="25"/>
      <c r="BB1174" s="25"/>
      <c r="BC1174" s="25"/>
      <c r="BD1174" s="25"/>
      <c r="BE1174" s="25"/>
      <c r="BF1174" s="25"/>
      <c r="BG1174" s="25"/>
      <c r="BH1174" s="25"/>
      <c r="BI1174" s="25"/>
      <c r="BJ1174" s="25"/>
      <c r="BK1174" s="25"/>
      <c r="BL1174" s="25"/>
      <c r="BM1174" s="25"/>
      <c r="BN1174" s="25"/>
      <c r="BO1174" s="25"/>
      <c r="BP1174" s="25"/>
      <c r="BQ1174" s="25"/>
      <c r="BR1174" s="25"/>
      <c r="BS1174" s="25"/>
      <c r="BT1174" s="25"/>
      <c r="BU1174" s="39">
        <v>43940</v>
      </c>
      <c r="BV1174" s="39" t="s">
        <v>1118</v>
      </c>
      <c r="BW1174" s="39" t="s">
        <v>2920</v>
      </c>
      <c r="BX1174" s="39" t="s">
        <v>268</v>
      </c>
      <c r="BY1174" s="71">
        <v>670</v>
      </c>
      <c r="BZ1174" s="71">
        <v>800</v>
      </c>
      <c r="CA1174" s="71">
        <v>970</v>
      </c>
      <c r="CB1174" s="71">
        <v>1250</v>
      </c>
      <c r="CC1174" s="71">
        <v>1390</v>
      </c>
      <c r="CD1174" s="25"/>
      <c r="CE1174" s="200"/>
      <c r="CF1174" s="200"/>
      <c r="CG1174" s="200"/>
      <c r="CH1174" s="200"/>
      <c r="CI1174" s="200"/>
      <c r="CJ1174" s="200"/>
      <c r="CK1174" s="200"/>
      <c r="CL1174" s="200"/>
      <c r="CM1174" s="200"/>
      <c r="CN1174" s="200"/>
      <c r="CO1174" s="200"/>
      <c r="CP1174" s="200"/>
      <c r="CQ1174" s="200"/>
      <c r="CR1174" s="200"/>
      <c r="CS1174" s="200"/>
      <c r="CT1174" s="200"/>
      <c r="CU1174" s="200"/>
    </row>
    <row r="1175" spans="1:99" s="17" customFormat="1" x14ac:dyDescent="0.2">
      <c r="A1175" s="25"/>
      <c r="B1175" s="20">
        <v>39061020504</v>
      </c>
      <c r="C1175" s="20">
        <v>205.04</v>
      </c>
      <c r="D1175" s="20" t="s">
        <v>37</v>
      </c>
      <c r="E1175" s="20" t="s">
        <v>2828</v>
      </c>
      <c r="F1175" s="20" t="s">
        <v>8</v>
      </c>
      <c r="G1175" s="861">
        <v>54.059027152820299</v>
      </c>
      <c r="H1175" s="861">
        <v>65.657789067810796</v>
      </c>
      <c r="I1175" s="861">
        <v>19.063782740921098</v>
      </c>
      <c r="J1175" s="861">
        <v>27.077072929446398</v>
      </c>
      <c r="K1175" s="982">
        <v>0</v>
      </c>
      <c r="L1175" s="735">
        <v>3545</v>
      </c>
      <c r="M1175" s="735">
        <v>3016</v>
      </c>
      <c r="N1175" s="845">
        <f t="shared" si="103"/>
        <v>-0.14922425952045135</v>
      </c>
      <c r="O1175" s="735">
        <v>6.1424301287622516</v>
      </c>
      <c r="P1175" s="735">
        <f t="shared" si="104"/>
        <v>491.0108762780095</v>
      </c>
      <c r="Q1175" s="849">
        <v>45.5</v>
      </c>
      <c r="R1175" s="71">
        <v>101964</v>
      </c>
      <c r="S1175" s="845">
        <v>7.9678607298292597E-2</v>
      </c>
      <c r="T1175" s="845">
        <v>2.4E-2</v>
      </c>
      <c r="U1175" s="845">
        <v>0</v>
      </c>
      <c r="V1175" s="845">
        <v>0</v>
      </c>
      <c r="W1175" s="845">
        <v>0.16561085972850678</v>
      </c>
      <c r="X1175" s="845">
        <v>0.20765027322404372</v>
      </c>
      <c r="Y1175" s="845">
        <v>0.75165782493368705</v>
      </c>
      <c r="Z1175" s="845">
        <v>0.19263925729442971</v>
      </c>
      <c r="AA1175" s="845">
        <v>0</v>
      </c>
      <c r="AB1175" s="845">
        <v>4.807692307692308E-2</v>
      </c>
      <c r="AC1175" s="845">
        <v>0</v>
      </c>
      <c r="AD1175" s="845">
        <v>0</v>
      </c>
      <c r="AE1175" s="845">
        <v>7.6259946949602123E-3</v>
      </c>
      <c r="AF1175" s="845">
        <v>0</v>
      </c>
      <c r="AG1175" s="845">
        <v>0.75165782493368705</v>
      </c>
      <c r="AH1175" s="20" t="str">
        <f t="shared" si="105"/>
        <v>No</v>
      </c>
      <c r="AI1175" s="25"/>
      <c r="AJ1175" s="20">
        <v>45640</v>
      </c>
      <c r="AK1175" s="20" t="s">
        <v>1788</v>
      </c>
      <c r="AL1175" s="20">
        <v>39079</v>
      </c>
      <c r="AM1175" s="20" t="s">
        <v>46</v>
      </c>
      <c r="AN1175" s="37" t="str">
        <f t="shared" si="106"/>
        <v>N/A</v>
      </c>
      <c r="AO1175" s="37" t="str">
        <f t="shared" si="107"/>
        <v>N/A</v>
      </c>
      <c r="AP1175" s="20" t="s">
        <v>8</v>
      </c>
      <c r="AQ1175" s="25"/>
      <c r="AR1175" s="25"/>
      <c r="AS1175" s="25"/>
      <c r="AT1175" s="25"/>
      <c r="AU1175" s="36"/>
      <c r="AV1175" s="36"/>
      <c r="AW1175" s="36"/>
      <c r="AX1175" s="25"/>
      <c r="AY1175" s="25"/>
      <c r="AZ1175" s="25"/>
      <c r="BA1175" s="25"/>
      <c r="BB1175" s="25"/>
      <c r="BC1175" s="25"/>
      <c r="BD1175" s="25"/>
      <c r="BE1175" s="25"/>
      <c r="BF1175" s="25"/>
      <c r="BG1175" s="25"/>
      <c r="BH1175" s="25"/>
      <c r="BI1175" s="25"/>
      <c r="BJ1175" s="25"/>
      <c r="BK1175" s="25"/>
      <c r="BL1175" s="25"/>
      <c r="BM1175" s="25"/>
      <c r="BN1175" s="25"/>
      <c r="BO1175" s="25"/>
      <c r="BP1175" s="25"/>
      <c r="BQ1175" s="25"/>
      <c r="BR1175" s="25"/>
      <c r="BS1175" s="25"/>
      <c r="BT1175" s="25"/>
      <c r="BU1175" s="39">
        <v>43942</v>
      </c>
      <c r="BV1175" s="39" t="s">
        <v>1119</v>
      </c>
      <c r="BW1175" s="39" t="s">
        <v>2920</v>
      </c>
      <c r="BX1175" s="39" t="s">
        <v>268</v>
      </c>
      <c r="BY1175" s="71">
        <v>670</v>
      </c>
      <c r="BZ1175" s="71">
        <v>800</v>
      </c>
      <c r="CA1175" s="71">
        <v>970</v>
      </c>
      <c r="CB1175" s="71">
        <v>1260</v>
      </c>
      <c r="CC1175" s="71">
        <v>1380</v>
      </c>
      <c r="CD1175" s="25"/>
      <c r="CE1175" s="200"/>
      <c r="CF1175" s="200"/>
      <c r="CG1175" s="200"/>
      <c r="CH1175" s="200"/>
      <c r="CI1175" s="200"/>
      <c r="CJ1175" s="200"/>
      <c r="CK1175" s="200"/>
      <c r="CL1175" s="200"/>
      <c r="CM1175" s="200"/>
      <c r="CN1175" s="200"/>
      <c r="CO1175" s="200"/>
      <c r="CP1175" s="200"/>
      <c r="CQ1175" s="200"/>
      <c r="CR1175" s="200"/>
      <c r="CS1175" s="200"/>
      <c r="CT1175" s="200"/>
      <c r="CU1175" s="200"/>
    </row>
    <row r="1176" spans="1:99" s="17" customFormat="1" x14ac:dyDescent="0.2">
      <c r="A1176" s="25"/>
      <c r="B1176" s="20">
        <v>39005971100</v>
      </c>
      <c r="C1176" s="20">
        <v>9711</v>
      </c>
      <c r="D1176" s="20" t="s">
        <v>9</v>
      </c>
      <c r="E1176" s="20" t="s">
        <v>265</v>
      </c>
      <c r="F1176" s="20" t="s">
        <v>8</v>
      </c>
      <c r="G1176" s="861">
        <v>54.026250680163201</v>
      </c>
      <c r="H1176" s="861">
        <v>47.351800115501</v>
      </c>
      <c r="I1176" s="861">
        <v>35.021702728692901</v>
      </c>
      <c r="J1176" s="861">
        <v>48.656536203016401</v>
      </c>
      <c r="K1176" s="982">
        <v>0</v>
      </c>
      <c r="L1176" s="735">
        <v>3794</v>
      </c>
      <c r="M1176" s="735">
        <v>4107</v>
      </c>
      <c r="N1176" s="845">
        <f t="shared" si="103"/>
        <v>8.2498682129678438E-2</v>
      </c>
      <c r="O1176" s="735">
        <v>36.443596260370477</v>
      </c>
      <c r="P1176" s="735">
        <f t="shared" si="104"/>
        <v>112.69469595310046</v>
      </c>
      <c r="Q1176" s="849">
        <v>42.4</v>
      </c>
      <c r="R1176" s="71">
        <v>61197</v>
      </c>
      <c r="S1176" s="845">
        <v>0.11440040140491721</v>
      </c>
      <c r="T1176" s="845">
        <v>5.5E-2</v>
      </c>
      <c r="U1176" s="845">
        <v>0</v>
      </c>
      <c r="V1176" s="845">
        <v>0.22</v>
      </c>
      <c r="W1176" s="845">
        <v>0.25283522348232157</v>
      </c>
      <c r="X1176" s="845">
        <v>0.41952506596306066</v>
      </c>
      <c r="Y1176" s="845">
        <v>0.99659118578037498</v>
      </c>
      <c r="Z1176" s="845">
        <v>9.7394691989286582E-4</v>
      </c>
      <c r="AA1176" s="845">
        <v>0</v>
      </c>
      <c r="AB1176" s="845">
        <v>0</v>
      </c>
      <c r="AC1176" s="845">
        <v>0</v>
      </c>
      <c r="AD1176" s="845">
        <v>0</v>
      </c>
      <c r="AE1176" s="845">
        <v>2.4348672997321647E-3</v>
      </c>
      <c r="AF1176" s="845">
        <v>5.0645239834429021E-2</v>
      </c>
      <c r="AG1176" s="845">
        <v>0.94594594594594594</v>
      </c>
      <c r="AH1176" s="20" t="str">
        <f t="shared" si="105"/>
        <v>Yes</v>
      </c>
      <c r="AI1176" s="25"/>
      <c r="AJ1176" s="37">
        <v>45653</v>
      </c>
      <c r="AK1176" s="37" t="s">
        <v>1798</v>
      </c>
      <c r="AL1176" s="37">
        <v>39079</v>
      </c>
      <c r="AM1176" s="37" t="s">
        <v>46</v>
      </c>
      <c r="AN1176" s="37" t="str">
        <f t="shared" si="106"/>
        <v>N/A</v>
      </c>
      <c r="AO1176" s="37" t="str">
        <f t="shared" si="107"/>
        <v>N/A</v>
      </c>
      <c r="AP1176" s="20" t="s">
        <v>8</v>
      </c>
      <c r="AQ1176" s="25"/>
      <c r="AR1176" s="25"/>
      <c r="AS1176" s="25"/>
      <c r="AT1176" s="25"/>
      <c r="AU1176" s="36"/>
      <c r="AV1176" s="36"/>
      <c r="AW1176" s="36"/>
      <c r="AX1176" s="25"/>
      <c r="AY1176" s="25"/>
      <c r="AZ1176" s="25"/>
      <c r="BA1176" s="25"/>
      <c r="BB1176" s="25"/>
      <c r="BC1176" s="25"/>
      <c r="BD1176" s="25"/>
      <c r="BE1176" s="25"/>
      <c r="BF1176" s="25"/>
      <c r="BG1176" s="25"/>
      <c r="BH1176" s="25"/>
      <c r="BI1176" s="25"/>
      <c r="BJ1176" s="25"/>
      <c r="BK1176" s="25"/>
      <c r="BL1176" s="25"/>
      <c r="BM1176" s="25"/>
      <c r="BN1176" s="25"/>
      <c r="BO1176" s="25"/>
      <c r="BP1176" s="25"/>
      <c r="BQ1176" s="25"/>
      <c r="BR1176" s="25"/>
      <c r="BS1176" s="25"/>
      <c r="BT1176" s="25"/>
      <c r="BU1176" s="39">
        <v>43947</v>
      </c>
      <c r="BV1176" s="39" t="s">
        <v>1124</v>
      </c>
      <c r="BW1176" s="39" t="s">
        <v>2920</v>
      </c>
      <c r="BX1176" s="39" t="s">
        <v>268</v>
      </c>
      <c r="BY1176" s="71">
        <v>670</v>
      </c>
      <c r="BZ1176" s="71">
        <v>800</v>
      </c>
      <c r="CA1176" s="71">
        <v>970</v>
      </c>
      <c r="CB1176" s="71">
        <v>1250</v>
      </c>
      <c r="CC1176" s="71">
        <v>1390</v>
      </c>
      <c r="CD1176" s="25"/>
      <c r="CE1176" s="200"/>
      <c r="CF1176" s="200"/>
      <c r="CG1176" s="200"/>
      <c r="CH1176" s="200"/>
      <c r="CI1176" s="200"/>
      <c r="CJ1176" s="200"/>
      <c r="CK1176" s="200"/>
      <c r="CL1176" s="200"/>
      <c r="CM1176" s="200"/>
      <c r="CN1176" s="200"/>
      <c r="CO1176" s="200"/>
      <c r="CP1176" s="200"/>
      <c r="CQ1176" s="200"/>
      <c r="CR1176" s="200"/>
      <c r="CS1176" s="200"/>
      <c r="CT1176" s="200"/>
      <c r="CU1176" s="200"/>
    </row>
    <row r="1177" spans="1:99" s="17" customFormat="1" x14ac:dyDescent="0.2">
      <c r="A1177" s="25"/>
      <c r="B1177" s="20">
        <v>39077915800</v>
      </c>
      <c r="C1177" s="20">
        <v>9158</v>
      </c>
      <c r="D1177" s="20" t="s">
        <v>45</v>
      </c>
      <c r="E1177" s="20" t="s">
        <v>265</v>
      </c>
      <c r="F1177" s="20" t="s">
        <v>8</v>
      </c>
      <c r="G1177" s="861">
        <v>54.021030484084498</v>
      </c>
      <c r="H1177" s="861">
        <v>50.601664172738801</v>
      </c>
      <c r="I1177" s="861">
        <v>39.697858740652002</v>
      </c>
      <c r="J1177" s="861">
        <v>41.385704532834801</v>
      </c>
      <c r="K1177" s="982">
        <v>1</v>
      </c>
      <c r="L1177" s="735">
        <v>4970</v>
      </c>
      <c r="M1177" s="735">
        <v>4650</v>
      </c>
      <c r="N1177" s="845">
        <f t="shared" si="103"/>
        <v>-6.4386317907444673E-2</v>
      </c>
      <c r="O1177" s="735">
        <v>7.1648776796894253</v>
      </c>
      <c r="P1177" s="735">
        <f t="shared" si="104"/>
        <v>648.9992164390394</v>
      </c>
      <c r="Q1177" s="849">
        <v>39.200000000000003</v>
      </c>
      <c r="R1177" s="71">
        <v>53359</v>
      </c>
      <c r="S1177" s="845">
        <v>0.20581270182992464</v>
      </c>
      <c r="T1177" s="845">
        <v>3.7000000000000005E-2</v>
      </c>
      <c r="U1177" s="845">
        <v>0</v>
      </c>
      <c r="V1177" s="845">
        <v>0</v>
      </c>
      <c r="W1177" s="845">
        <v>0.37858220211161386</v>
      </c>
      <c r="X1177" s="845">
        <v>0.22443559096945551</v>
      </c>
      <c r="Y1177" s="845">
        <v>0.89720430107526883</v>
      </c>
      <c r="Z1177" s="845">
        <v>9.4623655913978495E-3</v>
      </c>
      <c r="AA1177" s="845">
        <v>0</v>
      </c>
      <c r="AB1177" s="845">
        <v>0</v>
      </c>
      <c r="AC1177" s="845">
        <v>0</v>
      </c>
      <c r="AD1177" s="845">
        <v>2.0645161290322581E-2</v>
      </c>
      <c r="AE1177" s="845">
        <v>7.2688172043010757E-2</v>
      </c>
      <c r="AF1177" s="845">
        <v>5.6129032258064517E-2</v>
      </c>
      <c r="AG1177" s="845">
        <v>0.88322580645161286</v>
      </c>
      <c r="AH1177" s="20" t="str">
        <f t="shared" si="105"/>
        <v>No</v>
      </c>
      <c r="AI1177" s="25"/>
      <c r="AJ1177" s="20">
        <v>45656</v>
      </c>
      <c r="AK1177" s="20" t="s">
        <v>1800</v>
      </c>
      <c r="AL1177" s="20">
        <v>39079</v>
      </c>
      <c r="AM1177" s="20" t="s">
        <v>46</v>
      </c>
      <c r="AN1177" s="37" t="str">
        <f t="shared" si="106"/>
        <v>N/A</v>
      </c>
      <c r="AO1177" s="37" t="str">
        <f t="shared" si="107"/>
        <v>N/A</v>
      </c>
      <c r="AP1177" s="20" t="s">
        <v>8</v>
      </c>
      <c r="AQ1177" s="25"/>
      <c r="AR1177" s="25"/>
      <c r="AS1177" s="25"/>
      <c r="AT1177" s="25"/>
      <c r="AU1177" s="36"/>
      <c r="AV1177" s="36"/>
      <c r="AW1177" s="36"/>
      <c r="AX1177" s="25"/>
      <c r="AY1177" s="25"/>
      <c r="AZ1177" s="25"/>
      <c r="BA1177" s="25"/>
      <c r="BB1177" s="25"/>
      <c r="BC1177" s="25"/>
      <c r="BD1177" s="25"/>
      <c r="BE1177" s="25"/>
      <c r="BF1177" s="25"/>
      <c r="BG1177" s="25"/>
      <c r="BH1177" s="25"/>
      <c r="BI1177" s="25"/>
      <c r="BJ1177" s="25"/>
      <c r="BK1177" s="25"/>
      <c r="BL1177" s="25"/>
      <c r="BM1177" s="25"/>
      <c r="BN1177" s="25"/>
      <c r="BO1177" s="25"/>
      <c r="BP1177" s="25"/>
      <c r="BQ1177" s="25"/>
      <c r="BR1177" s="25"/>
      <c r="BS1177" s="25"/>
      <c r="BT1177" s="25"/>
      <c r="BU1177" s="39">
        <v>43950</v>
      </c>
      <c r="BV1177" s="39" t="s">
        <v>1126</v>
      </c>
      <c r="BW1177" s="39" t="s">
        <v>2920</v>
      </c>
      <c r="BX1177" s="39" t="s">
        <v>268</v>
      </c>
      <c r="BY1177" s="71">
        <v>750</v>
      </c>
      <c r="BZ1177" s="71">
        <v>900</v>
      </c>
      <c r="CA1177" s="71">
        <v>1090</v>
      </c>
      <c r="CB1177" s="71">
        <v>1410</v>
      </c>
      <c r="CC1177" s="71">
        <v>1550</v>
      </c>
      <c r="CD1177" s="25"/>
      <c r="CE1177" s="200"/>
      <c r="CF1177" s="200"/>
      <c r="CG1177" s="200"/>
      <c r="CH1177" s="200"/>
      <c r="CI1177" s="200"/>
      <c r="CJ1177" s="200"/>
      <c r="CK1177" s="200"/>
      <c r="CL1177" s="200"/>
      <c r="CM1177" s="200"/>
      <c r="CN1177" s="200"/>
      <c r="CO1177" s="200"/>
      <c r="CP1177" s="200"/>
      <c r="CQ1177" s="200"/>
      <c r="CR1177" s="200"/>
      <c r="CS1177" s="200"/>
      <c r="CT1177" s="200"/>
      <c r="CU1177" s="200"/>
    </row>
    <row r="1178" spans="1:99" s="17" customFormat="1" x14ac:dyDescent="0.2">
      <c r="A1178" s="25"/>
      <c r="B1178" s="20">
        <v>39109315001</v>
      </c>
      <c r="C1178" s="20">
        <v>3150.01</v>
      </c>
      <c r="D1178" s="20" t="s">
        <v>60</v>
      </c>
      <c r="E1178" s="20" t="s">
        <v>2833</v>
      </c>
      <c r="F1178" s="20" t="s">
        <v>8</v>
      </c>
      <c r="G1178" s="861">
        <v>54.009416081761202</v>
      </c>
      <c r="H1178" s="861">
        <v>53.145312828447899</v>
      </c>
      <c r="I1178" s="861">
        <v>21.702131493266101</v>
      </c>
      <c r="J1178" s="861">
        <v>47.1486574924918</v>
      </c>
      <c r="K1178" s="982">
        <v>0</v>
      </c>
      <c r="L1178" s="735">
        <v>3982</v>
      </c>
      <c r="M1178" s="735">
        <v>4629</v>
      </c>
      <c r="N1178" s="845">
        <f t="shared" si="103"/>
        <v>0.16248116524359618</v>
      </c>
      <c r="O1178" s="735">
        <v>9.8522718700820597</v>
      </c>
      <c r="P1178" s="735">
        <f t="shared" si="104"/>
        <v>469.84087132803057</v>
      </c>
      <c r="Q1178" s="849">
        <v>49.9</v>
      </c>
      <c r="R1178" s="71">
        <v>75184</v>
      </c>
      <c r="S1178" s="845">
        <v>5.5123360746832627E-2</v>
      </c>
      <c r="T1178" s="845">
        <v>4.2999999999999997E-2</v>
      </c>
      <c r="U1178" s="845">
        <v>0</v>
      </c>
      <c r="V1178" s="845">
        <v>5.2000000000000005E-2</v>
      </c>
      <c r="W1178" s="845">
        <v>0.10614818707304256</v>
      </c>
      <c r="X1178" s="845">
        <v>0.37128712871287128</v>
      </c>
      <c r="Y1178" s="845">
        <v>0.9479369194210413</v>
      </c>
      <c r="Z1178" s="845">
        <v>2.2034996759559299E-2</v>
      </c>
      <c r="AA1178" s="845">
        <v>6.4808813998703824E-3</v>
      </c>
      <c r="AB1178" s="845">
        <v>0</v>
      </c>
      <c r="AC1178" s="845">
        <v>0</v>
      </c>
      <c r="AD1178" s="845">
        <v>0</v>
      </c>
      <c r="AE1178" s="845">
        <v>2.3547202419529057E-2</v>
      </c>
      <c r="AF1178" s="845">
        <v>1.9442644199611146E-2</v>
      </c>
      <c r="AG1178" s="845">
        <v>0.93497515662130048</v>
      </c>
      <c r="AH1178" s="20" t="str">
        <f t="shared" si="105"/>
        <v>Yes</v>
      </c>
      <c r="AI1178" s="25"/>
      <c r="AJ1178" s="20">
        <v>45672</v>
      </c>
      <c r="AK1178" s="20" t="s">
        <v>1810</v>
      </c>
      <c r="AL1178" s="20">
        <v>39079</v>
      </c>
      <c r="AM1178" s="20" t="s">
        <v>46</v>
      </c>
      <c r="AN1178" s="37" t="str">
        <f t="shared" si="106"/>
        <v>N/A</v>
      </c>
      <c r="AO1178" s="37" t="str">
        <f t="shared" si="107"/>
        <v>N/A</v>
      </c>
      <c r="AP1178" s="20" t="s">
        <v>8</v>
      </c>
      <c r="AQ1178" s="25"/>
      <c r="AR1178" s="25"/>
      <c r="AS1178" s="25"/>
      <c r="AT1178" s="25"/>
      <c r="AU1178" s="36"/>
      <c r="AV1178" s="36"/>
      <c r="AW1178" s="36"/>
      <c r="AX1178" s="25"/>
      <c r="AY1178" s="25"/>
      <c r="AZ1178" s="25"/>
      <c r="BA1178" s="25"/>
      <c r="BB1178" s="25"/>
      <c r="BC1178" s="25"/>
      <c r="BD1178" s="25"/>
      <c r="BE1178" s="25"/>
      <c r="BF1178" s="25"/>
      <c r="BG1178" s="25"/>
      <c r="BH1178" s="25"/>
      <c r="BI1178" s="25"/>
      <c r="BJ1178" s="25"/>
      <c r="BK1178" s="25"/>
      <c r="BL1178" s="25"/>
      <c r="BM1178" s="25"/>
      <c r="BN1178" s="25"/>
      <c r="BO1178" s="25"/>
      <c r="BP1178" s="25"/>
      <c r="BQ1178" s="25"/>
      <c r="BR1178" s="25"/>
      <c r="BS1178" s="25"/>
      <c r="BT1178" s="25"/>
      <c r="BU1178" s="39">
        <v>43951</v>
      </c>
      <c r="BV1178" s="39" t="s">
        <v>1127</v>
      </c>
      <c r="BW1178" s="39" t="s">
        <v>2920</v>
      </c>
      <c r="BX1178" s="39" t="s">
        <v>268</v>
      </c>
      <c r="BY1178" s="71">
        <v>780</v>
      </c>
      <c r="BZ1178" s="71">
        <v>930</v>
      </c>
      <c r="CA1178" s="71">
        <v>1130</v>
      </c>
      <c r="CB1178" s="71">
        <v>1460</v>
      </c>
      <c r="CC1178" s="71">
        <v>1600</v>
      </c>
      <c r="CD1178" s="25"/>
      <c r="CE1178" s="200"/>
      <c r="CF1178" s="200"/>
      <c r="CG1178" s="200"/>
      <c r="CH1178" s="200"/>
      <c r="CI1178" s="200"/>
      <c r="CJ1178" s="200"/>
      <c r="CK1178" s="200"/>
      <c r="CL1178" s="200"/>
      <c r="CM1178" s="200"/>
      <c r="CN1178" s="200"/>
      <c r="CO1178" s="200"/>
      <c r="CP1178" s="200"/>
      <c r="CQ1178" s="200"/>
      <c r="CR1178" s="200"/>
      <c r="CS1178" s="200"/>
      <c r="CT1178" s="200"/>
      <c r="CU1178" s="200"/>
    </row>
    <row r="1179" spans="1:99" s="17" customFormat="1" x14ac:dyDescent="0.2">
      <c r="A1179" s="25"/>
      <c r="B1179" s="20">
        <v>39155930900</v>
      </c>
      <c r="C1179" s="20">
        <v>9309</v>
      </c>
      <c r="D1179" s="20" t="s">
        <v>83</v>
      </c>
      <c r="E1179" s="20" t="s">
        <v>2842</v>
      </c>
      <c r="F1179" s="20" t="s">
        <v>8</v>
      </c>
      <c r="G1179" s="861">
        <v>54.003225795942697</v>
      </c>
      <c r="H1179" s="861">
        <v>53.656781910930697</v>
      </c>
      <c r="I1179" s="861">
        <v>32.497885815168701</v>
      </c>
      <c r="J1179" s="861">
        <v>43.778851937666403</v>
      </c>
      <c r="K1179" s="982">
        <v>0</v>
      </c>
      <c r="L1179" s="735">
        <v>7123</v>
      </c>
      <c r="M1179" s="735">
        <v>7000</v>
      </c>
      <c r="N1179" s="845">
        <f t="shared" si="103"/>
        <v>-1.726800505405026E-2</v>
      </c>
      <c r="O1179" s="735">
        <v>4.9642417084300829</v>
      </c>
      <c r="P1179" s="735">
        <f t="shared" si="104"/>
        <v>1410.0844421239342</v>
      </c>
      <c r="Q1179" s="849">
        <v>49.5</v>
      </c>
      <c r="R1179" s="71">
        <v>61927</v>
      </c>
      <c r="S1179" s="845">
        <v>9.2832469775474963E-2</v>
      </c>
      <c r="T1179" s="845">
        <v>1.3999999999999999E-2</v>
      </c>
      <c r="U1179" s="845">
        <v>2.1000000000000001E-2</v>
      </c>
      <c r="V1179" s="845">
        <v>0.26500000000000001</v>
      </c>
      <c r="W1179" s="845">
        <v>0.20355104629042486</v>
      </c>
      <c r="X1179" s="845">
        <v>0.40498442367601245</v>
      </c>
      <c r="Y1179" s="845">
        <v>0.92885714285714283</v>
      </c>
      <c r="Z1179" s="845">
        <v>4.4285714285714284E-3</v>
      </c>
      <c r="AA1179" s="845">
        <v>2.2857142857142859E-3</v>
      </c>
      <c r="AB1179" s="845">
        <v>0</v>
      </c>
      <c r="AC1179" s="845">
        <v>1.6E-2</v>
      </c>
      <c r="AD1179" s="845">
        <v>0</v>
      </c>
      <c r="AE1179" s="845">
        <v>4.8428571428571432E-2</v>
      </c>
      <c r="AF1179" s="845">
        <v>7.1428571428571426E-3</v>
      </c>
      <c r="AG1179" s="845">
        <v>0.92642857142857138</v>
      </c>
      <c r="AH1179" s="20" t="str">
        <f t="shared" si="105"/>
        <v>Yes</v>
      </c>
      <c r="AI1179" s="25"/>
      <c r="AJ1179" s="20">
        <v>45682</v>
      </c>
      <c r="AK1179" s="20" t="s">
        <v>1818</v>
      </c>
      <c r="AL1179" s="20">
        <v>39079</v>
      </c>
      <c r="AM1179" s="20" t="s">
        <v>46</v>
      </c>
      <c r="AN1179" s="37" t="str">
        <f t="shared" si="106"/>
        <v>N/A</v>
      </c>
      <c r="AO1179" s="37" t="str">
        <f t="shared" si="107"/>
        <v>N/A</v>
      </c>
      <c r="AP1179" s="20" t="s">
        <v>8</v>
      </c>
      <c r="AQ1179" s="25"/>
      <c r="AR1179" s="25"/>
      <c r="AS1179" s="25"/>
      <c r="AT1179" s="25"/>
      <c r="AU1179" s="36"/>
      <c r="AV1179" s="36"/>
      <c r="AW1179" s="36"/>
      <c r="AX1179" s="25"/>
      <c r="AY1179" s="25"/>
      <c r="AZ1179" s="25"/>
      <c r="BA1179" s="25"/>
      <c r="BB1179" s="25"/>
      <c r="BC1179" s="25"/>
      <c r="BD1179" s="25"/>
      <c r="BE1179" s="25"/>
      <c r="BF1179" s="25"/>
      <c r="BG1179" s="25"/>
      <c r="BH1179" s="25"/>
      <c r="BI1179" s="25"/>
      <c r="BJ1179" s="25"/>
      <c r="BK1179" s="25"/>
      <c r="BL1179" s="25"/>
      <c r="BM1179" s="25"/>
      <c r="BN1179" s="25"/>
      <c r="BO1179" s="25"/>
      <c r="BP1179" s="25"/>
      <c r="BQ1179" s="25"/>
      <c r="BR1179" s="25"/>
      <c r="BS1179" s="25"/>
      <c r="BT1179" s="25"/>
      <c r="BU1179" s="39">
        <v>43967</v>
      </c>
      <c r="BV1179" s="39" t="s">
        <v>1134</v>
      </c>
      <c r="BW1179" s="39" t="s">
        <v>2920</v>
      </c>
      <c r="BX1179" s="39" t="s">
        <v>268</v>
      </c>
      <c r="BY1179" s="71">
        <v>810</v>
      </c>
      <c r="BZ1179" s="71">
        <v>970</v>
      </c>
      <c r="CA1179" s="71">
        <v>1180</v>
      </c>
      <c r="CB1179" s="71">
        <v>1520</v>
      </c>
      <c r="CC1179" s="71">
        <v>1680</v>
      </c>
      <c r="CD1179" s="25"/>
      <c r="CE1179" s="200"/>
      <c r="CF1179" s="200"/>
      <c r="CG1179" s="200"/>
      <c r="CH1179" s="200"/>
      <c r="CI1179" s="200"/>
      <c r="CJ1179" s="200"/>
      <c r="CK1179" s="200"/>
      <c r="CL1179" s="200"/>
      <c r="CM1179" s="200"/>
      <c r="CN1179" s="200"/>
      <c r="CO1179" s="200"/>
      <c r="CP1179" s="200"/>
      <c r="CQ1179" s="200"/>
      <c r="CR1179" s="200"/>
      <c r="CS1179" s="200"/>
      <c r="CT1179" s="200"/>
      <c r="CU1179" s="200"/>
    </row>
    <row r="1180" spans="1:99" s="17" customFormat="1" x14ac:dyDescent="0.2">
      <c r="A1180" s="25"/>
      <c r="B1180" s="20">
        <v>39095008903</v>
      </c>
      <c r="C1180" s="20">
        <v>89.03</v>
      </c>
      <c r="D1180" s="20" t="s">
        <v>53</v>
      </c>
      <c r="E1180" s="20" t="s">
        <v>2839</v>
      </c>
      <c r="F1180" s="20" t="s">
        <v>8</v>
      </c>
      <c r="G1180" s="861">
        <v>53.991995462307798</v>
      </c>
      <c r="H1180" s="861">
        <v>52.823972403566202</v>
      </c>
      <c r="I1180" s="861">
        <v>21.479018856333699</v>
      </c>
      <c r="J1180" s="861">
        <v>51.427085285849401</v>
      </c>
      <c r="K1180" s="982">
        <v>0</v>
      </c>
      <c r="L1180" s="735" t="s">
        <v>2466</v>
      </c>
      <c r="M1180" s="735">
        <v>4949</v>
      </c>
      <c r="N1180" s="845" t="str">
        <f t="shared" si="103"/>
        <v/>
      </c>
      <c r="O1180" s="735">
        <v>6.5951889640142021</v>
      </c>
      <c r="P1180" s="735">
        <f t="shared" si="104"/>
        <v>750.39548176763094</v>
      </c>
      <c r="Q1180" s="849">
        <v>40.200000000000003</v>
      </c>
      <c r="R1180" s="71">
        <v>106037</v>
      </c>
      <c r="S1180" s="845">
        <v>9.7377515755234803E-2</v>
      </c>
      <c r="T1180" s="845">
        <v>1.7000000000000001E-2</v>
      </c>
      <c r="U1180" s="845">
        <v>0</v>
      </c>
      <c r="V1180" s="845">
        <v>0</v>
      </c>
      <c r="W1180" s="845">
        <v>0.17343749999999999</v>
      </c>
      <c r="X1180" s="845">
        <v>0.30930930930930933</v>
      </c>
      <c r="Y1180" s="845">
        <v>0.9274600929480703</v>
      </c>
      <c r="Z1180" s="845">
        <v>0</v>
      </c>
      <c r="AA1180" s="845">
        <v>2.6874115983026876E-2</v>
      </c>
      <c r="AB1180" s="845">
        <v>4.0412204485754701E-3</v>
      </c>
      <c r="AC1180" s="845">
        <v>0</v>
      </c>
      <c r="AD1180" s="845">
        <v>0</v>
      </c>
      <c r="AE1180" s="845">
        <v>4.1624570620327338E-2</v>
      </c>
      <c r="AF1180" s="845">
        <v>0.11153768438068297</v>
      </c>
      <c r="AG1180" s="845">
        <v>0.88846231561931699</v>
      </c>
      <c r="AH1180" s="20" t="str">
        <f t="shared" si="105"/>
        <v>No</v>
      </c>
      <c r="AI1180" s="25"/>
      <c r="AJ1180" s="37">
        <v>45685</v>
      </c>
      <c r="AK1180" s="37" t="s">
        <v>1820</v>
      </c>
      <c r="AL1180" s="37">
        <v>39079</v>
      </c>
      <c r="AM1180" s="37" t="s">
        <v>46</v>
      </c>
      <c r="AN1180" s="37" t="str">
        <f t="shared" si="106"/>
        <v>N/A</v>
      </c>
      <c r="AO1180" s="37" t="str">
        <f t="shared" si="107"/>
        <v>N/A</v>
      </c>
      <c r="AP1180" s="20" t="s">
        <v>8</v>
      </c>
      <c r="AQ1180" s="25"/>
      <c r="AR1180" s="25"/>
      <c r="AS1180" s="25"/>
      <c r="AT1180" s="25"/>
      <c r="AU1180" s="36"/>
      <c r="AV1180" s="36"/>
      <c r="AW1180" s="36"/>
      <c r="AX1180" s="25"/>
      <c r="AY1180" s="25"/>
      <c r="AZ1180" s="25"/>
      <c r="BA1180" s="25"/>
      <c r="BB1180" s="25"/>
      <c r="BC1180" s="25"/>
      <c r="BD1180" s="25"/>
      <c r="BE1180" s="25"/>
      <c r="BF1180" s="25"/>
      <c r="BG1180" s="25"/>
      <c r="BH1180" s="25"/>
      <c r="BI1180" s="25"/>
      <c r="BJ1180" s="25"/>
      <c r="BK1180" s="25"/>
      <c r="BL1180" s="25"/>
      <c r="BM1180" s="25"/>
      <c r="BN1180" s="25"/>
      <c r="BO1180" s="25"/>
      <c r="BP1180" s="25"/>
      <c r="BQ1180" s="25"/>
      <c r="BR1180" s="25"/>
      <c r="BS1180" s="25"/>
      <c r="BT1180" s="25"/>
      <c r="BU1180" s="39">
        <v>43972</v>
      </c>
      <c r="BV1180" s="39" t="s">
        <v>1137</v>
      </c>
      <c r="BW1180" s="39" t="s">
        <v>2920</v>
      </c>
      <c r="BX1180" s="39" t="s">
        <v>268</v>
      </c>
      <c r="BY1180" s="71">
        <v>750</v>
      </c>
      <c r="BZ1180" s="71">
        <v>900</v>
      </c>
      <c r="CA1180" s="71">
        <v>1090</v>
      </c>
      <c r="CB1180" s="71">
        <v>1410</v>
      </c>
      <c r="CC1180" s="71">
        <v>1550</v>
      </c>
      <c r="CD1180" s="25"/>
      <c r="CE1180" s="200"/>
      <c r="CF1180" s="200"/>
      <c r="CG1180" s="200"/>
      <c r="CH1180" s="200"/>
      <c r="CI1180" s="200"/>
      <c r="CJ1180" s="200"/>
      <c r="CK1180" s="200"/>
      <c r="CL1180" s="200"/>
      <c r="CM1180" s="200"/>
      <c r="CN1180" s="200"/>
      <c r="CO1180" s="200"/>
      <c r="CP1180" s="200"/>
      <c r="CQ1180" s="200"/>
      <c r="CR1180" s="200"/>
      <c r="CS1180" s="200"/>
      <c r="CT1180" s="200"/>
      <c r="CU1180" s="200"/>
    </row>
    <row r="1181" spans="1:99" s="17" customFormat="1" x14ac:dyDescent="0.2">
      <c r="A1181" s="25"/>
      <c r="B1181" s="20">
        <v>39017010907</v>
      </c>
      <c r="C1181" s="20">
        <v>109.07</v>
      </c>
      <c r="D1181" s="20" t="s">
        <v>15</v>
      </c>
      <c r="E1181" s="20" t="s">
        <v>2828</v>
      </c>
      <c r="F1181" s="20" t="s">
        <v>8</v>
      </c>
      <c r="G1181" s="861">
        <v>53.976175695645601</v>
      </c>
      <c r="H1181" s="861">
        <v>53.779054631524602</v>
      </c>
      <c r="I1181" s="861">
        <v>37.296433211199897</v>
      </c>
      <c r="J1181" s="861">
        <v>43.452410723996699</v>
      </c>
      <c r="K1181" s="982">
        <v>0</v>
      </c>
      <c r="L1181" s="735">
        <v>2451</v>
      </c>
      <c r="M1181" s="735">
        <v>2860</v>
      </c>
      <c r="N1181" s="845">
        <f t="shared" si="103"/>
        <v>0.16687066503467973</v>
      </c>
      <c r="O1181" s="735">
        <v>1.0442515120272116</v>
      </c>
      <c r="P1181" s="735">
        <f t="shared" si="104"/>
        <v>2738.803791098052</v>
      </c>
      <c r="Q1181" s="849">
        <v>41.4</v>
      </c>
      <c r="R1181" s="71">
        <v>68214</v>
      </c>
      <c r="S1181" s="845">
        <v>5.3134962805526036E-2</v>
      </c>
      <c r="T1181" s="845">
        <v>0.08</v>
      </c>
      <c r="U1181" s="845">
        <v>0</v>
      </c>
      <c r="V1181" s="845">
        <v>0</v>
      </c>
      <c r="W1181" s="845">
        <v>0.15946843853820597</v>
      </c>
      <c r="X1181" s="845">
        <v>0.55729166666666663</v>
      </c>
      <c r="Y1181" s="845">
        <v>0.81118881118881114</v>
      </c>
      <c r="Z1181" s="845">
        <v>1.8881118881118882E-2</v>
      </c>
      <c r="AA1181" s="845">
        <v>0</v>
      </c>
      <c r="AB1181" s="845">
        <v>3.7062937062937062E-2</v>
      </c>
      <c r="AC1181" s="845">
        <v>0</v>
      </c>
      <c r="AD1181" s="845">
        <v>9.8951048951048948E-2</v>
      </c>
      <c r="AE1181" s="845">
        <v>3.3916083916083917E-2</v>
      </c>
      <c r="AF1181" s="845">
        <v>7.8321678321678329E-2</v>
      </c>
      <c r="AG1181" s="845">
        <v>0.81118881118881114</v>
      </c>
      <c r="AH1181" s="20" t="str">
        <f t="shared" si="105"/>
        <v>No</v>
      </c>
      <c r="AI1181" s="25"/>
      <c r="AJ1181" s="20">
        <v>45692</v>
      </c>
      <c r="AK1181" s="20" t="s">
        <v>1824</v>
      </c>
      <c r="AL1181" s="20">
        <v>39079</v>
      </c>
      <c r="AM1181" s="20" t="s">
        <v>46</v>
      </c>
      <c r="AN1181" s="37" t="str">
        <f t="shared" si="106"/>
        <v>N/A</v>
      </c>
      <c r="AO1181" s="37" t="str">
        <f t="shared" si="107"/>
        <v>N/A</v>
      </c>
      <c r="AP1181" s="20" t="s">
        <v>8</v>
      </c>
      <c r="AQ1181" s="25"/>
      <c r="AR1181" s="25"/>
      <c r="AS1181" s="25"/>
      <c r="AT1181" s="25"/>
      <c r="AU1181" s="36"/>
      <c r="AV1181" s="36"/>
      <c r="AW1181" s="36"/>
      <c r="AX1181" s="25"/>
      <c r="AY1181" s="25"/>
      <c r="AZ1181" s="25"/>
      <c r="BA1181" s="25"/>
      <c r="BB1181" s="25"/>
      <c r="BC1181" s="25"/>
      <c r="BD1181" s="25"/>
      <c r="BE1181" s="25"/>
      <c r="BF1181" s="25"/>
      <c r="BG1181" s="25"/>
      <c r="BH1181" s="25"/>
      <c r="BI1181" s="25"/>
      <c r="BJ1181" s="25"/>
      <c r="BK1181" s="25"/>
      <c r="BL1181" s="25"/>
      <c r="BM1181" s="25"/>
      <c r="BN1181" s="25"/>
      <c r="BO1181" s="25"/>
      <c r="BP1181" s="25"/>
      <c r="BQ1181" s="25"/>
      <c r="BR1181" s="25"/>
      <c r="BS1181" s="25"/>
      <c r="BT1181" s="25"/>
      <c r="BU1181" s="39">
        <v>43973</v>
      </c>
      <c r="BV1181" s="39" t="s">
        <v>1138</v>
      </c>
      <c r="BW1181" s="39" t="s">
        <v>2920</v>
      </c>
      <c r="BX1181" s="39" t="s">
        <v>268</v>
      </c>
      <c r="BY1181" s="71">
        <v>790</v>
      </c>
      <c r="BZ1181" s="71">
        <v>790</v>
      </c>
      <c r="CA1181" s="71">
        <v>1030</v>
      </c>
      <c r="CB1181" s="71">
        <v>1360</v>
      </c>
      <c r="CC1181" s="71">
        <v>1460</v>
      </c>
      <c r="CD1181" s="25"/>
      <c r="CE1181" s="200"/>
      <c r="CF1181" s="200"/>
      <c r="CG1181" s="200"/>
      <c r="CH1181" s="200"/>
      <c r="CI1181" s="200"/>
      <c r="CJ1181" s="200"/>
      <c r="CK1181" s="200"/>
      <c r="CL1181" s="200"/>
      <c r="CM1181" s="200"/>
      <c r="CN1181" s="200"/>
      <c r="CO1181" s="200"/>
      <c r="CP1181" s="200"/>
      <c r="CQ1181" s="200"/>
      <c r="CR1181" s="200"/>
      <c r="CS1181" s="200"/>
      <c r="CT1181" s="200"/>
      <c r="CU1181" s="200"/>
    </row>
    <row r="1182" spans="1:99" s="17" customFormat="1" x14ac:dyDescent="0.2">
      <c r="A1182" s="25"/>
      <c r="B1182" s="20">
        <v>39169003200</v>
      </c>
      <c r="C1182" s="20">
        <v>32</v>
      </c>
      <c r="D1182" s="20" t="s">
        <v>90</v>
      </c>
      <c r="E1182" s="20" t="s">
        <v>265</v>
      </c>
      <c r="F1182" s="20" t="s">
        <v>8</v>
      </c>
      <c r="G1182" s="861">
        <v>53.960514134935401</v>
      </c>
      <c r="H1182" s="861">
        <v>45.528761751268</v>
      </c>
      <c r="I1182" s="861">
        <v>24.992398016565101</v>
      </c>
      <c r="J1182" s="861">
        <v>42.526738079637198</v>
      </c>
      <c r="K1182" s="982">
        <v>0</v>
      </c>
      <c r="L1182" s="735">
        <v>3658</v>
      </c>
      <c r="M1182" s="735">
        <v>3862</v>
      </c>
      <c r="N1182" s="845">
        <f t="shared" si="103"/>
        <v>5.5768179332968834E-2</v>
      </c>
      <c r="O1182" s="735">
        <v>14.938380547237339</v>
      </c>
      <c r="P1182" s="735">
        <f t="shared" si="104"/>
        <v>258.5286931061766</v>
      </c>
      <c r="Q1182" s="849">
        <v>39.799999999999997</v>
      </c>
      <c r="R1182" s="71">
        <v>70547</v>
      </c>
      <c r="S1182" s="845">
        <v>6.133333333333333E-2</v>
      </c>
      <c r="T1182" s="845">
        <v>2.2000000000000002E-2</v>
      </c>
      <c r="U1182" s="845">
        <v>2.4E-2</v>
      </c>
      <c r="V1182" s="845">
        <v>4.7E-2</v>
      </c>
      <c r="W1182" s="845">
        <v>0.26592797783933519</v>
      </c>
      <c r="X1182" s="845">
        <v>0.36458333333333331</v>
      </c>
      <c r="Y1182" s="845">
        <v>0.9785085447954428</v>
      </c>
      <c r="Z1182" s="845">
        <v>1.0357327809425167E-3</v>
      </c>
      <c r="AA1182" s="845">
        <v>0</v>
      </c>
      <c r="AB1182" s="845">
        <v>0</v>
      </c>
      <c r="AC1182" s="845">
        <v>0</v>
      </c>
      <c r="AD1182" s="845">
        <v>2.5893319523562922E-3</v>
      </c>
      <c r="AE1182" s="845">
        <v>1.7866390471258417E-2</v>
      </c>
      <c r="AF1182" s="845">
        <v>2.2268254790264112E-2</v>
      </c>
      <c r="AG1182" s="845">
        <v>0.96064215432418432</v>
      </c>
      <c r="AH1182" s="20" t="str">
        <f t="shared" si="105"/>
        <v>Yes</v>
      </c>
      <c r="AI1182" s="25"/>
      <c r="AJ1182" s="37">
        <v>43005</v>
      </c>
      <c r="AK1182" s="37" t="s">
        <v>732</v>
      </c>
      <c r="AL1182" s="37">
        <v>39083</v>
      </c>
      <c r="AM1182" s="37" t="s">
        <v>114</v>
      </c>
      <c r="AN1182" s="37" t="str">
        <f t="shared" si="106"/>
        <v>N/A</v>
      </c>
      <c r="AO1182" s="37" t="str">
        <f t="shared" si="107"/>
        <v>N/A</v>
      </c>
      <c r="AP1182" s="20" t="s">
        <v>8</v>
      </c>
      <c r="AQ1182" s="25"/>
      <c r="AR1182" s="25"/>
      <c r="AS1182" s="25"/>
      <c r="AT1182" s="25"/>
      <c r="AU1182" s="36"/>
      <c r="AV1182" s="36"/>
      <c r="AW1182" s="36"/>
      <c r="AX1182" s="25"/>
      <c r="AY1182" s="25"/>
      <c r="AZ1182" s="25"/>
      <c r="BA1182" s="25"/>
      <c r="BB1182" s="25"/>
      <c r="BC1182" s="25"/>
      <c r="BD1182" s="25"/>
      <c r="BE1182" s="25"/>
      <c r="BF1182" s="25"/>
      <c r="BG1182" s="25"/>
      <c r="BH1182" s="25"/>
      <c r="BI1182" s="25"/>
      <c r="BJ1182" s="25"/>
      <c r="BK1182" s="25"/>
      <c r="BL1182" s="25"/>
      <c r="BM1182" s="25"/>
      <c r="BN1182" s="25"/>
      <c r="BO1182" s="25"/>
      <c r="BP1182" s="25"/>
      <c r="BQ1182" s="25"/>
      <c r="BR1182" s="25"/>
      <c r="BS1182" s="25"/>
      <c r="BT1182" s="25"/>
      <c r="BU1182" s="39">
        <v>43977</v>
      </c>
      <c r="BV1182" s="39" t="s">
        <v>1141</v>
      </c>
      <c r="BW1182" s="39" t="s">
        <v>2920</v>
      </c>
      <c r="BX1182" s="39" t="s">
        <v>268</v>
      </c>
      <c r="BY1182" s="71">
        <v>810</v>
      </c>
      <c r="BZ1182" s="71">
        <v>960</v>
      </c>
      <c r="CA1182" s="71">
        <v>1170</v>
      </c>
      <c r="CB1182" s="71">
        <v>1510</v>
      </c>
      <c r="CC1182" s="71">
        <v>1660</v>
      </c>
      <c r="CD1182" s="25"/>
      <c r="CE1182" s="200"/>
      <c r="CF1182" s="200"/>
      <c r="CG1182" s="200"/>
      <c r="CH1182" s="200"/>
      <c r="CI1182" s="200"/>
      <c r="CJ1182" s="200"/>
      <c r="CK1182" s="200"/>
      <c r="CL1182" s="200"/>
      <c r="CM1182" s="200"/>
      <c r="CN1182" s="200"/>
      <c r="CO1182" s="200"/>
      <c r="CP1182" s="200"/>
      <c r="CQ1182" s="200"/>
      <c r="CR1182" s="200"/>
      <c r="CS1182" s="200"/>
      <c r="CT1182" s="200"/>
      <c r="CU1182" s="200"/>
    </row>
    <row r="1183" spans="1:99" s="17" customFormat="1" x14ac:dyDescent="0.2">
      <c r="A1183" s="25"/>
      <c r="B1183" s="20">
        <v>39089756803</v>
      </c>
      <c r="C1183" s="20">
        <v>7568.03</v>
      </c>
      <c r="D1183" s="20" t="s">
        <v>50</v>
      </c>
      <c r="E1183" s="20" t="s">
        <v>2830</v>
      </c>
      <c r="F1183" s="20" t="s">
        <v>8</v>
      </c>
      <c r="G1183" s="861">
        <v>53.904798891567403</v>
      </c>
      <c r="H1183" s="861">
        <v>56.160242972988001</v>
      </c>
      <c r="I1183" s="861">
        <v>16.931620350910599</v>
      </c>
      <c r="J1183" s="861">
        <v>52.438830157709198</v>
      </c>
      <c r="K1183" s="982">
        <v>0</v>
      </c>
      <c r="L1183" s="735" t="s">
        <v>2466</v>
      </c>
      <c r="M1183" s="735">
        <v>4056</v>
      </c>
      <c r="N1183" s="845" t="str">
        <f t="shared" si="103"/>
        <v/>
      </c>
      <c r="O1183" s="735">
        <v>2.601298428354561</v>
      </c>
      <c r="P1183" s="735">
        <f t="shared" si="104"/>
        <v>1559.2213318506494</v>
      </c>
      <c r="Q1183" s="849">
        <v>44.6</v>
      </c>
      <c r="R1183" s="71">
        <v>108936</v>
      </c>
      <c r="S1183" s="845">
        <v>7.4441687344913151E-3</v>
      </c>
      <c r="T1183" s="845">
        <v>1.4999999999999999E-2</v>
      </c>
      <c r="U1183" s="845">
        <v>0</v>
      </c>
      <c r="V1183" s="845">
        <v>0</v>
      </c>
      <c r="W1183" s="845">
        <v>2.4682651622002821E-2</v>
      </c>
      <c r="X1183" s="845">
        <v>0</v>
      </c>
      <c r="Y1183" s="845">
        <v>0.83579881656804733</v>
      </c>
      <c r="Z1183" s="845">
        <v>3.9447731755424063E-2</v>
      </c>
      <c r="AA1183" s="845">
        <v>0</v>
      </c>
      <c r="AB1183" s="845">
        <v>5.0049309664694279E-2</v>
      </c>
      <c r="AC1183" s="845">
        <v>0</v>
      </c>
      <c r="AD1183" s="845">
        <v>1.849112426035503E-2</v>
      </c>
      <c r="AE1183" s="845">
        <v>5.6213017751479293E-2</v>
      </c>
      <c r="AF1183" s="845">
        <v>5.3007889546351085E-2</v>
      </c>
      <c r="AG1183" s="845">
        <v>0.83579881656804733</v>
      </c>
      <c r="AH1183" s="20" t="str">
        <f t="shared" si="105"/>
        <v>No</v>
      </c>
      <c r="AI1183" s="25"/>
      <c r="AJ1183" s="20">
        <v>43006</v>
      </c>
      <c r="AK1183" s="20" t="s">
        <v>733</v>
      </c>
      <c r="AL1183" s="20">
        <v>39083</v>
      </c>
      <c r="AM1183" s="20" t="s">
        <v>114</v>
      </c>
      <c r="AN1183" s="37" t="str">
        <f t="shared" si="106"/>
        <v>N/A</v>
      </c>
      <c r="AO1183" s="37" t="str">
        <f t="shared" si="107"/>
        <v>N/A</v>
      </c>
      <c r="AP1183" s="20" t="s">
        <v>8</v>
      </c>
      <c r="AQ1183" s="25"/>
      <c r="AR1183" s="25"/>
      <c r="AS1183" s="25"/>
      <c r="AT1183" s="25"/>
      <c r="AU1183" s="36"/>
      <c r="AV1183" s="36"/>
      <c r="AW1183" s="36"/>
      <c r="AX1183" s="25"/>
      <c r="AY1183" s="25"/>
      <c r="AZ1183" s="25"/>
      <c r="BA1183" s="25"/>
      <c r="BB1183" s="25"/>
      <c r="BC1183" s="25"/>
      <c r="BD1183" s="25"/>
      <c r="BE1183" s="25"/>
      <c r="BF1183" s="25"/>
      <c r="BG1183" s="25"/>
      <c r="BH1183" s="25"/>
      <c r="BI1183" s="25"/>
      <c r="BJ1183" s="25"/>
      <c r="BK1183" s="25"/>
      <c r="BL1183" s="25"/>
      <c r="BM1183" s="25"/>
      <c r="BN1183" s="25"/>
      <c r="BO1183" s="25"/>
      <c r="BP1183" s="25"/>
      <c r="BQ1183" s="25"/>
      <c r="BR1183" s="25"/>
      <c r="BS1183" s="25"/>
      <c r="BT1183" s="25"/>
      <c r="BU1183" s="39">
        <v>43983</v>
      </c>
      <c r="BV1183" s="39" t="s">
        <v>1143</v>
      </c>
      <c r="BW1183" s="39" t="s">
        <v>2920</v>
      </c>
      <c r="BX1183" s="39" t="s">
        <v>268</v>
      </c>
      <c r="BY1183" s="71">
        <v>780</v>
      </c>
      <c r="BZ1183" s="71">
        <v>870</v>
      </c>
      <c r="CA1183" s="71">
        <v>1080</v>
      </c>
      <c r="CB1183" s="71">
        <v>1400</v>
      </c>
      <c r="CC1183" s="71">
        <v>1530</v>
      </c>
      <c r="CD1183" s="25"/>
      <c r="CE1183" s="200"/>
      <c r="CF1183" s="200"/>
      <c r="CG1183" s="200"/>
      <c r="CH1183" s="200"/>
      <c r="CI1183" s="200"/>
      <c r="CJ1183" s="200"/>
      <c r="CK1183" s="200"/>
      <c r="CL1183" s="200"/>
      <c r="CM1183" s="200"/>
      <c r="CN1183" s="200"/>
      <c r="CO1183" s="200"/>
      <c r="CP1183" s="200"/>
      <c r="CQ1183" s="200"/>
      <c r="CR1183" s="200"/>
      <c r="CS1183" s="200"/>
      <c r="CT1183" s="200"/>
      <c r="CU1183" s="200"/>
    </row>
    <row r="1184" spans="1:99" s="17" customFormat="1" x14ac:dyDescent="0.2">
      <c r="A1184" s="25"/>
      <c r="B1184" s="20">
        <v>39061010600</v>
      </c>
      <c r="C1184" s="20">
        <v>106</v>
      </c>
      <c r="D1184" s="20" t="s">
        <v>37</v>
      </c>
      <c r="E1184" s="20" t="s">
        <v>2828</v>
      </c>
      <c r="F1184" s="20" t="s">
        <v>8</v>
      </c>
      <c r="G1184" s="861">
        <v>53.904011147354801</v>
      </c>
      <c r="H1184" s="861">
        <v>54.856127427990103</v>
      </c>
      <c r="I1184" s="861">
        <v>24.698754770903999</v>
      </c>
      <c r="J1184" s="861">
        <v>53.618438456132402</v>
      </c>
      <c r="K1184" s="982">
        <v>0</v>
      </c>
      <c r="L1184" s="735">
        <v>1435</v>
      </c>
      <c r="M1184" s="735">
        <v>1230</v>
      </c>
      <c r="N1184" s="845">
        <f t="shared" si="103"/>
        <v>-0.14285714285714285</v>
      </c>
      <c r="O1184" s="735">
        <v>0.75335635421121683</v>
      </c>
      <c r="P1184" s="735">
        <f t="shared" si="104"/>
        <v>1632.6934698624016</v>
      </c>
      <c r="Q1184" s="849">
        <v>46.1</v>
      </c>
      <c r="R1184" s="71">
        <v>89375</v>
      </c>
      <c r="S1184" s="845">
        <v>0.1040650406504065</v>
      </c>
      <c r="T1184" s="845">
        <v>5.0000000000000001E-3</v>
      </c>
      <c r="U1184" s="845">
        <v>0.03</v>
      </c>
      <c r="V1184" s="845">
        <v>0.13600000000000001</v>
      </c>
      <c r="W1184" s="845">
        <v>0.303886925795053</v>
      </c>
      <c r="X1184" s="845">
        <v>0.22093023255813954</v>
      </c>
      <c r="Y1184" s="845">
        <v>0.84552845528455289</v>
      </c>
      <c r="Z1184" s="845">
        <v>9.9186991869918695E-2</v>
      </c>
      <c r="AA1184" s="845">
        <v>0</v>
      </c>
      <c r="AB1184" s="845">
        <v>0</v>
      </c>
      <c r="AC1184" s="845">
        <v>0</v>
      </c>
      <c r="AD1184" s="845">
        <v>4.0650406504065045E-3</v>
      </c>
      <c r="AE1184" s="845">
        <v>5.1219512195121948E-2</v>
      </c>
      <c r="AF1184" s="845">
        <v>1.4634146341463415E-2</v>
      </c>
      <c r="AG1184" s="845">
        <v>0.84552845528455289</v>
      </c>
      <c r="AH1184" s="20" t="str">
        <f t="shared" si="105"/>
        <v>No</v>
      </c>
      <c r="AI1184" s="25"/>
      <c r="AJ1184" s="37">
        <v>43011</v>
      </c>
      <c r="AK1184" s="37" t="s">
        <v>738</v>
      </c>
      <c r="AL1184" s="37">
        <v>39083</v>
      </c>
      <c r="AM1184" s="37" t="s">
        <v>114</v>
      </c>
      <c r="AN1184" s="37" t="str">
        <f t="shared" si="106"/>
        <v>N/A</v>
      </c>
      <c r="AO1184" s="37" t="str">
        <f t="shared" si="107"/>
        <v>N/A</v>
      </c>
      <c r="AP1184" s="20" t="s">
        <v>8</v>
      </c>
      <c r="AQ1184" s="25"/>
      <c r="AR1184" s="25"/>
      <c r="AS1184" s="25"/>
      <c r="AT1184" s="25"/>
      <c r="AU1184" s="36"/>
      <c r="AV1184" s="36"/>
      <c r="AW1184" s="36"/>
      <c r="AX1184" s="25"/>
      <c r="AY1184" s="25"/>
      <c r="AZ1184" s="25"/>
      <c r="BA1184" s="25"/>
      <c r="BB1184" s="25"/>
      <c r="BC1184" s="25"/>
      <c r="BD1184" s="25"/>
      <c r="BE1184" s="25"/>
      <c r="BF1184" s="25"/>
      <c r="BG1184" s="25"/>
      <c r="BH1184" s="25"/>
      <c r="BI1184" s="25"/>
      <c r="BJ1184" s="25"/>
      <c r="BK1184" s="25"/>
      <c r="BL1184" s="25"/>
      <c r="BM1184" s="25"/>
      <c r="BN1184" s="25"/>
      <c r="BO1184" s="25"/>
      <c r="BP1184" s="25"/>
      <c r="BQ1184" s="25"/>
      <c r="BR1184" s="25"/>
      <c r="BS1184" s="25"/>
      <c r="BT1184" s="25"/>
      <c r="BU1184" s="39">
        <v>43985</v>
      </c>
      <c r="BV1184" s="39" t="s">
        <v>1144</v>
      </c>
      <c r="BW1184" s="39" t="s">
        <v>2920</v>
      </c>
      <c r="BX1184" s="39" t="s">
        <v>268</v>
      </c>
      <c r="BY1184" s="71">
        <v>810</v>
      </c>
      <c r="BZ1184" s="71">
        <v>960</v>
      </c>
      <c r="CA1184" s="71">
        <v>1170</v>
      </c>
      <c r="CB1184" s="71">
        <v>1510</v>
      </c>
      <c r="CC1184" s="71">
        <v>1660</v>
      </c>
      <c r="CD1184" s="25"/>
      <c r="CE1184" s="200"/>
      <c r="CF1184" s="200"/>
      <c r="CG1184" s="200"/>
      <c r="CH1184" s="200"/>
      <c r="CI1184" s="200"/>
      <c r="CJ1184" s="200"/>
      <c r="CK1184" s="200"/>
      <c r="CL1184" s="200"/>
      <c r="CM1184" s="200"/>
      <c r="CN1184" s="200"/>
      <c r="CO1184" s="200"/>
      <c r="CP1184" s="200"/>
      <c r="CQ1184" s="200"/>
      <c r="CR1184" s="200"/>
      <c r="CS1184" s="200"/>
      <c r="CT1184" s="200"/>
      <c r="CU1184" s="200"/>
    </row>
    <row r="1185" spans="1:99" s="17" customFormat="1" x14ac:dyDescent="0.2">
      <c r="A1185" s="25"/>
      <c r="B1185" s="20">
        <v>39083007600</v>
      </c>
      <c r="C1185" s="20">
        <v>76</v>
      </c>
      <c r="D1185" s="20" t="s">
        <v>114</v>
      </c>
      <c r="E1185" s="20" t="s">
        <v>265</v>
      </c>
      <c r="F1185" s="20" t="s">
        <v>8</v>
      </c>
      <c r="G1185" s="861">
        <v>53.896612901047703</v>
      </c>
      <c r="H1185" s="861">
        <v>56.347315240256201</v>
      </c>
      <c r="I1185" s="861">
        <v>29.8994694610445</v>
      </c>
      <c r="J1185" s="861">
        <v>34.398379184419099</v>
      </c>
      <c r="K1185" s="982">
        <v>0</v>
      </c>
      <c r="L1185" s="735">
        <v>4744</v>
      </c>
      <c r="M1185" s="735">
        <v>4810</v>
      </c>
      <c r="N1185" s="845">
        <f t="shared" si="103"/>
        <v>1.3912310286677909E-2</v>
      </c>
      <c r="O1185" s="735">
        <v>14.502547658413768</v>
      </c>
      <c r="P1185" s="735">
        <f t="shared" si="104"/>
        <v>331.66586404626918</v>
      </c>
      <c r="Q1185" s="849">
        <v>41.3</v>
      </c>
      <c r="R1185" s="71">
        <v>62917</v>
      </c>
      <c r="S1185" s="845">
        <v>0.1471933471933472</v>
      </c>
      <c r="T1185" s="845">
        <v>4.2999999999999997E-2</v>
      </c>
      <c r="U1185" s="845">
        <v>6.9999999999999993E-3</v>
      </c>
      <c r="V1185" s="845">
        <v>7.5999999999999998E-2</v>
      </c>
      <c r="W1185" s="845">
        <v>0.29237713139418253</v>
      </c>
      <c r="X1185" s="845">
        <v>0.32246998284734135</v>
      </c>
      <c r="Y1185" s="845">
        <v>0.91330561330561333</v>
      </c>
      <c r="Z1185" s="845">
        <v>2.1621621621621623E-2</v>
      </c>
      <c r="AA1185" s="845">
        <v>0</v>
      </c>
      <c r="AB1185" s="845">
        <v>2.3700623700623702E-2</v>
      </c>
      <c r="AC1185" s="845">
        <v>0</v>
      </c>
      <c r="AD1185" s="845">
        <v>1.5800415800415801E-2</v>
      </c>
      <c r="AE1185" s="845">
        <v>2.5571725571725573E-2</v>
      </c>
      <c r="AF1185" s="845">
        <v>3.180873180873181E-2</v>
      </c>
      <c r="AG1185" s="845">
        <v>0.88752598752598755</v>
      </c>
      <c r="AH1185" s="20" t="str">
        <f t="shared" si="105"/>
        <v>No</v>
      </c>
      <c r="AI1185" s="25"/>
      <c r="AJ1185" s="20">
        <v>43014</v>
      </c>
      <c r="AK1185" s="20" t="s">
        <v>740</v>
      </c>
      <c r="AL1185" s="20">
        <v>39083</v>
      </c>
      <c r="AM1185" s="20" t="s">
        <v>114</v>
      </c>
      <c r="AN1185" s="37" t="str">
        <f t="shared" si="106"/>
        <v>N/A</v>
      </c>
      <c r="AO1185" s="37" t="str">
        <f t="shared" si="107"/>
        <v>N/A</v>
      </c>
      <c r="AP1185" s="20" t="s">
        <v>8</v>
      </c>
      <c r="AQ1185" s="25"/>
      <c r="AR1185" s="25"/>
      <c r="AS1185" s="25"/>
      <c r="AT1185" s="25"/>
      <c r="AU1185" s="36"/>
      <c r="AV1185" s="36"/>
      <c r="AW1185" s="36"/>
      <c r="AX1185" s="25"/>
      <c r="AY1185" s="25"/>
      <c r="AZ1185" s="25"/>
      <c r="BA1185" s="25"/>
      <c r="BB1185" s="25"/>
      <c r="BC1185" s="25"/>
      <c r="BD1185" s="25"/>
      <c r="BE1185" s="25"/>
      <c r="BF1185" s="25"/>
      <c r="BG1185" s="25"/>
      <c r="BH1185" s="25"/>
      <c r="BI1185" s="25"/>
      <c r="BJ1185" s="25"/>
      <c r="BK1185" s="25"/>
      <c r="BL1185" s="25"/>
      <c r="BM1185" s="25"/>
      <c r="BN1185" s="25"/>
      <c r="BO1185" s="25"/>
      <c r="BP1185" s="25"/>
      <c r="BQ1185" s="25"/>
      <c r="BR1185" s="25"/>
      <c r="BS1185" s="25"/>
      <c r="BT1185" s="25"/>
      <c r="BU1185" s="39">
        <v>43501</v>
      </c>
      <c r="BV1185" s="39" t="s">
        <v>949</v>
      </c>
      <c r="BW1185" s="39" t="s">
        <v>2955</v>
      </c>
      <c r="BX1185" s="39" t="s">
        <v>2956</v>
      </c>
      <c r="BY1185" s="71">
        <v>750</v>
      </c>
      <c r="BZ1185" s="71">
        <v>790</v>
      </c>
      <c r="CA1185" s="71">
        <v>1020</v>
      </c>
      <c r="CB1185" s="71">
        <v>1290</v>
      </c>
      <c r="CC1185" s="71">
        <v>1360</v>
      </c>
      <c r="CD1185" s="25"/>
      <c r="CE1185" s="200"/>
      <c r="CF1185" s="200"/>
      <c r="CG1185" s="200"/>
      <c r="CH1185" s="200"/>
      <c r="CI1185" s="200"/>
      <c r="CJ1185" s="200"/>
      <c r="CK1185" s="200"/>
      <c r="CL1185" s="200"/>
      <c r="CM1185" s="200"/>
      <c r="CN1185" s="200"/>
      <c r="CO1185" s="200"/>
      <c r="CP1185" s="200"/>
      <c r="CQ1185" s="200"/>
      <c r="CR1185" s="200"/>
      <c r="CS1185" s="200"/>
      <c r="CT1185" s="200"/>
      <c r="CU1185" s="200"/>
    </row>
    <row r="1186" spans="1:99" s="17" customFormat="1" x14ac:dyDescent="0.2">
      <c r="A1186" s="25"/>
      <c r="B1186" s="20">
        <v>39035152302</v>
      </c>
      <c r="C1186" s="20">
        <v>1523.02</v>
      </c>
      <c r="D1186" s="20" t="s">
        <v>24</v>
      </c>
      <c r="E1186" s="20" t="s">
        <v>2829</v>
      </c>
      <c r="F1186" s="20" t="s">
        <v>8</v>
      </c>
      <c r="G1186" s="861">
        <v>53.8896299035437</v>
      </c>
      <c r="H1186" s="861">
        <v>58.653914147524198</v>
      </c>
      <c r="I1186" s="861">
        <v>29.476512823934701</v>
      </c>
      <c r="J1186" s="861">
        <v>52.085684967592798</v>
      </c>
      <c r="K1186" s="982">
        <v>0</v>
      </c>
      <c r="L1186" s="735">
        <v>4752</v>
      </c>
      <c r="M1186" s="735">
        <v>3976</v>
      </c>
      <c r="N1186" s="845">
        <f t="shared" si="103"/>
        <v>-0.16329966329966331</v>
      </c>
      <c r="O1186" s="735">
        <v>0.65653390200312545</v>
      </c>
      <c r="P1186" s="735">
        <f t="shared" si="104"/>
        <v>6056.0467446829152</v>
      </c>
      <c r="Q1186" s="849">
        <v>42</v>
      </c>
      <c r="R1186" s="71">
        <v>70455</v>
      </c>
      <c r="S1186" s="845">
        <v>9.9849094567404428E-2</v>
      </c>
      <c r="T1186" s="845">
        <v>5.4000000000000006E-2</v>
      </c>
      <c r="U1186" s="845">
        <v>7.5999999999999998E-2</v>
      </c>
      <c r="V1186" s="845">
        <v>0</v>
      </c>
      <c r="W1186" s="845">
        <v>0.32989064398541917</v>
      </c>
      <c r="X1186" s="845">
        <v>0.17127071823204421</v>
      </c>
      <c r="Y1186" s="845">
        <v>0.40442655935613681</v>
      </c>
      <c r="Z1186" s="845">
        <v>0.51307847082494973</v>
      </c>
      <c r="AA1186" s="845">
        <v>0</v>
      </c>
      <c r="AB1186" s="845">
        <v>8.8028169014084511E-3</v>
      </c>
      <c r="AC1186" s="845">
        <v>0</v>
      </c>
      <c r="AD1186" s="845">
        <v>6.1619718309859156E-2</v>
      </c>
      <c r="AE1186" s="845">
        <v>1.2072434607645875E-2</v>
      </c>
      <c r="AF1186" s="845">
        <v>2.8923541247484908E-2</v>
      </c>
      <c r="AG1186" s="845">
        <v>0.39436619718309857</v>
      </c>
      <c r="AH1186" s="20" t="str">
        <f t="shared" si="105"/>
        <v>No</v>
      </c>
      <c r="AI1186" s="25"/>
      <c r="AJ1186" s="37">
        <v>43019</v>
      </c>
      <c r="AK1186" s="37" t="s">
        <v>745</v>
      </c>
      <c r="AL1186" s="37">
        <v>39083</v>
      </c>
      <c r="AM1186" s="37" t="s">
        <v>114</v>
      </c>
      <c r="AN1186" s="37" t="str">
        <f t="shared" si="106"/>
        <v>N/A</v>
      </c>
      <c r="AO1186" s="37" t="str">
        <f t="shared" si="107"/>
        <v>N/A</v>
      </c>
      <c r="AP1186" s="20" t="s">
        <v>8</v>
      </c>
      <c r="AQ1186" s="25"/>
      <c r="AR1186" s="25"/>
      <c r="AS1186" s="25"/>
      <c r="AT1186" s="25"/>
      <c r="AU1186" s="36"/>
      <c r="AV1186" s="36"/>
      <c r="AW1186" s="36"/>
      <c r="AX1186" s="25"/>
      <c r="AY1186" s="25"/>
      <c r="AZ1186" s="25"/>
      <c r="BA1186" s="25"/>
      <c r="BB1186" s="25"/>
      <c r="BC1186" s="25"/>
      <c r="BD1186" s="25"/>
      <c r="BE1186" s="25"/>
      <c r="BF1186" s="25"/>
      <c r="BG1186" s="25"/>
      <c r="BH1186" s="25"/>
      <c r="BI1186" s="25"/>
      <c r="BJ1186" s="25"/>
      <c r="BK1186" s="25"/>
      <c r="BL1186" s="25"/>
      <c r="BM1186" s="25"/>
      <c r="BN1186" s="25"/>
      <c r="BO1186" s="25"/>
      <c r="BP1186" s="25"/>
      <c r="BQ1186" s="25"/>
      <c r="BR1186" s="25"/>
      <c r="BS1186" s="25"/>
      <c r="BT1186" s="25"/>
      <c r="BU1186" s="39">
        <v>43505</v>
      </c>
      <c r="BV1186" s="39" t="s">
        <v>952</v>
      </c>
      <c r="BW1186" s="39" t="s">
        <v>2955</v>
      </c>
      <c r="BX1186" s="39" t="s">
        <v>2956</v>
      </c>
      <c r="BY1186" s="71">
        <v>880</v>
      </c>
      <c r="BZ1186" s="71">
        <v>910</v>
      </c>
      <c r="CA1186" s="71">
        <v>1160</v>
      </c>
      <c r="CB1186" s="71">
        <v>1440</v>
      </c>
      <c r="CC1186" s="71">
        <v>1540</v>
      </c>
      <c r="CD1186" s="25"/>
      <c r="CE1186" s="200"/>
      <c r="CF1186" s="200"/>
      <c r="CG1186" s="200"/>
      <c r="CH1186" s="200"/>
      <c r="CI1186" s="200"/>
      <c r="CJ1186" s="200"/>
      <c r="CK1186" s="200"/>
      <c r="CL1186" s="200"/>
      <c r="CM1186" s="200"/>
      <c r="CN1186" s="200"/>
      <c r="CO1186" s="200"/>
      <c r="CP1186" s="200"/>
      <c r="CQ1186" s="200"/>
      <c r="CR1186" s="200"/>
      <c r="CS1186" s="200"/>
      <c r="CT1186" s="200"/>
      <c r="CU1186" s="200"/>
    </row>
    <row r="1187" spans="1:99" s="17" customFormat="1" x14ac:dyDescent="0.2">
      <c r="A1187" s="25"/>
      <c r="B1187" s="20">
        <v>39097040500</v>
      </c>
      <c r="C1187" s="20">
        <v>405</v>
      </c>
      <c r="D1187" s="20" t="s">
        <v>54</v>
      </c>
      <c r="E1187" s="20" t="s">
        <v>2830</v>
      </c>
      <c r="F1187" s="20" t="s">
        <v>8</v>
      </c>
      <c r="G1187" s="861">
        <v>53.8815800357686</v>
      </c>
      <c r="H1187" s="861">
        <v>59.2137942460581</v>
      </c>
      <c r="I1187" s="861">
        <v>32.488223600008602</v>
      </c>
      <c r="J1187" s="861">
        <v>40.6543639424495</v>
      </c>
      <c r="K1187" s="982">
        <v>0</v>
      </c>
      <c r="L1187" s="735">
        <v>4428</v>
      </c>
      <c r="M1187" s="735">
        <v>4780</v>
      </c>
      <c r="N1187" s="845">
        <f t="shared" si="103"/>
        <v>7.9494128274616077E-2</v>
      </c>
      <c r="O1187" s="735">
        <v>15.889755185015117</v>
      </c>
      <c r="P1187" s="735">
        <f t="shared" si="104"/>
        <v>300.82275934042042</v>
      </c>
      <c r="Q1187" s="849">
        <v>44.4</v>
      </c>
      <c r="R1187" s="71">
        <v>74773</v>
      </c>
      <c r="S1187" s="845">
        <v>7.5943996605854894E-2</v>
      </c>
      <c r="T1187" s="845">
        <v>0.01</v>
      </c>
      <c r="U1187" s="845">
        <v>0</v>
      </c>
      <c r="V1187" s="845">
        <v>0</v>
      </c>
      <c r="W1187" s="845">
        <v>0.20141921397379914</v>
      </c>
      <c r="X1187" s="845">
        <v>0.49593495934959347</v>
      </c>
      <c r="Y1187" s="845">
        <v>0.98138075313807527</v>
      </c>
      <c r="Z1187" s="845">
        <v>0</v>
      </c>
      <c r="AA1187" s="845">
        <v>1.0460251046025104E-3</v>
      </c>
      <c r="AB1187" s="845">
        <v>0</v>
      </c>
      <c r="AC1187" s="845">
        <v>0</v>
      </c>
      <c r="AD1187" s="845">
        <v>1.4644351464435147E-3</v>
      </c>
      <c r="AE1187" s="845">
        <v>1.610878661087866E-2</v>
      </c>
      <c r="AF1187" s="845">
        <v>2.2803347280334729E-2</v>
      </c>
      <c r="AG1187" s="845">
        <v>0.97615062761506277</v>
      </c>
      <c r="AH1187" s="20" t="str">
        <f t="shared" si="105"/>
        <v>Yes</v>
      </c>
      <c r="AI1187" s="25"/>
      <c r="AJ1187" s="37">
        <v>43022</v>
      </c>
      <c r="AK1187" s="37" t="s">
        <v>747</v>
      </c>
      <c r="AL1187" s="37">
        <v>39083</v>
      </c>
      <c r="AM1187" s="37" t="s">
        <v>114</v>
      </c>
      <c r="AN1187" s="37" t="str">
        <f t="shared" si="106"/>
        <v>N/A</v>
      </c>
      <c r="AO1187" s="37" t="str">
        <f t="shared" si="107"/>
        <v>N/A</v>
      </c>
      <c r="AP1187" s="20" t="s">
        <v>8</v>
      </c>
      <c r="AQ1187" s="25"/>
      <c r="AR1187" s="25"/>
      <c r="AS1187" s="25"/>
      <c r="AT1187" s="25"/>
      <c r="AU1187" s="36"/>
      <c r="AV1187" s="36"/>
      <c r="AW1187" s="36"/>
      <c r="AX1187" s="25"/>
      <c r="AY1187" s="25"/>
      <c r="AZ1187" s="25"/>
      <c r="BA1187" s="25"/>
      <c r="BB1187" s="25"/>
      <c r="BC1187" s="25"/>
      <c r="BD1187" s="25"/>
      <c r="BE1187" s="25"/>
      <c r="BF1187" s="25"/>
      <c r="BG1187" s="25"/>
      <c r="BH1187" s="25"/>
      <c r="BI1187" s="25"/>
      <c r="BJ1187" s="25"/>
      <c r="BK1187" s="25"/>
      <c r="BL1187" s="25"/>
      <c r="BM1187" s="25"/>
      <c r="BN1187" s="25"/>
      <c r="BO1187" s="25"/>
      <c r="BP1187" s="25"/>
      <c r="BQ1187" s="25"/>
      <c r="BR1187" s="25"/>
      <c r="BS1187" s="25"/>
      <c r="BT1187" s="25"/>
      <c r="BU1187" s="39">
        <v>43518</v>
      </c>
      <c r="BV1187" s="39" t="s">
        <v>960</v>
      </c>
      <c r="BW1187" s="39" t="s">
        <v>2955</v>
      </c>
      <c r="BX1187" s="39" t="s">
        <v>2956</v>
      </c>
      <c r="BY1187" s="71">
        <v>880</v>
      </c>
      <c r="BZ1187" s="71">
        <v>910</v>
      </c>
      <c r="CA1187" s="71">
        <v>1160</v>
      </c>
      <c r="CB1187" s="71">
        <v>1440</v>
      </c>
      <c r="CC1187" s="71">
        <v>1540</v>
      </c>
      <c r="CD1187" s="25"/>
      <c r="CE1187" s="200"/>
      <c r="CF1187" s="200"/>
      <c r="CG1187" s="200"/>
      <c r="CH1187" s="200"/>
      <c r="CI1187" s="200"/>
      <c r="CJ1187" s="200"/>
      <c r="CK1187" s="200"/>
      <c r="CL1187" s="200"/>
      <c r="CM1187" s="200"/>
      <c r="CN1187" s="200"/>
      <c r="CO1187" s="200"/>
      <c r="CP1187" s="200"/>
      <c r="CQ1187" s="200"/>
      <c r="CR1187" s="200"/>
      <c r="CS1187" s="200"/>
      <c r="CT1187" s="200"/>
      <c r="CU1187" s="200"/>
    </row>
    <row r="1188" spans="1:99" s="17" customFormat="1" x14ac:dyDescent="0.2">
      <c r="A1188" s="25"/>
      <c r="B1188" s="20">
        <v>39173021500</v>
      </c>
      <c r="C1188" s="20">
        <v>215</v>
      </c>
      <c r="D1188" s="20" t="s">
        <v>92</v>
      </c>
      <c r="E1188" s="20" t="s">
        <v>2839</v>
      </c>
      <c r="F1188" s="20" t="s">
        <v>8</v>
      </c>
      <c r="G1188" s="861">
        <v>53.869222785859698</v>
      </c>
      <c r="H1188" s="861">
        <v>62.417202764198102</v>
      </c>
      <c r="I1188" s="861">
        <v>27.216022327643898</v>
      </c>
      <c r="J1188" s="861">
        <v>47.693311770399198</v>
      </c>
      <c r="K1188" s="982">
        <v>0</v>
      </c>
      <c r="L1188" s="735">
        <v>2477</v>
      </c>
      <c r="M1188" s="735">
        <v>2223</v>
      </c>
      <c r="N1188" s="845">
        <f t="shared" si="103"/>
        <v>-0.10254339927331449</v>
      </c>
      <c r="O1188" s="735">
        <v>51.063389244671093</v>
      </c>
      <c r="P1188" s="735">
        <f t="shared" si="104"/>
        <v>43.534125581607164</v>
      </c>
      <c r="Q1188" s="849">
        <v>42.6</v>
      </c>
      <c r="R1188" s="71">
        <v>71713</v>
      </c>
      <c r="S1188" s="845">
        <v>4.8133153396311294E-2</v>
      </c>
      <c r="T1188" s="845">
        <v>5.9000000000000004E-2</v>
      </c>
      <c r="U1188" s="845">
        <v>0</v>
      </c>
      <c r="V1188" s="845">
        <v>0.13200000000000001</v>
      </c>
      <c r="W1188" s="845">
        <v>0.13043478260869565</v>
      </c>
      <c r="X1188" s="845">
        <v>0.17948717948717949</v>
      </c>
      <c r="Y1188" s="845">
        <v>0.96356275303643724</v>
      </c>
      <c r="Z1188" s="845">
        <v>2.6990553306342779E-3</v>
      </c>
      <c r="AA1188" s="845">
        <v>8.9968511021142603E-4</v>
      </c>
      <c r="AB1188" s="845">
        <v>0</v>
      </c>
      <c r="AC1188" s="845">
        <v>0</v>
      </c>
      <c r="AD1188" s="845">
        <v>7.6473234367971212E-3</v>
      </c>
      <c r="AE1188" s="845">
        <v>2.5191183085919926E-2</v>
      </c>
      <c r="AF1188" s="845">
        <v>3.1938821412505626E-2</v>
      </c>
      <c r="AG1188" s="845">
        <v>0.96356275303643724</v>
      </c>
      <c r="AH1188" s="20" t="str">
        <f t="shared" si="105"/>
        <v>Yes</v>
      </c>
      <c r="AI1188" s="25"/>
      <c r="AJ1188" s="20">
        <v>43028</v>
      </c>
      <c r="AK1188" s="20" t="s">
        <v>752</v>
      </c>
      <c r="AL1188" s="20">
        <v>39083</v>
      </c>
      <c r="AM1188" s="20" t="s">
        <v>114</v>
      </c>
      <c r="AN1188" s="37" t="str">
        <f t="shared" si="106"/>
        <v>N/A</v>
      </c>
      <c r="AO1188" s="37" t="str">
        <f t="shared" si="107"/>
        <v>N/A</v>
      </c>
      <c r="AP1188" s="20" t="s">
        <v>8</v>
      </c>
      <c r="AQ1188" s="25"/>
      <c r="AR1188" s="25"/>
      <c r="AS1188" s="25"/>
      <c r="AT1188" s="25"/>
      <c r="AU1188" s="36"/>
      <c r="AV1188" s="36"/>
      <c r="AW1188" s="36"/>
      <c r="AX1188" s="25"/>
      <c r="AY1188" s="25"/>
      <c r="AZ1188" s="25"/>
      <c r="BA1188" s="25"/>
      <c r="BB1188" s="25"/>
      <c r="BC1188" s="25"/>
      <c r="BD1188" s="25"/>
      <c r="BE1188" s="25"/>
      <c r="BF1188" s="25"/>
      <c r="BG1188" s="25"/>
      <c r="BH1188" s="25"/>
      <c r="BI1188" s="25"/>
      <c r="BJ1188" s="25"/>
      <c r="BK1188" s="25"/>
      <c r="BL1188" s="25"/>
      <c r="BM1188" s="25"/>
      <c r="BN1188" s="25"/>
      <c r="BO1188" s="25"/>
      <c r="BP1188" s="25"/>
      <c r="BQ1188" s="25"/>
      <c r="BR1188" s="25"/>
      <c r="BS1188" s="25"/>
      <c r="BT1188" s="25"/>
      <c r="BU1188" s="39">
        <v>43531</v>
      </c>
      <c r="BV1188" s="39" t="s">
        <v>973</v>
      </c>
      <c r="BW1188" s="39" t="s">
        <v>2955</v>
      </c>
      <c r="BX1188" s="39" t="s">
        <v>2956</v>
      </c>
      <c r="BY1188" s="71">
        <v>740</v>
      </c>
      <c r="BZ1188" s="71">
        <v>760</v>
      </c>
      <c r="CA1188" s="71">
        <v>970</v>
      </c>
      <c r="CB1188" s="71">
        <v>1210</v>
      </c>
      <c r="CC1188" s="71">
        <v>1290</v>
      </c>
      <c r="CD1188" s="25"/>
      <c r="CE1188" s="200"/>
      <c r="CF1188" s="200"/>
      <c r="CG1188" s="200"/>
      <c r="CH1188" s="200"/>
      <c r="CI1188" s="200"/>
      <c r="CJ1188" s="200"/>
      <c r="CK1188" s="200"/>
      <c r="CL1188" s="200"/>
      <c r="CM1188" s="200"/>
      <c r="CN1188" s="200"/>
      <c r="CO1188" s="200"/>
      <c r="CP1188" s="200"/>
      <c r="CQ1188" s="200"/>
      <c r="CR1188" s="200"/>
      <c r="CS1188" s="200"/>
      <c r="CT1188" s="200"/>
      <c r="CU1188" s="200"/>
    </row>
    <row r="1189" spans="1:99" s="17" customFormat="1" x14ac:dyDescent="0.2">
      <c r="A1189" s="25"/>
      <c r="B1189" s="20">
        <v>39173022300</v>
      </c>
      <c r="C1189" s="20">
        <v>223</v>
      </c>
      <c r="D1189" s="20" t="s">
        <v>92</v>
      </c>
      <c r="E1189" s="20" t="s">
        <v>2839</v>
      </c>
      <c r="F1189" s="20" t="s">
        <v>8</v>
      </c>
      <c r="G1189" s="861">
        <v>53.860545497707299</v>
      </c>
      <c r="H1189" s="861">
        <v>55.5408263339936</v>
      </c>
      <c r="I1189" s="861">
        <v>20.589912139474698</v>
      </c>
      <c r="J1189" s="861">
        <v>47.6530838703397</v>
      </c>
      <c r="K1189" s="982">
        <v>0</v>
      </c>
      <c r="L1189" s="735">
        <v>3973</v>
      </c>
      <c r="M1189" s="735">
        <v>3513</v>
      </c>
      <c r="N1189" s="845">
        <f t="shared" si="103"/>
        <v>-0.11578152529574628</v>
      </c>
      <c r="O1189" s="735">
        <v>101.95928273971884</v>
      </c>
      <c r="P1189" s="735">
        <f t="shared" si="104"/>
        <v>34.454930493851833</v>
      </c>
      <c r="Q1189" s="849">
        <v>41.6</v>
      </c>
      <c r="R1189" s="71">
        <v>72870</v>
      </c>
      <c r="S1189" s="845">
        <v>0.10730724971231301</v>
      </c>
      <c r="T1189" s="845">
        <v>0.04</v>
      </c>
      <c r="U1189" s="845">
        <v>0</v>
      </c>
      <c r="V1189" s="845">
        <v>0</v>
      </c>
      <c r="W1189" s="845">
        <v>0.18221895664952242</v>
      </c>
      <c r="X1189" s="845">
        <v>0.27419354838709675</v>
      </c>
      <c r="Y1189" s="845">
        <v>0.88414460575007114</v>
      </c>
      <c r="Z1189" s="845">
        <v>8.5397096498719043E-4</v>
      </c>
      <c r="AA1189" s="845">
        <v>0</v>
      </c>
      <c r="AB1189" s="845">
        <v>2.5619128949615714E-3</v>
      </c>
      <c r="AC1189" s="845">
        <v>8.539709649871904E-3</v>
      </c>
      <c r="AD1189" s="845">
        <v>3.6720751494449186E-2</v>
      </c>
      <c r="AE1189" s="845">
        <v>6.7179049245658984E-2</v>
      </c>
      <c r="AF1189" s="845">
        <v>0.10162254483347566</v>
      </c>
      <c r="AG1189" s="845">
        <v>0.86251067463706232</v>
      </c>
      <c r="AH1189" s="20" t="str">
        <f t="shared" si="105"/>
        <v>No</v>
      </c>
      <c r="AI1189" s="25"/>
      <c r="AJ1189" s="20">
        <v>43037</v>
      </c>
      <c r="AK1189" s="20" t="s">
        <v>760</v>
      </c>
      <c r="AL1189" s="20">
        <v>39083</v>
      </c>
      <c r="AM1189" s="20" t="s">
        <v>114</v>
      </c>
      <c r="AN1189" s="37" t="str">
        <f t="shared" si="106"/>
        <v>N/A</v>
      </c>
      <c r="AO1189" s="37" t="str">
        <f t="shared" si="107"/>
        <v>N/A</v>
      </c>
      <c r="AP1189" s="20" t="s">
        <v>8</v>
      </c>
      <c r="AQ1189" s="25"/>
      <c r="AR1189" s="25"/>
      <c r="AS1189" s="25"/>
      <c r="AT1189" s="25"/>
      <c r="AU1189" s="36"/>
      <c r="AV1189" s="36"/>
      <c r="AW1189" s="36"/>
      <c r="AX1189" s="25"/>
      <c r="AY1189" s="25"/>
      <c r="AZ1189" s="25"/>
      <c r="BA1189" s="25"/>
      <c r="BB1189" s="25"/>
      <c r="BC1189" s="25"/>
      <c r="BD1189" s="25"/>
      <c r="BE1189" s="25"/>
      <c r="BF1189" s="25"/>
      <c r="BG1189" s="25"/>
      <c r="BH1189" s="25"/>
      <c r="BI1189" s="25"/>
      <c r="BJ1189" s="25"/>
      <c r="BK1189" s="25"/>
      <c r="BL1189" s="25"/>
      <c r="BM1189" s="25"/>
      <c r="BN1189" s="25"/>
      <c r="BO1189" s="25"/>
      <c r="BP1189" s="25"/>
      <c r="BQ1189" s="25"/>
      <c r="BR1189" s="25"/>
      <c r="BS1189" s="25"/>
      <c r="BT1189" s="25"/>
      <c r="BU1189" s="39">
        <v>43543</v>
      </c>
      <c r="BV1189" s="39" t="s">
        <v>983</v>
      </c>
      <c r="BW1189" s="39" t="s">
        <v>2955</v>
      </c>
      <c r="BX1189" s="39" t="s">
        <v>2956</v>
      </c>
      <c r="BY1189" s="71">
        <v>740</v>
      </c>
      <c r="BZ1189" s="71">
        <v>760</v>
      </c>
      <c r="CA1189" s="71">
        <v>970</v>
      </c>
      <c r="CB1189" s="71">
        <v>1210</v>
      </c>
      <c r="CC1189" s="71">
        <v>1290</v>
      </c>
      <c r="CD1189" s="25"/>
      <c r="CE1189" s="200"/>
      <c r="CF1189" s="200"/>
      <c r="CG1189" s="200"/>
      <c r="CH1189" s="200"/>
      <c r="CI1189" s="200"/>
      <c r="CJ1189" s="200"/>
      <c r="CK1189" s="200"/>
      <c r="CL1189" s="200"/>
      <c r="CM1189" s="200"/>
      <c r="CN1189" s="200"/>
      <c r="CO1189" s="200"/>
      <c r="CP1189" s="200"/>
      <c r="CQ1189" s="200"/>
      <c r="CR1189" s="200"/>
      <c r="CS1189" s="200"/>
      <c r="CT1189" s="200"/>
      <c r="CU1189" s="200"/>
    </row>
    <row r="1190" spans="1:99" s="17" customFormat="1" x14ac:dyDescent="0.2">
      <c r="A1190" s="25"/>
      <c r="B1190" s="20">
        <v>39035160604</v>
      </c>
      <c r="C1190" s="20">
        <v>1606.04</v>
      </c>
      <c r="D1190" s="20" t="s">
        <v>24</v>
      </c>
      <c r="E1190" s="20" t="s">
        <v>2829</v>
      </c>
      <c r="F1190" s="20" t="s">
        <v>8</v>
      </c>
      <c r="G1190" s="861">
        <v>53.857128631292198</v>
      </c>
      <c r="H1190" s="861">
        <v>44.0302520327417</v>
      </c>
      <c r="I1190" s="861">
        <v>53.120657014751302</v>
      </c>
      <c r="J1190" s="861">
        <v>28.693465032476698</v>
      </c>
      <c r="K1190" s="982">
        <v>0</v>
      </c>
      <c r="L1190" s="735" t="s">
        <v>2466</v>
      </c>
      <c r="M1190" s="735">
        <v>3258</v>
      </c>
      <c r="N1190" s="845" t="str">
        <f t="shared" si="103"/>
        <v/>
      </c>
      <c r="O1190" s="735">
        <v>0.1289214412648404</v>
      </c>
      <c r="P1190" s="735">
        <f t="shared" si="104"/>
        <v>25271.203672841079</v>
      </c>
      <c r="Q1190" s="849">
        <v>55.2</v>
      </c>
      <c r="R1190" s="71">
        <v>51462</v>
      </c>
      <c r="S1190" s="845">
        <v>0.1939840392879067</v>
      </c>
      <c r="T1190" s="845">
        <v>9.4E-2</v>
      </c>
      <c r="U1190" s="845">
        <v>0</v>
      </c>
      <c r="V1190" s="845">
        <v>3.6000000000000004E-2</v>
      </c>
      <c r="W1190" s="845">
        <v>0.56301267710663683</v>
      </c>
      <c r="X1190" s="845">
        <v>0.48543046357615893</v>
      </c>
      <c r="Y1190" s="845">
        <v>0.83640270104358505</v>
      </c>
      <c r="Z1190" s="845">
        <v>4.6961325966850827E-2</v>
      </c>
      <c r="AA1190" s="845">
        <v>2.1485573971761819E-3</v>
      </c>
      <c r="AB1190" s="845">
        <v>2.056476365868631E-2</v>
      </c>
      <c r="AC1190" s="845">
        <v>0</v>
      </c>
      <c r="AD1190" s="845">
        <v>4.9109883364027006E-3</v>
      </c>
      <c r="AE1190" s="845">
        <v>8.9011663597298951E-2</v>
      </c>
      <c r="AF1190" s="845">
        <v>7.550644567219153E-2</v>
      </c>
      <c r="AG1190" s="845">
        <v>0.83640270104358505</v>
      </c>
      <c r="AH1190" s="20" t="str">
        <f t="shared" si="105"/>
        <v>No</v>
      </c>
      <c r="AI1190" s="25"/>
      <c r="AJ1190" s="20">
        <v>43050</v>
      </c>
      <c r="AK1190" s="20" t="s">
        <v>766</v>
      </c>
      <c r="AL1190" s="20">
        <v>39083</v>
      </c>
      <c r="AM1190" s="20" t="s">
        <v>114</v>
      </c>
      <c r="AN1190" s="37" t="str">
        <f t="shared" si="106"/>
        <v>N/A</v>
      </c>
      <c r="AO1190" s="37" t="str">
        <f t="shared" si="107"/>
        <v>N/A</v>
      </c>
      <c r="AP1190" s="20" t="s">
        <v>8</v>
      </c>
      <c r="AQ1190" s="25"/>
      <c r="AR1190" s="25"/>
      <c r="AS1190" s="25"/>
      <c r="AT1190" s="25"/>
      <c r="AU1190" s="36"/>
      <c r="AV1190" s="36"/>
      <c r="AW1190" s="36"/>
      <c r="AX1190" s="25"/>
      <c r="AY1190" s="25"/>
      <c r="AZ1190" s="25"/>
      <c r="BA1190" s="25"/>
      <c r="BB1190" s="25"/>
      <c r="BC1190" s="25"/>
      <c r="BD1190" s="25"/>
      <c r="BE1190" s="25"/>
      <c r="BF1190" s="25"/>
      <c r="BG1190" s="25"/>
      <c r="BH1190" s="25"/>
      <c r="BI1190" s="25"/>
      <c r="BJ1190" s="25"/>
      <c r="BK1190" s="25"/>
      <c r="BL1190" s="25"/>
      <c r="BM1190" s="25"/>
      <c r="BN1190" s="25"/>
      <c r="BO1190" s="25"/>
      <c r="BP1190" s="25"/>
      <c r="BQ1190" s="25"/>
      <c r="BR1190" s="25"/>
      <c r="BS1190" s="25"/>
      <c r="BT1190" s="25"/>
      <c r="BU1190" s="39">
        <v>43554</v>
      </c>
      <c r="BV1190" s="39" t="s">
        <v>990</v>
      </c>
      <c r="BW1190" s="39" t="s">
        <v>2955</v>
      </c>
      <c r="BX1190" s="39" t="s">
        <v>2956</v>
      </c>
      <c r="BY1190" s="71">
        <v>740</v>
      </c>
      <c r="BZ1190" s="71">
        <v>760</v>
      </c>
      <c r="CA1190" s="71">
        <v>970</v>
      </c>
      <c r="CB1190" s="71">
        <v>1210</v>
      </c>
      <c r="CC1190" s="71">
        <v>1290</v>
      </c>
      <c r="CD1190" s="25"/>
      <c r="CE1190" s="200"/>
      <c r="CF1190" s="200"/>
      <c r="CG1190" s="200"/>
      <c r="CH1190" s="200"/>
      <c r="CI1190" s="200"/>
      <c r="CJ1190" s="200"/>
      <c r="CK1190" s="200"/>
      <c r="CL1190" s="200"/>
      <c r="CM1190" s="200"/>
      <c r="CN1190" s="200"/>
      <c r="CO1190" s="200"/>
      <c r="CP1190" s="200"/>
      <c r="CQ1190" s="200"/>
      <c r="CR1190" s="200"/>
      <c r="CS1190" s="200"/>
      <c r="CT1190" s="200"/>
      <c r="CU1190" s="200"/>
    </row>
    <row r="1191" spans="1:99" s="17" customFormat="1" x14ac:dyDescent="0.2">
      <c r="A1191" s="25"/>
      <c r="B1191" s="20">
        <v>39035183603</v>
      </c>
      <c r="C1191" s="20">
        <v>1836.03</v>
      </c>
      <c r="D1191" s="20" t="s">
        <v>24</v>
      </c>
      <c r="E1191" s="20" t="s">
        <v>2829</v>
      </c>
      <c r="F1191" s="20" t="s">
        <v>6</v>
      </c>
      <c r="G1191" s="861">
        <v>53.838747020771301</v>
      </c>
      <c r="H1191" s="861">
        <v>63.4784390125672</v>
      </c>
      <c r="I1191" s="861">
        <v>48.692808166529602</v>
      </c>
      <c r="J1191" s="861">
        <v>47.8047358307577</v>
      </c>
      <c r="K1191" s="982">
        <v>0</v>
      </c>
      <c r="L1191" s="735">
        <v>1351</v>
      </c>
      <c r="M1191" s="735">
        <v>1420</v>
      </c>
      <c r="N1191" s="845">
        <f t="shared" si="103"/>
        <v>5.1073279052553662E-2</v>
      </c>
      <c r="O1191" s="735">
        <v>0.19833372903013058</v>
      </c>
      <c r="P1191" s="735">
        <f t="shared" si="104"/>
        <v>7159.6495812584435</v>
      </c>
      <c r="Q1191" s="849">
        <v>37.4</v>
      </c>
      <c r="R1191" s="71">
        <v>47875</v>
      </c>
      <c r="S1191" s="845">
        <v>0.15140845070422534</v>
      </c>
      <c r="T1191" s="845">
        <v>0</v>
      </c>
      <c r="U1191" s="845">
        <v>7.8E-2</v>
      </c>
      <c r="V1191" s="845">
        <v>2.2000000000000002E-2</v>
      </c>
      <c r="W1191" s="845">
        <v>0.65942028985507251</v>
      </c>
      <c r="X1191" s="845">
        <v>0.28131868131868132</v>
      </c>
      <c r="Y1191" s="845">
        <v>3.591549295774648E-2</v>
      </c>
      <c r="Z1191" s="845">
        <v>0.9288732394366197</v>
      </c>
      <c r="AA1191" s="845">
        <v>0</v>
      </c>
      <c r="AB1191" s="845">
        <v>0</v>
      </c>
      <c r="AC1191" s="845">
        <v>0</v>
      </c>
      <c r="AD1191" s="845">
        <v>7.7464788732394367E-3</v>
      </c>
      <c r="AE1191" s="845">
        <v>2.7464788732394368E-2</v>
      </c>
      <c r="AF1191" s="845">
        <v>1.5492957746478873E-2</v>
      </c>
      <c r="AG1191" s="845">
        <v>2.8169014084507043E-2</v>
      </c>
      <c r="AH1191" s="20" t="str">
        <f t="shared" si="105"/>
        <v>No</v>
      </c>
      <c r="AI1191" s="25"/>
      <c r="AJ1191" s="20">
        <v>43080</v>
      </c>
      <c r="AK1191" s="20" t="s">
        <v>785</v>
      </c>
      <c r="AL1191" s="20">
        <v>39083</v>
      </c>
      <c r="AM1191" s="20" t="s">
        <v>114</v>
      </c>
      <c r="AN1191" s="37" t="str">
        <f t="shared" si="106"/>
        <v>N/A</v>
      </c>
      <c r="AO1191" s="37" t="str">
        <f t="shared" si="107"/>
        <v>N/A</v>
      </c>
      <c r="AP1191" s="20" t="s">
        <v>8</v>
      </c>
      <c r="AQ1191" s="25"/>
      <c r="AR1191" s="25"/>
      <c r="AS1191" s="25"/>
      <c r="AT1191" s="25"/>
      <c r="AU1191" s="36"/>
      <c r="AV1191" s="36"/>
      <c r="AW1191" s="36"/>
      <c r="AX1191" s="25"/>
      <c r="AY1191" s="25"/>
      <c r="AZ1191" s="25"/>
      <c r="BA1191" s="25"/>
      <c r="BB1191" s="25"/>
      <c r="BC1191" s="25"/>
      <c r="BD1191" s="25"/>
      <c r="BE1191" s="25"/>
      <c r="BF1191" s="25"/>
      <c r="BG1191" s="25"/>
      <c r="BH1191" s="25"/>
      <c r="BI1191" s="25"/>
      <c r="BJ1191" s="25"/>
      <c r="BK1191" s="25"/>
      <c r="BL1191" s="25"/>
      <c r="BM1191" s="25"/>
      <c r="BN1191" s="25"/>
      <c r="BO1191" s="25"/>
      <c r="BP1191" s="25"/>
      <c r="BQ1191" s="25"/>
      <c r="BR1191" s="25"/>
      <c r="BS1191" s="25"/>
      <c r="BT1191" s="25"/>
      <c r="BU1191" s="39">
        <v>43330</v>
      </c>
      <c r="BV1191" s="39" t="s">
        <v>882</v>
      </c>
      <c r="BW1191" s="39" t="s">
        <v>2972</v>
      </c>
      <c r="BX1191" s="39" t="s">
        <v>2973</v>
      </c>
      <c r="BY1191" s="71">
        <v>740</v>
      </c>
      <c r="BZ1191" s="71">
        <v>800</v>
      </c>
      <c r="CA1191" s="71">
        <v>970</v>
      </c>
      <c r="CB1191" s="71">
        <v>1240</v>
      </c>
      <c r="CC1191" s="71">
        <v>1420</v>
      </c>
      <c r="CD1191" s="25"/>
      <c r="CE1191" s="200"/>
      <c r="CF1191" s="200"/>
      <c r="CG1191" s="200"/>
      <c r="CH1191" s="200"/>
      <c r="CI1191" s="200"/>
      <c r="CJ1191" s="200"/>
      <c r="CK1191" s="200"/>
      <c r="CL1191" s="200"/>
      <c r="CM1191" s="200"/>
      <c r="CN1191" s="200"/>
      <c r="CO1191" s="200"/>
      <c r="CP1191" s="200"/>
      <c r="CQ1191" s="200"/>
      <c r="CR1191" s="200"/>
      <c r="CS1191" s="200"/>
      <c r="CT1191" s="200"/>
      <c r="CU1191" s="200"/>
    </row>
    <row r="1192" spans="1:99" s="17" customFormat="1" x14ac:dyDescent="0.2">
      <c r="A1192" s="25"/>
      <c r="B1192" s="20">
        <v>39005970400</v>
      </c>
      <c r="C1192" s="20">
        <v>9704</v>
      </c>
      <c r="D1192" s="20" t="s">
        <v>9</v>
      </c>
      <c r="E1192" s="20" t="s">
        <v>265</v>
      </c>
      <c r="F1192" s="20" t="s">
        <v>8</v>
      </c>
      <c r="G1192" s="861">
        <v>53.828130334388298</v>
      </c>
      <c r="H1192" s="861">
        <v>62.9032366094617</v>
      </c>
      <c r="I1192" s="861">
        <v>34.865212367941702</v>
      </c>
      <c r="J1192" s="861">
        <v>43.582023617943101</v>
      </c>
      <c r="K1192" s="982">
        <v>0</v>
      </c>
      <c r="L1192" s="735">
        <v>3703</v>
      </c>
      <c r="M1192" s="735">
        <v>3596</v>
      </c>
      <c r="N1192" s="845">
        <f t="shared" si="103"/>
        <v>-2.8895490143127193E-2</v>
      </c>
      <c r="O1192" s="735">
        <v>8.1414366029657188</v>
      </c>
      <c r="P1192" s="735">
        <f t="shared" si="104"/>
        <v>441.6910890996889</v>
      </c>
      <c r="Q1192" s="849">
        <v>36.799999999999997</v>
      </c>
      <c r="R1192" s="71">
        <v>62955</v>
      </c>
      <c r="S1192" s="845">
        <v>0.23359288097886541</v>
      </c>
      <c r="T1192" s="845">
        <v>4.9000000000000002E-2</v>
      </c>
      <c r="U1192" s="845">
        <v>3.1E-2</v>
      </c>
      <c r="V1192" s="845">
        <v>0</v>
      </c>
      <c r="W1192" s="845">
        <v>0.28495440729483285</v>
      </c>
      <c r="X1192" s="845">
        <v>0.33600000000000002</v>
      </c>
      <c r="Y1192" s="845">
        <v>0.94021134593993327</v>
      </c>
      <c r="Z1192" s="845">
        <v>4.5606229143492771E-2</v>
      </c>
      <c r="AA1192" s="845">
        <v>0</v>
      </c>
      <c r="AB1192" s="845">
        <v>0</v>
      </c>
      <c r="AC1192" s="845">
        <v>0</v>
      </c>
      <c r="AD1192" s="845">
        <v>0</v>
      </c>
      <c r="AE1192" s="845">
        <v>1.418242491657397E-2</v>
      </c>
      <c r="AF1192" s="845">
        <v>0</v>
      </c>
      <c r="AG1192" s="845">
        <v>0.94021134593993327</v>
      </c>
      <c r="AH1192" s="20" t="str">
        <f t="shared" si="105"/>
        <v>Yes</v>
      </c>
      <c r="AI1192" s="25"/>
      <c r="AJ1192" s="20">
        <v>43822</v>
      </c>
      <c r="AK1192" s="20" t="s">
        <v>1081</v>
      </c>
      <c r="AL1192" s="20">
        <v>39083</v>
      </c>
      <c r="AM1192" s="20" t="s">
        <v>114</v>
      </c>
      <c r="AN1192" s="37" t="str">
        <f t="shared" si="106"/>
        <v>N/A</v>
      </c>
      <c r="AO1192" s="37" t="str">
        <f t="shared" si="107"/>
        <v>N/A</v>
      </c>
      <c r="AP1192" s="20" t="s">
        <v>8</v>
      </c>
      <c r="AQ1192" s="25"/>
      <c r="AR1192" s="25"/>
      <c r="AS1192" s="25"/>
      <c r="AT1192" s="25"/>
      <c r="AU1192" s="36"/>
      <c r="AV1192" s="36"/>
      <c r="AW1192" s="36"/>
      <c r="AX1192" s="25"/>
      <c r="AY1192" s="25"/>
      <c r="AZ1192" s="25"/>
      <c r="BA1192" s="25"/>
      <c r="BB1192" s="25"/>
      <c r="BC1192" s="25"/>
      <c r="BD1192" s="25"/>
      <c r="BE1192" s="25"/>
      <c r="BF1192" s="25"/>
      <c r="BG1192" s="25"/>
      <c r="BH1192" s="25"/>
      <c r="BI1192" s="25"/>
      <c r="BJ1192" s="25"/>
      <c r="BK1192" s="25"/>
      <c r="BL1192" s="25"/>
      <c r="BM1192" s="25"/>
      <c r="BN1192" s="25"/>
      <c r="BO1192" s="25"/>
      <c r="BP1192" s="25"/>
      <c r="BQ1192" s="25"/>
      <c r="BR1192" s="25"/>
      <c r="BS1192" s="25"/>
      <c r="BT1192" s="25"/>
      <c r="BU1192" s="39">
        <v>43351</v>
      </c>
      <c r="BV1192" s="39" t="s">
        <v>900</v>
      </c>
      <c r="BW1192" s="39" t="s">
        <v>2972</v>
      </c>
      <c r="BX1192" s="39" t="s">
        <v>2973</v>
      </c>
      <c r="BY1192" s="71">
        <v>740</v>
      </c>
      <c r="BZ1192" s="71">
        <v>800</v>
      </c>
      <c r="CA1192" s="71">
        <v>970</v>
      </c>
      <c r="CB1192" s="71">
        <v>1240</v>
      </c>
      <c r="CC1192" s="71">
        <v>1420</v>
      </c>
      <c r="CD1192" s="25"/>
      <c r="CE1192" s="200"/>
      <c r="CF1192" s="200"/>
      <c r="CG1192" s="200"/>
      <c r="CH1192" s="200"/>
      <c r="CI1192" s="200"/>
      <c r="CJ1192" s="200"/>
      <c r="CK1192" s="200"/>
      <c r="CL1192" s="200"/>
      <c r="CM1192" s="200"/>
      <c r="CN1192" s="200"/>
      <c r="CO1192" s="200"/>
      <c r="CP1192" s="200"/>
      <c r="CQ1192" s="200"/>
      <c r="CR1192" s="200"/>
      <c r="CS1192" s="200"/>
      <c r="CT1192" s="200"/>
      <c r="CU1192" s="200"/>
    </row>
    <row r="1193" spans="1:99" s="17" customFormat="1" x14ac:dyDescent="0.2">
      <c r="A1193" s="25"/>
      <c r="B1193" s="20">
        <v>39095007304</v>
      </c>
      <c r="C1193" s="20">
        <v>73.040000000000006</v>
      </c>
      <c r="D1193" s="20" t="s">
        <v>53</v>
      </c>
      <c r="E1193" s="20" t="s">
        <v>2839</v>
      </c>
      <c r="F1193" s="20" t="s">
        <v>8</v>
      </c>
      <c r="G1193" s="861">
        <v>53.8118809455706</v>
      </c>
      <c r="H1193" s="861">
        <v>44.204466724587299</v>
      </c>
      <c r="I1193" s="861">
        <v>33.067653930725399</v>
      </c>
      <c r="J1193" s="861">
        <v>42.904193204489097</v>
      </c>
      <c r="K1193" s="982">
        <v>0</v>
      </c>
      <c r="L1193" s="735" t="s">
        <v>2466</v>
      </c>
      <c r="M1193" s="735">
        <v>3502</v>
      </c>
      <c r="N1193" s="845" t="str">
        <f t="shared" si="103"/>
        <v/>
      </c>
      <c r="O1193" s="735">
        <v>0.75267565610561826</v>
      </c>
      <c r="P1193" s="735">
        <f t="shared" si="104"/>
        <v>4652.7345100006614</v>
      </c>
      <c r="Q1193" s="849">
        <v>34.9</v>
      </c>
      <c r="R1193" s="71">
        <v>57656</v>
      </c>
      <c r="S1193" s="845">
        <v>0.11821816105082809</v>
      </c>
      <c r="T1193" s="845">
        <v>6.0000000000000001E-3</v>
      </c>
      <c r="U1193" s="845">
        <v>0</v>
      </c>
      <c r="V1193" s="845">
        <v>0</v>
      </c>
      <c r="W1193" s="845">
        <v>0.59589581689029203</v>
      </c>
      <c r="X1193" s="845">
        <v>0.30596026490066225</v>
      </c>
      <c r="Y1193" s="845">
        <v>0.44945745288406624</v>
      </c>
      <c r="Z1193" s="845">
        <v>0.3766419189034837</v>
      </c>
      <c r="AA1193" s="845">
        <v>0</v>
      </c>
      <c r="AB1193" s="845">
        <v>0.14163335237007424</v>
      </c>
      <c r="AC1193" s="845">
        <v>0</v>
      </c>
      <c r="AD1193" s="845">
        <v>3.0268418046830382E-2</v>
      </c>
      <c r="AE1193" s="845">
        <v>1.9988577955454027E-3</v>
      </c>
      <c r="AF1193" s="845">
        <v>3.540833809251856E-2</v>
      </c>
      <c r="AG1193" s="845">
        <v>0.44431753283837805</v>
      </c>
      <c r="AH1193" s="20" t="str">
        <f t="shared" si="105"/>
        <v>No</v>
      </c>
      <c r="AI1193" s="25"/>
      <c r="AJ1193" s="20">
        <v>43843</v>
      </c>
      <c r="AK1193" s="20" t="s">
        <v>1089</v>
      </c>
      <c r="AL1193" s="20">
        <v>39083</v>
      </c>
      <c r="AM1193" s="20" t="s">
        <v>114</v>
      </c>
      <c r="AN1193" s="37" t="str">
        <f t="shared" si="106"/>
        <v>N/A</v>
      </c>
      <c r="AO1193" s="37" t="str">
        <f t="shared" si="107"/>
        <v>N/A</v>
      </c>
      <c r="AP1193" s="20" t="s">
        <v>8</v>
      </c>
      <c r="AQ1193" s="25"/>
      <c r="AR1193" s="25"/>
      <c r="AS1193" s="25"/>
      <c r="AT1193" s="25"/>
      <c r="AU1193" s="36"/>
      <c r="AV1193" s="36"/>
      <c r="AW1193" s="36"/>
      <c r="AX1193" s="25"/>
      <c r="AY1193" s="25"/>
      <c r="AZ1193" s="25"/>
      <c r="BA1193" s="25"/>
      <c r="BB1193" s="25"/>
      <c r="BC1193" s="25"/>
      <c r="BD1193" s="25"/>
      <c r="BE1193" s="25"/>
      <c r="BF1193" s="25"/>
      <c r="BG1193" s="25"/>
      <c r="BH1193" s="25"/>
      <c r="BI1193" s="25"/>
      <c r="BJ1193" s="25"/>
      <c r="BK1193" s="25"/>
      <c r="BL1193" s="25"/>
      <c r="BM1193" s="25"/>
      <c r="BN1193" s="25"/>
      <c r="BO1193" s="25"/>
      <c r="BP1193" s="25"/>
      <c r="BQ1193" s="25"/>
      <c r="BR1193" s="25"/>
      <c r="BS1193" s="25"/>
      <c r="BT1193" s="25"/>
      <c r="BU1193" s="39">
        <v>43359</v>
      </c>
      <c r="BV1193" s="39" t="s">
        <v>904</v>
      </c>
      <c r="BW1193" s="39" t="s">
        <v>2972</v>
      </c>
      <c r="BX1193" s="39" t="s">
        <v>2973</v>
      </c>
      <c r="BY1193" s="71">
        <v>740</v>
      </c>
      <c r="BZ1193" s="71">
        <v>800</v>
      </c>
      <c r="CA1193" s="71">
        <v>970</v>
      </c>
      <c r="CB1193" s="71">
        <v>1240</v>
      </c>
      <c r="CC1193" s="71">
        <v>1420</v>
      </c>
      <c r="CD1193" s="25"/>
      <c r="CE1193" s="200"/>
      <c r="CF1193" s="200"/>
      <c r="CG1193" s="200"/>
      <c r="CH1193" s="200"/>
      <c r="CI1193" s="200"/>
      <c r="CJ1193" s="200"/>
      <c r="CK1193" s="200"/>
      <c r="CL1193" s="200"/>
      <c r="CM1193" s="200"/>
      <c r="CN1193" s="200"/>
      <c r="CO1193" s="200"/>
      <c r="CP1193" s="200"/>
      <c r="CQ1193" s="200"/>
      <c r="CR1193" s="200"/>
      <c r="CS1193" s="200"/>
      <c r="CT1193" s="200"/>
      <c r="CU1193" s="200"/>
    </row>
    <row r="1194" spans="1:99" s="17" customFormat="1" x14ac:dyDescent="0.2">
      <c r="A1194" s="25"/>
      <c r="B1194" s="20">
        <v>39057280300</v>
      </c>
      <c r="C1194" s="20">
        <v>2803</v>
      </c>
      <c r="D1194" s="20" t="s">
        <v>35</v>
      </c>
      <c r="E1194" s="20" t="s">
        <v>2833</v>
      </c>
      <c r="F1194" s="20" t="s">
        <v>8</v>
      </c>
      <c r="G1194" s="861">
        <v>53.766313385740801</v>
      </c>
      <c r="H1194" s="861">
        <v>63.6880542581264</v>
      </c>
      <c r="I1194" s="861">
        <v>63.014890320318997</v>
      </c>
      <c r="J1194" s="861">
        <v>23.404156921034598</v>
      </c>
      <c r="K1194" s="982">
        <v>0</v>
      </c>
      <c r="L1194" s="735">
        <v>2456</v>
      </c>
      <c r="M1194" s="735">
        <v>1578</v>
      </c>
      <c r="N1194" s="845">
        <f t="shared" si="103"/>
        <v>-0.35749185667752442</v>
      </c>
      <c r="O1194" s="735">
        <v>10.326572503068364</v>
      </c>
      <c r="P1194" s="735">
        <f t="shared" si="104"/>
        <v>152.80965678894177</v>
      </c>
      <c r="Q1194" s="849">
        <v>24.7</v>
      </c>
      <c r="R1194" s="71">
        <v>78182</v>
      </c>
      <c r="S1194" s="845">
        <v>7.407407407407407E-2</v>
      </c>
      <c r="T1194" s="845">
        <v>9.0999999999999998E-2</v>
      </c>
      <c r="U1194" s="845">
        <v>0</v>
      </c>
      <c r="V1194" s="845">
        <v>5.7000000000000002E-2</v>
      </c>
      <c r="W1194" s="845">
        <v>0.96933962264150941</v>
      </c>
      <c r="X1194" s="845">
        <v>0.18978102189781021</v>
      </c>
      <c r="Y1194" s="845">
        <v>0.71863117870722437</v>
      </c>
      <c r="Z1194" s="845">
        <v>0.18441064638783269</v>
      </c>
      <c r="AA1194" s="845">
        <v>0</v>
      </c>
      <c r="AB1194" s="845">
        <v>2.5982256020278833E-2</v>
      </c>
      <c r="AC1194" s="845">
        <v>0</v>
      </c>
      <c r="AD1194" s="845">
        <v>0</v>
      </c>
      <c r="AE1194" s="845">
        <v>7.0975918884664133E-2</v>
      </c>
      <c r="AF1194" s="845">
        <v>5.8301647655259824E-2</v>
      </c>
      <c r="AG1194" s="845">
        <v>0.70722433460076051</v>
      </c>
      <c r="AH1194" s="20" t="str">
        <f t="shared" si="105"/>
        <v>No</v>
      </c>
      <c r="AI1194" s="25"/>
      <c r="AJ1194" s="37">
        <v>44628</v>
      </c>
      <c r="AK1194" s="37" t="s">
        <v>1399</v>
      </c>
      <c r="AL1194" s="37">
        <v>39083</v>
      </c>
      <c r="AM1194" s="37" t="s">
        <v>114</v>
      </c>
      <c r="AN1194" s="37" t="str">
        <f t="shared" si="106"/>
        <v>N/A</v>
      </c>
      <c r="AO1194" s="37" t="str">
        <f t="shared" si="107"/>
        <v>N/A</v>
      </c>
      <c r="AP1194" s="20" t="s">
        <v>8</v>
      </c>
      <c r="AQ1194" s="25"/>
      <c r="AR1194" s="25"/>
      <c r="AS1194" s="25"/>
      <c r="AT1194" s="25"/>
      <c r="AU1194" s="36"/>
      <c r="AV1194" s="36"/>
      <c r="AW1194" s="36"/>
      <c r="AX1194" s="25"/>
      <c r="AY1194" s="25"/>
      <c r="AZ1194" s="25"/>
      <c r="BA1194" s="25"/>
      <c r="BB1194" s="25"/>
      <c r="BC1194" s="25"/>
      <c r="BD1194" s="25"/>
      <c r="BE1194" s="25"/>
      <c r="BF1194" s="25"/>
      <c r="BG1194" s="25"/>
      <c r="BH1194" s="25"/>
      <c r="BI1194" s="25"/>
      <c r="BJ1194" s="25"/>
      <c r="BK1194" s="25"/>
      <c r="BL1194" s="25"/>
      <c r="BM1194" s="25"/>
      <c r="BN1194" s="25"/>
      <c r="BO1194" s="25"/>
      <c r="BP1194" s="25"/>
      <c r="BQ1194" s="25"/>
      <c r="BR1194" s="25"/>
      <c r="BS1194" s="25"/>
      <c r="BT1194" s="25"/>
      <c r="BU1194" s="39">
        <v>44401</v>
      </c>
      <c r="BV1194" s="39" t="s">
        <v>1314</v>
      </c>
      <c r="BW1194" s="39" t="s">
        <v>2924</v>
      </c>
      <c r="BX1194" s="39" t="s">
        <v>2856</v>
      </c>
      <c r="BY1194" s="71">
        <v>780</v>
      </c>
      <c r="BZ1194" s="71">
        <v>830</v>
      </c>
      <c r="CA1194" s="71">
        <v>1060</v>
      </c>
      <c r="CB1194" s="71">
        <v>1380</v>
      </c>
      <c r="CC1194" s="71">
        <v>1460</v>
      </c>
      <c r="CD1194" s="25"/>
      <c r="CE1194" s="200"/>
      <c r="CF1194" s="200"/>
      <c r="CG1194" s="200"/>
      <c r="CH1194" s="200"/>
      <c r="CI1194" s="200"/>
      <c r="CJ1194" s="200"/>
      <c r="CK1194" s="200"/>
      <c r="CL1194" s="200"/>
      <c r="CM1194" s="200"/>
      <c r="CN1194" s="200"/>
      <c r="CO1194" s="200"/>
      <c r="CP1194" s="200"/>
      <c r="CQ1194" s="200"/>
      <c r="CR1194" s="200"/>
      <c r="CS1194" s="200"/>
      <c r="CT1194" s="200"/>
      <c r="CU1194" s="200"/>
    </row>
    <row r="1195" spans="1:99" s="17" customFormat="1" x14ac:dyDescent="0.2">
      <c r="A1195" s="25"/>
      <c r="B1195" s="20">
        <v>39151711411</v>
      </c>
      <c r="C1195" s="20">
        <v>7114.11</v>
      </c>
      <c r="D1195" s="20" t="s">
        <v>81</v>
      </c>
      <c r="E1195" s="20" t="s">
        <v>2844</v>
      </c>
      <c r="F1195" s="20" t="s">
        <v>8</v>
      </c>
      <c r="G1195" s="861">
        <v>53.752274088796298</v>
      </c>
      <c r="H1195" s="861">
        <v>58.151848267474598</v>
      </c>
      <c r="I1195" s="861">
        <v>16.4575676393907</v>
      </c>
      <c r="J1195" s="861">
        <v>39.999564819502197</v>
      </c>
      <c r="K1195" s="982">
        <v>0</v>
      </c>
      <c r="L1195" s="735">
        <v>3796</v>
      </c>
      <c r="M1195" s="735">
        <v>4015</v>
      </c>
      <c r="N1195" s="845">
        <f t="shared" si="103"/>
        <v>5.7692307692307696E-2</v>
      </c>
      <c r="O1195" s="735">
        <v>3.2924220644395161</v>
      </c>
      <c r="P1195" s="735">
        <f t="shared" si="104"/>
        <v>1219.4669824883133</v>
      </c>
      <c r="Q1195" s="849">
        <v>47.5</v>
      </c>
      <c r="R1195" s="71">
        <v>124219</v>
      </c>
      <c r="S1195" s="845">
        <v>1.5691158156911581E-2</v>
      </c>
      <c r="T1195" s="845">
        <v>0.02</v>
      </c>
      <c r="U1195" s="845">
        <v>2.5000000000000001E-2</v>
      </c>
      <c r="V1195" s="845">
        <v>0</v>
      </c>
      <c r="W1195" s="845">
        <v>8.8404868673926967E-2</v>
      </c>
      <c r="X1195" s="845">
        <v>0</v>
      </c>
      <c r="Y1195" s="845">
        <v>0.85404732254047322</v>
      </c>
      <c r="Z1195" s="845">
        <v>6.2266500622665004E-3</v>
      </c>
      <c r="AA1195" s="845">
        <v>0</v>
      </c>
      <c r="AB1195" s="845">
        <v>1.8181818181818181E-2</v>
      </c>
      <c r="AC1195" s="845">
        <v>0</v>
      </c>
      <c r="AD1195" s="845">
        <v>1.5442092154420922E-2</v>
      </c>
      <c r="AE1195" s="845">
        <v>0.10610211706102117</v>
      </c>
      <c r="AF1195" s="845">
        <v>9.0909090909090912E-2</v>
      </c>
      <c r="AG1195" s="845">
        <v>0.85330012453300119</v>
      </c>
      <c r="AH1195" s="20" t="str">
        <f t="shared" si="105"/>
        <v>No</v>
      </c>
      <c r="AI1195" s="25"/>
      <c r="AJ1195" s="20">
        <v>44813</v>
      </c>
      <c r="AK1195" s="20" t="s">
        <v>1471</v>
      </c>
      <c r="AL1195" s="20">
        <v>39083</v>
      </c>
      <c r="AM1195" s="20" t="s">
        <v>114</v>
      </c>
      <c r="AN1195" s="37" t="str">
        <f t="shared" si="106"/>
        <v>N/A</v>
      </c>
      <c r="AO1195" s="37" t="str">
        <f t="shared" si="107"/>
        <v>N/A</v>
      </c>
      <c r="AP1195" s="20" t="s">
        <v>8</v>
      </c>
      <c r="AQ1195" s="25"/>
      <c r="AR1195" s="25"/>
      <c r="AS1195" s="25"/>
      <c r="AT1195" s="25"/>
      <c r="AU1195" s="36"/>
      <c r="AV1195" s="36"/>
      <c r="AW1195" s="36"/>
      <c r="AX1195" s="25"/>
      <c r="AY1195" s="25"/>
      <c r="AZ1195" s="25"/>
      <c r="BA1195" s="25"/>
      <c r="BB1195" s="25"/>
      <c r="BC1195" s="25"/>
      <c r="BD1195" s="25"/>
      <c r="BE1195" s="25"/>
      <c r="BF1195" s="25"/>
      <c r="BG1195" s="25"/>
      <c r="BH1195" s="25"/>
      <c r="BI1195" s="25"/>
      <c r="BJ1195" s="25"/>
      <c r="BK1195" s="25"/>
      <c r="BL1195" s="25"/>
      <c r="BM1195" s="25"/>
      <c r="BN1195" s="25"/>
      <c r="BO1195" s="25"/>
      <c r="BP1195" s="25"/>
      <c r="BQ1195" s="25"/>
      <c r="BR1195" s="25"/>
      <c r="BS1195" s="25"/>
      <c r="BT1195" s="25"/>
      <c r="BU1195" s="39">
        <v>44402</v>
      </c>
      <c r="BV1195" s="39" t="s">
        <v>1315</v>
      </c>
      <c r="BW1195" s="39" t="s">
        <v>2924</v>
      </c>
      <c r="BX1195" s="39" t="s">
        <v>2856</v>
      </c>
      <c r="BY1195" s="71">
        <v>750</v>
      </c>
      <c r="BZ1195" s="71">
        <v>790</v>
      </c>
      <c r="CA1195" s="71">
        <v>990</v>
      </c>
      <c r="CB1195" s="71">
        <v>1290</v>
      </c>
      <c r="CC1195" s="71">
        <v>1370</v>
      </c>
      <c r="CD1195" s="25"/>
      <c r="CE1195" s="200"/>
      <c r="CF1195" s="200"/>
      <c r="CG1195" s="200"/>
      <c r="CH1195" s="200"/>
      <c r="CI1195" s="200"/>
      <c r="CJ1195" s="200"/>
      <c r="CK1195" s="200"/>
      <c r="CL1195" s="200"/>
      <c r="CM1195" s="200"/>
      <c r="CN1195" s="200"/>
      <c r="CO1195" s="200"/>
      <c r="CP1195" s="200"/>
      <c r="CQ1195" s="200"/>
      <c r="CR1195" s="200"/>
      <c r="CS1195" s="200"/>
      <c r="CT1195" s="200"/>
      <c r="CU1195" s="200"/>
    </row>
    <row r="1196" spans="1:99" s="17" customFormat="1" x14ac:dyDescent="0.2">
      <c r="A1196" s="25"/>
      <c r="B1196" s="20">
        <v>39025041600</v>
      </c>
      <c r="C1196" s="20">
        <v>416</v>
      </c>
      <c r="D1196" s="20" t="s">
        <v>19</v>
      </c>
      <c r="E1196" s="20" t="s">
        <v>2828</v>
      </c>
      <c r="F1196" s="20" t="s">
        <v>8</v>
      </c>
      <c r="G1196" s="861">
        <v>53.728390594423601</v>
      </c>
      <c r="H1196" s="861">
        <v>53.381288363973198</v>
      </c>
      <c r="I1196" s="861">
        <v>35.124309818903598</v>
      </c>
      <c r="J1196" s="861">
        <v>53.905339107230802</v>
      </c>
      <c r="K1196" s="982">
        <v>0</v>
      </c>
      <c r="L1196" s="735">
        <v>5228</v>
      </c>
      <c r="M1196" s="735">
        <v>5135</v>
      </c>
      <c r="N1196" s="845">
        <f t="shared" si="103"/>
        <v>-1.7788829380260138E-2</v>
      </c>
      <c r="O1196" s="735">
        <v>13.431707993439399</v>
      </c>
      <c r="P1196" s="735">
        <f t="shared" si="104"/>
        <v>382.30432067970401</v>
      </c>
      <c r="Q1196" s="849">
        <v>42.5</v>
      </c>
      <c r="R1196" s="71">
        <v>79267</v>
      </c>
      <c r="S1196" s="845">
        <v>0.13468414779499405</v>
      </c>
      <c r="T1196" s="845">
        <v>5.9000000000000004E-2</v>
      </c>
      <c r="U1196" s="845">
        <v>0</v>
      </c>
      <c r="V1196" s="845">
        <v>9.3000000000000013E-2</v>
      </c>
      <c r="W1196" s="845">
        <v>0.24190283400809717</v>
      </c>
      <c r="X1196" s="845">
        <v>0.34728033472803349</v>
      </c>
      <c r="Y1196" s="845">
        <v>0.91645569620253164</v>
      </c>
      <c r="Z1196" s="845">
        <v>4.0506329113924051E-2</v>
      </c>
      <c r="AA1196" s="845">
        <v>0</v>
      </c>
      <c r="AB1196" s="845">
        <v>0</v>
      </c>
      <c r="AC1196" s="845">
        <v>0</v>
      </c>
      <c r="AD1196" s="845">
        <v>9.5423563777994151E-3</v>
      </c>
      <c r="AE1196" s="845">
        <v>3.3495618305744886E-2</v>
      </c>
      <c r="AF1196" s="845">
        <v>1.7721518987341773E-2</v>
      </c>
      <c r="AG1196" s="845">
        <v>0.91587147030185001</v>
      </c>
      <c r="AH1196" s="20" t="str">
        <f t="shared" si="105"/>
        <v>Yes</v>
      </c>
      <c r="AI1196" s="25"/>
      <c r="AJ1196" s="37">
        <v>44822</v>
      </c>
      <c r="AK1196" s="37" t="s">
        <v>1477</v>
      </c>
      <c r="AL1196" s="37">
        <v>39083</v>
      </c>
      <c r="AM1196" s="37" t="s">
        <v>114</v>
      </c>
      <c r="AN1196" s="37" t="str">
        <f t="shared" si="106"/>
        <v>N/A</v>
      </c>
      <c r="AO1196" s="37" t="str">
        <f t="shared" si="107"/>
        <v>N/A</v>
      </c>
      <c r="AP1196" s="20" t="s">
        <v>8</v>
      </c>
      <c r="AQ1196" s="25"/>
      <c r="AR1196" s="25"/>
      <c r="AS1196" s="25"/>
      <c r="AT1196" s="25"/>
      <c r="AU1196" s="36"/>
      <c r="AV1196" s="36"/>
      <c r="AW1196" s="36"/>
      <c r="AX1196" s="25"/>
      <c r="AY1196" s="25"/>
      <c r="AZ1196" s="25"/>
      <c r="BA1196" s="25"/>
      <c r="BB1196" s="25"/>
      <c r="BC1196" s="25"/>
      <c r="BD1196" s="25"/>
      <c r="BE1196" s="25"/>
      <c r="BF1196" s="25"/>
      <c r="BG1196" s="25"/>
      <c r="BH1196" s="25"/>
      <c r="BI1196" s="25"/>
      <c r="BJ1196" s="25"/>
      <c r="BK1196" s="25"/>
      <c r="BL1196" s="25"/>
      <c r="BM1196" s="25"/>
      <c r="BN1196" s="25"/>
      <c r="BO1196" s="25"/>
      <c r="BP1196" s="25"/>
      <c r="BQ1196" s="25"/>
      <c r="BR1196" s="25"/>
      <c r="BS1196" s="25"/>
      <c r="BT1196" s="25"/>
      <c r="BU1196" s="39">
        <v>44403</v>
      </c>
      <c r="BV1196" s="39" t="s">
        <v>1316</v>
      </c>
      <c r="BW1196" s="39" t="s">
        <v>2924</v>
      </c>
      <c r="BX1196" s="39" t="s">
        <v>2856</v>
      </c>
      <c r="BY1196" s="71">
        <v>730</v>
      </c>
      <c r="BZ1196" s="71">
        <v>770</v>
      </c>
      <c r="CA1196" s="71">
        <v>970</v>
      </c>
      <c r="CB1196" s="71">
        <v>1270</v>
      </c>
      <c r="CC1196" s="71">
        <v>1340</v>
      </c>
      <c r="CD1196" s="25"/>
      <c r="CE1196" s="200"/>
      <c r="CF1196" s="200"/>
      <c r="CG1196" s="200"/>
      <c r="CH1196" s="200"/>
      <c r="CI1196" s="200"/>
      <c r="CJ1196" s="200"/>
      <c r="CK1196" s="200"/>
      <c r="CL1196" s="200"/>
      <c r="CM1196" s="200"/>
      <c r="CN1196" s="200"/>
      <c r="CO1196" s="200"/>
      <c r="CP1196" s="200"/>
      <c r="CQ1196" s="200"/>
      <c r="CR1196" s="200"/>
      <c r="CS1196" s="200"/>
      <c r="CT1196" s="200"/>
      <c r="CU1196" s="200"/>
    </row>
    <row r="1197" spans="1:99" s="17" customFormat="1" x14ac:dyDescent="0.2">
      <c r="A1197" s="25"/>
      <c r="B1197" s="20">
        <v>39049004302</v>
      </c>
      <c r="C1197" s="20">
        <v>43.02</v>
      </c>
      <c r="D1197" s="20" t="s">
        <v>31</v>
      </c>
      <c r="E1197" s="20" t="s">
        <v>2830</v>
      </c>
      <c r="F1197" s="20" t="s">
        <v>6</v>
      </c>
      <c r="G1197" s="861">
        <v>53.720140278345603</v>
      </c>
      <c r="H1197" s="861">
        <v>55.116496268462797</v>
      </c>
      <c r="I1197" s="861">
        <v>52.058953777396297</v>
      </c>
      <c r="J1197" s="861">
        <v>20.561822153507499</v>
      </c>
      <c r="K1197" s="982">
        <v>0</v>
      </c>
      <c r="L1197" s="735" t="s">
        <v>2466</v>
      </c>
      <c r="M1197" s="735">
        <v>1969</v>
      </c>
      <c r="N1197" s="845" t="str">
        <f t="shared" si="103"/>
        <v/>
      </c>
      <c r="O1197" s="735">
        <v>0.97429713683125752</v>
      </c>
      <c r="P1197" s="735">
        <f t="shared" si="104"/>
        <v>2020.9440483463302</v>
      </c>
      <c r="Q1197" s="849">
        <v>28.7</v>
      </c>
      <c r="R1197" s="71">
        <v>52143</v>
      </c>
      <c r="S1197" s="845">
        <v>0.44540375825292028</v>
      </c>
      <c r="T1197" s="845">
        <v>2.2000000000000002E-2</v>
      </c>
      <c r="U1197" s="845">
        <v>4.0999999999999995E-2</v>
      </c>
      <c r="V1197" s="845">
        <v>0</v>
      </c>
      <c r="W1197" s="845">
        <v>0.39423076923076922</v>
      </c>
      <c r="X1197" s="845">
        <v>0.57723577235772361</v>
      </c>
      <c r="Y1197" s="845">
        <v>0.35043169121381412</v>
      </c>
      <c r="Z1197" s="845">
        <v>0.21229050279329609</v>
      </c>
      <c r="AA1197" s="845">
        <v>2.0822752666328086E-2</v>
      </c>
      <c r="AB1197" s="845">
        <v>1.7267648552564754E-2</v>
      </c>
      <c r="AC1197" s="845">
        <v>0</v>
      </c>
      <c r="AD1197" s="845">
        <v>6.6023362112747584E-3</v>
      </c>
      <c r="AE1197" s="845">
        <v>0.39258506856272218</v>
      </c>
      <c r="AF1197" s="845">
        <v>0.56323006602336212</v>
      </c>
      <c r="AG1197" s="845">
        <v>0.28491620111731841</v>
      </c>
      <c r="AH1197" s="20" t="str">
        <f t="shared" si="105"/>
        <v>No</v>
      </c>
      <c r="AI1197" s="25"/>
      <c r="AJ1197" s="20">
        <v>44842</v>
      </c>
      <c r="AK1197" s="20" t="s">
        <v>1491</v>
      </c>
      <c r="AL1197" s="20">
        <v>39083</v>
      </c>
      <c r="AM1197" s="20" t="s">
        <v>114</v>
      </c>
      <c r="AN1197" s="37" t="str">
        <f t="shared" si="106"/>
        <v>N/A</v>
      </c>
      <c r="AO1197" s="37" t="str">
        <f t="shared" si="107"/>
        <v>N/A</v>
      </c>
      <c r="AP1197" s="20" t="s">
        <v>8</v>
      </c>
      <c r="AQ1197" s="25"/>
      <c r="AR1197" s="25"/>
      <c r="AS1197" s="25"/>
      <c r="AT1197" s="25"/>
      <c r="AU1197" s="36"/>
      <c r="AV1197" s="36"/>
      <c r="AW1197" s="36"/>
      <c r="AX1197" s="25"/>
      <c r="AY1197" s="25"/>
      <c r="AZ1197" s="25"/>
      <c r="BA1197" s="25"/>
      <c r="BB1197" s="25"/>
      <c r="BC1197" s="25"/>
      <c r="BD1197" s="25"/>
      <c r="BE1197" s="25"/>
      <c r="BF1197" s="25"/>
      <c r="BG1197" s="25"/>
      <c r="BH1197" s="25"/>
      <c r="BI1197" s="25"/>
      <c r="BJ1197" s="25"/>
      <c r="BK1197" s="25"/>
      <c r="BL1197" s="25"/>
      <c r="BM1197" s="25"/>
      <c r="BN1197" s="25"/>
      <c r="BO1197" s="25"/>
      <c r="BP1197" s="25"/>
      <c r="BQ1197" s="25"/>
      <c r="BR1197" s="25"/>
      <c r="BS1197" s="25"/>
      <c r="BT1197" s="25"/>
      <c r="BU1197" s="39">
        <v>44404</v>
      </c>
      <c r="BV1197" s="39" t="s">
        <v>1317</v>
      </c>
      <c r="BW1197" s="39" t="s">
        <v>2924</v>
      </c>
      <c r="BX1197" s="39" t="s">
        <v>2856</v>
      </c>
      <c r="BY1197" s="71">
        <v>760</v>
      </c>
      <c r="BZ1197" s="71">
        <v>790</v>
      </c>
      <c r="CA1197" s="71">
        <v>1000</v>
      </c>
      <c r="CB1197" s="71">
        <v>1310</v>
      </c>
      <c r="CC1197" s="71">
        <v>1380</v>
      </c>
      <c r="CD1197" s="25"/>
      <c r="CE1197" s="200"/>
      <c r="CF1197" s="200"/>
      <c r="CG1197" s="200"/>
      <c r="CH1197" s="200"/>
      <c r="CI1197" s="200"/>
      <c r="CJ1197" s="200"/>
      <c r="CK1197" s="200"/>
      <c r="CL1197" s="200"/>
      <c r="CM1197" s="200"/>
      <c r="CN1197" s="200"/>
      <c r="CO1197" s="200"/>
      <c r="CP1197" s="200"/>
      <c r="CQ1197" s="200"/>
      <c r="CR1197" s="200"/>
      <c r="CS1197" s="200"/>
      <c r="CT1197" s="200"/>
      <c r="CU1197" s="200"/>
    </row>
    <row r="1198" spans="1:99" s="17" customFormat="1" x14ac:dyDescent="0.2">
      <c r="A1198" s="25"/>
      <c r="B1198" s="20">
        <v>39171950500</v>
      </c>
      <c r="C1198" s="20">
        <v>9505</v>
      </c>
      <c r="D1198" s="20" t="s">
        <v>91</v>
      </c>
      <c r="E1198" s="20" t="s">
        <v>265</v>
      </c>
      <c r="F1198" s="20" t="s">
        <v>8</v>
      </c>
      <c r="G1198" s="861">
        <v>53.710702936512597</v>
      </c>
      <c r="H1198" s="861">
        <v>58.019450542792697</v>
      </c>
      <c r="I1198" s="861">
        <v>22.90306150987</v>
      </c>
      <c r="J1198" s="861">
        <v>50.097609166605302</v>
      </c>
      <c r="K1198" s="982">
        <v>0</v>
      </c>
      <c r="L1198" s="735">
        <v>4037</v>
      </c>
      <c r="M1198" s="735">
        <v>4138</v>
      </c>
      <c r="N1198" s="845">
        <f t="shared" si="103"/>
        <v>2.501857815209314E-2</v>
      </c>
      <c r="O1198" s="735">
        <v>60.640223170754247</v>
      </c>
      <c r="P1198" s="735">
        <f t="shared" si="104"/>
        <v>68.238535144370758</v>
      </c>
      <c r="Q1198" s="849">
        <v>40.799999999999997</v>
      </c>
      <c r="R1198" s="71">
        <v>80000</v>
      </c>
      <c r="S1198" s="845">
        <v>3.3239436619718309E-2</v>
      </c>
      <c r="T1198" s="845">
        <v>2.4E-2</v>
      </c>
      <c r="U1198" s="845">
        <v>1.6E-2</v>
      </c>
      <c r="V1198" s="845">
        <v>0.10300000000000001</v>
      </c>
      <c r="W1198" s="845">
        <v>0.15804195804195803</v>
      </c>
      <c r="X1198" s="845">
        <v>0.37610619469026546</v>
      </c>
      <c r="Y1198" s="845">
        <v>0.87844369260512323</v>
      </c>
      <c r="Z1198" s="845">
        <v>4.0840985983566939E-2</v>
      </c>
      <c r="AA1198" s="845">
        <v>4.833252779120348E-4</v>
      </c>
      <c r="AB1198" s="845">
        <v>1.9333011116481392E-3</v>
      </c>
      <c r="AC1198" s="845">
        <v>0</v>
      </c>
      <c r="AD1198" s="845">
        <v>2.803286611889802E-2</v>
      </c>
      <c r="AE1198" s="845">
        <v>5.0265828902851618E-2</v>
      </c>
      <c r="AF1198" s="845">
        <v>8.699855002416626E-2</v>
      </c>
      <c r="AG1198" s="845">
        <v>0.85572740454325757</v>
      </c>
      <c r="AH1198" s="20" t="str">
        <f t="shared" si="105"/>
        <v>No</v>
      </c>
      <c r="AI1198" s="25"/>
      <c r="AJ1198" s="37">
        <v>43060</v>
      </c>
      <c r="AK1198" s="37" t="s">
        <v>770</v>
      </c>
      <c r="AL1198" s="37">
        <v>39091</v>
      </c>
      <c r="AM1198" s="37" t="s">
        <v>51</v>
      </c>
      <c r="AN1198" s="37" t="str">
        <f t="shared" si="106"/>
        <v>N/A</v>
      </c>
      <c r="AO1198" s="37" t="str">
        <f t="shared" si="107"/>
        <v>N/A</v>
      </c>
      <c r="AP1198" s="20" t="s">
        <v>8</v>
      </c>
      <c r="AQ1198" s="25"/>
      <c r="AR1198" s="25"/>
      <c r="AS1198" s="25"/>
      <c r="AT1198" s="25"/>
      <c r="AU1198" s="36"/>
      <c r="AV1198" s="36"/>
      <c r="AW1198" s="36"/>
      <c r="AX1198" s="25"/>
      <c r="AY1198" s="25"/>
      <c r="AZ1198" s="25"/>
      <c r="BA1198" s="25"/>
      <c r="BB1198" s="25"/>
      <c r="BC1198" s="25"/>
      <c r="BD1198" s="25"/>
      <c r="BE1198" s="25"/>
      <c r="BF1198" s="25"/>
      <c r="BG1198" s="25"/>
      <c r="BH1198" s="25"/>
      <c r="BI1198" s="25"/>
      <c r="BJ1198" s="25"/>
      <c r="BK1198" s="25"/>
      <c r="BL1198" s="25"/>
      <c r="BM1198" s="25"/>
      <c r="BN1198" s="25"/>
      <c r="BO1198" s="25"/>
      <c r="BP1198" s="25"/>
      <c r="BQ1198" s="25"/>
      <c r="BR1198" s="25"/>
      <c r="BS1198" s="25"/>
      <c r="BT1198" s="25"/>
      <c r="BU1198" s="39">
        <v>44405</v>
      </c>
      <c r="BV1198" s="39" t="s">
        <v>1318</v>
      </c>
      <c r="BW1198" s="39" t="s">
        <v>2924</v>
      </c>
      <c r="BX1198" s="39" t="s">
        <v>2856</v>
      </c>
      <c r="BY1198" s="71">
        <v>760</v>
      </c>
      <c r="BZ1198" s="71">
        <v>800</v>
      </c>
      <c r="CA1198" s="71">
        <v>1010</v>
      </c>
      <c r="CB1198" s="71">
        <v>1320</v>
      </c>
      <c r="CC1198" s="71">
        <v>1400</v>
      </c>
      <c r="CD1198" s="25"/>
      <c r="CE1198" s="200"/>
      <c r="CF1198" s="200"/>
      <c r="CG1198" s="200"/>
      <c r="CH1198" s="200"/>
      <c r="CI1198" s="200"/>
      <c r="CJ1198" s="200"/>
      <c r="CK1198" s="200"/>
      <c r="CL1198" s="200"/>
      <c r="CM1198" s="200"/>
      <c r="CN1198" s="200"/>
      <c r="CO1198" s="200"/>
      <c r="CP1198" s="200"/>
      <c r="CQ1198" s="200"/>
      <c r="CR1198" s="200"/>
      <c r="CS1198" s="200"/>
      <c r="CT1198" s="200"/>
      <c r="CU1198" s="200"/>
    </row>
    <row r="1199" spans="1:99" s="17" customFormat="1" x14ac:dyDescent="0.2">
      <c r="A1199" s="25"/>
      <c r="B1199" s="20">
        <v>39035182106</v>
      </c>
      <c r="C1199" s="20">
        <v>1821.06</v>
      </c>
      <c r="D1199" s="20" t="s">
        <v>24</v>
      </c>
      <c r="E1199" s="20" t="s">
        <v>2829</v>
      </c>
      <c r="F1199" s="20" t="s">
        <v>8</v>
      </c>
      <c r="G1199" s="861">
        <v>53.685383553570198</v>
      </c>
      <c r="H1199" s="861">
        <v>66.096992381249194</v>
      </c>
      <c r="I1199" s="861">
        <v>25.4406726854222</v>
      </c>
      <c r="J1199" s="861">
        <v>38.919233574661597</v>
      </c>
      <c r="K1199" s="982">
        <v>0</v>
      </c>
      <c r="L1199" s="735">
        <v>3130</v>
      </c>
      <c r="M1199" s="735">
        <v>2953</v>
      </c>
      <c r="N1199" s="845">
        <f t="shared" si="103"/>
        <v>-5.6549520766773165E-2</v>
      </c>
      <c r="O1199" s="735">
        <v>1.5242050667174685</v>
      </c>
      <c r="P1199" s="735">
        <f t="shared" si="104"/>
        <v>1937.4033484612328</v>
      </c>
      <c r="Q1199" s="849">
        <v>54.9</v>
      </c>
      <c r="R1199" s="71">
        <v>93139</v>
      </c>
      <c r="S1199" s="845">
        <v>3.2509312563494749E-2</v>
      </c>
      <c r="T1199" s="845">
        <v>4.4000000000000004E-2</v>
      </c>
      <c r="U1199" s="845">
        <v>0</v>
      </c>
      <c r="V1199" s="845">
        <v>0</v>
      </c>
      <c r="W1199" s="845">
        <v>1.391941391941392E-2</v>
      </c>
      <c r="X1199" s="845">
        <v>0</v>
      </c>
      <c r="Y1199" s="845">
        <v>0.89806975956654245</v>
      </c>
      <c r="Z1199" s="845">
        <v>1.3545546901456147E-3</v>
      </c>
      <c r="AA1199" s="845">
        <v>0</v>
      </c>
      <c r="AB1199" s="845">
        <v>6.2648154419234672E-2</v>
      </c>
      <c r="AC1199" s="845">
        <v>0</v>
      </c>
      <c r="AD1199" s="845">
        <v>0</v>
      </c>
      <c r="AE1199" s="845">
        <v>3.792753132407721E-2</v>
      </c>
      <c r="AF1199" s="845">
        <v>4.1313918049441248E-2</v>
      </c>
      <c r="AG1199" s="845">
        <v>0.87775143921435828</v>
      </c>
      <c r="AH1199" s="20" t="str">
        <f t="shared" si="105"/>
        <v>No</v>
      </c>
      <c r="AI1199" s="25"/>
      <c r="AJ1199" s="20">
        <v>43067</v>
      </c>
      <c r="AK1199" s="20" t="s">
        <v>776</v>
      </c>
      <c r="AL1199" s="20">
        <v>39091</v>
      </c>
      <c r="AM1199" s="20" t="s">
        <v>51</v>
      </c>
      <c r="AN1199" s="37" t="str">
        <f t="shared" si="106"/>
        <v>N/A</v>
      </c>
      <c r="AO1199" s="37" t="str">
        <f t="shared" si="107"/>
        <v>N/A</v>
      </c>
      <c r="AP1199" s="20" t="s">
        <v>8</v>
      </c>
      <c r="AQ1199" s="25"/>
      <c r="AR1199" s="25"/>
      <c r="AS1199" s="25"/>
      <c r="AT1199" s="25"/>
      <c r="AU1199" s="36"/>
      <c r="AV1199" s="36"/>
      <c r="AW1199" s="36"/>
      <c r="AX1199" s="25"/>
      <c r="AY1199" s="25"/>
      <c r="AZ1199" s="25"/>
      <c r="BA1199" s="25"/>
      <c r="BB1199" s="25"/>
      <c r="BC1199" s="25"/>
      <c r="BD1199" s="25"/>
      <c r="BE1199" s="25"/>
      <c r="BF1199" s="25"/>
      <c r="BG1199" s="25"/>
      <c r="BH1199" s="25"/>
      <c r="BI1199" s="25"/>
      <c r="BJ1199" s="25"/>
      <c r="BK1199" s="25"/>
      <c r="BL1199" s="25"/>
      <c r="BM1199" s="25"/>
      <c r="BN1199" s="25"/>
      <c r="BO1199" s="25"/>
      <c r="BP1199" s="25"/>
      <c r="BQ1199" s="25"/>
      <c r="BR1199" s="25"/>
      <c r="BS1199" s="25"/>
      <c r="BT1199" s="25"/>
      <c r="BU1199" s="39">
        <v>44406</v>
      </c>
      <c r="BV1199" s="39" t="s">
        <v>1319</v>
      </c>
      <c r="BW1199" s="39" t="s">
        <v>2924</v>
      </c>
      <c r="BX1199" s="39" t="s">
        <v>2856</v>
      </c>
      <c r="BY1199" s="71">
        <v>750</v>
      </c>
      <c r="BZ1199" s="71">
        <v>780</v>
      </c>
      <c r="CA1199" s="71">
        <v>990</v>
      </c>
      <c r="CB1199" s="71">
        <v>1290</v>
      </c>
      <c r="CC1199" s="71">
        <v>1370</v>
      </c>
      <c r="CD1199" s="25"/>
      <c r="CE1199" s="200"/>
      <c r="CF1199" s="200"/>
      <c r="CG1199" s="200"/>
      <c r="CH1199" s="200"/>
      <c r="CI1199" s="200"/>
      <c r="CJ1199" s="200"/>
      <c r="CK1199" s="200"/>
      <c r="CL1199" s="200"/>
      <c r="CM1199" s="200"/>
      <c r="CN1199" s="200"/>
      <c r="CO1199" s="200"/>
      <c r="CP1199" s="200"/>
      <c r="CQ1199" s="200"/>
      <c r="CR1199" s="200"/>
      <c r="CS1199" s="200"/>
      <c r="CT1199" s="200"/>
      <c r="CU1199" s="200"/>
    </row>
    <row r="1200" spans="1:99" s="17" customFormat="1" x14ac:dyDescent="0.2">
      <c r="A1200" s="25"/>
      <c r="B1200" s="20">
        <v>39017010106</v>
      </c>
      <c r="C1200" s="20">
        <v>101.06</v>
      </c>
      <c r="D1200" s="20" t="s">
        <v>15</v>
      </c>
      <c r="E1200" s="20" t="s">
        <v>2828</v>
      </c>
      <c r="F1200" s="20" t="s">
        <v>6</v>
      </c>
      <c r="G1200" s="861">
        <v>53.659291590732401</v>
      </c>
      <c r="H1200" s="861">
        <v>57.3187136579959</v>
      </c>
      <c r="I1200" s="861">
        <v>61.087006140997701</v>
      </c>
      <c r="J1200" s="861">
        <v>48.184711010127899</v>
      </c>
      <c r="K1200" s="982">
        <v>0</v>
      </c>
      <c r="L1200" s="735" t="s">
        <v>2466</v>
      </c>
      <c r="M1200" s="735">
        <v>2935</v>
      </c>
      <c r="N1200" s="845" t="str">
        <f t="shared" si="103"/>
        <v/>
      </c>
      <c r="O1200" s="735">
        <v>0.3673792927180658</v>
      </c>
      <c r="P1200" s="735">
        <f t="shared" si="104"/>
        <v>7989.018592434325</v>
      </c>
      <c r="Q1200" s="849">
        <v>21.1</v>
      </c>
      <c r="R1200" s="71">
        <v>21954</v>
      </c>
      <c r="S1200" s="845">
        <v>0.7700249199003204</v>
      </c>
      <c r="T1200" s="845">
        <v>0.13200000000000001</v>
      </c>
      <c r="U1200" s="845">
        <v>0</v>
      </c>
      <c r="V1200" s="845">
        <v>0.09</v>
      </c>
      <c r="W1200" s="845">
        <v>0.9566630552546046</v>
      </c>
      <c r="X1200" s="845">
        <v>0.67836919592298983</v>
      </c>
      <c r="Y1200" s="845">
        <v>0.90732538330494039</v>
      </c>
      <c r="Z1200" s="845">
        <v>1.8057921635434411E-2</v>
      </c>
      <c r="AA1200" s="845">
        <v>6.1328790459965928E-3</v>
      </c>
      <c r="AB1200" s="845">
        <v>2.3509369676320273E-2</v>
      </c>
      <c r="AC1200" s="845">
        <v>0</v>
      </c>
      <c r="AD1200" s="845">
        <v>2.72572402044293E-3</v>
      </c>
      <c r="AE1200" s="845">
        <v>4.2248722316865418E-2</v>
      </c>
      <c r="AF1200" s="845">
        <v>1.4650766609880749E-2</v>
      </c>
      <c r="AG1200" s="845">
        <v>0.90391822827938673</v>
      </c>
      <c r="AH1200" s="20" t="str">
        <f t="shared" si="105"/>
        <v>Yes</v>
      </c>
      <c r="AI1200" s="25"/>
      <c r="AJ1200" s="20">
        <v>43310</v>
      </c>
      <c r="AK1200" s="20" t="s">
        <v>867</v>
      </c>
      <c r="AL1200" s="20">
        <v>39091</v>
      </c>
      <c r="AM1200" s="20" t="s">
        <v>51</v>
      </c>
      <c r="AN1200" s="37" t="str">
        <f t="shared" si="106"/>
        <v>N/A</v>
      </c>
      <c r="AO1200" s="37" t="str">
        <f t="shared" si="107"/>
        <v>N/A</v>
      </c>
      <c r="AP1200" s="20" t="s">
        <v>8</v>
      </c>
      <c r="AQ1200" s="25"/>
      <c r="AR1200" s="25"/>
      <c r="AS1200" s="25"/>
      <c r="AT1200" s="25"/>
      <c r="AU1200" s="36"/>
      <c r="AV1200" s="36"/>
      <c r="AW1200" s="36"/>
      <c r="AX1200" s="25"/>
      <c r="AY1200" s="25"/>
      <c r="AZ1200" s="25"/>
      <c r="BA1200" s="25"/>
      <c r="BB1200" s="25"/>
      <c r="BC1200" s="25"/>
      <c r="BD1200" s="25"/>
      <c r="BE1200" s="25"/>
      <c r="BF1200" s="25"/>
      <c r="BG1200" s="25"/>
      <c r="BH1200" s="25"/>
      <c r="BI1200" s="25"/>
      <c r="BJ1200" s="25"/>
      <c r="BK1200" s="25"/>
      <c r="BL1200" s="25"/>
      <c r="BM1200" s="25"/>
      <c r="BN1200" s="25"/>
      <c r="BO1200" s="25"/>
      <c r="BP1200" s="25"/>
      <c r="BQ1200" s="25"/>
      <c r="BR1200" s="25"/>
      <c r="BS1200" s="25"/>
      <c r="BT1200" s="25"/>
      <c r="BU1200" s="39">
        <v>44408</v>
      </c>
      <c r="BV1200" s="39" t="s">
        <v>1320</v>
      </c>
      <c r="BW1200" s="39" t="s">
        <v>2924</v>
      </c>
      <c r="BX1200" s="39" t="s">
        <v>2856</v>
      </c>
      <c r="BY1200" s="71">
        <v>700</v>
      </c>
      <c r="BZ1200" s="71">
        <v>780</v>
      </c>
      <c r="CA1200" s="71">
        <v>970</v>
      </c>
      <c r="CB1200" s="71">
        <v>1230</v>
      </c>
      <c r="CC1200" s="71">
        <v>1300</v>
      </c>
      <c r="CD1200" s="25"/>
      <c r="CE1200" s="200"/>
      <c r="CF1200" s="200"/>
      <c r="CG1200" s="200"/>
      <c r="CH1200" s="200"/>
      <c r="CI1200" s="200"/>
      <c r="CJ1200" s="200"/>
      <c r="CK1200" s="200"/>
      <c r="CL1200" s="200"/>
      <c r="CM1200" s="200"/>
      <c r="CN1200" s="200"/>
      <c r="CO1200" s="200"/>
      <c r="CP1200" s="200"/>
      <c r="CQ1200" s="200"/>
      <c r="CR1200" s="200"/>
      <c r="CS1200" s="200"/>
      <c r="CT1200" s="200"/>
      <c r="CU1200" s="200"/>
    </row>
    <row r="1201" spans="1:99" s="17" customFormat="1" x14ac:dyDescent="0.2">
      <c r="A1201" s="25"/>
      <c r="B1201" s="20">
        <v>39145002901</v>
      </c>
      <c r="C1201" s="20">
        <v>29.01</v>
      </c>
      <c r="D1201" s="20" t="s">
        <v>78</v>
      </c>
      <c r="E1201" s="20" t="s">
        <v>265</v>
      </c>
      <c r="F1201" s="20" t="s">
        <v>8</v>
      </c>
      <c r="G1201" s="861">
        <v>53.6553775385986</v>
      </c>
      <c r="H1201" s="861">
        <v>50.373395142013401</v>
      </c>
      <c r="I1201" s="861">
        <v>24.949460732051399</v>
      </c>
      <c r="J1201" s="861">
        <v>45.639395906087401</v>
      </c>
      <c r="K1201" s="982">
        <v>0</v>
      </c>
      <c r="L1201" s="735" t="s">
        <v>2466</v>
      </c>
      <c r="M1201" s="735">
        <v>3776</v>
      </c>
      <c r="N1201" s="845" t="str">
        <f t="shared" si="103"/>
        <v/>
      </c>
      <c r="O1201" s="735">
        <v>2.5896111160139652</v>
      </c>
      <c r="P1201" s="735">
        <f t="shared" si="104"/>
        <v>1458.1339941929864</v>
      </c>
      <c r="Q1201" s="849">
        <v>41.1</v>
      </c>
      <c r="R1201" s="71">
        <v>60806</v>
      </c>
      <c r="S1201" s="845">
        <v>0.17915853998328224</v>
      </c>
      <c r="T1201" s="845">
        <v>7.5999999999999998E-2</v>
      </c>
      <c r="U1201" s="845">
        <v>4.4999999999999998E-2</v>
      </c>
      <c r="V1201" s="845">
        <v>0.14400000000000002</v>
      </c>
      <c r="W1201" s="845">
        <v>0.29373368146214102</v>
      </c>
      <c r="X1201" s="845">
        <v>0.37333333333333335</v>
      </c>
      <c r="Y1201" s="845">
        <v>0.93829449152542377</v>
      </c>
      <c r="Z1201" s="845">
        <v>2.913135593220339E-3</v>
      </c>
      <c r="AA1201" s="845">
        <v>0</v>
      </c>
      <c r="AB1201" s="845">
        <v>0</v>
      </c>
      <c r="AC1201" s="845">
        <v>0</v>
      </c>
      <c r="AD1201" s="845">
        <v>5.0317796610169488E-3</v>
      </c>
      <c r="AE1201" s="845">
        <v>5.3760593220338986E-2</v>
      </c>
      <c r="AF1201" s="845">
        <v>5.0317796610169488E-3</v>
      </c>
      <c r="AG1201" s="845">
        <v>0.93829449152542377</v>
      </c>
      <c r="AH1201" s="20" t="str">
        <f t="shared" si="105"/>
        <v>Yes</v>
      </c>
      <c r="AI1201" s="25"/>
      <c r="AJ1201" s="20">
        <v>43311</v>
      </c>
      <c r="AK1201" s="20" t="s">
        <v>868</v>
      </c>
      <c r="AL1201" s="20">
        <v>39091</v>
      </c>
      <c r="AM1201" s="20" t="s">
        <v>51</v>
      </c>
      <c r="AN1201" s="37" t="str">
        <f t="shared" si="106"/>
        <v>N/A</v>
      </c>
      <c r="AO1201" s="37" t="str">
        <f t="shared" si="107"/>
        <v>N/A</v>
      </c>
      <c r="AP1201" s="20" t="s">
        <v>8</v>
      </c>
      <c r="AQ1201" s="25"/>
      <c r="AR1201" s="25"/>
      <c r="AS1201" s="25"/>
      <c r="AT1201" s="25"/>
      <c r="AU1201" s="36"/>
      <c r="AV1201" s="36"/>
      <c r="AW1201" s="36"/>
      <c r="AX1201" s="25"/>
      <c r="AY1201" s="25"/>
      <c r="AZ1201" s="25"/>
      <c r="BA1201" s="25"/>
      <c r="BB1201" s="25"/>
      <c r="BC1201" s="25"/>
      <c r="BD1201" s="25"/>
      <c r="BE1201" s="25"/>
      <c r="BF1201" s="25"/>
      <c r="BG1201" s="25"/>
      <c r="BH1201" s="25"/>
      <c r="BI1201" s="25"/>
      <c r="BJ1201" s="25"/>
      <c r="BK1201" s="25"/>
      <c r="BL1201" s="25"/>
      <c r="BM1201" s="25"/>
      <c r="BN1201" s="25"/>
      <c r="BO1201" s="25"/>
      <c r="BP1201" s="25"/>
      <c r="BQ1201" s="25"/>
      <c r="BR1201" s="25"/>
      <c r="BS1201" s="25"/>
      <c r="BT1201" s="25"/>
      <c r="BU1201" s="39">
        <v>44410</v>
      </c>
      <c r="BV1201" s="39" t="s">
        <v>1321</v>
      </c>
      <c r="BW1201" s="39" t="s">
        <v>2924</v>
      </c>
      <c r="BX1201" s="39" t="s">
        <v>2856</v>
      </c>
      <c r="BY1201" s="71">
        <v>730</v>
      </c>
      <c r="BZ1201" s="71">
        <v>770</v>
      </c>
      <c r="CA1201" s="71">
        <v>970</v>
      </c>
      <c r="CB1201" s="71">
        <v>1270</v>
      </c>
      <c r="CC1201" s="71">
        <v>1340</v>
      </c>
      <c r="CD1201" s="25"/>
      <c r="CE1201" s="200"/>
      <c r="CF1201" s="200"/>
      <c r="CG1201" s="200"/>
      <c r="CH1201" s="200"/>
      <c r="CI1201" s="200"/>
      <c r="CJ1201" s="200"/>
      <c r="CK1201" s="200"/>
      <c r="CL1201" s="200"/>
      <c r="CM1201" s="200"/>
      <c r="CN1201" s="200"/>
      <c r="CO1201" s="200"/>
      <c r="CP1201" s="200"/>
      <c r="CQ1201" s="200"/>
      <c r="CR1201" s="200"/>
      <c r="CS1201" s="200"/>
      <c r="CT1201" s="200"/>
      <c r="CU1201" s="200"/>
    </row>
    <row r="1202" spans="1:99" s="17" customFormat="1" x14ac:dyDescent="0.2">
      <c r="A1202" s="25"/>
      <c r="B1202" s="20">
        <v>39035101102</v>
      </c>
      <c r="C1202" s="20">
        <v>1011.02</v>
      </c>
      <c r="D1202" s="20" t="s">
        <v>24</v>
      </c>
      <c r="E1202" s="20" t="s">
        <v>2829</v>
      </c>
      <c r="F1202" s="20" t="s">
        <v>8</v>
      </c>
      <c r="G1202" s="861">
        <v>53.644975148700397</v>
      </c>
      <c r="H1202" s="861">
        <v>60.353258799986001</v>
      </c>
      <c r="I1202" s="861">
        <v>41.687795879850903</v>
      </c>
      <c r="J1202" s="861">
        <v>44.031018585185699</v>
      </c>
      <c r="K1202" s="982">
        <v>0</v>
      </c>
      <c r="L1202" s="735">
        <v>4371</v>
      </c>
      <c r="M1202" s="735">
        <v>3831</v>
      </c>
      <c r="N1202" s="845">
        <f t="shared" si="103"/>
        <v>-0.12354152367879204</v>
      </c>
      <c r="O1202" s="735">
        <v>0.51082242226973007</v>
      </c>
      <c r="P1202" s="735">
        <f t="shared" si="104"/>
        <v>7499.6707916182922</v>
      </c>
      <c r="Q1202" s="849">
        <v>35.799999999999997</v>
      </c>
      <c r="R1202" s="71">
        <v>57773</v>
      </c>
      <c r="S1202" s="845">
        <v>0.14147742103889324</v>
      </c>
      <c r="T1202" s="845">
        <v>9.6999999999999989E-2</v>
      </c>
      <c r="U1202" s="845">
        <v>0</v>
      </c>
      <c r="V1202" s="845">
        <v>0.122</v>
      </c>
      <c r="W1202" s="845">
        <v>0.62003929273084479</v>
      </c>
      <c r="X1202" s="845">
        <v>0.35804816223067176</v>
      </c>
      <c r="Y1202" s="845">
        <v>0.82093448185852258</v>
      </c>
      <c r="Z1202" s="845">
        <v>9.3187157400156623E-2</v>
      </c>
      <c r="AA1202" s="845">
        <v>0</v>
      </c>
      <c r="AB1202" s="845">
        <v>1.5400678673975463E-2</v>
      </c>
      <c r="AC1202" s="845">
        <v>0</v>
      </c>
      <c r="AD1202" s="845">
        <v>0</v>
      </c>
      <c r="AE1202" s="845">
        <v>7.0477682067345337E-2</v>
      </c>
      <c r="AF1202" s="845">
        <v>4.35917515009136E-2</v>
      </c>
      <c r="AG1202" s="845">
        <v>0.81597494126859826</v>
      </c>
      <c r="AH1202" s="20" t="str">
        <f t="shared" si="105"/>
        <v>No</v>
      </c>
      <c r="AI1202" s="25"/>
      <c r="AJ1202" s="37">
        <v>43318</v>
      </c>
      <c r="AK1202" s="37" t="s">
        <v>873</v>
      </c>
      <c r="AL1202" s="37">
        <v>39091</v>
      </c>
      <c r="AM1202" s="37" t="s">
        <v>51</v>
      </c>
      <c r="AN1202" s="37" t="str">
        <f t="shared" si="106"/>
        <v>N/A</v>
      </c>
      <c r="AO1202" s="37" t="str">
        <f t="shared" si="107"/>
        <v>N/A</v>
      </c>
      <c r="AP1202" s="20" t="s">
        <v>8</v>
      </c>
      <c r="AQ1202" s="25"/>
      <c r="AR1202" s="25"/>
      <c r="AS1202" s="25"/>
      <c r="AT1202" s="25"/>
      <c r="AU1202" s="36"/>
      <c r="AV1202" s="36"/>
      <c r="AW1202" s="36"/>
      <c r="AX1202" s="25"/>
      <c r="AY1202" s="25"/>
      <c r="AZ1202" s="25"/>
      <c r="BA1202" s="25"/>
      <c r="BB1202" s="25"/>
      <c r="BC1202" s="25"/>
      <c r="BD1202" s="25"/>
      <c r="BE1202" s="25"/>
      <c r="BF1202" s="25"/>
      <c r="BG1202" s="25"/>
      <c r="BH1202" s="25"/>
      <c r="BI1202" s="25"/>
      <c r="BJ1202" s="25"/>
      <c r="BK1202" s="25"/>
      <c r="BL1202" s="25"/>
      <c r="BM1202" s="25"/>
      <c r="BN1202" s="25"/>
      <c r="BO1202" s="25"/>
      <c r="BP1202" s="25"/>
      <c r="BQ1202" s="25"/>
      <c r="BR1202" s="25"/>
      <c r="BS1202" s="25"/>
      <c r="BT1202" s="25"/>
      <c r="BU1202" s="39">
        <v>44417</v>
      </c>
      <c r="BV1202" s="39" t="s">
        <v>1326</v>
      </c>
      <c r="BW1202" s="39" t="s">
        <v>2924</v>
      </c>
      <c r="BX1202" s="39" t="s">
        <v>2856</v>
      </c>
      <c r="BY1202" s="71">
        <v>730</v>
      </c>
      <c r="BZ1202" s="71">
        <v>780</v>
      </c>
      <c r="CA1202" s="71">
        <v>980</v>
      </c>
      <c r="CB1202" s="71">
        <v>1270</v>
      </c>
      <c r="CC1202" s="71">
        <v>1350</v>
      </c>
      <c r="CD1202" s="25"/>
      <c r="CE1202" s="200"/>
      <c r="CF1202" s="200"/>
      <c r="CG1202" s="200"/>
      <c r="CH1202" s="200"/>
      <c r="CI1202" s="200"/>
      <c r="CJ1202" s="200"/>
      <c r="CK1202" s="200"/>
      <c r="CL1202" s="200"/>
      <c r="CM1202" s="200"/>
      <c r="CN1202" s="200"/>
      <c r="CO1202" s="200"/>
      <c r="CP1202" s="200"/>
      <c r="CQ1202" s="200"/>
      <c r="CR1202" s="200"/>
      <c r="CS1202" s="200"/>
      <c r="CT1202" s="200"/>
      <c r="CU1202" s="200"/>
    </row>
    <row r="1203" spans="1:99" s="17" customFormat="1" x14ac:dyDescent="0.2">
      <c r="A1203" s="25"/>
      <c r="B1203" s="20">
        <v>39143961400</v>
      </c>
      <c r="C1203" s="20">
        <v>9614</v>
      </c>
      <c r="D1203" s="20" t="s">
        <v>77</v>
      </c>
      <c r="E1203" s="20" t="s">
        <v>265</v>
      </c>
      <c r="F1203" s="20" t="s">
        <v>8</v>
      </c>
      <c r="G1203" s="861">
        <v>53.643577856827797</v>
      </c>
      <c r="H1203" s="861">
        <v>56.0620828864527</v>
      </c>
      <c r="I1203" s="861">
        <v>48.282488011509002</v>
      </c>
      <c r="J1203" s="861">
        <v>41.920075648846698</v>
      </c>
      <c r="K1203" s="982">
        <v>0</v>
      </c>
      <c r="L1203" s="735">
        <v>3085</v>
      </c>
      <c r="M1203" s="735">
        <v>2602</v>
      </c>
      <c r="N1203" s="845">
        <f t="shared" si="103"/>
        <v>-0.15656401944894652</v>
      </c>
      <c r="O1203" s="735">
        <v>0.61582830972919023</v>
      </c>
      <c r="P1203" s="735">
        <f t="shared" si="104"/>
        <v>4225.2036142090101</v>
      </c>
      <c r="Q1203" s="849">
        <v>33.200000000000003</v>
      </c>
      <c r="R1203" s="71">
        <v>44750</v>
      </c>
      <c r="S1203" s="845">
        <v>0.15026902382782475</v>
      </c>
      <c r="T1203" s="845">
        <v>0</v>
      </c>
      <c r="U1203" s="845">
        <v>5.4000000000000006E-2</v>
      </c>
      <c r="V1203" s="845">
        <v>6.3E-2</v>
      </c>
      <c r="W1203" s="845">
        <v>0.57466442953020136</v>
      </c>
      <c r="X1203" s="845">
        <v>0.33576642335766421</v>
      </c>
      <c r="Y1203" s="845">
        <v>0.87778631821675634</v>
      </c>
      <c r="Z1203" s="845">
        <v>6.6487317448116839E-2</v>
      </c>
      <c r="AA1203" s="845">
        <v>0</v>
      </c>
      <c r="AB1203" s="845">
        <v>0</v>
      </c>
      <c r="AC1203" s="845">
        <v>0</v>
      </c>
      <c r="AD1203" s="845">
        <v>1.1145272867025366E-2</v>
      </c>
      <c r="AE1203" s="845">
        <v>4.4581091468101464E-2</v>
      </c>
      <c r="AF1203" s="845">
        <v>3.1129900076863951E-2</v>
      </c>
      <c r="AG1203" s="845">
        <v>0.86049192928516527</v>
      </c>
      <c r="AH1203" s="20" t="str">
        <f t="shared" si="105"/>
        <v>No</v>
      </c>
      <c r="AI1203" s="25"/>
      <c r="AJ1203" s="20">
        <v>43319</v>
      </c>
      <c r="AK1203" s="20" t="s">
        <v>874</v>
      </c>
      <c r="AL1203" s="20">
        <v>39091</v>
      </c>
      <c r="AM1203" s="20" t="s">
        <v>51</v>
      </c>
      <c r="AN1203" s="37" t="str">
        <f t="shared" si="106"/>
        <v>N/A</v>
      </c>
      <c r="AO1203" s="37" t="str">
        <f t="shared" si="107"/>
        <v>N/A</v>
      </c>
      <c r="AP1203" s="20" t="s">
        <v>8</v>
      </c>
      <c r="AQ1203" s="25"/>
      <c r="AR1203" s="25"/>
      <c r="AS1203" s="25"/>
      <c r="AT1203" s="25"/>
      <c r="AU1203" s="36"/>
      <c r="AV1203" s="36"/>
      <c r="AW1203" s="36"/>
      <c r="AX1203" s="25"/>
      <c r="AY1203" s="25"/>
      <c r="AZ1203" s="25"/>
      <c r="BA1203" s="25"/>
      <c r="BB1203" s="25"/>
      <c r="BC1203" s="25"/>
      <c r="BD1203" s="25"/>
      <c r="BE1203" s="25"/>
      <c r="BF1203" s="25"/>
      <c r="BG1203" s="25"/>
      <c r="BH1203" s="25"/>
      <c r="BI1203" s="25"/>
      <c r="BJ1203" s="25"/>
      <c r="BK1203" s="25"/>
      <c r="BL1203" s="25"/>
      <c r="BM1203" s="25"/>
      <c r="BN1203" s="25"/>
      <c r="BO1203" s="25"/>
      <c r="BP1203" s="25"/>
      <c r="BQ1203" s="25"/>
      <c r="BR1203" s="25"/>
      <c r="BS1203" s="25"/>
      <c r="BT1203" s="25"/>
      <c r="BU1203" s="39">
        <v>44418</v>
      </c>
      <c r="BV1203" s="39" t="s">
        <v>1327</v>
      </c>
      <c r="BW1203" s="39" t="s">
        <v>2924</v>
      </c>
      <c r="BX1203" s="39" t="s">
        <v>2856</v>
      </c>
      <c r="BY1203" s="71">
        <v>760</v>
      </c>
      <c r="BZ1203" s="71">
        <v>800</v>
      </c>
      <c r="CA1203" s="71">
        <v>1000</v>
      </c>
      <c r="CB1203" s="71">
        <v>1310</v>
      </c>
      <c r="CC1203" s="71">
        <v>1390</v>
      </c>
      <c r="CD1203" s="25"/>
      <c r="CE1203" s="200"/>
      <c r="CF1203" s="200"/>
      <c r="CG1203" s="200"/>
      <c r="CH1203" s="200"/>
      <c r="CI1203" s="200"/>
      <c r="CJ1203" s="200"/>
      <c r="CK1203" s="200"/>
      <c r="CL1203" s="200"/>
      <c r="CM1203" s="200"/>
      <c r="CN1203" s="200"/>
      <c r="CO1203" s="200"/>
      <c r="CP1203" s="200"/>
      <c r="CQ1203" s="200"/>
      <c r="CR1203" s="200"/>
      <c r="CS1203" s="200"/>
      <c r="CT1203" s="200"/>
      <c r="CU1203" s="200"/>
    </row>
    <row r="1204" spans="1:99" s="17" customFormat="1" x14ac:dyDescent="0.2">
      <c r="A1204" s="25"/>
      <c r="B1204" s="20">
        <v>39061011100</v>
      </c>
      <c r="C1204" s="20">
        <v>111</v>
      </c>
      <c r="D1204" s="20" t="s">
        <v>37</v>
      </c>
      <c r="E1204" s="20" t="s">
        <v>2828</v>
      </c>
      <c r="F1204" s="20" t="s">
        <v>8</v>
      </c>
      <c r="G1204" s="861">
        <v>53.6376008774197</v>
      </c>
      <c r="H1204" s="861">
        <v>62.076163410692303</v>
      </c>
      <c r="I1204" s="861">
        <v>34.321561859751803</v>
      </c>
      <c r="J1204" s="861">
        <v>47.222522462454101</v>
      </c>
      <c r="K1204" s="982">
        <v>0</v>
      </c>
      <c r="L1204" s="735">
        <v>3290</v>
      </c>
      <c r="M1204" s="735">
        <v>3601</v>
      </c>
      <c r="N1204" s="845">
        <f t="shared" si="103"/>
        <v>9.4528875379939203E-2</v>
      </c>
      <c r="O1204" s="735">
        <v>0.71983728141516456</v>
      </c>
      <c r="P1204" s="735">
        <f t="shared" si="104"/>
        <v>5002.5194484517551</v>
      </c>
      <c r="Q1204" s="849">
        <v>35.6</v>
      </c>
      <c r="R1204" s="71">
        <v>69050</v>
      </c>
      <c r="S1204" s="845">
        <v>0.20772007775617884</v>
      </c>
      <c r="T1204" s="845">
        <v>0.126</v>
      </c>
      <c r="U1204" s="845">
        <v>6.9999999999999993E-3</v>
      </c>
      <c r="V1204" s="845">
        <v>0</v>
      </c>
      <c r="W1204" s="845">
        <v>0.23849964614295824</v>
      </c>
      <c r="X1204" s="845">
        <v>0.6142433234421365</v>
      </c>
      <c r="Y1204" s="845">
        <v>0.45792835323521242</v>
      </c>
      <c r="Z1204" s="845">
        <v>0.46542627048042212</v>
      </c>
      <c r="AA1204" s="845">
        <v>0</v>
      </c>
      <c r="AB1204" s="845">
        <v>1.1108025548458762E-2</v>
      </c>
      <c r="AC1204" s="845">
        <v>0</v>
      </c>
      <c r="AD1204" s="845">
        <v>4.9986114968064424E-3</v>
      </c>
      <c r="AE1204" s="845">
        <v>6.0538739239100248E-2</v>
      </c>
      <c r="AF1204" s="845">
        <v>2.1105248542071648E-2</v>
      </c>
      <c r="AG1204" s="845">
        <v>0.45792835323521242</v>
      </c>
      <c r="AH1204" s="20" t="str">
        <f t="shared" si="105"/>
        <v>No</v>
      </c>
      <c r="AI1204" s="25"/>
      <c r="AJ1204" s="20">
        <v>43324</v>
      </c>
      <c r="AK1204" s="20" t="s">
        <v>879</v>
      </c>
      <c r="AL1204" s="20">
        <v>39091</v>
      </c>
      <c r="AM1204" s="20" t="s">
        <v>51</v>
      </c>
      <c r="AN1204" s="37" t="str">
        <f t="shared" si="106"/>
        <v>N/A</v>
      </c>
      <c r="AO1204" s="37" t="str">
        <f t="shared" si="107"/>
        <v>N/A</v>
      </c>
      <c r="AP1204" s="20" t="s">
        <v>8</v>
      </c>
      <c r="AQ1204" s="25"/>
      <c r="AR1204" s="25"/>
      <c r="AS1204" s="25"/>
      <c r="AT1204" s="25"/>
      <c r="AU1204" s="36"/>
      <c r="AV1204" s="36"/>
      <c r="AW1204" s="36"/>
      <c r="AX1204" s="25"/>
      <c r="AY1204" s="25"/>
      <c r="AZ1204" s="25"/>
      <c r="BA1204" s="25"/>
      <c r="BB1204" s="25"/>
      <c r="BC1204" s="25"/>
      <c r="BD1204" s="25"/>
      <c r="BE1204" s="25"/>
      <c r="BF1204" s="25"/>
      <c r="BG1204" s="25"/>
      <c r="BH1204" s="25"/>
      <c r="BI1204" s="25"/>
      <c r="BJ1204" s="25"/>
      <c r="BK1204" s="25"/>
      <c r="BL1204" s="25"/>
      <c r="BM1204" s="25"/>
      <c r="BN1204" s="25"/>
      <c r="BO1204" s="25"/>
      <c r="BP1204" s="25"/>
      <c r="BQ1204" s="25"/>
      <c r="BR1204" s="25"/>
      <c r="BS1204" s="25"/>
      <c r="BT1204" s="25"/>
      <c r="BU1204" s="39">
        <v>44420</v>
      </c>
      <c r="BV1204" s="39" t="s">
        <v>1328</v>
      </c>
      <c r="BW1204" s="39" t="s">
        <v>2924</v>
      </c>
      <c r="BX1204" s="39" t="s">
        <v>2856</v>
      </c>
      <c r="BY1204" s="71">
        <v>730</v>
      </c>
      <c r="BZ1204" s="71">
        <v>770</v>
      </c>
      <c r="CA1204" s="71">
        <v>970</v>
      </c>
      <c r="CB1204" s="71">
        <v>1270</v>
      </c>
      <c r="CC1204" s="71">
        <v>1340</v>
      </c>
      <c r="CD1204" s="25"/>
      <c r="CE1204" s="200"/>
      <c r="CF1204" s="200"/>
      <c r="CG1204" s="200"/>
      <c r="CH1204" s="200"/>
      <c r="CI1204" s="200"/>
      <c r="CJ1204" s="200"/>
      <c r="CK1204" s="200"/>
      <c r="CL1204" s="200"/>
      <c r="CM1204" s="200"/>
      <c r="CN1204" s="200"/>
      <c r="CO1204" s="200"/>
      <c r="CP1204" s="200"/>
      <c r="CQ1204" s="200"/>
      <c r="CR1204" s="200"/>
      <c r="CS1204" s="200"/>
      <c r="CT1204" s="200"/>
      <c r="CU1204" s="200"/>
    </row>
    <row r="1205" spans="1:99" s="17" customFormat="1" x14ac:dyDescent="0.2">
      <c r="A1205" s="25"/>
      <c r="B1205" s="20">
        <v>39165031603</v>
      </c>
      <c r="C1205" s="20">
        <v>316.02999999999997</v>
      </c>
      <c r="D1205" s="20" t="s">
        <v>88</v>
      </c>
      <c r="E1205" s="20" t="s">
        <v>2828</v>
      </c>
      <c r="F1205" s="20" t="s">
        <v>8</v>
      </c>
      <c r="G1205" s="861">
        <v>53.629688892690503</v>
      </c>
      <c r="H1205" s="861">
        <v>53.525193719766698</v>
      </c>
      <c r="I1205" s="861">
        <v>13.236230883390499</v>
      </c>
      <c r="J1205" s="861">
        <v>30.5513847729693</v>
      </c>
      <c r="K1205" s="982">
        <v>0</v>
      </c>
      <c r="L1205" s="735" t="s">
        <v>2466</v>
      </c>
      <c r="M1205" s="735">
        <v>3936</v>
      </c>
      <c r="N1205" s="845" t="str">
        <f t="shared" si="103"/>
        <v/>
      </c>
      <c r="O1205" s="735">
        <v>9.6428064297175489</v>
      </c>
      <c r="P1205" s="735">
        <f t="shared" si="104"/>
        <v>408.17992445330987</v>
      </c>
      <c r="Q1205" s="849">
        <v>48.8</v>
      </c>
      <c r="R1205" s="71">
        <v>93556</v>
      </c>
      <c r="S1205" s="845">
        <v>4.3777042504454057E-2</v>
      </c>
      <c r="T1205" s="845">
        <v>0.04</v>
      </c>
      <c r="U1205" s="845">
        <v>4.4000000000000004E-2</v>
      </c>
      <c r="V1205" s="845" t="s">
        <v>2466</v>
      </c>
      <c r="W1205" s="845">
        <v>0</v>
      </c>
      <c r="X1205" s="845"/>
      <c r="Y1205" s="845">
        <v>0.91615853658536583</v>
      </c>
      <c r="Z1205" s="845">
        <v>9.9085365853658538E-3</v>
      </c>
      <c r="AA1205" s="845">
        <v>0</v>
      </c>
      <c r="AB1205" s="845">
        <v>3.5823170731707314E-2</v>
      </c>
      <c r="AC1205" s="845">
        <v>0</v>
      </c>
      <c r="AD1205" s="845">
        <v>5.5894308943089431E-3</v>
      </c>
      <c r="AE1205" s="845">
        <v>3.2520325203252036E-2</v>
      </c>
      <c r="AF1205" s="845">
        <v>2.540650406504065E-2</v>
      </c>
      <c r="AG1205" s="845">
        <v>0.90040650406504064</v>
      </c>
      <c r="AH1205" s="20" t="str">
        <f t="shared" si="105"/>
        <v>Yes</v>
      </c>
      <c r="AI1205" s="25"/>
      <c r="AJ1205" s="37">
        <v>43331</v>
      </c>
      <c r="AK1205" s="37" t="s">
        <v>883</v>
      </c>
      <c r="AL1205" s="37">
        <v>39091</v>
      </c>
      <c r="AM1205" s="37" t="s">
        <v>51</v>
      </c>
      <c r="AN1205" s="37" t="str">
        <f t="shared" si="106"/>
        <v>N/A</v>
      </c>
      <c r="AO1205" s="37" t="str">
        <f t="shared" si="107"/>
        <v>N/A</v>
      </c>
      <c r="AP1205" s="20" t="s">
        <v>8</v>
      </c>
      <c r="AQ1205" s="25"/>
      <c r="AR1205" s="25"/>
      <c r="AS1205" s="25"/>
      <c r="AT1205" s="25"/>
      <c r="AU1205" s="36"/>
      <c r="AV1205" s="36"/>
      <c r="AW1205" s="36"/>
      <c r="AX1205" s="25"/>
      <c r="AY1205" s="25"/>
      <c r="AZ1205" s="25"/>
      <c r="BA1205" s="25"/>
      <c r="BB1205" s="25"/>
      <c r="BC1205" s="25"/>
      <c r="BD1205" s="25"/>
      <c r="BE1205" s="25"/>
      <c r="BF1205" s="25"/>
      <c r="BG1205" s="25"/>
      <c r="BH1205" s="25"/>
      <c r="BI1205" s="25"/>
      <c r="BJ1205" s="25"/>
      <c r="BK1205" s="25"/>
      <c r="BL1205" s="25"/>
      <c r="BM1205" s="25"/>
      <c r="BN1205" s="25"/>
      <c r="BO1205" s="25"/>
      <c r="BP1205" s="25"/>
      <c r="BQ1205" s="25"/>
      <c r="BR1205" s="25"/>
      <c r="BS1205" s="25"/>
      <c r="BT1205" s="25"/>
      <c r="BU1205" s="39">
        <v>44424</v>
      </c>
      <c r="BV1205" s="39" t="s">
        <v>1330</v>
      </c>
      <c r="BW1205" s="39" t="s">
        <v>2924</v>
      </c>
      <c r="BX1205" s="39" t="s">
        <v>2856</v>
      </c>
      <c r="BY1205" s="71">
        <v>760</v>
      </c>
      <c r="BZ1205" s="71">
        <v>790</v>
      </c>
      <c r="CA1205" s="71">
        <v>1000</v>
      </c>
      <c r="CB1205" s="71">
        <v>1310</v>
      </c>
      <c r="CC1205" s="71">
        <v>1380</v>
      </c>
      <c r="CD1205" s="25"/>
      <c r="CE1205" s="200"/>
      <c r="CF1205" s="200"/>
      <c r="CG1205" s="200"/>
      <c r="CH1205" s="200"/>
      <c r="CI1205" s="200"/>
      <c r="CJ1205" s="200"/>
      <c r="CK1205" s="200"/>
      <c r="CL1205" s="200"/>
      <c r="CM1205" s="200"/>
      <c r="CN1205" s="200"/>
      <c r="CO1205" s="200"/>
      <c r="CP1205" s="200"/>
      <c r="CQ1205" s="200"/>
      <c r="CR1205" s="200"/>
      <c r="CS1205" s="200"/>
      <c r="CT1205" s="200"/>
      <c r="CU1205" s="200"/>
    </row>
    <row r="1206" spans="1:99" s="17" customFormat="1" x14ac:dyDescent="0.2">
      <c r="A1206" s="25"/>
      <c r="B1206" s="20">
        <v>39035175107</v>
      </c>
      <c r="C1206" s="20">
        <v>1751.07</v>
      </c>
      <c r="D1206" s="20" t="s">
        <v>24</v>
      </c>
      <c r="E1206" s="20" t="s">
        <v>2829</v>
      </c>
      <c r="F1206" s="20" t="s">
        <v>8</v>
      </c>
      <c r="G1206" s="861">
        <v>53.616029980377</v>
      </c>
      <c r="H1206" s="861">
        <v>65.878658892450702</v>
      </c>
      <c r="I1206" s="861">
        <v>20.912454398374699</v>
      </c>
      <c r="J1206" s="861">
        <v>40.2199658629686</v>
      </c>
      <c r="K1206" s="982">
        <v>0</v>
      </c>
      <c r="L1206" s="735" t="s">
        <v>2466</v>
      </c>
      <c r="M1206" s="735">
        <v>3487</v>
      </c>
      <c r="N1206" s="845" t="str">
        <f t="shared" si="103"/>
        <v/>
      </c>
      <c r="O1206" s="735">
        <v>2.3477930174745087</v>
      </c>
      <c r="P1206" s="735">
        <f t="shared" si="104"/>
        <v>1485.2246233149299</v>
      </c>
      <c r="Q1206" s="849">
        <v>49.8</v>
      </c>
      <c r="R1206" s="71">
        <v>95417</v>
      </c>
      <c r="S1206" s="845">
        <v>2.667049039288787E-2</v>
      </c>
      <c r="T1206" s="845">
        <v>0.02</v>
      </c>
      <c r="U1206" s="845">
        <v>0</v>
      </c>
      <c r="V1206" s="845">
        <v>0</v>
      </c>
      <c r="W1206" s="845">
        <v>9.5683453237410065E-2</v>
      </c>
      <c r="X1206" s="845">
        <v>0.20300751879699247</v>
      </c>
      <c r="Y1206" s="845">
        <v>0.92973903068540298</v>
      </c>
      <c r="Z1206" s="845">
        <v>2.8677946659019216E-3</v>
      </c>
      <c r="AA1206" s="845">
        <v>1.0324060797246917E-2</v>
      </c>
      <c r="AB1206" s="845">
        <v>2.2655577860625178E-2</v>
      </c>
      <c r="AC1206" s="845">
        <v>0</v>
      </c>
      <c r="AD1206" s="845">
        <v>1.9214224261542873E-2</v>
      </c>
      <c r="AE1206" s="845">
        <v>1.5199311729280183E-2</v>
      </c>
      <c r="AF1206" s="845">
        <v>2.1795239460854602E-2</v>
      </c>
      <c r="AG1206" s="845">
        <v>0.92973903068540298</v>
      </c>
      <c r="AH1206" s="20" t="str">
        <f t="shared" si="105"/>
        <v>Yes</v>
      </c>
      <c r="AI1206" s="25"/>
      <c r="AJ1206" s="20">
        <v>43333</v>
      </c>
      <c r="AK1206" s="20" t="s">
        <v>885</v>
      </c>
      <c r="AL1206" s="20">
        <v>39091</v>
      </c>
      <c r="AM1206" s="20" t="s">
        <v>51</v>
      </c>
      <c r="AN1206" s="37" t="str">
        <f t="shared" si="106"/>
        <v>N/A</v>
      </c>
      <c r="AO1206" s="37" t="str">
        <f t="shared" si="107"/>
        <v>N/A</v>
      </c>
      <c r="AP1206" s="20" t="s">
        <v>8</v>
      </c>
      <c r="AQ1206" s="25"/>
      <c r="AR1206" s="25"/>
      <c r="AS1206" s="25"/>
      <c r="AT1206" s="25"/>
      <c r="AU1206" s="36"/>
      <c r="AV1206" s="36"/>
      <c r="AW1206" s="36"/>
      <c r="AX1206" s="25"/>
      <c r="AY1206" s="25"/>
      <c r="AZ1206" s="25"/>
      <c r="BA1206" s="25"/>
      <c r="BB1206" s="25"/>
      <c r="BC1206" s="25"/>
      <c r="BD1206" s="25"/>
      <c r="BE1206" s="25"/>
      <c r="BF1206" s="25"/>
      <c r="BG1206" s="25"/>
      <c r="BH1206" s="25"/>
      <c r="BI1206" s="25"/>
      <c r="BJ1206" s="25"/>
      <c r="BK1206" s="25"/>
      <c r="BL1206" s="25"/>
      <c r="BM1206" s="25"/>
      <c r="BN1206" s="25"/>
      <c r="BO1206" s="25"/>
      <c r="BP1206" s="25"/>
      <c r="BQ1206" s="25"/>
      <c r="BR1206" s="25"/>
      <c r="BS1206" s="25"/>
      <c r="BT1206" s="25"/>
      <c r="BU1206" s="39">
        <v>44425</v>
      </c>
      <c r="BV1206" s="39" t="s">
        <v>1331</v>
      </c>
      <c r="BW1206" s="39" t="s">
        <v>2924</v>
      </c>
      <c r="BX1206" s="39" t="s">
        <v>2856</v>
      </c>
      <c r="BY1206" s="71">
        <v>740</v>
      </c>
      <c r="BZ1206" s="71">
        <v>780</v>
      </c>
      <c r="CA1206" s="71">
        <v>980</v>
      </c>
      <c r="CB1206" s="71">
        <v>1280</v>
      </c>
      <c r="CC1206" s="71">
        <v>1350</v>
      </c>
      <c r="CD1206" s="25"/>
      <c r="CE1206" s="200"/>
      <c r="CF1206" s="200"/>
      <c r="CG1206" s="200"/>
      <c r="CH1206" s="200"/>
      <c r="CI1206" s="200"/>
      <c r="CJ1206" s="200"/>
      <c r="CK1206" s="200"/>
      <c r="CL1206" s="200"/>
      <c r="CM1206" s="200"/>
      <c r="CN1206" s="200"/>
      <c r="CO1206" s="200"/>
      <c r="CP1206" s="200"/>
      <c r="CQ1206" s="200"/>
      <c r="CR1206" s="200"/>
      <c r="CS1206" s="200"/>
      <c r="CT1206" s="200"/>
      <c r="CU1206" s="200"/>
    </row>
    <row r="1207" spans="1:99" s="17" customFormat="1" x14ac:dyDescent="0.2">
      <c r="A1207" s="25"/>
      <c r="B1207" s="20">
        <v>39061001700</v>
      </c>
      <c r="C1207" s="20">
        <v>17</v>
      </c>
      <c r="D1207" s="20" t="s">
        <v>37</v>
      </c>
      <c r="E1207" s="20" t="s">
        <v>2828</v>
      </c>
      <c r="F1207" s="20" t="s">
        <v>6</v>
      </c>
      <c r="G1207" s="861">
        <v>53.613948874538401</v>
      </c>
      <c r="H1207" s="861">
        <v>50.969714366965597</v>
      </c>
      <c r="I1207" s="861">
        <v>62.041490787614997</v>
      </c>
      <c r="J1207" s="861">
        <v>66.811927329694498</v>
      </c>
      <c r="K1207" s="982">
        <v>1</v>
      </c>
      <c r="L1207" s="735">
        <v>913</v>
      </c>
      <c r="M1207" s="735">
        <v>1477</v>
      </c>
      <c r="N1207" s="845">
        <f t="shared" si="103"/>
        <v>0.61774370208105145</v>
      </c>
      <c r="O1207" s="735">
        <v>8.7656000860946048E-2</v>
      </c>
      <c r="P1207" s="735">
        <f t="shared" si="104"/>
        <v>16849.958764866005</v>
      </c>
      <c r="Q1207" s="849">
        <v>36.700000000000003</v>
      </c>
      <c r="R1207" s="71">
        <v>75329</v>
      </c>
      <c r="S1207" s="845">
        <v>0.42654028436018959</v>
      </c>
      <c r="T1207" s="845">
        <v>2.1000000000000001E-2</v>
      </c>
      <c r="U1207" s="845">
        <v>4.0999999999999995E-2</v>
      </c>
      <c r="V1207" s="845">
        <v>6.8000000000000005E-2</v>
      </c>
      <c r="W1207" s="845">
        <v>0.6964028776978417</v>
      </c>
      <c r="X1207" s="845">
        <v>0.27272727272727271</v>
      </c>
      <c r="Y1207" s="845">
        <v>0.38050101557210564</v>
      </c>
      <c r="Z1207" s="845">
        <v>0.52132701421800953</v>
      </c>
      <c r="AA1207" s="845">
        <v>0</v>
      </c>
      <c r="AB1207" s="845">
        <v>5.7549085985104942E-2</v>
      </c>
      <c r="AC1207" s="845">
        <v>0</v>
      </c>
      <c r="AD1207" s="845">
        <v>0</v>
      </c>
      <c r="AE1207" s="845">
        <v>4.0622884224779957E-2</v>
      </c>
      <c r="AF1207" s="845">
        <v>9.4786729857819912E-3</v>
      </c>
      <c r="AG1207" s="845">
        <v>0.38050101557210564</v>
      </c>
      <c r="AH1207" s="20" t="str">
        <f t="shared" si="105"/>
        <v>No</v>
      </c>
      <c r="AI1207" s="25"/>
      <c r="AJ1207" s="20">
        <v>43336</v>
      </c>
      <c r="AK1207" s="20" t="s">
        <v>887</v>
      </c>
      <c r="AL1207" s="20">
        <v>39091</v>
      </c>
      <c r="AM1207" s="20" t="s">
        <v>51</v>
      </c>
      <c r="AN1207" s="37" t="str">
        <f t="shared" si="106"/>
        <v>N/A</v>
      </c>
      <c r="AO1207" s="37" t="str">
        <f t="shared" si="107"/>
        <v>N/A</v>
      </c>
      <c r="AP1207" s="20" t="s">
        <v>8</v>
      </c>
      <c r="AQ1207" s="25"/>
      <c r="AR1207" s="25"/>
      <c r="AS1207" s="25"/>
      <c r="AT1207" s="25"/>
      <c r="AU1207" s="36"/>
      <c r="AV1207" s="36"/>
      <c r="AW1207" s="36"/>
      <c r="AX1207" s="25"/>
      <c r="AY1207" s="25"/>
      <c r="AZ1207" s="25"/>
      <c r="BA1207" s="25"/>
      <c r="BB1207" s="25"/>
      <c r="BC1207" s="25"/>
      <c r="BD1207" s="25"/>
      <c r="BE1207" s="25"/>
      <c r="BF1207" s="25"/>
      <c r="BG1207" s="25"/>
      <c r="BH1207" s="25"/>
      <c r="BI1207" s="25"/>
      <c r="BJ1207" s="25"/>
      <c r="BK1207" s="25"/>
      <c r="BL1207" s="25"/>
      <c r="BM1207" s="25"/>
      <c r="BN1207" s="25"/>
      <c r="BO1207" s="25"/>
      <c r="BP1207" s="25"/>
      <c r="BQ1207" s="25"/>
      <c r="BR1207" s="25"/>
      <c r="BS1207" s="25"/>
      <c r="BT1207" s="25"/>
      <c r="BU1207" s="39">
        <v>44430</v>
      </c>
      <c r="BV1207" s="39" t="s">
        <v>1335</v>
      </c>
      <c r="BW1207" s="39" t="s">
        <v>2924</v>
      </c>
      <c r="BX1207" s="39" t="s">
        <v>2856</v>
      </c>
      <c r="BY1207" s="71">
        <v>730</v>
      </c>
      <c r="BZ1207" s="71">
        <v>770</v>
      </c>
      <c r="CA1207" s="71">
        <v>970</v>
      </c>
      <c r="CB1207" s="71">
        <v>1270</v>
      </c>
      <c r="CC1207" s="71">
        <v>1340</v>
      </c>
      <c r="CD1207" s="25"/>
      <c r="CE1207" s="200"/>
      <c r="CF1207" s="200"/>
      <c r="CG1207" s="200"/>
      <c r="CH1207" s="200"/>
      <c r="CI1207" s="200"/>
      <c r="CJ1207" s="200"/>
      <c r="CK1207" s="200"/>
      <c r="CL1207" s="200"/>
      <c r="CM1207" s="200"/>
      <c r="CN1207" s="200"/>
      <c r="CO1207" s="200"/>
      <c r="CP1207" s="200"/>
      <c r="CQ1207" s="200"/>
      <c r="CR1207" s="200"/>
      <c r="CS1207" s="200"/>
      <c r="CT1207" s="200"/>
      <c r="CU1207" s="200"/>
    </row>
    <row r="1208" spans="1:99" s="17" customFormat="1" x14ac:dyDescent="0.2">
      <c r="A1208" s="25"/>
      <c r="B1208" s="20">
        <v>39035119401</v>
      </c>
      <c r="C1208" s="20">
        <v>1194.01</v>
      </c>
      <c r="D1208" s="20" t="s">
        <v>24</v>
      </c>
      <c r="E1208" s="20" t="s">
        <v>2829</v>
      </c>
      <c r="F1208" s="20" t="s">
        <v>8</v>
      </c>
      <c r="G1208" s="861">
        <v>53.611079104295101</v>
      </c>
      <c r="H1208" s="861">
        <v>58.069528866147103</v>
      </c>
      <c r="I1208" s="861">
        <v>57.012403001928902</v>
      </c>
      <c r="J1208" s="861">
        <v>51.957410006492303</v>
      </c>
      <c r="K1208" s="982">
        <v>0</v>
      </c>
      <c r="L1208" s="735">
        <v>1870</v>
      </c>
      <c r="M1208" s="735">
        <v>2483</v>
      </c>
      <c r="N1208" s="845">
        <f t="shared" si="103"/>
        <v>0.32780748663101605</v>
      </c>
      <c r="O1208" s="735">
        <v>0.26914100389441559</v>
      </c>
      <c r="P1208" s="735">
        <f t="shared" si="104"/>
        <v>9225.6473895522977</v>
      </c>
      <c r="Q1208" s="849">
        <v>36.9</v>
      </c>
      <c r="R1208" s="71">
        <v>49891</v>
      </c>
      <c r="S1208" s="845">
        <v>0.20177204993958919</v>
      </c>
      <c r="T1208" s="845">
        <v>7.8E-2</v>
      </c>
      <c r="U1208" s="845">
        <v>0</v>
      </c>
      <c r="V1208" s="845">
        <v>3.3000000000000002E-2</v>
      </c>
      <c r="W1208" s="845">
        <v>0.53888024883359253</v>
      </c>
      <c r="X1208" s="845">
        <v>0.54689754689754688</v>
      </c>
      <c r="Y1208" s="845">
        <v>0.220700765203383</v>
      </c>
      <c r="Z1208" s="845">
        <v>0.5396697543294402</v>
      </c>
      <c r="AA1208" s="845">
        <v>0</v>
      </c>
      <c r="AB1208" s="845">
        <v>6.1216270640354412E-2</v>
      </c>
      <c r="AC1208" s="845">
        <v>0</v>
      </c>
      <c r="AD1208" s="845">
        <v>6.0410793395086586E-2</v>
      </c>
      <c r="AE1208" s="845">
        <v>0.1180024164317358</v>
      </c>
      <c r="AF1208" s="845">
        <v>7.6520338300443011E-2</v>
      </c>
      <c r="AG1208" s="845">
        <v>0.220700765203383</v>
      </c>
      <c r="AH1208" s="20" t="str">
        <f t="shared" si="105"/>
        <v>No</v>
      </c>
      <c r="AI1208" s="25"/>
      <c r="AJ1208" s="20">
        <v>43343</v>
      </c>
      <c r="AK1208" s="20" t="s">
        <v>893</v>
      </c>
      <c r="AL1208" s="20">
        <v>39091</v>
      </c>
      <c r="AM1208" s="20" t="s">
        <v>51</v>
      </c>
      <c r="AN1208" s="37" t="str">
        <f t="shared" si="106"/>
        <v>N/A</v>
      </c>
      <c r="AO1208" s="37" t="str">
        <f t="shared" si="107"/>
        <v>N/A</v>
      </c>
      <c r="AP1208" s="20" t="s">
        <v>8</v>
      </c>
      <c r="AQ1208" s="25"/>
      <c r="AR1208" s="25"/>
      <c r="AS1208" s="25"/>
      <c r="AT1208" s="25"/>
      <c r="AU1208" s="36"/>
      <c r="AV1208" s="36"/>
      <c r="AW1208" s="36"/>
      <c r="AX1208" s="25"/>
      <c r="AY1208" s="25"/>
      <c r="AZ1208" s="25"/>
      <c r="BA1208" s="25"/>
      <c r="BB1208" s="25"/>
      <c r="BC1208" s="25"/>
      <c r="BD1208" s="25"/>
      <c r="BE1208" s="25"/>
      <c r="BF1208" s="25"/>
      <c r="BG1208" s="25"/>
      <c r="BH1208" s="25"/>
      <c r="BI1208" s="25"/>
      <c r="BJ1208" s="25"/>
      <c r="BK1208" s="25"/>
      <c r="BL1208" s="25"/>
      <c r="BM1208" s="25"/>
      <c r="BN1208" s="25"/>
      <c r="BO1208" s="25"/>
      <c r="BP1208" s="25"/>
      <c r="BQ1208" s="25"/>
      <c r="BR1208" s="25"/>
      <c r="BS1208" s="25"/>
      <c r="BT1208" s="25"/>
      <c r="BU1208" s="39">
        <v>44436</v>
      </c>
      <c r="BV1208" s="39" t="s">
        <v>1338</v>
      </c>
      <c r="BW1208" s="39" t="s">
        <v>2924</v>
      </c>
      <c r="BX1208" s="39" t="s">
        <v>2856</v>
      </c>
      <c r="BY1208" s="71">
        <v>730</v>
      </c>
      <c r="BZ1208" s="71">
        <v>770</v>
      </c>
      <c r="CA1208" s="71">
        <v>970</v>
      </c>
      <c r="CB1208" s="71">
        <v>1270</v>
      </c>
      <c r="CC1208" s="71">
        <v>1340</v>
      </c>
      <c r="CD1208" s="25"/>
      <c r="CE1208" s="200"/>
      <c r="CF1208" s="200"/>
      <c r="CG1208" s="200"/>
      <c r="CH1208" s="200"/>
      <c r="CI1208" s="200"/>
      <c r="CJ1208" s="200"/>
      <c r="CK1208" s="200"/>
      <c r="CL1208" s="200"/>
      <c r="CM1208" s="200"/>
      <c r="CN1208" s="200"/>
      <c r="CO1208" s="200"/>
      <c r="CP1208" s="200"/>
      <c r="CQ1208" s="200"/>
      <c r="CR1208" s="200"/>
      <c r="CS1208" s="200"/>
      <c r="CT1208" s="200"/>
      <c r="CU1208" s="200"/>
    </row>
    <row r="1209" spans="1:99" s="17" customFormat="1" x14ac:dyDescent="0.2">
      <c r="A1209" s="25"/>
      <c r="B1209" s="20">
        <v>39035177504</v>
      </c>
      <c r="C1209" s="20">
        <v>1775.04</v>
      </c>
      <c r="D1209" s="20" t="s">
        <v>24</v>
      </c>
      <c r="E1209" s="20" t="s">
        <v>2829</v>
      </c>
      <c r="F1209" s="20" t="s">
        <v>8</v>
      </c>
      <c r="G1209" s="861">
        <v>53.604778105601298</v>
      </c>
      <c r="H1209" s="861">
        <v>59.171199879763101</v>
      </c>
      <c r="I1209" s="861">
        <v>28.6929241320369</v>
      </c>
      <c r="J1209" s="861">
        <v>37.940766496097098</v>
      </c>
      <c r="K1209" s="982">
        <v>0</v>
      </c>
      <c r="L1209" s="735">
        <v>3999</v>
      </c>
      <c r="M1209" s="735">
        <v>3785</v>
      </c>
      <c r="N1209" s="845">
        <f t="shared" si="103"/>
        <v>-5.3513378344586145E-2</v>
      </c>
      <c r="O1209" s="735">
        <v>0.79793377893151796</v>
      </c>
      <c r="P1209" s="735">
        <f t="shared" si="104"/>
        <v>4743.5014031720102</v>
      </c>
      <c r="Q1209" s="849">
        <v>41.1</v>
      </c>
      <c r="R1209" s="71">
        <v>74518</v>
      </c>
      <c r="S1209" s="845">
        <v>8.4988085782366954E-2</v>
      </c>
      <c r="T1209" s="845">
        <v>2.4E-2</v>
      </c>
      <c r="U1209" s="845">
        <v>0.02</v>
      </c>
      <c r="V1209" s="845">
        <v>0.11800000000000001</v>
      </c>
      <c r="W1209" s="845">
        <v>0.12609238451935081</v>
      </c>
      <c r="X1209" s="845">
        <v>0.30693069306930693</v>
      </c>
      <c r="Y1209" s="845">
        <v>0.91413474240422721</v>
      </c>
      <c r="Z1209" s="845">
        <v>0</v>
      </c>
      <c r="AA1209" s="845">
        <v>0</v>
      </c>
      <c r="AB1209" s="845">
        <v>1.1096433289299868E-2</v>
      </c>
      <c r="AC1209" s="845">
        <v>0</v>
      </c>
      <c r="AD1209" s="845">
        <v>0</v>
      </c>
      <c r="AE1209" s="845">
        <v>7.4768824306472914E-2</v>
      </c>
      <c r="AF1209" s="845">
        <v>1.1096433289299868E-2</v>
      </c>
      <c r="AG1209" s="845">
        <v>0.91307793923381775</v>
      </c>
      <c r="AH1209" s="20" t="str">
        <f t="shared" si="105"/>
        <v>Yes</v>
      </c>
      <c r="AI1209" s="25"/>
      <c r="AJ1209" s="20">
        <v>43345</v>
      </c>
      <c r="AK1209" s="20" t="s">
        <v>895</v>
      </c>
      <c r="AL1209" s="20">
        <v>39091</v>
      </c>
      <c r="AM1209" s="20" t="s">
        <v>51</v>
      </c>
      <c r="AN1209" s="37" t="str">
        <f t="shared" si="106"/>
        <v>N/A</v>
      </c>
      <c r="AO1209" s="37" t="str">
        <f t="shared" si="107"/>
        <v>N/A</v>
      </c>
      <c r="AP1209" s="20" t="s">
        <v>8</v>
      </c>
      <c r="AQ1209" s="25"/>
      <c r="AR1209" s="25"/>
      <c r="AS1209" s="25"/>
      <c r="AT1209" s="25"/>
      <c r="AU1209" s="36"/>
      <c r="AV1209" s="36"/>
      <c r="AW1209" s="36"/>
      <c r="AX1209" s="25"/>
      <c r="AY1209" s="25"/>
      <c r="AZ1209" s="25"/>
      <c r="BA1209" s="25"/>
      <c r="BB1209" s="25"/>
      <c r="BC1209" s="25"/>
      <c r="BD1209" s="25"/>
      <c r="BE1209" s="25"/>
      <c r="BF1209" s="25"/>
      <c r="BG1209" s="25"/>
      <c r="BH1209" s="25"/>
      <c r="BI1209" s="25"/>
      <c r="BJ1209" s="25"/>
      <c r="BK1209" s="25"/>
      <c r="BL1209" s="25"/>
      <c r="BM1209" s="25"/>
      <c r="BN1209" s="25"/>
      <c r="BO1209" s="25"/>
      <c r="BP1209" s="25"/>
      <c r="BQ1209" s="25"/>
      <c r="BR1209" s="25"/>
      <c r="BS1209" s="25"/>
      <c r="BT1209" s="25"/>
      <c r="BU1209" s="39">
        <v>44437</v>
      </c>
      <c r="BV1209" s="39" t="s">
        <v>1339</v>
      </c>
      <c r="BW1209" s="39" t="s">
        <v>2924</v>
      </c>
      <c r="BX1209" s="39" t="s">
        <v>2856</v>
      </c>
      <c r="BY1209" s="71">
        <v>760</v>
      </c>
      <c r="BZ1209" s="71">
        <v>790</v>
      </c>
      <c r="CA1209" s="71">
        <v>1000</v>
      </c>
      <c r="CB1209" s="71">
        <v>1310</v>
      </c>
      <c r="CC1209" s="71">
        <v>1380</v>
      </c>
      <c r="CD1209" s="25"/>
      <c r="CE1209" s="200"/>
      <c r="CF1209" s="200"/>
      <c r="CG1209" s="200"/>
      <c r="CH1209" s="200"/>
      <c r="CI1209" s="200"/>
      <c r="CJ1209" s="200"/>
      <c r="CK1209" s="200"/>
      <c r="CL1209" s="200"/>
      <c r="CM1209" s="200"/>
      <c r="CN1209" s="200"/>
      <c r="CO1209" s="200"/>
      <c r="CP1209" s="200"/>
      <c r="CQ1209" s="200"/>
      <c r="CR1209" s="200"/>
      <c r="CS1209" s="200"/>
      <c r="CT1209" s="200"/>
      <c r="CU1209" s="200"/>
    </row>
    <row r="1210" spans="1:99" s="17" customFormat="1" x14ac:dyDescent="0.2">
      <c r="A1210" s="25"/>
      <c r="B1210" s="20">
        <v>39035160603</v>
      </c>
      <c r="C1210" s="20">
        <v>1606.03</v>
      </c>
      <c r="D1210" s="20" t="s">
        <v>24</v>
      </c>
      <c r="E1210" s="20" t="s">
        <v>2829</v>
      </c>
      <c r="F1210" s="20" t="s">
        <v>6</v>
      </c>
      <c r="G1210" s="861">
        <v>53.5978027988143</v>
      </c>
      <c r="H1210" s="861">
        <v>61.289377808747503</v>
      </c>
      <c r="I1210" s="861">
        <v>43.447271728981598</v>
      </c>
      <c r="J1210" s="861">
        <v>34.417071635371997</v>
      </c>
      <c r="K1210" s="982">
        <v>0</v>
      </c>
      <c r="L1210" s="735" t="s">
        <v>2466</v>
      </c>
      <c r="M1210" s="735">
        <v>1452</v>
      </c>
      <c r="N1210" s="845" t="str">
        <f t="shared" si="103"/>
        <v/>
      </c>
      <c r="O1210" s="735">
        <v>9.5368391478831929E-2</v>
      </c>
      <c r="P1210" s="735">
        <f t="shared" si="104"/>
        <v>15225.170284247559</v>
      </c>
      <c r="Q1210" s="849">
        <v>30.8</v>
      </c>
      <c r="R1210" s="71">
        <v>42400</v>
      </c>
      <c r="S1210" s="845">
        <v>8.2644628099173556E-2</v>
      </c>
      <c r="T1210" s="845">
        <v>8.199999999999999E-2</v>
      </c>
      <c r="U1210" s="845">
        <v>0</v>
      </c>
      <c r="V1210" s="845">
        <v>7.9000000000000001E-2</v>
      </c>
      <c r="W1210" s="845">
        <v>0.89243391066545119</v>
      </c>
      <c r="X1210" s="845">
        <v>0.39325842696629215</v>
      </c>
      <c r="Y1210" s="845">
        <v>0.8415977961432507</v>
      </c>
      <c r="Z1210" s="845">
        <v>0.12465564738292011</v>
      </c>
      <c r="AA1210" s="845">
        <v>0</v>
      </c>
      <c r="AB1210" s="845">
        <v>3.0991735537190084E-2</v>
      </c>
      <c r="AC1210" s="845">
        <v>0</v>
      </c>
      <c r="AD1210" s="845">
        <v>0</v>
      </c>
      <c r="AE1210" s="845">
        <v>2.7548209366391185E-3</v>
      </c>
      <c r="AF1210" s="845">
        <v>9.5730027548209362E-2</v>
      </c>
      <c r="AG1210" s="845">
        <v>0.74586776859504134</v>
      </c>
      <c r="AH1210" s="20" t="str">
        <f t="shared" si="105"/>
        <v>No</v>
      </c>
      <c r="AI1210" s="25"/>
      <c r="AJ1210" s="20">
        <v>43347</v>
      </c>
      <c r="AK1210" s="20" t="s">
        <v>897</v>
      </c>
      <c r="AL1210" s="20">
        <v>39091</v>
      </c>
      <c r="AM1210" s="20" t="s">
        <v>51</v>
      </c>
      <c r="AN1210" s="37" t="str">
        <f t="shared" si="106"/>
        <v>N/A</v>
      </c>
      <c r="AO1210" s="37" t="str">
        <f t="shared" si="107"/>
        <v>N/A</v>
      </c>
      <c r="AP1210" s="20" t="s">
        <v>8</v>
      </c>
      <c r="AQ1210" s="25"/>
      <c r="AR1210" s="25"/>
      <c r="AS1210" s="25"/>
      <c r="AT1210" s="25"/>
      <c r="AU1210" s="36"/>
      <c r="AV1210" s="36"/>
      <c r="AW1210" s="36"/>
      <c r="AX1210" s="25"/>
      <c r="AY1210" s="25"/>
      <c r="AZ1210" s="25"/>
      <c r="BA1210" s="25"/>
      <c r="BB1210" s="25"/>
      <c r="BC1210" s="25"/>
      <c r="BD1210" s="25"/>
      <c r="BE1210" s="25"/>
      <c r="BF1210" s="25"/>
      <c r="BG1210" s="25"/>
      <c r="BH1210" s="25"/>
      <c r="BI1210" s="25"/>
      <c r="BJ1210" s="25"/>
      <c r="BK1210" s="25"/>
      <c r="BL1210" s="25"/>
      <c r="BM1210" s="25"/>
      <c r="BN1210" s="25"/>
      <c r="BO1210" s="25"/>
      <c r="BP1210" s="25"/>
      <c r="BQ1210" s="25"/>
      <c r="BR1210" s="25"/>
      <c r="BS1210" s="25"/>
      <c r="BT1210" s="25"/>
      <c r="BU1210" s="39">
        <v>44438</v>
      </c>
      <c r="BV1210" s="39" t="s">
        <v>1340</v>
      </c>
      <c r="BW1210" s="39" t="s">
        <v>2924</v>
      </c>
      <c r="BX1210" s="39" t="s">
        <v>2856</v>
      </c>
      <c r="BY1210" s="71">
        <v>740</v>
      </c>
      <c r="BZ1210" s="71">
        <v>780</v>
      </c>
      <c r="CA1210" s="71">
        <v>980</v>
      </c>
      <c r="CB1210" s="71">
        <v>1280</v>
      </c>
      <c r="CC1210" s="71">
        <v>1350</v>
      </c>
      <c r="CD1210" s="25"/>
      <c r="CE1210" s="200"/>
      <c r="CF1210" s="200"/>
      <c r="CG1210" s="200"/>
      <c r="CH1210" s="200"/>
      <c r="CI1210" s="200"/>
      <c r="CJ1210" s="200"/>
      <c r="CK1210" s="200"/>
      <c r="CL1210" s="200"/>
      <c r="CM1210" s="200"/>
      <c r="CN1210" s="200"/>
      <c r="CO1210" s="200"/>
      <c r="CP1210" s="200"/>
      <c r="CQ1210" s="200"/>
      <c r="CR1210" s="200"/>
      <c r="CS1210" s="200"/>
      <c r="CT1210" s="200"/>
      <c r="CU1210" s="200"/>
    </row>
    <row r="1211" spans="1:99" s="17" customFormat="1" x14ac:dyDescent="0.2">
      <c r="A1211" s="25"/>
      <c r="B1211" s="20">
        <v>39165032501</v>
      </c>
      <c r="C1211" s="20">
        <v>325.01</v>
      </c>
      <c r="D1211" s="20" t="s">
        <v>88</v>
      </c>
      <c r="E1211" s="20" t="s">
        <v>2828</v>
      </c>
      <c r="F1211" s="20" t="s">
        <v>8</v>
      </c>
      <c r="G1211" s="861">
        <v>53.592795011097202</v>
      </c>
      <c r="H1211" s="861">
        <v>61.789455749351703</v>
      </c>
      <c r="I1211" s="861">
        <v>23.1551335505774</v>
      </c>
      <c r="J1211" s="861">
        <v>42.674022141552697</v>
      </c>
      <c r="K1211" s="982">
        <v>0</v>
      </c>
      <c r="L1211" s="735">
        <v>3629</v>
      </c>
      <c r="M1211" s="735">
        <v>3775</v>
      </c>
      <c r="N1211" s="845">
        <f t="shared" si="103"/>
        <v>4.0231468724166435E-2</v>
      </c>
      <c r="O1211" s="735">
        <v>1.4569132520071686</v>
      </c>
      <c r="P1211" s="735">
        <f t="shared" si="104"/>
        <v>2591.0945588553309</v>
      </c>
      <c r="Q1211" s="849">
        <v>39.299999999999997</v>
      </c>
      <c r="R1211" s="71">
        <v>76494</v>
      </c>
      <c r="S1211" s="845">
        <v>0.22331386086032926</v>
      </c>
      <c r="T1211" s="845">
        <v>2.1000000000000001E-2</v>
      </c>
      <c r="U1211" s="845">
        <v>0</v>
      </c>
      <c r="V1211" s="845">
        <v>4.7E-2</v>
      </c>
      <c r="W1211" s="845">
        <v>0.30199430199430199</v>
      </c>
      <c r="X1211" s="845">
        <v>0.3867924528301887</v>
      </c>
      <c r="Y1211" s="845">
        <v>0.86251655629139068</v>
      </c>
      <c r="Z1211" s="845">
        <v>0</v>
      </c>
      <c r="AA1211" s="845">
        <v>0</v>
      </c>
      <c r="AB1211" s="845">
        <v>5.7748344370860925E-2</v>
      </c>
      <c r="AC1211" s="845">
        <v>0</v>
      </c>
      <c r="AD1211" s="845">
        <v>6.2781456953642387E-2</v>
      </c>
      <c r="AE1211" s="845">
        <v>1.695364238410596E-2</v>
      </c>
      <c r="AF1211" s="845">
        <v>6.2781456953642387E-2</v>
      </c>
      <c r="AG1211" s="845">
        <v>0.86251655629139068</v>
      </c>
      <c r="AH1211" s="20" t="str">
        <f t="shared" si="105"/>
        <v>No</v>
      </c>
      <c r="AI1211" s="25"/>
      <c r="AJ1211" s="20">
        <v>43348</v>
      </c>
      <c r="AK1211" s="20" t="s">
        <v>898</v>
      </c>
      <c r="AL1211" s="20">
        <v>39091</v>
      </c>
      <c r="AM1211" s="20" t="s">
        <v>51</v>
      </c>
      <c r="AN1211" s="37" t="str">
        <f t="shared" si="106"/>
        <v>N/A</v>
      </c>
      <c r="AO1211" s="37" t="str">
        <f t="shared" si="107"/>
        <v>N/A</v>
      </c>
      <c r="AP1211" s="20" t="s">
        <v>8</v>
      </c>
      <c r="AQ1211" s="25"/>
      <c r="AR1211" s="25"/>
      <c r="AS1211" s="25"/>
      <c r="AT1211" s="25"/>
      <c r="AU1211" s="36"/>
      <c r="AV1211" s="36"/>
      <c r="AW1211" s="36"/>
      <c r="AX1211" s="25"/>
      <c r="AY1211" s="25"/>
      <c r="AZ1211" s="25"/>
      <c r="BA1211" s="25"/>
      <c r="BB1211" s="25"/>
      <c r="BC1211" s="25"/>
      <c r="BD1211" s="25"/>
      <c r="BE1211" s="25"/>
      <c r="BF1211" s="25"/>
      <c r="BG1211" s="25"/>
      <c r="BH1211" s="25"/>
      <c r="BI1211" s="25"/>
      <c r="BJ1211" s="25"/>
      <c r="BK1211" s="25"/>
      <c r="BL1211" s="25"/>
      <c r="BM1211" s="25"/>
      <c r="BN1211" s="25"/>
      <c r="BO1211" s="25"/>
      <c r="BP1211" s="25"/>
      <c r="BQ1211" s="25"/>
      <c r="BR1211" s="25"/>
      <c r="BS1211" s="25"/>
      <c r="BT1211" s="25"/>
      <c r="BU1211" s="39">
        <v>44439</v>
      </c>
      <c r="BV1211" s="39" t="s">
        <v>1341</v>
      </c>
      <c r="BW1211" s="39" t="s">
        <v>2924</v>
      </c>
      <c r="BX1211" s="39" t="s">
        <v>2856</v>
      </c>
      <c r="BY1211" s="71">
        <v>760</v>
      </c>
      <c r="BZ1211" s="71">
        <v>820</v>
      </c>
      <c r="CA1211" s="71">
        <v>1020</v>
      </c>
      <c r="CB1211" s="71">
        <v>1320</v>
      </c>
      <c r="CC1211" s="71">
        <v>1400</v>
      </c>
      <c r="CD1211" s="25"/>
      <c r="CE1211" s="200"/>
      <c r="CF1211" s="200"/>
      <c r="CG1211" s="200"/>
      <c r="CH1211" s="200"/>
      <c r="CI1211" s="200"/>
      <c r="CJ1211" s="200"/>
      <c r="CK1211" s="200"/>
      <c r="CL1211" s="200"/>
      <c r="CM1211" s="200"/>
      <c r="CN1211" s="200"/>
      <c r="CO1211" s="200"/>
      <c r="CP1211" s="200"/>
      <c r="CQ1211" s="200"/>
      <c r="CR1211" s="200"/>
      <c r="CS1211" s="200"/>
      <c r="CT1211" s="200"/>
      <c r="CU1211" s="200"/>
    </row>
    <row r="1212" spans="1:99" s="17" customFormat="1" x14ac:dyDescent="0.2">
      <c r="A1212" s="25"/>
      <c r="B1212" s="20">
        <v>39153532600</v>
      </c>
      <c r="C1212" s="20">
        <v>5326</v>
      </c>
      <c r="D1212" s="20" t="s">
        <v>82</v>
      </c>
      <c r="E1212" s="20" t="s">
        <v>2843</v>
      </c>
      <c r="F1212" s="20" t="s">
        <v>8</v>
      </c>
      <c r="G1212" s="861">
        <v>53.592600330793303</v>
      </c>
      <c r="H1212" s="861">
        <v>56.669869306080898</v>
      </c>
      <c r="I1212" s="861">
        <v>24.686752149180499</v>
      </c>
      <c r="J1212" s="861">
        <v>36.037930438434799</v>
      </c>
      <c r="K1212" s="982">
        <v>0</v>
      </c>
      <c r="L1212" s="735">
        <v>3007</v>
      </c>
      <c r="M1212" s="735">
        <v>2862</v>
      </c>
      <c r="N1212" s="845">
        <f t="shared" si="103"/>
        <v>-4.8220818091120721E-2</v>
      </c>
      <c r="O1212" s="735">
        <v>26.427274602430511</v>
      </c>
      <c r="P1212" s="735">
        <f t="shared" si="104"/>
        <v>108.29720593801915</v>
      </c>
      <c r="Q1212" s="849">
        <v>50</v>
      </c>
      <c r="R1212" s="71">
        <v>119548</v>
      </c>
      <c r="S1212" s="845">
        <v>3.9133473095737246E-2</v>
      </c>
      <c r="T1212" s="845">
        <v>7.0000000000000007E-2</v>
      </c>
      <c r="U1212" s="845">
        <v>0</v>
      </c>
      <c r="V1212" s="845">
        <v>0.21199999999999999</v>
      </c>
      <c r="W1212" s="845">
        <v>0.10952804986642921</v>
      </c>
      <c r="X1212" s="845">
        <v>0.30081300813008133</v>
      </c>
      <c r="Y1212" s="845">
        <v>0.94968553459119498</v>
      </c>
      <c r="Z1212" s="845">
        <v>2.7952480782669461E-3</v>
      </c>
      <c r="AA1212" s="845">
        <v>0</v>
      </c>
      <c r="AB1212" s="845">
        <v>1.8169112508735149E-2</v>
      </c>
      <c r="AC1212" s="845">
        <v>0</v>
      </c>
      <c r="AD1212" s="845">
        <v>0</v>
      </c>
      <c r="AE1212" s="845">
        <v>2.9350104821802937E-2</v>
      </c>
      <c r="AF1212" s="845">
        <v>1.013277428371768E-2</v>
      </c>
      <c r="AG1212" s="845">
        <v>0.94968553459119498</v>
      </c>
      <c r="AH1212" s="20" t="str">
        <f t="shared" si="105"/>
        <v>Yes</v>
      </c>
      <c r="AI1212" s="25"/>
      <c r="AJ1212" s="37">
        <v>43357</v>
      </c>
      <c r="AK1212" s="37" t="s">
        <v>902</v>
      </c>
      <c r="AL1212" s="37">
        <v>39091</v>
      </c>
      <c r="AM1212" s="37" t="s">
        <v>51</v>
      </c>
      <c r="AN1212" s="37" t="str">
        <f t="shared" si="106"/>
        <v>N/A</v>
      </c>
      <c r="AO1212" s="37" t="str">
        <f t="shared" si="107"/>
        <v>N/A</v>
      </c>
      <c r="AP1212" s="20" t="s">
        <v>8</v>
      </c>
      <c r="AQ1212" s="25"/>
      <c r="AR1212" s="25"/>
      <c r="AS1212" s="25"/>
      <c r="AT1212" s="25"/>
      <c r="AU1212" s="36"/>
      <c r="AV1212" s="36"/>
      <c r="AW1212" s="36"/>
      <c r="AX1212" s="25"/>
      <c r="AY1212" s="25"/>
      <c r="AZ1212" s="25"/>
      <c r="BA1212" s="25"/>
      <c r="BB1212" s="25"/>
      <c r="BC1212" s="25"/>
      <c r="BD1212" s="25"/>
      <c r="BE1212" s="25"/>
      <c r="BF1212" s="25"/>
      <c r="BG1212" s="25"/>
      <c r="BH1212" s="25"/>
      <c r="BI1212" s="25"/>
      <c r="BJ1212" s="25"/>
      <c r="BK1212" s="25"/>
      <c r="BL1212" s="25"/>
      <c r="BM1212" s="25"/>
      <c r="BN1212" s="25"/>
      <c r="BO1212" s="25"/>
      <c r="BP1212" s="25"/>
      <c r="BQ1212" s="25"/>
      <c r="BR1212" s="25"/>
      <c r="BS1212" s="25"/>
      <c r="BT1212" s="25"/>
      <c r="BU1212" s="39">
        <v>44440</v>
      </c>
      <c r="BV1212" s="39" t="s">
        <v>1342</v>
      </c>
      <c r="BW1212" s="39" t="s">
        <v>2924</v>
      </c>
      <c r="BX1212" s="39" t="s">
        <v>2856</v>
      </c>
      <c r="BY1212" s="71">
        <v>730</v>
      </c>
      <c r="BZ1212" s="71">
        <v>770</v>
      </c>
      <c r="CA1212" s="71">
        <v>970</v>
      </c>
      <c r="CB1212" s="71">
        <v>1270</v>
      </c>
      <c r="CC1212" s="71">
        <v>1340</v>
      </c>
      <c r="CD1212" s="25"/>
      <c r="CE1212" s="200"/>
      <c r="CF1212" s="200"/>
      <c r="CG1212" s="200"/>
      <c r="CH1212" s="200"/>
      <c r="CI1212" s="200"/>
      <c r="CJ1212" s="200"/>
      <c r="CK1212" s="200"/>
      <c r="CL1212" s="200"/>
      <c r="CM1212" s="200"/>
      <c r="CN1212" s="200"/>
      <c r="CO1212" s="200"/>
      <c r="CP1212" s="200"/>
      <c r="CQ1212" s="200"/>
      <c r="CR1212" s="200"/>
      <c r="CS1212" s="200"/>
      <c r="CT1212" s="200"/>
      <c r="CU1212" s="200"/>
    </row>
    <row r="1213" spans="1:99" s="17" customFormat="1" x14ac:dyDescent="0.2">
      <c r="A1213" s="25"/>
      <c r="B1213" s="20">
        <v>39049008360</v>
      </c>
      <c r="C1213" s="20">
        <v>83.6</v>
      </c>
      <c r="D1213" s="20" t="s">
        <v>31</v>
      </c>
      <c r="E1213" s="20" t="s">
        <v>2830</v>
      </c>
      <c r="F1213" s="20" t="s">
        <v>8</v>
      </c>
      <c r="G1213" s="861">
        <v>53.590731943110903</v>
      </c>
      <c r="H1213" s="861">
        <v>65.842193797338297</v>
      </c>
      <c r="I1213" s="861">
        <v>25.246078243640302</v>
      </c>
      <c r="J1213" s="861">
        <v>44.030646802161598</v>
      </c>
      <c r="K1213" s="982">
        <v>0</v>
      </c>
      <c r="L1213" s="735">
        <v>6345</v>
      </c>
      <c r="M1213" s="735">
        <v>6701</v>
      </c>
      <c r="N1213" s="845">
        <f t="shared" si="103"/>
        <v>5.610717100078802E-2</v>
      </c>
      <c r="O1213" s="735">
        <v>1.6229005004968924</v>
      </c>
      <c r="P1213" s="735">
        <f t="shared" si="104"/>
        <v>4129.0270093257832</v>
      </c>
      <c r="Q1213" s="849">
        <v>35.5</v>
      </c>
      <c r="R1213" s="71">
        <v>86066</v>
      </c>
      <c r="S1213" s="845">
        <v>7.3269801593501022E-2</v>
      </c>
      <c r="T1213" s="845">
        <v>2.5000000000000001E-2</v>
      </c>
      <c r="U1213" s="845">
        <v>0</v>
      </c>
      <c r="V1213" s="845">
        <v>0</v>
      </c>
      <c r="W1213" s="845">
        <v>0.18855761482675262</v>
      </c>
      <c r="X1213" s="845">
        <v>0.34829059829059827</v>
      </c>
      <c r="Y1213" s="845">
        <v>0.77988359946276675</v>
      </c>
      <c r="Z1213" s="845">
        <v>0.10088046560214893</v>
      </c>
      <c r="AA1213" s="845">
        <v>1.4923145799134458E-3</v>
      </c>
      <c r="AB1213" s="845">
        <v>1.1789285181316221E-2</v>
      </c>
      <c r="AC1213" s="845">
        <v>2.6861662438442025E-3</v>
      </c>
      <c r="AD1213" s="845">
        <v>4.6261751977316821E-2</v>
      </c>
      <c r="AE1213" s="845">
        <v>5.700641695269363E-2</v>
      </c>
      <c r="AF1213" s="845">
        <v>6.0886434860468588E-2</v>
      </c>
      <c r="AG1213" s="845">
        <v>0.76839277719743326</v>
      </c>
      <c r="AH1213" s="20" t="str">
        <f t="shared" si="105"/>
        <v>No</v>
      </c>
      <c r="AI1213" s="25"/>
      <c r="AJ1213" s="20">
        <v>43358</v>
      </c>
      <c r="AK1213" s="20" t="s">
        <v>903</v>
      </c>
      <c r="AL1213" s="20">
        <v>39091</v>
      </c>
      <c r="AM1213" s="20" t="s">
        <v>51</v>
      </c>
      <c r="AN1213" s="37" t="str">
        <f t="shared" si="106"/>
        <v>N/A</v>
      </c>
      <c r="AO1213" s="37" t="str">
        <f t="shared" si="107"/>
        <v>N/A</v>
      </c>
      <c r="AP1213" s="20" t="s">
        <v>8</v>
      </c>
      <c r="AQ1213" s="25"/>
      <c r="AR1213" s="25"/>
      <c r="AS1213" s="25"/>
      <c r="AT1213" s="25"/>
      <c r="AU1213" s="36"/>
      <c r="AV1213" s="36"/>
      <c r="AW1213" s="36"/>
      <c r="AX1213" s="25"/>
      <c r="AY1213" s="25"/>
      <c r="AZ1213" s="25"/>
      <c r="BA1213" s="25"/>
      <c r="BB1213" s="25"/>
      <c r="BC1213" s="25"/>
      <c r="BD1213" s="25"/>
      <c r="BE1213" s="25"/>
      <c r="BF1213" s="25"/>
      <c r="BG1213" s="25"/>
      <c r="BH1213" s="25"/>
      <c r="BI1213" s="25"/>
      <c r="BJ1213" s="25"/>
      <c r="BK1213" s="25"/>
      <c r="BL1213" s="25"/>
      <c r="BM1213" s="25"/>
      <c r="BN1213" s="25"/>
      <c r="BO1213" s="25"/>
      <c r="BP1213" s="25"/>
      <c r="BQ1213" s="25"/>
      <c r="BR1213" s="25"/>
      <c r="BS1213" s="25"/>
      <c r="BT1213" s="25"/>
      <c r="BU1213" s="39">
        <v>44442</v>
      </c>
      <c r="BV1213" s="39" t="s">
        <v>1344</v>
      </c>
      <c r="BW1213" s="39" t="s">
        <v>2924</v>
      </c>
      <c r="BX1213" s="39" t="s">
        <v>2856</v>
      </c>
      <c r="BY1213" s="71">
        <v>730</v>
      </c>
      <c r="BZ1213" s="71">
        <v>770</v>
      </c>
      <c r="CA1213" s="71">
        <v>970</v>
      </c>
      <c r="CB1213" s="71">
        <v>1270</v>
      </c>
      <c r="CC1213" s="71">
        <v>1340</v>
      </c>
      <c r="CD1213" s="25"/>
      <c r="CE1213" s="200"/>
      <c r="CF1213" s="200"/>
      <c r="CG1213" s="200"/>
      <c r="CH1213" s="200"/>
      <c r="CI1213" s="200"/>
      <c r="CJ1213" s="200"/>
      <c r="CK1213" s="200"/>
      <c r="CL1213" s="200"/>
      <c r="CM1213" s="200"/>
      <c r="CN1213" s="200"/>
      <c r="CO1213" s="200"/>
      <c r="CP1213" s="200"/>
      <c r="CQ1213" s="200"/>
      <c r="CR1213" s="200"/>
      <c r="CS1213" s="200"/>
      <c r="CT1213" s="200"/>
      <c r="CU1213" s="200"/>
    </row>
    <row r="1214" spans="1:99" s="17" customFormat="1" x14ac:dyDescent="0.2">
      <c r="A1214" s="25"/>
      <c r="B1214" s="20">
        <v>39167020201</v>
      </c>
      <c r="C1214" s="20">
        <v>202.01</v>
      </c>
      <c r="D1214" s="20" t="s">
        <v>89</v>
      </c>
      <c r="E1214" s="20" t="s">
        <v>265</v>
      </c>
      <c r="F1214" s="20" t="s">
        <v>8</v>
      </c>
      <c r="G1214" s="861">
        <v>53.584009905725502</v>
      </c>
      <c r="H1214" s="861">
        <v>58.326009040803399</v>
      </c>
      <c r="I1214" s="861">
        <v>21.092044568725601</v>
      </c>
      <c r="J1214" s="861">
        <v>57.715798939790602</v>
      </c>
      <c r="K1214" s="982">
        <v>0</v>
      </c>
      <c r="L1214" s="735" t="s">
        <v>2466</v>
      </c>
      <c r="M1214" s="735">
        <v>3653</v>
      </c>
      <c r="N1214" s="845" t="str">
        <f t="shared" si="103"/>
        <v/>
      </c>
      <c r="O1214" s="735">
        <v>30.397325646410014</v>
      </c>
      <c r="P1214" s="735">
        <f t="shared" si="104"/>
        <v>120.17504574226999</v>
      </c>
      <c r="Q1214" s="849">
        <v>47.9</v>
      </c>
      <c r="R1214" s="71">
        <v>70230</v>
      </c>
      <c r="S1214" s="845">
        <v>6.1466372657111357E-2</v>
      </c>
      <c r="T1214" s="845">
        <v>5.0000000000000001E-3</v>
      </c>
      <c r="U1214" s="845">
        <v>0</v>
      </c>
      <c r="V1214" s="845">
        <v>0.16500000000000001</v>
      </c>
      <c r="W1214" s="845">
        <v>0.15193189259986903</v>
      </c>
      <c r="X1214" s="845">
        <v>0.61637931034482762</v>
      </c>
      <c r="Y1214" s="845">
        <v>0.93922803175472214</v>
      </c>
      <c r="Z1214" s="845">
        <v>0</v>
      </c>
      <c r="AA1214" s="845">
        <v>1.0949904188338351E-3</v>
      </c>
      <c r="AB1214" s="845">
        <v>7.3911853271283875E-3</v>
      </c>
      <c r="AC1214" s="845">
        <v>0</v>
      </c>
      <c r="AD1214" s="845">
        <v>0</v>
      </c>
      <c r="AE1214" s="845">
        <v>5.2285792499315628E-2</v>
      </c>
      <c r="AF1214" s="845">
        <v>0</v>
      </c>
      <c r="AG1214" s="845">
        <v>0.93922803175472214</v>
      </c>
      <c r="AH1214" s="20" t="str">
        <f t="shared" si="105"/>
        <v>Yes</v>
      </c>
      <c r="AI1214" s="25"/>
      <c r="AJ1214" s="20">
        <v>43360</v>
      </c>
      <c r="AK1214" s="20" t="s">
        <v>905</v>
      </c>
      <c r="AL1214" s="20">
        <v>39091</v>
      </c>
      <c r="AM1214" s="20" t="s">
        <v>51</v>
      </c>
      <c r="AN1214" s="37" t="str">
        <f t="shared" si="106"/>
        <v>N/A</v>
      </c>
      <c r="AO1214" s="37" t="str">
        <f t="shared" si="107"/>
        <v>N/A</v>
      </c>
      <c r="AP1214" s="20" t="s">
        <v>8</v>
      </c>
      <c r="AQ1214" s="25"/>
      <c r="AR1214" s="25"/>
      <c r="AS1214" s="25"/>
      <c r="AT1214" s="25"/>
      <c r="AU1214" s="36"/>
      <c r="AV1214" s="36"/>
      <c r="AW1214" s="36"/>
      <c r="AX1214" s="25"/>
      <c r="AY1214" s="25"/>
      <c r="AZ1214" s="25"/>
      <c r="BA1214" s="25"/>
      <c r="BB1214" s="25"/>
      <c r="BC1214" s="25"/>
      <c r="BD1214" s="25"/>
      <c r="BE1214" s="25"/>
      <c r="BF1214" s="25"/>
      <c r="BG1214" s="25"/>
      <c r="BH1214" s="25"/>
      <c r="BI1214" s="25"/>
      <c r="BJ1214" s="25"/>
      <c r="BK1214" s="25"/>
      <c r="BL1214" s="25"/>
      <c r="BM1214" s="25"/>
      <c r="BN1214" s="25"/>
      <c r="BO1214" s="25"/>
      <c r="BP1214" s="25"/>
      <c r="BQ1214" s="25"/>
      <c r="BR1214" s="25"/>
      <c r="BS1214" s="25"/>
      <c r="BT1214" s="25"/>
      <c r="BU1214" s="39">
        <v>44443</v>
      </c>
      <c r="BV1214" s="39" t="s">
        <v>1345</v>
      </c>
      <c r="BW1214" s="39" t="s">
        <v>2924</v>
      </c>
      <c r="BX1214" s="39" t="s">
        <v>2856</v>
      </c>
      <c r="BY1214" s="71">
        <v>740</v>
      </c>
      <c r="BZ1214" s="71">
        <v>780</v>
      </c>
      <c r="CA1214" s="71">
        <v>980</v>
      </c>
      <c r="CB1214" s="71">
        <v>1280</v>
      </c>
      <c r="CC1214" s="71">
        <v>1350</v>
      </c>
      <c r="CD1214" s="25"/>
      <c r="CE1214" s="200"/>
      <c r="CF1214" s="200"/>
      <c r="CG1214" s="200"/>
      <c r="CH1214" s="200"/>
      <c r="CI1214" s="200"/>
      <c r="CJ1214" s="200"/>
      <c r="CK1214" s="200"/>
      <c r="CL1214" s="200"/>
      <c r="CM1214" s="200"/>
      <c r="CN1214" s="200"/>
      <c r="CO1214" s="200"/>
      <c r="CP1214" s="200"/>
      <c r="CQ1214" s="200"/>
      <c r="CR1214" s="200"/>
      <c r="CS1214" s="200"/>
      <c r="CT1214" s="200"/>
      <c r="CU1214" s="200"/>
    </row>
    <row r="1215" spans="1:99" s="17" customFormat="1" x14ac:dyDescent="0.2">
      <c r="A1215" s="25"/>
      <c r="B1215" s="20">
        <v>39049006923</v>
      </c>
      <c r="C1215" s="20">
        <v>69.23</v>
      </c>
      <c r="D1215" s="20" t="s">
        <v>31</v>
      </c>
      <c r="E1215" s="20" t="s">
        <v>2830</v>
      </c>
      <c r="F1215" s="20" t="s">
        <v>8</v>
      </c>
      <c r="G1215" s="861">
        <v>53.577917628908601</v>
      </c>
      <c r="H1215" s="861">
        <v>62.818616996581198</v>
      </c>
      <c r="I1215" s="861">
        <v>29.753047382069798</v>
      </c>
      <c r="J1215" s="861">
        <v>46.022845317099403</v>
      </c>
      <c r="K1215" s="982">
        <v>0</v>
      </c>
      <c r="L1215" s="735">
        <v>3164</v>
      </c>
      <c r="M1215" s="735">
        <v>4543</v>
      </c>
      <c r="N1215" s="845">
        <f t="shared" si="103"/>
        <v>0.43584070796460178</v>
      </c>
      <c r="O1215" s="735">
        <v>0.70491752180283174</v>
      </c>
      <c r="P1215" s="735">
        <f t="shared" si="104"/>
        <v>6444.7256019133192</v>
      </c>
      <c r="Q1215" s="849">
        <v>34.1</v>
      </c>
      <c r="R1215" s="71">
        <v>103456</v>
      </c>
      <c r="S1215" s="845">
        <v>6.6225165562913912E-2</v>
      </c>
      <c r="T1215" s="845">
        <v>6.7000000000000004E-2</v>
      </c>
      <c r="U1215" s="845">
        <v>0</v>
      </c>
      <c r="V1215" s="845">
        <v>0</v>
      </c>
      <c r="W1215" s="845">
        <v>0.23326835607537361</v>
      </c>
      <c r="X1215" s="845">
        <v>0.22005571030640669</v>
      </c>
      <c r="Y1215" s="845">
        <v>0.49460708782742679</v>
      </c>
      <c r="Z1215" s="845">
        <v>0.26304204270305964</v>
      </c>
      <c r="AA1215" s="845">
        <v>2.8615452344265902E-3</v>
      </c>
      <c r="AB1215" s="845">
        <v>9.1789566365837558E-2</v>
      </c>
      <c r="AC1215" s="845">
        <v>0</v>
      </c>
      <c r="AD1215" s="845">
        <v>4.4023772837332156E-3</v>
      </c>
      <c r="AE1215" s="845">
        <v>0.14329738058551617</v>
      </c>
      <c r="AF1215" s="845">
        <v>0.18071758749724851</v>
      </c>
      <c r="AG1215" s="845">
        <v>0.37882456526524322</v>
      </c>
      <c r="AH1215" s="20" t="str">
        <f t="shared" si="105"/>
        <v>No</v>
      </c>
      <c r="AI1215" s="25"/>
      <c r="AJ1215" s="20">
        <v>45334</v>
      </c>
      <c r="AK1215" s="20" t="s">
        <v>1686</v>
      </c>
      <c r="AL1215" s="20">
        <v>39091</v>
      </c>
      <c r="AM1215" s="20" t="s">
        <v>51</v>
      </c>
      <c r="AN1215" s="37" t="str">
        <f t="shared" si="106"/>
        <v>N/A</v>
      </c>
      <c r="AO1215" s="37" t="str">
        <f t="shared" si="107"/>
        <v>N/A</v>
      </c>
      <c r="AP1215" s="20" t="s">
        <v>8</v>
      </c>
      <c r="AQ1215" s="25"/>
      <c r="AR1215" s="25"/>
      <c r="AS1215" s="25"/>
      <c r="AT1215" s="25"/>
      <c r="AU1215" s="36"/>
      <c r="AV1215" s="36"/>
      <c r="AW1215" s="36"/>
      <c r="AX1215" s="25"/>
      <c r="AY1215" s="25"/>
      <c r="AZ1215" s="25"/>
      <c r="BA1215" s="25"/>
      <c r="BB1215" s="25"/>
      <c r="BC1215" s="25"/>
      <c r="BD1215" s="25"/>
      <c r="BE1215" s="25"/>
      <c r="BF1215" s="25"/>
      <c r="BG1215" s="25"/>
      <c r="BH1215" s="25"/>
      <c r="BI1215" s="25"/>
      <c r="BJ1215" s="25"/>
      <c r="BK1215" s="25"/>
      <c r="BL1215" s="25"/>
      <c r="BM1215" s="25"/>
      <c r="BN1215" s="25"/>
      <c r="BO1215" s="25"/>
      <c r="BP1215" s="25"/>
      <c r="BQ1215" s="25"/>
      <c r="BR1215" s="25"/>
      <c r="BS1215" s="25"/>
      <c r="BT1215" s="25"/>
      <c r="BU1215" s="39">
        <v>44446</v>
      </c>
      <c r="BV1215" s="39" t="s">
        <v>1348</v>
      </c>
      <c r="BW1215" s="39" t="s">
        <v>2924</v>
      </c>
      <c r="BX1215" s="39" t="s">
        <v>2856</v>
      </c>
      <c r="BY1215" s="71">
        <v>730</v>
      </c>
      <c r="BZ1215" s="71">
        <v>770</v>
      </c>
      <c r="CA1215" s="71">
        <v>970</v>
      </c>
      <c r="CB1215" s="71">
        <v>1270</v>
      </c>
      <c r="CC1215" s="71">
        <v>1340</v>
      </c>
      <c r="CD1215" s="25"/>
      <c r="CE1215" s="200"/>
      <c r="CF1215" s="200"/>
      <c r="CG1215" s="200"/>
      <c r="CH1215" s="200"/>
      <c r="CI1215" s="200"/>
      <c r="CJ1215" s="200"/>
      <c r="CK1215" s="200"/>
      <c r="CL1215" s="200"/>
      <c r="CM1215" s="200"/>
      <c r="CN1215" s="200"/>
      <c r="CO1215" s="200"/>
      <c r="CP1215" s="200"/>
      <c r="CQ1215" s="200"/>
      <c r="CR1215" s="200"/>
      <c r="CS1215" s="200"/>
      <c r="CT1215" s="200"/>
      <c r="CU1215" s="200"/>
    </row>
    <row r="1216" spans="1:99" s="17" customFormat="1" x14ac:dyDescent="0.2">
      <c r="A1216" s="25"/>
      <c r="B1216" s="20">
        <v>39153532003</v>
      </c>
      <c r="C1216" s="20">
        <v>5320.03</v>
      </c>
      <c r="D1216" s="20" t="s">
        <v>82</v>
      </c>
      <c r="E1216" s="20" t="s">
        <v>2843</v>
      </c>
      <c r="F1216" s="20" t="s">
        <v>8</v>
      </c>
      <c r="G1216" s="861">
        <v>53.572764006363499</v>
      </c>
      <c r="H1216" s="861">
        <v>57.627838747953597</v>
      </c>
      <c r="I1216" s="861">
        <v>19.370040894474901</v>
      </c>
      <c r="J1216" s="861">
        <v>57.299284688266297</v>
      </c>
      <c r="K1216" s="982">
        <v>0</v>
      </c>
      <c r="L1216" s="735">
        <v>4397</v>
      </c>
      <c r="M1216" s="735">
        <v>3767</v>
      </c>
      <c r="N1216" s="845">
        <f t="shared" si="103"/>
        <v>-0.14327950875596998</v>
      </c>
      <c r="O1216" s="735">
        <v>6.5431960612359727</v>
      </c>
      <c r="P1216" s="735">
        <f t="shared" si="104"/>
        <v>575.71253631187005</v>
      </c>
      <c r="Q1216" s="849">
        <v>49</v>
      </c>
      <c r="R1216" s="71">
        <v>88301</v>
      </c>
      <c r="S1216" s="845">
        <v>4.3781896320171904E-2</v>
      </c>
      <c r="T1216" s="845">
        <v>1.4999999999999999E-2</v>
      </c>
      <c r="U1216" s="845">
        <v>1.6E-2</v>
      </c>
      <c r="V1216" s="845">
        <v>0</v>
      </c>
      <c r="W1216" s="845">
        <v>0.13413897280966766</v>
      </c>
      <c r="X1216" s="845">
        <v>0.1036036036036036</v>
      </c>
      <c r="Y1216" s="845">
        <v>0.8975311919299177</v>
      </c>
      <c r="Z1216" s="845">
        <v>7.6984337669232811E-3</v>
      </c>
      <c r="AA1216" s="845">
        <v>2.6546323334218213E-4</v>
      </c>
      <c r="AB1216" s="845">
        <v>5.7605521635253516E-2</v>
      </c>
      <c r="AC1216" s="845">
        <v>0</v>
      </c>
      <c r="AD1216" s="845">
        <v>0</v>
      </c>
      <c r="AE1216" s="845">
        <v>3.6899389434563314E-2</v>
      </c>
      <c r="AF1216" s="845">
        <v>0</v>
      </c>
      <c r="AG1216" s="845">
        <v>0.8975311919299177</v>
      </c>
      <c r="AH1216" s="20" t="str">
        <f t="shared" si="105"/>
        <v>No</v>
      </c>
      <c r="AI1216" s="25"/>
      <c r="AJ1216" s="37">
        <v>45895</v>
      </c>
      <c r="AK1216" s="37" t="s">
        <v>1956</v>
      </c>
      <c r="AL1216" s="37">
        <v>39091</v>
      </c>
      <c r="AM1216" s="37" t="s">
        <v>51</v>
      </c>
      <c r="AN1216" s="37" t="str">
        <f t="shared" si="106"/>
        <v>N/A</v>
      </c>
      <c r="AO1216" s="37" t="str">
        <f t="shared" si="107"/>
        <v>N/A</v>
      </c>
      <c r="AP1216" s="20" t="s">
        <v>8</v>
      </c>
      <c r="AQ1216" s="25"/>
      <c r="AR1216" s="25"/>
      <c r="AS1216" s="25"/>
      <c r="AT1216" s="25"/>
      <c r="AU1216" s="36"/>
      <c r="AV1216" s="36"/>
      <c r="AW1216" s="36"/>
      <c r="AX1216" s="25"/>
      <c r="AY1216" s="25"/>
      <c r="AZ1216" s="25"/>
      <c r="BA1216" s="25"/>
      <c r="BB1216" s="25"/>
      <c r="BC1216" s="25"/>
      <c r="BD1216" s="25"/>
      <c r="BE1216" s="25"/>
      <c r="BF1216" s="25"/>
      <c r="BG1216" s="25"/>
      <c r="BH1216" s="25"/>
      <c r="BI1216" s="25"/>
      <c r="BJ1216" s="25"/>
      <c r="BK1216" s="25"/>
      <c r="BL1216" s="25"/>
      <c r="BM1216" s="25"/>
      <c r="BN1216" s="25"/>
      <c r="BO1216" s="25"/>
      <c r="BP1216" s="25"/>
      <c r="BQ1216" s="25"/>
      <c r="BR1216" s="25"/>
      <c r="BS1216" s="25"/>
      <c r="BT1216" s="25"/>
      <c r="BU1216" s="39">
        <v>44450</v>
      </c>
      <c r="BV1216" s="39" t="s">
        <v>1350</v>
      </c>
      <c r="BW1216" s="39" t="s">
        <v>2924</v>
      </c>
      <c r="BX1216" s="39" t="s">
        <v>2856</v>
      </c>
      <c r="BY1216" s="71">
        <v>740</v>
      </c>
      <c r="BZ1216" s="71">
        <v>780</v>
      </c>
      <c r="CA1216" s="71">
        <v>980</v>
      </c>
      <c r="CB1216" s="71">
        <v>1280</v>
      </c>
      <c r="CC1216" s="71">
        <v>1350</v>
      </c>
      <c r="CD1216" s="25"/>
      <c r="CE1216" s="200"/>
      <c r="CF1216" s="200"/>
      <c r="CG1216" s="200"/>
      <c r="CH1216" s="200"/>
      <c r="CI1216" s="200"/>
      <c r="CJ1216" s="200"/>
      <c r="CK1216" s="200"/>
      <c r="CL1216" s="200"/>
      <c r="CM1216" s="200"/>
      <c r="CN1216" s="200"/>
      <c r="CO1216" s="200"/>
      <c r="CP1216" s="200"/>
      <c r="CQ1216" s="200"/>
      <c r="CR1216" s="200"/>
      <c r="CS1216" s="200"/>
      <c r="CT1216" s="200"/>
      <c r="CU1216" s="200"/>
    </row>
    <row r="1217" spans="1:99" s="17" customFormat="1" x14ac:dyDescent="0.2">
      <c r="A1217" s="25"/>
      <c r="B1217" s="20">
        <v>39085206300</v>
      </c>
      <c r="C1217" s="20">
        <v>2063</v>
      </c>
      <c r="D1217" s="20" t="s">
        <v>48</v>
      </c>
      <c r="E1217" s="20" t="s">
        <v>2829</v>
      </c>
      <c r="F1217" s="20" t="s">
        <v>8</v>
      </c>
      <c r="G1217" s="861">
        <v>53.552443912287899</v>
      </c>
      <c r="H1217" s="861">
        <v>43.980812038063299</v>
      </c>
      <c r="I1217" s="861">
        <v>16.777728397996601</v>
      </c>
      <c r="J1217" s="861">
        <v>49.9913278047676</v>
      </c>
      <c r="K1217" s="982">
        <v>0</v>
      </c>
      <c r="L1217" s="735">
        <v>4844</v>
      </c>
      <c r="M1217" s="735">
        <v>4855</v>
      </c>
      <c r="N1217" s="845">
        <f t="shared" si="103"/>
        <v>2.2708505367464906E-3</v>
      </c>
      <c r="O1217" s="735">
        <v>12.709094251401796</v>
      </c>
      <c r="P1217" s="735">
        <f t="shared" si="104"/>
        <v>382.00991384295543</v>
      </c>
      <c r="Q1217" s="849">
        <v>45.9</v>
      </c>
      <c r="R1217" s="71">
        <v>97500</v>
      </c>
      <c r="S1217" s="845">
        <v>5.7568854835369644E-2</v>
      </c>
      <c r="T1217" s="845">
        <v>4.9000000000000002E-2</v>
      </c>
      <c r="U1217" s="845">
        <v>0</v>
      </c>
      <c r="V1217" s="845">
        <v>0</v>
      </c>
      <c r="W1217" s="845">
        <v>0.10418848167539267</v>
      </c>
      <c r="X1217" s="845">
        <v>0.54773869346733672</v>
      </c>
      <c r="Y1217" s="845">
        <v>0.91019567456230688</v>
      </c>
      <c r="Z1217" s="845">
        <v>0</v>
      </c>
      <c r="AA1217" s="845">
        <v>0</v>
      </c>
      <c r="AB1217" s="845">
        <v>9.2687950566426366E-3</v>
      </c>
      <c r="AC1217" s="845">
        <v>0</v>
      </c>
      <c r="AD1217" s="845">
        <v>2.1627188465499485E-2</v>
      </c>
      <c r="AE1217" s="845">
        <v>5.8908341915550978E-2</v>
      </c>
      <c r="AF1217" s="845">
        <v>4.325437693099897E-2</v>
      </c>
      <c r="AG1217" s="845">
        <v>0.90113285272914523</v>
      </c>
      <c r="AH1217" s="20" t="str">
        <f t="shared" si="105"/>
        <v>Yes</v>
      </c>
      <c r="AI1217" s="25"/>
      <c r="AJ1217" s="20">
        <v>43302</v>
      </c>
      <c r="AK1217" s="20" t="s">
        <v>866</v>
      </c>
      <c r="AL1217" s="20">
        <v>39101</v>
      </c>
      <c r="AM1217" s="20" t="s">
        <v>56</v>
      </c>
      <c r="AN1217" s="37" t="str">
        <f t="shared" si="106"/>
        <v>N/A</v>
      </c>
      <c r="AO1217" s="37" t="str">
        <f t="shared" si="107"/>
        <v>N/A</v>
      </c>
      <c r="AP1217" s="20" t="s">
        <v>8</v>
      </c>
      <c r="AQ1217" s="25"/>
      <c r="AR1217" s="25"/>
      <c r="AS1217" s="25"/>
      <c r="AT1217" s="25"/>
      <c r="AU1217" s="36"/>
      <c r="AV1217" s="36"/>
      <c r="AW1217" s="36"/>
      <c r="AX1217" s="25"/>
      <c r="AY1217" s="25"/>
      <c r="AZ1217" s="25"/>
      <c r="BA1217" s="25"/>
      <c r="BB1217" s="25"/>
      <c r="BC1217" s="25"/>
      <c r="BD1217" s="25"/>
      <c r="BE1217" s="25"/>
      <c r="BF1217" s="25"/>
      <c r="BG1217" s="25"/>
      <c r="BH1217" s="25"/>
      <c r="BI1217" s="25"/>
      <c r="BJ1217" s="25"/>
      <c r="BK1217" s="25"/>
      <c r="BL1217" s="25"/>
      <c r="BM1217" s="25"/>
      <c r="BN1217" s="25"/>
      <c r="BO1217" s="25"/>
      <c r="BP1217" s="25"/>
      <c r="BQ1217" s="25"/>
      <c r="BR1217" s="25"/>
      <c r="BS1217" s="25"/>
      <c r="BT1217" s="25"/>
      <c r="BU1217" s="39">
        <v>44451</v>
      </c>
      <c r="BV1217" s="39" t="s">
        <v>1351</v>
      </c>
      <c r="BW1217" s="39" t="s">
        <v>2924</v>
      </c>
      <c r="BX1217" s="39" t="s">
        <v>2856</v>
      </c>
      <c r="BY1217" s="71">
        <v>730</v>
      </c>
      <c r="BZ1217" s="71">
        <v>770</v>
      </c>
      <c r="CA1217" s="71">
        <v>970</v>
      </c>
      <c r="CB1217" s="71">
        <v>1270</v>
      </c>
      <c r="CC1217" s="71">
        <v>1340</v>
      </c>
      <c r="CD1217" s="25"/>
      <c r="CE1217" s="200"/>
      <c r="CF1217" s="200"/>
      <c r="CG1217" s="200"/>
      <c r="CH1217" s="200"/>
      <c r="CI1217" s="200"/>
      <c r="CJ1217" s="200"/>
      <c r="CK1217" s="200"/>
      <c r="CL1217" s="200"/>
      <c r="CM1217" s="200"/>
      <c r="CN1217" s="200"/>
      <c r="CO1217" s="200"/>
      <c r="CP1217" s="200"/>
      <c r="CQ1217" s="200"/>
      <c r="CR1217" s="200"/>
      <c r="CS1217" s="200"/>
      <c r="CT1217" s="200"/>
      <c r="CU1217" s="200"/>
    </row>
    <row r="1218" spans="1:99" s="17" customFormat="1" x14ac:dyDescent="0.2">
      <c r="A1218" s="25"/>
      <c r="B1218" s="20">
        <v>39153530108</v>
      </c>
      <c r="C1218" s="20">
        <v>5301.08</v>
      </c>
      <c r="D1218" s="20" t="s">
        <v>82</v>
      </c>
      <c r="E1218" s="20" t="s">
        <v>2843</v>
      </c>
      <c r="F1218" s="20" t="s">
        <v>8</v>
      </c>
      <c r="G1218" s="861">
        <v>53.541907329038899</v>
      </c>
      <c r="H1218" s="861">
        <v>50.317901577505097</v>
      </c>
      <c r="I1218" s="861">
        <v>28.3185003559806</v>
      </c>
      <c r="J1218" s="861">
        <v>41.461798421843497</v>
      </c>
      <c r="K1218" s="982">
        <v>0</v>
      </c>
      <c r="L1218" s="735">
        <v>4569</v>
      </c>
      <c r="M1218" s="735">
        <v>4553</v>
      </c>
      <c r="N1218" s="845">
        <f t="shared" si="103"/>
        <v>-3.5018603633180127E-3</v>
      </c>
      <c r="O1218" s="735">
        <v>1.5147112007398367</v>
      </c>
      <c r="P1218" s="735">
        <f t="shared" si="104"/>
        <v>3005.8535236130551</v>
      </c>
      <c r="Q1218" s="849">
        <v>43.4</v>
      </c>
      <c r="R1218" s="71">
        <v>93542</v>
      </c>
      <c r="S1218" s="845">
        <v>6.613581066135811E-2</v>
      </c>
      <c r="T1218" s="845">
        <v>5.7999999999999996E-2</v>
      </c>
      <c r="U1218" s="845">
        <v>0</v>
      </c>
      <c r="V1218" s="845">
        <v>0</v>
      </c>
      <c r="W1218" s="845">
        <v>0.33074935400516797</v>
      </c>
      <c r="X1218" s="845">
        <v>0.45156249999999998</v>
      </c>
      <c r="Y1218" s="845">
        <v>0.62837689435537003</v>
      </c>
      <c r="Z1218" s="845">
        <v>0.15264660663298923</v>
      </c>
      <c r="AA1218" s="845">
        <v>0</v>
      </c>
      <c r="AB1218" s="845">
        <v>0.13068306611025698</v>
      </c>
      <c r="AC1218" s="845">
        <v>0</v>
      </c>
      <c r="AD1218" s="845">
        <v>1.6911926202503844E-2</v>
      </c>
      <c r="AE1218" s="845">
        <v>7.1381506698879854E-2</v>
      </c>
      <c r="AF1218" s="845">
        <v>1.7790467823413134E-2</v>
      </c>
      <c r="AG1218" s="845">
        <v>0.61058642653195694</v>
      </c>
      <c r="AH1218" s="20" t="str">
        <f t="shared" si="105"/>
        <v>No</v>
      </c>
      <c r="AI1218" s="25"/>
      <c r="AJ1218" s="20">
        <v>43314</v>
      </c>
      <c r="AK1218" s="20" t="s">
        <v>869</v>
      </c>
      <c r="AL1218" s="20">
        <v>39101</v>
      </c>
      <c r="AM1218" s="20" t="s">
        <v>56</v>
      </c>
      <c r="AN1218" s="37" t="str">
        <f t="shared" si="106"/>
        <v>N/A</v>
      </c>
      <c r="AO1218" s="37" t="str">
        <f t="shared" si="107"/>
        <v>N/A</v>
      </c>
      <c r="AP1218" s="20" t="s">
        <v>8</v>
      </c>
      <c r="AQ1218" s="25"/>
      <c r="AR1218" s="25"/>
      <c r="AS1218" s="25"/>
      <c r="AT1218" s="25"/>
      <c r="AU1218" s="36"/>
      <c r="AV1218" s="36"/>
      <c r="AW1218" s="36"/>
      <c r="AX1218" s="25"/>
      <c r="AY1218" s="25"/>
      <c r="AZ1218" s="25"/>
      <c r="BA1218" s="25"/>
      <c r="BB1218" s="25"/>
      <c r="BC1218" s="25"/>
      <c r="BD1218" s="25"/>
      <c r="BE1218" s="25"/>
      <c r="BF1218" s="25"/>
      <c r="BG1218" s="25"/>
      <c r="BH1218" s="25"/>
      <c r="BI1218" s="25"/>
      <c r="BJ1218" s="25"/>
      <c r="BK1218" s="25"/>
      <c r="BL1218" s="25"/>
      <c r="BM1218" s="25"/>
      <c r="BN1218" s="25"/>
      <c r="BO1218" s="25"/>
      <c r="BP1218" s="25"/>
      <c r="BQ1218" s="25"/>
      <c r="BR1218" s="25"/>
      <c r="BS1218" s="25"/>
      <c r="BT1218" s="25"/>
      <c r="BU1218" s="39">
        <v>44452</v>
      </c>
      <c r="BV1218" s="39" t="s">
        <v>1352</v>
      </c>
      <c r="BW1218" s="39" t="s">
        <v>2924</v>
      </c>
      <c r="BX1218" s="39" t="s">
        <v>2856</v>
      </c>
      <c r="BY1218" s="71">
        <v>770</v>
      </c>
      <c r="BZ1218" s="71">
        <v>820</v>
      </c>
      <c r="CA1218" s="71">
        <v>1030</v>
      </c>
      <c r="CB1218" s="71">
        <v>1330</v>
      </c>
      <c r="CC1218" s="71">
        <v>1410</v>
      </c>
      <c r="CD1218" s="25"/>
      <c r="CE1218" s="200"/>
      <c r="CF1218" s="200"/>
      <c r="CG1218" s="200"/>
      <c r="CH1218" s="200"/>
      <c r="CI1218" s="200"/>
      <c r="CJ1218" s="200"/>
      <c r="CK1218" s="200"/>
      <c r="CL1218" s="200"/>
      <c r="CM1218" s="200"/>
      <c r="CN1218" s="200"/>
      <c r="CO1218" s="200"/>
      <c r="CP1218" s="200"/>
      <c r="CQ1218" s="200"/>
      <c r="CR1218" s="200"/>
      <c r="CS1218" s="200"/>
      <c r="CT1218" s="200"/>
      <c r="CU1218" s="200"/>
    </row>
    <row r="1219" spans="1:99" s="17" customFormat="1" x14ac:dyDescent="0.2">
      <c r="A1219" s="25"/>
      <c r="B1219" s="20">
        <v>39167021400</v>
      </c>
      <c r="C1219" s="20">
        <v>214</v>
      </c>
      <c r="D1219" s="20" t="s">
        <v>89</v>
      </c>
      <c r="E1219" s="20" t="s">
        <v>265</v>
      </c>
      <c r="F1219" s="20" t="s">
        <v>8</v>
      </c>
      <c r="G1219" s="861">
        <v>53.505514294338397</v>
      </c>
      <c r="H1219" s="861">
        <v>59.724787253594599</v>
      </c>
      <c r="I1219" s="861">
        <v>14.4883084042724</v>
      </c>
      <c r="J1219" s="861">
        <v>47.184389556440102</v>
      </c>
      <c r="K1219" s="982">
        <v>0</v>
      </c>
      <c r="L1219" s="735">
        <v>3887</v>
      </c>
      <c r="M1219" s="735">
        <v>3783</v>
      </c>
      <c r="N1219" s="845">
        <f t="shared" si="103"/>
        <v>-2.6755852842809364E-2</v>
      </c>
      <c r="O1219" s="735">
        <v>30.935382170538229</v>
      </c>
      <c r="P1219" s="735">
        <f t="shared" si="104"/>
        <v>122.28715905772117</v>
      </c>
      <c r="Q1219" s="849">
        <v>47.6</v>
      </c>
      <c r="R1219" s="71">
        <v>89359</v>
      </c>
      <c r="S1219" s="845">
        <v>2.8790786948176585E-2</v>
      </c>
      <c r="T1219" s="845">
        <v>4.0999999999999995E-2</v>
      </c>
      <c r="U1219" s="845">
        <v>5.2000000000000005E-2</v>
      </c>
      <c r="V1219" s="845">
        <v>0</v>
      </c>
      <c r="W1219" s="845">
        <v>0.18637532133676094</v>
      </c>
      <c r="X1219" s="845">
        <v>0.15172413793103448</v>
      </c>
      <c r="Y1219" s="845">
        <v>0.9027227068464182</v>
      </c>
      <c r="Z1219" s="845">
        <v>1.5860428231562252E-3</v>
      </c>
      <c r="AA1219" s="845">
        <v>0</v>
      </c>
      <c r="AB1219" s="845">
        <v>2.0089875759978854E-2</v>
      </c>
      <c r="AC1219" s="845">
        <v>0</v>
      </c>
      <c r="AD1219" s="845">
        <v>3.6743325403119219E-2</v>
      </c>
      <c r="AE1219" s="845">
        <v>3.8858049167327519E-2</v>
      </c>
      <c r="AF1219" s="845">
        <v>1.3217023526301877E-2</v>
      </c>
      <c r="AG1219" s="845">
        <v>0.9027227068464182</v>
      </c>
      <c r="AH1219" s="20" t="str">
        <f t="shared" si="105"/>
        <v>Yes</v>
      </c>
      <c r="AI1219" s="25"/>
      <c r="AJ1219" s="20">
        <v>43315</v>
      </c>
      <c r="AK1219" s="20" t="s">
        <v>870</v>
      </c>
      <c r="AL1219" s="20">
        <v>39101</v>
      </c>
      <c r="AM1219" s="20" t="s">
        <v>56</v>
      </c>
      <c r="AN1219" s="37" t="str">
        <f t="shared" si="106"/>
        <v>N/A</v>
      </c>
      <c r="AO1219" s="37" t="str">
        <f t="shared" si="107"/>
        <v>N/A</v>
      </c>
      <c r="AP1219" s="20" t="s">
        <v>8</v>
      </c>
      <c r="AQ1219" s="25"/>
      <c r="AR1219" s="25"/>
      <c r="AS1219" s="25"/>
      <c r="AT1219" s="25"/>
      <c r="AU1219" s="36"/>
      <c r="AV1219" s="36"/>
      <c r="AW1219" s="36"/>
      <c r="AX1219" s="25"/>
      <c r="AY1219" s="25"/>
      <c r="AZ1219" s="25"/>
      <c r="BA1219" s="25"/>
      <c r="BB1219" s="25"/>
      <c r="BC1219" s="25"/>
      <c r="BD1219" s="25"/>
      <c r="BE1219" s="25"/>
      <c r="BF1219" s="25"/>
      <c r="BG1219" s="25"/>
      <c r="BH1219" s="25"/>
      <c r="BI1219" s="25"/>
      <c r="BJ1219" s="25"/>
      <c r="BK1219" s="25"/>
      <c r="BL1219" s="25"/>
      <c r="BM1219" s="25"/>
      <c r="BN1219" s="25"/>
      <c r="BO1219" s="25"/>
      <c r="BP1219" s="25"/>
      <c r="BQ1219" s="25"/>
      <c r="BR1219" s="25"/>
      <c r="BS1219" s="25"/>
      <c r="BT1219" s="25"/>
      <c r="BU1219" s="39">
        <v>44454</v>
      </c>
      <c r="BV1219" s="39" t="s">
        <v>1353</v>
      </c>
      <c r="BW1219" s="39" t="s">
        <v>2924</v>
      </c>
      <c r="BX1219" s="39" t="s">
        <v>2856</v>
      </c>
      <c r="BY1219" s="71">
        <v>720</v>
      </c>
      <c r="BZ1219" s="71">
        <v>780</v>
      </c>
      <c r="CA1219" s="71">
        <v>990</v>
      </c>
      <c r="CB1219" s="71">
        <v>1290</v>
      </c>
      <c r="CC1219" s="71">
        <v>1380</v>
      </c>
      <c r="CD1219" s="25"/>
      <c r="CE1219" s="200"/>
      <c r="CF1219" s="200"/>
      <c r="CG1219" s="200"/>
      <c r="CH1219" s="200"/>
      <c r="CI1219" s="200"/>
      <c r="CJ1219" s="200"/>
      <c r="CK1219" s="200"/>
      <c r="CL1219" s="200"/>
      <c r="CM1219" s="200"/>
      <c r="CN1219" s="200"/>
      <c r="CO1219" s="200"/>
      <c r="CP1219" s="200"/>
      <c r="CQ1219" s="200"/>
      <c r="CR1219" s="200"/>
      <c r="CS1219" s="200"/>
      <c r="CT1219" s="200"/>
      <c r="CU1219" s="200"/>
    </row>
    <row r="1220" spans="1:99" s="17" customFormat="1" x14ac:dyDescent="0.2">
      <c r="A1220" s="25"/>
      <c r="B1220" s="20">
        <v>39017011005</v>
      </c>
      <c r="C1220" s="20">
        <v>110.05</v>
      </c>
      <c r="D1220" s="20" t="s">
        <v>15</v>
      </c>
      <c r="E1220" s="20" t="s">
        <v>2828</v>
      </c>
      <c r="F1220" s="20" t="s">
        <v>8</v>
      </c>
      <c r="G1220" s="861">
        <v>53.501906587682299</v>
      </c>
      <c r="H1220" s="861">
        <v>61.008294445671901</v>
      </c>
      <c r="I1220" s="861">
        <v>22.569762109666801</v>
      </c>
      <c r="J1220" s="861">
        <v>43.592851717012103</v>
      </c>
      <c r="K1220" s="982">
        <v>0</v>
      </c>
      <c r="L1220" s="735" t="s">
        <v>2466</v>
      </c>
      <c r="M1220" s="735">
        <v>6776</v>
      </c>
      <c r="N1220" s="845" t="str">
        <f t="shared" si="103"/>
        <v/>
      </c>
      <c r="O1220" s="735">
        <v>5.9957155556208326</v>
      </c>
      <c r="P1220" s="735">
        <f t="shared" si="104"/>
        <v>1130.1403372359234</v>
      </c>
      <c r="Q1220" s="849">
        <v>46.5</v>
      </c>
      <c r="R1220" s="71">
        <v>125380</v>
      </c>
      <c r="S1220" s="845">
        <v>2.6232948583420776E-2</v>
      </c>
      <c r="T1220" s="845">
        <v>2.2000000000000002E-2</v>
      </c>
      <c r="U1220" s="845">
        <v>0</v>
      </c>
      <c r="V1220" s="845">
        <v>0</v>
      </c>
      <c r="W1220" s="845">
        <v>2.9191616766467067E-2</v>
      </c>
      <c r="X1220" s="845">
        <v>0</v>
      </c>
      <c r="Y1220" s="845">
        <v>0.78409090909090906</v>
      </c>
      <c r="Z1220" s="845">
        <v>8.0873671782762696E-2</v>
      </c>
      <c r="AA1220" s="845">
        <v>0</v>
      </c>
      <c r="AB1220" s="845">
        <v>6.4492325855962221E-2</v>
      </c>
      <c r="AC1220" s="845">
        <v>0</v>
      </c>
      <c r="AD1220" s="845">
        <v>1.2396694214876033E-2</v>
      </c>
      <c r="AE1220" s="845">
        <v>5.8146399055489961E-2</v>
      </c>
      <c r="AF1220" s="845">
        <v>6.4787485242030693E-2</v>
      </c>
      <c r="AG1220" s="845">
        <v>0.77435064935064934</v>
      </c>
      <c r="AH1220" s="20" t="str">
        <f t="shared" si="105"/>
        <v>No</v>
      </c>
      <c r="AI1220" s="25"/>
      <c r="AJ1220" s="20">
        <v>43322</v>
      </c>
      <c r="AK1220" s="20" t="s">
        <v>877</v>
      </c>
      <c r="AL1220" s="20">
        <v>39101</v>
      </c>
      <c r="AM1220" s="20" t="s">
        <v>56</v>
      </c>
      <c r="AN1220" s="37" t="str">
        <f t="shared" si="106"/>
        <v>N/A</v>
      </c>
      <c r="AO1220" s="37" t="str">
        <f t="shared" si="107"/>
        <v>N/A</v>
      </c>
      <c r="AP1220" s="20" t="s">
        <v>8</v>
      </c>
      <c r="AQ1220" s="25"/>
      <c r="AR1220" s="25"/>
      <c r="AS1220" s="25"/>
      <c r="AT1220" s="25"/>
      <c r="AU1220" s="36"/>
      <c r="AV1220" s="36"/>
      <c r="AW1220" s="36"/>
      <c r="AX1220" s="25"/>
      <c r="AY1220" s="25"/>
      <c r="AZ1220" s="25"/>
      <c r="BA1220" s="25"/>
      <c r="BB1220" s="25"/>
      <c r="BC1220" s="25"/>
      <c r="BD1220" s="25"/>
      <c r="BE1220" s="25"/>
      <c r="BF1220" s="25"/>
      <c r="BG1220" s="25"/>
      <c r="BH1220" s="25"/>
      <c r="BI1220" s="25"/>
      <c r="BJ1220" s="25"/>
      <c r="BK1220" s="25"/>
      <c r="BL1220" s="25"/>
      <c r="BM1220" s="25"/>
      <c r="BN1220" s="25"/>
      <c r="BO1220" s="25"/>
      <c r="BP1220" s="25"/>
      <c r="BQ1220" s="25"/>
      <c r="BR1220" s="25"/>
      <c r="BS1220" s="25"/>
      <c r="BT1220" s="25"/>
      <c r="BU1220" s="39">
        <v>44460</v>
      </c>
      <c r="BV1220" s="39" t="s">
        <v>1355</v>
      </c>
      <c r="BW1220" s="39" t="s">
        <v>2924</v>
      </c>
      <c r="BX1220" s="39" t="s">
        <v>2856</v>
      </c>
      <c r="BY1220" s="71">
        <v>710</v>
      </c>
      <c r="BZ1220" s="71">
        <v>790</v>
      </c>
      <c r="CA1220" s="71">
        <v>980</v>
      </c>
      <c r="CB1220" s="71">
        <v>1240</v>
      </c>
      <c r="CC1220" s="71">
        <v>1310</v>
      </c>
      <c r="CD1220" s="25"/>
      <c r="CE1220" s="200"/>
      <c r="CF1220" s="200"/>
      <c r="CG1220" s="200"/>
      <c r="CH1220" s="200"/>
      <c r="CI1220" s="200"/>
      <c r="CJ1220" s="200"/>
      <c r="CK1220" s="200"/>
      <c r="CL1220" s="200"/>
      <c r="CM1220" s="200"/>
      <c r="CN1220" s="200"/>
      <c r="CO1220" s="200"/>
      <c r="CP1220" s="200"/>
      <c r="CQ1220" s="200"/>
      <c r="CR1220" s="200"/>
      <c r="CS1220" s="200"/>
      <c r="CT1220" s="200"/>
      <c r="CU1220" s="200"/>
    </row>
    <row r="1221" spans="1:99" s="17" customFormat="1" x14ac:dyDescent="0.2">
      <c r="A1221" s="25"/>
      <c r="B1221" s="20">
        <v>39103417200</v>
      </c>
      <c r="C1221" s="20">
        <v>4172</v>
      </c>
      <c r="D1221" s="20" t="s">
        <v>57</v>
      </c>
      <c r="E1221" s="20" t="s">
        <v>2829</v>
      </c>
      <c r="F1221" s="20" t="s">
        <v>8</v>
      </c>
      <c r="G1221" s="861">
        <v>53.477034452466</v>
      </c>
      <c r="H1221" s="861">
        <v>65.185702685671899</v>
      </c>
      <c r="I1221" s="861">
        <v>20.173999515146001</v>
      </c>
      <c r="J1221" s="861">
        <v>49.599537988234999</v>
      </c>
      <c r="K1221" s="982">
        <v>0</v>
      </c>
      <c r="L1221" s="735">
        <v>7344</v>
      </c>
      <c r="M1221" s="735">
        <v>6948</v>
      </c>
      <c r="N1221" s="845">
        <f t="shared" si="103"/>
        <v>-5.3921568627450983E-2</v>
      </c>
      <c r="O1221" s="735">
        <v>5.5596498471956313</v>
      </c>
      <c r="P1221" s="735">
        <f t="shared" si="104"/>
        <v>1249.7189914765356</v>
      </c>
      <c r="Q1221" s="849">
        <v>38.4</v>
      </c>
      <c r="R1221" s="71">
        <v>87642</v>
      </c>
      <c r="S1221" s="845">
        <v>5.2914667829626401E-2</v>
      </c>
      <c r="T1221" s="845">
        <v>3.4000000000000002E-2</v>
      </c>
      <c r="U1221" s="845">
        <v>0</v>
      </c>
      <c r="V1221" s="845">
        <v>0</v>
      </c>
      <c r="W1221" s="845">
        <v>0.18913926856298485</v>
      </c>
      <c r="X1221" s="845">
        <v>0.306640625</v>
      </c>
      <c r="Y1221" s="845">
        <v>0.96531375935521013</v>
      </c>
      <c r="Z1221" s="845">
        <v>0</v>
      </c>
      <c r="AA1221" s="845">
        <v>6.3327576280944155E-3</v>
      </c>
      <c r="AB1221" s="845">
        <v>7.9159470351180192E-3</v>
      </c>
      <c r="AC1221" s="845">
        <v>0</v>
      </c>
      <c r="AD1221" s="845">
        <v>0</v>
      </c>
      <c r="AE1221" s="845">
        <v>2.0437535981577434E-2</v>
      </c>
      <c r="AF1221" s="845">
        <v>1.3672999424294761E-2</v>
      </c>
      <c r="AG1221" s="845">
        <v>0.95797351755900984</v>
      </c>
      <c r="AH1221" s="20" t="str">
        <f t="shared" si="105"/>
        <v>Yes</v>
      </c>
      <c r="AI1221" s="25"/>
      <c r="AJ1221" s="20">
        <v>43323</v>
      </c>
      <c r="AK1221" s="20" t="s">
        <v>878</v>
      </c>
      <c r="AL1221" s="20">
        <v>39101</v>
      </c>
      <c r="AM1221" s="20" t="s">
        <v>56</v>
      </c>
      <c r="AN1221" s="37" t="str">
        <f t="shared" si="106"/>
        <v>N/A</v>
      </c>
      <c r="AO1221" s="37" t="str">
        <f t="shared" si="107"/>
        <v>N/A</v>
      </c>
      <c r="AP1221" s="20" t="s">
        <v>8</v>
      </c>
      <c r="AQ1221" s="25"/>
      <c r="AR1221" s="25"/>
      <c r="AS1221" s="25"/>
      <c r="AT1221" s="25"/>
      <c r="AU1221" s="36"/>
      <c r="AV1221" s="36"/>
      <c r="AW1221" s="36"/>
      <c r="AX1221" s="25"/>
      <c r="AY1221" s="25"/>
      <c r="AZ1221" s="25"/>
      <c r="BA1221" s="25"/>
      <c r="BB1221" s="25"/>
      <c r="BC1221" s="25"/>
      <c r="BD1221" s="25"/>
      <c r="BE1221" s="25"/>
      <c r="BF1221" s="25"/>
      <c r="BG1221" s="25"/>
      <c r="BH1221" s="25"/>
      <c r="BI1221" s="25"/>
      <c r="BJ1221" s="25"/>
      <c r="BK1221" s="25"/>
      <c r="BL1221" s="25"/>
      <c r="BM1221" s="25"/>
      <c r="BN1221" s="25"/>
      <c r="BO1221" s="25"/>
      <c r="BP1221" s="25"/>
      <c r="BQ1221" s="25"/>
      <c r="BR1221" s="25"/>
      <c r="BS1221" s="25"/>
      <c r="BT1221" s="25"/>
      <c r="BU1221" s="39">
        <v>44471</v>
      </c>
      <c r="BV1221" s="39" t="s">
        <v>1357</v>
      </c>
      <c r="BW1221" s="39" t="s">
        <v>2924</v>
      </c>
      <c r="BX1221" s="39" t="s">
        <v>2856</v>
      </c>
      <c r="BY1221" s="71">
        <v>780</v>
      </c>
      <c r="BZ1221" s="71">
        <v>820</v>
      </c>
      <c r="CA1221" s="71">
        <v>1030</v>
      </c>
      <c r="CB1221" s="71">
        <v>1340</v>
      </c>
      <c r="CC1221" s="71">
        <v>1420</v>
      </c>
      <c r="CD1221" s="25"/>
      <c r="CE1221" s="200"/>
      <c r="CF1221" s="200"/>
      <c r="CG1221" s="200"/>
      <c r="CH1221" s="200"/>
      <c r="CI1221" s="200"/>
      <c r="CJ1221" s="200"/>
      <c r="CK1221" s="200"/>
      <c r="CL1221" s="200"/>
      <c r="CM1221" s="200"/>
      <c r="CN1221" s="200"/>
      <c r="CO1221" s="200"/>
      <c r="CP1221" s="200"/>
      <c r="CQ1221" s="200"/>
      <c r="CR1221" s="200"/>
      <c r="CS1221" s="200"/>
      <c r="CT1221" s="200"/>
      <c r="CU1221" s="200"/>
    </row>
    <row r="1222" spans="1:99" s="17" customFormat="1" x14ac:dyDescent="0.2">
      <c r="A1222" s="25"/>
      <c r="B1222" s="20">
        <v>39169002100</v>
      </c>
      <c r="C1222" s="20">
        <v>21</v>
      </c>
      <c r="D1222" s="20" t="s">
        <v>90</v>
      </c>
      <c r="E1222" s="20" t="s">
        <v>265</v>
      </c>
      <c r="F1222" s="20" t="s">
        <v>8</v>
      </c>
      <c r="G1222" s="861">
        <v>53.459131087246398</v>
      </c>
      <c r="H1222" s="861">
        <v>54.817659017542901</v>
      </c>
      <c r="I1222" s="861">
        <v>22.357567785764299</v>
      </c>
      <c r="J1222" s="861">
        <v>42.948851043215903</v>
      </c>
      <c r="K1222" s="982">
        <v>0</v>
      </c>
      <c r="L1222" s="735">
        <v>2850</v>
      </c>
      <c r="M1222" s="735">
        <v>3026</v>
      </c>
      <c r="N1222" s="845">
        <f t="shared" si="103"/>
        <v>6.1754385964912284E-2</v>
      </c>
      <c r="O1222" s="735">
        <v>39.240468559525553</v>
      </c>
      <c r="P1222" s="735">
        <f t="shared" si="104"/>
        <v>77.114267772050951</v>
      </c>
      <c r="Q1222" s="849">
        <v>37.299999999999997</v>
      </c>
      <c r="R1222" s="71">
        <v>80625</v>
      </c>
      <c r="S1222" s="845">
        <v>8.5149178679182036E-2</v>
      </c>
      <c r="T1222" s="845">
        <v>8.0000000000000002E-3</v>
      </c>
      <c r="U1222" s="845">
        <v>0</v>
      </c>
      <c r="V1222" s="845">
        <v>0</v>
      </c>
      <c r="W1222" s="845">
        <v>0.12945264986967853</v>
      </c>
      <c r="X1222" s="845">
        <v>0.26845637583892618</v>
      </c>
      <c r="Y1222" s="845">
        <v>0.96100462656972907</v>
      </c>
      <c r="Z1222" s="845">
        <v>0</v>
      </c>
      <c r="AA1222" s="845">
        <v>0</v>
      </c>
      <c r="AB1222" s="845">
        <v>0</v>
      </c>
      <c r="AC1222" s="845">
        <v>0</v>
      </c>
      <c r="AD1222" s="845">
        <v>2.6768010575016522E-2</v>
      </c>
      <c r="AE1222" s="845">
        <v>1.2227362855254461E-2</v>
      </c>
      <c r="AF1222" s="845">
        <v>3.2055518836748183E-2</v>
      </c>
      <c r="AG1222" s="845">
        <v>0.96100462656972907</v>
      </c>
      <c r="AH1222" s="20" t="str">
        <f t="shared" si="105"/>
        <v>Yes</v>
      </c>
      <c r="AI1222" s="25"/>
      <c r="AJ1222" s="37">
        <v>43326</v>
      </c>
      <c r="AK1222" s="37" t="s">
        <v>881</v>
      </c>
      <c r="AL1222" s="37">
        <v>39101</v>
      </c>
      <c r="AM1222" s="37" t="s">
        <v>56</v>
      </c>
      <c r="AN1222" s="37" t="str">
        <f t="shared" si="106"/>
        <v>N/A</v>
      </c>
      <c r="AO1222" s="37" t="str">
        <f t="shared" si="107"/>
        <v>N/A</v>
      </c>
      <c r="AP1222" s="20" t="s">
        <v>8</v>
      </c>
      <c r="AQ1222" s="25"/>
      <c r="AR1222" s="25"/>
      <c r="AS1222" s="25"/>
      <c r="AT1222" s="25"/>
      <c r="AU1222" s="36"/>
      <c r="AV1222" s="36"/>
      <c r="AW1222" s="36"/>
      <c r="AX1222" s="25"/>
      <c r="AY1222" s="25"/>
      <c r="AZ1222" s="25"/>
      <c r="BA1222" s="25"/>
      <c r="BB1222" s="25"/>
      <c r="BC1222" s="25"/>
      <c r="BD1222" s="25"/>
      <c r="BE1222" s="25"/>
      <c r="BF1222" s="25"/>
      <c r="BG1222" s="25"/>
      <c r="BH1222" s="25"/>
      <c r="BI1222" s="25"/>
      <c r="BJ1222" s="25"/>
      <c r="BK1222" s="25"/>
      <c r="BL1222" s="25"/>
      <c r="BM1222" s="25"/>
      <c r="BN1222" s="25"/>
      <c r="BO1222" s="25"/>
      <c r="BP1222" s="25"/>
      <c r="BQ1222" s="25"/>
      <c r="BR1222" s="25"/>
      <c r="BS1222" s="25"/>
      <c r="BT1222" s="25"/>
      <c r="BU1222" s="39">
        <v>44473</v>
      </c>
      <c r="BV1222" s="39" t="s">
        <v>1358</v>
      </c>
      <c r="BW1222" s="39" t="s">
        <v>2924</v>
      </c>
      <c r="BX1222" s="39" t="s">
        <v>2856</v>
      </c>
      <c r="BY1222" s="71">
        <v>880</v>
      </c>
      <c r="BZ1222" s="71">
        <v>920</v>
      </c>
      <c r="CA1222" s="71">
        <v>1160</v>
      </c>
      <c r="CB1222" s="71">
        <v>1510</v>
      </c>
      <c r="CC1222" s="71">
        <v>1600</v>
      </c>
      <c r="CD1222" s="25"/>
      <c r="CE1222" s="200"/>
      <c r="CF1222" s="200"/>
      <c r="CG1222" s="200"/>
      <c r="CH1222" s="200"/>
      <c r="CI1222" s="200"/>
      <c r="CJ1222" s="200"/>
      <c r="CK1222" s="200"/>
      <c r="CL1222" s="200"/>
      <c r="CM1222" s="200"/>
      <c r="CN1222" s="200"/>
      <c r="CO1222" s="200"/>
      <c r="CP1222" s="200"/>
      <c r="CQ1222" s="200"/>
      <c r="CR1222" s="200"/>
      <c r="CS1222" s="200"/>
      <c r="CT1222" s="200"/>
      <c r="CU1222" s="200"/>
    </row>
    <row r="1223" spans="1:99" s="17" customFormat="1" x14ac:dyDescent="0.2">
      <c r="A1223" s="25"/>
      <c r="B1223" s="20">
        <v>39025041202</v>
      </c>
      <c r="C1223" s="20">
        <v>412.02</v>
      </c>
      <c r="D1223" s="20" t="s">
        <v>19</v>
      </c>
      <c r="E1223" s="20" t="s">
        <v>2828</v>
      </c>
      <c r="F1223" s="20" t="s">
        <v>8</v>
      </c>
      <c r="G1223" s="861">
        <v>53.430832613917197</v>
      </c>
      <c r="H1223" s="861">
        <v>51.693126629006301</v>
      </c>
      <c r="I1223" s="861">
        <v>27.670729731775101</v>
      </c>
      <c r="J1223" s="861">
        <v>53.867203435044097</v>
      </c>
      <c r="K1223" s="982">
        <v>0</v>
      </c>
      <c r="L1223" s="735" t="s">
        <v>2466</v>
      </c>
      <c r="M1223" s="735">
        <v>5242</v>
      </c>
      <c r="N1223" s="845" t="str">
        <f t="shared" si="103"/>
        <v/>
      </c>
      <c r="O1223" s="735">
        <v>3.2555875324076298</v>
      </c>
      <c r="P1223" s="735">
        <f t="shared" si="104"/>
        <v>1610.1548331349406</v>
      </c>
      <c r="Q1223" s="849">
        <v>43.9</v>
      </c>
      <c r="R1223" s="71">
        <v>90450</v>
      </c>
      <c r="S1223" s="845">
        <v>0.13856812933025403</v>
      </c>
      <c r="T1223" s="845">
        <v>1.4999999999999999E-2</v>
      </c>
      <c r="U1223" s="845">
        <v>0</v>
      </c>
      <c r="V1223" s="845">
        <v>8.4000000000000005E-2</v>
      </c>
      <c r="W1223" s="845">
        <v>0.23308619091751623</v>
      </c>
      <c r="X1223" s="845">
        <v>0.49105367793240556</v>
      </c>
      <c r="Y1223" s="845">
        <v>0.92502861503243039</v>
      </c>
      <c r="Z1223" s="845">
        <v>3.4910339565051504E-2</v>
      </c>
      <c r="AA1223" s="845">
        <v>3.8153376573826786E-4</v>
      </c>
      <c r="AB1223" s="845">
        <v>0</v>
      </c>
      <c r="AC1223" s="845">
        <v>0</v>
      </c>
      <c r="AD1223" s="845">
        <v>4.9599389545974815E-3</v>
      </c>
      <c r="AE1223" s="845">
        <v>3.471957268218237E-2</v>
      </c>
      <c r="AF1223" s="845">
        <v>6.1045402518122857E-3</v>
      </c>
      <c r="AG1223" s="845">
        <v>0.92502861503243039</v>
      </c>
      <c r="AH1223" s="20" t="str">
        <f t="shared" si="105"/>
        <v>Yes</v>
      </c>
      <c r="AI1223" s="25"/>
      <c r="AJ1223" s="20">
        <v>43332</v>
      </c>
      <c r="AK1223" s="20" t="s">
        <v>884</v>
      </c>
      <c r="AL1223" s="20">
        <v>39101</v>
      </c>
      <c r="AM1223" s="20" t="s">
        <v>56</v>
      </c>
      <c r="AN1223" s="37" t="str">
        <f t="shared" si="106"/>
        <v>N/A</v>
      </c>
      <c r="AO1223" s="37" t="str">
        <f t="shared" si="107"/>
        <v>N/A</v>
      </c>
      <c r="AP1223" s="20" t="s">
        <v>8</v>
      </c>
      <c r="AQ1223" s="25"/>
      <c r="AR1223" s="25"/>
      <c r="AS1223" s="25"/>
      <c r="AT1223" s="25"/>
      <c r="AU1223" s="36"/>
      <c r="AV1223" s="36"/>
      <c r="AW1223" s="36"/>
      <c r="AX1223" s="25"/>
      <c r="AY1223" s="25"/>
      <c r="AZ1223" s="25"/>
      <c r="BA1223" s="25"/>
      <c r="BB1223" s="25"/>
      <c r="BC1223" s="25"/>
      <c r="BD1223" s="25"/>
      <c r="BE1223" s="25"/>
      <c r="BF1223" s="25"/>
      <c r="BG1223" s="25"/>
      <c r="BH1223" s="25"/>
      <c r="BI1223" s="25"/>
      <c r="BJ1223" s="25"/>
      <c r="BK1223" s="25"/>
      <c r="BL1223" s="25"/>
      <c r="BM1223" s="25"/>
      <c r="BN1223" s="25"/>
      <c r="BO1223" s="25"/>
      <c r="BP1223" s="25"/>
      <c r="BQ1223" s="25"/>
      <c r="BR1223" s="25"/>
      <c r="BS1223" s="25"/>
      <c r="BT1223" s="25"/>
      <c r="BU1223" s="39">
        <v>44481</v>
      </c>
      <c r="BV1223" s="39" t="s">
        <v>1359</v>
      </c>
      <c r="BW1223" s="39" t="s">
        <v>2924</v>
      </c>
      <c r="BX1223" s="39" t="s">
        <v>2856</v>
      </c>
      <c r="BY1223" s="71">
        <v>730</v>
      </c>
      <c r="BZ1223" s="71">
        <v>770</v>
      </c>
      <c r="CA1223" s="71">
        <v>970</v>
      </c>
      <c r="CB1223" s="71">
        <v>1270</v>
      </c>
      <c r="CC1223" s="71">
        <v>1340</v>
      </c>
      <c r="CD1223" s="25"/>
      <c r="CE1223" s="200"/>
      <c r="CF1223" s="200"/>
      <c r="CG1223" s="200"/>
      <c r="CH1223" s="200"/>
      <c r="CI1223" s="200"/>
      <c r="CJ1223" s="200"/>
      <c r="CK1223" s="200"/>
      <c r="CL1223" s="200"/>
      <c r="CM1223" s="200"/>
      <c r="CN1223" s="200"/>
      <c r="CO1223" s="200"/>
      <c r="CP1223" s="200"/>
      <c r="CQ1223" s="200"/>
      <c r="CR1223" s="200"/>
      <c r="CS1223" s="200"/>
      <c r="CT1223" s="200"/>
      <c r="CU1223" s="200"/>
    </row>
    <row r="1224" spans="1:99" s="17" customFormat="1" x14ac:dyDescent="0.2">
      <c r="A1224" s="25"/>
      <c r="B1224" s="20">
        <v>39153503600</v>
      </c>
      <c r="C1224" s="20">
        <v>5036</v>
      </c>
      <c r="D1224" s="20" t="s">
        <v>82</v>
      </c>
      <c r="E1224" s="20" t="s">
        <v>2843</v>
      </c>
      <c r="F1224" s="20" t="s">
        <v>8</v>
      </c>
      <c r="G1224" s="861">
        <v>53.430107988654498</v>
      </c>
      <c r="H1224" s="861">
        <v>53.1882920048971</v>
      </c>
      <c r="I1224" s="861">
        <v>29.030491910534298</v>
      </c>
      <c r="J1224" s="861">
        <v>44.8130524302723</v>
      </c>
      <c r="K1224" s="982">
        <v>0</v>
      </c>
      <c r="L1224" s="735">
        <v>4159</v>
      </c>
      <c r="M1224" s="735">
        <v>4086</v>
      </c>
      <c r="N1224" s="845">
        <f t="shared" si="103"/>
        <v>-1.7552296225054099E-2</v>
      </c>
      <c r="O1224" s="735">
        <v>1.7184542210118487</v>
      </c>
      <c r="P1224" s="735">
        <f t="shared" si="104"/>
        <v>2377.718271478951</v>
      </c>
      <c r="Q1224" s="849">
        <v>42.8</v>
      </c>
      <c r="R1224" s="71">
        <v>49630</v>
      </c>
      <c r="S1224" s="845">
        <v>0.11378717129515852</v>
      </c>
      <c r="T1224" s="845">
        <v>7.400000000000001E-2</v>
      </c>
      <c r="U1224" s="845">
        <v>6.9999999999999993E-3</v>
      </c>
      <c r="V1224" s="845">
        <v>0</v>
      </c>
      <c r="W1224" s="845">
        <v>0.42</v>
      </c>
      <c r="X1224" s="845">
        <v>0.26691729323308272</v>
      </c>
      <c r="Y1224" s="845">
        <v>0.90528634361233484</v>
      </c>
      <c r="Z1224" s="845">
        <v>4.503181595692609E-2</v>
      </c>
      <c r="AA1224" s="845">
        <v>0</v>
      </c>
      <c r="AB1224" s="845">
        <v>2.2026431718061676E-3</v>
      </c>
      <c r="AC1224" s="845">
        <v>0</v>
      </c>
      <c r="AD1224" s="845">
        <v>0</v>
      </c>
      <c r="AE1224" s="845">
        <v>4.7479197258932938E-2</v>
      </c>
      <c r="AF1224" s="845">
        <v>1.8844836025452765E-2</v>
      </c>
      <c r="AG1224" s="845">
        <v>0.89280469897209991</v>
      </c>
      <c r="AH1224" s="20" t="str">
        <f t="shared" si="105"/>
        <v>No</v>
      </c>
      <c r="AI1224" s="25"/>
      <c r="AJ1224" s="20">
        <v>43337</v>
      </c>
      <c r="AK1224" s="20" t="s">
        <v>888</v>
      </c>
      <c r="AL1224" s="20">
        <v>39101</v>
      </c>
      <c r="AM1224" s="20" t="s">
        <v>56</v>
      </c>
      <c r="AN1224" s="37" t="str">
        <f t="shared" si="106"/>
        <v>N/A</v>
      </c>
      <c r="AO1224" s="37" t="str">
        <f t="shared" si="107"/>
        <v>N/A</v>
      </c>
      <c r="AP1224" s="20" t="s">
        <v>8</v>
      </c>
      <c r="AQ1224" s="25"/>
      <c r="AR1224" s="25"/>
      <c r="AS1224" s="25"/>
      <c r="AT1224" s="25"/>
      <c r="AU1224" s="36"/>
      <c r="AV1224" s="36"/>
      <c r="AW1224" s="36"/>
      <c r="AX1224" s="25"/>
      <c r="AY1224" s="25"/>
      <c r="AZ1224" s="25"/>
      <c r="BA1224" s="25"/>
      <c r="BB1224" s="25"/>
      <c r="BC1224" s="25"/>
      <c r="BD1224" s="25"/>
      <c r="BE1224" s="25"/>
      <c r="BF1224" s="25"/>
      <c r="BG1224" s="25"/>
      <c r="BH1224" s="25"/>
      <c r="BI1224" s="25"/>
      <c r="BJ1224" s="25"/>
      <c r="BK1224" s="25"/>
      <c r="BL1224" s="25"/>
      <c r="BM1224" s="25"/>
      <c r="BN1224" s="25"/>
      <c r="BO1224" s="25"/>
      <c r="BP1224" s="25"/>
      <c r="BQ1224" s="25"/>
      <c r="BR1224" s="25"/>
      <c r="BS1224" s="25"/>
      <c r="BT1224" s="25"/>
      <c r="BU1224" s="39">
        <v>44483</v>
      </c>
      <c r="BV1224" s="39" t="s">
        <v>1360</v>
      </c>
      <c r="BW1224" s="39" t="s">
        <v>2924</v>
      </c>
      <c r="BX1224" s="39" t="s">
        <v>2856</v>
      </c>
      <c r="BY1224" s="71">
        <v>780</v>
      </c>
      <c r="BZ1224" s="71">
        <v>820</v>
      </c>
      <c r="CA1224" s="71">
        <v>1030</v>
      </c>
      <c r="CB1224" s="71">
        <v>1340</v>
      </c>
      <c r="CC1224" s="71">
        <v>1420</v>
      </c>
      <c r="CD1224" s="25"/>
      <c r="CE1224" s="200"/>
      <c r="CF1224" s="200"/>
      <c r="CG1224" s="200"/>
      <c r="CH1224" s="200"/>
      <c r="CI1224" s="200"/>
      <c r="CJ1224" s="200"/>
      <c r="CK1224" s="200"/>
      <c r="CL1224" s="200"/>
      <c r="CM1224" s="200"/>
      <c r="CN1224" s="200"/>
      <c r="CO1224" s="200"/>
      <c r="CP1224" s="200"/>
      <c r="CQ1224" s="200"/>
      <c r="CR1224" s="200"/>
      <c r="CS1224" s="200"/>
      <c r="CT1224" s="200"/>
      <c r="CU1224" s="200"/>
    </row>
    <row r="1225" spans="1:99" s="17" customFormat="1" x14ac:dyDescent="0.2">
      <c r="A1225" s="25"/>
      <c r="B1225" s="20">
        <v>39113050402</v>
      </c>
      <c r="C1225" s="20">
        <v>504.02</v>
      </c>
      <c r="D1225" s="20" t="s">
        <v>62</v>
      </c>
      <c r="E1225" s="20" t="s">
        <v>2833</v>
      </c>
      <c r="F1225" s="20" t="s">
        <v>8</v>
      </c>
      <c r="G1225" s="861">
        <v>53.417843646918897</v>
      </c>
      <c r="H1225" s="861">
        <v>54.527850661460697</v>
      </c>
      <c r="I1225" s="861">
        <v>51.927475235659003</v>
      </c>
      <c r="J1225" s="861">
        <v>49.069186516913497</v>
      </c>
      <c r="K1225" s="982">
        <v>0</v>
      </c>
      <c r="L1225" s="735">
        <v>2355</v>
      </c>
      <c r="M1225" s="735">
        <v>1863</v>
      </c>
      <c r="N1225" s="845">
        <f t="shared" si="103"/>
        <v>-0.20891719745222931</v>
      </c>
      <c r="O1225" s="735">
        <v>0.5609933089615613</v>
      </c>
      <c r="P1225" s="735">
        <f t="shared" si="104"/>
        <v>3320.8952232399101</v>
      </c>
      <c r="Q1225" s="849">
        <v>33.5</v>
      </c>
      <c r="R1225" s="71">
        <v>49965</v>
      </c>
      <c r="S1225" s="845">
        <v>0.21792807300053677</v>
      </c>
      <c r="T1225" s="845">
        <v>0.04</v>
      </c>
      <c r="U1225" s="845">
        <v>3.3000000000000002E-2</v>
      </c>
      <c r="V1225" s="845">
        <v>0</v>
      </c>
      <c r="W1225" s="845">
        <v>0.45017584994138338</v>
      </c>
      <c r="X1225" s="845">
        <v>0.48177083333333331</v>
      </c>
      <c r="Y1225" s="845">
        <v>0.83145464304884598</v>
      </c>
      <c r="Z1225" s="845">
        <v>7.8368223295759529E-2</v>
      </c>
      <c r="AA1225" s="845">
        <v>0</v>
      </c>
      <c r="AB1225" s="845">
        <v>4.2941492216854536E-3</v>
      </c>
      <c r="AC1225" s="845">
        <v>0</v>
      </c>
      <c r="AD1225" s="845">
        <v>1.6639828234031134E-2</v>
      </c>
      <c r="AE1225" s="845">
        <v>6.9243156199677941E-2</v>
      </c>
      <c r="AF1225" s="845">
        <v>2.2544283413848631E-2</v>
      </c>
      <c r="AG1225" s="845">
        <v>0.83145464304884598</v>
      </c>
      <c r="AH1225" s="20" t="str">
        <f t="shared" si="105"/>
        <v>No</v>
      </c>
      <c r="AI1225" s="25"/>
      <c r="AJ1225" s="20">
        <v>43341</v>
      </c>
      <c r="AK1225" s="20" t="s">
        <v>891</v>
      </c>
      <c r="AL1225" s="20">
        <v>39101</v>
      </c>
      <c r="AM1225" s="20" t="s">
        <v>56</v>
      </c>
      <c r="AN1225" s="37" t="str">
        <f t="shared" si="106"/>
        <v>N/A</v>
      </c>
      <c r="AO1225" s="37" t="str">
        <f t="shared" si="107"/>
        <v>N/A</v>
      </c>
      <c r="AP1225" s="20" t="s">
        <v>8</v>
      </c>
      <c r="AQ1225" s="25"/>
      <c r="AR1225" s="25"/>
      <c r="AS1225" s="25"/>
      <c r="AT1225" s="25"/>
      <c r="AU1225" s="36"/>
      <c r="AV1225" s="36"/>
      <c r="AW1225" s="36"/>
      <c r="AX1225" s="25"/>
      <c r="AY1225" s="25"/>
      <c r="AZ1225" s="25"/>
      <c r="BA1225" s="25"/>
      <c r="BB1225" s="25"/>
      <c r="BC1225" s="25"/>
      <c r="BD1225" s="25"/>
      <c r="BE1225" s="25"/>
      <c r="BF1225" s="25"/>
      <c r="BG1225" s="25"/>
      <c r="BH1225" s="25"/>
      <c r="BI1225" s="25"/>
      <c r="BJ1225" s="25"/>
      <c r="BK1225" s="25"/>
      <c r="BL1225" s="25"/>
      <c r="BM1225" s="25"/>
      <c r="BN1225" s="25"/>
      <c r="BO1225" s="25"/>
      <c r="BP1225" s="25"/>
      <c r="BQ1225" s="25"/>
      <c r="BR1225" s="25"/>
      <c r="BS1225" s="25"/>
      <c r="BT1225" s="25"/>
      <c r="BU1225" s="39">
        <v>44484</v>
      </c>
      <c r="BV1225" s="39" t="s">
        <v>1361</v>
      </c>
      <c r="BW1225" s="39" t="s">
        <v>2924</v>
      </c>
      <c r="BX1225" s="39" t="s">
        <v>2856</v>
      </c>
      <c r="BY1225" s="71">
        <v>820</v>
      </c>
      <c r="BZ1225" s="71">
        <v>860</v>
      </c>
      <c r="CA1225" s="71">
        <v>1090</v>
      </c>
      <c r="CB1225" s="71">
        <v>1420</v>
      </c>
      <c r="CC1225" s="71">
        <v>1510</v>
      </c>
      <c r="CD1225" s="25"/>
      <c r="CE1225" s="200"/>
      <c r="CF1225" s="200"/>
      <c r="CG1225" s="200"/>
      <c r="CH1225" s="200"/>
      <c r="CI1225" s="200"/>
      <c r="CJ1225" s="200"/>
      <c r="CK1225" s="200"/>
      <c r="CL1225" s="200"/>
      <c r="CM1225" s="200"/>
      <c r="CN1225" s="200"/>
      <c r="CO1225" s="200"/>
      <c r="CP1225" s="200"/>
      <c r="CQ1225" s="200"/>
      <c r="CR1225" s="200"/>
      <c r="CS1225" s="200"/>
      <c r="CT1225" s="200"/>
      <c r="CU1225" s="200"/>
    </row>
    <row r="1226" spans="1:99" s="17" customFormat="1" x14ac:dyDescent="0.2">
      <c r="A1226" s="25"/>
      <c r="B1226" s="20">
        <v>39093050100</v>
      </c>
      <c r="C1226" s="20">
        <v>501</v>
      </c>
      <c r="D1226" s="20" t="s">
        <v>52</v>
      </c>
      <c r="E1226" s="20" t="s">
        <v>2829</v>
      </c>
      <c r="F1226" s="20" t="s">
        <v>8</v>
      </c>
      <c r="G1226" s="861">
        <v>53.3903254457923</v>
      </c>
      <c r="H1226" s="861">
        <v>49.026060563047302</v>
      </c>
      <c r="I1226" s="861">
        <v>11.700378001705101</v>
      </c>
      <c r="J1226" s="861">
        <v>59.413256273564201</v>
      </c>
      <c r="K1226" s="982">
        <v>0</v>
      </c>
      <c r="L1226" s="735">
        <v>3326</v>
      </c>
      <c r="M1226" s="735">
        <v>3010</v>
      </c>
      <c r="N1226" s="845">
        <f t="shared" si="103"/>
        <v>-9.5009019843656048E-2</v>
      </c>
      <c r="O1226" s="735">
        <v>3.0245517227490284</v>
      </c>
      <c r="P1226" s="735">
        <f t="shared" si="104"/>
        <v>995.18880016513583</v>
      </c>
      <c r="Q1226" s="849">
        <v>47.9</v>
      </c>
      <c r="R1226" s="71">
        <v>104853</v>
      </c>
      <c r="S1226" s="845">
        <v>8.3056478405315621E-3</v>
      </c>
      <c r="T1226" s="845">
        <v>8.4000000000000005E-2</v>
      </c>
      <c r="U1226" s="845">
        <v>0</v>
      </c>
      <c r="V1226" s="845">
        <v>0</v>
      </c>
      <c r="W1226" s="845">
        <v>3.0874785591766724E-2</v>
      </c>
      <c r="X1226" s="845">
        <v>0.55555555555555558</v>
      </c>
      <c r="Y1226" s="845">
        <v>0.95415282392026579</v>
      </c>
      <c r="Z1226" s="845">
        <v>0</v>
      </c>
      <c r="AA1226" s="845">
        <v>0</v>
      </c>
      <c r="AB1226" s="845">
        <v>0</v>
      </c>
      <c r="AC1226" s="845">
        <v>0</v>
      </c>
      <c r="AD1226" s="845">
        <v>6.3122923588039871E-3</v>
      </c>
      <c r="AE1226" s="845">
        <v>3.9534883720930232E-2</v>
      </c>
      <c r="AF1226" s="845">
        <v>6.3455149501661132E-2</v>
      </c>
      <c r="AG1226" s="845">
        <v>0.9205980066445183</v>
      </c>
      <c r="AH1226" s="20" t="str">
        <f t="shared" si="105"/>
        <v>Yes</v>
      </c>
      <c r="AI1226" s="25"/>
      <c r="AJ1226" s="20">
        <v>43342</v>
      </c>
      <c r="AK1226" s="20" t="s">
        <v>892</v>
      </c>
      <c r="AL1226" s="20">
        <v>39101</v>
      </c>
      <c r="AM1226" s="20" t="s">
        <v>56</v>
      </c>
      <c r="AN1226" s="37" t="str">
        <f t="shared" si="106"/>
        <v>N/A</v>
      </c>
      <c r="AO1226" s="37" t="str">
        <f t="shared" si="107"/>
        <v>N/A</v>
      </c>
      <c r="AP1226" s="20" t="s">
        <v>8</v>
      </c>
      <c r="AQ1226" s="25"/>
      <c r="AR1226" s="25"/>
      <c r="AS1226" s="25"/>
      <c r="AT1226" s="25"/>
      <c r="AU1226" s="36"/>
      <c r="AV1226" s="36"/>
      <c r="AW1226" s="36"/>
      <c r="AX1226" s="25"/>
      <c r="AY1226" s="25"/>
      <c r="AZ1226" s="25"/>
      <c r="BA1226" s="25"/>
      <c r="BB1226" s="25"/>
      <c r="BC1226" s="25"/>
      <c r="BD1226" s="25"/>
      <c r="BE1226" s="25"/>
      <c r="BF1226" s="25"/>
      <c r="BG1226" s="25"/>
      <c r="BH1226" s="25"/>
      <c r="BI1226" s="25"/>
      <c r="BJ1226" s="25"/>
      <c r="BK1226" s="25"/>
      <c r="BL1226" s="25"/>
      <c r="BM1226" s="25"/>
      <c r="BN1226" s="25"/>
      <c r="BO1226" s="25"/>
      <c r="BP1226" s="25"/>
      <c r="BQ1226" s="25"/>
      <c r="BR1226" s="25"/>
      <c r="BS1226" s="25"/>
      <c r="BT1226" s="25"/>
      <c r="BU1226" s="39">
        <v>44485</v>
      </c>
      <c r="BV1226" s="39" t="s">
        <v>1362</v>
      </c>
      <c r="BW1226" s="39" t="s">
        <v>2924</v>
      </c>
      <c r="BX1226" s="39" t="s">
        <v>2856</v>
      </c>
      <c r="BY1226" s="71">
        <v>740</v>
      </c>
      <c r="BZ1226" s="71">
        <v>780</v>
      </c>
      <c r="CA1226" s="71">
        <v>980</v>
      </c>
      <c r="CB1226" s="71">
        <v>1280</v>
      </c>
      <c r="CC1226" s="71">
        <v>1350</v>
      </c>
      <c r="CD1226" s="25"/>
      <c r="CE1226" s="200"/>
      <c r="CF1226" s="200"/>
      <c r="CG1226" s="200"/>
      <c r="CH1226" s="200"/>
      <c r="CI1226" s="200"/>
      <c r="CJ1226" s="200"/>
      <c r="CK1226" s="200"/>
      <c r="CL1226" s="200"/>
      <c r="CM1226" s="200"/>
      <c r="CN1226" s="200"/>
      <c r="CO1226" s="200"/>
      <c r="CP1226" s="200"/>
      <c r="CQ1226" s="200"/>
      <c r="CR1226" s="200"/>
      <c r="CS1226" s="200"/>
      <c r="CT1226" s="200"/>
      <c r="CU1226" s="200"/>
    </row>
    <row r="1227" spans="1:99" s="17" customFormat="1" x14ac:dyDescent="0.2">
      <c r="A1227" s="25"/>
      <c r="B1227" s="20">
        <v>39063000100</v>
      </c>
      <c r="C1227" s="20">
        <v>1</v>
      </c>
      <c r="D1227" s="20" t="s">
        <v>38</v>
      </c>
      <c r="E1227" s="20" t="s">
        <v>265</v>
      </c>
      <c r="F1227" s="20" t="s">
        <v>8</v>
      </c>
      <c r="G1227" s="861">
        <v>53.377820926807601</v>
      </c>
      <c r="H1227" s="861">
        <v>55.639581619620301</v>
      </c>
      <c r="I1227" s="861">
        <v>36.102107249166103</v>
      </c>
      <c r="J1227" s="861">
        <v>46.905578943631497</v>
      </c>
      <c r="K1227" s="982">
        <v>0</v>
      </c>
      <c r="L1227" s="735">
        <v>4056</v>
      </c>
      <c r="M1227" s="735">
        <v>3813</v>
      </c>
      <c r="N1227" s="845">
        <f t="shared" ref="N1227:N1290" si="108">IF(OR(L1227="",M1227=""),"",(M1227-L1227)/L1227)</f>
        <v>-5.9911242603550297E-2</v>
      </c>
      <c r="O1227" s="735">
        <v>26.982617692403231</v>
      </c>
      <c r="P1227" s="735">
        <f t="shared" ref="P1227:P1290" si="109">M1227/O1227</f>
        <v>141.31319812879104</v>
      </c>
      <c r="Q1227" s="849">
        <v>46</v>
      </c>
      <c r="R1227" s="71">
        <v>73065</v>
      </c>
      <c r="S1227" s="845">
        <v>0.15128955065142249</v>
      </c>
      <c r="T1227" s="845">
        <v>1.8000000000000002E-2</v>
      </c>
      <c r="U1227" s="845">
        <v>0.114</v>
      </c>
      <c r="V1227" s="845">
        <v>6.6000000000000003E-2</v>
      </c>
      <c r="W1227" s="845">
        <v>0.23910256410256411</v>
      </c>
      <c r="X1227" s="845">
        <v>0.41554959785522788</v>
      </c>
      <c r="Y1227" s="845">
        <v>0.90506163126147388</v>
      </c>
      <c r="Z1227" s="845">
        <v>4.4584316810910045E-3</v>
      </c>
      <c r="AA1227" s="845">
        <v>0</v>
      </c>
      <c r="AB1227" s="845">
        <v>8.130081300813009E-3</v>
      </c>
      <c r="AC1227" s="845">
        <v>0</v>
      </c>
      <c r="AD1227" s="845">
        <v>2.071859428271702E-2</v>
      </c>
      <c r="AE1227" s="845">
        <v>6.1631261473905061E-2</v>
      </c>
      <c r="AF1227" s="845">
        <v>7.7366902701285073E-2</v>
      </c>
      <c r="AG1227" s="845">
        <v>0.87726199842643593</v>
      </c>
      <c r="AH1227" s="20" t="str">
        <f t="shared" ref="AH1227:AH1290" si="110">IF(AG1227&gt;=0.9,"Yes","No")</f>
        <v>No</v>
      </c>
      <c r="AI1227" s="25"/>
      <c r="AJ1227" s="20">
        <v>43344</v>
      </c>
      <c r="AK1227" s="20" t="s">
        <v>894</v>
      </c>
      <c r="AL1227" s="20">
        <v>39101</v>
      </c>
      <c r="AM1227" s="20" t="s">
        <v>56</v>
      </c>
      <c r="AN1227" s="37" t="str">
        <f t="shared" ref="AN1227:AN1290" si="111">VLOOKUP(AM1227,$CY$11:$DA$98,2,FALSE)</f>
        <v>N/A</v>
      </c>
      <c r="AO1227" s="37" t="str">
        <f t="shared" ref="AO1227:AO1290" si="112">VLOOKUP(AM1227,$CY$11:$DA$98,3,FALSE)</f>
        <v>N/A</v>
      </c>
      <c r="AP1227" s="20" t="s">
        <v>8</v>
      </c>
      <c r="AQ1227" s="25"/>
      <c r="AR1227" s="25"/>
      <c r="AS1227" s="25"/>
      <c r="AT1227" s="25"/>
      <c r="AU1227" s="36"/>
      <c r="AV1227" s="36"/>
      <c r="AW1227" s="36"/>
      <c r="AX1227" s="25"/>
      <c r="AY1227" s="25"/>
      <c r="AZ1227" s="25"/>
      <c r="BA1227" s="25"/>
      <c r="BB1227" s="25"/>
      <c r="BC1227" s="25"/>
      <c r="BD1227" s="25"/>
      <c r="BE1227" s="25"/>
      <c r="BF1227" s="25"/>
      <c r="BG1227" s="25"/>
      <c r="BH1227" s="25"/>
      <c r="BI1227" s="25"/>
      <c r="BJ1227" s="25"/>
      <c r="BK1227" s="25"/>
      <c r="BL1227" s="25"/>
      <c r="BM1227" s="25"/>
      <c r="BN1227" s="25"/>
      <c r="BO1227" s="25"/>
      <c r="BP1227" s="25"/>
      <c r="BQ1227" s="25"/>
      <c r="BR1227" s="25"/>
      <c r="BS1227" s="25"/>
      <c r="BT1227" s="25"/>
      <c r="BU1227" s="39">
        <v>44490</v>
      </c>
      <c r="BV1227" s="39" t="s">
        <v>1363</v>
      </c>
      <c r="BW1227" s="39" t="s">
        <v>2924</v>
      </c>
      <c r="BX1227" s="39" t="s">
        <v>2856</v>
      </c>
      <c r="BY1227" s="71">
        <v>730</v>
      </c>
      <c r="BZ1227" s="71">
        <v>800</v>
      </c>
      <c r="CA1227" s="71">
        <v>1000</v>
      </c>
      <c r="CB1227" s="71">
        <v>1280</v>
      </c>
      <c r="CC1227" s="71">
        <v>1350</v>
      </c>
      <c r="CD1227" s="25"/>
      <c r="CE1227" s="200"/>
      <c r="CF1227" s="200"/>
      <c r="CG1227" s="200"/>
      <c r="CH1227" s="200"/>
      <c r="CI1227" s="200"/>
      <c r="CJ1227" s="200"/>
      <c r="CK1227" s="200"/>
      <c r="CL1227" s="200"/>
      <c r="CM1227" s="200"/>
      <c r="CN1227" s="200"/>
      <c r="CO1227" s="200"/>
      <c r="CP1227" s="200"/>
      <c r="CQ1227" s="200"/>
      <c r="CR1227" s="200"/>
      <c r="CS1227" s="200"/>
      <c r="CT1227" s="200"/>
      <c r="CU1227" s="200"/>
    </row>
    <row r="1228" spans="1:99" s="17" customFormat="1" x14ac:dyDescent="0.2">
      <c r="A1228" s="25"/>
      <c r="B1228" s="20">
        <v>39083007100</v>
      </c>
      <c r="C1228" s="20">
        <v>71</v>
      </c>
      <c r="D1228" s="20" t="s">
        <v>114</v>
      </c>
      <c r="E1228" s="20" t="s">
        <v>265</v>
      </c>
      <c r="F1228" s="20" t="s">
        <v>6</v>
      </c>
      <c r="G1228" s="861">
        <v>53.369022116947498</v>
      </c>
      <c r="H1228" s="861">
        <v>51.7421351401062</v>
      </c>
      <c r="I1228" s="861">
        <v>49.388788311460601</v>
      </c>
      <c r="J1228" s="861">
        <v>57.595498864785299</v>
      </c>
      <c r="K1228" s="982">
        <v>0</v>
      </c>
      <c r="L1228" s="735">
        <v>4138</v>
      </c>
      <c r="M1228" s="735">
        <v>3637</v>
      </c>
      <c r="N1228" s="845">
        <f t="shared" si="108"/>
        <v>-0.12107298211696471</v>
      </c>
      <c r="O1228" s="735">
        <v>2.6594508188688173</v>
      </c>
      <c r="P1228" s="735">
        <f t="shared" si="109"/>
        <v>1367.5755814679731</v>
      </c>
      <c r="Q1228" s="849">
        <v>36.799999999999997</v>
      </c>
      <c r="R1228" s="71">
        <v>42857</v>
      </c>
      <c r="S1228" s="845">
        <v>0.33874072037393455</v>
      </c>
      <c r="T1228" s="845">
        <v>4.0999999999999995E-2</v>
      </c>
      <c r="U1228" s="845">
        <v>0</v>
      </c>
      <c r="V1228" s="845">
        <v>0.1</v>
      </c>
      <c r="W1228" s="845">
        <v>0.5517676767676768</v>
      </c>
      <c r="X1228" s="845">
        <v>0.56521739130434778</v>
      </c>
      <c r="Y1228" s="845">
        <v>0.92108880945834481</v>
      </c>
      <c r="Z1228" s="845">
        <v>6.3238933186692331E-3</v>
      </c>
      <c r="AA1228" s="845">
        <v>1.6497113005224085E-3</v>
      </c>
      <c r="AB1228" s="845">
        <v>2.474566950783613E-3</v>
      </c>
      <c r="AC1228" s="845">
        <v>0</v>
      </c>
      <c r="AD1228" s="845">
        <v>0</v>
      </c>
      <c r="AE1228" s="845">
        <v>6.8463018971679959E-2</v>
      </c>
      <c r="AF1228" s="845">
        <v>2.7770140225460545E-2</v>
      </c>
      <c r="AG1228" s="845">
        <v>0.92108880945834481</v>
      </c>
      <c r="AH1228" s="20" t="str">
        <f t="shared" si="110"/>
        <v>Yes</v>
      </c>
      <c r="AI1228" s="25"/>
      <c r="AJ1228" s="37">
        <v>43356</v>
      </c>
      <c r="AK1228" s="37" t="s">
        <v>901</v>
      </c>
      <c r="AL1228" s="37">
        <v>39101</v>
      </c>
      <c r="AM1228" s="37" t="s">
        <v>56</v>
      </c>
      <c r="AN1228" s="37" t="str">
        <f t="shared" si="111"/>
        <v>N/A</v>
      </c>
      <c r="AO1228" s="37" t="str">
        <f t="shared" si="112"/>
        <v>N/A</v>
      </c>
      <c r="AP1228" s="20" t="s">
        <v>8</v>
      </c>
      <c r="AQ1228" s="25"/>
      <c r="AR1228" s="25"/>
      <c r="AS1228" s="25"/>
      <c r="AT1228" s="25"/>
      <c r="AU1228" s="36"/>
      <c r="AV1228" s="36"/>
      <c r="AW1228" s="36"/>
      <c r="AX1228" s="25"/>
      <c r="AY1228" s="25"/>
      <c r="AZ1228" s="25"/>
      <c r="BA1228" s="25"/>
      <c r="BB1228" s="25"/>
      <c r="BC1228" s="25"/>
      <c r="BD1228" s="25"/>
      <c r="BE1228" s="25"/>
      <c r="BF1228" s="25"/>
      <c r="BG1228" s="25"/>
      <c r="BH1228" s="25"/>
      <c r="BI1228" s="25"/>
      <c r="BJ1228" s="25"/>
      <c r="BK1228" s="25"/>
      <c r="BL1228" s="25"/>
      <c r="BM1228" s="25"/>
      <c r="BN1228" s="25"/>
      <c r="BO1228" s="25"/>
      <c r="BP1228" s="25"/>
      <c r="BQ1228" s="25"/>
      <c r="BR1228" s="25"/>
      <c r="BS1228" s="25"/>
      <c r="BT1228" s="25"/>
      <c r="BU1228" s="39">
        <v>44502</v>
      </c>
      <c r="BV1228" s="39" t="s">
        <v>1366</v>
      </c>
      <c r="BW1228" s="39" t="s">
        <v>2924</v>
      </c>
      <c r="BX1228" s="39" t="s">
        <v>2856</v>
      </c>
      <c r="BY1228" s="71">
        <v>820</v>
      </c>
      <c r="BZ1228" s="71">
        <v>860</v>
      </c>
      <c r="CA1228" s="71">
        <v>1080</v>
      </c>
      <c r="CB1228" s="71">
        <v>1410</v>
      </c>
      <c r="CC1228" s="71">
        <v>1490</v>
      </c>
      <c r="CD1228" s="25"/>
      <c r="CE1228" s="200"/>
      <c r="CF1228" s="200"/>
      <c r="CG1228" s="200"/>
      <c r="CH1228" s="200"/>
      <c r="CI1228" s="200"/>
      <c r="CJ1228" s="200"/>
      <c r="CK1228" s="200"/>
      <c r="CL1228" s="200"/>
      <c r="CM1228" s="200"/>
      <c r="CN1228" s="200"/>
      <c r="CO1228" s="200"/>
      <c r="CP1228" s="200"/>
      <c r="CQ1228" s="200"/>
      <c r="CR1228" s="200"/>
      <c r="CS1228" s="200"/>
      <c r="CT1228" s="200"/>
      <c r="CU1228" s="200"/>
    </row>
    <row r="1229" spans="1:99" s="17" customFormat="1" x14ac:dyDescent="0.2">
      <c r="A1229" s="25"/>
      <c r="B1229" s="20">
        <v>39113115011</v>
      </c>
      <c r="C1229" s="20">
        <v>1150.1099999999999</v>
      </c>
      <c r="D1229" s="20" t="s">
        <v>62</v>
      </c>
      <c r="E1229" s="20" t="s">
        <v>2833</v>
      </c>
      <c r="F1229" s="20" t="s">
        <v>8</v>
      </c>
      <c r="G1229" s="861">
        <v>53.341244744561997</v>
      </c>
      <c r="H1229" s="861">
        <v>51.265121197581699</v>
      </c>
      <c r="I1229" s="861">
        <v>32.878865663989501</v>
      </c>
      <c r="J1229" s="861">
        <v>36.590124404275301</v>
      </c>
      <c r="K1229" s="982">
        <v>0</v>
      </c>
      <c r="L1229" s="735">
        <v>5673</v>
      </c>
      <c r="M1229" s="735">
        <v>5267</v>
      </c>
      <c r="N1229" s="845">
        <f t="shared" si="108"/>
        <v>-7.1567072095892831E-2</v>
      </c>
      <c r="O1229" s="735">
        <v>1.7853896634297677</v>
      </c>
      <c r="P1229" s="735">
        <f t="shared" si="109"/>
        <v>2950.0562862462148</v>
      </c>
      <c r="Q1229" s="849">
        <v>35.4</v>
      </c>
      <c r="R1229" s="71">
        <v>66151</v>
      </c>
      <c r="S1229" s="845">
        <v>0.12094171254983861</v>
      </c>
      <c r="T1229" s="845">
        <v>4.2999999999999997E-2</v>
      </c>
      <c r="U1229" s="845">
        <v>4.2999999999999997E-2</v>
      </c>
      <c r="V1229" s="845">
        <v>0</v>
      </c>
      <c r="W1229" s="845">
        <v>0.49770928779675133</v>
      </c>
      <c r="X1229" s="845">
        <v>0.26025104602510463</v>
      </c>
      <c r="Y1229" s="845">
        <v>0.87943801025251567</v>
      </c>
      <c r="Z1229" s="845">
        <v>1.4239605088285551E-2</v>
      </c>
      <c r="AA1229" s="845">
        <v>0</v>
      </c>
      <c r="AB1229" s="845">
        <v>3.8352003037782419E-2</v>
      </c>
      <c r="AC1229" s="845">
        <v>0</v>
      </c>
      <c r="AD1229" s="845">
        <v>2.6580596164799694E-3</v>
      </c>
      <c r="AE1229" s="845">
        <v>6.5312322004936391E-2</v>
      </c>
      <c r="AF1229" s="845">
        <v>1.7657110309474085E-2</v>
      </c>
      <c r="AG1229" s="845">
        <v>0.87943801025251567</v>
      </c>
      <c r="AH1229" s="20" t="str">
        <f t="shared" si="110"/>
        <v>No</v>
      </c>
      <c r="AI1229" s="25"/>
      <c r="AJ1229" s="37">
        <v>44833</v>
      </c>
      <c r="AK1229" s="37" t="s">
        <v>1484</v>
      </c>
      <c r="AL1229" s="37">
        <v>39101</v>
      </c>
      <c r="AM1229" s="37" t="s">
        <v>56</v>
      </c>
      <c r="AN1229" s="37" t="str">
        <f t="shared" si="111"/>
        <v>N/A</v>
      </c>
      <c r="AO1229" s="37" t="str">
        <f t="shared" si="112"/>
        <v>N/A</v>
      </c>
      <c r="AP1229" s="20" t="s">
        <v>8</v>
      </c>
      <c r="AQ1229" s="25"/>
      <c r="AR1229" s="25"/>
      <c r="AS1229" s="25"/>
      <c r="AT1229" s="25"/>
      <c r="AU1229" s="36"/>
      <c r="AV1229" s="36"/>
      <c r="AW1229" s="36"/>
      <c r="AX1229" s="25"/>
      <c r="AY1229" s="25"/>
      <c r="AZ1229" s="25"/>
      <c r="BA1229" s="25"/>
      <c r="BB1229" s="25"/>
      <c r="BC1229" s="25"/>
      <c r="BD1229" s="25"/>
      <c r="BE1229" s="25"/>
      <c r="BF1229" s="25"/>
      <c r="BG1229" s="25"/>
      <c r="BH1229" s="25"/>
      <c r="BI1229" s="25"/>
      <c r="BJ1229" s="25"/>
      <c r="BK1229" s="25"/>
      <c r="BL1229" s="25"/>
      <c r="BM1229" s="25"/>
      <c r="BN1229" s="25"/>
      <c r="BO1229" s="25"/>
      <c r="BP1229" s="25"/>
      <c r="BQ1229" s="25"/>
      <c r="BR1229" s="25"/>
      <c r="BS1229" s="25"/>
      <c r="BT1229" s="25"/>
      <c r="BU1229" s="39">
        <v>44503</v>
      </c>
      <c r="BV1229" s="39" t="s">
        <v>1367</v>
      </c>
      <c r="BW1229" s="39" t="s">
        <v>2924</v>
      </c>
      <c r="BX1229" s="39" t="s">
        <v>2856</v>
      </c>
      <c r="BY1229" s="71">
        <v>800</v>
      </c>
      <c r="BZ1229" s="71">
        <v>840</v>
      </c>
      <c r="CA1229" s="71">
        <v>1050</v>
      </c>
      <c r="CB1229" s="71">
        <v>1370</v>
      </c>
      <c r="CC1229" s="71">
        <v>1450</v>
      </c>
      <c r="CD1229" s="25"/>
      <c r="CE1229" s="200"/>
      <c r="CF1229" s="200"/>
      <c r="CG1229" s="200"/>
      <c r="CH1229" s="200"/>
      <c r="CI1229" s="200"/>
      <c r="CJ1229" s="200"/>
      <c r="CK1229" s="200"/>
      <c r="CL1229" s="200"/>
      <c r="CM1229" s="200"/>
      <c r="CN1229" s="200"/>
      <c r="CO1229" s="200"/>
      <c r="CP1229" s="200"/>
      <c r="CQ1229" s="200"/>
      <c r="CR1229" s="200"/>
      <c r="CS1229" s="200"/>
      <c r="CT1229" s="200"/>
      <c r="CU1229" s="200"/>
    </row>
    <row r="1230" spans="1:99" s="17" customFormat="1" x14ac:dyDescent="0.2">
      <c r="A1230" s="25"/>
      <c r="B1230" s="20">
        <v>39129021102</v>
      </c>
      <c r="C1230" s="20">
        <v>211.02</v>
      </c>
      <c r="D1230" s="20" t="s">
        <v>70</v>
      </c>
      <c r="E1230" s="20" t="s">
        <v>2830</v>
      </c>
      <c r="F1230" s="20" t="s">
        <v>8</v>
      </c>
      <c r="G1230" s="861">
        <v>53.340933246699201</v>
      </c>
      <c r="H1230" s="861">
        <v>63.746390441132</v>
      </c>
      <c r="I1230" s="861">
        <v>22.144779739971099</v>
      </c>
      <c r="J1230" s="861">
        <v>40.7880421568521</v>
      </c>
      <c r="K1230" s="982">
        <v>0</v>
      </c>
      <c r="L1230" s="735" t="s">
        <v>2466</v>
      </c>
      <c r="M1230" s="735">
        <v>3649</v>
      </c>
      <c r="N1230" s="845" t="str">
        <f t="shared" si="108"/>
        <v/>
      </c>
      <c r="O1230" s="735">
        <v>24.908376123780741</v>
      </c>
      <c r="P1230" s="735">
        <f t="shared" si="109"/>
        <v>146.49690457003317</v>
      </c>
      <c r="Q1230" s="849">
        <v>38.299999999999997</v>
      </c>
      <c r="R1230" s="71">
        <v>105625</v>
      </c>
      <c r="S1230" s="845">
        <v>9.3348891481913644E-3</v>
      </c>
      <c r="T1230" s="845">
        <v>4.0000000000000001E-3</v>
      </c>
      <c r="U1230" s="845">
        <v>0</v>
      </c>
      <c r="V1230" s="845">
        <v>0</v>
      </c>
      <c r="W1230" s="845">
        <v>0.1044427123928293</v>
      </c>
      <c r="X1230" s="845">
        <v>8.2089552238805971E-2</v>
      </c>
      <c r="Y1230" s="845">
        <v>0.97835023294053169</v>
      </c>
      <c r="Z1230" s="845">
        <v>4.932858317347218E-3</v>
      </c>
      <c r="AA1230" s="845">
        <v>0</v>
      </c>
      <c r="AB1230" s="845">
        <v>5.2069060016442861E-3</v>
      </c>
      <c r="AC1230" s="845">
        <v>0</v>
      </c>
      <c r="AD1230" s="845">
        <v>2.1923814743765417E-3</v>
      </c>
      <c r="AE1230" s="845">
        <v>9.3176212661003014E-3</v>
      </c>
      <c r="AF1230" s="845">
        <v>4.1107152644560153E-3</v>
      </c>
      <c r="AG1230" s="845">
        <v>0.97643189915045214</v>
      </c>
      <c r="AH1230" s="20" t="str">
        <f t="shared" si="110"/>
        <v>Yes</v>
      </c>
      <c r="AI1230" s="25"/>
      <c r="AJ1230" s="20">
        <v>44849</v>
      </c>
      <c r="AK1230" s="20" t="s">
        <v>1496</v>
      </c>
      <c r="AL1230" s="20">
        <v>39101</v>
      </c>
      <c r="AM1230" s="20" t="s">
        <v>56</v>
      </c>
      <c r="AN1230" s="37" t="str">
        <f t="shared" si="111"/>
        <v>N/A</v>
      </c>
      <c r="AO1230" s="37" t="str">
        <f t="shared" si="112"/>
        <v>N/A</v>
      </c>
      <c r="AP1230" s="20" t="s">
        <v>8</v>
      </c>
      <c r="AQ1230" s="25"/>
      <c r="AR1230" s="25"/>
      <c r="AS1230" s="25"/>
      <c r="AT1230" s="25"/>
      <c r="AU1230" s="36"/>
      <c r="AV1230" s="36"/>
      <c r="AW1230" s="36"/>
      <c r="AX1230" s="25"/>
      <c r="AY1230" s="25"/>
      <c r="AZ1230" s="25"/>
      <c r="BA1230" s="25"/>
      <c r="BB1230" s="25"/>
      <c r="BC1230" s="25"/>
      <c r="BD1230" s="25"/>
      <c r="BE1230" s="25"/>
      <c r="BF1230" s="25"/>
      <c r="BG1230" s="25"/>
      <c r="BH1230" s="25"/>
      <c r="BI1230" s="25"/>
      <c r="BJ1230" s="25"/>
      <c r="BK1230" s="25"/>
      <c r="BL1230" s="25"/>
      <c r="BM1230" s="25"/>
      <c r="BN1230" s="25"/>
      <c r="BO1230" s="25"/>
      <c r="BP1230" s="25"/>
      <c r="BQ1230" s="25"/>
      <c r="BR1230" s="25"/>
      <c r="BS1230" s="25"/>
      <c r="BT1230" s="25"/>
      <c r="BU1230" s="39">
        <v>44504</v>
      </c>
      <c r="BV1230" s="39" t="s">
        <v>1368</v>
      </c>
      <c r="BW1230" s="39" t="s">
        <v>2924</v>
      </c>
      <c r="BX1230" s="39" t="s">
        <v>2856</v>
      </c>
      <c r="BY1230" s="71">
        <v>730</v>
      </c>
      <c r="BZ1230" s="71">
        <v>770</v>
      </c>
      <c r="CA1230" s="71">
        <v>970</v>
      </c>
      <c r="CB1230" s="71">
        <v>1270</v>
      </c>
      <c r="CC1230" s="71">
        <v>1340</v>
      </c>
      <c r="CD1230" s="25"/>
      <c r="CE1230" s="200"/>
      <c r="CF1230" s="200"/>
      <c r="CG1230" s="200"/>
      <c r="CH1230" s="200"/>
      <c r="CI1230" s="200"/>
      <c r="CJ1230" s="200"/>
      <c r="CK1230" s="200"/>
      <c r="CL1230" s="200"/>
      <c r="CM1230" s="200"/>
      <c r="CN1230" s="200"/>
      <c r="CO1230" s="200"/>
      <c r="CP1230" s="200"/>
      <c r="CQ1230" s="200"/>
      <c r="CR1230" s="200"/>
      <c r="CS1230" s="200"/>
      <c r="CT1230" s="200"/>
      <c r="CU1230" s="200"/>
    </row>
    <row r="1231" spans="1:99" s="17" customFormat="1" x14ac:dyDescent="0.2">
      <c r="A1231" s="25"/>
      <c r="B1231" s="20">
        <v>39063000302</v>
      </c>
      <c r="C1231" s="20">
        <v>3.02</v>
      </c>
      <c r="D1231" s="20" t="s">
        <v>38</v>
      </c>
      <c r="E1231" s="20" t="s">
        <v>265</v>
      </c>
      <c r="F1231" s="20" t="s">
        <v>8</v>
      </c>
      <c r="G1231" s="861">
        <v>53.339549737095098</v>
      </c>
      <c r="H1231" s="861">
        <v>65.165642220818</v>
      </c>
      <c r="I1231" s="861">
        <v>21.874076356323599</v>
      </c>
      <c r="J1231" s="861">
        <v>54.183016128766397</v>
      </c>
      <c r="K1231" s="982">
        <v>0</v>
      </c>
      <c r="L1231" s="735" t="s">
        <v>2466</v>
      </c>
      <c r="M1231" s="735">
        <v>7407</v>
      </c>
      <c r="N1231" s="845" t="str">
        <f t="shared" si="108"/>
        <v/>
      </c>
      <c r="O1231" s="735">
        <v>106.29355939398502</v>
      </c>
      <c r="P1231" s="735">
        <f t="shared" si="109"/>
        <v>69.684372620785055</v>
      </c>
      <c r="Q1231" s="849">
        <v>38</v>
      </c>
      <c r="R1231" s="71">
        <v>92616</v>
      </c>
      <c r="S1231" s="845">
        <v>4.7657621169164305E-2</v>
      </c>
      <c r="T1231" s="845">
        <v>2.5000000000000001E-2</v>
      </c>
      <c r="U1231" s="845">
        <v>2.7000000000000003E-2</v>
      </c>
      <c r="V1231" s="845">
        <v>4.4999999999999998E-2</v>
      </c>
      <c r="W1231" s="845">
        <v>0.13690036900369004</v>
      </c>
      <c r="X1231" s="845">
        <v>0.22371967654986524</v>
      </c>
      <c r="Y1231" s="845">
        <v>0.93060618334008371</v>
      </c>
      <c r="Z1231" s="845">
        <v>1.6200891049007696E-3</v>
      </c>
      <c r="AA1231" s="845">
        <v>5.400297016335898E-4</v>
      </c>
      <c r="AB1231" s="845">
        <v>7.2904009720534627E-3</v>
      </c>
      <c r="AC1231" s="845">
        <v>0</v>
      </c>
      <c r="AD1231" s="845">
        <v>1.7415957877683273E-2</v>
      </c>
      <c r="AE1231" s="845">
        <v>4.25273390036452E-2</v>
      </c>
      <c r="AF1231" s="845">
        <v>4.9952747401107063E-2</v>
      </c>
      <c r="AG1231" s="845">
        <v>0.91697043337383555</v>
      </c>
      <c r="AH1231" s="20" t="str">
        <f t="shared" si="110"/>
        <v>Yes</v>
      </c>
      <c r="AI1231" s="25"/>
      <c r="AJ1231" s="20">
        <v>45620</v>
      </c>
      <c r="AK1231" s="20" t="s">
        <v>1776</v>
      </c>
      <c r="AL1231" s="20">
        <v>39105</v>
      </c>
      <c r="AM1231" s="20" t="s">
        <v>58</v>
      </c>
      <c r="AN1231" s="37" t="str">
        <f t="shared" si="111"/>
        <v>N/A</v>
      </c>
      <c r="AO1231" s="37" t="str">
        <f t="shared" si="112"/>
        <v>N/A</v>
      </c>
      <c r="AP1231" s="20" t="s">
        <v>8</v>
      </c>
      <c r="AQ1231" s="25"/>
      <c r="AR1231" s="25"/>
      <c r="AS1231" s="25"/>
      <c r="AT1231" s="25"/>
      <c r="AU1231" s="36"/>
      <c r="AV1231" s="36"/>
      <c r="AW1231" s="36"/>
      <c r="AX1231" s="25"/>
      <c r="AY1231" s="25"/>
      <c r="AZ1231" s="25"/>
      <c r="BA1231" s="25"/>
      <c r="BB1231" s="25"/>
      <c r="BC1231" s="25"/>
      <c r="BD1231" s="25"/>
      <c r="BE1231" s="25"/>
      <c r="BF1231" s="25"/>
      <c r="BG1231" s="25"/>
      <c r="BH1231" s="25"/>
      <c r="BI1231" s="25"/>
      <c r="BJ1231" s="25"/>
      <c r="BK1231" s="25"/>
      <c r="BL1231" s="25"/>
      <c r="BM1231" s="25"/>
      <c r="BN1231" s="25"/>
      <c r="BO1231" s="25"/>
      <c r="BP1231" s="25"/>
      <c r="BQ1231" s="25"/>
      <c r="BR1231" s="25"/>
      <c r="BS1231" s="25"/>
      <c r="BT1231" s="25"/>
      <c r="BU1231" s="39">
        <v>44505</v>
      </c>
      <c r="BV1231" s="39" t="s">
        <v>1369</v>
      </c>
      <c r="BW1231" s="39" t="s">
        <v>2924</v>
      </c>
      <c r="BX1231" s="39" t="s">
        <v>2856</v>
      </c>
      <c r="BY1231" s="71">
        <v>730</v>
      </c>
      <c r="BZ1231" s="71">
        <v>770</v>
      </c>
      <c r="CA1231" s="71">
        <v>970</v>
      </c>
      <c r="CB1231" s="71">
        <v>1270</v>
      </c>
      <c r="CC1231" s="71">
        <v>1340</v>
      </c>
      <c r="CD1231" s="25"/>
      <c r="CE1231" s="200"/>
      <c r="CF1231" s="200"/>
      <c r="CG1231" s="200"/>
      <c r="CH1231" s="200"/>
      <c r="CI1231" s="200"/>
      <c r="CJ1231" s="200"/>
      <c r="CK1231" s="200"/>
      <c r="CL1231" s="200"/>
      <c r="CM1231" s="200"/>
      <c r="CN1231" s="200"/>
      <c r="CO1231" s="200"/>
      <c r="CP1231" s="200"/>
      <c r="CQ1231" s="200"/>
      <c r="CR1231" s="200"/>
      <c r="CS1231" s="200"/>
      <c r="CT1231" s="200"/>
      <c r="CU1231" s="200"/>
    </row>
    <row r="1232" spans="1:99" s="17" customFormat="1" x14ac:dyDescent="0.2">
      <c r="A1232" s="25"/>
      <c r="B1232" s="20">
        <v>39153504700</v>
      </c>
      <c r="C1232" s="20">
        <v>5047</v>
      </c>
      <c r="D1232" s="20" t="s">
        <v>82</v>
      </c>
      <c r="E1232" s="20" t="s">
        <v>2843</v>
      </c>
      <c r="F1232" s="20" t="s">
        <v>8</v>
      </c>
      <c r="G1232" s="861">
        <v>53.287626446722797</v>
      </c>
      <c r="H1232" s="861">
        <v>60.196884580148499</v>
      </c>
      <c r="I1232" s="861">
        <v>35.205266601255602</v>
      </c>
      <c r="J1232" s="861">
        <v>41.848674264839502</v>
      </c>
      <c r="K1232" s="982">
        <v>0</v>
      </c>
      <c r="L1232" s="735">
        <v>4738</v>
      </c>
      <c r="M1232" s="735">
        <v>4425</v>
      </c>
      <c r="N1232" s="845">
        <f t="shared" si="108"/>
        <v>-6.606162937948501E-2</v>
      </c>
      <c r="O1232" s="735">
        <v>0.66070380531592487</v>
      </c>
      <c r="P1232" s="735">
        <f t="shared" si="109"/>
        <v>6697.4035330160141</v>
      </c>
      <c r="Q1232" s="849">
        <v>34</v>
      </c>
      <c r="R1232" s="71">
        <v>67793</v>
      </c>
      <c r="S1232" s="845">
        <v>0.13094698685999093</v>
      </c>
      <c r="T1232" s="845">
        <v>0.106</v>
      </c>
      <c r="U1232" s="845">
        <v>9.6999999999999989E-2</v>
      </c>
      <c r="V1232" s="845">
        <v>0</v>
      </c>
      <c r="W1232" s="845">
        <v>0.43947655398037078</v>
      </c>
      <c r="X1232" s="845">
        <v>0.32878411910669975</v>
      </c>
      <c r="Y1232" s="845">
        <v>0.57943502824858761</v>
      </c>
      <c r="Z1232" s="845">
        <v>0.21627118644067797</v>
      </c>
      <c r="AA1232" s="845">
        <v>2.4858757062146894E-3</v>
      </c>
      <c r="AB1232" s="845">
        <v>3.9096045197740112E-2</v>
      </c>
      <c r="AC1232" s="845">
        <v>0</v>
      </c>
      <c r="AD1232" s="845">
        <v>0</v>
      </c>
      <c r="AE1232" s="845">
        <v>0.16271186440677965</v>
      </c>
      <c r="AF1232" s="845">
        <v>6.8700564971751407E-2</v>
      </c>
      <c r="AG1232" s="845">
        <v>0.52406779661016945</v>
      </c>
      <c r="AH1232" s="20" t="str">
        <f t="shared" si="110"/>
        <v>No</v>
      </c>
      <c r="AI1232" s="25"/>
      <c r="AJ1232" s="37">
        <v>45686</v>
      </c>
      <c r="AK1232" s="37" t="s">
        <v>1821</v>
      </c>
      <c r="AL1232" s="37">
        <v>39105</v>
      </c>
      <c r="AM1232" s="37" t="s">
        <v>58</v>
      </c>
      <c r="AN1232" s="37" t="str">
        <f t="shared" si="111"/>
        <v>N/A</v>
      </c>
      <c r="AO1232" s="37" t="str">
        <f t="shared" si="112"/>
        <v>N/A</v>
      </c>
      <c r="AP1232" s="20" t="s">
        <v>8</v>
      </c>
      <c r="AQ1232" s="25"/>
      <c r="AR1232" s="25"/>
      <c r="AS1232" s="25"/>
      <c r="AT1232" s="25"/>
      <c r="AU1232" s="36"/>
      <c r="AV1232" s="36"/>
      <c r="AW1232" s="36"/>
      <c r="AX1232" s="25"/>
      <c r="AY1232" s="25"/>
      <c r="AZ1232" s="25"/>
      <c r="BA1232" s="25"/>
      <c r="BB1232" s="25"/>
      <c r="BC1232" s="25"/>
      <c r="BD1232" s="25"/>
      <c r="BE1232" s="25"/>
      <c r="BF1232" s="25"/>
      <c r="BG1232" s="25"/>
      <c r="BH1232" s="25"/>
      <c r="BI1232" s="25"/>
      <c r="BJ1232" s="25"/>
      <c r="BK1232" s="25"/>
      <c r="BL1232" s="25"/>
      <c r="BM1232" s="25"/>
      <c r="BN1232" s="25"/>
      <c r="BO1232" s="25"/>
      <c r="BP1232" s="25"/>
      <c r="BQ1232" s="25"/>
      <c r="BR1232" s="25"/>
      <c r="BS1232" s="25"/>
      <c r="BT1232" s="25"/>
      <c r="BU1232" s="39">
        <v>44506</v>
      </c>
      <c r="BV1232" s="39" t="s">
        <v>1370</v>
      </c>
      <c r="BW1232" s="39" t="s">
        <v>2924</v>
      </c>
      <c r="BX1232" s="39" t="s">
        <v>2856</v>
      </c>
      <c r="BY1232" s="71">
        <v>730</v>
      </c>
      <c r="BZ1232" s="71">
        <v>770</v>
      </c>
      <c r="CA1232" s="71">
        <v>970</v>
      </c>
      <c r="CB1232" s="71">
        <v>1270</v>
      </c>
      <c r="CC1232" s="71">
        <v>1340</v>
      </c>
      <c r="CD1232" s="25"/>
      <c r="CE1232" s="200"/>
      <c r="CF1232" s="200"/>
      <c r="CG1232" s="200"/>
      <c r="CH1232" s="200"/>
      <c r="CI1232" s="200"/>
      <c r="CJ1232" s="200"/>
      <c r="CK1232" s="200"/>
      <c r="CL1232" s="200"/>
      <c r="CM1232" s="200"/>
      <c r="CN1232" s="200"/>
      <c r="CO1232" s="200"/>
      <c r="CP1232" s="200"/>
      <c r="CQ1232" s="200"/>
      <c r="CR1232" s="200"/>
      <c r="CS1232" s="200"/>
      <c r="CT1232" s="200"/>
      <c r="CU1232" s="200"/>
    </row>
    <row r="1233" spans="1:99" s="17" customFormat="1" x14ac:dyDescent="0.2">
      <c r="A1233" s="25"/>
      <c r="B1233" s="20">
        <v>39061021603</v>
      </c>
      <c r="C1233" s="20">
        <v>216.03</v>
      </c>
      <c r="D1233" s="20" t="s">
        <v>37</v>
      </c>
      <c r="E1233" s="20" t="s">
        <v>2828</v>
      </c>
      <c r="F1233" s="20" t="s">
        <v>8</v>
      </c>
      <c r="G1233" s="861">
        <v>53.278835132001497</v>
      </c>
      <c r="H1233" s="861">
        <v>61.889529144681802</v>
      </c>
      <c r="I1233" s="861">
        <v>28.018836317442499</v>
      </c>
      <c r="J1233" s="861">
        <v>54.544523822003903</v>
      </c>
      <c r="K1233" s="982">
        <v>0</v>
      </c>
      <c r="L1233" s="735">
        <v>3614</v>
      </c>
      <c r="M1233" s="735">
        <v>3318</v>
      </c>
      <c r="N1233" s="845">
        <f t="shared" si="108"/>
        <v>-8.1903707802988376E-2</v>
      </c>
      <c r="O1233" s="735">
        <v>1.6076880754483465</v>
      </c>
      <c r="P1233" s="735">
        <f t="shared" si="109"/>
        <v>2063.8331842292778</v>
      </c>
      <c r="Q1233" s="849">
        <v>39.1</v>
      </c>
      <c r="R1233" s="71">
        <v>74042</v>
      </c>
      <c r="S1233" s="845">
        <v>0.13110307414104883</v>
      </c>
      <c r="T1233" s="845">
        <v>8.4000000000000005E-2</v>
      </c>
      <c r="U1233" s="845">
        <v>0</v>
      </c>
      <c r="V1233" s="845">
        <v>0.111</v>
      </c>
      <c r="W1233" s="845">
        <v>0.17664897649734648</v>
      </c>
      <c r="X1233" s="845">
        <v>0.14163090128755365</v>
      </c>
      <c r="Y1233" s="845">
        <v>0.51265822784810122</v>
      </c>
      <c r="Z1233" s="845">
        <v>0.32489451476793246</v>
      </c>
      <c r="AA1233" s="845">
        <v>0</v>
      </c>
      <c r="AB1233" s="845">
        <v>1.2959614225437011E-2</v>
      </c>
      <c r="AC1233" s="845">
        <v>0</v>
      </c>
      <c r="AD1233" s="845">
        <v>3.6769138034960819E-2</v>
      </c>
      <c r="AE1233" s="845">
        <v>0.11271850512356842</v>
      </c>
      <c r="AF1233" s="845">
        <v>1.7179023508137433E-2</v>
      </c>
      <c r="AG1233" s="845">
        <v>0.51265822784810122</v>
      </c>
      <c r="AH1233" s="20" t="str">
        <f t="shared" si="110"/>
        <v>No</v>
      </c>
      <c r="AI1233" s="25"/>
      <c r="AJ1233" s="20">
        <v>45710</v>
      </c>
      <c r="AK1233" s="20" t="s">
        <v>1833</v>
      </c>
      <c r="AL1233" s="20">
        <v>39105</v>
      </c>
      <c r="AM1233" s="20" t="s">
        <v>58</v>
      </c>
      <c r="AN1233" s="37" t="str">
        <f t="shared" si="111"/>
        <v>N/A</v>
      </c>
      <c r="AO1233" s="37" t="str">
        <f t="shared" si="112"/>
        <v>N/A</v>
      </c>
      <c r="AP1233" s="20" t="s">
        <v>8</v>
      </c>
      <c r="AQ1233" s="25"/>
      <c r="AR1233" s="25"/>
      <c r="AS1233" s="25"/>
      <c r="AT1233" s="25"/>
      <c r="AU1233" s="36"/>
      <c r="AV1233" s="36"/>
      <c r="AW1233" s="36"/>
      <c r="AX1233" s="25"/>
      <c r="AY1233" s="25"/>
      <c r="AZ1233" s="25"/>
      <c r="BA1233" s="25"/>
      <c r="BB1233" s="25"/>
      <c r="BC1233" s="25"/>
      <c r="BD1233" s="25"/>
      <c r="BE1233" s="25"/>
      <c r="BF1233" s="25"/>
      <c r="BG1233" s="25"/>
      <c r="BH1233" s="25"/>
      <c r="BI1233" s="25"/>
      <c r="BJ1233" s="25"/>
      <c r="BK1233" s="25"/>
      <c r="BL1233" s="25"/>
      <c r="BM1233" s="25"/>
      <c r="BN1233" s="25"/>
      <c r="BO1233" s="25"/>
      <c r="BP1233" s="25"/>
      <c r="BQ1233" s="25"/>
      <c r="BR1233" s="25"/>
      <c r="BS1233" s="25"/>
      <c r="BT1233" s="25"/>
      <c r="BU1233" s="39">
        <v>44507</v>
      </c>
      <c r="BV1233" s="39" t="s">
        <v>1371</v>
      </c>
      <c r="BW1233" s="39" t="s">
        <v>2924</v>
      </c>
      <c r="BX1233" s="39" t="s">
        <v>2856</v>
      </c>
      <c r="BY1233" s="71">
        <v>760</v>
      </c>
      <c r="BZ1233" s="71">
        <v>800</v>
      </c>
      <c r="CA1233" s="71">
        <v>1010</v>
      </c>
      <c r="CB1233" s="71">
        <v>1320</v>
      </c>
      <c r="CC1233" s="71">
        <v>1400</v>
      </c>
      <c r="CD1233" s="25"/>
      <c r="CE1233" s="200"/>
      <c r="CF1233" s="200"/>
      <c r="CG1233" s="200"/>
      <c r="CH1233" s="200"/>
      <c r="CI1233" s="200"/>
      <c r="CJ1233" s="200"/>
      <c r="CK1233" s="200"/>
      <c r="CL1233" s="200"/>
      <c r="CM1233" s="200"/>
      <c r="CN1233" s="200"/>
      <c r="CO1233" s="200"/>
      <c r="CP1233" s="200"/>
      <c r="CQ1233" s="200"/>
      <c r="CR1233" s="200"/>
      <c r="CS1233" s="200"/>
      <c r="CT1233" s="200"/>
      <c r="CU1233" s="200"/>
    </row>
    <row r="1234" spans="1:99" s="17" customFormat="1" x14ac:dyDescent="0.2">
      <c r="A1234" s="25"/>
      <c r="B1234" s="20">
        <v>39091004700</v>
      </c>
      <c r="C1234" s="20">
        <v>47</v>
      </c>
      <c r="D1234" s="20" t="s">
        <v>51</v>
      </c>
      <c r="E1234" s="20" t="s">
        <v>265</v>
      </c>
      <c r="F1234" s="20" t="s">
        <v>8</v>
      </c>
      <c r="G1234" s="861">
        <v>53.256232156840397</v>
      </c>
      <c r="H1234" s="861">
        <v>57.007053493175498</v>
      </c>
      <c r="I1234" s="861">
        <v>23.372801878438398</v>
      </c>
      <c r="J1234" s="861">
        <v>48.410976745580001</v>
      </c>
      <c r="K1234" s="982">
        <v>0</v>
      </c>
      <c r="L1234" s="735">
        <v>5218</v>
      </c>
      <c r="M1234" s="735">
        <v>5432</v>
      </c>
      <c r="N1234" s="845">
        <f t="shared" si="108"/>
        <v>4.1011881947106171E-2</v>
      </c>
      <c r="O1234" s="735">
        <v>101.86577381623579</v>
      </c>
      <c r="P1234" s="735">
        <f t="shared" si="109"/>
        <v>53.325074718415628</v>
      </c>
      <c r="Q1234" s="849">
        <v>45.1</v>
      </c>
      <c r="R1234" s="71">
        <v>96313</v>
      </c>
      <c r="S1234" s="845">
        <v>3.4793814432989692E-2</v>
      </c>
      <c r="T1234" s="845">
        <v>3.3000000000000002E-2</v>
      </c>
      <c r="U1234" s="845">
        <v>0</v>
      </c>
      <c r="V1234" s="845">
        <v>0</v>
      </c>
      <c r="W1234" s="845">
        <v>9.5556617295747728E-2</v>
      </c>
      <c r="X1234" s="845">
        <v>0.255</v>
      </c>
      <c r="Y1234" s="845">
        <v>0.92047128129602351</v>
      </c>
      <c r="Z1234" s="845">
        <v>9.0206185567010301E-3</v>
      </c>
      <c r="AA1234" s="845">
        <v>0</v>
      </c>
      <c r="AB1234" s="845">
        <v>2.540500736377025E-2</v>
      </c>
      <c r="AC1234" s="845">
        <v>1.6568483063328424E-3</v>
      </c>
      <c r="AD1234" s="845">
        <v>3.3136966126656848E-3</v>
      </c>
      <c r="AE1234" s="845">
        <v>4.0132547864506631E-2</v>
      </c>
      <c r="AF1234" s="845">
        <v>1.6568483063328424E-2</v>
      </c>
      <c r="AG1234" s="845">
        <v>0.92047128129602351</v>
      </c>
      <c r="AH1234" s="20" t="str">
        <f t="shared" si="110"/>
        <v>Yes</v>
      </c>
      <c r="AI1234" s="25"/>
      <c r="AJ1234" s="20">
        <v>45720</v>
      </c>
      <c r="AK1234" s="20" t="s">
        <v>1839</v>
      </c>
      <c r="AL1234" s="20">
        <v>39105</v>
      </c>
      <c r="AM1234" s="20" t="s">
        <v>58</v>
      </c>
      <c r="AN1234" s="37" t="str">
        <f t="shared" si="111"/>
        <v>N/A</v>
      </c>
      <c r="AO1234" s="37" t="str">
        <f t="shared" si="112"/>
        <v>N/A</v>
      </c>
      <c r="AP1234" s="20" t="s">
        <v>8</v>
      </c>
      <c r="AQ1234" s="25"/>
      <c r="AR1234" s="25"/>
      <c r="AS1234" s="25"/>
      <c r="AT1234" s="25"/>
      <c r="AU1234" s="36"/>
      <c r="AV1234" s="36"/>
      <c r="AW1234" s="36"/>
      <c r="AX1234" s="25"/>
      <c r="AY1234" s="25"/>
      <c r="AZ1234" s="25"/>
      <c r="BA1234" s="25"/>
      <c r="BB1234" s="25"/>
      <c r="BC1234" s="25"/>
      <c r="BD1234" s="25"/>
      <c r="BE1234" s="25"/>
      <c r="BF1234" s="25"/>
      <c r="BG1234" s="25"/>
      <c r="BH1234" s="25"/>
      <c r="BI1234" s="25"/>
      <c r="BJ1234" s="25"/>
      <c r="BK1234" s="25"/>
      <c r="BL1234" s="25"/>
      <c r="BM1234" s="25"/>
      <c r="BN1234" s="25"/>
      <c r="BO1234" s="25"/>
      <c r="BP1234" s="25"/>
      <c r="BQ1234" s="25"/>
      <c r="BR1234" s="25"/>
      <c r="BS1234" s="25"/>
      <c r="BT1234" s="25"/>
      <c r="BU1234" s="39">
        <v>44509</v>
      </c>
      <c r="BV1234" s="39" t="s">
        <v>1372</v>
      </c>
      <c r="BW1234" s="39" t="s">
        <v>2924</v>
      </c>
      <c r="BX1234" s="39" t="s">
        <v>2856</v>
      </c>
      <c r="BY1234" s="71">
        <v>750</v>
      </c>
      <c r="BZ1234" s="71">
        <v>780</v>
      </c>
      <c r="CA1234" s="71">
        <v>990</v>
      </c>
      <c r="CB1234" s="71">
        <v>1290</v>
      </c>
      <c r="CC1234" s="71">
        <v>1370</v>
      </c>
      <c r="CD1234" s="25"/>
      <c r="CE1234" s="200"/>
      <c r="CF1234" s="200"/>
      <c r="CG1234" s="200"/>
      <c r="CH1234" s="200"/>
      <c r="CI1234" s="200"/>
      <c r="CJ1234" s="200"/>
      <c r="CK1234" s="200"/>
      <c r="CL1234" s="200"/>
      <c r="CM1234" s="200"/>
      <c r="CN1234" s="200"/>
      <c r="CO1234" s="200"/>
      <c r="CP1234" s="200"/>
      <c r="CQ1234" s="200"/>
      <c r="CR1234" s="200"/>
      <c r="CS1234" s="200"/>
      <c r="CT1234" s="200"/>
      <c r="CU1234" s="200"/>
    </row>
    <row r="1235" spans="1:99" s="17" customFormat="1" x14ac:dyDescent="0.2">
      <c r="A1235" s="25"/>
      <c r="B1235" s="20">
        <v>39173021300</v>
      </c>
      <c r="C1235" s="20">
        <v>213</v>
      </c>
      <c r="D1235" s="20" t="s">
        <v>92</v>
      </c>
      <c r="E1235" s="20" t="s">
        <v>2839</v>
      </c>
      <c r="F1235" s="20" t="s">
        <v>8</v>
      </c>
      <c r="G1235" s="861">
        <v>53.2521762358462</v>
      </c>
      <c r="H1235" s="861">
        <v>63.0046860896392</v>
      </c>
      <c r="I1235" s="861">
        <v>16.8207868778739</v>
      </c>
      <c r="J1235" s="861">
        <v>45.663521796645597</v>
      </c>
      <c r="K1235" s="982">
        <v>0</v>
      </c>
      <c r="L1235" s="735">
        <v>3573</v>
      </c>
      <c r="M1235" s="735">
        <v>4021</v>
      </c>
      <c r="N1235" s="845">
        <f t="shared" si="108"/>
        <v>0.12538483067450321</v>
      </c>
      <c r="O1235" s="735">
        <v>34.391154791826438</v>
      </c>
      <c r="P1235" s="735">
        <f t="shared" si="109"/>
        <v>116.91959820307196</v>
      </c>
      <c r="Q1235" s="849">
        <v>40.6</v>
      </c>
      <c r="R1235" s="71">
        <v>100223</v>
      </c>
      <c r="S1235" s="845">
        <v>5.0012503125781448E-2</v>
      </c>
      <c r="T1235" s="845">
        <v>3.5000000000000003E-2</v>
      </c>
      <c r="U1235" s="845">
        <v>6.0000000000000001E-3</v>
      </c>
      <c r="V1235" s="845">
        <v>3.9E-2</v>
      </c>
      <c r="W1235" s="845">
        <v>0.13558155540261527</v>
      </c>
      <c r="X1235" s="845">
        <v>0.17258883248730963</v>
      </c>
      <c r="Y1235" s="845">
        <v>0.94354638149713999</v>
      </c>
      <c r="Z1235" s="845">
        <v>6.7147475752300425E-3</v>
      </c>
      <c r="AA1235" s="845">
        <v>7.4608306391444918E-4</v>
      </c>
      <c r="AB1235" s="845">
        <v>4.227804028848545E-3</v>
      </c>
      <c r="AC1235" s="845">
        <v>0</v>
      </c>
      <c r="AD1235" s="845">
        <v>1.3429495150460085E-2</v>
      </c>
      <c r="AE1235" s="845">
        <v>3.1335488684406866E-2</v>
      </c>
      <c r="AF1235" s="845">
        <v>6.8639641880129318E-2</v>
      </c>
      <c r="AG1235" s="845">
        <v>0.91494653071375276</v>
      </c>
      <c r="AH1235" s="20" t="str">
        <f t="shared" si="110"/>
        <v>Yes</v>
      </c>
      <c r="AI1235" s="25"/>
      <c r="AJ1235" s="37">
        <v>45723</v>
      </c>
      <c r="AK1235" s="37" t="s">
        <v>1841</v>
      </c>
      <c r="AL1235" s="37">
        <v>39105</v>
      </c>
      <c r="AM1235" s="37" t="s">
        <v>58</v>
      </c>
      <c r="AN1235" s="37" t="str">
        <f t="shared" si="111"/>
        <v>N/A</v>
      </c>
      <c r="AO1235" s="37" t="str">
        <f t="shared" si="112"/>
        <v>N/A</v>
      </c>
      <c r="AP1235" s="20" t="s">
        <v>8</v>
      </c>
      <c r="AQ1235" s="25"/>
      <c r="AR1235" s="25"/>
      <c r="AS1235" s="25"/>
      <c r="AT1235" s="25"/>
      <c r="AU1235" s="36"/>
      <c r="AV1235" s="36"/>
      <c r="AW1235" s="36"/>
      <c r="AX1235" s="25"/>
      <c r="AY1235" s="25"/>
      <c r="AZ1235" s="25"/>
      <c r="BA1235" s="25"/>
      <c r="BB1235" s="25"/>
      <c r="BC1235" s="25"/>
      <c r="BD1235" s="25"/>
      <c r="BE1235" s="25"/>
      <c r="BF1235" s="25"/>
      <c r="BG1235" s="25"/>
      <c r="BH1235" s="25"/>
      <c r="BI1235" s="25"/>
      <c r="BJ1235" s="25"/>
      <c r="BK1235" s="25"/>
      <c r="BL1235" s="25"/>
      <c r="BM1235" s="25"/>
      <c r="BN1235" s="25"/>
      <c r="BO1235" s="25"/>
      <c r="BP1235" s="25"/>
      <c r="BQ1235" s="25"/>
      <c r="BR1235" s="25"/>
      <c r="BS1235" s="25"/>
      <c r="BT1235" s="25"/>
      <c r="BU1235" s="39">
        <v>44510</v>
      </c>
      <c r="BV1235" s="39" t="s">
        <v>1373</v>
      </c>
      <c r="BW1235" s="39" t="s">
        <v>2924</v>
      </c>
      <c r="BX1235" s="39" t="s">
        <v>2856</v>
      </c>
      <c r="BY1235" s="71">
        <v>730</v>
      </c>
      <c r="BZ1235" s="71">
        <v>770</v>
      </c>
      <c r="CA1235" s="71">
        <v>970</v>
      </c>
      <c r="CB1235" s="71">
        <v>1270</v>
      </c>
      <c r="CC1235" s="71">
        <v>1340</v>
      </c>
      <c r="CD1235" s="25"/>
      <c r="CE1235" s="200"/>
      <c r="CF1235" s="200"/>
      <c r="CG1235" s="200"/>
      <c r="CH1235" s="200"/>
      <c r="CI1235" s="200"/>
      <c r="CJ1235" s="200"/>
      <c r="CK1235" s="200"/>
      <c r="CL1235" s="200"/>
      <c r="CM1235" s="200"/>
      <c r="CN1235" s="200"/>
      <c r="CO1235" s="200"/>
      <c r="CP1235" s="200"/>
      <c r="CQ1235" s="200"/>
      <c r="CR1235" s="200"/>
      <c r="CS1235" s="200"/>
      <c r="CT1235" s="200"/>
      <c r="CU1235" s="200"/>
    </row>
    <row r="1236" spans="1:99" s="17" customFormat="1" x14ac:dyDescent="0.2">
      <c r="A1236" s="25"/>
      <c r="B1236" s="20">
        <v>39057240304</v>
      </c>
      <c r="C1236" s="20">
        <v>2403.04</v>
      </c>
      <c r="D1236" s="20" t="s">
        <v>35</v>
      </c>
      <c r="E1236" s="20" t="s">
        <v>2833</v>
      </c>
      <c r="F1236" s="20" t="s">
        <v>8</v>
      </c>
      <c r="G1236" s="861">
        <v>53.238206541254101</v>
      </c>
      <c r="H1236" s="861">
        <v>58.353206991173799</v>
      </c>
      <c r="I1236" s="861">
        <v>15.6893416464099</v>
      </c>
      <c r="J1236" s="861">
        <v>66.492838361387996</v>
      </c>
      <c r="K1236" s="982">
        <v>0</v>
      </c>
      <c r="L1236" s="735" t="s">
        <v>2466</v>
      </c>
      <c r="M1236" s="735">
        <v>4447</v>
      </c>
      <c r="N1236" s="845" t="str">
        <f t="shared" si="108"/>
        <v/>
      </c>
      <c r="O1236" s="735">
        <v>2.5480742457925802</v>
      </c>
      <c r="P1236" s="735">
        <f t="shared" si="109"/>
        <v>1745.2395695859159</v>
      </c>
      <c r="Q1236" s="849">
        <v>38.299999999999997</v>
      </c>
      <c r="R1236" s="71">
        <v>97670</v>
      </c>
      <c r="S1236" s="845">
        <v>4.7897458961097372E-2</v>
      </c>
      <c r="T1236" s="845">
        <v>3.9E-2</v>
      </c>
      <c r="U1236" s="845">
        <v>0</v>
      </c>
      <c r="V1236" s="845">
        <v>0</v>
      </c>
      <c r="W1236" s="845">
        <v>8.1164807930607194E-2</v>
      </c>
      <c r="X1236" s="845">
        <v>0.17557251908396945</v>
      </c>
      <c r="Y1236" s="845">
        <v>0.79739149988756464</v>
      </c>
      <c r="Z1236" s="845">
        <v>8.1178322464582869E-2</v>
      </c>
      <c r="AA1236" s="845">
        <v>9.2196986732628744E-3</v>
      </c>
      <c r="AB1236" s="845">
        <v>1.2143017764785248E-2</v>
      </c>
      <c r="AC1236" s="845">
        <v>0</v>
      </c>
      <c r="AD1236" s="845">
        <v>3.2381380706093997E-2</v>
      </c>
      <c r="AE1236" s="845">
        <v>6.7686080503710361E-2</v>
      </c>
      <c r="AF1236" s="845">
        <v>0.10703845288958849</v>
      </c>
      <c r="AG1236" s="845">
        <v>0.77243085225995056</v>
      </c>
      <c r="AH1236" s="20" t="str">
        <f t="shared" si="110"/>
        <v>No</v>
      </c>
      <c r="AI1236" s="25"/>
      <c r="AJ1236" s="37">
        <v>45735</v>
      </c>
      <c r="AK1236" s="37" t="s">
        <v>1847</v>
      </c>
      <c r="AL1236" s="37">
        <v>39105</v>
      </c>
      <c r="AM1236" s="37" t="s">
        <v>58</v>
      </c>
      <c r="AN1236" s="37" t="str">
        <f t="shared" si="111"/>
        <v>N/A</v>
      </c>
      <c r="AO1236" s="37" t="str">
        <f t="shared" si="112"/>
        <v>N/A</v>
      </c>
      <c r="AP1236" s="20" t="s">
        <v>8</v>
      </c>
      <c r="AQ1236" s="25"/>
      <c r="AR1236" s="25"/>
      <c r="AS1236" s="25"/>
      <c r="AT1236" s="25"/>
      <c r="AU1236" s="36"/>
      <c r="AV1236" s="36"/>
      <c r="AW1236" s="36"/>
      <c r="AX1236" s="25"/>
      <c r="AY1236" s="25"/>
      <c r="AZ1236" s="25"/>
      <c r="BA1236" s="25"/>
      <c r="BB1236" s="25"/>
      <c r="BC1236" s="25"/>
      <c r="BD1236" s="25"/>
      <c r="BE1236" s="25"/>
      <c r="BF1236" s="25"/>
      <c r="BG1236" s="25"/>
      <c r="BH1236" s="25"/>
      <c r="BI1236" s="25"/>
      <c r="BJ1236" s="25"/>
      <c r="BK1236" s="25"/>
      <c r="BL1236" s="25"/>
      <c r="BM1236" s="25"/>
      <c r="BN1236" s="25"/>
      <c r="BO1236" s="25"/>
      <c r="BP1236" s="25"/>
      <c r="BQ1236" s="25"/>
      <c r="BR1236" s="25"/>
      <c r="BS1236" s="25"/>
      <c r="BT1236" s="25"/>
      <c r="BU1236" s="39">
        <v>44511</v>
      </c>
      <c r="BV1236" s="39" t="s">
        <v>1374</v>
      </c>
      <c r="BW1236" s="39" t="s">
        <v>2924</v>
      </c>
      <c r="BX1236" s="39" t="s">
        <v>2856</v>
      </c>
      <c r="BY1236" s="71">
        <v>730</v>
      </c>
      <c r="BZ1236" s="71">
        <v>770</v>
      </c>
      <c r="CA1236" s="71">
        <v>970</v>
      </c>
      <c r="CB1236" s="71">
        <v>1270</v>
      </c>
      <c r="CC1236" s="71">
        <v>1340</v>
      </c>
      <c r="CD1236" s="25"/>
      <c r="CE1236" s="200"/>
      <c r="CF1236" s="200"/>
      <c r="CG1236" s="200"/>
      <c r="CH1236" s="200"/>
      <c r="CI1236" s="200"/>
      <c r="CJ1236" s="200"/>
      <c r="CK1236" s="200"/>
      <c r="CL1236" s="200"/>
      <c r="CM1236" s="200"/>
      <c r="CN1236" s="200"/>
      <c r="CO1236" s="200"/>
      <c r="CP1236" s="200"/>
      <c r="CQ1236" s="200"/>
      <c r="CR1236" s="200"/>
      <c r="CS1236" s="200"/>
      <c r="CT1236" s="200"/>
      <c r="CU1236" s="200"/>
    </row>
    <row r="1237" spans="1:99" s="17" customFormat="1" x14ac:dyDescent="0.2">
      <c r="A1237" s="25"/>
      <c r="B1237" s="20">
        <v>39151713600</v>
      </c>
      <c r="C1237" s="20">
        <v>7136</v>
      </c>
      <c r="D1237" s="20" t="s">
        <v>81</v>
      </c>
      <c r="E1237" s="20" t="s">
        <v>2844</v>
      </c>
      <c r="F1237" s="20" t="s">
        <v>8</v>
      </c>
      <c r="G1237" s="861">
        <v>53.229074347340202</v>
      </c>
      <c r="H1237" s="861">
        <v>67.541158711286798</v>
      </c>
      <c r="I1237" s="861">
        <v>31.007036430526298</v>
      </c>
      <c r="J1237" s="861">
        <v>18.699541368599</v>
      </c>
      <c r="K1237" s="982">
        <v>0</v>
      </c>
      <c r="L1237" s="735">
        <v>2378</v>
      </c>
      <c r="M1237" s="735">
        <v>2779</v>
      </c>
      <c r="N1237" s="845">
        <f t="shared" si="108"/>
        <v>0.16862910008410428</v>
      </c>
      <c r="O1237" s="735">
        <v>0.58600114577359974</v>
      </c>
      <c r="P1237" s="735">
        <f t="shared" si="109"/>
        <v>4742.3115467314474</v>
      </c>
      <c r="Q1237" s="849">
        <v>40.1</v>
      </c>
      <c r="R1237" s="71">
        <v>67083</v>
      </c>
      <c r="S1237" s="845">
        <v>0.11442965095358043</v>
      </c>
      <c r="T1237" s="845">
        <v>2.4E-2</v>
      </c>
      <c r="U1237" s="845">
        <v>0</v>
      </c>
      <c r="V1237" s="845">
        <v>7.2000000000000008E-2</v>
      </c>
      <c r="W1237" s="845">
        <v>0.17483108108108109</v>
      </c>
      <c r="X1237" s="845">
        <v>0.49758454106280192</v>
      </c>
      <c r="Y1237" s="845">
        <v>0.92227419935228494</v>
      </c>
      <c r="Z1237" s="845">
        <v>2.0510975170924792E-2</v>
      </c>
      <c r="AA1237" s="845">
        <v>0</v>
      </c>
      <c r="AB1237" s="845">
        <v>0</v>
      </c>
      <c r="AC1237" s="845">
        <v>0</v>
      </c>
      <c r="AD1237" s="845">
        <v>0</v>
      </c>
      <c r="AE1237" s="845">
        <v>5.7214825476790215E-2</v>
      </c>
      <c r="AF1237" s="845">
        <v>6.7290392227419935E-2</v>
      </c>
      <c r="AG1237" s="845">
        <v>0.90392227419935234</v>
      </c>
      <c r="AH1237" s="20" t="str">
        <f t="shared" si="110"/>
        <v>Yes</v>
      </c>
      <c r="AI1237" s="25"/>
      <c r="AJ1237" s="20">
        <v>45741</v>
      </c>
      <c r="AK1237" s="20" t="s">
        <v>1850</v>
      </c>
      <c r="AL1237" s="20">
        <v>39105</v>
      </c>
      <c r="AM1237" s="20" t="s">
        <v>58</v>
      </c>
      <c r="AN1237" s="37" t="str">
        <f t="shared" si="111"/>
        <v>N/A</v>
      </c>
      <c r="AO1237" s="37" t="str">
        <f t="shared" si="112"/>
        <v>N/A</v>
      </c>
      <c r="AP1237" s="20" t="s">
        <v>8</v>
      </c>
      <c r="AQ1237" s="25"/>
      <c r="AR1237" s="25"/>
      <c r="AS1237" s="25"/>
      <c r="AT1237" s="25"/>
      <c r="AU1237" s="36"/>
      <c r="AV1237" s="36"/>
      <c r="AW1237" s="36"/>
      <c r="AX1237" s="25"/>
      <c r="AY1237" s="25"/>
      <c r="AZ1237" s="25"/>
      <c r="BA1237" s="25"/>
      <c r="BB1237" s="25"/>
      <c r="BC1237" s="25"/>
      <c r="BD1237" s="25"/>
      <c r="BE1237" s="25"/>
      <c r="BF1237" s="25"/>
      <c r="BG1237" s="25"/>
      <c r="BH1237" s="25"/>
      <c r="BI1237" s="25"/>
      <c r="BJ1237" s="25"/>
      <c r="BK1237" s="25"/>
      <c r="BL1237" s="25"/>
      <c r="BM1237" s="25"/>
      <c r="BN1237" s="25"/>
      <c r="BO1237" s="25"/>
      <c r="BP1237" s="25"/>
      <c r="BQ1237" s="25"/>
      <c r="BR1237" s="25"/>
      <c r="BS1237" s="25"/>
      <c r="BT1237" s="25"/>
      <c r="BU1237" s="39">
        <v>44512</v>
      </c>
      <c r="BV1237" s="39" t="s">
        <v>1375</v>
      </c>
      <c r="BW1237" s="39" t="s">
        <v>2924</v>
      </c>
      <c r="BX1237" s="39" t="s">
        <v>2856</v>
      </c>
      <c r="BY1237" s="71">
        <v>730</v>
      </c>
      <c r="BZ1237" s="71">
        <v>770</v>
      </c>
      <c r="CA1237" s="71">
        <v>970</v>
      </c>
      <c r="CB1237" s="71">
        <v>1270</v>
      </c>
      <c r="CC1237" s="71">
        <v>1340</v>
      </c>
      <c r="CD1237" s="25"/>
      <c r="CE1237" s="200"/>
      <c r="CF1237" s="200"/>
      <c r="CG1237" s="200"/>
      <c r="CH1237" s="200"/>
      <c r="CI1237" s="200"/>
      <c r="CJ1237" s="200"/>
      <c r="CK1237" s="200"/>
      <c r="CL1237" s="200"/>
      <c r="CM1237" s="200"/>
      <c r="CN1237" s="200"/>
      <c r="CO1237" s="200"/>
      <c r="CP1237" s="200"/>
      <c r="CQ1237" s="200"/>
      <c r="CR1237" s="200"/>
      <c r="CS1237" s="200"/>
      <c r="CT1237" s="200"/>
      <c r="CU1237" s="200"/>
    </row>
    <row r="1238" spans="1:99" s="17" customFormat="1" x14ac:dyDescent="0.2">
      <c r="A1238" s="25"/>
      <c r="B1238" s="20">
        <v>39045033101</v>
      </c>
      <c r="C1238" s="20">
        <v>331.01</v>
      </c>
      <c r="D1238" s="20" t="s">
        <v>29</v>
      </c>
      <c r="E1238" s="20" t="s">
        <v>2830</v>
      </c>
      <c r="F1238" s="20" t="s">
        <v>8</v>
      </c>
      <c r="G1238" s="861">
        <v>53.203418017180702</v>
      </c>
      <c r="H1238" s="861">
        <v>57.728300096051797</v>
      </c>
      <c r="I1238" s="861">
        <v>28.4787715459303</v>
      </c>
      <c r="J1238" s="861">
        <v>38.4808528575957</v>
      </c>
      <c r="K1238" s="982">
        <v>0</v>
      </c>
      <c r="L1238" s="735" t="s">
        <v>2466</v>
      </c>
      <c r="M1238" s="735">
        <v>4600</v>
      </c>
      <c r="N1238" s="845" t="str">
        <f t="shared" si="108"/>
        <v/>
      </c>
      <c r="O1238" s="735">
        <v>4.5239176792977638</v>
      </c>
      <c r="P1238" s="735">
        <f t="shared" si="109"/>
        <v>1016.8177951270869</v>
      </c>
      <c r="Q1238" s="849">
        <v>41.1</v>
      </c>
      <c r="R1238" s="71">
        <v>80337</v>
      </c>
      <c r="S1238" s="845">
        <v>5.3913043478260869E-2</v>
      </c>
      <c r="T1238" s="845">
        <v>4.8000000000000001E-2</v>
      </c>
      <c r="U1238" s="845">
        <v>0</v>
      </c>
      <c r="V1238" s="845">
        <v>0</v>
      </c>
      <c r="W1238" s="845">
        <v>0.23669623059866962</v>
      </c>
      <c r="X1238" s="845">
        <v>0.39812646370023419</v>
      </c>
      <c r="Y1238" s="845">
        <v>0.69760869565217387</v>
      </c>
      <c r="Z1238" s="845">
        <v>0.18717391304347827</v>
      </c>
      <c r="AA1238" s="845">
        <v>0</v>
      </c>
      <c r="AB1238" s="845">
        <v>6.0434782608695649E-2</v>
      </c>
      <c r="AC1238" s="845">
        <v>0</v>
      </c>
      <c r="AD1238" s="845">
        <v>4.1304347826086954E-3</v>
      </c>
      <c r="AE1238" s="845">
        <v>5.0652173913043476E-2</v>
      </c>
      <c r="AF1238" s="845">
        <v>4.1304347826086954E-3</v>
      </c>
      <c r="AG1238" s="845">
        <v>0.69760869565217387</v>
      </c>
      <c r="AH1238" s="20" t="str">
        <f t="shared" si="110"/>
        <v>No</v>
      </c>
      <c r="AI1238" s="25"/>
      <c r="AJ1238" s="37">
        <v>45743</v>
      </c>
      <c r="AK1238" s="37" t="s">
        <v>1852</v>
      </c>
      <c r="AL1238" s="37">
        <v>39105</v>
      </c>
      <c r="AM1238" s="37" t="s">
        <v>58</v>
      </c>
      <c r="AN1238" s="37" t="str">
        <f t="shared" si="111"/>
        <v>N/A</v>
      </c>
      <c r="AO1238" s="37" t="str">
        <f t="shared" si="112"/>
        <v>N/A</v>
      </c>
      <c r="AP1238" s="20" t="s">
        <v>8</v>
      </c>
      <c r="AQ1238" s="25"/>
      <c r="AR1238" s="25"/>
      <c r="AS1238" s="25"/>
      <c r="AT1238" s="25"/>
      <c r="AU1238" s="36"/>
      <c r="AV1238" s="36"/>
      <c r="AW1238" s="36"/>
      <c r="AX1238" s="25"/>
      <c r="AY1238" s="25"/>
      <c r="AZ1238" s="25"/>
      <c r="BA1238" s="25"/>
      <c r="BB1238" s="25"/>
      <c r="BC1238" s="25"/>
      <c r="BD1238" s="25"/>
      <c r="BE1238" s="25"/>
      <c r="BF1238" s="25"/>
      <c r="BG1238" s="25"/>
      <c r="BH1238" s="25"/>
      <c r="BI1238" s="25"/>
      <c r="BJ1238" s="25"/>
      <c r="BK1238" s="25"/>
      <c r="BL1238" s="25"/>
      <c r="BM1238" s="25"/>
      <c r="BN1238" s="25"/>
      <c r="BO1238" s="25"/>
      <c r="BP1238" s="25"/>
      <c r="BQ1238" s="25"/>
      <c r="BR1238" s="25"/>
      <c r="BS1238" s="25"/>
      <c r="BT1238" s="25"/>
      <c r="BU1238" s="39">
        <v>44514</v>
      </c>
      <c r="BV1238" s="39" t="s">
        <v>1376</v>
      </c>
      <c r="BW1238" s="39" t="s">
        <v>2924</v>
      </c>
      <c r="BX1238" s="39" t="s">
        <v>2856</v>
      </c>
      <c r="BY1238" s="71">
        <v>830</v>
      </c>
      <c r="BZ1238" s="71">
        <v>870</v>
      </c>
      <c r="CA1238" s="71">
        <v>1100</v>
      </c>
      <c r="CB1238" s="71">
        <v>1440</v>
      </c>
      <c r="CC1238" s="71">
        <v>1520</v>
      </c>
      <c r="CD1238" s="25"/>
      <c r="CE1238" s="200"/>
      <c r="CF1238" s="200"/>
      <c r="CG1238" s="200"/>
      <c r="CH1238" s="200"/>
      <c r="CI1238" s="200"/>
      <c r="CJ1238" s="200"/>
      <c r="CK1238" s="200"/>
      <c r="CL1238" s="200"/>
      <c r="CM1238" s="200"/>
      <c r="CN1238" s="200"/>
      <c r="CO1238" s="200"/>
      <c r="CP1238" s="200"/>
      <c r="CQ1238" s="200"/>
      <c r="CR1238" s="200"/>
      <c r="CS1238" s="200"/>
      <c r="CT1238" s="200"/>
      <c r="CU1238" s="200"/>
    </row>
    <row r="1239" spans="1:99" s="17" customFormat="1" x14ac:dyDescent="0.2">
      <c r="A1239" s="25"/>
      <c r="B1239" s="20">
        <v>39061022500</v>
      </c>
      <c r="C1239" s="20">
        <v>225</v>
      </c>
      <c r="D1239" s="20" t="s">
        <v>37</v>
      </c>
      <c r="E1239" s="20" t="s">
        <v>2828</v>
      </c>
      <c r="F1239" s="20" t="s">
        <v>8</v>
      </c>
      <c r="G1239" s="861">
        <v>53.181590277723203</v>
      </c>
      <c r="H1239" s="861">
        <v>54.821377475336597</v>
      </c>
      <c r="I1239" s="861">
        <v>36.474706793157303</v>
      </c>
      <c r="J1239" s="861">
        <v>40.549678794194101</v>
      </c>
      <c r="K1239" s="982">
        <v>0</v>
      </c>
      <c r="L1239" s="735">
        <v>4049</v>
      </c>
      <c r="M1239" s="735">
        <v>4490</v>
      </c>
      <c r="N1239" s="845">
        <f t="shared" si="108"/>
        <v>0.10891578167448752</v>
      </c>
      <c r="O1239" s="735">
        <v>3.3626536609853397</v>
      </c>
      <c r="P1239" s="735">
        <f t="shared" si="109"/>
        <v>1335.2549660687685</v>
      </c>
      <c r="Q1239" s="849">
        <v>37.299999999999997</v>
      </c>
      <c r="R1239" s="71">
        <v>68266</v>
      </c>
      <c r="S1239" s="845">
        <v>0.16343937298294145</v>
      </c>
      <c r="T1239" s="845">
        <v>3.6000000000000004E-2</v>
      </c>
      <c r="U1239" s="845">
        <v>0</v>
      </c>
      <c r="V1239" s="845">
        <v>0</v>
      </c>
      <c r="W1239" s="845">
        <v>0.57128463476070523</v>
      </c>
      <c r="X1239" s="845">
        <v>0.36507936507936506</v>
      </c>
      <c r="Y1239" s="845">
        <v>0.45456570155902004</v>
      </c>
      <c r="Z1239" s="845">
        <v>0.45723830734966592</v>
      </c>
      <c r="AA1239" s="845">
        <v>2.0044543429844097E-3</v>
      </c>
      <c r="AB1239" s="845">
        <v>1.6258351893095768E-2</v>
      </c>
      <c r="AC1239" s="845">
        <v>0</v>
      </c>
      <c r="AD1239" s="845">
        <v>3.5189309576837413E-2</v>
      </c>
      <c r="AE1239" s="845">
        <v>3.4743875278396438E-2</v>
      </c>
      <c r="AF1239" s="845">
        <v>4.3429844097995544E-2</v>
      </c>
      <c r="AG1239" s="845">
        <v>0.45011135857461027</v>
      </c>
      <c r="AH1239" s="20" t="str">
        <f t="shared" si="110"/>
        <v>No</v>
      </c>
      <c r="AI1239" s="25"/>
      <c r="AJ1239" s="37">
        <v>45760</v>
      </c>
      <c r="AK1239" s="37" t="s">
        <v>1857</v>
      </c>
      <c r="AL1239" s="37">
        <v>39105</v>
      </c>
      <c r="AM1239" s="37" t="s">
        <v>58</v>
      </c>
      <c r="AN1239" s="37" t="str">
        <f t="shared" si="111"/>
        <v>N/A</v>
      </c>
      <c r="AO1239" s="37" t="str">
        <f t="shared" si="112"/>
        <v>N/A</v>
      </c>
      <c r="AP1239" s="20" t="s">
        <v>8</v>
      </c>
      <c r="AQ1239" s="25"/>
      <c r="AR1239" s="25"/>
      <c r="AS1239" s="25"/>
      <c r="AT1239" s="25"/>
      <c r="AU1239" s="36"/>
      <c r="AV1239" s="36"/>
      <c r="AW1239" s="36"/>
      <c r="AX1239" s="25"/>
      <c r="AY1239" s="25"/>
      <c r="AZ1239" s="25"/>
      <c r="BA1239" s="25"/>
      <c r="BB1239" s="25"/>
      <c r="BC1239" s="25"/>
      <c r="BD1239" s="25"/>
      <c r="BE1239" s="25"/>
      <c r="BF1239" s="25"/>
      <c r="BG1239" s="25"/>
      <c r="BH1239" s="25"/>
      <c r="BI1239" s="25"/>
      <c r="BJ1239" s="25"/>
      <c r="BK1239" s="25"/>
      <c r="BL1239" s="25"/>
      <c r="BM1239" s="25"/>
      <c r="BN1239" s="25"/>
      <c r="BO1239" s="25"/>
      <c r="BP1239" s="25"/>
      <c r="BQ1239" s="25"/>
      <c r="BR1239" s="25"/>
      <c r="BS1239" s="25"/>
      <c r="BT1239" s="25"/>
      <c r="BU1239" s="39">
        <v>44515</v>
      </c>
      <c r="BV1239" s="39" t="s">
        <v>1377</v>
      </c>
      <c r="BW1239" s="39" t="s">
        <v>2924</v>
      </c>
      <c r="BX1239" s="39" t="s">
        <v>2856</v>
      </c>
      <c r="BY1239" s="71">
        <v>730</v>
      </c>
      <c r="BZ1239" s="71">
        <v>770</v>
      </c>
      <c r="CA1239" s="71">
        <v>970</v>
      </c>
      <c r="CB1239" s="71">
        <v>1270</v>
      </c>
      <c r="CC1239" s="71">
        <v>1340</v>
      </c>
      <c r="CD1239" s="25"/>
      <c r="CE1239" s="200"/>
      <c r="CF1239" s="200"/>
      <c r="CG1239" s="200"/>
      <c r="CH1239" s="200"/>
      <c r="CI1239" s="200"/>
      <c r="CJ1239" s="200"/>
      <c r="CK1239" s="200"/>
      <c r="CL1239" s="200"/>
      <c r="CM1239" s="200"/>
      <c r="CN1239" s="200"/>
      <c r="CO1239" s="200"/>
      <c r="CP1239" s="200"/>
      <c r="CQ1239" s="200"/>
      <c r="CR1239" s="200"/>
      <c r="CS1239" s="200"/>
      <c r="CT1239" s="200"/>
      <c r="CU1239" s="200"/>
    </row>
    <row r="1240" spans="1:99" s="17" customFormat="1" x14ac:dyDescent="0.2">
      <c r="A1240" s="25"/>
      <c r="B1240" s="20">
        <v>39103409002</v>
      </c>
      <c r="C1240" s="20">
        <v>4090.02</v>
      </c>
      <c r="D1240" s="20" t="s">
        <v>57</v>
      </c>
      <c r="E1240" s="20" t="s">
        <v>2829</v>
      </c>
      <c r="F1240" s="20" t="s">
        <v>8</v>
      </c>
      <c r="G1240" s="861">
        <v>53.174503321058999</v>
      </c>
      <c r="H1240" s="861">
        <v>59.613302111921499</v>
      </c>
      <c r="I1240" s="861">
        <v>22.3799305159502</v>
      </c>
      <c r="J1240" s="861">
        <v>50.922784243721097</v>
      </c>
      <c r="K1240" s="982">
        <v>0</v>
      </c>
      <c r="L1240" s="735">
        <v>4583</v>
      </c>
      <c r="M1240" s="735">
        <v>4681</v>
      </c>
      <c r="N1240" s="845">
        <f t="shared" si="108"/>
        <v>2.1383373336242635E-2</v>
      </c>
      <c r="O1240" s="735">
        <v>19.919047041493947</v>
      </c>
      <c r="P1240" s="735">
        <f t="shared" si="109"/>
        <v>235.00120212823799</v>
      </c>
      <c r="Q1240" s="849">
        <v>44.4</v>
      </c>
      <c r="R1240" s="71">
        <v>85901</v>
      </c>
      <c r="S1240" s="845">
        <v>0.10835648642872409</v>
      </c>
      <c r="T1240" s="845">
        <v>3.1E-2</v>
      </c>
      <c r="U1240" s="845">
        <v>1E-3</v>
      </c>
      <c r="V1240" s="845">
        <v>0</v>
      </c>
      <c r="W1240" s="845">
        <v>0.12132963988919668</v>
      </c>
      <c r="X1240" s="845">
        <v>0.28767123287671231</v>
      </c>
      <c r="Y1240" s="845">
        <v>0.96389660328989535</v>
      </c>
      <c r="Z1240" s="845">
        <v>0</v>
      </c>
      <c r="AA1240" s="845">
        <v>0</v>
      </c>
      <c r="AB1240" s="845">
        <v>3.2044434949797052E-3</v>
      </c>
      <c r="AC1240" s="845">
        <v>0</v>
      </c>
      <c r="AD1240" s="845">
        <v>1.2817773979918821E-3</v>
      </c>
      <c r="AE1240" s="845">
        <v>3.1617175817133095E-2</v>
      </c>
      <c r="AF1240" s="845">
        <v>6.2593462935270239E-2</v>
      </c>
      <c r="AG1240" s="845">
        <v>0.9277932065797907</v>
      </c>
      <c r="AH1240" s="20" t="str">
        <f t="shared" si="110"/>
        <v>Yes</v>
      </c>
      <c r="AI1240" s="25"/>
      <c r="AJ1240" s="20">
        <v>45769</v>
      </c>
      <c r="AK1240" s="20" t="s">
        <v>1863</v>
      </c>
      <c r="AL1240" s="20">
        <v>39105</v>
      </c>
      <c r="AM1240" s="20" t="s">
        <v>58</v>
      </c>
      <c r="AN1240" s="37" t="str">
        <f t="shared" si="111"/>
        <v>N/A</v>
      </c>
      <c r="AO1240" s="37" t="str">
        <f t="shared" si="112"/>
        <v>N/A</v>
      </c>
      <c r="AP1240" s="20" t="s">
        <v>8</v>
      </c>
      <c r="AQ1240" s="25"/>
      <c r="AR1240" s="25"/>
      <c r="AS1240" s="25"/>
      <c r="AT1240" s="25"/>
      <c r="AU1240" s="36"/>
      <c r="AV1240" s="36"/>
      <c r="AW1240" s="36"/>
      <c r="AX1240" s="25"/>
      <c r="AY1240" s="25"/>
      <c r="AZ1240" s="25"/>
      <c r="BA1240" s="25"/>
      <c r="BB1240" s="25"/>
      <c r="BC1240" s="25"/>
      <c r="BD1240" s="25"/>
      <c r="BE1240" s="25"/>
      <c r="BF1240" s="25"/>
      <c r="BG1240" s="25"/>
      <c r="BH1240" s="25"/>
      <c r="BI1240" s="25"/>
      <c r="BJ1240" s="25"/>
      <c r="BK1240" s="25"/>
      <c r="BL1240" s="25"/>
      <c r="BM1240" s="25"/>
      <c r="BN1240" s="25"/>
      <c r="BO1240" s="25"/>
      <c r="BP1240" s="25"/>
      <c r="BQ1240" s="25"/>
      <c r="BR1240" s="25"/>
      <c r="BS1240" s="25"/>
      <c r="BT1240" s="25"/>
      <c r="BU1240" s="39">
        <v>44555</v>
      </c>
      <c r="BV1240" s="39" t="s">
        <v>1378</v>
      </c>
      <c r="BW1240" s="39" t="s">
        <v>2924</v>
      </c>
      <c r="BX1240" s="39" t="s">
        <v>2856</v>
      </c>
      <c r="BY1240" s="71">
        <v>820</v>
      </c>
      <c r="BZ1240" s="71">
        <v>860</v>
      </c>
      <c r="CA1240" s="71">
        <v>1080</v>
      </c>
      <c r="CB1240" s="71">
        <v>1410</v>
      </c>
      <c r="CC1240" s="71">
        <v>1490</v>
      </c>
      <c r="CD1240" s="25"/>
      <c r="CE1240" s="200"/>
      <c r="CF1240" s="200"/>
      <c r="CG1240" s="200"/>
      <c r="CH1240" s="200"/>
      <c r="CI1240" s="200"/>
      <c r="CJ1240" s="200"/>
      <c r="CK1240" s="200"/>
      <c r="CL1240" s="200"/>
      <c r="CM1240" s="200"/>
      <c r="CN1240" s="200"/>
      <c r="CO1240" s="200"/>
      <c r="CP1240" s="200"/>
      <c r="CQ1240" s="200"/>
      <c r="CR1240" s="200"/>
      <c r="CS1240" s="200"/>
      <c r="CT1240" s="200"/>
      <c r="CU1240" s="200"/>
    </row>
    <row r="1241" spans="1:99" s="17" customFormat="1" x14ac:dyDescent="0.2">
      <c r="A1241" s="25"/>
      <c r="B1241" s="20">
        <v>39113130102</v>
      </c>
      <c r="C1241" s="20">
        <v>1301.02</v>
      </c>
      <c r="D1241" s="20" t="s">
        <v>62</v>
      </c>
      <c r="E1241" s="20" t="s">
        <v>2833</v>
      </c>
      <c r="F1241" s="20" t="s">
        <v>8</v>
      </c>
      <c r="G1241" s="861">
        <v>53.166234731258001</v>
      </c>
      <c r="H1241" s="861">
        <v>43.689082948023199</v>
      </c>
      <c r="I1241" s="861">
        <v>35.287923334368301</v>
      </c>
      <c r="J1241" s="861">
        <v>40.848590016951597</v>
      </c>
      <c r="K1241" s="982">
        <v>0</v>
      </c>
      <c r="L1241" s="735">
        <v>6421</v>
      </c>
      <c r="M1241" s="735">
        <v>6170</v>
      </c>
      <c r="N1241" s="845">
        <f t="shared" si="108"/>
        <v>-3.9090484348232361E-2</v>
      </c>
      <c r="O1241" s="735">
        <v>14.852102158878251</v>
      </c>
      <c r="P1241" s="735">
        <f t="shared" si="109"/>
        <v>415.42940750052094</v>
      </c>
      <c r="Q1241" s="849">
        <v>43.4</v>
      </c>
      <c r="R1241" s="71">
        <v>69615</v>
      </c>
      <c r="S1241" s="845">
        <v>7.3931909212283042E-2</v>
      </c>
      <c r="T1241" s="845">
        <v>3.2000000000000001E-2</v>
      </c>
      <c r="U1241" s="845">
        <v>5.0999999999999997E-2</v>
      </c>
      <c r="V1241" s="845">
        <v>0</v>
      </c>
      <c r="W1241" s="845">
        <v>0.3667211774325429</v>
      </c>
      <c r="X1241" s="845">
        <v>0.46376811594202899</v>
      </c>
      <c r="Y1241" s="845">
        <v>0.89692058346839543</v>
      </c>
      <c r="Z1241" s="845">
        <v>1.6531604538087521E-2</v>
      </c>
      <c r="AA1241" s="845">
        <v>9.7244732576985411E-4</v>
      </c>
      <c r="AB1241" s="845">
        <v>4.4084278768233384E-2</v>
      </c>
      <c r="AC1241" s="845">
        <v>0</v>
      </c>
      <c r="AD1241" s="845">
        <v>1.7828200972447325E-3</v>
      </c>
      <c r="AE1241" s="845">
        <v>3.9708265802269042E-2</v>
      </c>
      <c r="AF1241" s="845">
        <v>7.6175040518638576E-3</v>
      </c>
      <c r="AG1241" s="845">
        <v>0.8928687196110211</v>
      </c>
      <c r="AH1241" s="20" t="str">
        <f t="shared" si="110"/>
        <v>No</v>
      </c>
      <c r="AI1241" s="25"/>
      <c r="AJ1241" s="20">
        <v>45770</v>
      </c>
      <c r="AK1241" s="20" t="s">
        <v>1864</v>
      </c>
      <c r="AL1241" s="20">
        <v>39105</v>
      </c>
      <c r="AM1241" s="20" t="s">
        <v>58</v>
      </c>
      <c r="AN1241" s="37" t="str">
        <f t="shared" si="111"/>
        <v>N/A</v>
      </c>
      <c r="AO1241" s="37" t="str">
        <f t="shared" si="112"/>
        <v>N/A</v>
      </c>
      <c r="AP1241" s="20" t="s">
        <v>8</v>
      </c>
      <c r="AQ1241" s="25"/>
      <c r="AR1241" s="25"/>
      <c r="AS1241" s="25"/>
      <c r="AT1241" s="25"/>
      <c r="AU1241" s="36"/>
      <c r="AV1241" s="36"/>
      <c r="AW1241" s="36"/>
      <c r="AX1241" s="25"/>
      <c r="AY1241" s="25"/>
      <c r="AZ1241" s="25"/>
      <c r="BA1241" s="25"/>
      <c r="BB1241" s="25"/>
      <c r="BC1241" s="25"/>
      <c r="BD1241" s="25"/>
      <c r="BE1241" s="25"/>
      <c r="BF1241" s="25"/>
      <c r="BG1241" s="25"/>
      <c r="BH1241" s="25"/>
      <c r="BI1241" s="25"/>
      <c r="BJ1241" s="25"/>
      <c r="BK1241" s="25"/>
      <c r="BL1241" s="25"/>
      <c r="BM1241" s="25"/>
      <c r="BN1241" s="25"/>
      <c r="BO1241" s="25"/>
      <c r="BP1241" s="25"/>
      <c r="BQ1241" s="25"/>
      <c r="BR1241" s="25"/>
      <c r="BS1241" s="25"/>
      <c r="BT1241" s="25"/>
      <c r="BU1241" s="39">
        <v>44609</v>
      </c>
      <c r="BV1241" s="39" t="s">
        <v>1383</v>
      </c>
      <c r="BW1241" s="39" t="s">
        <v>2924</v>
      </c>
      <c r="BX1241" s="39" t="s">
        <v>2856</v>
      </c>
      <c r="BY1241" s="71">
        <v>720</v>
      </c>
      <c r="BZ1241" s="71">
        <v>770</v>
      </c>
      <c r="CA1241" s="71">
        <v>970</v>
      </c>
      <c r="CB1241" s="71">
        <v>1250</v>
      </c>
      <c r="CC1241" s="71">
        <v>1320</v>
      </c>
      <c r="CD1241" s="25"/>
      <c r="CE1241" s="200"/>
      <c r="CF1241" s="200"/>
      <c r="CG1241" s="200"/>
      <c r="CH1241" s="200"/>
      <c r="CI1241" s="200"/>
      <c r="CJ1241" s="200"/>
      <c r="CK1241" s="200"/>
      <c r="CL1241" s="200"/>
      <c r="CM1241" s="200"/>
      <c r="CN1241" s="200"/>
      <c r="CO1241" s="200"/>
      <c r="CP1241" s="200"/>
      <c r="CQ1241" s="200"/>
      <c r="CR1241" s="200"/>
      <c r="CS1241" s="200"/>
      <c r="CT1241" s="200"/>
      <c r="CU1241" s="200"/>
    </row>
    <row r="1242" spans="1:99" s="17" customFormat="1" x14ac:dyDescent="0.2">
      <c r="A1242" s="25"/>
      <c r="B1242" s="20">
        <v>39085201700</v>
      </c>
      <c r="C1242" s="20">
        <v>2017</v>
      </c>
      <c r="D1242" s="20" t="s">
        <v>48</v>
      </c>
      <c r="E1242" s="20" t="s">
        <v>2829</v>
      </c>
      <c r="F1242" s="20" t="s">
        <v>8</v>
      </c>
      <c r="G1242" s="861">
        <v>53.165048238096801</v>
      </c>
      <c r="H1242" s="861">
        <v>60.591403289623202</v>
      </c>
      <c r="I1242" s="861">
        <v>34.865623057718899</v>
      </c>
      <c r="J1242" s="861">
        <v>44.743862587140399</v>
      </c>
      <c r="K1242" s="982">
        <v>0</v>
      </c>
      <c r="L1242" s="735">
        <v>5630</v>
      </c>
      <c r="M1242" s="735">
        <v>5816</v>
      </c>
      <c r="N1242" s="845">
        <f t="shared" si="108"/>
        <v>3.3037300177619897E-2</v>
      </c>
      <c r="O1242" s="735">
        <v>1.741961278733438</v>
      </c>
      <c r="P1242" s="735">
        <f t="shared" si="109"/>
        <v>3338.7653738369854</v>
      </c>
      <c r="Q1242" s="849">
        <v>40.1</v>
      </c>
      <c r="R1242" s="71">
        <v>60152</v>
      </c>
      <c r="S1242" s="845">
        <v>9.8859315589353611E-2</v>
      </c>
      <c r="T1242" s="845">
        <v>7.4999999999999997E-2</v>
      </c>
      <c r="U1242" s="845">
        <v>0</v>
      </c>
      <c r="V1242" s="845">
        <v>5.2999999999999999E-2</v>
      </c>
      <c r="W1242" s="845">
        <v>0.48048941798941797</v>
      </c>
      <c r="X1242" s="845">
        <v>0.38403303509979353</v>
      </c>
      <c r="Y1242" s="845">
        <v>0.85385144429160931</v>
      </c>
      <c r="Z1242" s="845">
        <v>6.3617606602475923E-2</v>
      </c>
      <c r="AA1242" s="845">
        <v>0</v>
      </c>
      <c r="AB1242" s="845">
        <v>7.9092159559834944E-3</v>
      </c>
      <c r="AC1242" s="845">
        <v>0</v>
      </c>
      <c r="AD1242" s="845">
        <v>5.3301237964236588E-3</v>
      </c>
      <c r="AE1242" s="845">
        <v>6.9291609353507561E-2</v>
      </c>
      <c r="AF1242" s="845">
        <v>1.8053645116918846E-2</v>
      </c>
      <c r="AG1242" s="845">
        <v>0.85385144429160931</v>
      </c>
      <c r="AH1242" s="20" t="str">
        <f t="shared" si="110"/>
        <v>No</v>
      </c>
      <c r="AI1242" s="25"/>
      <c r="AJ1242" s="20">
        <v>45771</v>
      </c>
      <c r="AK1242" s="20" t="s">
        <v>1865</v>
      </c>
      <c r="AL1242" s="20">
        <v>39105</v>
      </c>
      <c r="AM1242" s="20" t="s">
        <v>58</v>
      </c>
      <c r="AN1242" s="37" t="str">
        <f t="shared" si="111"/>
        <v>N/A</v>
      </c>
      <c r="AO1242" s="37" t="str">
        <f t="shared" si="112"/>
        <v>N/A</v>
      </c>
      <c r="AP1242" s="20" t="s">
        <v>8</v>
      </c>
      <c r="AQ1242" s="25"/>
      <c r="AR1242" s="25"/>
      <c r="AS1242" s="25"/>
      <c r="AT1242" s="25"/>
      <c r="AU1242" s="36"/>
      <c r="AV1242" s="36"/>
      <c r="AW1242" s="36"/>
      <c r="AX1242" s="25"/>
      <c r="AY1242" s="25"/>
      <c r="AZ1242" s="25"/>
      <c r="BA1242" s="25"/>
      <c r="BB1242" s="25"/>
      <c r="BC1242" s="25"/>
      <c r="BD1242" s="25"/>
      <c r="BE1242" s="25"/>
      <c r="BF1242" s="25"/>
      <c r="BG1242" s="25"/>
      <c r="BH1242" s="25"/>
      <c r="BI1242" s="25"/>
      <c r="BJ1242" s="25"/>
      <c r="BK1242" s="25"/>
      <c r="BL1242" s="25"/>
      <c r="BM1242" s="25"/>
      <c r="BN1242" s="25"/>
      <c r="BO1242" s="25"/>
      <c r="BP1242" s="25"/>
      <c r="BQ1242" s="25"/>
      <c r="BR1242" s="25"/>
      <c r="BS1242" s="25"/>
      <c r="BT1242" s="25"/>
      <c r="BU1242" s="39">
        <v>44619</v>
      </c>
      <c r="BV1242" s="39" t="s">
        <v>1391</v>
      </c>
      <c r="BW1242" s="39" t="s">
        <v>2924</v>
      </c>
      <c r="BX1242" s="39" t="s">
        <v>2856</v>
      </c>
      <c r="BY1242" s="71">
        <v>710</v>
      </c>
      <c r="BZ1242" s="71">
        <v>790</v>
      </c>
      <c r="CA1242" s="71">
        <v>980</v>
      </c>
      <c r="CB1242" s="71">
        <v>1240</v>
      </c>
      <c r="CC1242" s="71">
        <v>1310</v>
      </c>
      <c r="CD1242" s="25"/>
      <c r="CE1242" s="200"/>
      <c r="CF1242" s="200"/>
      <c r="CG1242" s="200"/>
      <c r="CH1242" s="200"/>
      <c r="CI1242" s="200"/>
      <c r="CJ1242" s="200"/>
      <c r="CK1242" s="200"/>
      <c r="CL1242" s="200"/>
      <c r="CM1242" s="200"/>
      <c r="CN1242" s="200"/>
      <c r="CO1242" s="200"/>
      <c r="CP1242" s="200"/>
      <c r="CQ1242" s="200"/>
      <c r="CR1242" s="200"/>
      <c r="CS1242" s="200"/>
      <c r="CT1242" s="200"/>
      <c r="CU1242" s="200"/>
    </row>
    <row r="1243" spans="1:99" s="17" customFormat="1" x14ac:dyDescent="0.2">
      <c r="A1243" s="25"/>
      <c r="B1243" s="20">
        <v>39017015100</v>
      </c>
      <c r="C1243" s="20">
        <v>151</v>
      </c>
      <c r="D1243" s="20" t="s">
        <v>15</v>
      </c>
      <c r="E1243" s="20" t="s">
        <v>2828</v>
      </c>
      <c r="F1243" s="20" t="s">
        <v>8</v>
      </c>
      <c r="G1243" s="861">
        <v>53.163824559451697</v>
      </c>
      <c r="H1243" s="861">
        <v>66.8479087444627</v>
      </c>
      <c r="I1243" s="861">
        <v>28.067377166699899</v>
      </c>
      <c r="J1243" s="861">
        <v>54.749695091322302</v>
      </c>
      <c r="K1243" s="982">
        <v>0</v>
      </c>
      <c r="L1243" s="735">
        <v>7220</v>
      </c>
      <c r="M1243" s="735">
        <v>7675</v>
      </c>
      <c r="N1243" s="845">
        <f t="shared" si="108"/>
        <v>6.3019390581717447E-2</v>
      </c>
      <c r="O1243" s="735">
        <v>7.5637968855385989</v>
      </c>
      <c r="P1243" s="735">
        <f t="shared" si="109"/>
        <v>1014.7020228258658</v>
      </c>
      <c r="Q1243" s="849">
        <v>31.2</v>
      </c>
      <c r="R1243" s="71">
        <v>84091</v>
      </c>
      <c r="S1243" s="845">
        <v>6.3344262295081971E-2</v>
      </c>
      <c r="T1243" s="845">
        <v>4.0999999999999995E-2</v>
      </c>
      <c r="U1243" s="845">
        <v>4.0999999999999995E-2</v>
      </c>
      <c r="V1243" s="845">
        <v>0</v>
      </c>
      <c r="W1243" s="845">
        <v>0.38100686498855835</v>
      </c>
      <c r="X1243" s="845">
        <v>0.33333333333333331</v>
      </c>
      <c r="Y1243" s="845">
        <v>0.96286644951140066</v>
      </c>
      <c r="Z1243" s="845">
        <v>7.5570032573289902E-3</v>
      </c>
      <c r="AA1243" s="845">
        <v>0</v>
      </c>
      <c r="AB1243" s="845">
        <v>4.8208469055374594E-3</v>
      </c>
      <c r="AC1243" s="845">
        <v>0</v>
      </c>
      <c r="AD1243" s="845">
        <v>0</v>
      </c>
      <c r="AE1243" s="845">
        <v>2.4755700325732898E-2</v>
      </c>
      <c r="AF1243" s="845">
        <v>1.4071661237785017E-2</v>
      </c>
      <c r="AG1243" s="845">
        <v>0.95153094462540722</v>
      </c>
      <c r="AH1243" s="20" t="str">
        <f t="shared" si="110"/>
        <v>Yes</v>
      </c>
      <c r="AI1243" s="25"/>
      <c r="AJ1243" s="20">
        <v>45772</v>
      </c>
      <c r="AK1243" s="20" t="s">
        <v>1866</v>
      </c>
      <c r="AL1243" s="20">
        <v>39105</v>
      </c>
      <c r="AM1243" s="20" t="s">
        <v>58</v>
      </c>
      <c r="AN1243" s="37" t="str">
        <f t="shared" si="111"/>
        <v>N/A</v>
      </c>
      <c r="AO1243" s="37" t="str">
        <f t="shared" si="112"/>
        <v>N/A</v>
      </c>
      <c r="AP1243" s="20" t="s">
        <v>8</v>
      </c>
      <c r="AQ1243" s="25"/>
      <c r="AR1243" s="25"/>
      <c r="AS1243" s="25"/>
      <c r="AT1243" s="25"/>
      <c r="AU1243" s="36"/>
      <c r="AV1243" s="36"/>
      <c r="AW1243" s="36"/>
      <c r="AX1243" s="25"/>
      <c r="AY1243" s="25"/>
      <c r="AZ1243" s="25"/>
      <c r="BA1243" s="25"/>
      <c r="BB1243" s="25"/>
      <c r="BC1243" s="25"/>
      <c r="BD1243" s="25"/>
      <c r="BE1243" s="25"/>
      <c r="BF1243" s="25"/>
      <c r="BG1243" s="25"/>
      <c r="BH1243" s="25"/>
      <c r="BI1243" s="25"/>
      <c r="BJ1243" s="25"/>
      <c r="BK1243" s="25"/>
      <c r="BL1243" s="25"/>
      <c r="BM1243" s="25"/>
      <c r="BN1243" s="25"/>
      <c r="BO1243" s="25"/>
      <c r="BP1243" s="25"/>
      <c r="BQ1243" s="25"/>
      <c r="BR1243" s="25"/>
      <c r="BS1243" s="25"/>
      <c r="BT1243" s="25"/>
      <c r="BU1243" s="39">
        <v>44672</v>
      </c>
      <c r="BV1243" s="39" t="s">
        <v>1432</v>
      </c>
      <c r="BW1243" s="39" t="s">
        <v>2924</v>
      </c>
      <c r="BX1243" s="39" t="s">
        <v>2856</v>
      </c>
      <c r="BY1243" s="71">
        <v>810</v>
      </c>
      <c r="BZ1243" s="71">
        <v>850</v>
      </c>
      <c r="CA1243" s="71">
        <v>1070</v>
      </c>
      <c r="CB1243" s="71">
        <v>1400</v>
      </c>
      <c r="CC1243" s="71">
        <v>1480</v>
      </c>
      <c r="CD1243" s="25"/>
      <c r="CE1243" s="200"/>
      <c r="CF1243" s="200"/>
      <c r="CG1243" s="200"/>
      <c r="CH1243" s="200"/>
      <c r="CI1243" s="200"/>
      <c r="CJ1243" s="200"/>
      <c r="CK1243" s="200"/>
      <c r="CL1243" s="200"/>
      <c r="CM1243" s="200"/>
      <c r="CN1243" s="200"/>
      <c r="CO1243" s="200"/>
      <c r="CP1243" s="200"/>
      <c r="CQ1243" s="200"/>
      <c r="CR1243" s="200"/>
      <c r="CS1243" s="200"/>
      <c r="CT1243" s="200"/>
      <c r="CU1243" s="200"/>
    </row>
    <row r="1244" spans="1:99" s="17" customFormat="1" x14ac:dyDescent="0.2">
      <c r="A1244" s="25"/>
      <c r="B1244" s="20">
        <v>39035136105</v>
      </c>
      <c r="C1244" s="20">
        <v>1361.05</v>
      </c>
      <c r="D1244" s="20" t="s">
        <v>24</v>
      </c>
      <c r="E1244" s="20" t="s">
        <v>2829</v>
      </c>
      <c r="F1244" s="20" t="s">
        <v>8</v>
      </c>
      <c r="G1244" s="861">
        <v>53.151287821402498</v>
      </c>
      <c r="H1244" s="861">
        <v>49.9788270674334</v>
      </c>
      <c r="I1244" s="861">
        <v>16.968279941166401</v>
      </c>
      <c r="J1244" s="861">
        <v>44.300249792294203</v>
      </c>
      <c r="K1244" s="982">
        <v>0</v>
      </c>
      <c r="L1244" s="735" t="s">
        <v>2466</v>
      </c>
      <c r="M1244" s="735">
        <v>3933</v>
      </c>
      <c r="N1244" s="845" t="str">
        <f t="shared" si="108"/>
        <v/>
      </c>
      <c r="O1244" s="735">
        <v>2.3609305295227787</v>
      </c>
      <c r="P1244" s="735">
        <f t="shared" si="109"/>
        <v>1665.8685847884681</v>
      </c>
      <c r="Q1244" s="849">
        <v>49.3</v>
      </c>
      <c r="R1244" s="71">
        <v>128389</v>
      </c>
      <c r="S1244" s="845">
        <v>1.6272565471650138E-2</v>
      </c>
      <c r="T1244" s="845">
        <v>0.02</v>
      </c>
      <c r="U1244" s="845">
        <v>4.2999999999999997E-2</v>
      </c>
      <c r="V1244" s="845">
        <v>0.36899999999999999</v>
      </c>
      <c r="W1244" s="845">
        <v>2.2150189086980011E-2</v>
      </c>
      <c r="X1244" s="845">
        <v>0.80487804878048785</v>
      </c>
      <c r="Y1244" s="845">
        <v>0.82684973302822273</v>
      </c>
      <c r="Z1244" s="845">
        <v>1.1441647597254004E-2</v>
      </c>
      <c r="AA1244" s="845">
        <v>0</v>
      </c>
      <c r="AB1244" s="845">
        <v>8.6448004068141363E-2</v>
      </c>
      <c r="AC1244" s="845">
        <v>0</v>
      </c>
      <c r="AD1244" s="845">
        <v>1.0424612255275871E-2</v>
      </c>
      <c r="AE1244" s="845">
        <v>6.4836003051106025E-2</v>
      </c>
      <c r="AF1244" s="845">
        <v>2.0849224510551743E-2</v>
      </c>
      <c r="AG1244" s="845">
        <v>0.82684973302822273</v>
      </c>
      <c r="AH1244" s="20" t="str">
        <f t="shared" si="110"/>
        <v>No</v>
      </c>
      <c r="AI1244" s="25"/>
      <c r="AJ1244" s="37">
        <v>45775</v>
      </c>
      <c r="AK1244" s="37" t="s">
        <v>1868</v>
      </c>
      <c r="AL1244" s="37">
        <v>39105</v>
      </c>
      <c r="AM1244" s="37" t="s">
        <v>58</v>
      </c>
      <c r="AN1244" s="37" t="str">
        <f t="shared" si="111"/>
        <v>N/A</v>
      </c>
      <c r="AO1244" s="37" t="str">
        <f t="shared" si="112"/>
        <v>N/A</v>
      </c>
      <c r="AP1244" s="20" t="s">
        <v>8</v>
      </c>
      <c r="AQ1244" s="25"/>
      <c r="AR1244" s="25"/>
      <c r="AS1244" s="25"/>
      <c r="AT1244" s="25"/>
      <c r="AU1244" s="36"/>
      <c r="AV1244" s="36"/>
      <c r="AW1244" s="36"/>
      <c r="AX1244" s="25"/>
      <c r="AY1244" s="25"/>
      <c r="AZ1244" s="25"/>
      <c r="BA1244" s="25"/>
      <c r="BB1244" s="25"/>
      <c r="BC1244" s="25"/>
      <c r="BD1244" s="25"/>
      <c r="BE1244" s="25"/>
      <c r="BF1244" s="25"/>
      <c r="BG1244" s="25"/>
      <c r="BH1244" s="25"/>
      <c r="BI1244" s="25"/>
      <c r="BJ1244" s="25"/>
      <c r="BK1244" s="25"/>
      <c r="BL1244" s="25"/>
      <c r="BM1244" s="25"/>
      <c r="BN1244" s="25"/>
      <c r="BO1244" s="25"/>
      <c r="BP1244" s="25"/>
      <c r="BQ1244" s="25"/>
      <c r="BR1244" s="25"/>
      <c r="BS1244" s="25"/>
      <c r="BT1244" s="25"/>
      <c r="BU1244" s="25"/>
      <c r="BV1244" s="25"/>
      <c r="BW1244" s="25"/>
      <c r="BX1244" s="25"/>
      <c r="BY1244" s="25"/>
      <c r="BZ1244" s="25"/>
      <c r="CA1244" s="25"/>
      <c r="CB1244" s="25"/>
      <c r="CC1244" s="25"/>
      <c r="CD1244" s="25"/>
      <c r="CE1244" s="200"/>
      <c r="CF1244" s="200"/>
      <c r="CG1244" s="200"/>
      <c r="CH1244" s="200"/>
      <c r="CI1244" s="200"/>
      <c r="CJ1244" s="200"/>
      <c r="CK1244" s="200"/>
      <c r="CL1244" s="200"/>
      <c r="CM1244" s="200"/>
      <c r="CN1244" s="200"/>
      <c r="CO1244" s="200"/>
      <c r="CP1244" s="200"/>
      <c r="CQ1244" s="200"/>
      <c r="CR1244" s="200"/>
      <c r="CS1244" s="200"/>
      <c r="CT1244" s="200"/>
      <c r="CU1244" s="200"/>
    </row>
    <row r="1245" spans="1:99" s="17" customFormat="1" x14ac:dyDescent="0.2">
      <c r="A1245" s="25"/>
      <c r="B1245" s="20">
        <v>39025041404</v>
      </c>
      <c r="C1245" s="20">
        <v>414.04</v>
      </c>
      <c r="D1245" s="20" t="s">
        <v>19</v>
      </c>
      <c r="E1245" s="20" t="s">
        <v>2828</v>
      </c>
      <c r="F1245" s="20" t="s">
        <v>8</v>
      </c>
      <c r="G1245" s="861">
        <v>53.132774251711702</v>
      </c>
      <c r="H1245" s="861">
        <v>46.760997562736797</v>
      </c>
      <c r="I1245" s="861">
        <v>39.7743824628743</v>
      </c>
      <c r="J1245" s="861">
        <v>37.396303683364998</v>
      </c>
      <c r="K1245" s="982">
        <v>0</v>
      </c>
      <c r="L1245" s="735">
        <v>4183</v>
      </c>
      <c r="M1245" s="735">
        <v>4839</v>
      </c>
      <c r="N1245" s="845">
        <f t="shared" si="108"/>
        <v>0.15682524503944537</v>
      </c>
      <c r="O1245" s="735">
        <v>1.4716187249214825</v>
      </c>
      <c r="P1245" s="735">
        <f t="shared" si="109"/>
        <v>3288.215838826176</v>
      </c>
      <c r="Q1245" s="849">
        <v>39.1</v>
      </c>
      <c r="R1245" s="71">
        <v>65511</v>
      </c>
      <c r="S1245" s="845">
        <v>6.3171193935565376E-2</v>
      </c>
      <c r="T1245" s="845">
        <v>0.08</v>
      </c>
      <c r="U1245" s="845">
        <v>0</v>
      </c>
      <c r="V1245" s="845">
        <v>4.2999999999999997E-2</v>
      </c>
      <c r="W1245" s="845">
        <v>0.52454888795635757</v>
      </c>
      <c r="X1245" s="845">
        <v>0.45600000000000002</v>
      </c>
      <c r="Y1245" s="845">
        <v>0.9125852448853069</v>
      </c>
      <c r="Z1245" s="845">
        <v>3.6371151064269476E-2</v>
      </c>
      <c r="AA1245" s="845">
        <v>0</v>
      </c>
      <c r="AB1245" s="845">
        <v>2.2938623682579044E-2</v>
      </c>
      <c r="AC1245" s="845">
        <v>0</v>
      </c>
      <c r="AD1245" s="845">
        <v>0</v>
      </c>
      <c r="AE1245" s="845">
        <v>2.8104980367844597E-2</v>
      </c>
      <c r="AF1245" s="845">
        <v>3.8437693738375696E-2</v>
      </c>
      <c r="AG1245" s="845">
        <v>0.88324033891299858</v>
      </c>
      <c r="AH1245" s="20" t="str">
        <f t="shared" si="110"/>
        <v>No</v>
      </c>
      <c r="AI1245" s="25"/>
      <c r="AJ1245" s="20">
        <v>45776</v>
      </c>
      <c r="AK1245" s="20" t="s">
        <v>1869</v>
      </c>
      <c r="AL1245" s="20">
        <v>39105</v>
      </c>
      <c r="AM1245" s="20" t="s">
        <v>58</v>
      </c>
      <c r="AN1245" s="37" t="str">
        <f t="shared" si="111"/>
        <v>N/A</v>
      </c>
      <c r="AO1245" s="37" t="str">
        <f t="shared" si="112"/>
        <v>N/A</v>
      </c>
      <c r="AP1245" s="20" t="s">
        <v>8</v>
      </c>
      <c r="AQ1245" s="25"/>
      <c r="AR1245" s="25"/>
      <c r="AS1245" s="25"/>
      <c r="AT1245" s="25"/>
      <c r="AU1245" s="36"/>
      <c r="AV1245" s="36"/>
      <c r="AW1245" s="36"/>
      <c r="AX1245" s="25"/>
      <c r="AY1245" s="25"/>
      <c r="AZ1245" s="25"/>
      <c r="BA1245" s="25"/>
      <c r="BB1245" s="25"/>
      <c r="BC1245" s="25"/>
      <c r="BD1245" s="25"/>
      <c r="BE1245" s="25"/>
      <c r="BF1245" s="25"/>
      <c r="BG1245" s="25"/>
      <c r="BH1245" s="25"/>
      <c r="BI1245" s="25"/>
      <c r="BJ1245" s="25"/>
      <c r="BK1245" s="25"/>
      <c r="BL1245" s="25"/>
      <c r="BM1245" s="25"/>
      <c r="BN1245" s="25"/>
      <c r="BO1245" s="25"/>
      <c r="BP1245" s="25"/>
      <c r="BQ1245" s="25"/>
      <c r="BR1245" s="25"/>
      <c r="BS1245" s="25"/>
      <c r="BT1245" s="25"/>
      <c r="BU1245" s="25"/>
      <c r="BV1245" s="25"/>
      <c r="BW1245" s="25"/>
      <c r="BX1245" s="25"/>
      <c r="BY1245" s="25"/>
      <c r="BZ1245" s="25"/>
      <c r="CA1245" s="25"/>
      <c r="CB1245" s="25"/>
      <c r="CC1245" s="25"/>
      <c r="CD1245" s="25"/>
      <c r="CE1245" s="200"/>
      <c r="CF1245" s="200"/>
      <c r="CG1245" s="200"/>
      <c r="CH1245" s="200"/>
      <c r="CI1245" s="200"/>
      <c r="CJ1245" s="200"/>
      <c r="CK1245" s="200"/>
      <c r="CL1245" s="200"/>
      <c r="CM1245" s="200"/>
      <c r="CN1245" s="200"/>
      <c r="CO1245" s="200"/>
      <c r="CP1245" s="200"/>
      <c r="CQ1245" s="200"/>
      <c r="CR1245" s="200"/>
      <c r="CS1245" s="200"/>
      <c r="CT1245" s="200"/>
      <c r="CU1245" s="200"/>
    </row>
    <row r="1246" spans="1:99" s="17" customFormat="1" x14ac:dyDescent="0.2">
      <c r="A1246" s="25"/>
      <c r="B1246" s="20">
        <v>39017010909</v>
      </c>
      <c r="C1246" s="20">
        <v>109.09</v>
      </c>
      <c r="D1246" s="20" t="s">
        <v>15</v>
      </c>
      <c r="E1246" s="20" t="s">
        <v>2828</v>
      </c>
      <c r="F1246" s="20" t="s">
        <v>8</v>
      </c>
      <c r="G1246" s="861">
        <v>53.097320813559001</v>
      </c>
      <c r="H1246" s="861">
        <v>52.843633682346301</v>
      </c>
      <c r="I1246" s="861">
        <v>41.7280037611919</v>
      </c>
      <c r="J1246" s="861">
        <v>37.848547728921801</v>
      </c>
      <c r="K1246" s="982">
        <v>0</v>
      </c>
      <c r="L1246" s="735">
        <v>5039</v>
      </c>
      <c r="M1246" s="735">
        <v>5423</v>
      </c>
      <c r="N1246" s="845">
        <f t="shared" si="108"/>
        <v>7.6205596348481841E-2</v>
      </c>
      <c r="O1246" s="735">
        <v>4.402485847705301</v>
      </c>
      <c r="P1246" s="735">
        <f t="shared" si="109"/>
        <v>1231.8040733343003</v>
      </c>
      <c r="Q1246" s="849">
        <v>33.6</v>
      </c>
      <c r="R1246" s="71">
        <v>53917</v>
      </c>
      <c r="S1246" s="845">
        <v>0.15254237288135594</v>
      </c>
      <c r="T1246" s="845">
        <v>0.14300000000000002</v>
      </c>
      <c r="U1246" s="845">
        <v>0</v>
      </c>
      <c r="V1246" s="845">
        <v>7.0000000000000007E-2</v>
      </c>
      <c r="W1246" s="845">
        <v>0.6310679611650486</v>
      </c>
      <c r="X1246" s="845">
        <v>0.41137123745819398</v>
      </c>
      <c r="Y1246" s="845">
        <v>0.36713995943204869</v>
      </c>
      <c r="Z1246" s="845">
        <v>0.35238797713442743</v>
      </c>
      <c r="AA1246" s="845">
        <v>7.3759911488106215E-4</v>
      </c>
      <c r="AB1246" s="845">
        <v>0.17259819288216854</v>
      </c>
      <c r="AC1246" s="845">
        <v>0</v>
      </c>
      <c r="AD1246" s="845">
        <v>1.8255578093306288E-2</v>
      </c>
      <c r="AE1246" s="845">
        <v>8.8880693343167991E-2</v>
      </c>
      <c r="AF1246" s="845">
        <v>8.7405495113405868E-2</v>
      </c>
      <c r="AG1246" s="845">
        <v>0.32915360501567398</v>
      </c>
      <c r="AH1246" s="20" t="str">
        <f t="shared" si="110"/>
        <v>No</v>
      </c>
      <c r="AI1246" s="25"/>
      <c r="AJ1246" s="20">
        <v>45779</v>
      </c>
      <c r="AK1246" s="20" t="s">
        <v>1871</v>
      </c>
      <c r="AL1246" s="20">
        <v>39105</v>
      </c>
      <c r="AM1246" s="20" t="s">
        <v>58</v>
      </c>
      <c r="AN1246" s="37" t="str">
        <f t="shared" si="111"/>
        <v>N/A</v>
      </c>
      <c r="AO1246" s="37" t="str">
        <f t="shared" si="112"/>
        <v>N/A</v>
      </c>
      <c r="AP1246" s="20" t="s">
        <v>8</v>
      </c>
      <c r="AQ1246" s="25"/>
      <c r="AR1246" s="25"/>
      <c r="AS1246" s="25"/>
      <c r="AT1246" s="25"/>
      <c r="AU1246" s="36"/>
      <c r="AV1246" s="36"/>
      <c r="AW1246" s="36"/>
      <c r="AX1246" s="25"/>
      <c r="AY1246" s="25"/>
      <c r="AZ1246" s="25"/>
      <c r="BA1246" s="25"/>
      <c r="BB1246" s="25"/>
      <c r="BC1246" s="25"/>
      <c r="BD1246" s="25"/>
      <c r="BE1246" s="25"/>
      <c r="BF1246" s="25"/>
      <c r="BG1246" s="25"/>
      <c r="BH1246" s="25"/>
      <c r="BI1246" s="25"/>
      <c r="BJ1246" s="25"/>
      <c r="BK1246" s="25"/>
      <c r="BL1246" s="25"/>
      <c r="BM1246" s="25"/>
      <c r="BN1246" s="25"/>
      <c r="BO1246" s="25"/>
      <c r="BP1246" s="25"/>
      <c r="BQ1246" s="25"/>
      <c r="BR1246" s="25"/>
      <c r="BS1246" s="25"/>
      <c r="BT1246" s="25"/>
      <c r="BU1246" s="25"/>
      <c r="BV1246" s="25"/>
      <c r="BW1246" s="25"/>
      <c r="BX1246" s="25"/>
      <c r="BY1246" s="25"/>
      <c r="BZ1246" s="25"/>
      <c r="CA1246" s="25"/>
      <c r="CB1246" s="25"/>
      <c r="CC1246" s="25"/>
      <c r="CD1246" s="25"/>
      <c r="CE1246" s="200"/>
      <c r="CF1246" s="200"/>
      <c r="CG1246" s="200"/>
      <c r="CH1246" s="200"/>
      <c r="CI1246" s="200"/>
      <c r="CJ1246" s="200"/>
      <c r="CK1246" s="200"/>
      <c r="CL1246" s="200"/>
      <c r="CM1246" s="200"/>
      <c r="CN1246" s="200"/>
      <c r="CO1246" s="200"/>
      <c r="CP1246" s="200"/>
      <c r="CQ1246" s="200"/>
      <c r="CR1246" s="200"/>
      <c r="CS1246" s="200"/>
      <c r="CT1246" s="200"/>
      <c r="CU1246" s="200"/>
    </row>
    <row r="1247" spans="1:99" s="17" customFormat="1" x14ac:dyDescent="0.2">
      <c r="A1247" s="25"/>
      <c r="B1247" s="20">
        <v>39025040202</v>
      </c>
      <c r="C1247" s="20">
        <v>402.02</v>
      </c>
      <c r="D1247" s="20" t="s">
        <v>19</v>
      </c>
      <c r="E1247" s="20" t="s">
        <v>2828</v>
      </c>
      <c r="F1247" s="20" t="s">
        <v>8</v>
      </c>
      <c r="G1247" s="861">
        <v>53.092377148363298</v>
      </c>
      <c r="H1247" s="861">
        <v>63.2777609216784</v>
      </c>
      <c r="I1247" s="861">
        <v>25.832277369227</v>
      </c>
      <c r="J1247" s="861">
        <v>51.9303719443961</v>
      </c>
      <c r="K1247" s="982">
        <v>0</v>
      </c>
      <c r="L1247" s="735">
        <v>2313</v>
      </c>
      <c r="M1247" s="735">
        <v>2337</v>
      </c>
      <c r="N1247" s="845">
        <f t="shared" si="108"/>
        <v>1.0376134889753566E-2</v>
      </c>
      <c r="O1247" s="735">
        <v>11.67335050043917</v>
      </c>
      <c r="P1247" s="735">
        <f t="shared" si="109"/>
        <v>200.19959136085893</v>
      </c>
      <c r="Q1247" s="849">
        <v>47.5</v>
      </c>
      <c r="R1247" s="71">
        <v>101900</v>
      </c>
      <c r="S1247" s="845">
        <v>7.7877620881471973E-2</v>
      </c>
      <c r="T1247" s="845">
        <v>3.6000000000000004E-2</v>
      </c>
      <c r="U1247" s="845">
        <v>0</v>
      </c>
      <c r="V1247" s="845">
        <v>0</v>
      </c>
      <c r="W1247" s="845">
        <v>5.9548254620123205E-2</v>
      </c>
      <c r="X1247" s="845">
        <v>0.34482758620689657</v>
      </c>
      <c r="Y1247" s="845">
        <v>0.97347026101839962</v>
      </c>
      <c r="Z1247" s="845">
        <v>0</v>
      </c>
      <c r="AA1247" s="845">
        <v>7.2742832691484807E-3</v>
      </c>
      <c r="AB1247" s="845">
        <v>0</v>
      </c>
      <c r="AC1247" s="845">
        <v>0</v>
      </c>
      <c r="AD1247" s="845">
        <v>9.4137783483097988E-3</v>
      </c>
      <c r="AE1247" s="845">
        <v>9.8416773641420621E-3</v>
      </c>
      <c r="AF1247" s="845">
        <v>0</v>
      </c>
      <c r="AG1247" s="845">
        <v>0.97347026101839962</v>
      </c>
      <c r="AH1247" s="20" t="str">
        <f t="shared" si="110"/>
        <v>Yes</v>
      </c>
      <c r="AI1247" s="25"/>
      <c r="AJ1247" s="20">
        <v>45783</v>
      </c>
      <c r="AK1247" s="20" t="s">
        <v>1874</v>
      </c>
      <c r="AL1247" s="20">
        <v>39105</v>
      </c>
      <c r="AM1247" s="20" t="s">
        <v>58</v>
      </c>
      <c r="AN1247" s="37" t="str">
        <f t="shared" si="111"/>
        <v>N/A</v>
      </c>
      <c r="AO1247" s="37" t="str">
        <f t="shared" si="112"/>
        <v>N/A</v>
      </c>
      <c r="AP1247" s="20" t="s">
        <v>8</v>
      </c>
      <c r="AQ1247" s="25"/>
      <c r="AR1247" s="25"/>
      <c r="AS1247" s="25"/>
      <c r="AT1247" s="25"/>
      <c r="AU1247" s="36"/>
      <c r="AV1247" s="36"/>
      <c r="AW1247" s="36"/>
      <c r="AX1247" s="25"/>
      <c r="AY1247" s="25"/>
      <c r="AZ1247" s="25"/>
      <c r="BA1247" s="25"/>
      <c r="BB1247" s="25"/>
      <c r="BC1247" s="25"/>
      <c r="BD1247" s="25"/>
      <c r="BE1247" s="25"/>
      <c r="BF1247" s="25"/>
      <c r="BG1247" s="25"/>
      <c r="BH1247" s="25"/>
      <c r="BI1247" s="25"/>
      <c r="BJ1247" s="25"/>
      <c r="BK1247" s="25"/>
      <c r="BL1247" s="25"/>
      <c r="BM1247" s="25"/>
      <c r="BN1247" s="25"/>
      <c r="BO1247" s="25"/>
      <c r="BP1247" s="25"/>
      <c r="BQ1247" s="25"/>
      <c r="BR1247" s="25"/>
      <c r="BS1247" s="25"/>
      <c r="BT1247" s="25"/>
      <c r="BU1247" s="25"/>
      <c r="BV1247" s="25"/>
      <c r="BW1247" s="25"/>
      <c r="BX1247" s="25"/>
      <c r="BY1247" s="25"/>
      <c r="BZ1247" s="25"/>
      <c r="CA1247" s="25"/>
      <c r="CB1247" s="25"/>
      <c r="CC1247" s="25"/>
      <c r="CD1247" s="25"/>
      <c r="CE1247" s="200"/>
      <c r="CF1247" s="200"/>
      <c r="CG1247" s="200"/>
      <c r="CH1247" s="200"/>
      <c r="CI1247" s="200"/>
      <c r="CJ1247" s="200"/>
      <c r="CK1247" s="200"/>
      <c r="CL1247" s="200"/>
      <c r="CM1247" s="200"/>
      <c r="CN1247" s="200"/>
      <c r="CO1247" s="200"/>
      <c r="CP1247" s="200"/>
      <c r="CQ1247" s="200"/>
      <c r="CR1247" s="200"/>
      <c r="CS1247" s="200"/>
      <c r="CT1247" s="200"/>
      <c r="CU1247" s="200"/>
    </row>
    <row r="1248" spans="1:99" s="17" customFormat="1" x14ac:dyDescent="0.2">
      <c r="A1248" s="25"/>
      <c r="B1248" s="20">
        <v>39035136101</v>
      </c>
      <c r="C1248" s="20">
        <v>1361.01</v>
      </c>
      <c r="D1248" s="20" t="s">
        <v>24</v>
      </c>
      <c r="E1248" s="20" t="s">
        <v>2829</v>
      </c>
      <c r="F1248" s="20" t="s">
        <v>8</v>
      </c>
      <c r="G1248" s="861">
        <v>53.091162271287097</v>
      </c>
      <c r="H1248" s="861">
        <v>61.004683709439597</v>
      </c>
      <c r="I1248" s="861">
        <v>23.286576737062099</v>
      </c>
      <c r="J1248" s="861">
        <v>48.1093856875722</v>
      </c>
      <c r="K1248" s="982">
        <v>0</v>
      </c>
      <c r="L1248" s="735">
        <v>5779</v>
      </c>
      <c r="M1248" s="735">
        <v>6254</v>
      </c>
      <c r="N1248" s="845">
        <f t="shared" si="108"/>
        <v>8.2194151237238278E-2</v>
      </c>
      <c r="O1248" s="735">
        <v>2.7507628210694759</v>
      </c>
      <c r="P1248" s="735">
        <f t="shared" si="109"/>
        <v>2273.5511590085007</v>
      </c>
      <c r="Q1248" s="849">
        <v>42.4</v>
      </c>
      <c r="R1248" s="71">
        <v>86845</v>
      </c>
      <c r="S1248" s="845">
        <v>3.0540454109370004E-2</v>
      </c>
      <c r="T1248" s="845">
        <v>1.4999999999999999E-2</v>
      </c>
      <c r="U1248" s="845">
        <v>0</v>
      </c>
      <c r="V1248" s="845">
        <v>7.2000000000000008E-2</v>
      </c>
      <c r="W1248" s="845">
        <v>0.26003616636528026</v>
      </c>
      <c r="X1248" s="845">
        <v>0.26564673157162727</v>
      </c>
      <c r="Y1248" s="845">
        <v>0.91029740965781902</v>
      </c>
      <c r="Z1248" s="845">
        <v>1.6309561880396548E-2</v>
      </c>
      <c r="AA1248" s="845">
        <v>0</v>
      </c>
      <c r="AB1248" s="845">
        <v>3.9174928046050529E-2</v>
      </c>
      <c r="AC1248" s="845">
        <v>0</v>
      </c>
      <c r="AD1248" s="845">
        <v>0</v>
      </c>
      <c r="AE1248" s="845">
        <v>3.4218100415733928E-2</v>
      </c>
      <c r="AF1248" s="845">
        <v>3.0380556443875918E-2</v>
      </c>
      <c r="AG1248" s="845">
        <v>0.89606651742884558</v>
      </c>
      <c r="AH1248" s="20" t="str">
        <f t="shared" si="110"/>
        <v>No</v>
      </c>
      <c r="AI1248" s="25"/>
      <c r="AJ1248" s="20">
        <v>45310</v>
      </c>
      <c r="AK1248" s="20" t="s">
        <v>1664</v>
      </c>
      <c r="AL1248" s="20">
        <v>39107</v>
      </c>
      <c r="AM1248" s="20" t="s">
        <v>59</v>
      </c>
      <c r="AN1248" s="37" t="str">
        <f t="shared" si="111"/>
        <v>N/A</v>
      </c>
      <c r="AO1248" s="37" t="str">
        <f t="shared" si="112"/>
        <v>N/A</v>
      </c>
      <c r="AP1248" s="20" t="s">
        <v>8</v>
      </c>
      <c r="AQ1248" s="25"/>
      <c r="AR1248" s="25"/>
      <c r="AS1248" s="25"/>
      <c r="AT1248" s="25"/>
      <c r="AU1248" s="36"/>
      <c r="AV1248" s="36"/>
      <c r="AW1248" s="36"/>
      <c r="AX1248" s="25"/>
      <c r="AY1248" s="25"/>
      <c r="AZ1248" s="25"/>
      <c r="BA1248" s="25"/>
      <c r="BB1248" s="25"/>
      <c r="BC1248" s="25"/>
      <c r="BD1248" s="25"/>
      <c r="BE1248" s="25"/>
      <c r="BF1248" s="25"/>
      <c r="BG1248" s="25"/>
      <c r="BH1248" s="25"/>
      <c r="BI1248" s="25"/>
      <c r="BJ1248" s="25"/>
      <c r="BK1248" s="25"/>
      <c r="BL1248" s="25"/>
      <c r="BM1248" s="25"/>
      <c r="BN1248" s="25"/>
      <c r="BO1248" s="25"/>
      <c r="BP1248" s="25"/>
      <c r="BQ1248" s="25"/>
      <c r="BR1248" s="25"/>
      <c r="BS1248" s="25"/>
      <c r="BT1248" s="25"/>
      <c r="BU1248" s="25"/>
      <c r="BV1248" s="25"/>
      <c r="BW1248" s="25"/>
      <c r="BX1248" s="25"/>
      <c r="BY1248" s="25"/>
      <c r="BZ1248" s="25"/>
      <c r="CA1248" s="25"/>
      <c r="CB1248" s="25"/>
      <c r="CC1248" s="25"/>
      <c r="CD1248" s="25"/>
      <c r="CE1248" s="200"/>
      <c r="CF1248" s="200"/>
      <c r="CG1248" s="200"/>
      <c r="CH1248" s="200"/>
      <c r="CI1248" s="200"/>
      <c r="CJ1248" s="200"/>
      <c r="CK1248" s="200"/>
      <c r="CL1248" s="200"/>
      <c r="CM1248" s="200"/>
      <c r="CN1248" s="200"/>
      <c r="CO1248" s="200"/>
      <c r="CP1248" s="200"/>
      <c r="CQ1248" s="200"/>
      <c r="CR1248" s="200"/>
      <c r="CS1248" s="200"/>
      <c r="CT1248" s="200"/>
      <c r="CU1248" s="200"/>
    </row>
    <row r="1249" spans="1:99" s="17" customFormat="1" x14ac:dyDescent="0.2">
      <c r="A1249" s="25"/>
      <c r="B1249" s="20">
        <v>39039958600</v>
      </c>
      <c r="C1249" s="20">
        <v>9586</v>
      </c>
      <c r="D1249" s="20" t="s">
        <v>26</v>
      </c>
      <c r="E1249" s="20" t="s">
        <v>265</v>
      </c>
      <c r="F1249" s="20" t="s">
        <v>8</v>
      </c>
      <c r="G1249" s="861">
        <v>53.067202886274103</v>
      </c>
      <c r="H1249" s="861">
        <v>50.654852691244798</v>
      </c>
      <c r="I1249" s="861">
        <v>30.3520585527001</v>
      </c>
      <c r="J1249" s="861">
        <v>33.911561345259301</v>
      </c>
      <c r="K1249" s="982">
        <v>0</v>
      </c>
      <c r="L1249" s="735">
        <v>3798</v>
      </c>
      <c r="M1249" s="735">
        <v>3814</v>
      </c>
      <c r="N1249" s="845">
        <f t="shared" si="108"/>
        <v>4.2127435492364399E-3</v>
      </c>
      <c r="O1249" s="735">
        <v>7.0895452875264358</v>
      </c>
      <c r="P1249" s="735">
        <f t="shared" si="109"/>
        <v>537.97526432484597</v>
      </c>
      <c r="Q1249" s="849">
        <v>33.299999999999997</v>
      </c>
      <c r="R1249" s="71">
        <v>62227</v>
      </c>
      <c r="S1249" s="845">
        <v>0.15626638699528053</v>
      </c>
      <c r="T1249" s="845">
        <v>0.03</v>
      </c>
      <c r="U1249" s="845">
        <v>3.4000000000000002E-2</v>
      </c>
      <c r="V1249" s="845">
        <v>3.5000000000000003E-2</v>
      </c>
      <c r="W1249" s="845">
        <v>0.4426751592356688</v>
      </c>
      <c r="X1249" s="845">
        <v>0.2805755395683453</v>
      </c>
      <c r="Y1249" s="845">
        <v>0.84845306764551653</v>
      </c>
      <c r="Z1249" s="845">
        <v>1.1798636601992658E-2</v>
      </c>
      <c r="AA1249" s="845">
        <v>0</v>
      </c>
      <c r="AB1249" s="845">
        <v>0</v>
      </c>
      <c r="AC1249" s="845">
        <v>0</v>
      </c>
      <c r="AD1249" s="845">
        <v>1.7829050865233349E-2</v>
      </c>
      <c r="AE1249" s="845">
        <v>0.12191924488725747</v>
      </c>
      <c r="AF1249" s="845">
        <v>0.18956476140534873</v>
      </c>
      <c r="AG1249" s="845">
        <v>0.76953329837441009</v>
      </c>
      <c r="AH1249" s="20" t="str">
        <f t="shared" si="110"/>
        <v>No</v>
      </c>
      <c r="AI1249" s="25"/>
      <c r="AJ1249" s="20">
        <v>45388</v>
      </c>
      <c r="AK1249" s="20" t="s">
        <v>1729</v>
      </c>
      <c r="AL1249" s="20">
        <v>39107</v>
      </c>
      <c r="AM1249" s="20" t="s">
        <v>59</v>
      </c>
      <c r="AN1249" s="37" t="str">
        <f t="shared" si="111"/>
        <v>N/A</v>
      </c>
      <c r="AO1249" s="37" t="str">
        <f t="shared" si="112"/>
        <v>N/A</v>
      </c>
      <c r="AP1249" s="20" t="s">
        <v>8</v>
      </c>
      <c r="AQ1249" s="25"/>
      <c r="AR1249" s="25"/>
      <c r="AS1249" s="25"/>
      <c r="AT1249" s="25"/>
      <c r="AU1249" s="36"/>
      <c r="AV1249" s="36"/>
      <c r="AW1249" s="36"/>
      <c r="AX1249" s="25"/>
      <c r="AY1249" s="25"/>
      <c r="AZ1249" s="25"/>
      <c r="BA1249" s="25"/>
      <c r="BB1249" s="25"/>
      <c r="BC1249" s="25"/>
      <c r="BD1249" s="25"/>
      <c r="BE1249" s="25"/>
      <c r="BF1249" s="25"/>
      <c r="BG1249" s="25"/>
      <c r="BH1249" s="25"/>
      <c r="BI1249" s="25"/>
      <c r="BJ1249" s="25"/>
      <c r="BK1249" s="25"/>
      <c r="BL1249" s="25"/>
      <c r="BM1249" s="25"/>
      <c r="BN1249" s="25"/>
      <c r="BO1249" s="25"/>
      <c r="BP1249" s="25"/>
      <c r="BQ1249" s="25"/>
      <c r="BR1249" s="25"/>
      <c r="BS1249" s="25"/>
      <c r="BT1249" s="25"/>
      <c r="BU1249" s="25"/>
      <c r="BV1249" s="25"/>
      <c r="BW1249" s="25"/>
      <c r="BX1249" s="25"/>
      <c r="BY1249" s="25"/>
      <c r="BZ1249" s="25"/>
      <c r="CA1249" s="25"/>
      <c r="CB1249" s="25"/>
      <c r="CC1249" s="25"/>
      <c r="CD1249" s="25"/>
      <c r="CE1249" s="200"/>
      <c r="CF1249" s="200"/>
      <c r="CG1249" s="200"/>
      <c r="CH1249" s="200"/>
      <c r="CI1249" s="200"/>
      <c r="CJ1249" s="200"/>
      <c r="CK1249" s="200"/>
      <c r="CL1249" s="200"/>
      <c r="CM1249" s="200"/>
      <c r="CN1249" s="200"/>
      <c r="CO1249" s="200"/>
      <c r="CP1249" s="200"/>
      <c r="CQ1249" s="200"/>
      <c r="CR1249" s="200"/>
      <c r="CS1249" s="200"/>
      <c r="CT1249" s="200"/>
      <c r="CU1249" s="200"/>
    </row>
    <row r="1250" spans="1:99" s="17" customFormat="1" x14ac:dyDescent="0.2">
      <c r="A1250" s="25"/>
      <c r="B1250" s="20">
        <v>39049008350</v>
      </c>
      <c r="C1250" s="20">
        <v>83.5</v>
      </c>
      <c r="D1250" s="20" t="s">
        <v>31</v>
      </c>
      <c r="E1250" s="20" t="s">
        <v>2830</v>
      </c>
      <c r="F1250" s="20" t="s">
        <v>8</v>
      </c>
      <c r="G1250" s="861">
        <v>53.045754914891702</v>
      </c>
      <c r="H1250" s="861">
        <v>64.109550629562094</v>
      </c>
      <c r="I1250" s="861">
        <v>40.785246009270601</v>
      </c>
      <c r="J1250" s="861">
        <v>59.465854655725899</v>
      </c>
      <c r="K1250" s="982">
        <v>0</v>
      </c>
      <c r="L1250" s="735">
        <v>7325</v>
      </c>
      <c r="M1250" s="735">
        <v>7699</v>
      </c>
      <c r="N1250" s="845">
        <f t="shared" si="108"/>
        <v>5.1058020477815699E-2</v>
      </c>
      <c r="O1250" s="735">
        <v>1.7316253239479158</v>
      </c>
      <c r="P1250" s="735">
        <f t="shared" si="109"/>
        <v>4446.1119235927572</v>
      </c>
      <c r="Q1250" s="849">
        <v>28.8</v>
      </c>
      <c r="R1250" s="71">
        <v>59406</v>
      </c>
      <c r="S1250" s="845">
        <v>0.11927932667017359</v>
      </c>
      <c r="T1250" s="845">
        <v>0.122</v>
      </c>
      <c r="U1250" s="845">
        <v>0</v>
      </c>
      <c r="V1250" s="845">
        <v>0</v>
      </c>
      <c r="W1250" s="845">
        <v>0.60886699507389164</v>
      </c>
      <c r="X1250" s="845">
        <v>0.42934196332254587</v>
      </c>
      <c r="Y1250" s="845">
        <v>0.44901935316274844</v>
      </c>
      <c r="Z1250" s="845">
        <v>0.43200415638394596</v>
      </c>
      <c r="AA1250" s="845">
        <v>0</v>
      </c>
      <c r="AB1250" s="845">
        <v>1.7924405766982725E-2</v>
      </c>
      <c r="AC1250" s="845">
        <v>0</v>
      </c>
      <c r="AD1250" s="845">
        <v>1.6755422782179504E-2</v>
      </c>
      <c r="AE1250" s="845">
        <v>8.4296661904143394E-2</v>
      </c>
      <c r="AF1250" s="845">
        <v>6.2345759189505127E-2</v>
      </c>
      <c r="AG1250" s="845">
        <v>0.43603065333160151</v>
      </c>
      <c r="AH1250" s="20" t="str">
        <f t="shared" si="110"/>
        <v>No</v>
      </c>
      <c r="AI1250" s="25"/>
      <c r="AJ1250" s="37">
        <v>45822</v>
      </c>
      <c r="AK1250" s="37" t="s">
        <v>1896</v>
      </c>
      <c r="AL1250" s="37">
        <v>39107</v>
      </c>
      <c r="AM1250" s="37" t="s">
        <v>59</v>
      </c>
      <c r="AN1250" s="37" t="str">
        <f t="shared" si="111"/>
        <v>N/A</v>
      </c>
      <c r="AO1250" s="37" t="str">
        <f t="shared" si="112"/>
        <v>N/A</v>
      </c>
      <c r="AP1250" s="20" t="s">
        <v>8</v>
      </c>
      <c r="AQ1250" s="25"/>
      <c r="AR1250" s="25"/>
      <c r="AS1250" s="25"/>
      <c r="AT1250" s="25"/>
      <c r="AU1250" s="36"/>
      <c r="AV1250" s="36"/>
      <c r="AW1250" s="36"/>
      <c r="AX1250" s="25"/>
      <c r="AY1250" s="25"/>
      <c r="AZ1250" s="25"/>
      <c r="BA1250" s="25"/>
      <c r="BB1250" s="25"/>
      <c r="BC1250" s="25"/>
      <c r="BD1250" s="25"/>
      <c r="BE1250" s="25"/>
      <c r="BF1250" s="25"/>
      <c r="BG1250" s="25"/>
      <c r="BH1250" s="25"/>
      <c r="BI1250" s="25"/>
      <c r="BJ1250" s="25"/>
      <c r="BK1250" s="25"/>
      <c r="BL1250" s="25"/>
      <c r="BM1250" s="25"/>
      <c r="BN1250" s="25"/>
      <c r="BO1250" s="25"/>
      <c r="BP1250" s="25"/>
      <c r="BQ1250" s="25"/>
      <c r="BR1250" s="25"/>
      <c r="BS1250" s="25"/>
      <c r="BT1250" s="25"/>
      <c r="BU1250" s="25"/>
      <c r="BV1250" s="25"/>
      <c r="BW1250" s="25"/>
      <c r="BX1250" s="25"/>
      <c r="BY1250" s="25"/>
      <c r="BZ1250" s="25"/>
      <c r="CA1250" s="25"/>
      <c r="CB1250" s="25"/>
      <c r="CC1250" s="25"/>
      <c r="CD1250" s="25"/>
      <c r="CE1250" s="200"/>
      <c r="CF1250" s="200"/>
      <c r="CG1250" s="200"/>
      <c r="CH1250" s="200"/>
      <c r="CI1250" s="200"/>
      <c r="CJ1250" s="200"/>
      <c r="CK1250" s="200"/>
      <c r="CL1250" s="200"/>
      <c r="CM1250" s="200"/>
      <c r="CN1250" s="200"/>
      <c r="CO1250" s="200"/>
      <c r="CP1250" s="200"/>
      <c r="CQ1250" s="200"/>
      <c r="CR1250" s="200"/>
      <c r="CS1250" s="200"/>
      <c r="CT1250" s="200"/>
      <c r="CU1250" s="200"/>
    </row>
    <row r="1251" spans="1:99" s="17" customFormat="1" x14ac:dyDescent="0.2">
      <c r="A1251" s="25"/>
      <c r="B1251" s="20">
        <v>39035174205</v>
      </c>
      <c r="C1251" s="20">
        <v>1742.05</v>
      </c>
      <c r="D1251" s="20" t="s">
        <v>24</v>
      </c>
      <c r="E1251" s="20" t="s">
        <v>2829</v>
      </c>
      <c r="F1251" s="20" t="s">
        <v>8</v>
      </c>
      <c r="G1251" s="861">
        <v>53.011021027669003</v>
      </c>
      <c r="H1251" s="861">
        <v>63.420901970432098</v>
      </c>
      <c r="I1251" s="861">
        <v>43.231347401138898</v>
      </c>
      <c r="J1251" s="861">
        <v>22.260308023708401</v>
      </c>
      <c r="K1251" s="982">
        <v>0</v>
      </c>
      <c r="L1251" s="735">
        <v>4817</v>
      </c>
      <c r="M1251" s="735">
        <v>4455</v>
      </c>
      <c r="N1251" s="845">
        <f t="shared" si="108"/>
        <v>-7.5150508615320744E-2</v>
      </c>
      <c r="O1251" s="735">
        <v>1.7914557144434151</v>
      </c>
      <c r="P1251" s="735">
        <f t="shared" si="109"/>
        <v>2486.8044261893006</v>
      </c>
      <c r="Q1251" s="849">
        <v>45.2</v>
      </c>
      <c r="R1251" s="71">
        <v>58298</v>
      </c>
      <c r="S1251" s="845">
        <v>0.22177328843995511</v>
      </c>
      <c r="T1251" s="845">
        <v>5.7999999999999996E-2</v>
      </c>
      <c r="U1251" s="845">
        <v>0</v>
      </c>
      <c r="V1251" s="845">
        <v>4.4999999999999998E-2</v>
      </c>
      <c r="W1251" s="845">
        <v>0.51407211961301669</v>
      </c>
      <c r="X1251" s="845">
        <v>0.48930710008554318</v>
      </c>
      <c r="Y1251" s="845">
        <v>0.91492704826038163</v>
      </c>
      <c r="Z1251" s="845">
        <v>1.9977553310886645E-2</v>
      </c>
      <c r="AA1251" s="845">
        <v>0</v>
      </c>
      <c r="AB1251" s="845">
        <v>2.8058361391694726E-2</v>
      </c>
      <c r="AC1251" s="845">
        <v>0</v>
      </c>
      <c r="AD1251" s="845">
        <v>1.8181818181818181E-2</v>
      </c>
      <c r="AE1251" s="845">
        <v>1.8855218855218854E-2</v>
      </c>
      <c r="AF1251" s="845">
        <v>0.13490460157126824</v>
      </c>
      <c r="AG1251" s="845">
        <v>0.80022446689113358</v>
      </c>
      <c r="AH1251" s="20" t="str">
        <f t="shared" si="110"/>
        <v>No</v>
      </c>
      <c r="AI1251" s="25"/>
      <c r="AJ1251" s="20">
        <v>45826</v>
      </c>
      <c r="AK1251" s="20" t="s">
        <v>1897</v>
      </c>
      <c r="AL1251" s="20">
        <v>39107</v>
      </c>
      <c r="AM1251" s="20" t="s">
        <v>59</v>
      </c>
      <c r="AN1251" s="37" t="str">
        <f t="shared" si="111"/>
        <v>N/A</v>
      </c>
      <c r="AO1251" s="37" t="str">
        <f t="shared" si="112"/>
        <v>N/A</v>
      </c>
      <c r="AP1251" s="20" t="s">
        <v>8</v>
      </c>
      <c r="AQ1251" s="25"/>
      <c r="AR1251" s="25"/>
      <c r="AS1251" s="25"/>
      <c r="AT1251" s="25"/>
      <c r="AU1251" s="36"/>
      <c r="AV1251" s="36"/>
      <c r="AW1251" s="36"/>
      <c r="AX1251" s="25"/>
      <c r="AY1251" s="25"/>
      <c r="AZ1251" s="25"/>
      <c r="BA1251" s="25"/>
      <c r="BB1251" s="25"/>
      <c r="BC1251" s="25"/>
      <c r="BD1251" s="25"/>
      <c r="BE1251" s="25"/>
      <c r="BF1251" s="25"/>
      <c r="BG1251" s="25"/>
      <c r="BH1251" s="25"/>
      <c r="BI1251" s="25"/>
      <c r="BJ1251" s="25"/>
      <c r="BK1251" s="25"/>
      <c r="BL1251" s="25"/>
      <c r="BM1251" s="25"/>
      <c r="BN1251" s="25"/>
      <c r="BO1251" s="25"/>
      <c r="BP1251" s="25"/>
      <c r="BQ1251" s="25"/>
      <c r="BR1251" s="25"/>
      <c r="BS1251" s="25"/>
      <c r="BT1251" s="25"/>
      <c r="BU1251" s="25"/>
      <c r="BV1251" s="25"/>
      <c r="BW1251" s="25"/>
      <c r="BX1251" s="25"/>
      <c r="BY1251" s="25"/>
      <c r="BZ1251" s="25"/>
      <c r="CA1251" s="25"/>
      <c r="CB1251" s="25"/>
      <c r="CC1251" s="25"/>
      <c r="CD1251" s="25"/>
      <c r="CE1251" s="200"/>
      <c r="CF1251" s="200"/>
      <c r="CG1251" s="200"/>
      <c r="CH1251" s="200"/>
      <c r="CI1251" s="200"/>
      <c r="CJ1251" s="200"/>
      <c r="CK1251" s="200"/>
      <c r="CL1251" s="200"/>
      <c r="CM1251" s="200"/>
      <c r="CN1251" s="200"/>
      <c r="CO1251" s="200"/>
      <c r="CP1251" s="200"/>
      <c r="CQ1251" s="200"/>
      <c r="CR1251" s="200"/>
      <c r="CS1251" s="200"/>
      <c r="CT1251" s="200"/>
      <c r="CU1251" s="200"/>
    </row>
    <row r="1252" spans="1:99" s="17" customFormat="1" x14ac:dyDescent="0.2">
      <c r="A1252" s="25"/>
      <c r="B1252" s="20">
        <v>39035177202</v>
      </c>
      <c r="C1252" s="20">
        <v>1772.02</v>
      </c>
      <c r="D1252" s="20" t="s">
        <v>24</v>
      </c>
      <c r="E1252" s="20" t="s">
        <v>2829</v>
      </c>
      <c r="F1252" s="20" t="s">
        <v>8</v>
      </c>
      <c r="G1252" s="861">
        <v>52.998879294176902</v>
      </c>
      <c r="H1252" s="861">
        <v>66.839825561609103</v>
      </c>
      <c r="I1252" s="861">
        <v>26.362554969663002</v>
      </c>
      <c r="J1252" s="861">
        <v>43.727284991243202</v>
      </c>
      <c r="K1252" s="982">
        <v>0</v>
      </c>
      <c r="L1252" s="735">
        <v>3667</v>
      </c>
      <c r="M1252" s="735">
        <v>3107</v>
      </c>
      <c r="N1252" s="845">
        <f t="shared" si="108"/>
        <v>-0.1527133896918462</v>
      </c>
      <c r="O1252" s="735">
        <v>0.45216694064282792</v>
      </c>
      <c r="P1252" s="735">
        <f t="shared" si="109"/>
        <v>6871.3559544687205</v>
      </c>
      <c r="Q1252" s="849">
        <v>39.1</v>
      </c>
      <c r="R1252" s="71">
        <v>68163</v>
      </c>
      <c r="S1252" s="845">
        <v>0.12075718015665797</v>
      </c>
      <c r="T1252" s="845">
        <v>7.4999999999999997E-2</v>
      </c>
      <c r="U1252" s="845">
        <v>0</v>
      </c>
      <c r="V1252" s="845">
        <v>9.1999999999999998E-2</v>
      </c>
      <c r="W1252" s="845">
        <v>0.15729483282674772</v>
      </c>
      <c r="X1252" s="845">
        <v>0.52657004830917875</v>
      </c>
      <c r="Y1252" s="845">
        <v>0.81364660444158354</v>
      </c>
      <c r="Z1252" s="845">
        <v>5.0209205020920501E-2</v>
      </c>
      <c r="AA1252" s="845">
        <v>0</v>
      </c>
      <c r="AB1252" s="845">
        <v>2.4139040875442549E-2</v>
      </c>
      <c r="AC1252" s="845">
        <v>4.5059542967492757E-3</v>
      </c>
      <c r="AD1252" s="845">
        <v>4.2484711940778887E-2</v>
      </c>
      <c r="AE1252" s="845">
        <v>6.501448342452526E-2</v>
      </c>
      <c r="AF1252" s="845">
        <v>4.6668812359188926E-2</v>
      </c>
      <c r="AG1252" s="845">
        <v>0.8120373350498874</v>
      </c>
      <c r="AH1252" s="20" t="str">
        <f t="shared" si="110"/>
        <v>No</v>
      </c>
      <c r="AI1252" s="25"/>
      <c r="AJ1252" s="20">
        <v>45828</v>
      </c>
      <c r="AK1252" s="20" t="s">
        <v>1899</v>
      </c>
      <c r="AL1252" s="20">
        <v>39107</v>
      </c>
      <c r="AM1252" s="20" t="s">
        <v>59</v>
      </c>
      <c r="AN1252" s="37" t="str">
        <f t="shared" si="111"/>
        <v>N/A</v>
      </c>
      <c r="AO1252" s="37" t="str">
        <f t="shared" si="112"/>
        <v>N/A</v>
      </c>
      <c r="AP1252" s="20" t="s">
        <v>8</v>
      </c>
      <c r="AQ1252" s="25"/>
      <c r="AR1252" s="25"/>
      <c r="AS1252" s="25"/>
      <c r="AT1252" s="25"/>
      <c r="AU1252" s="36"/>
      <c r="AV1252" s="36"/>
      <c r="AW1252" s="36"/>
      <c r="AX1252" s="25"/>
      <c r="AY1252" s="25"/>
      <c r="AZ1252" s="25"/>
      <c r="BA1252" s="25"/>
      <c r="BB1252" s="25"/>
      <c r="BC1252" s="25"/>
      <c r="BD1252" s="25"/>
      <c r="BE1252" s="25"/>
      <c r="BF1252" s="25"/>
      <c r="BG1252" s="25"/>
      <c r="BH1252" s="25"/>
      <c r="BI1252" s="25"/>
      <c r="BJ1252" s="25"/>
      <c r="BK1252" s="25"/>
      <c r="BL1252" s="25"/>
      <c r="BM1252" s="25"/>
      <c r="BN1252" s="25"/>
      <c r="BO1252" s="25"/>
      <c r="BP1252" s="25"/>
      <c r="BQ1252" s="25"/>
      <c r="BR1252" s="25"/>
      <c r="BS1252" s="25"/>
      <c r="BT1252" s="25"/>
      <c r="BU1252" s="25"/>
      <c r="BV1252" s="25"/>
      <c r="BW1252" s="25"/>
      <c r="BX1252" s="25"/>
      <c r="BY1252" s="25"/>
      <c r="BZ1252" s="25"/>
      <c r="CA1252" s="25"/>
      <c r="CB1252" s="25"/>
      <c r="CC1252" s="25"/>
      <c r="CD1252" s="25"/>
      <c r="CE1252" s="200"/>
      <c r="CF1252" s="200"/>
      <c r="CG1252" s="200"/>
      <c r="CH1252" s="200"/>
      <c r="CI1252" s="200"/>
      <c r="CJ1252" s="200"/>
      <c r="CK1252" s="200"/>
      <c r="CL1252" s="200"/>
      <c r="CM1252" s="200"/>
      <c r="CN1252" s="200"/>
      <c r="CO1252" s="200"/>
      <c r="CP1252" s="200"/>
      <c r="CQ1252" s="200"/>
      <c r="CR1252" s="200"/>
      <c r="CS1252" s="200"/>
      <c r="CT1252" s="200"/>
      <c r="CU1252" s="200"/>
    </row>
    <row r="1253" spans="1:99" s="17" customFormat="1" x14ac:dyDescent="0.2">
      <c r="A1253" s="25"/>
      <c r="B1253" s="20">
        <v>39151714702</v>
      </c>
      <c r="C1253" s="20">
        <v>7147.02</v>
      </c>
      <c r="D1253" s="20" t="s">
        <v>81</v>
      </c>
      <c r="E1253" s="20" t="s">
        <v>2844</v>
      </c>
      <c r="F1253" s="20" t="s">
        <v>8</v>
      </c>
      <c r="G1253" s="861">
        <v>52.992100673443602</v>
      </c>
      <c r="H1253" s="861">
        <v>56.681013178190703</v>
      </c>
      <c r="I1253" s="861">
        <v>25.422387177938301</v>
      </c>
      <c r="J1253" s="861">
        <v>54.0424736671212</v>
      </c>
      <c r="K1253" s="982">
        <v>0</v>
      </c>
      <c r="L1253" s="735">
        <v>2779</v>
      </c>
      <c r="M1253" s="735">
        <v>2837</v>
      </c>
      <c r="N1253" s="845">
        <f t="shared" si="108"/>
        <v>2.087081684059014E-2</v>
      </c>
      <c r="O1253" s="735">
        <v>21.203613556357215</v>
      </c>
      <c r="P1253" s="735">
        <f t="shared" si="109"/>
        <v>133.79794875338206</v>
      </c>
      <c r="Q1253" s="849">
        <v>42.8</v>
      </c>
      <c r="R1253" s="71">
        <v>84509</v>
      </c>
      <c r="S1253" s="845">
        <v>0.16001425516749823</v>
      </c>
      <c r="T1253" s="845">
        <v>4.4999999999999998E-2</v>
      </c>
      <c r="U1253" s="845">
        <v>0</v>
      </c>
      <c r="V1253" s="845">
        <v>0</v>
      </c>
      <c r="W1253" s="845">
        <v>0.12651162790697673</v>
      </c>
      <c r="X1253" s="845">
        <v>0.33823529411764708</v>
      </c>
      <c r="Y1253" s="845">
        <v>0.9830807190694395</v>
      </c>
      <c r="Z1253" s="845">
        <v>0</v>
      </c>
      <c r="AA1253" s="845">
        <v>0</v>
      </c>
      <c r="AB1253" s="845">
        <v>0</v>
      </c>
      <c r="AC1253" s="845">
        <v>0</v>
      </c>
      <c r="AD1253" s="845">
        <v>5.6397603101868169E-3</v>
      </c>
      <c r="AE1253" s="845">
        <v>1.1279520620373634E-2</v>
      </c>
      <c r="AF1253" s="845">
        <v>1.0222065562213606E-2</v>
      </c>
      <c r="AG1253" s="845">
        <v>0.97285865350722589</v>
      </c>
      <c r="AH1253" s="20" t="str">
        <f t="shared" si="110"/>
        <v>Yes</v>
      </c>
      <c r="AI1253" s="25"/>
      <c r="AJ1253" s="20">
        <v>45845</v>
      </c>
      <c r="AK1253" s="20" t="s">
        <v>1911</v>
      </c>
      <c r="AL1253" s="20">
        <v>39107</v>
      </c>
      <c r="AM1253" s="20" t="s">
        <v>59</v>
      </c>
      <c r="AN1253" s="37" t="str">
        <f t="shared" si="111"/>
        <v>N/A</v>
      </c>
      <c r="AO1253" s="37" t="str">
        <f t="shared" si="112"/>
        <v>N/A</v>
      </c>
      <c r="AP1253" s="20" t="s">
        <v>8</v>
      </c>
      <c r="AQ1253" s="25"/>
      <c r="AR1253" s="25"/>
      <c r="AS1253" s="25"/>
      <c r="AT1253" s="25"/>
      <c r="AU1253" s="36"/>
      <c r="AV1253" s="36"/>
      <c r="AW1253" s="36"/>
      <c r="AX1253" s="25"/>
      <c r="AY1253" s="25"/>
      <c r="AZ1253" s="25"/>
      <c r="BA1253" s="25"/>
      <c r="BB1253" s="25"/>
      <c r="BC1253" s="25"/>
      <c r="BD1253" s="25"/>
      <c r="BE1253" s="25"/>
      <c r="BF1253" s="25"/>
      <c r="BG1253" s="25"/>
      <c r="BH1253" s="25"/>
      <c r="BI1253" s="25"/>
      <c r="BJ1253" s="25"/>
      <c r="BK1253" s="25"/>
      <c r="BL1253" s="25"/>
      <c r="BM1253" s="25"/>
      <c r="BN1253" s="25"/>
      <c r="BO1253" s="25"/>
      <c r="BP1253" s="25"/>
      <c r="BQ1253" s="25"/>
      <c r="BR1253" s="25"/>
      <c r="BS1253" s="25"/>
      <c r="BT1253" s="25"/>
      <c r="BU1253" s="25"/>
      <c r="BV1253" s="25"/>
      <c r="BW1253" s="25"/>
      <c r="BX1253" s="25"/>
      <c r="BY1253" s="25"/>
      <c r="BZ1253" s="25"/>
      <c r="CA1253" s="25"/>
      <c r="CB1253" s="25"/>
      <c r="CC1253" s="25"/>
      <c r="CD1253" s="25"/>
      <c r="CE1253" s="200"/>
      <c r="CF1253" s="200"/>
      <c r="CG1253" s="200"/>
      <c r="CH1253" s="200"/>
      <c r="CI1253" s="200"/>
      <c r="CJ1253" s="200"/>
      <c r="CK1253" s="200"/>
      <c r="CL1253" s="200"/>
      <c r="CM1253" s="200"/>
      <c r="CN1253" s="200"/>
      <c r="CO1253" s="200"/>
      <c r="CP1253" s="200"/>
      <c r="CQ1253" s="200"/>
      <c r="CR1253" s="200"/>
      <c r="CS1253" s="200"/>
      <c r="CT1253" s="200"/>
      <c r="CU1253" s="200"/>
    </row>
    <row r="1254" spans="1:99" s="17" customFormat="1" x14ac:dyDescent="0.2">
      <c r="A1254" s="25"/>
      <c r="B1254" s="20">
        <v>39049001600</v>
      </c>
      <c r="C1254" s="20">
        <v>16</v>
      </c>
      <c r="D1254" s="20" t="s">
        <v>31</v>
      </c>
      <c r="E1254" s="20" t="s">
        <v>2830</v>
      </c>
      <c r="F1254" s="20" t="s">
        <v>6</v>
      </c>
      <c r="G1254" s="861">
        <v>52.9900083403246</v>
      </c>
      <c r="H1254" s="861">
        <v>79.431146669489294</v>
      </c>
      <c r="I1254" s="861">
        <v>48.254436799398299</v>
      </c>
      <c r="J1254" s="861">
        <v>60.864312057632397</v>
      </c>
      <c r="K1254" s="982">
        <v>0</v>
      </c>
      <c r="L1254" s="735">
        <v>1260</v>
      </c>
      <c r="M1254" s="735">
        <v>2784</v>
      </c>
      <c r="N1254" s="845">
        <f t="shared" si="108"/>
        <v>1.2095238095238094</v>
      </c>
      <c r="O1254" s="735">
        <v>0.18926148660968178</v>
      </c>
      <c r="P1254" s="735">
        <f t="shared" si="109"/>
        <v>14709.807314054897</v>
      </c>
      <c r="Q1254" s="849">
        <v>26.5</v>
      </c>
      <c r="R1254" s="71">
        <v>51000</v>
      </c>
      <c r="S1254" s="845">
        <v>0.45186781609195403</v>
      </c>
      <c r="T1254" s="845">
        <v>5.2999999999999999E-2</v>
      </c>
      <c r="U1254" s="845">
        <v>0</v>
      </c>
      <c r="V1254" s="845">
        <v>4.0999999999999995E-2</v>
      </c>
      <c r="W1254" s="845">
        <v>0.82766615146831535</v>
      </c>
      <c r="X1254" s="845">
        <v>0.43697478991596639</v>
      </c>
      <c r="Y1254" s="845">
        <v>0.43318965517241381</v>
      </c>
      <c r="Z1254" s="845">
        <v>0.34662356321839083</v>
      </c>
      <c r="AA1254" s="845">
        <v>0</v>
      </c>
      <c r="AB1254" s="845">
        <v>5.1005747126436782E-2</v>
      </c>
      <c r="AC1254" s="845">
        <v>0</v>
      </c>
      <c r="AD1254" s="845">
        <v>6.8247126436781613E-3</v>
      </c>
      <c r="AE1254" s="845">
        <v>0.16235632183908047</v>
      </c>
      <c r="AF1254" s="845">
        <v>5.1005747126436782E-2</v>
      </c>
      <c r="AG1254" s="845">
        <v>0.42923850574712646</v>
      </c>
      <c r="AH1254" s="20" t="str">
        <f t="shared" si="110"/>
        <v>No</v>
      </c>
      <c r="AI1254" s="25"/>
      <c r="AJ1254" s="20">
        <v>45846</v>
      </c>
      <c r="AK1254" s="20" t="s">
        <v>1912</v>
      </c>
      <c r="AL1254" s="20">
        <v>39107</v>
      </c>
      <c r="AM1254" s="20" t="s">
        <v>59</v>
      </c>
      <c r="AN1254" s="37" t="str">
        <f t="shared" si="111"/>
        <v>N/A</v>
      </c>
      <c r="AO1254" s="37" t="str">
        <f t="shared" si="112"/>
        <v>N/A</v>
      </c>
      <c r="AP1254" s="20" t="s">
        <v>8</v>
      </c>
      <c r="AQ1254" s="25"/>
      <c r="AR1254" s="25"/>
      <c r="AS1254" s="25"/>
      <c r="AT1254" s="25"/>
      <c r="AU1254" s="36"/>
      <c r="AV1254" s="36"/>
      <c r="AW1254" s="36"/>
      <c r="AX1254" s="25"/>
      <c r="AY1254" s="25"/>
      <c r="AZ1254" s="25"/>
      <c r="BA1254" s="25"/>
      <c r="BB1254" s="25"/>
      <c r="BC1254" s="25"/>
      <c r="BD1254" s="25"/>
      <c r="BE1254" s="25"/>
      <c r="BF1254" s="25"/>
      <c r="BG1254" s="25"/>
      <c r="BH1254" s="25"/>
      <c r="BI1254" s="25"/>
      <c r="BJ1254" s="25"/>
      <c r="BK1254" s="25"/>
      <c r="BL1254" s="25"/>
      <c r="BM1254" s="25"/>
      <c r="BN1254" s="25"/>
      <c r="BO1254" s="25"/>
      <c r="BP1254" s="25"/>
      <c r="BQ1254" s="25"/>
      <c r="BR1254" s="25"/>
      <c r="BS1254" s="25"/>
      <c r="BT1254" s="25"/>
      <c r="BU1254" s="25"/>
      <c r="BV1254" s="25"/>
      <c r="BW1254" s="25"/>
      <c r="BX1254" s="25"/>
      <c r="BY1254" s="25"/>
      <c r="BZ1254" s="25"/>
      <c r="CA1254" s="25"/>
      <c r="CB1254" s="25"/>
      <c r="CC1254" s="25"/>
      <c r="CD1254" s="25"/>
      <c r="CE1254" s="200"/>
      <c r="CF1254" s="200"/>
      <c r="CG1254" s="200"/>
      <c r="CH1254" s="200"/>
      <c r="CI1254" s="200"/>
      <c r="CJ1254" s="200"/>
      <c r="CK1254" s="200"/>
      <c r="CL1254" s="200"/>
      <c r="CM1254" s="200"/>
      <c r="CN1254" s="200"/>
      <c r="CO1254" s="200"/>
      <c r="CP1254" s="200"/>
      <c r="CQ1254" s="200"/>
      <c r="CR1254" s="200"/>
      <c r="CS1254" s="200"/>
      <c r="CT1254" s="200"/>
      <c r="CU1254" s="200"/>
    </row>
    <row r="1255" spans="1:99" s="17" customFormat="1" x14ac:dyDescent="0.2">
      <c r="A1255" s="25"/>
      <c r="B1255" s="20">
        <v>39093050400</v>
      </c>
      <c r="C1255" s="20">
        <v>504</v>
      </c>
      <c r="D1255" s="20" t="s">
        <v>52</v>
      </c>
      <c r="E1255" s="20" t="s">
        <v>2829</v>
      </c>
      <c r="F1255" s="20" t="s">
        <v>8</v>
      </c>
      <c r="G1255" s="861">
        <v>52.978693107672299</v>
      </c>
      <c r="H1255" s="861">
        <v>48.9446980364024</v>
      </c>
      <c r="I1255" s="861">
        <v>23.000338114405199</v>
      </c>
      <c r="J1255" s="861">
        <v>39.526472498095899</v>
      </c>
      <c r="K1255" s="982">
        <v>0</v>
      </c>
      <c r="L1255" s="735">
        <v>2475</v>
      </c>
      <c r="M1255" s="735">
        <v>2253</v>
      </c>
      <c r="N1255" s="845">
        <f t="shared" si="108"/>
        <v>-8.9696969696969692E-2</v>
      </c>
      <c r="O1255" s="735">
        <v>1.2007321531680699</v>
      </c>
      <c r="P1255" s="735">
        <f t="shared" si="109"/>
        <v>1876.3551838397727</v>
      </c>
      <c r="Q1255" s="849">
        <v>43</v>
      </c>
      <c r="R1255" s="71">
        <v>71420</v>
      </c>
      <c r="S1255" s="845">
        <v>4.2100497962879131E-2</v>
      </c>
      <c r="T1255" s="845">
        <v>0.03</v>
      </c>
      <c r="U1255" s="845">
        <v>0</v>
      </c>
      <c r="V1255" s="845">
        <v>0</v>
      </c>
      <c r="W1255" s="845">
        <v>0.15088105726872247</v>
      </c>
      <c r="X1255" s="845">
        <v>0.27007299270072993</v>
      </c>
      <c r="Y1255" s="845">
        <v>0.92321349312028411</v>
      </c>
      <c r="Z1255" s="845">
        <v>4.4385264092321351E-3</v>
      </c>
      <c r="AA1255" s="845">
        <v>4.4385264092321351E-3</v>
      </c>
      <c r="AB1255" s="845">
        <v>0</v>
      </c>
      <c r="AC1255" s="845">
        <v>0</v>
      </c>
      <c r="AD1255" s="845">
        <v>7.989347536617843E-3</v>
      </c>
      <c r="AE1255" s="845">
        <v>5.9920106524633823E-2</v>
      </c>
      <c r="AF1255" s="845">
        <v>6.7465601420328453E-2</v>
      </c>
      <c r="AG1255" s="845">
        <v>0.89835774522858414</v>
      </c>
      <c r="AH1255" s="20" t="str">
        <f t="shared" si="110"/>
        <v>No</v>
      </c>
      <c r="AI1255" s="25"/>
      <c r="AJ1255" s="20">
        <v>45860</v>
      </c>
      <c r="AK1255" s="20" t="s">
        <v>1923</v>
      </c>
      <c r="AL1255" s="20">
        <v>39107</v>
      </c>
      <c r="AM1255" s="20" t="s">
        <v>59</v>
      </c>
      <c r="AN1255" s="37" t="str">
        <f t="shared" si="111"/>
        <v>N/A</v>
      </c>
      <c r="AO1255" s="37" t="str">
        <f t="shared" si="112"/>
        <v>N/A</v>
      </c>
      <c r="AP1255" s="20" t="s">
        <v>8</v>
      </c>
      <c r="AQ1255" s="25"/>
      <c r="AR1255" s="25"/>
      <c r="AS1255" s="25"/>
      <c r="AT1255" s="25"/>
      <c r="AU1255" s="36"/>
      <c r="AV1255" s="36"/>
      <c r="AW1255" s="36"/>
      <c r="AX1255" s="25"/>
      <c r="AY1255" s="25"/>
      <c r="AZ1255" s="25"/>
      <c r="BA1255" s="25"/>
      <c r="BB1255" s="25"/>
      <c r="BC1255" s="25"/>
      <c r="BD1255" s="25"/>
      <c r="BE1255" s="25"/>
      <c r="BF1255" s="25"/>
      <c r="BG1255" s="25"/>
      <c r="BH1255" s="25"/>
      <c r="BI1255" s="25"/>
      <c r="BJ1255" s="25"/>
      <c r="BK1255" s="25"/>
      <c r="BL1255" s="25"/>
      <c r="BM1255" s="25"/>
      <c r="BN1255" s="25"/>
      <c r="BO1255" s="25"/>
      <c r="BP1255" s="25"/>
      <c r="BQ1255" s="25"/>
      <c r="BR1255" s="25"/>
      <c r="BS1255" s="25"/>
      <c r="BT1255" s="25"/>
      <c r="BU1255" s="25"/>
      <c r="BV1255" s="25"/>
      <c r="BW1255" s="25"/>
      <c r="BX1255" s="25"/>
      <c r="BY1255" s="25"/>
      <c r="BZ1255" s="25"/>
      <c r="CA1255" s="25"/>
      <c r="CB1255" s="25"/>
      <c r="CC1255" s="25"/>
      <c r="CD1255" s="25"/>
      <c r="CE1255" s="200"/>
      <c r="CF1255" s="200"/>
      <c r="CG1255" s="200"/>
      <c r="CH1255" s="200"/>
      <c r="CI1255" s="200"/>
      <c r="CJ1255" s="200"/>
      <c r="CK1255" s="200"/>
      <c r="CL1255" s="200"/>
      <c r="CM1255" s="200"/>
      <c r="CN1255" s="200"/>
      <c r="CO1255" s="200"/>
      <c r="CP1255" s="200"/>
      <c r="CQ1255" s="200"/>
      <c r="CR1255" s="200"/>
      <c r="CS1255" s="200"/>
      <c r="CT1255" s="200"/>
      <c r="CU1255" s="200"/>
    </row>
    <row r="1256" spans="1:99" s="17" customFormat="1" x14ac:dyDescent="0.2">
      <c r="A1256" s="25"/>
      <c r="B1256" s="20">
        <v>39119912600</v>
      </c>
      <c r="C1256" s="20">
        <v>9126</v>
      </c>
      <c r="D1256" s="20" t="s">
        <v>65</v>
      </c>
      <c r="E1256" s="20" t="s">
        <v>265</v>
      </c>
      <c r="F1256" s="20" t="s">
        <v>8</v>
      </c>
      <c r="G1256" s="861">
        <v>52.960231080794898</v>
      </c>
      <c r="H1256" s="861">
        <v>55.583088157776999</v>
      </c>
      <c r="I1256" s="861">
        <v>17.105923876378</v>
      </c>
      <c r="J1256" s="861">
        <v>58.364477693925501</v>
      </c>
      <c r="K1256" s="982">
        <v>0</v>
      </c>
      <c r="L1256" s="735">
        <v>3583</v>
      </c>
      <c r="M1256" s="735">
        <v>3702</v>
      </c>
      <c r="N1256" s="845">
        <f t="shared" si="108"/>
        <v>3.3212391850404692E-2</v>
      </c>
      <c r="O1256" s="735">
        <v>121.19456988549651</v>
      </c>
      <c r="P1256" s="735">
        <f t="shared" si="109"/>
        <v>30.545923002141226</v>
      </c>
      <c r="Q1256" s="849">
        <v>42</v>
      </c>
      <c r="R1256" s="71">
        <v>72455</v>
      </c>
      <c r="S1256" s="845">
        <v>9.5238095238095233E-2</v>
      </c>
      <c r="T1256" s="845">
        <v>3.7000000000000005E-2</v>
      </c>
      <c r="U1256" s="845">
        <v>0</v>
      </c>
      <c r="V1256" s="845">
        <v>0</v>
      </c>
      <c r="W1256" s="845">
        <v>9.084604715672677E-2</v>
      </c>
      <c r="X1256" s="845">
        <v>0.32061068702290074</v>
      </c>
      <c r="Y1256" s="845">
        <v>0.99297676931388434</v>
      </c>
      <c r="Z1256" s="845">
        <v>0</v>
      </c>
      <c r="AA1256" s="845">
        <v>0</v>
      </c>
      <c r="AB1256" s="845">
        <v>0</v>
      </c>
      <c r="AC1256" s="845">
        <v>0</v>
      </c>
      <c r="AD1256" s="845">
        <v>3.5116153430578066E-3</v>
      </c>
      <c r="AE1256" s="845">
        <v>3.5116153430578066E-3</v>
      </c>
      <c r="AF1256" s="845">
        <v>0</v>
      </c>
      <c r="AG1256" s="845">
        <v>0.99297676931388434</v>
      </c>
      <c r="AH1256" s="20" t="str">
        <f t="shared" si="110"/>
        <v>Yes</v>
      </c>
      <c r="AI1256" s="25"/>
      <c r="AJ1256" s="37">
        <v>45862</v>
      </c>
      <c r="AK1256" s="37" t="s">
        <v>1925</v>
      </c>
      <c r="AL1256" s="37">
        <v>39107</v>
      </c>
      <c r="AM1256" s="37" t="s">
        <v>59</v>
      </c>
      <c r="AN1256" s="37" t="str">
        <f t="shared" si="111"/>
        <v>N/A</v>
      </c>
      <c r="AO1256" s="37" t="str">
        <f t="shared" si="112"/>
        <v>N/A</v>
      </c>
      <c r="AP1256" s="20" t="s">
        <v>8</v>
      </c>
      <c r="AQ1256" s="25"/>
      <c r="AR1256" s="25"/>
      <c r="AS1256" s="25"/>
      <c r="AT1256" s="25"/>
      <c r="AU1256" s="36"/>
      <c r="AV1256" s="36"/>
      <c r="AW1256" s="36"/>
      <c r="AX1256" s="25"/>
      <c r="AY1256" s="25"/>
      <c r="AZ1256" s="25"/>
      <c r="BA1256" s="25"/>
      <c r="BB1256" s="25"/>
      <c r="BC1256" s="25"/>
      <c r="BD1256" s="25"/>
      <c r="BE1256" s="25"/>
      <c r="BF1256" s="25"/>
      <c r="BG1256" s="25"/>
      <c r="BH1256" s="25"/>
      <c r="BI1256" s="25"/>
      <c r="BJ1256" s="25"/>
      <c r="BK1256" s="25"/>
      <c r="BL1256" s="25"/>
      <c r="BM1256" s="25"/>
      <c r="BN1256" s="25"/>
      <c r="BO1256" s="25"/>
      <c r="BP1256" s="25"/>
      <c r="BQ1256" s="25"/>
      <c r="BR1256" s="25"/>
      <c r="BS1256" s="25"/>
      <c r="BT1256" s="25"/>
      <c r="BU1256" s="25"/>
      <c r="BV1256" s="25"/>
      <c r="BW1256" s="25"/>
      <c r="BX1256" s="25"/>
      <c r="BY1256" s="25"/>
      <c r="BZ1256" s="25"/>
      <c r="CA1256" s="25"/>
      <c r="CB1256" s="25"/>
      <c r="CC1256" s="25"/>
      <c r="CD1256" s="25"/>
      <c r="CE1256" s="200"/>
      <c r="CF1256" s="200"/>
      <c r="CG1256" s="200"/>
      <c r="CH1256" s="200"/>
      <c r="CI1256" s="200"/>
      <c r="CJ1256" s="200"/>
      <c r="CK1256" s="200"/>
      <c r="CL1256" s="200"/>
      <c r="CM1256" s="200"/>
      <c r="CN1256" s="200"/>
      <c r="CO1256" s="200"/>
      <c r="CP1256" s="200"/>
      <c r="CQ1256" s="200"/>
      <c r="CR1256" s="200"/>
      <c r="CS1256" s="200"/>
      <c r="CT1256" s="200"/>
      <c r="CU1256" s="200"/>
    </row>
    <row r="1257" spans="1:99" s="17" customFormat="1" x14ac:dyDescent="0.2">
      <c r="A1257" s="25"/>
      <c r="B1257" s="20">
        <v>39011041100</v>
      </c>
      <c r="C1257" s="20">
        <v>411</v>
      </c>
      <c r="D1257" s="20" t="s">
        <v>12</v>
      </c>
      <c r="E1257" s="20" t="s">
        <v>265</v>
      </c>
      <c r="F1257" s="20" t="s">
        <v>8</v>
      </c>
      <c r="G1257" s="861">
        <v>52.9561913448646</v>
      </c>
      <c r="H1257" s="861">
        <v>58.670068976597399</v>
      </c>
      <c r="I1257" s="861">
        <v>17.490849193226701</v>
      </c>
      <c r="J1257" s="861">
        <v>48.766476193205101</v>
      </c>
      <c r="K1257" s="982">
        <v>0</v>
      </c>
      <c r="L1257" s="735">
        <v>4182</v>
      </c>
      <c r="M1257" s="735">
        <v>3912</v>
      </c>
      <c r="N1257" s="845">
        <f t="shared" si="108"/>
        <v>-6.4562410329985651E-2</v>
      </c>
      <c r="O1257" s="735">
        <v>91.586534348993595</v>
      </c>
      <c r="P1257" s="735">
        <f t="shared" si="109"/>
        <v>42.713702705391071</v>
      </c>
      <c r="Q1257" s="849">
        <v>41.5</v>
      </c>
      <c r="R1257" s="71">
        <v>85644</v>
      </c>
      <c r="S1257" s="845">
        <v>4.6983311938382545E-2</v>
      </c>
      <c r="T1257" s="845">
        <v>4.2999999999999997E-2</v>
      </c>
      <c r="U1257" s="845">
        <v>0</v>
      </c>
      <c r="V1257" s="845">
        <v>0</v>
      </c>
      <c r="W1257" s="845">
        <v>0.20748299319727892</v>
      </c>
      <c r="X1257" s="845">
        <v>0.16393442622950818</v>
      </c>
      <c r="Y1257" s="845">
        <v>0.9813394683026585</v>
      </c>
      <c r="Z1257" s="845">
        <v>2.5562372188139061E-3</v>
      </c>
      <c r="AA1257" s="845">
        <v>1.278118609406953E-3</v>
      </c>
      <c r="AB1257" s="845">
        <v>1.5337423312883436E-3</v>
      </c>
      <c r="AC1257" s="845">
        <v>0</v>
      </c>
      <c r="AD1257" s="845">
        <v>9.202453987730062E-3</v>
      </c>
      <c r="AE1257" s="845">
        <v>4.0899795501022499E-3</v>
      </c>
      <c r="AF1257" s="845">
        <v>8.9468302658486706E-3</v>
      </c>
      <c r="AG1257" s="845">
        <v>0.9785276073619632</v>
      </c>
      <c r="AH1257" s="20" t="str">
        <f t="shared" si="110"/>
        <v>Yes</v>
      </c>
      <c r="AI1257" s="25"/>
      <c r="AJ1257" s="37">
        <v>45865</v>
      </c>
      <c r="AK1257" s="37" t="s">
        <v>1928</v>
      </c>
      <c r="AL1257" s="37">
        <v>39107</v>
      </c>
      <c r="AM1257" s="37" t="s">
        <v>59</v>
      </c>
      <c r="AN1257" s="37" t="str">
        <f t="shared" si="111"/>
        <v>N/A</v>
      </c>
      <c r="AO1257" s="37" t="str">
        <f t="shared" si="112"/>
        <v>N/A</v>
      </c>
      <c r="AP1257" s="20" t="s">
        <v>8</v>
      </c>
      <c r="AQ1257" s="25"/>
      <c r="AR1257" s="25"/>
      <c r="AS1257" s="25"/>
      <c r="AT1257" s="25"/>
      <c r="AU1257" s="36"/>
      <c r="AV1257" s="36"/>
      <c r="AW1257" s="36"/>
      <c r="AX1257" s="25"/>
      <c r="AY1257" s="25"/>
      <c r="AZ1257" s="25"/>
      <c r="BA1257" s="25"/>
      <c r="BB1257" s="25"/>
      <c r="BC1257" s="25"/>
      <c r="BD1257" s="25"/>
      <c r="BE1257" s="25"/>
      <c r="BF1257" s="25"/>
      <c r="BG1257" s="25"/>
      <c r="BH1257" s="25"/>
      <c r="BI1257" s="25"/>
      <c r="BJ1257" s="25"/>
      <c r="BK1257" s="25"/>
      <c r="BL1257" s="25"/>
      <c r="BM1257" s="25"/>
      <c r="BN1257" s="25"/>
      <c r="BO1257" s="25"/>
      <c r="BP1257" s="25"/>
      <c r="BQ1257" s="25"/>
      <c r="BR1257" s="25"/>
      <c r="BS1257" s="25"/>
      <c r="BT1257" s="25"/>
      <c r="BU1257" s="25"/>
      <c r="BV1257" s="25"/>
      <c r="BW1257" s="25"/>
      <c r="BX1257" s="25"/>
      <c r="BY1257" s="25"/>
      <c r="BZ1257" s="25"/>
      <c r="CA1257" s="25"/>
      <c r="CB1257" s="25"/>
      <c r="CC1257" s="25"/>
      <c r="CD1257" s="25"/>
      <c r="CE1257" s="200"/>
      <c r="CF1257" s="200"/>
      <c r="CG1257" s="200"/>
      <c r="CH1257" s="200"/>
      <c r="CI1257" s="200"/>
      <c r="CJ1257" s="200"/>
      <c r="CK1257" s="200"/>
      <c r="CL1257" s="200"/>
      <c r="CM1257" s="200"/>
      <c r="CN1257" s="200"/>
      <c r="CO1257" s="200"/>
      <c r="CP1257" s="200"/>
      <c r="CQ1257" s="200"/>
      <c r="CR1257" s="200"/>
      <c r="CS1257" s="200"/>
      <c r="CT1257" s="200"/>
      <c r="CU1257" s="200"/>
    </row>
    <row r="1258" spans="1:99" s="17" customFormat="1" x14ac:dyDescent="0.2">
      <c r="A1258" s="25"/>
      <c r="B1258" s="20">
        <v>39135480100</v>
      </c>
      <c r="C1258" s="20">
        <v>4801</v>
      </c>
      <c r="D1258" s="20" t="s">
        <v>73</v>
      </c>
      <c r="E1258" s="20" t="s">
        <v>265</v>
      </c>
      <c r="F1258" s="20" t="s">
        <v>8</v>
      </c>
      <c r="G1258" s="861">
        <v>52.947495657127398</v>
      </c>
      <c r="H1258" s="861">
        <v>59.669688619963999</v>
      </c>
      <c r="I1258" s="861">
        <v>10.991148278045101</v>
      </c>
      <c r="J1258" s="861">
        <v>49.150806599238201</v>
      </c>
      <c r="K1258" s="982">
        <v>0</v>
      </c>
      <c r="L1258" s="735">
        <v>4362</v>
      </c>
      <c r="M1258" s="735">
        <v>4201</v>
      </c>
      <c r="N1258" s="845">
        <f t="shared" si="108"/>
        <v>-3.6909674461256307E-2</v>
      </c>
      <c r="O1258" s="735">
        <v>36.521830596357447</v>
      </c>
      <c r="P1258" s="735">
        <f t="shared" si="109"/>
        <v>115.02709287576052</v>
      </c>
      <c r="Q1258" s="849">
        <v>46.4</v>
      </c>
      <c r="R1258" s="71">
        <v>87827</v>
      </c>
      <c r="S1258" s="845">
        <v>7.7198852772466534E-2</v>
      </c>
      <c r="T1258" s="845">
        <v>3.3000000000000002E-2</v>
      </c>
      <c r="U1258" s="845">
        <v>1E-3</v>
      </c>
      <c r="V1258" s="845">
        <v>0</v>
      </c>
      <c r="W1258" s="845">
        <v>7.5659824046920815E-2</v>
      </c>
      <c r="X1258" s="845">
        <v>7.7519379844961239E-2</v>
      </c>
      <c r="Y1258" s="845">
        <v>0.96976910259462035</v>
      </c>
      <c r="Z1258" s="845">
        <v>0</v>
      </c>
      <c r="AA1258" s="845">
        <v>0</v>
      </c>
      <c r="AB1258" s="845">
        <v>0</v>
      </c>
      <c r="AC1258" s="845">
        <v>0</v>
      </c>
      <c r="AD1258" s="845">
        <v>0</v>
      </c>
      <c r="AE1258" s="845">
        <v>3.023089740537967E-2</v>
      </c>
      <c r="AF1258" s="845">
        <v>1.0949773863365866E-2</v>
      </c>
      <c r="AG1258" s="845">
        <v>0.95881932873125442</v>
      </c>
      <c r="AH1258" s="20" t="str">
        <f t="shared" si="110"/>
        <v>Yes</v>
      </c>
      <c r="AI1258" s="25"/>
      <c r="AJ1258" s="20">
        <v>45866</v>
      </c>
      <c r="AK1258" s="20" t="s">
        <v>1929</v>
      </c>
      <c r="AL1258" s="20">
        <v>39107</v>
      </c>
      <c r="AM1258" s="20" t="s">
        <v>59</v>
      </c>
      <c r="AN1258" s="37" t="str">
        <f t="shared" si="111"/>
        <v>N/A</v>
      </c>
      <c r="AO1258" s="37" t="str">
        <f t="shared" si="112"/>
        <v>N/A</v>
      </c>
      <c r="AP1258" s="20" t="s">
        <v>8</v>
      </c>
      <c r="AQ1258" s="25"/>
      <c r="AR1258" s="25"/>
      <c r="AS1258" s="25"/>
      <c r="AT1258" s="25"/>
      <c r="AU1258" s="36"/>
      <c r="AV1258" s="36"/>
      <c r="AW1258" s="36"/>
      <c r="AX1258" s="25"/>
      <c r="AY1258" s="25"/>
      <c r="AZ1258" s="25"/>
      <c r="BA1258" s="25"/>
      <c r="BB1258" s="25"/>
      <c r="BC1258" s="25"/>
      <c r="BD1258" s="25"/>
      <c r="BE1258" s="25"/>
      <c r="BF1258" s="25"/>
      <c r="BG1258" s="25"/>
      <c r="BH1258" s="25"/>
      <c r="BI1258" s="25"/>
      <c r="BJ1258" s="25"/>
      <c r="BK1258" s="25"/>
      <c r="BL1258" s="25"/>
      <c r="BM1258" s="25"/>
      <c r="BN1258" s="25"/>
      <c r="BO1258" s="25"/>
      <c r="BP1258" s="25"/>
      <c r="BQ1258" s="25"/>
      <c r="BR1258" s="25"/>
      <c r="BS1258" s="25"/>
      <c r="BT1258" s="25"/>
      <c r="BU1258" s="25"/>
      <c r="BV1258" s="25"/>
      <c r="BW1258" s="25"/>
      <c r="BX1258" s="25"/>
      <c r="BY1258" s="25"/>
      <c r="BZ1258" s="25"/>
      <c r="CA1258" s="25"/>
      <c r="CB1258" s="25"/>
      <c r="CC1258" s="25"/>
      <c r="CD1258" s="25"/>
      <c r="CE1258" s="200"/>
      <c r="CF1258" s="200"/>
      <c r="CG1258" s="200"/>
      <c r="CH1258" s="200"/>
      <c r="CI1258" s="200"/>
      <c r="CJ1258" s="200"/>
      <c r="CK1258" s="200"/>
      <c r="CL1258" s="200"/>
      <c r="CM1258" s="200"/>
      <c r="CN1258" s="200"/>
      <c r="CO1258" s="200"/>
      <c r="CP1258" s="200"/>
      <c r="CQ1258" s="200"/>
      <c r="CR1258" s="200"/>
      <c r="CS1258" s="200"/>
      <c r="CT1258" s="200"/>
      <c r="CU1258" s="200"/>
    </row>
    <row r="1259" spans="1:99" s="17" customFormat="1" x14ac:dyDescent="0.2">
      <c r="A1259" s="25"/>
      <c r="B1259" s="20">
        <v>39035185101</v>
      </c>
      <c r="C1259" s="20">
        <v>1851.01</v>
      </c>
      <c r="D1259" s="20" t="s">
        <v>24</v>
      </c>
      <c r="E1259" s="20" t="s">
        <v>2829</v>
      </c>
      <c r="F1259" s="20" t="s">
        <v>8</v>
      </c>
      <c r="G1259" s="861">
        <v>52.942670782000398</v>
      </c>
      <c r="H1259" s="861">
        <v>49.564450638133003</v>
      </c>
      <c r="I1259" s="861">
        <v>39.232926299531997</v>
      </c>
      <c r="J1259" s="861">
        <v>38.039536711304699</v>
      </c>
      <c r="K1259" s="982">
        <v>0</v>
      </c>
      <c r="L1259" s="735">
        <v>2546</v>
      </c>
      <c r="M1259" s="735">
        <v>3108</v>
      </c>
      <c r="N1259" s="845">
        <f t="shared" si="108"/>
        <v>0.22073841319717202</v>
      </c>
      <c r="O1259" s="735">
        <v>0.65121534476851328</v>
      </c>
      <c r="P1259" s="735">
        <f t="shared" si="109"/>
        <v>4772.6148116254799</v>
      </c>
      <c r="Q1259" s="849">
        <v>28.7</v>
      </c>
      <c r="R1259" s="71">
        <v>69854</v>
      </c>
      <c r="S1259" s="845">
        <v>5.2462182169295143E-2</v>
      </c>
      <c r="T1259" s="845">
        <v>0.109</v>
      </c>
      <c r="U1259" s="845">
        <v>0</v>
      </c>
      <c r="V1259" s="845">
        <v>0</v>
      </c>
      <c r="W1259" s="845">
        <v>0.14666666666666667</v>
      </c>
      <c r="X1259" s="845">
        <v>0</v>
      </c>
      <c r="Y1259" s="845">
        <v>6.5958815958815961E-2</v>
      </c>
      <c r="Z1259" s="845">
        <v>0.83848133848133843</v>
      </c>
      <c r="AA1259" s="845">
        <v>0</v>
      </c>
      <c r="AB1259" s="845">
        <v>7.7220077220077222E-3</v>
      </c>
      <c r="AC1259" s="845">
        <v>0</v>
      </c>
      <c r="AD1259" s="845">
        <v>2.0913770913770915E-2</v>
      </c>
      <c r="AE1259" s="845">
        <v>6.6924066924066924E-2</v>
      </c>
      <c r="AF1259" s="845">
        <v>3.7323037323037322E-2</v>
      </c>
      <c r="AG1259" s="845">
        <v>6.5958815958815961E-2</v>
      </c>
      <c r="AH1259" s="20" t="str">
        <f t="shared" si="110"/>
        <v>No</v>
      </c>
      <c r="AI1259" s="25"/>
      <c r="AJ1259" s="20">
        <v>45869</v>
      </c>
      <c r="AK1259" s="20" t="s">
        <v>1932</v>
      </c>
      <c r="AL1259" s="20">
        <v>39107</v>
      </c>
      <c r="AM1259" s="20" t="s">
        <v>59</v>
      </c>
      <c r="AN1259" s="37" t="str">
        <f t="shared" si="111"/>
        <v>N/A</v>
      </c>
      <c r="AO1259" s="37" t="str">
        <f t="shared" si="112"/>
        <v>N/A</v>
      </c>
      <c r="AP1259" s="20" t="s">
        <v>8</v>
      </c>
      <c r="AQ1259" s="25"/>
      <c r="AR1259" s="25"/>
      <c r="AS1259" s="25"/>
      <c r="AT1259" s="25"/>
      <c r="AU1259" s="36"/>
      <c r="AV1259" s="36"/>
      <c r="AW1259" s="36"/>
      <c r="AX1259" s="25"/>
      <c r="AY1259" s="25"/>
      <c r="AZ1259" s="25"/>
      <c r="BA1259" s="25"/>
      <c r="BB1259" s="25"/>
      <c r="BC1259" s="25"/>
      <c r="BD1259" s="25"/>
      <c r="BE1259" s="25"/>
      <c r="BF1259" s="25"/>
      <c r="BG1259" s="25"/>
      <c r="BH1259" s="25"/>
      <c r="BI1259" s="25"/>
      <c r="BJ1259" s="25"/>
      <c r="BK1259" s="25"/>
      <c r="BL1259" s="25"/>
      <c r="BM1259" s="25"/>
      <c r="BN1259" s="25"/>
      <c r="BO1259" s="25"/>
      <c r="BP1259" s="25"/>
      <c r="BQ1259" s="25"/>
      <c r="BR1259" s="25"/>
      <c r="BS1259" s="25"/>
      <c r="BT1259" s="25"/>
      <c r="BU1259" s="25"/>
      <c r="BV1259" s="25"/>
      <c r="BW1259" s="25"/>
      <c r="BX1259" s="25"/>
      <c r="BY1259" s="25"/>
      <c r="BZ1259" s="25"/>
      <c r="CA1259" s="25"/>
      <c r="CB1259" s="25"/>
      <c r="CC1259" s="25"/>
      <c r="CD1259" s="25"/>
      <c r="CE1259" s="200"/>
      <c r="CF1259" s="200"/>
      <c r="CG1259" s="200"/>
      <c r="CH1259" s="200"/>
      <c r="CI1259" s="200"/>
      <c r="CJ1259" s="200"/>
      <c r="CK1259" s="200"/>
      <c r="CL1259" s="200"/>
      <c r="CM1259" s="200"/>
      <c r="CN1259" s="200"/>
      <c r="CO1259" s="200"/>
      <c r="CP1259" s="200"/>
      <c r="CQ1259" s="200"/>
      <c r="CR1259" s="200"/>
      <c r="CS1259" s="200"/>
      <c r="CT1259" s="200"/>
      <c r="CU1259" s="200"/>
    </row>
    <row r="1260" spans="1:99" s="17" customFormat="1" x14ac:dyDescent="0.2">
      <c r="A1260" s="25"/>
      <c r="B1260" s="20">
        <v>39035172104</v>
      </c>
      <c r="C1260" s="20">
        <v>1721.04</v>
      </c>
      <c r="D1260" s="20" t="s">
        <v>24</v>
      </c>
      <c r="E1260" s="20" t="s">
        <v>2829</v>
      </c>
      <c r="F1260" s="20" t="s">
        <v>8</v>
      </c>
      <c r="G1260" s="861">
        <v>52.9351387619012</v>
      </c>
      <c r="H1260" s="861">
        <v>56.467887987345499</v>
      </c>
      <c r="I1260" s="861">
        <v>50.359025294795003</v>
      </c>
      <c r="J1260" s="861">
        <v>52.554225227100801</v>
      </c>
      <c r="K1260" s="982">
        <v>0</v>
      </c>
      <c r="L1260" s="735" t="s">
        <v>2466</v>
      </c>
      <c r="M1260" s="735">
        <v>1544</v>
      </c>
      <c r="N1260" s="845" t="str">
        <f t="shared" si="108"/>
        <v/>
      </c>
      <c r="O1260" s="735">
        <v>0.3147798234486876</v>
      </c>
      <c r="P1260" s="735">
        <f t="shared" si="109"/>
        <v>4905.0157760562061</v>
      </c>
      <c r="Q1260" s="849">
        <v>36.299999999999997</v>
      </c>
      <c r="R1260" s="71">
        <v>66875</v>
      </c>
      <c r="S1260" s="845">
        <v>7.7072538860103623E-2</v>
      </c>
      <c r="T1260" s="845">
        <v>8.1000000000000003E-2</v>
      </c>
      <c r="U1260" s="845">
        <v>0</v>
      </c>
      <c r="V1260" s="845">
        <v>0.22399999999999998</v>
      </c>
      <c r="W1260" s="845">
        <v>0.53754940711462451</v>
      </c>
      <c r="X1260" s="845">
        <v>0.33088235294117646</v>
      </c>
      <c r="Y1260" s="845">
        <v>0.37370466321243523</v>
      </c>
      <c r="Z1260" s="845">
        <v>0.18588082901554404</v>
      </c>
      <c r="AA1260" s="845">
        <v>0</v>
      </c>
      <c r="AB1260" s="845">
        <v>0.22733160621761658</v>
      </c>
      <c r="AC1260" s="845">
        <v>0</v>
      </c>
      <c r="AD1260" s="845">
        <v>1.4248704663212436E-2</v>
      </c>
      <c r="AE1260" s="845">
        <v>0.19883419689119172</v>
      </c>
      <c r="AF1260" s="845">
        <v>0.20984455958549222</v>
      </c>
      <c r="AG1260" s="845">
        <v>0.37370466321243523</v>
      </c>
      <c r="AH1260" s="20" t="str">
        <f t="shared" si="110"/>
        <v>No</v>
      </c>
      <c r="AI1260" s="25"/>
      <c r="AJ1260" s="37">
        <v>45882</v>
      </c>
      <c r="AK1260" s="37" t="s">
        <v>1944</v>
      </c>
      <c r="AL1260" s="37">
        <v>39107</v>
      </c>
      <c r="AM1260" s="37" t="s">
        <v>59</v>
      </c>
      <c r="AN1260" s="37" t="str">
        <f t="shared" si="111"/>
        <v>N/A</v>
      </c>
      <c r="AO1260" s="37" t="str">
        <f t="shared" si="112"/>
        <v>N/A</v>
      </c>
      <c r="AP1260" s="20" t="s">
        <v>8</v>
      </c>
      <c r="AQ1260" s="25"/>
      <c r="AR1260" s="25"/>
      <c r="AS1260" s="25"/>
      <c r="AT1260" s="25"/>
      <c r="AU1260" s="36"/>
      <c r="AV1260" s="36"/>
      <c r="AW1260" s="36"/>
      <c r="AX1260" s="25"/>
      <c r="AY1260" s="25"/>
      <c r="AZ1260" s="25"/>
      <c r="BA1260" s="25"/>
      <c r="BB1260" s="25"/>
      <c r="BC1260" s="25"/>
      <c r="BD1260" s="25"/>
      <c r="BE1260" s="25"/>
      <c r="BF1260" s="25"/>
      <c r="BG1260" s="25"/>
      <c r="BH1260" s="25"/>
      <c r="BI1260" s="25"/>
      <c r="BJ1260" s="25"/>
      <c r="BK1260" s="25"/>
      <c r="BL1260" s="25"/>
      <c r="BM1260" s="25"/>
      <c r="BN1260" s="25"/>
      <c r="BO1260" s="25"/>
      <c r="BP1260" s="25"/>
      <c r="BQ1260" s="25"/>
      <c r="BR1260" s="25"/>
      <c r="BS1260" s="25"/>
      <c r="BT1260" s="25"/>
      <c r="BU1260" s="25"/>
      <c r="BV1260" s="25"/>
      <c r="BW1260" s="25"/>
      <c r="BX1260" s="25"/>
      <c r="BY1260" s="25"/>
      <c r="BZ1260" s="25"/>
      <c r="CA1260" s="25"/>
      <c r="CB1260" s="25"/>
      <c r="CC1260" s="25"/>
      <c r="CD1260" s="25"/>
      <c r="CE1260" s="200"/>
      <c r="CF1260" s="200"/>
      <c r="CG1260" s="200"/>
      <c r="CH1260" s="200"/>
      <c r="CI1260" s="200"/>
      <c r="CJ1260" s="200"/>
      <c r="CK1260" s="200"/>
      <c r="CL1260" s="200"/>
      <c r="CM1260" s="200"/>
      <c r="CN1260" s="200"/>
      <c r="CO1260" s="200"/>
      <c r="CP1260" s="200"/>
      <c r="CQ1260" s="200"/>
      <c r="CR1260" s="200"/>
      <c r="CS1260" s="200"/>
      <c r="CT1260" s="200"/>
      <c r="CU1260" s="200"/>
    </row>
    <row r="1261" spans="1:99" s="17" customFormat="1" x14ac:dyDescent="0.2">
      <c r="A1261" s="25"/>
      <c r="B1261" s="20">
        <v>39089755000</v>
      </c>
      <c r="C1261" s="20">
        <v>7550</v>
      </c>
      <c r="D1261" s="20" t="s">
        <v>50</v>
      </c>
      <c r="E1261" s="20" t="s">
        <v>2830</v>
      </c>
      <c r="F1261" s="20" t="s">
        <v>8</v>
      </c>
      <c r="G1261" s="861">
        <v>52.930065628613498</v>
      </c>
      <c r="H1261" s="861">
        <v>58.192598814085699</v>
      </c>
      <c r="I1261" s="861">
        <v>23.557065687194999</v>
      </c>
      <c r="J1261" s="861">
        <v>62.188884421995901</v>
      </c>
      <c r="K1261" s="982">
        <v>0</v>
      </c>
      <c r="L1261" s="735">
        <v>6455</v>
      </c>
      <c r="M1261" s="735">
        <v>7771</v>
      </c>
      <c r="N1261" s="845">
        <f t="shared" si="108"/>
        <v>0.20387296669248645</v>
      </c>
      <c r="O1261" s="735">
        <v>105.86426205639995</v>
      </c>
      <c r="P1261" s="735">
        <f t="shared" si="109"/>
        <v>73.405319690038013</v>
      </c>
      <c r="Q1261" s="849">
        <v>42.8</v>
      </c>
      <c r="R1261" s="71">
        <v>131607</v>
      </c>
      <c r="S1261" s="845">
        <v>2.5813983655467634E-2</v>
      </c>
      <c r="T1261" s="845">
        <v>2.8999999999999998E-2</v>
      </c>
      <c r="U1261" s="845">
        <v>0</v>
      </c>
      <c r="V1261" s="845">
        <v>0</v>
      </c>
      <c r="W1261" s="845">
        <v>9.4912680334092642E-2</v>
      </c>
      <c r="X1261" s="845">
        <v>0.3</v>
      </c>
      <c r="Y1261" s="845">
        <v>0.92587826534551543</v>
      </c>
      <c r="Z1261" s="845">
        <v>0</v>
      </c>
      <c r="AA1261" s="845">
        <v>2.5736713421696051E-4</v>
      </c>
      <c r="AB1261" s="845">
        <v>1.9302535066272038E-3</v>
      </c>
      <c r="AC1261" s="845">
        <v>0</v>
      </c>
      <c r="AD1261" s="845">
        <v>4.5167932055076569E-2</v>
      </c>
      <c r="AE1261" s="845">
        <v>2.6766181958563891E-2</v>
      </c>
      <c r="AF1261" s="845">
        <v>0</v>
      </c>
      <c r="AG1261" s="845">
        <v>0.92587826534551543</v>
      </c>
      <c r="AH1261" s="20" t="str">
        <f t="shared" si="110"/>
        <v>Yes</v>
      </c>
      <c r="AI1261" s="25"/>
      <c r="AJ1261" s="20">
        <v>45883</v>
      </c>
      <c r="AK1261" s="20" t="s">
        <v>1945</v>
      </c>
      <c r="AL1261" s="20">
        <v>39107</v>
      </c>
      <c r="AM1261" s="20" t="s">
        <v>59</v>
      </c>
      <c r="AN1261" s="37" t="str">
        <f t="shared" si="111"/>
        <v>N/A</v>
      </c>
      <c r="AO1261" s="37" t="str">
        <f t="shared" si="112"/>
        <v>N/A</v>
      </c>
      <c r="AP1261" s="20" t="s">
        <v>8</v>
      </c>
      <c r="AQ1261" s="25"/>
      <c r="AR1261" s="25"/>
      <c r="AS1261" s="25"/>
      <c r="AT1261" s="25"/>
      <c r="AU1261" s="36"/>
      <c r="AV1261" s="36"/>
      <c r="AW1261" s="36"/>
      <c r="AX1261" s="25"/>
      <c r="AY1261" s="25"/>
      <c r="AZ1261" s="25"/>
      <c r="BA1261" s="25"/>
      <c r="BB1261" s="25"/>
      <c r="BC1261" s="25"/>
      <c r="BD1261" s="25"/>
      <c r="BE1261" s="25"/>
      <c r="BF1261" s="25"/>
      <c r="BG1261" s="25"/>
      <c r="BH1261" s="25"/>
      <c r="BI1261" s="25"/>
      <c r="BJ1261" s="25"/>
      <c r="BK1261" s="25"/>
      <c r="BL1261" s="25"/>
      <c r="BM1261" s="25"/>
      <c r="BN1261" s="25"/>
      <c r="BO1261" s="25"/>
      <c r="BP1261" s="25"/>
      <c r="BQ1261" s="25"/>
      <c r="BR1261" s="25"/>
      <c r="BS1261" s="25"/>
      <c r="BT1261" s="25"/>
      <c r="BU1261" s="25"/>
      <c r="BV1261" s="25"/>
      <c r="BW1261" s="25"/>
      <c r="BX1261" s="25"/>
      <c r="BY1261" s="25"/>
      <c r="BZ1261" s="25"/>
      <c r="CA1261" s="25"/>
      <c r="CB1261" s="25"/>
      <c r="CC1261" s="25"/>
      <c r="CD1261" s="25"/>
      <c r="CE1261" s="200"/>
      <c r="CF1261" s="200"/>
      <c r="CG1261" s="200"/>
      <c r="CH1261" s="200"/>
      <c r="CI1261" s="200"/>
      <c r="CJ1261" s="200"/>
      <c r="CK1261" s="200"/>
      <c r="CL1261" s="200"/>
      <c r="CM1261" s="200"/>
      <c r="CN1261" s="200"/>
      <c r="CO1261" s="200"/>
      <c r="CP1261" s="200"/>
      <c r="CQ1261" s="200"/>
      <c r="CR1261" s="200"/>
      <c r="CS1261" s="200"/>
      <c r="CT1261" s="200"/>
      <c r="CU1261" s="200"/>
    </row>
    <row r="1262" spans="1:99" s="17" customFormat="1" x14ac:dyDescent="0.2">
      <c r="A1262" s="25"/>
      <c r="B1262" s="20">
        <v>39041010200</v>
      </c>
      <c r="C1262" s="20">
        <v>102</v>
      </c>
      <c r="D1262" s="20" t="s">
        <v>27</v>
      </c>
      <c r="E1262" s="20" t="s">
        <v>2830</v>
      </c>
      <c r="F1262" s="20" t="s">
        <v>8</v>
      </c>
      <c r="G1262" s="861">
        <v>52.918445893819303</v>
      </c>
      <c r="H1262" s="861">
        <v>60.952951053731297</v>
      </c>
      <c r="I1262" s="861">
        <v>26.710399568554699</v>
      </c>
      <c r="J1262" s="861">
        <v>38.997801002419401</v>
      </c>
      <c r="K1262" s="982">
        <v>1</v>
      </c>
      <c r="L1262" s="735">
        <v>5595</v>
      </c>
      <c r="M1262" s="735">
        <v>5865</v>
      </c>
      <c r="N1262" s="845">
        <f t="shared" si="108"/>
        <v>4.8257372654155493E-2</v>
      </c>
      <c r="O1262" s="735">
        <v>4.9694320797480422</v>
      </c>
      <c r="P1262" s="735">
        <f t="shared" si="109"/>
        <v>1180.2153457135819</v>
      </c>
      <c r="Q1262" s="849">
        <v>38.799999999999997</v>
      </c>
      <c r="R1262" s="71">
        <v>64946</v>
      </c>
      <c r="S1262" s="845">
        <v>0.1331588132635253</v>
      </c>
      <c r="T1262" s="845">
        <v>8.0000000000000002E-3</v>
      </c>
      <c r="U1262" s="845">
        <v>0</v>
      </c>
      <c r="V1262" s="845">
        <v>0</v>
      </c>
      <c r="W1262" s="845">
        <v>0.36691236691236689</v>
      </c>
      <c r="X1262" s="845">
        <v>0.35379464285714285</v>
      </c>
      <c r="Y1262" s="845">
        <v>0.76760443307757886</v>
      </c>
      <c r="Z1262" s="845">
        <v>4.0750213128729749E-2</v>
      </c>
      <c r="AA1262" s="845">
        <v>0</v>
      </c>
      <c r="AB1262" s="845">
        <v>5.8312020460358056E-2</v>
      </c>
      <c r="AC1262" s="845">
        <v>0</v>
      </c>
      <c r="AD1262" s="845">
        <v>5.9676044330775786E-3</v>
      </c>
      <c r="AE1262" s="845">
        <v>0.12736572890025574</v>
      </c>
      <c r="AF1262" s="845">
        <v>9.7016197783461211E-2</v>
      </c>
      <c r="AG1262" s="845">
        <v>0.76010230179028138</v>
      </c>
      <c r="AH1262" s="20" t="str">
        <f t="shared" si="110"/>
        <v>No</v>
      </c>
      <c r="AI1262" s="25"/>
      <c r="AJ1262" s="37">
        <v>45885</v>
      </c>
      <c r="AK1262" s="37" t="s">
        <v>1947</v>
      </c>
      <c r="AL1262" s="37">
        <v>39107</v>
      </c>
      <c r="AM1262" s="37" t="s">
        <v>59</v>
      </c>
      <c r="AN1262" s="37" t="str">
        <f t="shared" si="111"/>
        <v>N/A</v>
      </c>
      <c r="AO1262" s="37" t="str">
        <f t="shared" si="112"/>
        <v>N/A</v>
      </c>
      <c r="AP1262" s="20" t="s">
        <v>8</v>
      </c>
      <c r="AQ1262" s="25"/>
      <c r="AR1262" s="25"/>
      <c r="AS1262" s="25"/>
      <c r="AT1262" s="25"/>
      <c r="AU1262" s="36"/>
      <c r="AV1262" s="36"/>
      <c r="AW1262" s="36"/>
      <c r="AX1262" s="25"/>
      <c r="AY1262" s="25"/>
      <c r="AZ1262" s="25"/>
      <c r="BA1262" s="25"/>
      <c r="BB1262" s="25"/>
      <c r="BC1262" s="25"/>
      <c r="BD1262" s="25"/>
      <c r="BE1262" s="25"/>
      <c r="BF1262" s="25"/>
      <c r="BG1262" s="25"/>
      <c r="BH1262" s="25"/>
      <c r="BI1262" s="25"/>
      <c r="BJ1262" s="25"/>
      <c r="BK1262" s="25"/>
      <c r="BL1262" s="25"/>
      <c r="BM1262" s="25"/>
      <c r="BN1262" s="25"/>
      <c r="BO1262" s="25"/>
      <c r="BP1262" s="25"/>
      <c r="BQ1262" s="25"/>
      <c r="BR1262" s="25"/>
      <c r="BS1262" s="25"/>
      <c r="BT1262" s="25"/>
      <c r="BU1262" s="25"/>
      <c r="BV1262" s="25"/>
      <c r="BW1262" s="25"/>
      <c r="BX1262" s="25"/>
      <c r="BY1262" s="25"/>
      <c r="BZ1262" s="25"/>
      <c r="CA1262" s="25"/>
      <c r="CB1262" s="25"/>
      <c r="CC1262" s="25"/>
      <c r="CD1262" s="25"/>
      <c r="CE1262" s="200"/>
      <c r="CF1262" s="200"/>
      <c r="CG1262" s="200"/>
      <c r="CH1262" s="200"/>
      <c r="CI1262" s="200"/>
      <c r="CJ1262" s="200"/>
      <c r="CK1262" s="200"/>
      <c r="CL1262" s="200"/>
      <c r="CM1262" s="200"/>
      <c r="CN1262" s="200"/>
      <c r="CO1262" s="200"/>
      <c r="CP1262" s="200"/>
      <c r="CQ1262" s="200"/>
      <c r="CR1262" s="200"/>
      <c r="CS1262" s="200"/>
      <c r="CT1262" s="200"/>
      <c r="CU1262" s="200"/>
    </row>
    <row r="1263" spans="1:99" s="17" customFormat="1" x14ac:dyDescent="0.2">
      <c r="A1263" s="25"/>
      <c r="B1263" s="20">
        <v>39061020701</v>
      </c>
      <c r="C1263" s="20">
        <v>207.01</v>
      </c>
      <c r="D1263" s="20" t="s">
        <v>37</v>
      </c>
      <c r="E1263" s="20" t="s">
        <v>2828</v>
      </c>
      <c r="F1263" s="20" t="s">
        <v>8</v>
      </c>
      <c r="G1263" s="861">
        <v>52.907755124212301</v>
      </c>
      <c r="H1263" s="861">
        <v>56.102685043456603</v>
      </c>
      <c r="I1263" s="861">
        <v>30.263768542011199</v>
      </c>
      <c r="J1263" s="861">
        <v>27.774895784796598</v>
      </c>
      <c r="K1263" s="982">
        <v>0</v>
      </c>
      <c r="L1263" s="735">
        <v>7015</v>
      </c>
      <c r="M1263" s="735">
        <v>6954</v>
      </c>
      <c r="N1263" s="845">
        <f t="shared" si="108"/>
        <v>-8.6956521739130436E-3</v>
      </c>
      <c r="O1263" s="735">
        <v>3.2844185527940515</v>
      </c>
      <c r="P1263" s="735">
        <f t="shared" si="109"/>
        <v>2117.2697353338963</v>
      </c>
      <c r="Q1263" s="849">
        <v>39.700000000000003</v>
      </c>
      <c r="R1263" s="71">
        <v>55706</v>
      </c>
      <c r="S1263" s="845">
        <v>0.1335281227173119</v>
      </c>
      <c r="T1263" s="845">
        <v>0</v>
      </c>
      <c r="U1263" s="845">
        <v>0</v>
      </c>
      <c r="V1263" s="845">
        <v>0</v>
      </c>
      <c r="W1263" s="845">
        <v>0.35412096521466624</v>
      </c>
      <c r="X1263" s="845">
        <v>0.52920353982300883</v>
      </c>
      <c r="Y1263" s="845">
        <v>0.73698590739142944</v>
      </c>
      <c r="Z1263" s="845">
        <v>0.20563704342824274</v>
      </c>
      <c r="AA1263" s="845">
        <v>0</v>
      </c>
      <c r="AB1263" s="845">
        <v>1.2510785159620362E-2</v>
      </c>
      <c r="AC1263" s="845">
        <v>0</v>
      </c>
      <c r="AD1263" s="845">
        <v>0</v>
      </c>
      <c r="AE1263" s="845">
        <v>4.4866264020707508E-2</v>
      </c>
      <c r="AF1263" s="845">
        <v>0</v>
      </c>
      <c r="AG1263" s="845">
        <v>0.73698590739142944</v>
      </c>
      <c r="AH1263" s="20" t="str">
        <f t="shared" si="110"/>
        <v>No</v>
      </c>
      <c r="AI1263" s="25"/>
      <c r="AJ1263" s="20">
        <v>45887</v>
      </c>
      <c r="AK1263" s="20" t="s">
        <v>1949</v>
      </c>
      <c r="AL1263" s="20">
        <v>39107</v>
      </c>
      <c r="AM1263" s="20" t="s">
        <v>59</v>
      </c>
      <c r="AN1263" s="37" t="str">
        <f t="shared" si="111"/>
        <v>N/A</v>
      </c>
      <c r="AO1263" s="37" t="str">
        <f t="shared" si="112"/>
        <v>N/A</v>
      </c>
      <c r="AP1263" s="20" t="s">
        <v>8</v>
      </c>
      <c r="AQ1263" s="25"/>
      <c r="AR1263" s="25"/>
      <c r="AS1263" s="25"/>
      <c r="AT1263" s="25"/>
      <c r="AU1263" s="36"/>
      <c r="AV1263" s="36"/>
      <c r="AW1263" s="36"/>
      <c r="AX1263" s="25"/>
      <c r="AY1263" s="25"/>
      <c r="AZ1263" s="25"/>
      <c r="BA1263" s="25"/>
      <c r="BB1263" s="25"/>
      <c r="BC1263" s="25"/>
      <c r="BD1263" s="25"/>
      <c r="BE1263" s="25"/>
      <c r="BF1263" s="25"/>
      <c r="BG1263" s="25"/>
      <c r="BH1263" s="25"/>
      <c r="BI1263" s="25"/>
      <c r="BJ1263" s="25"/>
      <c r="BK1263" s="25"/>
      <c r="BL1263" s="25"/>
      <c r="BM1263" s="25"/>
      <c r="BN1263" s="25"/>
      <c r="BO1263" s="25"/>
      <c r="BP1263" s="25"/>
      <c r="BQ1263" s="25"/>
      <c r="BR1263" s="25"/>
      <c r="BS1263" s="25"/>
      <c r="BT1263" s="25"/>
      <c r="BU1263" s="25"/>
      <c r="BV1263" s="25"/>
      <c r="BW1263" s="25"/>
      <c r="BX1263" s="25"/>
      <c r="BY1263" s="25"/>
      <c r="BZ1263" s="25"/>
      <c r="CA1263" s="25"/>
      <c r="CB1263" s="25"/>
      <c r="CC1263" s="25"/>
      <c r="CD1263" s="25"/>
      <c r="CE1263" s="200"/>
      <c r="CF1263" s="200"/>
      <c r="CG1263" s="200"/>
      <c r="CH1263" s="200"/>
      <c r="CI1263" s="200"/>
      <c r="CJ1263" s="200"/>
      <c r="CK1263" s="200"/>
      <c r="CL1263" s="200"/>
      <c r="CM1263" s="200"/>
      <c r="CN1263" s="200"/>
      <c r="CO1263" s="200"/>
      <c r="CP1263" s="200"/>
      <c r="CQ1263" s="200"/>
      <c r="CR1263" s="200"/>
      <c r="CS1263" s="200"/>
      <c r="CT1263" s="200"/>
      <c r="CU1263" s="200"/>
    </row>
    <row r="1264" spans="1:99" s="17" customFormat="1" x14ac:dyDescent="0.2">
      <c r="A1264" s="25"/>
      <c r="B1264" s="20">
        <v>39049009495</v>
      </c>
      <c r="C1264" s="20">
        <v>94.95</v>
      </c>
      <c r="D1264" s="20" t="s">
        <v>31</v>
      </c>
      <c r="E1264" s="20" t="s">
        <v>2830</v>
      </c>
      <c r="F1264" s="20" t="s">
        <v>8</v>
      </c>
      <c r="G1264" s="861">
        <v>52.904121344376101</v>
      </c>
      <c r="H1264" s="861">
        <v>50.0333202853706</v>
      </c>
      <c r="I1264" s="861">
        <v>28.017135847525701</v>
      </c>
      <c r="J1264" s="861">
        <v>58.245020970710002</v>
      </c>
      <c r="K1264" s="982">
        <v>0</v>
      </c>
      <c r="L1264" s="735">
        <v>4680</v>
      </c>
      <c r="M1264" s="735">
        <v>5548</v>
      </c>
      <c r="N1264" s="845">
        <f t="shared" si="108"/>
        <v>0.18547008547008548</v>
      </c>
      <c r="O1264" s="735">
        <v>7.5425539308749956</v>
      </c>
      <c r="P1264" s="735">
        <f t="shared" si="109"/>
        <v>735.55987147663507</v>
      </c>
      <c r="Q1264" s="849">
        <v>32.1</v>
      </c>
      <c r="R1264" s="71">
        <v>69288</v>
      </c>
      <c r="S1264" s="845">
        <v>0.12695492180312787</v>
      </c>
      <c r="T1264" s="845">
        <v>7.8E-2</v>
      </c>
      <c r="U1264" s="845">
        <v>0</v>
      </c>
      <c r="V1264" s="845">
        <v>0</v>
      </c>
      <c r="W1264" s="845">
        <v>0.36836682122617209</v>
      </c>
      <c r="X1264" s="845">
        <v>0.24055944055944056</v>
      </c>
      <c r="Y1264" s="845">
        <v>0.70349675558759917</v>
      </c>
      <c r="Z1264" s="845">
        <v>0.22764960346070656</v>
      </c>
      <c r="AA1264" s="845">
        <v>0</v>
      </c>
      <c r="AB1264" s="845">
        <v>4.3258832011535686E-3</v>
      </c>
      <c r="AC1264" s="845">
        <v>0</v>
      </c>
      <c r="AD1264" s="845">
        <v>4.6322999279019464E-2</v>
      </c>
      <c r="AE1264" s="845">
        <v>1.8204758471521268E-2</v>
      </c>
      <c r="AF1264" s="845">
        <v>6.2725306416726745E-2</v>
      </c>
      <c r="AG1264" s="845">
        <v>0.68312905551550107</v>
      </c>
      <c r="AH1264" s="20" t="str">
        <f t="shared" si="110"/>
        <v>No</v>
      </c>
      <c r="AI1264" s="25"/>
      <c r="AJ1264" s="20">
        <v>45894</v>
      </c>
      <c r="AK1264" s="20" t="s">
        <v>1955</v>
      </c>
      <c r="AL1264" s="20">
        <v>39107</v>
      </c>
      <c r="AM1264" s="20" t="s">
        <v>59</v>
      </c>
      <c r="AN1264" s="37" t="str">
        <f t="shared" si="111"/>
        <v>N/A</v>
      </c>
      <c r="AO1264" s="37" t="str">
        <f t="shared" si="112"/>
        <v>N/A</v>
      </c>
      <c r="AP1264" s="20" t="s">
        <v>8</v>
      </c>
      <c r="AQ1264" s="25"/>
      <c r="AR1264" s="25"/>
      <c r="AS1264" s="25"/>
      <c r="AT1264" s="25"/>
      <c r="AU1264" s="36"/>
      <c r="AV1264" s="36"/>
      <c r="AW1264" s="36"/>
      <c r="AX1264" s="25"/>
      <c r="AY1264" s="25"/>
      <c r="AZ1264" s="25"/>
      <c r="BA1264" s="25"/>
      <c r="BB1264" s="25"/>
      <c r="BC1264" s="25"/>
      <c r="BD1264" s="25"/>
      <c r="BE1264" s="25"/>
      <c r="BF1264" s="25"/>
      <c r="BG1264" s="25"/>
      <c r="BH1264" s="25"/>
      <c r="BI1264" s="25"/>
      <c r="BJ1264" s="25"/>
      <c r="BK1264" s="25"/>
      <c r="BL1264" s="25"/>
      <c r="BM1264" s="25"/>
      <c r="BN1264" s="25"/>
      <c r="BO1264" s="25"/>
      <c r="BP1264" s="25"/>
      <c r="BQ1264" s="25"/>
      <c r="BR1264" s="25"/>
      <c r="BS1264" s="25"/>
      <c r="BT1264" s="25"/>
      <c r="BU1264" s="25"/>
      <c r="BV1264" s="25"/>
      <c r="BW1264" s="25"/>
      <c r="BX1264" s="25"/>
      <c r="BY1264" s="25"/>
      <c r="BZ1264" s="25"/>
      <c r="CA1264" s="25"/>
      <c r="CB1264" s="25"/>
      <c r="CC1264" s="25"/>
      <c r="CD1264" s="25"/>
      <c r="CE1264" s="200"/>
      <c r="CF1264" s="200"/>
      <c r="CG1264" s="200"/>
      <c r="CH1264" s="200"/>
      <c r="CI1264" s="200"/>
      <c r="CJ1264" s="200"/>
      <c r="CK1264" s="200"/>
      <c r="CL1264" s="200"/>
      <c r="CM1264" s="200"/>
      <c r="CN1264" s="200"/>
      <c r="CO1264" s="200"/>
      <c r="CP1264" s="200"/>
      <c r="CQ1264" s="200"/>
      <c r="CR1264" s="200"/>
      <c r="CS1264" s="200"/>
      <c r="CT1264" s="200"/>
      <c r="CU1264" s="200"/>
    </row>
    <row r="1265" spans="1:99" s="17" customFormat="1" x14ac:dyDescent="0.2">
      <c r="A1265" s="25"/>
      <c r="B1265" s="20">
        <v>39049008210</v>
      </c>
      <c r="C1265" s="20">
        <v>82.1</v>
      </c>
      <c r="D1265" s="20" t="s">
        <v>31</v>
      </c>
      <c r="E1265" s="20" t="s">
        <v>2830</v>
      </c>
      <c r="F1265" s="20" t="s">
        <v>6</v>
      </c>
      <c r="G1265" s="861">
        <v>52.897963462261302</v>
      </c>
      <c r="H1265" s="861">
        <v>60.682119761657503</v>
      </c>
      <c r="I1265" s="861">
        <v>36.312377219419901</v>
      </c>
      <c r="J1265" s="861">
        <v>39.739064179231299</v>
      </c>
      <c r="K1265" s="982">
        <v>0</v>
      </c>
      <c r="L1265" s="735">
        <v>2100</v>
      </c>
      <c r="M1265" s="735">
        <v>2407</v>
      </c>
      <c r="N1265" s="845">
        <f t="shared" si="108"/>
        <v>0.1461904761904762</v>
      </c>
      <c r="O1265" s="735">
        <v>2.8824981748661389</v>
      </c>
      <c r="P1265" s="735">
        <f t="shared" si="109"/>
        <v>835.03955734916622</v>
      </c>
      <c r="Q1265" s="849">
        <v>36.4</v>
      </c>
      <c r="R1265" s="71">
        <v>46678</v>
      </c>
      <c r="S1265" s="845">
        <v>0.22268383880348983</v>
      </c>
      <c r="T1265" s="845">
        <v>8.199999999999999E-2</v>
      </c>
      <c r="U1265" s="845">
        <v>0</v>
      </c>
      <c r="V1265" s="845">
        <v>5.0999999999999997E-2</v>
      </c>
      <c r="W1265" s="845">
        <v>0.54689042448173741</v>
      </c>
      <c r="X1265" s="845">
        <v>0.3555956678700361</v>
      </c>
      <c r="Y1265" s="845">
        <v>0.71084337349397586</v>
      </c>
      <c r="Z1265" s="845">
        <v>6.1487328624844205E-2</v>
      </c>
      <c r="AA1265" s="845">
        <v>8.3090984628167843E-4</v>
      </c>
      <c r="AB1265" s="845">
        <v>1.3294557540506855E-2</v>
      </c>
      <c r="AC1265" s="845">
        <v>0</v>
      </c>
      <c r="AD1265" s="845">
        <v>0.12879102617366014</v>
      </c>
      <c r="AE1265" s="845">
        <v>8.4752804320731207E-2</v>
      </c>
      <c r="AF1265" s="845">
        <v>0.24179476526796842</v>
      </c>
      <c r="AG1265" s="845">
        <v>0.67677606979642713</v>
      </c>
      <c r="AH1265" s="20" t="str">
        <f t="shared" si="110"/>
        <v>No</v>
      </c>
      <c r="AI1265" s="25"/>
      <c r="AJ1265" s="20">
        <v>45898</v>
      </c>
      <c r="AK1265" s="20" t="s">
        <v>1959</v>
      </c>
      <c r="AL1265" s="20">
        <v>39107</v>
      </c>
      <c r="AM1265" s="20" t="s">
        <v>59</v>
      </c>
      <c r="AN1265" s="37" t="str">
        <f t="shared" si="111"/>
        <v>N/A</v>
      </c>
      <c r="AO1265" s="37" t="str">
        <f t="shared" si="112"/>
        <v>N/A</v>
      </c>
      <c r="AP1265" s="20" t="s">
        <v>8</v>
      </c>
      <c r="AQ1265" s="25"/>
      <c r="AR1265" s="25"/>
      <c r="AS1265" s="25"/>
      <c r="AT1265" s="25"/>
      <c r="AU1265" s="36"/>
      <c r="AV1265" s="36"/>
      <c r="AW1265" s="36"/>
      <c r="AX1265" s="25"/>
      <c r="AY1265" s="25"/>
      <c r="AZ1265" s="25"/>
      <c r="BA1265" s="25"/>
      <c r="BB1265" s="25"/>
      <c r="BC1265" s="25"/>
      <c r="BD1265" s="25"/>
      <c r="BE1265" s="25"/>
      <c r="BF1265" s="25"/>
      <c r="BG1265" s="25"/>
      <c r="BH1265" s="25"/>
      <c r="BI1265" s="25"/>
      <c r="BJ1265" s="25"/>
      <c r="BK1265" s="25"/>
      <c r="BL1265" s="25"/>
      <c r="BM1265" s="25"/>
      <c r="BN1265" s="25"/>
      <c r="BO1265" s="25"/>
      <c r="BP1265" s="25"/>
      <c r="BQ1265" s="25"/>
      <c r="BR1265" s="25"/>
      <c r="BS1265" s="25"/>
      <c r="BT1265" s="25"/>
      <c r="BU1265" s="25"/>
      <c r="BV1265" s="25"/>
      <c r="BW1265" s="25"/>
      <c r="BX1265" s="25"/>
      <c r="BY1265" s="25"/>
      <c r="BZ1265" s="25"/>
      <c r="CA1265" s="25"/>
      <c r="CB1265" s="25"/>
      <c r="CC1265" s="25"/>
      <c r="CD1265" s="25"/>
      <c r="CE1265" s="200"/>
      <c r="CF1265" s="200"/>
      <c r="CG1265" s="200"/>
      <c r="CH1265" s="200"/>
      <c r="CI1265" s="200"/>
      <c r="CJ1265" s="200"/>
      <c r="CK1265" s="200"/>
      <c r="CL1265" s="200"/>
      <c r="CM1265" s="200"/>
      <c r="CN1265" s="200"/>
      <c r="CO1265" s="200"/>
      <c r="CP1265" s="200"/>
      <c r="CQ1265" s="200"/>
      <c r="CR1265" s="200"/>
      <c r="CS1265" s="200"/>
      <c r="CT1265" s="200"/>
      <c r="CU1265" s="200"/>
    </row>
    <row r="1266" spans="1:99" s="17" customFormat="1" x14ac:dyDescent="0.2">
      <c r="A1266" s="25"/>
      <c r="B1266" s="20">
        <v>39173021400</v>
      </c>
      <c r="C1266" s="20">
        <v>214</v>
      </c>
      <c r="D1266" s="20" t="s">
        <v>92</v>
      </c>
      <c r="E1266" s="20" t="s">
        <v>2839</v>
      </c>
      <c r="F1266" s="20" t="s">
        <v>8</v>
      </c>
      <c r="G1266" s="861">
        <v>52.8809671487234</v>
      </c>
      <c r="H1266" s="861">
        <v>58.566109171530698</v>
      </c>
      <c r="I1266" s="861">
        <v>18.195037027809899</v>
      </c>
      <c r="J1266" s="861">
        <v>46.4565653865561</v>
      </c>
      <c r="K1266" s="982">
        <v>0</v>
      </c>
      <c r="L1266" s="735">
        <v>3254</v>
      </c>
      <c r="M1266" s="735">
        <v>3489</v>
      </c>
      <c r="N1266" s="845">
        <f t="shared" si="108"/>
        <v>7.2218807621389061E-2</v>
      </c>
      <c r="O1266" s="735">
        <v>51.049132422465064</v>
      </c>
      <c r="P1266" s="735">
        <f t="shared" si="109"/>
        <v>68.345921555066511</v>
      </c>
      <c r="Q1266" s="849">
        <v>35.1</v>
      </c>
      <c r="R1266" s="71">
        <v>68879</v>
      </c>
      <c r="S1266" s="845">
        <v>9.2673037938024908E-2</v>
      </c>
      <c r="T1266" s="845">
        <v>4.4999999999999998E-2</v>
      </c>
      <c r="U1266" s="845">
        <v>0</v>
      </c>
      <c r="V1266" s="845">
        <v>2.5000000000000001E-2</v>
      </c>
      <c r="W1266" s="845">
        <v>0.20364741641337386</v>
      </c>
      <c r="X1266" s="845">
        <v>0.36940298507462688</v>
      </c>
      <c r="Y1266" s="845">
        <v>0.87560905703640013</v>
      </c>
      <c r="Z1266" s="845">
        <v>1.117798796216681E-2</v>
      </c>
      <c r="AA1266" s="845">
        <v>4.5858412152479221E-3</v>
      </c>
      <c r="AB1266" s="845">
        <v>2.8661507595299513E-4</v>
      </c>
      <c r="AC1266" s="845">
        <v>6.8787618228718832E-3</v>
      </c>
      <c r="AD1266" s="845">
        <v>2.6941817139581541E-2</v>
      </c>
      <c r="AE1266" s="845">
        <v>7.4519919747778732E-2</v>
      </c>
      <c r="AF1266" s="845">
        <v>0.13499570077386069</v>
      </c>
      <c r="AG1266" s="845">
        <v>0.81398681570650622</v>
      </c>
      <c r="AH1266" s="20" t="str">
        <f t="shared" si="110"/>
        <v>No</v>
      </c>
      <c r="AI1266" s="25"/>
      <c r="AJ1266" s="37">
        <v>43716</v>
      </c>
      <c r="AK1266" s="37" t="s">
        <v>1022</v>
      </c>
      <c r="AL1266" s="37">
        <v>39111</v>
      </c>
      <c r="AM1266" s="37" t="s">
        <v>61</v>
      </c>
      <c r="AN1266" s="37" t="str">
        <f t="shared" si="111"/>
        <v>N/A</v>
      </c>
      <c r="AO1266" s="37" t="str">
        <f t="shared" si="112"/>
        <v>N/A</v>
      </c>
      <c r="AP1266" s="20" t="s">
        <v>8</v>
      </c>
      <c r="AQ1266" s="25"/>
      <c r="AR1266" s="25"/>
      <c r="AS1266" s="25"/>
      <c r="AT1266" s="25"/>
      <c r="AU1266" s="36"/>
      <c r="AV1266" s="36"/>
      <c r="AW1266" s="36"/>
      <c r="AX1266" s="25"/>
      <c r="AY1266" s="25"/>
      <c r="AZ1266" s="25"/>
      <c r="BA1266" s="25"/>
      <c r="BB1266" s="25"/>
      <c r="BC1266" s="25"/>
      <c r="BD1266" s="25"/>
      <c r="BE1266" s="25"/>
      <c r="BF1266" s="25"/>
      <c r="BG1266" s="25"/>
      <c r="BH1266" s="25"/>
      <c r="BI1266" s="25"/>
      <c r="BJ1266" s="25"/>
      <c r="BK1266" s="25"/>
      <c r="BL1266" s="25"/>
      <c r="BM1266" s="25"/>
      <c r="BN1266" s="25"/>
      <c r="BO1266" s="25"/>
      <c r="BP1266" s="25"/>
      <c r="BQ1266" s="25"/>
      <c r="BR1266" s="25"/>
      <c r="BS1266" s="25"/>
      <c r="BT1266" s="25"/>
      <c r="BU1266" s="25"/>
      <c r="BV1266" s="25"/>
      <c r="BW1266" s="25"/>
      <c r="BX1266" s="25"/>
      <c r="BY1266" s="25"/>
      <c r="BZ1266" s="25"/>
      <c r="CA1266" s="25"/>
      <c r="CB1266" s="25"/>
      <c r="CC1266" s="25"/>
      <c r="CD1266" s="25"/>
      <c r="CE1266" s="200"/>
      <c r="CF1266" s="200"/>
      <c r="CG1266" s="200"/>
      <c r="CH1266" s="200"/>
      <c r="CI1266" s="200"/>
      <c r="CJ1266" s="200"/>
      <c r="CK1266" s="200"/>
      <c r="CL1266" s="200"/>
      <c r="CM1266" s="200"/>
      <c r="CN1266" s="200"/>
      <c r="CO1266" s="200"/>
      <c r="CP1266" s="200"/>
      <c r="CQ1266" s="200"/>
      <c r="CR1266" s="200"/>
      <c r="CS1266" s="200"/>
      <c r="CT1266" s="200"/>
      <c r="CU1266" s="200"/>
    </row>
    <row r="1267" spans="1:99" s="17" customFormat="1" x14ac:dyDescent="0.2">
      <c r="A1267" s="25"/>
      <c r="B1267" s="20">
        <v>39095008100</v>
      </c>
      <c r="C1267" s="20">
        <v>81</v>
      </c>
      <c r="D1267" s="20" t="s">
        <v>53</v>
      </c>
      <c r="E1267" s="20" t="s">
        <v>2839</v>
      </c>
      <c r="F1267" s="20" t="s">
        <v>8</v>
      </c>
      <c r="G1267" s="861">
        <v>52.865881341241497</v>
      </c>
      <c r="H1267" s="861">
        <v>51.723110418345698</v>
      </c>
      <c r="I1267" s="861">
        <v>27.4600516013593</v>
      </c>
      <c r="J1267" s="861">
        <v>29.931192148804001</v>
      </c>
      <c r="K1267" s="982">
        <v>0</v>
      </c>
      <c r="L1267" s="735">
        <v>4241</v>
      </c>
      <c r="M1267" s="735">
        <v>3772</v>
      </c>
      <c r="N1267" s="845">
        <f t="shared" si="108"/>
        <v>-0.11058712567790616</v>
      </c>
      <c r="O1267" s="735">
        <v>1.3208133994097757</v>
      </c>
      <c r="P1267" s="735">
        <f t="shared" si="109"/>
        <v>2855.8159704357722</v>
      </c>
      <c r="Q1267" s="849">
        <v>33.200000000000003</v>
      </c>
      <c r="R1267" s="71">
        <v>71586</v>
      </c>
      <c r="S1267" s="845">
        <v>0.10299272040981397</v>
      </c>
      <c r="T1267" s="845">
        <v>0.02</v>
      </c>
      <c r="U1267" s="845">
        <v>5.0000000000000001E-3</v>
      </c>
      <c r="V1267" s="845">
        <v>0</v>
      </c>
      <c r="W1267" s="845">
        <v>0.22099087353324642</v>
      </c>
      <c r="X1267" s="845">
        <v>0.48967551622418881</v>
      </c>
      <c r="Y1267" s="845">
        <v>0.93637327677624604</v>
      </c>
      <c r="Z1267" s="845">
        <v>1.4846235418875928E-2</v>
      </c>
      <c r="AA1267" s="845">
        <v>0</v>
      </c>
      <c r="AB1267" s="845">
        <v>1.7497348886532343E-2</v>
      </c>
      <c r="AC1267" s="845">
        <v>0</v>
      </c>
      <c r="AD1267" s="845">
        <v>0</v>
      </c>
      <c r="AE1267" s="845">
        <v>3.1283138918345707E-2</v>
      </c>
      <c r="AF1267" s="845">
        <v>2.2269353128313893E-2</v>
      </c>
      <c r="AG1267" s="845">
        <v>0.91993637327677624</v>
      </c>
      <c r="AH1267" s="20" t="str">
        <f t="shared" si="110"/>
        <v>Yes</v>
      </c>
      <c r="AI1267" s="25"/>
      <c r="AJ1267" s="20">
        <v>43747</v>
      </c>
      <c r="AK1267" s="20" t="s">
        <v>1045</v>
      </c>
      <c r="AL1267" s="20">
        <v>39111</v>
      </c>
      <c r="AM1267" s="20" t="s">
        <v>61</v>
      </c>
      <c r="AN1267" s="37" t="str">
        <f t="shared" si="111"/>
        <v>N/A</v>
      </c>
      <c r="AO1267" s="37" t="str">
        <f t="shared" si="112"/>
        <v>N/A</v>
      </c>
      <c r="AP1267" s="20" t="s">
        <v>8</v>
      </c>
      <c r="AQ1267" s="25"/>
      <c r="AR1267" s="25"/>
      <c r="AS1267" s="25"/>
      <c r="AT1267" s="25"/>
      <c r="AU1267" s="36"/>
      <c r="AV1267" s="36"/>
      <c r="AW1267" s="36"/>
      <c r="AX1267" s="25"/>
      <c r="AY1267" s="25"/>
      <c r="AZ1267" s="25"/>
      <c r="BA1267" s="25"/>
      <c r="BB1267" s="25"/>
      <c r="BC1267" s="25"/>
      <c r="BD1267" s="25"/>
      <c r="BE1267" s="25"/>
      <c r="BF1267" s="25"/>
      <c r="BG1267" s="25"/>
      <c r="BH1267" s="25"/>
      <c r="BI1267" s="25"/>
      <c r="BJ1267" s="25"/>
      <c r="BK1267" s="25"/>
      <c r="BL1267" s="25"/>
      <c r="BM1267" s="25"/>
      <c r="BN1267" s="25"/>
      <c r="BO1267" s="25"/>
      <c r="BP1267" s="25"/>
      <c r="BQ1267" s="25"/>
      <c r="BR1267" s="25"/>
      <c r="BS1267" s="25"/>
      <c r="BT1267" s="25"/>
      <c r="BU1267" s="25"/>
      <c r="BV1267" s="25"/>
      <c r="BW1267" s="25"/>
      <c r="BX1267" s="25"/>
      <c r="BY1267" s="25"/>
      <c r="BZ1267" s="25"/>
      <c r="CA1267" s="25"/>
      <c r="CB1267" s="25"/>
      <c r="CC1267" s="25"/>
      <c r="CD1267" s="25"/>
      <c r="CE1267" s="200"/>
      <c r="CF1267" s="200"/>
      <c r="CG1267" s="200"/>
      <c r="CH1267" s="200"/>
      <c r="CI1267" s="200"/>
      <c r="CJ1267" s="200"/>
      <c r="CK1267" s="200"/>
      <c r="CL1267" s="200"/>
      <c r="CM1267" s="200"/>
      <c r="CN1267" s="200"/>
      <c r="CO1267" s="200"/>
      <c r="CP1267" s="200"/>
      <c r="CQ1267" s="200"/>
      <c r="CR1267" s="200"/>
      <c r="CS1267" s="200"/>
      <c r="CT1267" s="200"/>
      <c r="CU1267" s="200"/>
    </row>
    <row r="1268" spans="1:99" s="17" customFormat="1" x14ac:dyDescent="0.2">
      <c r="A1268" s="25"/>
      <c r="B1268" s="20">
        <v>39049007730</v>
      </c>
      <c r="C1268" s="20">
        <v>77.3</v>
      </c>
      <c r="D1268" s="20" t="s">
        <v>31</v>
      </c>
      <c r="E1268" s="20" t="s">
        <v>2830</v>
      </c>
      <c r="F1268" s="20" t="s">
        <v>8</v>
      </c>
      <c r="G1268" s="861">
        <v>52.8628031873033</v>
      </c>
      <c r="H1268" s="861">
        <v>75.938668167679793</v>
      </c>
      <c r="I1268" s="861">
        <v>32.119898517559598</v>
      </c>
      <c r="J1268" s="861">
        <v>44.4943174558789</v>
      </c>
      <c r="K1268" s="982">
        <v>0</v>
      </c>
      <c r="L1268" s="735">
        <v>3101</v>
      </c>
      <c r="M1268" s="735">
        <v>3327</v>
      </c>
      <c r="N1268" s="845">
        <f t="shared" si="108"/>
        <v>7.2879716220574015E-2</v>
      </c>
      <c r="O1268" s="735">
        <v>0.5593971626379397</v>
      </c>
      <c r="P1268" s="735">
        <f t="shared" si="109"/>
        <v>5947.4738561613767</v>
      </c>
      <c r="Q1268" s="849">
        <v>39.700000000000003</v>
      </c>
      <c r="R1268" s="71">
        <v>66250</v>
      </c>
      <c r="S1268" s="845">
        <v>0.20096560048280024</v>
      </c>
      <c r="T1268" s="845">
        <v>3.1E-2</v>
      </c>
      <c r="U1268" s="845">
        <v>0</v>
      </c>
      <c r="V1268" s="845">
        <v>0</v>
      </c>
      <c r="W1268" s="845">
        <v>0.30917159763313612</v>
      </c>
      <c r="X1268" s="845">
        <v>0.53827751196172247</v>
      </c>
      <c r="Y1268" s="845">
        <v>0.4875262999699429</v>
      </c>
      <c r="Z1268" s="845">
        <v>0.26450255485422303</v>
      </c>
      <c r="AA1268" s="845">
        <v>1.8034265103697024E-2</v>
      </c>
      <c r="AB1268" s="845">
        <v>5.2599939885782987E-2</v>
      </c>
      <c r="AC1268" s="845">
        <v>0</v>
      </c>
      <c r="AD1268" s="845">
        <v>9.077246768860836E-2</v>
      </c>
      <c r="AE1268" s="845">
        <v>8.6564472497745723E-2</v>
      </c>
      <c r="AF1268" s="845">
        <v>0.1674180943793207</v>
      </c>
      <c r="AG1268" s="845">
        <v>0.4875262999699429</v>
      </c>
      <c r="AH1268" s="20" t="str">
        <f t="shared" si="110"/>
        <v>No</v>
      </c>
      <c r="AI1268" s="25"/>
      <c r="AJ1268" s="20">
        <v>43754</v>
      </c>
      <c r="AK1268" s="20" t="s">
        <v>1049</v>
      </c>
      <c r="AL1268" s="20">
        <v>39111</v>
      </c>
      <c r="AM1268" s="20" t="s">
        <v>61</v>
      </c>
      <c r="AN1268" s="37" t="str">
        <f t="shared" si="111"/>
        <v>N/A</v>
      </c>
      <c r="AO1268" s="37" t="str">
        <f t="shared" si="112"/>
        <v>N/A</v>
      </c>
      <c r="AP1268" s="20" t="s">
        <v>8</v>
      </c>
      <c r="AQ1268" s="25"/>
      <c r="AR1268" s="25"/>
      <c r="AS1268" s="25"/>
      <c r="AT1268" s="25"/>
      <c r="AU1268" s="36"/>
      <c r="AV1268" s="36"/>
      <c r="AW1268" s="36"/>
      <c r="AX1268" s="25"/>
      <c r="AY1268" s="25"/>
      <c r="AZ1268" s="25"/>
      <c r="BA1268" s="25"/>
      <c r="BB1268" s="25"/>
      <c r="BC1268" s="25"/>
      <c r="BD1268" s="25"/>
      <c r="BE1268" s="25"/>
      <c r="BF1268" s="25"/>
      <c r="BG1268" s="25"/>
      <c r="BH1268" s="25"/>
      <c r="BI1268" s="25"/>
      <c r="BJ1268" s="25"/>
      <c r="BK1268" s="25"/>
      <c r="BL1268" s="25"/>
      <c r="BM1268" s="25"/>
      <c r="BN1268" s="25"/>
      <c r="BO1268" s="25"/>
      <c r="BP1268" s="25"/>
      <c r="BQ1268" s="25"/>
      <c r="BR1268" s="25"/>
      <c r="BS1268" s="25"/>
      <c r="BT1268" s="25"/>
      <c r="BU1268" s="25"/>
      <c r="BV1268" s="25"/>
      <c r="BW1268" s="25"/>
      <c r="BX1268" s="25"/>
      <c r="BY1268" s="25"/>
      <c r="BZ1268" s="25"/>
      <c r="CA1268" s="25"/>
      <c r="CB1268" s="25"/>
      <c r="CC1268" s="25"/>
      <c r="CD1268" s="25"/>
      <c r="CE1268" s="200"/>
      <c r="CF1268" s="200"/>
      <c r="CG1268" s="200"/>
      <c r="CH1268" s="200"/>
      <c r="CI1268" s="200"/>
      <c r="CJ1268" s="200"/>
      <c r="CK1268" s="200"/>
      <c r="CL1268" s="200"/>
      <c r="CM1268" s="200"/>
      <c r="CN1268" s="200"/>
      <c r="CO1268" s="200"/>
      <c r="CP1268" s="200"/>
      <c r="CQ1268" s="200"/>
      <c r="CR1268" s="200"/>
      <c r="CS1268" s="200"/>
      <c r="CT1268" s="200"/>
      <c r="CU1268" s="200"/>
    </row>
    <row r="1269" spans="1:99" s="17" customFormat="1" x14ac:dyDescent="0.2">
      <c r="A1269" s="25"/>
      <c r="B1269" s="20">
        <v>39083006801</v>
      </c>
      <c r="C1269" s="20">
        <v>68.010000000000005</v>
      </c>
      <c r="D1269" s="20" t="s">
        <v>114</v>
      </c>
      <c r="E1269" s="20" t="s">
        <v>265</v>
      </c>
      <c r="F1269" s="20" t="s">
        <v>8</v>
      </c>
      <c r="G1269" s="861">
        <v>52.855042342449003</v>
      </c>
      <c r="H1269" s="861">
        <v>55.757505231964203</v>
      </c>
      <c r="I1269" s="861">
        <v>13.271699504968099</v>
      </c>
      <c r="J1269" s="861">
        <v>56.208126226879202</v>
      </c>
      <c r="K1269" s="982">
        <v>0</v>
      </c>
      <c r="L1269" s="735">
        <v>5644</v>
      </c>
      <c r="M1269" s="735">
        <v>5567</v>
      </c>
      <c r="N1269" s="845">
        <f t="shared" si="108"/>
        <v>-1.364280652019844E-2</v>
      </c>
      <c r="O1269" s="735">
        <v>10.072615352662758</v>
      </c>
      <c r="P1269" s="735">
        <f t="shared" si="109"/>
        <v>552.68664642577949</v>
      </c>
      <c r="Q1269" s="849">
        <v>50.8</v>
      </c>
      <c r="R1269" s="71">
        <v>97674</v>
      </c>
      <c r="S1269" s="845">
        <v>3.3770432908209087E-2</v>
      </c>
      <c r="T1269" s="845">
        <v>0.01</v>
      </c>
      <c r="U1269" s="845">
        <v>0</v>
      </c>
      <c r="V1269" s="845">
        <v>0</v>
      </c>
      <c r="W1269" s="845">
        <v>5.0672645739910316E-2</v>
      </c>
      <c r="X1269" s="845">
        <v>0</v>
      </c>
      <c r="Y1269" s="845">
        <v>0.9125202083707562</v>
      </c>
      <c r="Z1269" s="845">
        <v>2.0657445661936412E-2</v>
      </c>
      <c r="AA1269" s="845">
        <v>0</v>
      </c>
      <c r="AB1269" s="845">
        <v>1.5268546793605174E-2</v>
      </c>
      <c r="AC1269" s="845">
        <v>0</v>
      </c>
      <c r="AD1269" s="845">
        <v>0</v>
      </c>
      <c r="AE1269" s="845">
        <v>5.1553799173702175E-2</v>
      </c>
      <c r="AF1269" s="845">
        <v>2.3172265133824321E-2</v>
      </c>
      <c r="AG1269" s="845">
        <v>0.91036464882342372</v>
      </c>
      <c r="AH1269" s="20" t="str">
        <f t="shared" si="110"/>
        <v>Yes</v>
      </c>
      <c r="AI1269" s="25"/>
      <c r="AJ1269" s="20">
        <v>43773</v>
      </c>
      <c r="AK1269" s="20" t="s">
        <v>1063</v>
      </c>
      <c r="AL1269" s="20">
        <v>39111</v>
      </c>
      <c r="AM1269" s="20" t="s">
        <v>61</v>
      </c>
      <c r="AN1269" s="37" t="str">
        <f t="shared" si="111"/>
        <v>N/A</v>
      </c>
      <c r="AO1269" s="37" t="str">
        <f t="shared" si="112"/>
        <v>N/A</v>
      </c>
      <c r="AP1269" s="20" t="s">
        <v>8</v>
      </c>
      <c r="AQ1269" s="25"/>
      <c r="AR1269" s="25"/>
      <c r="AS1269" s="25"/>
      <c r="AT1269" s="25"/>
      <c r="AU1269" s="36"/>
      <c r="AV1269" s="36"/>
      <c r="AW1269" s="36"/>
      <c r="AX1269" s="25"/>
      <c r="AY1269" s="25"/>
      <c r="AZ1269" s="25"/>
      <c r="BA1269" s="25"/>
      <c r="BB1269" s="25"/>
      <c r="BC1269" s="25"/>
      <c r="BD1269" s="25"/>
      <c r="BE1269" s="25"/>
      <c r="BF1269" s="25"/>
      <c r="BG1269" s="25"/>
      <c r="BH1269" s="25"/>
      <c r="BI1269" s="25"/>
      <c r="BJ1269" s="25"/>
      <c r="BK1269" s="25"/>
      <c r="BL1269" s="25"/>
      <c r="BM1269" s="25"/>
      <c r="BN1269" s="25"/>
      <c r="BO1269" s="25"/>
      <c r="BP1269" s="25"/>
      <c r="BQ1269" s="25"/>
      <c r="BR1269" s="25"/>
      <c r="BS1269" s="25"/>
      <c r="BT1269" s="25"/>
      <c r="BU1269" s="25"/>
      <c r="BV1269" s="25"/>
      <c r="BW1269" s="25"/>
      <c r="BX1269" s="25"/>
      <c r="BY1269" s="25"/>
      <c r="BZ1269" s="25"/>
      <c r="CA1269" s="25"/>
      <c r="CB1269" s="25"/>
      <c r="CC1269" s="25"/>
      <c r="CD1269" s="25"/>
      <c r="CE1269" s="200"/>
      <c r="CF1269" s="200"/>
      <c r="CG1269" s="200"/>
      <c r="CH1269" s="200"/>
      <c r="CI1269" s="200"/>
      <c r="CJ1269" s="200"/>
      <c r="CK1269" s="200"/>
      <c r="CL1269" s="200"/>
      <c r="CM1269" s="200"/>
      <c r="CN1269" s="200"/>
      <c r="CO1269" s="200"/>
      <c r="CP1269" s="200"/>
      <c r="CQ1269" s="200"/>
      <c r="CR1269" s="200"/>
      <c r="CS1269" s="200"/>
      <c r="CT1269" s="200"/>
      <c r="CU1269" s="200"/>
    </row>
    <row r="1270" spans="1:99" s="17" customFormat="1" x14ac:dyDescent="0.2">
      <c r="A1270" s="25"/>
      <c r="B1270" s="20">
        <v>39165030800</v>
      </c>
      <c r="C1270" s="20">
        <v>308</v>
      </c>
      <c r="D1270" s="20" t="s">
        <v>88</v>
      </c>
      <c r="E1270" s="20" t="s">
        <v>2828</v>
      </c>
      <c r="F1270" s="20" t="s">
        <v>8</v>
      </c>
      <c r="G1270" s="861">
        <v>52.811952560662696</v>
      </c>
      <c r="H1270" s="861">
        <v>54.117466453321597</v>
      </c>
      <c r="I1270" s="861">
        <v>18.756389533494598</v>
      </c>
      <c r="J1270" s="861">
        <v>44.765271734219297</v>
      </c>
      <c r="K1270" s="982">
        <v>0</v>
      </c>
      <c r="L1270" s="735">
        <v>6526</v>
      </c>
      <c r="M1270" s="735">
        <v>7750</v>
      </c>
      <c r="N1270" s="845">
        <f t="shared" si="108"/>
        <v>0.18755746245786087</v>
      </c>
      <c r="O1270" s="735">
        <v>23.004697114227294</v>
      </c>
      <c r="P1270" s="735">
        <f t="shared" si="109"/>
        <v>336.88772173431482</v>
      </c>
      <c r="Q1270" s="849">
        <v>46.1</v>
      </c>
      <c r="R1270" s="71">
        <v>116250</v>
      </c>
      <c r="S1270" s="845">
        <v>4.1161290322580646E-2</v>
      </c>
      <c r="T1270" s="845">
        <v>0.03</v>
      </c>
      <c r="U1270" s="845">
        <v>0</v>
      </c>
      <c r="V1270" s="845">
        <v>8.5000000000000006E-2</v>
      </c>
      <c r="W1270" s="845">
        <v>5.2870090634441085E-2</v>
      </c>
      <c r="X1270" s="845">
        <v>0.23571428571428571</v>
      </c>
      <c r="Y1270" s="845">
        <v>0.96387096774193548</v>
      </c>
      <c r="Z1270" s="845">
        <v>2.1935483870967744E-3</v>
      </c>
      <c r="AA1270" s="845">
        <v>0</v>
      </c>
      <c r="AB1270" s="845">
        <v>1.2903225806451613E-2</v>
      </c>
      <c r="AC1270" s="845">
        <v>0</v>
      </c>
      <c r="AD1270" s="845">
        <v>2.4516129032258064E-3</v>
      </c>
      <c r="AE1270" s="845">
        <v>1.8580645161290321E-2</v>
      </c>
      <c r="AF1270" s="845">
        <v>2.9677419354838708E-3</v>
      </c>
      <c r="AG1270" s="845">
        <v>0.96270967741935487</v>
      </c>
      <c r="AH1270" s="20" t="str">
        <f t="shared" si="110"/>
        <v>Yes</v>
      </c>
      <c r="AI1270" s="25"/>
      <c r="AJ1270" s="20">
        <v>43786</v>
      </c>
      <c r="AK1270" s="20" t="s">
        <v>1070</v>
      </c>
      <c r="AL1270" s="20">
        <v>39111</v>
      </c>
      <c r="AM1270" s="20" t="s">
        <v>61</v>
      </c>
      <c r="AN1270" s="37" t="str">
        <f t="shared" si="111"/>
        <v>N/A</v>
      </c>
      <c r="AO1270" s="37" t="str">
        <f t="shared" si="112"/>
        <v>N/A</v>
      </c>
      <c r="AP1270" s="20" t="s">
        <v>8</v>
      </c>
      <c r="AQ1270" s="25"/>
      <c r="AR1270" s="25"/>
      <c r="AS1270" s="25"/>
      <c r="AT1270" s="25"/>
      <c r="AU1270" s="36"/>
      <c r="AV1270" s="36"/>
      <c r="AW1270" s="36"/>
      <c r="AX1270" s="25"/>
      <c r="AY1270" s="25"/>
      <c r="AZ1270" s="25"/>
      <c r="BA1270" s="25"/>
      <c r="BB1270" s="25"/>
      <c r="BC1270" s="25"/>
      <c r="BD1270" s="25"/>
      <c r="BE1270" s="25"/>
      <c r="BF1270" s="25"/>
      <c r="BG1270" s="25"/>
      <c r="BH1270" s="25"/>
      <c r="BI1270" s="25"/>
      <c r="BJ1270" s="25"/>
      <c r="BK1270" s="25"/>
      <c r="BL1270" s="25"/>
      <c r="BM1270" s="25"/>
      <c r="BN1270" s="25"/>
      <c r="BO1270" s="25"/>
      <c r="BP1270" s="25"/>
      <c r="BQ1270" s="25"/>
      <c r="BR1270" s="25"/>
      <c r="BS1270" s="25"/>
      <c r="BT1270" s="25"/>
      <c r="BU1270" s="25"/>
      <c r="BV1270" s="25"/>
      <c r="BW1270" s="25"/>
      <c r="BX1270" s="25"/>
      <c r="BY1270" s="25"/>
      <c r="BZ1270" s="25"/>
      <c r="CA1270" s="25"/>
      <c r="CB1270" s="25"/>
      <c r="CC1270" s="25"/>
      <c r="CD1270" s="25"/>
      <c r="CE1270" s="200"/>
      <c r="CF1270" s="200"/>
      <c r="CG1270" s="200"/>
      <c r="CH1270" s="200"/>
      <c r="CI1270" s="200"/>
      <c r="CJ1270" s="200"/>
      <c r="CK1270" s="200"/>
      <c r="CL1270" s="200"/>
      <c r="CM1270" s="200"/>
      <c r="CN1270" s="200"/>
      <c r="CO1270" s="200"/>
      <c r="CP1270" s="200"/>
      <c r="CQ1270" s="200"/>
      <c r="CR1270" s="200"/>
      <c r="CS1270" s="200"/>
      <c r="CT1270" s="200"/>
      <c r="CU1270" s="200"/>
    </row>
    <row r="1271" spans="1:99" s="17" customFormat="1" x14ac:dyDescent="0.2">
      <c r="A1271" s="25"/>
      <c r="B1271" s="20">
        <v>39153504500</v>
      </c>
      <c r="C1271" s="20">
        <v>5045</v>
      </c>
      <c r="D1271" s="20" t="s">
        <v>82</v>
      </c>
      <c r="E1271" s="20" t="s">
        <v>2843</v>
      </c>
      <c r="F1271" s="20" t="s">
        <v>6</v>
      </c>
      <c r="G1271" s="861">
        <v>52.795682099862603</v>
      </c>
      <c r="H1271" s="861">
        <v>53.485717883361502</v>
      </c>
      <c r="I1271" s="861">
        <v>58.720959293026198</v>
      </c>
      <c r="J1271" s="861">
        <v>52.154149565338699</v>
      </c>
      <c r="K1271" s="982">
        <v>0</v>
      </c>
      <c r="L1271" s="735">
        <v>2226</v>
      </c>
      <c r="M1271" s="735">
        <v>1785</v>
      </c>
      <c r="N1271" s="845">
        <f t="shared" si="108"/>
        <v>-0.19811320754716982</v>
      </c>
      <c r="O1271" s="735">
        <v>0.26408152120821898</v>
      </c>
      <c r="P1271" s="735">
        <f t="shared" si="109"/>
        <v>6759.2764228004817</v>
      </c>
      <c r="Q1271" s="849">
        <v>33.200000000000003</v>
      </c>
      <c r="R1271" s="71">
        <v>45825</v>
      </c>
      <c r="S1271" s="845">
        <v>0.1473389355742297</v>
      </c>
      <c r="T1271" s="845">
        <v>7.0999999999999994E-2</v>
      </c>
      <c r="U1271" s="845">
        <v>0</v>
      </c>
      <c r="V1271" s="845">
        <v>0</v>
      </c>
      <c r="W1271" s="845">
        <v>0.60150375939849621</v>
      </c>
      <c r="X1271" s="845">
        <v>0.33750000000000002</v>
      </c>
      <c r="Y1271" s="845">
        <v>0.45602240896358542</v>
      </c>
      <c r="Z1271" s="845">
        <v>0.44089635854341735</v>
      </c>
      <c r="AA1271" s="845">
        <v>0</v>
      </c>
      <c r="AB1271" s="845">
        <v>0</v>
      </c>
      <c r="AC1271" s="845">
        <v>0</v>
      </c>
      <c r="AD1271" s="845">
        <v>0</v>
      </c>
      <c r="AE1271" s="845">
        <v>0.10308123249299719</v>
      </c>
      <c r="AF1271" s="845">
        <v>5.6022408963585435E-3</v>
      </c>
      <c r="AG1271" s="845">
        <v>0.45378151260504201</v>
      </c>
      <c r="AH1271" s="20" t="str">
        <f t="shared" si="110"/>
        <v>No</v>
      </c>
      <c r="AI1271" s="25"/>
      <c r="AJ1271" s="20">
        <v>43788</v>
      </c>
      <c r="AK1271" s="20" t="s">
        <v>1072</v>
      </c>
      <c r="AL1271" s="20">
        <v>39111</v>
      </c>
      <c r="AM1271" s="20" t="s">
        <v>61</v>
      </c>
      <c r="AN1271" s="37" t="str">
        <f t="shared" si="111"/>
        <v>N/A</v>
      </c>
      <c r="AO1271" s="37" t="str">
        <f t="shared" si="112"/>
        <v>N/A</v>
      </c>
      <c r="AP1271" s="20" t="s">
        <v>8</v>
      </c>
      <c r="AQ1271" s="25"/>
      <c r="AR1271" s="25"/>
      <c r="AS1271" s="25"/>
      <c r="AT1271" s="25"/>
      <c r="AU1271" s="36"/>
      <c r="AV1271" s="36"/>
      <c r="AW1271" s="36"/>
      <c r="AX1271" s="25"/>
      <c r="AY1271" s="25"/>
      <c r="AZ1271" s="25"/>
      <c r="BA1271" s="25"/>
      <c r="BB1271" s="25"/>
      <c r="BC1271" s="25"/>
      <c r="BD1271" s="25"/>
      <c r="BE1271" s="25"/>
      <c r="BF1271" s="25"/>
      <c r="BG1271" s="25"/>
      <c r="BH1271" s="25"/>
      <c r="BI1271" s="25"/>
      <c r="BJ1271" s="25"/>
      <c r="BK1271" s="25"/>
      <c r="BL1271" s="25"/>
      <c r="BM1271" s="25"/>
      <c r="BN1271" s="25"/>
      <c r="BO1271" s="25"/>
      <c r="BP1271" s="25"/>
      <c r="BQ1271" s="25"/>
      <c r="BR1271" s="25"/>
      <c r="BS1271" s="25"/>
      <c r="BT1271" s="25"/>
      <c r="BU1271" s="25"/>
      <c r="BV1271" s="25"/>
      <c r="BW1271" s="25"/>
      <c r="BX1271" s="25"/>
      <c r="BY1271" s="25"/>
      <c r="BZ1271" s="25"/>
      <c r="CA1271" s="25"/>
      <c r="CB1271" s="25"/>
      <c r="CC1271" s="25"/>
      <c r="CD1271" s="25"/>
      <c r="CE1271" s="200"/>
      <c r="CF1271" s="200"/>
      <c r="CG1271" s="200"/>
      <c r="CH1271" s="200"/>
      <c r="CI1271" s="200"/>
      <c r="CJ1271" s="200"/>
      <c r="CK1271" s="200"/>
      <c r="CL1271" s="200"/>
      <c r="CM1271" s="200"/>
      <c r="CN1271" s="200"/>
      <c r="CO1271" s="200"/>
      <c r="CP1271" s="200"/>
      <c r="CQ1271" s="200"/>
      <c r="CR1271" s="200"/>
      <c r="CS1271" s="200"/>
      <c r="CT1271" s="200"/>
      <c r="CU1271" s="200"/>
    </row>
    <row r="1272" spans="1:99" s="17" customFormat="1" x14ac:dyDescent="0.2">
      <c r="A1272" s="25"/>
      <c r="B1272" s="20">
        <v>39049008242</v>
      </c>
      <c r="C1272" s="20">
        <v>82.42</v>
      </c>
      <c r="D1272" s="20" t="s">
        <v>31</v>
      </c>
      <c r="E1272" s="20" t="s">
        <v>2830</v>
      </c>
      <c r="F1272" s="20" t="s">
        <v>8</v>
      </c>
      <c r="G1272" s="861">
        <v>52.794749672518002</v>
      </c>
      <c r="H1272" s="861">
        <v>64.176518365280501</v>
      </c>
      <c r="I1272" s="861">
        <v>37.989295857080599</v>
      </c>
      <c r="J1272" s="861">
        <v>56.188827700395599</v>
      </c>
      <c r="K1272" s="982">
        <v>1</v>
      </c>
      <c r="L1272" s="735">
        <v>5855</v>
      </c>
      <c r="M1272" s="735">
        <v>6767</v>
      </c>
      <c r="N1272" s="845">
        <f t="shared" si="108"/>
        <v>0.15576430401366353</v>
      </c>
      <c r="O1272" s="735">
        <v>2.0790435211689062</v>
      </c>
      <c r="P1272" s="735">
        <f t="shared" si="109"/>
        <v>3254.8621186127798</v>
      </c>
      <c r="Q1272" s="849">
        <v>34.799999999999997</v>
      </c>
      <c r="R1272" s="71">
        <v>82311</v>
      </c>
      <c r="S1272" s="845">
        <v>0.1582680656125314</v>
      </c>
      <c r="T1272" s="845">
        <v>2.3E-2</v>
      </c>
      <c r="U1272" s="845">
        <v>6.9999999999999993E-3</v>
      </c>
      <c r="V1272" s="845">
        <v>0</v>
      </c>
      <c r="W1272" s="845">
        <v>0.39288182446440911</v>
      </c>
      <c r="X1272" s="845">
        <v>0.52418645558487242</v>
      </c>
      <c r="Y1272" s="845">
        <v>0.78956701640313287</v>
      </c>
      <c r="Z1272" s="845">
        <v>2.6599674892862422E-3</v>
      </c>
      <c r="AA1272" s="845">
        <v>0</v>
      </c>
      <c r="AB1272" s="845">
        <v>7.7434609132555052E-2</v>
      </c>
      <c r="AC1272" s="845">
        <v>0</v>
      </c>
      <c r="AD1272" s="845">
        <v>5.0096054381557557E-2</v>
      </c>
      <c r="AE1272" s="845">
        <v>8.0242352593468305E-2</v>
      </c>
      <c r="AF1272" s="845">
        <v>0.13181616669129601</v>
      </c>
      <c r="AG1272" s="845">
        <v>0.7171567903058963</v>
      </c>
      <c r="AH1272" s="20" t="str">
        <f t="shared" si="110"/>
        <v>No</v>
      </c>
      <c r="AI1272" s="25"/>
      <c r="AJ1272" s="20">
        <v>43793</v>
      </c>
      <c r="AK1272" s="20" t="s">
        <v>1074</v>
      </c>
      <c r="AL1272" s="20">
        <v>39111</v>
      </c>
      <c r="AM1272" s="20" t="s">
        <v>61</v>
      </c>
      <c r="AN1272" s="37" t="str">
        <f t="shared" si="111"/>
        <v>N/A</v>
      </c>
      <c r="AO1272" s="37" t="str">
        <f t="shared" si="112"/>
        <v>N/A</v>
      </c>
      <c r="AP1272" s="20" t="s">
        <v>8</v>
      </c>
      <c r="AQ1272" s="25"/>
      <c r="AR1272" s="25"/>
      <c r="AS1272" s="25"/>
      <c r="AT1272" s="25"/>
      <c r="AU1272" s="36"/>
      <c r="AV1272" s="36"/>
      <c r="AW1272" s="36"/>
      <c r="AX1272" s="25"/>
      <c r="AY1272" s="25"/>
      <c r="AZ1272" s="25"/>
      <c r="BA1272" s="25"/>
      <c r="BB1272" s="25"/>
      <c r="BC1272" s="25"/>
      <c r="BD1272" s="25"/>
      <c r="BE1272" s="25"/>
      <c r="BF1272" s="25"/>
      <c r="BG1272" s="25"/>
      <c r="BH1272" s="25"/>
      <c r="BI1272" s="25"/>
      <c r="BJ1272" s="25"/>
      <c r="BK1272" s="25"/>
      <c r="BL1272" s="25"/>
      <c r="BM1272" s="25"/>
      <c r="BN1272" s="25"/>
      <c r="BO1272" s="25"/>
      <c r="BP1272" s="25"/>
      <c r="BQ1272" s="25"/>
      <c r="BR1272" s="25"/>
      <c r="BS1272" s="25"/>
      <c r="BT1272" s="25"/>
      <c r="BU1272" s="25"/>
      <c r="BV1272" s="25"/>
      <c r="BW1272" s="25"/>
      <c r="BX1272" s="25"/>
      <c r="BY1272" s="25"/>
      <c r="BZ1272" s="25"/>
      <c r="CA1272" s="25"/>
      <c r="CB1272" s="25"/>
      <c r="CC1272" s="25"/>
      <c r="CD1272" s="25"/>
      <c r="CE1272" s="200"/>
      <c r="CF1272" s="200"/>
      <c r="CG1272" s="200"/>
      <c r="CH1272" s="200"/>
      <c r="CI1272" s="200"/>
      <c r="CJ1272" s="200"/>
      <c r="CK1272" s="200"/>
      <c r="CL1272" s="200"/>
      <c r="CM1272" s="200"/>
      <c r="CN1272" s="200"/>
      <c r="CO1272" s="200"/>
      <c r="CP1272" s="200"/>
      <c r="CQ1272" s="200"/>
      <c r="CR1272" s="200"/>
      <c r="CS1272" s="200"/>
      <c r="CT1272" s="200"/>
      <c r="CU1272" s="200"/>
    </row>
    <row r="1273" spans="1:99" s="17" customFormat="1" x14ac:dyDescent="0.2">
      <c r="A1273" s="25"/>
      <c r="B1273" s="20">
        <v>39035123200</v>
      </c>
      <c r="C1273" s="20">
        <v>1232</v>
      </c>
      <c r="D1273" s="20" t="s">
        <v>24</v>
      </c>
      <c r="E1273" s="20" t="s">
        <v>2829</v>
      </c>
      <c r="F1273" s="20" t="s">
        <v>8</v>
      </c>
      <c r="G1273" s="861">
        <v>52.789830727445803</v>
      </c>
      <c r="H1273" s="861">
        <v>78.406520933870098</v>
      </c>
      <c r="I1273" s="861">
        <v>26.548957488523001</v>
      </c>
      <c r="J1273" s="861">
        <v>45.291979214762598</v>
      </c>
      <c r="K1273" s="982">
        <v>0</v>
      </c>
      <c r="L1273" s="735">
        <v>3225</v>
      </c>
      <c r="M1273" s="735">
        <v>2677</v>
      </c>
      <c r="N1273" s="845">
        <f t="shared" si="108"/>
        <v>-0.16992248062015503</v>
      </c>
      <c r="O1273" s="735">
        <v>0.55035580839017828</v>
      </c>
      <c r="P1273" s="735">
        <f t="shared" si="109"/>
        <v>4864.1260057386799</v>
      </c>
      <c r="Q1273" s="849">
        <v>43.7</v>
      </c>
      <c r="R1273" s="71">
        <v>71791</v>
      </c>
      <c r="S1273" s="845">
        <v>0.13410534180052297</v>
      </c>
      <c r="T1273" s="845">
        <v>0.02</v>
      </c>
      <c r="U1273" s="845">
        <v>0</v>
      </c>
      <c r="V1273" s="845">
        <v>0</v>
      </c>
      <c r="W1273" s="845">
        <v>0.24475018102824039</v>
      </c>
      <c r="X1273" s="845">
        <v>0.26331360946745563</v>
      </c>
      <c r="Y1273" s="845">
        <v>0.93985805005603285</v>
      </c>
      <c r="Z1273" s="845">
        <v>1.9424729174449009E-2</v>
      </c>
      <c r="AA1273" s="845">
        <v>3.3619723571161747E-3</v>
      </c>
      <c r="AB1273" s="845">
        <v>1.5315651849084797E-2</v>
      </c>
      <c r="AC1273" s="845">
        <v>0</v>
      </c>
      <c r="AD1273" s="845">
        <v>2.6148673888681359E-3</v>
      </c>
      <c r="AE1273" s="845">
        <v>1.9424729174449009E-2</v>
      </c>
      <c r="AF1273" s="845">
        <v>3.5113933507657825E-2</v>
      </c>
      <c r="AG1273" s="845">
        <v>0.91034740381023538</v>
      </c>
      <c r="AH1273" s="20" t="str">
        <f t="shared" si="110"/>
        <v>Yes</v>
      </c>
      <c r="AI1273" s="25"/>
      <c r="AJ1273" s="20">
        <v>43914</v>
      </c>
      <c r="AK1273" s="20" t="s">
        <v>1103</v>
      </c>
      <c r="AL1273" s="20">
        <v>39111</v>
      </c>
      <c r="AM1273" s="20" t="s">
        <v>61</v>
      </c>
      <c r="AN1273" s="37" t="str">
        <f t="shared" si="111"/>
        <v>N/A</v>
      </c>
      <c r="AO1273" s="37" t="str">
        <f t="shared" si="112"/>
        <v>N/A</v>
      </c>
      <c r="AP1273" s="20" t="s">
        <v>8</v>
      </c>
      <c r="AQ1273" s="25"/>
      <c r="AR1273" s="25"/>
      <c r="AS1273" s="25"/>
      <c r="AT1273" s="25"/>
      <c r="AU1273" s="36"/>
      <c r="AV1273" s="36"/>
      <c r="AW1273" s="36"/>
      <c r="AX1273" s="25"/>
      <c r="AY1273" s="25"/>
      <c r="AZ1273" s="25"/>
      <c r="BA1273" s="25"/>
      <c r="BB1273" s="25"/>
      <c r="BC1273" s="25"/>
      <c r="BD1273" s="25"/>
      <c r="BE1273" s="25"/>
      <c r="BF1273" s="25"/>
      <c r="BG1273" s="25"/>
      <c r="BH1273" s="25"/>
      <c r="BI1273" s="25"/>
      <c r="BJ1273" s="25"/>
      <c r="BK1273" s="25"/>
      <c r="BL1273" s="25"/>
      <c r="BM1273" s="25"/>
      <c r="BN1273" s="25"/>
      <c r="BO1273" s="25"/>
      <c r="BP1273" s="25"/>
      <c r="BQ1273" s="25"/>
      <c r="BR1273" s="25"/>
      <c r="BS1273" s="25"/>
      <c r="BT1273" s="25"/>
      <c r="BU1273" s="25"/>
      <c r="BV1273" s="25"/>
      <c r="BW1273" s="25"/>
      <c r="BX1273" s="25"/>
      <c r="BY1273" s="25"/>
      <c r="BZ1273" s="25"/>
      <c r="CA1273" s="25"/>
      <c r="CB1273" s="25"/>
      <c r="CC1273" s="25"/>
      <c r="CD1273" s="25"/>
      <c r="CE1273" s="200"/>
      <c r="CF1273" s="200"/>
      <c r="CG1273" s="200"/>
      <c r="CH1273" s="200"/>
      <c r="CI1273" s="200"/>
      <c r="CJ1273" s="200"/>
      <c r="CK1273" s="200"/>
      <c r="CL1273" s="200"/>
      <c r="CM1273" s="200"/>
      <c r="CN1273" s="200"/>
      <c r="CO1273" s="200"/>
      <c r="CP1273" s="200"/>
      <c r="CQ1273" s="200"/>
      <c r="CR1273" s="200"/>
      <c r="CS1273" s="200"/>
      <c r="CT1273" s="200"/>
      <c r="CU1273" s="200"/>
    </row>
    <row r="1274" spans="1:99" s="17" customFormat="1" x14ac:dyDescent="0.2">
      <c r="A1274" s="25"/>
      <c r="B1274" s="20">
        <v>39113040403</v>
      </c>
      <c r="C1274" s="20">
        <v>404.03</v>
      </c>
      <c r="D1274" s="20" t="s">
        <v>62</v>
      </c>
      <c r="E1274" s="20" t="s">
        <v>2833</v>
      </c>
      <c r="F1274" s="20" t="s">
        <v>8</v>
      </c>
      <c r="G1274" s="861">
        <v>52.785680512055698</v>
      </c>
      <c r="H1274" s="861">
        <v>48.236982792582502</v>
      </c>
      <c r="I1274" s="861">
        <v>31.829004802289099</v>
      </c>
      <c r="J1274" s="861">
        <v>31.8591508618264</v>
      </c>
      <c r="K1274" s="982">
        <v>0</v>
      </c>
      <c r="L1274" s="735">
        <v>3953</v>
      </c>
      <c r="M1274" s="735">
        <v>3999</v>
      </c>
      <c r="N1274" s="845">
        <f t="shared" si="108"/>
        <v>1.1636731596256009E-2</v>
      </c>
      <c r="O1274" s="735">
        <v>1.1517327004254085</v>
      </c>
      <c r="P1274" s="735">
        <f t="shared" si="109"/>
        <v>3472.1598149665401</v>
      </c>
      <c r="Q1274" s="849">
        <v>43</v>
      </c>
      <c r="R1274" s="71">
        <v>58500</v>
      </c>
      <c r="S1274" s="845">
        <v>0.13722040713747172</v>
      </c>
      <c r="T1274" s="845">
        <v>8.5999999999999993E-2</v>
      </c>
      <c r="U1274" s="845">
        <v>0</v>
      </c>
      <c r="V1274" s="845">
        <v>0</v>
      </c>
      <c r="W1274" s="845">
        <v>0.43401759530791789</v>
      </c>
      <c r="X1274" s="845">
        <v>0.32657657657657657</v>
      </c>
      <c r="Y1274" s="845">
        <v>0.8779694923730933</v>
      </c>
      <c r="Z1274" s="845">
        <v>5.8514628657164294E-2</v>
      </c>
      <c r="AA1274" s="845">
        <v>0</v>
      </c>
      <c r="AB1274" s="845">
        <v>2.0505126281570394E-2</v>
      </c>
      <c r="AC1274" s="845">
        <v>0</v>
      </c>
      <c r="AD1274" s="845">
        <v>0</v>
      </c>
      <c r="AE1274" s="845">
        <v>4.3010752688172046E-2</v>
      </c>
      <c r="AF1274" s="845">
        <v>5.2513128282070517E-3</v>
      </c>
      <c r="AG1274" s="845">
        <v>0.8779694923730933</v>
      </c>
      <c r="AH1274" s="20" t="str">
        <f t="shared" si="110"/>
        <v>No</v>
      </c>
      <c r="AI1274" s="25"/>
      <c r="AJ1274" s="20">
        <v>43915</v>
      </c>
      <c r="AK1274" s="20" t="s">
        <v>1104</v>
      </c>
      <c r="AL1274" s="20">
        <v>39111</v>
      </c>
      <c r="AM1274" s="20" t="s">
        <v>61</v>
      </c>
      <c r="AN1274" s="37" t="str">
        <f t="shared" si="111"/>
        <v>N/A</v>
      </c>
      <c r="AO1274" s="37" t="str">
        <f t="shared" si="112"/>
        <v>N/A</v>
      </c>
      <c r="AP1274" s="20" t="s">
        <v>8</v>
      </c>
      <c r="AQ1274" s="25"/>
      <c r="AR1274" s="25"/>
      <c r="AS1274" s="25"/>
      <c r="AT1274" s="25"/>
      <c r="AU1274" s="36"/>
      <c r="AV1274" s="36"/>
      <c r="AW1274" s="36"/>
      <c r="AX1274" s="25"/>
      <c r="AY1274" s="25"/>
      <c r="AZ1274" s="25"/>
      <c r="BA1274" s="25"/>
      <c r="BB1274" s="25"/>
      <c r="BC1274" s="25"/>
      <c r="BD1274" s="25"/>
      <c r="BE1274" s="25"/>
      <c r="BF1274" s="25"/>
      <c r="BG1274" s="25"/>
      <c r="BH1274" s="25"/>
      <c r="BI1274" s="25"/>
      <c r="BJ1274" s="25"/>
      <c r="BK1274" s="25"/>
      <c r="BL1274" s="25"/>
      <c r="BM1274" s="25"/>
      <c r="BN1274" s="25"/>
      <c r="BO1274" s="25"/>
      <c r="BP1274" s="25"/>
      <c r="BQ1274" s="25"/>
      <c r="BR1274" s="25"/>
      <c r="BS1274" s="25"/>
      <c r="BT1274" s="25"/>
      <c r="BU1274" s="25"/>
      <c r="BV1274" s="25"/>
      <c r="BW1274" s="25"/>
      <c r="BX1274" s="25"/>
      <c r="BY1274" s="25"/>
      <c r="BZ1274" s="25"/>
      <c r="CA1274" s="25"/>
      <c r="CB1274" s="25"/>
      <c r="CC1274" s="25"/>
      <c r="CD1274" s="25"/>
      <c r="CE1274" s="200"/>
      <c r="CF1274" s="200"/>
      <c r="CG1274" s="200"/>
      <c r="CH1274" s="200"/>
      <c r="CI1274" s="200"/>
      <c r="CJ1274" s="200"/>
      <c r="CK1274" s="200"/>
      <c r="CL1274" s="200"/>
      <c r="CM1274" s="200"/>
      <c r="CN1274" s="200"/>
      <c r="CO1274" s="200"/>
      <c r="CP1274" s="200"/>
      <c r="CQ1274" s="200"/>
      <c r="CR1274" s="200"/>
      <c r="CS1274" s="200"/>
      <c r="CT1274" s="200"/>
      <c r="CU1274" s="200"/>
    </row>
    <row r="1275" spans="1:99" s="17" customFormat="1" x14ac:dyDescent="0.2">
      <c r="A1275" s="25"/>
      <c r="B1275" s="20">
        <v>39035152303</v>
      </c>
      <c r="C1275" s="20">
        <v>1523.03</v>
      </c>
      <c r="D1275" s="20" t="s">
        <v>24</v>
      </c>
      <c r="E1275" s="20" t="s">
        <v>2829</v>
      </c>
      <c r="F1275" s="20" t="s">
        <v>8</v>
      </c>
      <c r="G1275" s="861">
        <v>52.784516196089797</v>
      </c>
      <c r="H1275" s="861">
        <v>54.4818247128024</v>
      </c>
      <c r="I1275" s="861">
        <v>36.593867141371597</v>
      </c>
      <c r="J1275" s="861">
        <v>49.680591633688501</v>
      </c>
      <c r="K1275" s="982">
        <v>0</v>
      </c>
      <c r="L1275" s="735">
        <v>3923</v>
      </c>
      <c r="M1275" s="735">
        <v>4407</v>
      </c>
      <c r="N1275" s="845">
        <f t="shared" si="108"/>
        <v>0.12337496813663013</v>
      </c>
      <c r="O1275" s="735">
        <v>1.3057391989340059</v>
      </c>
      <c r="P1275" s="735">
        <f t="shared" si="109"/>
        <v>3375.0997163888746</v>
      </c>
      <c r="Q1275" s="849">
        <v>44</v>
      </c>
      <c r="R1275" s="71">
        <v>49391</v>
      </c>
      <c r="S1275" s="845">
        <v>8.8495575221238937E-2</v>
      </c>
      <c r="T1275" s="845">
        <v>6.8000000000000005E-2</v>
      </c>
      <c r="U1275" s="845">
        <v>0</v>
      </c>
      <c r="V1275" s="845">
        <v>4.8000000000000001E-2</v>
      </c>
      <c r="W1275" s="845">
        <v>0.25359116022099448</v>
      </c>
      <c r="X1275" s="845">
        <v>0.46187363834422657</v>
      </c>
      <c r="Y1275" s="845">
        <v>0.31086907193101881</v>
      </c>
      <c r="Z1275" s="845">
        <v>0.63104152484683462</v>
      </c>
      <c r="AA1275" s="845">
        <v>0</v>
      </c>
      <c r="AB1275" s="845">
        <v>6.1266167460857727E-3</v>
      </c>
      <c r="AC1275" s="845">
        <v>0</v>
      </c>
      <c r="AD1275" s="845">
        <v>0</v>
      </c>
      <c r="AE1275" s="845">
        <v>5.1962786476060813E-2</v>
      </c>
      <c r="AF1275" s="845">
        <v>2.1783526208304968E-2</v>
      </c>
      <c r="AG1275" s="845">
        <v>0.30882686634899026</v>
      </c>
      <c r="AH1275" s="20" t="str">
        <f t="shared" si="110"/>
        <v>No</v>
      </c>
      <c r="AI1275" s="25"/>
      <c r="AJ1275" s="37">
        <v>43931</v>
      </c>
      <c r="AK1275" s="37" t="s">
        <v>1111</v>
      </c>
      <c r="AL1275" s="37">
        <v>39111</v>
      </c>
      <c r="AM1275" s="37" t="s">
        <v>61</v>
      </c>
      <c r="AN1275" s="37" t="str">
        <f t="shared" si="111"/>
        <v>N/A</v>
      </c>
      <c r="AO1275" s="37" t="str">
        <f t="shared" si="112"/>
        <v>N/A</v>
      </c>
      <c r="AP1275" s="20" t="s">
        <v>8</v>
      </c>
      <c r="AQ1275" s="25"/>
      <c r="AR1275" s="25"/>
      <c r="AS1275" s="25"/>
      <c r="AT1275" s="25"/>
      <c r="AU1275" s="36"/>
      <c r="AV1275" s="36"/>
      <c r="AW1275" s="36"/>
      <c r="AX1275" s="25"/>
      <c r="AY1275" s="25"/>
      <c r="AZ1275" s="25"/>
      <c r="BA1275" s="25"/>
      <c r="BB1275" s="25"/>
      <c r="BC1275" s="25"/>
      <c r="BD1275" s="25"/>
      <c r="BE1275" s="25"/>
      <c r="BF1275" s="25"/>
      <c r="BG1275" s="25"/>
      <c r="BH1275" s="25"/>
      <c r="BI1275" s="25"/>
      <c r="BJ1275" s="25"/>
      <c r="BK1275" s="25"/>
      <c r="BL1275" s="25"/>
      <c r="BM1275" s="25"/>
      <c r="BN1275" s="25"/>
      <c r="BO1275" s="25"/>
      <c r="BP1275" s="25"/>
      <c r="BQ1275" s="25"/>
      <c r="BR1275" s="25"/>
      <c r="BS1275" s="25"/>
      <c r="BT1275" s="25"/>
      <c r="BU1275" s="25"/>
      <c r="BV1275" s="25"/>
      <c r="BW1275" s="25"/>
      <c r="BX1275" s="25"/>
      <c r="BY1275" s="25"/>
      <c r="BZ1275" s="25"/>
      <c r="CA1275" s="25"/>
      <c r="CB1275" s="25"/>
      <c r="CC1275" s="25"/>
      <c r="CD1275" s="25"/>
      <c r="CE1275" s="200"/>
      <c r="CF1275" s="200"/>
      <c r="CG1275" s="200"/>
      <c r="CH1275" s="200"/>
      <c r="CI1275" s="200"/>
      <c r="CJ1275" s="200"/>
      <c r="CK1275" s="200"/>
      <c r="CL1275" s="200"/>
      <c r="CM1275" s="200"/>
      <c r="CN1275" s="200"/>
      <c r="CO1275" s="200"/>
      <c r="CP1275" s="200"/>
      <c r="CQ1275" s="200"/>
      <c r="CR1275" s="200"/>
      <c r="CS1275" s="200"/>
      <c r="CT1275" s="200"/>
      <c r="CU1275" s="200"/>
    </row>
    <row r="1276" spans="1:99" s="17" customFormat="1" x14ac:dyDescent="0.2">
      <c r="A1276" s="25"/>
      <c r="B1276" s="20">
        <v>39095007004</v>
      </c>
      <c r="C1276" s="20">
        <v>70.040000000000006</v>
      </c>
      <c r="D1276" s="20" t="s">
        <v>53</v>
      </c>
      <c r="E1276" s="20" t="s">
        <v>2839</v>
      </c>
      <c r="F1276" s="20" t="s">
        <v>8</v>
      </c>
      <c r="G1276" s="861">
        <v>52.760811846857301</v>
      </c>
      <c r="H1276" s="861">
        <v>56.5273628078968</v>
      </c>
      <c r="I1276" s="861">
        <v>22.648680421806901</v>
      </c>
      <c r="J1276" s="861">
        <v>35.652136182188201</v>
      </c>
      <c r="K1276" s="982">
        <v>0</v>
      </c>
      <c r="L1276" s="735" t="s">
        <v>2466</v>
      </c>
      <c r="M1276" s="735">
        <v>1914</v>
      </c>
      <c r="N1276" s="845" t="str">
        <f t="shared" si="108"/>
        <v/>
      </c>
      <c r="O1276" s="735">
        <v>0.72366625652192673</v>
      </c>
      <c r="P1276" s="735">
        <f t="shared" si="109"/>
        <v>2644.8656169199271</v>
      </c>
      <c r="Q1276" s="849">
        <v>45</v>
      </c>
      <c r="R1276" s="71">
        <v>79167</v>
      </c>
      <c r="S1276" s="845">
        <v>7.4712643678160925E-2</v>
      </c>
      <c r="T1276" s="845">
        <v>4.5999999999999999E-2</v>
      </c>
      <c r="U1276" s="845">
        <v>3.6000000000000004E-2</v>
      </c>
      <c r="V1276" s="845">
        <v>0</v>
      </c>
      <c r="W1276" s="845">
        <v>9.6733668341708545E-2</v>
      </c>
      <c r="X1276" s="845">
        <v>0.63636363636363635</v>
      </c>
      <c r="Y1276" s="845">
        <v>0.87408568443051204</v>
      </c>
      <c r="Z1276" s="845">
        <v>2.1943573667711599E-2</v>
      </c>
      <c r="AA1276" s="845">
        <v>0</v>
      </c>
      <c r="AB1276" s="845">
        <v>0</v>
      </c>
      <c r="AC1276" s="845">
        <v>0</v>
      </c>
      <c r="AD1276" s="845">
        <v>9.9268547544409617E-3</v>
      </c>
      <c r="AE1276" s="845">
        <v>9.4043887147335428E-2</v>
      </c>
      <c r="AF1276" s="845">
        <v>7.4712643678160925E-2</v>
      </c>
      <c r="AG1276" s="845">
        <v>0.87408568443051204</v>
      </c>
      <c r="AH1276" s="20" t="str">
        <f t="shared" si="110"/>
        <v>No</v>
      </c>
      <c r="AI1276" s="25"/>
      <c r="AJ1276" s="37">
        <v>43942</v>
      </c>
      <c r="AK1276" s="37" t="s">
        <v>1119</v>
      </c>
      <c r="AL1276" s="37">
        <v>39111</v>
      </c>
      <c r="AM1276" s="37" t="s">
        <v>61</v>
      </c>
      <c r="AN1276" s="37" t="str">
        <f t="shared" si="111"/>
        <v>N/A</v>
      </c>
      <c r="AO1276" s="37" t="str">
        <f t="shared" si="112"/>
        <v>N/A</v>
      </c>
      <c r="AP1276" s="20" t="s">
        <v>8</v>
      </c>
      <c r="AQ1276" s="25"/>
      <c r="AR1276" s="25"/>
      <c r="AS1276" s="25"/>
      <c r="AT1276" s="25"/>
      <c r="AU1276" s="36"/>
      <c r="AV1276" s="36"/>
      <c r="AW1276" s="36"/>
      <c r="AX1276" s="25"/>
      <c r="AY1276" s="25"/>
      <c r="AZ1276" s="25"/>
      <c r="BA1276" s="25"/>
      <c r="BB1276" s="25"/>
      <c r="BC1276" s="25"/>
      <c r="BD1276" s="25"/>
      <c r="BE1276" s="25"/>
      <c r="BF1276" s="25"/>
      <c r="BG1276" s="25"/>
      <c r="BH1276" s="25"/>
      <c r="BI1276" s="25"/>
      <c r="BJ1276" s="25"/>
      <c r="BK1276" s="25"/>
      <c r="BL1276" s="25"/>
      <c r="BM1276" s="25"/>
      <c r="BN1276" s="25"/>
      <c r="BO1276" s="25"/>
      <c r="BP1276" s="25"/>
      <c r="BQ1276" s="25"/>
      <c r="BR1276" s="25"/>
      <c r="BS1276" s="25"/>
      <c r="BT1276" s="25"/>
      <c r="BU1276" s="25"/>
      <c r="BV1276" s="25"/>
      <c r="BW1276" s="25"/>
      <c r="BX1276" s="25"/>
      <c r="BY1276" s="25"/>
      <c r="BZ1276" s="25"/>
      <c r="CA1276" s="25"/>
      <c r="CB1276" s="25"/>
      <c r="CC1276" s="25"/>
      <c r="CD1276" s="25"/>
      <c r="CE1276" s="200"/>
      <c r="CF1276" s="200"/>
      <c r="CG1276" s="200"/>
      <c r="CH1276" s="200"/>
      <c r="CI1276" s="200"/>
      <c r="CJ1276" s="200"/>
      <c r="CK1276" s="200"/>
      <c r="CL1276" s="200"/>
      <c r="CM1276" s="200"/>
      <c r="CN1276" s="200"/>
      <c r="CO1276" s="200"/>
      <c r="CP1276" s="200"/>
      <c r="CQ1276" s="200"/>
      <c r="CR1276" s="200"/>
      <c r="CS1276" s="200"/>
      <c r="CT1276" s="200"/>
      <c r="CU1276" s="200"/>
    </row>
    <row r="1277" spans="1:99" s="17" customFormat="1" x14ac:dyDescent="0.2">
      <c r="A1277" s="25"/>
      <c r="B1277" s="20">
        <v>39057210401</v>
      </c>
      <c r="C1277" s="20">
        <v>2104.0100000000002</v>
      </c>
      <c r="D1277" s="20" t="s">
        <v>35</v>
      </c>
      <c r="E1277" s="20" t="s">
        <v>2833</v>
      </c>
      <c r="F1277" s="20" t="s">
        <v>8</v>
      </c>
      <c r="G1277" s="861">
        <v>52.753754575081899</v>
      </c>
      <c r="H1277" s="861">
        <v>53.132228502045102</v>
      </c>
      <c r="I1277" s="861">
        <v>24.949140960241099</v>
      </c>
      <c r="J1277" s="861">
        <v>31.419866306400099</v>
      </c>
      <c r="K1277" s="982">
        <v>0</v>
      </c>
      <c r="L1277" s="735">
        <v>4997</v>
      </c>
      <c r="M1277" s="735">
        <v>5453</v>
      </c>
      <c r="N1277" s="845">
        <f t="shared" si="108"/>
        <v>9.125475285171103E-2</v>
      </c>
      <c r="O1277" s="735">
        <v>1.8520297376963635</v>
      </c>
      <c r="P1277" s="735">
        <f t="shared" si="109"/>
        <v>2944.3371718116591</v>
      </c>
      <c r="Q1277" s="849">
        <v>42</v>
      </c>
      <c r="R1277" s="71">
        <v>79736</v>
      </c>
      <c r="S1277" s="845">
        <v>0.25488372093023254</v>
      </c>
      <c r="T1277" s="845">
        <v>0</v>
      </c>
      <c r="U1277" s="845">
        <v>5.2999999999999999E-2</v>
      </c>
      <c r="V1277" s="845">
        <v>4.0999999999999995E-2</v>
      </c>
      <c r="W1277" s="845">
        <v>0.5228102189781022</v>
      </c>
      <c r="X1277" s="845">
        <v>0.24083769633507854</v>
      </c>
      <c r="Y1277" s="845">
        <v>0.77755364019805606</v>
      </c>
      <c r="Z1277" s="845">
        <v>3.0441958554923897E-2</v>
      </c>
      <c r="AA1277" s="845">
        <v>1.0819732257472951E-2</v>
      </c>
      <c r="AB1277" s="845">
        <v>2.1822849807445442E-2</v>
      </c>
      <c r="AC1277" s="845">
        <v>0</v>
      </c>
      <c r="AD1277" s="845">
        <v>4.2178617274894557E-3</v>
      </c>
      <c r="AE1277" s="845">
        <v>0.15514395745461215</v>
      </c>
      <c r="AF1277" s="845">
        <v>7.0053181734824874E-2</v>
      </c>
      <c r="AG1277" s="845">
        <v>0.77755364019805606</v>
      </c>
      <c r="AH1277" s="20" t="str">
        <f t="shared" si="110"/>
        <v>No</v>
      </c>
      <c r="AI1277" s="25"/>
      <c r="AJ1277" s="20">
        <v>43946</v>
      </c>
      <c r="AK1277" s="20" t="s">
        <v>1123</v>
      </c>
      <c r="AL1277" s="20">
        <v>39111</v>
      </c>
      <c r="AM1277" s="20" t="s">
        <v>61</v>
      </c>
      <c r="AN1277" s="37" t="str">
        <f t="shared" si="111"/>
        <v>N/A</v>
      </c>
      <c r="AO1277" s="37" t="str">
        <f t="shared" si="112"/>
        <v>N/A</v>
      </c>
      <c r="AP1277" s="20" t="s">
        <v>8</v>
      </c>
      <c r="AQ1277" s="25"/>
      <c r="AR1277" s="25"/>
      <c r="AS1277" s="25"/>
      <c r="AT1277" s="25"/>
      <c r="AU1277" s="36"/>
      <c r="AV1277" s="36"/>
      <c r="AW1277" s="36"/>
      <c r="AX1277" s="25"/>
      <c r="AY1277" s="25"/>
      <c r="AZ1277" s="25"/>
      <c r="BA1277" s="25"/>
      <c r="BB1277" s="25"/>
      <c r="BC1277" s="25"/>
      <c r="BD1277" s="25"/>
      <c r="BE1277" s="25"/>
      <c r="BF1277" s="25"/>
      <c r="BG1277" s="25"/>
      <c r="BH1277" s="25"/>
      <c r="BI1277" s="25"/>
      <c r="BJ1277" s="25"/>
      <c r="BK1277" s="25"/>
      <c r="BL1277" s="25"/>
      <c r="BM1277" s="25"/>
      <c r="BN1277" s="25"/>
      <c r="BO1277" s="25"/>
      <c r="BP1277" s="25"/>
      <c r="BQ1277" s="25"/>
      <c r="BR1277" s="25"/>
      <c r="BS1277" s="25"/>
      <c r="BT1277" s="25"/>
      <c r="BU1277" s="25"/>
      <c r="BV1277" s="25"/>
      <c r="BW1277" s="25"/>
      <c r="BX1277" s="25"/>
      <c r="BY1277" s="25"/>
      <c r="BZ1277" s="25"/>
      <c r="CA1277" s="25"/>
      <c r="CB1277" s="25"/>
      <c r="CC1277" s="25"/>
      <c r="CD1277" s="25"/>
      <c r="CE1277" s="200"/>
      <c r="CF1277" s="200"/>
      <c r="CG1277" s="200"/>
      <c r="CH1277" s="200"/>
      <c r="CI1277" s="200"/>
      <c r="CJ1277" s="200"/>
      <c r="CK1277" s="200"/>
      <c r="CL1277" s="200"/>
      <c r="CM1277" s="200"/>
      <c r="CN1277" s="200"/>
      <c r="CO1277" s="200"/>
      <c r="CP1277" s="200"/>
      <c r="CQ1277" s="200"/>
      <c r="CR1277" s="200"/>
      <c r="CS1277" s="200"/>
      <c r="CT1277" s="200"/>
      <c r="CU1277" s="200"/>
    </row>
    <row r="1278" spans="1:99" s="17" customFormat="1" x14ac:dyDescent="0.2">
      <c r="A1278" s="25"/>
      <c r="B1278" s="20">
        <v>39119911500</v>
      </c>
      <c r="C1278" s="20">
        <v>9115</v>
      </c>
      <c r="D1278" s="20" t="s">
        <v>65</v>
      </c>
      <c r="E1278" s="20" t="s">
        <v>265</v>
      </c>
      <c r="F1278" s="20" t="s">
        <v>8</v>
      </c>
      <c r="G1278" s="861">
        <v>52.734777077585001</v>
      </c>
      <c r="H1278" s="861">
        <v>55.339832672393698</v>
      </c>
      <c r="I1278" s="861">
        <v>31.691462417189399</v>
      </c>
      <c r="J1278" s="861">
        <v>37.939468080509798</v>
      </c>
      <c r="K1278" s="982">
        <v>0</v>
      </c>
      <c r="L1278" s="735">
        <v>4778</v>
      </c>
      <c r="M1278" s="735">
        <v>5149</v>
      </c>
      <c r="N1278" s="845">
        <f t="shared" si="108"/>
        <v>7.7647551276684809E-2</v>
      </c>
      <c r="O1278" s="735">
        <v>8.1992283740638481</v>
      </c>
      <c r="P1278" s="735">
        <f t="shared" si="109"/>
        <v>627.98592319827787</v>
      </c>
      <c r="Q1278" s="849">
        <v>50.1</v>
      </c>
      <c r="R1278" s="71">
        <v>58448</v>
      </c>
      <c r="S1278" s="845">
        <v>0.13014661578630246</v>
      </c>
      <c r="T1278" s="845">
        <v>6.2E-2</v>
      </c>
      <c r="U1278" s="845">
        <v>0</v>
      </c>
      <c r="V1278" s="845">
        <v>9.4E-2</v>
      </c>
      <c r="W1278" s="845">
        <v>0.44723618090452261</v>
      </c>
      <c r="X1278" s="845">
        <v>0.4438202247191011</v>
      </c>
      <c r="Y1278" s="845">
        <v>0.92153816275004852</v>
      </c>
      <c r="Z1278" s="845">
        <v>3.8454068751213828E-2</v>
      </c>
      <c r="AA1278" s="845">
        <v>0</v>
      </c>
      <c r="AB1278" s="845">
        <v>0</v>
      </c>
      <c r="AC1278" s="845">
        <v>0</v>
      </c>
      <c r="AD1278" s="845">
        <v>4.4668867741308989E-3</v>
      </c>
      <c r="AE1278" s="845">
        <v>3.5540881724606718E-2</v>
      </c>
      <c r="AF1278" s="845">
        <v>9.1279860167022726E-3</v>
      </c>
      <c r="AG1278" s="845">
        <v>0.92153816275004852</v>
      </c>
      <c r="AH1278" s="20" t="str">
        <f t="shared" si="110"/>
        <v>Yes</v>
      </c>
      <c r="AI1278" s="25"/>
      <c r="AJ1278" s="20">
        <v>45734</v>
      </c>
      <c r="AK1278" s="20" t="s">
        <v>1846</v>
      </c>
      <c r="AL1278" s="20">
        <v>39111</v>
      </c>
      <c r="AM1278" s="20" t="s">
        <v>61</v>
      </c>
      <c r="AN1278" s="37" t="str">
        <f t="shared" si="111"/>
        <v>N/A</v>
      </c>
      <c r="AO1278" s="37" t="str">
        <f t="shared" si="112"/>
        <v>N/A</v>
      </c>
      <c r="AP1278" s="20" t="s">
        <v>8</v>
      </c>
      <c r="AQ1278" s="25"/>
      <c r="AR1278" s="25"/>
      <c r="AS1278" s="25"/>
      <c r="AT1278" s="25"/>
      <c r="AU1278" s="36"/>
      <c r="AV1278" s="36"/>
      <c r="AW1278" s="36"/>
      <c r="AX1278" s="25"/>
      <c r="AY1278" s="25"/>
      <c r="AZ1278" s="25"/>
      <c r="BA1278" s="25"/>
      <c r="BB1278" s="25"/>
      <c r="BC1278" s="25"/>
      <c r="BD1278" s="25"/>
      <c r="BE1278" s="25"/>
      <c r="BF1278" s="25"/>
      <c r="BG1278" s="25"/>
      <c r="BH1278" s="25"/>
      <c r="BI1278" s="25"/>
      <c r="BJ1278" s="25"/>
      <c r="BK1278" s="25"/>
      <c r="BL1278" s="25"/>
      <c r="BM1278" s="25"/>
      <c r="BN1278" s="25"/>
      <c r="BO1278" s="25"/>
      <c r="BP1278" s="25"/>
      <c r="BQ1278" s="25"/>
      <c r="BR1278" s="25"/>
      <c r="BS1278" s="25"/>
      <c r="BT1278" s="25"/>
      <c r="BU1278" s="25"/>
      <c r="BV1278" s="25"/>
      <c r="BW1278" s="25"/>
      <c r="BX1278" s="25"/>
      <c r="BY1278" s="25"/>
      <c r="BZ1278" s="25"/>
      <c r="CA1278" s="25"/>
      <c r="CB1278" s="25"/>
      <c r="CC1278" s="25"/>
      <c r="CD1278" s="25"/>
      <c r="CE1278" s="200"/>
      <c r="CF1278" s="200"/>
      <c r="CG1278" s="200"/>
      <c r="CH1278" s="200"/>
      <c r="CI1278" s="200"/>
      <c r="CJ1278" s="200"/>
      <c r="CK1278" s="200"/>
      <c r="CL1278" s="200"/>
      <c r="CM1278" s="200"/>
      <c r="CN1278" s="200"/>
      <c r="CO1278" s="200"/>
      <c r="CP1278" s="200"/>
      <c r="CQ1278" s="200"/>
      <c r="CR1278" s="200"/>
      <c r="CS1278" s="200"/>
      <c r="CT1278" s="200"/>
      <c r="CU1278" s="200"/>
    </row>
    <row r="1279" spans="1:99" s="17" customFormat="1" x14ac:dyDescent="0.2">
      <c r="A1279" s="25"/>
      <c r="B1279" s="20">
        <v>39093092100</v>
      </c>
      <c r="C1279" s="20">
        <v>921</v>
      </c>
      <c r="D1279" s="20" t="s">
        <v>52</v>
      </c>
      <c r="E1279" s="20" t="s">
        <v>2829</v>
      </c>
      <c r="F1279" s="20" t="s">
        <v>8</v>
      </c>
      <c r="G1279" s="861">
        <v>52.713356189278301</v>
      </c>
      <c r="H1279" s="861">
        <v>47.777244028989998</v>
      </c>
      <c r="I1279" s="861">
        <v>22.059552019411601</v>
      </c>
      <c r="J1279" s="861">
        <v>52.362527323772198</v>
      </c>
      <c r="K1279" s="982">
        <v>0</v>
      </c>
      <c r="L1279" s="735">
        <v>2527</v>
      </c>
      <c r="M1279" s="735">
        <v>2478</v>
      </c>
      <c r="N1279" s="845">
        <f t="shared" si="108"/>
        <v>-1.9390581717451522E-2</v>
      </c>
      <c r="O1279" s="735">
        <v>26.699941877339352</v>
      </c>
      <c r="P1279" s="735">
        <f t="shared" si="109"/>
        <v>92.809190798393331</v>
      </c>
      <c r="Q1279" s="849">
        <v>49.7</v>
      </c>
      <c r="R1279" s="71">
        <v>95352</v>
      </c>
      <c r="S1279" s="845">
        <v>5.6093623890234062E-2</v>
      </c>
      <c r="T1279" s="845">
        <v>0.02</v>
      </c>
      <c r="U1279" s="845">
        <v>0</v>
      </c>
      <c r="V1279" s="845">
        <v>0</v>
      </c>
      <c r="W1279" s="845">
        <v>9.714889123548047E-2</v>
      </c>
      <c r="X1279" s="845">
        <v>0.53260869565217395</v>
      </c>
      <c r="Y1279" s="845">
        <v>0.95036319612590803</v>
      </c>
      <c r="Z1279" s="845">
        <v>1.2106537530266344E-3</v>
      </c>
      <c r="AA1279" s="845">
        <v>4.0355125100887811E-4</v>
      </c>
      <c r="AB1279" s="845">
        <v>0</v>
      </c>
      <c r="AC1279" s="845">
        <v>0</v>
      </c>
      <c r="AD1279" s="845">
        <v>1.8563357546408393E-2</v>
      </c>
      <c r="AE1279" s="845">
        <v>2.9459241323648102E-2</v>
      </c>
      <c r="AF1279" s="845">
        <v>8.0710250201775618E-3</v>
      </c>
      <c r="AG1279" s="845">
        <v>0.95036319612590803</v>
      </c>
      <c r="AH1279" s="20" t="str">
        <f t="shared" si="110"/>
        <v>Yes</v>
      </c>
      <c r="AI1279" s="25"/>
      <c r="AJ1279" s="37">
        <v>45745</v>
      </c>
      <c r="AK1279" s="37" t="s">
        <v>1854</v>
      </c>
      <c r="AL1279" s="37">
        <v>39111</v>
      </c>
      <c r="AM1279" s="37" t="s">
        <v>61</v>
      </c>
      <c r="AN1279" s="37" t="str">
        <f t="shared" si="111"/>
        <v>N/A</v>
      </c>
      <c r="AO1279" s="37" t="str">
        <f t="shared" si="112"/>
        <v>N/A</v>
      </c>
      <c r="AP1279" s="20" t="s">
        <v>8</v>
      </c>
      <c r="AQ1279" s="25"/>
      <c r="AR1279" s="25"/>
      <c r="AS1279" s="25"/>
      <c r="AT1279" s="25"/>
      <c r="AU1279" s="36"/>
      <c r="AV1279" s="36"/>
      <c r="AW1279" s="36"/>
      <c r="AX1279" s="25"/>
      <c r="AY1279" s="25"/>
      <c r="AZ1279" s="25"/>
      <c r="BA1279" s="25"/>
      <c r="BB1279" s="25"/>
      <c r="BC1279" s="25"/>
      <c r="BD1279" s="25"/>
      <c r="BE1279" s="25"/>
      <c r="BF1279" s="25"/>
      <c r="BG1279" s="25"/>
      <c r="BH1279" s="25"/>
      <c r="BI1279" s="25"/>
      <c r="BJ1279" s="25"/>
      <c r="BK1279" s="25"/>
      <c r="BL1279" s="25"/>
      <c r="BM1279" s="25"/>
      <c r="BN1279" s="25"/>
      <c r="BO1279" s="25"/>
      <c r="BP1279" s="25"/>
      <c r="BQ1279" s="25"/>
      <c r="BR1279" s="25"/>
      <c r="BS1279" s="25"/>
      <c r="BT1279" s="25"/>
      <c r="BU1279" s="25"/>
      <c r="BV1279" s="25"/>
      <c r="BW1279" s="25"/>
      <c r="BX1279" s="25"/>
      <c r="BY1279" s="25"/>
      <c r="BZ1279" s="25"/>
      <c r="CA1279" s="25"/>
      <c r="CB1279" s="25"/>
      <c r="CC1279" s="25"/>
      <c r="CD1279" s="25"/>
      <c r="CE1279" s="200"/>
      <c r="CF1279" s="200"/>
      <c r="CG1279" s="200"/>
      <c r="CH1279" s="200"/>
      <c r="CI1279" s="200"/>
      <c r="CJ1279" s="200"/>
      <c r="CK1279" s="200"/>
      <c r="CL1279" s="200"/>
      <c r="CM1279" s="200"/>
      <c r="CN1279" s="200"/>
      <c r="CO1279" s="200"/>
      <c r="CP1279" s="200"/>
      <c r="CQ1279" s="200"/>
      <c r="CR1279" s="200"/>
      <c r="CS1279" s="200"/>
      <c r="CT1279" s="200"/>
      <c r="CU1279" s="200"/>
    </row>
    <row r="1280" spans="1:99" s="17" customFormat="1" x14ac:dyDescent="0.2">
      <c r="A1280" s="25"/>
      <c r="B1280" s="20">
        <v>39153506100</v>
      </c>
      <c r="C1280" s="20">
        <v>5061</v>
      </c>
      <c r="D1280" s="20" t="s">
        <v>82</v>
      </c>
      <c r="E1280" s="20" t="s">
        <v>2843</v>
      </c>
      <c r="F1280" s="20" t="s">
        <v>8</v>
      </c>
      <c r="G1280" s="861">
        <v>52.675098804508103</v>
      </c>
      <c r="H1280" s="861">
        <v>57.650615902208202</v>
      </c>
      <c r="I1280" s="861">
        <v>37.617820970787598</v>
      </c>
      <c r="J1280" s="861">
        <v>22.359071837576799</v>
      </c>
      <c r="K1280" s="982">
        <v>0</v>
      </c>
      <c r="L1280" s="735">
        <v>5630</v>
      </c>
      <c r="M1280" s="735">
        <v>5491</v>
      </c>
      <c r="N1280" s="845">
        <f t="shared" si="108"/>
        <v>-2.4689165186500887E-2</v>
      </c>
      <c r="O1280" s="735">
        <v>2.2005228433268753</v>
      </c>
      <c r="P1280" s="735">
        <f t="shared" si="109"/>
        <v>2495.3160639306952</v>
      </c>
      <c r="Q1280" s="849">
        <v>45.5</v>
      </c>
      <c r="R1280" s="71">
        <v>50933</v>
      </c>
      <c r="S1280" s="845">
        <v>0.15812753409509767</v>
      </c>
      <c r="T1280" s="845">
        <v>4.9000000000000002E-2</v>
      </c>
      <c r="U1280" s="845">
        <v>0</v>
      </c>
      <c r="V1280" s="845">
        <v>6.3E-2</v>
      </c>
      <c r="W1280" s="845">
        <v>0.46258503401360546</v>
      </c>
      <c r="X1280" s="845">
        <v>0.3111455108359133</v>
      </c>
      <c r="Y1280" s="845">
        <v>0.60790384265161168</v>
      </c>
      <c r="Z1280" s="845">
        <v>0.20378801675468949</v>
      </c>
      <c r="AA1280" s="845">
        <v>2.6771079949007466E-2</v>
      </c>
      <c r="AB1280" s="845">
        <v>8.923693316335822E-3</v>
      </c>
      <c r="AC1280" s="845">
        <v>0</v>
      </c>
      <c r="AD1280" s="845">
        <v>0</v>
      </c>
      <c r="AE1280" s="845">
        <v>0.15261336732835548</v>
      </c>
      <c r="AF1280" s="845">
        <v>5.9734110362411219E-2</v>
      </c>
      <c r="AG1280" s="845">
        <v>0.59479147696230195</v>
      </c>
      <c r="AH1280" s="20" t="str">
        <f t="shared" si="110"/>
        <v>No</v>
      </c>
      <c r="AI1280" s="25"/>
      <c r="AJ1280" s="37">
        <v>45767</v>
      </c>
      <c r="AK1280" s="37" t="s">
        <v>1861</v>
      </c>
      <c r="AL1280" s="37">
        <v>39111</v>
      </c>
      <c r="AM1280" s="37" t="s">
        <v>61</v>
      </c>
      <c r="AN1280" s="37" t="str">
        <f t="shared" si="111"/>
        <v>N/A</v>
      </c>
      <c r="AO1280" s="37" t="str">
        <f t="shared" si="112"/>
        <v>N/A</v>
      </c>
      <c r="AP1280" s="20" t="s">
        <v>8</v>
      </c>
      <c r="AQ1280" s="25"/>
      <c r="AR1280" s="25"/>
      <c r="AS1280" s="25"/>
      <c r="AT1280" s="25"/>
      <c r="AU1280" s="36"/>
      <c r="AV1280" s="36"/>
      <c r="AW1280" s="36"/>
      <c r="AX1280" s="25"/>
      <c r="AY1280" s="25"/>
      <c r="AZ1280" s="25"/>
      <c r="BA1280" s="25"/>
      <c r="BB1280" s="25"/>
      <c r="BC1280" s="25"/>
      <c r="BD1280" s="25"/>
      <c r="BE1280" s="25"/>
      <c r="BF1280" s="25"/>
      <c r="BG1280" s="25"/>
      <c r="BH1280" s="25"/>
      <c r="BI1280" s="25"/>
      <c r="BJ1280" s="25"/>
      <c r="BK1280" s="25"/>
      <c r="BL1280" s="25"/>
      <c r="BM1280" s="25"/>
      <c r="BN1280" s="25"/>
      <c r="BO1280" s="25"/>
      <c r="BP1280" s="25"/>
      <c r="BQ1280" s="25"/>
      <c r="BR1280" s="25"/>
      <c r="BS1280" s="25"/>
      <c r="BT1280" s="25"/>
      <c r="BU1280" s="25"/>
      <c r="BV1280" s="25"/>
      <c r="BW1280" s="25"/>
      <c r="BX1280" s="25"/>
      <c r="BY1280" s="25"/>
      <c r="BZ1280" s="25"/>
      <c r="CA1280" s="25"/>
      <c r="CB1280" s="25"/>
      <c r="CC1280" s="25"/>
      <c r="CD1280" s="25"/>
      <c r="CE1280" s="200"/>
      <c r="CF1280" s="200"/>
      <c r="CG1280" s="200"/>
      <c r="CH1280" s="200"/>
      <c r="CI1280" s="200"/>
      <c r="CJ1280" s="200"/>
      <c r="CK1280" s="200"/>
      <c r="CL1280" s="200"/>
      <c r="CM1280" s="200"/>
      <c r="CN1280" s="200"/>
      <c r="CO1280" s="200"/>
      <c r="CP1280" s="200"/>
      <c r="CQ1280" s="200"/>
      <c r="CR1280" s="200"/>
      <c r="CS1280" s="200"/>
      <c r="CT1280" s="200"/>
      <c r="CU1280" s="200"/>
    </row>
    <row r="1281" spans="1:99" s="17" customFormat="1" x14ac:dyDescent="0.2">
      <c r="A1281" s="25"/>
      <c r="B1281" s="20">
        <v>39169003100</v>
      </c>
      <c r="C1281" s="20">
        <v>31</v>
      </c>
      <c r="D1281" s="20" t="s">
        <v>90</v>
      </c>
      <c r="E1281" s="20" t="s">
        <v>265</v>
      </c>
      <c r="F1281" s="20" t="s">
        <v>8</v>
      </c>
      <c r="G1281" s="861">
        <v>52.669117059166702</v>
      </c>
      <c r="H1281" s="861">
        <v>53.815013549136197</v>
      </c>
      <c r="I1281" s="861">
        <v>19.3419570064232</v>
      </c>
      <c r="J1281" s="861">
        <v>40.018569008503</v>
      </c>
      <c r="K1281" s="982">
        <v>0</v>
      </c>
      <c r="L1281" s="735">
        <v>2267</v>
      </c>
      <c r="M1281" s="735">
        <v>2354</v>
      </c>
      <c r="N1281" s="845">
        <f t="shared" si="108"/>
        <v>3.8376709307454786E-2</v>
      </c>
      <c r="O1281" s="735">
        <v>26.522716353319478</v>
      </c>
      <c r="P1281" s="735">
        <f t="shared" si="109"/>
        <v>88.754106805707437</v>
      </c>
      <c r="Q1281" s="849">
        <v>36</v>
      </c>
      <c r="R1281" s="71">
        <v>80795</v>
      </c>
      <c r="S1281" s="845">
        <v>6.7659574468085112E-2</v>
      </c>
      <c r="T1281" s="845">
        <v>5.9000000000000004E-2</v>
      </c>
      <c r="U1281" s="845">
        <v>0</v>
      </c>
      <c r="V1281" s="845">
        <v>0</v>
      </c>
      <c r="W1281" s="845">
        <v>0.17114914425427874</v>
      </c>
      <c r="X1281" s="845">
        <v>7.1428571428571425E-2</v>
      </c>
      <c r="Y1281" s="845">
        <v>0.96134239592183512</v>
      </c>
      <c r="Z1281" s="845">
        <v>3.3984706881903144E-3</v>
      </c>
      <c r="AA1281" s="845">
        <v>0</v>
      </c>
      <c r="AB1281" s="845">
        <v>0</v>
      </c>
      <c r="AC1281" s="845">
        <v>0</v>
      </c>
      <c r="AD1281" s="845">
        <v>2.2939677145284623E-2</v>
      </c>
      <c r="AE1281" s="845">
        <v>1.2319456244689889E-2</v>
      </c>
      <c r="AF1281" s="845">
        <v>3.058623619371283E-2</v>
      </c>
      <c r="AG1281" s="845">
        <v>0.96134239592183512</v>
      </c>
      <c r="AH1281" s="20" t="str">
        <f t="shared" si="110"/>
        <v>Yes</v>
      </c>
      <c r="AI1281" s="25"/>
      <c r="AJ1281" s="20">
        <v>45789</v>
      </c>
      <c r="AK1281" s="20" t="s">
        <v>1878</v>
      </c>
      <c r="AL1281" s="20">
        <v>39111</v>
      </c>
      <c r="AM1281" s="20" t="s">
        <v>61</v>
      </c>
      <c r="AN1281" s="37" t="str">
        <f t="shared" si="111"/>
        <v>N/A</v>
      </c>
      <c r="AO1281" s="37" t="str">
        <f t="shared" si="112"/>
        <v>N/A</v>
      </c>
      <c r="AP1281" s="20" t="s">
        <v>8</v>
      </c>
      <c r="AQ1281" s="25"/>
      <c r="AR1281" s="25"/>
      <c r="AS1281" s="25"/>
      <c r="AT1281" s="25"/>
      <c r="AU1281" s="36"/>
      <c r="AV1281" s="36"/>
      <c r="AW1281" s="36"/>
      <c r="AX1281" s="25"/>
      <c r="AY1281" s="25"/>
      <c r="AZ1281" s="25"/>
      <c r="BA1281" s="25"/>
      <c r="BB1281" s="25"/>
      <c r="BC1281" s="25"/>
      <c r="BD1281" s="25"/>
      <c r="BE1281" s="25"/>
      <c r="BF1281" s="25"/>
      <c r="BG1281" s="25"/>
      <c r="BH1281" s="25"/>
      <c r="BI1281" s="25"/>
      <c r="BJ1281" s="25"/>
      <c r="BK1281" s="25"/>
      <c r="BL1281" s="25"/>
      <c r="BM1281" s="25"/>
      <c r="BN1281" s="25"/>
      <c r="BO1281" s="25"/>
      <c r="BP1281" s="25"/>
      <c r="BQ1281" s="25"/>
      <c r="BR1281" s="25"/>
      <c r="BS1281" s="25"/>
      <c r="BT1281" s="25"/>
      <c r="BU1281" s="25"/>
      <c r="BV1281" s="25"/>
      <c r="BW1281" s="25"/>
      <c r="BX1281" s="25"/>
      <c r="BY1281" s="25"/>
      <c r="BZ1281" s="25"/>
      <c r="CA1281" s="25"/>
      <c r="CB1281" s="25"/>
      <c r="CC1281" s="25"/>
      <c r="CD1281" s="25"/>
      <c r="CE1281" s="200"/>
      <c r="CF1281" s="200"/>
      <c r="CG1281" s="200"/>
      <c r="CH1281" s="200"/>
      <c r="CI1281" s="200"/>
      <c r="CJ1281" s="200"/>
      <c r="CK1281" s="200"/>
      <c r="CL1281" s="200"/>
      <c r="CM1281" s="200"/>
      <c r="CN1281" s="200"/>
      <c r="CO1281" s="200"/>
      <c r="CP1281" s="200"/>
      <c r="CQ1281" s="200"/>
      <c r="CR1281" s="200"/>
      <c r="CS1281" s="200"/>
      <c r="CT1281" s="200"/>
      <c r="CU1281" s="200"/>
    </row>
    <row r="1282" spans="1:99" s="17" customFormat="1" x14ac:dyDescent="0.2">
      <c r="A1282" s="25"/>
      <c r="B1282" s="20">
        <v>39049007398</v>
      </c>
      <c r="C1282" s="20">
        <v>73.98</v>
      </c>
      <c r="D1282" s="20" t="s">
        <v>31</v>
      </c>
      <c r="E1282" s="20" t="s">
        <v>2830</v>
      </c>
      <c r="F1282" s="20" t="s">
        <v>8</v>
      </c>
      <c r="G1282" s="861">
        <v>52.668502557173099</v>
      </c>
      <c r="H1282" s="861">
        <v>42.712987281552103</v>
      </c>
      <c r="I1282" s="861">
        <v>61.085685787473999</v>
      </c>
      <c r="J1282" s="861">
        <v>48.826098858303503</v>
      </c>
      <c r="K1282" s="982">
        <v>0</v>
      </c>
      <c r="L1282" s="735" t="s">
        <v>2466</v>
      </c>
      <c r="M1282" s="735">
        <v>9389</v>
      </c>
      <c r="N1282" s="845" t="str">
        <f t="shared" si="108"/>
        <v/>
      </c>
      <c r="O1282" s="735">
        <v>2.0966953396554397</v>
      </c>
      <c r="P1282" s="735">
        <f t="shared" si="109"/>
        <v>4477.9991744260469</v>
      </c>
      <c r="Q1282" s="849">
        <v>33.200000000000003</v>
      </c>
      <c r="R1282" s="71">
        <v>115250</v>
      </c>
      <c r="S1282" s="845">
        <v>0.12301629566514005</v>
      </c>
      <c r="T1282" s="845">
        <v>3.9E-2</v>
      </c>
      <c r="U1282" s="845">
        <v>0</v>
      </c>
      <c r="V1282" s="845">
        <v>0</v>
      </c>
      <c r="W1282" s="845">
        <v>7.2992700729927001E-2</v>
      </c>
      <c r="X1282" s="845">
        <v>0.16500000000000001</v>
      </c>
      <c r="Y1282" s="845">
        <v>0.39237405474491427</v>
      </c>
      <c r="Z1282" s="845">
        <v>0.32431568857173287</v>
      </c>
      <c r="AA1282" s="845">
        <v>0</v>
      </c>
      <c r="AB1282" s="845">
        <v>0.17935882415592716</v>
      </c>
      <c r="AC1282" s="845">
        <v>0</v>
      </c>
      <c r="AD1282" s="845">
        <v>8.7336244541484712E-3</v>
      </c>
      <c r="AE1282" s="845">
        <v>9.5217808073277233E-2</v>
      </c>
      <c r="AF1282" s="845">
        <v>2.002343167536479E-2</v>
      </c>
      <c r="AG1282" s="845">
        <v>0.38992437959314091</v>
      </c>
      <c r="AH1282" s="20" t="str">
        <f t="shared" si="110"/>
        <v>No</v>
      </c>
      <c r="AI1282" s="25"/>
      <c r="AJ1282" s="20">
        <v>43720</v>
      </c>
      <c r="AK1282" s="20" t="s">
        <v>1026</v>
      </c>
      <c r="AL1282" s="20">
        <v>39115</v>
      </c>
      <c r="AM1282" s="20" t="s">
        <v>63</v>
      </c>
      <c r="AN1282" s="37" t="str">
        <f t="shared" si="111"/>
        <v>N/A</v>
      </c>
      <c r="AO1282" s="37" t="str">
        <f t="shared" si="112"/>
        <v>N/A</v>
      </c>
      <c r="AP1282" s="20" t="s">
        <v>8</v>
      </c>
      <c r="AQ1282" s="25"/>
      <c r="AR1282" s="25"/>
      <c r="AS1282" s="25"/>
      <c r="AT1282" s="25"/>
      <c r="AU1282" s="36"/>
      <c r="AV1282" s="36"/>
      <c r="AW1282" s="36"/>
      <c r="AX1282" s="25"/>
      <c r="AY1282" s="25"/>
      <c r="AZ1282" s="25"/>
      <c r="BA1282" s="25"/>
      <c r="BB1282" s="25"/>
      <c r="BC1282" s="25"/>
      <c r="BD1282" s="25"/>
      <c r="BE1282" s="25"/>
      <c r="BF1282" s="25"/>
      <c r="BG1282" s="25"/>
      <c r="BH1282" s="25"/>
      <c r="BI1282" s="25"/>
      <c r="BJ1282" s="25"/>
      <c r="BK1282" s="25"/>
      <c r="BL1282" s="25"/>
      <c r="BM1282" s="25"/>
      <c r="BN1282" s="25"/>
      <c r="BO1282" s="25"/>
      <c r="BP1282" s="25"/>
      <c r="BQ1282" s="25"/>
      <c r="BR1282" s="25"/>
      <c r="BS1282" s="25"/>
      <c r="BT1282" s="25"/>
      <c r="BU1282" s="25"/>
      <c r="BV1282" s="25"/>
      <c r="BW1282" s="25"/>
      <c r="BX1282" s="25"/>
      <c r="BY1282" s="25"/>
      <c r="BZ1282" s="25"/>
      <c r="CA1282" s="25"/>
      <c r="CB1282" s="25"/>
      <c r="CC1282" s="25"/>
      <c r="CD1282" s="25"/>
      <c r="CE1282" s="200"/>
      <c r="CF1282" s="200"/>
      <c r="CG1282" s="200"/>
      <c r="CH1282" s="200"/>
      <c r="CI1282" s="200"/>
      <c r="CJ1282" s="200"/>
      <c r="CK1282" s="200"/>
      <c r="CL1282" s="200"/>
      <c r="CM1282" s="200"/>
      <c r="CN1282" s="200"/>
      <c r="CO1282" s="200"/>
      <c r="CP1282" s="200"/>
      <c r="CQ1282" s="200"/>
      <c r="CR1282" s="200"/>
      <c r="CS1282" s="200"/>
      <c r="CT1282" s="200"/>
      <c r="CU1282" s="200"/>
    </row>
    <row r="1283" spans="1:99" s="17" customFormat="1" x14ac:dyDescent="0.2">
      <c r="A1283" s="25"/>
      <c r="B1283" s="20">
        <v>39155933400</v>
      </c>
      <c r="C1283" s="20">
        <v>9334</v>
      </c>
      <c r="D1283" s="20" t="s">
        <v>83</v>
      </c>
      <c r="E1283" s="20" t="s">
        <v>2842</v>
      </c>
      <c r="F1283" s="20" t="s">
        <v>8</v>
      </c>
      <c r="G1283" s="861">
        <v>52.647804142062299</v>
      </c>
      <c r="H1283" s="861">
        <v>51.335181791841599</v>
      </c>
      <c r="I1283" s="861">
        <v>15.7257163559118</v>
      </c>
      <c r="J1283" s="861">
        <v>32.119099819200997</v>
      </c>
      <c r="K1283" s="982">
        <v>0</v>
      </c>
      <c r="L1283" s="735">
        <v>3374</v>
      </c>
      <c r="M1283" s="735">
        <v>3329</v>
      </c>
      <c r="N1283" s="845">
        <f t="shared" si="108"/>
        <v>-1.3337285121517486E-2</v>
      </c>
      <c r="O1283" s="735">
        <v>23.192073263996569</v>
      </c>
      <c r="P1283" s="735">
        <f t="shared" si="109"/>
        <v>143.54042271709912</v>
      </c>
      <c r="Q1283" s="849">
        <v>48.9</v>
      </c>
      <c r="R1283" s="71">
        <v>64503</v>
      </c>
      <c r="S1283" s="845">
        <v>7.7500750976269156E-2</v>
      </c>
      <c r="T1283" s="845">
        <v>2.3E-2</v>
      </c>
      <c r="U1283" s="845">
        <v>0</v>
      </c>
      <c r="V1283" s="845">
        <v>0</v>
      </c>
      <c r="W1283" s="845">
        <v>0.13678905687544995</v>
      </c>
      <c r="X1283" s="845">
        <v>0.13157894736842105</v>
      </c>
      <c r="Y1283" s="845">
        <v>0.94893361369780715</v>
      </c>
      <c r="Z1283" s="845">
        <v>1.2015620306398318E-2</v>
      </c>
      <c r="AA1283" s="845">
        <v>0</v>
      </c>
      <c r="AB1283" s="845">
        <v>5.1066386302192849E-3</v>
      </c>
      <c r="AC1283" s="845">
        <v>1.8023430459597476E-3</v>
      </c>
      <c r="AD1283" s="845">
        <v>0</v>
      </c>
      <c r="AE1283" s="845">
        <v>3.21417843196155E-2</v>
      </c>
      <c r="AF1283" s="845">
        <v>1.3817963352358065E-2</v>
      </c>
      <c r="AG1283" s="845">
        <v>0.94202463202162812</v>
      </c>
      <c r="AH1283" s="20" t="str">
        <f t="shared" si="110"/>
        <v>Yes</v>
      </c>
      <c r="AI1283" s="25"/>
      <c r="AJ1283" s="20">
        <v>43724</v>
      </c>
      <c r="AK1283" s="20" t="s">
        <v>1030</v>
      </c>
      <c r="AL1283" s="20">
        <v>39115</v>
      </c>
      <c r="AM1283" s="20" t="s">
        <v>63</v>
      </c>
      <c r="AN1283" s="37" t="str">
        <f t="shared" si="111"/>
        <v>N/A</v>
      </c>
      <c r="AO1283" s="37" t="str">
        <f t="shared" si="112"/>
        <v>N/A</v>
      </c>
      <c r="AP1283" s="20" t="s">
        <v>8</v>
      </c>
      <c r="AQ1283" s="25"/>
      <c r="AR1283" s="25"/>
      <c r="AS1283" s="25"/>
      <c r="AT1283" s="25"/>
      <c r="AU1283" s="36"/>
      <c r="AV1283" s="36"/>
      <c r="AW1283" s="36"/>
      <c r="AX1283" s="25"/>
      <c r="AY1283" s="25"/>
      <c r="AZ1283" s="25"/>
      <c r="BA1283" s="25"/>
      <c r="BB1283" s="25"/>
      <c r="BC1283" s="25"/>
      <c r="BD1283" s="25"/>
      <c r="BE1283" s="25"/>
      <c r="BF1283" s="25"/>
      <c r="BG1283" s="25"/>
      <c r="BH1283" s="25"/>
      <c r="BI1283" s="25"/>
      <c r="BJ1283" s="25"/>
      <c r="BK1283" s="25"/>
      <c r="BL1283" s="25"/>
      <c r="BM1283" s="25"/>
      <c r="BN1283" s="25"/>
      <c r="BO1283" s="25"/>
      <c r="BP1283" s="25"/>
      <c r="BQ1283" s="25"/>
      <c r="BR1283" s="25"/>
      <c r="BS1283" s="25"/>
      <c r="BT1283" s="25"/>
      <c r="BU1283" s="25"/>
      <c r="BV1283" s="25"/>
      <c r="BW1283" s="25"/>
      <c r="BX1283" s="25"/>
      <c r="BY1283" s="25"/>
      <c r="BZ1283" s="25"/>
      <c r="CA1283" s="25"/>
      <c r="CB1283" s="25"/>
      <c r="CC1283" s="25"/>
      <c r="CD1283" s="25"/>
      <c r="CE1283" s="200"/>
      <c r="CF1283" s="200"/>
      <c r="CG1283" s="200"/>
      <c r="CH1283" s="200"/>
      <c r="CI1283" s="200"/>
      <c r="CJ1283" s="200"/>
      <c r="CK1283" s="200"/>
      <c r="CL1283" s="200"/>
      <c r="CM1283" s="200"/>
      <c r="CN1283" s="200"/>
      <c r="CO1283" s="200"/>
      <c r="CP1283" s="200"/>
      <c r="CQ1283" s="200"/>
      <c r="CR1283" s="200"/>
      <c r="CS1283" s="200"/>
      <c r="CT1283" s="200"/>
      <c r="CU1283" s="200"/>
    </row>
    <row r="1284" spans="1:99" s="17" customFormat="1" x14ac:dyDescent="0.2">
      <c r="A1284" s="25"/>
      <c r="B1284" s="20">
        <v>39143961000</v>
      </c>
      <c r="C1284" s="20">
        <v>9610</v>
      </c>
      <c r="D1284" s="20" t="s">
        <v>77</v>
      </c>
      <c r="E1284" s="20" t="s">
        <v>265</v>
      </c>
      <c r="F1284" s="20" t="s">
        <v>8</v>
      </c>
      <c r="G1284" s="861">
        <v>52.647798385826903</v>
      </c>
      <c r="H1284" s="861">
        <v>47.599031399624899</v>
      </c>
      <c r="I1284" s="861">
        <v>23.806727803087799</v>
      </c>
      <c r="J1284" s="861">
        <v>50.5215549767941</v>
      </c>
      <c r="K1284" s="982">
        <v>0</v>
      </c>
      <c r="L1284" s="735">
        <v>4170</v>
      </c>
      <c r="M1284" s="735">
        <v>3973</v>
      </c>
      <c r="N1284" s="845">
        <f t="shared" si="108"/>
        <v>-4.7242206235011991E-2</v>
      </c>
      <c r="O1284" s="735">
        <v>48.947850961369859</v>
      </c>
      <c r="P1284" s="735">
        <f t="shared" si="109"/>
        <v>81.168017021534453</v>
      </c>
      <c r="Q1284" s="849">
        <v>41.3</v>
      </c>
      <c r="R1284" s="71">
        <v>85833</v>
      </c>
      <c r="S1284" s="845">
        <v>3.4986156556758116E-2</v>
      </c>
      <c r="T1284" s="845">
        <v>2.6000000000000002E-2</v>
      </c>
      <c r="U1284" s="845">
        <v>2.6000000000000002E-2</v>
      </c>
      <c r="V1284" s="845">
        <v>0</v>
      </c>
      <c r="W1284" s="845">
        <v>0.15098039215686274</v>
      </c>
      <c r="X1284" s="845">
        <v>0.38961038961038963</v>
      </c>
      <c r="Y1284" s="845">
        <v>0.92172162094135413</v>
      </c>
      <c r="Z1284" s="845">
        <v>4.5305814246161587E-3</v>
      </c>
      <c r="AA1284" s="845">
        <v>0</v>
      </c>
      <c r="AB1284" s="845">
        <v>0</v>
      </c>
      <c r="AC1284" s="845">
        <v>0</v>
      </c>
      <c r="AD1284" s="845">
        <v>2.3408004027183488E-2</v>
      </c>
      <c r="AE1284" s="845">
        <v>5.0339793606846213E-2</v>
      </c>
      <c r="AF1284" s="845">
        <v>0.11477472942360936</v>
      </c>
      <c r="AG1284" s="845">
        <v>0.86232066448527556</v>
      </c>
      <c r="AH1284" s="20" t="str">
        <f t="shared" si="110"/>
        <v>No</v>
      </c>
      <c r="AI1284" s="25"/>
      <c r="AJ1284" s="37">
        <v>43728</v>
      </c>
      <c r="AK1284" s="37" t="s">
        <v>1033</v>
      </c>
      <c r="AL1284" s="37">
        <v>39115</v>
      </c>
      <c r="AM1284" s="37" t="s">
        <v>63</v>
      </c>
      <c r="AN1284" s="37" t="str">
        <f t="shared" si="111"/>
        <v>N/A</v>
      </c>
      <c r="AO1284" s="37" t="str">
        <f t="shared" si="112"/>
        <v>N/A</v>
      </c>
      <c r="AP1284" s="20" t="s">
        <v>8</v>
      </c>
      <c r="AQ1284" s="25"/>
      <c r="AR1284" s="25"/>
      <c r="AS1284" s="25"/>
      <c r="AT1284" s="25"/>
      <c r="AU1284" s="36"/>
      <c r="AV1284" s="36"/>
      <c r="AW1284" s="36"/>
      <c r="AX1284" s="25"/>
      <c r="AY1284" s="25"/>
      <c r="AZ1284" s="25"/>
      <c r="BA1284" s="25"/>
      <c r="BB1284" s="25"/>
      <c r="BC1284" s="25"/>
      <c r="BD1284" s="25"/>
      <c r="BE1284" s="25"/>
      <c r="BF1284" s="25"/>
      <c r="BG1284" s="25"/>
      <c r="BH1284" s="25"/>
      <c r="BI1284" s="25"/>
      <c r="BJ1284" s="25"/>
      <c r="BK1284" s="25"/>
      <c r="BL1284" s="25"/>
      <c r="BM1284" s="25"/>
      <c r="BN1284" s="25"/>
      <c r="BO1284" s="25"/>
      <c r="BP1284" s="25"/>
      <c r="BQ1284" s="25"/>
      <c r="BR1284" s="25"/>
      <c r="BS1284" s="25"/>
      <c r="BT1284" s="25"/>
      <c r="BU1284" s="25"/>
      <c r="BV1284" s="25"/>
      <c r="BW1284" s="25"/>
      <c r="BX1284" s="25"/>
      <c r="BY1284" s="25"/>
      <c r="BZ1284" s="25"/>
      <c r="CA1284" s="25"/>
      <c r="CB1284" s="25"/>
      <c r="CC1284" s="25"/>
      <c r="CD1284" s="25"/>
      <c r="CE1284" s="200"/>
      <c r="CF1284" s="200"/>
      <c r="CG1284" s="200"/>
      <c r="CH1284" s="200"/>
      <c r="CI1284" s="200"/>
      <c r="CJ1284" s="200"/>
      <c r="CK1284" s="200"/>
      <c r="CL1284" s="200"/>
      <c r="CM1284" s="200"/>
      <c r="CN1284" s="200"/>
      <c r="CO1284" s="200"/>
      <c r="CP1284" s="200"/>
      <c r="CQ1284" s="200"/>
      <c r="CR1284" s="200"/>
      <c r="CS1284" s="200"/>
      <c r="CT1284" s="200"/>
      <c r="CU1284" s="200"/>
    </row>
    <row r="1285" spans="1:99" s="17" customFormat="1" x14ac:dyDescent="0.2">
      <c r="A1285" s="25"/>
      <c r="B1285" s="20">
        <v>39041010420</v>
      </c>
      <c r="C1285" s="20">
        <v>104.2</v>
      </c>
      <c r="D1285" s="20" t="s">
        <v>27</v>
      </c>
      <c r="E1285" s="20" t="s">
        <v>2830</v>
      </c>
      <c r="F1285" s="20" t="s">
        <v>8</v>
      </c>
      <c r="G1285" s="861">
        <v>52.640379310359599</v>
      </c>
      <c r="H1285" s="861">
        <v>68.073366657014205</v>
      </c>
      <c r="I1285" s="861">
        <v>25.888000956782101</v>
      </c>
      <c r="J1285" s="861">
        <v>40.3931585695656</v>
      </c>
      <c r="K1285" s="982">
        <v>0</v>
      </c>
      <c r="L1285" s="735">
        <v>2919</v>
      </c>
      <c r="M1285" s="735">
        <v>2926</v>
      </c>
      <c r="N1285" s="845">
        <f t="shared" si="108"/>
        <v>2.3980815347721821E-3</v>
      </c>
      <c r="O1285" s="735">
        <v>1.3686116883370558</v>
      </c>
      <c r="P1285" s="735">
        <f t="shared" si="109"/>
        <v>2137.9329322806407</v>
      </c>
      <c r="Q1285" s="849">
        <v>36.4</v>
      </c>
      <c r="R1285" s="71">
        <v>78250</v>
      </c>
      <c r="S1285" s="845">
        <v>0.12864077669902912</v>
      </c>
      <c r="T1285" s="845">
        <v>2.7999999999999997E-2</v>
      </c>
      <c r="U1285" s="845">
        <v>0</v>
      </c>
      <c r="V1285" s="845">
        <v>0</v>
      </c>
      <c r="W1285" s="845">
        <v>0.3680494263018535</v>
      </c>
      <c r="X1285" s="845">
        <v>0.45323741007194246</v>
      </c>
      <c r="Y1285" s="845">
        <v>0.86773752563226247</v>
      </c>
      <c r="Z1285" s="845">
        <v>5.4340396445659606E-2</v>
      </c>
      <c r="AA1285" s="845">
        <v>0</v>
      </c>
      <c r="AB1285" s="845">
        <v>7.5187969924812026E-3</v>
      </c>
      <c r="AC1285" s="845">
        <v>0</v>
      </c>
      <c r="AD1285" s="845">
        <v>3.7593984962406013E-3</v>
      </c>
      <c r="AE1285" s="845">
        <v>6.6643882433356116E-2</v>
      </c>
      <c r="AF1285" s="845">
        <v>1.3328776486671223E-2</v>
      </c>
      <c r="AG1285" s="845">
        <v>0.86773752563226247</v>
      </c>
      <c r="AH1285" s="20" t="str">
        <f t="shared" si="110"/>
        <v>No</v>
      </c>
      <c r="AI1285" s="25"/>
      <c r="AJ1285" s="20">
        <v>43731</v>
      </c>
      <c r="AK1285" s="20" t="s">
        <v>1035</v>
      </c>
      <c r="AL1285" s="20">
        <v>39115</v>
      </c>
      <c r="AM1285" s="20" t="s">
        <v>63</v>
      </c>
      <c r="AN1285" s="37" t="str">
        <f t="shared" si="111"/>
        <v>N/A</v>
      </c>
      <c r="AO1285" s="37" t="str">
        <f t="shared" si="112"/>
        <v>N/A</v>
      </c>
      <c r="AP1285" s="20" t="s">
        <v>8</v>
      </c>
      <c r="AQ1285" s="25"/>
      <c r="AR1285" s="25"/>
      <c r="AS1285" s="25"/>
      <c r="AT1285" s="25"/>
      <c r="AU1285" s="36"/>
      <c r="AV1285" s="36"/>
      <c r="AW1285" s="36"/>
      <c r="AX1285" s="25"/>
      <c r="AY1285" s="25"/>
      <c r="AZ1285" s="25"/>
      <c r="BA1285" s="25"/>
      <c r="BB1285" s="25"/>
      <c r="BC1285" s="25"/>
      <c r="BD1285" s="25"/>
      <c r="BE1285" s="25"/>
      <c r="BF1285" s="25"/>
      <c r="BG1285" s="25"/>
      <c r="BH1285" s="25"/>
      <c r="BI1285" s="25"/>
      <c r="BJ1285" s="25"/>
      <c r="BK1285" s="25"/>
      <c r="BL1285" s="25"/>
      <c r="BM1285" s="25"/>
      <c r="BN1285" s="25"/>
      <c r="BO1285" s="25"/>
      <c r="BP1285" s="25"/>
      <c r="BQ1285" s="25"/>
      <c r="BR1285" s="25"/>
      <c r="BS1285" s="25"/>
      <c r="BT1285" s="25"/>
      <c r="BU1285" s="25"/>
      <c r="BV1285" s="25"/>
      <c r="BW1285" s="25"/>
      <c r="BX1285" s="25"/>
      <c r="BY1285" s="25"/>
      <c r="BZ1285" s="25"/>
      <c r="CA1285" s="25"/>
      <c r="CB1285" s="25"/>
      <c r="CC1285" s="25"/>
      <c r="CD1285" s="25"/>
      <c r="CE1285" s="200"/>
      <c r="CF1285" s="200"/>
      <c r="CG1285" s="200"/>
      <c r="CH1285" s="200"/>
      <c r="CI1285" s="200"/>
      <c r="CJ1285" s="200"/>
      <c r="CK1285" s="200"/>
      <c r="CL1285" s="200"/>
      <c r="CM1285" s="200"/>
      <c r="CN1285" s="200"/>
      <c r="CO1285" s="200"/>
      <c r="CP1285" s="200"/>
      <c r="CQ1285" s="200"/>
      <c r="CR1285" s="200"/>
      <c r="CS1285" s="200"/>
      <c r="CT1285" s="200"/>
      <c r="CU1285" s="200"/>
    </row>
    <row r="1286" spans="1:99" s="17" customFormat="1" x14ac:dyDescent="0.2">
      <c r="A1286" s="25"/>
      <c r="B1286" s="20">
        <v>39133600304</v>
      </c>
      <c r="C1286" s="20">
        <v>6003.04</v>
      </c>
      <c r="D1286" s="20" t="s">
        <v>72</v>
      </c>
      <c r="E1286" s="20" t="s">
        <v>2843</v>
      </c>
      <c r="F1286" s="20" t="s">
        <v>8</v>
      </c>
      <c r="G1286" s="861">
        <v>52.639385515401798</v>
      </c>
      <c r="H1286" s="861">
        <v>44.003372757197198</v>
      </c>
      <c r="I1286" s="861">
        <v>19.283661233927901</v>
      </c>
      <c r="J1286" s="861">
        <v>39.640102747330403</v>
      </c>
      <c r="K1286" s="982">
        <v>0</v>
      </c>
      <c r="L1286" s="735" t="s">
        <v>2466</v>
      </c>
      <c r="M1286" s="735">
        <v>5075</v>
      </c>
      <c r="N1286" s="845" t="str">
        <f t="shared" si="108"/>
        <v/>
      </c>
      <c r="O1286" s="735">
        <v>2.7563879434180105</v>
      </c>
      <c r="P1286" s="735">
        <f t="shared" si="109"/>
        <v>1841.1776949317357</v>
      </c>
      <c r="Q1286" s="849">
        <v>42.7</v>
      </c>
      <c r="R1286" s="71">
        <v>98750</v>
      </c>
      <c r="S1286" s="845">
        <v>2.1342089062179357E-2</v>
      </c>
      <c r="T1286" s="845">
        <v>6.5000000000000002E-2</v>
      </c>
      <c r="U1286" s="845">
        <v>4.0000000000000001E-3</v>
      </c>
      <c r="V1286" s="845">
        <v>7.5999999999999998E-2</v>
      </c>
      <c r="W1286" s="845">
        <v>0.19956379498364232</v>
      </c>
      <c r="X1286" s="845">
        <v>0.44808743169398907</v>
      </c>
      <c r="Y1286" s="845">
        <v>0.93438423645320201</v>
      </c>
      <c r="Z1286" s="845">
        <v>9.852216748768473E-3</v>
      </c>
      <c r="AA1286" s="845">
        <v>0</v>
      </c>
      <c r="AB1286" s="845">
        <v>3.9802955665024634E-2</v>
      </c>
      <c r="AC1286" s="845">
        <v>0</v>
      </c>
      <c r="AD1286" s="845">
        <v>0</v>
      </c>
      <c r="AE1286" s="845">
        <v>1.5960591133004926E-2</v>
      </c>
      <c r="AF1286" s="845">
        <v>1.5369458128078817E-2</v>
      </c>
      <c r="AG1286" s="845">
        <v>0.91901477832512313</v>
      </c>
      <c r="AH1286" s="20" t="str">
        <f t="shared" si="110"/>
        <v>Yes</v>
      </c>
      <c r="AI1286" s="25"/>
      <c r="AJ1286" s="20">
        <v>43756</v>
      </c>
      <c r="AK1286" s="20" t="s">
        <v>1051</v>
      </c>
      <c r="AL1286" s="20">
        <v>39115</v>
      </c>
      <c r="AM1286" s="20" t="s">
        <v>63</v>
      </c>
      <c r="AN1286" s="37" t="str">
        <f t="shared" si="111"/>
        <v>N/A</v>
      </c>
      <c r="AO1286" s="37" t="str">
        <f t="shared" si="112"/>
        <v>N/A</v>
      </c>
      <c r="AP1286" s="20" t="s">
        <v>8</v>
      </c>
      <c r="AQ1286" s="25"/>
      <c r="AR1286" s="25"/>
      <c r="AS1286" s="25"/>
      <c r="AT1286" s="25"/>
      <c r="AU1286" s="36"/>
      <c r="AV1286" s="36"/>
      <c r="AW1286" s="36"/>
      <c r="AX1286" s="25"/>
      <c r="AY1286" s="25"/>
      <c r="AZ1286" s="25"/>
      <c r="BA1286" s="25"/>
      <c r="BB1286" s="25"/>
      <c r="BC1286" s="25"/>
      <c r="BD1286" s="25"/>
      <c r="BE1286" s="25"/>
      <c r="BF1286" s="25"/>
      <c r="BG1286" s="25"/>
      <c r="BH1286" s="25"/>
      <c r="BI1286" s="25"/>
      <c r="BJ1286" s="25"/>
      <c r="BK1286" s="25"/>
      <c r="BL1286" s="25"/>
      <c r="BM1286" s="25"/>
      <c r="BN1286" s="25"/>
      <c r="BO1286" s="25"/>
      <c r="BP1286" s="25"/>
      <c r="BQ1286" s="25"/>
      <c r="BR1286" s="25"/>
      <c r="BS1286" s="25"/>
      <c r="BT1286" s="25"/>
      <c r="BU1286" s="25"/>
      <c r="BV1286" s="25"/>
      <c r="BW1286" s="25"/>
      <c r="BX1286" s="25"/>
      <c r="BY1286" s="25"/>
      <c r="BZ1286" s="25"/>
      <c r="CA1286" s="25"/>
      <c r="CB1286" s="25"/>
      <c r="CC1286" s="25"/>
      <c r="CD1286" s="25"/>
      <c r="CE1286" s="200"/>
      <c r="CF1286" s="200"/>
      <c r="CG1286" s="200"/>
      <c r="CH1286" s="200"/>
      <c r="CI1286" s="200"/>
      <c r="CJ1286" s="200"/>
      <c r="CK1286" s="200"/>
      <c r="CL1286" s="200"/>
      <c r="CM1286" s="200"/>
      <c r="CN1286" s="200"/>
      <c r="CO1286" s="200"/>
      <c r="CP1286" s="200"/>
      <c r="CQ1286" s="200"/>
      <c r="CR1286" s="200"/>
      <c r="CS1286" s="200"/>
      <c r="CT1286" s="200"/>
      <c r="CU1286" s="200"/>
    </row>
    <row r="1287" spans="1:99" s="17" customFormat="1" x14ac:dyDescent="0.2">
      <c r="A1287" s="25"/>
      <c r="B1287" s="20">
        <v>39037555101</v>
      </c>
      <c r="C1287" s="20">
        <v>5551.01</v>
      </c>
      <c r="D1287" s="20" t="s">
        <v>25</v>
      </c>
      <c r="E1287" s="20" t="s">
        <v>265</v>
      </c>
      <c r="F1287" s="20" t="s">
        <v>6</v>
      </c>
      <c r="G1287" s="861">
        <v>52.637677688736503</v>
      </c>
      <c r="H1287" s="861">
        <v>51.6470004131086</v>
      </c>
      <c r="I1287" s="861">
        <v>48.552019171642897</v>
      </c>
      <c r="J1287" s="861">
        <v>34.529001002166503</v>
      </c>
      <c r="K1287" s="982">
        <v>0</v>
      </c>
      <c r="L1287" s="735">
        <v>3836</v>
      </c>
      <c r="M1287" s="735">
        <v>3399</v>
      </c>
      <c r="N1287" s="845">
        <f t="shared" si="108"/>
        <v>-0.11392075078206465</v>
      </c>
      <c r="O1287" s="735">
        <v>4.4633498336793522</v>
      </c>
      <c r="P1287" s="735">
        <f t="shared" si="109"/>
        <v>761.53564624309138</v>
      </c>
      <c r="Q1287" s="849">
        <v>45.7</v>
      </c>
      <c r="R1287" s="71">
        <v>45119</v>
      </c>
      <c r="S1287" s="845">
        <v>0.13559840832568104</v>
      </c>
      <c r="T1287" s="845">
        <v>4.4999999999999998E-2</v>
      </c>
      <c r="U1287" s="845">
        <v>0</v>
      </c>
      <c r="V1287" s="845">
        <v>0</v>
      </c>
      <c r="W1287" s="845">
        <v>0.49363425925925924</v>
      </c>
      <c r="X1287" s="845">
        <v>0.37749120750293086</v>
      </c>
      <c r="Y1287" s="845">
        <v>0.9037952338923213</v>
      </c>
      <c r="Z1287" s="845">
        <v>1.1179758752574287E-2</v>
      </c>
      <c r="AA1287" s="845">
        <v>0</v>
      </c>
      <c r="AB1287" s="845">
        <v>1.0885554574874964E-2</v>
      </c>
      <c r="AC1287" s="845">
        <v>0</v>
      </c>
      <c r="AD1287" s="845">
        <v>4.5013239187996469E-2</v>
      </c>
      <c r="AE1287" s="845">
        <v>2.9126213592233011E-2</v>
      </c>
      <c r="AF1287" s="845">
        <v>5.2662547808178875E-2</v>
      </c>
      <c r="AG1287" s="845">
        <v>0.89997057958223003</v>
      </c>
      <c r="AH1287" s="20" t="str">
        <f t="shared" si="110"/>
        <v>No</v>
      </c>
      <c r="AI1287" s="25"/>
      <c r="AJ1287" s="20">
        <v>43758</v>
      </c>
      <c r="AK1287" s="20" t="s">
        <v>1052</v>
      </c>
      <c r="AL1287" s="20">
        <v>39115</v>
      </c>
      <c r="AM1287" s="20" t="s">
        <v>63</v>
      </c>
      <c r="AN1287" s="37" t="str">
        <f t="shared" si="111"/>
        <v>N/A</v>
      </c>
      <c r="AO1287" s="37" t="str">
        <f t="shared" si="112"/>
        <v>N/A</v>
      </c>
      <c r="AP1287" s="20" t="s">
        <v>8</v>
      </c>
      <c r="AQ1287" s="25"/>
      <c r="AR1287" s="25"/>
      <c r="AS1287" s="25"/>
      <c r="AT1287" s="25"/>
      <c r="AU1287" s="36"/>
      <c r="AV1287" s="36"/>
      <c r="AW1287" s="36"/>
      <c r="AX1287" s="25"/>
      <c r="AY1287" s="25"/>
      <c r="AZ1287" s="25"/>
      <c r="BA1287" s="25"/>
      <c r="BB1287" s="25"/>
      <c r="BC1287" s="25"/>
      <c r="BD1287" s="25"/>
      <c r="BE1287" s="25"/>
      <c r="BF1287" s="25"/>
      <c r="BG1287" s="25"/>
      <c r="BH1287" s="25"/>
      <c r="BI1287" s="25"/>
      <c r="BJ1287" s="25"/>
      <c r="BK1287" s="25"/>
      <c r="BL1287" s="25"/>
      <c r="BM1287" s="25"/>
      <c r="BN1287" s="25"/>
      <c r="BO1287" s="25"/>
      <c r="BP1287" s="25"/>
      <c r="BQ1287" s="25"/>
      <c r="BR1287" s="25"/>
      <c r="BS1287" s="25"/>
      <c r="BT1287" s="25"/>
      <c r="BU1287" s="25"/>
      <c r="BV1287" s="25"/>
      <c r="BW1287" s="25"/>
      <c r="BX1287" s="25"/>
      <c r="BY1287" s="25"/>
      <c r="BZ1287" s="25"/>
      <c r="CA1287" s="25"/>
      <c r="CB1287" s="25"/>
      <c r="CC1287" s="25"/>
      <c r="CD1287" s="25"/>
      <c r="CE1287" s="200"/>
      <c r="CF1287" s="200"/>
      <c r="CG1287" s="200"/>
      <c r="CH1287" s="200"/>
      <c r="CI1287" s="200"/>
      <c r="CJ1287" s="200"/>
      <c r="CK1287" s="200"/>
      <c r="CL1287" s="200"/>
      <c r="CM1287" s="200"/>
      <c r="CN1287" s="200"/>
      <c r="CO1287" s="200"/>
      <c r="CP1287" s="200"/>
      <c r="CQ1287" s="200"/>
      <c r="CR1287" s="200"/>
      <c r="CS1287" s="200"/>
      <c r="CT1287" s="200"/>
      <c r="CU1287" s="200"/>
    </row>
    <row r="1288" spans="1:99" s="17" customFormat="1" x14ac:dyDescent="0.2">
      <c r="A1288" s="25"/>
      <c r="B1288" s="20">
        <v>39025040600</v>
      </c>
      <c r="C1288" s="20">
        <v>406</v>
      </c>
      <c r="D1288" s="20" t="s">
        <v>19</v>
      </c>
      <c r="E1288" s="20" t="s">
        <v>2828</v>
      </c>
      <c r="F1288" s="20" t="s">
        <v>8</v>
      </c>
      <c r="G1288" s="861">
        <v>52.617937109563599</v>
      </c>
      <c r="H1288" s="861">
        <v>54.6840558455985</v>
      </c>
      <c r="I1288" s="861">
        <v>15.566026485191699</v>
      </c>
      <c r="J1288" s="861">
        <v>46.4116669160898</v>
      </c>
      <c r="K1288" s="982">
        <v>0</v>
      </c>
      <c r="L1288" s="735">
        <v>6730</v>
      </c>
      <c r="M1288" s="735">
        <v>7310</v>
      </c>
      <c r="N1288" s="845">
        <f t="shared" si="108"/>
        <v>8.6181277860326894E-2</v>
      </c>
      <c r="O1288" s="735">
        <v>9.0117378955843943</v>
      </c>
      <c r="P1288" s="735">
        <f t="shared" si="109"/>
        <v>811.16429313615322</v>
      </c>
      <c r="Q1288" s="849">
        <v>43.4</v>
      </c>
      <c r="R1288" s="71">
        <v>141250</v>
      </c>
      <c r="S1288" s="845">
        <v>5.1846785225718194E-2</v>
      </c>
      <c r="T1288" s="845">
        <v>2.7999999999999997E-2</v>
      </c>
      <c r="U1288" s="845">
        <v>0</v>
      </c>
      <c r="V1288" s="845">
        <v>0</v>
      </c>
      <c r="W1288" s="845">
        <v>7.4748977314986989E-2</v>
      </c>
      <c r="X1288" s="845">
        <v>0.44278606965174128</v>
      </c>
      <c r="Y1288" s="845">
        <v>0.9745554035567715</v>
      </c>
      <c r="Z1288" s="845">
        <v>2.4623803009575923E-3</v>
      </c>
      <c r="AA1288" s="845">
        <v>0</v>
      </c>
      <c r="AB1288" s="845">
        <v>0</v>
      </c>
      <c r="AC1288" s="845">
        <v>0</v>
      </c>
      <c r="AD1288" s="845">
        <v>0</v>
      </c>
      <c r="AE1288" s="845">
        <v>2.2982216142270862E-2</v>
      </c>
      <c r="AF1288" s="845">
        <v>1.06703146374829E-2</v>
      </c>
      <c r="AG1288" s="845">
        <v>0.96388508891928859</v>
      </c>
      <c r="AH1288" s="20" t="str">
        <f t="shared" si="110"/>
        <v>Yes</v>
      </c>
      <c r="AI1288" s="25"/>
      <c r="AJ1288" s="20">
        <v>43787</v>
      </c>
      <c r="AK1288" s="20" t="s">
        <v>1071</v>
      </c>
      <c r="AL1288" s="20">
        <v>39115</v>
      </c>
      <c r="AM1288" s="20" t="s">
        <v>63</v>
      </c>
      <c r="AN1288" s="37" t="str">
        <f t="shared" si="111"/>
        <v>N/A</v>
      </c>
      <c r="AO1288" s="37" t="str">
        <f t="shared" si="112"/>
        <v>N/A</v>
      </c>
      <c r="AP1288" s="20" t="s">
        <v>8</v>
      </c>
      <c r="AQ1288" s="25"/>
      <c r="AR1288" s="25"/>
      <c r="AS1288" s="25"/>
      <c r="AT1288" s="25"/>
      <c r="AU1288" s="36"/>
      <c r="AV1288" s="36"/>
      <c r="AW1288" s="36"/>
      <c r="AX1288" s="25"/>
      <c r="AY1288" s="25"/>
      <c r="AZ1288" s="25"/>
      <c r="BA1288" s="25"/>
      <c r="BB1288" s="25"/>
      <c r="BC1288" s="25"/>
      <c r="BD1288" s="25"/>
      <c r="BE1288" s="25"/>
      <c r="BF1288" s="25"/>
      <c r="BG1288" s="25"/>
      <c r="BH1288" s="25"/>
      <c r="BI1288" s="25"/>
      <c r="BJ1288" s="25"/>
      <c r="BK1288" s="25"/>
      <c r="BL1288" s="25"/>
      <c r="BM1288" s="25"/>
      <c r="BN1288" s="25"/>
      <c r="BO1288" s="25"/>
      <c r="BP1288" s="25"/>
      <c r="BQ1288" s="25"/>
      <c r="BR1288" s="25"/>
      <c r="BS1288" s="25"/>
      <c r="BT1288" s="25"/>
      <c r="BU1288" s="25"/>
      <c r="BV1288" s="25"/>
      <c r="BW1288" s="25"/>
      <c r="BX1288" s="25"/>
      <c r="BY1288" s="25"/>
      <c r="BZ1288" s="25"/>
      <c r="CA1288" s="25"/>
      <c r="CB1288" s="25"/>
      <c r="CC1288" s="25"/>
      <c r="CD1288" s="25"/>
      <c r="CE1288" s="200"/>
      <c r="CF1288" s="200"/>
      <c r="CG1288" s="200"/>
      <c r="CH1288" s="200"/>
      <c r="CI1288" s="200"/>
      <c r="CJ1288" s="200"/>
      <c r="CK1288" s="200"/>
      <c r="CL1288" s="200"/>
      <c r="CM1288" s="200"/>
      <c r="CN1288" s="200"/>
      <c r="CO1288" s="200"/>
      <c r="CP1288" s="200"/>
      <c r="CQ1288" s="200"/>
      <c r="CR1288" s="200"/>
      <c r="CS1288" s="200"/>
      <c r="CT1288" s="200"/>
      <c r="CU1288" s="200"/>
    </row>
    <row r="1289" spans="1:99" s="17" customFormat="1" x14ac:dyDescent="0.2">
      <c r="A1289" s="25"/>
      <c r="B1289" s="20">
        <v>39051040100</v>
      </c>
      <c r="C1289" s="20">
        <v>401</v>
      </c>
      <c r="D1289" s="20" t="s">
        <v>32</v>
      </c>
      <c r="E1289" s="20" t="s">
        <v>2839</v>
      </c>
      <c r="F1289" s="20" t="s">
        <v>8</v>
      </c>
      <c r="G1289" s="861">
        <v>52.600439855839802</v>
      </c>
      <c r="H1289" s="861">
        <v>57.551574793931898</v>
      </c>
      <c r="I1289" s="861">
        <v>15.3119232361756</v>
      </c>
      <c r="J1289" s="861">
        <v>56.642394427020797</v>
      </c>
      <c r="K1289" s="982">
        <v>0</v>
      </c>
      <c r="L1289" s="735">
        <v>3224</v>
      </c>
      <c r="M1289" s="735">
        <v>3253</v>
      </c>
      <c r="N1289" s="845">
        <f t="shared" si="108"/>
        <v>8.9950372208436723E-3</v>
      </c>
      <c r="O1289" s="735">
        <v>52.511828326501472</v>
      </c>
      <c r="P1289" s="735">
        <f t="shared" si="109"/>
        <v>61.9479477989969</v>
      </c>
      <c r="Q1289" s="849">
        <v>41.1</v>
      </c>
      <c r="R1289" s="71">
        <v>83990</v>
      </c>
      <c r="S1289" s="845">
        <v>5.06485484867202E-2</v>
      </c>
      <c r="T1289" s="845">
        <v>2.2000000000000002E-2</v>
      </c>
      <c r="U1289" s="845">
        <v>0</v>
      </c>
      <c r="V1289" s="845">
        <v>5.5E-2</v>
      </c>
      <c r="W1289" s="845">
        <v>9.3005380476556501E-2</v>
      </c>
      <c r="X1289" s="845">
        <v>0.2975206611570248</v>
      </c>
      <c r="Y1289" s="845">
        <v>0.92745158315401166</v>
      </c>
      <c r="Z1289" s="845">
        <v>7.6852136489394401E-3</v>
      </c>
      <c r="AA1289" s="845">
        <v>4.6111281893636644E-3</v>
      </c>
      <c r="AB1289" s="845">
        <v>6.1481709191515521E-4</v>
      </c>
      <c r="AC1289" s="845">
        <v>0</v>
      </c>
      <c r="AD1289" s="845">
        <v>1.0144482016600061E-2</v>
      </c>
      <c r="AE1289" s="845">
        <v>4.9492775899169998E-2</v>
      </c>
      <c r="AF1289" s="845">
        <v>7.9003996311097446E-2</v>
      </c>
      <c r="AG1289" s="845">
        <v>0.90869966185059947</v>
      </c>
      <c r="AH1289" s="20" t="str">
        <f t="shared" si="110"/>
        <v>Yes</v>
      </c>
      <c r="AI1289" s="25"/>
      <c r="AJ1289" s="20">
        <v>45711</v>
      </c>
      <c r="AK1289" s="20" t="s">
        <v>1834</v>
      </c>
      <c r="AL1289" s="20">
        <v>39115</v>
      </c>
      <c r="AM1289" s="20" t="s">
        <v>63</v>
      </c>
      <c r="AN1289" s="37" t="str">
        <f t="shared" si="111"/>
        <v>N/A</v>
      </c>
      <c r="AO1289" s="37" t="str">
        <f t="shared" si="112"/>
        <v>N/A</v>
      </c>
      <c r="AP1289" s="20" t="s">
        <v>8</v>
      </c>
      <c r="AQ1289" s="25"/>
      <c r="AR1289" s="25"/>
      <c r="AS1289" s="25"/>
      <c r="AT1289" s="25"/>
      <c r="AU1289" s="36"/>
      <c r="AV1289" s="36"/>
      <c r="AW1289" s="36"/>
      <c r="AX1289" s="25"/>
      <c r="AY1289" s="25"/>
      <c r="AZ1289" s="25"/>
      <c r="BA1289" s="25"/>
      <c r="BB1289" s="25"/>
      <c r="BC1289" s="25"/>
      <c r="BD1289" s="25"/>
      <c r="BE1289" s="25"/>
      <c r="BF1289" s="25"/>
      <c r="BG1289" s="25"/>
      <c r="BH1289" s="25"/>
      <c r="BI1289" s="25"/>
      <c r="BJ1289" s="25"/>
      <c r="BK1289" s="25"/>
      <c r="BL1289" s="25"/>
      <c r="BM1289" s="25"/>
      <c r="BN1289" s="25"/>
      <c r="BO1289" s="25"/>
      <c r="BP1289" s="25"/>
      <c r="BQ1289" s="25"/>
      <c r="BR1289" s="25"/>
      <c r="BS1289" s="25"/>
      <c r="BT1289" s="25"/>
      <c r="BU1289" s="25"/>
      <c r="BV1289" s="25"/>
      <c r="BW1289" s="25"/>
      <c r="BX1289" s="25"/>
      <c r="BY1289" s="25"/>
      <c r="BZ1289" s="25"/>
      <c r="CA1289" s="25"/>
      <c r="CB1289" s="25"/>
      <c r="CC1289" s="25"/>
      <c r="CD1289" s="25"/>
      <c r="CE1289" s="200"/>
      <c r="CF1289" s="200"/>
      <c r="CG1289" s="200"/>
      <c r="CH1289" s="200"/>
      <c r="CI1289" s="200"/>
      <c r="CJ1289" s="200"/>
      <c r="CK1289" s="200"/>
      <c r="CL1289" s="200"/>
      <c r="CM1289" s="200"/>
      <c r="CN1289" s="200"/>
      <c r="CO1289" s="200"/>
      <c r="CP1289" s="200"/>
      <c r="CQ1289" s="200"/>
      <c r="CR1289" s="200"/>
      <c r="CS1289" s="200"/>
      <c r="CT1289" s="200"/>
      <c r="CU1289" s="200"/>
    </row>
    <row r="1290" spans="1:99" s="17" customFormat="1" x14ac:dyDescent="0.2">
      <c r="A1290" s="25"/>
      <c r="B1290" s="20">
        <v>39095000702</v>
      </c>
      <c r="C1290" s="20">
        <v>7.02</v>
      </c>
      <c r="D1290" s="20" t="s">
        <v>53</v>
      </c>
      <c r="E1290" s="20" t="s">
        <v>2839</v>
      </c>
      <c r="F1290" s="20" t="s">
        <v>8</v>
      </c>
      <c r="G1290" s="861">
        <v>52.5900694014096</v>
      </c>
      <c r="H1290" s="861">
        <v>62.411347525042103</v>
      </c>
      <c r="I1290" s="861">
        <v>39.0617524536327</v>
      </c>
      <c r="J1290" s="861">
        <v>57.781080857874002</v>
      </c>
      <c r="K1290" s="982">
        <v>0</v>
      </c>
      <c r="L1290" s="735" t="s">
        <v>2466</v>
      </c>
      <c r="M1290" s="735">
        <v>2211</v>
      </c>
      <c r="N1290" s="845" t="str">
        <f t="shared" si="108"/>
        <v/>
      </c>
      <c r="O1290" s="735">
        <v>0.22249522991053422</v>
      </c>
      <c r="P1290" s="735">
        <f t="shared" si="109"/>
        <v>9937.2916933502238</v>
      </c>
      <c r="Q1290" s="849">
        <v>33</v>
      </c>
      <c r="R1290" s="71">
        <v>76003</v>
      </c>
      <c r="S1290" s="845">
        <v>4.0705563093622797E-2</v>
      </c>
      <c r="T1290" s="845">
        <v>1E-3</v>
      </c>
      <c r="U1290" s="845">
        <v>0</v>
      </c>
      <c r="V1290" s="845">
        <v>0</v>
      </c>
      <c r="W1290" s="845">
        <v>0.4874251497005988</v>
      </c>
      <c r="X1290" s="845">
        <v>0.30712530712530711</v>
      </c>
      <c r="Y1290" s="845">
        <v>0.54364540931705108</v>
      </c>
      <c r="Z1290" s="845">
        <v>0.41429217548620534</v>
      </c>
      <c r="AA1290" s="845">
        <v>0</v>
      </c>
      <c r="AB1290" s="845">
        <v>0</v>
      </c>
      <c r="AC1290" s="845">
        <v>0</v>
      </c>
      <c r="AD1290" s="845">
        <v>0</v>
      </c>
      <c r="AE1290" s="845">
        <v>4.2062415196743558E-2</v>
      </c>
      <c r="AF1290" s="845">
        <v>0.11035730438715513</v>
      </c>
      <c r="AG1290" s="845">
        <v>0.47399366802351878</v>
      </c>
      <c r="AH1290" s="20" t="str">
        <f t="shared" si="110"/>
        <v>No</v>
      </c>
      <c r="AI1290" s="25"/>
      <c r="AJ1290" s="20">
        <v>45715</v>
      </c>
      <c r="AK1290" s="20" t="s">
        <v>1836</v>
      </c>
      <c r="AL1290" s="20">
        <v>39115</v>
      </c>
      <c r="AM1290" s="20" t="s">
        <v>63</v>
      </c>
      <c r="AN1290" s="37" t="str">
        <f t="shared" si="111"/>
        <v>N/A</v>
      </c>
      <c r="AO1290" s="37" t="str">
        <f t="shared" si="112"/>
        <v>N/A</v>
      </c>
      <c r="AP1290" s="20" t="s">
        <v>8</v>
      </c>
      <c r="AQ1290" s="25"/>
      <c r="AR1290" s="25"/>
      <c r="AS1290" s="25"/>
      <c r="AT1290" s="25"/>
      <c r="AU1290" s="36"/>
      <c r="AV1290" s="36"/>
      <c r="AW1290" s="36"/>
      <c r="AX1290" s="25"/>
      <c r="AY1290" s="25"/>
      <c r="AZ1290" s="25"/>
      <c r="BA1290" s="25"/>
      <c r="BB1290" s="25"/>
      <c r="BC1290" s="25"/>
      <c r="BD1290" s="25"/>
      <c r="BE1290" s="25"/>
      <c r="BF1290" s="25"/>
      <c r="BG1290" s="25"/>
      <c r="BH1290" s="25"/>
      <c r="BI1290" s="25"/>
      <c r="BJ1290" s="25"/>
      <c r="BK1290" s="25"/>
      <c r="BL1290" s="25"/>
      <c r="BM1290" s="25"/>
      <c r="BN1290" s="25"/>
      <c r="BO1290" s="25"/>
      <c r="BP1290" s="25"/>
      <c r="BQ1290" s="25"/>
      <c r="BR1290" s="25"/>
      <c r="BS1290" s="25"/>
      <c r="BT1290" s="25"/>
      <c r="BU1290" s="25"/>
      <c r="BV1290" s="25"/>
      <c r="BW1290" s="25"/>
      <c r="BX1290" s="25"/>
      <c r="BY1290" s="25"/>
      <c r="BZ1290" s="25"/>
      <c r="CA1290" s="25"/>
      <c r="CB1290" s="25"/>
      <c r="CC1290" s="25"/>
      <c r="CD1290" s="25"/>
      <c r="CE1290" s="200"/>
      <c r="CF1290" s="200"/>
      <c r="CG1290" s="200"/>
      <c r="CH1290" s="200"/>
      <c r="CI1290" s="200"/>
      <c r="CJ1290" s="200"/>
      <c r="CK1290" s="200"/>
      <c r="CL1290" s="200"/>
      <c r="CM1290" s="200"/>
      <c r="CN1290" s="200"/>
      <c r="CO1290" s="200"/>
      <c r="CP1290" s="200"/>
      <c r="CQ1290" s="200"/>
      <c r="CR1290" s="200"/>
      <c r="CS1290" s="200"/>
      <c r="CT1290" s="200"/>
      <c r="CU1290" s="200"/>
    </row>
    <row r="1291" spans="1:99" s="17" customFormat="1" x14ac:dyDescent="0.2">
      <c r="A1291" s="25"/>
      <c r="B1291" s="20">
        <v>39049010204</v>
      </c>
      <c r="C1291" s="20">
        <v>102.04</v>
      </c>
      <c r="D1291" s="20" t="s">
        <v>31</v>
      </c>
      <c r="E1291" s="20" t="s">
        <v>2830</v>
      </c>
      <c r="F1291" s="20" t="s">
        <v>8</v>
      </c>
      <c r="G1291" s="861">
        <v>52.569065874545899</v>
      </c>
      <c r="H1291" s="861">
        <v>59.378402046426999</v>
      </c>
      <c r="I1291" s="861">
        <v>24.624372565135701</v>
      </c>
      <c r="J1291" s="861">
        <v>67.784086065370303</v>
      </c>
      <c r="K1291" s="982">
        <v>0</v>
      </c>
      <c r="L1291" s="735" t="s">
        <v>2466</v>
      </c>
      <c r="M1291" s="735">
        <v>6587</v>
      </c>
      <c r="N1291" s="845" t="str">
        <f t="shared" ref="N1291:N1354" si="113">IF(OR(L1291="",M1291=""),"",(M1291-L1291)/L1291)</f>
        <v/>
      </c>
      <c r="O1291" s="735">
        <v>3.1508553913786117</v>
      </c>
      <c r="P1291" s="735">
        <f t="shared" ref="P1291:P1354" si="114">M1291/O1291</f>
        <v>2090.5434181534915</v>
      </c>
      <c r="Q1291" s="849">
        <v>31.5</v>
      </c>
      <c r="R1291" s="71">
        <v>65889</v>
      </c>
      <c r="S1291" s="845">
        <v>0.12767572491270684</v>
      </c>
      <c r="T1291" s="845">
        <v>4.0999999999999995E-2</v>
      </c>
      <c r="U1291" s="845">
        <v>0</v>
      </c>
      <c r="V1291" s="845">
        <v>0.153</v>
      </c>
      <c r="W1291" s="845">
        <v>0.65376984126984128</v>
      </c>
      <c r="X1291" s="845">
        <v>0.22964087000505817</v>
      </c>
      <c r="Y1291" s="845">
        <v>0.34552907241536357</v>
      </c>
      <c r="Z1291" s="845">
        <v>0.54774555943525127</v>
      </c>
      <c r="AA1291" s="845">
        <v>0</v>
      </c>
      <c r="AB1291" s="845">
        <v>3.8712615758311829E-2</v>
      </c>
      <c r="AC1291" s="845">
        <v>0</v>
      </c>
      <c r="AD1291" s="845">
        <v>0</v>
      </c>
      <c r="AE1291" s="845">
        <v>6.8012752391073322E-2</v>
      </c>
      <c r="AF1291" s="845">
        <v>4.7062395627751635E-2</v>
      </c>
      <c r="AG1291" s="845">
        <v>0.34173371792925461</v>
      </c>
      <c r="AH1291" s="20" t="str">
        <f t="shared" ref="AH1291:AH1354" si="115">IF(AG1291&gt;=0.9,"Yes","No")</f>
        <v>No</v>
      </c>
      <c r="AI1291" s="25"/>
      <c r="AJ1291" s="37">
        <v>45732</v>
      </c>
      <c r="AK1291" s="37" t="s">
        <v>1845</v>
      </c>
      <c r="AL1291" s="37">
        <v>39115</v>
      </c>
      <c r="AM1291" s="37" t="s">
        <v>63</v>
      </c>
      <c r="AN1291" s="37" t="str">
        <f t="shared" ref="AN1291:AN1354" si="116">VLOOKUP(AM1291,$CY$11:$DA$98,2,FALSE)</f>
        <v>N/A</v>
      </c>
      <c r="AO1291" s="37" t="str">
        <f t="shared" ref="AO1291:AO1354" si="117">VLOOKUP(AM1291,$CY$11:$DA$98,3,FALSE)</f>
        <v>N/A</v>
      </c>
      <c r="AP1291" s="20" t="s">
        <v>8</v>
      </c>
      <c r="AQ1291" s="25"/>
      <c r="AR1291" s="25"/>
      <c r="AS1291" s="25"/>
      <c r="AT1291" s="25"/>
      <c r="AU1291" s="36"/>
      <c r="AV1291" s="36"/>
      <c r="AW1291" s="36"/>
      <c r="AX1291" s="25"/>
      <c r="AY1291" s="25"/>
      <c r="AZ1291" s="25"/>
      <c r="BA1291" s="25"/>
      <c r="BB1291" s="25"/>
      <c r="BC1291" s="25"/>
      <c r="BD1291" s="25"/>
      <c r="BE1291" s="25"/>
      <c r="BF1291" s="25"/>
      <c r="BG1291" s="25"/>
      <c r="BH1291" s="25"/>
      <c r="BI1291" s="25"/>
      <c r="BJ1291" s="25"/>
      <c r="BK1291" s="25"/>
      <c r="BL1291" s="25"/>
      <c r="BM1291" s="25"/>
      <c r="BN1291" s="25"/>
      <c r="BO1291" s="25"/>
      <c r="BP1291" s="25"/>
      <c r="BQ1291" s="25"/>
      <c r="BR1291" s="25"/>
      <c r="BS1291" s="25"/>
      <c r="BT1291" s="25"/>
      <c r="BU1291" s="25"/>
      <c r="BV1291" s="25"/>
      <c r="BW1291" s="25"/>
      <c r="BX1291" s="25"/>
      <c r="BY1291" s="25"/>
      <c r="BZ1291" s="25"/>
      <c r="CA1291" s="25"/>
      <c r="CB1291" s="25"/>
      <c r="CC1291" s="25"/>
      <c r="CD1291" s="25"/>
      <c r="CE1291" s="200"/>
      <c r="CF1291" s="200"/>
      <c r="CG1291" s="200"/>
      <c r="CH1291" s="200"/>
      <c r="CI1291" s="200"/>
      <c r="CJ1291" s="200"/>
      <c r="CK1291" s="200"/>
      <c r="CL1291" s="200"/>
      <c r="CM1291" s="200"/>
      <c r="CN1291" s="200"/>
      <c r="CO1291" s="200"/>
      <c r="CP1291" s="200"/>
      <c r="CQ1291" s="200"/>
      <c r="CR1291" s="200"/>
      <c r="CS1291" s="200"/>
      <c r="CT1291" s="200"/>
      <c r="CU1291" s="200"/>
    </row>
    <row r="1292" spans="1:99" s="17" customFormat="1" x14ac:dyDescent="0.2">
      <c r="A1292" s="25"/>
      <c r="B1292" s="20">
        <v>39061020764</v>
      </c>
      <c r="C1292" s="20">
        <v>207.64</v>
      </c>
      <c r="D1292" s="20" t="s">
        <v>37</v>
      </c>
      <c r="E1292" s="20" t="s">
        <v>2828</v>
      </c>
      <c r="F1292" s="20" t="s">
        <v>8</v>
      </c>
      <c r="G1292" s="861">
        <v>52.566162926532598</v>
      </c>
      <c r="H1292" s="861">
        <v>68.828294055212893</v>
      </c>
      <c r="I1292" s="861">
        <v>36.322034568525503</v>
      </c>
      <c r="J1292" s="861">
        <v>33.575155825050103</v>
      </c>
      <c r="K1292" s="982">
        <v>0</v>
      </c>
      <c r="L1292" s="735" t="s">
        <v>2466</v>
      </c>
      <c r="M1292" s="735">
        <v>5044</v>
      </c>
      <c r="N1292" s="845" t="str">
        <f t="shared" si="113"/>
        <v/>
      </c>
      <c r="O1292" s="735">
        <v>0.89064308484412313</v>
      </c>
      <c r="P1292" s="735">
        <f t="shared" si="114"/>
        <v>5663.3235982321485</v>
      </c>
      <c r="Q1292" s="849">
        <v>35.1</v>
      </c>
      <c r="R1292" s="71">
        <v>60730</v>
      </c>
      <c r="S1292" s="845">
        <v>0.15126234906695937</v>
      </c>
      <c r="T1292" s="845">
        <v>3.9E-2</v>
      </c>
      <c r="U1292" s="845">
        <v>0</v>
      </c>
      <c r="V1292" s="845">
        <v>4.9000000000000002E-2</v>
      </c>
      <c r="W1292" s="845">
        <v>0.36368260427263477</v>
      </c>
      <c r="X1292" s="845">
        <v>0.53286713286713283</v>
      </c>
      <c r="Y1292" s="845">
        <v>0.65265662172878669</v>
      </c>
      <c r="Z1292" s="845">
        <v>0.21490880253766853</v>
      </c>
      <c r="AA1292" s="845">
        <v>0</v>
      </c>
      <c r="AB1292" s="845">
        <v>7.1173671689135604E-2</v>
      </c>
      <c r="AC1292" s="845">
        <v>0</v>
      </c>
      <c r="AD1292" s="845">
        <v>1.2093576526566218E-2</v>
      </c>
      <c r="AE1292" s="845">
        <v>4.9167327517842981E-2</v>
      </c>
      <c r="AF1292" s="845">
        <v>2.9143536875495639E-2</v>
      </c>
      <c r="AG1292" s="845">
        <v>0.63580491673275175</v>
      </c>
      <c r="AH1292" s="20" t="str">
        <f t="shared" si="115"/>
        <v>No</v>
      </c>
      <c r="AI1292" s="25"/>
      <c r="AJ1292" s="20">
        <v>45786</v>
      </c>
      <c r="AK1292" s="20" t="s">
        <v>1876</v>
      </c>
      <c r="AL1292" s="20">
        <v>39115</v>
      </c>
      <c r="AM1292" s="20" t="s">
        <v>63</v>
      </c>
      <c r="AN1292" s="37" t="str">
        <f t="shared" si="116"/>
        <v>N/A</v>
      </c>
      <c r="AO1292" s="37" t="str">
        <f t="shared" si="117"/>
        <v>N/A</v>
      </c>
      <c r="AP1292" s="20" t="s">
        <v>8</v>
      </c>
      <c r="AQ1292" s="25"/>
      <c r="AR1292" s="25"/>
      <c r="AS1292" s="25"/>
      <c r="AT1292" s="25"/>
      <c r="AU1292" s="36"/>
      <c r="AV1292" s="36"/>
      <c r="AW1292" s="36"/>
      <c r="AX1292" s="25"/>
      <c r="AY1292" s="25"/>
      <c r="AZ1292" s="25"/>
      <c r="BA1292" s="25"/>
      <c r="BB1292" s="25"/>
      <c r="BC1292" s="25"/>
      <c r="BD1292" s="25"/>
      <c r="BE1292" s="25"/>
      <c r="BF1292" s="25"/>
      <c r="BG1292" s="25"/>
      <c r="BH1292" s="25"/>
      <c r="BI1292" s="25"/>
      <c r="BJ1292" s="25"/>
      <c r="BK1292" s="25"/>
      <c r="BL1292" s="25"/>
      <c r="BM1292" s="25"/>
      <c r="BN1292" s="25"/>
      <c r="BO1292" s="25"/>
      <c r="BP1292" s="25"/>
      <c r="BQ1292" s="25"/>
      <c r="BR1292" s="25"/>
      <c r="BS1292" s="25"/>
      <c r="BT1292" s="25"/>
      <c r="BU1292" s="25"/>
      <c r="BV1292" s="25"/>
      <c r="BW1292" s="25"/>
      <c r="BX1292" s="25"/>
      <c r="BY1292" s="25"/>
      <c r="BZ1292" s="25"/>
      <c r="CA1292" s="25"/>
      <c r="CB1292" s="25"/>
      <c r="CC1292" s="25"/>
      <c r="CD1292" s="25"/>
      <c r="CE1292" s="200"/>
      <c r="CF1292" s="200"/>
      <c r="CG1292" s="200"/>
      <c r="CH1292" s="200"/>
      <c r="CI1292" s="200"/>
      <c r="CJ1292" s="200"/>
      <c r="CK1292" s="200"/>
      <c r="CL1292" s="200"/>
      <c r="CM1292" s="200"/>
      <c r="CN1292" s="200"/>
      <c r="CO1292" s="200"/>
      <c r="CP1292" s="200"/>
      <c r="CQ1292" s="200"/>
      <c r="CR1292" s="200"/>
      <c r="CS1292" s="200"/>
      <c r="CT1292" s="200"/>
      <c r="CU1292" s="200"/>
    </row>
    <row r="1293" spans="1:99" s="17" customFormat="1" x14ac:dyDescent="0.2">
      <c r="A1293" s="25"/>
      <c r="B1293" s="20">
        <v>39013010700</v>
      </c>
      <c r="C1293" s="20">
        <v>107</v>
      </c>
      <c r="D1293" s="20" t="s">
        <v>13</v>
      </c>
      <c r="E1293" s="20" t="s">
        <v>2841</v>
      </c>
      <c r="F1293" s="20" t="s">
        <v>8</v>
      </c>
      <c r="G1293" s="861">
        <v>52.561954276610201</v>
      </c>
      <c r="H1293" s="861">
        <v>58.458892068134404</v>
      </c>
      <c r="I1293" s="861">
        <v>17.001690870279301</v>
      </c>
      <c r="J1293" s="861">
        <v>42.332640868127399</v>
      </c>
      <c r="K1293" s="982">
        <v>0</v>
      </c>
      <c r="L1293" s="735">
        <v>2644</v>
      </c>
      <c r="M1293" s="735">
        <v>2636</v>
      </c>
      <c r="N1293" s="845">
        <f t="shared" si="113"/>
        <v>-3.0257186081694403E-3</v>
      </c>
      <c r="O1293" s="735">
        <v>70.037460905563776</v>
      </c>
      <c r="P1293" s="735">
        <f t="shared" si="114"/>
        <v>37.637001197891742</v>
      </c>
      <c r="Q1293" s="849">
        <v>42.8</v>
      </c>
      <c r="R1293" s="71">
        <v>75532</v>
      </c>
      <c r="S1293" s="845">
        <v>3.7376048817696413E-2</v>
      </c>
      <c r="T1293" s="845">
        <v>6.0999999999999999E-2</v>
      </c>
      <c r="U1293" s="845">
        <v>0</v>
      </c>
      <c r="V1293" s="845">
        <v>9.6999999999999989E-2</v>
      </c>
      <c r="W1293" s="845">
        <v>0.14059196617336153</v>
      </c>
      <c r="X1293" s="845">
        <v>0.11278195488721804</v>
      </c>
      <c r="Y1293" s="845">
        <v>0.9726858877086495</v>
      </c>
      <c r="Z1293" s="845">
        <v>3.4142640364188165E-3</v>
      </c>
      <c r="AA1293" s="845">
        <v>0</v>
      </c>
      <c r="AB1293" s="845">
        <v>0</v>
      </c>
      <c r="AC1293" s="845">
        <v>0</v>
      </c>
      <c r="AD1293" s="845">
        <v>1.024279210925645E-2</v>
      </c>
      <c r="AE1293" s="845">
        <v>1.3657056145675266E-2</v>
      </c>
      <c r="AF1293" s="845">
        <v>1.8968133535660091E-2</v>
      </c>
      <c r="AG1293" s="845">
        <v>0.9726858877086495</v>
      </c>
      <c r="AH1293" s="20" t="str">
        <f t="shared" si="115"/>
        <v>Yes</v>
      </c>
      <c r="AI1293" s="25"/>
      <c r="AJ1293" s="37">
        <v>43056</v>
      </c>
      <c r="AK1293" s="37" t="s">
        <v>769</v>
      </c>
      <c r="AL1293" s="37">
        <v>39119</v>
      </c>
      <c r="AM1293" s="37" t="s">
        <v>65</v>
      </c>
      <c r="AN1293" s="37" t="str">
        <f t="shared" si="116"/>
        <v>N/A</v>
      </c>
      <c r="AO1293" s="37" t="str">
        <f t="shared" si="117"/>
        <v>N/A</v>
      </c>
      <c r="AP1293" s="37" t="s">
        <v>8</v>
      </c>
      <c r="AQ1293" s="25"/>
      <c r="AR1293" s="25"/>
      <c r="AS1293" s="25"/>
      <c r="AT1293" s="25"/>
      <c r="AU1293" s="36"/>
      <c r="AV1293" s="36"/>
      <c r="AW1293" s="36"/>
      <c r="AX1293" s="25"/>
      <c r="AY1293" s="25"/>
      <c r="AZ1293" s="25"/>
      <c r="BA1293" s="25"/>
      <c r="BB1293" s="25"/>
      <c r="BC1293" s="25"/>
      <c r="BD1293" s="25"/>
      <c r="BE1293" s="25"/>
      <c r="BF1293" s="25"/>
      <c r="BG1293" s="25"/>
      <c r="BH1293" s="25"/>
      <c r="BI1293" s="25"/>
      <c r="BJ1293" s="25"/>
      <c r="BK1293" s="25"/>
      <c r="BL1293" s="25"/>
      <c r="BM1293" s="25"/>
      <c r="BN1293" s="25"/>
      <c r="BO1293" s="25"/>
      <c r="BP1293" s="25"/>
      <c r="BQ1293" s="25"/>
      <c r="BR1293" s="25"/>
      <c r="BS1293" s="25"/>
      <c r="BT1293" s="25"/>
      <c r="BU1293" s="25"/>
      <c r="BV1293" s="25"/>
      <c r="BW1293" s="25"/>
      <c r="BX1293" s="25"/>
      <c r="BY1293" s="25"/>
      <c r="BZ1293" s="25"/>
      <c r="CA1293" s="25"/>
      <c r="CB1293" s="25"/>
      <c r="CC1293" s="25"/>
      <c r="CD1293" s="25"/>
      <c r="CE1293" s="200"/>
      <c r="CF1293" s="200"/>
      <c r="CG1293" s="200"/>
      <c r="CH1293" s="200"/>
      <c r="CI1293" s="200"/>
      <c r="CJ1293" s="200"/>
      <c r="CK1293" s="200"/>
      <c r="CL1293" s="200"/>
      <c r="CM1293" s="200"/>
      <c r="CN1293" s="200"/>
      <c r="CO1293" s="200"/>
      <c r="CP1293" s="200"/>
      <c r="CQ1293" s="200"/>
      <c r="CR1293" s="200"/>
      <c r="CS1293" s="200"/>
      <c r="CT1293" s="200"/>
      <c r="CU1293" s="200"/>
    </row>
    <row r="1294" spans="1:99" s="17" customFormat="1" x14ac:dyDescent="0.2">
      <c r="A1294" s="25"/>
      <c r="B1294" s="20">
        <v>39035177405</v>
      </c>
      <c r="C1294" s="20">
        <v>1774.05</v>
      </c>
      <c r="D1294" s="20" t="s">
        <v>24</v>
      </c>
      <c r="E1294" s="20" t="s">
        <v>2829</v>
      </c>
      <c r="F1294" s="20" t="s">
        <v>8</v>
      </c>
      <c r="G1294" s="861">
        <v>52.559463346047799</v>
      </c>
      <c r="H1294" s="861">
        <v>69.789260953427402</v>
      </c>
      <c r="I1294" s="861">
        <v>24.3430954607507</v>
      </c>
      <c r="J1294" s="861">
        <v>36.702543942519597</v>
      </c>
      <c r="K1294" s="982">
        <v>0</v>
      </c>
      <c r="L1294" s="735">
        <v>4385</v>
      </c>
      <c r="M1294" s="735">
        <v>4788</v>
      </c>
      <c r="N1294" s="845">
        <f t="shared" si="113"/>
        <v>9.1904218928164194E-2</v>
      </c>
      <c r="O1294" s="735">
        <v>0.70238971097052649</v>
      </c>
      <c r="P1294" s="735">
        <f t="shared" si="114"/>
        <v>6816.7285556962161</v>
      </c>
      <c r="Q1294" s="849">
        <v>36.299999999999997</v>
      </c>
      <c r="R1294" s="71">
        <v>71523</v>
      </c>
      <c r="S1294" s="845">
        <v>0.1086048454469507</v>
      </c>
      <c r="T1294" s="845">
        <v>4.8000000000000001E-2</v>
      </c>
      <c r="U1294" s="845">
        <v>2.1000000000000001E-2</v>
      </c>
      <c r="V1294" s="845">
        <v>0</v>
      </c>
      <c r="W1294" s="845">
        <v>0.24740227610094012</v>
      </c>
      <c r="X1294" s="845">
        <v>0.35199999999999998</v>
      </c>
      <c r="Y1294" s="845">
        <v>0.81077694235588971</v>
      </c>
      <c r="Z1294" s="845">
        <v>3.6131996658312446E-2</v>
      </c>
      <c r="AA1294" s="845">
        <v>0</v>
      </c>
      <c r="AB1294" s="845">
        <v>1.2322472848788638E-2</v>
      </c>
      <c r="AC1294" s="845">
        <v>0</v>
      </c>
      <c r="AD1294" s="845">
        <v>1.0651629072681704E-2</v>
      </c>
      <c r="AE1294" s="845">
        <v>0.13011695906432749</v>
      </c>
      <c r="AF1294" s="845">
        <v>0.16604010025062657</v>
      </c>
      <c r="AG1294" s="845">
        <v>0.77401837928153716</v>
      </c>
      <c r="AH1294" s="20" t="str">
        <f t="shared" si="115"/>
        <v>No</v>
      </c>
      <c r="AI1294" s="25"/>
      <c r="AJ1294" s="37">
        <v>43701</v>
      </c>
      <c r="AK1294" s="37" t="s">
        <v>1019</v>
      </c>
      <c r="AL1294" s="37">
        <v>39119</v>
      </c>
      <c r="AM1294" s="37" t="s">
        <v>65</v>
      </c>
      <c r="AN1294" s="37" t="str">
        <f t="shared" si="116"/>
        <v>N/A</v>
      </c>
      <c r="AO1294" s="37" t="str">
        <f t="shared" si="117"/>
        <v>N/A</v>
      </c>
      <c r="AP1294" s="37" t="s">
        <v>8</v>
      </c>
      <c r="AQ1294" s="25"/>
      <c r="AR1294" s="25"/>
      <c r="AS1294" s="25"/>
      <c r="AT1294" s="25"/>
      <c r="AU1294" s="36"/>
      <c r="AV1294" s="36"/>
      <c r="AW1294" s="36"/>
      <c r="AX1294" s="25"/>
      <c r="AY1294" s="25"/>
      <c r="AZ1294" s="25"/>
      <c r="BA1294" s="25"/>
      <c r="BB1294" s="25"/>
      <c r="BC1294" s="25"/>
      <c r="BD1294" s="25"/>
      <c r="BE1294" s="25"/>
      <c r="BF1294" s="25"/>
      <c r="BG1294" s="25"/>
      <c r="BH1294" s="25"/>
      <c r="BI1294" s="25"/>
      <c r="BJ1294" s="25"/>
      <c r="BK1294" s="25"/>
      <c r="BL1294" s="25"/>
      <c r="BM1294" s="25"/>
      <c r="BN1294" s="25"/>
      <c r="BO1294" s="25"/>
      <c r="BP1294" s="25"/>
      <c r="BQ1294" s="25"/>
      <c r="BR1294" s="25"/>
      <c r="BS1294" s="25"/>
      <c r="BT1294" s="25"/>
      <c r="BU1294" s="25"/>
      <c r="BV1294" s="25"/>
      <c r="BW1294" s="25"/>
      <c r="BX1294" s="25"/>
      <c r="BY1294" s="25"/>
      <c r="BZ1294" s="25"/>
      <c r="CA1294" s="25"/>
      <c r="CB1294" s="25"/>
      <c r="CC1294" s="25"/>
      <c r="CD1294" s="25"/>
      <c r="CE1294" s="200"/>
      <c r="CF1294" s="200"/>
      <c r="CG1294" s="200"/>
      <c r="CH1294" s="200"/>
      <c r="CI1294" s="200"/>
      <c r="CJ1294" s="200"/>
      <c r="CK1294" s="200"/>
      <c r="CL1294" s="200"/>
      <c r="CM1294" s="200"/>
      <c r="CN1294" s="200"/>
      <c r="CO1294" s="200"/>
      <c r="CP1294" s="200"/>
      <c r="CQ1294" s="200"/>
      <c r="CR1294" s="200"/>
      <c r="CS1294" s="200"/>
      <c r="CT1294" s="200"/>
      <c r="CU1294" s="200"/>
    </row>
    <row r="1295" spans="1:99" s="17" customFormat="1" x14ac:dyDescent="0.2">
      <c r="A1295" s="25"/>
      <c r="B1295" s="20">
        <v>39035123900</v>
      </c>
      <c r="C1295" s="20">
        <v>1239</v>
      </c>
      <c r="D1295" s="20" t="s">
        <v>24</v>
      </c>
      <c r="E1295" s="20" t="s">
        <v>2829</v>
      </c>
      <c r="F1295" s="20" t="s">
        <v>8</v>
      </c>
      <c r="G1295" s="861">
        <v>52.544517612646501</v>
      </c>
      <c r="H1295" s="861">
        <v>67.057161669050004</v>
      </c>
      <c r="I1295" s="861">
        <v>26.852030800718801</v>
      </c>
      <c r="J1295" s="861">
        <v>45.902881993847203</v>
      </c>
      <c r="K1295" s="982">
        <v>0</v>
      </c>
      <c r="L1295" s="735">
        <v>2678</v>
      </c>
      <c r="M1295" s="735">
        <v>3191</v>
      </c>
      <c r="N1295" s="845">
        <f t="shared" si="113"/>
        <v>0.19156086631814787</v>
      </c>
      <c r="O1295" s="735">
        <v>0.32940382880753843</v>
      </c>
      <c r="P1295" s="735">
        <f t="shared" si="114"/>
        <v>9687.1976611553382</v>
      </c>
      <c r="Q1295" s="849">
        <v>42.4</v>
      </c>
      <c r="R1295" s="71">
        <v>60313</v>
      </c>
      <c r="S1295" s="845">
        <v>0.21610569361434415</v>
      </c>
      <c r="T1295" s="845">
        <v>3.5000000000000003E-2</v>
      </c>
      <c r="U1295" s="845">
        <v>0</v>
      </c>
      <c r="V1295" s="845">
        <v>0</v>
      </c>
      <c r="W1295" s="845">
        <v>0.350197628458498</v>
      </c>
      <c r="X1295" s="845">
        <v>0.18735891647855529</v>
      </c>
      <c r="Y1295" s="845">
        <v>0.79567533688498904</v>
      </c>
      <c r="Z1295" s="845">
        <v>0.10341585709808837</v>
      </c>
      <c r="AA1295" s="845">
        <v>2.1623315575054841E-2</v>
      </c>
      <c r="AB1295" s="845">
        <v>0</v>
      </c>
      <c r="AC1295" s="845">
        <v>0</v>
      </c>
      <c r="AD1295" s="845">
        <v>6.581009088060169E-3</v>
      </c>
      <c r="AE1295" s="845">
        <v>7.2704481353807582E-2</v>
      </c>
      <c r="AF1295" s="845">
        <v>0.26637417737386399</v>
      </c>
      <c r="AG1295" s="845">
        <v>0.62488248198057039</v>
      </c>
      <c r="AH1295" s="20" t="str">
        <f t="shared" si="115"/>
        <v>No</v>
      </c>
      <c r="AI1295" s="25"/>
      <c r="AJ1295" s="37">
        <v>43720</v>
      </c>
      <c r="AK1295" s="37" t="s">
        <v>1026</v>
      </c>
      <c r="AL1295" s="37">
        <v>39119</v>
      </c>
      <c r="AM1295" s="37" t="s">
        <v>65</v>
      </c>
      <c r="AN1295" s="37" t="str">
        <f t="shared" si="116"/>
        <v>N/A</v>
      </c>
      <c r="AO1295" s="37" t="str">
        <f t="shared" si="117"/>
        <v>N/A</v>
      </c>
      <c r="AP1295" s="37" t="s">
        <v>8</v>
      </c>
      <c r="AQ1295" s="25"/>
      <c r="AR1295" s="25"/>
      <c r="AS1295" s="25"/>
      <c r="AT1295" s="25"/>
      <c r="AU1295" s="36"/>
      <c r="AV1295" s="36"/>
      <c r="AW1295" s="36"/>
      <c r="AX1295" s="25"/>
      <c r="AY1295" s="25"/>
      <c r="AZ1295" s="25"/>
      <c r="BA1295" s="25"/>
      <c r="BB1295" s="25"/>
      <c r="BC1295" s="25"/>
      <c r="BD1295" s="25"/>
      <c r="BE1295" s="25"/>
      <c r="BF1295" s="25"/>
      <c r="BG1295" s="25"/>
      <c r="BH1295" s="25"/>
      <c r="BI1295" s="25"/>
      <c r="BJ1295" s="25"/>
      <c r="BK1295" s="25"/>
      <c r="BL1295" s="25"/>
      <c r="BM1295" s="25"/>
      <c r="BN1295" s="25"/>
      <c r="BO1295" s="25"/>
      <c r="BP1295" s="25"/>
      <c r="BQ1295" s="25"/>
      <c r="BR1295" s="25"/>
      <c r="BS1295" s="25"/>
      <c r="BT1295" s="25"/>
      <c r="BU1295" s="25"/>
      <c r="BV1295" s="25"/>
      <c r="BW1295" s="25"/>
      <c r="BX1295" s="25"/>
      <c r="BY1295" s="25"/>
      <c r="BZ1295" s="25"/>
      <c r="CA1295" s="25"/>
      <c r="CB1295" s="25"/>
      <c r="CC1295" s="25"/>
      <c r="CD1295" s="25"/>
      <c r="CE1295" s="200"/>
      <c r="CF1295" s="200"/>
      <c r="CG1295" s="200"/>
      <c r="CH1295" s="200"/>
      <c r="CI1295" s="200"/>
      <c r="CJ1295" s="200"/>
      <c r="CK1295" s="200"/>
      <c r="CL1295" s="200"/>
      <c r="CM1295" s="200"/>
      <c r="CN1295" s="200"/>
      <c r="CO1295" s="200"/>
      <c r="CP1295" s="200"/>
      <c r="CQ1295" s="200"/>
      <c r="CR1295" s="200"/>
      <c r="CS1295" s="200"/>
      <c r="CT1295" s="200"/>
      <c r="CU1295" s="200"/>
    </row>
    <row r="1296" spans="1:99" s="17" customFormat="1" x14ac:dyDescent="0.2">
      <c r="A1296" s="25"/>
      <c r="B1296" s="20">
        <v>39025041505</v>
      </c>
      <c r="C1296" s="20">
        <v>415.05</v>
      </c>
      <c r="D1296" s="20" t="s">
        <v>19</v>
      </c>
      <c r="E1296" s="20" t="s">
        <v>2828</v>
      </c>
      <c r="F1296" s="20" t="s">
        <v>8</v>
      </c>
      <c r="G1296" s="861">
        <v>52.528566026971298</v>
      </c>
      <c r="H1296" s="861">
        <v>57.244853993968697</v>
      </c>
      <c r="I1296" s="861">
        <v>24.4270037551589</v>
      </c>
      <c r="J1296" s="861">
        <v>47.798598273302098</v>
      </c>
      <c r="K1296" s="982">
        <v>0</v>
      </c>
      <c r="L1296" s="735" t="s">
        <v>2466</v>
      </c>
      <c r="M1296" s="735">
        <v>3239</v>
      </c>
      <c r="N1296" s="845" t="str">
        <f t="shared" si="113"/>
        <v/>
      </c>
      <c r="O1296" s="735">
        <v>4.4192623725983049</v>
      </c>
      <c r="P1296" s="735">
        <f t="shared" si="114"/>
        <v>732.92774379802893</v>
      </c>
      <c r="Q1296" s="849">
        <v>54.1</v>
      </c>
      <c r="R1296" s="71">
        <v>78678</v>
      </c>
      <c r="S1296" s="845">
        <v>6.2982401975918492E-2</v>
      </c>
      <c r="T1296" s="845">
        <v>0.04</v>
      </c>
      <c r="U1296" s="845">
        <v>0</v>
      </c>
      <c r="V1296" s="845">
        <v>9.0999999999999998E-2</v>
      </c>
      <c r="W1296" s="845">
        <v>0.2720806164789567</v>
      </c>
      <c r="X1296" s="845">
        <v>0.16557734204793029</v>
      </c>
      <c r="Y1296" s="845">
        <v>0.97715344242050017</v>
      </c>
      <c r="Z1296" s="845">
        <v>2.253782031491201E-2</v>
      </c>
      <c r="AA1296" s="845">
        <v>0</v>
      </c>
      <c r="AB1296" s="845">
        <v>0</v>
      </c>
      <c r="AC1296" s="845">
        <v>0</v>
      </c>
      <c r="AD1296" s="845">
        <v>0</v>
      </c>
      <c r="AE1296" s="845">
        <v>3.0873726458783575E-4</v>
      </c>
      <c r="AF1296" s="845">
        <v>1.018832973139858E-2</v>
      </c>
      <c r="AG1296" s="845">
        <v>0.96727384995368937</v>
      </c>
      <c r="AH1296" s="20" t="str">
        <f t="shared" si="115"/>
        <v>Yes</v>
      </c>
      <c r="AI1296" s="25"/>
      <c r="AJ1296" s="37">
        <v>43727</v>
      </c>
      <c r="AK1296" s="37" t="s">
        <v>1032</v>
      </c>
      <c r="AL1296" s="37">
        <v>39119</v>
      </c>
      <c r="AM1296" s="37" t="s">
        <v>65</v>
      </c>
      <c r="AN1296" s="37" t="str">
        <f t="shared" si="116"/>
        <v>N/A</v>
      </c>
      <c r="AO1296" s="37" t="str">
        <f t="shared" si="117"/>
        <v>N/A</v>
      </c>
      <c r="AP1296" s="37" t="s">
        <v>8</v>
      </c>
      <c r="AQ1296" s="25"/>
      <c r="AR1296" s="25"/>
      <c r="AS1296" s="25"/>
      <c r="AT1296" s="25"/>
      <c r="AU1296" s="36"/>
      <c r="AV1296" s="36"/>
      <c r="AW1296" s="36"/>
      <c r="AX1296" s="25"/>
      <c r="AY1296" s="25"/>
      <c r="AZ1296" s="25"/>
      <c r="BA1296" s="25"/>
      <c r="BB1296" s="25"/>
      <c r="BC1296" s="25"/>
      <c r="BD1296" s="25"/>
      <c r="BE1296" s="25"/>
      <c r="BF1296" s="25"/>
      <c r="BG1296" s="25"/>
      <c r="BH1296" s="25"/>
      <c r="BI1296" s="25"/>
      <c r="BJ1296" s="25"/>
      <c r="BK1296" s="25"/>
      <c r="BL1296" s="25"/>
      <c r="BM1296" s="25"/>
      <c r="BN1296" s="25"/>
      <c r="BO1296" s="25"/>
      <c r="BP1296" s="25"/>
      <c r="BQ1296" s="25"/>
      <c r="BR1296" s="25"/>
      <c r="BS1296" s="25"/>
      <c r="BT1296" s="25"/>
      <c r="BU1296" s="25"/>
      <c r="BV1296" s="25"/>
      <c r="BW1296" s="25"/>
      <c r="BX1296" s="25"/>
      <c r="BY1296" s="25"/>
      <c r="BZ1296" s="25"/>
      <c r="CA1296" s="25"/>
      <c r="CB1296" s="25"/>
      <c r="CC1296" s="25"/>
      <c r="CD1296" s="25"/>
      <c r="CE1296" s="200"/>
      <c r="CF1296" s="200"/>
      <c r="CG1296" s="200"/>
      <c r="CH1296" s="200"/>
      <c r="CI1296" s="200"/>
      <c r="CJ1296" s="200"/>
      <c r="CK1296" s="200"/>
      <c r="CL1296" s="200"/>
      <c r="CM1296" s="200"/>
      <c r="CN1296" s="200"/>
      <c r="CO1296" s="200"/>
      <c r="CP1296" s="200"/>
      <c r="CQ1296" s="200"/>
      <c r="CR1296" s="200"/>
      <c r="CS1296" s="200"/>
      <c r="CT1296" s="200"/>
      <c r="CU1296" s="200"/>
    </row>
    <row r="1297" spans="1:99" s="17" customFormat="1" x14ac:dyDescent="0.2">
      <c r="A1297" s="25"/>
      <c r="B1297" s="20">
        <v>39049009230</v>
      </c>
      <c r="C1297" s="20">
        <v>92.3</v>
      </c>
      <c r="D1297" s="20" t="s">
        <v>31</v>
      </c>
      <c r="E1297" s="20" t="s">
        <v>2830</v>
      </c>
      <c r="F1297" s="20" t="s">
        <v>6</v>
      </c>
      <c r="G1297" s="861">
        <v>52.511595751413402</v>
      </c>
      <c r="H1297" s="861">
        <v>52.0639444752996</v>
      </c>
      <c r="I1297" s="861">
        <v>50.040958988979298</v>
      </c>
      <c r="J1297" s="861">
        <v>53.948911838527998</v>
      </c>
      <c r="K1297" s="982">
        <v>0</v>
      </c>
      <c r="L1297" s="735">
        <v>4994</v>
      </c>
      <c r="M1297" s="735">
        <v>5418</v>
      </c>
      <c r="N1297" s="845">
        <f t="shared" si="113"/>
        <v>8.4901882258710454E-2</v>
      </c>
      <c r="O1297" s="735">
        <v>0.71349709786891646</v>
      </c>
      <c r="P1297" s="735">
        <f t="shared" si="114"/>
        <v>7593.583794780051</v>
      </c>
      <c r="Q1297" s="849">
        <v>33.700000000000003</v>
      </c>
      <c r="R1297" s="71">
        <v>47361</v>
      </c>
      <c r="S1297" s="845">
        <v>0.15526662898059168</v>
      </c>
      <c r="T1297" s="845">
        <v>0.14599999999999999</v>
      </c>
      <c r="U1297" s="845">
        <v>9.0000000000000011E-3</v>
      </c>
      <c r="V1297" s="845">
        <v>2.3E-2</v>
      </c>
      <c r="W1297" s="845">
        <v>0.70499312872194231</v>
      </c>
      <c r="X1297" s="845">
        <v>0.55815464587394414</v>
      </c>
      <c r="Y1297" s="845">
        <v>0.46216315983757844</v>
      </c>
      <c r="Z1297" s="845">
        <v>0.32392026578073091</v>
      </c>
      <c r="AA1297" s="845">
        <v>0</v>
      </c>
      <c r="AB1297" s="845">
        <v>3.4330011074197121E-2</v>
      </c>
      <c r="AC1297" s="845">
        <v>0</v>
      </c>
      <c r="AD1297" s="845">
        <v>7.3458840900701372E-2</v>
      </c>
      <c r="AE1297" s="845">
        <v>0.10612772240679218</v>
      </c>
      <c r="AF1297" s="845">
        <v>0.12181616832779624</v>
      </c>
      <c r="AG1297" s="845">
        <v>0.43650793650793651</v>
      </c>
      <c r="AH1297" s="20" t="str">
        <f t="shared" si="115"/>
        <v>No</v>
      </c>
      <c r="AI1297" s="25"/>
      <c r="AJ1297" s="37">
        <v>43732</v>
      </c>
      <c r="AK1297" s="37" t="s">
        <v>1036</v>
      </c>
      <c r="AL1297" s="37">
        <v>39119</v>
      </c>
      <c r="AM1297" s="37" t="s">
        <v>65</v>
      </c>
      <c r="AN1297" s="37" t="str">
        <f t="shared" si="116"/>
        <v>N/A</v>
      </c>
      <c r="AO1297" s="37" t="str">
        <f t="shared" si="117"/>
        <v>N/A</v>
      </c>
      <c r="AP1297" s="37" t="s">
        <v>8</v>
      </c>
      <c r="AQ1297" s="25"/>
      <c r="AR1297" s="25"/>
      <c r="AS1297" s="25"/>
      <c r="AT1297" s="25"/>
      <c r="AU1297" s="36"/>
      <c r="AV1297" s="36"/>
      <c r="AW1297" s="36"/>
      <c r="AX1297" s="25"/>
      <c r="AY1297" s="25"/>
      <c r="AZ1297" s="25"/>
      <c r="BA1297" s="25"/>
      <c r="BB1297" s="25"/>
      <c r="BC1297" s="25"/>
      <c r="BD1297" s="25"/>
      <c r="BE1297" s="25"/>
      <c r="BF1297" s="25"/>
      <c r="BG1297" s="25"/>
      <c r="BH1297" s="25"/>
      <c r="BI1297" s="25"/>
      <c r="BJ1297" s="25"/>
      <c r="BK1297" s="25"/>
      <c r="BL1297" s="25"/>
      <c r="BM1297" s="25"/>
      <c r="BN1297" s="25"/>
      <c r="BO1297" s="25"/>
      <c r="BP1297" s="25"/>
      <c r="BQ1297" s="25"/>
      <c r="BR1297" s="25"/>
      <c r="BS1297" s="25"/>
      <c r="BT1297" s="25"/>
      <c r="BU1297" s="25"/>
      <c r="BV1297" s="25"/>
      <c r="BW1297" s="25"/>
      <c r="BX1297" s="25"/>
      <c r="BY1297" s="25"/>
      <c r="BZ1297" s="25"/>
      <c r="CA1297" s="25"/>
      <c r="CB1297" s="25"/>
      <c r="CC1297" s="25"/>
      <c r="CD1297" s="25"/>
      <c r="CE1297" s="200"/>
      <c r="CF1297" s="200"/>
      <c r="CG1297" s="200"/>
      <c r="CH1297" s="200"/>
      <c r="CI1297" s="200"/>
      <c r="CJ1297" s="200"/>
      <c r="CK1297" s="200"/>
      <c r="CL1297" s="200"/>
      <c r="CM1297" s="200"/>
      <c r="CN1297" s="200"/>
      <c r="CO1297" s="200"/>
      <c r="CP1297" s="200"/>
      <c r="CQ1297" s="200"/>
      <c r="CR1297" s="200"/>
      <c r="CS1297" s="200"/>
      <c r="CT1297" s="200"/>
      <c r="CU1297" s="200"/>
    </row>
    <row r="1298" spans="1:99" s="17" customFormat="1" x14ac:dyDescent="0.2">
      <c r="A1298" s="25"/>
      <c r="B1298" s="20">
        <v>39109365301</v>
      </c>
      <c r="C1298" s="20">
        <v>3653.01</v>
      </c>
      <c r="D1298" s="20" t="s">
        <v>60</v>
      </c>
      <c r="E1298" s="20" t="s">
        <v>2833</v>
      </c>
      <c r="F1298" s="20" t="s">
        <v>8</v>
      </c>
      <c r="G1298" s="861">
        <v>52.506490353954902</v>
      </c>
      <c r="H1298" s="861">
        <v>44.900086629453597</v>
      </c>
      <c r="I1298" s="861">
        <v>35.5769730632652</v>
      </c>
      <c r="J1298" s="861">
        <v>50.250164534176697</v>
      </c>
      <c r="K1298" s="982">
        <v>0</v>
      </c>
      <c r="L1298" s="735">
        <v>5856</v>
      </c>
      <c r="M1298" s="735">
        <v>5996</v>
      </c>
      <c r="N1298" s="845">
        <f t="shared" si="113"/>
        <v>2.3907103825136611E-2</v>
      </c>
      <c r="O1298" s="735">
        <v>7.3714960027364764</v>
      </c>
      <c r="P1298" s="735">
        <f t="shared" si="114"/>
        <v>813.40341197690952</v>
      </c>
      <c r="Q1298" s="849">
        <v>36.5</v>
      </c>
      <c r="R1298" s="71">
        <v>67618</v>
      </c>
      <c r="S1298" s="845">
        <v>9.8695502917953995E-2</v>
      </c>
      <c r="T1298" s="845">
        <v>0.04</v>
      </c>
      <c r="U1298" s="845">
        <v>0</v>
      </c>
      <c r="V1298" s="845">
        <v>4.2000000000000003E-2</v>
      </c>
      <c r="W1298" s="845">
        <v>0.49058084772370486</v>
      </c>
      <c r="X1298" s="845">
        <v>0.31359999999999999</v>
      </c>
      <c r="Y1298" s="845">
        <v>0.80753835890593728</v>
      </c>
      <c r="Z1298" s="845">
        <v>4.6030687124749836E-2</v>
      </c>
      <c r="AA1298" s="845">
        <v>0</v>
      </c>
      <c r="AB1298" s="845">
        <v>6.3208805870580392E-2</v>
      </c>
      <c r="AC1298" s="845">
        <v>0</v>
      </c>
      <c r="AD1298" s="845">
        <v>1.5343562374916611E-2</v>
      </c>
      <c r="AE1298" s="845">
        <v>6.7878585723815874E-2</v>
      </c>
      <c r="AF1298" s="845">
        <v>8.1220813875917272E-2</v>
      </c>
      <c r="AG1298" s="845">
        <v>0.79269513008672443</v>
      </c>
      <c r="AH1298" s="20" t="str">
        <f t="shared" si="115"/>
        <v>No</v>
      </c>
      <c r="AI1298" s="25"/>
      <c r="AJ1298" s="37">
        <v>43734</v>
      </c>
      <c r="AK1298" s="37" t="s">
        <v>1038</v>
      </c>
      <c r="AL1298" s="37">
        <v>39119</v>
      </c>
      <c r="AM1298" s="37" t="s">
        <v>65</v>
      </c>
      <c r="AN1298" s="37" t="str">
        <f t="shared" si="116"/>
        <v>N/A</v>
      </c>
      <c r="AO1298" s="37" t="str">
        <f t="shared" si="117"/>
        <v>N/A</v>
      </c>
      <c r="AP1298" s="37" t="s">
        <v>8</v>
      </c>
      <c r="AQ1298" s="25"/>
      <c r="AR1298" s="25"/>
      <c r="AS1298" s="25"/>
      <c r="AT1298" s="25"/>
      <c r="AU1298" s="36"/>
      <c r="AV1298" s="36"/>
      <c r="AW1298" s="36"/>
      <c r="AX1298" s="25"/>
      <c r="AY1298" s="25"/>
      <c r="AZ1298" s="25"/>
      <c r="BA1298" s="25"/>
      <c r="BB1298" s="25"/>
      <c r="BC1298" s="25"/>
      <c r="BD1298" s="25"/>
      <c r="BE1298" s="25"/>
      <c r="BF1298" s="25"/>
      <c r="BG1298" s="25"/>
      <c r="BH1298" s="25"/>
      <c r="BI1298" s="25"/>
      <c r="BJ1298" s="25"/>
      <c r="BK1298" s="25"/>
      <c r="BL1298" s="25"/>
      <c r="BM1298" s="25"/>
      <c r="BN1298" s="25"/>
      <c r="BO1298" s="25"/>
      <c r="BP1298" s="25"/>
      <c r="BQ1298" s="25"/>
      <c r="BR1298" s="25"/>
      <c r="BS1298" s="25"/>
      <c r="BT1298" s="25"/>
      <c r="BU1298" s="25"/>
      <c r="BV1298" s="25"/>
      <c r="BW1298" s="25"/>
      <c r="BX1298" s="25"/>
      <c r="BY1298" s="25"/>
      <c r="BZ1298" s="25"/>
      <c r="CA1298" s="25"/>
      <c r="CB1298" s="25"/>
      <c r="CC1298" s="25"/>
      <c r="CD1298" s="25"/>
      <c r="CE1298" s="200"/>
      <c r="CF1298" s="200"/>
      <c r="CG1298" s="200"/>
      <c r="CH1298" s="200"/>
      <c r="CI1298" s="200"/>
      <c r="CJ1298" s="200"/>
      <c r="CK1298" s="200"/>
      <c r="CL1298" s="200"/>
      <c r="CM1298" s="200"/>
      <c r="CN1298" s="200"/>
      <c r="CO1298" s="200"/>
      <c r="CP1298" s="200"/>
      <c r="CQ1298" s="200"/>
      <c r="CR1298" s="200"/>
      <c r="CS1298" s="200"/>
      <c r="CT1298" s="200"/>
      <c r="CU1298" s="200"/>
    </row>
    <row r="1299" spans="1:99" s="17" customFormat="1" x14ac:dyDescent="0.2">
      <c r="A1299" s="25"/>
      <c r="B1299" s="20">
        <v>39035174207</v>
      </c>
      <c r="C1299" s="20">
        <v>1742.07</v>
      </c>
      <c r="D1299" s="20" t="s">
        <v>24</v>
      </c>
      <c r="E1299" s="20" t="s">
        <v>2829</v>
      </c>
      <c r="F1299" s="20" t="s">
        <v>8</v>
      </c>
      <c r="G1299" s="861">
        <v>52.500440154632102</v>
      </c>
      <c r="H1299" s="861">
        <v>57.574441625379002</v>
      </c>
      <c r="I1299" s="861">
        <v>38.220170126918802</v>
      </c>
      <c r="J1299" s="861">
        <v>34.108181170779098</v>
      </c>
      <c r="K1299" s="982">
        <v>0</v>
      </c>
      <c r="L1299" s="735">
        <v>3358</v>
      </c>
      <c r="M1299" s="735">
        <v>3111</v>
      </c>
      <c r="N1299" s="845">
        <f t="shared" si="113"/>
        <v>-7.3555687909469925E-2</v>
      </c>
      <c r="O1299" s="735">
        <v>1.4284891832959032</v>
      </c>
      <c r="P1299" s="735">
        <f t="shared" si="114"/>
        <v>2177.82538109396</v>
      </c>
      <c r="Q1299" s="849">
        <v>47.7</v>
      </c>
      <c r="R1299" s="71">
        <v>61333</v>
      </c>
      <c r="S1299" s="845">
        <v>9.1554054054054049E-2</v>
      </c>
      <c r="T1299" s="845">
        <v>0.01</v>
      </c>
      <c r="U1299" s="845">
        <v>0</v>
      </c>
      <c r="V1299" s="845">
        <v>7.0999999999999994E-2</v>
      </c>
      <c r="W1299" s="845">
        <v>0.32241630276564776</v>
      </c>
      <c r="X1299" s="845">
        <v>0.41083521444695259</v>
      </c>
      <c r="Y1299" s="845">
        <v>0.89617486338797814</v>
      </c>
      <c r="Z1299" s="845">
        <v>2.9893924783027964E-2</v>
      </c>
      <c r="AA1299" s="845">
        <v>2.2500803600128574E-3</v>
      </c>
      <c r="AB1299" s="845">
        <v>1.5107682417229186E-2</v>
      </c>
      <c r="AC1299" s="845">
        <v>0</v>
      </c>
      <c r="AD1299" s="845">
        <v>1.0286081645773062E-2</v>
      </c>
      <c r="AE1299" s="845">
        <v>4.6287367405978788E-2</v>
      </c>
      <c r="AF1299" s="845">
        <v>4.210864673738348E-2</v>
      </c>
      <c r="AG1299" s="845">
        <v>0.89167470266795246</v>
      </c>
      <c r="AH1299" s="20" t="str">
        <f t="shared" si="115"/>
        <v>No</v>
      </c>
      <c r="AI1299" s="25"/>
      <c r="AJ1299" s="37">
        <v>43735</v>
      </c>
      <c r="AK1299" s="37" t="s">
        <v>1039</v>
      </c>
      <c r="AL1299" s="37">
        <v>39119</v>
      </c>
      <c r="AM1299" s="37" t="s">
        <v>65</v>
      </c>
      <c r="AN1299" s="37" t="str">
        <f t="shared" si="116"/>
        <v>N/A</v>
      </c>
      <c r="AO1299" s="37" t="str">
        <f t="shared" si="117"/>
        <v>N/A</v>
      </c>
      <c r="AP1299" s="37" t="s">
        <v>8</v>
      </c>
      <c r="AQ1299" s="25"/>
      <c r="AR1299" s="25"/>
      <c r="AS1299" s="25"/>
      <c r="AT1299" s="25"/>
      <c r="AU1299" s="36"/>
      <c r="AV1299" s="36"/>
      <c r="AW1299" s="36"/>
      <c r="AX1299" s="25"/>
      <c r="AY1299" s="25"/>
      <c r="AZ1299" s="25"/>
      <c r="BA1299" s="25"/>
      <c r="BB1299" s="25"/>
      <c r="BC1299" s="25"/>
      <c r="BD1299" s="25"/>
      <c r="BE1299" s="25"/>
      <c r="BF1299" s="25"/>
      <c r="BG1299" s="25"/>
      <c r="BH1299" s="25"/>
      <c r="BI1299" s="25"/>
      <c r="BJ1299" s="25"/>
      <c r="BK1299" s="25"/>
      <c r="BL1299" s="25"/>
      <c r="BM1299" s="25"/>
      <c r="BN1299" s="25"/>
      <c r="BO1299" s="25"/>
      <c r="BP1299" s="25"/>
      <c r="BQ1299" s="25"/>
      <c r="BR1299" s="25"/>
      <c r="BS1299" s="25"/>
      <c r="BT1299" s="25"/>
      <c r="BU1299" s="25"/>
      <c r="BV1299" s="25"/>
      <c r="BW1299" s="25"/>
      <c r="BX1299" s="25"/>
      <c r="BY1299" s="25"/>
      <c r="BZ1299" s="25"/>
      <c r="CA1299" s="25"/>
      <c r="CB1299" s="25"/>
      <c r="CC1299" s="25"/>
      <c r="CD1299" s="25"/>
      <c r="CE1299" s="200"/>
      <c r="CF1299" s="200"/>
      <c r="CG1299" s="200"/>
      <c r="CH1299" s="200"/>
      <c r="CI1299" s="200"/>
      <c r="CJ1299" s="200"/>
      <c r="CK1299" s="200"/>
      <c r="CL1299" s="200"/>
      <c r="CM1299" s="200"/>
      <c r="CN1299" s="200"/>
      <c r="CO1299" s="200"/>
      <c r="CP1299" s="200"/>
      <c r="CQ1299" s="200"/>
      <c r="CR1299" s="200"/>
      <c r="CS1299" s="200"/>
      <c r="CT1299" s="200"/>
      <c r="CU1299" s="200"/>
    </row>
    <row r="1300" spans="1:99" s="17" customFormat="1" x14ac:dyDescent="0.2">
      <c r="A1300" s="25"/>
      <c r="B1300" s="20">
        <v>39061003800</v>
      </c>
      <c r="C1300" s="20">
        <v>38</v>
      </c>
      <c r="D1300" s="20" t="s">
        <v>37</v>
      </c>
      <c r="E1300" s="20" t="s">
        <v>2828</v>
      </c>
      <c r="F1300" s="20" t="s">
        <v>6</v>
      </c>
      <c r="G1300" s="861">
        <v>52.461881907428598</v>
      </c>
      <c r="H1300" s="861">
        <v>42.920091394977398</v>
      </c>
      <c r="I1300" s="861">
        <v>63.901845679388501</v>
      </c>
      <c r="J1300" s="861">
        <v>68.481507930791494</v>
      </c>
      <c r="K1300" s="982">
        <v>0</v>
      </c>
      <c r="L1300" s="735">
        <v>2155</v>
      </c>
      <c r="M1300" s="735">
        <v>2092</v>
      </c>
      <c r="N1300" s="845">
        <f t="shared" si="113"/>
        <v>-2.923433874709977E-2</v>
      </c>
      <c r="O1300" s="735">
        <v>0.46749249362384143</v>
      </c>
      <c r="P1300" s="735">
        <f t="shared" si="114"/>
        <v>4474.9381616451928</v>
      </c>
      <c r="Q1300" s="849">
        <v>40.799999999999997</v>
      </c>
      <c r="R1300" s="71">
        <v>39526</v>
      </c>
      <c r="S1300" s="845">
        <v>0.32205077152812345</v>
      </c>
      <c r="T1300" s="845">
        <v>0.16600000000000001</v>
      </c>
      <c r="U1300" s="845">
        <v>0</v>
      </c>
      <c r="V1300" s="845">
        <v>0</v>
      </c>
      <c r="W1300" s="845">
        <v>0.57538461538461538</v>
      </c>
      <c r="X1300" s="845">
        <v>0.53297682709447414</v>
      </c>
      <c r="Y1300" s="845">
        <v>0.21414913957934992</v>
      </c>
      <c r="Z1300" s="845">
        <v>0.7576481835564054</v>
      </c>
      <c r="AA1300" s="845">
        <v>1.0038240917782026E-2</v>
      </c>
      <c r="AB1300" s="845">
        <v>4.7801147227533461E-3</v>
      </c>
      <c r="AC1300" s="845">
        <v>0</v>
      </c>
      <c r="AD1300" s="845">
        <v>0</v>
      </c>
      <c r="AE1300" s="845">
        <v>1.338432122370937E-2</v>
      </c>
      <c r="AF1300" s="845">
        <v>3.2982791586998086E-2</v>
      </c>
      <c r="AG1300" s="845">
        <v>0.18116634799235182</v>
      </c>
      <c r="AH1300" s="20" t="str">
        <f t="shared" si="115"/>
        <v>No</v>
      </c>
      <c r="AI1300" s="25"/>
      <c r="AJ1300" s="37">
        <v>43738</v>
      </c>
      <c r="AK1300" s="37" t="s">
        <v>1041</v>
      </c>
      <c r="AL1300" s="37">
        <v>39119</v>
      </c>
      <c r="AM1300" s="37" t="s">
        <v>65</v>
      </c>
      <c r="AN1300" s="37" t="str">
        <f t="shared" si="116"/>
        <v>N/A</v>
      </c>
      <c r="AO1300" s="37" t="str">
        <f t="shared" si="117"/>
        <v>N/A</v>
      </c>
      <c r="AP1300" s="37" t="s">
        <v>8</v>
      </c>
      <c r="AQ1300" s="25"/>
      <c r="AR1300" s="25"/>
      <c r="AS1300" s="25"/>
      <c r="AT1300" s="25"/>
      <c r="AU1300" s="36"/>
      <c r="AV1300" s="36"/>
      <c r="AW1300" s="36"/>
      <c r="AX1300" s="25"/>
      <c r="AY1300" s="25"/>
      <c r="AZ1300" s="25"/>
      <c r="BA1300" s="25"/>
      <c r="BB1300" s="25"/>
      <c r="BC1300" s="25"/>
      <c r="BD1300" s="25"/>
      <c r="BE1300" s="25"/>
      <c r="BF1300" s="25"/>
      <c r="BG1300" s="25"/>
      <c r="BH1300" s="25"/>
      <c r="BI1300" s="25"/>
      <c r="BJ1300" s="25"/>
      <c r="BK1300" s="25"/>
      <c r="BL1300" s="25"/>
      <c r="BM1300" s="25"/>
      <c r="BN1300" s="25"/>
      <c r="BO1300" s="25"/>
      <c r="BP1300" s="25"/>
      <c r="BQ1300" s="25"/>
      <c r="BR1300" s="25"/>
      <c r="BS1300" s="25"/>
      <c r="BT1300" s="25"/>
      <c r="BU1300" s="25"/>
      <c r="BV1300" s="25"/>
      <c r="BW1300" s="25"/>
      <c r="BX1300" s="25"/>
      <c r="BY1300" s="25"/>
      <c r="BZ1300" s="25"/>
      <c r="CA1300" s="25"/>
      <c r="CB1300" s="25"/>
      <c r="CC1300" s="25"/>
      <c r="CD1300" s="25"/>
      <c r="CE1300" s="200"/>
      <c r="CF1300" s="200"/>
      <c r="CG1300" s="200"/>
      <c r="CH1300" s="200"/>
      <c r="CI1300" s="200"/>
      <c r="CJ1300" s="200"/>
      <c r="CK1300" s="200"/>
      <c r="CL1300" s="200"/>
      <c r="CM1300" s="200"/>
      <c r="CN1300" s="200"/>
      <c r="CO1300" s="200"/>
      <c r="CP1300" s="200"/>
      <c r="CQ1300" s="200"/>
      <c r="CR1300" s="200"/>
      <c r="CS1300" s="200"/>
      <c r="CT1300" s="200"/>
      <c r="CU1300" s="200"/>
    </row>
    <row r="1301" spans="1:99" s="17" customFormat="1" x14ac:dyDescent="0.2">
      <c r="A1301" s="25"/>
      <c r="B1301" s="20">
        <v>39085205400</v>
      </c>
      <c r="C1301" s="20">
        <v>2054</v>
      </c>
      <c r="D1301" s="20" t="s">
        <v>48</v>
      </c>
      <c r="E1301" s="20" t="s">
        <v>2829</v>
      </c>
      <c r="F1301" s="20" t="s">
        <v>8</v>
      </c>
      <c r="G1301" s="861">
        <v>52.454436050063002</v>
      </c>
      <c r="H1301" s="861">
        <v>54.0376008701598</v>
      </c>
      <c r="I1301" s="861">
        <v>16.551975611885201</v>
      </c>
      <c r="J1301" s="861">
        <v>49.696358854925599</v>
      </c>
      <c r="K1301" s="982">
        <v>0</v>
      </c>
      <c r="L1301" s="735">
        <v>1615</v>
      </c>
      <c r="M1301" s="735">
        <v>1628</v>
      </c>
      <c r="N1301" s="845">
        <f t="shared" si="113"/>
        <v>8.0495356037151699E-3</v>
      </c>
      <c r="O1301" s="735">
        <v>2.1846652415713215</v>
      </c>
      <c r="P1301" s="735">
        <f t="shared" si="114"/>
        <v>745.19426089695105</v>
      </c>
      <c r="Q1301" s="849">
        <v>36.9</v>
      </c>
      <c r="R1301" s="71">
        <v>97969</v>
      </c>
      <c r="S1301" s="845">
        <v>9.015873015873016E-2</v>
      </c>
      <c r="T1301" s="845">
        <v>2.4E-2</v>
      </c>
      <c r="U1301" s="845">
        <v>0</v>
      </c>
      <c r="V1301" s="845">
        <v>0</v>
      </c>
      <c r="W1301" s="845">
        <v>0.10169491525423729</v>
      </c>
      <c r="X1301" s="845">
        <v>0.35185185185185186</v>
      </c>
      <c r="Y1301" s="845">
        <v>0.92874692874692877</v>
      </c>
      <c r="Z1301" s="845">
        <v>7.3710073710073713E-3</v>
      </c>
      <c r="AA1301" s="845">
        <v>0</v>
      </c>
      <c r="AB1301" s="845">
        <v>1.2285012285012285E-3</v>
      </c>
      <c r="AC1301" s="845">
        <v>0</v>
      </c>
      <c r="AD1301" s="845">
        <v>9.2137592137592136E-3</v>
      </c>
      <c r="AE1301" s="845">
        <v>5.3439803439803438E-2</v>
      </c>
      <c r="AF1301" s="845">
        <v>5.5282555282555282E-2</v>
      </c>
      <c r="AG1301" s="845">
        <v>0.88390663390663393</v>
      </c>
      <c r="AH1301" s="20" t="str">
        <f t="shared" si="115"/>
        <v>No</v>
      </c>
      <c r="AI1301" s="25"/>
      <c r="AJ1301" s="37">
        <v>43740</v>
      </c>
      <c r="AK1301" s="37" t="s">
        <v>1043</v>
      </c>
      <c r="AL1301" s="37">
        <v>39119</v>
      </c>
      <c r="AM1301" s="37" t="s">
        <v>65</v>
      </c>
      <c r="AN1301" s="37" t="str">
        <f t="shared" si="116"/>
        <v>N/A</v>
      </c>
      <c r="AO1301" s="37" t="str">
        <f t="shared" si="117"/>
        <v>N/A</v>
      </c>
      <c r="AP1301" s="37" t="s">
        <v>8</v>
      </c>
      <c r="AQ1301" s="25"/>
      <c r="AR1301" s="25"/>
      <c r="AS1301" s="25"/>
      <c r="AT1301" s="25"/>
      <c r="AU1301" s="36"/>
      <c r="AV1301" s="36"/>
      <c r="AW1301" s="36"/>
      <c r="AX1301" s="25"/>
      <c r="AY1301" s="25"/>
      <c r="AZ1301" s="25"/>
      <c r="BA1301" s="25"/>
      <c r="BB1301" s="25"/>
      <c r="BC1301" s="25"/>
      <c r="BD1301" s="25"/>
      <c r="BE1301" s="25"/>
      <c r="BF1301" s="25"/>
      <c r="BG1301" s="25"/>
      <c r="BH1301" s="25"/>
      <c r="BI1301" s="25"/>
      <c r="BJ1301" s="25"/>
      <c r="BK1301" s="25"/>
      <c r="BL1301" s="25"/>
      <c r="BM1301" s="25"/>
      <c r="BN1301" s="25"/>
      <c r="BO1301" s="25"/>
      <c r="BP1301" s="25"/>
      <c r="BQ1301" s="25"/>
      <c r="BR1301" s="25"/>
      <c r="BS1301" s="25"/>
      <c r="BT1301" s="25"/>
      <c r="BU1301" s="25"/>
      <c r="BV1301" s="25"/>
      <c r="BW1301" s="25"/>
      <c r="BX1301" s="25"/>
      <c r="BY1301" s="25"/>
      <c r="BZ1301" s="25"/>
      <c r="CA1301" s="25"/>
      <c r="CB1301" s="25"/>
      <c r="CC1301" s="25"/>
      <c r="CD1301" s="25"/>
      <c r="CE1301" s="200"/>
      <c r="CF1301" s="200"/>
      <c r="CG1301" s="200"/>
      <c r="CH1301" s="200"/>
      <c r="CI1301" s="200"/>
      <c r="CJ1301" s="200"/>
      <c r="CK1301" s="200"/>
      <c r="CL1301" s="200"/>
      <c r="CM1301" s="200"/>
      <c r="CN1301" s="200"/>
      <c r="CO1301" s="200"/>
      <c r="CP1301" s="200"/>
      <c r="CQ1301" s="200"/>
      <c r="CR1301" s="200"/>
      <c r="CS1301" s="200"/>
      <c r="CT1301" s="200"/>
      <c r="CU1301" s="200"/>
    </row>
    <row r="1302" spans="1:99" s="17" customFormat="1" x14ac:dyDescent="0.2">
      <c r="A1302" s="25"/>
      <c r="B1302" s="20">
        <v>39035177606</v>
      </c>
      <c r="C1302" s="20">
        <v>1776.06</v>
      </c>
      <c r="D1302" s="20" t="s">
        <v>24</v>
      </c>
      <c r="E1302" s="20" t="s">
        <v>2829</v>
      </c>
      <c r="F1302" s="20" t="s">
        <v>8</v>
      </c>
      <c r="G1302" s="861">
        <v>52.448653143861598</v>
      </c>
      <c r="H1302" s="861">
        <v>54.747689001854603</v>
      </c>
      <c r="I1302" s="861">
        <v>33.594628809780403</v>
      </c>
      <c r="J1302" s="861">
        <v>30.737162319585099</v>
      </c>
      <c r="K1302" s="982">
        <v>0</v>
      </c>
      <c r="L1302" s="735">
        <v>3561</v>
      </c>
      <c r="M1302" s="735">
        <v>3279</v>
      </c>
      <c r="N1302" s="845">
        <f t="shared" si="113"/>
        <v>-7.919123841617523E-2</v>
      </c>
      <c r="O1302" s="735">
        <v>1.2255384446533233</v>
      </c>
      <c r="P1302" s="735">
        <f t="shared" si="114"/>
        <v>2675.5586610157739</v>
      </c>
      <c r="Q1302" s="849">
        <v>53.7</v>
      </c>
      <c r="R1302" s="71">
        <v>61406</v>
      </c>
      <c r="S1302" s="845">
        <v>7.3307034845496388E-2</v>
      </c>
      <c r="T1302" s="845">
        <v>2.5000000000000001E-2</v>
      </c>
      <c r="U1302" s="845">
        <v>0</v>
      </c>
      <c r="V1302" s="845">
        <v>2.8999999999999998E-2</v>
      </c>
      <c r="W1302" s="845">
        <v>0.28507078507078509</v>
      </c>
      <c r="X1302" s="845">
        <v>0.42889390519187359</v>
      </c>
      <c r="Y1302" s="845">
        <v>0.79383958523940223</v>
      </c>
      <c r="Z1302" s="845">
        <v>4.2390972857578528E-2</v>
      </c>
      <c r="AA1302" s="845">
        <v>0</v>
      </c>
      <c r="AB1302" s="845">
        <v>6.7093626105519971E-2</v>
      </c>
      <c r="AC1302" s="845">
        <v>0</v>
      </c>
      <c r="AD1302" s="845">
        <v>3.5071668191521806E-2</v>
      </c>
      <c r="AE1302" s="845">
        <v>6.1604147605977433E-2</v>
      </c>
      <c r="AF1302" s="845">
        <v>5.9164379383958521E-2</v>
      </c>
      <c r="AG1302" s="845">
        <v>0.7831655992680695</v>
      </c>
      <c r="AH1302" s="20" t="str">
        <f t="shared" si="115"/>
        <v>No</v>
      </c>
      <c r="AI1302" s="25"/>
      <c r="AJ1302" s="37">
        <v>43746</v>
      </c>
      <c r="AK1302" s="37" t="s">
        <v>1044</v>
      </c>
      <c r="AL1302" s="37">
        <v>39119</v>
      </c>
      <c r="AM1302" s="37" t="s">
        <v>65</v>
      </c>
      <c r="AN1302" s="37" t="str">
        <f t="shared" si="116"/>
        <v>N/A</v>
      </c>
      <c r="AO1302" s="37" t="str">
        <f t="shared" si="117"/>
        <v>N/A</v>
      </c>
      <c r="AP1302" s="37" t="s">
        <v>8</v>
      </c>
      <c r="AQ1302" s="25"/>
      <c r="AR1302" s="25"/>
      <c r="AS1302" s="25"/>
      <c r="AT1302" s="25"/>
      <c r="AU1302" s="36"/>
      <c r="AV1302" s="36"/>
      <c r="AW1302" s="36"/>
      <c r="AX1302" s="25"/>
      <c r="AY1302" s="25"/>
      <c r="AZ1302" s="25"/>
      <c r="BA1302" s="25"/>
      <c r="BB1302" s="25"/>
      <c r="BC1302" s="25"/>
      <c r="BD1302" s="25"/>
      <c r="BE1302" s="25"/>
      <c r="BF1302" s="25"/>
      <c r="BG1302" s="25"/>
      <c r="BH1302" s="25"/>
      <c r="BI1302" s="25"/>
      <c r="BJ1302" s="25"/>
      <c r="BK1302" s="25"/>
      <c r="BL1302" s="25"/>
      <c r="BM1302" s="25"/>
      <c r="BN1302" s="25"/>
      <c r="BO1302" s="25"/>
      <c r="BP1302" s="25"/>
      <c r="BQ1302" s="25"/>
      <c r="BR1302" s="25"/>
      <c r="BS1302" s="25"/>
      <c r="BT1302" s="25"/>
      <c r="BU1302" s="25"/>
      <c r="BV1302" s="25"/>
      <c r="BW1302" s="25"/>
      <c r="BX1302" s="25"/>
      <c r="BY1302" s="25"/>
      <c r="BZ1302" s="25"/>
      <c r="CA1302" s="25"/>
      <c r="CB1302" s="25"/>
      <c r="CC1302" s="25"/>
      <c r="CD1302" s="25"/>
      <c r="CE1302" s="200"/>
      <c r="CF1302" s="200"/>
      <c r="CG1302" s="200"/>
      <c r="CH1302" s="200"/>
      <c r="CI1302" s="200"/>
      <c r="CJ1302" s="200"/>
      <c r="CK1302" s="200"/>
      <c r="CL1302" s="200"/>
      <c r="CM1302" s="200"/>
      <c r="CN1302" s="200"/>
      <c r="CO1302" s="200"/>
      <c r="CP1302" s="200"/>
      <c r="CQ1302" s="200"/>
      <c r="CR1302" s="200"/>
      <c r="CS1302" s="200"/>
      <c r="CT1302" s="200"/>
      <c r="CU1302" s="200"/>
    </row>
    <row r="1303" spans="1:99" s="17" customFormat="1" x14ac:dyDescent="0.2">
      <c r="A1303" s="25"/>
      <c r="B1303" s="20">
        <v>39043041300</v>
      </c>
      <c r="C1303" s="20">
        <v>413</v>
      </c>
      <c r="D1303" s="20" t="s">
        <v>28</v>
      </c>
      <c r="E1303" s="20" t="s">
        <v>2837</v>
      </c>
      <c r="F1303" s="20" t="s">
        <v>6</v>
      </c>
      <c r="G1303" s="861">
        <v>52.4368638998546</v>
      </c>
      <c r="H1303" s="861">
        <v>42.7753290729515</v>
      </c>
      <c r="I1303" s="861">
        <v>40.931640592555397</v>
      </c>
      <c r="J1303" s="861">
        <v>40.793138651258701</v>
      </c>
      <c r="K1303" s="982">
        <v>0</v>
      </c>
      <c r="L1303" s="735">
        <v>3763</v>
      </c>
      <c r="M1303" s="735">
        <v>3512</v>
      </c>
      <c r="N1303" s="845">
        <f t="shared" si="113"/>
        <v>-6.6702099388785546E-2</v>
      </c>
      <c r="O1303" s="735">
        <v>1.1823988643716206</v>
      </c>
      <c r="P1303" s="735">
        <f t="shared" si="114"/>
        <v>2970.2328933362373</v>
      </c>
      <c r="Q1303" s="849">
        <v>42.1</v>
      </c>
      <c r="R1303" s="71">
        <v>43292</v>
      </c>
      <c r="S1303" s="845">
        <v>0.22460824143934996</v>
      </c>
      <c r="T1303" s="845">
        <v>5.5999999999999994E-2</v>
      </c>
      <c r="U1303" s="845">
        <v>0.05</v>
      </c>
      <c r="V1303" s="845">
        <v>0.106</v>
      </c>
      <c r="W1303" s="845">
        <v>0.48528449967298887</v>
      </c>
      <c r="X1303" s="845">
        <v>0.54582210242587603</v>
      </c>
      <c r="Y1303" s="845">
        <v>0.69419134396355353</v>
      </c>
      <c r="Z1303" s="845">
        <v>0.21839407744874714</v>
      </c>
      <c r="AA1303" s="845">
        <v>6.2642369020501137E-3</v>
      </c>
      <c r="AB1303" s="845">
        <v>0</v>
      </c>
      <c r="AC1303" s="845">
        <v>0</v>
      </c>
      <c r="AD1303" s="845">
        <v>1.366742596810934E-2</v>
      </c>
      <c r="AE1303" s="845">
        <v>6.7482915717539865E-2</v>
      </c>
      <c r="AF1303" s="845">
        <v>5.5808656036446469E-2</v>
      </c>
      <c r="AG1303" s="845">
        <v>0.67226651480637811</v>
      </c>
      <c r="AH1303" s="20" t="str">
        <f t="shared" si="115"/>
        <v>No</v>
      </c>
      <c r="AI1303" s="25"/>
      <c r="AJ1303" s="37">
        <v>43756</v>
      </c>
      <c r="AK1303" s="37" t="s">
        <v>1051</v>
      </c>
      <c r="AL1303" s="37">
        <v>39119</v>
      </c>
      <c r="AM1303" s="37" t="s">
        <v>65</v>
      </c>
      <c r="AN1303" s="37" t="str">
        <f t="shared" si="116"/>
        <v>N/A</v>
      </c>
      <c r="AO1303" s="37" t="str">
        <f t="shared" si="117"/>
        <v>N/A</v>
      </c>
      <c r="AP1303" s="37" t="s">
        <v>8</v>
      </c>
      <c r="AQ1303" s="25"/>
      <c r="AR1303" s="25"/>
      <c r="AS1303" s="25"/>
      <c r="AT1303" s="25"/>
      <c r="AU1303" s="36"/>
      <c r="AV1303" s="36"/>
      <c r="AW1303" s="36"/>
      <c r="AX1303" s="25"/>
      <c r="AY1303" s="25"/>
      <c r="AZ1303" s="25"/>
      <c r="BA1303" s="25"/>
      <c r="BB1303" s="25"/>
      <c r="BC1303" s="25"/>
      <c r="BD1303" s="25"/>
      <c r="BE1303" s="25"/>
      <c r="BF1303" s="25"/>
      <c r="BG1303" s="25"/>
      <c r="BH1303" s="25"/>
      <c r="BI1303" s="25"/>
      <c r="BJ1303" s="25"/>
      <c r="BK1303" s="25"/>
      <c r="BL1303" s="25"/>
      <c r="BM1303" s="25"/>
      <c r="BN1303" s="25"/>
      <c r="BO1303" s="25"/>
      <c r="BP1303" s="25"/>
      <c r="BQ1303" s="25"/>
      <c r="BR1303" s="25"/>
      <c r="BS1303" s="25"/>
      <c r="BT1303" s="25"/>
      <c r="BU1303" s="25"/>
      <c r="BV1303" s="25"/>
      <c r="BW1303" s="25"/>
      <c r="BX1303" s="25"/>
      <c r="BY1303" s="25"/>
      <c r="BZ1303" s="25"/>
      <c r="CA1303" s="25"/>
      <c r="CB1303" s="25"/>
      <c r="CC1303" s="25"/>
      <c r="CD1303" s="25"/>
      <c r="CE1303" s="200"/>
      <c r="CF1303" s="200"/>
      <c r="CG1303" s="200"/>
      <c r="CH1303" s="200"/>
      <c r="CI1303" s="200"/>
      <c r="CJ1303" s="200"/>
      <c r="CK1303" s="200"/>
      <c r="CL1303" s="200"/>
      <c r="CM1303" s="200"/>
      <c r="CN1303" s="200"/>
      <c r="CO1303" s="200"/>
      <c r="CP1303" s="200"/>
      <c r="CQ1303" s="200"/>
      <c r="CR1303" s="200"/>
      <c r="CS1303" s="200"/>
      <c r="CT1303" s="200"/>
      <c r="CU1303" s="200"/>
    </row>
    <row r="1304" spans="1:99" s="17" customFormat="1" x14ac:dyDescent="0.2">
      <c r="A1304" s="25"/>
      <c r="B1304" s="20">
        <v>39171950200</v>
      </c>
      <c r="C1304" s="20">
        <v>9502</v>
      </c>
      <c r="D1304" s="20" t="s">
        <v>91</v>
      </c>
      <c r="E1304" s="20" t="s">
        <v>265</v>
      </c>
      <c r="F1304" s="20" t="s">
        <v>8</v>
      </c>
      <c r="G1304" s="861">
        <v>52.422129288305499</v>
      </c>
      <c r="H1304" s="861">
        <v>55.070942091243097</v>
      </c>
      <c r="I1304" s="861">
        <v>16.983227045366402</v>
      </c>
      <c r="J1304" s="861">
        <v>60.638453632008599</v>
      </c>
      <c r="K1304" s="982">
        <v>0</v>
      </c>
      <c r="L1304" s="735">
        <v>4150</v>
      </c>
      <c r="M1304" s="735">
        <v>4052</v>
      </c>
      <c r="N1304" s="845">
        <f t="shared" si="113"/>
        <v>-2.3614457831325302E-2</v>
      </c>
      <c r="O1304" s="735">
        <v>104.50280715767457</v>
      </c>
      <c r="P1304" s="735">
        <f t="shared" si="114"/>
        <v>38.77407803874889</v>
      </c>
      <c r="Q1304" s="849">
        <v>38.200000000000003</v>
      </c>
      <c r="R1304" s="71">
        <v>87981</v>
      </c>
      <c r="S1304" s="845">
        <v>9.0976698066435296E-2</v>
      </c>
      <c r="T1304" s="845">
        <v>0.03</v>
      </c>
      <c r="U1304" s="845">
        <v>5.0000000000000001E-3</v>
      </c>
      <c r="V1304" s="845">
        <v>0</v>
      </c>
      <c r="W1304" s="845">
        <v>0.11191099476439791</v>
      </c>
      <c r="X1304" s="845">
        <v>0.2807017543859649</v>
      </c>
      <c r="Y1304" s="845">
        <v>0.910167818361303</v>
      </c>
      <c r="Z1304" s="845">
        <v>6.9101678183613032E-3</v>
      </c>
      <c r="AA1304" s="845">
        <v>0</v>
      </c>
      <c r="AB1304" s="845">
        <v>5.9230009871668312E-3</v>
      </c>
      <c r="AC1304" s="845">
        <v>0</v>
      </c>
      <c r="AD1304" s="845">
        <v>3.998025666337611E-2</v>
      </c>
      <c r="AE1304" s="845">
        <v>3.7018756169792694E-2</v>
      </c>
      <c r="AF1304" s="845">
        <v>7.7492596248766046E-2</v>
      </c>
      <c r="AG1304" s="845">
        <v>0.859822309970385</v>
      </c>
      <c r="AH1304" s="20" t="str">
        <f t="shared" si="115"/>
        <v>No</v>
      </c>
      <c r="AI1304" s="25"/>
      <c r="AJ1304" s="37">
        <v>43760</v>
      </c>
      <c r="AK1304" s="37" t="s">
        <v>1054</v>
      </c>
      <c r="AL1304" s="37">
        <v>39119</v>
      </c>
      <c r="AM1304" s="37" t="s">
        <v>65</v>
      </c>
      <c r="AN1304" s="37" t="str">
        <f t="shared" si="116"/>
        <v>N/A</v>
      </c>
      <c r="AO1304" s="37" t="str">
        <f t="shared" si="117"/>
        <v>N/A</v>
      </c>
      <c r="AP1304" s="37" t="s">
        <v>8</v>
      </c>
      <c r="AQ1304" s="25"/>
      <c r="AR1304" s="25"/>
      <c r="AS1304" s="25"/>
      <c r="AT1304" s="25"/>
      <c r="AU1304" s="36"/>
      <c r="AV1304" s="36"/>
      <c r="AW1304" s="36"/>
      <c r="AX1304" s="25"/>
      <c r="AY1304" s="25"/>
      <c r="AZ1304" s="25"/>
      <c r="BA1304" s="25"/>
      <c r="BB1304" s="25"/>
      <c r="BC1304" s="25"/>
      <c r="BD1304" s="25"/>
      <c r="BE1304" s="25"/>
      <c r="BF1304" s="25"/>
      <c r="BG1304" s="25"/>
      <c r="BH1304" s="25"/>
      <c r="BI1304" s="25"/>
      <c r="BJ1304" s="25"/>
      <c r="BK1304" s="25"/>
      <c r="BL1304" s="25"/>
      <c r="BM1304" s="25"/>
      <c r="BN1304" s="25"/>
      <c r="BO1304" s="25"/>
      <c r="BP1304" s="25"/>
      <c r="BQ1304" s="25"/>
      <c r="BR1304" s="25"/>
      <c r="BS1304" s="25"/>
      <c r="BT1304" s="25"/>
      <c r="BU1304" s="25"/>
      <c r="BV1304" s="25"/>
      <c r="BW1304" s="25"/>
      <c r="BX1304" s="25"/>
      <c r="BY1304" s="25"/>
      <c r="BZ1304" s="25"/>
      <c r="CA1304" s="25"/>
      <c r="CB1304" s="25"/>
      <c r="CC1304" s="25"/>
      <c r="CD1304" s="25"/>
      <c r="CE1304" s="200"/>
      <c r="CF1304" s="200"/>
      <c r="CG1304" s="200"/>
      <c r="CH1304" s="200"/>
      <c r="CI1304" s="200"/>
      <c r="CJ1304" s="200"/>
      <c r="CK1304" s="200"/>
      <c r="CL1304" s="200"/>
      <c r="CM1304" s="200"/>
      <c r="CN1304" s="200"/>
      <c r="CO1304" s="200"/>
      <c r="CP1304" s="200"/>
      <c r="CQ1304" s="200"/>
      <c r="CR1304" s="200"/>
      <c r="CS1304" s="200"/>
      <c r="CT1304" s="200"/>
      <c r="CU1304" s="200"/>
    </row>
    <row r="1305" spans="1:99" s="17" customFormat="1" x14ac:dyDescent="0.2">
      <c r="A1305" s="25"/>
      <c r="B1305" s="20">
        <v>39147962900</v>
      </c>
      <c r="C1305" s="20">
        <v>9629</v>
      </c>
      <c r="D1305" s="20" t="s">
        <v>79</v>
      </c>
      <c r="E1305" s="20" t="s">
        <v>265</v>
      </c>
      <c r="F1305" s="20" t="s">
        <v>8</v>
      </c>
      <c r="G1305" s="861">
        <v>52.391379482810898</v>
      </c>
      <c r="H1305" s="861">
        <v>64.165107889496397</v>
      </c>
      <c r="I1305" s="861">
        <v>46.465779487845701</v>
      </c>
      <c r="J1305" s="861">
        <v>48.075665677851603</v>
      </c>
      <c r="K1305" s="982">
        <v>0</v>
      </c>
      <c r="L1305" s="735">
        <v>3946</v>
      </c>
      <c r="M1305" s="735">
        <v>4062</v>
      </c>
      <c r="N1305" s="845">
        <f t="shared" si="113"/>
        <v>2.9396857577293461E-2</v>
      </c>
      <c r="O1305" s="735">
        <v>0.91520149874355994</v>
      </c>
      <c r="P1305" s="735">
        <f t="shared" si="114"/>
        <v>4438.3668575461706</v>
      </c>
      <c r="Q1305" s="849">
        <v>29.9</v>
      </c>
      <c r="R1305" s="71">
        <v>60194</v>
      </c>
      <c r="S1305" s="845">
        <v>0.16484878532473971</v>
      </c>
      <c r="T1305" s="845">
        <v>7.5999999999999998E-2</v>
      </c>
      <c r="U1305" s="845">
        <v>0.01</v>
      </c>
      <c r="V1305" s="845">
        <v>0.04</v>
      </c>
      <c r="W1305" s="845">
        <v>0.44429254955570746</v>
      </c>
      <c r="X1305" s="845">
        <v>0.3923076923076923</v>
      </c>
      <c r="Y1305" s="845">
        <v>0.84736582964057117</v>
      </c>
      <c r="Z1305" s="845">
        <v>4.849827671097981E-2</v>
      </c>
      <c r="AA1305" s="845">
        <v>1.2309207287050715E-3</v>
      </c>
      <c r="AB1305" s="845">
        <v>0</v>
      </c>
      <c r="AC1305" s="845">
        <v>0</v>
      </c>
      <c r="AD1305" s="845">
        <v>5.982274741506647E-2</v>
      </c>
      <c r="AE1305" s="845">
        <v>4.3082225504677496E-2</v>
      </c>
      <c r="AF1305" s="845">
        <v>0.15091088133924174</v>
      </c>
      <c r="AG1305" s="845">
        <v>0.76587887740029537</v>
      </c>
      <c r="AH1305" s="20" t="str">
        <f t="shared" si="115"/>
        <v>No</v>
      </c>
      <c r="AI1305" s="25"/>
      <c r="AJ1305" s="37">
        <v>43762</v>
      </c>
      <c r="AK1305" s="37" t="s">
        <v>1056</v>
      </c>
      <c r="AL1305" s="37">
        <v>39119</v>
      </c>
      <c r="AM1305" s="37" t="s">
        <v>65</v>
      </c>
      <c r="AN1305" s="37" t="str">
        <f t="shared" si="116"/>
        <v>N/A</v>
      </c>
      <c r="AO1305" s="37" t="str">
        <f t="shared" si="117"/>
        <v>N/A</v>
      </c>
      <c r="AP1305" s="37" t="s">
        <v>8</v>
      </c>
      <c r="AQ1305" s="25"/>
      <c r="AR1305" s="25"/>
      <c r="AS1305" s="25"/>
      <c r="AT1305" s="25"/>
      <c r="AU1305" s="36"/>
      <c r="AV1305" s="36"/>
      <c r="AW1305" s="36"/>
      <c r="AX1305" s="25"/>
      <c r="AY1305" s="25"/>
      <c r="AZ1305" s="25"/>
      <c r="BA1305" s="25"/>
      <c r="BB1305" s="25"/>
      <c r="BC1305" s="25"/>
      <c r="BD1305" s="25"/>
      <c r="BE1305" s="25"/>
      <c r="BF1305" s="25"/>
      <c r="BG1305" s="25"/>
      <c r="BH1305" s="25"/>
      <c r="BI1305" s="25"/>
      <c r="BJ1305" s="25"/>
      <c r="BK1305" s="25"/>
      <c r="BL1305" s="25"/>
      <c r="BM1305" s="25"/>
      <c r="BN1305" s="25"/>
      <c r="BO1305" s="25"/>
      <c r="BP1305" s="25"/>
      <c r="BQ1305" s="25"/>
      <c r="BR1305" s="25"/>
      <c r="BS1305" s="25"/>
      <c r="BT1305" s="25"/>
      <c r="BU1305" s="25"/>
      <c r="BV1305" s="25"/>
      <c r="BW1305" s="25"/>
      <c r="BX1305" s="25"/>
      <c r="BY1305" s="25"/>
      <c r="BZ1305" s="25"/>
      <c r="CA1305" s="25"/>
      <c r="CB1305" s="25"/>
      <c r="CC1305" s="25"/>
      <c r="CD1305" s="25"/>
      <c r="CE1305" s="200"/>
      <c r="CF1305" s="200"/>
      <c r="CG1305" s="200"/>
      <c r="CH1305" s="200"/>
      <c r="CI1305" s="200"/>
      <c r="CJ1305" s="200"/>
      <c r="CK1305" s="200"/>
      <c r="CL1305" s="200"/>
      <c r="CM1305" s="200"/>
      <c r="CN1305" s="200"/>
      <c r="CO1305" s="200"/>
      <c r="CP1305" s="200"/>
      <c r="CQ1305" s="200"/>
      <c r="CR1305" s="200"/>
      <c r="CS1305" s="200"/>
      <c r="CT1305" s="200"/>
      <c r="CU1305" s="200"/>
    </row>
    <row r="1306" spans="1:99" s="17" customFormat="1" x14ac:dyDescent="0.2">
      <c r="A1306" s="25"/>
      <c r="B1306" s="20">
        <v>39009973800</v>
      </c>
      <c r="C1306" s="20">
        <v>9738</v>
      </c>
      <c r="D1306" s="20" t="s">
        <v>11</v>
      </c>
      <c r="E1306" s="20" t="s">
        <v>265</v>
      </c>
      <c r="F1306" s="20" t="s">
        <v>8</v>
      </c>
      <c r="G1306" s="861">
        <v>52.377209343031602</v>
      </c>
      <c r="H1306" s="861">
        <v>51.617220103760999</v>
      </c>
      <c r="I1306" s="861">
        <v>26.695928882815</v>
      </c>
      <c r="J1306" s="861">
        <v>57.930547638627203</v>
      </c>
      <c r="K1306" s="982">
        <v>1</v>
      </c>
      <c r="L1306" s="735">
        <v>4922</v>
      </c>
      <c r="M1306" s="735">
        <v>4926</v>
      </c>
      <c r="N1306" s="845">
        <f t="shared" si="113"/>
        <v>8.1267777326290123E-4</v>
      </c>
      <c r="O1306" s="735">
        <v>59.308724008003267</v>
      </c>
      <c r="P1306" s="735">
        <f t="shared" si="114"/>
        <v>83.056920923391871</v>
      </c>
      <c r="Q1306" s="849">
        <v>40.9</v>
      </c>
      <c r="R1306" s="71">
        <v>77820</v>
      </c>
      <c r="S1306" s="845">
        <v>7.404393816110659E-2</v>
      </c>
      <c r="T1306" s="845">
        <v>3.0000000000000001E-3</v>
      </c>
      <c r="U1306" s="845">
        <v>5.0000000000000001E-3</v>
      </c>
      <c r="V1306" s="845">
        <v>2.3E-2</v>
      </c>
      <c r="W1306" s="845">
        <v>0.19884726224783861</v>
      </c>
      <c r="X1306" s="845">
        <v>0.28115942028985508</v>
      </c>
      <c r="Y1306" s="845">
        <v>0.97990255785627289</v>
      </c>
      <c r="Z1306" s="845">
        <v>2.4360535931790498E-3</v>
      </c>
      <c r="AA1306" s="845">
        <v>8.1201786439301664E-4</v>
      </c>
      <c r="AB1306" s="845">
        <v>0</v>
      </c>
      <c r="AC1306" s="845">
        <v>0</v>
      </c>
      <c r="AD1306" s="845">
        <v>1.075923670320747E-2</v>
      </c>
      <c r="AE1306" s="845">
        <v>6.0901339829476245E-3</v>
      </c>
      <c r="AF1306" s="845">
        <v>1.2586276898091758E-2</v>
      </c>
      <c r="AG1306" s="845">
        <v>0.97990255785627289</v>
      </c>
      <c r="AH1306" s="20" t="str">
        <f t="shared" si="115"/>
        <v>Yes</v>
      </c>
      <c r="AI1306" s="25"/>
      <c r="AJ1306" s="37">
        <v>43767</v>
      </c>
      <c r="AK1306" s="37" t="s">
        <v>1059</v>
      </c>
      <c r="AL1306" s="37">
        <v>39119</v>
      </c>
      <c r="AM1306" s="37" t="s">
        <v>65</v>
      </c>
      <c r="AN1306" s="37" t="str">
        <f t="shared" si="116"/>
        <v>N/A</v>
      </c>
      <c r="AO1306" s="37" t="str">
        <f t="shared" si="117"/>
        <v>N/A</v>
      </c>
      <c r="AP1306" s="37" t="s">
        <v>8</v>
      </c>
      <c r="AQ1306" s="25"/>
      <c r="AR1306" s="25"/>
      <c r="AS1306" s="25"/>
      <c r="AT1306" s="25"/>
      <c r="AU1306" s="36"/>
      <c r="AV1306" s="36"/>
      <c r="AW1306" s="36"/>
      <c r="AX1306" s="25"/>
      <c r="AY1306" s="25"/>
      <c r="AZ1306" s="25"/>
      <c r="BA1306" s="25"/>
      <c r="BB1306" s="25"/>
      <c r="BC1306" s="25"/>
      <c r="BD1306" s="25"/>
      <c r="BE1306" s="25"/>
      <c r="BF1306" s="25"/>
      <c r="BG1306" s="25"/>
      <c r="BH1306" s="25"/>
      <c r="BI1306" s="25"/>
      <c r="BJ1306" s="25"/>
      <c r="BK1306" s="25"/>
      <c r="BL1306" s="25"/>
      <c r="BM1306" s="25"/>
      <c r="BN1306" s="25"/>
      <c r="BO1306" s="25"/>
      <c r="BP1306" s="25"/>
      <c r="BQ1306" s="25"/>
      <c r="BR1306" s="25"/>
      <c r="BS1306" s="25"/>
      <c r="BT1306" s="25"/>
      <c r="BU1306" s="25"/>
      <c r="BV1306" s="25"/>
      <c r="BW1306" s="25"/>
      <c r="BX1306" s="25"/>
      <c r="BY1306" s="25"/>
      <c r="BZ1306" s="25"/>
      <c r="CA1306" s="25"/>
      <c r="CB1306" s="25"/>
      <c r="CC1306" s="25"/>
      <c r="CD1306" s="25"/>
      <c r="CE1306" s="200"/>
      <c r="CF1306" s="200"/>
      <c r="CG1306" s="200"/>
      <c r="CH1306" s="200"/>
      <c r="CI1306" s="200"/>
      <c r="CJ1306" s="200"/>
      <c r="CK1306" s="200"/>
      <c r="CL1306" s="200"/>
      <c r="CM1306" s="200"/>
      <c r="CN1306" s="200"/>
      <c r="CO1306" s="200"/>
      <c r="CP1306" s="200"/>
      <c r="CQ1306" s="200"/>
      <c r="CR1306" s="200"/>
      <c r="CS1306" s="200"/>
      <c r="CT1306" s="200"/>
      <c r="CU1306" s="200"/>
    </row>
    <row r="1307" spans="1:99" s="17" customFormat="1" x14ac:dyDescent="0.2">
      <c r="A1307" s="25"/>
      <c r="B1307" s="20">
        <v>39109300100</v>
      </c>
      <c r="C1307" s="20">
        <v>3001</v>
      </c>
      <c r="D1307" s="20" t="s">
        <v>60</v>
      </c>
      <c r="E1307" s="20" t="s">
        <v>2833</v>
      </c>
      <c r="F1307" s="20" t="s">
        <v>8</v>
      </c>
      <c r="G1307" s="861">
        <v>52.370843204857103</v>
      </c>
      <c r="H1307" s="861">
        <v>55.252042488323198</v>
      </c>
      <c r="I1307" s="861">
        <v>34.559550897612603</v>
      </c>
      <c r="J1307" s="861">
        <v>36.515343470312096</v>
      </c>
      <c r="K1307" s="982">
        <v>0</v>
      </c>
      <c r="L1307" s="735">
        <v>4545</v>
      </c>
      <c r="M1307" s="735">
        <v>4759</v>
      </c>
      <c r="N1307" s="845">
        <f t="shared" si="113"/>
        <v>4.7084708470847086E-2</v>
      </c>
      <c r="O1307" s="735">
        <v>26.714158931023047</v>
      </c>
      <c r="P1307" s="735">
        <f t="shared" si="114"/>
        <v>178.14523048574785</v>
      </c>
      <c r="Q1307" s="849">
        <v>45.3</v>
      </c>
      <c r="R1307" s="71">
        <v>57125</v>
      </c>
      <c r="S1307" s="845">
        <v>0.11123133520882926</v>
      </c>
      <c r="T1307" s="845">
        <v>2.8999999999999998E-2</v>
      </c>
      <c r="U1307" s="845">
        <v>0</v>
      </c>
      <c r="V1307" s="845">
        <v>3.2000000000000001E-2</v>
      </c>
      <c r="W1307" s="845">
        <v>0.35532746823069405</v>
      </c>
      <c r="X1307" s="845">
        <v>0.48830811554332876</v>
      </c>
      <c r="Y1307" s="845">
        <v>0.91805001050640889</v>
      </c>
      <c r="Z1307" s="845">
        <v>2.794704769909645E-2</v>
      </c>
      <c r="AA1307" s="845">
        <v>0</v>
      </c>
      <c r="AB1307" s="845">
        <v>2.8577432233662534E-2</v>
      </c>
      <c r="AC1307" s="845">
        <v>0</v>
      </c>
      <c r="AD1307" s="845">
        <v>0</v>
      </c>
      <c r="AE1307" s="845">
        <v>2.5425509560832109E-2</v>
      </c>
      <c r="AF1307" s="845">
        <v>1.8491279680605169E-2</v>
      </c>
      <c r="AG1307" s="845">
        <v>0.91805001050640889</v>
      </c>
      <c r="AH1307" s="20" t="str">
        <f t="shared" si="115"/>
        <v>Yes</v>
      </c>
      <c r="AI1307" s="25"/>
      <c r="AJ1307" s="37">
        <v>43771</v>
      </c>
      <c r="AK1307" s="37" t="s">
        <v>1061</v>
      </c>
      <c r="AL1307" s="37">
        <v>39119</v>
      </c>
      <c r="AM1307" s="37" t="s">
        <v>65</v>
      </c>
      <c r="AN1307" s="37" t="str">
        <f t="shared" si="116"/>
        <v>N/A</v>
      </c>
      <c r="AO1307" s="37" t="str">
        <f t="shared" si="117"/>
        <v>N/A</v>
      </c>
      <c r="AP1307" s="37" t="s">
        <v>8</v>
      </c>
      <c r="AQ1307" s="25"/>
      <c r="AR1307" s="25"/>
      <c r="AS1307" s="25"/>
      <c r="AT1307" s="25"/>
      <c r="AU1307" s="36"/>
      <c r="AV1307" s="36"/>
      <c r="AW1307" s="36"/>
      <c r="AX1307" s="25"/>
      <c r="AY1307" s="25"/>
      <c r="AZ1307" s="25"/>
      <c r="BA1307" s="25"/>
      <c r="BB1307" s="25"/>
      <c r="BC1307" s="25"/>
      <c r="BD1307" s="25"/>
      <c r="BE1307" s="25"/>
      <c r="BF1307" s="25"/>
      <c r="BG1307" s="25"/>
      <c r="BH1307" s="25"/>
      <c r="BI1307" s="25"/>
      <c r="BJ1307" s="25"/>
      <c r="BK1307" s="25"/>
      <c r="BL1307" s="25"/>
      <c r="BM1307" s="25"/>
      <c r="BN1307" s="25"/>
      <c r="BO1307" s="25"/>
      <c r="BP1307" s="25"/>
      <c r="BQ1307" s="25"/>
      <c r="BR1307" s="25"/>
      <c r="BS1307" s="25"/>
      <c r="BT1307" s="25"/>
      <c r="BU1307" s="25"/>
      <c r="BV1307" s="25"/>
      <c r="BW1307" s="25"/>
      <c r="BX1307" s="25"/>
      <c r="BY1307" s="25"/>
      <c r="BZ1307" s="25"/>
      <c r="CA1307" s="25"/>
      <c r="CB1307" s="25"/>
      <c r="CC1307" s="25"/>
      <c r="CD1307" s="25"/>
      <c r="CE1307" s="200"/>
      <c r="CF1307" s="200"/>
      <c r="CG1307" s="200"/>
      <c r="CH1307" s="200"/>
      <c r="CI1307" s="200"/>
      <c r="CJ1307" s="200"/>
      <c r="CK1307" s="200"/>
      <c r="CL1307" s="200"/>
      <c r="CM1307" s="200"/>
      <c r="CN1307" s="200"/>
      <c r="CO1307" s="200"/>
      <c r="CP1307" s="200"/>
      <c r="CQ1307" s="200"/>
      <c r="CR1307" s="200"/>
      <c r="CS1307" s="200"/>
      <c r="CT1307" s="200"/>
      <c r="CU1307" s="200"/>
    </row>
    <row r="1308" spans="1:99" s="17" customFormat="1" x14ac:dyDescent="0.2">
      <c r="A1308" s="25"/>
      <c r="B1308" s="20">
        <v>39093030102</v>
      </c>
      <c r="C1308" s="20">
        <v>301.02</v>
      </c>
      <c r="D1308" s="20" t="s">
        <v>52</v>
      </c>
      <c r="E1308" s="20" t="s">
        <v>2829</v>
      </c>
      <c r="F1308" s="20" t="s">
        <v>8</v>
      </c>
      <c r="G1308" s="861">
        <v>52.352302770467098</v>
      </c>
      <c r="H1308" s="861">
        <v>45.882233633782597</v>
      </c>
      <c r="I1308" s="861">
        <v>31.569654532180401</v>
      </c>
      <c r="J1308" s="861">
        <v>55.404131043032898</v>
      </c>
      <c r="K1308" s="982">
        <v>0</v>
      </c>
      <c r="L1308" s="735" t="s">
        <v>2466</v>
      </c>
      <c r="M1308" s="735">
        <v>4126</v>
      </c>
      <c r="N1308" s="845" t="str">
        <f t="shared" si="113"/>
        <v/>
      </c>
      <c r="O1308" s="735">
        <v>11.39472451091677</v>
      </c>
      <c r="P1308" s="735">
        <f t="shared" si="114"/>
        <v>362.09738954610668</v>
      </c>
      <c r="Q1308" s="849">
        <v>48</v>
      </c>
      <c r="R1308" s="71">
        <v>71458</v>
      </c>
      <c r="S1308" s="845">
        <v>4.3141056713523994E-2</v>
      </c>
      <c r="T1308" s="845">
        <v>8.4000000000000005E-2</v>
      </c>
      <c r="U1308" s="845">
        <v>1.7000000000000001E-2</v>
      </c>
      <c r="V1308" s="845">
        <v>0</v>
      </c>
      <c r="W1308" s="845">
        <v>0.12930513595166163</v>
      </c>
      <c r="X1308" s="845">
        <v>0.29439252336448596</v>
      </c>
      <c r="Y1308" s="845">
        <v>0.91468734852157052</v>
      </c>
      <c r="Z1308" s="845">
        <v>4.8473097430925838E-4</v>
      </c>
      <c r="AA1308" s="845">
        <v>2.4236548715462916E-3</v>
      </c>
      <c r="AB1308" s="845">
        <v>2.6902569074163839E-2</v>
      </c>
      <c r="AC1308" s="845">
        <v>0</v>
      </c>
      <c r="AD1308" s="845">
        <v>0</v>
      </c>
      <c r="AE1308" s="845">
        <v>5.5501696558410085E-2</v>
      </c>
      <c r="AF1308" s="845">
        <v>3.5385361124575861E-2</v>
      </c>
      <c r="AG1308" s="845">
        <v>0.91274842462433348</v>
      </c>
      <c r="AH1308" s="20" t="str">
        <f t="shared" si="115"/>
        <v>Yes</v>
      </c>
      <c r="AI1308" s="25"/>
      <c r="AJ1308" s="37">
        <v>43777</v>
      </c>
      <c r="AK1308" s="37" t="s">
        <v>1064</v>
      </c>
      <c r="AL1308" s="37">
        <v>39119</v>
      </c>
      <c r="AM1308" s="37" t="s">
        <v>65</v>
      </c>
      <c r="AN1308" s="37" t="str">
        <f t="shared" si="116"/>
        <v>N/A</v>
      </c>
      <c r="AO1308" s="37" t="str">
        <f t="shared" si="117"/>
        <v>N/A</v>
      </c>
      <c r="AP1308" s="37" t="s">
        <v>8</v>
      </c>
      <c r="AQ1308" s="25"/>
      <c r="AR1308" s="25"/>
      <c r="AS1308" s="25"/>
      <c r="AT1308" s="25"/>
      <c r="AU1308" s="36"/>
      <c r="AV1308" s="36"/>
      <c r="AW1308" s="36"/>
      <c r="AX1308" s="25"/>
      <c r="AY1308" s="25"/>
      <c r="AZ1308" s="25"/>
      <c r="BA1308" s="25"/>
      <c r="BB1308" s="25"/>
      <c r="BC1308" s="25"/>
      <c r="BD1308" s="25"/>
      <c r="BE1308" s="25"/>
      <c r="BF1308" s="25"/>
      <c r="BG1308" s="25"/>
      <c r="BH1308" s="25"/>
      <c r="BI1308" s="25"/>
      <c r="BJ1308" s="25"/>
      <c r="BK1308" s="25"/>
      <c r="BL1308" s="25"/>
      <c r="BM1308" s="25"/>
      <c r="BN1308" s="25"/>
      <c r="BO1308" s="25"/>
      <c r="BP1308" s="25"/>
      <c r="BQ1308" s="25"/>
      <c r="BR1308" s="25"/>
      <c r="BS1308" s="25"/>
      <c r="BT1308" s="25"/>
      <c r="BU1308" s="25"/>
      <c r="BV1308" s="25"/>
      <c r="BW1308" s="25"/>
      <c r="BX1308" s="25"/>
      <c r="BY1308" s="25"/>
      <c r="BZ1308" s="25"/>
      <c r="CA1308" s="25"/>
      <c r="CB1308" s="25"/>
      <c r="CC1308" s="25"/>
      <c r="CD1308" s="25"/>
      <c r="CE1308" s="200"/>
      <c r="CF1308" s="200"/>
      <c r="CG1308" s="200"/>
      <c r="CH1308" s="200"/>
      <c r="CI1308" s="200"/>
      <c r="CJ1308" s="200"/>
      <c r="CK1308" s="200"/>
      <c r="CL1308" s="200"/>
      <c r="CM1308" s="200"/>
      <c r="CN1308" s="200"/>
      <c r="CO1308" s="200"/>
      <c r="CP1308" s="200"/>
      <c r="CQ1308" s="200"/>
      <c r="CR1308" s="200"/>
      <c r="CS1308" s="200"/>
      <c r="CT1308" s="200"/>
      <c r="CU1308" s="200"/>
    </row>
    <row r="1309" spans="1:99" s="17" customFormat="1" x14ac:dyDescent="0.2">
      <c r="A1309" s="25"/>
      <c r="B1309" s="20">
        <v>39143961200</v>
      </c>
      <c r="C1309" s="20">
        <v>9612</v>
      </c>
      <c r="D1309" s="20" t="s">
        <v>77</v>
      </c>
      <c r="E1309" s="20" t="s">
        <v>265</v>
      </c>
      <c r="F1309" s="20" t="s">
        <v>8</v>
      </c>
      <c r="G1309" s="861">
        <v>52.351449549229002</v>
      </c>
      <c r="H1309" s="861">
        <v>61.931766498284098</v>
      </c>
      <c r="I1309" s="861">
        <v>14.9992145323438</v>
      </c>
      <c r="J1309" s="861">
        <v>39.1553082639576</v>
      </c>
      <c r="K1309" s="982">
        <v>0</v>
      </c>
      <c r="L1309" s="735">
        <v>3892</v>
      </c>
      <c r="M1309" s="735">
        <v>3506</v>
      </c>
      <c r="N1309" s="845">
        <f t="shared" si="113"/>
        <v>-9.9177800616649534E-2</v>
      </c>
      <c r="O1309" s="735">
        <v>78.472384956238272</v>
      </c>
      <c r="P1309" s="735">
        <f t="shared" si="114"/>
        <v>44.678137435929756</v>
      </c>
      <c r="Q1309" s="849">
        <v>50</v>
      </c>
      <c r="R1309" s="71">
        <v>88194</v>
      </c>
      <c r="S1309" s="845">
        <v>7.7866514546491725E-2</v>
      </c>
      <c r="T1309" s="845">
        <v>3.4000000000000002E-2</v>
      </c>
      <c r="U1309" s="845">
        <v>0</v>
      </c>
      <c r="V1309" s="845">
        <v>0</v>
      </c>
      <c r="W1309" s="845">
        <v>9.3816631130063971E-2</v>
      </c>
      <c r="X1309" s="845">
        <v>0.26515151515151514</v>
      </c>
      <c r="Y1309" s="845">
        <v>0.96035367940673133</v>
      </c>
      <c r="Z1309" s="845">
        <v>0</v>
      </c>
      <c r="AA1309" s="845">
        <v>0</v>
      </c>
      <c r="AB1309" s="845">
        <v>3.1374786081003994E-3</v>
      </c>
      <c r="AC1309" s="845">
        <v>0</v>
      </c>
      <c r="AD1309" s="845">
        <v>7.4158585282373072E-3</v>
      </c>
      <c r="AE1309" s="845">
        <v>2.9092983456930975E-2</v>
      </c>
      <c r="AF1309" s="845">
        <v>8.6423274386765545E-2</v>
      </c>
      <c r="AG1309" s="845">
        <v>0.89275527666856813</v>
      </c>
      <c r="AH1309" s="20" t="str">
        <f t="shared" si="115"/>
        <v>No</v>
      </c>
      <c r="AI1309" s="25"/>
      <c r="AJ1309" s="37">
        <v>43791</v>
      </c>
      <c r="AK1309" s="37" t="s">
        <v>1073</v>
      </c>
      <c r="AL1309" s="37">
        <v>39119</v>
      </c>
      <c r="AM1309" s="37" t="s">
        <v>65</v>
      </c>
      <c r="AN1309" s="37" t="str">
        <f t="shared" si="116"/>
        <v>N/A</v>
      </c>
      <c r="AO1309" s="37" t="str">
        <f t="shared" si="117"/>
        <v>N/A</v>
      </c>
      <c r="AP1309" s="37" t="s">
        <v>8</v>
      </c>
      <c r="AQ1309" s="25"/>
      <c r="AR1309" s="25"/>
      <c r="AS1309" s="25"/>
      <c r="AT1309" s="25"/>
      <c r="AU1309" s="36"/>
      <c r="AV1309" s="36"/>
      <c r="AW1309" s="36"/>
      <c r="AX1309" s="25"/>
      <c r="AY1309" s="25"/>
      <c r="AZ1309" s="25"/>
      <c r="BA1309" s="25"/>
      <c r="BB1309" s="25"/>
      <c r="BC1309" s="25"/>
      <c r="BD1309" s="25"/>
      <c r="BE1309" s="25"/>
      <c r="BF1309" s="25"/>
      <c r="BG1309" s="25"/>
      <c r="BH1309" s="25"/>
      <c r="BI1309" s="25"/>
      <c r="BJ1309" s="25"/>
      <c r="BK1309" s="25"/>
      <c r="BL1309" s="25"/>
      <c r="BM1309" s="25"/>
      <c r="BN1309" s="25"/>
      <c r="BO1309" s="25"/>
      <c r="BP1309" s="25"/>
      <c r="BQ1309" s="25"/>
      <c r="BR1309" s="25"/>
      <c r="BS1309" s="25"/>
      <c r="BT1309" s="25"/>
      <c r="BU1309" s="25"/>
      <c r="BV1309" s="25"/>
      <c r="BW1309" s="25"/>
      <c r="BX1309" s="25"/>
      <c r="BY1309" s="25"/>
      <c r="BZ1309" s="25"/>
      <c r="CA1309" s="25"/>
      <c r="CB1309" s="25"/>
      <c r="CC1309" s="25"/>
      <c r="CD1309" s="25"/>
      <c r="CE1309" s="200"/>
      <c r="CF1309" s="200"/>
      <c r="CG1309" s="200"/>
      <c r="CH1309" s="200"/>
      <c r="CI1309" s="200"/>
      <c r="CJ1309" s="200"/>
      <c r="CK1309" s="200"/>
      <c r="CL1309" s="200"/>
      <c r="CM1309" s="200"/>
      <c r="CN1309" s="200"/>
      <c r="CO1309" s="200"/>
      <c r="CP1309" s="200"/>
      <c r="CQ1309" s="200"/>
      <c r="CR1309" s="200"/>
      <c r="CS1309" s="200"/>
      <c r="CT1309" s="200"/>
      <c r="CU1309" s="200"/>
    </row>
    <row r="1310" spans="1:99" s="17" customFormat="1" x14ac:dyDescent="0.2">
      <c r="A1310" s="25"/>
      <c r="B1310" s="20">
        <v>39113021900</v>
      </c>
      <c r="C1310" s="20">
        <v>219</v>
      </c>
      <c r="D1310" s="20" t="s">
        <v>62</v>
      </c>
      <c r="E1310" s="20" t="s">
        <v>2833</v>
      </c>
      <c r="F1310" s="20" t="s">
        <v>8</v>
      </c>
      <c r="G1310" s="861">
        <v>52.350916692825699</v>
      </c>
      <c r="H1310" s="861">
        <v>57.352528041868801</v>
      </c>
      <c r="I1310" s="861">
        <v>25.321278710750001</v>
      </c>
      <c r="J1310" s="861">
        <v>37.488888162972401</v>
      </c>
      <c r="K1310" s="982">
        <v>0</v>
      </c>
      <c r="L1310" s="735">
        <v>2083</v>
      </c>
      <c r="M1310" s="735">
        <v>2234</v>
      </c>
      <c r="N1310" s="845">
        <f t="shared" si="113"/>
        <v>7.2491598655784931E-2</v>
      </c>
      <c r="O1310" s="735">
        <v>0.56694970696216829</v>
      </c>
      <c r="P1310" s="735">
        <f t="shared" si="114"/>
        <v>3940.3847864570312</v>
      </c>
      <c r="Q1310" s="849">
        <v>41.8</v>
      </c>
      <c r="R1310" s="71">
        <v>82761</v>
      </c>
      <c r="S1310" s="845">
        <v>6.0508083140877598E-2</v>
      </c>
      <c r="T1310" s="845">
        <v>1.9E-2</v>
      </c>
      <c r="U1310" s="845">
        <v>1.7000000000000001E-2</v>
      </c>
      <c r="V1310" s="845">
        <v>0</v>
      </c>
      <c r="W1310" s="845">
        <v>0.22463054187192119</v>
      </c>
      <c r="X1310" s="845">
        <v>0.39473684210526316</v>
      </c>
      <c r="Y1310" s="845">
        <v>0.87287376902417191</v>
      </c>
      <c r="Z1310" s="845">
        <v>6.8039391226499546E-2</v>
      </c>
      <c r="AA1310" s="845">
        <v>0</v>
      </c>
      <c r="AB1310" s="845">
        <v>8.9525514771709933E-3</v>
      </c>
      <c r="AC1310" s="845">
        <v>0</v>
      </c>
      <c r="AD1310" s="845">
        <v>1.8800358102059087E-2</v>
      </c>
      <c r="AE1310" s="845">
        <v>3.133393017009848E-2</v>
      </c>
      <c r="AF1310" s="845">
        <v>4.3867502238137866E-2</v>
      </c>
      <c r="AG1310" s="845">
        <v>0.86660698299015215</v>
      </c>
      <c r="AH1310" s="20" t="str">
        <f t="shared" si="115"/>
        <v>No</v>
      </c>
      <c r="AI1310" s="25"/>
      <c r="AJ1310" s="37">
        <v>43802</v>
      </c>
      <c r="AK1310" s="37" t="s">
        <v>1075</v>
      </c>
      <c r="AL1310" s="37">
        <v>39119</v>
      </c>
      <c r="AM1310" s="37" t="s">
        <v>65</v>
      </c>
      <c r="AN1310" s="37" t="str">
        <f t="shared" si="116"/>
        <v>N/A</v>
      </c>
      <c r="AO1310" s="37" t="str">
        <f t="shared" si="117"/>
        <v>N/A</v>
      </c>
      <c r="AP1310" s="37" t="s">
        <v>8</v>
      </c>
      <c r="AQ1310" s="25"/>
      <c r="AR1310" s="25"/>
      <c r="AS1310" s="25"/>
      <c r="AT1310" s="25"/>
      <c r="AU1310" s="36"/>
      <c r="AV1310" s="36"/>
      <c r="AW1310" s="36"/>
      <c r="AX1310" s="25"/>
      <c r="AY1310" s="25"/>
      <c r="AZ1310" s="25"/>
      <c r="BA1310" s="25"/>
      <c r="BB1310" s="25"/>
      <c r="BC1310" s="25"/>
      <c r="BD1310" s="25"/>
      <c r="BE1310" s="25"/>
      <c r="BF1310" s="25"/>
      <c r="BG1310" s="25"/>
      <c r="BH1310" s="25"/>
      <c r="BI1310" s="25"/>
      <c r="BJ1310" s="25"/>
      <c r="BK1310" s="25"/>
      <c r="BL1310" s="25"/>
      <c r="BM1310" s="25"/>
      <c r="BN1310" s="25"/>
      <c r="BO1310" s="25"/>
      <c r="BP1310" s="25"/>
      <c r="BQ1310" s="25"/>
      <c r="BR1310" s="25"/>
      <c r="BS1310" s="25"/>
      <c r="BT1310" s="25"/>
      <c r="BU1310" s="25"/>
      <c r="BV1310" s="25"/>
      <c r="BW1310" s="25"/>
      <c r="BX1310" s="25"/>
      <c r="BY1310" s="25"/>
      <c r="BZ1310" s="25"/>
      <c r="CA1310" s="25"/>
      <c r="CB1310" s="25"/>
      <c r="CC1310" s="25"/>
      <c r="CD1310" s="25"/>
      <c r="CE1310" s="200"/>
      <c r="CF1310" s="200"/>
      <c r="CG1310" s="200"/>
      <c r="CH1310" s="200"/>
      <c r="CI1310" s="200"/>
      <c r="CJ1310" s="200"/>
      <c r="CK1310" s="200"/>
      <c r="CL1310" s="200"/>
      <c r="CM1310" s="200"/>
      <c r="CN1310" s="200"/>
      <c r="CO1310" s="200"/>
      <c r="CP1310" s="200"/>
      <c r="CQ1310" s="200"/>
      <c r="CR1310" s="200"/>
      <c r="CS1310" s="200"/>
      <c r="CT1310" s="200"/>
      <c r="CU1310" s="200"/>
    </row>
    <row r="1311" spans="1:99" s="17" customFormat="1" x14ac:dyDescent="0.2">
      <c r="A1311" s="25"/>
      <c r="B1311" s="20">
        <v>39035134206</v>
      </c>
      <c r="C1311" s="20">
        <v>1342.06</v>
      </c>
      <c r="D1311" s="20" t="s">
        <v>24</v>
      </c>
      <c r="E1311" s="20" t="s">
        <v>2829</v>
      </c>
      <c r="F1311" s="20" t="s">
        <v>8</v>
      </c>
      <c r="G1311" s="861">
        <v>52.3481412287667</v>
      </c>
      <c r="H1311" s="861">
        <v>59.255997677799698</v>
      </c>
      <c r="I1311" s="861">
        <v>21.4563292611804</v>
      </c>
      <c r="J1311" s="861">
        <v>46.174228634907998</v>
      </c>
      <c r="K1311" s="982">
        <v>0</v>
      </c>
      <c r="L1311" s="735">
        <v>3021</v>
      </c>
      <c r="M1311" s="735">
        <v>3368</v>
      </c>
      <c r="N1311" s="845">
        <f t="shared" si="113"/>
        <v>0.11486262826878517</v>
      </c>
      <c r="O1311" s="735">
        <v>0.97264423349032292</v>
      </c>
      <c r="P1311" s="735">
        <f t="shared" si="114"/>
        <v>3462.7255105538125</v>
      </c>
      <c r="Q1311" s="849">
        <v>37.1</v>
      </c>
      <c r="R1311" s="71">
        <v>73889</v>
      </c>
      <c r="S1311" s="845">
        <v>8.9605734767025089E-2</v>
      </c>
      <c r="T1311" s="845">
        <v>7.2999999999999995E-2</v>
      </c>
      <c r="U1311" s="845">
        <v>1.1000000000000001E-2</v>
      </c>
      <c r="V1311" s="845">
        <v>0</v>
      </c>
      <c r="W1311" s="845">
        <v>0.23174366616989567</v>
      </c>
      <c r="X1311" s="845">
        <v>0.18327974276527331</v>
      </c>
      <c r="Y1311" s="845">
        <v>0.81086698337292162</v>
      </c>
      <c r="Z1311" s="845">
        <v>9.7980997624703081E-2</v>
      </c>
      <c r="AA1311" s="845">
        <v>0</v>
      </c>
      <c r="AB1311" s="845">
        <v>0</v>
      </c>
      <c r="AC1311" s="845">
        <v>0</v>
      </c>
      <c r="AD1311" s="845">
        <v>1.9002375296912115E-2</v>
      </c>
      <c r="AE1311" s="845">
        <v>7.2149643705463187E-2</v>
      </c>
      <c r="AF1311" s="845">
        <v>2.2268408551068885E-2</v>
      </c>
      <c r="AG1311" s="845">
        <v>0.80106888361045125</v>
      </c>
      <c r="AH1311" s="20" t="str">
        <f t="shared" si="115"/>
        <v>No</v>
      </c>
      <c r="AI1311" s="25"/>
      <c r="AJ1311" s="37">
        <v>43812</v>
      </c>
      <c r="AK1311" s="37" t="s">
        <v>1079</v>
      </c>
      <c r="AL1311" s="37">
        <v>39119</v>
      </c>
      <c r="AM1311" s="37" t="s">
        <v>65</v>
      </c>
      <c r="AN1311" s="37" t="str">
        <f t="shared" si="116"/>
        <v>N/A</v>
      </c>
      <c r="AO1311" s="37" t="str">
        <f t="shared" si="117"/>
        <v>N/A</v>
      </c>
      <c r="AP1311" s="37" t="s">
        <v>8</v>
      </c>
      <c r="AQ1311" s="25"/>
      <c r="AR1311" s="25"/>
      <c r="AS1311" s="25"/>
      <c r="AT1311" s="25"/>
      <c r="AU1311" s="36"/>
      <c r="AV1311" s="36"/>
      <c r="AW1311" s="36"/>
      <c r="AX1311" s="25"/>
      <c r="AY1311" s="25"/>
      <c r="AZ1311" s="25"/>
      <c r="BA1311" s="25"/>
      <c r="BB1311" s="25"/>
      <c r="BC1311" s="25"/>
      <c r="BD1311" s="25"/>
      <c r="BE1311" s="25"/>
      <c r="BF1311" s="25"/>
      <c r="BG1311" s="25"/>
      <c r="BH1311" s="25"/>
      <c r="BI1311" s="25"/>
      <c r="BJ1311" s="25"/>
      <c r="BK1311" s="25"/>
      <c r="BL1311" s="25"/>
      <c r="BM1311" s="25"/>
      <c r="BN1311" s="25"/>
      <c r="BO1311" s="25"/>
      <c r="BP1311" s="25"/>
      <c r="BQ1311" s="25"/>
      <c r="BR1311" s="25"/>
      <c r="BS1311" s="25"/>
      <c r="BT1311" s="25"/>
      <c r="BU1311" s="25"/>
      <c r="BV1311" s="25"/>
      <c r="BW1311" s="25"/>
      <c r="BX1311" s="25"/>
      <c r="BY1311" s="25"/>
      <c r="BZ1311" s="25"/>
      <c r="CA1311" s="25"/>
      <c r="CB1311" s="25"/>
      <c r="CC1311" s="25"/>
      <c r="CD1311" s="25"/>
      <c r="CE1311" s="200"/>
      <c r="CF1311" s="200"/>
      <c r="CG1311" s="200"/>
      <c r="CH1311" s="200"/>
      <c r="CI1311" s="200"/>
      <c r="CJ1311" s="200"/>
      <c r="CK1311" s="200"/>
      <c r="CL1311" s="200"/>
      <c r="CM1311" s="200"/>
      <c r="CN1311" s="200"/>
      <c r="CO1311" s="200"/>
      <c r="CP1311" s="200"/>
      <c r="CQ1311" s="200"/>
      <c r="CR1311" s="200"/>
      <c r="CS1311" s="200"/>
      <c r="CT1311" s="200"/>
      <c r="CU1311" s="200"/>
    </row>
    <row r="1312" spans="1:99" s="17" customFormat="1" x14ac:dyDescent="0.2">
      <c r="A1312" s="25"/>
      <c r="B1312" s="20">
        <v>39017011126</v>
      </c>
      <c r="C1312" s="20">
        <v>111.26</v>
      </c>
      <c r="D1312" s="20" t="s">
        <v>15</v>
      </c>
      <c r="E1312" s="20" t="s">
        <v>2828</v>
      </c>
      <c r="F1312" s="20" t="s">
        <v>8</v>
      </c>
      <c r="G1312" s="861">
        <v>52.340109464751698</v>
      </c>
      <c r="H1312" s="861">
        <v>52.074222308699703</v>
      </c>
      <c r="I1312" s="861">
        <v>24.9195032841806</v>
      </c>
      <c r="J1312" s="861">
        <v>43.5446585671883</v>
      </c>
      <c r="K1312" s="982">
        <v>0</v>
      </c>
      <c r="L1312" s="735">
        <v>6376</v>
      </c>
      <c r="M1312" s="735">
        <v>6048</v>
      </c>
      <c r="N1312" s="845">
        <f t="shared" si="113"/>
        <v>-5.1442910915934753E-2</v>
      </c>
      <c r="O1312" s="735">
        <v>1.8515409323635854</v>
      </c>
      <c r="P1312" s="735">
        <f t="shared" si="114"/>
        <v>3266.4684286938354</v>
      </c>
      <c r="Q1312" s="849">
        <v>29.9</v>
      </c>
      <c r="R1312" s="71">
        <v>90963</v>
      </c>
      <c r="S1312" s="845">
        <v>5.3902116402116403E-2</v>
      </c>
      <c r="T1312" s="845">
        <v>6.8000000000000005E-2</v>
      </c>
      <c r="U1312" s="845">
        <v>0</v>
      </c>
      <c r="V1312" s="845">
        <v>0</v>
      </c>
      <c r="W1312" s="845">
        <v>0.56204379562043794</v>
      </c>
      <c r="X1312" s="845">
        <v>0.32773109243697479</v>
      </c>
      <c r="Y1312" s="845">
        <v>0.6517857142857143</v>
      </c>
      <c r="Z1312" s="845">
        <v>0.10003306878306878</v>
      </c>
      <c r="AA1312" s="845">
        <v>0</v>
      </c>
      <c r="AB1312" s="845">
        <v>0.12648809523809523</v>
      </c>
      <c r="AC1312" s="845">
        <v>0</v>
      </c>
      <c r="AD1312" s="845">
        <v>4.3650793650793648E-2</v>
      </c>
      <c r="AE1312" s="845">
        <v>7.8042328042328038E-2</v>
      </c>
      <c r="AF1312" s="845">
        <v>8.8624338624338619E-2</v>
      </c>
      <c r="AG1312" s="845">
        <v>0.63756613756613756</v>
      </c>
      <c r="AH1312" s="20" t="str">
        <f t="shared" si="115"/>
        <v>No</v>
      </c>
      <c r="AI1312" s="25"/>
      <c r="AJ1312" s="37">
        <v>43821</v>
      </c>
      <c r="AK1312" s="37" t="s">
        <v>1080</v>
      </c>
      <c r="AL1312" s="37">
        <v>39119</v>
      </c>
      <c r="AM1312" s="37" t="s">
        <v>65</v>
      </c>
      <c r="AN1312" s="37" t="str">
        <f t="shared" si="116"/>
        <v>N/A</v>
      </c>
      <c r="AO1312" s="37" t="str">
        <f t="shared" si="117"/>
        <v>N/A</v>
      </c>
      <c r="AP1312" s="37" t="s">
        <v>8</v>
      </c>
      <c r="AQ1312" s="25"/>
      <c r="AR1312" s="25"/>
      <c r="AS1312" s="25"/>
      <c r="AT1312" s="25"/>
      <c r="AU1312" s="36"/>
      <c r="AV1312" s="36"/>
      <c r="AW1312" s="36"/>
      <c r="AX1312" s="25"/>
      <c r="AY1312" s="25"/>
      <c r="AZ1312" s="25"/>
      <c r="BA1312" s="25"/>
      <c r="BB1312" s="25"/>
      <c r="BC1312" s="25"/>
      <c r="BD1312" s="25"/>
      <c r="BE1312" s="25"/>
      <c r="BF1312" s="25"/>
      <c r="BG1312" s="25"/>
      <c r="BH1312" s="25"/>
      <c r="BI1312" s="25"/>
      <c r="BJ1312" s="25"/>
      <c r="BK1312" s="25"/>
      <c r="BL1312" s="25"/>
      <c r="BM1312" s="25"/>
      <c r="BN1312" s="25"/>
      <c r="BO1312" s="25"/>
      <c r="BP1312" s="25"/>
      <c r="BQ1312" s="25"/>
      <c r="BR1312" s="25"/>
      <c r="BS1312" s="25"/>
      <c r="BT1312" s="25"/>
      <c r="BU1312" s="25"/>
      <c r="BV1312" s="25"/>
      <c r="BW1312" s="25"/>
      <c r="BX1312" s="25"/>
      <c r="BY1312" s="25"/>
      <c r="BZ1312" s="25"/>
      <c r="CA1312" s="25"/>
      <c r="CB1312" s="25"/>
      <c r="CC1312" s="25"/>
      <c r="CD1312" s="25"/>
      <c r="CE1312" s="200"/>
      <c r="CF1312" s="200"/>
      <c r="CG1312" s="200"/>
      <c r="CH1312" s="200"/>
      <c r="CI1312" s="200"/>
      <c r="CJ1312" s="200"/>
      <c r="CK1312" s="200"/>
      <c r="CL1312" s="200"/>
      <c r="CM1312" s="200"/>
      <c r="CN1312" s="200"/>
      <c r="CO1312" s="200"/>
      <c r="CP1312" s="200"/>
      <c r="CQ1312" s="200"/>
      <c r="CR1312" s="200"/>
      <c r="CS1312" s="200"/>
      <c r="CT1312" s="200"/>
      <c r="CU1312" s="200"/>
    </row>
    <row r="1313" spans="1:99" s="17" customFormat="1" x14ac:dyDescent="0.2">
      <c r="A1313" s="25"/>
      <c r="B1313" s="20">
        <v>39171950600</v>
      </c>
      <c r="C1313" s="20">
        <v>9506</v>
      </c>
      <c r="D1313" s="20" t="s">
        <v>91</v>
      </c>
      <c r="E1313" s="20" t="s">
        <v>265</v>
      </c>
      <c r="F1313" s="20" t="s">
        <v>8</v>
      </c>
      <c r="G1313" s="861">
        <v>52.318316429094402</v>
      </c>
      <c r="H1313" s="861">
        <v>31.032310336113699</v>
      </c>
      <c r="I1313" s="861">
        <v>33.878082628976401</v>
      </c>
      <c r="J1313" s="861">
        <v>40.015363097294703</v>
      </c>
      <c r="K1313" s="982">
        <v>0</v>
      </c>
      <c r="L1313" s="735">
        <v>4643</v>
      </c>
      <c r="M1313" s="735">
        <v>4874</v>
      </c>
      <c r="N1313" s="845">
        <f t="shared" si="113"/>
        <v>4.975231531337497E-2</v>
      </c>
      <c r="O1313" s="735">
        <v>3.5210134613320681</v>
      </c>
      <c r="P1313" s="735">
        <f t="shared" si="114"/>
        <v>1384.2605413260962</v>
      </c>
      <c r="Q1313" s="849">
        <v>42.1</v>
      </c>
      <c r="R1313" s="71">
        <v>45198</v>
      </c>
      <c r="S1313" s="845">
        <v>0.22194565442854181</v>
      </c>
      <c r="T1313" s="845">
        <v>5.5999999999999994E-2</v>
      </c>
      <c r="U1313" s="845">
        <v>0</v>
      </c>
      <c r="V1313" s="845">
        <v>6.2E-2</v>
      </c>
      <c r="W1313" s="845">
        <v>0.43765586034912718</v>
      </c>
      <c r="X1313" s="845">
        <v>0.38556505223171889</v>
      </c>
      <c r="Y1313" s="845">
        <v>0.93598686910135409</v>
      </c>
      <c r="Z1313" s="845">
        <v>2.3389413212966764E-2</v>
      </c>
      <c r="AA1313" s="845">
        <v>1.4361920393926959E-3</v>
      </c>
      <c r="AB1313" s="845">
        <v>5.1292572835453425E-3</v>
      </c>
      <c r="AC1313" s="845">
        <v>0</v>
      </c>
      <c r="AD1313" s="845">
        <v>2.5235945835043086E-2</v>
      </c>
      <c r="AE1313" s="845">
        <v>8.82232252769799E-3</v>
      </c>
      <c r="AF1313" s="845">
        <v>3.2006565449322941E-2</v>
      </c>
      <c r="AG1313" s="845">
        <v>0.92921624948707426</v>
      </c>
      <c r="AH1313" s="20" t="str">
        <f t="shared" si="115"/>
        <v>Yes</v>
      </c>
      <c r="AI1313" s="25"/>
      <c r="AJ1313" s="37">
        <v>43822</v>
      </c>
      <c r="AK1313" s="37" t="s">
        <v>1081</v>
      </c>
      <c r="AL1313" s="37">
        <v>39119</v>
      </c>
      <c r="AM1313" s="37" t="s">
        <v>65</v>
      </c>
      <c r="AN1313" s="37" t="str">
        <f t="shared" si="116"/>
        <v>N/A</v>
      </c>
      <c r="AO1313" s="37" t="str">
        <f t="shared" si="117"/>
        <v>N/A</v>
      </c>
      <c r="AP1313" s="37" t="s">
        <v>8</v>
      </c>
      <c r="AQ1313" s="25"/>
      <c r="AR1313" s="25"/>
      <c r="AS1313" s="25"/>
      <c r="AT1313" s="25"/>
      <c r="AU1313" s="36"/>
      <c r="AV1313" s="36"/>
      <c r="AW1313" s="36"/>
      <c r="AX1313" s="25"/>
      <c r="AY1313" s="25"/>
      <c r="AZ1313" s="25"/>
      <c r="BA1313" s="25"/>
      <c r="BB1313" s="25"/>
      <c r="BC1313" s="25"/>
      <c r="BD1313" s="25"/>
      <c r="BE1313" s="25"/>
      <c r="BF1313" s="25"/>
      <c r="BG1313" s="25"/>
      <c r="BH1313" s="25"/>
      <c r="BI1313" s="25"/>
      <c r="BJ1313" s="25"/>
      <c r="BK1313" s="25"/>
      <c r="BL1313" s="25"/>
      <c r="BM1313" s="25"/>
      <c r="BN1313" s="25"/>
      <c r="BO1313" s="25"/>
      <c r="BP1313" s="25"/>
      <c r="BQ1313" s="25"/>
      <c r="BR1313" s="25"/>
      <c r="BS1313" s="25"/>
      <c r="BT1313" s="25"/>
      <c r="BU1313" s="25"/>
      <c r="BV1313" s="25"/>
      <c r="BW1313" s="25"/>
      <c r="BX1313" s="25"/>
      <c r="BY1313" s="25"/>
      <c r="BZ1313" s="25"/>
      <c r="CA1313" s="25"/>
      <c r="CB1313" s="25"/>
      <c r="CC1313" s="25"/>
      <c r="CD1313" s="25"/>
      <c r="CE1313" s="200"/>
      <c r="CF1313" s="200"/>
      <c r="CG1313" s="200"/>
      <c r="CH1313" s="200"/>
      <c r="CI1313" s="200"/>
      <c r="CJ1313" s="200"/>
      <c r="CK1313" s="200"/>
      <c r="CL1313" s="200"/>
      <c r="CM1313" s="200"/>
      <c r="CN1313" s="200"/>
      <c r="CO1313" s="200"/>
      <c r="CP1313" s="200"/>
      <c r="CQ1313" s="200"/>
      <c r="CR1313" s="200"/>
      <c r="CS1313" s="200"/>
      <c r="CT1313" s="200"/>
      <c r="CU1313" s="200"/>
    </row>
    <row r="1314" spans="1:99" s="17" customFormat="1" x14ac:dyDescent="0.2">
      <c r="A1314" s="25"/>
      <c r="B1314" s="20">
        <v>39151713502</v>
      </c>
      <c r="C1314" s="20">
        <v>7135.02</v>
      </c>
      <c r="D1314" s="20" t="s">
        <v>81</v>
      </c>
      <c r="E1314" s="20" t="s">
        <v>2844</v>
      </c>
      <c r="F1314" s="20" t="s">
        <v>8</v>
      </c>
      <c r="G1314" s="861">
        <v>52.313526859686</v>
      </c>
      <c r="H1314" s="861">
        <v>53.970873029280099</v>
      </c>
      <c r="I1314" s="861">
        <v>30.951527449861601</v>
      </c>
      <c r="J1314" s="861">
        <v>45.148160819465403</v>
      </c>
      <c r="K1314" s="982">
        <v>0</v>
      </c>
      <c r="L1314" s="735">
        <v>5497</v>
      </c>
      <c r="M1314" s="735">
        <v>5685</v>
      </c>
      <c r="N1314" s="845">
        <f t="shared" si="113"/>
        <v>3.4200472985264692E-2</v>
      </c>
      <c r="O1314" s="735">
        <v>2.1543948323376667</v>
      </c>
      <c r="P1314" s="735">
        <f t="shared" si="114"/>
        <v>2638.7920703613013</v>
      </c>
      <c r="Q1314" s="849">
        <v>39.799999999999997</v>
      </c>
      <c r="R1314" s="71">
        <v>67879</v>
      </c>
      <c r="S1314" s="845">
        <v>0.15551504102096628</v>
      </c>
      <c r="T1314" s="845">
        <v>1.8000000000000002E-2</v>
      </c>
      <c r="U1314" s="845">
        <v>0</v>
      </c>
      <c r="V1314" s="845">
        <v>0</v>
      </c>
      <c r="W1314" s="845">
        <v>0.36064814814814816</v>
      </c>
      <c r="X1314" s="845">
        <v>0.32477535301668808</v>
      </c>
      <c r="Y1314" s="845">
        <v>0.91275285839929643</v>
      </c>
      <c r="Z1314" s="845">
        <v>5.488126649076517E-2</v>
      </c>
      <c r="AA1314" s="845">
        <v>0</v>
      </c>
      <c r="AB1314" s="845">
        <v>0</v>
      </c>
      <c r="AC1314" s="845">
        <v>0</v>
      </c>
      <c r="AD1314" s="845">
        <v>2.9903254177660512E-3</v>
      </c>
      <c r="AE1314" s="845">
        <v>2.9375549692172383E-2</v>
      </c>
      <c r="AF1314" s="845">
        <v>3.1662269129287601E-2</v>
      </c>
      <c r="AG1314" s="845">
        <v>0.90413368513632364</v>
      </c>
      <c r="AH1314" s="20" t="str">
        <f t="shared" si="115"/>
        <v>Yes</v>
      </c>
      <c r="AI1314" s="25"/>
      <c r="AJ1314" s="37">
        <v>43830</v>
      </c>
      <c r="AK1314" s="37" t="s">
        <v>1083</v>
      </c>
      <c r="AL1314" s="37">
        <v>39119</v>
      </c>
      <c r="AM1314" s="37" t="s">
        <v>65</v>
      </c>
      <c r="AN1314" s="37" t="str">
        <f t="shared" si="116"/>
        <v>N/A</v>
      </c>
      <c r="AO1314" s="37" t="str">
        <f t="shared" si="117"/>
        <v>N/A</v>
      </c>
      <c r="AP1314" s="37" t="s">
        <v>8</v>
      </c>
      <c r="AQ1314" s="25"/>
      <c r="AR1314" s="25"/>
      <c r="AS1314" s="25"/>
      <c r="AT1314" s="25"/>
      <c r="AU1314" s="36"/>
      <c r="AV1314" s="36"/>
      <c r="AW1314" s="36"/>
      <c r="AX1314" s="25"/>
      <c r="AY1314" s="25"/>
      <c r="AZ1314" s="25"/>
      <c r="BA1314" s="25"/>
      <c r="BB1314" s="25"/>
      <c r="BC1314" s="25"/>
      <c r="BD1314" s="25"/>
      <c r="BE1314" s="25"/>
      <c r="BF1314" s="25"/>
      <c r="BG1314" s="25"/>
      <c r="BH1314" s="25"/>
      <c r="BI1314" s="25"/>
      <c r="BJ1314" s="25"/>
      <c r="BK1314" s="25"/>
      <c r="BL1314" s="25"/>
      <c r="BM1314" s="25"/>
      <c r="BN1314" s="25"/>
      <c r="BO1314" s="25"/>
      <c r="BP1314" s="25"/>
      <c r="BQ1314" s="25"/>
      <c r="BR1314" s="25"/>
      <c r="BS1314" s="25"/>
      <c r="BT1314" s="25"/>
      <c r="BU1314" s="25"/>
      <c r="BV1314" s="25"/>
      <c r="BW1314" s="25"/>
      <c r="BX1314" s="25"/>
      <c r="BY1314" s="25"/>
      <c r="BZ1314" s="25"/>
      <c r="CA1314" s="25"/>
      <c r="CB1314" s="25"/>
      <c r="CC1314" s="25"/>
      <c r="CD1314" s="25"/>
      <c r="CE1314" s="200"/>
      <c r="CF1314" s="200"/>
      <c r="CG1314" s="200"/>
      <c r="CH1314" s="200"/>
      <c r="CI1314" s="200"/>
      <c r="CJ1314" s="200"/>
      <c r="CK1314" s="200"/>
      <c r="CL1314" s="200"/>
      <c r="CM1314" s="200"/>
      <c r="CN1314" s="200"/>
      <c r="CO1314" s="200"/>
      <c r="CP1314" s="200"/>
      <c r="CQ1314" s="200"/>
      <c r="CR1314" s="200"/>
      <c r="CS1314" s="200"/>
      <c r="CT1314" s="200"/>
      <c r="CU1314" s="200"/>
    </row>
    <row r="1315" spans="1:99" s="17" customFormat="1" x14ac:dyDescent="0.2">
      <c r="A1315" s="25"/>
      <c r="B1315" s="20">
        <v>39113021302</v>
      </c>
      <c r="C1315" s="20">
        <v>213.02</v>
      </c>
      <c r="D1315" s="20" t="s">
        <v>62</v>
      </c>
      <c r="E1315" s="20" t="s">
        <v>2833</v>
      </c>
      <c r="F1315" s="20" t="s">
        <v>8</v>
      </c>
      <c r="G1315" s="861">
        <v>52.311415201144797</v>
      </c>
      <c r="H1315" s="861">
        <v>58.4364915136712</v>
      </c>
      <c r="I1315" s="861">
        <v>29.824679684893201</v>
      </c>
      <c r="J1315" s="861">
        <v>42.449482119120901</v>
      </c>
      <c r="K1315" s="982">
        <v>0</v>
      </c>
      <c r="L1315" s="735">
        <v>2056</v>
      </c>
      <c r="M1315" s="735">
        <v>2089</v>
      </c>
      <c r="N1315" s="845">
        <f t="shared" si="113"/>
        <v>1.6050583657587547E-2</v>
      </c>
      <c r="O1315" s="735">
        <v>0.45194300139084426</v>
      </c>
      <c r="P1315" s="735">
        <f t="shared" si="114"/>
        <v>4622.2642978675412</v>
      </c>
      <c r="Q1315" s="849">
        <v>34.5</v>
      </c>
      <c r="R1315" s="71">
        <v>62786</v>
      </c>
      <c r="S1315" s="845">
        <v>5.1699377692675921E-2</v>
      </c>
      <c r="T1315" s="845">
        <v>4.4999999999999998E-2</v>
      </c>
      <c r="U1315" s="845">
        <v>0</v>
      </c>
      <c r="V1315" s="845">
        <v>0</v>
      </c>
      <c r="W1315" s="845">
        <v>0.34110169491525422</v>
      </c>
      <c r="X1315" s="845">
        <v>0.51242236024844723</v>
      </c>
      <c r="Y1315" s="845">
        <v>0.79990426041168028</v>
      </c>
      <c r="Z1315" s="845">
        <v>6.3666826232647203E-2</v>
      </c>
      <c r="AA1315" s="845">
        <v>0</v>
      </c>
      <c r="AB1315" s="845">
        <v>1.3882240306366683E-2</v>
      </c>
      <c r="AC1315" s="845">
        <v>0</v>
      </c>
      <c r="AD1315" s="845">
        <v>0</v>
      </c>
      <c r="AE1315" s="845">
        <v>0.12254667304930589</v>
      </c>
      <c r="AF1315" s="845">
        <v>5.0741981809478219E-2</v>
      </c>
      <c r="AG1315" s="845">
        <v>0.79128769746290095</v>
      </c>
      <c r="AH1315" s="20" t="str">
        <f t="shared" si="115"/>
        <v>No</v>
      </c>
      <c r="AI1315" s="25"/>
      <c r="AJ1315" s="37">
        <v>43842</v>
      </c>
      <c r="AK1315" s="37" t="s">
        <v>1088</v>
      </c>
      <c r="AL1315" s="37">
        <v>39119</v>
      </c>
      <c r="AM1315" s="37" t="s">
        <v>65</v>
      </c>
      <c r="AN1315" s="37" t="str">
        <f t="shared" si="116"/>
        <v>N/A</v>
      </c>
      <c r="AO1315" s="37" t="str">
        <f t="shared" si="117"/>
        <v>N/A</v>
      </c>
      <c r="AP1315" s="37" t="s">
        <v>8</v>
      </c>
      <c r="AQ1315" s="25"/>
      <c r="AR1315" s="25"/>
      <c r="AS1315" s="25"/>
      <c r="AT1315" s="25"/>
      <c r="AU1315" s="36"/>
      <c r="AV1315" s="36"/>
      <c r="AW1315" s="36"/>
      <c r="AX1315" s="25"/>
      <c r="AY1315" s="25"/>
      <c r="AZ1315" s="25"/>
      <c r="BA1315" s="25"/>
      <c r="BB1315" s="25"/>
      <c r="BC1315" s="25"/>
      <c r="BD1315" s="25"/>
      <c r="BE1315" s="25"/>
      <c r="BF1315" s="25"/>
      <c r="BG1315" s="25"/>
      <c r="BH1315" s="25"/>
      <c r="BI1315" s="25"/>
      <c r="BJ1315" s="25"/>
      <c r="BK1315" s="25"/>
      <c r="BL1315" s="25"/>
      <c r="BM1315" s="25"/>
      <c r="BN1315" s="25"/>
      <c r="BO1315" s="25"/>
      <c r="BP1315" s="25"/>
      <c r="BQ1315" s="25"/>
      <c r="BR1315" s="25"/>
      <c r="BS1315" s="25"/>
      <c r="BT1315" s="25"/>
      <c r="BU1315" s="25"/>
      <c r="BV1315" s="25"/>
      <c r="BW1315" s="25"/>
      <c r="BX1315" s="25"/>
      <c r="BY1315" s="25"/>
      <c r="BZ1315" s="25"/>
      <c r="CA1315" s="25"/>
      <c r="CB1315" s="25"/>
      <c r="CC1315" s="25"/>
      <c r="CD1315" s="25"/>
      <c r="CE1315" s="200"/>
      <c r="CF1315" s="200"/>
      <c r="CG1315" s="200"/>
      <c r="CH1315" s="200"/>
      <c r="CI1315" s="200"/>
      <c r="CJ1315" s="200"/>
      <c r="CK1315" s="200"/>
      <c r="CL1315" s="200"/>
      <c r="CM1315" s="200"/>
      <c r="CN1315" s="200"/>
      <c r="CO1315" s="200"/>
      <c r="CP1315" s="200"/>
      <c r="CQ1315" s="200"/>
      <c r="CR1315" s="200"/>
      <c r="CS1315" s="200"/>
      <c r="CT1315" s="200"/>
      <c r="CU1315" s="200"/>
    </row>
    <row r="1316" spans="1:99" s="17" customFormat="1" x14ac:dyDescent="0.2">
      <c r="A1316" s="25"/>
      <c r="B1316" s="20">
        <v>39077915400</v>
      </c>
      <c r="C1316" s="20">
        <v>9154</v>
      </c>
      <c r="D1316" s="20" t="s">
        <v>45</v>
      </c>
      <c r="E1316" s="20" t="s">
        <v>265</v>
      </c>
      <c r="F1316" s="20" t="s">
        <v>8</v>
      </c>
      <c r="G1316" s="861">
        <v>52.305618521858499</v>
      </c>
      <c r="H1316" s="861">
        <v>57.0955764249317</v>
      </c>
      <c r="I1316" s="861">
        <v>20.768780075055201</v>
      </c>
      <c r="J1316" s="861">
        <v>42.340811820120599</v>
      </c>
      <c r="K1316" s="982">
        <v>0</v>
      </c>
      <c r="L1316" s="735">
        <v>5043</v>
      </c>
      <c r="M1316" s="735">
        <v>4806</v>
      </c>
      <c r="N1316" s="845">
        <f t="shared" si="113"/>
        <v>-4.6995835812016655E-2</v>
      </c>
      <c r="O1316" s="735">
        <v>61.631479072697367</v>
      </c>
      <c r="P1316" s="735">
        <f t="shared" si="114"/>
        <v>77.979631063714791</v>
      </c>
      <c r="Q1316" s="849">
        <v>42</v>
      </c>
      <c r="R1316" s="71">
        <v>75799</v>
      </c>
      <c r="S1316" s="845">
        <v>9.5168374816983897E-2</v>
      </c>
      <c r="T1316" s="845">
        <v>0.01</v>
      </c>
      <c r="U1316" s="845">
        <v>0</v>
      </c>
      <c r="V1316" s="845">
        <v>0.377</v>
      </c>
      <c r="W1316" s="845">
        <v>0.16619237336368811</v>
      </c>
      <c r="X1316" s="845">
        <v>0.21917808219178081</v>
      </c>
      <c r="Y1316" s="845">
        <v>0.95630461922596754</v>
      </c>
      <c r="Z1316" s="845">
        <v>0</v>
      </c>
      <c r="AA1316" s="845">
        <v>2.4968789013732834E-3</v>
      </c>
      <c r="AB1316" s="845">
        <v>3.1210986267166041E-3</v>
      </c>
      <c r="AC1316" s="845">
        <v>0</v>
      </c>
      <c r="AD1316" s="845">
        <v>2.9130253849354972E-3</v>
      </c>
      <c r="AE1316" s="845">
        <v>3.5164377861007075E-2</v>
      </c>
      <c r="AF1316" s="845">
        <v>8.2397003745318345E-2</v>
      </c>
      <c r="AG1316" s="845">
        <v>0.89388264669163542</v>
      </c>
      <c r="AH1316" s="20" t="str">
        <f t="shared" si="115"/>
        <v>No</v>
      </c>
      <c r="AI1316" s="25"/>
      <c r="AJ1316" s="37">
        <v>43711</v>
      </c>
      <c r="AK1316" s="37" t="s">
        <v>1020</v>
      </c>
      <c r="AL1316" s="37">
        <v>39121</v>
      </c>
      <c r="AM1316" s="37" t="s">
        <v>66</v>
      </c>
      <c r="AN1316" s="37" t="str">
        <f t="shared" si="116"/>
        <v>N/A</v>
      </c>
      <c r="AO1316" s="37" t="str">
        <f t="shared" si="117"/>
        <v>N/A</v>
      </c>
      <c r="AP1316" s="37" t="s">
        <v>8</v>
      </c>
      <c r="AQ1316" s="25"/>
      <c r="AR1316" s="25"/>
      <c r="AS1316" s="25"/>
      <c r="AT1316" s="25"/>
      <c r="AU1316" s="36"/>
      <c r="AV1316" s="36"/>
      <c r="AW1316" s="36"/>
      <c r="AX1316" s="25"/>
      <c r="AY1316" s="25"/>
      <c r="AZ1316" s="25"/>
      <c r="BA1316" s="25"/>
      <c r="BB1316" s="25"/>
      <c r="BC1316" s="25"/>
      <c r="BD1316" s="25"/>
      <c r="BE1316" s="25"/>
      <c r="BF1316" s="25"/>
      <c r="BG1316" s="25"/>
      <c r="BH1316" s="25"/>
      <c r="BI1316" s="25"/>
      <c r="BJ1316" s="25"/>
      <c r="BK1316" s="25"/>
      <c r="BL1316" s="25"/>
      <c r="BM1316" s="25"/>
      <c r="BN1316" s="25"/>
      <c r="BO1316" s="25"/>
      <c r="BP1316" s="25"/>
      <c r="BQ1316" s="25"/>
      <c r="BR1316" s="25"/>
      <c r="BS1316" s="25"/>
      <c r="BT1316" s="25"/>
      <c r="BU1316" s="25"/>
      <c r="BV1316" s="25"/>
      <c r="BW1316" s="25"/>
      <c r="BX1316" s="25"/>
      <c r="BY1316" s="25"/>
      <c r="BZ1316" s="25"/>
      <c r="CA1316" s="25"/>
      <c r="CB1316" s="25"/>
      <c r="CC1316" s="25"/>
      <c r="CD1316" s="25"/>
      <c r="CE1316" s="200"/>
      <c r="CF1316" s="200"/>
      <c r="CG1316" s="200"/>
      <c r="CH1316" s="200"/>
      <c r="CI1316" s="200"/>
      <c r="CJ1316" s="200"/>
      <c r="CK1316" s="200"/>
      <c r="CL1316" s="200"/>
      <c r="CM1316" s="200"/>
      <c r="CN1316" s="200"/>
      <c r="CO1316" s="200"/>
      <c r="CP1316" s="200"/>
      <c r="CQ1316" s="200"/>
      <c r="CR1316" s="200"/>
      <c r="CS1316" s="200"/>
      <c r="CT1316" s="200"/>
      <c r="CU1316" s="200"/>
    </row>
    <row r="1317" spans="1:99" s="17" customFormat="1" x14ac:dyDescent="0.2">
      <c r="A1317" s="25"/>
      <c r="B1317" s="20">
        <v>39089751600</v>
      </c>
      <c r="C1317" s="20">
        <v>7516</v>
      </c>
      <c r="D1317" s="20" t="s">
        <v>50</v>
      </c>
      <c r="E1317" s="20" t="s">
        <v>2830</v>
      </c>
      <c r="F1317" s="20" t="s">
        <v>8</v>
      </c>
      <c r="G1317" s="861">
        <v>52.288522457955303</v>
      </c>
      <c r="H1317" s="861">
        <v>57.976215135312998</v>
      </c>
      <c r="I1317" s="861">
        <v>24.103180352431998</v>
      </c>
      <c r="J1317" s="861">
        <v>49.4187689465248</v>
      </c>
      <c r="K1317" s="982">
        <v>0</v>
      </c>
      <c r="L1317" s="735">
        <v>3381</v>
      </c>
      <c r="M1317" s="735">
        <v>4002</v>
      </c>
      <c r="N1317" s="845">
        <f t="shared" si="113"/>
        <v>0.18367346938775511</v>
      </c>
      <c r="O1317" s="735">
        <v>1.0120845689905504</v>
      </c>
      <c r="P1317" s="735">
        <f t="shared" si="114"/>
        <v>3954.2150158376394</v>
      </c>
      <c r="Q1317" s="849">
        <v>42.6</v>
      </c>
      <c r="R1317" s="71">
        <v>63278</v>
      </c>
      <c r="S1317" s="845">
        <v>0.11819090454772614</v>
      </c>
      <c r="T1317" s="845">
        <v>3.6000000000000004E-2</v>
      </c>
      <c r="U1317" s="845">
        <v>0</v>
      </c>
      <c r="V1317" s="845">
        <v>3.7999999999999999E-2</v>
      </c>
      <c r="W1317" s="845">
        <v>0.35026269702276708</v>
      </c>
      <c r="X1317" s="845">
        <v>0.27166666666666667</v>
      </c>
      <c r="Y1317" s="845">
        <v>0.89380309845077466</v>
      </c>
      <c r="Z1317" s="845">
        <v>5.9720139930034985E-2</v>
      </c>
      <c r="AA1317" s="845">
        <v>0</v>
      </c>
      <c r="AB1317" s="845">
        <v>9.9950024987506252E-3</v>
      </c>
      <c r="AC1317" s="845">
        <v>0</v>
      </c>
      <c r="AD1317" s="845">
        <v>2.2488755622188904E-3</v>
      </c>
      <c r="AE1317" s="845">
        <v>3.4232883558220892E-2</v>
      </c>
      <c r="AF1317" s="845">
        <v>1.8490754622688656E-2</v>
      </c>
      <c r="AG1317" s="845">
        <v>0.89105447276361816</v>
      </c>
      <c r="AH1317" s="20" t="str">
        <f t="shared" si="115"/>
        <v>No</v>
      </c>
      <c r="AI1317" s="25"/>
      <c r="AJ1317" s="37">
        <v>43717</v>
      </c>
      <c r="AK1317" s="37" t="s">
        <v>1023</v>
      </c>
      <c r="AL1317" s="37">
        <v>39121</v>
      </c>
      <c r="AM1317" s="37" t="s">
        <v>66</v>
      </c>
      <c r="AN1317" s="37" t="str">
        <f t="shared" si="116"/>
        <v>N/A</v>
      </c>
      <c r="AO1317" s="37" t="str">
        <f t="shared" si="117"/>
        <v>N/A</v>
      </c>
      <c r="AP1317" s="37" t="s">
        <v>8</v>
      </c>
      <c r="AQ1317" s="25"/>
      <c r="AR1317" s="25"/>
      <c r="AS1317" s="25"/>
      <c r="AT1317" s="25"/>
      <c r="AU1317" s="36"/>
      <c r="AV1317" s="36"/>
      <c r="AW1317" s="36"/>
      <c r="AX1317" s="25"/>
      <c r="AY1317" s="25"/>
      <c r="AZ1317" s="25"/>
      <c r="BA1317" s="25"/>
      <c r="BB1317" s="25"/>
      <c r="BC1317" s="25"/>
      <c r="BD1317" s="25"/>
      <c r="BE1317" s="25"/>
      <c r="BF1317" s="25"/>
      <c r="BG1317" s="25"/>
      <c r="BH1317" s="25"/>
      <c r="BI1317" s="25"/>
      <c r="BJ1317" s="25"/>
      <c r="BK1317" s="25"/>
      <c r="BL1317" s="25"/>
      <c r="BM1317" s="25"/>
      <c r="BN1317" s="25"/>
      <c r="BO1317" s="25"/>
      <c r="BP1317" s="25"/>
      <c r="BQ1317" s="25"/>
      <c r="BR1317" s="25"/>
      <c r="BS1317" s="25"/>
      <c r="BT1317" s="25"/>
      <c r="BU1317" s="25"/>
      <c r="BV1317" s="25"/>
      <c r="BW1317" s="25"/>
      <c r="BX1317" s="25"/>
      <c r="BY1317" s="25"/>
      <c r="BZ1317" s="25"/>
      <c r="CA1317" s="25"/>
      <c r="CB1317" s="25"/>
      <c r="CC1317" s="25"/>
      <c r="CD1317" s="25"/>
      <c r="CE1317" s="200"/>
      <c r="CF1317" s="200"/>
      <c r="CG1317" s="200"/>
      <c r="CH1317" s="200"/>
      <c r="CI1317" s="200"/>
      <c r="CJ1317" s="200"/>
      <c r="CK1317" s="200"/>
      <c r="CL1317" s="200"/>
      <c r="CM1317" s="200"/>
      <c r="CN1317" s="200"/>
      <c r="CO1317" s="200"/>
      <c r="CP1317" s="200"/>
      <c r="CQ1317" s="200"/>
      <c r="CR1317" s="200"/>
      <c r="CS1317" s="200"/>
      <c r="CT1317" s="200"/>
      <c r="CU1317" s="200"/>
    </row>
    <row r="1318" spans="1:99" s="17" customFormat="1" x14ac:dyDescent="0.2">
      <c r="A1318" s="25"/>
      <c r="B1318" s="20">
        <v>39067976000</v>
      </c>
      <c r="C1318" s="20">
        <v>9760</v>
      </c>
      <c r="D1318" s="20" t="s">
        <v>40</v>
      </c>
      <c r="E1318" s="20" t="s">
        <v>265</v>
      </c>
      <c r="F1318" s="20" t="s">
        <v>8</v>
      </c>
      <c r="G1318" s="861">
        <v>52.284579779832598</v>
      </c>
      <c r="H1318" s="861">
        <v>51.763499172904901</v>
      </c>
      <c r="I1318" s="861">
        <v>41.580308265157598</v>
      </c>
      <c r="J1318" s="861">
        <v>31.2163645422889</v>
      </c>
      <c r="K1318" s="982">
        <v>0</v>
      </c>
      <c r="L1318" s="735">
        <v>3528</v>
      </c>
      <c r="M1318" s="735">
        <v>3094</v>
      </c>
      <c r="N1318" s="845">
        <f t="shared" si="113"/>
        <v>-0.12301587301587301</v>
      </c>
      <c r="O1318" s="735">
        <v>29.68449766358194</v>
      </c>
      <c r="P1318" s="735">
        <f t="shared" si="114"/>
        <v>104.22948823539755</v>
      </c>
      <c r="Q1318" s="849">
        <v>44.2</v>
      </c>
      <c r="R1318" s="71">
        <v>37192</v>
      </c>
      <c r="S1318" s="845">
        <v>0.20311981413873217</v>
      </c>
      <c r="T1318" s="845">
        <v>1.3999999999999999E-2</v>
      </c>
      <c r="U1318" s="845">
        <v>0</v>
      </c>
      <c r="V1318" s="845">
        <v>0.107</v>
      </c>
      <c r="W1318" s="845">
        <v>0.42411347517730497</v>
      </c>
      <c r="X1318" s="845">
        <v>0.46153846153846156</v>
      </c>
      <c r="Y1318" s="845">
        <v>0.83742727860374921</v>
      </c>
      <c r="Z1318" s="845">
        <v>0.12023270846800259</v>
      </c>
      <c r="AA1318" s="845">
        <v>6.1409179056237878E-3</v>
      </c>
      <c r="AB1318" s="845">
        <v>0</v>
      </c>
      <c r="AC1318" s="845">
        <v>0</v>
      </c>
      <c r="AD1318" s="845">
        <v>0</v>
      </c>
      <c r="AE1318" s="845">
        <v>3.6199095022624438E-2</v>
      </c>
      <c r="AF1318" s="845">
        <v>6.1409179056237878E-3</v>
      </c>
      <c r="AG1318" s="845">
        <v>0.83742727860374921</v>
      </c>
      <c r="AH1318" s="20" t="str">
        <f t="shared" si="115"/>
        <v>No</v>
      </c>
      <c r="AI1318" s="25"/>
      <c r="AJ1318" s="37">
        <v>43724</v>
      </c>
      <c r="AK1318" s="37" t="s">
        <v>1030</v>
      </c>
      <c r="AL1318" s="37">
        <v>39121</v>
      </c>
      <c r="AM1318" s="37" t="s">
        <v>66</v>
      </c>
      <c r="AN1318" s="37" t="str">
        <f t="shared" si="116"/>
        <v>N/A</v>
      </c>
      <c r="AO1318" s="37" t="str">
        <f t="shared" si="117"/>
        <v>N/A</v>
      </c>
      <c r="AP1318" s="37" t="s">
        <v>8</v>
      </c>
      <c r="AQ1318" s="25"/>
      <c r="AR1318" s="25"/>
      <c r="AS1318" s="25"/>
      <c r="AT1318" s="25"/>
      <c r="AU1318" s="36"/>
      <c r="AV1318" s="36"/>
      <c r="AW1318" s="36"/>
      <c r="AX1318" s="25"/>
      <c r="AY1318" s="25"/>
      <c r="AZ1318" s="25"/>
      <c r="BA1318" s="25"/>
      <c r="BB1318" s="25"/>
      <c r="BC1318" s="25"/>
      <c r="BD1318" s="25"/>
      <c r="BE1318" s="25"/>
      <c r="BF1318" s="25"/>
      <c r="BG1318" s="25"/>
      <c r="BH1318" s="25"/>
      <c r="BI1318" s="25"/>
      <c r="BJ1318" s="25"/>
      <c r="BK1318" s="25"/>
      <c r="BL1318" s="25"/>
      <c r="BM1318" s="25"/>
      <c r="BN1318" s="25"/>
      <c r="BO1318" s="25"/>
      <c r="BP1318" s="25"/>
      <c r="BQ1318" s="25"/>
      <c r="BR1318" s="25"/>
      <c r="BS1318" s="25"/>
      <c r="BT1318" s="25"/>
      <c r="BU1318" s="25"/>
      <c r="BV1318" s="25"/>
      <c r="BW1318" s="25"/>
      <c r="BX1318" s="25"/>
      <c r="BY1318" s="25"/>
      <c r="BZ1318" s="25"/>
      <c r="CA1318" s="25"/>
      <c r="CB1318" s="25"/>
      <c r="CC1318" s="25"/>
      <c r="CD1318" s="25"/>
      <c r="CE1318" s="200"/>
      <c r="CF1318" s="200"/>
      <c r="CG1318" s="200"/>
      <c r="CH1318" s="200"/>
      <c r="CI1318" s="200"/>
      <c r="CJ1318" s="200"/>
      <c r="CK1318" s="200"/>
      <c r="CL1318" s="200"/>
      <c r="CM1318" s="200"/>
      <c r="CN1318" s="200"/>
      <c r="CO1318" s="200"/>
      <c r="CP1318" s="200"/>
      <c r="CQ1318" s="200"/>
      <c r="CR1318" s="200"/>
      <c r="CS1318" s="200"/>
      <c r="CT1318" s="200"/>
      <c r="CU1318" s="200"/>
    </row>
    <row r="1319" spans="1:99" s="17" customFormat="1" x14ac:dyDescent="0.2">
      <c r="A1319" s="25"/>
      <c r="B1319" s="20">
        <v>39035177201</v>
      </c>
      <c r="C1319" s="20">
        <v>1772.01</v>
      </c>
      <c r="D1319" s="20" t="s">
        <v>24</v>
      </c>
      <c r="E1319" s="20" t="s">
        <v>2829</v>
      </c>
      <c r="F1319" s="20" t="s">
        <v>8</v>
      </c>
      <c r="G1319" s="861">
        <v>52.272052419144401</v>
      </c>
      <c r="H1319" s="861">
        <v>64.079058543249204</v>
      </c>
      <c r="I1319" s="861">
        <v>26.698976111484601</v>
      </c>
      <c r="J1319" s="861">
        <v>38.069197572359897</v>
      </c>
      <c r="K1319" s="982">
        <v>0</v>
      </c>
      <c r="L1319" s="735">
        <v>3915</v>
      </c>
      <c r="M1319" s="735">
        <v>4153</v>
      </c>
      <c r="N1319" s="845">
        <f t="shared" si="113"/>
        <v>6.0791826309067688E-2</v>
      </c>
      <c r="O1319" s="735">
        <v>0.43150198091063824</v>
      </c>
      <c r="P1319" s="735">
        <f t="shared" si="114"/>
        <v>9624.5212854771671</v>
      </c>
      <c r="Q1319" s="849">
        <v>39</v>
      </c>
      <c r="R1319" s="71">
        <v>68194</v>
      </c>
      <c r="S1319" s="845">
        <v>9.1981699975921025E-2</v>
      </c>
      <c r="T1319" s="845">
        <v>0.10300000000000001</v>
      </c>
      <c r="U1319" s="845">
        <v>2.2000000000000002E-2</v>
      </c>
      <c r="V1319" s="845">
        <v>0</v>
      </c>
      <c r="W1319" s="845">
        <v>0.16634429400386846</v>
      </c>
      <c r="X1319" s="845">
        <v>0.22868217054263565</v>
      </c>
      <c r="Y1319" s="845">
        <v>0.80736816758969421</v>
      </c>
      <c r="Z1319" s="845">
        <v>2.3597399470262462E-2</v>
      </c>
      <c r="AA1319" s="845">
        <v>1.6855285335901757E-3</v>
      </c>
      <c r="AB1319" s="845">
        <v>3.3710570671803518E-2</v>
      </c>
      <c r="AC1319" s="845">
        <v>0</v>
      </c>
      <c r="AD1319" s="845">
        <v>6.019744762822056E-3</v>
      </c>
      <c r="AE1319" s="845">
        <v>0.1276185889718276</v>
      </c>
      <c r="AF1319" s="845">
        <v>6.3809294485913798E-2</v>
      </c>
      <c r="AG1319" s="845">
        <v>0.79508788827353716</v>
      </c>
      <c r="AH1319" s="20" t="str">
        <f t="shared" si="115"/>
        <v>No</v>
      </c>
      <c r="AI1319" s="25"/>
      <c r="AJ1319" s="37">
        <v>43732</v>
      </c>
      <c r="AK1319" s="37" t="s">
        <v>1036</v>
      </c>
      <c r="AL1319" s="37">
        <v>39121</v>
      </c>
      <c r="AM1319" s="37" t="s">
        <v>66</v>
      </c>
      <c r="AN1319" s="37" t="str">
        <f t="shared" si="116"/>
        <v>N/A</v>
      </c>
      <c r="AO1319" s="37" t="str">
        <f t="shared" si="117"/>
        <v>N/A</v>
      </c>
      <c r="AP1319" s="37" t="s">
        <v>8</v>
      </c>
      <c r="AQ1319" s="25"/>
      <c r="AR1319" s="25"/>
      <c r="AS1319" s="25"/>
      <c r="AT1319" s="25"/>
      <c r="AU1319" s="36"/>
      <c r="AV1319" s="36"/>
      <c r="AW1319" s="36"/>
      <c r="AX1319" s="25"/>
      <c r="AY1319" s="25"/>
      <c r="AZ1319" s="25"/>
      <c r="BA1319" s="25"/>
      <c r="BB1319" s="25"/>
      <c r="BC1319" s="25"/>
      <c r="BD1319" s="25"/>
      <c r="BE1319" s="25"/>
      <c r="BF1319" s="25"/>
      <c r="BG1319" s="25"/>
      <c r="BH1319" s="25"/>
      <c r="BI1319" s="25"/>
      <c r="BJ1319" s="25"/>
      <c r="BK1319" s="25"/>
      <c r="BL1319" s="25"/>
      <c r="BM1319" s="25"/>
      <c r="BN1319" s="25"/>
      <c r="BO1319" s="25"/>
      <c r="BP1319" s="25"/>
      <c r="BQ1319" s="25"/>
      <c r="BR1319" s="25"/>
      <c r="BS1319" s="25"/>
      <c r="BT1319" s="25"/>
      <c r="BU1319" s="25"/>
      <c r="BV1319" s="25"/>
      <c r="BW1319" s="25"/>
      <c r="BX1319" s="25"/>
      <c r="BY1319" s="25"/>
      <c r="BZ1319" s="25"/>
      <c r="CA1319" s="25"/>
      <c r="CB1319" s="25"/>
      <c r="CC1319" s="25"/>
      <c r="CD1319" s="25"/>
      <c r="CE1319" s="200"/>
      <c r="CF1319" s="200"/>
      <c r="CG1319" s="200"/>
      <c r="CH1319" s="200"/>
      <c r="CI1319" s="200"/>
      <c r="CJ1319" s="200"/>
      <c r="CK1319" s="200"/>
      <c r="CL1319" s="200"/>
      <c r="CM1319" s="200"/>
      <c r="CN1319" s="200"/>
      <c r="CO1319" s="200"/>
      <c r="CP1319" s="200"/>
      <c r="CQ1319" s="200"/>
      <c r="CR1319" s="200"/>
      <c r="CS1319" s="200"/>
      <c r="CT1319" s="200"/>
      <c r="CU1319" s="200"/>
    </row>
    <row r="1320" spans="1:99" s="17" customFormat="1" x14ac:dyDescent="0.2">
      <c r="A1320" s="25"/>
      <c r="B1320" s="20">
        <v>39077915900</v>
      </c>
      <c r="C1320" s="20">
        <v>9159</v>
      </c>
      <c r="D1320" s="20" t="s">
        <v>45</v>
      </c>
      <c r="E1320" s="20" t="s">
        <v>265</v>
      </c>
      <c r="F1320" s="20" t="s">
        <v>8</v>
      </c>
      <c r="G1320" s="861">
        <v>52.266720024230899</v>
      </c>
      <c r="H1320" s="861">
        <v>57.736281013366799</v>
      </c>
      <c r="I1320" s="861">
        <v>19.300142215536301</v>
      </c>
      <c r="J1320" s="861">
        <v>47.808852359368203</v>
      </c>
      <c r="K1320" s="982">
        <v>0</v>
      </c>
      <c r="L1320" s="735">
        <v>4102</v>
      </c>
      <c r="M1320" s="735">
        <v>3791</v>
      </c>
      <c r="N1320" s="845">
        <f t="shared" si="113"/>
        <v>-7.5816674792784006E-2</v>
      </c>
      <c r="O1320" s="735">
        <v>89.6487451442393</v>
      </c>
      <c r="P1320" s="735">
        <f t="shared" si="114"/>
        <v>42.287262291296045</v>
      </c>
      <c r="Q1320" s="849">
        <v>40.799999999999997</v>
      </c>
      <c r="R1320" s="71">
        <v>79973</v>
      </c>
      <c r="S1320" s="845">
        <v>4.5898179899762595E-2</v>
      </c>
      <c r="T1320" s="845">
        <v>3.1E-2</v>
      </c>
      <c r="U1320" s="845">
        <v>0</v>
      </c>
      <c r="V1320" s="845">
        <v>0.10099999999999999</v>
      </c>
      <c r="W1320" s="845">
        <v>0.22332015810276679</v>
      </c>
      <c r="X1320" s="845">
        <v>0.34513274336283184</v>
      </c>
      <c r="Y1320" s="845">
        <v>0.93642838301239784</v>
      </c>
      <c r="Z1320" s="845">
        <v>3.1653917172250064E-3</v>
      </c>
      <c r="AA1320" s="845">
        <v>0</v>
      </c>
      <c r="AB1320" s="845">
        <v>0</v>
      </c>
      <c r="AC1320" s="845">
        <v>3.1653917172250064E-3</v>
      </c>
      <c r="AD1320" s="845">
        <v>8.4410445792666849E-3</v>
      </c>
      <c r="AE1320" s="845">
        <v>4.8799788973885518E-2</v>
      </c>
      <c r="AF1320" s="845">
        <v>3.1390134529147982E-2</v>
      </c>
      <c r="AG1320" s="845">
        <v>0.9227116855710894</v>
      </c>
      <c r="AH1320" s="20" t="str">
        <f t="shared" si="115"/>
        <v>Yes</v>
      </c>
      <c r="AI1320" s="25"/>
      <c r="AJ1320" s="37">
        <v>43772</v>
      </c>
      <c r="AK1320" s="37" t="s">
        <v>1062</v>
      </c>
      <c r="AL1320" s="37">
        <v>39121</v>
      </c>
      <c r="AM1320" s="37" t="s">
        <v>66</v>
      </c>
      <c r="AN1320" s="37" t="str">
        <f t="shared" si="116"/>
        <v>N/A</v>
      </c>
      <c r="AO1320" s="37" t="str">
        <f t="shared" si="117"/>
        <v>N/A</v>
      </c>
      <c r="AP1320" s="37" t="s">
        <v>8</v>
      </c>
      <c r="AQ1320" s="25"/>
      <c r="AR1320" s="25"/>
      <c r="AS1320" s="25"/>
      <c r="AT1320" s="25"/>
      <c r="AU1320" s="36"/>
      <c r="AV1320" s="36"/>
      <c r="AW1320" s="36"/>
      <c r="AX1320" s="25"/>
      <c r="AY1320" s="25"/>
      <c r="AZ1320" s="25"/>
      <c r="BA1320" s="25"/>
      <c r="BB1320" s="25"/>
      <c r="BC1320" s="25"/>
      <c r="BD1320" s="25"/>
      <c r="BE1320" s="25"/>
      <c r="BF1320" s="25"/>
      <c r="BG1320" s="25"/>
      <c r="BH1320" s="25"/>
      <c r="BI1320" s="25"/>
      <c r="BJ1320" s="25"/>
      <c r="BK1320" s="25"/>
      <c r="BL1320" s="25"/>
      <c r="BM1320" s="25"/>
      <c r="BN1320" s="25"/>
      <c r="BO1320" s="25"/>
      <c r="BP1320" s="25"/>
      <c r="BQ1320" s="25"/>
      <c r="BR1320" s="25"/>
      <c r="BS1320" s="25"/>
      <c r="BT1320" s="25"/>
      <c r="BU1320" s="25"/>
      <c r="BV1320" s="25"/>
      <c r="BW1320" s="25"/>
      <c r="BX1320" s="25"/>
      <c r="BY1320" s="25"/>
      <c r="BZ1320" s="25"/>
      <c r="CA1320" s="25"/>
      <c r="CB1320" s="25"/>
      <c r="CC1320" s="25"/>
      <c r="CD1320" s="25"/>
      <c r="CE1320" s="200"/>
      <c r="CF1320" s="200"/>
      <c r="CG1320" s="200"/>
      <c r="CH1320" s="200"/>
      <c r="CI1320" s="200"/>
      <c r="CJ1320" s="200"/>
      <c r="CK1320" s="200"/>
      <c r="CL1320" s="200"/>
      <c r="CM1320" s="200"/>
      <c r="CN1320" s="200"/>
      <c r="CO1320" s="200"/>
      <c r="CP1320" s="200"/>
      <c r="CQ1320" s="200"/>
      <c r="CR1320" s="200"/>
      <c r="CS1320" s="200"/>
      <c r="CT1320" s="200"/>
      <c r="CU1320" s="200"/>
    </row>
    <row r="1321" spans="1:99" s="17" customFormat="1" x14ac:dyDescent="0.2">
      <c r="A1321" s="25"/>
      <c r="B1321" s="20">
        <v>39049002520</v>
      </c>
      <c r="C1321" s="20">
        <v>25.2</v>
      </c>
      <c r="D1321" s="20" t="s">
        <v>31</v>
      </c>
      <c r="E1321" s="20" t="s">
        <v>2830</v>
      </c>
      <c r="F1321" s="20" t="s">
        <v>6</v>
      </c>
      <c r="G1321" s="861">
        <v>52.244462045271199</v>
      </c>
      <c r="H1321" s="861">
        <v>68.573062948791801</v>
      </c>
      <c r="I1321" s="861">
        <v>43.8849685580319</v>
      </c>
      <c r="J1321" s="861">
        <v>60.420393183597803</v>
      </c>
      <c r="K1321" s="982">
        <v>1</v>
      </c>
      <c r="L1321" s="735">
        <v>2593</v>
      </c>
      <c r="M1321" s="735">
        <v>2847</v>
      </c>
      <c r="N1321" s="845">
        <f t="shared" si="113"/>
        <v>9.7956035480138842E-2</v>
      </c>
      <c r="O1321" s="735">
        <v>0.60642672216746207</v>
      </c>
      <c r="P1321" s="735">
        <f t="shared" si="114"/>
        <v>4694.7139628418508</v>
      </c>
      <c r="Q1321" s="849">
        <v>33.799999999999997</v>
      </c>
      <c r="R1321" s="71">
        <v>64145</v>
      </c>
      <c r="S1321" s="845">
        <v>0.19489392304926287</v>
      </c>
      <c r="T1321" s="845">
        <v>5.9000000000000004E-2</v>
      </c>
      <c r="U1321" s="845">
        <v>0</v>
      </c>
      <c r="V1321" s="845">
        <v>0.153</v>
      </c>
      <c r="W1321" s="845">
        <v>0.5089285714285714</v>
      </c>
      <c r="X1321" s="845">
        <v>0.41025641025641024</v>
      </c>
      <c r="Y1321" s="845">
        <v>0.3537056550755181</v>
      </c>
      <c r="Z1321" s="845">
        <v>0.53565156304882333</v>
      </c>
      <c r="AA1321" s="845">
        <v>0</v>
      </c>
      <c r="AB1321" s="845">
        <v>2.4938531787846857E-2</v>
      </c>
      <c r="AC1321" s="845">
        <v>0</v>
      </c>
      <c r="AD1321" s="845">
        <v>1.510361784334387E-2</v>
      </c>
      <c r="AE1321" s="845">
        <v>7.0600632244467859E-2</v>
      </c>
      <c r="AF1321" s="845">
        <v>3.8637161924833159E-3</v>
      </c>
      <c r="AG1321" s="845">
        <v>0.34984193888303478</v>
      </c>
      <c r="AH1321" s="20" t="str">
        <f t="shared" si="115"/>
        <v>No</v>
      </c>
      <c r="AI1321" s="25"/>
      <c r="AJ1321" s="37">
        <v>43773</v>
      </c>
      <c r="AK1321" s="37" t="s">
        <v>1063</v>
      </c>
      <c r="AL1321" s="37">
        <v>39121</v>
      </c>
      <c r="AM1321" s="37" t="s">
        <v>66</v>
      </c>
      <c r="AN1321" s="37" t="str">
        <f t="shared" si="116"/>
        <v>N/A</v>
      </c>
      <c r="AO1321" s="37" t="str">
        <f t="shared" si="117"/>
        <v>N/A</v>
      </c>
      <c r="AP1321" s="37" t="s">
        <v>8</v>
      </c>
      <c r="AQ1321" s="25"/>
      <c r="AR1321" s="25"/>
      <c r="AS1321" s="25"/>
      <c r="AT1321" s="25"/>
      <c r="AU1321" s="36"/>
      <c r="AV1321" s="36"/>
      <c r="AW1321" s="36"/>
      <c r="AX1321" s="25"/>
      <c r="AY1321" s="25"/>
      <c r="AZ1321" s="25"/>
      <c r="BA1321" s="25"/>
      <c r="BB1321" s="25"/>
      <c r="BC1321" s="25"/>
      <c r="BD1321" s="25"/>
      <c r="BE1321" s="25"/>
      <c r="BF1321" s="25"/>
      <c r="BG1321" s="25"/>
      <c r="BH1321" s="25"/>
      <c r="BI1321" s="25"/>
      <c r="BJ1321" s="25"/>
      <c r="BK1321" s="25"/>
      <c r="BL1321" s="25"/>
      <c r="BM1321" s="25"/>
      <c r="BN1321" s="25"/>
      <c r="BO1321" s="25"/>
      <c r="BP1321" s="25"/>
      <c r="BQ1321" s="25"/>
      <c r="BR1321" s="25"/>
      <c r="BS1321" s="25"/>
      <c r="BT1321" s="25"/>
      <c r="BU1321" s="25"/>
      <c r="BV1321" s="25"/>
      <c r="BW1321" s="25"/>
      <c r="BX1321" s="25"/>
      <c r="BY1321" s="25"/>
      <c r="BZ1321" s="25"/>
      <c r="CA1321" s="25"/>
      <c r="CB1321" s="25"/>
      <c r="CC1321" s="25"/>
      <c r="CD1321" s="25"/>
      <c r="CE1321" s="200"/>
      <c r="CF1321" s="200"/>
      <c r="CG1321" s="200"/>
      <c r="CH1321" s="200"/>
      <c r="CI1321" s="200"/>
      <c r="CJ1321" s="200"/>
      <c r="CK1321" s="200"/>
      <c r="CL1321" s="200"/>
      <c r="CM1321" s="200"/>
      <c r="CN1321" s="200"/>
      <c r="CO1321" s="200"/>
      <c r="CP1321" s="200"/>
      <c r="CQ1321" s="200"/>
      <c r="CR1321" s="200"/>
      <c r="CS1321" s="200"/>
      <c r="CT1321" s="200"/>
      <c r="CU1321" s="200"/>
    </row>
    <row r="1322" spans="1:99" s="17" customFormat="1" x14ac:dyDescent="0.2">
      <c r="A1322" s="25"/>
      <c r="B1322" s="20">
        <v>39083007000</v>
      </c>
      <c r="C1322" s="20">
        <v>70</v>
      </c>
      <c r="D1322" s="20" t="s">
        <v>114</v>
      </c>
      <c r="E1322" s="20" t="s">
        <v>265</v>
      </c>
      <c r="F1322" s="20" t="s">
        <v>8</v>
      </c>
      <c r="G1322" s="861">
        <v>52.2339316540968</v>
      </c>
      <c r="H1322" s="861">
        <v>58.493848994829001</v>
      </c>
      <c r="I1322" s="861">
        <v>28.474026650755601</v>
      </c>
      <c r="J1322" s="861">
        <v>42.054947883201997</v>
      </c>
      <c r="K1322" s="982">
        <v>0</v>
      </c>
      <c r="L1322" s="735">
        <v>2875</v>
      </c>
      <c r="M1322" s="735">
        <v>3297</v>
      </c>
      <c r="N1322" s="845">
        <f t="shared" si="113"/>
        <v>0.14678260869565218</v>
      </c>
      <c r="O1322" s="735">
        <v>53.497475708488871</v>
      </c>
      <c r="P1322" s="735">
        <f t="shared" si="114"/>
        <v>61.629076070160046</v>
      </c>
      <c r="Q1322" s="849">
        <v>42.5</v>
      </c>
      <c r="R1322" s="71">
        <v>81394</v>
      </c>
      <c r="S1322" s="845">
        <v>8.3105022831050229E-2</v>
      </c>
      <c r="T1322" s="845">
        <v>6.0000000000000001E-3</v>
      </c>
      <c r="U1322" s="845">
        <v>8.0000000000000002E-3</v>
      </c>
      <c r="V1322" s="845">
        <v>0</v>
      </c>
      <c r="W1322" s="845">
        <v>0.18932874354561102</v>
      </c>
      <c r="X1322" s="845">
        <v>0.39545454545454545</v>
      </c>
      <c r="Y1322" s="845">
        <v>0.96602972399150744</v>
      </c>
      <c r="Z1322" s="845">
        <v>0</v>
      </c>
      <c r="AA1322" s="845">
        <v>0</v>
      </c>
      <c r="AB1322" s="845">
        <v>0</v>
      </c>
      <c r="AC1322" s="845">
        <v>0</v>
      </c>
      <c r="AD1322" s="845">
        <v>2.7297543221110102E-3</v>
      </c>
      <c r="AE1322" s="845">
        <v>3.1240521686381559E-2</v>
      </c>
      <c r="AF1322" s="845">
        <v>1.5771913861085837E-2</v>
      </c>
      <c r="AG1322" s="845">
        <v>0.95298756445253263</v>
      </c>
      <c r="AH1322" s="20" t="str">
        <f t="shared" si="115"/>
        <v>Yes</v>
      </c>
      <c r="AI1322" s="25"/>
      <c r="AJ1322" s="37">
        <v>43778</v>
      </c>
      <c r="AK1322" s="37" t="s">
        <v>1065</v>
      </c>
      <c r="AL1322" s="37">
        <v>39121</v>
      </c>
      <c r="AM1322" s="37" t="s">
        <v>66</v>
      </c>
      <c r="AN1322" s="37" t="str">
        <f t="shared" si="116"/>
        <v>N/A</v>
      </c>
      <c r="AO1322" s="37" t="str">
        <f t="shared" si="117"/>
        <v>N/A</v>
      </c>
      <c r="AP1322" s="37" t="s">
        <v>8</v>
      </c>
      <c r="AQ1322" s="25"/>
      <c r="AR1322" s="25"/>
      <c r="AS1322" s="25"/>
      <c r="AT1322" s="25"/>
      <c r="AU1322" s="36"/>
      <c r="AV1322" s="36"/>
      <c r="AW1322" s="36"/>
      <c r="AX1322" s="25"/>
      <c r="AY1322" s="25"/>
      <c r="AZ1322" s="25"/>
      <c r="BA1322" s="25"/>
      <c r="BB1322" s="25"/>
      <c r="BC1322" s="25"/>
      <c r="BD1322" s="25"/>
      <c r="BE1322" s="25"/>
      <c r="BF1322" s="25"/>
      <c r="BG1322" s="25"/>
      <c r="BH1322" s="25"/>
      <c r="BI1322" s="25"/>
      <c r="BJ1322" s="25"/>
      <c r="BK1322" s="25"/>
      <c r="BL1322" s="25"/>
      <c r="BM1322" s="25"/>
      <c r="BN1322" s="25"/>
      <c r="BO1322" s="25"/>
      <c r="BP1322" s="25"/>
      <c r="BQ1322" s="25"/>
      <c r="BR1322" s="25"/>
      <c r="BS1322" s="25"/>
      <c r="BT1322" s="25"/>
      <c r="BU1322" s="25"/>
      <c r="BV1322" s="25"/>
      <c r="BW1322" s="25"/>
      <c r="BX1322" s="25"/>
      <c r="BY1322" s="25"/>
      <c r="BZ1322" s="25"/>
      <c r="CA1322" s="25"/>
      <c r="CB1322" s="25"/>
      <c r="CC1322" s="25"/>
      <c r="CD1322" s="25"/>
      <c r="CE1322" s="200"/>
      <c r="CF1322" s="200"/>
      <c r="CG1322" s="200"/>
      <c r="CH1322" s="200"/>
      <c r="CI1322" s="200"/>
      <c r="CJ1322" s="200"/>
      <c r="CK1322" s="200"/>
      <c r="CL1322" s="200"/>
      <c r="CM1322" s="200"/>
      <c r="CN1322" s="200"/>
      <c r="CO1322" s="200"/>
      <c r="CP1322" s="200"/>
      <c r="CQ1322" s="200"/>
      <c r="CR1322" s="200"/>
      <c r="CS1322" s="200"/>
      <c r="CT1322" s="200"/>
      <c r="CU1322" s="200"/>
    </row>
    <row r="1323" spans="1:99" s="17" customFormat="1" x14ac:dyDescent="0.2">
      <c r="A1323" s="25"/>
      <c r="B1323" s="20">
        <v>39049008340</v>
      </c>
      <c r="C1323" s="20">
        <v>83.4</v>
      </c>
      <c r="D1323" s="20" t="s">
        <v>31</v>
      </c>
      <c r="E1323" s="20" t="s">
        <v>2830</v>
      </c>
      <c r="F1323" s="20" t="s">
        <v>8</v>
      </c>
      <c r="G1323" s="861">
        <v>52.217527739975701</v>
      </c>
      <c r="H1323" s="861">
        <v>51.592179967802899</v>
      </c>
      <c r="I1323" s="861">
        <v>27.7811928117188</v>
      </c>
      <c r="J1323" s="861">
        <v>51.308578958842602</v>
      </c>
      <c r="K1323" s="982">
        <v>0</v>
      </c>
      <c r="L1323" s="735">
        <v>6023</v>
      </c>
      <c r="M1323" s="735">
        <v>5058</v>
      </c>
      <c r="N1323" s="845">
        <f t="shared" si="113"/>
        <v>-0.16021915988709945</v>
      </c>
      <c r="O1323" s="735">
        <v>3.1618195343761637</v>
      </c>
      <c r="P1323" s="735">
        <f t="shared" si="114"/>
        <v>1599.7117941134986</v>
      </c>
      <c r="Q1323" s="849">
        <v>35.299999999999997</v>
      </c>
      <c r="R1323" s="71">
        <v>73026</v>
      </c>
      <c r="S1323" s="845">
        <v>0.19548522224808004</v>
      </c>
      <c r="T1323" s="845">
        <v>2.6000000000000002E-2</v>
      </c>
      <c r="U1323" s="845">
        <v>0</v>
      </c>
      <c r="V1323" s="845">
        <v>6.6000000000000003E-2</v>
      </c>
      <c r="W1323" s="845">
        <v>0.52664756446991401</v>
      </c>
      <c r="X1323" s="845">
        <v>0.29706202393906422</v>
      </c>
      <c r="Y1323" s="845">
        <v>0.71035982601818903</v>
      </c>
      <c r="Z1323" s="845">
        <v>0.16686437327006723</v>
      </c>
      <c r="AA1323" s="845">
        <v>0</v>
      </c>
      <c r="AB1323" s="845">
        <v>5.5357848952155E-3</v>
      </c>
      <c r="AC1323" s="845">
        <v>1.7793594306049821E-3</v>
      </c>
      <c r="AD1323" s="845">
        <v>1.383946223803875E-3</v>
      </c>
      <c r="AE1323" s="845">
        <v>0.11407671016211941</v>
      </c>
      <c r="AF1323" s="845">
        <v>3.9541320680110716E-3</v>
      </c>
      <c r="AG1323" s="845">
        <v>0.70897587979438514</v>
      </c>
      <c r="AH1323" s="20" t="str">
        <f t="shared" si="115"/>
        <v>No</v>
      </c>
      <c r="AI1323" s="25"/>
      <c r="AJ1323" s="37">
        <v>43779</v>
      </c>
      <c r="AK1323" s="37" t="s">
        <v>1066</v>
      </c>
      <c r="AL1323" s="37">
        <v>39121</v>
      </c>
      <c r="AM1323" s="37" t="s">
        <v>66</v>
      </c>
      <c r="AN1323" s="37" t="str">
        <f t="shared" si="116"/>
        <v>N/A</v>
      </c>
      <c r="AO1323" s="37" t="str">
        <f t="shared" si="117"/>
        <v>N/A</v>
      </c>
      <c r="AP1323" s="37" t="s">
        <v>8</v>
      </c>
      <c r="AQ1323" s="25"/>
      <c r="AR1323" s="25"/>
      <c r="AS1323" s="25"/>
      <c r="AT1323" s="25"/>
      <c r="AU1323" s="36"/>
      <c r="AV1323" s="36"/>
      <c r="AW1323" s="36"/>
      <c r="AX1323" s="25"/>
      <c r="AY1323" s="25"/>
      <c r="AZ1323" s="25"/>
      <c r="BA1323" s="25"/>
      <c r="BB1323" s="25"/>
      <c r="BC1323" s="25"/>
      <c r="BD1323" s="25"/>
      <c r="BE1323" s="25"/>
      <c r="BF1323" s="25"/>
      <c r="BG1323" s="25"/>
      <c r="BH1323" s="25"/>
      <c r="BI1323" s="25"/>
      <c r="BJ1323" s="25"/>
      <c r="BK1323" s="25"/>
      <c r="BL1323" s="25"/>
      <c r="BM1323" s="25"/>
      <c r="BN1323" s="25"/>
      <c r="BO1323" s="25"/>
      <c r="BP1323" s="25"/>
      <c r="BQ1323" s="25"/>
      <c r="BR1323" s="25"/>
      <c r="BS1323" s="25"/>
      <c r="BT1323" s="25"/>
      <c r="BU1323" s="25"/>
      <c r="BV1323" s="25"/>
      <c r="BW1323" s="25"/>
      <c r="BX1323" s="25"/>
      <c r="BY1323" s="25"/>
      <c r="BZ1323" s="25"/>
      <c r="CA1323" s="25"/>
      <c r="CB1323" s="25"/>
      <c r="CC1323" s="25"/>
      <c r="CD1323" s="25"/>
      <c r="CE1323" s="200"/>
      <c r="CF1323" s="200"/>
      <c r="CG1323" s="200"/>
      <c r="CH1323" s="200"/>
      <c r="CI1323" s="200"/>
      <c r="CJ1323" s="200"/>
      <c r="CK1323" s="200"/>
      <c r="CL1323" s="200"/>
      <c r="CM1323" s="200"/>
      <c r="CN1323" s="200"/>
      <c r="CO1323" s="200"/>
      <c r="CP1323" s="200"/>
      <c r="CQ1323" s="200"/>
      <c r="CR1323" s="200"/>
      <c r="CS1323" s="200"/>
      <c r="CT1323" s="200"/>
      <c r="CU1323" s="200"/>
    </row>
    <row r="1324" spans="1:99" s="17" customFormat="1" x14ac:dyDescent="0.2">
      <c r="A1324" s="25"/>
      <c r="B1324" s="20">
        <v>39095006300</v>
      </c>
      <c r="C1324" s="20">
        <v>63</v>
      </c>
      <c r="D1324" s="20" t="s">
        <v>53</v>
      </c>
      <c r="E1324" s="20" t="s">
        <v>2839</v>
      </c>
      <c r="F1324" s="20" t="s">
        <v>8</v>
      </c>
      <c r="G1324" s="861">
        <v>52.2143936777844</v>
      </c>
      <c r="H1324" s="861">
        <v>56.8479618710534</v>
      </c>
      <c r="I1324" s="861">
        <v>29.0522462676815</v>
      </c>
      <c r="J1324" s="861">
        <v>36.591383223670299</v>
      </c>
      <c r="K1324" s="982">
        <v>0</v>
      </c>
      <c r="L1324" s="735">
        <v>3045</v>
      </c>
      <c r="M1324" s="735">
        <v>2826</v>
      </c>
      <c r="N1324" s="845">
        <f t="shared" si="113"/>
        <v>-7.1921182266009853E-2</v>
      </c>
      <c r="O1324" s="735">
        <v>0.38578207990306179</v>
      </c>
      <c r="P1324" s="735">
        <f t="shared" si="114"/>
        <v>7325.3791381655392</v>
      </c>
      <c r="Q1324" s="849">
        <v>34.5</v>
      </c>
      <c r="R1324" s="71">
        <v>66440</v>
      </c>
      <c r="S1324" s="845">
        <v>6.0789193032349802E-2</v>
      </c>
      <c r="T1324" s="845">
        <v>0.122</v>
      </c>
      <c r="U1324" s="845">
        <v>0.03</v>
      </c>
      <c r="V1324" s="845">
        <v>0.03</v>
      </c>
      <c r="W1324" s="845">
        <v>0.23705324580598103</v>
      </c>
      <c r="X1324" s="845">
        <v>0.36</v>
      </c>
      <c r="Y1324" s="845">
        <v>0.62384996461429587</v>
      </c>
      <c r="Z1324" s="845">
        <v>0.24628450106157113</v>
      </c>
      <c r="AA1324" s="845">
        <v>0</v>
      </c>
      <c r="AB1324" s="845">
        <v>0</v>
      </c>
      <c r="AC1324" s="845">
        <v>0</v>
      </c>
      <c r="AD1324" s="845">
        <v>3.8924274593064401E-3</v>
      </c>
      <c r="AE1324" s="845">
        <v>0.1259731068648266</v>
      </c>
      <c r="AF1324" s="845">
        <v>9.3418259023354558E-2</v>
      </c>
      <c r="AG1324" s="845">
        <v>0.60261854210898802</v>
      </c>
      <c r="AH1324" s="20" t="str">
        <f t="shared" si="115"/>
        <v>No</v>
      </c>
      <c r="AI1324" s="25"/>
      <c r="AJ1324" s="37">
        <v>43780</v>
      </c>
      <c r="AK1324" s="37" t="s">
        <v>1067</v>
      </c>
      <c r="AL1324" s="37">
        <v>39121</v>
      </c>
      <c r="AM1324" s="37" t="s">
        <v>66</v>
      </c>
      <c r="AN1324" s="37" t="str">
        <f t="shared" si="116"/>
        <v>N/A</v>
      </c>
      <c r="AO1324" s="37" t="str">
        <f t="shared" si="117"/>
        <v>N/A</v>
      </c>
      <c r="AP1324" s="37" t="s">
        <v>8</v>
      </c>
      <c r="AQ1324" s="25"/>
      <c r="AR1324" s="25"/>
      <c r="AS1324" s="25"/>
      <c r="AT1324" s="25"/>
      <c r="AU1324" s="36"/>
      <c r="AV1324" s="36"/>
      <c r="AW1324" s="36"/>
      <c r="AX1324" s="25"/>
      <c r="AY1324" s="25"/>
      <c r="AZ1324" s="25"/>
      <c r="BA1324" s="25"/>
      <c r="BB1324" s="25"/>
      <c r="BC1324" s="25"/>
      <c r="BD1324" s="25"/>
      <c r="BE1324" s="25"/>
      <c r="BF1324" s="25"/>
      <c r="BG1324" s="25"/>
      <c r="BH1324" s="25"/>
      <c r="BI1324" s="25"/>
      <c r="BJ1324" s="25"/>
      <c r="BK1324" s="25"/>
      <c r="BL1324" s="25"/>
      <c r="BM1324" s="25"/>
      <c r="BN1324" s="25"/>
      <c r="BO1324" s="25"/>
      <c r="BP1324" s="25"/>
      <c r="BQ1324" s="25"/>
      <c r="BR1324" s="25"/>
      <c r="BS1324" s="25"/>
      <c r="BT1324" s="25"/>
      <c r="BU1324" s="25"/>
      <c r="BV1324" s="25"/>
      <c r="BW1324" s="25"/>
      <c r="BX1324" s="25"/>
      <c r="BY1324" s="25"/>
      <c r="BZ1324" s="25"/>
      <c r="CA1324" s="25"/>
      <c r="CB1324" s="25"/>
      <c r="CC1324" s="25"/>
      <c r="CD1324" s="25"/>
      <c r="CE1324" s="200"/>
      <c r="CF1324" s="200"/>
      <c r="CG1324" s="200"/>
      <c r="CH1324" s="200"/>
      <c r="CI1324" s="200"/>
      <c r="CJ1324" s="200"/>
      <c r="CK1324" s="200"/>
      <c r="CL1324" s="200"/>
      <c r="CM1324" s="200"/>
      <c r="CN1324" s="200"/>
      <c r="CO1324" s="200"/>
      <c r="CP1324" s="200"/>
      <c r="CQ1324" s="200"/>
      <c r="CR1324" s="200"/>
      <c r="CS1324" s="200"/>
      <c r="CT1324" s="200"/>
      <c r="CU1324" s="200"/>
    </row>
    <row r="1325" spans="1:99" s="17" customFormat="1" x14ac:dyDescent="0.2">
      <c r="A1325" s="25"/>
      <c r="B1325" s="20">
        <v>39107967500</v>
      </c>
      <c r="C1325" s="20">
        <v>9675</v>
      </c>
      <c r="D1325" s="20" t="s">
        <v>59</v>
      </c>
      <c r="E1325" s="20" t="s">
        <v>265</v>
      </c>
      <c r="F1325" s="20" t="s">
        <v>8</v>
      </c>
      <c r="G1325" s="861">
        <v>52.193617917176802</v>
      </c>
      <c r="H1325" s="861">
        <v>56.0196778393519</v>
      </c>
      <c r="I1325" s="861">
        <v>30.736725731115101</v>
      </c>
      <c r="J1325" s="861">
        <v>41.564627354264204</v>
      </c>
      <c r="K1325" s="982">
        <v>0</v>
      </c>
      <c r="L1325" s="735">
        <v>4857</v>
      </c>
      <c r="M1325" s="735">
        <v>5784</v>
      </c>
      <c r="N1325" s="845">
        <f t="shared" si="113"/>
        <v>0.19085855466337245</v>
      </c>
      <c r="O1325" s="735">
        <v>10.257300370386643</v>
      </c>
      <c r="P1325" s="735">
        <f t="shared" si="114"/>
        <v>563.8910620867365</v>
      </c>
      <c r="Q1325" s="849">
        <v>42</v>
      </c>
      <c r="R1325" s="71">
        <v>66481</v>
      </c>
      <c r="S1325" s="845">
        <v>0.11938721605916534</v>
      </c>
      <c r="T1325" s="845">
        <v>1.4999999999999999E-2</v>
      </c>
      <c r="U1325" s="845">
        <v>1E-3</v>
      </c>
      <c r="V1325" s="845">
        <v>0</v>
      </c>
      <c r="W1325" s="845">
        <v>0.35091926458832934</v>
      </c>
      <c r="X1325" s="845">
        <v>0.35079726651480636</v>
      </c>
      <c r="Y1325" s="845">
        <v>0.90802213001383125</v>
      </c>
      <c r="Z1325" s="845">
        <v>1.8499308437067773E-2</v>
      </c>
      <c r="AA1325" s="845">
        <v>0</v>
      </c>
      <c r="AB1325" s="845">
        <v>1.3831258644536654E-3</v>
      </c>
      <c r="AC1325" s="845">
        <v>1.7289073305670817E-4</v>
      </c>
      <c r="AD1325" s="845">
        <v>2.3340248962655602E-2</v>
      </c>
      <c r="AE1325" s="845">
        <v>4.8582295988934994E-2</v>
      </c>
      <c r="AF1325" s="845">
        <v>2.8354080221300138E-2</v>
      </c>
      <c r="AG1325" s="845">
        <v>0.90300829875518673</v>
      </c>
      <c r="AH1325" s="20" t="str">
        <f t="shared" si="115"/>
        <v>Yes</v>
      </c>
      <c r="AI1325" s="25"/>
      <c r="AJ1325" s="37">
        <v>43788</v>
      </c>
      <c r="AK1325" s="37" t="s">
        <v>1072</v>
      </c>
      <c r="AL1325" s="37">
        <v>39121</v>
      </c>
      <c r="AM1325" s="37" t="s">
        <v>66</v>
      </c>
      <c r="AN1325" s="37" t="str">
        <f t="shared" si="116"/>
        <v>N/A</v>
      </c>
      <c r="AO1325" s="37" t="str">
        <f t="shared" si="117"/>
        <v>N/A</v>
      </c>
      <c r="AP1325" s="37" t="s">
        <v>8</v>
      </c>
      <c r="AQ1325" s="25"/>
      <c r="AR1325" s="25"/>
      <c r="AS1325" s="25"/>
      <c r="AT1325" s="25"/>
      <c r="AU1325" s="36"/>
      <c r="AV1325" s="36"/>
      <c r="AW1325" s="36"/>
      <c r="AX1325" s="25"/>
      <c r="AY1325" s="25"/>
      <c r="AZ1325" s="25"/>
      <c r="BA1325" s="25"/>
      <c r="BB1325" s="25"/>
      <c r="BC1325" s="25"/>
      <c r="BD1325" s="25"/>
      <c r="BE1325" s="25"/>
      <c r="BF1325" s="25"/>
      <c r="BG1325" s="25"/>
      <c r="BH1325" s="25"/>
      <c r="BI1325" s="25"/>
      <c r="BJ1325" s="25"/>
      <c r="BK1325" s="25"/>
      <c r="BL1325" s="25"/>
      <c r="BM1325" s="25"/>
      <c r="BN1325" s="25"/>
      <c r="BO1325" s="25"/>
      <c r="BP1325" s="25"/>
      <c r="BQ1325" s="25"/>
      <c r="BR1325" s="25"/>
      <c r="BS1325" s="25"/>
      <c r="BT1325" s="25"/>
      <c r="BU1325" s="25"/>
      <c r="BV1325" s="25"/>
      <c r="BW1325" s="25"/>
      <c r="BX1325" s="25"/>
      <c r="BY1325" s="25"/>
      <c r="BZ1325" s="25"/>
      <c r="CA1325" s="25"/>
      <c r="CB1325" s="25"/>
      <c r="CC1325" s="25"/>
      <c r="CD1325" s="25"/>
      <c r="CE1325" s="200"/>
      <c r="CF1325" s="200"/>
      <c r="CG1325" s="200"/>
      <c r="CH1325" s="200"/>
      <c r="CI1325" s="200"/>
      <c r="CJ1325" s="200"/>
      <c r="CK1325" s="200"/>
      <c r="CL1325" s="200"/>
      <c r="CM1325" s="200"/>
      <c r="CN1325" s="200"/>
      <c r="CO1325" s="200"/>
      <c r="CP1325" s="200"/>
      <c r="CQ1325" s="200"/>
      <c r="CR1325" s="200"/>
      <c r="CS1325" s="200"/>
      <c r="CT1325" s="200"/>
      <c r="CU1325" s="200"/>
    </row>
    <row r="1326" spans="1:99" s="17" customFormat="1" x14ac:dyDescent="0.2">
      <c r="A1326" s="25"/>
      <c r="B1326" s="20">
        <v>39035140702</v>
      </c>
      <c r="C1326" s="20">
        <v>1407.02</v>
      </c>
      <c r="D1326" s="20" t="s">
        <v>24</v>
      </c>
      <c r="E1326" s="20" t="s">
        <v>2829</v>
      </c>
      <c r="F1326" s="20" t="s">
        <v>8</v>
      </c>
      <c r="G1326" s="861">
        <v>52.178396897446802</v>
      </c>
      <c r="H1326" s="861">
        <v>64.034240727419103</v>
      </c>
      <c r="I1326" s="861">
        <v>70.591377762602605</v>
      </c>
      <c r="J1326" s="861">
        <v>40.407358496320803</v>
      </c>
      <c r="K1326" s="982">
        <v>0</v>
      </c>
      <c r="L1326" s="735">
        <v>1664</v>
      </c>
      <c r="M1326" s="735">
        <v>2260</v>
      </c>
      <c r="N1326" s="845">
        <f t="shared" si="113"/>
        <v>0.35817307692307693</v>
      </c>
      <c r="O1326" s="735">
        <v>0.25834558754016829</v>
      </c>
      <c r="P1326" s="735">
        <f t="shared" si="114"/>
        <v>8747.9721311230405</v>
      </c>
      <c r="Q1326" s="849">
        <v>26.6</v>
      </c>
      <c r="R1326" s="71">
        <v>39576</v>
      </c>
      <c r="S1326" s="845">
        <v>0.34070796460176989</v>
      </c>
      <c r="T1326" s="845">
        <v>0.28800000000000003</v>
      </c>
      <c r="U1326" s="845">
        <v>0</v>
      </c>
      <c r="V1326" s="845">
        <v>0</v>
      </c>
      <c r="W1326" s="845">
        <v>0.7021276595744681</v>
      </c>
      <c r="X1326" s="845">
        <v>0.61675579322638141</v>
      </c>
      <c r="Y1326" s="845">
        <v>0.26902654867256637</v>
      </c>
      <c r="Z1326" s="845">
        <v>0.69380530973451326</v>
      </c>
      <c r="AA1326" s="845">
        <v>0</v>
      </c>
      <c r="AB1326" s="845">
        <v>2.9203539823008849E-2</v>
      </c>
      <c r="AC1326" s="845">
        <v>0</v>
      </c>
      <c r="AD1326" s="845">
        <v>0</v>
      </c>
      <c r="AE1326" s="845">
        <v>7.9646017699115043E-3</v>
      </c>
      <c r="AF1326" s="845">
        <v>6.1946902654867256E-3</v>
      </c>
      <c r="AG1326" s="845">
        <v>0.26283185840707962</v>
      </c>
      <c r="AH1326" s="20" t="str">
        <f t="shared" si="115"/>
        <v>No</v>
      </c>
      <c r="AI1326" s="25"/>
      <c r="AJ1326" s="37">
        <v>45715</v>
      </c>
      <c r="AK1326" s="37" t="s">
        <v>1836</v>
      </c>
      <c r="AL1326" s="37">
        <v>39121</v>
      </c>
      <c r="AM1326" s="37" t="s">
        <v>66</v>
      </c>
      <c r="AN1326" s="37" t="str">
        <f t="shared" si="116"/>
        <v>N/A</v>
      </c>
      <c r="AO1326" s="37" t="str">
        <f t="shared" si="117"/>
        <v>N/A</v>
      </c>
      <c r="AP1326" s="37" t="s">
        <v>8</v>
      </c>
      <c r="AQ1326" s="25"/>
      <c r="AR1326" s="25"/>
      <c r="AS1326" s="25"/>
      <c r="AT1326" s="25"/>
      <c r="AU1326" s="36"/>
      <c r="AV1326" s="36"/>
      <c r="AW1326" s="36"/>
      <c r="AX1326" s="25"/>
      <c r="AY1326" s="25"/>
      <c r="AZ1326" s="25"/>
      <c r="BA1326" s="25"/>
      <c r="BB1326" s="25"/>
      <c r="BC1326" s="25"/>
      <c r="BD1326" s="25"/>
      <c r="BE1326" s="25"/>
      <c r="BF1326" s="25"/>
      <c r="BG1326" s="25"/>
      <c r="BH1326" s="25"/>
      <c r="BI1326" s="25"/>
      <c r="BJ1326" s="25"/>
      <c r="BK1326" s="25"/>
      <c r="BL1326" s="25"/>
      <c r="BM1326" s="25"/>
      <c r="BN1326" s="25"/>
      <c r="BO1326" s="25"/>
      <c r="BP1326" s="25"/>
      <c r="BQ1326" s="25"/>
      <c r="BR1326" s="25"/>
      <c r="BS1326" s="25"/>
      <c r="BT1326" s="25"/>
      <c r="BU1326" s="25"/>
      <c r="BV1326" s="25"/>
      <c r="BW1326" s="25"/>
      <c r="BX1326" s="25"/>
      <c r="BY1326" s="25"/>
      <c r="BZ1326" s="25"/>
      <c r="CA1326" s="25"/>
      <c r="CB1326" s="25"/>
      <c r="CC1326" s="25"/>
      <c r="CD1326" s="25"/>
      <c r="CE1326" s="200"/>
      <c r="CF1326" s="200"/>
      <c r="CG1326" s="200"/>
      <c r="CH1326" s="200"/>
      <c r="CI1326" s="200"/>
      <c r="CJ1326" s="200"/>
      <c r="CK1326" s="200"/>
      <c r="CL1326" s="200"/>
      <c r="CM1326" s="200"/>
      <c r="CN1326" s="200"/>
      <c r="CO1326" s="200"/>
      <c r="CP1326" s="200"/>
      <c r="CQ1326" s="200"/>
      <c r="CR1326" s="200"/>
      <c r="CS1326" s="200"/>
      <c r="CT1326" s="200"/>
      <c r="CU1326" s="200"/>
    </row>
    <row r="1327" spans="1:99" s="17" customFormat="1" x14ac:dyDescent="0.2">
      <c r="A1327" s="25"/>
      <c r="B1327" s="20">
        <v>39049006351</v>
      </c>
      <c r="C1327" s="20">
        <v>63.51</v>
      </c>
      <c r="D1327" s="20" t="s">
        <v>31</v>
      </c>
      <c r="E1327" s="20" t="s">
        <v>2830</v>
      </c>
      <c r="F1327" s="20" t="s">
        <v>8</v>
      </c>
      <c r="G1327" s="861">
        <v>52.1669982893129</v>
      </c>
      <c r="H1327" s="861">
        <v>62.511318283154097</v>
      </c>
      <c r="I1327" s="861">
        <v>25.469074679629198</v>
      </c>
      <c r="J1327" s="861">
        <v>38.285561227489502</v>
      </c>
      <c r="K1327" s="982">
        <v>0</v>
      </c>
      <c r="L1327" s="735">
        <v>3921</v>
      </c>
      <c r="M1327" s="735">
        <v>4313</v>
      </c>
      <c r="N1327" s="845">
        <f t="shared" si="113"/>
        <v>9.9974496301963783E-2</v>
      </c>
      <c r="O1327" s="735">
        <v>0.88088551109217261</v>
      </c>
      <c r="P1327" s="735">
        <f t="shared" si="114"/>
        <v>4896.2094911204686</v>
      </c>
      <c r="Q1327" s="849">
        <v>44.4</v>
      </c>
      <c r="R1327" s="71">
        <v>69865</v>
      </c>
      <c r="S1327" s="845">
        <v>0.18531468531468531</v>
      </c>
      <c r="T1327" s="845">
        <v>0.03</v>
      </c>
      <c r="U1327" s="845">
        <v>5.9000000000000004E-2</v>
      </c>
      <c r="V1327" s="845">
        <v>0</v>
      </c>
      <c r="W1327" s="845">
        <v>0.4826254826254826</v>
      </c>
      <c r="X1327" s="845">
        <v>0.318</v>
      </c>
      <c r="Y1327" s="845">
        <v>0.79248782749826108</v>
      </c>
      <c r="Z1327" s="845">
        <v>4.6603292371898912E-2</v>
      </c>
      <c r="AA1327" s="845">
        <v>0</v>
      </c>
      <c r="AB1327" s="845">
        <v>8.8569441224205889E-2</v>
      </c>
      <c r="AC1327" s="845">
        <v>0</v>
      </c>
      <c r="AD1327" s="845">
        <v>1.3679573382796198E-2</v>
      </c>
      <c r="AE1327" s="845">
        <v>5.8659865522837931E-2</v>
      </c>
      <c r="AF1327" s="845">
        <v>3.3619290517041503E-2</v>
      </c>
      <c r="AG1327" s="845">
        <v>0.78251796893113845</v>
      </c>
      <c r="AH1327" s="20" t="str">
        <f t="shared" si="115"/>
        <v>No</v>
      </c>
      <c r="AI1327" s="25"/>
      <c r="AJ1327" s="37">
        <v>45727</v>
      </c>
      <c r="AK1327" s="37" t="s">
        <v>1843</v>
      </c>
      <c r="AL1327" s="37">
        <v>39121</v>
      </c>
      <c r="AM1327" s="37" t="s">
        <v>66</v>
      </c>
      <c r="AN1327" s="37" t="str">
        <f t="shared" si="116"/>
        <v>N/A</v>
      </c>
      <c r="AO1327" s="37" t="str">
        <f t="shared" si="117"/>
        <v>N/A</v>
      </c>
      <c r="AP1327" s="37" t="s">
        <v>8</v>
      </c>
      <c r="AQ1327" s="25"/>
      <c r="AR1327" s="25"/>
      <c r="AS1327" s="25"/>
      <c r="AT1327" s="25"/>
      <c r="AU1327" s="36"/>
      <c r="AV1327" s="36"/>
      <c r="AW1327" s="36"/>
      <c r="AX1327" s="25"/>
      <c r="AY1327" s="25"/>
      <c r="AZ1327" s="25"/>
      <c r="BA1327" s="25"/>
      <c r="BB1327" s="25"/>
      <c r="BC1327" s="25"/>
      <c r="BD1327" s="25"/>
      <c r="BE1327" s="25"/>
      <c r="BF1327" s="25"/>
      <c r="BG1327" s="25"/>
      <c r="BH1327" s="25"/>
      <c r="BI1327" s="25"/>
      <c r="BJ1327" s="25"/>
      <c r="BK1327" s="25"/>
      <c r="BL1327" s="25"/>
      <c r="BM1327" s="25"/>
      <c r="BN1327" s="25"/>
      <c r="BO1327" s="25"/>
      <c r="BP1327" s="25"/>
      <c r="BQ1327" s="25"/>
      <c r="BR1327" s="25"/>
      <c r="BS1327" s="25"/>
      <c r="BT1327" s="25"/>
      <c r="BU1327" s="25"/>
      <c r="BV1327" s="25"/>
      <c r="BW1327" s="25"/>
      <c r="BX1327" s="25"/>
      <c r="BY1327" s="25"/>
      <c r="BZ1327" s="25"/>
      <c r="CA1327" s="25"/>
      <c r="CB1327" s="25"/>
      <c r="CC1327" s="25"/>
      <c r="CD1327" s="25"/>
      <c r="CE1327" s="200"/>
      <c r="CF1327" s="200"/>
      <c r="CG1327" s="200"/>
      <c r="CH1327" s="200"/>
      <c r="CI1327" s="200"/>
      <c r="CJ1327" s="200"/>
      <c r="CK1327" s="200"/>
      <c r="CL1327" s="200"/>
      <c r="CM1327" s="200"/>
      <c r="CN1327" s="200"/>
      <c r="CO1327" s="200"/>
      <c r="CP1327" s="200"/>
      <c r="CQ1327" s="200"/>
      <c r="CR1327" s="200"/>
      <c r="CS1327" s="200"/>
      <c r="CT1327" s="200"/>
      <c r="CU1327" s="200"/>
    </row>
    <row r="1328" spans="1:99" s="17" customFormat="1" x14ac:dyDescent="0.2">
      <c r="A1328" s="25"/>
      <c r="B1328" s="20">
        <v>39095007903</v>
      </c>
      <c r="C1328" s="20">
        <v>79.03</v>
      </c>
      <c r="D1328" s="20" t="s">
        <v>53</v>
      </c>
      <c r="E1328" s="20" t="s">
        <v>2839</v>
      </c>
      <c r="F1328" s="20" t="s">
        <v>8</v>
      </c>
      <c r="G1328" s="861">
        <v>52.162746994659102</v>
      </c>
      <c r="H1328" s="861">
        <v>48.994406887419998</v>
      </c>
      <c r="I1328" s="861">
        <v>21.065485661706798</v>
      </c>
      <c r="J1328" s="861">
        <v>36.894393625222598</v>
      </c>
      <c r="K1328" s="982">
        <v>0</v>
      </c>
      <c r="L1328" s="735" t="s">
        <v>2466</v>
      </c>
      <c r="M1328" s="735">
        <v>3000</v>
      </c>
      <c r="N1328" s="845" t="str">
        <f t="shared" si="113"/>
        <v/>
      </c>
      <c r="O1328" s="735">
        <v>0.5585878925135298</v>
      </c>
      <c r="P1328" s="735">
        <f t="shared" si="114"/>
        <v>5370.6856883356731</v>
      </c>
      <c r="Q1328" s="849">
        <v>33</v>
      </c>
      <c r="R1328" s="71">
        <v>56145</v>
      </c>
      <c r="S1328" s="845">
        <v>0.17499999999999999</v>
      </c>
      <c r="T1328" s="845">
        <v>0.114</v>
      </c>
      <c r="U1328" s="845">
        <v>8.0000000000000002E-3</v>
      </c>
      <c r="V1328" s="845">
        <v>0</v>
      </c>
      <c r="W1328" s="845">
        <v>0.26585365853658538</v>
      </c>
      <c r="X1328" s="845">
        <v>0.14678899082568808</v>
      </c>
      <c r="Y1328" s="845">
        <v>0.85533333333333328</v>
      </c>
      <c r="Z1328" s="845">
        <v>3.9333333333333331E-2</v>
      </c>
      <c r="AA1328" s="845">
        <v>0</v>
      </c>
      <c r="AB1328" s="845">
        <v>0</v>
      </c>
      <c r="AC1328" s="845">
        <v>0</v>
      </c>
      <c r="AD1328" s="845">
        <v>1.7000000000000001E-2</v>
      </c>
      <c r="AE1328" s="845">
        <v>8.8333333333333333E-2</v>
      </c>
      <c r="AF1328" s="845">
        <v>4.1000000000000002E-2</v>
      </c>
      <c r="AG1328" s="845">
        <v>0.85533333333333328</v>
      </c>
      <c r="AH1328" s="20" t="str">
        <f t="shared" si="115"/>
        <v>No</v>
      </c>
      <c r="AI1328" s="25"/>
      <c r="AJ1328" s="37">
        <v>45744</v>
      </c>
      <c r="AK1328" s="37" t="s">
        <v>1853</v>
      </c>
      <c r="AL1328" s="37">
        <v>39121</v>
      </c>
      <c r="AM1328" s="37" t="s">
        <v>66</v>
      </c>
      <c r="AN1328" s="37" t="str">
        <f t="shared" si="116"/>
        <v>N/A</v>
      </c>
      <c r="AO1328" s="37" t="str">
        <f t="shared" si="117"/>
        <v>N/A</v>
      </c>
      <c r="AP1328" s="37" t="s">
        <v>8</v>
      </c>
      <c r="AQ1328" s="25"/>
      <c r="AR1328" s="25"/>
      <c r="AS1328" s="25"/>
      <c r="AT1328" s="25"/>
      <c r="AU1328" s="36"/>
      <c r="AV1328" s="36"/>
      <c r="AW1328" s="36"/>
      <c r="AX1328" s="25"/>
      <c r="AY1328" s="25"/>
      <c r="AZ1328" s="25"/>
      <c r="BA1328" s="25"/>
      <c r="BB1328" s="25"/>
      <c r="BC1328" s="25"/>
      <c r="BD1328" s="25"/>
      <c r="BE1328" s="25"/>
      <c r="BF1328" s="25"/>
      <c r="BG1328" s="25"/>
      <c r="BH1328" s="25"/>
      <c r="BI1328" s="25"/>
      <c r="BJ1328" s="25"/>
      <c r="BK1328" s="25"/>
      <c r="BL1328" s="25"/>
      <c r="BM1328" s="25"/>
      <c r="BN1328" s="25"/>
      <c r="BO1328" s="25"/>
      <c r="BP1328" s="25"/>
      <c r="BQ1328" s="25"/>
      <c r="BR1328" s="25"/>
      <c r="BS1328" s="25"/>
      <c r="BT1328" s="25"/>
      <c r="BU1328" s="25"/>
      <c r="BV1328" s="25"/>
      <c r="BW1328" s="25"/>
      <c r="BX1328" s="25"/>
      <c r="BY1328" s="25"/>
      <c r="BZ1328" s="25"/>
      <c r="CA1328" s="25"/>
      <c r="CB1328" s="25"/>
      <c r="CC1328" s="25"/>
      <c r="CD1328" s="25"/>
      <c r="CE1328" s="200"/>
      <c r="CF1328" s="200"/>
      <c r="CG1328" s="200"/>
      <c r="CH1328" s="200"/>
      <c r="CI1328" s="200"/>
      <c r="CJ1328" s="200"/>
      <c r="CK1328" s="200"/>
      <c r="CL1328" s="200"/>
      <c r="CM1328" s="200"/>
      <c r="CN1328" s="200"/>
      <c r="CO1328" s="200"/>
      <c r="CP1328" s="200"/>
      <c r="CQ1328" s="200"/>
      <c r="CR1328" s="200"/>
      <c r="CS1328" s="200"/>
      <c r="CT1328" s="200"/>
      <c r="CU1328" s="200"/>
    </row>
    <row r="1329" spans="1:99" s="17" customFormat="1" x14ac:dyDescent="0.2">
      <c r="A1329" s="25"/>
      <c r="B1329" s="20">
        <v>39035172101</v>
      </c>
      <c r="C1329" s="20">
        <v>1721.01</v>
      </c>
      <c r="D1329" s="20" t="s">
        <v>24</v>
      </c>
      <c r="E1329" s="20" t="s">
        <v>2829</v>
      </c>
      <c r="F1329" s="20" t="s">
        <v>8</v>
      </c>
      <c r="G1329" s="861">
        <v>52.161426610655298</v>
      </c>
      <c r="H1329" s="861">
        <v>62.232961928339897</v>
      </c>
      <c r="I1329" s="861">
        <v>21.089504317748599</v>
      </c>
      <c r="J1329" s="861">
        <v>39.191893761595203</v>
      </c>
      <c r="K1329" s="982">
        <v>0</v>
      </c>
      <c r="L1329" s="735">
        <v>2536</v>
      </c>
      <c r="M1329" s="735">
        <v>2366</v>
      </c>
      <c r="N1329" s="845">
        <f t="shared" si="113"/>
        <v>-6.7034700315457413E-2</v>
      </c>
      <c r="O1329" s="735">
        <v>0.49363122365839746</v>
      </c>
      <c r="P1329" s="735">
        <f t="shared" si="114"/>
        <v>4793.0517491683604</v>
      </c>
      <c r="Q1329" s="849">
        <v>40.799999999999997</v>
      </c>
      <c r="R1329" s="71">
        <v>80299</v>
      </c>
      <c r="S1329" s="845">
        <v>0.10862214708368555</v>
      </c>
      <c r="T1329" s="845">
        <v>1.9E-2</v>
      </c>
      <c r="U1329" s="845">
        <v>0</v>
      </c>
      <c r="V1329" s="845">
        <v>3.2000000000000001E-2</v>
      </c>
      <c r="W1329" s="845">
        <v>0.19607843137254902</v>
      </c>
      <c r="X1329" s="845">
        <v>0.22857142857142856</v>
      </c>
      <c r="Y1329" s="845">
        <v>0.85376162299239222</v>
      </c>
      <c r="Z1329" s="845">
        <v>2.6627218934911243E-2</v>
      </c>
      <c r="AA1329" s="845">
        <v>0</v>
      </c>
      <c r="AB1329" s="845">
        <v>1.7328825021132713E-2</v>
      </c>
      <c r="AC1329" s="845">
        <v>0</v>
      </c>
      <c r="AD1329" s="845">
        <v>4.8182586644125107E-2</v>
      </c>
      <c r="AE1329" s="845">
        <v>5.4099746407438712E-2</v>
      </c>
      <c r="AF1329" s="845">
        <v>8.0726965342349952E-2</v>
      </c>
      <c r="AG1329" s="845">
        <v>0.83178360101437021</v>
      </c>
      <c r="AH1329" s="20" t="str">
        <f t="shared" si="115"/>
        <v>No</v>
      </c>
      <c r="AI1329" s="25"/>
      <c r="AJ1329" s="37">
        <v>45745</v>
      </c>
      <c r="AK1329" s="37" t="s">
        <v>1854</v>
      </c>
      <c r="AL1329" s="37">
        <v>39121</v>
      </c>
      <c r="AM1329" s="37" t="s">
        <v>66</v>
      </c>
      <c r="AN1329" s="37" t="str">
        <f t="shared" si="116"/>
        <v>N/A</v>
      </c>
      <c r="AO1329" s="37" t="str">
        <f t="shared" si="117"/>
        <v>N/A</v>
      </c>
      <c r="AP1329" s="37" t="s">
        <v>8</v>
      </c>
      <c r="AQ1329" s="25"/>
      <c r="AR1329" s="25"/>
      <c r="AS1329" s="25"/>
      <c r="AT1329" s="25"/>
      <c r="AU1329" s="36"/>
      <c r="AV1329" s="36"/>
      <c r="AW1329" s="36"/>
      <c r="AX1329" s="25"/>
      <c r="AY1329" s="25"/>
      <c r="AZ1329" s="25"/>
      <c r="BA1329" s="25"/>
      <c r="BB1329" s="25"/>
      <c r="BC1329" s="25"/>
      <c r="BD1329" s="25"/>
      <c r="BE1329" s="25"/>
      <c r="BF1329" s="25"/>
      <c r="BG1329" s="25"/>
      <c r="BH1329" s="25"/>
      <c r="BI1329" s="25"/>
      <c r="BJ1329" s="25"/>
      <c r="BK1329" s="25"/>
      <c r="BL1329" s="25"/>
      <c r="BM1329" s="25"/>
      <c r="BN1329" s="25"/>
      <c r="BO1329" s="25"/>
      <c r="BP1329" s="25"/>
      <c r="BQ1329" s="25"/>
      <c r="BR1329" s="25"/>
      <c r="BS1329" s="25"/>
      <c r="BT1329" s="25"/>
      <c r="BU1329" s="25"/>
      <c r="BV1329" s="25"/>
      <c r="BW1329" s="25"/>
      <c r="BX1329" s="25"/>
      <c r="BY1329" s="25"/>
      <c r="BZ1329" s="25"/>
      <c r="CA1329" s="25"/>
      <c r="CB1329" s="25"/>
      <c r="CC1329" s="25"/>
      <c r="CD1329" s="25"/>
      <c r="CE1329" s="200"/>
      <c r="CF1329" s="200"/>
      <c r="CG1329" s="200"/>
      <c r="CH1329" s="200"/>
      <c r="CI1329" s="200"/>
      <c r="CJ1329" s="200"/>
      <c r="CK1329" s="200"/>
      <c r="CL1329" s="200"/>
      <c r="CM1329" s="200"/>
      <c r="CN1329" s="200"/>
      <c r="CO1329" s="200"/>
      <c r="CP1329" s="200"/>
      <c r="CQ1329" s="200"/>
      <c r="CR1329" s="200"/>
      <c r="CS1329" s="200"/>
      <c r="CT1329" s="200"/>
      <c r="CU1329" s="200"/>
    </row>
    <row r="1330" spans="1:99" s="17" customFormat="1" x14ac:dyDescent="0.2">
      <c r="A1330" s="25"/>
      <c r="B1330" s="20">
        <v>39093080104</v>
      </c>
      <c r="C1330" s="20">
        <v>801.04</v>
      </c>
      <c r="D1330" s="20" t="s">
        <v>52</v>
      </c>
      <c r="E1330" s="20" t="s">
        <v>2829</v>
      </c>
      <c r="F1330" s="20" t="s">
        <v>8</v>
      </c>
      <c r="G1330" s="861">
        <v>52.154909590703802</v>
      </c>
      <c r="H1330" s="861">
        <v>55.416986158401002</v>
      </c>
      <c r="I1330" s="861">
        <v>23.0967830419767</v>
      </c>
      <c r="J1330" s="861">
        <v>35.593474773175899</v>
      </c>
      <c r="K1330" s="982">
        <v>0</v>
      </c>
      <c r="L1330" s="735">
        <v>3516</v>
      </c>
      <c r="M1330" s="735">
        <v>3291</v>
      </c>
      <c r="N1330" s="845">
        <f t="shared" si="113"/>
        <v>-6.3993174061433442E-2</v>
      </c>
      <c r="O1330" s="735">
        <v>1.303841120722365</v>
      </c>
      <c r="P1330" s="735">
        <f t="shared" si="114"/>
        <v>2524.0805399485271</v>
      </c>
      <c r="Q1330" s="849">
        <v>42.5</v>
      </c>
      <c r="R1330" s="71">
        <v>80682</v>
      </c>
      <c r="S1330" s="845">
        <v>3.5638135851355467E-2</v>
      </c>
      <c r="T1330" s="845">
        <v>2.7000000000000003E-2</v>
      </c>
      <c r="U1330" s="845">
        <v>0</v>
      </c>
      <c r="V1330" s="845">
        <v>0</v>
      </c>
      <c r="W1330" s="845">
        <v>0.11703703703703704</v>
      </c>
      <c r="X1330" s="845">
        <v>0.53164556962025311</v>
      </c>
      <c r="Y1330" s="845">
        <v>0.96384077787906408</v>
      </c>
      <c r="Z1330" s="845">
        <v>8.8119112731692498E-3</v>
      </c>
      <c r="AA1330" s="845">
        <v>0</v>
      </c>
      <c r="AB1330" s="845">
        <v>0</v>
      </c>
      <c r="AC1330" s="845">
        <v>0</v>
      </c>
      <c r="AD1330" s="845">
        <v>1.5496809480401094E-2</v>
      </c>
      <c r="AE1330" s="845">
        <v>1.1850501367365542E-2</v>
      </c>
      <c r="AF1330" s="845">
        <v>2.0054694621695533E-2</v>
      </c>
      <c r="AG1330" s="845">
        <v>0.95168641750227889</v>
      </c>
      <c r="AH1330" s="20" t="str">
        <f t="shared" si="115"/>
        <v>Yes</v>
      </c>
      <c r="AI1330" s="25"/>
      <c r="AJ1330" s="37">
        <v>45746</v>
      </c>
      <c r="AK1330" s="37" t="s">
        <v>1855</v>
      </c>
      <c r="AL1330" s="37">
        <v>39121</v>
      </c>
      <c r="AM1330" s="37" t="s">
        <v>66</v>
      </c>
      <c r="AN1330" s="37" t="str">
        <f t="shared" si="116"/>
        <v>N/A</v>
      </c>
      <c r="AO1330" s="37" t="str">
        <f t="shared" si="117"/>
        <v>N/A</v>
      </c>
      <c r="AP1330" s="37" t="s">
        <v>8</v>
      </c>
      <c r="AQ1330" s="25"/>
      <c r="AR1330" s="25"/>
      <c r="AS1330" s="25"/>
      <c r="AT1330" s="25"/>
      <c r="AU1330" s="36"/>
      <c r="AV1330" s="36"/>
      <c r="AW1330" s="36"/>
      <c r="AX1330" s="25"/>
      <c r="AY1330" s="25"/>
      <c r="AZ1330" s="25"/>
      <c r="BA1330" s="25"/>
      <c r="BB1330" s="25"/>
      <c r="BC1330" s="25"/>
      <c r="BD1330" s="25"/>
      <c r="BE1330" s="25"/>
      <c r="BF1330" s="25"/>
      <c r="BG1330" s="25"/>
      <c r="BH1330" s="25"/>
      <c r="BI1330" s="25"/>
      <c r="BJ1330" s="25"/>
      <c r="BK1330" s="25"/>
      <c r="BL1330" s="25"/>
      <c r="BM1330" s="25"/>
      <c r="BN1330" s="25"/>
      <c r="BO1330" s="25"/>
      <c r="BP1330" s="25"/>
      <c r="BQ1330" s="25"/>
      <c r="BR1330" s="25"/>
      <c r="BS1330" s="25"/>
      <c r="BT1330" s="25"/>
      <c r="BU1330" s="25"/>
      <c r="BV1330" s="25"/>
      <c r="BW1330" s="25"/>
      <c r="BX1330" s="25"/>
      <c r="BY1330" s="25"/>
      <c r="BZ1330" s="25"/>
      <c r="CA1330" s="25"/>
      <c r="CB1330" s="25"/>
      <c r="CC1330" s="25"/>
      <c r="CD1330" s="25"/>
      <c r="CE1330" s="200"/>
      <c r="CF1330" s="200"/>
      <c r="CG1330" s="200"/>
      <c r="CH1330" s="200"/>
      <c r="CI1330" s="200"/>
      <c r="CJ1330" s="200"/>
      <c r="CK1330" s="200"/>
      <c r="CL1330" s="200"/>
      <c r="CM1330" s="200"/>
      <c r="CN1330" s="200"/>
      <c r="CO1330" s="200"/>
      <c r="CP1330" s="200"/>
      <c r="CQ1330" s="200"/>
      <c r="CR1330" s="200"/>
      <c r="CS1330" s="200"/>
      <c r="CT1330" s="200"/>
      <c r="CU1330" s="200"/>
    </row>
    <row r="1331" spans="1:99" s="17" customFormat="1" x14ac:dyDescent="0.2">
      <c r="A1331" s="25"/>
      <c r="B1331" s="20">
        <v>39103415200</v>
      </c>
      <c r="C1331" s="20">
        <v>4152</v>
      </c>
      <c r="D1331" s="20" t="s">
        <v>57</v>
      </c>
      <c r="E1331" s="20" t="s">
        <v>2829</v>
      </c>
      <c r="F1331" s="20" t="s">
        <v>8</v>
      </c>
      <c r="G1331" s="861">
        <v>52.138691753464201</v>
      </c>
      <c r="H1331" s="861">
        <v>62.438088101540899</v>
      </c>
      <c r="I1331" s="861">
        <v>20.7926028391099</v>
      </c>
      <c r="J1331" s="861">
        <v>38.455766283799001</v>
      </c>
      <c r="K1331" s="982">
        <v>0</v>
      </c>
      <c r="L1331" s="735">
        <v>4409</v>
      </c>
      <c r="M1331" s="735">
        <v>4274</v>
      </c>
      <c r="N1331" s="845">
        <f t="shared" si="113"/>
        <v>-3.0619188024495349E-2</v>
      </c>
      <c r="O1331" s="735">
        <v>1.8045345389635785</v>
      </c>
      <c r="P1331" s="735">
        <f t="shared" si="114"/>
        <v>2368.4778028436858</v>
      </c>
      <c r="Q1331" s="849">
        <v>40</v>
      </c>
      <c r="R1331" s="71">
        <v>90658</v>
      </c>
      <c r="S1331" s="845">
        <v>4.596622889305816E-2</v>
      </c>
      <c r="T1331" s="845">
        <v>2.1000000000000001E-2</v>
      </c>
      <c r="U1331" s="845">
        <v>0</v>
      </c>
      <c r="V1331" s="845">
        <v>0.14000000000000001</v>
      </c>
      <c r="W1331" s="845">
        <v>0.1245398773006135</v>
      </c>
      <c r="X1331" s="845">
        <v>0.20689655172413793</v>
      </c>
      <c r="Y1331" s="845">
        <v>0.94665418811417879</v>
      </c>
      <c r="Z1331" s="845">
        <v>9.3589143659335522E-4</v>
      </c>
      <c r="AA1331" s="845">
        <v>2.3397285914833881E-4</v>
      </c>
      <c r="AB1331" s="845">
        <v>0</v>
      </c>
      <c r="AC1331" s="845">
        <v>3.5095928872250818E-3</v>
      </c>
      <c r="AD1331" s="845">
        <v>1.0060832943378568E-2</v>
      </c>
      <c r="AE1331" s="845">
        <v>3.8605521759475903E-2</v>
      </c>
      <c r="AF1331" s="845">
        <v>4.9134300421151147E-2</v>
      </c>
      <c r="AG1331" s="845">
        <v>0.91389798783341136</v>
      </c>
      <c r="AH1331" s="20" t="str">
        <f t="shared" si="115"/>
        <v>Yes</v>
      </c>
      <c r="AI1331" s="25"/>
      <c r="AJ1331" s="37">
        <v>43512</v>
      </c>
      <c r="AK1331" s="37" t="s">
        <v>956</v>
      </c>
      <c r="AL1331" s="37">
        <v>39125</v>
      </c>
      <c r="AM1331" s="37" t="s">
        <v>68</v>
      </c>
      <c r="AN1331" s="37" t="str">
        <f t="shared" si="116"/>
        <v>N/A</v>
      </c>
      <c r="AO1331" s="37" t="str">
        <f t="shared" si="117"/>
        <v>N/A</v>
      </c>
      <c r="AP1331" s="37" t="s">
        <v>8</v>
      </c>
      <c r="AQ1331" s="25"/>
      <c r="AR1331" s="25"/>
      <c r="AS1331" s="25"/>
      <c r="AT1331" s="25"/>
      <c r="AU1331" s="36"/>
      <c r="AV1331" s="36"/>
      <c r="AW1331" s="36"/>
      <c r="AX1331" s="25"/>
      <c r="AY1331" s="25"/>
      <c r="AZ1331" s="25"/>
      <c r="BA1331" s="25"/>
      <c r="BB1331" s="25"/>
      <c r="BC1331" s="25"/>
      <c r="BD1331" s="25"/>
      <c r="BE1331" s="25"/>
      <c r="BF1331" s="25"/>
      <c r="BG1331" s="25"/>
      <c r="BH1331" s="25"/>
      <c r="BI1331" s="25"/>
      <c r="BJ1331" s="25"/>
      <c r="BK1331" s="25"/>
      <c r="BL1331" s="25"/>
      <c r="BM1331" s="25"/>
      <c r="BN1331" s="25"/>
      <c r="BO1331" s="25"/>
      <c r="BP1331" s="25"/>
      <c r="BQ1331" s="25"/>
      <c r="BR1331" s="25"/>
      <c r="BS1331" s="25"/>
      <c r="BT1331" s="25"/>
      <c r="BU1331" s="25"/>
      <c r="BV1331" s="25"/>
      <c r="BW1331" s="25"/>
      <c r="BX1331" s="25"/>
      <c r="BY1331" s="25"/>
      <c r="BZ1331" s="25"/>
      <c r="CA1331" s="25"/>
      <c r="CB1331" s="25"/>
      <c r="CC1331" s="25"/>
      <c r="CD1331" s="25"/>
      <c r="CE1331" s="200"/>
      <c r="CF1331" s="200"/>
      <c r="CG1331" s="200"/>
      <c r="CH1331" s="200"/>
      <c r="CI1331" s="200"/>
      <c r="CJ1331" s="200"/>
      <c r="CK1331" s="200"/>
      <c r="CL1331" s="200"/>
      <c r="CM1331" s="200"/>
      <c r="CN1331" s="200"/>
      <c r="CO1331" s="200"/>
      <c r="CP1331" s="200"/>
      <c r="CQ1331" s="200"/>
      <c r="CR1331" s="200"/>
      <c r="CS1331" s="200"/>
      <c r="CT1331" s="200"/>
      <c r="CU1331" s="200"/>
    </row>
    <row r="1332" spans="1:99" s="17" customFormat="1" x14ac:dyDescent="0.2">
      <c r="A1332" s="25"/>
      <c r="B1332" s="20">
        <v>39017012700</v>
      </c>
      <c r="C1332" s="20">
        <v>127</v>
      </c>
      <c r="D1332" s="20" t="s">
        <v>15</v>
      </c>
      <c r="E1332" s="20" t="s">
        <v>2828</v>
      </c>
      <c r="F1332" s="20" t="s">
        <v>8</v>
      </c>
      <c r="G1332" s="861">
        <v>52.133797388844698</v>
      </c>
      <c r="H1332" s="861">
        <v>65.418647806716805</v>
      </c>
      <c r="I1332" s="861">
        <v>35.080224846441098</v>
      </c>
      <c r="J1332" s="861">
        <v>39.912362607186203</v>
      </c>
      <c r="K1332" s="982">
        <v>0</v>
      </c>
      <c r="L1332" s="735">
        <v>2971</v>
      </c>
      <c r="M1332" s="735">
        <v>3203</v>
      </c>
      <c r="N1332" s="845">
        <f t="shared" si="113"/>
        <v>7.8088185796028275E-2</v>
      </c>
      <c r="O1332" s="735">
        <v>0.75052506708225775</v>
      </c>
      <c r="P1332" s="735">
        <f t="shared" si="114"/>
        <v>4267.6789097158171</v>
      </c>
      <c r="Q1332" s="849">
        <v>38.6</v>
      </c>
      <c r="R1332" s="71">
        <v>59438</v>
      </c>
      <c r="S1332" s="845">
        <v>0.13705900718076802</v>
      </c>
      <c r="T1332" s="845">
        <v>7.0999999999999994E-2</v>
      </c>
      <c r="U1332" s="845">
        <v>2.5000000000000001E-2</v>
      </c>
      <c r="V1332" s="845">
        <v>0</v>
      </c>
      <c r="W1332" s="845">
        <v>0.31322505800464034</v>
      </c>
      <c r="X1332" s="845">
        <v>0.62469135802469133</v>
      </c>
      <c r="Y1332" s="845">
        <v>0.92163596628161104</v>
      </c>
      <c r="Z1332" s="845">
        <v>4.308460817983141E-2</v>
      </c>
      <c r="AA1332" s="845">
        <v>0</v>
      </c>
      <c r="AB1332" s="845">
        <v>0</v>
      </c>
      <c r="AC1332" s="845">
        <v>0</v>
      </c>
      <c r="AD1332" s="845">
        <v>7.492975335622854E-3</v>
      </c>
      <c r="AE1332" s="845">
        <v>2.778645020293475E-2</v>
      </c>
      <c r="AF1332" s="845">
        <v>7.492975335622854E-3</v>
      </c>
      <c r="AG1332" s="845">
        <v>0.92163596628161104</v>
      </c>
      <c r="AH1332" s="20" t="str">
        <f t="shared" si="115"/>
        <v>Yes</v>
      </c>
      <c r="AI1332" s="25"/>
      <c r="AJ1332" s="37">
        <v>43526</v>
      </c>
      <c r="AK1332" s="37" t="s">
        <v>968</v>
      </c>
      <c r="AL1332" s="37">
        <v>39125</v>
      </c>
      <c r="AM1332" s="37" t="s">
        <v>68</v>
      </c>
      <c r="AN1332" s="37" t="str">
        <f t="shared" si="116"/>
        <v>N/A</v>
      </c>
      <c r="AO1332" s="37" t="str">
        <f t="shared" si="117"/>
        <v>N/A</v>
      </c>
      <c r="AP1332" s="37" t="s">
        <v>8</v>
      </c>
      <c r="AQ1332" s="25"/>
      <c r="AR1332" s="25"/>
      <c r="AS1332" s="25"/>
      <c r="AT1332" s="25"/>
      <c r="AU1332" s="36"/>
      <c r="AV1332" s="36"/>
      <c r="AW1332" s="36"/>
      <c r="AX1332" s="25"/>
      <c r="AY1332" s="25"/>
      <c r="AZ1332" s="25"/>
      <c r="BA1332" s="25"/>
      <c r="BB1332" s="25"/>
      <c r="BC1332" s="25"/>
      <c r="BD1332" s="25"/>
      <c r="BE1332" s="25"/>
      <c r="BF1332" s="25"/>
      <c r="BG1332" s="25"/>
      <c r="BH1332" s="25"/>
      <c r="BI1332" s="25"/>
      <c r="BJ1332" s="25"/>
      <c r="BK1332" s="25"/>
      <c r="BL1332" s="25"/>
      <c r="BM1332" s="25"/>
      <c r="BN1332" s="25"/>
      <c r="BO1332" s="25"/>
      <c r="BP1332" s="25"/>
      <c r="BQ1332" s="25"/>
      <c r="BR1332" s="25"/>
      <c r="BS1332" s="25"/>
      <c r="BT1332" s="25"/>
      <c r="BU1332" s="25"/>
      <c r="BV1332" s="25"/>
      <c r="BW1332" s="25"/>
      <c r="BX1332" s="25"/>
      <c r="BY1332" s="25"/>
      <c r="BZ1332" s="25"/>
      <c r="CA1332" s="25"/>
      <c r="CB1332" s="25"/>
      <c r="CC1332" s="25"/>
      <c r="CD1332" s="25"/>
      <c r="CE1332" s="200"/>
      <c r="CF1332" s="200"/>
      <c r="CG1332" s="200"/>
      <c r="CH1332" s="200"/>
      <c r="CI1332" s="200"/>
      <c r="CJ1332" s="200"/>
      <c r="CK1332" s="200"/>
      <c r="CL1332" s="200"/>
      <c r="CM1332" s="200"/>
      <c r="CN1332" s="200"/>
      <c r="CO1332" s="200"/>
      <c r="CP1332" s="200"/>
      <c r="CQ1332" s="200"/>
      <c r="CR1332" s="200"/>
      <c r="CS1332" s="200"/>
      <c r="CT1332" s="200"/>
      <c r="CU1332" s="200"/>
    </row>
    <row r="1333" spans="1:99" s="17" customFormat="1" x14ac:dyDescent="0.2">
      <c r="A1333" s="25"/>
      <c r="B1333" s="20">
        <v>39165031400</v>
      </c>
      <c r="C1333" s="20">
        <v>314</v>
      </c>
      <c r="D1333" s="20" t="s">
        <v>88</v>
      </c>
      <c r="E1333" s="20" t="s">
        <v>2828</v>
      </c>
      <c r="F1333" s="20" t="s">
        <v>8</v>
      </c>
      <c r="G1333" s="861">
        <v>52.125770348103899</v>
      </c>
      <c r="H1333" s="861">
        <v>59.846423074807902</v>
      </c>
      <c r="I1333" s="861">
        <v>28.391998739092902</v>
      </c>
      <c r="J1333" s="861">
        <v>43.136725252330301</v>
      </c>
      <c r="K1333" s="982">
        <v>2</v>
      </c>
      <c r="L1333" s="735">
        <v>4965</v>
      </c>
      <c r="M1333" s="735">
        <v>5442</v>
      </c>
      <c r="N1333" s="845">
        <f t="shared" si="113"/>
        <v>9.6072507552870084E-2</v>
      </c>
      <c r="O1333" s="735">
        <v>2.0389506730206572</v>
      </c>
      <c r="P1333" s="735">
        <f t="shared" si="114"/>
        <v>2669.0199385440774</v>
      </c>
      <c r="Q1333" s="849">
        <v>32.299999999999997</v>
      </c>
      <c r="R1333" s="71">
        <v>67359</v>
      </c>
      <c r="S1333" s="845">
        <v>0.12120647924036493</v>
      </c>
      <c r="T1333" s="845">
        <v>0.01</v>
      </c>
      <c r="U1333" s="845">
        <v>0</v>
      </c>
      <c r="V1333" s="845">
        <v>6.2E-2</v>
      </c>
      <c r="W1333" s="845">
        <v>0.45169200588523784</v>
      </c>
      <c r="X1333" s="845">
        <v>0.18675352877307275</v>
      </c>
      <c r="Y1333" s="845">
        <v>0.91124586549062847</v>
      </c>
      <c r="Z1333" s="845">
        <v>5.512679162072767E-3</v>
      </c>
      <c r="AA1333" s="845">
        <v>0</v>
      </c>
      <c r="AB1333" s="845">
        <v>0</v>
      </c>
      <c r="AC1333" s="845">
        <v>0</v>
      </c>
      <c r="AD1333" s="845">
        <v>1.8375597206909224E-3</v>
      </c>
      <c r="AE1333" s="845">
        <v>8.1403895626607867E-2</v>
      </c>
      <c r="AF1333" s="845">
        <v>2.6093348033811099E-2</v>
      </c>
      <c r="AG1333" s="845">
        <v>0.88699007717750822</v>
      </c>
      <c r="AH1333" s="20" t="str">
        <f t="shared" si="115"/>
        <v>No</v>
      </c>
      <c r="AI1333" s="25"/>
      <c r="AJ1333" s="37">
        <v>45813</v>
      </c>
      <c r="AK1333" s="37" t="s">
        <v>1888</v>
      </c>
      <c r="AL1333" s="37">
        <v>39125</v>
      </c>
      <c r="AM1333" s="37" t="s">
        <v>68</v>
      </c>
      <c r="AN1333" s="37" t="str">
        <f t="shared" si="116"/>
        <v>N/A</v>
      </c>
      <c r="AO1333" s="37" t="str">
        <f t="shared" si="117"/>
        <v>N/A</v>
      </c>
      <c r="AP1333" s="37" t="s">
        <v>8</v>
      </c>
      <c r="AQ1333" s="25"/>
      <c r="AR1333" s="25"/>
      <c r="AS1333" s="25"/>
      <c r="AT1333" s="25"/>
      <c r="AU1333" s="36"/>
      <c r="AV1333" s="36"/>
      <c r="AW1333" s="36"/>
      <c r="AX1333" s="25"/>
      <c r="AY1333" s="25"/>
      <c r="AZ1333" s="25"/>
      <c r="BA1333" s="25"/>
      <c r="BB1333" s="25"/>
      <c r="BC1333" s="25"/>
      <c r="BD1333" s="25"/>
      <c r="BE1333" s="25"/>
      <c r="BF1333" s="25"/>
      <c r="BG1333" s="25"/>
      <c r="BH1333" s="25"/>
      <c r="BI1333" s="25"/>
      <c r="BJ1333" s="25"/>
      <c r="BK1333" s="25"/>
      <c r="BL1333" s="25"/>
      <c r="BM1333" s="25"/>
      <c r="BN1333" s="25"/>
      <c r="BO1333" s="25"/>
      <c r="BP1333" s="25"/>
      <c r="BQ1333" s="25"/>
      <c r="BR1333" s="25"/>
      <c r="BS1333" s="25"/>
      <c r="BT1333" s="25"/>
      <c r="BU1333" s="25"/>
      <c r="BV1333" s="25"/>
      <c r="BW1333" s="25"/>
      <c r="BX1333" s="25"/>
      <c r="BY1333" s="25"/>
      <c r="BZ1333" s="25"/>
      <c r="CA1333" s="25"/>
      <c r="CB1333" s="25"/>
      <c r="CC1333" s="25"/>
      <c r="CD1333" s="25"/>
      <c r="CE1333" s="200"/>
      <c r="CF1333" s="200"/>
      <c r="CG1333" s="200"/>
      <c r="CH1333" s="200"/>
      <c r="CI1333" s="200"/>
      <c r="CJ1333" s="200"/>
      <c r="CK1333" s="200"/>
      <c r="CL1333" s="200"/>
      <c r="CM1333" s="200"/>
      <c r="CN1333" s="200"/>
      <c r="CO1333" s="200"/>
      <c r="CP1333" s="200"/>
      <c r="CQ1333" s="200"/>
      <c r="CR1333" s="200"/>
      <c r="CS1333" s="200"/>
      <c r="CT1333" s="200"/>
      <c r="CU1333" s="200"/>
    </row>
    <row r="1334" spans="1:99" s="17" customFormat="1" x14ac:dyDescent="0.2">
      <c r="A1334" s="25"/>
      <c r="B1334" s="20">
        <v>39133600403</v>
      </c>
      <c r="C1334" s="20">
        <v>6004.03</v>
      </c>
      <c r="D1334" s="20" t="s">
        <v>72</v>
      </c>
      <c r="E1334" s="20" t="s">
        <v>2843</v>
      </c>
      <c r="F1334" s="20" t="s">
        <v>8</v>
      </c>
      <c r="G1334" s="861">
        <v>52.122355469064502</v>
      </c>
      <c r="H1334" s="861">
        <v>47.131863709699701</v>
      </c>
      <c r="I1334" s="861">
        <v>36.283274142241602</v>
      </c>
      <c r="J1334" s="861">
        <v>51.495885919895997</v>
      </c>
      <c r="K1334" s="982">
        <v>0</v>
      </c>
      <c r="L1334" s="735">
        <v>4701</v>
      </c>
      <c r="M1334" s="735">
        <v>4957</v>
      </c>
      <c r="N1334" s="845">
        <f t="shared" si="113"/>
        <v>5.4456498617315462E-2</v>
      </c>
      <c r="O1334" s="735">
        <v>6.0283299910593025</v>
      </c>
      <c r="P1334" s="735">
        <f t="shared" si="114"/>
        <v>822.28411638908176</v>
      </c>
      <c r="Q1334" s="849">
        <v>40.799999999999997</v>
      </c>
      <c r="R1334" s="71">
        <v>70750</v>
      </c>
      <c r="S1334" s="845">
        <v>6.53621141819649E-2</v>
      </c>
      <c r="T1334" s="845">
        <v>5.9000000000000004E-2</v>
      </c>
      <c r="U1334" s="845">
        <v>0</v>
      </c>
      <c r="V1334" s="845">
        <v>0</v>
      </c>
      <c r="W1334" s="845">
        <v>0.25531914893617019</v>
      </c>
      <c r="X1334" s="845">
        <v>0.65116279069767447</v>
      </c>
      <c r="Y1334" s="845">
        <v>0.78979221303207581</v>
      </c>
      <c r="Z1334" s="845">
        <v>7.5045390357070807E-2</v>
      </c>
      <c r="AA1334" s="845">
        <v>0</v>
      </c>
      <c r="AB1334" s="845">
        <v>1.5130119023602985E-2</v>
      </c>
      <c r="AC1334" s="845">
        <v>0</v>
      </c>
      <c r="AD1334" s="845">
        <v>6.9598547508573735E-2</v>
      </c>
      <c r="AE1334" s="845">
        <v>5.0433730078676617E-2</v>
      </c>
      <c r="AF1334" s="845">
        <v>6.7379463385111957E-2</v>
      </c>
      <c r="AG1334" s="845">
        <v>0.77809158765382291</v>
      </c>
      <c r="AH1334" s="20" t="str">
        <f t="shared" si="115"/>
        <v>No</v>
      </c>
      <c r="AI1334" s="25"/>
      <c r="AJ1334" s="37">
        <v>45821</v>
      </c>
      <c r="AK1334" s="37" t="s">
        <v>1895</v>
      </c>
      <c r="AL1334" s="37">
        <v>39125</v>
      </c>
      <c r="AM1334" s="37" t="s">
        <v>68</v>
      </c>
      <c r="AN1334" s="37" t="str">
        <f t="shared" si="116"/>
        <v>N/A</v>
      </c>
      <c r="AO1334" s="37" t="str">
        <f t="shared" si="117"/>
        <v>N/A</v>
      </c>
      <c r="AP1334" s="37" t="s">
        <v>8</v>
      </c>
      <c r="AQ1334" s="25"/>
      <c r="AR1334" s="25"/>
      <c r="AS1334" s="25"/>
      <c r="AT1334" s="25"/>
      <c r="AU1334" s="36"/>
      <c r="AV1334" s="36"/>
      <c r="AW1334" s="36"/>
      <c r="AX1334" s="25"/>
      <c r="AY1334" s="25"/>
      <c r="AZ1334" s="25"/>
      <c r="BA1334" s="25"/>
      <c r="BB1334" s="25"/>
      <c r="BC1334" s="25"/>
      <c r="BD1334" s="25"/>
      <c r="BE1334" s="25"/>
      <c r="BF1334" s="25"/>
      <c r="BG1334" s="25"/>
      <c r="BH1334" s="25"/>
      <c r="BI1334" s="25"/>
      <c r="BJ1334" s="25"/>
      <c r="BK1334" s="25"/>
      <c r="BL1334" s="25"/>
      <c r="BM1334" s="25"/>
      <c r="BN1334" s="25"/>
      <c r="BO1334" s="25"/>
      <c r="BP1334" s="25"/>
      <c r="BQ1334" s="25"/>
      <c r="BR1334" s="25"/>
      <c r="BS1334" s="25"/>
      <c r="BT1334" s="25"/>
      <c r="BU1334" s="25"/>
      <c r="BV1334" s="25"/>
      <c r="BW1334" s="25"/>
      <c r="BX1334" s="25"/>
      <c r="BY1334" s="25"/>
      <c r="BZ1334" s="25"/>
      <c r="CA1334" s="25"/>
      <c r="CB1334" s="25"/>
      <c r="CC1334" s="25"/>
      <c r="CD1334" s="25"/>
      <c r="CE1334" s="200"/>
      <c r="CF1334" s="200"/>
      <c r="CG1334" s="200"/>
      <c r="CH1334" s="200"/>
      <c r="CI1334" s="200"/>
      <c r="CJ1334" s="200"/>
      <c r="CK1334" s="200"/>
      <c r="CL1334" s="200"/>
      <c r="CM1334" s="200"/>
      <c r="CN1334" s="200"/>
      <c r="CO1334" s="200"/>
      <c r="CP1334" s="200"/>
      <c r="CQ1334" s="200"/>
      <c r="CR1334" s="200"/>
      <c r="CS1334" s="200"/>
      <c r="CT1334" s="200"/>
      <c r="CU1334" s="200"/>
    </row>
    <row r="1335" spans="1:99" s="17" customFormat="1" x14ac:dyDescent="0.2">
      <c r="A1335" s="25"/>
      <c r="B1335" s="20">
        <v>39103408201</v>
      </c>
      <c r="C1335" s="20">
        <v>4082.01</v>
      </c>
      <c r="D1335" s="20" t="s">
        <v>57</v>
      </c>
      <c r="E1335" s="20" t="s">
        <v>2829</v>
      </c>
      <c r="F1335" s="20" t="s">
        <v>8</v>
      </c>
      <c r="G1335" s="861">
        <v>52.122259371571801</v>
      </c>
      <c r="H1335" s="861">
        <v>49.6494170566422</v>
      </c>
      <c r="I1335" s="861">
        <v>26.609179533640798</v>
      </c>
      <c r="J1335" s="861">
        <v>41.666449420494402</v>
      </c>
      <c r="K1335" s="982">
        <v>0</v>
      </c>
      <c r="L1335" s="735">
        <v>4364</v>
      </c>
      <c r="M1335" s="735">
        <v>4671</v>
      </c>
      <c r="N1335" s="845">
        <f t="shared" si="113"/>
        <v>7.0348304307974341E-2</v>
      </c>
      <c r="O1335" s="735">
        <v>7.2039894422526904</v>
      </c>
      <c r="P1335" s="735">
        <f t="shared" si="114"/>
        <v>648.39073369593621</v>
      </c>
      <c r="Q1335" s="849">
        <v>37</v>
      </c>
      <c r="R1335" s="71">
        <v>74267</v>
      </c>
      <c r="S1335" s="845">
        <v>6.2331838565022418E-2</v>
      </c>
      <c r="T1335" s="845">
        <v>6.5000000000000002E-2</v>
      </c>
      <c r="U1335" s="845">
        <v>0</v>
      </c>
      <c r="V1335" s="845">
        <v>0.09</v>
      </c>
      <c r="W1335" s="845">
        <v>0.27934978928356413</v>
      </c>
      <c r="X1335" s="845">
        <v>0.30172413793103448</v>
      </c>
      <c r="Y1335" s="845">
        <v>0.87904089060158419</v>
      </c>
      <c r="Z1335" s="845">
        <v>3.1042603296938556E-2</v>
      </c>
      <c r="AA1335" s="845">
        <v>0</v>
      </c>
      <c r="AB1335" s="845">
        <v>7.064868336544637E-3</v>
      </c>
      <c r="AC1335" s="845">
        <v>0</v>
      </c>
      <c r="AD1335" s="845">
        <v>1.49860843502462E-2</v>
      </c>
      <c r="AE1335" s="845">
        <v>6.7865553414686364E-2</v>
      </c>
      <c r="AF1335" s="845">
        <v>3.4896167844144725E-2</v>
      </c>
      <c r="AG1335" s="845">
        <v>0.85913080710768575</v>
      </c>
      <c r="AH1335" s="20" t="str">
        <f t="shared" si="115"/>
        <v>No</v>
      </c>
      <c r="AI1335" s="25"/>
      <c r="AJ1335" s="37">
        <v>45827</v>
      </c>
      <c r="AK1335" s="37" t="s">
        <v>1898</v>
      </c>
      <c r="AL1335" s="37">
        <v>39125</v>
      </c>
      <c r="AM1335" s="37" t="s">
        <v>68</v>
      </c>
      <c r="AN1335" s="37" t="str">
        <f t="shared" si="116"/>
        <v>N/A</v>
      </c>
      <c r="AO1335" s="37" t="str">
        <f t="shared" si="117"/>
        <v>N/A</v>
      </c>
      <c r="AP1335" s="37" t="s">
        <v>8</v>
      </c>
      <c r="AQ1335" s="25"/>
      <c r="AR1335" s="25"/>
      <c r="AS1335" s="25"/>
      <c r="AT1335" s="25"/>
      <c r="AU1335" s="36"/>
      <c r="AV1335" s="36"/>
      <c r="AW1335" s="36"/>
      <c r="AX1335" s="25"/>
      <c r="AY1335" s="25"/>
      <c r="AZ1335" s="25"/>
      <c r="BA1335" s="25"/>
      <c r="BB1335" s="25"/>
      <c r="BC1335" s="25"/>
      <c r="BD1335" s="25"/>
      <c r="BE1335" s="25"/>
      <c r="BF1335" s="25"/>
      <c r="BG1335" s="25"/>
      <c r="BH1335" s="25"/>
      <c r="BI1335" s="25"/>
      <c r="BJ1335" s="25"/>
      <c r="BK1335" s="25"/>
      <c r="BL1335" s="25"/>
      <c r="BM1335" s="25"/>
      <c r="BN1335" s="25"/>
      <c r="BO1335" s="25"/>
      <c r="BP1335" s="25"/>
      <c r="BQ1335" s="25"/>
      <c r="BR1335" s="25"/>
      <c r="BS1335" s="25"/>
      <c r="BT1335" s="25"/>
      <c r="BU1335" s="25"/>
      <c r="BV1335" s="25"/>
      <c r="BW1335" s="25"/>
      <c r="BX1335" s="25"/>
      <c r="BY1335" s="25"/>
      <c r="BZ1335" s="25"/>
      <c r="CA1335" s="25"/>
      <c r="CB1335" s="25"/>
      <c r="CC1335" s="25"/>
      <c r="CD1335" s="25"/>
      <c r="CE1335" s="200"/>
      <c r="CF1335" s="200"/>
      <c r="CG1335" s="200"/>
      <c r="CH1335" s="200"/>
      <c r="CI1335" s="200"/>
      <c r="CJ1335" s="200"/>
      <c r="CK1335" s="200"/>
      <c r="CL1335" s="200"/>
      <c r="CM1335" s="200"/>
      <c r="CN1335" s="200"/>
      <c r="CO1335" s="200"/>
      <c r="CP1335" s="200"/>
      <c r="CQ1335" s="200"/>
      <c r="CR1335" s="200"/>
      <c r="CS1335" s="200"/>
      <c r="CT1335" s="200"/>
      <c r="CU1335" s="200"/>
    </row>
    <row r="1336" spans="1:99" s="17" customFormat="1" x14ac:dyDescent="0.2">
      <c r="A1336" s="25"/>
      <c r="B1336" s="20">
        <v>39035154501</v>
      </c>
      <c r="C1336" s="20">
        <v>1545.01</v>
      </c>
      <c r="D1336" s="20" t="s">
        <v>24</v>
      </c>
      <c r="E1336" s="20" t="s">
        <v>2829</v>
      </c>
      <c r="F1336" s="20" t="s">
        <v>8</v>
      </c>
      <c r="G1336" s="861">
        <v>52.102934218823002</v>
      </c>
      <c r="H1336" s="861">
        <v>45.310399710454199</v>
      </c>
      <c r="I1336" s="861">
        <v>47.056375319122097</v>
      </c>
      <c r="J1336" s="861">
        <v>54.7527561799876</v>
      </c>
      <c r="K1336" s="982">
        <v>0</v>
      </c>
      <c r="L1336" s="735">
        <v>3629</v>
      </c>
      <c r="M1336" s="735">
        <v>3698</v>
      </c>
      <c r="N1336" s="845">
        <f t="shared" si="113"/>
        <v>1.9013502342243041E-2</v>
      </c>
      <c r="O1336" s="735">
        <v>0.85527998813863282</v>
      </c>
      <c r="P1336" s="735">
        <f t="shared" si="114"/>
        <v>4323.7303003523439</v>
      </c>
      <c r="Q1336" s="849">
        <v>39.5</v>
      </c>
      <c r="R1336" s="71">
        <v>51589</v>
      </c>
      <c r="S1336" s="845">
        <v>0.14859550561797752</v>
      </c>
      <c r="T1336" s="845">
        <v>0.14099999999999999</v>
      </c>
      <c r="U1336" s="845">
        <v>0</v>
      </c>
      <c r="V1336" s="845">
        <v>0.10800000000000001</v>
      </c>
      <c r="W1336" s="845">
        <v>0.40886347390993566</v>
      </c>
      <c r="X1336" s="845">
        <v>0.59615384615384615</v>
      </c>
      <c r="Y1336" s="845">
        <v>0.48864250946457544</v>
      </c>
      <c r="Z1336" s="845">
        <v>0.47187669010275823</v>
      </c>
      <c r="AA1336" s="845">
        <v>0</v>
      </c>
      <c r="AB1336" s="845">
        <v>0</v>
      </c>
      <c r="AC1336" s="845">
        <v>0</v>
      </c>
      <c r="AD1336" s="845">
        <v>1.1087074094104922E-2</v>
      </c>
      <c r="AE1336" s="845">
        <v>2.8393726338561385E-2</v>
      </c>
      <c r="AF1336" s="845">
        <v>2.2985397512168739E-2</v>
      </c>
      <c r="AG1336" s="845">
        <v>0.47944835045970796</v>
      </c>
      <c r="AH1336" s="20" t="str">
        <f t="shared" si="115"/>
        <v>No</v>
      </c>
      <c r="AI1336" s="25"/>
      <c r="AJ1336" s="37">
        <v>45831</v>
      </c>
      <c r="AK1336" s="37" t="s">
        <v>1901</v>
      </c>
      <c r="AL1336" s="37">
        <v>39125</v>
      </c>
      <c r="AM1336" s="37" t="s">
        <v>68</v>
      </c>
      <c r="AN1336" s="37" t="str">
        <f t="shared" si="116"/>
        <v>N/A</v>
      </c>
      <c r="AO1336" s="37" t="str">
        <f t="shared" si="117"/>
        <v>N/A</v>
      </c>
      <c r="AP1336" s="37" t="s">
        <v>8</v>
      </c>
      <c r="AQ1336" s="25"/>
      <c r="AR1336" s="25"/>
      <c r="AS1336" s="25"/>
      <c r="AT1336" s="25"/>
      <c r="AU1336" s="36"/>
      <c r="AV1336" s="36"/>
      <c r="AW1336" s="36"/>
      <c r="AX1336" s="25"/>
      <c r="AY1336" s="25"/>
      <c r="AZ1336" s="25"/>
      <c r="BA1336" s="25"/>
      <c r="BB1336" s="25"/>
      <c r="BC1336" s="25"/>
      <c r="BD1336" s="25"/>
      <c r="BE1336" s="25"/>
      <c r="BF1336" s="25"/>
      <c r="BG1336" s="25"/>
      <c r="BH1336" s="25"/>
      <c r="BI1336" s="25"/>
      <c r="BJ1336" s="25"/>
      <c r="BK1336" s="25"/>
      <c r="BL1336" s="25"/>
      <c r="BM1336" s="25"/>
      <c r="BN1336" s="25"/>
      <c r="BO1336" s="25"/>
      <c r="BP1336" s="25"/>
      <c r="BQ1336" s="25"/>
      <c r="BR1336" s="25"/>
      <c r="BS1336" s="25"/>
      <c r="BT1336" s="25"/>
      <c r="BU1336" s="25"/>
      <c r="BV1336" s="25"/>
      <c r="BW1336" s="25"/>
      <c r="BX1336" s="25"/>
      <c r="BY1336" s="25"/>
      <c r="BZ1336" s="25"/>
      <c r="CA1336" s="25"/>
      <c r="CB1336" s="25"/>
      <c r="CC1336" s="25"/>
      <c r="CD1336" s="25"/>
      <c r="CE1336" s="200"/>
      <c r="CF1336" s="200"/>
      <c r="CG1336" s="200"/>
      <c r="CH1336" s="200"/>
      <c r="CI1336" s="200"/>
      <c r="CJ1336" s="200"/>
      <c r="CK1336" s="200"/>
      <c r="CL1336" s="200"/>
      <c r="CM1336" s="200"/>
      <c r="CN1336" s="200"/>
      <c r="CO1336" s="200"/>
      <c r="CP1336" s="200"/>
      <c r="CQ1336" s="200"/>
      <c r="CR1336" s="200"/>
      <c r="CS1336" s="200"/>
      <c r="CT1336" s="200"/>
      <c r="CU1336" s="200"/>
    </row>
    <row r="1337" spans="1:99" s="17" customFormat="1" x14ac:dyDescent="0.2">
      <c r="A1337" s="25"/>
      <c r="B1337" s="20">
        <v>39153530902</v>
      </c>
      <c r="C1337" s="20">
        <v>5309.02</v>
      </c>
      <c r="D1337" s="20" t="s">
        <v>82</v>
      </c>
      <c r="E1337" s="20" t="s">
        <v>2843</v>
      </c>
      <c r="F1337" s="20" t="s">
        <v>8</v>
      </c>
      <c r="G1337" s="861">
        <v>52.101491447741701</v>
      </c>
      <c r="H1337" s="861">
        <v>58.629975634016802</v>
      </c>
      <c r="I1337" s="861">
        <v>32.129391828064399</v>
      </c>
      <c r="J1337" s="861">
        <v>40.880744661033901</v>
      </c>
      <c r="K1337" s="982">
        <v>1</v>
      </c>
      <c r="L1337" s="735">
        <v>5986</v>
      </c>
      <c r="M1337" s="735">
        <v>7067</v>
      </c>
      <c r="N1337" s="845">
        <f t="shared" si="113"/>
        <v>0.18058803875709989</v>
      </c>
      <c r="O1337" s="735">
        <v>4.4954387840799779</v>
      </c>
      <c r="P1337" s="735">
        <f t="shared" si="114"/>
        <v>1572.0378675885606</v>
      </c>
      <c r="Q1337" s="849">
        <v>49</v>
      </c>
      <c r="R1337" s="71">
        <v>80020</v>
      </c>
      <c r="S1337" s="845">
        <v>4.6316398899985525E-2</v>
      </c>
      <c r="T1337" s="845">
        <v>1.7000000000000001E-2</v>
      </c>
      <c r="U1337" s="845">
        <v>0</v>
      </c>
      <c r="V1337" s="845">
        <v>0</v>
      </c>
      <c r="W1337" s="845">
        <v>0.23738977072310405</v>
      </c>
      <c r="X1337" s="845">
        <v>0.31797919762258542</v>
      </c>
      <c r="Y1337" s="845">
        <v>0.78859487760011315</v>
      </c>
      <c r="Z1337" s="845">
        <v>5.6601103721522571E-2</v>
      </c>
      <c r="AA1337" s="845">
        <v>0</v>
      </c>
      <c r="AB1337" s="845">
        <v>0.10584406395924721</v>
      </c>
      <c r="AC1337" s="845">
        <v>0</v>
      </c>
      <c r="AD1337" s="845">
        <v>0</v>
      </c>
      <c r="AE1337" s="845">
        <v>4.8959954719117023E-2</v>
      </c>
      <c r="AF1337" s="845">
        <v>1.7546342153671998E-2</v>
      </c>
      <c r="AG1337" s="845">
        <v>0.78859487760011315</v>
      </c>
      <c r="AH1337" s="20" t="str">
        <f t="shared" si="115"/>
        <v>No</v>
      </c>
      <c r="AI1337" s="25"/>
      <c r="AJ1337" s="37">
        <v>45832</v>
      </c>
      <c r="AK1337" s="37" t="s">
        <v>1902</v>
      </c>
      <c r="AL1337" s="37">
        <v>39125</v>
      </c>
      <c r="AM1337" s="37" t="s">
        <v>68</v>
      </c>
      <c r="AN1337" s="37" t="str">
        <f t="shared" si="116"/>
        <v>N/A</v>
      </c>
      <c r="AO1337" s="37" t="str">
        <f t="shared" si="117"/>
        <v>N/A</v>
      </c>
      <c r="AP1337" s="37" t="s">
        <v>8</v>
      </c>
      <c r="AQ1337" s="25"/>
      <c r="AR1337" s="25"/>
      <c r="AS1337" s="25"/>
      <c r="AT1337" s="25"/>
      <c r="AU1337" s="36"/>
      <c r="AV1337" s="36"/>
      <c r="AW1337" s="36"/>
      <c r="AX1337" s="25"/>
      <c r="AY1337" s="25"/>
      <c r="AZ1337" s="25"/>
      <c r="BA1337" s="25"/>
      <c r="BB1337" s="25"/>
      <c r="BC1337" s="25"/>
      <c r="BD1337" s="25"/>
      <c r="BE1337" s="25"/>
      <c r="BF1337" s="25"/>
      <c r="BG1337" s="25"/>
      <c r="BH1337" s="25"/>
      <c r="BI1337" s="25"/>
      <c r="BJ1337" s="25"/>
      <c r="BK1337" s="25"/>
      <c r="BL1337" s="25"/>
      <c r="BM1337" s="25"/>
      <c r="BN1337" s="25"/>
      <c r="BO1337" s="25"/>
      <c r="BP1337" s="25"/>
      <c r="BQ1337" s="25"/>
      <c r="BR1337" s="25"/>
      <c r="BS1337" s="25"/>
      <c r="BT1337" s="25"/>
      <c r="BU1337" s="25"/>
      <c r="BV1337" s="25"/>
      <c r="BW1337" s="25"/>
      <c r="BX1337" s="25"/>
      <c r="BY1337" s="25"/>
      <c r="BZ1337" s="25"/>
      <c r="CA1337" s="25"/>
      <c r="CB1337" s="25"/>
      <c r="CC1337" s="25"/>
      <c r="CD1337" s="25"/>
      <c r="CE1337" s="200"/>
      <c r="CF1337" s="200"/>
      <c r="CG1337" s="200"/>
      <c r="CH1337" s="200"/>
      <c r="CI1337" s="200"/>
      <c r="CJ1337" s="200"/>
      <c r="CK1337" s="200"/>
      <c r="CL1337" s="200"/>
      <c r="CM1337" s="200"/>
      <c r="CN1337" s="200"/>
      <c r="CO1337" s="200"/>
      <c r="CP1337" s="200"/>
      <c r="CQ1337" s="200"/>
      <c r="CR1337" s="200"/>
      <c r="CS1337" s="200"/>
      <c r="CT1337" s="200"/>
      <c r="CU1337" s="200"/>
    </row>
    <row r="1338" spans="1:99" s="17" customFormat="1" x14ac:dyDescent="0.2">
      <c r="A1338" s="25"/>
      <c r="B1338" s="20">
        <v>39169000700</v>
      </c>
      <c r="C1338" s="20">
        <v>7</v>
      </c>
      <c r="D1338" s="20" t="s">
        <v>90</v>
      </c>
      <c r="E1338" s="20" t="s">
        <v>265</v>
      </c>
      <c r="F1338" s="20" t="s">
        <v>8</v>
      </c>
      <c r="G1338" s="861">
        <v>52.083419407947602</v>
      </c>
      <c r="H1338" s="861">
        <v>48.670426149542998</v>
      </c>
      <c r="I1338" s="861">
        <v>32.194763399377202</v>
      </c>
      <c r="J1338" s="861">
        <v>25.8351552553071</v>
      </c>
      <c r="K1338" s="982">
        <v>0</v>
      </c>
      <c r="L1338" s="735">
        <v>7068</v>
      </c>
      <c r="M1338" s="735">
        <v>7486</v>
      </c>
      <c r="N1338" s="845">
        <f t="shared" si="113"/>
        <v>5.9139784946236562E-2</v>
      </c>
      <c r="O1338" s="735">
        <v>11.310882813280561</v>
      </c>
      <c r="P1338" s="735">
        <f t="shared" si="114"/>
        <v>661.84047024255153</v>
      </c>
      <c r="Q1338" s="849">
        <v>45.8</v>
      </c>
      <c r="R1338" s="71">
        <v>66548</v>
      </c>
      <c r="S1338" s="845">
        <v>8.0974414806750133E-2</v>
      </c>
      <c r="T1338" s="845">
        <v>4.5999999999999999E-2</v>
      </c>
      <c r="U1338" s="845">
        <v>6.0000000000000001E-3</v>
      </c>
      <c r="V1338" s="845">
        <v>0.106</v>
      </c>
      <c r="W1338" s="845">
        <v>0.21299093655589124</v>
      </c>
      <c r="X1338" s="845">
        <v>0.37872340425531914</v>
      </c>
      <c r="Y1338" s="845">
        <v>0.93988779054234572</v>
      </c>
      <c r="Z1338" s="845">
        <v>1.0686615014694097E-3</v>
      </c>
      <c r="AA1338" s="845">
        <v>1.8701576275714667E-3</v>
      </c>
      <c r="AB1338" s="845">
        <v>2.0571733903286135E-2</v>
      </c>
      <c r="AC1338" s="845">
        <v>0</v>
      </c>
      <c r="AD1338" s="845">
        <v>1.0820197702377772E-2</v>
      </c>
      <c r="AE1338" s="845">
        <v>2.5781458722949506E-2</v>
      </c>
      <c r="AF1338" s="845">
        <v>3.0323270104194496E-2</v>
      </c>
      <c r="AG1338" s="845">
        <v>0.92038471814052902</v>
      </c>
      <c r="AH1338" s="20" t="str">
        <f t="shared" si="115"/>
        <v>Yes</v>
      </c>
      <c r="AI1338" s="25"/>
      <c r="AJ1338" s="37">
        <v>45849</v>
      </c>
      <c r="AK1338" s="37" t="s">
        <v>1914</v>
      </c>
      <c r="AL1338" s="37">
        <v>39125</v>
      </c>
      <c r="AM1338" s="37" t="s">
        <v>68</v>
      </c>
      <c r="AN1338" s="37" t="str">
        <f t="shared" si="116"/>
        <v>N/A</v>
      </c>
      <c r="AO1338" s="37" t="str">
        <f t="shared" si="117"/>
        <v>N/A</v>
      </c>
      <c r="AP1338" s="37" t="s">
        <v>8</v>
      </c>
      <c r="AQ1338" s="25"/>
      <c r="AR1338" s="25"/>
      <c r="AS1338" s="25"/>
      <c r="AT1338" s="25"/>
      <c r="AU1338" s="36"/>
      <c r="AV1338" s="36"/>
      <c r="AW1338" s="36"/>
      <c r="AX1338" s="25"/>
      <c r="AY1338" s="25"/>
      <c r="AZ1338" s="25"/>
      <c r="BA1338" s="25"/>
      <c r="BB1338" s="25"/>
      <c r="BC1338" s="25"/>
      <c r="BD1338" s="25"/>
      <c r="BE1338" s="25"/>
      <c r="BF1338" s="25"/>
      <c r="BG1338" s="25"/>
      <c r="BH1338" s="25"/>
      <c r="BI1338" s="25"/>
      <c r="BJ1338" s="25"/>
      <c r="BK1338" s="25"/>
      <c r="BL1338" s="25"/>
      <c r="BM1338" s="25"/>
      <c r="BN1338" s="25"/>
      <c r="BO1338" s="25"/>
      <c r="BP1338" s="25"/>
      <c r="BQ1338" s="25"/>
      <c r="BR1338" s="25"/>
      <c r="BS1338" s="25"/>
      <c r="BT1338" s="25"/>
      <c r="BU1338" s="25"/>
      <c r="BV1338" s="25"/>
      <c r="BW1338" s="25"/>
      <c r="BX1338" s="25"/>
      <c r="BY1338" s="25"/>
      <c r="BZ1338" s="25"/>
      <c r="CA1338" s="25"/>
      <c r="CB1338" s="25"/>
      <c r="CC1338" s="25"/>
      <c r="CD1338" s="25"/>
      <c r="CE1338" s="200"/>
      <c r="CF1338" s="200"/>
      <c r="CG1338" s="200"/>
      <c r="CH1338" s="200"/>
      <c r="CI1338" s="200"/>
      <c r="CJ1338" s="200"/>
      <c r="CK1338" s="200"/>
      <c r="CL1338" s="200"/>
      <c r="CM1338" s="200"/>
      <c r="CN1338" s="200"/>
      <c r="CO1338" s="200"/>
      <c r="CP1338" s="200"/>
      <c r="CQ1338" s="200"/>
      <c r="CR1338" s="200"/>
      <c r="CS1338" s="200"/>
      <c r="CT1338" s="200"/>
      <c r="CU1338" s="200"/>
    </row>
    <row r="1339" spans="1:99" s="17" customFormat="1" x14ac:dyDescent="0.2">
      <c r="A1339" s="25"/>
      <c r="B1339" s="20">
        <v>39089756204</v>
      </c>
      <c r="C1339" s="20">
        <v>7562.04</v>
      </c>
      <c r="D1339" s="20" t="s">
        <v>50</v>
      </c>
      <c r="E1339" s="20" t="s">
        <v>2830</v>
      </c>
      <c r="F1339" s="20" t="s">
        <v>8</v>
      </c>
      <c r="G1339" s="861">
        <v>52.0822922945557</v>
      </c>
      <c r="H1339" s="861">
        <v>56.964550806080702</v>
      </c>
      <c r="I1339" s="861">
        <v>26.197942487263902</v>
      </c>
      <c r="J1339" s="861">
        <v>41.1383750829078</v>
      </c>
      <c r="K1339" s="982">
        <v>0</v>
      </c>
      <c r="L1339" s="735" t="s">
        <v>2466</v>
      </c>
      <c r="M1339" s="735">
        <v>6173</v>
      </c>
      <c r="N1339" s="845" t="str">
        <f t="shared" si="113"/>
        <v/>
      </c>
      <c r="O1339" s="735">
        <v>1.7528879698216067</v>
      </c>
      <c r="P1339" s="735">
        <f t="shared" si="114"/>
        <v>3521.6169580011624</v>
      </c>
      <c r="Q1339" s="849">
        <v>36.1</v>
      </c>
      <c r="R1339" s="71">
        <v>90976</v>
      </c>
      <c r="S1339" s="845">
        <v>7.5976024623359797E-2</v>
      </c>
      <c r="T1339" s="845">
        <v>5.5999999999999994E-2</v>
      </c>
      <c r="U1339" s="845">
        <v>0</v>
      </c>
      <c r="V1339" s="845">
        <v>0</v>
      </c>
      <c r="W1339" s="845">
        <v>0.13609195402298851</v>
      </c>
      <c r="X1339" s="845">
        <v>0.44594594594594594</v>
      </c>
      <c r="Y1339" s="845">
        <v>0.50915276202818727</v>
      </c>
      <c r="Z1339" s="845">
        <v>0.21561639397375668</v>
      </c>
      <c r="AA1339" s="845">
        <v>0</v>
      </c>
      <c r="AB1339" s="845">
        <v>0.20508666774663858</v>
      </c>
      <c r="AC1339" s="845">
        <v>0</v>
      </c>
      <c r="AD1339" s="845">
        <v>8.7477725579134941E-3</v>
      </c>
      <c r="AE1339" s="845">
        <v>6.1396403693503972E-2</v>
      </c>
      <c r="AF1339" s="845">
        <v>4.0012959663048762E-2</v>
      </c>
      <c r="AG1339" s="845">
        <v>0.48695933905718453</v>
      </c>
      <c r="AH1339" s="20" t="str">
        <f t="shared" si="115"/>
        <v>No</v>
      </c>
      <c r="AI1339" s="25"/>
      <c r="AJ1339" s="37">
        <v>45851</v>
      </c>
      <c r="AK1339" s="37" t="s">
        <v>1916</v>
      </c>
      <c r="AL1339" s="37">
        <v>39125</v>
      </c>
      <c r="AM1339" s="37" t="s">
        <v>68</v>
      </c>
      <c r="AN1339" s="37" t="str">
        <f t="shared" si="116"/>
        <v>N/A</v>
      </c>
      <c r="AO1339" s="37" t="str">
        <f t="shared" si="117"/>
        <v>N/A</v>
      </c>
      <c r="AP1339" s="37" t="s">
        <v>8</v>
      </c>
      <c r="AQ1339" s="25"/>
      <c r="AR1339" s="25"/>
      <c r="AS1339" s="25"/>
      <c r="AT1339" s="25"/>
      <c r="AU1339" s="36"/>
      <c r="AV1339" s="36"/>
      <c r="AW1339" s="36"/>
      <c r="AX1339" s="25"/>
      <c r="AY1339" s="25"/>
      <c r="AZ1339" s="25"/>
      <c r="BA1339" s="25"/>
      <c r="BB1339" s="25"/>
      <c r="BC1339" s="25"/>
      <c r="BD1339" s="25"/>
      <c r="BE1339" s="25"/>
      <c r="BF1339" s="25"/>
      <c r="BG1339" s="25"/>
      <c r="BH1339" s="25"/>
      <c r="BI1339" s="25"/>
      <c r="BJ1339" s="25"/>
      <c r="BK1339" s="25"/>
      <c r="BL1339" s="25"/>
      <c r="BM1339" s="25"/>
      <c r="BN1339" s="25"/>
      <c r="BO1339" s="25"/>
      <c r="BP1339" s="25"/>
      <c r="BQ1339" s="25"/>
      <c r="BR1339" s="25"/>
      <c r="BS1339" s="25"/>
      <c r="BT1339" s="25"/>
      <c r="BU1339" s="25"/>
      <c r="BV1339" s="25"/>
      <c r="BW1339" s="25"/>
      <c r="BX1339" s="25"/>
      <c r="BY1339" s="25"/>
      <c r="BZ1339" s="25"/>
      <c r="CA1339" s="25"/>
      <c r="CB1339" s="25"/>
      <c r="CC1339" s="25"/>
      <c r="CD1339" s="25"/>
      <c r="CE1339" s="200"/>
      <c r="CF1339" s="200"/>
      <c r="CG1339" s="200"/>
      <c r="CH1339" s="200"/>
      <c r="CI1339" s="200"/>
      <c r="CJ1339" s="200"/>
      <c r="CK1339" s="200"/>
      <c r="CL1339" s="200"/>
      <c r="CM1339" s="200"/>
      <c r="CN1339" s="200"/>
      <c r="CO1339" s="200"/>
      <c r="CP1339" s="200"/>
      <c r="CQ1339" s="200"/>
      <c r="CR1339" s="200"/>
      <c r="CS1339" s="200"/>
      <c r="CT1339" s="200"/>
      <c r="CU1339" s="200"/>
    </row>
    <row r="1340" spans="1:99" s="17" customFormat="1" x14ac:dyDescent="0.2">
      <c r="A1340" s="25"/>
      <c r="B1340" s="20">
        <v>39153508000</v>
      </c>
      <c r="C1340" s="20">
        <v>5080</v>
      </c>
      <c r="D1340" s="20" t="s">
        <v>82</v>
      </c>
      <c r="E1340" s="20" t="s">
        <v>2843</v>
      </c>
      <c r="F1340" s="20" t="s">
        <v>8</v>
      </c>
      <c r="G1340" s="861">
        <v>52.076753232372297</v>
      </c>
      <c r="H1340" s="861">
        <v>54.370096668045299</v>
      </c>
      <c r="I1340" s="861">
        <v>33.156692054717098</v>
      </c>
      <c r="J1340" s="861">
        <v>50.015512334996302</v>
      </c>
      <c r="K1340" s="982">
        <v>0</v>
      </c>
      <c r="L1340" s="735">
        <v>4549</v>
      </c>
      <c r="M1340" s="735">
        <v>5387</v>
      </c>
      <c r="N1340" s="845">
        <f t="shared" si="113"/>
        <v>0.18421631127720378</v>
      </c>
      <c r="O1340" s="735">
        <v>4.6950288895341687</v>
      </c>
      <c r="P1340" s="735">
        <f t="shared" si="114"/>
        <v>1147.3837811750902</v>
      </c>
      <c r="Q1340" s="849">
        <v>33.700000000000003</v>
      </c>
      <c r="R1340" s="71">
        <v>68981</v>
      </c>
      <c r="S1340" s="845">
        <v>0.12121774642658251</v>
      </c>
      <c r="T1340" s="845">
        <v>3.3000000000000002E-2</v>
      </c>
      <c r="U1340" s="845">
        <v>0</v>
      </c>
      <c r="V1340" s="845">
        <v>3.1E-2</v>
      </c>
      <c r="W1340" s="845">
        <v>0.55473223307510944</v>
      </c>
      <c r="X1340" s="845">
        <v>0.2799028536733455</v>
      </c>
      <c r="Y1340" s="845">
        <v>0.79209207351030253</v>
      </c>
      <c r="Z1340" s="845">
        <v>9.727120846482272E-2</v>
      </c>
      <c r="AA1340" s="845">
        <v>0</v>
      </c>
      <c r="AB1340" s="845">
        <v>3.7868943753480599E-2</v>
      </c>
      <c r="AC1340" s="845">
        <v>0</v>
      </c>
      <c r="AD1340" s="845">
        <v>1.6706886950064972E-2</v>
      </c>
      <c r="AE1340" s="845">
        <v>5.6060887321329127E-2</v>
      </c>
      <c r="AF1340" s="845">
        <v>5.7545943939112682E-3</v>
      </c>
      <c r="AG1340" s="845">
        <v>0.79005012066085023</v>
      </c>
      <c r="AH1340" s="20" t="str">
        <f t="shared" si="115"/>
        <v>No</v>
      </c>
      <c r="AI1340" s="25"/>
      <c r="AJ1340" s="37">
        <v>45855</v>
      </c>
      <c r="AK1340" s="37" t="s">
        <v>1919</v>
      </c>
      <c r="AL1340" s="37">
        <v>39125</v>
      </c>
      <c r="AM1340" s="37" t="s">
        <v>68</v>
      </c>
      <c r="AN1340" s="37" t="str">
        <f t="shared" si="116"/>
        <v>N/A</v>
      </c>
      <c r="AO1340" s="37" t="str">
        <f t="shared" si="117"/>
        <v>N/A</v>
      </c>
      <c r="AP1340" s="37" t="s">
        <v>8</v>
      </c>
      <c r="AQ1340" s="25"/>
      <c r="AR1340" s="25"/>
      <c r="AS1340" s="25"/>
      <c r="AT1340" s="25"/>
      <c r="AU1340" s="36"/>
      <c r="AV1340" s="36"/>
      <c r="AW1340" s="36"/>
      <c r="AX1340" s="25"/>
      <c r="AY1340" s="25"/>
      <c r="AZ1340" s="25"/>
      <c r="BA1340" s="25"/>
      <c r="BB1340" s="25"/>
      <c r="BC1340" s="25"/>
      <c r="BD1340" s="25"/>
      <c r="BE1340" s="25"/>
      <c r="BF1340" s="25"/>
      <c r="BG1340" s="25"/>
      <c r="BH1340" s="25"/>
      <c r="BI1340" s="25"/>
      <c r="BJ1340" s="25"/>
      <c r="BK1340" s="25"/>
      <c r="BL1340" s="25"/>
      <c r="BM1340" s="25"/>
      <c r="BN1340" s="25"/>
      <c r="BO1340" s="25"/>
      <c r="BP1340" s="25"/>
      <c r="BQ1340" s="25"/>
      <c r="BR1340" s="25"/>
      <c r="BS1340" s="25"/>
      <c r="BT1340" s="25"/>
      <c r="BU1340" s="25"/>
      <c r="BV1340" s="25"/>
      <c r="BW1340" s="25"/>
      <c r="BX1340" s="25"/>
      <c r="BY1340" s="25"/>
      <c r="BZ1340" s="25"/>
      <c r="CA1340" s="25"/>
      <c r="CB1340" s="25"/>
      <c r="CC1340" s="25"/>
      <c r="CD1340" s="25"/>
      <c r="CE1340" s="200"/>
      <c r="CF1340" s="200"/>
      <c r="CG1340" s="200"/>
      <c r="CH1340" s="200"/>
      <c r="CI1340" s="200"/>
      <c r="CJ1340" s="200"/>
      <c r="CK1340" s="200"/>
      <c r="CL1340" s="200"/>
      <c r="CM1340" s="200"/>
      <c r="CN1340" s="200"/>
      <c r="CO1340" s="200"/>
      <c r="CP1340" s="200"/>
      <c r="CQ1340" s="200"/>
      <c r="CR1340" s="200"/>
      <c r="CS1340" s="200"/>
      <c r="CT1340" s="200"/>
      <c r="CU1340" s="200"/>
    </row>
    <row r="1341" spans="1:99" s="17" customFormat="1" x14ac:dyDescent="0.2">
      <c r="A1341" s="25"/>
      <c r="B1341" s="20">
        <v>39135455002</v>
      </c>
      <c r="C1341" s="20">
        <v>4550.0200000000004</v>
      </c>
      <c r="D1341" s="20" t="s">
        <v>73</v>
      </c>
      <c r="E1341" s="20" t="s">
        <v>265</v>
      </c>
      <c r="F1341" s="20" t="s">
        <v>8</v>
      </c>
      <c r="G1341" s="861">
        <v>52.065906389077099</v>
      </c>
      <c r="H1341" s="861">
        <v>55.698002391255301</v>
      </c>
      <c r="I1341" s="861">
        <v>35.883122339687503</v>
      </c>
      <c r="J1341" s="861">
        <v>42.798365160532597</v>
      </c>
      <c r="K1341" s="982">
        <v>0</v>
      </c>
      <c r="L1341" s="735">
        <v>5529</v>
      </c>
      <c r="M1341" s="735">
        <v>5678</v>
      </c>
      <c r="N1341" s="845">
        <f t="shared" si="113"/>
        <v>2.6948815337312353E-2</v>
      </c>
      <c r="O1341" s="735">
        <v>5.0882264474951588</v>
      </c>
      <c r="P1341" s="735">
        <f t="shared" si="114"/>
        <v>1115.909454618549</v>
      </c>
      <c r="Q1341" s="849">
        <v>40.5</v>
      </c>
      <c r="R1341" s="71">
        <v>46333</v>
      </c>
      <c r="S1341" s="845">
        <v>0.13580246913580246</v>
      </c>
      <c r="T1341" s="845">
        <v>2.6000000000000002E-2</v>
      </c>
      <c r="U1341" s="845">
        <v>0</v>
      </c>
      <c r="V1341" s="845">
        <v>0.11900000000000001</v>
      </c>
      <c r="W1341" s="845">
        <v>0.3484126984126984</v>
      </c>
      <c r="X1341" s="845">
        <v>0.46013667425968108</v>
      </c>
      <c r="Y1341" s="845">
        <v>0.97393448397323001</v>
      </c>
      <c r="Z1341" s="845">
        <v>8.6297992250792526E-3</v>
      </c>
      <c r="AA1341" s="845">
        <v>0</v>
      </c>
      <c r="AB1341" s="845">
        <v>0</v>
      </c>
      <c r="AC1341" s="845">
        <v>0</v>
      </c>
      <c r="AD1341" s="845">
        <v>6.6924973582247272E-3</v>
      </c>
      <c r="AE1341" s="845">
        <v>1.0743219443466009E-2</v>
      </c>
      <c r="AF1341" s="845">
        <v>7.5730891158858754E-3</v>
      </c>
      <c r="AG1341" s="845">
        <v>0.97305389221556882</v>
      </c>
      <c r="AH1341" s="20" t="str">
        <f t="shared" si="115"/>
        <v>Yes</v>
      </c>
      <c r="AI1341" s="25"/>
      <c r="AJ1341" s="37">
        <v>45861</v>
      </c>
      <c r="AK1341" s="37" t="s">
        <v>1924</v>
      </c>
      <c r="AL1341" s="37">
        <v>39125</v>
      </c>
      <c r="AM1341" s="37" t="s">
        <v>68</v>
      </c>
      <c r="AN1341" s="37" t="str">
        <f t="shared" si="116"/>
        <v>N/A</v>
      </c>
      <c r="AO1341" s="37" t="str">
        <f t="shared" si="117"/>
        <v>N/A</v>
      </c>
      <c r="AP1341" s="37" t="s">
        <v>8</v>
      </c>
      <c r="AQ1341" s="25"/>
      <c r="AR1341" s="25"/>
      <c r="AS1341" s="25"/>
      <c r="AT1341" s="25"/>
      <c r="AU1341" s="36"/>
      <c r="AV1341" s="36"/>
      <c r="AW1341" s="36"/>
      <c r="AX1341" s="25"/>
      <c r="AY1341" s="25"/>
      <c r="AZ1341" s="25"/>
      <c r="BA1341" s="25"/>
      <c r="BB1341" s="25"/>
      <c r="BC1341" s="25"/>
      <c r="BD1341" s="25"/>
      <c r="BE1341" s="25"/>
      <c r="BF1341" s="25"/>
      <c r="BG1341" s="25"/>
      <c r="BH1341" s="25"/>
      <c r="BI1341" s="25"/>
      <c r="BJ1341" s="25"/>
      <c r="BK1341" s="25"/>
      <c r="BL1341" s="25"/>
      <c r="BM1341" s="25"/>
      <c r="BN1341" s="25"/>
      <c r="BO1341" s="25"/>
      <c r="BP1341" s="25"/>
      <c r="BQ1341" s="25"/>
      <c r="BR1341" s="25"/>
      <c r="BS1341" s="25"/>
      <c r="BT1341" s="25"/>
      <c r="BU1341" s="25"/>
      <c r="BV1341" s="25"/>
      <c r="BW1341" s="25"/>
      <c r="BX1341" s="25"/>
      <c r="BY1341" s="25"/>
      <c r="BZ1341" s="25"/>
      <c r="CA1341" s="25"/>
      <c r="CB1341" s="25"/>
      <c r="CC1341" s="25"/>
      <c r="CD1341" s="25"/>
      <c r="CE1341" s="200"/>
      <c r="CF1341" s="200"/>
      <c r="CG1341" s="200"/>
      <c r="CH1341" s="200"/>
      <c r="CI1341" s="200"/>
      <c r="CJ1341" s="200"/>
      <c r="CK1341" s="200"/>
      <c r="CL1341" s="200"/>
      <c r="CM1341" s="200"/>
      <c r="CN1341" s="200"/>
      <c r="CO1341" s="200"/>
      <c r="CP1341" s="200"/>
      <c r="CQ1341" s="200"/>
      <c r="CR1341" s="200"/>
      <c r="CS1341" s="200"/>
      <c r="CT1341" s="200"/>
      <c r="CU1341" s="200"/>
    </row>
    <row r="1342" spans="1:99" s="17" customFormat="1" x14ac:dyDescent="0.2">
      <c r="A1342" s="25"/>
      <c r="B1342" s="20">
        <v>39119911800</v>
      </c>
      <c r="C1342" s="20">
        <v>9118</v>
      </c>
      <c r="D1342" s="20" t="s">
        <v>65</v>
      </c>
      <c r="E1342" s="20" t="s">
        <v>265</v>
      </c>
      <c r="F1342" s="20" t="s">
        <v>8</v>
      </c>
      <c r="G1342" s="861">
        <v>52.044256849447201</v>
      </c>
      <c r="H1342" s="861">
        <v>56.085432077582297</v>
      </c>
      <c r="I1342" s="861">
        <v>38.664719438961903</v>
      </c>
      <c r="J1342" s="861">
        <v>36.007515071119201</v>
      </c>
      <c r="K1342" s="982">
        <v>0</v>
      </c>
      <c r="L1342" s="735">
        <v>3167</v>
      </c>
      <c r="M1342" s="735">
        <v>3397</v>
      </c>
      <c r="N1342" s="845">
        <f t="shared" si="113"/>
        <v>7.2623934322702879E-2</v>
      </c>
      <c r="O1342" s="735">
        <v>1.0221066227211368</v>
      </c>
      <c r="P1342" s="735">
        <f t="shared" si="114"/>
        <v>3323.5280199596255</v>
      </c>
      <c r="Q1342" s="849">
        <v>34.1</v>
      </c>
      <c r="R1342" s="71">
        <v>39526</v>
      </c>
      <c r="S1342" s="845">
        <v>0.16728509585652443</v>
      </c>
      <c r="T1342" s="845">
        <v>7.0000000000000007E-2</v>
      </c>
      <c r="U1342" s="845">
        <v>0</v>
      </c>
      <c r="V1342" s="845">
        <v>7.0999999999999994E-2</v>
      </c>
      <c r="W1342" s="845">
        <v>0.5242165242165242</v>
      </c>
      <c r="X1342" s="845">
        <v>0.49184782608695654</v>
      </c>
      <c r="Y1342" s="845">
        <v>0.84368560494554024</v>
      </c>
      <c r="Z1342" s="845">
        <v>7.2122460994995585E-2</v>
      </c>
      <c r="AA1342" s="845">
        <v>1.4718869590815426E-3</v>
      </c>
      <c r="AB1342" s="845">
        <v>2.9437739181630853E-4</v>
      </c>
      <c r="AC1342" s="845">
        <v>0</v>
      </c>
      <c r="AD1342" s="845">
        <v>4.4745363556078895E-2</v>
      </c>
      <c r="AE1342" s="845">
        <v>3.7680306152487492E-2</v>
      </c>
      <c r="AF1342" s="845">
        <v>4.4745363556078895E-2</v>
      </c>
      <c r="AG1342" s="845">
        <v>0.84368560494554024</v>
      </c>
      <c r="AH1342" s="20" t="str">
        <f t="shared" si="115"/>
        <v>No</v>
      </c>
      <c r="AI1342" s="25"/>
      <c r="AJ1342" s="37">
        <v>45873</v>
      </c>
      <c r="AK1342" s="37" t="s">
        <v>1936</v>
      </c>
      <c r="AL1342" s="37">
        <v>39125</v>
      </c>
      <c r="AM1342" s="37" t="s">
        <v>68</v>
      </c>
      <c r="AN1342" s="37" t="str">
        <f t="shared" si="116"/>
        <v>N/A</v>
      </c>
      <c r="AO1342" s="37" t="str">
        <f t="shared" si="117"/>
        <v>N/A</v>
      </c>
      <c r="AP1342" s="37" t="s">
        <v>8</v>
      </c>
      <c r="AQ1342" s="25"/>
      <c r="AR1342" s="25"/>
      <c r="AS1342" s="25"/>
      <c r="AT1342" s="25"/>
      <c r="AU1342" s="36"/>
      <c r="AV1342" s="36"/>
      <c r="AW1342" s="36"/>
      <c r="AX1342" s="25"/>
      <c r="AY1342" s="25"/>
      <c r="AZ1342" s="25"/>
      <c r="BA1342" s="25"/>
      <c r="BB1342" s="25"/>
      <c r="BC1342" s="25"/>
      <c r="BD1342" s="25"/>
      <c r="BE1342" s="25"/>
      <c r="BF1342" s="25"/>
      <c r="BG1342" s="25"/>
      <c r="BH1342" s="25"/>
      <c r="BI1342" s="25"/>
      <c r="BJ1342" s="25"/>
      <c r="BK1342" s="25"/>
      <c r="BL1342" s="25"/>
      <c r="BM1342" s="25"/>
      <c r="BN1342" s="25"/>
      <c r="BO1342" s="25"/>
      <c r="BP1342" s="25"/>
      <c r="BQ1342" s="25"/>
      <c r="BR1342" s="25"/>
      <c r="BS1342" s="25"/>
      <c r="BT1342" s="25"/>
      <c r="BU1342" s="25"/>
      <c r="BV1342" s="25"/>
      <c r="BW1342" s="25"/>
      <c r="BX1342" s="25"/>
      <c r="BY1342" s="25"/>
      <c r="BZ1342" s="25"/>
      <c r="CA1342" s="25"/>
      <c r="CB1342" s="25"/>
      <c r="CC1342" s="25"/>
      <c r="CD1342" s="25"/>
      <c r="CE1342" s="200"/>
      <c r="CF1342" s="200"/>
      <c r="CG1342" s="200"/>
      <c r="CH1342" s="200"/>
      <c r="CI1342" s="200"/>
      <c r="CJ1342" s="200"/>
      <c r="CK1342" s="200"/>
      <c r="CL1342" s="200"/>
      <c r="CM1342" s="200"/>
      <c r="CN1342" s="200"/>
      <c r="CO1342" s="200"/>
      <c r="CP1342" s="200"/>
      <c r="CQ1342" s="200"/>
      <c r="CR1342" s="200"/>
      <c r="CS1342" s="200"/>
      <c r="CT1342" s="200"/>
      <c r="CU1342" s="200"/>
    </row>
    <row r="1343" spans="1:99" s="17" customFormat="1" x14ac:dyDescent="0.2">
      <c r="A1343" s="25"/>
      <c r="B1343" s="20">
        <v>39035134300</v>
      </c>
      <c r="C1343" s="20">
        <v>1343</v>
      </c>
      <c r="D1343" s="20" t="s">
        <v>24</v>
      </c>
      <c r="E1343" s="20" t="s">
        <v>2829</v>
      </c>
      <c r="F1343" s="20" t="s">
        <v>8</v>
      </c>
      <c r="G1343" s="861">
        <v>52.041340815478499</v>
      </c>
      <c r="H1343" s="861">
        <v>61.933214636405303</v>
      </c>
      <c r="I1343" s="861">
        <v>34.749048399129201</v>
      </c>
      <c r="J1343" s="861">
        <v>40.8798315947815</v>
      </c>
      <c r="K1343" s="982">
        <v>0</v>
      </c>
      <c r="L1343" s="735">
        <v>3995</v>
      </c>
      <c r="M1343" s="735">
        <v>4185</v>
      </c>
      <c r="N1343" s="845">
        <f t="shared" si="113"/>
        <v>4.7559449311639551E-2</v>
      </c>
      <c r="O1343" s="735">
        <v>1.0001543983921997</v>
      </c>
      <c r="P1343" s="735">
        <f t="shared" si="114"/>
        <v>4184.3539424788869</v>
      </c>
      <c r="Q1343" s="849">
        <v>22.3</v>
      </c>
      <c r="R1343" s="71">
        <v>70250</v>
      </c>
      <c r="S1343" s="845">
        <v>9.9415204678362568E-2</v>
      </c>
      <c r="T1343" s="845">
        <v>4.9000000000000002E-2</v>
      </c>
      <c r="U1343" s="845">
        <v>0</v>
      </c>
      <c r="V1343" s="845">
        <v>0.109</v>
      </c>
      <c r="W1343" s="845">
        <v>0.28864059590316571</v>
      </c>
      <c r="X1343" s="845">
        <v>0.45483870967741935</v>
      </c>
      <c r="Y1343" s="845">
        <v>0.76367980884109921</v>
      </c>
      <c r="Z1343" s="845">
        <v>7.4313022700119469E-2</v>
      </c>
      <c r="AA1343" s="845">
        <v>0</v>
      </c>
      <c r="AB1343" s="845">
        <v>4.3488649940262844E-2</v>
      </c>
      <c r="AC1343" s="845">
        <v>0</v>
      </c>
      <c r="AD1343" s="845">
        <v>4.0621266427718038E-3</v>
      </c>
      <c r="AE1343" s="845">
        <v>0.11445639187574672</v>
      </c>
      <c r="AF1343" s="845">
        <v>4.8984468339307051E-2</v>
      </c>
      <c r="AG1343" s="845">
        <v>0.75053763440860211</v>
      </c>
      <c r="AH1343" s="20" t="str">
        <f t="shared" si="115"/>
        <v>No</v>
      </c>
      <c r="AI1343" s="25"/>
      <c r="AJ1343" s="37">
        <v>45879</v>
      </c>
      <c r="AK1343" s="37" t="s">
        <v>1941</v>
      </c>
      <c r="AL1343" s="37">
        <v>39125</v>
      </c>
      <c r="AM1343" s="37" t="s">
        <v>68</v>
      </c>
      <c r="AN1343" s="37" t="str">
        <f t="shared" si="116"/>
        <v>N/A</v>
      </c>
      <c r="AO1343" s="37" t="str">
        <f t="shared" si="117"/>
        <v>N/A</v>
      </c>
      <c r="AP1343" s="37" t="s">
        <v>8</v>
      </c>
      <c r="AQ1343" s="25"/>
      <c r="AR1343" s="25"/>
      <c r="AS1343" s="25"/>
      <c r="AT1343" s="25"/>
      <c r="AU1343" s="36"/>
      <c r="AV1343" s="36"/>
      <c r="AW1343" s="36"/>
      <c r="AX1343" s="25"/>
      <c r="AY1343" s="25"/>
      <c r="AZ1343" s="25"/>
      <c r="BA1343" s="25"/>
      <c r="BB1343" s="25"/>
      <c r="BC1343" s="25"/>
      <c r="BD1343" s="25"/>
      <c r="BE1343" s="25"/>
      <c r="BF1343" s="25"/>
      <c r="BG1343" s="25"/>
      <c r="BH1343" s="25"/>
      <c r="BI1343" s="25"/>
      <c r="BJ1343" s="25"/>
      <c r="BK1343" s="25"/>
      <c r="BL1343" s="25"/>
      <c r="BM1343" s="25"/>
      <c r="BN1343" s="25"/>
      <c r="BO1343" s="25"/>
      <c r="BP1343" s="25"/>
      <c r="BQ1343" s="25"/>
      <c r="BR1343" s="25"/>
      <c r="BS1343" s="25"/>
      <c r="BT1343" s="25"/>
      <c r="BU1343" s="25"/>
      <c r="BV1343" s="25"/>
      <c r="BW1343" s="25"/>
      <c r="BX1343" s="25"/>
      <c r="BY1343" s="25"/>
      <c r="BZ1343" s="25"/>
      <c r="CA1343" s="25"/>
      <c r="CB1343" s="25"/>
      <c r="CC1343" s="25"/>
      <c r="CD1343" s="25"/>
      <c r="CE1343" s="200"/>
      <c r="CF1343" s="200"/>
      <c r="CG1343" s="200"/>
      <c r="CH1343" s="200"/>
      <c r="CI1343" s="200"/>
      <c r="CJ1343" s="200"/>
      <c r="CK1343" s="200"/>
      <c r="CL1343" s="200"/>
      <c r="CM1343" s="200"/>
      <c r="CN1343" s="200"/>
      <c r="CO1343" s="200"/>
      <c r="CP1343" s="200"/>
      <c r="CQ1343" s="200"/>
      <c r="CR1343" s="200"/>
      <c r="CS1343" s="200"/>
      <c r="CT1343" s="200"/>
      <c r="CU1343" s="200"/>
    </row>
    <row r="1344" spans="1:99" s="17" customFormat="1" x14ac:dyDescent="0.2">
      <c r="A1344" s="25"/>
      <c r="B1344" s="20">
        <v>39095007502</v>
      </c>
      <c r="C1344" s="20">
        <v>75.02</v>
      </c>
      <c r="D1344" s="20" t="s">
        <v>53</v>
      </c>
      <c r="E1344" s="20" t="s">
        <v>2839</v>
      </c>
      <c r="F1344" s="20" t="s">
        <v>8</v>
      </c>
      <c r="G1344" s="861">
        <v>52.029700723224401</v>
      </c>
      <c r="H1344" s="861">
        <v>59.8342574315704</v>
      </c>
      <c r="I1344" s="861">
        <v>39.315492844089</v>
      </c>
      <c r="J1344" s="861">
        <v>44.734591688069202</v>
      </c>
      <c r="K1344" s="982">
        <v>0</v>
      </c>
      <c r="L1344" s="735" t="s">
        <v>2466</v>
      </c>
      <c r="M1344" s="735">
        <v>1873</v>
      </c>
      <c r="N1344" s="845" t="str">
        <f t="shared" si="113"/>
        <v/>
      </c>
      <c r="O1344" s="735">
        <v>0.56031647187754852</v>
      </c>
      <c r="P1344" s="735">
        <f t="shared" si="114"/>
        <v>3342.7537722098687</v>
      </c>
      <c r="Q1344" s="849">
        <v>34.799999999999997</v>
      </c>
      <c r="R1344" s="71">
        <v>59213</v>
      </c>
      <c r="S1344" s="845">
        <v>0.12653497063534436</v>
      </c>
      <c r="T1344" s="845">
        <v>5.7000000000000002E-2</v>
      </c>
      <c r="U1344" s="845">
        <v>0</v>
      </c>
      <c r="V1344" s="845">
        <v>0</v>
      </c>
      <c r="W1344" s="845">
        <v>0.28253615127919912</v>
      </c>
      <c r="X1344" s="845">
        <v>0.56692913385826771</v>
      </c>
      <c r="Y1344" s="845">
        <v>0.5792845702082221</v>
      </c>
      <c r="Z1344" s="845">
        <v>0.32247730912973838</v>
      </c>
      <c r="AA1344" s="845">
        <v>1.6017084890549919E-3</v>
      </c>
      <c r="AB1344" s="845">
        <v>1.1745862253069941E-2</v>
      </c>
      <c r="AC1344" s="845">
        <v>0</v>
      </c>
      <c r="AD1344" s="845">
        <v>0</v>
      </c>
      <c r="AE1344" s="845">
        <v>8.4890549919914571E-2</v>
      </c>
      <c r="AF1344" s="845">
        <v>5.8729311265349707E-2</v>
      </c>
      <c r="AG1344" s="845">
        <v>0.54297917778964233</v>
      </c>
      <c r="AH1344" s="20" t="str">
        <f t="shared" si="115"/>
        <v>No</v>
      </c>
      <c r="AI1344" s="25"/>
      <c r="AJ1344" s="37">
        <v>45880</v>
      </c>
      <c r="AK1344" s="37" t="s">
        <v>1942</v>
      </c>
      <c r="AL1344" s="37">
        <v>39125</v>
      </c>
      <c r="AM1344" s="37" t="s">
        <v>68</v>
      </c>
      <c r="AN1344" s="37" t="str">
        <f t="shared" si="116"/>
        <v>N/A</v>
      </c>
      <c r="AO1344" s="37" t="str">
        <f t="shared" si="117"/>
        <v>N/A</v>
      </c>
      <c r="AP1344" s="37" t="s">
        <v>8</v>
      </c>
      <c r="AQ1344" s="25"/>
      <c r="AR1344" s="25"/>
      <c r="AS1344" s="25"/>
      <c r="AT1344" s="25"/>
      <c r="AU1344" s="36"/>
      <c r="AV1344" s="36"/>
      <c r="AW1344" s="36"/>
      <c r="AX1344" s="25"/>
      <c r="AY1344" s="25"/>
      <c r="AZ1344" s="25"/>
      <c r="BA1344" s="25"/>
      <c r="BB1344" s="25"/>
      <c r="BC1344" s="25"/>
      <c r="BD1344" s="25"/>
      <c r="BE1344" s="25"/>
      <c r="BF1344" s="25"/>
      <c r="BG1344" s="25"/>
      <c r="BH1344" s="25"/>
      <c r="BI1344" s="25"/>
      <c r="BJ1344" s="25"/>
      <c r="BK1344" s="25"/>
      <c r="BL1344" s="25"/>
      <c r="BM1344" s="25"/>
      <c r="BN1344" s="25"/>
      <c r="BO1344" s="25"/>
      <c r="BP1344" s="25"/>
      <c r="BQ1344" s="25"/>
      <c r="BR1344" s="25"/>
      <c r="BS1344" s="25"/>
      <c r="BT1344" s="25"/>
      <c r="BU1344" s="25"/>
      <c r="BV1344" s="25"/>
      <c r="BW1344" s="25"/>
      <c r="BX1344" s="25"/>
      <c r="BY1344" s="25"/>
      <c r="BZ1344" s="25"/>
      <c r="CA1344" s="25"/>
      <c r="CB1344" s="25"/>
      <c r="CC1344" s="25"/>
      <c r="CD1344" s="25"/>
      <c r="CE1344" s="200"/>
      <c r="CF1344" s="200"/>
      <c r="CG1344" s="200"/>
      <c r="CH1344" s="200"/>
      <c r="CI1344" s="200"/>
      <c r="CJ1344" s="200"/>
      <c r="CK1344" s="200"/>
      <c r="CL1344" s="200"/>
      <c r="CM1344" s="200"/>
      <c r="CN1344" s="200"/>
      <c r="CO1344" s="200"/>
      <c r="CP1344" s="200"/>
      <c r="CQ1344" s="200"/>
      <c r="CR1344" s="200"/>
      <c r="CS1344" s="200"/>
      <c r="CT1344" s="200"/>
      <c r="CU1344" s="200"/>
    </row>
    <row r="1345" spans="1:99" s="17" customFormat="1" x14ac:dyDescent="0.2">
      <c r="A1345" s="25"/>
      <c r="B1345" s="20">
        <v>39085202000</v>
      </c>
      <c r="C1345" s="20">
        <v>2020</v>
      </c>
      <c r="D1345" s="20" t="s">
        <v>48</v>
      </c>
      <c r="E1345" s="20" t="s">
        <v>2829</v>
      </c>
      <c r="F1345" s="20" t="s">
        <v>8</v>
      </c>
      <c r="G1345" s="861">
        <v>52.022311517499197</v>
      </c>
      <c r="H1345" s="861">
        <v>51.312052447432301</v>
      </c>
      <c r="I1345" s="861">
        <v>35.252531045374198</v>
      </c>
      <c r="J1345" s="861">
        <v>39.198711575079599</v>
      </c>
      <c r="K1345" s="982">
        <v>0</v>
      </c>
      <c r="L1345" s="735">
        <v>6172</v>
      </c>
      <c r="M1345" s="735">
        <v>4989</v>
      </c>
      <c r="N1345" s="845">
        <f t="shared" si="113"/>
        <v>-0.19167206740116655</v>
      </c>
      <c r="O1345" s="735">
        <v>2.246301431862558</v>
      </c>
      <c r="P1345" s="735">
        <f t="shared" si="114"/>
        <v>2220.9842050731759</v>
      </c>
      <c r="Q1345" s="849">
        <v>48.6</v>
      </c>
      <c r="R1345" s="71">
        <v>61782</v>
      </c>
      <c r="S1345" s="845">
        <v>6.9076954150676634E-2</v>
      </c>
      <c r="T1345" s="845">
        <v>2.5000000000000001E-2</v>
      </c>
      <c r="U1345" s="845">
        <v>0</v>
      </c>
      <c r="V1345" s="845">
        <v>9.6000000000000002E-2</v>
      </c>
      <c r="W1345" s="845">
        <v>0.14799154334038056</v>
      </c>
      <c r="X1345" s="845">
        <v>0.47428571428571431</v>
      </c>
      <c r="Y1345" s="845">
        <v>0.92884345560232506</v>
      </c>
      <c r="Z1345" s="845">
        <v>1.6035277610743637E-2</v>
      </c>
      <c r="AA1345" s="845">
        <v>0</v>
      </c>
      <c r="AB1345" s="845">
        <v>3.6079374624173183E-3</v>
      </c>
      <c r="AC1345" s="845">
        <v>0</v>
      </c>
      <c r="AD1345" s="845">
        <v>1.8039687312086591E-2</v>
      </c>
      <c r="AE1345" s="845">
        <v>3.3473642012427342E-2</v>
      </c>
      <c r="AF1345" s="845">
        <v>1.2427340148326319E-2</v>
      </c>
      <c r="AG1345" s="845">
        <v>0.92643816396071355</v>
      </c>
      <c r="AH1345" s="20" t="str">
        <f t="shared" si="115"/>
        <v>Yes</v>
      </c>
      <c r="AI1345" s="25"/>
      <c r="AJ1345" s="37">
        <v>45886</v>
      </c>
      <c r="AK1345" s="37" t="s">
        <v>1948</v>
      </c>
      <c r="AL1345" s="37">
        <v>39125</v>
      </c>
      <c r="AM1345" s="37" t="s">
        <v>68</v>
      </c>
      <c r="AN1345" s="37" t="str">
        <f t="shared" si="116"/>
        <v>N/A</v>
      </c>
      <c r="AO1345" s="37" t="str">
        <f t="shared" si="117"/>
        <v>N/A</v>
      </c>
      <c r="AP1345" s="37" t="s">
        <v>8</v>
      </c>
      <c r="AQ1345" s="25"/>
      <c r="AR1345" s="25"/>
      <c r="AS1345" s="25"/>
      <c r="AT1345" s="25"/>
      <c r="AU1345" s="36"/>
      <c r="AV1345" s="36"/>
      <c r="AW1345" s="36"/>
      <c r="AX1345" s="25"/>
      <c r="AY1345" s="25"/>
      <c r="AZ1345" s="25"/>
      <c r="BA1345" s="25"/>
      <c r="BB1345" s="25"/>
      <c r="BC1345" s="25"/>
      <c r="BD1345" s="25"/>
      <c r="BE1345" s="25"/>
      <c r="BF1345" s="25"/>
      <c r="BG1345" s="25"/>
      <c r="BH1345" s="25"/>
      <c r="BI1345" s="25"/>
      <c r="BJ1345" s="25"/>
      <c r="BK1345" s="25"/>
      <c r="BL1345" s="25"/>
      <c r="BM1345" s="25"/>
      <c r="BN1345" s="25"/>
      <c r="BO1345" s="25"/>
      <c r="BP1345" s="25"/>
      <c r="BQ1345" s="25"/>
      <c r="BR1345" s="25"/>
      <c r="BS1345" s="25"/>
      <c r="BT1345" s="25"/>
      <c r="BU1345" s="25"/>
      <c r="BV1345" s="25"/>
      <c r="BW1345" s="25"/>
      <c r="BX1345" s="25"/>
      <c r="BY1345" s="25"/>
      <c r="BZ1345" s="25"/>
      <c r="CA1345" s="25"/>
      <c r="CB1345" s="25"/>
      <c r="CC1345" s="25"/>
      <c r="CD1345" s="25"/>
      <c r="CE1345" s="200"/>
      <c r="CF1345" s="200"/>
      <c r="CG1345" s="200"/>
      <c r="CH1345" s="200"/>
      <c r="CI1345" s="200"/>
      <c r="CJ1345" s="200"/>
      <c r="CK1345" s="200"/>
      <c r="CL1345" s="200"/>
      <c r="CM1345" s="200"/>
      <c r="CN1345" s="200"/>
      <c r="CO1345" s="200"/>
      <c r="CP1345" s="200"/>
      <c r="CQ1345" s="200"/>
      <c r="CR1345" s="200"/>
      <c r="CS1345" s="200"/>
      <c r="CT1345" s="200"/>
      <c r="CU1345" s="200"/>
    </row>
    <row r="1346" spans="1:99" s="17" customFormat="1" x14ac:dyDescent="0.2">
      <c r="A1346" s="25"/>
      <c r="B1346" s="20">
        <v>39017011135</v>
      </c>
      <c r="C1346" s="20">
        <v>111.35</v>
      </c>
      <c r="D1346" s="20" t="s">
        <v>15</v>
      </c>
      <c r="E1346" s="20" t="s">
        <v>2828</v>
      </c>
      <c r="F1346" s="20" t="s">
        <v>8</v>
      </c>
      <c r="G1346" s="861">
        <v>52.016408614915299</v>
      </c>
      <c r="H1346" s="861">
        <v>59.0612535892352</v>
      </c>
      <c r="I1346" s="861">
        <v>16.927184579215702</v>
      </c>
      <c r="J1346" s="861">
        <v>65.8969946775984</v>
      </c>
      <c r="K1346" s="982">
        <v>0</v>
      </c>
      <c r="L1346" s="735" t="s">
        <v>2466</v>
      </c>
      <c r="M1346" s="735">
        <v>7614</v>
      </c>
      <c r="N1346" s="845" t="str">
        <f t="shared" si="113"/>
        <v/>
      </c>
      <c r="O1346" s="735">
        <v>5.622420019526654</v>
      </c>
      <c r="P1346" s="735">
        <f t="shared" si="114"/>
        <v>1354.2211313912146</v>
      </c>
      <c r="Q1346" s="849">
        <v>33.5</v>
      </c>
      <c r="R1346" s="71">
        <v>144725</v>
      </c>
      <c r="S1346" s="845">
        <v>1.2477016023115314E-2</v>
      </c>
      <c r="T1346" s="845">
        <v>1.8000000000000002E-2</v>
      </c>
      <c r="U1346" s="845">
        <v>0</v>
      </c>
      <c r="V1346" s="845">
        <v>0.26899999999999996</v>
      </c>
      <c r="W1346" s="845">
        <v>8.1649484536082478E-2</v>
      </c>
      <c r="X1346" s="845">
        <v>0.28282828282828282</v>
      </c>
      <c r="Y1346" s="845">
        <v>0.61531389545573945</v>
      </c>
      <c r="Z1346" s="845">
        <v>7.6963488311006037E-2</v>
      </c>
      <c r="AA1346" s="845">
        <v>0</v>
      </c>
      <c r="AB1346" s="845">
        <v>5.7525610717100079E-2</v>
      </c>
      <c r="AC1346" s="845">
        <v>0</v>
      </c>
      <c r="AD1346" s="845">
        <v>3.3753611767796163E-2</v>
      </c>
      <c r="AE1346" s="845">
        <v>0.21644339374835828</v>
      </c>
      <c r="AF1346" s="845">
        <v>0.18662989230365118</v>
      </c>
      <c r="AG1346" s="845">
        <v>0.59548200682952457</v>
      </c>
      <c r="AH1346" s="20" t="str">
        <f t="shared" si="115"/>
        <v>No</v>
      </c>
      <c r="AI1346" s="25"/>
      <c r="AJ1346" s="37">
        <v>45133</v>
      </c>
      <c r="AK1346" s="37" t="s">
        <v>1580</v>
      </c>
      <c r="AL1346" s="37">
        <v>39131</v>
      </c>
      <c r="AM1346" s="37" t="s">
        <v>71</v>
      </c>
      <c r="AN1346" s="37" t="str">
        <f t="shared" si="116"/>
        <v>N/A</v>
      </c>
      <c r="AO1346" s="37" t="str">
        <f t="shared" si="117"/>
        <v>N/A</v>
      </c>
      <c r="AP1346" s="37" t="s">
        <v>8</v>
      </c>
      <c r="AQ1346" s="25"/>
      <c r="AR1346" s="25"/>
      <c r="AS1346" s="25"/>
      <c r="AT1346" s="25"/>
      <c r="AU1346" s="36"/>
      <c r="AV1346" s="36"/>
      <c r="AW1346" s="36"/>
      <c r="AX1346" s="25"/>
      <c r="AY1346" s="25"/>
      <c r="AZ1346" s="25"/>
      <c r="BA1346" s="25"/>
      <c r="BB1346" s="25"/>
      <c r="BC1346" s="25"/>
      <c r="BD1346" s="25"/>
      <c r="BE1346" s="25"/>
      <c r="BF1346" s="25"/>
      <c r="BG1346" s="25"/>
      <c r="BH1346" s="25"/>
      <c r="BI1346" s="25"/>
      <c r="BJ1346" s="25"/>
      <c r="BK1346" s="25"/>
      <c r="BL1346" s="25"/>
      <c r="BM1346" s="25"/>
      <c r="BN1346" s="25"/>
      <c r="BO1346" s="25"/>
      <c r="BP1346" s="25"/>
      <c r="BQ1346" s="25"/>
      <c r="BR1346" s="25"/>
      <c r="BS1346" s="25"/>
      <c r="BT1346" s="25"/>
      <c r="BU1346" s="25"/>
      <c r="BV1346" s="25"/>
      <c r="BW1346" s="25"/>
      <c r="BX1346" s="25"/>
      <c r="BY1346" s="25"/>
      <c r="BZ1346" s="25"/>
      <c r="CA1346" s="25"/>
      <c r="CB1346" s="25"/>
      <c r="CC1346" s="25"/>
      <c r="CD1346" s="25"/>
      <c r="CE1346" s="200"/>
      <c r="CF1346" s="200"/>
      <c r="CG1346" s="200"/>
      <c r="CH1346" s="200"/>
      <c r="CI1346" s="200"/>
      <c r="CJ1346" s="200"/>
      <c r="CK1346" s="200"/>
      <c r="CL1346" s="200"/>
      <c r="CM1346" s="200"/>
      <c r="CN1346" s="200"/>
      <c r="CO1346" s="200"/>
      <c r="CP1346" s="200"/>
      <c r="CQ1346" s="200"/>
      <c r="CR1346" s="200"/>
      <c r="CS1346" s="200"/>
      <c r="CT1346" s="200"/>
      <c r="CU1346" s="200"/>
    </row>
    <row r="1347" spans="1:99" s="17" customFormat="1" x14ac:dyDescent="0.2">
      <c r="A1347" s="25"/>
      <c r="B1347" s="20">
        <v>39035185201</v>
      </c>
      <c r="C1347" s="20">
        <v>1852.01</v>
      </c>
      <c r="D1347" s="20" t="s">
        <v>24</v>
      </c>
      <c r="E1347" s="20" t="s">
        <v>2829</v>
      </c>
      <c r="F1347" s="20" t="s">
        <v>8</v>
      </c>
      <c r="G1347" s="861">
        <v>52.002083564206799</v>
      </c>
      <c r="H1347" s="861">
        <v>66.762276663359302</v>
      </c>
      <c r="I1347" s="861">
        <v>32.814164518666999</v>
      </c>
      <c r="J1347" s="861">
        <v>41.714567901555696</v>
      </c>
      <c r="K1347" s="982">
        <v>0</v>
      </c>
      <c r="L1347" s="735">
        <v>1746</v>
      </c>
      <c r="M1347" s="735">
        <v>1950</v>
      </c>
      <c r="N1347" s="845">
        <f t="shared" si="113"/>
        <v>0.11683848797250859</v>
      </c>
      <c r="O1347" s="735">
        <v>0.27569663244515824</v>
      </c>
      <c r="P1347" s="735">
        <f t="shared" si="114"/>
        <v>7072.9917253809599</v>
      </c>
      <c r="Q1347" s="849">
        <v>32.200000000000003</v>
      </c>
      <c r="R1347" s="71">
        <v>46958</v>
      </c>
      <c r="S1347" s="845">
        <v>3.8461538461538464E-2</v>
      </c>
      <c r="T1347" s="845">
        <v>7.5999999999999998E-2</v>
      </c>
      <c r="U1347" s="845">
        <v>0</v>
      </c>
      <c r="V1347" s="845">
        <v>1.7000000000000001E-2</v>
      </c>
      <c r="W1347" s="845">
        <v>0.36409608091024021</v>
      </c>
      <c r="X1347" s="845">
        <v>0.37152777777777779</v>
      </c>
      <c r="Y1347" s="845">
        <v>0.22102564102564101</v>
      </c>
      <c r="Z1347" s="845">
        <v>0.73538461538461541</v>
      </c>
      <c r="AA1347" s="845">
        <v>0</v>
      </c>
      <c r="AB1347" s="845">
        <v>1.0256410256410256E-3</v>
      </c>
      <c r="AC1347" s="845">
        <v>0</v>
      </c>
      <c r="AD1347" s="845">
        <v>9.2307692307692316E-3</v>
      </c>
      <c r="AE1347" s="845">
        <v>3.3333333333333333E-2</v>
      </c>
      <c r="AF1347" s="845">
        <v>1.0769230769230769E-2</v>
      </c>
      <c r="AG1347" s="845">
        <v>0.21794871794871795</v>
      </c>
      <c r="AH1347" s="20" t="str">
        <f t="shared" si="115"/>
        <v>No</v>
      </c>
      <c r="AI1347" s="25"/>
      <c r="AJ1347" s="37">
        <v>45601</v>
      </c>
      <c r="AK1347" s="37" t="s">
        <v>1768</v>
      </c>
      <c r="AL1347" s="37">
        <v>39131</v>
      </c>
      <c r="AM1347" s="37" t="s">
        <v>71</v>
      </c>
      <c r="AN1347" s="37" t="str">
        <f t="shared" si="116"/>
        <v>N/A</v>
      </c>
      <c r="AO1347" s="37" t="str">
        <f t="shared" si="117"/>
        <v>N/A</v>
      </c>
      <c r="AP1347" s="37" t="s">
        <v>8</v>
      </c>
      <c r="AQ1347" s="25"/>
      <c r="AR1347" s="25"/>
      <c r="AS1347" s="25"/>
      <c r="AT1347" s="25"/>
      <c r="AU1347" s="36"/>
      <c r="AV1347" s="36"/>
      <c r="AW1347" s="36"/>
      <c r="AX1347" s="25"/>
      <c r="AY1347" s="25"/>
      <c r="AZ1347" s="25"/>
      <c r="BA1347" s="25"/>
      <c r="BB1347" s="25"/>
      <c r="BC1347" s="25"/>
      <c r="BD1347" s="25"/>
      <c r="BE1347" s="25"/>
      <c r="BF1347" s="25"/>
      <c r="BG1347" s="25"/>
      <c r="BH1347" s="25"/>
      <c r="BI1347" s="25"/>
      <c r="BJ1347" s="25"/>
      <c r="BK1347" s="25"/>
      <c r="BL1347" s="25"/>
      <c r="BM1347" s="25"/>
      <c r="BN1347" s="25"/>
      <c r="BO1347" s="25"/>
      <c r="BP1347" s="25"/>
      <c r="BQ1347" s="25"/>
      <c r="BR1347" s="25"/>
      <c r="BS1347" s="25"/>
      <c r="BT1347" s="25"/>
      <c r="BU1347" s="25"/>
      <c r="BV1347" s="25"/>
      <c r="BW1347" s="25"/>
      <c r="BX1347" s="25"/>
      <c r="BY1347" s="25"/>
      <c r="BZ1347" s="25"/>
      <c r="CA1347" s="25"/>
      <c r="CB1347" s="25"/>
      <c r="CC1347" s="25"/>
      <c r="CD1347" s="25"/>
      <c r="CE1347" s="200"/>
      <c r="CF1347" s="200"/>
      <c r="CG1347" s="200"/>
      <c r="CH1347" s="200"/>
      <c r="CI1347" s="200"/>
      <c r="CJ1347" s="200"/>
      <c r="CK1347" s="200"/>
      <c r="CL1347" s="200"/>
      <c r="CM1347" s="200"/>
      <c r="CN1347" s="200"/>
      <c r="CO1347" s="200"/>
      <c r="CP1347" s="200"/>
      <c r="CQ1347" s="200"/>
      <c r="CR1347" s="200"/>
      <c r="CS1347" s="200"/>
      <c r="CT1347" s="200"/>
      <c r="CU1347" s="200"/>
    </row>
    <row r="1348" spans="1:99" s="17" customFormat="1" x14ac:dyDescent="0.2">
      <c r="A1348" s="25"/>
      <c r="B1348" s="20">
        <v>39153531601</v>
      </c>
      <c r="C1348" s="20">
        <v>5316.01</v>
      </c>
      <c r="D1348" s="20" t="s">
        <v>82</v>
      </c>
      <c r="E1348" s="20" t="s">
        <v>2843</v>
      </c>
      <c r="F1348" s="20" t="s">
        <v>8</v>
      </c>
      <c r="G1348" s="861">
        <v>51.980960586311099</v>
      </c>
      <c r="H1348" s="861">
        <v>53.729092270110598</v>
      </c>
      <c r="I1348" s="861">
        <v>35.680527455810797</v>
      </c>
      <c r="J1348" s="861">
        <v>34.647633756115297</v>
      </c>
      <c r="K1348" s="982">
        <v>0</v>
      </c>
      <c r="L1348" s="735">
        <v>4455</v>
      </c>
      <c r="M1348" s="735">
        <v>4119</v>
      </c>
      <c r="N1348" s="845">
        <f t="shared" si="113"/>
        <v>-7.5420875420875416E-2</v>
      </c>
      <c r="O1348" s="735">
        <v>3.6795269303379161</v>
      </c>
      <c r="P1348" s="735">
        <f t="shared" si="114"/>
        <v>1119.4373836589161</v>
      </c>
      <c r="Q1348" s="849">
        <v>48.6</v>
      </c>
      <c r="R1348" s="71">
        <v>80179</v>
      </c>
      <c r="S1348" s="845">
        <v>7.3134695887712389E-2</v>
      </c>
      <c r="T1348" s="845">
        <v>2.7000000000000003E-2</v>
      </c>
      <c r="U1348" s="845">
        <v>0</v>
      </c>
      <c r="V1348" s="845">
        <v>0</v>
      </c>
      <c r="W1348" s="845">
        <v>0.26371191135734073</v>
      </c>
      <c r="X1348" s="845">
        <v>0.32563025210084034</v>
      </c>
      <c r="Y1348" s="845">
        <v>0.90361738285991744</v>
      </c>
      <c r="Z1348" s="845">
        <v>8.0116533139111441E-3</v>
      </c>
      <c r="AA1348" s="845">
        <v>0</v>
      </c>
      <c r="AB1348" s="845">
        <v>0</v>
      </c>
      <c r="AC1348" s="845">
        <v>0</v>
      </c>
      <c r="AD1348" s="845">
        <v>0</v>
      </c>
      <c r="AE1348" s="845">
        <v>8.8370963826171406E-2</v>
      </c>
      <c r="AF1348" s="845">
        <v>4.8555474629764506E-3</v>
      </c>
      <c r="AG1348" s="845">
        <v>0.90361738285991744</v>
      </c>
      <c r="AH1348" s="20" t="str">
        <f t="shared" si="115"/>
        <v>Yes</v>
      </c>
      <c r="AI1348" s="25"/>
      <c r="AJ1348" s="37">
        <v>45612</v>
      </c>
      <c r="AK1348" s="37" t="s">
        <v>1769</v>
      </c>
      <c r="AL1348" s="37">
        <v>39131</v>
      </c>
      <c r="AM1348" s="37" t="s">
        <v>71</v>
      </c>
      <c r="AN1348" s="37" t="str">
        <f t="shared" si="116"/>
        <v>N/A</v>
      </c>
      <c r="AO1348" s="37" t="str">
        <f t="shared" si="117"/>
        <v>N/A</v>
      </c>
      <c r="AP1348" s="37" t="s">
        <v>8</v>
      </c>
      <c r="AQ1348" s="25"/>
      <c r="AR1348" s="25"/>
      <c r="AS1348" s="25"/>
      <c r="AT1348" s="25"/>
      <c r="AU1348" s="36"/>
      <c r="AV1348" s="36"/>
      <c r="AW1348" s="36"/>
      <c r="AX1348" s="25"/>
      <c r="AY1348" s="25"/>
      <c r="AZ1348" s="25"/>
      <c r="BA1348" s="25"/>
      <c r="BB1348" s="25"/>
      <c r="BC1348" s="25"/>
      <c r="BD1348" s="25"/>
      <c r="BE1348" s="25"/>
      <c r="BF1348" s="25"/>
      <c r="BG1348" s="25"/>
      <c r="BH1348" s="25"/>
      <c r="BI1348" s="25"/>
      <c r="BJ1348" s="25"/>
      <c r="BK1348" s="25"/>
      <c r="BL1348" s="25"/>
      <c r="BM1348" s="25"/>
      <c r="BN1348" s="25"/>
      <c r="BO1348" s="25"/>
      <c r="BP1348" s="25"/>
      <c r="BQ1348" s="25"/>
      <c r="BR1348" s="25"/>
      <c r="BS1348" s="25"/>
      <c r="BT1348" s="25"/>
      <c r="BU1348" s="25"/>
      <c r="BV1348" s="25"/>
      <c r="BW1348" s="25"/>
      <c r="BX1348" s="25"/>
      <c r="BY1348" s="25"/>
      <c r="BZ1348" s="25"/>
      <c r="CA1348" s="25"/>
      <c r="CB1348" s="25"/>
      <c r="CC1348" s="25"/>
      <c r="CD1348" s="25"/>
      <c r="CE1348" s="200"/>
      <c r="CF1348" s="200"/>
      <c r="CG1348" s="200"/>
      <c r="CH1348" s="200"/>
      <c r="CI1348" s="200"/>
      <c r="CJ1348" s="200"/>
      <c r="CK1348" s="200"/>
      <c r="CL1348" s="200"/>
      <c r="CM1348" s="200"/>
      <c r="CN1348" s="200"/>
      <c r="CO1348" s="200"/>
      <c r="CP1348" s="200"/>
      <c r="CQ1348" s="200"/>
      <c r="CR1348" s="200"/>
      <c r="CS1348" s="200"/>
      <c r="CT1348" s="200"/>
      <c r="CU1348" s="200"/>
    </row>
    <row r="1349" spans="1:99" s="17" customFormat="1" x14ac:dyDescent="0.2">
      <c r="A1349" s="25"/>
      <c r="B1349" s="20">
        <v>39113000300</v>
      </c>
      <c r="C1349" s="20">
        <v>3</v>
      </c>
      <c r="D1349" s="20" t="s">
        <v>62</v>
      </c>
      <c r="E1349" s="20" t="s">
        <v>2833</v>
      </c>
      <c r="F1349" s="20" t="s">
        <v>6</v>
      </c>
      <c r="G1349" s="861">
        <v>51.965845969663903</v>
      </c>
      <c r="H1349" s="861">
        <v>54.075788090521499</v>
      </c>
      <c r="I1349" s="861">
        <v>65.990610301177497</v>
      </c>
      <c r="J1349" s="861">
        <v>59.351220513315397</v>
      </c>
      <c r="K1349" s="982">
        <v>0</v>
      </c>
      <c r="L1349" s="735">
        <v>1773</v>
      </c>
      <c r="M1349" s="735">
        <v>1883</v>
      </c>
      <c r="N1349" s="845">
        <f t="shared" si="113"/>
        <v>6.2041737168640719E-2</v>
      </c>
      <c r="O1349" s="735">
        <v>0.52982752882213036</v>
      </c>
      <c r="P1349" s="735">
        <f t="shared" si="114"/>
        <v>3553.9867175005666</v>
      </c>
      <c r="Q1349" s="849">
        <v>32.1</v>
      </c>
      <c r="R1349" s="71">
        <v>41750</v>
      </c>
      <c r="S1349" s="845">
        <v>0.21402018056293148</v>
      </c>
      <c r="T1349" s="845">
        <v>0.127</v>
      </c>
      <c r="U1349" s="845">
        <v>0.192</v>
      </c>
      <c r="V1349" s="845">
        <v>5.4000000000000006E-2</v>
      </c>
      <c r="W1349" s="845">
        <v>0.66479820627802688</v>
      </c>
      <c r="X1349" s="845">
        <v>0.37099494097807756</v>
      </c>
      <c r="Y1349" s="845">
        <v>4.9389272437599573E-2</v>
      </c>
      <c r="Z1349" s="845">
        <v>0.89378651088688266</v>
      </c>
      <c r="AA1349" s="845">
        <v>0</v>
      </c>
      <c r="AB1349" s="845">
        <v>0</v>
      </c>
      <c r="AC1349" s="845">
        <v>0</v>
      </c>
      <c r="AD1349" s="845">
        <v>1.3276686139139671E-2</v>
      </c>
      <c r="AE1349" s="845">
        <v>4.3547530536378123E-2</v>
      </c>
      <c r="AF1349" s="845">
        <v>3.717472118959108E-2</v>
      </c>
      <c r="AG1349" s="845">
        <v>4.9389272437599573E-2</v>
      </c>
      <c r="AH1349" s="20" t="str">
        <f t="shared" si="115"/>
        <v>No</v>
      </c>
      <c r="AI1349" s="25"/>
      <c r="AJ1349" s="37">
        <v>45613</v>
      </c>
      <c r="AK1349" s="37" t="s">
        <v>1770</v>
      </c>
      <c r="AL1349" s="37">
        <v>39131</v>
      </c>
      <c r="AM1349" s="37" t="s">
        <v>71</v>
      </c>
      <c r="AN1349" s="37" t="str">
        <f t="shared" si="116"/>
        <v>N/A</v>
      </c>
      <c r="AO1349" s="37" t="str">
        <f t="shared" si="117"/>
        <v>N/A</v>
      </c>
      <c r="AP1349" s="37" t="s">
        <v>8</v>
      </c>
      <c r="AQ1349" s="25"/>
      <c r="AR1349" s="25"/>
      <c r="AS1349" s="25"/>
      <c r="AT1349" s="25"/>
      <c r="AU1349" s="36"/>
      <c r="AV1349" s="36"/>
      <c r="AW1349" s="36"/>
      <c r="AX1349" s="25"/>
      <c r="AY1349" s="25"/>
      <c r="AZ1349" s="25"/>
      <c r="BA1349" s="25"/>
      <c r="BB1349" s="25"/>
      <c r="BC1349" s="25"/>
      <c r="BD1349" s="25"/>
      <c r="BE1349" s="25"/>
      <c r="BF1349" s="25"/>
      <c r="BG1349" s="25"/>
      <c r="BH1349" s="25"/>
      <c r="BI1349" s="25"/>
      <c r="BJ1349" s="25"/>
      <c r="BK1349" s="25"/>
      <c r="BL1349" s="25"/>
      <c r="BM1349" s="25"/>
      <c r="BN1349" s="25"/>
      <c r="BO1349" s="25"/>
      <c r="BP1349" s="25"/>
      <c r="BQ1349" s="25"/>
      <c r="BR1349" s="25"/>
      <c r="BS1349" s="25"/>
      <c r="BT1349" s="25"/>
      <c r="BU1349" s="25"/>
      <c r="BV1349" s="25"/>
      <c r="BW1349" s="25"/>
      <c r="BX1349" s="25"/>
      <c r="BY1349" s="25"/>
      <c r="BZ1349" s="25"/>
      <c r="CA1349" s="25"/>
      <c r="CB1349" s="25"/>
      <c r="CC1349" s="25"/>
      <c r="CD1349" s="25"/>
      <c r="CE1349" s="200"/>
      <c r="CF1349" s="200"/>
      <c r="CG1349" s="200"/>
      <c r="CH1349" s="200"/>
      <c r="CI1349" s="200"/>
      <c r="CJ1349" s="200"/>
      <c r="CK1349" s="200"/>
      <c r="CL1349" s="200"/>
      <c r="CM1349" s="200"/>
      <c r="CN1349" s="200"/>
      <c r="CO1349" s="200"/>
      <c r="CP1349" s="200"/>
      <c r="CQ1349" s="200"/>
      <c r="CR1349" s="200"/>
      <c r="CS1349" s="200"/>
      <c r="CT1349" s="200"/>
      <c r="CU1349" s="200"/>
    </row>
    <row r="1350" spans="1:99" s="17" customFormat="1" x14ac:dyDescent="0.2">
      <c r="A1350" s="25"/>
      <c r="B1350" s="20">
        <v>39165031500</v>
      </c>
      <c r="C1350" s="20">
        <v>315</v>
      </c>
      <c r="D1350" s="20" t="s">
        <v>88</v>
      </c>
      <c r="E1350" s="20" t="s">
        <v>2828</v>
      </c>
      <c r="F1350" s="20" t="s">
        <v>8</v>
      </c>
      <c r="G1350" s="861">
        <v>51.958354689028397</v>
      </c>
      <c r="H1350" s="861">
        <v>51.992699239966399</v>
      </c>
      <c r="I1350" s="861">
        <v>36.052643752524403</v>
      </c>
      <c r="J1350" s="861">
        <v>51.577763889685997</v>
      </c>
      <c r="K1350" s="982">
        <v>0</v>
      </c>
      <c r="L1350" s="735">
        <v>4988</v>
      </c>
      <c r="M1350" s="735">
        <v>5338</v>
      </c>
      <c r="N1350" s="845">
        <f t="shared" si="113"/>
        <v>7.0168404170008025E-2</v>
      </c>
      <c r="O1350" s="735">
        <v>2.2471585786546333</v>
      </c>
      <c r="P1350" s="735">
        <f t="shared" si="114"/>
        <v>2375.4442835965069</v>
      </c>
      <c r="Q1350" s="849">
        <v>38.9</v>
      </c>
      <c r="R1350" s="71">
        <v>66371</v>
      </c>
      <c r="S1350" s="845">
        <v>6.2181062181062181E-2</v>
      </c>
      <c r="T1350" s="845">
        <v>1.8000000000000002E-2</v>
      </c>
      <c r="U1350" s="845">
        <v>0</v>
      </c>
      <c r="V1350" s="845">
        <v>7.2999999999999995E-2</v>
      </c>
      <c r="W1350" s="845">
        <v>0.59172077922077926</v>
      </c>
      <c r="X1350" s="845">
        <v>0.44855967078189302</v>
      </c>
      <c r="Y1350" s="845">
        <v>0.92281753465717498</v>
      </c>
      <c r="Z1350" s="845">
        <v>3.2971150243536904E-2</v>
      </c>
      <c r="AA1350" s="845">
        <v>0</v>
      </c>
      <c r="AB1350" s="845">
        <v>3.3720494567253652E-3</v>
      </c>
      <c r="AC1350" s="845">
        <v>0</v>
      </c>
      <c r="AD1350" s="845">
        <v>3.128512551517422E-2</v>
      </c>
      <c r="AE1350" s="845">
        <v>9.5541401273885346E-3</v>
      </c>
      <c r="AF1350" s="845">
        <v>1.1989509179467965E-2</v>
      </c>
      <c r="AG1350" s="845">
        <v>0.91082802547770703</v>
      </c>
      <c r="AH1350" s="20" t="str">
        <f t="shared" si="115"/>
        <v>Yes</v>
      </c>
      <c r="AI1350" s="25"/>
      <c r="AJ1350" s="37">
        <v>45624</v>
      </c>
      <c r="AK1350" s="37" t="s">
        <v>1780</v>
      </c>
      <c r="AL1350" s="37">
        <v>39131</v>
      </c>
      <c r="AM1350" s="37" t="s">
        <v>71</v>
      </c>
      <c r="AN1350" s="37" t="str">
        <f t="shared" si="116"/>
        <v>N/A</v>
      </c>
      <c r="AO1350" s="37" t="str">
        <f t="shared" si="117"/>
        <v>N/A</v>
      </c>
      <c r="AP1350" s="37" t="s">
        <v>8</v>
      </c>
      <c r="AQ1350" s="25"/>
      <c r="AR1350" s="25"/>
      <c r="AS1350" s="25"/>
      <c r="AT1350" s="25"/>
      <c r="AU1350" s="36"/>
      <c r="AV1350" s="36"/>
      <c r="AW1350" s="36"/>
      <c r="AX1350" s="25"/>
      <c r="AY1350" s="25"/>
      <c r="AZ1350" s="25"/>
      <c r="BA1350" s="25"/>
      <c r="BB1350" s="25"/>
      <c r="BC1350" s="25"/>
      <c r="BD1350" s="25"/>
      <c r="BE1350" s="25"/>
      <c r="BF1350" s="25"/>
      <c r="BG1350" s="25"/>
      <c r="BH1350" s="25"/>
      <c r="BI1350" s="25"/>
      <c r="BJ1350" s="25"/>
      <c r="BK1350" s="25"/>
      <c r="BL1350" s="25"/>
      <c r="BM1350" s="25"/>
      <c r="BN1350" s="25"/>
      <c r="BO1350" s="25"/>
      <c r="BP1350" s="25"/>
      <c r="BQ1350" s="25"/>
      <c r="BR1350" s="25"/>
      <c r="BS1350" s="25"/>
      <c r="BT1350" s="25"/>
      <c r="BU1350" s="25"/>
      <c r="BV1350" s="25"/>
      <c r="BW1350" s="25"/>
      <c r="BX1350" s="25"/>
      <c r="BY1350" s="25"/>
      <c r="BZ1350" s="25"/>
      <c r="CA1350" s="25"/>
      <c r="CB1350" s="25"/>
      <c r="CC1350" s="25"/>
      <c r="CD1350" s="25"/>
      <c r="CE1350" s="200"/>
      <c r="CF1350" s="200"/>
      <c r="CG1350" s="200"/>
      <c r="CH1350" s="200"/>
      <c r="CI1350" s="200"/>
      <c r="CJ1350" s="200"/>
      <c r="CK1350" s="200"/>
      <c r="CL1350" s="200"/>
      <c r="CM1350" s="200"/>
      <c r="CN1350" s="200"/>
      <c r="CO1350" s="200"/>
      <c r="CP1350" s="200"/>
      <c r="CQ1350" s="200"/>
      <c r="CR1350" s="200"/>
      <c r="CS1350" s="200"/>
      <c r="CT1350" s="200"/>
      <c r="CU1350" s="200"/>
    </row>
    <row r="1351" spans="1:99" s="17" customFormat="1" x14ac:dyDescent="0.2">
      <c r="A1351" s="25"/>
      <c r="B1351" s="20">
        <v>39143961300</v>
      </c>
      <c r="C1351" s="20">
        <v>9613</v>
      </c>
      <c r="D1351" s="20" t="s">
        <v>77</v>
      </c>
      <c r="E1351" s="20" t="s">
        <v>265</v>
      </c>
      <c r="F1351" s="20" t="s">
        <v>8</v>
      </c>
      <c r="G1351" s="861">
        <v>51.952350222815099</v>
      </c>
      <c r="H1351" s="861">
        <v>62.076283368715899</v>
      </c>
      <c r="I1351" s="861">
        <v>23.040337828506701</v>
      </c>
      <c r="J1351" s="861">
        <v>34.502336371088703</v>
      </c>
      <c r="K1351" s="982">
        <v>0</v>
      </c>
      <c r="L1351" s="735">
        <v>4384</v>
      </c>
      <c r="M1351" s="735">
        <v>4329</v>
      </c>
      <c r="N1351" s="845">
        <f t="shared" si="113"/>
        <v>-1.2545620437956205E-2</v>
      </c>
      <c r="O1351" s="735">
        <v>4.8924749697016949</v>
      </c>
      <c r="P1351" s="735">
        <f t="shared" si="114"/>
        <v>884.82823658961888</v>
      </c>
      <c r="Q1351" s="849">
        <v>46.3</v>
      </c>
      <c r="R1351" s="71">
        <v>74656</v>
      </c>
      <c r="S1351" s="845">
        <v>6.650998824911869E-2</v>
      </c>
      <c r="T1351" s="845">
        <v>8.4000000000000005E-2</v>
      </c>
      <c r="U1351" s="845">
        <v>2E-3</v>
      </c>
      <c r="V1351" s="845">
        <v>0</v>
      </c>
      <c r="W1351" s="845">
        <v>0.23894736842105263</v>
      </c>
      <c r="X1351" s="845">
        <v>0.22466960352422907</v>
      </c>
      <c r="Y1351" s="845">
        <v>0.85446985446985446</v>
      </c>
      <c r="Z1351" s="845">
        <v>4.5507045507045506E-2</v>
      </c>
      <c r="AA1351" s="845">
        <v>5.7750057750057754E-3</v>
      </c>
      <c r="AB1351" s="845">
        <v>0</v>
      </c>
      <c r="AC1351" s="845">
        <v>1.155001155001155E-3</v>
      </c>
      <c r="AD1351" s="845">
        <v>8.3160083160083165E-3</v>
      </c>
      <c r="AE1351" s="845">
        <v>8.4777084777084774E-2</v>
      </c>
      <c r="AF1351" s="845">
        <v>8.8704088704088704E-2</v>
      </c>
      <c r="AG1351" s="845">
        <v>0.8212058212058212</v>
      </c>
      <c r="AH1351" s="20" t="str">
        <f t="shared" si="115"/>
        <v>No</v>
      </c>
      <c r="AI1351" s="25"/>
      <c r="AJ1351" s="37">
        <v>45642</v>
      </c>
      <c r="AK1351" s="37" t="s">
        <v>1789</v>
      </c>
      <c r="AL1351" s="37">
        <v>39131</v>
      </c>
      <c r="AM1351" s="37" t="s">
        <v>71</v>
      </c>
      <c r="AN1351" s="37" t="str">
        <f t="shared" si="116"/>
        <v>N/A</v>
      </c>
      <c r="AO1351" s="37" t="str">
        <f t="shared" si="117"/>
        <v>N/A</v>
      </c>
      <c r="AP1351" s="37" t="s">
        <v>8</v>
      </c>
      <c r="AQ1351" s="25"/>
      <c r="AR1351" s="25"/>
      <c r="AS1351" s="25"/>
      <c r="AT1351" s="25"/>
      <c r="AU1351" s="36"/>
      <c r="AV1351" s="36"/>
      <c r="AW1351" s="36"/>
      <c r="AX1351" s="25"/>
      <c r="AY1351" s="25"/>
      <c r="AZ1351" s="25"/>
      <c r="BA1351" s="25"/>
      <c r="BB1351" s="25"/>
      <c r="BC1351" s="25"/>
      <c r="BD1351" s="25"/>
      <c r="BE1351" s="25"/>
      <c r="BF1351" s="25"/>
      <c r="BG1351" s="25"/>
      <c r="BH1351" s="25"/>
      <c r="BI1351" s="25"/>
      <c r="BJ1351" s="25"/>
      <c r="BK1351" s="25"/>
      <c r="BL1351" s="25"/>
      <c r="BM1351" s="25"/>
      <c r="BN1351" s="25"/>
      <c r="BO1351" s="25"/>
      <c r="BP1351" s="25"/>
      <c r="BQ1351" s="25"/>
      <c r="BR1351" s="25"/>
      <c r="BS1351" s="25"/>
      <c r="BT1351" s="25"/>
      <c r="BU1351" s="25"/>
      <c r="BV1351" s="25"/>
      <c r="BW1351" s="25"/>
      <c r="BX1351" s="25"/>
      <c r="BY1351" s="25"/>
      <c r="BZ1351" s="25"/>
      <c r="CA1351" s="25"/>
      <c r="CB1351" s="25"/>
      <c r="CC1351" s="25"/>
      <c r="CD1351" s="25"/>
      <c r="CE1351" s="200"/>
      <c r="CF1351" s="200"/>
      <c r="CG1351" s="200"/>
      <c r="CH1351" s="200"/>
      <c r="CI1351" s="200"/>
      <c r="CJ1351" s="200"/>
      <c r="CK1351" s="200"/>
      <c r="CL1351" s="200"/>
      <c r="CM1351" s="200"/>
      <c r="CN1351" s="200"/>
      <c r="CO1351" s="200"/>
      <c r="CP1351" s="200"/>
      <c r="CQ1351" s="200"/>
      <c r="CR1351" s="200"/>
      <c r="CS1351" s="200"/>
      <c r="CT1351" s="200"/>
      <c r="CU1351" s="200"/>
    </row>
    <row r="1352" spans="1:99" s="17" customFormat="1" x14ac:dyDescent="0.2">
      <c r="A1352" s="25"/>
      <c r="B1352" s="20">
        <v>39035190505</v>
      </c>
      <c r="C1352" s="20">
        <v>1905.05</v>
      </c>
      <c r="D1352" s="20" t="s">
        <v>24</v>
      </c>
      <c r="E1352" s="20" t="s">
        <v>2829</v>
      </c>
      <c r="F1352" s="20" t="s">
        <v>8</v>
      </c>
      <c r="G1352" s="861">
        <v>51.949991405606902</v>
      </c>
      <c r="H1352" s="861">
        <v>45.313686395131398</v>
      </c>
      <c r="I1352" s="861">
        <v>16.455996784765201</v>
      </c>
      <c r="J1352" s="861">
        <v>59.102444837901501</v>
      </c>
      <c r="K1352" s="982">
        <v>0</v>
      </c>
      <c r="L1352" s="735" t="s">
        <v>2466</v>
      </c>
      <c r="M1352" s="735">
        <v>6759</v>
      </c>
      <c r="N1352" s="845" t="str">
        <f t="shared" si="113"/>
        <v/>
      </c>
      <c r="O1352" s="735">
        <v>3.0176540076857727</v>
      </c>
      <c r="P1352" s="735">
        <f t="shared" si="114"/>
        <v>2239.8194036775776</v>
      </c>
      <c r="Q1352" s="849">
        <v>35.799999999999997</v>
      </c>
      <c r="R1352" s="71">
        <v>156675</v>
      </c>
      <c r="S1352" s="845">
        <v>4.0736857870301034E-2</v>
      </c>
      <c r="T1352" s="845">
        <v>1.4999999999999999E-2</v>
      </c>
      <c r="U1352" s="845">
        <v>0</v>
      </c>
      <c r="V1352" s="845">
        <v>0</v>
      </c>
      <c r="W1352" s="845">
        <v>0.18873110398534126</v>
      </c>
      <c r="X1352" s="845">
        <v>0.16019417475728157</v>
      </c>
      <c r="Y1352" s="845">
        <v>0.86077822163041873</v>
      </c>
      <c r="Z1352" s="845">
        <v>4.1426246486166596E-3</v>
      </c>
      <c r="AA1352" s="845">
        <v>0</v>
      </c>
      <c r="AB1352" s="845">
        <v>1.6274596833851161E-2</v>
      </c>
      <c r="AC1352" s="845">
        <v>0</v>
      </c>
      <c r="AD1352" s="845">
        <v>5.4889776594170735E-2</v>
      </c>
      <c r="AE1352" s="845">
        <v>6.3914780292942744E-2</v>
      </c>
      <c r="AF1352" s="845">
        <v>0.11554963752034325</v>
      </c>
      <c r="AG1352" s="845">
        <v>0.82171918922917586</v>
      </c>
      <c r="AH1352" s="20" t="str">
        <f t="shared" si="115"/>
        <v>No</v>
      </c>
      <c r="AI1352" s="25"/>
      <c r="AJ1352" s="37">
        <v>45646</v>
      </c>
      <c r="AK1352" s="37" t="s">
        <v>1792</v>
      </c>
      <c r="AL1352" s="37">
        <v>39131</v>
      </c>
      <c r="AM1352" s="37" t="s">
        <v>71</v>
      </c>
      <c r="AN1352" s="37" t="str">
        <f t="shared" si="116"/>
        <v>N/A</v>
      </c>
      <c r="AO1352" s="37" t="str">
        <f t="shared" si="117"/>
        <v>N/A</v>
      </c>
      <c r="AP1352" s="37" t="s">
        <v>8</v>
      </c>
      <c r="AQ1352" s="25"/>
      <c r="AR1352" s="25"/>
      <c r="AS1352" s="25"/>
      <c r="AT1352" s="25"/>
      <c r="AU1352" s="36"/>
      <c r="AV1352" s="36"/>
      <c r="AW1352" s="36"/>
      <c r="AX1352" s="25"/>
      <c r="AY1352" s="25"/>
      <c r="AZ1352" s="25"/>
      <c r="BA1352" s="25"/>
      <c r="BB1352" s="25"/>
      <c r="BC1352" s="25"/>
      <c r="BD1352" s="25"/>
      <c r="BE1352" s="25"/>
      <c r="BF1352" s="25"/>
      <c r="BG1352" s="25"/>
      <c r="BH1352" s="25"/>
      <c r="BI1352" s="25"/>
      <c r="BJ1352" s="25"/>
      <c r="BK1352" s="25"/>
      <c r="BL1352" s="25"/>
      <c r="BM1352" s="25"/>
      <c r="BN1352" s="25"/>
      <c r="BO1352" s="25"/>
      <c r="BP1352" s="25"/>
      <c r="BQ1352" s="25"/>
      <c r="BR1352" s="25"/>
      <c r="BS1352" s="25"/>
      <c r="BT1352" s="25"/>
      <c r="BU1352" s="25"/>
      <c r="BV1352" s="25"/>
      <c r="BW1352" s="25"/>
      <c r="BX1352" s="25"/>
      <c r="BY1352" s="25"/>
      <c r="BZ1352" s="25"/>
      <c r="CA1352" s="25"/>
      <c r="CB1352" s="25"/>
      <c r="CC1352" s="25"/>
      <c r="CD1352" s="25"/>
      <c r="CE1352" s="200"/>
      <c r="CF1352" s="200"/>
      <c r="CG1352" s="200"/>
      <c r="CH1352" s="200"/>
      <c r="CI1352" s="200"/>
      <c r="CJ1352" s="200"/>
      <c r="CK1352" s="200"/>
      <c r="CL1352" s="200"/>
      <c r="CM1352" s="200"/>
      <c r="CN1352" s="200"/>
      <c r="CO1352" s="200"/>
      <c r="CP1352" s="200"/>
      <c r="CQ1352" s="200"/>
      <c r="CR1352" s="200"/>
      <c r="CS1352" s="200"/>
      <c r="CT1352" s="200"/>
      <c r="CU1352" s="200"/>
    </row>
    <row r="1353" spans="1:99" s="17" customFormat="1" x14ac:dyDescent="0.2">
      <c r="A1353" s="25"/>
      <c r="B1353" s="20">
        <v>39065000402</v>
      </c>
      <c r="C1353" s="20">
        <v>4.0199999999999996</v>
      </c>
      <c r="D1353" s="20" t="s">
        <v>39</v>
      </c>
      <c r="E1353" s="20" t="s">
        <v>265</v>
      </c>
      <c r="F1353" s="20" t="s">
        <v>8</v>
      </c>
      <c r="G1353" s="861">
        <v>51.940453580242803</v>
      </c>
      <c r="H1353" s="861">
        <v>56.587761707044102</v>
      </c>
      <c r="I1353" s="861">
        <v>45.153319803489502</v>
      </c>
      <c r="J1353" s="861">
        <v>44.608947888761797</v>
      </c>
      <c r="K1353" s="982">
        <v>0</v>
      </c>
      <c r="L1353" s="735" t="s">
        <v>2466</v>
      </c>
      <c r="M1353" s="735">
        <v>4250</v>
      </c>
      <c r="N1353" s="845" t="str">
        <f t="shared" si="113"/>
        <v/>
      </c>
      <c r="O1353" s="735">
        <v>11.519056355822421</v>
      </c>
      <c r="P1353" s="735">
        <f t="shared" si="114"/>
        <v>368.95383343200638</v>
      </c>
      <c r="Q1353" s="849">
        <v>31.1</v>
      </c>
      <c r="R1353" s="71">
        <v>58226</v>
      </c>
      <c r="S1353" s="845">
        <v>0.19047619047619047</v>
      </c>
      <c r="T1353" s="845">
        <v>0.01</v>
      </c>
      <c r="U1353" s="845">
        <v>4.4000000000000004E-2</v>
      </c>
      <c r="V1353" s="845">
        <v>2.6000000000000002E-2</v>
      </c>
      <c r="W1353" s="845">
        <v>0.40552016985138006</v>
      </c>
      <c r="X1353" s="845">
        <v>0.52879581151832455</v>
      </c>
      <c r="Y1353" s="845">
        <v>0.87694117647058822</v>
      </c>
      <c r="Z1353" s="845">
        <v>1.6470588235294118E-3</v>
      </c>
      <c r="AA1353" s="845">
        <v>5.8823529411764705E-3</v>
      </c>
      <c r="AB1353" s="845">
        <v>2.1882352941176471E-2</v>
      </c>
      <c r="AC1353" s="845">
        <v>0</v>
      </c>
      <c r="AD1353" s="845">
        <v>1.3411764705882352E-2</v>
      </c>
      <c r="AE1353" s="845">
        <v>8.0235294117647057E-2</v>
      </c>
      <c r="AF1353" s="845">
        <v>6.7058823529411768E-2</v>
      </c>
      <c r="AG1353" s="845">
        <v>0.87694117647058822</v>
      </c>
      <c r="AH1353" s="20" t="str">
        <f t="shared" si="115"/>
        <v>No</v>
      </c>
      <c r="AI1353" s="25"/>
      <c r="AJ1353" s="37">
        <v>45648</v>
      </c>
      <c r="AK1353" s="37" t="s">
        <v>1794</v>
      </c>
      <c r="AL1353" s="37">
        <v>39131</v>
      </c>
      <c r="AM1353" s="37" t="s">
        <v>71</v>
      </c>
      <c r="AN1353" s="37" t="str">
        <f t="shared" si="116"/>
        <v>N/A</v>
      </c>
      <c r="AO1353" s="37" t="str">
        <f t="shared" si="117"/>
        <v>N/A</v>
      </c>
      <c r="AP1353" s="37" t="s">
        <v>8</v>
      </c>
      <c r="AQ1353" s="25"/>
      <c r="AR1353" s="25"/>
      <c r="AS1353" s="25"/>
      <c r="AT1353" s="25"/>
      <c r="AU1353" s="36"/>
      <c r="AV1353" s="36"/>
      <c r="AW1353" s="36"/>
      <c r="AX1353" s="25"/>
      <c r="AY1353" s="25"/>
      <c r="AZ1353" s="25"/>
      <c r="BA1353" s="25"/>
      <c r="BB1353" s="25"/>
      <c r="BC1353" s="25"/>
      <c r="BD1353" s="25"/>
      <c r="BE1353" s="25"/>
      <c r="BF1353" s="25"/>
      <c r="BG1353" s="25"/>
      <c r="BH1353" s="25"/>
      <c r="BI1353" s="25"/>
      <c r="BJ1353" s="25"/>
      <c r="BK1353" s="25"/>
      <c r="BL1353" s="25"/>
      <c r="BM1353" s="25"/>
      <c r="BN1353" s="25"/>
      <c r="BO1353" s="25"/>
      <c r="BP1353" s="25"/>
      <c r="BQ1353" s="25"/>
      <c r="BR1353" s="25"/>
      <c r="BS1353" s="25"/>
      <c r="BT1353" s="25"/>
      <c r="BU1353" s="25"/>
      <c r="BV1353" s="25"/>
      <c r="BW1353" s="25"/>
      <c r="BX1353" s="25"/>
      <c r="BY1353" s="25"/>
      <c r="BZ1353" s="25"/>
      <c r="CA1353" s="25"/>
      <c r="CB1353" s="25"/>
      <c r="CC1353" s="25"/>
      <c r="CD1353" s="25"/>
      <c r="CE1353" s="200"/>
      <c r="CF1353" s="200"/>
      <c r="CG1353" s="200"/>
      <c r="CH1353" s="200"/>
      <c r="CI1353" s="200"/>
      <c r="CJ1353" s="200"/>
      <c r="CK1353" s="200"/>
      <c r="CL1353" s="200"/>
      <c r="CM1353" s="200"/>
      <c r="CN1353" s="200"/>
      <c r="CO1353" s="200"/>
      <c r="CP1353" s="200"/>
      <c r="CQ1353" s="200"/>
      <c r="CR1353" s="200"/>
      <c r="CS1353" s="200"/>
      <c r="CT1353" s="200"/>
      <c r="CU1353" s="200"/>
    </row>
    <row r="1354" spans="1:99" s="17" customFormat="1" x14ac:dyDescent="0.2">
      <c r="A1354" s="25"/>
      <c r="B1354" s="20">
        <v>39173021902</v>
      </c>
      <c r="C1354" s="20">
        <v>219.02</v>
      </c>
      <c r="D1354" s="20" t="s">
        <v>92</v>
      </c>
      <c r="E1354" s="20" t="s">
        <v>2839</v>
      </c>
      <c r="F1354" s="20" t="s">
        <v>6</v>
      </c>
      <c r="G1354" s="861">
        <v>51.932832487171098</v>
      </c>
      <c r="H1354" s="861">
        <v>49.4408176655853</v>
      </c>
      <c r="I1354" s="861">
        <v>36.346335581355</v>
      </c>
      <c r="J1354" s="861">
        <v>45.743390287129799</v>
      </c>
      <c r="K1354" s="982">
        <v>0</v>
      </c>
      <c r="L1354" s="735">
        <v>5812</v>
      </c>
      <c r="M1354" s="735">
        <v>5577</v>
      </c>
      <c r="N1354" s="845">
        <f t="shared" si="113"/>
        <v>-4.0433585684790087E-2</v>
      </c>
      <c r="O1354" s="735">
        <v>2.3192816896754018</v>
      </c>
      <c r="P1354" s="735">
        <f t="shared" si="114"/>
        <v>2404.6238216025135</v>
      </c>
      <c r="Q1354" s="849">
        <v>23.3</v>
      </c>
      <c r="R1354" s="71">
        <v>32108</v>
      </c>
      <c r="S1354" s="845">
        <v>0.53986951794128313</v>
      </c>
      <c r="T1354" s="845">
        <v>0.02</v>
      </c>
      <c r="U1354" s="845">
        <v>0</v>
      </c>
      <c r="V1354" s="845">
        <v>1.3999999999999999E-2</v>
      </c>
      <c r="W1354" s="845">
        <v>0.94199101796407181</v>
      </c>
      <c r="X1354" s="845">
        <v>0.45768772348033371</v>
      </c>
      <c r="Y1354" s="845">
        <v>0.90675990675990681</v>
      </c>
      <c r="Z1354" s="845">
        <v>3.1020261789492558E-2</v>
      </c>
      <c r="AA1354" s="845">
        <v>1.9723865877712033E-3</v>
      </c>
      <c r="AB1354" s="845">
        <v>0</v>
      </c>
      <c r="AC1354" s="845">
        <v>0</v>
      </c>
      <c r="AD1354" s="845">
        <v>2.0620405235789851E-2</v>
      </c>
      <c r="AE1354" s="845">
        <v>3.9627039627039624E-2</v>
      </c>
      <c r="AF1354" s="845">
        <v>7.0467993544916618E-2</v>
      </c>
      <c r="AG1354" s="845">
        <v>0.88219472834857449</v>
      </c>
      <c r="AH1354" s="20" t="str">
        <f t="shared" si="115"/>
        <v>No</v>
      </c>
      <c r="AI1354" s="25"/>
      <c r="AJ1354" s="37">
        <v>45657</v>
      </c>
      <c r="AK1354" s="37" t="s">
        <v>1801</v>
      </c>
      <c r="AL1354" s="37">
        <v>39131</v>
      </c>
      <c r="AM1354" s="37" t="s">
        <v>71</v>
      </c>
      <c r="AN1354" s="37" t="str">
        <f t="shared" si="116"/>
        <v>N/A</v>
      </c>
      <c r="AO1354" s="37" t="str">
        <f t="shared" si="117"/>
        <v>N/A</v>
      </c>
      <c r="AP1354" s="37" t="s">
        <v>8</v>
      </c>
      <c r="AQ1354" s="25"/>
      <c r="AR1354" s="25"/>
      <c r="AS1354" s="25"/>
      <c r="AT1354" s="25"/>
      <c r="AU1354" s="36"/>
      <c r="AV1354" s="36"/>
      <c r="AW1354" s="36"/>
      <c r="AX1354" s="25"/>
      <c r="AY1354" s="25"/>
      <c r="AZ1354" s="25"/>
      <c r="BA1354" s="25"/>
      <c r="BB1354" s="25"/>
      <c r="BC1354" s="25"/>
      <c r="BD1354" s="25"/>
      <c r="BE1354" s="25"/>
      <c r="BF1354" s="25"/>
      <c r="BG1354" s="25"/>
      <c r="BH1354" s="25"/>
      <c r="BI1354" s="25"/>
      <c r="BJ1354" s="25"/>
      <c r="BK1354" s="25"/>
      <c r="BL1354" s="25"/>
      <c r="BM1354" s="25"/>
      <c r="BN1354" s="25"/>
      <c r="BO1354" s="25"/>
      <c r="BP1354" s="25"/>
      <c r="BQ1354" s="25"/>
      <c r="BR1354" s="25"/>
      <c r="BS1354" s="25"/>
      <c r="BT1354" s="25"/>
      <c r="BU1354" s="25"/>
      <c r="BV1354" s="25"/>
      <c r="BW1354" s="25"/>
      <c r="BX1354" s="25"/>
      <c r="BY1354" s="25"/>
      <c r="BZ1354" s="25"/>
      <c r="CA1354" s="25"/>
      <c r="CB1354" s="25"/>
      <c r="CC1354" s="25"/>
      <c r="CD1354" s="25"/>
      <c r="CE1354" s="200"/>
      <c r="CF1354" s="200"/>
      <c r="CG1354" s="200"/>
      <c r="CH1354" s="200"/>
      <c r="CI1354" s="200"/>
      <c r="CJ1354" s="200"/>
      <c r="CK1354" s="200"/>
      <c r="CL1354" s="200"/>
      <c r="CM1354" s="200"/>
      <c r="CN1354" s="200"/>
      <c r="CO1354" s="200"/>
      <c r="CP1354" s="200"/>
      <c r="CQ1354" s="200"/>
      <c r="CR1354" s="200"/>
      <c r="CS1354" s="200"/>
      <c r="CT1354" s="200"/>
      <c r="CU1354" s="200"/>
    </row>
    <row r="1355" spans="1:99" s="17" customFormat="1" x14ac:dyDescent="0.2">
      <c r="A1355" s="25"/>
      <c r="B1355" s="20">
        <v>39161020100</v>
      </c>
      <c r="C1355" s="20">
        <v>201</v>
      </c>
      <c r="D1355" s="20" t="s">
        <v>86</v>
      </c>
      <c r="E1355" s="20" t="s">
        <v>265</v>
      </c>
      <c r="F1355" s="20" t="s">
        <v>8</v>
      </c>
      <c r="G1355" s="861">
        <v>51.923834479357701</v>
      </c>
      <c r="H1355" s="861">
        <v>58.844260796410403</v>
      </c>
      <c r="I1355" s="861">
        <v>16.086751405848801</v>
      </c>
      <c r="J1355" s="861">
        <v>47.2639327587152</v>
      </c>
      <c r="K1355" s="982">
        <v>0</v>
      </c>
      <c r="L1355" s="735">
        <v>3786</v>
      </c>
      <c r="M1355" s="735">
        <v>4348</v>
      </c>
      <c r="N1355" s="845">
        <f t="shared" ref="N1355:N1418" si="118">IF(OR(L1355="",M1355=""),"",(M1355-L1355)/L1355)</f>
        <v>0.14844162704701533</v>
      </c>
      <c r="O1355" s="735">
        <v>121.11962166498132</v>
      </c>
      <c r="P1355" s="735">
        <f t="shared" ref="P1355:P1418" si="119">M1355/O1355</f>
        <v>35.898394828433602</v>
      </c>
      <c r="Q1355" s="849">
        <v>43.8</v>
      </c>
      <c r="R1355" s="71">
        <v>78702</v>
      </c>
      <c r="S1355" s="845">
        <v>4.9448022079116832E-2</v>
      </c>
      <c r="T1355" s="845">
        <v>3.3000000000000002E-2</v>
      </c>
      <c r="U1355" s="845">
        <v>6.0000000000000001E-3</v>
      </c>
      <c r="V1355" s="845">
        <v>0</v>
      </c>
      <c r="W1355" s="845">
        <v>4.3894203714124932E-2</v>
      </c>
      <c r="X1355" s="845">
        <v>0.19230769230769232</v>
      </c>
      <c r="Y1355" s="845">
        <v>0.98666053357865691</v>
      </c>
      <c r="Z1355" s="845">
        <v>2.2999080036798528E-4</v>
      </c>
      <c r="AA1355" s="845">
        <v>0</v>
      </c>
      <c r="AB1355" s="845">
        <v>5.7497700091996319E-3</v>
      </c>
      <c r="AC1355" s="845">
        <v>0</v>
      </c>
      <c r="AD1355" s="845">
        <v>0</v>
      </c>
      <c r="AE1355" s="845">
        <v>7.3597056117755289E-3</v>
      </c>
      <c r="AF1355" s="845">
        <v>1.5179392824287029E-2</v>
      </c>
      <c r="AG1355" s="845">
        <v>0.97148114075436987</v>
      </c>
      <c r="AH1355" s="20" t="str">
        <f t="shared" ref="AH1355:AH1418" si="120">IF(AG1355&gt;=0.9,"Yes","No")</f>
        <v>Yes</v>
      </c>
      <c r="AI1355" s="25"/>
      <c r="AJ1355" s="37">
        <v>45660</v>
      </c>
      <c r="AK1355" s="37" t="s">
        <v>1804</v>
      </c>
      <c r="AL1355" s="37">
        <v>39131</v>
      </c>
      <c r="AM1355" s="37" t="s">
        <v>71</v>
      </c>
      <c r="AN1355" s="37" t="str">
        <f t="shared" ref="AN1355:AN1418" si="121">VLOOKUP(AM1355,$CY$11:$DA$98,2,FALSE)</f>
        <v>N/A</v>
      </c>
      <c r="AO1355" s="37" t="str">
        <f t="shared" ref="AO1355:AO1418" si="122">VLOOKUP(AM1355,$CY$11:$DA$98,3,FALSE)</f>
        <v>N/A</v>
      </c>
      <c r="AP1355" s="37" t="s">
        <v>8</v>
      </c>
      <c r="AQ1355" s="25"/>
      <c r="AR1355" s="25"/>
      <c r="AS1355" s="25"/>
      <c r="AT1355" s="25"/>
      <c r="AU1355" s="36"/>
      <c r="AV1355" s="36"/>
      <c r="AW1355" s="36"/>
      <c r="AX1355" s="25"/>
      <c r="AY1355" s="25"/>
      <c r="AZ1355" s="25"/>
      <c r="BA1355" s="25"/>
      <c r="BB1355" s="25"/>
      <c r="BC1355" s="25"/>
      <c r="BD1355" s="25"/>
      <c r="BE1355" s="25"/>
      <c r="BF1355" s="25"/>
      <c r="BG1355" s="25"/>
      <c r="BH1355" s="25"/>
      <c r="BI1355" s="25"/>
      <c r="BJ1355" s="25"/>
      <c r="BK1355" s="25"/>
      <c r="BL1355" s="25"/>
      <c r="BM1355" s="25"/>
      <c r="BN1355" s="25"/>
      <c r="BO1355" s="25"/>
      <c r="BP1355" s="25"/>
      <c r="BQ1355" s="25"/>
      <c r="BR1355" s="25"/>
      <c r="BS1355" s="25"/>
      <c r="BT1355" s="25"/>
      <c r="BU1355" s="25"/>
      <c r="BV1355" s="25"/>
      <c r="BW1355" s="25"/>
      <c r="BX1355" s="25"/>
      <c r="BY1355" s="25"/>
      <c r="BZ1355" s="25"/>
      <c r="CA1355" s="25"/>
      <c r="CB1355" s="25"/>
      <c r="CC1355" s="25"/>
      <c r="CD1355" s="25"/>
      <c r="CE1355" s="200"/>
      <c r="CF1355" s="200"/>
      <c r="CG1355" s="200"/>
      <c r="CH1355" s="200"/>
      <c r="CI1355" s="200"/>
      <c r="CJ1355" s="200"/>
      <c r="CK1355" s="200"/>
      <c r="CL1355" s="200"/>
      <c r="CM1355" s="200"/>
      <c r="CN1355" s="200"/>
      <c r="CO1355" s="200"/>
      <c r="CP1355" s="200"/>
      <c r="CQ1355" s="200"/>
      <c r="CR1355" s="200"/>
      <c r="CS1355" s="200"/>
      <c r="CT1355" s="200"/>
      <c r="CU1355" s="200"/>
    </row>
    <row r="1356" spans="1:99" s="17" customFormat="1" x14ac:dyDescent="0.2">
      <c r="A1356" s="25"/>
      <c r="B1356" s="20">
        <v>39035183402</v>
      </c>
      <c r="C1356" s="20">
        <v>1834.02</v>
      </c>
      <c r="D1356" s="20" t="s">
        <v>24</v>
      </c>
      <c r="E1356" s="20" t="s">
        <v>2829</v>
      </c>
      <c r="F1356" s="20" t="s">
        <v>8</v>
      </c>
      <c r="G1356" s="861">
        <v>51.9075061428032</v>
      </c>
      <c r="H1356" s="861">
        <v>40.114669433611901</v>
      </c>
      <c r="I1356" s="861">
        <v>54.454286569052996</v>
      </c>
      <c r="J1356" s="861">
        <v>40.231740339743297</v>
      </c>
      <c r="K1356" s="982">
        <v>0</v>
      </c>
      <c r="L1356" s="735">
        <v>1245</v>
      </c>
      <c r="M1356" s="735">
        <v>1833</v>
      </c>
      <c r="N1356" s="845">
        <f t="shared" si="118"/>
        <v>0.472289156626506</v>
      </c>
      <c r="O1356" s="735">
        <v>0.25529653879376307</v>
      </c>
      <c r="P1356" s="735">
        <f t="shared" si="119"/>
        <v>7179.8858247771141</v>
      </c>
      <c r="Q1356" s="849">
        <v>41.5</v>
      </c>
      <c r="R1356" s="71">
        <v>58958</v>
      </c>
      <c r="S1356" s="845">
        <v>0.13340683572216097</v>
      </c>
      <c r="T1356" s="845">
        <v>7.2000000000000008E-2</v>
      </c>
      <c r="U1356" s="845">
        <v>3.7000000000000005E-2</v>
      </c>
      <c r="V1356" s="845">
        <v>0</v>
      </c>
      <c r="W1356" s="845">
        <v>0.41375000000000001</v>
      </c>
      <c r="X1356" s="845">
        <v>0.50453172205438068</v>
      </c>
      <c r="Y1356" s="845">
        <v>8.2378614293507915E-2</v>
      </c>
      <c r="Z1356" s="845">
        <v>0.86579378068739776</v>
      </c>
      <c r="AA1356" s="845">
        <v>1.6366612111292963E-3</v>
      </c>
      <c r="AB1356" s="845">
        <v>0</v>
      </c>
      <c r="AC1356" s="845">
        <v>0</v>
      </c>
      <c r="AD1356" s="845">
        <v>0</v>
      </c>
      <c r="AE1356" s="845">
        <v>5.0190943807965085E-2</v>
      </c>
      <c r="AF1356" s="845">
        <v>1.8003273322422259E-2</v>
      </c>
      <c r="AG1356" s="845">
        <v>8.2378614293507915E-2</v>
      </c>
      <c r="AH1356" s="20" t="str">
        <f t="shared" si="120"/>
        <v>No</v>
      </c>
      <c r="AI1356" s="25"/>
      <c r="AJ1356" s="37">
        <v>45661</v>
      </c>
      <c r="AK1356" s="37" t="s">
        <v>1805</v>
      </c>
      <c r="AL1356" s="37">
        <v>39131</v>
      </c>
      <c r="AM1356" s="37" t="s">
        <v>71</v>
      </c>
      <c r="AN1356" s="37" t="str">
        <f t="shared" si="121"/>
        <v>N/A</v>
      </c>
      <c r="AO1356" s="37" t="str">
        <f t="shared" si="122"/>
        <v>N/A</v>
      </c>
      <c r="AP1356" s="37" t="s">
        <v>8</v>
      </c>
      <c r="AQ1356" s="25"/>
      <c r="AR1356" s="25"/>
      <c r="AS1356" s="25"/>
      <c r="AT1356" s="25"/>
      <c r="AU1356" s="36"/>
      <c r="AV1356" s="36"/>
      <c r="AW1356" s="36"/>
      <c r="AX1356" s="25"/>
      <c r="AY1356" s="25"/>
      <c r="AZ1356" s="25"/>
      <c r="BA1356" s="25"/>
      <c r="BB1356" s="25"/>
      <c r="BC1356" s="25"/>
      <c r="BD1356" s="25"/>
      <c r="BE1356" s="25"/>
      <c r="BF1356" s="25"/>
      <c r="BG1356" s="25"/>
      <c r="BH1356" s="25"/>
      <c r="BI1356" s="25"/>
      <c r="BJ1356" s="25"/>
      <c r="BK1356" s="25"/>
      <c r="BL1356" s="25"/>
      <c r="BM1356" s="25"/>
      <c r="BN1356" s="25"/>
      <c r="BO1356" s="25"/>
      <c r="BP1356" s="25"/>
      <c r="BQ1356" s="25"/>
      <c r="BR1356" s="25"/>
      <c r="BS1356" s="25"/>
      <c r="BT1356" s="25"/>
      <c r="BU1356" s="25"/>
      <c r="BV1356" s="25"/>
      <c r="BW1356" s="25"/>
      <c r="BX1356" s="25"/>
      <c r="BY1356" s="25"/>
      <c r="BZ1356" s="25"/>
      <c r="CA1356" s="25"/>
      <c r="CB1356" s="25"/>
      <c r="CC1356" s="25"/>
      <c r="CD1356" s="25"/>
      <c r="CE1356" s="200"/>
      <c r="CF1356" s="200"/>
      <c r="CG1356" s="200"/>
      <c r="CH1356" s="200"/>
      <c r="CI1356" s="200"/>
      <c r="CJ1356" s="200"/>
      <c r="CK1356" s="200"/>
      <c r="CL1356" s="200"/>
      <c r="CM1356" s="200"/>
      <c r="CN1356" s="200"/>
      <c r="CO1356" s="200"/>
      <c r="CP1356" s="200"/>
      <c r="CQ1356" s="200"/>
      <c r="CR1356" s="200"/>
      <c r="CS1356" s="200"/>
      <c r="CT1356" s="200"/>
      <c r="CU1356" s="200"/>
    </row>
    <row r="1357" spans="1:99" s="17" customFormat="1" x14ac:dyDescent="0.2">
      <c r="A1357" s="25"/>
      <c r="B1357" s="20">
        <v>39037555002</v>
      </c>
      <c r="C1357" s="20">
        <v>5550.02</v>
      </c>
      <c r="D1357" s="20" t="s">
        <v>25</v>
      </c>
      <c r="E1357" s="20" t="s">
        <v>265</v>
      </c>
      <c r="F1357" s="20" t="s">
        <v>8</v>
      </c>
      <c r="G1357" s="861">
        <v>51.889826998805397</v>
      </c>
      <c r="H1357" s="861">
        <v>40.440671486947501</v>
      </c>
      <c r="I1357" s="861">
        <v>27.142164135769601</v>
      </c>
      <c r="J1357" s="861">
        <v>46.938044247198803</v>
      </c>
      <c r="K1357" s="982">
        <v>0</v>
      </c>
      <c r="L1357" s="735" t="s">
        <v>2466</v>
      </c>
      <c r="M1357" s="735">
        <v>4129</v>
      </c>
      <c r="N1357" s="845" t="str">
        <f t="shared" si="118"/>
        <v/>
      </c>
      <c r="O1357" s="735">
        <v>4.5313987947226524</v>
      </c>
      <c r="P1357" s="735">
        <f t="shared" si="119"/>
        <v>911.19766479364091</v>
      </c>
      <c r="Q1357" s="849">
        <v>48.2</v>
      </c>
      <c r="R1357" s="71">
        <v>60000</v>
      </c>
      <c r="S1357" s="845">
        <v>0.1216012084592145</v>
      </c>
      <c r="T1357" s="845">
        <v>3.5000000000000003E-2</v>
      </c>
      <c r="U1357" s="845">
        <v>0</v>
      </c>
      <c r="V1357" s="845">
        <v>0</v>
      </c>
      <c r="W1357" s="845">
        <v>0.34836065573770492</v>
      </c>
      <c r="X1357" s="845">
        <v>0.32268907563025212</v>
      </c>
      <c r="Y1357" s="845">
        <v>0.97432792443690963</v>
      </c>
      <c r="Z1357" s="845">
        <v>2.6640833131508839E-3</v>
      </c>
      <c r="AA1357" s="845">
        <v>0</v>
      </c>
      <c r="AB1357" s="845">
        <v>0</v>
      </c>
      <c r="AC1357" s="845">
        <v>0</v>
      </c>
      <c r="AD1357" s="845">
        <v>3.8750302736740129E-3</v>
      </c>
      <c r="AE1357" s="845">
        <v>1.913296197626544E-2</v>
      </c>
      <c r="AF1357" s="845">
        <v>8.7188181157665297E-3</v>
      </c>
      <c r="AG1357" s="845">
        <v>0.97166384112375881</v>
      </c>
      <c r="AH1357" s="20" t="str">
        <f t="shared" si="120"/>
        <v>Yes</v>
      </c>
      <c r="AI1357" s="25"/>
      <c r="AJ1357" s="37">
        <v>45671</v>
      </c>
      <c r="AK1357" s="37" t="s">
        <v>1809</v>
      </c>
      <c r="AL1357" s="37">
        <v>39131</v>
      </c>
      <c r="AM1357" s="37" t="s">
        <v>71</v>
      </c>
      <c r="AN1357" s="37" t="str">
        <f t="shared" si="121"/>
        <v>N/A</v>
      </c>
      <c r="AO1357" s="37" t="str">
        <f t="shared" si="122"/>
        <v>N/A</v>
      </c>
      <c r="AP1357" s="37" t="s">
        <v>8</v>
      </c>
      <c r="AQ1357" s="25"/>
      <c r="AR1357" s="25"/>
      <c r="AS1357" s="25"/>
      <c r="AT1357" s="25"/>
      <c r="AU1357" s="36"/>
      <c r="AV1357" s="36"/>
      <c r="AW1357" s="36"/>
      <c r="AX1357" s="25"/>
      <c r="AY1357" s="25"/>
      <c r="AZ1357" s="25"/>
      <c r="BA1357" s="25"/>
      <c r="BB1357" s="25"/>
      <c r="BC1357" s="25"/>
      <c r="BD1357" s="25"/>
      <c r="BE1357" s="25"/>
      <c r="BF1357" s="25"/>
      <c r="BG1357" s="25"/>
      <c r="BH1357" s="25"/>
      <c r="BI1357" s="25"/>
      <c r="BJ1357" s="25"/>
      <c r="BK1357" s="25"/>
      <c r="BL1357" s="25"/>
      <c r="BM1357" s="25"/>
      <c r="BN1357" s="25"/>
      <c r="BO1357" s="25"/>
      <c r="BP1357" s="25"/>
      <c r="BQ1357" s="25"/>
      <c r="BR1357" s="25"/>
      <c r="BS1357" s="25"/>
      <c r="BT1357" s="25"/>
      <c r="BU1357" s="25"/>
      <c r="BV1357" s="25"/>
      <c r="BW1357" s="25"/>
      <c r="BX1357" s="25"/>
      <c r="BY1357" s="25"/>
      <c r="BZ1357" s="25"/>
      <c r="CA1357" s="25"/>
      <c r="CB1357" s="25"/>
      <c r="CC1357" s="25"/>
      <c r="CD1357" s="25"/>
      <c r="CE1357" s="200"/>
      <c r="CF1357" s="200"/>
      <c r="CG1357" s="200"/>
      <c r="CH1357" s="200"/>
      <c r="CI1357" s="200"/>
      <c r="CJ1357" s="200"/>
      <c r="CK1357" s="200"/>
      <c r="CL1357" s="200"/>
      <c r="CM1357" s="200"/>
      <c r="CN1357" s="200"/>
      <c r="CO1357" s="200"/>
      <c r="CP1357" s="200"/>
      <c r="CQ1357" s="200"/>
      <c r="CR1357" s="200"/>
      <c r="CS1357" s="200"/>
      <c r="CT1357" s="200"/>
      <c r="CU1357" s="200"/>
    </row>
    <row r="1358" spans="1:99" s="17" customFormat="1" x14ac:dyDescent="0.2">
      <c r="A1358" s="25"/>
      <c r="B1358" s="20">
        <v>39103416100</v>
      </c>
      <c r="C1358" s="20">
        <v>4161</v>
      </c>
      <c r="D1358" s="20" t="s">
        <v>57</v>
      </c>
      <c r="E1358" s="20" t="s">
        <v>2829</v>
      </c>
      <c r="F1358" s="20" t="s">
        <v>8</v>
      </c>
      <c r="G1358" s="861">
        <v>51.835785388360001</v>
      </c>
      <c r="H1358" s="861">
        <v>50.997920451767399</v>
      </c>
      <c r="I1358" s="861">
        <v>22.480905111576099</v>
      </c>
      <c r="J1358" s="861">
        <v>35.125038903582102</v>
      </c>
      <c r="K1358" s="982">
        <v>0</v>
      </c>
      <c r="L1358" s="735">
        <v>4833</v>
      </c>
      <c r="M1358" s="735">
        <v>4671</v>
      </c>
      <c r="N1358" s="845">
        <f t="shared" si="118"/>
        <v>-3.3519553072625698E-2</v>
      </c>
      <c r="O1358" s="735">
        <v>5.1911605107716117</v>
      </c>
      <c r="P1358" s="735">
        <f t="shared" si="119"/>
        <v>899.79880034680434</v>
      </c>
      <c r="Q1358" s="849">
        <v>47.2</v>
      </c>
      <c r="R1358" s="71">
        <v>86838</v>
      </c>
      <c r="S1358" s="845">
        <v>4.6021505376344085E-2</v>
      </c>
      <c r="T1358" s="845">
        <v>0.06</v>
      </c>
      <c r="U1358" s="845">
        <v>1.9E-2</v>
      </c>
      <c r="V1358" s="845">
        <v>0</v>
      </c>
      <c r="W1358" s="845">
        <v>0.11871893981225842</v>
      </c>
      <c r="X1358" s="845">
        <v>0.22325581395348837</v>
      </c>
      <c r="Y1358" s="845">
        <v>0.90580175551273823</v>
      </c>
      <c r="Z1358" s="845">
        <v>1.1560693641618497E-2</v>
      </c>
      <c r="AA1358" s="845">
        <v>0</v>
      </c>
      <c r="AB1358" s="845">
        <v>2.7831299507600086E-3</v>
      </c>
      <c r="AC1358" s="845">
        <v>0</v>
      </c>
      <c r="AD1358" s="845">
        <v>3.6394776279169341E-3</v>
      </c>
      <c r="AE1358" s="845">
        <v>7.6214943266966387E-2</v>
      </c>
      <c r="AF1358" s="845">
        <v>4.5600513808606295E-2</v>
      </c>
      <c r="AG1358" s="845">
        <v>0.89188610575893812</v>
      </c>
      <c r="AH1358" s="20" t="str">
        <f t="shared" si="120"/>
        <v>No</v>
      </c>
      <c r="AI1358" s="25"/>
      <c r="AJ1358" s="37">
        <v>45690</v>
      </c>
      <c r="AK1358" s="37" t="s">
        <v>1823</v>
      </c>
      <c r="AL1358" s="37">
        <v>39131</v>
      </c>
      <c r="AM1358" s="37" t="s">
        <v>71</v>
      </c>
      <c r="AN1358" s="37" t="str">
        <f t="shared" si="121"/>
        <v>N/A</v>
      </c>
      <c r="AO1358" s="37" t="str">
        <f t="shared" si="122"/>
        <v>N/A</v>
      </c>
      <c r="AP1358" s="37" t="s">
        <v>8</v>
      </c>
      <c r="AQ1358" s="25"/>
      <c r="AR1358" s="25"/>
      <c r="AS1358" s="25"/>
      <c r="AT1358" s="25"/>
      <c r="AU1358" s="36"/>
      <c r="AV1358" s="36"/>
      <c r="AW1358" s="36"/>
      <c r="AX1358" s="25"/>
      <c r="AY1358" s="25"/>
      <c r="AZ1358" s="25"/>
      <c r="BA1358" s="25"/>
      <c r="BB1358" s="25"/>
      <c r="BC1358" s="25"/>
      <c r="BD1358" s="25"/>
      <c r="BE1358" s="25"/>
      <c r="BF1358" s="25"/>
      <c r="BG1358" s="25"/>
      <c r="BH1358" s="25"/>
      <c r="BI1358" s="25"/>
      <c r="BJ1358" s="25"/>
      <c r="BK1358" s="25"/>
      <c r="BL1358" s="25"/>
      <c r="BM1358" s="25"/>
      <c r="BN1358" s="25"/>
      <c r="BO1358" s="25"/>
      <c r="BP1358" s="25"/>
      <c r="BQ1358" s="25"/>
      <c r="BR1358" s="25"/>
      <c r="BS1358" s="25"/>
      <c r="BT1358" s="25"/>
      <c r="BU1358" s="25"/>
      <c r="BV1358" s="25"/>
      <c r="BW1358" s="25"/>
      <c r="BX1358" s="25"/>
      <c r="BY1358" s="25"/>
      <c r="BZ1358" s="25"/>
      <c r="CA1358" s="25"/>
      <c r="CB1358" s="25"/>
      <c r="CC1358" s="25"/>
      <c r="CD1358" s="25"/>
      <c r="CE1358" s="200"/>
      <c r="CF1358" s="200"/>
      <c r="CG1358" s="200"/>
      <c r="CH1358" s="200"/>
      <c r="CI1358" s="200"/>
      <c r="CJ1358" s="200"/>
      <c r="CK1358" s="200"/>
      <c r="CL1358" s="200"/>
      <c r="CM1358" s="200"/>
      <c r="CN1358" s="200"/>
      <c r="CO1358" s="200"/>
      <c r="CP1358" s="200"/>
      <c r="CQ1358" s="200"/>
      <c r="CR1358" s="200"/>
      <c r="CS1358" s="200"/>
      <c r="CT1358" s="200"/>
      <c r="CU1358" s="200"/>
    </row>
    <row r="1359" spans="1:99" s="17" customFormat="1" x14ac:dyDescent="0.2">
      <c r="A1359" s="25"/>
      <c r="B1359" s="20">
        <v>39151712000</v>
      </c>
      <c r="C1359" s="20">
        <v>7120</v>
      </c>
      <c r="D1359" s="20" t="s">
        <v>81</v>
      </c>
      <c r="E1359" s="20" t="s">
        <v>2844</v>
      </c>
      <c r="F1359" s="20" t="s">
        <v>8</v>
      </c>
      <c r="G1359" s="861">
        <v>51.835496404356299</v>
      </c>
      <c r="H1359" s="861">
        <v>45.230110128380602</v>
      </c>
      <c r="I1359" s="861">
        <v>28.974639606248701</v>
      </c>
      <c r="J1359" s="861">
        <v>32.692040740221202</v>
      </c>
      <c r="K1359" s="982">
        <v>0</v>
      </c>
      <c r="L1359" s="735">
        <v>4285</v>
      </c>
      <c r="M1359" s="735">
        <v>4285</v>
      </c>
      <c r="N1359" s="845">
        <f t="shared" si="118"/>
        <v>0</v>
      </c>
      <c r="O1359" s="735">
        <v>1.531173052373588</v>
      </c>
      <c r="P1359" s="735">
        <f t="shared" si="119"/>
        <v>2798.507976193478</v>
      </c>
      <c r="Q1359" s="849">
        <v>46</v>
      </c>
      <c r="R1359" s="71">
        <v>74155</v>
      </c>
      <c r="S1359" s="845">
        <v>7.6661814653081028E-2</v>
      </c>
      <c r="T1359" s="845">
        <v>5.5E-2</v>
      </c>
      <c r="U1359" s="845">
        <v>0</v>
      </c>
      <c r="V1359" s="845">
        <v>0</v>
      </c>
      <c r="W1359" s="845">
        <v>0.2106076210092688</v>
      </c>
      <c r="X1359" s="845">
        <v>0.30073349633251834</v>
      </c>
      <c r="Y1359" s="845">
        <v>0.96219369894982498</v>
      </c>
      <c r="Z1359" s="845">
        <v>3.7339556592765463E-3</v>
      </c>
      <c r="AA1359" s="845">
        <v>0</v>
      </c>
      <c r="AB1359" s="845">
        <v>5.1341890315052506E-3</v>
      </c>
      <c r="AC1359" s="845">
        <v>0</v>
      </c>
      <c r="AD1359" s="845">
        <v>1.1668611435239206E-3</v>
      </c>
      <c r="AE1359" s="845">
        <v>2.777129521586931E-2</v>
      </c>
      <c r="AF1359" s="845">
        <v>1.3302217036172695E-2</v>
      </c>
      <c r="AG1359" s="845">
        <v>0.96102683780630105</v>
      </c>
      <c r="AH1359" s="20" t="str">
        <f t="shared" si="120"/>
        <v>Yes</v>
      </c>
      <c r="AI1359" s="25"/>
      <c r="AJ1359" s="37">
        <v>45003</v>
      </c>
      <c r="AK1359" s="37" t="s">
        <v>1530</v>
      </c>
      <c r="AL1359" s="37">
        <v>39135</v>
      </c>
      <c r="AM1359" s="37" t="s">
        <v>73</v>
      </c>
      <c r="AN1359" s="37" t="str">
        <f t="shared" si="121"/>
        <v>N/A</v>
      </c>
      <c r="AO1359" s="37" t="str">
        <f t="shared" si="122"/>
        <v>N/A</v>
      </c>
      <c r="AP1359" s="37" t="s">
        <v>8</v>
      </c>
      <c r="AQ1359" s="25"/>
      <c r="AR1359" s="25"/>
      <c r="AS1359" s="25"/>
      <c r="AT1359" s="25"/>
      <c r="AU1359" s="36"/>
      <c r="AV1359" s="36"/>
      <c r="AW1359" s="36"/>
      <c r="AX1359" s="25"/>
      <c r="AY1359" s="25"/>
      <c r="AZ1359" s="25"/>
      <c r="BA1359" s="25"/>
      <c r="BB1359" s="25"/>
      <c r="BC1359" s="25"/>
      <c r="BD1359" s="25"/>
      <c r="BE1359" s="25"/>
      <c r="BF1359" s="25"/>
      <c r="BG1359" s="25"/>
      <c r="BH1359" s="25"/>
      <c r="BI1359" s="25"/>
      <c r="BJ1359" s="25"/>
      <c r="BK1359" s="25"/>
      <c r="BL1359" s="25"/>
      <c r="BM1359" s="25"/>
      <c r="BN1359" s="25"/>
      <c r="BO1359" s="25"/>
      <c r="BP1359" s="25"/>
      <c r="BQ1359" s="25"/>
      <c r="BR1359" s="25"/>
      <c r="BS1359" s="25"/>
      <c r="BT1359" s="25"/>
      <c r="BU1359" s="25"/>
      <c r="BV1359" s="25"/>
      <c r="BW1359" s="25"/>
      <c r="BX1359" s="25"/>
      <c r="BY1359" s="25"/>
      <c r="BZ1359" s="25"/>
      <c r="CA1359" s="25"/>
      <c r="CB1359" s="25"/>
      <c r="CC1359" s="25"/>
      <c r="CD1359" s="25"/>
      <c r="CE1359" s="200"/>
      <c r="CF1359" s="200"/>
      <c r="CG1359" s="200"/>
      <c r="CH1359" s="200"/>
      <c r="CI1359" s="200"/>
      <c r="CJ1359" s="200"/>
      <c r="CK1359" s="200"/>
      <c r="CL1359" s="200"/>
      <c r="CM1359" s="200"/>
      <c r="CN1359" s="200"/>
      <c r="CO1359" s="200"/>
      <c r="CP1359" s="200"/>
      <c r="CQ1359" s="200"/>
      <c r="CR1359" s="200"/>
      <c r="CS1359" s="200"/>
      <c r="CT1359" s="200"/>
      <c r="CU1359" s="200"/>
    </row>
    <row r="1360" spans="1:99" s="17" customFormat="1" x14ac:dyDescent="0.2">
      <c r="A1360" s="25"/>
      <c r="B1360" s="20">
        <v>39131952500</v>
      </c>
      <c r="C1360" s="20">
        <v>9525</v>
      </c>
      <c r="D1360" s="20" t="s">
        <v>71</v>
      </c>
      <c r="E1360" s="20" t="s">
        <v>265</v>
      </c>
      <c r="F1360" s="20" t="s">
        <v>8</v>
      </c>
      <c r="G1360" s="861">
        <v>51.835337966207298</v>
      </c>
      <c r="H1360" s="861">
        <v>49.439787915332197</v>
      </c>
      <c r="I1360" s="861">
        <v>35.030243988031998</v>
      </c>
      <c r="J1360" s="861">
        <v>37.764954161858903</v>
      </c>
      <c r="K1360" s="982">
        <v>1</v>
      </c>
      <c r="L1360" s="735">
        <v>3801</v>
      </c>
      <c r="M1360" s="735">
        <v>3315</v>
      </c>
      <c r="N1360" s="845">
        <f t="shared" si="118"/>
        <v>-0.12786108918705605</v>
      </c>
      <c r="O1360" s="735">
        <v>14.921363480699531</v>
      </c>
      <c r="P1360" s="735">
        <f t="shared" si="119"/>
        <v>222.16468382985795</v>
      </c>
      <c r="Q1360" s="849">
        <v>37.200000000000003</v>
      </c>
      <c r="R1360" s="71">
        <v>50795</v>
      </c>
      <c r="S1360" s="845">
        <v>0.17739498337866424</v>
      </c>
      <c r="T1360" s="845">
        <v>6.0999999999999999E-2</v>
      </c>
      <c r="U1360" s="845">
        <v>3.3000000000000002E-2</v>
      </c>
      <c r="V1360" s="845">
        <v>0</v>
      </c>
      <c r="W1360" s="845">
        <v>0.28006206361520558</v>
      </c>
      <c r="X1360" s="845">
        <v>0.46260387811634351</v>
      </c>
      <c r="Y1360" s="845">
        <v>0.98914027149321271</v>
      </c>
      <c r="Z1360" s="845">
        <v>9.049773755656109E-4</v>
      </c>
      <c r="AA1360" s="845">
        <v>0</v>
      </c>
      <c r="AB1360" s="845">
        <v>2.7149321266968325E-3</v>
      </c>
      <c r="AC1360" s="845">
        <v>0</v>
      </c>
      <c r="AD1360" s="845">
        <v>0</v>
      </c>
      <c r="AE1360" s="845">
        <v>7.2398190045248872E-3</v>
      </c>
      <c r="AF1360" s="845">
        <v>0</v>
      </c>
      <c r="AG1360" s="845">
        <v>0.98914027149321271</v>
      </c>
      <c r="AH1360" s="20" t="str">
        <f t="shared" si="120"/>
        <v>Yes</v>
      </c>
      <c r="AI1360" s="25"/>
      <c r="AJ1360" s="37">
        <v>45042</v>
      </c>
      <c r="AK1360" s="37" t="s">
        <v>1544</v>
      </c>
      <c r="AL1360" s="37">
        <v>39135</v>
      </c>
      <c r="AM1360" s="37" t="s">
        <v>73</v>
      </c>
      <c r="AN1360" s="37" t="str">
        <f t="shared" si="121"/>
        <v>N/A</v>
      </c>
      <c r="AO1360" s="37" t="str">
        <f t="shared" si="122"/>
        <v>N/A</v>
      </c>
      <c r="AP1360" s="37" t="s">
        <v>8</v>
      </c>
      <c r="AQ1360" s="25"/>
      <c r="AR1360" s="25"/>
      <c r="AS1360" s="25"/>
      <c r="AT1360" s="25"/>
      <c r="AU1360" s="36"/>
      <c r="AV1360" s="36"/>
      <c r="AW1360" s="36"/>
      <c r="AX1360" s="25"/>
      <c r="AY1360" s="25"/>
      <c r="AZ1360" s="25"/>
      <c r="BA1360" s="25"/>
      <c r="BB1360" s="25"/>
      <c r="BC1360" s="25"/>
      <c r="BD1360" s="25"/>
      <c r="BE1360" s="25"/>
      <c r="BF1360" s="25"/>
      <c r="BG1360" s="25"/>
      <c r="BH1360" s="25"/>
      <c r="BI1360" s="25"/>
      <c r="BJ1360" s="25"/>
      <c r="BK1360" s="25"/>
      <c r="BL1360" s="25"/>
      <c r="BM1360" s="25"/>
      <c r="BN1360" s="25"/>
      <c r="BO1360" s="25"/>
      <c r="BP1360" s="25"/>
      <c r="BQ1360" s="25"/>
      <c r="BR1360" s="25"/>
      <c r="BS1360" s="25"/>
      <c r="BT1360" s="25"/>
      <c r="BU1360" s="25"/>
      <c r="BV1360" s="25"/>
      <c r="BW1360" s="25"/>
      <c r="BX1360" s="25"/>
      <c r="BY1360" s="25"/>
      <c r="BZ1360" s="25"/>
      <c r="CA1360" s="25"/>
      <c r="CB1360" s="25"/>
      <c r="CC1360" s="25"/>
      <c r="CD1360" s="25"/>
      <c r="CE1360" s="200"/>
      <c r="CF1360" s="200"/>
      <c r="CG1360" s="200"/>
      <c r="CH1360" s="200"/>
      <c r="CI1360" s="200"/>
      <c r="CJ1360" s="200"/>
      <c r="CK1360" s="200"/>
      <c r="CL1360" s="200"/>
      <c r="CM1360" s="200"/>
      <c r="CN1360" s="200"/>
      <c r="CO1360" s="200"/>
      <c r="CP1360" s="200"/>
      <c r="CQ1360" s="200"/>
      <c r="CR1360" s="200"/>
      <c r="CS1360" s="200"/>
      <c r="CT1360" s="200"/>
      <c r="CU1360" s="200"/>
    </row>
    <row r="1361" spans="1:99" s="17" customFormat="1" x14ac:dyDescent="0.2">
      <c r="A1361" s="25"/>
      <c r="B1361" s="20">
        <v>39169000800</v>
      </c>
      <c r="C1361" s="20">
        <v>8</v>
      </c>
      <c r="D1361" s="20" t="s">
        <v>90</v>
      </c>
      <c r="E1361" s="20" t="s">
        <v>265</v>
      </c>
      <c r="F1361" s="20" t="s">
        <v>8</v>
      </c>
      <c r="G1361" s="861">
        <v>51.8337909359024</v>
      </c>
      <c r="H1361" s="861">
        <v>52.367009922426398</v>
      </c>
      <c r="I1361" s="861">
        <v>20.2042545971787</v>
      </c>
      <c r="J1361" s="861">
        <v>36.540375756186499</v>
      </c>
      <c r="K1361" s="982">
        <v>0</v>
      </c>
      <c r="L1361" s="735">
        <v>7190</v>
      </c>
      <c r="M1361" s="735">
        <v>7497</v>
      </c>
      <c r="N1361" s="845">
        <f t="shared" si="118"/>
        <v>4.2698191933240613E-2</v>
      </c>
      <c r="O1361" s="735">
        <v>14.64218690949898</v>
      </c>
      <c r="P1361" s="735">
        <f t="shared" si="119"/>
        <v>512.01367981011038</v>
      </c>
      <c r="Q1361" s="849">
        <v>49.9</v>
      </c>
      <c r="R1361" s="71">
        <v>71444</v>
      </c>
      <c r="S1361" s="845">
        <v>6.293032222528229E-2</v>
      </c>
      <c r="T1361" s="845">
        <v>1.1000000000000001E-2</v>
      </c>
      <c r="U1361" s="845">
        <v>3.3000000000000002E-2</v>
      </c>
      <c r="V1361" s="845">
        <v>0</v>
      </c>
      <c r="W1361" s="845">
        <v>0.30475086906141369</v>
      </c>
      <c r="X1361" s="845">
        <v>0.29657794676806082</v>
      </c>
      <c r="Y1361" s="845">
        <v>0.87541683340002663</v>
      </c>
      <c r="Z1361" s="845">
        <v>1.147125516873416E-2</v>
      </c>
      <c r="AA1361" s="845">
        <v>0</v>
      </c>
      <c r="AB1361" s="845">
        <v>7.4696545284780582E-3</v>
      </c>
      <c r="AC1361" s="845">
        <v>0</v>
      </c>
      <c r="AD1361" s="845">
        <v>1.0404161664665866E-2</v>
      </c>
      <c r="AE1361" s="845">
        <v>9.5238095238095233E-2</v>
      </c>
      <c r="AF1361" s="845">
        <v>2.7077497665732961E-2</v>
      </c>
      <c r="AG1361" s="845">
        <v>0.85527544351073759</v>
      </c>
      <c r="AH1361" s="20" t="str">
        <f t="shared" si="120"/>
        <v>No</v>
      </c>
      <c r="AI1361" s="25"/>
      <c r="AJ1361" s="37">
        <v>45064</v>
      </c>
      <c r="AK1361" s="37" t="s">
        <v>1554</v>
      </c>
      <c r="AL1361" s="37">
        <v>39135</v>
      </c>
      <c r="AM1361" s="37" t="s">
        <v>73</v>
      </c>
      <c r="AN1361" s="37" t="str">
        <f t="shared" si="121"/>
        <v>N/A</v>
      </c>
      <c r="AO1361" s="37" t="str">
        <f t="shared" si="122"/>
        <v>N/A</v>
      </c>
      <c r="AP1361" s="37" t="s">
        <v>8</v>
      </c>
      <c r="AQ1361" s="25"/>
      <c r="AR1361" s="25"/>
      <c r="AS1361" s="25"/>
      <c r="AT1361" s="25"/>
      <c r="AU1361" s="36"/>
      <c r="AV1361" s="36"/>
      <c r="AW1361" s="36"/>
      <c r="AX1361" s="25"/>
      <c r="AY1361" s="25"/>
      <c r="AZ1361" s="25"/>
      <c r="BA1361" s="25"/>
      <c r="BB1361" s="25"/>
      <c r="BC1361" s="25"/>
      <c r="BD1361" s="25"/>
      <c r="BE1361" s="25"/>
      <c r="BF1361" s="25"/>
      <c r="BG1361" s="25"/>
      <c r="BH1361" s="25"/>
      <c r="BI1361" s="25"/>
      <c r="BJ1361" s="25"/>
      <c r="BK1361" s="25"/>
      <c r="BL1361" s="25"/>
      <c r="BM1361" s="25"/>
      <c r="BN1361" s="25"/>
      <c r="BO1361" s="25"/>
      <c r="BP1361" s="25"/>
      <c r="BQ1361" s="25"/>
      <c r="BR1361" s="25"/>
      <c r="BS1361" s="25"/>
      <c r="BT1361" s="25"/>
      <c r="BU1361" s="25"/>
      <c r="BV1361" s="25"/>
      <c r="BW1361" s="25"/>
      <c r="BX1361" s="25"/>
      <c r="BY1361" s="25"/>
      <c r="BZ1361" s="25"/>
      <c r="CA1361" s="25"/>
      <c r="CB1361" s="25"/>
      <c r="CC1361" s="25"/>
      <c r="CD1361" s="25"/>
      <c r="CE1361" s="200"/>
      <c r="CF1361" s="200"/>
      <c r="CG1361" s="200"/>
      <c r="CH1361" s="200"/>
      <c r="CI1361" s="200"/>
      <c r="CJ1361" s="200"/>
      <c r="CK1361" s="200"/>
      <c r="CL1361" s="200"/>
      <c r="CM1361" s="200"/>
      <c r="CN1361" s="200"/>
      <c r="CO1361" s="200"/>
      <c r="CP1361" s="200"/>
      <c r="CQ1361" s="200"/>
      <c r="CR1361" s="200"/>
      <c r="CS1361" s="200"/>
      <c r="CT1361" s="200"/>
      <c r="CU1361" s="200"/>
    </row>
    <row r="1362" spans="1:99" s="17" customFormat="1" x14ac:dyDescent="0.2">
      <c r="A1362" s="25"/>
      <c r="B1362" s="20">
        <v>39005970600</v>
      </c>
      <c r="C1362" s="20">
        <v>9706</v>
      </c>
      <c r="D1362" s="20" t="s">
        <v>9</v>
      </c>
      <c r="E1362" s="20" t="s">
        <v>265</v>
      </c>
      <c r="F1362" s="20" t="s">
        <v>8</v>
      </c>
      <c r="G1362" s="861">
        <v>51.830625837471501</v>
      </c>
      <c r="H1362" s="861">
        <v>55.076511257655298</v>
      </c>
      <c r="I1362" s="861">
        <v>27.631039365705899</v>
      </c>
      <c r="J1362" s="861">
        <v>40.545991842322699</v>
      </c>
      <c r="K1362" s="982">
        <v>0</v>
      </c>
      <c r="L1362" s="735">
        <v>5364</v>
      </c>
      <c r="M1362" s="735">
        <v>4580</v>
      </c>
      <c r="N1362" s="845">
        <f t="shared" si="118"/>
        <v>-0.14615958240119314</v>
      </c>
      <c r="O1362" s="735">
        <v>10.931994973521327</v>
      </c>
      <c r="P1362" s="735">
        <f t="shared" si="119"/>
        <v>418.95372355122174</v>
      </c>
      <c r="Q1362" s="849">
        <v>32.4</v>
      </c>
      <c r="R1362" s="71">
        <v>65833</v>
      </c>
      <c r="S1362" s="845">
        <v>0.11263881544156532</v>
      </c>
      <c r="T1362" s="845">
        <v>5.2999999999999999E-2</v>
      </c>
      <c r="U1362" s="845">
        <v>0</v>
      </c>
      <c r="V1362" s="845">
        <v>5.2999999999999999E-2</v>
      </c>
      <c r="W1362" s="845">
        <v>0.23490813648293962</v>
      </c>
      <c r="X1362" s="845">
        <v>0.27374301675977653</v>
      </c>
      <c r="Y1362" s="845">
        <v>0.92358078602620086</v>
      </c>
      <c r="Z1362" s="845">
        <v>8.296943231441048E-3</v>
      </c>
      <c r="AA1362" s="845">
        <v>3.2751091703056767E-3</v>
      </c>
      <c r="AB1362" s="845">
        <v>9.1703056768558944E-3</v>
      </c>
      <c r="AC1362" s="845">
        <v>0</v>
      </c>
      <c r="AD1362" s="845">
        <v>7.6419213973799123E-3</v>
      </c>
      <c r="AE1362" s="845">
        <v>4.8034934497816595E-2</v>
      </c>
      <c r="AF1362" s="845">
        <v>4.6724890829694325E-2</v>
      </c>
      <c r="AG1362" s="845">
        <v>0.9078602620087336</v>
      </c>
      <c r="AH1362" s="20" t="str">
        <f t="shared" si="120"/>
        <v>Yes</v>
      </c>
      <c r="AI1362" s="25"/>
      <c r="AJ1362" s="37">
        <v>45070</v>
      </c>
      <c r="AK1362" s="37" t="s">
        <v>1560</v>
      </c>
      <c r="AL1362" s="37">
        <v>39135</v>
      </c>
      <c r="AM1362" s="37" t="s">
        <v>73</v>
      </c>
      <c r="AN1362" s="37" t="str">
        <f t="shared" si="121"/>
        <v>N/A</v>
      </c>
      <c r="AO1362" s="37" t="str">
        <f t="shared" si="122"/>
        <v>N/A</v>
      </c>
      <c r="AP1362" s="37" t="s">
        <v>8</v>
      </c>
      <c r="AQ1362" s="25"/>
      <c r="AR1362" s="25"/>
      <c r="AS1362" s="25"/>
      <c r="AT1362" s="25"/>
      <c r="AU1362" s="36"/>
      <c r="AV1362" s="36"/>
      <c r="AW1362" s="36"/>
      <c r="AX1362" s="25"/>
      <c r="AY1362" s="25"/>
      <c r="AZ1362" s="25"/>
      <c r="BA1362" s="25"/>
      <c r="BB1362" s="25"/>
      <c r="BC1362" s="25"/>
      <c r="BD1362" s="25"/>
      <c r="BE1362" s="25"/>
      <c r="BF1362" s="25"/>
      <c r="BG1362" s="25"/>
      <c r="BH1362" s="25"/>
      <c r="BI1362" s="25"/>
      <c r="BJ1362" s="25"/>
      <c r="BK1362" s="25"/>
      <c r="BL1362" s="25"/>
      <c r="BM1362" s="25"/>
      <c r="BN1362" s="25"/>
      <c r="BO1362" s="25"/>
      <c r="BP1362" s="25"/>
      <c r="BQ1362" s="25"/>
      <c r="BR1362" s="25"/>
      <c r="BS1362" s="25"/>
      <c r="BT1362" s="25"/>
      <c r="BU1362" s="25"/>
      <c r="BV1362" s="25"/>
      <c r="BW1362" s="25"/>
      <c r="BX1362" s="25"/>
      <c r="BY1362" s="25"/>
      <c r="BZ1362" s="25"/>
      <c r="CA1362" s="25"/>
      <c r="CB1362" s="25"/>
      <c r="CC1362" s="25"/>
      <c r="CD1362" s="25"/>
      <c r="CE1362" s="200"/>
      <c r="CF1362" s="200"/>
      <c r="CG1362" s="200"/>
      <c r="CH1362" s="200"/>
      <c r="CI1362" s="200"/>
      <c r="CJ1362" s="200"/>
      <c r="CK1362" s="200"/>
      <c r="CL1362" s="200"/>
      <c r="CM1362" s="200"/>
      <c r="CN1362" s="200"/>
      <c r="CO1362" s="200"/>
      <c r="CP1362" s="200"/>
      <c r="CQ1362" s="200"/>
      <c r="CR1362" s="200"/>
      <c r="CS1362" s="200"/>
      <c r="CT1362" s="200"/>
      <c r="CU1362" s="200"/>
    </row>
    <row r="1363" spans="1:99" s="17" customFormat="1" x14ac:dyDescent="0.2">
      <c r="A1363" s="25"/>
      <c r="B1363" s="20">
        <v>39029951600</v>
      </c>
      <c r="C1363" s="20">
        <v>9516</v>
      </c>
      <c r="D1363" s="20" t="s">
        <v>21</v>
      </c>
      <c r="E1363" s="20" t="s">
        <v>265</v>
      </c>
      <c r="F1363" s="20" t="s">
        <v>8</v>
      </c>
      <c r="G1363" s="861">
        <v>51.816593011969502</v>
      </c>
      <c r="H1363" s="861">
        <v>53.430292255730599</v>
      </c>
      <c r="I1363" s="861">
        <v>27.447930907879702</v>
      </c>
      <c r="J1363" s="861">
        <v>44.1071350181344</v>
      </c>
      <c r="K1363" s="982">
        <v>0</v>
      </c>
      <c r="L1363" s="735">
        <v>5711</v>
      </c>
      <c r="M1363" s="735">
        <v>5572</v>
      </c>
      <c r="N1363" s="845">
        <f t="shared" si="118"/>
        <v>-2.4338994922080196E-2</v>
      </c>
      <c r="O1363" s="735">
        <v>37.275882320556292</v>
      </c>
      <c r="P1363" s="735">
        <f t="shared" si="119"/>
        <v>149.48002979736967</v>
      </c>
      <c r="Q1363" s="849">
        <v>49.6</v>
      </c>
      <c r="R1363" s="71">
        <v>74925</v>
      </c>
      <c r="S1363" s="845">
        <v>2.3084025854108958E-2</v>
      </c>
      <c r="T1363" s="845">
        <v>3.7000000000000005E-2</v>
      </c>
      <c r="U1363" s="845">
        <v>1.4999999999999999E-2</v>
      </c>
      <c r="V1363" s="845">
        <v>0.14199999999999999</v>
      </c>
      <c r="W1363" s="845">
        <v>0.16500000000000001</v>
      </c>
      <c r="X1363" s="845">
        <v>0.64462809917355368</v>
      </c>
      <c r="Y1363" s="845">
        <v>0.93323761665470206</v>
      </c>
      <c r="Z1363" s="845">
        <v>0</v>
      </c>
      <c r="AA1363" s="845">
        <v>0</v>
      </c>
      <c r="AB1363" s="845">
        <v>0</v>
      </c>
      <c r="AC1363" s="845">
        <v>0</v>
      </c>
      <c r="AD1363" s="845">
        <v>1.7946877243359656E-4</v>
      </c>
      <c r="AE1363" s="845">
        <v>6.6582914572864318E-2</v>
      </c>
      <c r="AF1363" s="845">
        <v>1.7946877243359656E-4</v>
      </c>
      <c r="AG1363" s="845">
        <v>0.93323761665470206</v>
      </c>
      <c r="AH1363" s="20" t="str">
        <f t="shared" si="120"/>
        <v>Yes</v>
      </c>
      <c r="AI1363" s="25"/>
      <c r="AJ1363" s="37">
        <v>45304</v>
      </c>
      <c r="AK1363" s="37" t="s">
        <v>1658</v>
      </c>
      <c r="AL1363" s="37">
        <v>39135</v>
      </c>
      <c r="AM1363" s="37" t="s">
        <v>73</v>
      </c>
      <c r="AN1363" s="37" t="str">
        <f t="shared" si="121"/>
        <v>N/A</v>
      </c>
      <c r="AO1363" s="37" t="str">
        <f t="shared" si="122"/>
        <v>N/A</v>
      </c>
      <c r="AP1363" s="37" t="s">
        <v>8</v>
      </c>
      <c r="AQ1363" s="25"/>
      <c r="AR1363" s="25"/>
      <c r="AS1363" s="25"/>
      <c r="AT1363" s="25"/>
      <c r="AU1363" s="36"/>
      <c r="AV1363" s="36"/>
      <c r="AW1363" s="36"/>
      <c r="AX1363" s="25"/>
      <c r="AY1363" s="25"/>
      <c r="AZ1363" s="25"/>
      <c r="BA1363" s="25"/>
      <c r="BB1363" s="25"/>
      <c r="BC1363" s="25"/>
      <c r="BD1363" s="25"/>
      <c r="BE1363" s="25"/>
      <c r="BF1363" s="25"/>
      <c r="BG1363" s="25"/>
      <c r="BH1363" s="25"/>
      <c r="BI1363" s="25"/>
      <c r="BJ1363" s="25"/>
      <c r="BK1363" s="25"/>
      <c r="BL1363" s="25"/>
      <c r="BM1363" s="25"/>
      <c r="BN1363" s="25"/>
      <c r="BO1363" s="25"/>
      <c r="BP1363" s="25"/>
      <c r="BQ1363" s="25"/>
      <c r="BR1363" s="25"/>
      <c r="BS1363" s="25"/>
      <c r="BT1363" s="25"/>
      <c r="BU1363" s="25"/>
      <c r="BV1363" s="25"/>
      <c r="BW1363" s="25"/>
      <c r="BX1363" s="25"/>
      <c r="BY1363" s="25"/>
      <c r="BZ1363" s="25"/>
      <c r="CA1363" s="25"/>
      <c r="CB1363" s="25"/>
      <c r="CC1363" s="25"/>
      <c r="CD1363" s="25"/>
      <c r="CE1363" s="200"/>
      <c r="CF1363" s="200"/>
      <c r="CG1363" s="200"/>
      <c r="CH1363" s="200"/>
      <c r="CI1363" s="200"/>
      <c r="CJ1363" s="200"/>
      <c r="CK1363" s="200"/>
      <c r="CL1363" s="200"/>
      <c r="CM1363" s="200"/>
      <c r="CN1363" s="200"/>
      <c r="CO1363" s="200"/>
      <c r="CP1363" s="200"/>
      <c r="CQ1363" s="200"/>
      <c r="CR1363" s="200"/>
      <c r="CS1363" s="200"/>
      <c r="CT1363" s="200"/>
      <c r="CU1363" s="200"/>
    </row>
    <row r="1364" spans="1:99" s="17" customFormat="1" x14ac:dyDescent="0.2">
      <c r="A1364" s="25"/>
      <c r="B1364" s="20">
        <v>39017010302</v>
      </c>
      <c r="C1364" s="20">
        <v>103.02</v>
      </c>
      <c r="D1364" s="20" t="s">
        <v>15</v>
      </c>
      <c r="E1364" s="20" t="s">
        <v>2828</v>
      </c>
      <c r="F1364" s="20" t="s">
        <v>8</v>
      </c>
      <c r="G1364" s="861">
        <v>51.815338834201</v>
      </c>
      <c r="H1364" s="861">
        <v>60.5414784613968</v>
      </c>
      <c r="I1364" s="861">
        <v>23.406998998253702</v>
      </c>
      <c r="J1364" s="861">
        <v>34.698524616810701</v>
      </c>
      <c r="K1364" s="982">
        <v>0</v>
      </c>
      <c r="L1364" s="735">
        <v>3587</v>
      </c>
      <c r="M1364" s="735">
        <v>3535</v>
      </c>
      <c r="N1364" s="845">
        <f t="shared" si="118"/>
        <v>-1.449679397825481E-2</v>
      </c>
      <c r="O1364" s="735">
        <v>36.603942556323169</v>
      </c>
      <c r="P1364" s="735">
        <f t="shared" si="119"/>
        <v>96.574296458930064</v>
      </c>
      <c r="Q1364" s="849">
        <v>45</v>
      </c>
      <c r="R1364" s="71">
        <v>80945</v>
      </c>
      <c r="S1364" s="845">
        <v>0.13230590287874383</v>
      </c>
      <c r="T1364" s="845">
        <v>2.6000000000000002E-2</v>
      </c>
      <c r="U1364" s="845">
        <v>0</v>
      </c>
      <c r="V1364" s="845">
        <v>0.13300000000000001</v>
      </c>
      <c r="W1364" s="845">
        <v>0.14826021180030258</v>
      </c>
      <c r="X1364" s="845">
        <v>0.22959183673469388</v>
      </c>
      <c r="Y1364" s="845">
        <v>0.94992927864214993</v>
      </c>
      <c r="Z1364" s="845">
        <v>3.3946251768033945E-3</v>
      </c>
      <c r="AA1364" s="845">
        <v>0</v>
      </c>
      <c r="AB1364" s="845">
        <v>1.1315417256011315E-3</v>
      </c>
      <c r="AC1364" s="845">
        <v>0</v>
      </c>
      <c r="AD1364" s="845">
        <v>5.0919377652050915E-3</v>
      </c>
      <c r="AE1364" s="845">
        <v>4.0452616690240452E-2</v>
      </c>
      <c r="AF1364" s="845">
        <v>1.9801980198019802E-2</v>
      </c>
      <c r="AG1364" s="845">
        <v>0.94992927864214993</v>
      </c>
      <c r="AH1364" s="20" t="str">
        <f t="shared" si="120"/>
        <v>Yes</v>
      </c>
      <c r="AI1364" s="25"/>
      <c r="AJ1364" s="37">
        <v>45309</v>
      </c>
      <c r="AK1364" s="37" t="s">
        <v>1663</v>
      </c>
      <c r="AL1364" s="37">
        <v>39135</v>
      </c>
      <c r="AM1364" s="37" t="s">
        <v>73</v>
      </c>
      <c r="AN1364" s="37" t="str">
        <f t="shared" si="121"/>
        <v>N/A</v>
      </c>
      <c r="AO1364" s="37" t="str">
        <f t="shared" si="122"/>
        <v>N/A</v>
      </c>
      <c r="AP1364" s="37" t="s">
        <v>8</v>
      </c>
      <c r="AQ1364" s="25"/>
      <c r="AR1364" s="25"/>
      <c r="AS1364" s="25"/>
      <c r="AT1364" s="25"/>
      <c r="AU1364" s="36"/>
      <c r="AV1364" s="36"/>
      <c r="AW1364" s="36"/>
      <c r="AX1364" s="25"/>
      <c r="AY1364" s="25"/>
      <c r="AZ1364" s="25"/>
      <c r="BA1364" s="25"/>
      <c r="BB1364" s="25"/>
      <c r="BC1364" s="25"/>
      <c r="BD1364" s="25"/>
      <c r="BE1364" s="25"/>
      <c r="BF1364" s="25"/>
      <c r="BG1364" s="25"/>
      <c r="BH1364" s="25"/>
      <c r="BI1364" s="25"/>
      <c r="BJ1364" s="25"/>
      <c r="BK1364" s="25"/>
      <c r="BL1364" s="25"/>
      <c r="BM1364" s="25"/>
      <c r="BN1364" s="25"/>
      <c r="BO1364" s="25"/>
      <c r="BP1364" s="25"/>
      <c r="BQ1364" s="25"/>
      <c r="BR1364" s="25"/>
      <c r="BS1364" s="25"/>
      <c r="BT1364" s="25"/>
      <c r="BU1364" s="25"/>
      <c r="BV1364" s="25"/>
      <c r="BW1364" s="25"/>
      <c r="BX1364" s="25"/>
      <c r="BY1364" s="25"/>
      <c r="BZ1364" s="25"/>
      <c r="CA1364" s="25"/>
      <c r="CB1364" s="25"/>
      <c r="CC1364" s="25"/>
      <c r="CD1364" s="25"/>
      <c r="CE1364" s="200"/>
      <c r="CF1364" s="200"/>
      <c r="CG1364" s="200"/>
      <c r="CH1364" s="200"/>
      <c r="CI1364" s="200"/>
      <c r="CJ1364" s="200"/>
      <c r="CK1364" s="200"/>
      <c r="CL1364" s="200"/>
      <c r="CM1364" s="200"/>
      <c r="CN1364" s="200"/>
      <c r="CO1364" s="200"/>
      <c r="CP1364" s="200"/>
      <c r="CQ1364" s="200"/>
      <c r="CR1364" s="200"/>
      <c r="CS1364" s="200"/>
      <c r="CT1364" s="200"/>
      <c r="CU1364" s="200"/>
    </row>
    <row r="1365" spans="1:99" s="17" customFormat="1" x14ac:dyDescent="0.2">
      <c r="A1365" s="25"/>
      <c r="B1365" s="20">
        <v>39049009384</v>
      </c>
      <c r="C1365" s="20">
        <v>93.84</v>
      </c>
      <c r="D1365" s="20" t="s">
        <v>31</v>
      </c>
      <c r="E1365" s="20" t="s">
        <v>2830</v>
      </c>
      <c r="F1365" s="20" t="s">
        <v>8</v>
      </c>
      <c r="G1365" s="861">
        <v>51.803773126718703</v>
      </c>
      <c r="H1365" s="861">
        <v>62.771767385165397</v>
      </c>
      <c r="I1365" s="861">
        <v>32.2309079585484</v>
      </c>
      <c r="J1365" s="861">
        <v>40.947888702680402</v>
      </c>
      <c r="K1365" s="982">
        <v>2</v>
      </c>
      <c r="L1365" s="735">
        <v>2301</v>
      </c>
      <c r="M1365" s="735">
        <v>2681</v>
      </c>
      <c r="N1365" s="845">
        <f t="shared" si="118"/>
        <v>0.16514558887440242</v>
      </c>
      <c r="O1365" s="735">
        <v>0.53562485273339733</v>
      </c>
      <c r="P1365" s="735">
        <f t="shared" si="119"/>
        <v>5005.3689374537753</v>
      </c>
      <c r="Q1365" s="849">
        <v>40.5</v>
      </c>
      <c r="R1365" s="71">
        <v>64167</v>
      </c>
      <c r="S1365" s="845">
        <v>9.921671018276762E-2</v>
      </c>
      <c r="T1365" s="845">
        <v>2.7000000000000003E-2</v>
      </c>
      <c r="U1365" s="845">
        <v>0</v>
      </c>
      <c r="V1365" s="845">
        <v>7.0000000000000007E-2</v>
      </c>
      <c r="W1365" s="845">
        <v>0.46129032258064517</v>
      </c>
      <c r="X1365" s="845">
        <v>0.35139860139860141</v>
      </c>
      <c r="Y1365" s="845">
        <v>0.57851547929876912</v>
      </c>
      <c r="Z1365" s="845">
        <v>0.22193211488250653</v>
      </c>
      <c r="AA1365" s="845">
        <v>0</v>
      </c>
      <c r="AB1365" s="845">
        <v>9.1383812010443863E-2</v>
      </c>
      <c r="AC1365" s="845">
        <v>0</v>
      </c>
      <c r="AD1365" s="845">
        <v>7.9447967176426701E-2</v>
      </c>
      <c r="AE1365" s="845">
        <v>2.8720626631853787E-2</v>
      </c>
      <c r="AF1365" s="845">
        <v>8.9891831406191725E-2</v>
      </c>
      <c r="AG1365" s="845">
        <v>0.56807161506900405</v>
      </c>
      <c r="AH1365" s="20" t="str">
        <f t="shared" si="120"/>
        <v>No</v>
      </c>
      <c r="AI1365" s="25"/>
      <c r="AJ1365" s="37">
        <v>45311</v>
      </c>
      <c r="AK1365" s="37" t="s">
        <v>1665</v>
      </c>
      <c r="AL1365" s="37">
        <v>39135</v>
      </c>
      <c r="AM1365" s="37" t="s">
        <v>73</v>
      </c>
      <c r="AN1365" s="37" t="str">
        <f t="shared" si="121"/>
        <v>N/A</v>
      </c>
      <c r="AO1365" s="37" t="str">
        <f t="shared" si="122"/>
        <v>N/A</v>
      </c>
      <c r="AP1365" s="37" t="s">
        <v>8</v>
      </c>
      <c r="AQ1365" s="25"/>
      <c r="AR1365" s="25"/>
      <c r="AS1365" s="25"/>
      <c r="AT1365" s="25"/>
      <c r="AU1365" s="36"/>
      <c r="AV1365" s="36"/>
      <c r="AW1365" s="36"/>
      <c r="AX1365" s="25"/>
      <c r="AY1365" s="25"/>
      <c r="AZ1365" s="25"/>
      <c r="BA1365" s="25"/>
      <c r="BB1365" s="25"/>
      <c r="BC1365" s="25"/>
      <c r="BD1365" s="25"/>
      <c r="BE1365" s="25"/>
      <c r="BF1365" s="25"/>
      <c r="BG1365" s="25"/>
      <c r="BH1365" s="25"/>
      <c r="BI1365" s="25"/>
      <c r="BJ1365" s="25"/>
      <c r="BK1365" s="25"/>
      <c r="BL1365" s="25"/>
      <c r="BM1365" s="25"/>
      <c r="BN1365" s="25"/>
      <c r="BO1365" s="25"/>
      <c r="BP1365" s="25"/>
      <c r="BQ1365" s="25"/>
      <c r="BR1365" s="25"/>
      <c r="BS1365" s="25"/>
      <c r="BT1365" s="25"/>
      <c r="BU1365" s="25"/>
      <c r="BV1365" s="25"/>
      <c r="BW1365" s="25"/>
      <c r="BX1365" s="25"/>
      <c r="BY1365" s="25"/>
      <c r="BZ1365" s="25"/>
      <c r="CA1365" s="25"/>
      <c r="CB1365" s="25"/>
      <c r="CC1365" s="25"/>
      <c r="CD1365" s="25"/>
      <c r="CE1365" s="200"/>
      <c r="CF1365" s="200"/>
      <c r="CG1365" s="200"/>
      <c r="CH1365" s="200"/>
      <c r="CI1365" s="200"/>
      <c r="CJ1365" s="200"/>
      <c r="CK1365" s="200"/>
      <c r="CL1365" s="200"/>
      <c r="CM1365" s="200"/>
      <c r="CN1365" s="200"/>
      <c r="CO1365" s="200"/>
      <c r="CP1365" s="200"/>
      <c r="CQ1365" s="200"/>
      <c r="CR1365" s="200"/>
      <c r="CS1365" s="200"/>
      <c r="CT1365" s="200"/>
      <c r="CU1365" s="200"/>
    </row>
    <row r="1366" spans="1:99" s="17" customFormat="1" x14ac:dyDescent="0.2">
      <c r="A1366" s="25"/>
      <c r="B1366" s="20">
        <v>39119912700</v>
      </c>
      <c r="C1366" s="20">
        <v>9127</v>
      </c>
      <c r="D1366" s="20" t="s">
        <v>65</v>
      </c>
      <c r="E1366" s="20" t="s">
        <v>265</v>
      </c>
      <c r="F1366" s="20" t="s">
        <v>8</v>
      </c>
      <c r="G1366" s="861">
        <v>51.784173062681198</v>
      </c>
      <c r="H1366" s="861">
        <v>49.113697395548201</v>
      </c>
      <c r="I1366" s="861">
        <v>29.0953346089433</v>
      </c>
      <c r="J1366" s="861">
        <v>48.978399200234001</v>
      </c>
      <c r="K1366" s="982">
        <v>0</v>
      </c>
      <c r="L1366" s="735">
        <v>5624</v>
      </c>
      <c r="M1366" s="735">
        <v>4985</v>
      </c>
      <c r="N1366" s="845">
        <f t="shared" si="118"/>
        <v>-0.11362019914651493</v>
      </c>
      <c r="O1366" s="735">
        <v>25.67770513819077</v>
      </c>
      <c r="P1366" s="735">
        <f t="shared" si="119"/>
        <v>194.1372865360054</v>
      </c>
      <c r="Q1366" s="849">
        <v>45.9</v>
      </c>
      <c r="R1366" s="71">
        <v>76698</v>
      </c>
      <c r="S1366" s="845">
        <v>0.13261000602772754</v>
      </c>
      <c r="T1366" s="845">
        <v>8.0000000000000002E-3</v>
      </c>
      <c r="U1366" s="845">
        <v>2.2000000000000002E-2</v>
      </c>
      <c r="V1366" s="845">
        <v>0.105</v>
      </c>
      <c r="W1366" s="845">
        <v>0.19473140495867769</v>
      </c>
      <c r="X1366" s="845">
        <v>0.51193633952254647</v>
      </c>
      <c r="Y1366" s="845">
        <v>0.95747241725175525</v>
      </c>
      <c r="Z1366" s="845">
        <v>1.4042126379137413E-3</v>
      </c>
      <c r="AA1366" s="845">
        <v>0</v>
      </c>
      <c r="AB1366" s="845">
        <v>0</v>
      </c>
      <c r="AC1366" s="845">
        <v>0</v>
      </c>
      <c r="AD1366" s="845">
        <v>0</v>
      </c>
      <c r="AE1366" s="845">
        <v>4.1123370110330994E-2</v>
      </c>
      <c r="AF1366" s="845">
        <v>0</v>
      </c>
      <c r="AG1366" s="845">
        <v>0.95747241725175525</v>
      </c>
      <c r="AH1366" s="20" t="str">
        <f t="shared" si="120"/>
        <v>Yes</v>
      </c>
      <c r="AI1366" s="25"/>
      <c r="AJ1366" s="37">
        <v>45320</v>
      </c>
      <c r="AK1366" s="37" t="s">
        <v>1673</v>
      </c>
      <c r="AL1366" s="37">
        <v>39135</v>
      </c>
      <c r="AM1366" s="37" t="s">
        <v>73</v>
      </c>
      <c r="AN1366" s="37" t="str">
        <f t="shared" si="121"/>
        <v>N/A</v>
      </c>
      <c r="AO1366" s="37" t="str">
        <f t="shared" si="122"/>
        <v>N/A</v>
      </c>
      <c r="AP1366" s="37" t="s">
        <v>8</v>
      </c>
      <c r="AQ1366" s="25"/>
      <c r="AR1366" s="25"/>
      <c r="AS1366" s="25"/>
      <c r="AT1366" s="25"/>
      <c r="AU1366" s="36"/>
      <c r="AV1366" s="36"/>
      <c r="AW1366" s="36"/>
      <c r="AX1366" s="25"/>
      <c r="AY1366" s="25"/>
      <c r="AZ1366" s="25"/>
      <c r="BA1366" s="25"/>
      <c r="BB1366" s="25"/>
      <c r="BC1366" s="25"/>
      <c r="BD1366" s="25"/>
      <c r="BE1366" s="25"/>
      <c r="BF1366" s="25"/>
      <c r="BG1366" s="25"/>
      <c r="BH1366" s="25"/>
      <c r="BI1366" s="25"/>
      <c r="BJ1366" s="25"/>
      <c r="BK1366" s="25"/>
      <c r="BL1366" s="25"/>
      <c r="BM1366" s="25"/>
      <c r="BN1366" s="25"/>
      <c r="BO1366" s="25"/>
      <c r="BP1366" s="25"/>
      <c r="BQ1366" s="25"/>
      <c r="BR1366" s="25"/>
      <c r="BS1366" s="25"/>
      <c r="BT1366" s="25"/>
      <c r="BU1366" s="25"/>
      <c r="BV1366" s="25"/>
      <c r="BW1366" s="25"/>
      <c r="BX1366" s="25"/>
      <c r="BY1366" s="25"/>
      <c r="BZ1366" s="25"/>
      <c r="CA1366" s="25"/>
      <c r="CB1366" s="25"/>
      <c r="CC1366" s="25"/>
      <c r="CD1366" s="25"/>
      <c r="CE1366" s="200"/>
      <c r="CF1366" s="200"/>
      <c r="CG1366" s="200"/>
      <c r="CH1366" s="200"/>
      <c r="CI1366" s="200"/>
      <c r="CJ1366" s="200"/>
      <c r="CK1366" s="200"/>
      <c r="CL1366" s="200"/>
      <c r="CM1366" s="200"/>
      <c r="CN1366" s="200"/>
      <c r="CO1366" s="200"/>
      <c r="CP1366" s="200"/>
      <c r="CQ1366" s="200"/>
      <c r="CR1366" s="200"/>
      <c r="CS1366" s="200"/>
      <c r="CT1366" s="200"/>
      <c r="CU1366" s="200"/>
    </row>
    <row r="1367" spans="1:99" s="17" customFormat="1" x14ac:dyDescent="0.2">
      <c r="A1367" s="25"/>
      <c r="B1367" s="20">
        <v>39055310600</v>
      </c>
      <c r="C1367" s="20">
        <v>3106</v>
      </c>
      <c r="D1367" s="20" t="s">
        <v>34</v>
      </c>
      <c r="E1367" s="20" t="s">
        <v>2829</v>
      </c>
      <c r="F1367" s="20" t="s">
        <v>8</v>
      </c>
      <c r="G1367" s="861">
        <v>51.773376154258202</v>
      </c>
      <c r="H1367" s="861">
        <v>53.625784214446398</v>
      </c>
      <c r="I1367" s="861">
        <v>25.066569551267399</v>
      </c>
      <c r="J1367" s="861">
        <v>33.297903308696696</v>
      </c>
      <c r="K1367" s="982">
        <v>0</v>
      </c>
      <c r="L1367" s="735">
        <v>6286</v>
      </c>
      <c r="M1367" s="735">
        <v>5678</v>
      </c>
      <c r="N1367" s="845">
        <f t="shared" si="118"/>
        <v>-9.6722876232898505E-2</v>
      </c>
      <c r="O1367" s="735">
        <v>12.633549116949421</v>
      </c>
      <c r="P1367" s="735">
        <f t="shared" si="119"/>
        <v>449.43823366169386</v>
      </c>
      <c r="Q1367" s="849">
        <v>54.1</v>
      </c>
      <c r="R1367" s="71">
        <v>110714</v>
      </c>
      <c r="S1367" s="845">
        <v>8.3480098626276852E-2</v>
      </c>
      <c r="T1367" s="845">
        <v>0</v>
      </c>
      <c r="U1367" s="845">
        <v>0</v>
      </c>
      <c r="V1367" s="845">
        <v>0</v>
      </c>
      <c r="W1367" s="845">
        <v>9.9545454545454548E-2</v>
      </c>
      <c r="X1367" s="845">
        <v>0.28767123287671231</v>
      </c>
      <c r="Y1367" s="845">
        <v>0.91687213807678758</v>
      </c>
      <c r="Z1367" s="845">
        <v>0</v>
      </c>
      <c r="AA1367" s="845">
        <v>0</v>
      </c>
      <c r="AB1367" s="845">
        <v>2.518492426910884E-2</v>
      </c>
      <c r="AC1367" s="845">
        <v>0</v>
      </c>
      <c r="AD1367" s="845">
        <v>4.2268404367735114E-3</v>
      </c>
      <c r="AE1367" s="845">
        <v>5.3716097217330047E-2</v>
      </c>
      <c r="AF1367" s="845">
        <v>1.5850651637900669E-3</v>
      </c>
      <c r="AG1367" s="845">
        <v>0.91687213807678758</v>
      </c>
      <c r="AH1367" s="20" t="str">
        <f t="shared" si="120"/>
        <v>Yes</v>
      </c>
      <c r="AI1367" s="25"/>
      <c r="AJ1367" s="37">
        <v>45321</v>
      </c>
      <c r="AK1367" s="37" t="s">
        <v>1674</v>
      </c>
      <c r="AL1367" s="37">
        <v>39135</v>
      </c>
      <c r="AM1367" s="37" t="s">
        <v>73</v>
      </c>
      <c r="AN1367" s="37" t="str">
        <f t="shared" si="121"/>
        <v>N/A</v>
      </c>
      <c r="AO1367" s="37" t="str">
        <f t="shared" si="122"/>
        <v>N/A</v>
      </c>
      <c r="AP1367" s="37" t="s">
        <v>8</v>
      </c>
      <c r="AQ1367" s="25"/>
      <c r="AR1367" s="25"/>
      <c r="AS1367" s="25"/>
      <c r="AT1367" s="25"/>
      <c r="AU1367" s="36"/>
      <c r="AV1367" s="36"/>
      <c r="AW1367" s="36"/>
      <c r="AX1367" s="25"/>
      <c r="AY1367" s="25"/>
      <c r="AZ1367" s="25"/>
      <c r="BA1367" s="25"/>
      <c r="BB1367" s="25"/>
      <c r="BC1367" s="25"/>
      <c r="BD1367" s="25"/>
      <c r="BE1367" s="25"/>
      <c r="BF1367" s="25"/>
      <c r="BG1367" s="25"/>
      <c r="BH1367" s="25"/>
      <c r="BI1367" s="25"/>
      <c r="BJ1367" s="25"/>
      <c r="BK1367" s="25"/>
      <c r="BL1367" s="25"/>
      <c r="BM1367" s="25"/>
      <c r="BN1367" s="25"/>
      <c r="BO1367" s="25"/>
      <c r="BP1367" s="25"/>
      <c r="BQ1367" s="25"/>
      <c r="BR1367" s="25"/>
      <c r="BS1367" s="25"/>
      <c r="BT1367" s="25"/>
      <c r="BU1367" s="25"/>
      <c r="BV1367" s="25"/>
      <c r="BW1367" s="25"/>
      <c r="BX1367" s="25"/>
      <c r="BY1367" s="25"/>
      <c r="BZ1367" s="25"/>
      <c r="CA1367" s="25"/>
      <c r="CB1367" s="25"/>
      <c r="CC1367" s="25"/>
      <c r="CD1367" s="25"/>
      <c r="CE1367" s="200"/>
      <c r="CF1367" s="200"/>
      <c r="CG1367" s="200"/>
      <c r="CH1367" s="200"/>
      <c r="CI1367" s="200"/>
      <c r="CJ1367" s="200"/>
      <c r="CK1367" s="200"/>
      <c r="CL1367" s="200"/>
      <c r="CM1367" s="200"/>
      <c r="CN1367" s="200"/>
      <c r="CO1367" s="200"/>
      <c r="CP1367" s="200"/>
      <c r="CQ1367" s="200"/>
      <c r="CR1367" s="200"/>
      <c r="CS1367" s="200"/>
      <c r="CT1367" s="200"/>
      <c r="CU1367" s="200"/>
    </row>
    <row r="1368" spans="1:99" s="17" customFormat="1" x14ac:dyDescent="0.2">
      <c r="A1368" s="25"/>
      <c r="B1368" s="20">
        <v>39107967200</v>
      </c>
      <c r="C1368" s="20">
        <v>9672</v>
      </c>
      <c r="D1368" s="20" t="s">
        <v>59</v>
      </c>
      <c r="E1368" s="20" t="s">
        <v>265</v>
      </c>
      <c r="F1368" s="20" t="s">
        <v>8</v>
      </c>
      <c r="G1368" s="861">
        <v>51.772480396118297</v>
      </c>
      <c r="H1368" s="861">
        <v>51.049344730959</v>
      </c>
      <c r="I1368" s="861">
        <v>23.874438229791298</v>
      </c>
      <c r="J1368" s="861">
        <v>50.757884233508399</v>
      </c>
      <c r="K1368" s="982">
        <v>0</v>
      </c>
      <c r="L1368" s="735">
        <v>3661</v>
      </c>
      <c r="M1368" s="735">
        <v>3187</v>
      </c>
      <c r="N1368" s="845">
        <f t="shared" si="118"/>
        <v>-0.12947282163343349</v>
      </c>
      <c r="O1368" s="735">
        <v>92.401050443432354</v>
      </c>
      <c r="P1368" s="735">
        <f t="shared" si="119"/>
        <v>34.490949883205836</v>
      </c>
      <c r="Q1368" s="849">
        <v>46.6</v>
      </c>
      <c r="R1368" s="71">
        <v>56827</v>
      </c>
      <c r="S1368" s="845">
        <v>9.6837300293446366E-2</v>
      </c>
      <c r="T1368" s="845">
        <v>2.4E-2</v>
      </c>
      <c r="U1368" s="845">
        <v>0</v>
      </c>
      <c r="V1368" s="845">
        <v>6.2E-2</v>
      </c>
      <c r="W1368" s="845">
        <v>0.18887262079062958</v>
      </c>
      <c r="X1368" s="845">
        <v>0.43023255813953487</v>
      </c>
      <c r="Y1368" s="845">
        <v>0.93473486037025411</v>
      </c>
      <c r="Z1368" s="845">
        <v>6.589268904926263E-3</v>
      </c>
      <c r="AA1368" s="845">
        <v>4.0790712268591149E-3</v>
      </c>
      <c r="AB1368" s="845">
        <v>0</v>
      </c>
      <c r="AC1368" s="845">
        <v>4.3928459366175086E-3</v>
      </c>
      <c r="AD1368" s="845">
        <v>1.2550988390335738E-3</v>
      </c>
      <c r="AE1368" s="845">
        <v>4.8948854722309379E-2</v>
      </c>
      <c r="AF1368" s="845">
        <v>1.8826482585503609E-2</v>
      </c>
      <c r="AG1368" s="845">
        <v>0.93034201443363662</v>
      </c>
      <c r="AH1368" s="20" t="str">
        <f t="shared" si="120"/>
        <v>Yes</v>
      </c>
      <c r="AI1368" s="25"/>
      <c r="AJ1368" s="37">
        <v>45327</v>
      </c>
      <c r="AK1368" s="37" t="s">
        <v>1680</v>
      </c>
      <c r="AL1368" s="37">
        <v>39135</v>
      </c>
      <c r="AM1368" s="37" t="s">
        <v>73</v>
      </c>
      <c r="AN1368" s="37" t="str">
        <f t="shared" si="121"/>
        <v>N/A</v>
      </c>
      <c r="AO1368" s="37" t="str">
        <f t="shared" si="122"/>
        <v>N/A</v>
      </c>
      <c r="AP1368" s="37" t="s">
        <v>8</v>
      </c>
      <c r="AQ1368" s="25"/>
      <c r="AR1368" s="25"/>
      <c r="AS1368" s="25"/>
      <c r="AT1368" s="25"/>
      <c r="AU1368" s="36"/>
      <c r="AV1368" s="36"/>
      <c r="AW1368" s="36"/>
      <c r="AX1368" s="25"/>
      <c r="AY1368" s="25"/>
      <c r="AZ1368" s="25"/>
      <c r="BA1368" s="25"/>
      <c r="BB1368" s="25"/>
      <c r="BC1368" s="25"/>
      <c r="BD1368" s="25"/>
      <c r="BE1368" s="25"/>
      <c r="BF1368" s="25"/>
      <c r="BG1368" s="25"/>
      <c r="BH1368" s="25"/>
      <c r="BI1368" s="25"/>
      <c r="BJ1368" s="25"/>
      <c r="BK1368" s="25"/>
      <c r="BL1368" s="25"/>
      <c r="BM1368" s="25"/>
      <c r="BN1368" s="25"/>
      <c r="BO1368" s="25"/>
      <c r="BP1368" s="25"/>
      <c r="BQ1368" s="25"/>
      <c r="BR1368" s="25"/>
      <c r="BS1368" s="25"/>
      <c r="BT1368" s="25"/>
      <c r="BU1368" s="25"/>
      <c r="BV1368" s="25"/>
      <c r="BW1368" s="25"/>
      <c r="BX1368" s="25"/>
      <c r="BY1368" s="25"/>
      <c r="BZ1368" s="25"/>
      <c r="CA1368" s="25"/>
      <c r="CB1368" s="25"/>
      <c r="CC1368" s="25"/>
      <c r="CD1368" s="25"/>
      <c r="CE1368" s="200"/>
      <c r="CF1368" s="200"/>
      <c r="CG1368" s="200"/>
      <c r="CH1368" s="200"/>
      <c r="CI1368" s="200"/>
      <c r="CJ1368" s="200"/>
      <c r="CK1368" s="200"/>
      <c r="CL1368" s="200"/>
      <c r="CM1368" s="200"/>
      <c r="CN1368" s="200"/>
      <c r="CO1368" s="200"/>
      <c r="CP1368" s="200"/>
      <c r="CQ1368" s="200"/>
      <c r="CR1368" s="200"/>
      <c r="CS1368" s="200"/>
      <c r="CT1368" s="200"/>
      <c r="CU1368" s="200"/>
    </row>
    <row r="1369" spans="1:99" s="17" customFormat="1" x14ac:dyDescent="0.2">
      <c r="A1369" s="25"/>
      <c r="B1369" s="20">
        <v>39139002700</v>
      </c>
      <c r="C1369" s="20">
        <v>27</v>
      </c>
      <c r="D1369" s="20" t="s">
        <v>75</v>
      </c>
      <c r="E1369" s="20" t="s">
        <v>2836</v>
      </c>
      <c r="F1369" s="20" t="s">
        <v>8</v>
      </c>
      <c r="G1369" s="861">
        <v>51.765713165284197</v>
      </c>
      <c r="H1369" s="861">
        <v>46.0286431430969</v>
      </c>
      <c r="I1369" s="861">
        <v>29.377318565977198</v>
      </c>
      <c r="J1369" s="861">
        <v>47.4831390662209</v>
      </c>
      <c r="K1369" s="982">
        <v>0</v>
      </c>
      <c r="L1369" s="735">
        <v>4877</v>
      </c>
      <c r="M1369" s="735">
        <v>5573</v>
      </c>
      <c r="N1369" s="845">
        <f t="shared" si="118"/>
        <v>0.14271068279680132</v>
      </c>
      <c r="O1369" s="735">
        <v>47.898925296610727</v>
      </c>
      <c r="P1369" s="735">
        <f t="shared" si="119"/>
        <v>116.34916577959922</v>
      </c>
      <c r="Q1369" s="849">
        <v>41.8</v>
      </c>
      <c r="R1369" s="71">
        <v>71451</v>
      </c>
      <c r="S1369" s="845">
        <v>9.2215351036740639E-2</v>
      </c>
      <c r="T1369" s="845">
        <v>6.0999999999999999E-2</v>
      </c>
      <c r="U1369" s="845">
        <v>0</v>
      </c>
      <c r="V1369" s="845">
        <v>0</v>
      </c>
      <c r="W1369" s="845">
        <v>0.13173381620642824</v>
      </c>
      <c r="X1369" s="845">
        <v>0.18556701030927836</v>
      </c>
      <c r="Y1369" s="845">
        <v>0.95962677193612056</v>
      </c>
      <c r="Z1369" s="845">
        <v>2.1711824869908487E-2</v>
      </c>
      <c r="AA1369" s="845">
        <v>0</v>
      </c>
      <c r="AB1369" s="845">
        <v>0</v>
      </c>
      <c r="AC1369" s="845">
        <v>0</v>
      </c>
      <c r="AD1369" s="845">
        <v>1.2022250134577427E-2</v>
      </c>
      <c r="AE1369" s="845">
        <v>6.6391530593935041E-3</v>
      </c>
      <c r="AF1369" s="845">
        <v>2.4403373407500449E-2</v>
      </c>
      <c r="AG1369" s="845">
        <v>0.93970931275794012</v>
      </c>
      <c r="AH1369" s="20" t="str">
        <f t="shared" si="120"/>
        <v>Yes</v>
      </c>
      <c r="AI1369" s="25"/>
      <c r="AJ1369" s="37">
        <v>45330</v>
      </c>
      <c r="AK1369" s="37" t="s">
        <v>1682</v>
      </c>
      <c r="AL1369" s="37">
        <v>39135</v>
      </c>
      <c r="AM1369" s="37" t="s">
        <v>73</v>
      </c>
      <c r="AN1369" s="37" t="str">
        <f t="shared" si="121"/>
        <v>N/A</v>
      </c>
      <c r="AO1369" s="37" t="str">
        <f t="shared" si="122"/>
        <v>N/A</v>
      </c>
      <c r="AP1369" s="37" t="s">
        <v>8</v>
      </c>
      <c r="AQ1369" s="25"/>
      <c r="AR1369" s="25"/>
      <c r="AS1369" s="25"/>
      <c r="AT1369" s="25"/>
      <c r="AU1369" s="36"/>
      <c r="AV1369" s="36"/>
      <c r="AW1369" s="36"/>
      <c r="AX1369" s="25"/>
      <c r="AY1369" s="25"/>
      <c r="AZ1369" s="25"/>
      <c r="BA1369" s="25"/>
      <c r="BB1369" s="25"/>
      <c r="BC1369" s="25"/>
      <c r="BD1369" s="25"/>
      <c r="BE1369" s="25"/>
      <c r="BF1369" s="25"/>
      <c r="BG1369" s="25"/>
      <c r="BH1369" s="25"/>
      <c r="BI1369" s="25"/>
      <c r="BJ1369" s="25"/>
      <c r="BK1369" s="25"/>
      <c r="BL1369" s="25"/>
      <c r="BM1369" s="25"/>
      <c r="BN1369" s="25"/>
      <c r="BO1369" s="25"/>
      <c r="BP1369" s="25"/>
      <c r="BQ1369" s="25"/>
      <c r="BR1369" s="25"/>
      <c r="BS1369" s="25"/>
      <c r="BT1369" s="25"/>
      <c r="BU1369" s="25"/>
      <c r="BV1369" s="25"/>
      <c r="BW1369" s="25"/>
      <c r="BX1369" s="25"/>
      <c r="BY1369" s="25"/>
      <c r="BZ1369" s="25"/>
      <c r="CA1369" s="25"/>
      <c r="CB1369" s="25"/>
      <c r="CC1369" s="25"/>
      <c r="CD1369" s="25"/>
      <c r="CE1369" s="200"/>
      <c r="CF1369" s="200"/>
      <c r="CG1369" s="200"/>
      <c r="CH1369" s="200"/>
      <c r="CI1369" s="200"/>
      <c r="CJ1369" s="200"/>
      <c r="CK1369" s="200"/>
      <c r="CL1369" s="200"/>
      <c r="CM1369" s="200"/>
      <c r="CN1369" s="200"/>
      <c r="CO1369" s="200"/>
      <c r="CP1369" s="200"/>
      <c r="CQ1369" s="200"/>
      <c r="CR1369" s="200"/>
      <c r="CS1369" s="200"/>
      <c r="CT1369" s="200"/>
      <c r="CU1369" s="200"/>
    </row>
    <row r="1370" spans="1:99" s="17" customFormat="1" x14ac:dyDescent="0.2">
      <c r="A1370" s="25"/>
      <c r="B1370" s="20">
        <v>39093080702</v>
      </c>
      <c r="C1370" s="20">
        <v>807.02</v>
      </c>
      <c r="D1370" s="20" t="s">
        <v>52</v>
      </c>
      <c r="E1370" s="20" t="s">
        <v>2829</v>
      </c>
      <c r="F1370" s="20" t="s">
        <v>8</v>
      </c>
      <c r="G1370" s="861">
        <v>51.764981999971397</v>
      </c>
      <c r="H1370" s="861">
        <v>51.131912682503803</v>
      </c>
      <c r="I1370" s="861">
        <v>16.470809970905201</v>
      </c>
      <c r="J1370" s="861">
        <v>50.921451460810196</v>
      </c>
      <c r="K1370" s="982">
        <v>0</v>
      </c>
      <c r="L1370" s="735" t="s">
        <v>2466</v>
      </c>
      <c r="M1370" s="735">
        <v>5654</v>
      </c>
      <c r="N1370" s="845" t="str">
        <f t="shared" si="118"/>
        <v/>
      </c>
      <c r="O1370" s="735">
        <v>4.124319705853785</v>
      </c>
      <c r="P1370" s="735">
        <f t="shared" si="119"/>
        <v>1370.8927540159141</v>
      </c>
      <c r="Q1370" s="849">
        <v>45.9</v>
      </c>
      <c r="R1370" s="71">
        <v>118229</v>
      </c>
      <c r="S1370" s="845">
        <v>1.1850017686593562E-2</v>
      </c>
      <c r="T1370" s="845">
        <v>1.3000000000000001E-2</v>
      </c>
      <c r="U1370" s="845">
        <v>4.0999999999999995E-2</v>
      </c>
      <c r="V1370" s="845">
        <v>0</v>
      </c>
      <c r="W1370" s="845">
        <v>8.6425551902301556E-2</v>
      </c>
      <c r="X1370" s="845">
        <v>0.32065217391304346</v>
      </c>
      <c r="Y1370" s="845">
        <v>0.8565617262115317</v>
      </c>
      <c r="Z1370" s="845">
        <v>3.0774672798019102E-2</v>
      </c>
      <c r="AA1370" s="845">
        <v>0</v>
      </c>
      <c r="AB1370" s="845">
        <v>4.0679165192783872E-3</v>
      </c>
      <c r="AC1370" s="845">
        <v>0</v>
      </c>
      <c r="AD1370" s="845">
        <v>2.0870180403254335E-2</v>
      </c>
      <c r="AE1370" s="845">
        <v>8.7725504067916515E-2</v>
      </c>
      <c r="AF1370" s="845">
        <v>0.10912628227803325</v>
      </c>
      <c r="AG1370" s="845">
        <v>0.85125574814290772</v>
      </c>
      <c r="AH1370" s="20" t="str">
        <f t="shared" si="120"/>
        <v>No</v>
      </c>
      <c r="AI1370" s="25"/>
      <c r="AJ1370" s="37">
        <v>45338</v>
      </c>
      <c r="AK1370" s="37" t="s">
        <v>1690</v>
      </c>
      <c r="AL1370" s="37">
        <v>39135</v>
      </c>
      <c r="AM1370" s="37" t="s">
        <v>73</v>
      </c>
      <c r="AN1370" s="37" t="str">
        <f t="shared" si="121"/>
        <v>N/A</v>
      </c>
      <c r="AO1370" s="37" t="str">
        <f t="shared" si="122"/>
        <v>N/A</v>
      </c>
      <c r="AP1370" s="37" t="s">
        <v>8</v>
      </c>
      <c r="AQ1370" s="25"/>
      <c r="AR1370" s="25"/>
      <c r="AS1370" s="25"/>
      <c r="AT1370" s="25"/>
      <c r="AU1370" s="36"/>
      <c r="AV1370" s="36"/>
      <c r="AW1370" s="36"/>
      <c r="AX1370" s="25"/>
      <c r="AY1370" s="25"/>
      <c r="AZ1370" s="25"/>
      <c r="BA1370" s="25"/>
      <c r="BB1370" s="25"/>
      <c r="BC1370" s="25"/>
      <c r="BD1370" s="25"/>
      <c r="BE1370" s="25"/>
      <c r="BF1370" s="25"/>
      <c r="BG1370" s="25"/>
      <c r="BH1370" s="25"/>
      <c r="BI1370" s="25"/>
      <c r="BJ1370" s="25"/>
      <c r="BK1370" s="25"/>
      <c r="BL1370" s="25"/>
      <c r="BM1370" s="25"/>
      <c r="BN1370" s="25"/>
      <c r="BO1370" s="25"/>
      <c r="BP1370" s="25"/>
      <c r="BQ1370" s="25"/>
      <c r="BR1370" s="25"/>
      <c r="BS1370" s="25"/>
      <c r="BT1370" s="25"/>
      <c r="BU1370" s="25"/>
      <c r="BV1370" s="25"/>
      <c r="BW1370" s="25"/>
      <c r="BX1370" s="25"/>
      <c r="BY1370" s="25"/>
      <c r="BZ1370" s="25"/>
      <c r="CA1370" s="25"/>
      <c r="CB1370" s="25"/>
      <c r="CC1370" s="25"/>
      <c r="CD1370" s="25"/>
      <c r="CE1370" s="200"/>
      <c r="CF1370" s="200"/>
      <c r="CG1370" s="200"/>
      <c r="CH1370" s="200"/>
      <c r="CI1370" s="200"/>
      <c r="CJ1370" s="200"/>
      <c r="CK1370" s="200"/>
      <c r="CL1370" s="200"/>
      <c r="CM1370" s="200"/>
      <c r="CN1370" s="200"/>
      <c r="CO1370" s="200"/>
      <c r="CP1370" s="200"/>
      <c r="CQ1370" s="200"/>
      <c r="CR1370" s="200"/>
      <c r="CS1370" s="200"/>
      <c r="CT1370" s="200"/>
      <c r="CU1370" s="200"/>
    </row>
    <row r="1371" spans="1:99" s="17" customFormat="1" x14ac:dyDescent="0.2">
      <c r="A1371" s="25"/>
      <c r="B1371" s="20">
        <v>39055311700</v>
      </c>
      <c r="C1371" s="20">
        <v>3117</v>
      </c>
      <c r="D1371" s="20" t="s">
        <v>34</v>
      </c>
      <c r="E1371" s="20" t="s">
        <v>2829</v>
      </c>
      <c r="F1371" s="20" t="s">
        <v>8</v>
      </c>
      <c r="G1371" s="861">
        <v>51.761291105716097</v>
      </c>
      <c r="H1371" s="861">
        <v>50.043421456942802</v>
      </c>
      <c r="I1371" s="861">
        <v>27.965059802109199</v>
      </c>
      <c r="J1371" s="861">
        <v>50.294083154542101</v>
      </c>
      <c r="K1371" s="982">
        <v>0</v>
      </c>
      <c r="L1371" s="735">
        <v>4240</v>
      </c>
      <c r="M1371" s="735">
        <v>4967</v>
      </c>
      <c r="N1371" s="845">
        <f t="shared" si="118"/>
        <v>0.1714622641509434</v>
      </c>
      <c r="O1371" s="735">
        <v>7.2634117227665573</v>
      </c>
      <c r="P1371" s="735">
        <f t="shared" si="119"/>
        <v>683.83842050855435</v>
      </c>
      <c r="Q1371" s="849">
        <v>51.6</v>
      </c>
      <c r="R1371" s="71">
        <v>136146</v>
      </c>
      <c r="S1371" s="845">
        <v>5.3150795248641032E-2</v>
      </c>
      <c r="T1371" s="845">
        <v>2.6000000000000002E-2</v>
      </c>
      <c r="U1371" s="845">
        <v>0</v>
      </c>
      <c r="V1371" s="845">
        <v>0</v>
      </c>
      <c r="W1371" s="845">
        <v>0.24407582938388625</v>
      </c>
      <c r="X1371" s="845">
        <v>0.42135922330097086</v>
      </c>
      <c r="Y1371" s="845">
        <v>0.92933360177169322</v>
      </c>
      <c r="Z1371" s="845">
        <v>4.5500301993154822E-2</v>
      </c>
      <c r="AA1371" s="845">
        <v>0</v>
      </c>
      <c r="AB1371" s="845">
        <v>5.637205556674049E-3</v>
      </c>
      <c r="AC1371" s="845">
        <v>0</v>
      </c>
      <c r="AD1371" s="845">
        <v>1.0066438494060802E-3</v>
      </c>
      <c r="AE1371" s="845">
        <v>1.8522246829071873E-2</v>
      </c>
      <c r="AF1371" s="845">
        <v>2.6978055164082946E-2</v>
      </c>
      <c r="AG1371" s="845">
        <v>0.90336219045701627</v>
      </c>
      <c r="AH1371" s="20" t="str">
        <f t="shared" si="120"/>
        <v>Yes</v>
      </c>
      <c r="AI1371" s="25"/>
      <c r="AJ1371" s="37">
        <v>45347</v>
      </c>
      <c r="AK1371" s="37" t="s">
        <v>1698</v>
      </c>
      <c r="AL1371" s="37">
        <v>39135</v>
      </c>
      <c r="AM1371" s="37" t="s">
        <v>73</v>
      </c>
      <c r="AN1371" s="37" t="str">
        <f t="shared" si="121"/>
        <v>N/A</v>
      </c>
      <c r="AO1371" s="37" t="str">
        <f t="shared" si="122"/>
        <v>N/A</v>
      </c>
      <c r="AP1371" s="37" t="s">
        <v>8</v>
      </c>
      <c r="AQ1371" s="25"/>
      <c r="AR1371" s="25"/>
      <c r="AS1371" s="25"/>
      <c r="AT1371" s="25"/>
      <c r="AU1371" s="36"/>
      <c r="AV1371" s="36"/>
      <c r="AW1371" s="36"/>
      <c r="AX1371" s="25"/>
      <c r="AY1371" s="25"/>
      <c r="AZ1371" s="25"/>
      <c r="BA1371" s="25"/>
      <c r="BB1371" s="25"/>
      <c r="BC1371" s="25"/>
      <c r="BD1371" s="25"/>
      <c r="BE1371" s="25"/>
      <c r="BF1371" s="25"/>
      <c r="BG1371" s="25"/>
      <c r="BH1371" s="25"/>
      <c r="BI1371" s="25"/>
      <c r="BJ1371" s="25"/>
      <c r="BK1371" s="25"/>
      <c r="BL1371" s="25"/>
      <c r="BM1371" s="25"/>
      <c r="BN1371" s="25"/>
      <c r="BO1371" s="25"/>
      <c r="BP1371" s="25"/>
      <c r="BQ1371" s="25"/>
      <c r="BR1371" s="25"/>
      <c r="BS1371" s="25"/>
      <c r="BT1371" s="25"/>
      <c r="BU1371" s="25"/>
      <c r="BV1371" s="25"/>
      <c r="BW1371" s="25"/>
      <c r="BX1371" s="25"/>
      <c r="BY1371" s="25"/>
      <c r="BZ1371" s="25"/>
      <c r="CA1371" s="25"/>
      <c r="CB1371" s="25"/>
      <c r="CC1371" s="25"/>
      <c r="CD1371" s="25"/>
      <c r="CE1371" s="200"/>
      <c r="CF1371" s="200"/>
      <c r="CG1371" s="200"/>
      <c r="CH1371" s="200"/>
      <c r="CI1371" s="200"/>
      <c r="CJ1371" s="200"/>
      <c r="CK1371" s="200"/>
      <c r="CL1371" s="200"/>
      <c r="CM1371" s="200"/>
      <c r="CN1371" s="200"/>
      <c r="CO1371" s="200"/>
      <c r="CP1371" s="200"/>
      <c r="CQ1371" s="200"/>
      <c r="CR1371" s="200"/>
      <c r="CS1371" s="200"/>
      <c r="CT1371" s="200"/>
      <c r="CU1371" s="200"/>
    </row>
    <row r="1372" spans="1:99" s="17" customFormat="1" x14ac:dyDescent="0.2">
      <c r="A1372" s="25"/>
      <c r="B1372" s="20">
        <v>39035177505</v>
      </c>
      <c r="C1372" s="20">
        <v>1775.05</v>
      </c>
      <c r="D1372" s="20" t="s">
        <v>24</v>
      </c>
      <c r="E1372" s="20" t="s">
        <v>2829</v>
      </c>
      <c r="F1372" s="20" t="s">
        <v>8</v>
      </c>
      <c r="G1372" s="861">
        <v>51.747539227103999</v>
      </c>
      <c r="H1372" s="861">
        <v>51.881942259682098</v>
      </c>
      <c r="I1372" s="861">
        <v>24.372852083133701</v>
      </c>
      <c r="J1372" s="861">
        <v>42.234571759134298</v>
      </c>
      <c r="K1372" s="982">
        <v>0</v>
      </c>
      <c r="L1372" s="735">
        <v>4342</v>
      </c>
      <c r="M1372" s="735">
        <v>4170</v>
      </c>
      <c r="N1372" s="845">
        <f t="shared" si="118"/>
        <v>-3.9613081529249194E-2</v>
      </c>
      <c r="O1372" s="735">
        <v>1.4172953095139886</v>
      </c>
      <c r="P1372" s="735">
        <f t="shared" si="119"/>
        <v>2942.2238061522648</v>
      </c>
      <c r="Q1372" s="849">
        <v>55</v>
      </c>
      <c r="R1372" s="71">
        <v>82500</v>
      </c>
      <c r="S1372" s="845">
        <v>3.8609112709832132E-2</v>
      </c>
      <c r="T1372" s="845">
        <v>4.9000000000000002E-2</v>
      </c>
      <c r="U1372" s="845">
        <v>0</v>
      </c>
      <c r="V1372" s="845">
        <v>7.2999999999999995E-2</v>
      </c>
      <c r="W1372" s="845">
        <v>0.18901098901098901</v>
      </c>
      <c r="X1372" s="845">
        <v>0.32848837209302323</v>
      </c>
      <c r="Y1372" s="845">
        <v>0.90335731414868103</v>
      </c>
      <c r="Z1372" s="845">
        <v>1.3908872901678656E-2</v>
      </c>
      <c r="AA1372" s="845">
        <v>2.3980815347721823E-4</v>
      </c>
      <c r="AB1372" s="845">
        <v>3.5971223021582732E-2</v>
      </c>
      <c r="AC1372" s="845">
        <v>0</v>
      </c>
      <c r="AD1372" s="845">
        <v>0</v>
      </c>
      <c r="AE1372" s="845">
        <v>4.6522781774580337E-2</v>
      </c>
      <c r="AF1372" s="845">
        <v>1.1510791366906475E-2</v>
      </c>
      <c r="AG1372" s="845">
        <v>0.89184652278177456</v>
      </c>
      <c r="AH1372" s="20" t="str">
        <f t="shared" si="120"/>
        <v>No</v>
      </c>
      <c r="AI1372" s="25"/>
      <c r="AJ1372" s="37">
        <v>45378</v>
      </c>
      <c r="AK1372" s="37" t="s">
        <v>1721</v>
      </c>
      <c r="AL1372" s="37">
        <v>39135</v>
      </c>
      <c r="AM1372" s="37" t="s">
        <v>73</v>
      </c>
      <c r="AN1372" s="37" t="str">
        <f t="shared" si="121"/>
        <v>N/A</v>
      </c>
      <c r="AO1372" s="37" t="str">
        <f t="shared" si="122"/>
        <v>N/A</v>
      </c>
      <c r="AP1372" s="37" t="s">
        <v>8</v>
      </c>
      <c r="AQ1372" s="25"/>
      <c r="AR1372" s="25"/>
      <c r="AS1372" s="25"/>
      <c r="AT1372" s="25"/>
      <c r="AU1372" s="36"/>
      <c r="AV1372" s="36"/>
      <c r="AW1372" s="36"/>
      <c r="AX1372" s="25"/>
      <c r="AY1372" s="25"/>
      <c r="AZ1372" s="25"/>
      <c r="BA1372" s="25"/>
      <c r="BB1372" s="25"/>
      <c r="BC1372" s="25"/>
      <c r="BD1372" s="25"/>
      <c r="BE1372" s="25"/>
      <c r="BF1372" s="25"/>
      <c r="BG1372" s="25"/>
      <c r="BH1372" s="25"/>
      <c r="BI1372" s="25"/>
      <c r="BJ1372" s="25"/>
      <c r="BK1372" s="25"/>
      <c r="BL1372" s="25"/>
      <c r="BM1372" s="25"/>
      <c r="BN1372" s="25"/>
      <c r="BO1372" s="25"/>
      <c r="BP1372" s="25"/>
      <c r="BQ1372" s="25"/>
      <c r="BR1372" s="25"/>
      <c r="BS1372" s="25"/>
      <c r="BT1372" s="25"/>
      <c r="BU1372" s="25"/>
      <c r="BV1372" s="25"/>
      <c r="BW1372" s="25"/>
      <c r="BX1372" s="25"/>
      <c r="BY1372" s="25"/>
      <c r="BZ1372" s="25"/>
      <c r="CA1372" s="25"/>
      <c r="CB1372" s="25"/>
      <c r="CC1372" s="25"/>
      <c r="CD1372" s="25"/>
      <c r="CE1372" s="200"/>
      <c r="CF1372" s="200"/>
      <c r="CG1372" s="200"/>
      <c r="CH1372" s="200"/>
      <c r="CI1372" s="200"/>
      <c r="CJ1372" s="200"/>
      <c r="CK1372" s="200"/>
      <c r="CL1372" s="200"/>
      <c r="CM1372" s="200"/>
      <c r="CN1372" s="200"/>
      <c r="CO1372" s="200"/>
      <c r="CP1372" s="200"/>
      <c r="CQ1372" s="200"/>
      <c r="CR1372" s="200"/>
      <c r="CS1372" s="200"/>
      <c r="CT1372" s="200"/>
      <c r="CU1372" s="200"/>
    </row>
    <row r="1373" spans="1:99" s="17" customFormat="1" x14ac:dyDescent="0.2">
      <c r="A1373" s="25"/>
      <c r="B1373" s="20">
        <v>39089754103</v>
      </c>
      <c r="C1373" s="20">
        <v>7541.03</v>
      </c>
      <c r="D1373" s="20" t="s">
        <v>50</v>
      </c>
      <c r="E1373" s="20" t="s">
        <v>2830</v>
      </c>
      <c r="F1373" s="20" t="s">
        <v>8</v>
      </c>
      <c r="G1373" s="861">
        <v>51.731090998654899</v>
      </c>
      <c r="H1373" s="861">
        <v>51.565916412583903</v>
      </c>
      <c r="I1373" s="861">
        <v>10.1490600250937</v>
      </c>
      <c r="J1373" s="861">
        <v>56.526739094191598</v>
      </c>
      <c r="K1373" s="982">
        <v>0</v>
      </c>
      <c r="L1373" s="735" t="s">
        <v>2466</v>
      </c>
      <c r="M1373" s="735">
        <v>2152</v>
      </c>
      <c r="N1373" s="845" t="str">
        <f t="shared" si="118"/>
        <v/>
      </c>
      <c r="O1373" s="735">
        <v>3.4398849035642871</v>
      </c>
      <c r="P1373" s="735">
        <f t="shared" si="119"/>
        <v>625.60232691802378</v>
      </c>
      <c r="Q1373" s="849">
        <v>38.4</v>
      </c>
      <c r="R1373" s="71">
        <v>87266</v>
      </c>
      <c r="S1373" s="845">
        <v>8.874357776739842E-3</v>
      </c>
      <c r="T1373" s="845">
        <v>6.3E-2</v>
      </c>
      <c r="U1373" s="845">
        <v>0</v>
      </c>
      <c r="V1373" s="845">
        <v>0.105</v>
      </c>
      <c r="W1373" s="845">
        <v>0.23139377537212449</v>
      </c>
      <c r="X1373" s="845">
        <v>0.1111111111111111</v>
      </c>
      <c r="Y1373" s="845">
        <v>0.97072490706319703</v>
      </c>
      <c r="Z1373" s="845">
        <v>0</v>
      </c>
      <c r="AA1373" s="845">
        <v>0</v>
      </c>
      <c r="AB1373" s="845">
        <v>0</v>
      </c>
      <c r="AC1373" s="845">
        <v>0</v>
      </c>
      <c r="AD1373" s="845">
        <v>0</v>
      </c>
      <c r="AE1373" s="845">
        <v>2.9275092936802975E-2</v>
      </c>
      <c r="AF1373" s="845">
        <v>4.4609665427509292E-2</v>
      </c>
      <c r="AG1373" s="845">
        <v>0.9261152416356877</v>
      </c>
      <c r="AH1373" s="20" t="str">
        <f t="shared" si="120"/>
        <v>Yes</v>
      </c>
      <c r="AI1373" s="25"/>
      <c r="AJ1373" s="37">
        <v>45381</v>
      </c>
      <c r="AK1373" s="37" t="s">
        <v>1723</v>
      </c>
      <c r="AL1373" s="37">
        <v>39135</v>
      </c>
      <c r="AM1373" s="37" t="s">
        <v>73</v>
      </c>
      <c r="AN1373" s="37" t="str">
        <f t="shared" si="121"/>
        <v>N/A</v>
      </c>
      <c r="AO1373" s="37" t="str">
        <f t="shared" si="122"/>
        <v>N/A</v>
      </c>
      <c r="AP1373" s="37" t="s">
        <v>8</v>
      </c>
      <c r="AQ1373" s="25"/>
      <c r="AR1373" s="25"/>
      <c r="AS1373" s="25"/>
      <c r="AT1373" s="25"/>
      <c r="AU1373" s="36"/>
      <c r="AV1373" s="36"/>
      <c r="AW1373" s="36"/>
      <c r="AX1373" s="25"/>
      <c r="AY1373" s="25"/>
      <c r="AZ1373" s="25"/>
      <c r="BA1373" s="25"/>
      <c r="BB1373" s="25"/>
      <c r="BC1373" s="25"/>
      <c r="BD1373" s="25"/>
      <c r="BE1373" s="25"/>
      <c r="BF1373" s="25"/>
      <c r="BG1373" s="25"/>
      <c r="BH1373" s="25"/>
      <c r="BI1373" s="25"/>
      <c r="BJ1373" s="25"/>
      <c r="BK1373" s="25"/>
      <c r="BL1373" s="25"/>
      <c r="BM1373" s="25"/>
      <c r="BN1373" s="25"/>
      <c r="BO1373" s="25"/>
      <c r="BP1373" s="25"/>
      <c r="BQ1373" s="25"/>
      <c r="BR1373" s="25"/>
      <c r="BS1373" s="25"/>
      <c r="BT1373" s="25"/>
      <c r="BU1373" s="25"/>
      <c r="BV1373" s="25"/>
      <c r="BW1373" s="25"/>
      <c r="BX1373" s="25"/>
      <c r="BY1373" s="25"/>
      <c r="BZ1373" s="25"/>
      <c r="CA1373" s="25"/>
      <c r="CB1373" s="25"/>
      <c r="CC1373" s="25"/>
      <c r="CD1373" s="25"/>
      <c r="CE1373" s="200"/>
      <c r="CF1373" s="200"/>
      <c r="CG1373" s="200"/>
      <c r="CH1373" s="200"/>
      <c r="CI1373" s="200"/>
      <c r="CJ1373" s="200"/>
      <c r="CK1373" s="200"/>
      <c r="CL1373" s="200"/>
      <c r="CM1373" s="200"/>
      <c r="CN1373" s="200"/>
      <c r="CO1373" s="200"/>
      <c r="CP1373" s="200"/>
      <c r="CQ1373" s="200"/>
      <c r="CR1373" s="200"/>
      <c r="CS1373" s="200"/>
      <c r="CT1373" s="200"/>
      <c r="CU1373" s="200"/>
    </row>
    <row r="1374" spans="1:99" s="17" customFormat="1" x14ac:dyDescent="0.2">
      <c r="A1374" s="25"/>
      <c r="B1374" s="20">
        <v>39081001200</v>
      </c>
      <c r="C1374" s="20">
        <v>12</v>
      </c>
      <c r="D1374" s="20" t="s">
        <v>47</v>
      </c>
      <c r="E1374" s="20" t="s">
        <v>2840</v>
      </c>
      <c r="F1374" s="20" t="s">
        <v>8</v>
      </c>
      <c r="G1374" s="861">
        <v>51.715249820053998</v>
      </c>
      <c r="H1374" s="861">
        <v>49.496902872953598</v>
      </c>
      <c r="I1374" s="861">
        <v>31.760964374374701</v>
      </c>
      <c r="J1374" s="861">
        <v>37.6087163124051</v>
      </c>
      <c r="K1374" s="982">
        <v>0</v>
      </c>
      <c r="L1374" s="735">
        <v>5008</v>
      </c>
      <c r="M1374" s="735">
        <v>5085</v>
      </c>
      <c r="N1374" s="845">
        <f t="shared" si="118"/>
        <v>1.5375399361022364E-2</v>
      </c>
      <c r="O1374" s="735">
        <v>6.7954014661480437</v>
      </c>
      <c r="P1374" s="735">
        <f t="shared" si="119"/>
        <v>748.30015935503206</v>
      </c>
      <c r="Q1374" s="849">
        <v>47.9</v>
      </c>
      <c r="R1374" s="71">
        <v>71505</v>
      </c>
      <c r="S1374" s="845">
        <v>8.8147111732960221E-2</v>
      </c>
      <c r="T1374" s="845">
        <v>3.7000000000000005E-2</v>
      </c>
      <c r="U1374" s="845">
        <v>0</v>
      </c>
      <c r="V1374" s="845">
        <v>8.5000000000000006E-2</v>
      </c>
      <c r="W1374" s="845">
        <v>0.32818883340898775</v>
      </c>
      <c r="X1374" s="845">
        <v>0.41632088520055327</v>
      </c>
      <c r="Y1374" s="845">
        <v>0.94277286135693217</v>
      </c>
      <c r="Z1374" s="845">
        <v>2.6548672566371681E-2</v>
      </c>
      <c r="AA1374" s="845">
        <v>0</v>
      </c>
      <c r="AB1374" s="845">
        <v>0</v>
      </c>
      <c r="AC1374" s="845">
        <v>0</v>
      </c>
      <c r="AD1374" s="845">
        <v>5.8997050147492625E-3</v>
      </c>
      <c r="AE1374" s="845">
        <v>2.4778761061946902E-2</v>
      </c>
      <c r="AF1374" s="845">
        <v>1.1406096361848575E-2</v>
      </c>
      <c r="AG1374" s="845">
        <v>0.93726647000983287</v>
      </c>
      <c r="AH1374" s="20" t="str">
        <f t="shared" si="120"/>
        <v>Yes</v>
      </c>
      <c r="AI1374" s="25"/>
      <c r="AJ1374" s="37">
        <v>45382</v>
      </c>
      <c r="AK1374" s="37" t="s">
        <v>1724</v>
      </c>
      <c r="AL1374" s="37">
        <v>39135</v>
      </c>
      <c r="AM1374" s="37" t="s">
        <v>73</v>
      </c>
      <c r="AN1374" s="37" t="str">
        <f t="shared" si="121"/>
        <v>N/A</v>
      </c>
      <c r="AO1374" s="37" t="str">
        <f t="shared" si="122"/>
        <v>N/A</v>
      </c>
      <c r="AP1374" s="37" t="s">
        <v>8</v>
      </c>
      <c r="AQ1374" s="25"/>
      <c r="AR1374" s="25"/>
      <c r="AS1374" s="25"/>
      <c r="AT1374" s="25"/>
      <c r="AU1374" s="36"/>
      <c r="AV1374" s="36"/>
      <c r="AW1374" s="36"/>
      <c r="AX1374" s="25"/>
      <c r="AY1374" s="25"/>
      <c r="AZ1374" s="25"/>
      <c r="BA1374" s="25"/>
      <c r="BB1374" s="25"/>
      <c r="BC1374" s="25"/>
      <c r="BD1374" s="25"/>
      <c r="BE1374" s="25"/>
      <c r="BF1374" s="25"/>
      <c r="BG1374" s="25"/>
      <c r="BH1374" s="25"/>
      <c r="BI1374" s="25"/>
      <c r="BJ1374" s="25"/>
      <c r="BK1374" s="25"/>
      <c r="BL1374" s="25"/>
      <c r="BM1374" s="25"/>
      <c r="BN1374" s="25"/>
      <c r="BO1374" s="25"/>
      <c r="BP1374" s="25"/>
      <c r="BQ1374" s="25"/>
      <c r="BR1374" s="25"/>
      <c r="BS1374" s="25"/>
      <c r="BT1374" s="25"/>
      <c r="BU1374" s="25"/>
      <c r="BV1374" s="25"/>
      <c r="BW1374" s="25"/>
      <c r="BX1374" s="25"/>
      <c r="BY1374" s="25"/>
      <c r="BZ1374" s="25"/>
      <c r="CA1374" s="25"/>
      <c r="CB1374" s="25"/>
      <c r="CC1374" s="25"/>
      <c r="CD1374" s="25"/>
      <c r="CE1374" s="200"/>
      <c r="CF1374" s="200"/>
      <c r="CG1374" s="200"/>
      <c r="CH1374" s="200"/>
      <c r="CI1374" s="200"/>
      <c r="CJ1374" s="200"/>
      <c r="CK1374" s="200"/>
      <c r="CL1374" s="200"/>
      <c r="CM1374" s="200"/>
      <c r="CN1374" s="200"/>
      <c r="CO1374" s="200"/>
      <c r="CP1374" s="200"/>
      <c r="CQ1374" s="200"/>
      <c r="CR1374" s="200"/>
      <c r="CS1374" s="200"/>
      <c r="CT1374" s="200"/>
      <c r="CU1374" s="200"/>
    </row>
    <row r="1375" spans="1:99" s="17" customFormat="1" x14ac:dyDescent="0.2">
      <c r="A1375" s="25"/>
      <c r="B1375" s="20">
        <v>39137030500</v>
      </c>
      <c r="C1375" s="20">
        <v>305</v>
      </c>
      <c r="D1375" s="20" t="s">
        <v>74</v>
      </c>
      <c r="E1375" s="20" t="s">
        <v>265</v>
      </c>
      <c r="F1375" s="20" t="s">
        <v>8</v>
      </c>
      <c r="G1375" s="861">
        <v>51.676418330066099</v>
      </c>
      <c r="H1375" s="861">
        <v>50.302834527042798</v>
      </c>
      <c r="I1375" s="861">
        <v>24.5009986806493</v>
      </c>
      <c r="J1375" s="861">
        <v>39.158606307657699</v>
      </c>
      <c r="K1375" s="982">
        <v>0</v>
      </c>
      <c r="L1375" s="735">
        <v>3758</v>
      </c>
      <c r="M1375" s="735">
        <v>3769</v>
      </c>
      <c r="N1375" s="845">
        <f t="shared" si="118"/>
        <v>2.927088877062267E-3</v>
      </c>
      <c r="O1375" s="735">
        <v>36.36698587006255</v>
      </c>
      <c r="P1375" s="735">
        <f t="shared" si="119"/>
        <v>103.63795376021679</v>
      </c>
      <c r="Q1375" s="849">
        <v>35.6</v>
      </c>
      <c r="R1375" s="71">
        <v>76453</v>
      </c>
      <c r="S1375" s="845">
        <v>6.6595914035553191E-2</v>
      </c>
      <c r="T1375" s="845">
        <v>4.7E-2</v>
      </c>
      <c r="U1375" s="845">
        <v>0</v>
      </c>
      <c r="V1375" s="845">
        <v>5.7000000000000002E-2</v>
      </c>
      <c r="W1375" s="845">
        <v>0.12960339943342777</v>
      </c>
      <c r="X1375" s="845">
        <v>0.18579234972677597</v>
      </c>
      <c r="Y1375" s="845">
        <v>0.89625895462987526</v>
      </c>
      <c r="Z1375" s="845">
        <v>1.6184664367206156E-2</v>
      </c>
      <c r="AA1375" s="845">
        <v>0</v>
      </c>
      <c r="AB1375" s="845">
        <v>2.1225789334040858E-3</v>
      </c>
      <c r="AC1375" s="845">
        <v>0</v>
      </c>
      <c r="AD1375" s="845">
        <v>5.2268506235075618E-2</v>
      </c>
      <c r="AE1375" s="845">
        <v>3.3165295834438842E-2</v>
      </c>
      <c r="AF1375" s="845">
        <v>5.6248341735208277E-2</v>
      </c>
      <c r="AG1375" s="845">
        <v>0.88485009286282834</v>
      </c>
      <c r="AH1375" s="20" t="str">
        <f t="shared" si="120"/>
        <v>No</v>
      </c>
      <c r="AI1375" s="25"/>
      <c r="AJ1375" s="37">
        <v>43516</v>
      </c>
      <c r="AK1375" s="37" t="s">
        <v>958</v>
      </c>
      <c r="AL1375" s="37">
        <v>39137</v>
      </c>
      <c r="AM1375" s="37" t="s">
        <v>74</v>
      </c>
      <c r="AN1375" s="37" t="str">
        <f t="shared" si="121"/>
        <v>N/A</v>
      </c>
      <c r="AO1375" s="37" t="str">
        <f t="shared" si="122"/>
        <v>N/A</v>
      </c>
      <c r="AP1375" s="37" t="s">
        <v>8</v>
      </c>
      <c r="AQ1375" s="25"/>
      <c r="AR1375" s="25"/>
      <c r="AS1375" s="25"/>
      <c r="AT1375" s="25"/>
      <c r="AU1375" s="36"/>
      <c r="AV1375" s="36"/>
      <c r="AW1375" s="36"/>
      <c r="AX1375" s="25"/>
      <c r="AY1375" s="25"/>
      <c r="AZ1375" s="25"/>
      <c r="BA1375" s="25"/>
      <c r="BB1375" s="25"/>
      <c r="BC1375" s="25"/>
      <c r="BD1375" s="25"/>
      <c r="BE1375" s="25"/>
      <c r="BF1375" s="25"/>
      <c r="BG1375" s="25"/>
      <c r="BH1375" s="25"/>
      <c r="BI1375" s="25"/>
      <c r="BJ1375" s="25"/>
      <c r="BK1375" s="25"/>
      <c r="BL1375" s="25"/>
      <c r="BM1375" s="25"/>
      <c r="BN1375" s="25"/>
      <c r="BO1375" s="25"/>
      <c r="BP1375" s="25"/>
      <c r="BQ1375" s="25"/>
      <c r="BR1375" s="25"/>
      <c r="BS1375" s="25"/>
      <c r="BT1375" s="25"/>
      <c r="BU1375" s="25"/>
      <c r="BV1375" s="25"/>
      <c r="BW1375" s="25"/>
      <c r="BX1375" s="25"/>
      <c r="BY1375" s="25"/>
      <c r="BZ1375" s="25"/>
      <c r="CA1375" s="25"/>
      <c r="CB1375" s="25"/>
      <c r="CC1375" s="25"/>
      <c r="CD1375" s="25"/>
      <c r="CE1375" s="200"/>
      <c r="CF1375" s="200"/>
      <c r="CG1375" s="200"/>
      <c r="CH1375" s="200"/>
      <c r="CI1375" s="200"/>
      <c r="CJ1375" s="200"/>
      <c r="CK1375" s="200"/>
      <c r="CL1375" s="200"/>
      <c r="CM1375" s="200"/>
      <c r="CN1375" s="200"/>
      <c r="CO1375" s="200"/>
      <c r="CP1375" s="200"/>
      <c r="CQ1375" s="200"/>
      <c r="CR1375" s="200"/>
      <c r="CS1375" s="200"/>
      <c r="CT1375" s="200"/>
      <c r="CU1375" s="200"/>
    </row>
    <row r="1376" spans="1:99" s="17" customFormat="1" x14ac:dyDescent="0.2">
      <c r="A1376" s="25"/>
      <c r="B1376" s="20">
        <v>39085204900</v>
      </c>
      <c r="C1376" s="20">
        <v>2049</v>
      </c>
      <c r="D1376" s="20" t="s">
        <v>48</v>
      </c>
      <c r="E1376" s="20" t="s">
        <v>2829</v>
      </c>
      <c r="F1376" s="20" t="s">
        <v>8</v>
      </c>
      <c r="G1376" s="861">
        <v>51.6718214299392</v>
      </c>
      <c r="H1376" s="861">
        <v>63.680039507513001</v>
      </c>
      <c r="I1376" s="861">
        <v>20.267255824557001</v>
      </c>
      <c r="J1376" s="861">
        <v>47.9167436554769</v>
      </c>
      <c r="K1376" s="982">
        <v>0</v>
      </c>
      <c r="L1376" s="735">
        <v>6204</v>
      </c>
      <c r="M1376" s="735">
        <v>5524</v>
      </c>
      <c r="N1376" s="845">
        <f t="shared" si="118"/>
        <v>-0.1096067053513862</v>
      </c>
      <c r="O1376" s="735">
        <v>5.2360224927827952</v>
      </c>
      <c r="P1376" s="735">
        <f t="shared" si="119"/>
        <v>1054.9992876490019</v>
      </c>
      <c r="Q1376" s="849">
        <v>41.1</v>
      </c>
      <c r="R1376" s="71">
        <v>100703</v>
      </c>
      <c r="S1376" s="845">
        <v>7.3157415832575068E-2</v>
      </c>
      <c r="T1376" s="845">
        <v>2.2000000000000002E-2</v>
      </c>
      <c r="U1376" s="845">
        <v>0</v>
      </c>
      <c r="V1376" s="845">
        <v>0</v>
      </c>
      <c r="W1376" s="845">
        <v>0.10248447204968944</v>
      </c>
      <c r="X1376" s="845">
        <v>0.29870129870129869</v>
      </c>
      <c r="Y1376" s="845">
        <v>0.90242577842143379</v>
      </c>
      <c r="Z1376" s="845">
        <v>2.0818247646632874E-2</v>
      </c>
      <c r="AA1376" s="845">
        <v>0</v>
      </c>
      <c r="AB1376" s="845">
        <v>0</v>
      </c>
      <c r="AC1376" s="845">
        <v>0</v>
      </c>
      <c r="AD1376" s="845">
        <v>0</v>
      </c>
      <c r="AE1376" s="845">
        <v>7.6755973931933383E-2</v>
      </c>
      <c r="AF1376" s="845">
        <v>3.4214337436640117E-2</v>
      </c>
      <c r="AG1376" s="845">
        <v>0.87780593772628535</v>
      </c>
      <c r="AH1376" s="20" t="str">
        <f t="shared" si="120"/>
        <v>No</v>
      </c>
      <c r="AI1376" s="25"/>
      <c r="AJ1376" s="37">
        <v>43548</v>
      </c>
      <c r="AK1376" s="37" t="s">
        <v>986</v>
      </c>
      <c r="AL1376" s="37">
        <v>39137</v>
      </c>
      <c r="AM1376" s="37" t="s">
        <v>74</v>
      </c>
      <c r="AN1376" s="37" t="str">
        <f t="shared" si="121"/>
        <v>N/A</v>
      </c>
      <c r="AO1376" s="37" t="str">
        <f t="shared" si="122"/>
        <v>N/A</v>
      </c>
      <c r="AP1376" s="37" t="s">
        <v>8</v>
      </c>
      <c r="AQ1376" s="25"/>
      <c r="AR1376" s="25"/>
      <c r="AS1376" s="25"/>
      <c r="AT1376" s="25"/>
      <c r="AU1376" s="36"/>
      <c r="AV1376" s="36"/>
      <c r="AW1376" s="36"/>
      <c r="AX1376" s="25"/>
      <c r="AY1376" s="25"/>
      <c r="AZ1376" s="25"/>
      <c r="BA1376" s="25"/>
      <c r="BB1376" s="25"/>
      <c r="BC1376" s="25"/>
      <c r="BD1376" s="25"/>
      <c r="BE1376" s="25"/>
      <c r="BF1376" s="25"/>
      <c r="BG1376" s="25"/>
      <c r="BH1376" s="25"/>
      <c r="BI1376" s="25"/>
      <c r="BJ1376" s="25"/>
      <c r="BK1376" s="25"/>
      <c r="BL1376" s="25"/>
      <c r="BM1376" s="25"/>
      <c r="BN1376" s="25"/>
      <c r="BO1376" s="25"/>
      <c r="BP1376" s="25"/>
      <c r="BQ1376" s="25"/>
      <c r="BR1376" s="25"/>
      <c r="BS1376" s="25"/>
      <c r="BT1376" s="25"/>
      <c r="BU1376" s="25"/>
      <c r="BV1376" s="25"/>
      <c r="BW1376" s="25"/>
      <c r="BX1376" s="25"/>
      <c r="BY1376" s="25"/>
      <c r="BZ1376" s="25"/>
      <c r="CA1376" s="25"/>
      <c r="CB1376" s="25"/>
      <c r="CC1376" s="25"/>
      <c r="CD1376" s="25"/>
      <c r="CE1376" s="200"/>
      <c r="CF1376" s="200"/>
      <c r="CG1376" s="200"/>
      <c r="CH1376" s="200"/>
      <c r="CI1376" s="200"/>
      <c r="CJ1376" s="200"/>
      <c r="CK1376" s="200"/>
      <c r="CL1376" s="200"/>
      <c r="CM1376" s="200"/>
      <c r="CN1376" s="200"/>
      <c r="CO1376" s="200"/>
      <c r="CP1376" s="200"/>
      <c r="CQ1376" s="200"/>
      <c r="CR1376" s="200"/>
      <c r="CS1376" s="200"/>
      <c r="CT1376" s="200"/>
      <c r="CU1376" s="200"/>
    </row>
    <row r="1377" spans="1:99" s="17" customFormat="1" x14ac:dyDescent="0.2">
      <c r="A1377" s="25"/>
      <c r="B1377" s="20">
        <v>39025040500</v>
      </c>
      <c r="C1377" s="20">
        <v>405</v>
      </c>
      <c r="D1377" s="20" t="s">
        <v>19</v>
      </c>
      <c r="E1377" s="20" t="s">
        <v>2828</v>
      </c>
      <c r="F1377" s="20" t="s">
        <v>8</v>
      </c>
      <c r="G1377" s="861">
        <v>51.668036559292403</v>
      </c>
      <c r="H1377" s="861">
        <v>47.805306306575297</v>
      </c>
      <c r="I1377" s="861">
        <v>38.897710624789603</v>
      </c>
      <c r="J1377" s="861">
        <v>55.588500820415902</v>
      </c>
      <c r="K1377" s="982">
        <v>0</v>
      </c>
      <c r="L1377" s="735">
        <v>4706</v>
      </c>
      <c r="M1377" s="735">
        <v>4994</v>
      </c>
      <c r="N1377" s="845">
        <f t="shared" si="118"/>
        <v>6.1198470038249041E-2</v>
      </c>
      <c r="O1377" s="735">
        <v>2.4700275554546853</v>
      </c>
      <c r="P1377" s="735">
        <f t="shared" si="119"/>
        <v>2021.8397924231656</v>
      </c>
      <c r="Q1377" s="849">
        <v>47.4</v>
      </c>
      <c r="R1377" s="71">
        <v>60588</v>
      </c>
      <c r="S1377" s="845">
        <v>0.12200568412505075</v>
      </c>
      <c r="T1377" s="845">
        <v>4.9000000000000002E-2</v>
      </c>
      <c r="U1377" s="845">
        <v>0</v>
      </c>
      <c r="V1377" s="845">
        <v>0</v>
      </c>
      <c r="W1377" s="845">
        <v>0.59873949579831931</v>
      </c>
      <c r="X1377" s="845">
        <v>0.38771929824561402</v>
      </c>
      <c r="Y1377" s="845">
        <v>0.92170604725670802</v>
      </c>
      <c r="Z1377" s="845">
        <v>1.7020424509411294E-2</v>
      </c>
      <c r="AA1377" s="845">
        <v>0</v>
      </c>
      <c r="AB1377" s="845">
        <v>0</v>
      </c>
      <c r="AC1377" s="845">
        <v>0</v>
      </c>
      <c r="AD1377" s="845">
        <v>2.0024028834601522E-3</v>
      </c>
      <c r="AE1377" s="845">
        <v>5.9271125350420506E-2</v>
      </c>
      <c r="AF1377" s="845">
        <v>2.0024028834601522E-3</v>
      </c>
      <c r="AG1377" s="845">
        <v>0.91970364437324792</v>
      </c>
      <c r="AH1377" s="20" t="str">
        <f t="shared" si="120"/>
        <v>Yes</v>
      </c>
      <c r="AI1377" s="25"/>
      <c r="AJ1377" s="37">
        <v>45815</v>
      </c>
      <c r="AK1377" s="37" t="s">
        <v>1890</v>
      </c>
      <c r="AL1377" s="37">
        <v>39137</v>
      </c>
      <c r="AM1377" s="37" t="s">
        <v>74</v>
      </c>
      <c r="AN1377" s="37" t="str">
        <f t="shared" si="121"/>
        <v>N/A</v>
      </c>
      <c r="AO1377" s="37" t="str">
        <f t="shared" si="122"/>
        <v>N/A</v>
      </c>
      <c r="AP1377" s="37" t="s">
        <v>8</v>
      </c>
      <c r="AQ1377" s="25"/>
      <c r="AR1377" s="25"/>
      <c r="AS1377" s="25"/>
      <c r="AT1377" s="25"/>
      <c r="AU1377" s="36"/>
      <c r="AV1377" s="36"/>
      <c r="AW1377" s="36"/>
      <c r="AX1377" s="25"/>
      <c r="AY1377" s="25"/>
      <c r="AZ1377" s="25"/>
      <c r="BA1377" s="25"/>
      <c r="BB1377" s="25"/>
      <c r="BC1377" s="25"/>
      <c r="BD1377" s="25"/>
      <c r="BE1377" s="25"/>
      <c r="BF1377" s="25"/>
      <c r="BG1377" s="25"/>
      <c r="BH1377" s="25"/>
      <c r="BI1377" s="25"/>
      <c r="BJ1377" s="25"/>
      <c r="BK1377" s="25"/>
      <c r="BL1377" s="25"/>
      <c r="BM1377" s="25"/>
      <c r="BN1377" s="25"/>
      <c r="BO1377" s="25"/>
      <c r="BP1377" s="25"/>
      <c r="BQ1377" s="25"/>
      <c r="BR1377" s="25"/>
      <c r="BS1377" s="25"/>
      <c r="BT1377" s="25"/>
      <c r="BU1377" s="25"/>
      <c r="BV1377" s="25"/>
      <c r="BW1377" s="25"/>
      <c r="BX1377" s="25"/>
      <c r="BY1377" s="25"/>
      <c r="BZ1377" s="25"/>
      <c r="CA1377" s="25"/>
      <c r="CB1377" s="25"/>
      <c r="CC1377" s="25"/>
      <c r="CD1377" s="25"/>
      <c r="CE1377" s="200"/>
      <c r="CF1377" s="200"/>
      <c r="CG1377" s="200"/>
      <c r="CH1377" s="200"/>
      <c r="CI1377" s="200"/>
      <c r="CJ1377" s="200"/>
      <c r="CK1377" s="200"/>
      <c r="CL1377" s="200"/>
      <c r="CM1377" s="200"/>
      <c r="CN1377" s="200"/>
      <c r="CO1377" s="200"/>
      <c r="CP1377" s="200"/>
      <c r="CQ1377" s="200"/>
      <c r="CR1377" s="200"/>
      <c r="CS1377" s="200"/>
      <c r="CT1377" s="200"/>
      <c r="CU1377" s="200"/>
    </row>
    <row r="1378" spans="1:99" s="17" customFormat="1" x14ac:dyDescent="0.2">
      <c r="A1378" s="25"/>
      <c r="B1378" s="20">
        <v>39093060200</v>
      </c>
      <c r="C1378" s="20">
        <v>602</v>
      </c>
      <c r="D1378" s="20" t="s">
        <v>52</v>
      </c>
      <c r="E1378" s="20" t="s">
        <v>2829</v>
      </c>
      <c r="F1378" s="20" t="s">
        <v>6</v>
      </c>
      <c r="G1378" s="861">
        <v>51.664430817449798</v>
      </c>
      <c r="H1378" s="861">
        <v>71.983825907231704</v>
      </c>
      <c r="I1378" s="861">
        <v>40.5331706529944</v>
      </c>
      <c r="J1378" s="861">
        <v>35.944316837729701</v>
      </c>
      <c r="K1378" s="982">
        <v>1</v>
      </c>
      <c r="L1378" s="735">
        <v>5221</v>
      </c>
      <c r="M1378" s="735">
        <v>4860</v>
      </c>
      <c r="N1378" s="845">
        <f t="shared" si="118"/>
        <v>-6.9143842175828391E-2</v>
      </c>
      <c r="O1378" s="735">
        <v>5.3117745779921748</v>
      </c>
      <c r="P1378" s="735">
        <f t="shared" si="119"/>
        <v>914.94846564762474</v>
      </c>
      <c r="Q1378" s="849">
        <v>21.4</v>
      </c>
      <c r="R1378" s="71">
        <v>78898</v>
      </c>
      <c r="S1378" s="845">
        <v>0.2231939163498099</v>
      </c>
      <c r="T1378" s="845">
        <v>4.7E-2</v>
      </c>
      <c r="U1378" s="845">
        <v>0.01</v>
      </c>
      <c r="V1378" s="845">
        <v>0.14699999999999999</v>
      </c>
      <c r="W1378" s="845">
        <v>0.271356783919598</v>
      </c>
      <c r="X1378" s="845">
        <v>0.59876543209876543</v>
      </c>
      <c r="Y1378" s="845">
        <v>0.73292181069958851</v>
      </c>
      <c r="Z1378" s="845">
        <v>0.11213991769547325</v>
      </c>
      <c r="AA1378" s="845">
        <v>3.9094650205761319E-3</v>
      </c>
      <c r="AB1378" s="845">
        <v>3.6831275720164612E-2</v>
      </c>
      <c r="AC1378" s="845">
        <v>0</v>
      </c>
      <c r="AD1378" s="845">
        <v>9.4650205761316868E-3</v>
      </c>
      <c r="AE1378" s="845">
        <v>0.10473251028806585</v>
      </c>
      <c r="AF1378" s="845">
        <v>8.5185185185185183E-2</v>
      </c>
      <c r="AG1378" s="845">
        <v>0.70905349794238681</v>
      </c>
      <c r="AH1378" s="20" t="str">
        <f t="shared" si="120"/>
        <v>No</v>
      </c>
      <c r="AI1378" s="25"/>
      <c r="AJ1378" s="37">
        <v>45817</v>
      </c>
      <c r="AK1378" s="37" t="s">
        <v>1892</v>
      </c>
      <c r="AL1378" s="37">
        <v>39137</v>
      </c>
      <c r="AM1378" s="37" t="s">
        <v>74</v>
      </c>
      <c r="AN1378" s="37" t="str">
        <f t="shared" si="121"/>
        <v>N/A</v>
      </c>
      <c r="AO1378" s="37" t="str">
        <f t="shared" si="122"/>
        <v>N/A</v>
      </c>
      <c r="AP1378" s="37" t="s">
        <v>8</v>
      </c>
      <c r="AQ1378" s="25"/>
      <c r="AR1378" s="25"/>
      <c r="AS1378" s="25"/>
      <c r="AT1378" s="25"/>
      <c r="AU1378" s="36"/>
      <c r="AV1378" s="36"/>
      <c r="AW1378" s="36"/>
      <c r="AX1378" s="25"/>
      <c r="AY1378" s="25"/>
      <c r="AZ1378" s="25"/>
      <c r="BA1378" s="25"/>
      <c r="BB1378" s="25"/>
      <c r="BC1378" s="25"/>
      <c r="BD1378" s="25"/>
      <c r="BE1378" s="25"/>
      <c r="BF1378" s="25"/>
      <c r="BG1378" s="25"/>
      <c r="BH1378" s="25"/>
      <c r="BI1378" s="25"/>
      <c r="BJ1378" s="25"/>
      <c r="BK1378" s="25"/>
      <c r="BL1378" s="25"/>
      <c r="BM1378" s="25"/>
      <c r="BN1378" s="25"/>
      <c r="BO1378" s="25"/>
      <c r="BP1378" s="25"/>
      <c r="BQ1378" s="25"/>
      <c r="BR1378" s="25"/>
      <c r="BS1378" s="25"/>
      <c r="BT1378" s="25"/>
      <c r="BU1378" s="25"/>
      <c r="BV1378" s="25"/>
      <c r="BW1378" s="25"/>
      <c r="BX1378" s="25"/>
      <c r="BY1378" s="25"/>
      <c r="BZ1378" s="25"/>
      <c r="CA1378" s="25"/>
      <c r="CB1378" s="25"/>
      <c r="CC1378" s="25"/>
      <c r="CD1378" s="25"/>
      <c r="CE1378" s="200"/>
      <c r="CF1378" s="200"/>
      <c r="CG1378" s="200"/>
      <c r="CH1378" s="200"/>
      <c r="CI1378" s="200"/>
      <c r="CJ1378" s="200"/>
      <c r="CK1378" s="200"/>
      <c r="CL1378" s="200"/>
      <c r="CM1378" s="200"/>
      <c r="CN1378" s="200"/>
      <c r="CO1378" s="200"/>
      <c r="CP1378" s="200"/>
      <c r="CQ1378" s="200"/>
      <c r="CR1378" s="200"/>
      <c r="CS1378" s="200"/>
      <c r="CT1378" s="200"/>
      <c r="CU1378" s="200"/>
    </row>
    <row r="1379" spans="1:99" s="17" customFormat="1" x14ac:dyDescent="0.2">
      <c r="A1379" s="25"/>
      <c r="B1379" s="20">
        <v>39165030102</v>
      </c>
      <c r="C1379" s="20">
        <v>301.02</v>
      </c>
      <c r="D1379" s="20" t="s">
        <v>88</v>
      </c>
      <c r="E1379" s="20" t="s">
        <v>2828</v>
      </c>
      <c r="F1379" s="20" t="s">
        <v>8</v>
      </c>
      <c r="G1379" s="861">
        <v>51.6617567353371</v>
      </c>
      <c r="H1379" s="861">
        <v>51.6598219233245</v>
      </c>
      <c r="I1379" s="861">
        <v>26.387120249290199</v>
      </c>
      <c r="J1379" s="861">
        <v>47.968796084536599</v>
      </c>
      <c r="K1379" s="982">
        <v>0</v>
      </c>
      <c r="L1379" s="735">
        <v>3757</v>
      </c>
      <c r="M1379" s="735">
        <v>5248</v>
      </c>
      <c r="N1379" s="845">
        <f t="shared" si="118"/>
        <v>0.39685919616715465</v>
      </c>
      <c r="O1379" s="735">
        <v>2.834829616264146</v>
      </c>
      <c r="P1379" s="735">
        <f t="shared" si="119"/>
        <v>1851.2576452182084</v>
      </c>
      <c r="Q1379" s="849">
        <v>38.700000000000003</v>
      </c>
      <c r="R1379" s="71">
        <v>73700</v>
      </c>
      <c r="S1379" s="845">
        <v>0.10361399461745482</v>
      </c>
      <c r="T1379" s="845">
        <v>3.7000000000000005E-2</v>
      </c>
      <c r="U1379" s="845">
        <v>0</v>
      </c>
      <c r="V1379" s="845">
        <v>0.08</v>
      </c>
      <c r="W1379" s="845">
        <v>0.23558162267839688</v>
      </c>
      <c r="X1379" s="845">
        <v>0.59336099585062241</v>
      </c>
      <c r="Y1379" s="845">
        <v>0.93635670731707321</v>
      </c>
      <c r="Z1379" s="845">
        <v>7.0503048780487807E-3</v>
      </c>
      <c r="AA1379" s="845">
        <v>3.6204268292682929E-3</v>
      </c>
      <c r="AB1379" s="845">
        <v>2.5724085365853657E-2</v>
      </c>
      <c r="AC1379" s="845">
        <v>0</v>
      </c>
      <c r="AD1379" s="845">
        <v>0</v>
      </c>
      <c r="AE1379" s="845">
        <v>2.7248475609756097E-2</v>
      </c>
      <c r="AF1379" s="845">
        <v>1.7721036585365852E-2</v>
      </c>
      <c r="AG1379" s="845">
        <v>0.93445121951219512</v>
      </c>
      <c r="AH1379" s="20" t="str">
        <f t="shared" si="120"/>
        <v>Yes</v>
      </c>
      <c r="AI1379" s="25"/>
      <c r="AJ1379" s="37">
        <v>45827</v>
      </c>
      <c r="AK1379" s="37" t="s">
        <v>1898</v>
      </c>
      <c r="AL1379" s="37">
        <v>39137</v>
      </c>
      <c r="AM1379" s="37" t="s">
        <v>74</v>
      </c>
      <c r="AN1379" s="37" t="str">
        <f t="shared" si="121"/>
        <v>N/A</v>
      </c>
      <c r="AO1379" s="37" t="str">
        <f t="shared" si="122"/>
        <v>N/A</v>
      </c>
      <c r="AP1379" s="37" t="s">
        <v>8</v>
      </c>
      <c r="AQ1379" s="25"/>
      <c r="AR1379" s="25"/>
      <c r="AS1379" s="25"/>
      <c r="AT1379" s="25"/>
      <c r="AU1379" s="36"/>
      <c r="AV1379" s="36"/>
      <c r="AW1379" s="36"/>
      <c r="AX1379" s="25"/>
      <c r="AY1379" s="25"/>
      <c r="AZ1379" s="25"/>
      <c r="BA1379" s="25"/>
      <c r="BB1379" s="25"/>
      <c r="BC1379" s="25"/>
      <c r="BD1379" s="25"/>
      <c r="BE1379" s="25"/>
      <c r="BF1379" s="25"/>
      <c r="BG1379" s="25"/>
      <c r="BH1379" s="25"/>
      <c r="BI1379" s="25"/>
      <c r="BJ1379" s="25"/>
      <c r="BK1379" s="25"/>
      <c r="BL1379" s="25"/>
      <c r="BM1379" s="25"/>
      <c r="BN1379" s="25"/>
      <c r="BO1379" s="25"/>
      <c r="BP1379" s="25"/>
      <c r="BQ1379" s="25"/>
      <c r="BR1379" s="25"/>
      <c r="BS1379" s="25"/>
      <c r="BT1379" s="25"/>
      <c r="BU1379" s="25"/>
      <c r="BV1379" s="25"/>
      <c r="BW1379" s="25"/>
      <c r="BX1379" s="25"/>
      <c r="BY1379" s="25"/>
      <c r="BZ1379" s="25"/>
      <c r="CA1379" s="25"/>
      <c r="CB1379" s="25"/>
      <c r="CC1379" s="25"/>
      <c r="CD1379" s="25"/>
      <c r="CE1379" s="200"/>
      <c r="CF1379" s="200"/>
      <c r="CG1379" s="200"/>
      <c r="CH1379" s="200"/>
      <c r="CI1379" s="200"/>
      <c r="CJ1379" s="200"/>
      <c r="CK1379" s="200"/>
      <c r="CL1379" s="200"/>
      <c r="CM1379" s="200"/>
      <c r="CN1379" s="200"/>
      <c r="CO1379" s="200"/>
      <c r="CP1379" s="200"/>
      <c r="CQ1379" s="200"/>
      <c r="CR1379" s="200"/>
      <c r="CS1379" s="200"/>
      <c r="CT1379" s="200"/>
      <c r="CU1379" s="200"/>
    </row>
    <row r="1380" spans="1:99" s="17" customFormat="1" x14ac:dyDescent="0.2">
      <c r="A1380" s="25"/>
      <c r="B1380" s="20">
        <v>39049009754</v>
      </c>
      <c r="C1380" s="20">
        <v>97.54</v>
      </c>
      <c r="D1380" s="20" t="s">
        <v>31</v>
      </c>
      <c r="E1380" s="20" t="s">
        <v>2830</v>
      </c>
      <c r="F1380" s="20" t="s">
        <v>8</v>
      </c>
      <c r="G1380" s="861">
        <v>51.652429460509701</v>
      </c>
      <c r="H1380" s="861">
        <v>66.935879934669799</v>
      </c>
      <c r="I1380" s="861">
        <v>17.6751126827936</v>
      </c>
      <c r="J1380" s="861">
        <v>56.823484651011199</v>
      </c>
      <c r="K1380" s="982">
        <v>0</v>
      </c>
      <c r="L1380" s="735" t="s">
        <v>2466</v>
      </c>
      <c r="M1380" s="735">
        <v>3391</v>
      </c>
      <c r="N1380" s="845" t="str">
        <f t="shared" si="118"/>
        <v/>
      </c>
      <c r="O1380" s="735">
        <v>4.1015972077184557</v>
      </c>
      <c r="P1380" s="735">
        <f t="shared" si="119"/>
        <v>826.75109921051205</v>
      </c>
      <c r="Q1380" s="849">
        <v>38.6</v>
      </c>
      <c r="R1380" s="71">
        <v>146632</v>
      </c>
      <c r="S1380" s="845">
        <v>9.2156277960035796E-2</v>
      </c>
      <c r="T1380" s="845">
        <v>5.0999999999999997E-2</v>
      </c>
      <c r="U1380" s="845">
        <v>0</v>
      </c>
      <c r="V1380" s="845">
        <v>0</v>
      </c>
      <c r="W1380" s="845">
        <v>0.1109107303877367</v>
      </c>
      <c r="X1380" s="845">
        <v>0.78048780487804881</v>
      </c>
      <c r="Y1380" s="845">
        <v>0.89501621940430554</v>
      </c>
      <c r="Z1380" s="845">
        <v>2.5656148628723091E-2</v>
      </c>
      <c r="AA1380" s="845">
        <v>1.1795930404010617E-3</v>
      </c>
      <c r="AB1380" s="845">
        <v>0</v>
      </c>
      <c r="AC1380" s="845">
        <v>0</v>
      </c>
      <c r="AD1380" s="845">
        <v>3.7746977292833973E-2</v>
      </c>
      <c r="AE1380" s="845">
        <v>4.0401061633736364E-2</v>
      </c>
      <c r="AF1380" s="845">
        <v>5.6030669419050425E-2</v>
      </c>
      <c r="AG1380" s="845">
        <v>0.89118254202300207</v>
      </c>
      <c r="AH1380" s="20" t="str">
        <f t="shared" si="120"/>
        <v>No</v>
      </c>
      <c r="AI1380" s="25"/>
      <c r="AJ1380" s="37">
        <v>45830</v>
      </c>
      <c r="AK1380" s="37" t="s">
        <v>1900</v>
      </c>
      <c r="AL1380" s="37">
        <v>39137</v>
      </c>
      <c r="AM1380" s="37" t="s">
        <v>74</v>
      </c>
      <c r="AN1380" s="37" t="str">
        <f t="shared" si="121"/>
        <v>N/A</v>
      </c>
      <c r="AO1380" s="37" t="str">
        <f t="shared" si="122"/>
        <v>N/A</v>
      </c>
      <c r="AP1380" s="37" t="s">
        <v>8</v>
      </c>
      <c r="AQ1380" s="25"/>
      <c r="AR1380" s="25"/>
      <c r="AS1380" s="25"/>
      <c r="AT1380" s="25"/>
      <c r="AU1380" s="36"/>
      <c r="AV1380" s="36"/>
      <c r="AW1380" s="36"/>
      <c r="AX1380" s="25"/>
      <c r="AY1380" s="25"/>
      <c r="AZ1380" s="25"/>
      <c r="BA1380" s="25"/>
      <c r="BB1380" s="25"/>
      <c r="BC1380" s="25"/>
      <c r="BD1380" s="25"/>
      <c r="BE1380" s="25"/>
      <c r="BF1380" s="25"/>
      <c r="BG1380" s="25"/>
      <c r="BH1380" s="25"/>
      <c r="BI1380" s="25"/>
      <c r="BJ1380" s="25"/>
      <c r="BK1380" s="25"/>
      <c r="BL1380" s="25"/>
      <c r="BM1380" s="25"/>
      <c r="BN1380" s="25"/>
      <c r="BO1380" s="25"/>
      <c r="BP1380" s="25"/>
      <c r="BQ1380" s="25"/>
      <c r="BR1380" s="25"/>
      <c r="BS1380" s="25"/>
      <c r="BT1380" s="25"/>
      <c r="BU1380" s="25"/>
      <c r="BV1380" s="25"/>
      <c r="BW1380" s="25"/>
      <c r="BX1380" s="25"/>
      <c r="BY1380" s="25"/>
      <c r="BZ1380" s="25"/>
      <c r="CA1380" s="25"/>
      <c r="CB1380" s="25"/>
      <c r="CC1380" s="25"/>
      <c r="CD1380" s="25"/>
      <c r="CE1380" s="200"/>
      <c r="CF1380" s="200"/>
      <c r="CG1380" s="200"/>
      <c r="CH1380" s="200"/>
      <c r="CI1380" s="200"/>
      <c r="CJ1380" s="200"/>
      <c r="CK1380" s="200"/>
      <c r="CL1380" s="200"/>
      <c r="CM1380" s="200"/>
      <c r="CN1380" s="200"/>
      <c r="CO1380" s="200"/>
      <c r="CP1380" s="200"/>
      <c r="CQ1380" s="200"/>
      <c r="CR1380" s="200"/>
      <c r="CS1380" s="200"/>
      <c r="CT1380" s="200"/>
      <c r="CU1380" s="200"/>
    </row>
    <row r="1381" spans="1:99" s="17" customFormat="1" x14ac:dyDescent="0.2">
      <c r="A1381" s="25"/>
      <c r="B1381" s="20">
        <v>39041012000</v>
      </c>
      <c r="C1381" s="20">
        <v>120</v>
      </c>
      <c r="D1381" s="20" t="s">
        <v>27</v>
      </c>
      <c r="E1381" s="20" t="s">
        <v>2830</v>
      </c>
      <c r="F1381" s="20" t="s">
        <v>8</v>
      </c>
      <c r="G1381" s="861">
        <v>51.646068598854797</v>
      </c>
      <c r="H1381" s="861">
        <v>67.201716497788496</v>
      </c>
      <c r="I1381" s="861">
        <v>13.489167251460801</v>
      </c>
      <c r="J1381" s="861">
        <v>62.299049867229897</v>
      </c>
      <c r="K1381" s="982">
        <v>0</v>
      </c>
      <c r="L1381" s="735">
        <v>5247</v>
      </c>
      <c r="M1381" s="735">
        <v>5843</v>
      </c>
      <c r="N1381" s="845">
        <f t="shared" si="118"/>
        <v>0.11358871736230226</v>
      </c>
      <c r="O1381" s="735">
        <v>85.070927989704174</v>
      </c>
      <c r="P1381" s="735">
        <f t="shared" si="119"/>
        <v>68.683863431079033</v>
      </c>
      <c r="Q1381" s="849">
        <v>41.2</v>
      </c>
      <c r="R1381" s="71">
        <v>124583</v>
      </c>
      <c r="S1381" s="845">
        <v>4.7121315969842356E-2</v>
      </c>
      <c r="T1381" s="845">
        <v>2.1000000000000001E-2</v>
      </c>
      <c r="U1381" s="845">
        <v>0</v>
      </c>
      <c r="V1381" s="845">
        <v>0.127</v>
      </c>
      <c r="W1381" s="845">
        <v>4.7976011994002997E-2</v>
      </c>
      <c r="X1381" s="845">
        <v>2.0833333333333332E-2</v>
      </c>
      <c r="Y1381" s="845">
        <v>0.92298476809857954</v>
      </c>
      <c r="Z1381" s="845">
        <v>1.8825945575902789E-3</v>
      </c>
      <c r="AA1381" s="845">
        <v>0</v>
      </c>
      <c r="AB1381" s="845">
        <v>1.6258771179188773E-2</v>
      </c>
      <c r="AC1381" s="845">
        <v>0</v>
      </c>
      <c r="AD1381" s="845">
        <v>4.2786239945233609E-3</v>
      </c>
      <c r="AE1381" s="845">
        <v>5.4595242170118088E-2</v>
      </c>
      <c r="AF1381" s="845">
        <v>2.8923498202977922E-2</v>
      </c>
      <c r="AG1381" s="845">
        <v>0.91459866506931375</v>
      </c>
      <c r="AH1381" s="20" t="str">
        <f t="shared" si="120"/>
        <v>Yes</v>
      </c>
      <c r="AI1381" s="25"/>
      <c r="AJ1381" s="37">
        <v>45831</v>
      </c>
      <c r="AK1381" s="37" t="s">
        <v>1901</v>
      </c>
      <c r="AL1381" s="37">
        <v>39137</v>
      </c>
      <c r="AM1381" s="37" t="s">
        <v>74</v>
      </c>
      <c r="AN1381" s="37" t="str">
        <f t="shared" si="121"/>
        <v>N/A</v>
      </c>
      <c r="AO1381" s="37" t="str">
        <f t="shared" si="122"/>
        <v>N/A</v>
      </c>
      <c r="AP1381" s="37" t="s">
        <v>8</v>
      </c>
      <c r="AQ1381" s="25"/>
      <c r="AR1381" s="25"/>
      <c r="AS1381" s="25"/>
      <c r="AT1381" s="25"/>
      <c r="AU1381" s="36"/>
      <c r="AV1381" s="36"/>
      <c r="AW1381" s="36"/>
      <c r="AX1381" s="25"/>
      <c r="AY1381" s="25"/>
      <c r="AZ1381" s="25"/>
      <c r="BA1381" s="25"/>
      <c r="BB1381" s="25"/>
      <c r="BC1381" s="25"/>
      <c r="BD1381" s="25"/>
      <c r="BE1381" s="25"/>
      <c r="BF1381" s="25"/>
      <c r="BG1381" s="25"/>
      <c r="BH1381" s="25"/>
      <c r="BI1381" s="25"/>
      <c r="BJ1381" s="25"/>
      <c r="BK1381" s="25"/>
      <c r="BL1381" s="25"/>
      <c r="BM1381" s="25"/>
      <c r="BN1381" s="25"/>
      <c r="BO1381" s="25"/>
      <c r="BP1381" s="25"/>
      <c r="BQ1381" s="25"/>
      <c r="BR1381" s="25"/>
      <c r="BS1381" s="25"/>
      <c r="BT1381" s="25"/>
      <c r="BU1381" s="25"/>
      <c r="BV1381" s="25"/>
      <c r="BW1381" s="25"/>
      <c r="BX1381" s="25"/>
      <c r="BY1381" s="25"/>
      <c r="BZ1381" s="25"/>
      <c r="CA1381" s="25"/>
      <c r="CB1381" s="25"/>
      <c r="CC1381" s="25"/>
      <c r="CD1381" s="25"/>
      <c r="CE1381" s="200"/>
      <c r="CF1381" s="200"/>
      <c r="CG1381" s="200"/>
      <c r="CH1381" s="200"/>
      <c r="CI1381" s="200"/>
      <c r="CJ1381" s="200"/>
      <c r="CK1381" s="200"/>
      <c r="CL1381" s="200"/>
      <c r="CM1381" s="200"/>
      <c r="CN1381" s="200"/>
      <c r="CO1381" s="200"/>
      <c r="CP1381" s="200"/>
      <c r="CQ1381" s="200"/>
      <c r="CR1381" s="200"/>
      <c r="CS1381" s="200"/>
      <c r="CT1381" s="200"/>
      <c r="CU1381" s="200"/>
    </row>
    <row r="1382" spans="1:99" s="17" customFormat="1" x14ac:dyDescent="0.2">
      <c r="A1382" s="25"/>
      <c r="B1382" s="20">
        <v>39035174203</v>
      </c>
      <c r="C1382" s="20">
        <v>1742.03</v>
      </c>
      <c r="D1382" s="20" t="s">
        <v>24</v>
      </c>
      <c r="E1382" s="20" t="s">
        <v>2829</v>
      </c>
      <c r="F1382" s="20" t="s">
        <v>8</v>
      </c>
      <c r="G1382" s="861">
        <v>51.645592749005999</v>
      </c>
      <c r="H1382" s="861">
        <v>44.754345128320203</v>
      </c>
      <c r="I1382" s="861">
        <v>31.792530822217099</v>
      </c>
      <c r="J1382" s="861">
        <v>48.145564230104398</v>
      </c>
      <c r="K1382" s="982">
        <v>0</v>
      </c>
      <c r="L1382" s="735">
        <v>3215</v>
      </c>
      <c r="M1382" s="735">
        <v>2616</v>
      </c>
      <c r="N1382" s="845">
        <f t="shared" si="118"/>
        <v>-0.18631415241057542</v>
      </c>
      <c r="O1382" s="735">
        <v>1.2157287471099627</v>
      </c>
      <c r="P1382" s="735">
        <f t="shared" si="119"/>
        <v>2151.7957901536588</v>
      </c>
      <c r="Q1382" s="849">
        <v>50.8</v>
      </c>
      <c r="R1382" s="71">
        <v>100519</v>
      </c>
      <c r="S1382" s="845">
        <v>4.3195718654434251E-2</v>
      </c>
      <c r="T1382" s="845">
        <v>4.0999999999999995E-2</v>
      </c>
      <c r="U1382" s="845">
        <v>6.0000000000000001E-3</v>
      </c>
      <c r="V1382" s="845">
        <v>0</v>
      </c>
      <c r="W1382" s="845">
        <v>3.5223367697594501E-2</v>
      </c>
      <c r="X1382" s="845">
        <v>0.17073170731707318</v>
      </c>
      <c r="Y1382" s="845">
        <v>0.95336391437308865</v>
      </c>
      <c r="Z1382" s="845">
        <v>2.1024464831804281E-2</v>
      </c>
      <c r="AA1382" s="845">
        <v>0</v>
      </c>
      <c r="AB1382" s="845">
        <v>8.4097859327217118E-3</v>
      </c>
      <c r="AC1382" s="845">
        <v>0</v>
      </c>
      <c r="AD1382" s="845">
        <v>0</v>
      </c>
      <c r="AE1382" s="845">
        <v>1.7201834862385322E-2</v>
      </c>
      <c r="AF1382" s="845">
        <v>4.5871559633027525E-3</v>
      </c>
      <c r="AG1382" s="845">
        <v>0.95336391437308865</v>
      </c>
      <c r="AH1382" s="20" t="str">
        <f t="shared" si="120"/>
        <v>Yes</v>
      </c>
      <c r="AI1382" s="25"/>
      <c r="AJ1382" s="37">
        <v>45833</v>
      </c>
      <c r="AK1382" s="37" t="s">
        <v>1903</v>
      </c>
      <c r="AL1382" s="37">
        <v>39137</v>
      </c>
      <c r="AM1382" s="37" t="s">
        <v>74</v>
      </c>
      <c r="AN1382" s="37" t="str">
        <f t="shared" si="121"/>
        <v>N/A</v>
      </c>
      <c r="AO1382" s="37" t="str">
        <f t="shared" si="122"/>
        <v>N/A</v>
      </c>
      <c r="AP1382" s="37" t="s">
        <v>8</v>
      </c>
      <c r="AQ1382" s="25"/>
      <c r="AR1382" s="25"/>
      <c r="AS1382" s="25"/>
      <c r="AT1382" s="25"/>
      <c r="AU1382" s="36"/>
      <c r="AV1382" s="36"/>
      <c r="AW1382" s="36"/>
      <c r="AX1382" s="25"/>
      <c r="AY1382" s="25"/>
      <c r="AZ1382" s="25"/>
      <c r="BA1382" s="25"/>
      <c r="BB1382" s="25"/>
      <c r="BC1382" s="25"/>
      <c r="BD1382" s="25"/>
      <c r="BE1382" s="25"/>
      <c r="BF1382" s="25"/>
      <c r="BG1382" s="25"/>
      <c r="BH1382" s="25"/>
      <c r="BI1382" s="25"/>
      <c r="BJ1382" s="25"/>
      <c r="BK1382" s="25"/>
      <c r="BL1382" s="25"/>
      <c r="BM1382" s="25"/>
      <c r="BN1382" s="25"/>
      <c r="BO1382" s="25"/>
      <c r="BP1382" s="25"/>
      <c r="BQ1382" s="25"/>
      <c r="BR1382" s="25"/>
      <c r="BS1382" s="25"/>
      <c r="BT1382" s="25"/>
      <c r="BU1382" s="25"/>
      <c r="BV1382" s="25"/>
      <c r="BW1382" s="25"/>
      <c r="BX1382" s="25"/>
      <c r="BY1382" s="25"/>
      <c r="BZ1382" s="25"/>
      <c r="CA1382" s="25"/>
      <c r="CB1382" s="25"/>
      <c r="CC1382" s="25"/>
      <c r="CD1382" s="25"/>
      <c r="CE1382" s="200"/>
      <c r="CF1382" s="200"/>
      <c r="CG1382" s="200"/>
      <c r="CH1382" s="200"/>
      <c r="CI1382" s="200"/>
      <c r="CJ1382" s="200"/>
      <c r="CK1382" s="200"/>
      <c r="CL1382" s="200"/>
      <c r="CM1382" s="200"/>
      <c r="CN1382" s="200"/>
      <c r="CO1382" s="200"/>
      <c r="CP1382" s="200"/>
      <c r="CQ1382" s="200"/>
      <c r="CR1382" s="200"/>
      <c r="CS1382" s="200"/>
      <c r="CT1382" s="200"/>
      <c r="CU1382" s="200"/>
    </row>
    <row r="1383" spans="1:99" s="17" customFormat="1" x14ac:dyDescent="0.2">
      <c r="A1383" s="25"/>
      <c r="B1383" s="20">
        <v>39049008172</v>
      </c>
      <c r="C1383" s="20">
        <v>81.72</v>
      </c>
      <c r="D1383" s="20" t="s">
        <v>31</v>
      </c>
      <c r="E1383" s="20" t="s">
        <v>2830</v>
      </c>
      <c r="F1383" s="20" t="s">
        <v>8</v>
      </c>
      <c r="G1383" s="861">
        <v>51.641638901471602</v>
      </c>
      <c r="H1383" s="861">
        <v>59.2521730795807</v>
      </c>
      <c r="I1383" s="861">
        <v>22.995040043247599</v>
      </c>
      <c r="J1383" s="861">
        <v>60.471475527383497</v>
      </c>
      <c r="K1383" s="982">
        <v>0</v>
      </c>
      <c r="L1383" s="735" t="s">
        <v>2466</v>
      </c>
      <c r="M1383" s="735">
        <v>6419</v>
      </c>
      <c r="N1383" s="845" t="str">
        <f t="shared" si="118"/>
        <v/>
      </c>
      <c r="O1383" s="735">
        <v>2.6104243389750543</v>
      </c>
      <c r="P1383" s="735">
        <f t="shared" si="119"/>
        <v>2458.9871861677202</v>
      </c>
      <c r="Q1383" s="849">
        <v>34.799999999999997</v>
      </c>
      <c r="R1383" s="71">
        <v>90088</v>
      </c>
      <c r="S1383" s="845">
        <v>0.10006244146113019</v>
      </c>
      <c r="T1383" s="845">
        <v>2.1000000000000001E-2</v>
      </c>
      <c r="U1383" s="845">
        <v>0</v>
      </c>
      <c r="V1383" s="845">
        <v>4.4000000000000004E-2</v>
      </c>
      <c r="W1383" s="845">
        <v>0.63529856386999239</v>
      </c>
      <c r="X1383" s="845">
        <v>0.28078524687685902</v>
      </c>
      <c r="Y1383" s="845">
        <v>0.55351300825673777</v>
      </c>
      <c r="Z1383" s="845">
        <v>0.202991120112167</v>
      </c>
      <c r="AA1383" s="845">
        <v>9.0356753388378258E-3</v>
      </c>
      <c r="AB1383" s="845">
        <v>4.1127901542296307E-2</v>
      </c>
      <c r="AC1383" s="845">
        <v>0</v>
      </c>
      <c r="AD1383" s="845">
        <v>5.8731889702445861E-2</v>
      </c>
      <c r="AE1383" s="845">
        <v>0.13460040504751519</v>
      </c>
      <c r="AF1383" s="845">
        <v>0.16793893129770993</v>
      </c>
      <c r="AG1383" s="845">
        <v>0.52422495715843587</v>
      </c>
      <c r="AH1383" s="20" t="str">
        <f t="shared" si="120"/>
        <v>No</v>
      </c>
      <c r="AI1383" s="25"/>
      <c r="AJ1383" s="37">
        <v>45844</v>
      </c>
      <c r="AK1383" s="37" t="s">
        <v>1910</v>
      </c>
      <c r="AL1383" s="37">
        <v>39137</v>
      </c>
      <c r="AM1383" s="37" t="s">
        <v>74</v>
      </c>
      <c r="AN1383" s="37" t="str">
        <f t="shared" si="121"/>
        <v>N/A</v>
      </c>
      <c r="AO1383" s="37" t="str">
        <f t="shared" si="122"/>
        <v>N/A</v>
      </c>
      <c r="AP1383" s="37" t="s">
        <v>8</v>
      </c>
      <c r="AQ1383" s="25"/>
      <c r="AR1383" s="25"/>
      <c r="AS1383" s="25"/>
      <c r="AT1383" s="25"/>
      <c r="AU1383" s="36"/>
      <c r="AV1383" s="36"/>
      <c r="AW1383" s="36"/>
      <c r="AX1383" s="25"/>
      <c r="AY1383" s="25"/>
      <c r="AZ1383" s="25"/>
      <c r="BA1383" s="25"/>
      <c r="BB1383" s="25"/>
      <c r="BC1383" s="25"/>
      <c r="BD1383" s="25"/>
      <c r="BE1383" s="25"/>
      <c r="BF1383" s="25"/>
      <c r="BG1383" s="25"/>
      <c r="BH1383" s="25"/>
      <c r="BI1383" s="25"/>
      <c r="BJ1383" s="25"/>
      <c r="BK1383" s="25"/>
      <c r="BL1383" s="25"/>
      <c r="BM1383" s="25"/>
      <c r="BN1383" s="25"/>
      <c r="BO1383" s="25"/>
      <c r="BP1383" s="25"/>
      <c r="BQ1383" s="25"/>
      <c r="BR1383" s="25"/>
      <c r="BS1383" s="25"/>
      <c r="BT1383" s="25"/>
      <c r="BU1383" s="25"/>
      <c r="BV1383" s="25"/>
      <c r="BW1383" s="25"/>
      <c r="BX1383" s="25"/>
      <c r="BY1383" s="25"/>
      <c r="BZ1383" s="25"/>
      <c r="CA1383" s="25"/>
      <c r="CB1383" s="25"/>
      <c r="CC1383" s="25"/>
      <c r="CD1383" s="25"/>
      <c r="CE1383" s="200"/>
      <c r="CF1383" s="200"/>
      <c r="CG1383" s="200"/>
      <c r="CH1383" s="200"/>
      <c r="CI1383" s="200"/>
      <c r="CJ1383" s="200"/>
      <c r="CK1383" s="200"/>
      <c r="CL1383" s="200"/>
      <c r="CM1383" s="200"/>
      <c r="CN1383" s="200"/>
      <c r="CO1383" s="200"/>
      <c r="CP1383" s="200"/>
      <c r="CQ1383" s="200"/>
      <c r="CR1383" s="200"/>
      <c r="CS1383" s="200"/>
      <c r="CT1383" s="200"/>
      <c r="CU1383" s="200"/>
    </row>
    <row r="1384" spans="1:99" s="17" customFormat="1" x14ac:dyDescent="0.2">
      <c r="A1384" s="25"/>
      <c r="B1384" s="20">
        <v>39061021572</v>
      </c>
      <c r="C1384" s="20">
        <v>215.72</v>
      </c>
      <c r="D1384" s="20" t="s">
        <v>37</v>
      </c>
      <c r="E1384" s="20" t="s">
        <v>2828</v>
      </c>
      <c r="F1384" s="20" t="s">
        <v>6</v>
      </c>
      <c r="G1384" s="861">
        <v>51.641216919936802</v>
      </c>
      <c r="H1384" s="861">
        <v>62.883645173719501</v>
      </c>
      <c r="I1384" s="861">
        <v>40.803951690323601</v>
      </c>
      <c r="J1384" s="861">
        <v>35.1745315048246</v>
      </c>
      <c r="K1384" s="982">
        <v>0</v>
      </c>
      <c r="L1384" s="735">
        <v>5952</v>
      </c>
      <c r="M1384" s="735">
        <v>5499</v>
      </c>
      <c r="N1384" s="845">
        <f t="shared" si="118"/>
        <v>-7.6108870967741937E-2</v>
      </c>
      <c r="O1384" s="735">
        <v>2.7335465258178351</v>
      </c>
      <c r="P1384" s="735">
        <f t="shared" si="119"/>
        <v>2011.6723633795784</v>
      </c>
      <c r="Q1384" s="849">
        <v>43.3</v>
      </c>
      <c r="R1384" s="71">
        <v>57235</v>
      </c>
      <c r="S1384" s="845">
        <v>0.13092633114514954</v>
      </c>
      <c r="T1384" s="845">
        <v>2.7000000000000003E-2</v>
      </c>
      <c r="U1384" s="845">
        <v>0</v>
      </c>
      <c r="V1384" s="845">
        <v>2.1000000000000001E-2</v>
      </c>
      <c r="W1384" s="845">
        <v>0.61397058823529416</v>
      </c>
      <c r="X1384" s="845">
        <v>0.3685961410512309</v>
      </c>
      <c r="Y1384" s="845">
        <v>0.26786688488816146</v>
      </c>
      <c r="Z1384" s="845">
        <v>0.50554646299327155</v>
      </c>
      <c r="AA1384" s="845">
        <v>0</v>
      </c>
      <c r="AB1384" s="845">
        <v>4.1280232769594472E-2</v>
      </c>
      <c r="AC1384" s="845">
        <v>4.4917257683215132E-2</v>
      </c>
      <c r="AD1384" s="845">
        <v>0.10129114384433534</v>
      </c>
      <c r="AE1384" s="845">
        <v>3.9098017821422075E-2</v>
      </c>
      <c r="AF1384" s="845">
        <v>0.15384615384615385</v>
      </c>
      <c r="AG1384" s="845">
        <v>0.23386070194580832</v>
      </c>
      <c r="AH1384" s="20" t="str">
        <f t="shared" si="120"/>
        <v>No</v>
      </c>
      <c r="AI1384" s="25"/>
      <c r="AJ1384" s="37">
        <v>45848</v>
      </c>
      <c r="AK1384" s="37" t="s">
        <v>1913</v>
      </c>
      <c r="AL1384" s="37">
        <v>39137</v>
      </c>
      <c r="AM1384" s="37" t="s">
        <v>74</v>
      </c>
      <c r="AN1384" s="37" t="str">
        <f t="shared" si="121"/>
        <v>N/A</v>
      </c>
      <c r="AO1384" s="37" t="str">
        <f t="shared" si="122"/>
        <v>N/A</v>
      </c>
      <c r="AP1384" s="37" t="s">
        <v>8</v>
      </c>
      <c r="AQ1384" s="25"/>
      <c r="AR1384" s="25"/>
      <c r="AS1384" s="25"/>
      <c r="AT1384" s="25"/>
      <c r="AU1384" s="36"/>
      <c r="AV1384" s="36"/>
      <c r="AW1384" s="36"/>
      <c r="AX1384" s="25"/>
      <c r="AY1384" s="25"/>
      <c r="AZ1384" s="25"/>
      <c r="BA1384" s="25"/>
      <c r="BB1384" s="25"/>
      <c r="BC1384" s="25"/>
      <c r="BD1384" s="25"/>
      <c r="BE1384" s="25"/>
      <c r="BF1384" s="25"/>
      <c r="BG1384" s="25"/>
      <c r="BH1384" s="25"/>
      <c r="BI1384" s="25"/>
      <c r="BJ1384" s="25"/>
      <c r="BK1384" s="25"/>
      <c r="BL1384" s="25"/>
      <c r="BM1384" s="25"/>
      <c r="BN1384" s="25"/>
      <c r="BO1384" s="25"/>
      <c r="BP1384" s="25"/>
      <c r="BQ1384" s="25"/>
      <c r="BR1384" s="25"/>
      <c r="BS1384" s="25"/>
      <c r="BT1384" s="25"/>
      <c r="BU1384" s="25"/>
      <c r="BV1384" s="25"/>
      <c r="BW1384" s="25"/>
      <c r="BX1384" s="25"/>
      <c r="BY1384" s="25"/>
      <c r="BZ1384" s="25"/>
      <c r="CA1384" s="25"/>
      <c r="CB1384" s="25"/>
      <c r="CC1384" s="25"/>
      <c r="CD1384" s="25"/>
      <c r="CE1384" s="200"/>
      <c r="CF1384" s="200"/>
      <c r="CG1384" s="200"/>
      <c r="CH1384" s="200"/>
      <c r="CI1384" s="200"/>
      <c r="CJ1384" s="200"/>
      <c r="CK1384" s="200"/>
      <c r="CL1384" s="200"/>
      <c r="CM1384" s="200"/>
      <c r="CN1384" s="200"/>
      <c r="CO1384" s="200"/>
      <c r="CP1384" s="200"/>
      <c r="CQ1384" s="200"/>
      <c r="CR1384" s="200"/>
      <c r="CS1384" s="200"/>
      <c r="CT1384" s="200"/>
      <c r="CU1384" s="200"/>
    </row>
    <row r="1385" spans="1:99" s="17" customFormat="1" x14ac:dyDescent="0.2">
      <c r="A1385" s="25"/>
      <c r="B1385" s="20">
        <v>39011040100</v>
      </c>
      <c r="C1385" s="20">
        <v>401</v>
      </c>
      <c r="D1385" s="20" t="s">
        <v>12</v>
      </c>
      <c r="E1385" s="20" t="s">
        <v>265</v>
      </c>
      <c r="F1385" s="20" t="s">
        <v>8</v>
      </c>
      <c r="G1385" s="861">
        <v>51.6377285867136</v>
      </c>
      <c r="H1385" s="861">
        <v>53.865708004202801</v>
      </c>
      <c r="I1385" s="861">
        <v>14.3498830248004</v>
      </c>
      <c r="J1385" s="861">
        <v>50.836182195211002</v>
      </c>
      <c r="K1385" s="982">
        <v>0</v>
      </c>
      <c r="L1385" s="735">
        <v>4049</v>
      </c>
      <c r="M1385" s="735">
        <v>3856</v>
      </c>
      <c r="N1385" s="845">
        <f t="shared" si="118"/>
        <v>-4.7666090392689556E-2</v>
      </c>
      <c r="O1385" s="735">
        <v>80.729878717474122</v>
      </c>
      <c r="P1385" s="735">
        <f t="shared" si="119"/>
        <v>47.764223869264427</v>
      </c>
      <c r="Q1385" s="849">
        <v>42.7</v>
      </c>
      <c r="R1385" s="71">
        <v>82585</v>
      </c>
      <c r="S1385" s="845">
        <v>3.715250714471291E-2</v>
      </c>
      <c r="T1385" s="845">
        <v>6.7000000000000004E-2</v>
      </c>
      <c r="U1385" s="845">
        <v>5.0000000000000001E-3</v>
      </c>
      <c r="V1385" s="845">
        <v>0</v>
      </c>
      <c r="W1385" s="845">
        <v>0.14968376669009137</v>
      </c>
      <c r="X1385" s="845">
        <v>0.13145539906103287</v>
      </c>
      <c r="Y1385" s="845">
        <v>0.96654564315352698</v>
      </c>
      <c r="Z1385" s="845">
        <v>1.270746887966805E-2</v>
      </c>
      <c r="AA1385" s="845">
        <v>0</v>
      </c>
      <c r="AB1385" s="845">
        <v>3.8900414937759337E-3</v>
      </c>
      <c r="AC1385" s="845">
        <v>0</v>
      </c>
      <c r="AD1385" s="845">
        <v>4.6680497925311202E-3</v>
      </c>
      <c r="AE1385" s="845">
        <v>1.2188796680497925E-2</v>
      </c>
      <c r="AF1385" s="845">
        <v>1.0892116182572614E-2</v>
      </c>
      <c r="AG1385" s="845">
        <v>0.95928423236514526</v>
      </c>
      <c r="AH1385" s="20" t="str">
        <f t="shared" si="120"/>
        <v>Yes</v>
      </c>
      <c r="AI1385" s="25"/>
      <c r="AJ1385" s="37">
        <v>45849</v>
      </c>
      <c r="AK1385" s="37" t="s">
        <v>1914</v>
      </c>
      <c r="AL1385" s="37">
        <v>39137</v>
      </c>
      <c r="AM1385" s="37" t="s">
        <v>74</v>
      </c>
      <c r="AN1385" s="37" t="str">
        <f t="shared" si="121"/>
        <v>N/A</v>
      </c>
      <c r="AO1385" s="37" t="str">
        <f t="shared" si="122"/>
        <v>N/A</v>
      </c>
      <c r="AP1385" s="37" t="s">
        <v>8</v>
      </c>
      <c r="AQ1385" s="25"/>
      <c r="AR1385" s="25"/>
      <c r="AS1385" s="25"/>
      <c r="AT1385" s="25"/>
      <c r="AU1385" s="36"/>
      <c r="AV1385" s="36"/>
      <c r="AW1385" s="36"/>
      <c r="AX1385" s="25"/>
      <c r="AY1385" s="25"/>
      <c r="AZ1385" s="25"/>
      <c r="BA1385" s="25"/>
      <c r="BB1385" s="25"/>
      <c r="BC1385" s="25"/>
      <c r="BD1385" s="25"/>
      <c r="BE1385" s="25"/>
      <c r="BF1385" s="25"/>
      <c r="BG1385" s="25"/>
      <c r="BH1385" s="25"/>
      <c r="BI1385" s="25"/>
      <c r="BJ1385" s="25"/>
      <c r="BK1385" s="25"/>
      <c r="BL1385" s="25"/>
      <c r="BM1385" s="25"/>
      <c r="BN1385" s="25"/>
      <c r="BO1385" s="25"/>
      <c r="BP1385" s="25"/>
      <c r="BQ1385" s="25"/>
      <c r="BR1385" s="25"/>
      <c r="BS1385" s="25"/>
      <c r="BT1385" s="25"/>
      <c r="BU1385" s="25"/>
      <c r="BV1385" s="25"/>
      <c r="BW1385" s="25"/>
      <c r="BX1385" s="25"/>
      <c r="BY1385" s="25"/>
      <c r="BZ1385" s="25"/>
      <c r="CA1385" s="25"/>
      <c r="CB1385" s="25"/>
      <c r="CC1385" s="25"/>
      <c r="CD1385" s="25"/>
      <c r="CE1385" s="200"/>
      <c r="CF1385" s="200"/>
      <c r="CG1385" s="200"/>
      <c r="CH1385" s="200"/>
      <c r="CI1385" s="200"/>
      <c r="CJ1385" s="200"/>
      <c r="CK1385" s="200"/>
      <c r="CL1385" s="200"/>
      <c r="CM1385" s="200"/>
      <c r="CN1385" s="200"/>
      <c r="CO1385" s="200"/>
      <c r="CP1385" s="200"/>
      <c r="CQ1385" s="200"/>
      <c r="CR1385" s="200"/>
      <c r="CS1385" s="200"/>
      <c r="CT1385" s="200"/>
      <c r="CU1385" s="200"/>
    </row>
    <row r="1386" spans="1:99" s="17" customFormat="1" x14ac:dyDescent="0.2">
      <c r="A1386" s="25"/>
      <c r="B1386" s="20">
        <v>39095006500</v>
      </c>
      <c r="C1386" s="20">
        <v>65</v>
      </c>
      <c r="D1386" s="20" t="s">
        <v>53</v>
      </c>
      <c r="E1386" s="20" t="s">
        <v>2839</v>
      </c>
      <c r="F1386" s="20" t="s">
        <v>8</v>
      </c>
      <c r="G1386" s="861">
        <v>51.630055155873798</v>
      </c>
      <c r="H1386" s="861">
        <v>62.978119862502702</v>
      </c>
      <c r="I1386" s="861">
        <v>41.973263640286703</v>
      </c>
      <c r="J1386" s="861">
        <v>34.301833221290799</v>
      </c>
      <c r="K1386" s="982">
        <v>0</v>
      </c>
      <c r="L1386" s="735">
        <v>2479</v>
      </c>
      <c r="M1386" s="735">
        <v>2365</v>
      </c>
      <c r="N1386" s="845">
        <f t="shared" si="118"/>
        <v>-4.5986284792254944E-2</v>
      </c>
      <c r="O1386" s="735">
        <v>0.52226224312666825</v>
      </c>
      <c r="P1386" s="735">
        <f t="shared" si="119"/>
        <v>4528.3763686252132</v>
      </c>
      <c r="Q1386" s="849">
        <v>30.7</v>
      </c>
      <c r="R1386" s="71">
        <v>44432</v>
      </c>
      <c r="S1386" s="845">
        <v>0.18309242225142355</v>
      </c>
      <c r="T1386" s="845">
        <v>2.5000000000000001E-2</v>
      </c>
      <c r="U1386" s="845">
        <v>0</v>
      </c>
      <c r="V1386" s="845">
        <v>2.2000000000000002E-2</v>
      </c>
      <c r="W1386" s="845">
        <v>0.72826880934989047</v>
      </c>
      <c r="X1386" s="845">
        <v>0.46339017051153458</v>
      </c>
      <c r="Y1386" s="845">
        <v>0.51712473572938689</v>
      </c>
      <c r="Z1386" s="845">
        <v>0.33826638477801269</v>
      </c>
      <c r="AA1386" s="845">
        <v>1.2684989429175475E-3</v>
      </c>
      <c r="AB1386" s="845">
        <v>2.8752642706131079E-2</v>
      </c>
      <c r="AC1386" s="845">
        <v>0</v>
      </c>
      <c r="AD1386" s="845">
        <v>1.2262156448202961E-2</v>
      </c>
      <c r="AE1386" s="845">
        <v>0.10232558139534884</v>
      </c>
      <c r="AF1386" s="845">
        <v>2.1564482029598309E-2</v>
      </c>
      <c r="AG1386" s="845">
        <v>0.51712473572938689</v>
      </c>
      <c r="AH1386" s="20" t="str">
        <f t="shared" si="120"/>
        <v>No</v>
      </c>
      <c r="AI1386" s="25"/>
      <c r="AJ1386" s="37">
        <v>45853</v>
      </c>
      <c r="AK1386" s="37" t="s">
        <v>1917</v>
      </c>
      <c r="AL1386" s="37">
        <v>39137</v>
      </c>
      <c r="AM1386" s="37" t="s">
        <v>74</v>
      </c>
      <c r="AN1386" s="37" t="str">
        <f t="shared" si="121"/>
        <v>N/A</v>
      </c>
      <c r="AO1386" s="37" t="str">
        <f t="shared" si="122"/>
        <v>N/A</v>
      </c>
      <c r="AP1386" s="37" t="s">
        <v>8</v>
      </c>
      <c r="AQ1386" s="25"/>
      <c r="AR1386" s="25"/>
      <c r="AS1386" s="25"/>
      <c r="AT1386" s="25"/>
      <c r="AU1386" s="36"/>
      <c r="AV1386" s="36"/>
      <c r="AW1386" s="36"/>
      <c r="AX1386" s="25"/>
      <c r="AY1386" s="25"/>
      <c r="AZ1386" s="25"/>
      <c r="BA1386" s="25"/>
      <c r="BB1386" s="25"/>
      <c r="BC1386" s="25"/>
      <c r="BD1386" s="25"/>
      <c r="BE1386" s="25"/>
      <c r="BF1386" s="25"/>
      <c r="BG1386" s="25"/>
      <c r="BH1386" s="25"/>
      <c r="BI1386" s="25"/>
      <c r="BJ1386" s="25"/>
      <c r="BK1386" s="25"/>
      <c r="BL1386" s="25"/>
      <c r="BM1386" s="25"/>
      <c r="BN1386" s="25"/>
      <c r="BO1386" s="25"/>
      <c r="BP1386" s="25"/>
      <c r="BQ1386" s="25"/>
      <c r="BR1386" s="25"/>
      <c r="BS1386" s="25"/>
      <c r="BT1386" s="25"/>
      <c r="BU1386" s="25"/>
      <c r="BV1386" s="25"/>
      <c r="BW1386" s="25"/>
      <c r="BX1386" s="25"/>
      <c r="BY1386" s="25"/>
      <c r="BZ1386" s="25"/>
      <c r="CA1386" s="25"/>
      <c r="CB1386" s="25"/>
      <c r="CC1386" s="25"/>
      <c r="CD1386" s="25"/>
      <c r="CE1386" s="200"/>
      <c r="CF1386" s="200"/>
      <c r="CG1386" s="200"/>
      <c r="CH1386" s="200"/>
      <c r="CI1386" s="200"/>
      <c r="CJ1386" s="200"/>
      <c r="CK1386" s="200"/>
      <c r="CL1386" s="200"/>
      <c r="CM1386" s="200"/>
      <c r="CN1386" s="200"/>
      <c r="CO1386" s="200"/>
      <c r="CP1386" s="200"/>
      <c r="CQ1386" s="200"/>
      <c r="CR1386" s="200"/>
      <c r="CS1386" s="200"/>
      <c r="CT1386" s="200"/>
      <c r="CU1386" s="200"/>
    </row>
    <row r="1387" spans="1:99" s="17" customFormat="1" x14ac:dyDescent="0.2">
      <c r="A1387" s="25"/>
      <c r="B1387" s="20">
        <v>39059977500</v>
      </c>
      <c r="C1387" s="20">
        <v>9775</v>
      </c>
      <c r="D1387" s="20" t="s">
        <v>36</v>
      </c>
      <c r="E1387" s="20" t="s">
        <v>265</v>
      </c>
      <c r="F1387" s="20" t="s">
        <v>8</v>
      </c>
      <c r="G1387" s="861">
        <v>51.542084330336699</v>
      </c>
      <c r="H1387" s="861">
        <v>52.800052787350502</v>
      </c>
      <c r="I1387" s="861">
        <v>45.870364035910598</v>
      </c>
      <c r="J1387" s="861">
        <v>52.247114974173599</v>
      </c>
      <c r="K1387" s="982">
        <v>0</v>
      </c>
      <c r="L1387" s="735">
        <v>3373</v>
      </c>
      <c r="M1387" s="735">
        <v>3631</v>
      </c>
      <c r="N1387" s="845">
        <f t="shared" si="118"/>
        <v>7.6489771716572785E-2</v>
      </c>
      <c r="O1387" s="735">
        <v>0.63668670664283478</v>
      </c>
      <c r="P1387" s="735">
        <f t="shared" si="119"/>
        <v>5702.9618525346405</v>
      </c>
      <c r="Q1387" s="849">
        <v>35</v>
      </c>
      <c r="R1387" s="71">
        <v>65885</v>
      </c>
      <c r="S1387" s="845">
        <v>0.20514950166112958</v>
      </c>
      <c r="T1387" s="845">
        <v>2.5000000000000001E-2</v>
      </c>
      <c r="U1387" s="845">
        <v>6.4000000000000001E-2</v>
      </c>
      <c r="V1387" s="845">
        <v>9.6999999999999989E-2</v>
      </c>
      <c r="W1387" s="845">
        <v>0.37634408602150538</v>
      </c>
      <c r="X1387" s="845">
        <v>0.55462184873949583</v>
      </c>
      <c r="Y1387" s="845">
        <v>0.90443404020930873</v>
      </c>
      <c r="Z1387" s="845">
        <v>5.7009088405397965E-2</v>
      </c>
      <c r="AA1387" s="845">
        <v>0</v>
      </c>
      <c r="AB1387" s="845">
        <v>0</v>
      </c>
      <c r="AC1387" s="845">
        <v>0</v>
      </c>
      <c r="AD1387" s="845">
        <v>1.019003029468466E-2</v>
      </c>
      <c r="AE1387" s="845">
        <v>2.8366841090608649E-2</v>
      </c>
      <c r="AF1387" s="845">
        <v>1.1842467639768659E-2</v>
      </c>
      <c r="AG1387" s="845">
        <v>0.90443404020930873</v>
      </c>
      <c r="AH1387" s="20" t="str">
        <f t="shared" si="120"/>
        <v>Yes</v>
      </c>
      <c r="AI1387" s="25"/>
      <c r="AJ1387" s="37">
        <v>45856</v>
      </c>
      <c r="AK1387" s="37" t="s">
        <v>1920</v>
      </c>
      <c r="AL1387" s="37">
        <v>39137</v>
      </c>
      <c r="AM1387" s="37" t="s">
        <v>74</v>
      </c>
      <c r="AN1387" s="37" t="str">
        <f t="shared" si="121"/>
        <v>N/A</v>
      </c>
      <c r="AO1387" s="37" t="str">
        <f t="shared" si="122"/>
        <v>N/A</v>
      </c>
      <c r="AP1387" s="37" t="s">
        <v>8</v>
      </c>
      <c r="AQ1387" s="25"/>
      <c r="AR1387" s="25"/>
      <c r="AS1387" s="25"/>
      <c r="AT1387" s="25"/>
      <c r="AU1387" s="36"/>
      <c r="AV1387" s="36"/>
      <c r="AW1387" s="36"/>
      <c r="AX1387" s="25"/>
      <c r="AY1387" s="25"/>
      <c r="AZ1387" s="25"/>
      <c r="BA1387" s="25"/>
      <c r="BB1387" s="25"/>
      <c r="BC1387" s="25"/>
      <c r="BD1387" s="25"/>
      <c r="BE1387" s="25"/>
      <c r="BF1387" s="25"/>
      <c r="BG1387" s="25"/>
      <c r="BH1387" s="25"/>
      <c r="BI1387" s="25"/>
      <c r="BJ1387" s="25"/>
      <c r="BK1387" s="25"/>
      <c r="BL1387" s="25"/>
      <c r="BM1387" s="25"/>
      <c r="BN1387" s="25"/>
      <c r="BO1387" s="25"/>
      <c r="BP1387" s="25"/>
      <c r="BQ1387" s="25"/>
      <c r="BR1387" s="25"/>
      <c r="BS1387" s="25"/>
      <c r="BT1387" s="25"/>
      <c r="BU1387" s="25"/>
      <c r="BV1387" s="25"/>
      <c r="BW1387" s="25"/>
      <c r="BX1387" s="25"/>
      <c r="BY1387" s="25"/>
      <c r="BZ1387" s="25"/>
      <c r="CA1387" s="25"/>
      <c r="CB1387" s="25"/>
      <c r="CC1387" s="25"/>
      <c r="CD1387" s="25"/>
      <c r="CE1387" s="200"/>
      <c r="CF1387" s="200"/>
      <c r="CG1387" s="200"/>
      <c r="CH1387" s="200"/>
      <c r="CI1387" s="200"/>
      <c r="CJ1387" s="200"/>
      <c r="CK1387" s="200"/>
      <c r="CL1387" s="200"/>
      <c r="CM1387" s="200"/>
      <c r="CN1387" s="200"/>
      <c r="CO1387" s="200"/>
      <c r="CP1387" s="200"/>
      <c r="CQ1387" s="200"/>
      <c r="CR1387" s="200"/>
      <c r="CS1387" s="200"/>
      <c r="CT1387" s="200"/>
      <c r="CU1387" s="200"/>
    </row>
    <row r="1388" spans="1:99" s="17" customFormat="1" x14ac:dyDescent="0.2">
      <c r="A1388" s="25"/>
      <c r="B1388" s="20">
        <v>39165032203</v>
      </c>
      <c r="C1388" s="20">
        <v>322.02999999999997</v>
      </c>
      <c r="D1388" s="20" t="s">
        <v>88</v>
      </c>
      <c r="E1388" s="20" t="s">
        <v>2828</v>
      </c>
      <c r="F1388" s="20" t="s">
        <v>8</v>
      </c>
      <c r="G1388" s="861">
        <v>51.539652276682098</v>
      </c>
      <c r="H1388" s="861">
        <v>55.212664894768601</v>
      </c>
      <c r="I1388" s="861">
        <v>21.644946312107798</v>
      </c>
      <c r="J1388" s="861">
        <v>51.727021287126</v>
      </c>
      <c r="K1388" s="982">
        <v>0</v>
      </c>
      <c r="L1388" s="735" t="s">
        <v>2466</v>
      </c>
      <c r="M1388" s="735">
        <v>8125</v>
      </c>
      <c r="N1388" s="845" t="str">
        <f t="shared" si="118"/>
        <v/>
      </c>
      <c r="O1388" s="735">
        <v>5.0711194191543996</v>
      </c>
      <c r="P1388" s="735">
        <f t="shared" si="119"/>
        <v>1602.2103461635359</v>
      </c>
      <c r="Q1388" s="849">
        <v>43.8</v>
      </c>
      <c r="R1388" s="71">
        <v>126875</v>
      </c>
      <c r="S1388" s="845">
        <v>1.1539893287008314E-2</v>
      </c>
      <c r="T1388" s="845">
        <v>2.1000000000000001E-2</v>
      </c>
      <c r="U1388" s="845">
        <v>2.5000000000000001E-2</v>
      </c>
      <c r="V1388" s="845">
        <v>0.11699999999999999</v>
      </c>
      <c r="W1388" s="845">
        <v>7.8855325914149441E-2</v>
      </c>
      <c r="X1388" s="845">
        <v>0.19758064516129031</v>
      </c>
      <c r="Y1388" s="845">
        <v>0.95889230769230771</v>
      </c>
      <c r="Z1388" s="845">
        <v>7.5076923076923081E-3</v>
      </c>
      <c r="AA1388" s="845">
        <v>1.2307692307692307E-4</v>
      </c>
      <c r="AB1388" s="845">
        <v>1.1938461538461538E-2</v>
      </c>
      <c r="AC1388" s="845">
        <v>0</v>
      </c>
      <c r="AD1388" s="845">
        <v>4.1846153846153847E-3</v>
      </c>
      <c r="AE1388" s="845">
        <v>1.7353846153846154E-2</v>
      </c>
      <c r="AF1388" s="845">
        <v>2.0923076923076923E-2</v>
      </c>
      <c r="AG1388" s="845">
        <v>0.94375384615384617</v>
      </c>
      <c r="AH1388" s="20" t="str">
        <f t="shared" si="120"/>
        <v>Yes</v>
      </c>
      <c r="AI1388" s="25"/>
      <c r="AJ1388" s="37">
        <v>45864</v>
      </c>
      <c r="AK1388" s="37" t="s">
        <v>1927</v>
      </c>
      <c r="AL1388" s="37">
        <v>39137</v>
      </c>
      <c r="AM1388" s="37" t="s">
        <v>74</v>
      </c>
      <c r="AN1388" s="37" t="str">
        <f t="shared" si="121"/>
        <v>N/A</v>
      </c>
      <c r="AO1388" s="37" t="str">
        <f t="shared" si="122"/>
        <v>N/A</v>
      </c>
      <c r="AP1388" s="37" t="s">
        <v>8</v>
      </c>
      <c r="AQ1388" s="25"/>
      <c r="AR1388" s="25"/>
      <c r="AS1388" s="25"/>
      <c r="AT1388" s="25"/>
      <c r="AU1388" s="36"/>
      <c r="AV1388" s="36"/>
      <c r="AW1388" s="36"/>
      <c r="AX1388" s="25"/>
      <c r="AY1388" s="25"/>
      <c r="AZ1388" s="25"/>
      <c r="BA1388" s="25"/>
      <c r="BB1388" s="25"/>
      <c r="BC1388" s="25"/>
      <c r="BD1388" s="25"/>
      <c r="BE1388" s="25"/>
      <c r="BF1388" s="25"/>
      <c r="BG1388" s="25"/>
      <c r="BH1388" s="25"/>
      <c r="BI1388" s="25"/>
      <c r="BJ1388" s="25"/>
      <c r="BK1388" s="25"/>
      <c r="BL1388" s="25"/>
      <c r="BM1388" s="25"/>
      <c r="BN1388" s="25"/>
      <c r="BO1388" s="25"/>
      <c r="BP1388" s="25"/>
      <c r="BQ1388" s="25"/>
      <c r="BR1388" s="25"/>
      <c r="BS1388" s="25"/>
      <c r="BT1388" s="25"/>
      <c r="BU1388" s="25"/>
      <c r="BV1388" s="25"/>
      <c r="BW1388" s="25"/>
      <c r="BX1388" s="25"/>
      <c r="BY1388" s="25"/>
      <c r="BZ1388" s="25"/>
      <c r="CA1388" s="25"/>
      <c r="CB1388" s="25"/>
      <c r="CC1388" s="25"/>
      <c r="CD1388" s="25"/>
      <c r="CE1388" s="200"/>
      <c r="CF1388" s="200"/>
      <c r="CG1388" s="200"/>
      <c r="CH1388" s="200"/>
      <c r="CI1388" s="200"/>
      <c r="CJ1388" s="200"/>
      <c r="CK1388" s="200"/>
      <c r="CL1388" s="200"/>
      <c r="CM1388" s="200"/>
      <c r="CN1388" s="200"/>
      <c r="CO1388" s="200"/>
      <c r="CP1388" s="200"/>
      <c r="CQ1388" s="200"/>
      <c r="CR1388" s="200"/>
      <c r="CS1388" s="200"/>
      <c r="CT1388" s="200"/>
      <c r="CU1388" s="200"/>
    </row>
    <row r="1389" spans="1:99" s="17" customFormat="1" x14ac:dyDescent="0.2">
      <c r="A1389" s="25"/>
      <c r="B1389" s="20">
        <v>39169001000</v>
      </c>
      <c r="C1389" s="20">
        <v>10</v>
      </c>
      <c r="D1389" s="20" t="s">
        <v>90</v>
      </c>
      <c r="E1389" s="20" t="s">
        <v>265</v>
      </c>
      <c r="F1389" s="20" t="s">
        <v>8</v>
      </c>
      <c r="G1389" s="861">
        <v>51.5376165684496</v>
      </c>
      <c r="H1389" s="861">
        <v>57.719329347009001</v>
      </c>
      <c r="I1389" s="861">
        <v>31.293277709385301</v>
      </c>
      <c r="J1389" s="861">
        <v>35.603266459586202</v>
      </c>
      <c r="K1389" s="982">
        <v>0</v>
      </c>
      <c r="L1389" s="735">
        <v>2775</v>
      </c>
      <c r="M1389" s="735">
        <v>3397</v>
      </c>
      <c r="N1389" s="845">
        <f t="shared" si="118"/>
        <v>0.22414414414414413</v>
      </c>
      <c r="O1389" s="735">
        <v>3.9119021283846744</v>
      </c>
      <c r="P1389" s="735">
        <f t="shared" si="119"/>
        <v>868.37550851577907</v>
      </c>
      <c r="Q1389" s="849">
        <v>36.1</v>
      </c>
      <c r="R1389" s="71">
        <v>71328</v>
      </c>
      <c r="S1389" s="845">
        <v>0.21432835820895521</v>
      </c>
      <c r="T1389" s="845">
        <v>0.04</v>
      </c>
      <c r="U1389" s="845">
        <v>0</v>
      </c>
      <c r="V1389" s="845">
        <v>0.04</v>
      </c>
      <c r="W1389" s="845">
        <v>0.41106382978723405</v>
      </c>
      <c r="X1389" s="845">
        <v>0.41614906832298137</v>
      </c>
      <c r="Y1389" s="845">
        <v>0.83014424492199002</v>
      </c>
      <c r="Z1389" s="845">
        <v>3.0026493965263468E-2</v>
      </c>
      <c r="AA1389" s="845">
        <v>0</v>
      </c>
      <c r="AB1389" s="845">
        <v>0</v>
      </c>
      <c r="AC1389" s="845">
        <v>0</v>
      </c>
      <c r="AD1389" s="845">
        <v>0.11627906976744186</v>
      </c>
      <c r="AE1389" s="845">
        <v>2.3550191345304682E-2</v>
      </c>
      <c r="AF1389" s="845">
        <v>0.11922284368560494</v>
      </c>
      <c r="AG1389" s="845">
        <v>0.82513982926111273</v>
      </c>
      <c r="AH1389" s="20" t="str">
        <f t="shared" si="120"/>
        <v>No</v>
      </c>
      <c r="AI1389" s="25"/>
      <c r="AJ1389" s="37">
        <v>45868</v>
      </c>
      <c r="AK1389" s="37" t="s">
        <v>1931</v>
      </c>
      <c r="AL1389" s="37">
        <v>39137</v>
      </c>
      <c r="AM1389" s="37" t="s">
        <v>74</v>
      </c>
      <c r="AN1389" s="37" t="str">
        <f t="shared" si="121"/>
        <v>N/A</v>
      </c>
      <c r="AO1389" s="37" t="str">
        <f t="shared" si="122"/>
        <v>N/A</v>
      </c>
      <c r="AP1389" s="37" t="s">
        <v>8</v>
      </c>
      <c r="AQ1389" s="25"/>
      <c r="AR1389" s="25"/>
      <c r="AS1389" s="25"/>
      <c r="AT1389" s="25"/>
      <c r="AU1389" s="36"/>
      <c r="AV1389" s="36"/>
      <c r="AW1389" s="36"/>
      <c r="AX1389" s="25"/>
      <c r="AY1389" s="25"/>
      <c r="AZ1389" s="25"/>
      <c r="BA1389" s="25"/>
      <c r="BB1389" s="25"/>
      <c r="BC1389" s="25"/>
      <c r="BD1389" s="25"/>
      <c r="BE1389" s="25"/>
      <c r="BF1389" s="25"/>
      <c r="BG1389" s="25"/>
      <c r="BH1389" s="25"/>
      <c r="BI1389" s="25"/>
      <c r="BJ1389" s="25"/>
      <c r="BK1389" s="25"/>
      <c r="BL1389" s="25"/>
      <c r="BM1389" s="25"/>
      <c r="BN1389" s="25"/>
      <c r="BO1389" s="25"/>
      <c r="BP1389" s="25"/>
      <c r="BQ1389" s="25"/>
      <c r="BR1389" s="25"/>
      <c r="BS1389" s="25"/>
      <c r="BT1389" s="25"/>
      <c r="BU1389" s="25"/>
      <c r="BV1389" s="25"/>
      <c r="BW1389" s="25"/>
      <c r="BX1389" s="25"/>
      <c r="BY1389" s="25"/>
      <c r="BZ1389" s="25"/>
      <c r="CA1389" s="25"/>
      <c r="CB1389" s="25"/>
      <c r="CC1389" s="25"/>
      <c r="CD1389" s="25"/>
      <c r="CE1389" s="200"/>
      <c r="CF1389" s="200"/>
      <c r="CG1389" s="200"/>
      <c r="CH1389" s="200"/>
      <c r="CI1389" s="200"/>
      <c r="CJ1389" s="200"/>
      <c r="CK1389" s="200"/>
      <c r="CL1389" s="200"/>
      <c r="CM1389" s="200"/>
      <c r="CN1389" s="200"/>
      <c r="CO1389" s="200"/>
      <c r="CP1389" s="200"/>
      <c r="CQ1389" s="200"/>
      <c r="CR1389" s="200"/>
      <c r="CS1389" s="200"/>
      <c r="CT1389" s="200"/>
      <c r="CU1389" s="200"/>
    </row>
    <row r="1390" spans="1:99" s="17" customFormat="1" x14ac:dyDescent="0.2">
      <c r="A1390" s="25"/>
      <c r="B1390" s="20">
        <v>39035107000</v>
      </c>
      <c r="C1390" s="20">
        <v>1070</v>
      </c>
      <c r="D1390" s="20" t="s">
        <v>24</v>
      </c>
      <c r="E1390" s="20" t="s">
        <v>2829</v>
      </c>
      <c r="F1390" s="20" t="s">
        <v>8</v>
      </c>
      <c r="G1390" s="861">
        <v>51.531743222955797</v>
      </c>
      <c r="H1390" s="861">
        <v>70.537282914242098</v>
      </c>
      <c r="I1390" s="861">
        <v>30.616456073266299</v>
      </c>
      <c r="J1390" s="861">
        <v>41.727150470021897</v>
      </c>
      <c r="K1390" s="982">
        <v>0</v>
      </c>
      <c r="L1390" s="735">
        <v>1587</v>
      </c>
      <c r="M1390" s="735">
        <v>1528</v>
      </c>
      <c r="N1390" s="845">
        <f t="shared" si="118"/>
        <v>-3.7177063642092001E-2</v>
      </c>
      <c r="O1390" s="735">
        <v>1.0836038162352799</v>
      </c>
      <c r="P1390" s="735">
        <f t="shared" si="119"/>
        <v>1410.109467230069</v>
      </c>
      <c r="Q1390" s="849">
        <v>54.4</v>
      </c>
      <c r="R1390" s="71">
        <v>94719</v>
      </c>
      <c r="S1390" s="845">
        <v>3.1413612565445025E-2</v>
      </c>
      <c r="T1390" s="845">
        <v>3.4000000000000002E-2</v>
      </c>
      <c r="U1390" s="845">
        <v>0</v>
      </c>
      <c r="V1390" s="845">
        <v>0</v>
      </c>
      <c r="W1390" s="845">
        <v>9.2327698309492848E-2</v>
      </c>
      <c r="X1390" s="845">
        <v>0.29577464788732394</v>
      </c>
      <c r="Y1390" s="845">
        <v>0.77421465968586389</v>
      </c>
      <c r="Z1390" s="845">
        <v>6.2172774869109951E-2</v>
      </c>
      <c r="AA1390" s="845">
        <v>0</v>
      </c>
      <c r="AB1390" s="845">
        <v>4.3193717277486908E-2</v>
      </c>
      <c r="AC1390" s="845">
        <v>0</v>
      </c>
      <c r="AD1390" s="845">
        <v>8.4424083769633507E-2</v>
      </c>
      <c r="AE1390" s="845">
        <v>3.5994764397905762E-2</v>
      </c>
      <c r="AF1390" s="845">
        <v>0.15641361256544503</v>
      </c>
      <c r="AG1390" s="845">
        <v>0.72971204188481675</v>
      </c>
      <c r="AH1390" s="20" t="str">
        <f t="shared" si="120"/>
        <v>No</v>
      </c>
      <c r="AI1390" s="25"/>
      <c r="AJ1390" s="37">
        <v>45873</v>
      </c>
      <c r="AK1390" s="37" t="s">
        <v>1936</v>
      </c>
      <c r="AL1390" s="37">
        <v>39137</v>
      </c>
      <c r="AM1390" s="37" t="s">
        <v>74</v>
      </c>
      <c r="AN1390" s="37" t="str">
        <f t="shared" si="121"/>
        <v>N/A</v>
      </c>
      <c r="AO1390" s="37" t="str">
        <f t="shared" si="122"/>
        <v>N/A</v>
      </c>
      <c r="AP1390" s="37" t="s">
        <v>8</v>
      </c>
      <c r="AQ1390" s="25"/>
      <c r="AR1390" s="25"/>
      <c r="AS1390" s="25"/>
      <c r="AT1390" s="25"/>
      <c r="AU1390" s="36"/>
      <c r="AV1390" s="36"/>
      <c r="AW1390" s="36"/>
      <c r="AX1390" s="25"/>
      <c r="AY1390" s="25"/>
      <c r="AZ1390" s="25"/>
      <c r="BA1390" s="25"/>
      <c r="BB1390" s="25"/>
      <c r="BC1390" s="25"/>
      <c r="BD1390" s="25"/>
      <c r="BE1390" s="25"/>
      <c r="BF1390" s="25"/>
      <c r="BG1390" s="25"/>
      <c r="BH1390" s="25"/>
      <c r="BI1390" s="25"/>
      <c r="BJ1390" s="25"/>
      <c r="BK1390" s="25"/>
      <c r="BL1390" s="25"/>
      <c r="BM1390" s="25"/>
      <c r="BN1390" s="25"/>
      <c r="BO1390" s="25"/>
      <c r="BP1390" s="25"/>
      <c r="BQ1390" s="25"/>
      <c r="BR1390" s="25"/>
      <c r="BS1390" s="25"/>
      <c r="BT1390" s="25"/>
      <c r="BU1390" s="25"/>
      <c r="BV1390" s="25"/>
      <c r="BW1390" s="25"/>
      <c r="BX1390" s="25"/>
      <c r="BY1390" s="25"/>
      <c r="BZ1390" s="25"/>
      <c r="CA1390" s="25"/>
      <c r="CB1390" s="25"/>
      <c r="CC1390" s="25"/>
      <c r="CD1390" s="25"/>
      <c r="CE1390" s="200"/>
      <c r="CF1390" s="200"/>
      <c r="CG1390" s="200"/>
      <c r="CH1390" s="200"/>
      <c r="CI1390" s="200"/>
      <c r="CJ1390" s="200"/>
      <c r="CK1390" s="200"/>
      <c r="CL1390" s="200"/>
      <c r="CM1390" s="200"/>
      <c r="CN1390" s="200"/>
      <c r="CO1390" s="200"/>
      <c r="CP1390" s="200"/>
      <c r="CQ1390" s="200"/>
      <c r="CR1390" s="200"/>
      <c r="CS1390" s="200"/>
      <c r="CT1390" s="200"/>
      <c r="CU1390" s="200"/>
    </row>
    <row r="1391" spans="1:99" s="17" customFormat="1" x14ac:dyDescent="0.2">
      <c r="A1391" s="25"/>
      <c r="B1391" s="20">
        <v>39151710800</v>
      </c>
      <c r="C1391" s="20">
        <v>7108</v>
      </c>
      <c r="D1391" s="20" t="s">
        <v>81</v>
      </c>
      <c r="E1391" s="20" t="s">
        <v>2844</v>
      </c>
      <c r="F1391" s="20" t="s">
        <v>8</v>
      </c>
      <c r="G1391" s="861">
        <v>51.531244494534803</v>
      </c>
      <c r="H1391" s="861">
        <v>54.035181789362902</v>
      </c>
      <c r="I1391" s="861">
        <v>22.597540658384201</v>
      </c>
      <c r="J1391" s="861">
        <v>42.305805064583502</v>
      </c>
      <c r="K1391" s="982">
        <v>0</v>
      </c>
      <c r="L1391" s="735">
        <v>5429</v>
      </c>
      <c r="M1391" s="735">
        <v>5076</v>
      </c>
      <c r="N1391" s="845">
        <f t="shared" si="118"/>
        <v>-6.5021182538220673E-2</v>
      </c>
      <c r="O1391" s="735">
        <v>23.056396965467151</v>
      </c>
      <c r="P1391" s="735">
        <f t="shared" si="119"/>
        <v>220.15582085972096</v>
      </c>
      <c r="Q1391" s="849">
        <v>53.5</v>
      </c>
      <c r="R1391" s="71">
        <v>71635</v>
      </c>
      <c r="S1391" s="845">
        <v>0.11396671582051822</v>
      </c>
      <c r="T1391" s="845">
        <v>0</v>
      </c>
      <c r="U1391" s="845">
        <v>1.7000000000000001E-2</v>
      </c>
      <c r="V1391" s="845">
        <v>0</v>
      </c>
      <c r="W1391" s="845">
        <v>0.28331780055917988</v>
      </c>
      <c r="X1391" s="845">
        <v>0.28453947368421051</v>
      </c>
      <c r="Y1391" s="845">
        <v>0.9521276595744681</v>
      </c>
      <c r="Z1391" s="845">
        <v>3.0338849487785657E-2</v>
      </c>
      <c r="AA1391" s="845">
        <v>0</v>
      </c>
      <c r="AB1391" s="845">
        <v>0</v>
      </c>
      <c r="AC1391" s="845">
        <v>0</v>
      </c>
      <c r="AD1391" s="845">
        <v>0</v>
      </c>
      <c r="AE1391" s="845">
        <v>1.7533490937746258E-2</v>
      </c>
      <c r="AF1391" s="845">
        <v>1.103230890464933E-2</v>
      </c>
      <c r="AG1391" s="845">
        <v>0.9521276595744681</v>
      </c>
      <c r="AH1391" s="20" t="str">
        <f t="shared" si="120"/>
        <v>Yes</v>
      </c>
      <c r="AI1391" s="25"/>
      <c r="AJ1391" s="37">
        <v>45875</v>
      </c>
      <c r="AK1391" s="37" t="s">
        <v>1938</v>
      </c>
      <c r="AL1391" s="37">
        <v>39137</v>
      </c>
      <c r="AM1391" s="37" t="s">
        <v>74</v>
      </c>
      <c r="AN1391" s="37" t="str">
        <f t="shared" si="121"/>
        <v>N/A</v>
      </c>
      <c r="AO1391" s="37" t="str">
        <f t="shared" si="122"/>
        <v>N/A</v>
      </c>
      <c r="AP1391" s="37" t="s">
        <v>8</v>
      </c>
      <c r="AQ1391" s="25"/>
      <c r="AR1391" s="25"/>
      <c r="AS1391" s="25"/>
      <c r="AT1391" s="25"/>
      <c r="AU1391" s="36"/>
      <c r="AV1391" s="36"/>
      <c r="AW1391" s="36"/>
      <c r="AX1391" s="25"/>
      <c r="AY1391" s="25"/>
      <c r="AZ1391" s="25"/>
      <c r="BA1391" s="25"/>
      <c r="BB1391" s="25"/>
      <c r="BC1391" s="25"/>
      <c r="BD1391" s="25"/>
      <c r="BE1391" s="25"/>
      <c r="BF1391" s="25"/>
      <c r="BG1391" s="25"/>
      <c r="BH1391" s="25"/>
      <c r="BI1391" s="25"/>
      <c r="BJ1391" s="25"/>
      <c r="BK1391" s="25"/>
      <c r="BL1391" s="25"/>
      <c r="BM1391" s="25"/>
      <c r="BN1391" s="25"/>
      <c r="BO1391" s="25"/>
      <c r="BP1391" s="25"/>
      <c r="BQ1391" s="25"/>
      <c r="BR1391" s="25"/>
      <c r="BS1391" s="25"/>
      <c r="BT1391" s="25"/>
      <c r="BU1391" s="25"/>
      <c r="BV1391" s="25"/>
      <c r="BW1391" s="25"/>
      <c r="BX1391" s="25"/>
      <c r="BY1391" s="25"/>
      <c r="BZ1391" s="25"/>
      <c r="CA1391" s="25"/>
      <c r="CB1391" s="25"/>
      <c r="CC1391" s="25"/>
      <c r="CD1391" s="25"/>
      <c r="CE1391" s="200"/>
      <c r="CF1391" s="200"/>
      <c r="CG1391" s="200"/>
      <c r="CH1391" s="200"/>
      <c r="CI1391" s="200"/>
      <c r="CJ1391" s="200"/>
      <c r="CK1391" s="200"/>
      <c r="CL1391" s="200"/>
      <c r="CM1391" s="200"/>
      <c r="CN1391" s="200"/>
      <c r="CO1391" s="200"/>
      <c r="CP1391" s="200"/>
      <c r="CQ1391" s="200"/>
      <c r="CR1391" s="200"/>
      <c r="CS1391" s="200"/>
      <c r="CT1391" s="200"/>
      <c r="CU1391" s="200"/>
    </row>
    <row r="1392" spans="1:99" s="17" customFormat="1" x14ac:dyDescent="0.2">
      <c r="A1392" s="25"/>
      <c r="B1392" s="20">
        <v>39049009332</v>
      </c>
      <c r="C1392" s="20">
        <v>93.32</v>
      </c>
      <c r="D1392" s="20" t="s">
        <v>31</v>
      </c>
      <c r="E1392" s="20" t="s">
        <v>2830</v>
      </c>
      <c r="F1392" s="20" t="s">
        <v>8</v>
      </c>
      <c r="G1392" s="861">
        <v>51.513094514634403</v>
      </c>
      <c r="H1392" s="861">
        <v>60.103322073150402</v>
      </c>
      <c r="I1392" s="861">
        <v>50.873467428165497</v>
      </c>
      <c r="J1392" s="861">
        <v>45.152475040441601</v>
      </c>
      <c r="K1392" s="982">
        <v>0</v>
      </c>
      <c r="L1392" s="735">
        <v>3105</v>
      </c>
      <c r="M1392" s="735">
        <v>3988</v>
      </c>
      <c r="N1392" s="845">
        <f t="shared" si="118"/>
        <v>0.28438003220611918</v>
      </c>
      <c r="O1392" s="735">
        <v>0.73778794297244865</v>
      </c>
      <c r="P1392" s="735">
        <f t="shared" si="119"/>
        <v>5405.3472111957844</v>
      </c>
      <c r="Q1392" s="849">
        <v>37.299999999999997</v>
      </c>
      <c r="R1392" s="71">
        <v>63623</v>
      </c>
      <c r="S1392" s="845">
        <v>0.12337011033099297</v>
      </c>
      <c r="T1392" s="845">
        <v>9.6000000000000002E-2</v>
      </c>
      <c r="U1392" s="845">
        <v>0</v>
      </c>
      <c r="V1392" s="845">
        <v>0</v>
      </c>
      <c r="W1392" s="845">
        <v>0.45700541190619365</v>
      </c>
      <c r="X1392" s="845">
        <v>0.62105263157894741</v>
      </c>
      <c r="Y1392" s="845">
        <v>0.20586760280842528</v>
      </c>
      <c r="Z1392" s="845">
        <v>0.66549648946840523</v>
      </c>
      <c r="AA1392" s="845">
        <v>0</v>
      </c>
      <c r="AB1392" s="845">
        <v>0</v>
      </c>
      <c r="AC1392" s="845">
        <v>0</v>
      </c>
      <c r="AD1392" s="845">
        <v>6.243731193580742E-2</v>
      </c>
      <c r="AE1392" s="845">
        <v>6.6198595787362091E-2</v>
      </c>
      <c r="AF1392" s="845">
        <v>0.12487462387161484</v>
      </c>
      <c r="AG1392" s="845">
        <v>0.16750250752256771</v>
      </c>
      <c r="AH1392" s="20" t="str">
        <f t="shared" si="120"/>
        <v>No</v>
      </c>
      <c r="AI1392" s="25"/>
      <c r="AJ1392" s="37">
        <v>45876</v>
      </c>
      <c r="AK1392" s="37" t="s">
        <v>1939</v>
      </c>
      <c r="AL1392" s="37">
        <v>39137</v>
      </c>
      <c r="AM1392" s="37" t="s">
        <v>74</v>
      </c>
      <c r="AN1392" s="37" t="str">
        <f t="shared" si="121"/>
        <v>N/A</v>
      </c>
      <c r="AO1392" s="37" t="str">
        <f t="shared" si="122"/>
        <v>N/A</v>
      </c>
      <c r="AP1392" s="37" t="s">
        <v>8</v>
      </c>
      <c r="AQ1392" s="25"/>
      <c r="AR1392" s="25"/>
      <c r="AS1392" s="25"/>
      <c r="AT1392" s="25"/>
      <c r="AU1392" s="36"/>
      <c r="AV1392" s="36"/>
      <c r="AW1392" s="36"/>
      <c r="AX1392" s="25"/>
      <c r="AY1392" s="25"/>
      <c r="AZ1392" s="25"/>
      <c r="BA1392" s="25"/>
      <c r="BB1392" s="25"/>
      <c r="BC1392" s="25"/>
      <c r="BD1392" s="25"/>
      <c r="BE1392" s="25"/>
      <c r="BF1392" s="25"/>
      <c r="BG1392" s="25"/>
      <c r="BH1392" s="25"/>
      <c r="BI1392" s="25"/>
      <c r="BJ1392" s="25"/>
      <c r="BK1392" s="25"/>
      <c r="BL1392" s="25"/>
      <c r="BM1392" s="25"/>
      <c r="BN1392" s="25"/>
      <c r="BO1392" s="25"/>
      <c r="BP1392" s="25"/>
      <c r="BQ1392" s="25"/>
      <c r="BR1392" s="25"/>
      <c r="BS1392" s="25"/>
      <c r="BT1392" s="25"/>
      <c r="BU1392" s="25"/>
      <c r="BV1392" s="25"/>
      <c r="BW1392" s="25"/>
      <c r="BX1392" s="25"/>
      <c r="BY1392" s="25"/>
      <c r="BZ1392" s="25"/>
      <c r="CA1392" s="25"/>
      <c r="CB1392" s="25"/>
      <c r="CC1392" s="25"/>
      <c r="CD1392" s="25"/>
      <c r="CE1392" s="200"/>
      <c r="CF1392" s="200"/>
      <c r="CG1392" s="200"/>
      <c r="CH1392" s="200"/>
      <c r="CI1392" s="200"/>
      <c r="CJ1392" s="200"/>
      <c r="CK1392" s="200"/>
      <c r="CL1392" s="200"/>
      <c r="CM1392" s="200"/>
      <c r="CN1392" s="200"/>
      <c r="CO1392" s="200"/>
      <c r="CP1392" s="200"/>
      <c r="CQ1392" s="200"/>
      <c r="CR1392" s="200"/>
      <c r="CS1392" s="200"/>
      <c r="CT1392" s="200"/>
      <c r="CU1392" s="200"/>
    </row>
    <row r="1393" spans="1:99" s="17" customFormat="1" x14ac:dyDescent="0.2">
      <c r="A1393" s="25"/>
      <c r="B1393" s="20">
        <v>39071954600</v>
      </c>
      <c r="C1393" s="20">
        <v>9546</v>
      </c>
      <c r="D1393" s="20" t="s">
        <v>42</v>
      </c>
      <c r="E1393" s="20" t="s">
        <v>265</v>
      </c>
      <c r="F1393" s="20" t="s">
        <v>8</v>
      </c>
      <c r="G1393" s="861">
        <v>51.4998275084208</v>
      </c>
      <c r="H1393" s="861">
        <v>62.263452524936604</v>
      </c>
      <c r="I1393" s="861">
        <v>19.1885849010656</v>
      </c>
      <c r="J1393" s="861">
        <v>53.386843121957</v>
      </c>
      <c r="K1393" s="982">
        <v>0</v>
      </c>
      <c r="L1393" s="735">
        <v>5359</v>
      </c>
      <c r="M1393" s="735">
        <v>5460</v>
      </c>
      <c r="N1393" s="845">
        <f t="shared" si="118"/>
        <v>1.8846799776077627E-2</v>
      </c>
      <c r="O1393" s="735">
        <v>87.698450090568187</v>
      </c>
      <c r="P1393" s="735">
        <f t="shared" si="119"/>
        <v>62.258796983998387</v>
      </c>
      <c r="Q1393" s="849">
        <v>38.200000000000003</v>
      </c>
      <c r="R1393" s="71">
        <v>80357</v>
      </c>
      <c r="S1393" s="845">
        <v>5.5750415359054825E-2</v>
      </c>
      <c r="T1393" s="845">
        <v>9.0000000000000011E-3</v>
      </c>
      <c r="U1393" s="845">
        <v>0</v>
      </c>
      <c r="V1393" s="845">
        <v>0</v>
      </c>
      <c r="W1393" s="845">
        <v>0.23050345508390918</v>
      </c>
      <c r="X1393" s="845">
        <v>0.145610278372591</v>
      </c>
      <c r="Y1393" s="845">
        <v>0.97600732600732598</v>
      </c>
      <c r="Z1393" s="845">
        <v>2.0146520146520149E-3</v>
      </c>
      <c r="AA1393" s="845">
        <v>7.326007326007326E-4</v>
      </c>
      <c r="AB1393" s="845">
        <v>1.4652014652014652E-3</v>
      </c>
      <c r="AC1393" s="845">
        <v>0</v>
      </c>
      <c r="AD1393" s="845">
        <v>0</v>
      </c>
      <c r="AE1393" s="845">
        <v>1.9780219780219779E-2</v>
      </c>
      <c r="AF1393" s="845">
        <v>3.663003663003663E-4</v>
      </c>
      <c r="AG1393" s="845">
        <v>0.97600732600732598</v>
      </c>
      <c r="AH1393" s="20" t="str">
        <f t="shared" si="120"/>
        <v>Yes</v>
      </c>
      <c r="AI1393" s="25"/>
      <c r="AJ1393" s="37">
        <v>45877</v>
      </c>
      <c r="AK1393" s="37" t="s">
        <v>1940</v>
      </c>
      <c r="AL1393" s="37">
        <v>39137</v>
      </c>
      <c r="AM1393" s="37" t="s">
        <v>74</v>
      </c>
      <c r="AN1393" s="37" t="str">
        <f t="shared" si="121"/>
        <v>N/A</v>
      </c>
      <c r="AO1393" s="37" t="str">
        <f t="shared" si="122"/>
        <v>N/A</v>
      </c>
      <c r="AP1393" s="37" t="s">
        <v>8</v>
      </c>
      <c r="AQ1393" s="25"/>
      <c r="AR1393" s="25"/>
      <c r="AS1393" s="25"/>
      <c r="AT1393" s="25"/>
      <c r="AU1393" s="36"/>
      <c r="AV1393" s="36"/>
      <c r="AW1393" s="36"/>
      <c r="AX1393" s="25"/>
      <c r="AY1393" s="25"/>
      <c r="AZ1393" s="25"/>
      <c r="BA1393" s="25"/>
      <c r="BB1393" s="25"/>
      <c r="BC1393" s="25"/>
      <c r="BD1393" s="25"/>
      <c r="BE1393" s="25"/>
      <c r="BF1393" s="25"/>
      <c r="BG1393" s="25"/>
      <c r="BH1393" s="25"/>
      <c r="BI1393" s="25"/>
      <c r="BJ1393" s="25"/>
      <c r="BK1393" s="25"/>
      <c r="BL1393" s="25"/>
      <c r="BM1393" s="25"/>
      <c r="BN1393" s="25"/>
      <c r="BO1393" s="25"/>
      <c r="BP1393" s="25"/>
      <c r="BQ1393" s="25"/>
      <c r="BR1393" s="25"/>
      <c r="BS1393" s="25"/>
      <c r="BT1393" s="25"/>
      <c r="BU1393" s="25"/>
      <c r="BV1393" s="25"/>
      <c r="BW1393" s="25"/>
      <c r="BX1393" s="25"/>
      <c r="BY1393" s="25"/>
      <c r="BZ1393" s="25"/>
      <c r="CA1393" s="25"/>
      <c r="CB1393" s="25"/>
      <c r="CC1393" s="25"/>
      <c r="CD1393" s="25"/>
      <c r="CE1393" s="200"/>
      <c r="CF1393" s="200"/>
      <c r="CG1393" s="200"/>
      <c r="CH1393" s="200"/>
      <c r="CI1393" s="200"/>
      <c r="CJ1393" s="200"/>
      <c r="CK1393" s="200"/>
      <c r="CL1393" s="200"/>
      <c r="CM1393" s="200"/>
      <c r="CN1393" s="200"/>
      <c r="CO1393" s="200"/>
      <c r="CP1393" s="200"/>
      <c r="CQ1393" s="200"/>
      <c r="CR1393" s="200"/>
      <c r="CS1393" s="200"/>
      <c r="CT1393" s="200"/>
      <c r="CU1393" s="200"/>
    </row>
    <row r="1394" spans="1:99" s="17" customFormat="1" x14ac:dyDescent="0.2">
      <c r="A1394" s="25"/>
      <c r="B1394" s="20">
        <v>39035154601</v>
      </c>
      <c r="C1394" s="20">
        <v>1546.01</v>
      </c>
      <c r="D1394" s="20" t="s">
        <v>24</v>
      </c>
      <c r="E1394" s="20" t="s">
        <v>2829</v>
      </c>
      <c r="F1394" s="20" t="s">
        <v>8</v>
      </c>
      <c r="G1394" s="861">
        <v>51.498479097334901</v>
      </c>
      <c r="H1394" s="861">
        <v>58.974878031299603</v>
      </c>
      <c r="I1394" s="861">
        <v>39.699089260293597</v>
      </c>
      <c r="J1394" s="861">
        <v>37.5568818380154</v>
      </c>
      <c r="K1394" s="982">
        <v>0</v>
      </c>
      <c r="L1394" s="735">
        <v>4959</v>
      </c>
      <c r="M1394" s="735">
        <v>5272</v>
      </c>
      <c r="N1394" s="845">
        <f t="shared" si="118"/>
        <v>6.3117564025005041E-2</v>
      </c>
      <c r="O1394" s="735">
        <v>0.95803296950270556</v>
      </c>
      <c r="P1394" s="735">
        <f t="shared" si="119"/>
        <v>5502.9421406411329</v>
      </c>
      <c r="Q1394" s="849">
        <v>33.799999999999997</v>
      </c>
      <c r="R1394" s="71">
        <v>60591</v>
      </c>
      <c r="S1394" s="845">
        <v>0.1488130859764612</v>
      </c>
      <c r="T1394" s="845">
        <v>0.109</v>
      </c>
      <c r="U1394" s="845">
        <v>0</v>
      </c>
      <c r="V1394" s="845">
        <v>0.20499999999999999</v>
      </c>
      <c r="W1394" s="845">
        <v>0.44450610432852389</v>
      </c>
      <c r="X1394" s="845">
        <v>0.42821473158551809</v>
      </c>
      <c r="Y1394" s="845">
        <v>0.35185887708649471</v>
      </c>
      <c r="Z1394" s="845">
        <v>0.40288315629742033</v>
      </c>
      <c r="AA1394" s="845">
        <v>0</v>
      </c>
      <c r="AB1394" s="845">
        <v>0</v>
      </c>
      <c r="AC1394" s="845">
        <v>0</v>
      </c>
      <c r="AD1394" s="845">
        <v>9.3512898330804242E-2</v>
      </c>
      <c r="AE1394" s="845">
        <v>0.15174506828528073</v>
      </c>
      <c r="AF1394" s="845">
        <v>0.17185128983308043</v>
      </c>
      <c r="AG1394" s="845">
        <v>0.33232169954476481</v>
      </c>
      <c r="AH1394" s="20" t="str">
        <f t="shared" si="120"/>
        <v>No</v>
      </c>
      <c r="AI1394" s="25"/>
      <c r="AJ1394" s="37">
        <v>45893</v>
      </c>
      <c r="AK1394" s="37" t="s">
        <v>1954</v>
      </c>
      <c r="AL1394" s="37">
        <v>39137</v>
      </c>
      <c r="AM1394" s="37" t="s">
        <v>74</v>
      </c>
      <c r="AN1394" s="37" t="str">
        <f t="shared" si="121"/>
        <v>N/A</v>
      </c>
      <c r="AO1394" s="37" t="str">
        <f t="shared" si="122"/>
        <v>N/A</v>
      </c>
      <c r="AP1394" s="37" t="s">
        <v>8</v>
      </c>
      <c r="AQ1394" s="25"/>
      <c r="AR1394" s="25"/>
      <c r="AS1394" s="25"/>
      <c r="AT1394" s="25"/>
      <c r="AU1394" s="36"/>
      <c r="AV1394" s="36"/>
      <c r="AW1394" s="36"/>
      <c r="AX1394" s="25"/>
      <c r="AY1394" s="25"/>
      <c r="AZ1394" s="25"/>
      <c r="BA1394" s="25"/>
      <c r="BB1394" s="25"/>
      <c r="BC1394" s="25"/>
      <c r="BD1394" s="25"/>
      <c r="BE1394" s="25"/>
      <c r="BF1394" s="25"/>
      <c r="BG1394" s="25"/>
      <c r="BH1394" s="25"/>
      <c r="BI1394" s="25"/>
      <c r="BJ1394" s="25"/>
      <c r="BK1394" s="25"/>
      <c r="BL1394" s="25"/>
      <c r="BM1394" s="25"/>
      <c r="BN1394" s="25"/>
      <c r="BO1394" s="25"/>
      <c r="BP1394" s="25"/>
      <c r="BQ1394" s="25"/>
      <c r="BR1394" s="25"/>
      <c r="BS1394" s="25"/>
      <c r="BT1394" s="25"/>
      <c r="BU1394" s="25"/>
      <c r="BV1394" s="25"/>
      <c r="BW1394" s="25"/>
      <c r="BX1394" s="25"/>
      <c r="BY1394" s="25"/>
      <c r="BZ1394" s="25"/>
      <c r="CA1394" s="25"/>
      <c r="CB1394" s="25"/>
      <c r="CC1394" s="25"/>
      <c r="CD1394" s="25"/>
      <c r="CE1394" s="200"/>
      <c r="CF1394" s="200"/>
      <c r="CG1394" s="200"/>
      <c r="CH1394" s="200"/>
      <c r="CI1394" s="200"/>
      <c r="CJ1394" s="200"/>
      <c r="CK1394" s="200"/>
      <c r="CL1394" s="200"/>
      <c r="CM1394" s="200"/>
      <c r="CN1394" s="200"/>
      <c r="CO1394" s="200"/>
      <c r="CP1394" s="200"/>
      <c r="CQ1394" s="200"/>
      <c r="CR1394" s="200"/>
      <c r="CS1394" s="200"/>
      <c r="CT1394" s="200"/>
      <c r="CU1394" s="200"/>
    </row>
    <row r="1395" spans="1:99" s="17" customFormat="1" x14ac:dyDescent="0.2">
      <c r="A1395" s="25"/>
      <c r="B1395" s="20">
        <v>39139002600</v>
      </c>
      <c r="C1395" s="20">
        <v>26</v>
      </c>
      <c r="D1395" s="20" t="s">
        <v>75</v>
      </c>
      <c r="E1395" s="20" t="s">
        <v>2836</v>
      </c>
      <c r="F1395" s="20" t="s">
        <v>8</v>
      </c>
      <c r="G1395" s="861">
        <v>51.488948133831698</v>
      </c>
      <c r="H1395" s="861">
        <v>50.507757930902102</v>
      </c>
      <c r="I1395" s="861">
        <v>42.425860176311502</v>
      </c>
      <c r="J1395" s="861">
        <v>44.609171558501401</v>
      </c>
      <c r="K1395" s="982">
        <v>0</v>
      </c>
      <c r="L1395" s="735">
        <v>4983</v>
      </c>
      <c r="M1395" s="735">
        <v>4742</v>
      </c>
      <c r="N1395" s="845">
        <f t="shared" si="118"/>
        <v>-4.8364439092915913E-2</v>
      </c>
      <c r="O1395" s="735">
        <v>2.8877368089539224</v>
      </c>
      <c r="P1395" s="735">
        <f t="shared" si="119"/>
        <v>1642.1164093959731</v>
      </c>
      <c r="Q1395" s="849">
        <v>38.6</v>
      </c>
      <c r="R1395" s="71">
        <v>53067</v>
      </c>
      <c r="S1395" s="845">
        <v>0.15977112676056338</v>
      </c>
      <c r="T1395" s="845">
        <v>6.4000000000000001E-2</v>
      </c>
      <c r="U1395" s="845">
        <v>0</v>
      </c>
      <c r="V1395" s="845">
        <v>0</v>
      </c>
      <c r="W1395" s="845">
        <v>0.44157894736842107</v>
      </c>
      <c r="X1395" s="845">
        <v>0.44815256257449343</v>
      </c>
      <c r="Y1395" s="845">
        <v>0.91859974694221846</v>
      </c>
      <c r="Z1395" s="845">
        <v>2.1088148460565162E-4</v>
      </c>
      <c r="AA1395" s="845">
        <v>0</v>
      </c>
      <c r="AB1395" s="845">
        <v>3.4162800506115566E-2</v>
      </c>
      <c r="AC1395" s="845">
        <v>0</v>
      </c>
      <c r="AD1395" s="845">
        <v>3.5849852382960775E-3</v>
      </c>
      <c r="AE1395" s="845">
        <v>4.3441585828764236E-2</v>
      </c>
      <c r="AF1395" s="845">
        <v>2.5938422606495148E-2</v>
      </c>
      <c r="AG1395" s="845">
        <v>0.90109658371994938</v>
      </c>
      <c r="AH1395" s="20" t="str">
        <f t="shared" si="120"/>
        <v>Yes</v>
      </c>
      <c r="AI1395" s="25"/>
      <c r="AJ1395" s="37">
        <v>43101</v>
      </c>
      <c r="AK1395" s="37" t="s">
        <v>790</v>
      </c>
      <c r="AL1395" s="37">
        <v>39141</v>
      </c>
      <c r="AM1395" s="37" t="s">
        <v>76</v>
      </c>
      <c r="AN1395" s="37" t="str">
        <f t="shared" si="121"/>
        <v>N/A</v>
      </c>
      <c r="AO1395" s="37" t="str">
        <f t="shared" si="122"/>
        <v>N/A</v>
      </c>
      <c r="AP1395" s="37" t="s">
        <v>8</v>
      </c>
      <c r="AQ1395" s="25"/>
      <c r="AR1395" s="25"/>
      <c r="AS1395" s="25"/>
      <c r="AT1395" s="25"/>
      <c r="AU1395" s="36"/>
      <c r="AV1395" s="36"/>
      <c r="AW1395" s="36"/>
      <c r="AX1395" s="25"/>
      <c r="AY1395" s="25"/>
      <c r="AZ1395" s="25"/>
      <c r="BA1395" s="25"/>
      <c r="BB1395" s="25"/>
      <c r="BC1395" s="25"/>
      <c r="BD1395" s="25"/>
      <c r="BE1395" s="25"/>
      <c r="BF1395" s="25"/>
      <c r="BG1395" s="25"/>
      <c r="BH1395" s="25"/>
      <c r="BI1395" s="25"/>
      <c r="BJ1395" s="25"/>
      <c r="BK1395" s="25"/>
      <c r="BL1395" s="25"/>
      <c r="BM1395" s="25"/>
      <c r="BN1395" s="25"/>
      <c r="BO1395" s="25"/>
      <c r="BP1395" s="25"/>
      <c r="BQ1395" s="25"/>
      <c r="BR1395" s="25"/>
      <c r="BS1395" s="25"/>
      <c r="BT1395" s="25"/>
      <c r="BU1395" s="25"/>
      <c r="BV1395" s="25"/>
      <c r="BW1395" s="25"/>
      <c r="BX1395" s="25"/>
      <c r="BY1395" s="25"/>
      <c r="BZ1395" s="25"/>
      <c r="CA1395" s="25"/>
      <c r="CB1395" s="25"/>
      <c r="CC1395" s="25"/>
      <c r="CD1395" s="25"/>
      <c r="CE1395" s="200"/>
      <c r="CF1395" s="200"/>
      <c r="CG1395" s="200"/>
      <c r="CH1395" s="200"/>
      <c r="CI1395" s="200"/>
      <c r="CJ1395" s="200"/>
      <c r="CK1395" s="200"/>
      <c r="CL1395" s="200"/>
      <c r="CM1395" s="200"/>
      <c r="CN1395" s="200"/>
      <c r="CO1395" s="200"/>
      <c r="CP1395" s="200"/>
      <c r="CQ1395" s="200"/>
      <c r="CR1395" s="200"/>
      <c r="CS1395" s="200"/>
      <c r="CT1395" s="200"/>
      <c r="CU1395" s="200"/>
    </row>
    <row r="1396" spans="1:99" s="17" customFormat="1" x14ac:dyDescent="0.2">
      <c r="A1396" s="25"/>
      <c r="B1396" s="20">
        <v>39035138106</v>
      </c>
      <c r="C1396" s="20">
        <v>1381.06</v>
      </c>
      <c r="D1396" s="20" t="s">
        <v>24</v>
      </c>
      <c r="E1396" s="20" t="s">
        <v>2829</v>
      </c>
      <c r="F1396" s="20" t="s">
        <v>8</v>
      </c>
      <c r="G1396" s="861">
        <v>51.476522481456499</v>
      </c>
      <c r="H1396" s="861">
        <v>53.706482070730402</v>
      </c>
      <c r="I1396" s="861">
        <v>22.595488996430301</v>
      </c>
      <c r="J1396" s="861">
        <v>41.746782368452003</v>
      </c>
      <c r="K1396" s="982">
        <v>0</v>
      </c>
      <c r="L1396" s="735">
        <v>3464</v>
      </c>
      <c r="M1396" s="735">
        <v>2749</v>
      </c>
      <c r="N1396" s="845">
        <f t="shared" si="118"/>
        <v>-0.20640877598152424</v>
      </c>
      <c r="O1396" s="735">
        <v>0.97903808523661529</v>
      </c>
      <c r="P1396" s="735">
        <f t="shared" si="119"/>
        <v>2807.8580817779093</v>
      </c>
      <c r="Q1396" s="849">
        <v>47.1</v>
      </c>
      <c r="R1396" s="71">
        <v>53026</v>
      </c>
      <c r="S1396" s="845">
        <v>0.1345943979628956</v>
      </c>
      <c r="T1396" s="845">
        <v>7.5999999999999998E-2</v>
      </c>
      <c r="U1396" s="845">
        <v>0</v>
      </c>
      <c r="V1396" s="845">
        <v>0</v>
      </c>
      <c r="W1396" s="845">
        <v>0.19711538461538461</v>
      </c>
      <c r="X1396" s="845">
        <v>0.22357723577235772</v>
      </c>
      <c r="Y1396" s="845">
        <v>0.88795925791196795</v>
      </c>
      <c r="Z1396" s="845">
        <v>2.8010185522008003E-2</v>
      </c>
      <c r="AA1396" s="845">
        <v>6.1840669334303384E-3</v>
      </c>
      <c r="AB1396" s="845">
        <v>0</v>
      </c>
      <c r="AC1396" s="845">
        <v>0</v>
      </c>
      <c r="AD1396" s="845">
        <v>0</v>
      </c>
      <c r="AE1396" s="845">
        <v>7.7846489632593677E-2</v>
      </c>
      <c r="AF1396" s="845">
        <v>6.8752273554019638E-2</v>
      </c>
      <c r="AG1396" s="845">
        <v>0.8639505274645326</v>
      </c>
      <c r="AH1396" s="20" t="str">
        <f t="shared" si="120"/>
        <v>No</v>
      </c>
      <c r="AI1396" s="25"/>
      <c r="AJ1396" s="37">
        <v>43115</v>
      </c>
      <c r="AK1396" s="37" t="s">
        <v>801</v>
      </c>
      <c r="AL1396" s="37">
        <v>39141</v>
      </c>
      <c r="AM1396" s="37" t="s">
        <v>76</v>
      </c>
      <c r="AN1396" s="37" t="str">
        <f t="shared" si="121"/>
        <v>N/A</v>
      </c>
      <c r="AO1396" s="37" t="str">
        <f t="shared" si="122"/>
        <v>N/A</v>
      </c>
      <c r="AP1396" s="37" t="s">
        <v>8</v>
      </c>
      <c r="AQ1396" s="25"/>
      <c r="AR1396" s="25"/>
      <c r="AS1396" s="25"/>
      <c r="AT1396" s="25"/>
      <c r="AU1396" s="36"/>
      <c r="AV1396" s="36"/>
      <c r="AW1396" s="36"/>
      <c r="AX1396" s="25"/>
      <c r="AY1396" s="25"/>
      <c r="AZ1396" s="25"/>
      <c r="BA1396" s="25"/>
      <c r="BB1396" s="25"/>
      <c r="BC1396" s="25"/>
      <c r="BD1396" s="25"/>
      <c r="BE1396" s="25"/>
      <c r="BF1396" s="25"/>
      <c r="BG1396" s="25"/>
      <c r="BH1396" s="25"/>
      <c r="BI1396" s="25"/>
      <c r="BJ1396" s="25"/>
      <c r="BK1396" s="25"/>
      <c r="BL1396" s="25"/>
      <c r="BM1396" s="25"/>
      <c r="BN1396" s="25"/>
      <c r="BO1396" s="25"/>
      <c r="BP1396" s="25"/>
      <c r="BQ1396" s="25"/>
      <c r="BR1396" s="25"/>
      <c r="BS1396" s="25"/>
      <c r="BT1396" s="25"/>
      <c r="BU1396" s="25"/>
      <c r="BV1396" s="25"/>
      <c r="BW1396" s="25"/>
      <c r="BX1396" s="25"/>
      <c r="BY1396" s="25"/>
      <c r="BZ1396" s="25"/>
      <c r="CA1396" s="25"/>
      <c r="CB1396" s="25"/>
      <c r="CC1396" s="25"/>
      <c r="CD1396" s="25"/>
      <c r="CE1396" s="200"/>
      <c r="CF1396" s="200"/>
      <c r="CG1396" s="200"/>
      <c r="CH1396" s="200"/>
      <c r="CI1396" s="200"/>
      <c r="CJ1396" s="200"/>
      <c r="CK1396" s="200"/>
      <c r="CL1396" s="200"/>
      <c r="CM1396" s="200"/>
      <c r="CN1396" s="200"/>
      <c r="CO1396" s="200"/>
      <c r="CP1396" s="200"/>
      <c r="CQ1396" s="200"/>
      <c r="CR1396" s="200"/>
      <c r="CS1396" s="200"/>
      <c r="CT1396" s="200"/>
      <c r="CU1396" s="200"/>
    </row>
    <row r="1397" spans="1:99" s="17" customFormat="1" x14ac:dyDescent="0.2">
      <c r="A1397" s="25"/>
      <c r="B1397" s="20">
        <v>39153501100</v>
      </c>
      <c r="C1397" s="20">
        <v>5011</v>
      </c>
      <c r="D1397" s="20" t="s">
        <v>82</v>
      </c>
      <c r="E1397" s="20" t="s">
        <v>2843</v>
      </c>
      <c r="F1397" s="20" t="s">
        <v>6</v>
      </c>
      <c r="G1397" s="861">
        <v>51.4712689491462</v>
      </c>
      <c r="H1397" s="861">
        <v>61.489357738947398</v>
      </c>
      <c r="I1397" s="861">
        <v>52.033731491602097</v>
      </c>
      <c r="J1397" s="861">
        <v>30.605082310248999</v>
      </c>
      <c r="K1397" s="982">
        <v>0</v>
      </c>
      <c r="L1397" s="735">
        <v>1687</v>
      </c>
      <c r="M1397" s="735">
        <v>1362</v>
      </c>
      <c r="N1397" s="845">
        <f t="shared" si="118"/>
        <v>-0.19264967397747482</v>
      </c>
      <c r="O1397" s="735">
        <v>0.8272431798924359</v>
      </c>
      <c r="P1397" s="735">
        <f t="shared" si="119"/>
        <v>1646.4324313644956</v>
      </c>
      <c r="Q1397" s="849">
        <v>33</v>
      </c>
      <c r="R1397" s="71">
        <v>41204</v>
      </c>
      <c r="S1397" s="845">
        <v>0.35641891891891891</v>
      </c>
      <c r="T1397" s="845">
        <v>0.11699999999999999</v>
      </c>
      <c r="U1397" s="845">
        <v>0</v>
      </c>
      <c r="V1397" s="845">
        <v>0.04</v>
      </c>
      <c r="W1397" s="845">
        <v>0.82758620689655171</v>
      </c>
      <c r="X1397" s="845">
        <v>0.45370370370370372</v>
      </c>
      <c r="Y1397" s="845">
        <v>0.37151248164464024</v>
      </c>
      <c r="Z1397" s="845">
        <v>0.32599118942731276</v>
      </c>
      <c r="AA1397" s="845">
        <v>7.3421439060205578E-3</v>
      </c>
      <c r="AB1397" s="845">
        <v>0.1776798825256975</v>
      </c>
      <c r="AC1397" s="845">
        <v>0</v>
      </c>
      <c r="AD1397" s="845">
        <v>0</v>
      </c>
      <c r="AE1397" s="845">
        <v>0.11747430249632893</v>
      </c>
      <c r="AF1397" s="845">
        <v>9.0308370044052858E-2</v>
      </c>
      <c r="AG1397" s="845">
        <v>0.2922173274596182</v>
      </c>
      <c r="AH1397" s="20" t="str">
        <f t="shared" si="120"/>
        <v>No</v>
      </c>
      <c r="AI1397" s="25"/>
      <c r="AJ1397" s="37">
        <v>43135</v>
      </c>
      <c r="AK1397" s="37" t="s">
        <v>811</v>
      </c>
      <c r="AL1397" s="37">
        <v>39141</v>
      </c>
      <c r="AM1397" s="37" t="s">
        <v>76</v>
      </c>
      <c r="AN1397" s="37" t="str">
        <f t="shared" si="121"/>
        <v>N/A</v>
      </c>
      <c r="AO1397" s="37" t="str">
        <f t="shared" si="122"/>
        <v>N/A</v>
      </c>
      <c r="AP1397" s="37" t="s">
        <v>8</v>
      </c>
      <c r="AQ1397" s="25"/>
      <c r="AR1397" s="25"/>
      <c r="AS1397" s="25"/>
      <c r="AT1397" s="25"/>
      <c r="AU1397" s="36"/>
      <c r="AV1397" s="36"/>
      <c r="AW1397" s="36"/>
      <c r="AX1397" s="25"/>
      <c r="AY1397" s="25"/>
      <c r="AZ1397" s="25"/>
      <c r="BA1397" s="25"/>
      <c r="BB1397" s="25"/>
      <c r="BC1397" s="25"/>
      <c r="BD1397" s="25"/>
      <c r="BE1397" s="25"/>
      <c r="BF1397" s="25"/>
      <c r="BG1397" s="25"/>
      <c r="BH1397" s="25"/>
      <c r="BI1397" s="25"/>
      <c r="BJ1397" s="25"/>
      <c r="BK1397" s="25"/>
      <c r="BL1397" s="25"/>
      <c r="BM1397" s="25"/>
      <c r="BN1397" s="25"/>
      <c r="BO1397" s="25"/>
      <c r="BP1397" s="25"/>
      <c r="BQ1397" s="25"/>
      <c r="BR1397" s="25"/>
      <c r="BS1397" s="25"/>
      <c r="BT1397" s="25"/>
      <c r="BU1397" s="25"/>
      <c r="BV1397" s="25"/>
      <c r="BW1397" s="25"/>
      <c r="BX1397" s="25"/>
      <c r="BY1397" s="25"/>
      <c r="BZ1397" s="25"/>
      <c r="CA1397" s="25"/>
      <c r="CB1397" s="25"/>
      <c r="CC1397" s="25"/>
      <c r="CD1397" s="25"/>
      <c r="CE1397" s="200"/>
      <c r="CF1397" s="200"/>
      <c r="CG1397" s="200"/>
      <c r="CH1397" s="200"/>
      <c r="CI1397" s="200"/>
      <c r="CJ1397" s="200"/>
      <c r="CK1397" s="200"/>
      <c r="CL1397" s="200"/>
      <c r="CM1397" s="200"/>
      <c r="CN1397" s="200"/>
      <c r="CO1397" s="200"/>
      <c r="CP1397" s="200"/>
      <c r="CQ1397" s="200"/>
      <c r="CR1397" s="200"/>
      <c r="CS1397" s="200"/>
      <c r="CT1397" s="200"/>
      <c r="CU1397" s="200"/>
    </row>
    <row r="1398" spans="1:99" s="17" customFormat="1" x14ac:dyDescent="0.2">
      <c r="A1398" s="25"/>
      <c r="B1398" s="20">
        <v>39063000500</v>
      </c>
      <c r="C1398" s="20">
        <v>5</v>
      </c>
      <c r="D1398" s="20" t="s">
        <v>38</v>
      </c>
      <c r="E1398" s="20" t="s">
        <v>265</v>
      </c>
      <c r="F1398" s="20" t="s">
        <v>6</v>
      </c>
      <c r="G1398" s="861">
        <v>51.443902065853003</v>
      </c>
      <c r="H1398" s="861">
        <v>38.196041835586598</v>
      </c>
      <c r="I1398" s="861">
        <v>37.415353075989998</v>
      </c>
      <c r="J1398" s="861">
        <v>44.517071404677601</v>
      </c>
      <c r="K1398" s="982">
        <v>0</v>
      </c>
      <c r="L1398" s="735">
        <v>5182</v>
      </c>
      <c r="M1398" s="735">
        <v>4942</v>
      </c>
      <c r="N1398" s="845">
        <f t="shared" si="118"/>
        <v>-4.6314164415283673E-2</v>
      </c>
      <c r="O1398" s="735">
        <v>2.7981792549619082</v>
      </c>
      <c r="P1398" s="735">
        <f t="shared" si="119"/>
        <v>1766.1484664488644</v>
      </c>
      <c r="Q1398" s="849">
        <v>32.1</v>
      </c>
      <c r="R1398" s="71">
        <v>42263</v>
      </c>
      <c r="S1398" s="845">
        <v>0.17612484799351438</v>
      </c>
      <c r="T1398" s="845">
        <v>3.2000000000000001E-2</v>
      </c>
      <c r="U1398" s="845">
        <v>0</v>
      </c>
      <c r="V1398" s="845">
        <v>4.4000000000000004E-2</v>
      </c>
      <c r="W1398" s="845">
        <v>0.55769230769230771</v>
      </c>
      <c r="X1398" s="845">
        <v>0.38455772113943026</v>
      </c>
      <c r="Y1398" s="845">
        <v>0.88749494131930395</v>
      </c>
      <c r="Z1398" s="845">
        <v>1.2747875354107648E-2</v>
      </c>
      <c r="AA1398" s="845">
        <v>0</v>
      </c>
      <c r="AB1398" s="845">
        <v>5.4633751517604206E-3</v>
      </c>
      <c r="AC1398" s="845">
        <v>0</v>
      </c>
      <c r="AD1398" s="845">
        <v>1.7199514366653176E-2</v>
      </c>
      <c r="AE1398" s="845">
        <v>7.7094293808174827E-2</v>
      </c>
      <c r="AF1398" s="845">
        <v>0.10339943342776203</v>
      </c>
      <c r="AG1398" s="845">
        <v>0.83650343990287335</v>
      </c>
      <c r="AH1398" s="20" t="str">
        <f t="shared" si="120"/>
        <v>No</v>
      </c>
      <c r="AI1398" s="25"/>
      <c r="AJ1398" s="37">
        <v>43160</v>
      </c>
      <c r="AK1398" s="37" t="s">
        <v>833</v>
      </c>
      <c r="AL1398" s="37">
        <v>39141</v>
      </c>
      <c r="AM1398" s="37" t="s">
        <v>76</v>
      </c>
      <c r="AN1398" s="37" t="str">
        <f t="shared" si="121"/>
        <v>N/A</v>
      </c>
      <c r="AO1398" s="37" t="str">
        <f t="shared" si="122"/>
        <v>N/A</v>
      </c>
      <c r="AP1398" s="37" t="s">
        <v>8</v>
      </c>
      <c r="AQ1398" s="25"/>
      <c r="AR1398" s="25"/>
      <c r="AS1398" s="25"/>
      <c r="AT1398" s="25"/>
      <c r="AU1398" s="36"/>
      <c r="AV1398" s="36"/>
      <c r="AW1398" s="36"/>
      <c r="AX1398" s="25"/>
      <c r="AY1398" s="25"/>
      <c r="AZ1398" s="25"/>
      <c r="BA1398" s="25"/>
      <c r="BB1398" s="25"/>
      <c r="BC1398" s="25"/>
      <c r="BD1398" s="25"/>
      <c r="BE1398" s="25"/>
      <c r="BF1398" s="25"/>
      <c r="BG1398" s="25"/>
      <c r="BH1398" s="25"/>
      <c r="BI1398" s="25"/>
      <c r="BJ1398" s="25"/>
      <c r="BK1398" s="25"/>
      <c r="BL1398" s="25"/>
      <c r="BM1398" s="25"/>
      <c r="BN1398" s="25"/>
      <c r="BO1398" s="25"/>
      <c r="BP1398" s="25"/>
      <c r="BQ1398" s="25"/>
      <c r="BR1398" s="25"/>
      <c r="BS1398" s="25"/>
      <c r="BT1398" s="25"/>
      <c r="BU1398" s="25"/>
      <c r="BV1398" s="25"/>
      <c r="BW1398" s="25"/>
      <c r="BX1398" s="25"/>
      <c r="BY1398" s="25"/>
      <c r="BZ1398" s="25"/>
      <c r="CA1398" s="25"/>
      <c r="CB1398" s="25"/>
      <c r="CC1398" s="25"/>
      <c r="CD1398" s="25"/>
      <c r="CE1398" s="200"/>
      <c r="CF1398" s="200"/>
      <c r="CG1398" s="200"/>
      <c r="CH1398" s="200"/>
      <c r="CI1398" s="200"/>
      <c r="CJ1398" s="200"/>
      <c r="CK1398" s="200"/>
      <c r="CL1398" s="200"/>
      <c r="CM1398" s="200"/>
      <c r="CN1398" s="200"/>
      <c r="CO1398" s="200"/>
      <c r="CP1398" s="200"/>
      <c r="CQ1398" s="200"/>
      <c r="CR1398" s="200"/>
      <c r="CS1398" s="200"/>
      <c r="CT1398" s="200"/>
      <c r="CU1398" s="200"/>
    </row>
    <row r="1399" spans="1:99" s="17" customFormat="1" x14ac:dyDescent="0.2">
      <c r="A1399" s="25"/>
      <c r="B1399" s="20">
        <v>39129020310</v>
      </c>
      <c r="C1399" s="20">
        <v>203.1</v>
      </c>
      <c r="D1399" s="20" t="s">
        <v>70</v>
      </c>
      <c r="E1399" s="20" t="s">
        <v>2830</v>
      </c>
      <c r="F1399" s="20" t="s">
        <v>8</v>
      </c>
      <c r="G1399" s="861">
        <v>51.424244966027601</v>
      </c>
      <c r="H1399" s="861">
        <v>59.179333227980599</v>
      </c>
      <c r="I1399" s="861">
        <v>25.696475794360101</v>
      </c>
      <c r="J1399" s="861">
        <v>44.220240797141997</v>
      </c>
      <c r="K1399" s="982">
        <v>0</v>
      </c>
      <c r="L1399" s="735">
        <v>5182</v>
      </c>
      <c r="M1399" s="735">
        <v>4821</v>
      </c>
      <c r="N1399" s="845">
        <f t="shared" si="118"/>
        <v>-6.9664222307989188E-2</v>
      </c>
      <c r="O1399" s="735">
        <v>1.7250183438100803</v>
      </c>
      <c r="P1399" s="735">
        <f t="shared" si="119"/>
        <v>2794.7528890340764</v>
      </c>
      <c r="Q1399" s="849">
        <v>43.1</v>
      </c>
      <c r="R1399" s="71">
        <v>59879</v>
      </c>
      <c r="S1399" s="845">
        <v>0.17633007600434311</v>
      </c>
      <c r="T1399" s="845">
        <v>7.5999999999999998E-2</v>
      </c>
      <c r="U1399" s="845">
        <v>0</v>
      </c>
      <c r="V1399" s="845">
        <v>4.8000000000000001E-2</v>
      </c>
      <c r="W1399" s="845">
        <v>0.50408850408850414</v>
      </c>
      <c r="X1399" s="845">
        <v>0.27194656488549618</v>
      </c>
      <c r="Y1399" s="845">
        <v>0.940883634100809</v>
      </c>
      <c r="Z1399" s="845">
        <v>1.2445550715619166E-2</v>
      </c>
      <c r="AA1399" s="845">
        <v>0</v>
      </c>
      <c r="AB1399" s="845">
        <v>0</v>
      </c>
      <c r="AC1399" s="845">
        <v>0</v>
      </c>
      <c r="AD1399" s="845">
        <v>0</v>
      </c>
      <c r="AE1399" s="845">
        <v>4.667081518357187E-2</v>
      </c>
      <c r="AF1399" s="845">
        <v>1.3690105787181083E-2</v>
      </c>
      <c r="AG1399" s="845">
        <v>0.940883634100809</v>
      </c>
      <c r="AH1399" s="20" t="str">
        <f t="shared" si="120"/>
        <v>Yes</v>
      </c>
      <c r="AI1399" s="25"/>
      <c r="AJ1399" s="37">
        <v>43164</v>
      </c>
      <c r="AK1399" s="37" t="s">
        <v>835</v>
      </c>
      <c r="AL1399" s="37">
        <v>39141</v>
      </c>
      <c r="AM1399" s="37" t="s">
        <v>76</v>
      </c>
      <c r="AN1399" s="37" t="str">
        <f t="shared" si="121"/>
        <v>N/A</v>
      </c>
      <c r="AO1399" s="37" t="str">
        <f t="shared" si="122"/>
        <v>N/A</v>
      </c>
      <c r="AP1399" s="37" t="s">
        <v>8</v>
      </c>
      <c r="AQ1399" s="25"/>
      <c r="AR1399" s="25"/>
      <c r="AS1399" s="25"/>
      <c r="AT1399" s="25"/>
      <c r="AU1399" s="36"/>
      <c r="AV1399" s="36"/>
      <c r="AW1399" s="36"/>
      <c r="AX1399" s="25"/>
      <c r="AY1399" s="25"/>
      <c r="AZ1399" s="25"/>
      <c r="BA1399" s="25"/>
      <c r="BB1399" s="25"/>
      <c r="BC1399" s="25"/>
      <c r="BD1399" s="25"/>
      <c r="BE1399" s="25"/>
      <c r="BF1399" s="25"/>
      <c r="BG1399" s="25"/>
      <c r="BH1399" s="25"/>
      <c r="BI1399" s="25"/>
      <c r="BJ1399" s="25"/>
      <c r="BK1399" s="25"/>
      <c r="BL1399" s="25"/>
      <c r="BM1399" s="25"/>
      <c r="BN1399" s="25"/>
      <c r="BO1399" s="25"/>
      <c r="BP1399" s="25"/>
      <c r="BQ1399" s="25"/>
      <c r="BR1399" s="25"/>
      <c r="BS1399" s="25"/>
      <c r="BT1399" s="25"/>
      <c r="BU1399" s="25"/>
      <c r="BV1399" s="25"/>
      <c r="BW1399" s="25"/>
      <c r="BX1399" s="25"/>
      <c r="BY1399" s="25"/>
      <c r="BZ1399" s="25"/>
      <c r="CA1399" s="25"/>
      <c r="CB1399" s="25"/>
      <c r="CC1399" s="25"/>
      <c r="CD1399" s="25"/>
      <c r="CE1399" s="200"/>
      <c r="CF1399" s="200"/>
      <c r="CG1399" s="200"/>
      <c r="CH1399" s="200"/>
      <c r="CI1399" s="200"/>
      <c r="CJ1399" s="200"/>
      <c r="CK1399" s="200"/>
      <c r="CL1399" s="200"/>
      <c r="CM1399" s="200"/>
      <c r="CN1399" s="200"/>
      <c r="CO1399" s="200"/>
      <c r="CP1399" s="200"/>
      <c r="CQ1399" s="200"/>
      <c r="CR1399" s="200"/>
      <c r="CS1399" s="200"/>
      <c r="CT1399" s="200"/>
      <c r="CU1399" s="200"/>
    </row>
    <row r="1400" spans="1:99" s="17" customFormat="1" x14ac:dyDescent="0.2">
      <c r="A1400" s="25"/>
      <c r="B1400" s="20">
        <v>39035197700</v>
      </c>
      <c r="C1400" s="20">
        <v>1977</v>
      </c>
      <c r="D1400" s="20" t="s">
        <v>24</v>
      </c>
      <c r="E1400" s="20" t="s">
        <v>2829</v>
      </c>
      <c r="F1400" s="20" t="s">
        <v>6</v>
      </c>
      <c r="G1400" s="861">
        <v>51.401228630093797</v>
      </c>
      <c r="H1400" s="861">
        <v>62.487543460100397</v>
      </c>
      <c r="I1400" s="861">
        <v>37.123305555847701</v>
      </c>
      <c r="J1400" s="861">
        <v>80.998799964154998</v>
      </c>
      <c r="K1400" s="982">
        <v>2</v>
      </c>
      <c r="L1400" s="735" t="s">
        <v>2466</v>
      </c>
      <c r="M1400" s="735">
        <v>3067</v>
      </c>
      <c r="N1400" s="845" t="str">
        <f t="shared" si="118"/>
        <v/>
      </c>
      <c r="O1400" s="735">
        <v>0.64795278152840641</v>
      </c>
      <c r="P1400" s="735">
        <f t="shared" si="119"/>
        <v>4733.3696025896943</v>
      </c>
      <c r="Q1400" s="849">
        <v>34.5</v>
      </c>
      <c r="R1400" s="71">
        <v>67083</v>
      </c>
      <c r="S1400" s="845">
        <v>0.28109696376101861</v>
      </c>
      <c r="T1400" s="845">
        <v>5.7999999999999996E-2</v>
      </c>
      <c r="U1400" s="845">
        <v>0</v>
      </c>
      <c r="V1400" s="845">
        <v>0</v>
      </c>
      <c r="W1400" s="845">
        <v>0.57696969696969702</v>
      </c>
      <c r="X1400" s="845">
        <v>0.31302521008403361</v>
      </c>
      <c r="Y1400" s="845">
        <v>0.64199543527877401</v>
      </c>
      <c r="Z1400" s="845">
        <v>0.13857189435930878</v>
      </c>
      <c r="AA1400" s="845">
        <v>1.3042060645582002E-2</v>
      </c>
      <c r="AB1400" s="845">
        <v>2.9344636452559504E-2</v>
      </c>
      <c r="AC1400" s="845">
        <v>0</v>
      </c>
      <c r="AD1400" s="845">
        <v>7.5643951744375618E-2</v>
      </c>
      <c r="AE1400" s="845">
        <v>0.10140202151940006</v>
      </c>
      <c r="AF1400" s="845">
        <v>0.22269318552331269</v>
      </c>
      <c r="AG1400" s="845">
        <v>0.55461362895337463</v>
      </c>
      <c r="AH1400" s="20" t="str">
        <f t="shared" si="120"/>
        <v>No</v>
      </c>
      <c r="AI1400" s="25"/>
      <c r="AJ1400" s="37">
        <v>45123</v>
      </c>
      <c r="AK1400" s="37" t="s">
        <v>1576</v>
      </c>
      <c r="AL1400" s="37">
        <v>39141</v>
      </c>
      <c r="AM1400" s="37" t="s">
        <v>76</v>
      </c>
      <c r="AN1400" s="37" t="str">
        <f t="shared" si="121"/>
        <v>N/A</v>
      </c>
      <c r="AO1400" s="37" t="str">
        <f t="shared" si="122"/>
        <v>N/A</v>
      </c>
      <c r="AP1400" s="37" t="s">
        <v>8</v>
      </c>
      <c r="AQ1400" s="25"/>
      <c r="AR1400" s="25"/>
      <c r="AS1400" s="25"/>
      <c r="AT1400" s="25"/>
      <c r="AU1400" s="36"/>
      <c r="AV1400" s="36"/>
      <c r="AW1400" s="36"/>
      <c r="AX1400" s="25"/>
      <c r="AY1400" s="25"/>
      <c r="AZ1400" s="25"/>
      <c r="BA1400" s="25"/>
      <c r="BB1400" s="25"/>
      <c r="BC1400" s="25"/>
      <c r="BD1400" s="25"/>
      <c r="BE1400" s="25"/>
      <c r="BF1400" s="25"/>
      <c r="BG1400" s="25"/>
      <c r="BH1400" s="25"/>
      <c r="BI1400" s="25"/>
      <c r="BJ1400" s="25"/>
      <c r="BK1400" s="25"/>
      <c r="BL1400" s="25"/>
      <c r="BM1400" s="25"/>
      <c r="BN1400" s="25"/>
      <c r="BO1400" s="25"/>
      <c r="BP1400" s="25"/>
      <c r="BQ1400" s="25"/>
      <c r="BR1400" s="25"/>
      <c r="BS1400" s="25"/>
      <c r="BT1400" s="25"/>
      <c r="BU1400" s="25"/>
      <c r="BV1400" s="25"/>
      <c r="BW1400" s="25"/>
      <c r="BX1400" s="25"/>
      <c r="BY1400" s="25"/>
      <c r="BZ1400" s="25"/>
      <c r="CA1400" s="25"/>
      <c r="CB1400" s="25"/>
      <c r="CC1400" s="25"/>
      <c r="CD1400" s="25"/>
      <c r="CE1400" s="200"/>
      <c r="CF1400" s="200"/>
      <c r="CG1400" s="200"/>
      <c r="CH1400" s="200"/>
      <c r="CI1400" s="200"/>
      <c r="CJ1400" s="200"/>
      <c r="CK1400" s="200"/>
      <c r="CL1400" s="200"/>
      <c r="CM1400" s="200"/>
      <c r="CN1400" s="200"/>
      <c r="CO1400" s="200"/>
      <c r="CP1400" s="200"/>
      <c r="CQ1400" s="200"/>
      <c r="CR1400" s="200"/>
      <c r="CS1400" s="200"/>
      <c r="CT1400" s="200"/>
      <c r="CU1400" s="200"/>
    </row>
    <row r="1401" spans="1:99" s="17" customFormat="1" x14ac:dyDescent="0.2">
      <c r="A1401" s="25"/>
      <c r="B1401" s="20">
        <v>39049007820</v>
      </c>
      <c r="C1401" s="20">
        <v>78.2</v>
      </c>
      <c r="D1401" s="20" t="s">
        <v>31</v>
      </c>
      <c r="E1401" s="20" t="s">
        <v>2830</v>
      </c>
      <c r="F1401" s="20" t="s">
        <v>6</v>
      </c>
      <c r="G1401" s="861">
        <v>51.391866397775502</v>
      </c>
      <c r="H1401" s="861">
        <v>74.295083819422302</v>
      </c>
      <c r="I1401" s="861">
        <v>42.775920521419401</v>
      </c>
      <c r="J1401" s="861">
        <v>53.588428451632502</v>
      </c>
      <c r="K1401" s="982">
        <v>0</v>
      </c>
      <c r="L1401" s="735">
        <v>3604</v>
      </c>
      <c r="M1401" s="735">
        <v>3753</v>
      </c>
      <c r="N1401" s="845">
        <f t="shared" si="118"/>
        <v>4.1342952275249721E-2</v>
      </c>
      <c r="O1401" s="735">
        <v>0.77754063511897753</v>
      </c>
      <c r="P1401" s="735">
        <f t="shared" si="119"/>
        <v>4826.7573815299365</v>
      </c>
      <c r="Q1401" s="849">
        <v>26.4</v>
      </c>
      <c r="R1401" s="71">
        <v>45531</v>
      </c>
      <c r="S1401" s="845">
        <v>0.30881961097788435</v>
      </c>
      <c r="T1401" s="845">
        <v>1.6E-2</v>
      </c>
      <c r="U1401" s="845">
        <v>0</v>
      </c>
      <c r="V1401" s="845">
        <v>0.09</v>
      </c>
      <c r="W1401" s="845">
        <v>0.96487376509330403</v>
      </c>
      <c r="X1401" s="845">
        <v>0.39078498293515357</v>
      </c>
      <c r="Y1401" s="845">
        <v>0.44311217692512656</v>
      </c>
      <c r="Z1401" s="845">
        <v>7.0077271516120435E-2</v>
      </c>
      <c r="AA1401" s="845">
        <v>0</v>
      </c>
      <c r="AB1401" s="845">
        <v>0.36317612576605385</v>
      </c>
      <c r="AC1401" s="845">
        <v>0</v>
      </c>
      <c r="AD1401" s="845">
        <v>5.3024247268851583E-2</v>
      </c>
      <c r="AE1401" s="845">
        <v>7.0610178523847586E-2</v>
      </c>
      <c r="AF1401" s="845">
        <v>7.1409539035438313E-2</v>
      </c>
      <c r="AG1401" s="845">
        <v>0.44311217692512656</v>
      </c>
      <c r="AH1401" s="20" t="str">
        <f t="shared" si="120"/>
        <v>No</v>
      </c>
      <c r="AI1401" s="25"/>
      <c r="AJ1401" s="37">
        <v>45601</v>
      </c>
      <c r="AK1401" s="37" t="s">
        <v>1768</v>
      </c>
      <c r="AL1401" s="37">
        <v>39141</v>
      </c>
      <c r="AM1401" s="37" t="s">
        <v>76</v>
      </c>
      <c r="AN1401" s="37" t="str">
        <f t="shared" si="121"/>
        <v>N/A</v>
      </c>
      <c r="AO1401" s="37" t="str">
        <f t="shared" si="122"/>
        <v>N/A</v>
      </c>
      <c r="AP1401" s="37" t="s">
        <v>8</v>
      </c>
      <c r="AQ1401" s="25"/>
      <c r="AR1401" s="25"/>
      <c r="AS1401" s="25"/>
      <c r="AT1401" s="25"/>
      <c r="AU1401" s="36"/>
      <c r="AV1401" s="36"/>
      <c r="AW1401" s="36"/>
      <c r="AX1401" s="25"/>
      <c r="AY1401" s="25"/>
      <c r="AZ1401" s="25"/>
      <c r="BA1401" s="25"/>
      <c r="BB1401" s="25"/>
      <c r="BC1401" s="25"/>
      <c r="BD1401" s="25"/>
      <c r="BE1401" s="25"/>
      <c r="BF1401" s="25"/>
      <c r="BG1401" s="25"/>
      <c r="BH1401" s="25"/>
      <c r="BI1401" s="25"/>
      <c r="BJ1401" s="25"/>
      <c r="BK1401" s="25"/>
      <c r="BL1401" s="25"/>
      <c r="BM1401" s="25"/>
      <c r="BN1401" s="25"/>
      <c r="BO1401" s="25"/>
      <c r="BP1401" s="25"/>
      <c r="BQ1401" s="25"/>
      <c r="BR1401" s="25"/>
      <c r="BS1401" s="25"/>
      <c r="BT1401" s="25"/>
      <c r="BU1401" s="25"/>
      <c r="BV1401" s="25"/>
      <c r="BW1401" s="25"/>
      <c r="BX1401" s="25"/>
      <c r="BY1401" s="25"/>
      <c r="BZ1401" s="25"/>
      <c r="CA1401" s="25"/>
      <c r="CB1401" s="25"/>
      <c r="CC1401" s="25"/>
      <c r="CD1401" s="25"/>
      <c r="CE1401" s="200"/>
      <c r="CF1401" s="200"/>
      <c r="CG1401" s="200"/>
      <c r="CH1401" s="200"/>
      <c r="CI1401" s="200"/>
      <c r="CJ1401" s="200"/>
      <c r="CK1401" s="200"/>
      <c r="CL1401" s="200"/>
      <c r="CM1401" s="200"/>
      <c r="CN1401" s="200"/>
      <c r="CO1401" s="200"/>
      <c r="CP1401" s="200"/>
      <c r="CQ1401" s="200"/>
      <c r="CR1401" s="200"/>
      <c r="CS1401" s="200"/>
      <c r="CT1401" s="200"/>
      <c r="CU1401" s="200"/>
    </row>
    <row r="1402" spans="1:99" s="17" customFormat="1" x14ac:dyDescent="0.2">
      <c r="A1402" s="25"/>
      <c r="B1402" s="20">
        <v>39085201900</v>
      </c>
      <c r="C1402" s="20">
        <v>2019</v>
      </c>
      <c r="D1402" s="20" t="s">
        <v>48</v>
      </c>
      <c r="E1402" s="20" t="s">
        <v>2829</v>
      </c>
      <c r="F1402" s="20" t="s">
        <v>8</v>
      </c>
      <c r="G1402" s="861">
        <v>51.389541680092798</v>
      </c>
      <c r="H1402" s="861">
        <v>50.260186481901698</v>
      </c>
      <c r="I1402" s="861">
        <v>29.397549883349999</v>
      </c>
      <c r="J1402" s="861">
        <v>37.08118391939</v>
      </c>
      <c r="K1402" s="982">
        <v>0</v>
      </c>
      <c r="L1402" s="735">
        <v>2907</v>
      </c>
      <c r="M1402" s="735">
        <v>2687</v>
      </c>
      <c r="N1402" s="845">
        <f t="shared" si="118"/>
        <v>-7.5679394564843475E-2</v>
      </c>
      <c r="O1402" s="735">
        <v>1.2992264277228671</v>
      </c>
      <c r="P1402" s="735">
        <f t="shared" si="119"/>
        <v>2068.1537433851781</v>
      </c>
      <c r="Q1402" s="849">
        <v>46.6</v>
      </c>
      <c r="R1402" s="71">
        <v>64306</v>
      </c>
      <c r="S1402" s="845">
        <v>2.0232296740352193E-2</v>
      </c>
      <c r="T1402" s="845">
        <v>7.400000000000001E-2</v>
      </c>
      <c r="U1402" s="845">
        <v>0</v>
      </c>
      <c r="V1402" s="845">
        <v>0</v>
      </c>
      <c r="W1402" s="845">
        <v>0.41908396946564885</v>
      </c>
      <c r="X1402" s="845">
        <v>0.51730418943533696</v>
      </c>
      <c r="Y1402" s="845">
        <v>0.88239672497208788</v>
      </c>
      <c r="Z1402" s="845">
        <v>1.9724599925567549E-2</v>
      </c>
      <c r="AA1402" s="845">
        <v>0</v>
      </c>
      <c r="AB1402" s="845">
        <v>5.5824339411983627E-3</v>
      </c>
      <c r="AC1402" s="845">
        <v>0</v>
      </c>
      <c r="AD1402" s="845">
        <v>0</v>
      </c>
      <c r="AE1402" s="845">
        <v>9.2296241161146264E-2</v>
      </c>
      <c r="AF1402" s="845">
        <v>2.1957573502046891E-2</v>
      </c>
      <c r="AG1402" s="845">
        <v>0.88239672497208788</v>
      </c>
      <c r="AH1402" s="20" t="str">
        <f t="shared" si="120"/>
        <v>No</v>
      </c>
      <c r="AI1402" s="25"/>
      <c r="AJ1402" s="37">
        <v>45612</v>
      </c>
      <c r="AK1402" s="37" t="s">
        <v>1769</v>
      </c>
      <c r="AL1402" s="37">
        <v>39141</v>
      </c>
      <c r="AM1402" s="37" t="s">
        <v>76</v>
      </c>
      <c r="AN1402" s="37" t="str">
        <f t="shared" si="121"/>
        <v>N/A</v>
      </c>
      <c r="AO1402" s="37" t="str">
        <f t="shared" si="122"/>
        <v>N/A</v>
      </c>
      <c r="AP1402" s="37" t="s">
        <v>8</v>
      </c>
      <c r="AQ1402" s="25"/>
      <c r="AR1402" s="25"/>
      <c r="AS1402" s="25"/>
      <c r="AT1402" s="25"/>
      <c r="AU1402" s="36"/>
      <c r="AV1402" s="36"/>
      <c r="AW1402" s="36"/>
      <c r="AX1402" s="25"/>
      <c r="AY1402" s="25"/>
      <c r="AZ1402" s="25"/>
      <c r="BA1402" s="25"/>
      <c r="BB1402" s="25"/>
      <c r="BC1402" s="25"/>
      <c r="BD1402" s="25"/>
      <c r="BE1402" s="25"/>
      <c r="BF1402" s="25"/>
      <c r="BG1402" s="25"/>
      <c r="BH1402" s="25"/>
      <c r="BI1402" s="25"/>
      <c r="BJ1402" s="25"/>
      <c r="BK1402" s="25"/>
      <c r="BL1402" s="25"/>
      <c r="BM1402" s="25"/>
      <c r="BN1402" s="25"/>
      <c r="BO1402" s="25"/>
      <c r="BP1402" s="25"/>
      <c r="BQ1402" s="25"/>
      <c r="BR1402" s="25"/>
      <c r="BS1402" s="25"/>
      <c r="BT1402" s="25"/>
      <c r="BU1402" s="25"/>
      <c r="BV1402" s="25"/>
      <c r="BW1402" s="25"/>
      <c r="BX1402" s="25"/>
      <c r="BY1402" s="25"/>
      <c r="BZ1402" s="25"/>
      <c r="CA1402" s="25"/>
      <c r="CB1402" s="25"/>
      <c r="CC1402" s="25"/>
      <c r="CD1402" s="25"/>
      <c r="CE1402" s="200"/>
      <c r="CF1402" s="200"/>
      <c r="CG1402" s="200"/>
      <c r="CH1402" s="200"/>
      <c r="CI1402" s="200"/>
      <c r="CJ1402" s="200"/>
      <c r="CK1402" s="200"/>
      <c r="CL1402" s="200"/>
      <c r="CM1402" s="200"/>
      <c r="CN1402" s="200"/>
      <c r="CO1402" s="200"/>
      <c r="CP1402" s="200"/>
      <c r="CQ1402" s="200"/>
      <c r="CR1402" s="200"/>
      <c r="CS1402" s="200"/>
      <c r="CT1402" s="200"/>
      <c r="CU1402" s="200"/>
    </row>
    <row r="1403" spans="1:99" s="17" customFormat="1" x14ac:dyDescent="0.2">
      <c r="A1403" s="25"/>
      <c r="B1403" s="20">
        <v>39035185102</v>
      </c>
      <c r="C1403" s="20">
        <v>1851.02</v>
      </c>
      <c r="D1403" s="20" t="s">
        <v>24</v>
      </c>
      <c r="E1403" s="20" t="s">
        <v>2829</v>
      </c>
      <c r="F1403" s="20" t="s">
        <v>8</v>
      </c>
      <c r="G1403" s="861">
        <v>51.376023034777802</v>
      </c>
      <c r="H1403" s="861">
        <v>65.851391892982704</v>
      </c>
      <c r="I1403" s="861">
        <v>18.017290982873899</v>
      </c>
      <c r="J1403" s="861">
        <v>54.704029261772099</v>
      </c>
      <c r="K1403" s="982">
        <v>0</v>
      </c>
      <c r="L1403" s="735">
        <v>2804</v>
      </c>
      <c r="M1403" s="735">
        <v>2834</v>
      </c>
      <c r="N1403" s="845">
        <f t="shared" si="118"/>
        <v>1.0699001426533523E-2</v>
      </c>
      <c r="O1403" s="735">
        <v>0.39957249070151141</v>
      </c>
      <c r="P1403" s="735">
        <f t="shared" si="119"/>
        <v>7092.5803601355892</v>
      </c>
      <c r="Q1403" s="849">
        <v>40.799999999999997</v>
      </c>
      <c r="R1403" s="71">
        <v>75920</v>
      </c>
      <c r="S1403" s="845">
        <v>3.2110091743119268E-2</v>
      </c>
      <c r="T1403" s="845">
        <v>3.3000000000000002E-2</v>
      </c>
      <c r="U1403" s="845">
        <v>0.04</v>
      </c>
      <c r="V1403" s="845">
        <v>0.08</v>
      </c>
      <c r="W1403" s="845">
        <v>0.2891774891774892</v>
      </c>
      <c r="X1403" s="845">
        <v>4.790419161676647E-2</v>
      </c>
      <c r="Y1403" s="845">
        <v>0.32215949188426252</v>
      </c>
      <c r="Z1403" s="845">
        <v>0.6524347212420607</v>
      </c>
      <c r="AA1403" s="845">
        <v>3.5285815102328866E-3</v>
      </c>
      <c r="AB1403" s="845">
        <v>1.4467184191954835E-2</v>
      </c>
      <c r="AC1403" s="845">
        <v>0</v>
      </c>
      <c r="AD1403" s="845">
        <v>0</v>
      </c>
      <c r="AE1403" s="845">
        <v>7.4100211714890618E-3</v>
      </c>
      <c r="AF1403" s="845">
        <v>3.9872971065631618E-2</v>
      </c>
      <c r="AG1403" s="845">
        <v>0.32215949188426252</v>
      </c>
      <c r="AH1403" s="20" t="str">
        <f t="shared" si="120"/>
        <v>No</v>
      </c>
      <c r="AI1403" s="25"/>
      <c r="AJ1403" s="37">
        <v>45617</v>
      </c>
      <c r="AK1403" s="37" t="s">
        <v>1773</v>
      </c>
      <c r="AL1403" s="37">
        <v>39141</v>
      </c>
      <c r="AM1403" s="37" t="s">
        <v>76</v>
      </c>
      <c r="AN1403" s="37" t="str">
        <f t="shared" si="121"/>
        <v>N/A</v>
      </c>
      <c r="AO1403" s="37" t="str">
        <f t="shared" si="122"/>
        <v>N/A</v>
      </c>
      <c r="AP1403" s="37" t="s">
        <v>8</v>
      </c>
      <c r="AQ1403" s="25"/>
      <c r="AR1403" s="25"/>
      <c r="AS1403" s="25"/>
      <c r="AT1403" s="25"/>
      <c r="AU1403" s="36"/>
      <c r="AV1403" s="36"/>
      <c r="AW1403" s="36"/>
      <c r="AX1403" s="25"/>
      <c r="AY1403" s="25"/>
      <c r="AZ1403" s="25"/>
      <c r="BA1403" s="25"/>
      <c r="BB1403" s="25"/>
      <c r="BC1403" s="25"/>
      <c r="BD1403" s="25"/>
      <c r="BE1403" s="25"/>
      <c r="BF1403" s="25"/>
      <c r="BG1403" s="25"/>
      <c r="BH1403" s="25"/>
      <c r="BI1403" s="25"/>
      <c r="BJ1403" s="25"/>
      <c r="BK1403" s="25"/>
      <c r="BL1403" s="25"/>
      <c r="BM1403" s="25"/>
      <c r="BN1403" s="25"/>
      <c r="BO1403" s="25"/>
      <c r="BP1403" s="25"/>
      <c r="BQ1403" s="25"/>
      <c r="BR1403" s="25"/>
      <c r="BS1403" s="25"/>
      <c r="BT1403" s="25"/>
      <c r="BU1403" s="25"/>
      <c r="BV1403" s="25"/>
      <c r="BW1403" s="25"/>
      <c r="BX1403" s="25"/>
      <c r="BY1403" s="25"/>
      <c r="BZ1403" s="25"/>
      <c r="CA1403" s="25"/>
      <c r="CB1403" s="25"/>
      <c r="CC1403" s="25"/>
      <c r="CD1403" s="25"/>
      <c r="CE1403" s="200"/>
      <c r="CF1403" s="200"/>
      <c r="CG1403" s="200"/>
      <c r="CH1403" s="200"/>
      <c r="CI1403" s="200"/>
      <c r="CJ1403" s="200"/>
      <c r="CK1403" s="200"/>
      <c r="CL1403" s="200"/>
      <c r="CM1403" s="200"/>
      <c r="CN1403" s="200"/>
      <c r="CO1403" s="200"/>
      <c r="CP1403" s="200"/>
      <c r="CQ1403" s="200"/>
      <c r="CR1403" s="200"/>
      <c r="CS1403" s="200"/>
      <c r="CT1403" s="200"/>
      <c r="CU1403" s="200"/>
    </row>
    <row r="1404" spans="1:99" s="17" customFormat="1" x14ac:dyDescent="0.2">
      <c r="A1404" s="25"/>
      <c r="B1404" s="20">
        <v>39095005902</v>
      </c>
      <c r="C1404" s="20">
        <v>59.02</v>
      </c>
      <c r="D1404" s="20" t="s">
        <v>53</v>
      </c>
      <c r="E1404" s="20" t="s">
        <v>2839</v>
      </c>
      <c r="F1404" s="20" t="s">
        <v>8</v>
      </c>
      <c r="G1404" s="861">
        <v>51.373976326810002</v>
      </c>
      <c r="H1404" s="861">
        <v>54.467216282863603</v>
      </c>
      <c r="I1404" s="861">
        <v>35.144936406981202</v>
      </c>
      <c r="J1404" s="861">
        <v>49.567225731522001</v>
      </c>
      <c r="K1404" s="982">
        <v>0</v>
      </c>
      <c r="L1404" s="735">
        <v>4064</v>
      </c>
      <c r="M1404" s="735">
        <v>4704</v>
      </c>
      <c r="N1404" s="845">
        <f t="shared" si="118"/>
        <v>0.15748031496062992</v>
      </c>
      <c r="O1404" s="735">
        <v>1.0022389639464406</v>
      </c>
      <c r="P1404" s="735">
        <f t="shared" si="119"/>
        <v>4693.4914418787057</v>
      </c>
      <c r="Q1404" s="849">
        <v>31.9</v>
      </c>
      <c r="R1404" s="71">
        <v>68214</v>
      </c>
      <c r="S1404" s="845">
        <v>0.15509506515701774</v>
      </c>
      <c r="T1404" s="845">
        <v>8.5000000000000006E-2</v>
      </c>
      <c r="U1404" s="845">
        <v>0</v>
      </c>
      <c r="V1404" s="845">
        <v>2.8999999999999998E-2</v>
      </c>
      <c r="W1404" s="845">
        <v>0.39913232104121477</v>
      </c>
      <c r="X1404" s="845">
        <v>0.29483695652173914</v>
      </c>
      <c r="Y1404" s="845">
        <v>0.7678571428571429</v>
      </c>
      <c r="Z1404" s="845">
        <v>0.10097789115646258</v>
      </c>
      <c r="AA1404" s="845">
        <v>0</v>
      </c>
      <c r="AB1404" s="845">
        <v>1.3605442176870748E-2</v>
      </c>
      <c r="AC1404" s="845">
        <v>0</v>
      </c>
      <c r="AD1404" s="845">
        <v>6.5901360544217691E-3</v>
      </c>
      <c r="AE1404" s="845">
        <v>0.11096938775510204</v>
      </c>
      <c r="AF1404" s="845">
        <v>7.7380952380952384E-2</v>
      </c>
      <c r="AG1404" s="845">
        <v>0.72789115646258506</v>
      </c>
      <c r="AH1404" s="20" t="str">
        <f t="shared" si="120"/>
        <v>No</v>
      </c>
      <c r="AI1404" s="25"/>
      <c r="AJ1404" s="37">
        <v>45628</v>
      </c>
      <c r="AK1404" s="37" t="s">
        <v>1781</v>
      </c>
      <c r="AL1404" s="37">
        <v>39141</v>
      </c>
      <c r="AM1404" s="37" t="s">
        <v>76</v>
      </c>
      <c r="AN1404" s="37" t="str">
        <f t="shared" si="121"/>
        <v>N/A</v>
      </c>
      <c r="AO1404" s="37" t="str">
        <f t="shared" si="122"/>
        <v>N/A</v>
      </c>
      <c r="AP1404" s="37" t="s">
        <v>8</v>
      </c>
      <c r="AQ1404" s="25"/>
      <c r="AR1404" s="25"/>
      <c r="AS1404" s="25"/>
      <c r="AT1404" s="25"/>
      <c r="AU1404" s="36"/>
      <c r="AV1404" s="36"/>
      <c r="AW1404" s="36"/>
      <c r="AX1404" s="25"/>
      <c r="AY1404" s="25"/>
      <c r="AZ1404" s="25"/>
      <c r="BA1404" s="25"/>
      <c r="BB1404" s="25"/>
      <c r="BC1404" s="25"/>
      <c r="BD1404" s="25"/>
      <c r="BE1404" s="25"/>
      <c r="BF1404" s="25"/>
      <c r="BG1404" s="25"/>
      <c r="BH1404" s="25"/>
      <c r="BI1404" s="25"/>
      <c r="BJ1404" s="25"/>
      <c r="BK1404" s="25"/>
      <c r="BL1404" s="25"/>
      <c r="BM1404" s="25"/>
      <c r="BN1404" s="25"/>
      <c r="BO1404" s="25"/>
      <c r="BP1404" s="25"/>
      <c r="BQ1404" s="25"/>
      <c r="BR1404" s="25"/>
      <c r="BS1404" s="25"/>
      <c r="BT1404" s="25"/>
      <c r="BU1404" s="25"/>
      <c r="BV1404" s="25"/>
      <c r="BW1404" s="25"/>
      <c r="BX1404" s="25"/>
      <c r="BY1404" s="25"/>
      <c r="BZ1404" s="25"/>
      <c r="CA1404" s="25"/>
      <c r="CB1404" s="25"/>
      <c r="CC1404" s="25"/>
      <c r="CD1404" s="25"/>
      <c r="CE1404" s="200"/>
      <c r="CF1404" s="200"/>
      <c r="CG1404" s="200"/>
      <c r="CH1404" s="200"/>
      <c r="CI1404" s="200"/>
      <c r="CJ1404" s="200"/>
      <c r="CK1404" s="200"/>
      <c r="CL1404" s="200"/>
      <c r="CM1404" s="200"/>
      <c r="CN1404" s="200"/>
      <c r="CO1404" s="200"/>
      <c r="CP1404" s="200"/>
      <c r="CQ1404" s="200"/>
      <c r="CR1404" s="200"/>
      <c r="CS1404" s="200"/>
      <c r="CT1404" s="200"/>
      <c r="CU1404" s="200"/>
    </row>
    <row r="1405" spans="1:99" s="17" customFormat="1" x14ac:dyDescent="0.2">
      <c r="A1405" s="25"/>
      <c r="B1405" s="20">
        <v>39029951500</v>
      </c>
      <c r="C1405" s="20">
        <v>9515</v>
      </c>
      <c r="D1405" s="20" t="s">
        <v>21</v>
      </c>
      <c r="E1405" s="20" t="s">
        <v>265</v>
      </c>
      <c r="F1405" s="20" t="s">
        <v>8</v>
      </c>
      <c r="G1405" s="861">
        <v>51.366556170059603</v>
      </c>
      <c r="H1405" s="861">
        <v>51.8675956424349</v>
      </c>
      <c r="I1405" s="861">
        <v>31.5156897198971</v>
      </c>
      <c r="J1405" s="861">
        <v>34.6674016282157</v>
      </c>
      <c r="K1405" s="982">
        <v>0</v>
      </c>
      <c r="L1405" s="735">
        <v>4387</v>
      </c>
      <c r="M1405" s="735">
        <v>4898</v>
      </c>
      <c r="N1405" s="845">
        <f t="shared" si="118"/>
        <v>0.11648051059949852</v>
      </c>
      <c r="O1405" s="735">
        <v>9.8346497814617386</v>
      </c>
      <c r="P1405" s="735">
        <f t="shared" si="119"/>
        <v>498.03501993865643</v>
      </c>
      <c r="Q1405" s="849">
        <v>38.6</v>
      </c>
      <c r="R1405" s="71">
        <v>51427</v>
      </c>
      <c r="S1405" s="845">
        <v>9.75458857496391E-2</v>
      </c>
      <c r="T1405" s="845">
        <v>3.4000000000000002E-2</v>
      </c>
      <c r="U1405" s="845">
        <v>0</v>
      </c>
      <c r="V1405" s="845">
        <v>4.2000000000000003E-2</v>
      </c>
      <c r="W1405" s="845">
        <v>0.29260143198090693</v>
      </c>
      <c r="X1405" s="845">
        <v>0.27895595432300163</v>
      </c>
      <c r="Y1405" s="845">
        <v>0.91404654961208653</v>
      </c>
      <c r="Z1405" s="845">
        <v>4.0832993058391182E-4</v>
      </c>
      <c r="AA1405" s="845">
        <v>0</v>
      </c>
      <c r="AB1405" s="845">
        <v>0</v>
      </c>
      <c r="AC1405" s="845">
        <v>0</v>
      </c>
      <c r="AD1405" s="845">
        <v>1.1433238056349531E-2</v>
      </c>
      <c r="AE1405" s="845">
        <v>7.4111882400979989E-2</v>
      </c>
      <c r="AF1405" s="845">
        <v>6.4720293997550027E-2</v>
      </c>
      <c r="AG1405" s="845">
        <v>0.89485504287464268</v>
      </c>
      <c r="AH1405" s="20" t="str">
        <f t="shared" si="120"/>
        <v>No</v>
      </c>
      <c r="AI1405" s="25"/>
      <c r="AJ1405" s="37">
        <v>45644</v>
      </c>
      <c r="AK1405" s="37" t="s">
        <v>1790</v>
      </c>
      <c r="AL1405" s="37">
        <v>39141</v>
      </c>
      <c r="AM1405" s="37" t="s">
        <v>76</v>
      </c>
      <c r="AN1405" s="37" t="str">
        <f t="shared" si="121"/>
        <v>N/A</v>
      </c>
      <c r="AO1405" s="37" t="str">
        <f t="shared" si="122"/>
        <v>N/A</v>
      </c>
      <c r="AP1405" s="37" t="s">
        <v>8</v>
      </c>
      <c r="AQ1405" s="25"/>
      <c r="AR1405" s="25"/>
      <c r="AS1405" s="25"/>
      <c r="AT1405" s="25"/>
      <c r="AU1405" s="36"/>
      <c r="AV1405" s="36"/>
      <c r="AW1405" s="36"/>
      <c r="AX1405" s="25"/>
      <c r="AY1405" s="25"/>
      <c r="AZ1405" s="25"/>
      <c r="BA1405" s="25"/>
      <c r="BB1405" s="25"/>
      <c r="BC1405" s="25"/>
      <c r="BD1405" s="25"/>
      <c r="BE1405" s="25"/>
      <c r="BF1405" s="25"/>
      <c r="BG1405" s="25"/>
      <c r="BH1405" s="25"/>
      <c r="BI1405" s="25"/>
      <c r="BJ1405" s="25"/>
      <c r="BK1405" s="25"/>
      <c r="BL1405" s="25"/>
      <c r="BM1405" s="25"/>
      <c r="BN1405" s="25"/>
      <c r="BO1405" s="25"/>
      <c r="BP1405" s="25"/>
      <c r="BQ1405" s="25"/>
      <c r="BR1405" s="25"/>
      <c r="BS1405" s="25"/>
      <c r="BT1405" s="25"/>
      <c r="BU1405" s="25"/>
      <c r="BV1405" s="25"/>
      <c r="BW1405" s="25"/>
      <c r="BX1405" s="25"/>
      <c r="BY1405" s="25"/>
      <c r="BZ1405" s="25"/>
      <c r="CA1405" s="25"/>
      <c r="CB1405" s="25"/>
      <c r="CC1405" s="25"/>
      <c r="CD1405" s="25"/>
      <c r="CE1405" s="200"/>
      <c r="CF1405" s="200"/>
      <c r="CG1405" s="200"/>
      <c r="CH1405" s="200"/>
      <c r="CI1405" s="200"/>
      <c r="CJ1405" s="200"/>
      <c r="CK1405" s="200"/>
      <c r="CL1405" s="200"/>
      <c r="CM1405" s="200"/>
      <c r="CN1405" s="200"/>
      <c r="CO1405" s="200"/>
      <c r="CP1405" s="200"/>
      <c r="CQ1405" s="200"/>
      <c r="CR1405" s="200"/>
      <c r="CS1405" s="200"/>
      <c r="CT1405" s="200"/>
      <c r="CU1405" s="200"/>
    </row>
    <row r="1406" spans="1:99" s="17" customFormat="1" x14ac:dyDescent="0.2">
      <c r="A1406" s="25"/>
      <c r="B1406" s="20">
        <v>39035184106</v>
      </c>
      <c r="C1406" s="20">
        <v>1841.06</v>
      </c>
      <c r="D1406" s="20" t="s">
        <v>24</v>
      </c>
      <c r="E1406" s="20" t="s">
        <v>2829</v>
      </c>
      <c r="F1406" s="20" t="s">
        <v>8</v>
      </c>
      <c r="G1406" s="861">
        <v>51.361505946416401</v>
      </c>
      <c r="H1406" s="861">
        <v>59.646370367341902</v>
      </c>
      <c r="I1406" s="861">
        <v>20.900853876708101</v>
      </c>
      <c r="J1406" s="861">
        <v>37.4849911320525</v>
      </c>
      <c r="K1406" s="982">
        <v>0</v>
      </c>
      <c r="L1406" s="735">
        <v>2342</v>
      </c>
      <c r="M1406" s="735">
        <v>2413</v>
      </c>
      <c r="N1406" s="845">
        <f t="shared" si="118"/>
        <v>3.0315969257045262E-2</v>
      </c>
      <c r="O1406" s="735">
        <v>0.59345098692364273</v>
      </c>
      <c r="P1406" s="735">
        <f t="shared" si="119"/>
        <v>4066.0476655513125</v>
      </c>
      <c r="Q1406" s="849">
        <v>43.1</v>
      </c>
      <c r="R1406" s="71">
        <v>90000</v>
      </c>
      <c r="S1406" s="845">
        <v>7.9983423124740993E-2</v>
      </c>
      <c r="T1406" s="845">
        <v>4.0999999999999995E-2</v>
      </c>
      <c r="U1406" s="845">
        <v>0</v>
      </c>
      <c r="V1406" s="845">
        <v>0.13500000000000001</v>
      </c>
      <c r="W1406" s="845">
        <v>0.13616071428571427</v>
      </c>
      <c r="X1406" s="845">
        <v>0.47540983606557374</v>
      </c>
      <c r="Y1406" s="845">
        <v>0.6601740571902196</v>
      </c>
      <c r="Z1406" s="845">
        <v>6.837961044343141E-2</v>
      </c>
      <c r="AA1406" s="845">
        <v>0</v>
      </c>
      <c r="AB1406" s="845">
        <v>0.17447161210111894</v>
      </c>
      <c r="AC1406" s="845">
        <v>0</v>
      </c>
      <c r="AD1406" s="845">
        <v>1.077496891835889E-2</v>
      </c>
      <c r="AE1406" s="845">
        <v>8.619975134687112E-2</v>
      </c>
      <c r="AF1406" s="845">
        <v>2.8595109821798591E-2</v>
      </c>
      <c r="AG1406" s="845">
        <v>0.64649813510153331</v>
      </c>
      <c r="AH1406" s="20" t="str">
        <f t="shared" si="120"/>
        <v>No</v>
      </c>
      <c r="AI1406" s="25"/>
      <c r="AJ1406" s="37">
        <v>45647</v>
      </c>
      <c r="AK1406" s="37" t="s">
        <v>1793</v>
      </c>
      <c r="AL1406" s="37">
        <v>39141</v>
      </c>
      <c r="AM1406" s="37" t="s">
        <v>76</v>
      </c>
      <c r="AN1406" s="37" t="str">
        <f t="shared" si="121"/>
        <v>N/A</v>
      </c>
      <c r="AO1406" s="37" t="str">
        <f t="shared" si="122"/>
        <v>N/A</v>
      </c>
      <c r="AP1406" s="37" t="s">
        <v>8</v>
      </c>
      <c r="AQ1406" s="25"/>
      <c r="AR1406" s="25"/>
      <c r="AS1406" s="25"/>
      <c r="AT1406" s="25"/>
      <c r="AU1406" s="36"/>
      <c r="AV1406" s="36"/>
      <c r="AW1406" s="36"/>
      <c r="AX1406" s="25"/>
      <c r="AY1406" s="25"/>
      <c r="AZ1406" s="25"/>
      <c r="BA1406" s="25"/>
      <c r="BB1406" s="25"/>
      <c r="BC1406" s="25"/>
      <c r="BD1406" s="25"/>
      <c r="BE1406" s="25"/>
      <c r="BF1406" s="25"/>
      <c r="BG1406" s="25"/>
      <c r="BH1406" s="25"/>
      <c r="BI1406" s="25"/>
      <c r="BJ1406" s="25"/>
      <c r="BK1406" s="25"/>
      <c r="BL1406" s="25"/>
      <c r="BM1406" s="25"/>
      <c r="BN1406" s="25"/>
      <c r="BO1406" s="25"/>
      <c r="BP1406" s="25"/>
      <c r="BQ1406" s="25"/>
      <c r="BR1406" s="25"/>
      <c r="BS1406" s="25"/>
      <c r="BT1406" s="25"/>
      <c r="BU1406" s="25"/>
      <c r="BV1406" s="25"/>
      <c r="BW1406" s="25"/>
      <c r="BX1406" s="25"/>
      <c r="BY1406" s="25"/>
      <c r="BZ1406" s="25"/>
      <c r="CA1406" s="25"/>
      <c r="CB1406" s="25"/>
      <c r="CC1406" s="25"/>
      <c r="CD1406" s="25"/>
      <c r="CE1406" s="200"/>
      <c r="CF1406" s="200"/>
      <c r="CG1406" s="200"/>
      <c r="CH1406" s="200"/>
      <c r="CI1406" s="200"/>
      <c r="CJ1406" s="200"/>
      <c r="CK1406" s="200"/>
      <c r="CL1406" s="200"/>
      <c r="CM1406" s="200"/>
      <c r="CN1406" s="200"/>
      <c r="CO1406" s="200"/>
      <c r="CP1406" s="200"/>
      <c r="CQ1406" s="200"/>
      <c r="CR1406" s="200"/>
      <c r="CS1406" s="200"/>
      <c r="CT1406" s="200"/>
      <c r="CU1406" s="200"/>
    </row>
    <row r="1407" spans="1:99" s="17" customFormat="1" x14ac:dyDescent="0.2">
      <c r="A1407" s="25"/>
      <c r="B1407" s="20">
        <v>39113090600</v>
      </c>
      <c r="C1407" s="20">
        <v>906</v>
      </c>
      <c r="D1407" s="20" t="s">
        <v>62</v>
      </c>
      <c r="E1407" s="20" t="s">
        <v>2833</v>
      </c>
      <c r="F1407" s="20" t="s">
        <v>6</v>
      </c>
      <c r="G1407" s="861">
        <v>51.353959139204299</v>
      </c>
      <c r="H1407" s="861">
        <v>51.611739812093397</v>
      </c>
      <c r="I1407" s="861">
        <v>58.175034121337497</v>
      </c>
      <c r="J1407" s="861">
        <v>47.342070797673202</v>
      </c>
      <c r="K1407" s="982">
        <v>0</v>
      </c>
      <c r="L1407" s="735">
        <v>3696</v>
      </c>
      <c r="M1407" s="735">
        <v>3042</v>
      </c>
      <c r="N1407" s="845">
        <f t="shared" si="118"/>
        <v>-0.17694805194805194</v>
      </c>
      <c r="O1407" s="735">
        <v>0.92959152619430374</v>
      </c>
      <c r="P1407" s="735">
        <f t="shared" si="119"/>
        <v>3272.4050448843695</v>
      </c>
      <c r="Q1407" s="849">
        <v>31</v>
      </c>
      <c r="R1407" s="71">
        <v>42526</v>
      </c>
      <c r="S1407" s="845">
        <v>0.18493611297915266</v>
      </c>
      <c r="T1407" s="845">
        <v>2.2000000000000002E-2</v>
      </c>
      <c r="U1407" s="845">
        <v>7.2999999999999995E-2</v>
      </c>
      <c r="V1407" s="845">
        <v>8.5999999999999993E-2</v>
      </c>
      <c r="W1407" s="845">
        <v>0.77454084863837869</v>
      </c>
      <c r="X1407" s="845">
        <v>0.22649223221586262</v>
      </c>
      <c r="Y1407" s="845">
        <v>0.81196581196581197</v>
      </c>
      <c r="Z1407" s="845">
        <v>8.5470085470085472E-2</v>
      </c>
      <c r="AA1407" s="845">
        <v>1.3149243918474688E-3</v>
      </c>
      <c r="AB1407" s="845">
        <v>3.9447731755424065E-3</v>
      </c>
      <c r="AC1407" s="845">
        <v>7.889546351084813E-3</v>
      </c>
      <c r="AD1407" s="845">
        <v>1.7094017094017096E-2</v>
      </c>
      <c r="AE1407" s="845">
        <v>7.2320841551610782E-2</v>
      </c>
      <c r="AF1407" s="845">
        <v>7.6594345825115054E-2</v>
      </c>
      <c r="AG1407" s="845">
        <v>0.76397107166337941</v>
      </c>
      <c r="AH1407" s="20" t="str">
        <f t="shared" si="120"/>
        <v>No</v>
      </c>
      <c r="AI1407" s="25"/>
      <c r="AJ1407" s="37">
        <v>45672</v>
      </c>
      <c r="AK1407" s="37" t="s">
        <v>1810</v>
      </c>
      <c r="AL1407" s="37">
        <v>39141</v>
      </c>
      <c r="AM1407" s="37" t="s">
        <v>76</v>
      </c>
      <c r="AN1407" s="37" t="str">
        <f t="shared" si="121"/>
        <v>N/A</v>
      </c>
      <c r="AO1407" s="37" t="str">
        <f t="shared" si="122"/>
        <v>N/A</v>
      </c>
      <c r="AP1407" s="37" t="s">
        <v>8</v>
      </c>
      <c r="AQ1407" s="25"/>
      <c r="AR1407" s="25"/>
      <c r="AS1407" s="25"/>
      <c r="AT1407" s="25"/>
      <c r="AU1407" s="36"/>
      <c r="AV1407" s="36"/>
      <c r="AW1407" s="36"/>
      <c r="AX1407" s="25"/>
      <c r="AY1407" s="25"/>
      <c r="AZ1407" s="25"/>
      <c r="BA1407" s="25"/>
      <c r="BB1407" s="25"/>
      <c r="BC1407" s="25"/>
      <c r="BD1407" s="25"/>
      <c r="BE1407" s="25"/>
      <c r="BF1407" s="25"/>
      <c r="BG1407" s="25"/>
      <c r="BH1407" s="25"/>
      <c r="BI1407" s="25"/>
      <c r="BJ1407" s="25"/>
      <c r="BK1407" s="25"/>
      <c r="BL1407" s="25"/>
      <c r="BM1407" s="25"/>
      <c r="BN1407" s="25"/>
      <c r="BO1407" s="25"/>
      <c r="BP1407" s="25"/>
      <c r="BQ1407" s="25"/>
      <c r="BR1407" s="25"/>
      <c r="BS1407" s="25"/>
      <c r="BT1407" s="25"/>
      <c r="BU1407" s="25"/>
      <c r="BV1407" s="25"/>
      <c r="BW1407" s="25"/>
      <c r="BX1407" s="25"/>
      <c r="BY1407" s="25"/>
      <c r="BZ1407" s="25"/>
      <c r="CA1407" s="25"/>
      <c r="CB1407" s="25"/>
      <c r="CC1407" s="25"/>
      <c r="CD1407" s="25"/>
      <c r="CE1407" s="200"/>
      <c r="CF1407" s="200"/>
      <c r="CG1407" s="200"/>
      <c r="CH1407" s="200"/>
      <c r="CI1407" s="200"/>
      <c r="CJ1407" s="200"/>
      <c r="CK1407" s="200"/>
      <c r="CL1407" s="200"/>
      <c r="CM1407" s="200"/>
      <c r="CN1407" s="200"/>
      <c r="CO1407" s="200"/>
      <c r="CP1407" s="200"/>
      <c r="CQ1407" s="200"/>
      <c r="CR1407" s="200"/>
      <c r="CS1407" s="200"/>
      <c r="CT1407" s="200"/>
      <c r="CU1407" s="200"/>
    </row>
    <row r="1408" spans="1:99" s="17" customFormat="1" x14ac:dyDescent="0.2">
      <c r="A1408" s="25"/>
      <c r="B1408" s="20">
        <v>39051040600</v>
      </c>
      <c r="C1408" s="20">
        <v>406</v>
      </c>
      <c r="D1408" s="20" t="s">
        <v>32</v>
      </c>
      <c r="E1408" s="20" t="s">
        <v>2839</v>
      </c>
      <c r="F1408" s="20" t="s">
        <v>8</v>
      </c>
      <c r="G1408" s="861">
        <v>51.350421181307098</v>
      </c>
      <c r="H1408" s="861">
        <v>54.955054664129399</v>
      </c>
      <c r="I1408" s="861">
        <v>18.765787705919401</v>
      </c>
      <c r="J1408" s="861">
        <v>51.253693719335601</v>
      </c>
      <c r="K1408" s="982">
        <v>0</v>
      </c>
      <c r="L1408" s="735">
        <v>4339</v>
      </c>
      <c r="M1408" s="735">
        <v>4539</v>
      </c>
      <c r="N1408" s="845">
        <f t="shared" si="118"/>
        <v>4.6093569946992395E-2</v>
      </c>
      <c r="O1408" s="735">
        <v>82.832830456507395</v>
      </c>
      <c r="P1408" s="735">
        <f t="shared" si="119"/>
        <v>54.797113354508262</v>
      </c>
      <c r="Q1408" s="849">
        <v>40.799999999999997</v>
      </c>
      <c r="R1408" s="71">
        <v>80236</v>
      </c>
      <c r="S1408" s="845">
        <v>3.872538172161983E-2</v>
      </c>
      <c r="T1408" s="845">
        <v>2.7999999999999997E-2</v>
      </c>
      <c r="U1408" s="845">
        <v>0</v>
      </c>
      <c r="V1408" s="845">
        <v>0</v>
      </c>
      <c r="W1408" s="845">
        <v>7.575757575757576E-2</v>
      </c>
      <c r="X1408" s="845">
        <v>2.4E-2</v>
      </c>
      <c r="Y1408" s="845">
        <v>0.88521700815157522</v>
      </c>
      <c r="Z1408" s="845">
        <v>4.626569729015202E-3</v>
      </c>
      <c r="AA1408" s="845">
        <v>1.9828155981493722E-3</v>
      </c>
      <c r="AB1408" s="845">
        <v>5.9484467944481163E-3</v>
      </c>
      <c r="AC1408" s="845">
        <v>0</v>
      </c>
      <c r="AD1408" s="845">
        <v>4.8909451421017845E-2</v>
      </c>
      <c r="AE1408" s="845">
        <v>5.3315708305794227E-2</v>
      </c>
      <c r="AF1408" s="845">
        <v>0.11346111478299185</v>
      </c>
      <c r="AG1408" s="845">
        <v>0.8523903943599912</v>
      </c>
      <c r="AH1408" s="20" t="str">
        <f t="shared" si="120"/>
        <v>No</v>
      </c>
      <c r="AI1408" s="25"/>
      <c r="AJ1408" s="37">
        <v>45673</v>
      </c>
      <c r="AK1408" s="37" t="s">
        <v>1811</v>
      </c>
      <c r="AL1408" s="37">
        <v>39141</v>
      </c>
      <c r="AM1408" s="37" t="s">
        <v>76</v>
      </c>
      <c r="AN1408" s="37" t="str">
        <f t="shared" si="121"/>
        <v>N/A</v>
      </c>
      <c r="AO1408" s="37" t="str">
        <f t="shared" si="122"/>
        <v>N/A</v>
      </c>
      <c r="AP1408" s="37" t="s">
        <v>8</v>
      </c>
      <c r="AQ1408" s="25"/>
      <c r="AR1408" s="25"/>
      <c r="AS1408" s="25"/>
      <c r="AT1408" s="25"/>
      <c r="AU1408" s="36"/>
      <c r="AV1408" s="36"/>
      <c r="AW1408" s="36"/>
      <c r="AX1408" s="25"/>
      <c r="AY1408" s="25"/>
      <c r="AZ1408" s="25"/>
      <c r="BA1408" s="25"/>
      <c r="BB1408" s="25"/>
      <c r="BC1408" s="25"/>
      <c r="BD1408" s="25"/>
      <c r="BE1408" s="25"/>
      <c r="BF1408" s="25"/>
      <c r="BG1408" s="25"/>
      <c r="BH1408" s="25"/>
      <c r="BI1408" s="25"/>
      <c r="BJ1408" s="25"/>
      <c r="BK1408" s="25"/>
      <c r="BL1408" s="25"/>
      <c r="BM1408" s="25"/>
      <c r="BN1408" s="25"/>
      <c r="BO1408" s="25"/>
      <c r="BP1408" s="25"/>
      <c r="BQ1408" s="25"/>
      <c r="BR1408" s="25"/>
      <c r="BS1408" s="25"/>
      <c r="BT1408" s="25"/>
      <c r="BU1408" s="25"/>
      <c r="BV1408" s="25"/>
      <c r="BW1408" s="25"/>
      <c r="BX1408" s="25"/>
      <c r="BY1408" s="25"/>
      <c r="BZ1408" s="25"/>
      <c r="CA1408" s="25"/>
      <c r="CB1408" s="25"/>
      <c r="CC1408" s="25"/>
      <c r="CD1408" s="25"/>
      <c r="CE1408" s="200"/>
      <c r="CF1408" s="200"/>
      <c r="CG1408" s="200"/>
      <c r="CH1408" s="200"/>
      <c r="CI1408" s="200"/>
      <c r="CJ1408" s="200"/>
      <c r="CK1408" s="200"/>
      <c r="CL1408" s="200"/>
      <c r="CM1408" s="200"/>
      <c r="CN1408" s="200"/>
      <c r="CO1408" s="200"/>
      <c r="CP1408" s="200"/>
      <c r="CQ1408" s="200"/>
      <c r="CR1408" s="200"/>
      <c r="CS1408" s="200"/>
      <c r="CT1408" s="200"/>
      <c r="CU1408" s="200"/>
    </row>
    <row r="1409" spans="1:99" s="17" customFormat="1" x14ac:dyDescent="0.2">
      <c r="A1409" s="25"/>
      <c r="B1409" s="20">
        <v>39035182105</v>
      </c>
      <c r="C1409" s="20">
        <v>1821.05</v>
      </c>
      <c r="D1409" s="20" t="s">
        <v>24</v>
      </c>
      <c r="E1409" s="20" t="s">
        <v>2829</v>
      </c>
      <c r="F1409" s="20" t="s">
        <v>8</v>
      </c>
      <c r="G1409" s="861">
        <v>51.345826553354001</v>
      </c>
      <c r="H1409" s="861">
        <v>62.0599804570343</v>
      </c>
      <c r="I1409" s="861">
        <v>25.053727078341598</v>
      </c>
      <c r="J1409" s="861">
        <v>42.227748491491703</v>
      </c>
      <c r="K1409" s="982">
        <v>0</v>
      </c>
      <c r="L1409" s="735">
        <v>3466</v>
      </c>
      <c r="M1409" s="735">
        <v>3533</v>
      </c>
      <c r="N1409" s="845">
        <f t="shared" si="118"/>
        <v>1.9330640507789959E-2</v>
      </c>
      <c r="O1409" s="735">
        <v>1.3404690880994046</v>
      </c>
      <c r="P1409" s="735">
        <f t="shared" si="119"/>
        <v>2635.6445153161226</v>
      </c>
      <c r="Q1409" s="849">
        <v>48.4</v>
      </c>
      <c r="R1409" s="71">
        <v>91713</v>
      </c>
      <c r="S1409" s="845">
        <v>6.0244387610116509E-2</v>
      </c>
      <c r="T1409" s="845">
        <v>0.03</v>
      </c>
      <c r="U1409" s="845">
        <v>0</v>
      </c>
      <c r="V1409" s="845">
        <v>6.8000000000000005E-2</v>
      </c>
      <c r="W1409" s="845">
        <v>8.8761632068718677E-2</v>
      </c>
      <c r="X1409" s="845">
        <v>9.6774193548387094E-2</v>
      </c>
      <c r="Y1409" s="845">
        <v>0.88791395414661756</v>
      </c>
      <c r="Z1409" s="845">
        <v>1.1321822813472968E-2</v>
      </c>
      <c r="AA1409" s="845">
        <v>0</v>
      </c>
      <c r="AB1409" s="845">
        <v>3.8494197565808096E-2</v>
      </c>
      <c r="AC1409" s="845">
        <v>0</v>
      </c>
      <c r="AD1409" s="845">
        <v>1.8964053212567222E-2</v>
      </c>
      <c r="AE1409" s="845">
        <v>4.3305972261534105E-2</v>
      </c>
      <c r="AF1409" s="845">
        <v>5.2646476082649309E-2</v>
      </c>
      <c r="AG1409" s="845">
        <v>0.88055476931786014</v>
      </c>
      <c r="AH1409" s="20" t="str">
        <f t="shared" si="120"/>
        <v>No</v>
      </c>
      <c r="AI1409" s="25"/>
      <c r="AJ1409" s="37">
        <v>45681</v>
      </c>
      <c r="AK1409" s="37" t="s">
        <v>1817</v>
      </c>
      <c r="AL1409" s="37">
        <v>39141</v>
      </c>
      <c r="AM1409" s="37" t="s">
        <v>76</v>
      </c>
      <c r="AN1409" s="37" t="str">
        <f t="shared" si="121"/>
        <v>N/A</v>
      </c>
      <c r="AO1409" s="37" t="str">
        <f t="shared" si="122"/>
        <v>N/A</v>
      </c>
      <c r="AP1409" s="37" t="s">
        <v>8</v>
      </c>
      <c r="AQ1409" s="25"/>
      <c r="AR1409" s="25"/>
      <c r="AS1409" s="25"/>
      <c r="AT1409" s="25"/>
      <c r="AU1409" s="36"/>
      <c r="AV1409" s="36"/>
      <c r="AW1409" s="36"/>
      <c r="AX1409" s="25"/>
      <c r="AY1409" s="25"/>
      <c r="AZ1409" s="25"/>
      <c r="BA1409" s="25"/>
      <c r="BB1409" s="25"/>
      <c r="BC1409" s="25"/>
      <c r="BD1409" s="25"/>
      <c r="BE1409" s="25"/>
      <c r="BF1409" s="25"/>
      <c r="BG1409" s="25"/>
      <c r="BH1409" s="25"/>
      <c r="BI1409" s="25"/>
      <c r="BJ1409" s="25"/>
      <c r="BK1409" s="25"/>
      <c r="BL1409" s="25"/>
      <c r="BM1409" s="25"/>
      <c r="BN1409" s="25"/>
      <c r="BO1409" s="25"/>
      <c r="BP1409" s="25"/>
      <c r="BQ1409" s="25"/>
      <c r="BR1409" s="25"/>
      <c r="BS1409" s="25"/>
      <c r="BT1409" s="25"/>
      <c r="BU1409" s="25"/>
      <c r="BV1409" s="25"/>
      <c r="BW1409" s="25"/>
      <c r="BX1409" s="25"/>
      <c r="BY1409" s="25"/>
      <c r="BZ1409" s="25"/>
      <c r="CA1409" s="25"/>
      <c r="CB1409" s="25"/>
      <c r="CC1409" s="25"/>
      <c r="CD1409" s="25"/>
      <c r="CE1409" s="200"/>
      <c r="CF1409" s="200"/>
      <c r="CG1409" s="200"/>
      <c r="CH1409" s="200"/>
      <c r="CI1409" s="200"/>
      <c r="CJ1409" s="200"/>
      <c r="CK1409" s="200"/>
      <c r="CL1409" s="200"/>
      <c r="CM1409" s="200"/>
      <c r="CN1409" s="200"/>
      <c r="CO1409" s="200"/>
      <c r="CP1409" s="200"/>
      <c r="CQ1409" s="200"/>
      <c r="CR1409" s="200"/>
      <c r="CS1409" s="200"/>
      <c r="CT1409" s="200"/>
      <c r="CU1409" s="200"/>
    </row>
    <row r="1410" spans="1:99" s="17" customFormat="1" x14ac:dyDescent="0.2">
      <c r="A1410" s="25"/>
      <c r="B1410" s="20">
        <v>39049009403</v>
      </c>
      <c r="C1410" s="20">
        <v>94.03</v>
      </c>
      <c r="D1410" s="20" t="s">
        <v>31</v>
      </c>
      <c r="E1410" s="20" t="s">
        <v>2830</v>
      </c>
      <c r="F1410" s="20" t="s">
        <v>8</v>
      </c>
      <c r="G1410" s="861">
        <v>51.337264776813598</v>
      </c>
      <c r="H1410" s="861">
        <v>41.1213911467824</v>
      </c>
      <c r="I1410" s="861">
        <v>53.965113112690503</v>
      </c>
      <c r="J1410" s="861">
        <v>49.798537440324303</v>
      </c>
      <c r="K1410" s="982">
        <v>0</v>
      </c>
      <c r="L1410" s="735" t="s">
        <v>2466</v>
      </c>
      <c r="M1410" s="735">
        <v>3249</v>
      </c>
      <c r="N1410" s="845" t="str">
        <f t="shared" si="118"/>
        <v/>
      </c>
      <c r="O1410" s="735">
        <v>1.4600140384428253</v>
      </c>
      <c r="P1410" s="735">
        <f t="shared" si="119"/>
        <v>2225.3210684639812</v>
      </c>
      <c r="Q1410" s="849">
        <v>25.3</v>
      </c>
      <c r="R1410" s="71">
        <v>76905</v>
      </c>
      <c r="S1410" s="845">
        <v>0.16128039396737456</v>
      </c>
      <c r="T1410" s="845">
        <v>6.0999999999999999E-2</v>
      </c>
      <c r="U1410" s="845">
        <v>0</v>
      </c>
      <c r="V1410" s="845">
        <v>0</v>
      </c>
      <c r="W1410" s="845">
        <v>0.3014256619144603</v>
      </c>
      <c r="X1410" s="845">
        <v>0.45270270270270269</v>
      </c>
      <c r="Y1410" s="845">
        <v>0.40535549399815329</v>
      </c>
      <c r="Z1410" s="845">
        <v>0.34779932286857496</v>
      </c>
      <c r="AA1410" s="845">
        <v>0</v>
      </c>
      <c r="AB1410" s="845">
        <v>0.1317328408741151</v>
      </c>
      <c r="AC1410" s="845">
        <v>0</v>
      </c>
      <c r="AD1410" s="845">
        <v>3.0778701138811943E-2</v>
      </c>
      <c r="AE1410" s="845">
        <v>8.4333641120344721E-2</v>
      </c>
      <c r="AF1410" s="845">
        <v>2.6469682979378271E-2</v>
      </c>
      <c r="AG1410" s="845">
        <v>0.39950754078177902</v>
      </c>
      <c r="AH1410" s="20" t="str">
        <f t="shared" si="120"/>
        <v>No</v>
      </c>
      <c r="AI1410" s="25"/>
      <c r="AJ1410" s="37">
        <v>45690</v>
      </c>
      <c r="AK1410" s="37" t="s">
        <v>1823</v>
      </c>
      <c r="AL1410" s="37">
        <v>39141</v>
      </c>
      <c r="AM1410" s="37" t="s">
        <v>76</v>
      </c>
      <c r="AN1410" s="37" t="str">
        <f t="shared" si="121"/>
        <v>N/A</v>
      </c>
      <c r="AO1410" s="37" t="str">
        <f t="shared" si="122"/>
        <v>N/A</v>
      </c>
      <c r="AP1410" s="37" t="s">
        <v>8</v>
      </c>
      <c r="AQ1410" s="25"/>
      <c r="AR1410" s="25"/>
      <c r="AS1410" s="25"/>
      <c r="AT1410" s="25"/>
      <c r="AU1410" s="36"/>
      <c r="AV1410" s="36"/>
      <c r="AW1410" s="36"/>
      <c r="AX1410" s="25"/>
      <c r="AY1410" s="25"/>
      <c r="AZ1410" s="25"/>
      <c r="BA1410" s="25"/>
      <c r="BB1410" s="25"/>
      <c r="BC1410" s="25"/>
      <c r="BD1410" s="25"/>
      <c r="BE1410" s="25"/>
      <c r="BF1410" s="25"/>
      <c r="BG1410" s="25"/>
      <c r="BH1410" s="25"/>
      <c r="BI1410" s="25"/>
      <c r="BJ1410" s="25"/>
      <c r="BK1410" s="25"/>
      <c r="BL1410" s="25"/>
      <c r="BM1410" s="25"/>
      <c r="BN1410" s="25"/>
      <c r="BO1410" s="25"/>
      <c r="BP1410" s="25"/>
      <c r="BQ1410" s="25"/>
      <c r="BR1410" s="25"/>
      <c r="BS1410" s="25"/>
      <c r="BT1410" s="25"/>
      <c r="BU1410" s="25"/>
      <c r="BV1410" s="25"/>
      <c r="BW1410" s="25"/>
      <c r="BX1410" s="25"/>
      <c r="BY1410" s="25"/>
      <c r="BZ1410" s="25"/>
      <c r="CA1410" s="25"/>
      <c r="CB1410" s="25"/>
      <c r="CC1410" s="25"/>
      <c r="CD1410" s="25"/>
      <c r="CE1410" s="200"/>
      <c r="CF1410" s="200"/>
      <c r="CG1410" s="200"/>
      <c r="CH1410" s="200"/>
      <c r="CI1410" s="200"/>
      <c r="CJ1410" s="200"/>
      <c r="CK1410" s="200"/>
      <c r="CL1410" s="200"/>
      <c r="CM1410" s="200"/>
      <c r="CN1410" s="200"/>
      <c r="CO1410" s="200"/>
      <c r="CP1410" s="200"/>
      <c r="CQ1410" s="200"/>
      <c r="CR1410" s="200"/>
      <c r="CS1410" s="200"/>
      <c r="CT1410" s="200"/>
      <c r="CU1410" s="200"/>
    </row>
    <row r="1411" spans="1:99" s="17" customFormat="1" x14ac:dyDescent="0.2">
      <c r="A1411" s="25"/>
      <c r="B1411" s="20">
        <v>39057240500</v>
      </c>
      <c r="C1411" s="20">
        <v>2405</v>
      </c>
      <c r="D1411" s="20" t="s">
        <v>35</v>
      </c>
      <c r="E1411" s="20" t="s">
        <v>2833</v>
      </c>
      <c r="F1411" s="20" t="s">
        <v>8</v>
      </c>
      <c r="G1411" s="861">
        <v>51.321713149458503</v>
      </c>
      <c r="H1411" s="861">
        <v>56.4586912090613</v>
      </c>
      <c r="I1411" s="861">
        <v>28.848572927289698</v>
      </c>
      <c r="J1411" s="861">
        <v>46.318015022681998</v>
      </c>
      <c r="K1411" s="982">
        <v>1</v>
      </c>
      <c r="L1411" s="735">
        <v>4504</v>
      </c>
      <c r="M1411" s="735">
        <v>4731</v>
      </c>
      <c r="N1411" s="845">
        <f t="shared" si="118"/>
        <v>5.0399644760213143E-2</v>
      </c>
      <c r="O1411" s="735">
        <v>5.5594363327019289</v>
      </c>
      <c r="P1411" s="735">
        <f t="shared" si="119"/>
        <v>850.98555264876961</v>
      </c>
      <c r="Q1411" s="849">
        <v>50.5</v>
      </c>
      <c r="R1411" s="71">
        <v>62205</v>
      </c>
      <c r="S1411" s="845">
        <v>7.0341786108048518E-2</v>
      </c>
      <c r="T1411" s="845">
        <v>0.03</v>
      </c>
      <c r="U1411" s="845">
        <v>0</v>
      </c>
      <c r="V1411" s="845">
        <v>0</v>
      </c>
      <c r="W1411" s="845">
        <v>0.23590504451038577</v>
      </c>
      <c r="X1411" s="845">
        <v>0.37316561844863733</v>
      </c>
      <c r="Y1411" s="845">
        <v>0.88205453392517441</v>
      </c>
      <c r="Z1411" s="845">
        <v>5.2208835341365459E-2</v>
      </c>
      <c r="AA1411" s="845">
        <v>0</v>
      </c>
      <c r="AB1411" s="845">
        <v>8.8776157260621429E-3</v>
      </c>
      <c r="AC1411" s="845">
        <v>0</v>
      </c>
      <c r="AD1411" s="845">
        <v>5.2842950750369901E-3</v>
      </c>
      <c r="AE1411" s="845">
        <v>5.157471993236102E-2</v>
      </c>
      <c r="AF1411" s="845">
        <v>5.4956668780384698E-3</v>
      </c>
      <c r="AG1411" s="845">
        <v>0.88205453392517441</v>
      </c>
      <c r="AH1411" s="20" t="str">
        <f t="shared" si="120"/>
        <v>No</v>
      </c>
      <c r="AI1411" s="25"/>
      <c r="AJ1411" s="37">
        <v>43406</v>
      </c>
      <c r="AK1411" s="37" t="s">
        <v>908</v>
      </c>
      <c r="AL1411" s="37">
        <v>39143</v>
      </c>
      <c r="AM1411" s="37" t="s">
        <v>77</v>
      </c>
      <c r="AN1411" s="37" t="str">
        <f t="shared" si="121"/>
        <v>N/A</v>
      </c>
      <c r="AO1411" s="37" t="str">
        <f t="shared" si="122"/>
        <v>N/A</v>
      </c>
      <c r="AP1411" s="37" t="s">
        <v>8</v>
      </c>
      <c r="AQ1411" s="25"/>
      <c r="AR1411" s="25"/>
      <c r="AS1411" s="25"/>
      <c r="AT1411" s="25"/>
      <c r="AU1411" s="36"/>
      <c r="AV1411" s="36"/>
      <c r="AW1411" s="36"/>
      <c r="AX1411" s="25"/>
      <c r="AY1411" s="25"/>
      <c r="AZ1411" s="25"/>
      <c r="BA1411" s="25"/>
      <c r="BB1411" s="25"/>
      <c r="BC1411" s="25"/>
      <c r="BD1411" s="25"/>
      <c r="BE1411" s="25"/>
      <c r="BF1411" s="25"/>
      <c r="BG1411" s="25"/>
      <c r="BH1411" s="25"/>
      <c r="BI1411" s="25"/>
      <c r="BJ1411" s="25"/>
      <c r="BK1411" s="25"/>
      <c r="BL1411" s="25"/>
      <c r="BM1411" s="25"/>
      <c r="BN1411" s="25"/>
      <c r="BO1411" s="25"/>
      <c r="BP1411" s="25"/>
      <c r="BQ1411" s="25"/>
      <c r="BR1411" s="25"/>
      <c r="BS1411" s="25"/>
      <c r="BT1411" s="25"/>
      <c r="BU1411" s="25"/>
      <c r="BV1411" s="25"/>
      <c r="BW1411" s="25"/>
      <c r="BX1411" s="25"/>
      <c r="BY1411" s="25"/>
      <c r="BZ1411" s="25"/>
      <c r="CA1411" s="25"/>
      <c r="CB1411" s="25"/>
      <c r="CC1411" s="25"/>
      <c r="CD1411" s="25"/>
      <c r="CE1411" s="200"/>
      <c r="CF1411" s="200"/>
      <c r="CG1411" s="200"/>
      <c r="CH1411" s="200"/>
      <c r="CI1411" s="200"/>
      <c r="CJ1411" s="200"/>
      <c r="CK1411" s="200"/>
      <c r="CL1411" s="200"/>
      <c r="CM1411" s="200"/>
      <c r="CN1411" s="200"/>
      <c r="CO1411" s="200"/>
      <c r="CP1411" s="200"/>
      <c r="CQ1411" s="200"/>
      <c r="CR1411" s="200"/>
      <c r="CS1411" s="200"/>
      <c r="CT1411" s="200"/>
      <c r="CU1411" s="200"/>
    </row>
    <row r="1412" spans="1:99" s="17" customFormat="1" x14ac:dyDescent="0.2">
      <c r="A1412" s="25"/>
      <c r="B1412" s="20">
        <v>39043040300</v>
      </c>
      <c r="C1412" s="20">
        <v>403</v>
      </c>
      <c r="D1412" s="20" t="s">
        <v>28</v>
      </c>
      <c r="E1412" s="20" t="s">
        <v>2837</v>
      </c>
      <c r="F1412" s="20" t="s">
        <v>8</v>
      </c>
      <c r="G1412" s="861">
        <v>51.315653760074198</v>
      </c>
      <c r="H1412" s="861">
        <v>58.697432485201098</v>
      </c>
      <c r="I1412" s="861">
        <v>19.5057908001836</v>
      </c>
      <c r="J1412" s="861">
        <v>31.917353278436799</v>
      </c>
      <c r="K1412" s="982">
        <v>0</v>
      </c>
      <c r="L1412" s="735">
        <v>6190</v>
      </c>
      <c r="M1412" s="735">
        <v>6065</v>
      </c>
      <c r="N1412" s="845">
        <f t="shared" si="118"/>
        <v>-2.0193861066235864E-2</v>
      </c>
      <c r="O1412" s="735">
        <v>56.456393925298755</v>
      </c>
      <c r="P1412" s="735">
        <f t="shared" si="119"/>
        <v>107.42804451919137</v>
      </c>
      <c r="Q1412" s="849">
        <v>52.8</v>
      </c>
      <c r="R1412" s="71">
        <v>87000</v>
      </c>
      <c r="S1412" s="845">
        <v>0.10914795244385733</v>
      </c>
      <c r="T1412" s="845">
        <v>5.2999999999999999E-2</v>
      </c>
      <c r="U1412" s="845">
        <v>2.3E-2</v>
      </c>
      <c r="V1412" s="845">
        <v>0</v>
      </c>
      <c r="W1412" s="845">
        <v>0.15213946117274169</v>
      </c>
      <c r="X1412" s="845">
        <v>0.24739583333333334</v>
      </c>
      <c r="Y1412" s="845">
        <v>0.90981038746908494</v>
      </c>
      <c r="Z1412" s="845">
        <v>1.483924154987634E-3</v>
      </c>
      <c r="AA1412" s="845">
        <v>4.9464138499587804E-4</v>
      </c>
      <c r="AB1412" s="845">
        <v>3.2976092333058533E-3</v>
      </c>
      <c r="AC1412" s="845">
        <v>0</v>
      </c>
      <c r="AD1412" s="845">
        <v>1.3190436933223414E-3</v>
      </c>
      <c r="AE1412" s="845">
        <v>8.3594394064303384E-2</v>
      </c>
      <c r="AF1412" s="845">
        <v>6.8920032976092338E-2</v>
      </c>
      <c r="AG1412" s="845">
        <v>0.89596042868920034</v>
      </c>
      <c r="AH1412" s="20" t="str">
        <f t="shared" si="120"/>
        <v>No</v>
      </c>
      <c r="AI1412" s="25"/>
      <c r="AJ1412" s="37">
        <v>43407</v>
      </c>
      <c r="AK1412" s="37" t="s">
        <v>909</v>
      </c>
      <c r="AL1412" s="37">
        <v>39143</v>
      </c>
      <c r="AM1412" s="37" t="s">
        <v>77</v>
      </c>
      <c r="AN1412" s="37" t="str">
        <f t="shared" si="121"/>
        <v>N/A</v>
      </c>
      <c r="AO1412" s="37" t="str">
        <f t="shared" si="122"/>
        <v>N/A</v>
      </c>
      <c r="AP1412" s="37" t="s">
        <v>8</v>
      </c>
      <c r="AQ1412" s="25"/>
      <c r="AR1412" s="25"/>
      <c r="AS1412" s="25"/>
      <c r="AT1412" s="25"/>
      <c r="AU1412" s="36"/>
      <c r="AV1412" s="36"/>
      <c r="AW1412" s="36"/>
      <c r="AX1412" s="25"/>
      <c r="AY1412" s="25"/>
      <c r="AZ1412" s="25"/>
      <c r="BA1412" s="25"/>
      <c r="BB1412" s="25"/>
      <c r="BC1412" s="25"/>
      <c r="BD1412" s="25"/>
      <c r="BE1412" s="25"/>
      <c r="BF1412" s="25"/>
      <c r="BG1412" s="25"/>
      <c r="BH1412" s="25"/>
      <c r="BI1412" s="25"/>
      <c r="BJ1412" s="25"/>
      <c r="BK1412" s="25"/>
      <c r="BL1412" s="25"/>
      <c r="BM1412" s="25"/>
      <c r="BN1412" s="25"/>
      <c r="BO1412" s="25"/>
      <c r="BP1412" s="25"/>
      <c r="BQ1412" s="25"/>
      <c r="BR1412" s="25"/>
      <c r="BS1412" s="25"/>
      <c r="BT1412" s="25"/>
      <c r="BU1412" s="25"/>
      <c r="BV1412" s="25"/>
      <c r="BW1412" s="25"/>
      <c r="BX1412" s="25"/>
      <c r="BY1412" s="25"/>
      <c r="BZ1412" s="25"/>
      <c r="CA1412" s="25"/>
      <c r="CB1412" s="25"/>
      <c r="CC1412" s="25"/>
      <c r="CD1412" s="25"/>
      <c r="CE1412" s="200"/>
      <c r="CF1412" s="200"/>
      <c r="CG1412" s="200"/>
      <c r="CH1412" s="200"/>
      <c r="CI1412" s="200"/>
      <c r="CJ1412" s="200"/>
      <c r="CK1412" s="200"/>
      <c r="CL1412" s="200"/>
      <c r="CM1412" s="200"/>
      <c r="CN1412" s="200"/>
      <c r="CO1412" s="200"/>
      <c r="CP1412" s="200"/>
      <c r="CQ1412" s="200"/>
      <c r="CR1412" s="200"/>
      <c r="CS1412" s="200"/>
      <c r="CT1412" s="200"/>
      <c r="CU1412" s="200"/>
    </row>
    <row r="1413" spans="1:99" s="17" customFormat="1" x14ac:dyDescent="0.2">
      <c r="A1413" s="25"/>
      <c r="B1413" s="20">
        <v>39055310900</v>
      </c>
      <c r="C1413" s="20">
        <v>3109</v>
      </c>
      <c r="D1413" s="20" t="s">
        <v>34</v>
      </c>
      <c r="E1413" s="20" t="s">
        <v>2829</v>
      </c>
      <c r="F1413" s="20" t="s">
        <v>8</v>
      </c>
      <c r="G1413" s="861">
        <v>51.314098262727903</v>
      </c>
      <c r="H1413" s="861">
        <v>56.861311782341801</v>
      </c>
      <c r="I1413" s="861">
        <v>24.5292403083381</v>
      </c>
      <c r="J1413" s="861">
        <v>51.469054568956203</v>
      </c>
      <c r="K1413" s="982">
        <v>0</v>
      </c>
      <c r="L1413" s="735">
        <v>3215</v>
      </c>
      <c r="M1413" s="735">
        <v>3114</v>
      </c>
      <c r="N1413" s="845">
        <f t="shared" si="118"/>
        <v>-3.1415241057542766E-2</v>
      </c>
      <c r="O1413" s="735">
        <v>22.317338360290776</v>
      </c>
      <c r="P1413" s="735">
        <f t="shared" si="119"/>
        <v>139.53276818801734</v>
      </c>
      <c r="Q1413" s="849">
        <v>44.6</v>
      </c>
      <c r="R1413" s="71">
        <v>74891</v>
      </c>
      <c r="S1413" s="845">
        <v>0.15419354838709678</v>
      </c>
      <c r="T1413" s="845">
        <v>4.9000000000000002E-2</v>
      </c>
      <c r="U1413" s="845">
        <v>0</v>
      </c>
      <c r="V1413" s="845">
        <v>0</v>
      </c>
      <c r="W1413" s="845">
        <v>0.16666666666666666</v>
      </c>
      <c r="X1413" s="845">
        <v>0.30373831775700932</v>
      </c>
      <c r="Y1413" s="845">
        <v>0.84457289659601797</v>
      </c>
      <c r="Z1413" s="845">
        <v>1.0918432883750802E-2</v>
      </c>
      <c r="AA1413" s="845">
        <v>0</v>
      </c>
      <c r="AB1413" s="845">
        <v>0</v>
      </c>
      <c r="AC1413" s="845">
        <v>0</v>
      </c>
      <c r="AD1413" s="845">
        <v>8.0603725112395636E-2</v>
      </c>
      <c r="AE1413" s="845">
        <v>6.3904945407835576E-2</v>
      </c>
      <c r="AF1413" s="845">
        <v>5.9730250481695571E-2</v>
      </c>
      <c r="AG1413" s="845">
        <v>0.83718689788053946</v>
      </c>
      <c r="AH1413" s="20" t="str">
        <f t="shared" si="120"/>
        <v>No</v>
      </c>
      <c r="AI1413" s="25"/>
      <c r="AJ1413" s="37">
        <v>43410</v>
      </c>
      <c r="AK1413" s="37" t="s">
        <v>911</v>
      </c>
      <c r="AL1413" s="37">
        <v>39143</v>
      </c>
      <c r="AM1413" s="37" t="s">
        <v>77</v>
      </c>
      <c r="AN1413" s="37" t="str">
        <f t="shared" si="121"/>
        <v>N/A</v>
      </c>
      <c r="AO1413" s="37" t="str">
        <f t="shared" si="122"/>
        <v>N/A</v>
      </c>
      <c r="AP1413" s="37" t="s">
        <v>8</v>
      </c>
      <c r="AQ1413" s="25"/>
      <c r="AR1413" s="25"/>
      <c r="AS1413" s="25"/>
      <c r="AT1413" s="25"/>
      <c r="AU1413" s="36"/>
      <c r="AV1413" s="36"/>
      <c r="AW1413" s="36"/>
      <c r="AX1413" s="25"/>
      <c r="AY1413" s="25"/>
      <c r="AZ1413" s="25"/>
      <c r="BA1413" s="25"/>
      <c r="BB1413" s="25"/>
      <c r="BC1413" s="25"/>
      <c r="BD1413" s="25"/>
      <c r="BE1413" s="25"/>
      <c r="BF1413" s="25"/>
      <c r="BG1413" s="25"/>
      <c r="BH1413" s="25"/>
      <c r="BI1413" s="25"/>
      <c r="BJ1413" s="25"/>
      <c r="BK1413" s="25"/>
      <c r="BL1413" s="25"/>
      <c r="BM1413" s="25"/>
      <c r="BN1413" s="25"/>
      <c r="BO1413" s="25"/>
      <c r="BP1413" s="25"/>
      <c r="BQ1413" s="25"/>
      <c r="BR1413" s="25"/>
      <c r="BS1413" s="25"/>
      <c r="BT1413" s="25"/>
      <c r="BU1413" s="25"/>
      <c r="BV1413" s="25"/>
      <c r="BW1413" s="25"/>
      <c r="BX1413" s="25"/>
      <c r="BY1413" s="25"/>
      <c r="BZ1413" s="25"/>
      <c r="CA1413" s="25"/>
      <c r="CB1413" s="25"/>
      <c r="CC1413" s="25"/>
      <c r="CD1413" s="25"/>
      <c r="CE1413" s="200"/>
      <c r="CF1413" s="200"/>
      <c r="CG1413" s="200"/>
      <c r="CH1413" s="200"/>
      <c r="CI1413" s="200"/>
      <c r="CJ1413" s="200"/>
      <c r="CK1413" s="200"/>
      <c r="CL1413" s="200"/>
      <c r="CM1413" s="200"/>
      <c r="CN1413" s="200"/>
      <c r="CO1413" s="200"/>
      <c r="CP1413" s="200"/>
      <c r="CQ1413" s="200"/>
      <c r="CR1413" s="200"/>
      <c r="CS1413" s="200"/>
      <c r="CT1413" s="200"/>
      <c r="CU1413" s="200"/>
    </row>
    <row r="1414" spans="1:99" s="17" customFormat="1" x14ac:dyDescent="0.2">
      <c r="A1414" s="25"/>
      <c r="B1414" s="20">
        <v>39119911601</v>
      </c>
      <c r="C1414" s="20">
        <v>9116.01</v>
      </c>
      <c r="D1414" s="20" t="s">
        <v>65</v>
      </c>
      <c r="E1414" s="20" t="s">
        <v>265</v>
      </c>
      <c r="F1414" s="20" t="s">
        <v>8</v>
      </c>
      <c r="G1414" s="861">
        <v>51.311446623396897</v>
      </c>
      <c r="H1414" s="861">
        <v>53.336040675776999</v>
      </c>
      <c r="I1414" s="861">
        <v>22.570874932680599</v>
      </c>
      <c r="J1414" s="861">
        <v>49.003944637205102</v>
      </c>
      <c r="K1414" s="982">
        <v>0</v>
      </c>
      <c r="L1414" s="735" t="s">
        <v>2466</v>
      </c>
      <c r="M1414" s="735">
        <v>2605</v>
      </c>
      <c r="N1414" s="845" t="str">
        <f t="shared" si="118"/>
        <v/>
      </c>
      <c r="O1414" s="735">
        <v>4.0327397487550627</v>
      </c>
      <c r="P1414" s="735">
        <f t="shared" si="119"/>
        <v>645.96283477112138</v>
      </c>
      <c r="Q1414" s="849">
        <v>43.1</v>
      </c>
      <c r="R1414" s="71">
        <v>98587</v>
      </c>
      <c r="S1414" s="845">
        <v>5.0287907869481764E-2</v>
      </c>
      <c r="T1414" s="845">
        <v>6.9999999999999993E-3</v>
      </c>
      <c r="U1414" s="845">
        <v>6.3E-2</v>
      </c>
      <c r="V1414" s="845">
        <v>0</v>
      </c>
      <c r="W1414" s="845">
        <v>0.13904761904761906</v>
      </c>
      <c r="X1414" s="845">
        <v>0.19863013698630136</v>
      </c>
      <c r="Y1414" s="845">
        <v>0.89635316698656431</v>
      </c>
      <c r="Z1414" s="845">
        <v>1.9961612284069098E-2</v>
      </c>
      <c r="AA1414" s="845">
        <v>0</v>
      </c>
      <c r="AB1414" s="845">
        <v>1.5738963531669866E-2</v>
      </c>
      <c r="AC1414" s="845">
        <v>0</v>
      </c>
      <c r="AD1414" s="845">
        <v>0</v>
      </c>
      <c r="AE1414" s="845">
        <v>6.7946257197696744E-2</v>
      </c>
      <c r="AF1414" s="845">
        <v>2.3416506717850286E-2</v>
      </c>
      <c r="AG1414" s="845">
        <v>0.89635316698656431</v>
      </c>
      <c r="AH1414" s="20" t="str">
        <f t="shared" si="120"/>
        <v>No</v>
      </c>
      <c r="AI1414" s="25"/>
      <c r="AJ1414" s="37">
        <v>43416</v>
      </c>
      <c r="AK1414" s="37" t="s">
        <v>915</v>
      </c>
      <c r="AL1414" s="37">
        <v>39143</v>
      </c>
      <c r="AM1414" s="37" t="s">
        <v>77</v>
      </c>
      <c r="AN1414" s="37" t="str">
        <f t="shared" si="121"/>
        <v>N/A</v>
      </c>
      <c r="AO1414" s="37" t="str">
        <f t="shared" si="122"/>
        <v>N/A</v>
      </c>
      <c r="AP1414" s="37" t="s">
        <v>8</v>
      </c>
      <c r="AQ1414" s="25"/>
      <c r="AR1414" s="25"/>
      <c r="AS1414" s="25"/>
      <c r="AT1414" s="25"/>
      <c r="AU1414" s="36"/>
      <c r="AV1414" s="36"/>
      <c r="AW1414" s="36"/>
      <c r="AX1414" s="25"/>
      <c r="AY1414" s="25"/>
      <c r="AZ1414" s="25"/>
      <c r="BA1414" s="25"/>
      <c r="BB1414" s="25"/>
      <c r="BC1414" s="25"/>
      <c r="BD1414" s="25"/>
      <c r="BE1414" s="25"/>
      <c r="BF1414" s="25"/>
      <c r="BG1414" s="25"/>
      <c r="BH1414" s="25"/>
      <c r="BI1414" s="25"/>
      <c r="BJ1414" s="25"/>
      <c r="BK1414" s="25"/>
      <c r="BL1414" s="25"/>
      <c r="BM1414" s="25"/>
      <c r="BN1414" s="25"/>
      <c r="BO1414" s="25"/>
      <c r="BP1414" s="25"/>
      <c r="BQ1414" s="25"/>
      <c r="BR1414" s="25"/>
      <c r="BS1414" s="25"/>
      <c r="BT1414" s="25"/>
      <c r="BU1414" s="25"/>
      <c r="BV1414" s="25"/>
      <c r="BW1414" s="25"/>
      <c r="BX1414" s="25"/>
      <c r="BY1414" s="25"/>
      <c r="BZ1414" s="25"/>
      <c r="CA1414" s="25"/>
      <c r="CB1414" s="25"/>
      <c r="CC1414" s="25"/>
      <c r="CD1414" s="25"/>
      <c r="CE1414" s="200"/>
      <c r="CF1414" s="200"/>
      <c r="CG1414" s="200"/>
      <c r="CH1414" s="200"/>
      <c r="CI1414" s="200"/>
      <c r="CJ1414" s="200"/>
      <c r="CK1414" s="200"/>
      <c r="CL1414" s="200"/>
      <c r="CM1414" s="200"/>
      <c r="CN1414" s="200"/>
      <c r="CO1414" s="200"/>
      <c r="CP1414" s="200"/>
      <c r="CQ1414" s="200"/>
      <c r="CR1414" s="200"/>
      <c r="CS1414" s="200"/>
      <c r="CT1414" s="200"/>
      <c r="CU1414" s="200"/>
    </row>
    <row r="1415" spans="1:99" s="17" customFormat="1" x14ac:dyDescent="0.2">
      <c r="A1415" s="25"/>
      <c r="B1415" s="20">
        <v>39043040700</v>
      </c>
      <c r="C1415" s="20">
        <v>407</v>
      </c>
      <c r="D1415" s="20" t="s">
        <v>28</v>
      </c>
      <c r="E1415" s="20" t="s">
        <v>2837</v>
      </c>
      <c r="F1415" s="20" t="s">
        <v>8</v>
      </c>
      <c r="G1415" s="861">
        <v>51.295152923130999</v>
      </c>
      <c r="H1415" s="861">
        <v>41.2072178512175</v>
      </c>
      <c r="I1415" s="861">
        <v>43.610004806601602</v>
      </c>
      <c r="J1415" s="861">
        <v>45.089006605437</v>
      </c>
      <c r="K1415" s="982">
        <v>0</v>
      </c>
      <c r="L1415" s="735">
        <v>3959</v>
      </c>
      <c r="M1415" s="735">
        <v>3845</v>
      </c>
      <c r="N1415" s="845">
        <f t="shared" si="118"/>
        <v>-2.8795150290477394E-2</v>
      </c>
      <c r="O1415" s="735">
        <v>1.608226687959583</v>
      </c>
      <c r="P1415" s="735">
        <f t="shared" si="119"/>
        <v>2390.8321064353772</v>
      </c>
      <c r="Q1415" s="849">
        <v>40.6</v>
      </c>
      <c r="R1415" s="71">
        <v>56094</v>
      </c>
      <c r="S1415" s="845">
        <v>0.20323506391860161</v>
      </c>
      <c r="T1415" s="845">
        <v>0.10400000000000001</v>
      </c>
      <c r="U1415" s="845">
        <v>6.3E-2</v>
      </c>
      <c r="V1415" s="845">
        <v>0</v>
      </c>
      <c r="W1415" s="845">
        <v>0.39337085678549094</v>
      </c>
      <c r="X1415" s="845">
        <v>0.31637519872813991</v>
      </c>
      <c r="Y1415" s="845">
        <v>0.63849154746423931</v>
      </c>
      <c r="Z1415" s="845">
        <v>0.23979193758127437</v>
      </c>
      <c r="AA1415" s="845">
        <v>0</v>
      </c>
      <c r="AB1415" s="845">
        <v>5.2015604681404422E-3</v>
      </c>
      <c r="AC1415" s="845">
        <v>0</v>
      </c>
      <c r="AD1415" s="845">
        <v>1.482444733420026E-2</v>
      </c>
      <c r="AE1415" s="845">
        <v>0.10169050715214564</v>
      </c>
      <c r="AF1415" s="845">
        <v>5.5136540962288684E-2</v>
      </c>
      <c r="AG1415" s="845">
        <v>0.62106631989596883</v>
      </c>
      <c r="AH1415" s="20" t="str">
        <f t="shared" si="120"/>
        <v>No</v>
      </c>
      <c r="AI1415" s="25"/>
      <c r="AJ1415" s="37">
        <v>43420</v>
      </c>
      <c r="AK1415" s="37" t="s">
        <v>916</v>
      </c>
      <c r="AL1415" s="37">
        <v>39143</v>
      </c>
      <c r="AM1415" s="37" t="s">
        <v>77</v>
      </c>
      <c r="AN1415" s="37" t="str">
        <f t="shared" si="121"/>
        <v>N/A</v>
      </c>
      <c r="AO1415" s="37" t="str">
        <f t="shared" si="122"/>
        <v>N/A</v>
      </c>
      <c r="AP1415" s="37" t="s">
        <v>8</v>
      </c>
      <c r="AQ1415" s="25"/>
      <c r="AR1415" s="25"/>
      <c r="AS1415" s="25"/>
      <c r="AT1415" s="25"/>
      <c r="AU1415" s="36"/>
      <c r="AV1415" s="36"/>
      <c r="AW1415" s="36"/>
      <c r="AX1415" s="25"/>
      <c r="AY1415" s="25"/>
      <c r="AZ1415" s="25"/>
      <c r="BA1415" s="25"/>
      <c r="BB1415" s="25"/>
      <c r="BC1415" s="25"/>
      <c r="BD1415" s="25"/>
      <c r="BE1415" s="25"/>
      <c r="BF1415" s="25"/>
      <c r="BG1415" s="25"/>
      <c r="BH1415" s="25"/>
      <c r="BI1415" s="25"/>
      <c r="BJ1415" s="25"/>
      <c r="BK1415" s="25"/>
      <c r="BL1415" s="25"/>
      <c r="BM1415" s="25"/>
      <c r="BN1415" s="25"/>
      <c r="BO1415" s="25"/>
      <c r="BP1415" s="25"/>
      <c r="BQ1415" s="25"/>
      <c r="BR1415" s="25"/>
      <c r="BS1415" s="25"/>
      <c r="BT1415" s="25"/>
      <c r="BU1415" s="25"/>
      <c r="BV1415" s="25"/>
      <c r="BW1415" s="25"/>
      <c r="BX1415" s="25"/>
      <c r="BY1415" s="25"/>
      <c r="BZ1415" s="25"/>
      <c r="CA1415" s="25"/>
      <c r="CB1415" s="25"/>
      <c r="CC1415" s="25"/>
      <c r="CD1415" s="25"/>
      <c r="CE1415" s="200"/>
      <c r="CF1415" s="200"/>
      <c r="CG1415" s="200"/>
      <c r="CH1415" s="200"/>
      <c r="CI1415" s="200"/>
      <c r="CJ1415" s="200"/>
      <c r="CK1415" s="200"/>
      <c r="CL1415" s="200"/>
      <c r="CM1415" s="200"/>
      <c r="CN1415" s="200"/>
      <c r="CO1415" s="200"/>
      <c r="CP1415" s="200"/>
      <c r="CQ1415" s="200"/>
      <c r="CR1415" s="200"/>
      <c r="CS1415" s="200"/>
      <c r="CT1415" s="200"/>
      <c r="CU1415" s="200"/>
    </row>
    <row r="1416" spans="1:99" s="17" customFormat="1" x14ac:dyDescent="0.2">
      <c r="A1416" s="25"/>
      <c r="B1416" s="20">
        <v>39161020900</v>
      </c>
      <c r="C1416" s="20">
        <v>209</v>
      </c>
      <c r="D1416" s="20" t="s">
        <v>86</v>
      </c>
      <c r="E1416" s="20" t="s">
        <v>265</v>
      </c>
      <c r="F1416" s="20" t="s">
        <v>8</v>
      </c>
      <c r="G1416" s="861">
        <v>51.280768579951904</v>
      </c>
      <c r="H1416" s="861">
        <v>41.849522563256798</v>
      </c>
      <c r="I1416" s="861">
        <v>25.678052610369601</v>
      </c>
      <c r="J1416" s="861">
        <v>42.215630744510598</v>
      </c>
      <c r="K1416" s="982">
        <v>0</v>
      </c>
      <c r="L1416" s="735">
        <v>3338</v>
      </c>
      <c r="M1416" s="735">
        <v>3708</v>
      </c>
      <c r="N1416" s="845">
        <f t="shared" si="118"/>
        <v>0.11084481725584182</v>
      </c>
      <c r="O1416" s="735">
        <v>3.5845373050766631</v>
      </c>
      <c r="P1416" s="735">
        <f t="shared" si="119"/>
        <v>1034.4431329389377</v>
      </c>
      <c r="Q1416" s="849">
        <v>40.700000000000003</v>
      </c>
      <c r="R1416" s="71">
        <v>58588</v>
      </c>
      <c r="S1416" s="845">
        <v>9.9244875943905075E-2</v>
      </c>
      <c r="T1416" s="845">
        <v>3.6000000000000004E-2</v>
      </c>
      <c r="U1416" s="845">
        <v>0</v>
      </c>
      <c r="V1416" s="845">
        <v>0</v>
      </c>
      <c r="W1416" s="845">
        <v>0.20613176777560338</v>
      </c>
      <c r="X1416" s="845">
        <v>0.22151898734177214</v>
      </c>
      <c r="Y1416" s="845">
        <v>0.9557713052858684</v>
      </c>
      <c r="Z1416" s="845">
        <v>1.348435814455232E-3</v>
      </c>
      <c r="AA1416" s="845">
        <v>2.9665587918015104E-3</v>
      </c>
      <c r="AB1416" s="845">
        <v>0</v>
      </c>
      <c r="AC1416" s="845">
        <v>0</v>
      </c>
      <c r="AD1416" s="845">
        <v>9.4390507011866236E-3</v>
      </c>
      <c r="AE1416" s="845">
        <v>3.0474649406688242E-2</v>
      </c>
      <c r="AF1416" s="845">
        <v>3.6947141316073358E-2</v>
      </c>
      <c r="AG1416" s="845">
        <v>0.9412081984897519</v>
      </c>
      <c r="AH1416" s="20" t="str">
        <f t="shared" si="120"/>
        <v>Yes</v>
      </c>
      <c r="AI1416" s="25"/>
      <c r="AJ1416" s="37">
        <v>43430</v>
      </c>
      <c r="AK1416" s="37" t="s">
        <v>917</v>
      </c>
      <c r="AL1416" s="37">
        <v>39143</v>
      </c>
      <c r="AM1416" s="37" t="s">
        <v>77</v>
      </c>
      <c r="AN1416" s="37" t="str">
        <f t="shared" si="121"/>
        <v>N/A</v>
      </c>
      <c r="AO1416" s="37" t="str">
        <f t="shared" si="122"/>
        <v>N/A</v>
      </c>
      <c r="AP1416" s="37" t="s">
        <v>8</v>
      </c>
      <c r="AQ1416" s="25"/>
      <c r="AR1416" s="25"/>
      <c r="AS1416" s="25"/>
      <c r="AT1416" s="25"/>
      <c r="AU1416" s="36"/>
      <c r="AV1416" s="36"/>
      <c r="AW1416" s="36"/>
      <c r="AX1416" s="25"/>
      <c r="AY1416" s="25"/>
      <c r="AZ1416" s="25"/>
      <c r="BA1416" s="25"/>
      <c r="BB1416" s="25"/>
      <c r="BC1416" s="25"/>
      <c r="BD1416" s="25"/>
      <c r="BE1416" s="25"/>
      <c r="BF1416" s="25"/>
      <c r="BG1416" s="25"/>
      <c r="BH1416" s="25"/>
      <c r="BI1416" s="25"/>
      <c r="BJ1416" s="25"/>
      <c r="BK1416" s="25"/>
      <c r="BL1416" s="25"/>
      <c r="BM1416" s="25"/>
      <c r="BN1416" s="25"/>
      <c r="BO1416" s="25"/>
      <c r="BP1416" s="25"/>
      <c r="BQ1416" s="25"/>
      <c r="BR1416" s="25"/>
      <c r="BS1416" s="25"/>
      <c r="BT1416" s="25"/>
      <c r="BU1416" s="25"/>
      <c r="BV1416" s="25"/>
      <c r="BW1416" s="25"/>
      <c r="BX1416" s="25"/>
      <c r="BY1416" s="25"/>
      <c r="BZ1416" s="25"/>
      <c r="CA1416" s="25"/>
      <c r="CB1416" s="25"/>
      <c r="CC1416" s="25"/>
      <c r="CD1416" s="25"/>
      <c r="CE1416" s="200"/>
      <c r="CF1416" s="200"/>
      <c r="CG1416" s="200"/>
      <c r="CH1416" s="200"/>
      <c r="CI1416" s="200"/>
      <c r="CJ1416" s="200"/>
      <c r="CK1416" s="200"/>
      <c r="CL1416" s="200"/>
      <c r="CM1416" s="200"/>
      <c r="CN1416" s="200"/>
      <c r="CO1416" s="200"/>
      <c r="CP1416" s="200"/>
      <c r="CQ1416" s="200"/>
      <c r="CR1416" s="200"/>
      <c r="CS1416" s="200"/>
      <c r="CT1416" s="200"/>
      <c r="CU1416" s="200"/>
    </row>
    <row r="1417" spans="1:99" s="17" customFormat="1" x14ac:dyDescent="0.2">
      <c r="A1417" s="25"/>
      <c r="B1417" s="20">
        <v>39103416300</v>
      </c>
      <c r="C1417" s="20">
        <v>4163</v>
      </c>
      <c r="D1417" s="20" t="s">
        <v>57</v>
      </c>
      <c r="E1417" s="20" t="s">
        <v>2829</v>
      </c>
      <c r="F1417" s="20" t="s">
        <v>8</v>
      </c>
      <c r="G1417" s="861">
        <v>51.243877623465103</v>
      </c>
      <c r="H1417" s="861">
        <v>50.773698009696403</v>
      </c>
      <c r="I1417" s="861">
        <v>27.653710436060098</v>
      </c>
      <c r="J1417" s="861">
        <v>46.304261220209298</v>
      </c>
      <c r="K1417" s="982">
        <v>0</v>
      </c>
      <c r="L1417" s="735">
        <v>2604</v>
      </c>
      <c r="M1417" s="735">
        <v>2712</v>
      </c>
      <c r="N1417" s="845">
        <f t="shared" si="118"/>
        <v>4.1474654377880185E-2</v>
      </c>
      <c r="O1417" s="735">
        <v>0.74595593413747374</v>
      </c>
      <c r="P1417" s="735">
        <f t="shared" si="119"/>
        <v>3635.6034933025949</v>
      </c>
      <c r="Q1417" s="849">
        <v>42.8</v>
      </c>
      <c r="R1417" s="71">
        <v>101392</v>
      </c>
      <c r="S1417" s="845">
        <v>7.4704142011834326E-2</v>
      </c>
      <c r="T1417" s="845">
        <v>2.1000000000000001E-2</v>
      </c>
      <c r="U1417" s="845">
        <v>0</v>
      </c>
      <c r="V1417" s="845">
        <v>0.16399999999999998</v>
      </c>
      <c r="W1417" s="845">
        <v>0.2105726872246696</v>
      </c>
      <c r="X1417" s="845">
        <v>0.38493723849372385</v>
      </c>
      <c r="Y1417" s="845">
        <v>0.78244837758112096</v>
      </c>
      <c r="Z1417" s="845">
        <v>8.8864306784660771E-2</v>
      </c>
      <c r="AA1417" s="845">
        <v>0</v>
      </c>
      <c r="AB1417" s="845">
        <v>2.5811209439528023E-3</v>
      </c>
      <c r="AC1417" s="845">
        <v>0</v>
      </c>
      <c r="AD1417" s="845">
        <v>1.4380530973451327E-2</v>
      </c>
      <c r="AE1417" s="845">
        <v>0.11172566371681415</v>
      </c>
      <c r="AF1417" s="845">
        <v>0.11615044247787611</v>
      </c>
      <c r="AG1417" s="845">
        <v>0.77323008849557517</v>
      </c>
      <c r="AH1417" s="20" t="str">
        <f t="shared" si="120"/>
        <v>No</v>
      </c>
      <c r="AI1417" s="25"/>
      <c r="AJ1417" s="37">
        <v>43431</v>
      </c>
      <c r="AK1417" s="37" t="s">
        <v>918</v>
      </c>
      <c r="AL1417" s="37">
        <v>39143</v>
      </c>
      <c r="AM1417" s="37" t="s">
        <v>77</v>
      </c>
      <c r="AN1417" s="37" t="str">
        <f t="shared" si="121"/>
        <v>N/A</v>
      </c>
      <c r="AO1417" s="37" t="str">
        <f t="shared" si="122"/>
        <v>N/A</v>
      </c>
      <c r="AP1417" s="37" t="s">
        <v>8</v>
      </c>
      <c r="AQ1417" s="25"/>
      <c r="AR1417" s="25"/>
      <c r="AS1417" s="25"/>
      <c r="AT1417" s="25"/>
      <c r="AU1417" s="36"/>
      <c r="AV1417" s="36"/>
      <c r="AW1417" s="36"/>
      <c r="AX1417" s="25"/>
      <c r="AY1417" s="25"/>
      <c r="AZ1417" s="25"/>
      <c r="BA1417" s="25"/>
      <c r="BB1417" s="25"/>
      <c r="BC1417" s="25"/>
      <c r="BD1417" s="25"/>
      <c r="BE1417" s="25"/>
      <c r="BF1417" s="25"/>
      <c r="BG1417" s="25"/>
      <c r="BH1417" s="25"/>
      <c r="BI1417" s="25"/>
      <c r="BJ1417" s="25"/>
      <c r="BK1417" s="25"/>
      <c r="BL1417" s="25"/>
      <c r="BM1417" s="25"/>
      <c r="BN1417" s="25"/>
      <c r="BO1417" s="25"/>
      <c r="BP1417" s="25"/>
      <c r="BQ1417" s="25"/>
      <c r="BR1417" s="25"/>
      <c r="BS1417" s="25"/>
      <c r="BT1417" s="25"/>
      <c r="BU1417" s="25"/>
      <c r="BV1417" s="25"/>
      <c r="BW1417" s="25"/>
      <c r="BX1417" s="25"/>
      <c r="BY1417" s="25"/>
      <c r="BZ1417" s="25"/>
      <c r="CA1417" s="25"/>
      <c r="CB1417" s="25"/>
      <c r="CC1417" s="25"/>
      <c r="CD1417" s="25"/>
      <c r="CE1417" s="200"/>
      <c r="CF1417" s="200"/>
      <c r="CG1417" s="200"/>
      <c r="CH1417" s="200"/>
      <c r="CI1417" s="200"/>
      <c r="CJ1417" s="200"/>
      <c r="CK1417" s="200"/>
      <c r="CL1417" s="200"/>
      <c r="CM1417" s="200"/>
      <c r="CN1417" s="200"/>
      <c r="CO1417" s="200"/>
      <c r="CP1417" s="200"/>
      <c r="CQ1417" s="200"/>
      <c r="CR1417" s="200"/>
      <c r="CS1417" s="200"/>
      <c r="CT1417" s="200"/>
      <c r="CU1417" s="200"/>
    </row>
    <row r="1418" spans="1:99" s="17" customFormat="1" x14ac:dyDescent="0.2">
      <c r="A1418" s="25"/>
      <c r="B1418" s="20">
        <v>39035134205</v>
      </c>
      <c r="C1418" s="20">
        <v>1342.05</v>
      </c>
      <c r="D1418" s="20" t="s">
        <v>24</v>
      </c>
      <c r="E1418" s="20" t="s">
        <v>2829</v>
      </c>
      <c r="F1418" s="20" t="s">
        <v>8</v>
      </c>
      <c r="G1418" s="861">
        <v>51.224981651281801</v>
      </c>
      <c r="H1418" s="861">
        <v>57.6112082899879</v>
      </c>
      <c r="I1418" s="861">
        <v>28.635448938599701</v>
      </c>
      <c r="J1418" s="861">
        <v>39.276970659777398</v>
      </c>
      <c r="K1418" s="982">
        <v>0</v>
      </c>
      <c r="L1418" s="735">
        <v>2910</v>
      </c>
      <c r="M1418" s="735">
        <v>2285</v>
      </c>
      <c r="N1418" s="845">
        <f t="shared" si="118"/>
        <v>-0.21477663230240548</v>
      </c>
      <c r="O1418" s="735">
        <v>0.69202479852310983</v>
      </c>
      <c r="P1418" s="735">
        <f t="shared" si="119"/>
        <v>3301.9047942740644</v>
      </c>
      <c r="Q1418" s="849">
        <v>40.9</v>
      </c>
      <c r="R1418" s="71">
        <v>75944</v>
      </c>
      <c r="S1418" s="845">
        <v>6.8060498220640572E-2</v>
      </c>
      <c r="T1418" s="845">
        <v>0.09</v>
      </c>
      <c r="U1418" s="845">
        <v>0</v>
      </c>
      <c r="V1418" s="845">
        <v>8.3000000000000004E-2</v>
      </c>
      <c r="W1418" s="845">
        <v>0.14103819784524976</v>
      </c>
      <c r="X1418" s="845">
        <v>0.28472222222222221</v>
      </c>
      <c r="Y1418" s="845">
        <v>0.91203501094091899</v>
      </c>
      <c r="Z1418" s="845">
        <v>4.7702407002188182E-2</v>
      </c>
      <c r="AA1418" s="845">
        <v>4.8140043763676152E-3</v>
      </c>
      <c r="AB1418" s="845">
        <v>0</v>
      </c>
      <c r="AC1418" s="845">
        <v>0</v>
      </c>
      <c r="AD1418" s="845">
        <v>1.1378555798687089E-2</v>
      </c>
      <c r="AE1418" s="845">
        <v>2.4070021881838075E-2</v>
      </c>
      <c r="AF1418" s="845">
        <v>2.800875273522976E-2</v>
      </c>
      <c r="AG1418" s="845">
        <v>0.90940919037199119</v>
      </c>
      <c r="AH1418" s="20" t="str">
        <f t="shared" si="120"/>
        <v>Yes</v>
      </c>
      <c r="AI1418" s="25"/>
      <c r="AJ1418" s="37">
        <v>43435</v>
      </c>
      <c r="AK1418" s="37" t="s">
        <v>922</v>
      </c>
      <c r="AL1418" s="37">
        <v>39143</v>
      </c>
      <c r="AM1418" s="37" t="s">
        <v>77</v>
      </c>
      <c r="AN1418" s="37" t="str">
        <f t="shared" si="121"/>
        <v>N/A</v>
      </c>
      <c r="AO1418" s="37" t="str">
        <f t="shared" si="122"/>
        <v>N/A</v>
      </c>
      <c r="AP1418" s="37" t="s">
        <v>8</v>
      </c>
      <c r="AQ1418" s="25"/>
      <c r="AR1418" s="25"/>
      <c r="AS1418" s="25"/>
      <c r="AT1418" s="25"/>
      <c r="AU1418" s="36"/>
      <c r="AV1418" s="36"/>
      <c r="AW1418" s="36"/>
      <c r="AX1418" s="25"/>
      <c r="AY1418" s="25"/>
      <c r="AZ1418" s="25"/>
      <c r="BA1418" s="25"/>
      <c r="BB1418" s="25"/>
      <c r="BC1418" s="25"/>
      <c r="BD1418" s="25"/>
      <c r="BE1418" s="25"/>
      <c r="BF1418" s="25"/>
      <c r="BG1418" s="25"/>
      <c r="BH1418" s="25"/>
      <c r="BI1418" s="25"/>
      <c r="BJ1418" s="25"/>
      <c r="BK1418" s="25"/>
      <c r="BL1418" s="25"/>
      <c r="BM1418" s="25"/>
      <c r="BN1418" s="25"/>
      <c r="BO1418" s="25"/>
      <c r="BP1418" s="25"/>
      <c r="BQ1418" s="25"/>
      <c r="BR1418" s="25"/>
      <c r="BS1418" s="25"/>
      <c r="BT1418" s="25"/>
      <c r="BU1418" s="25"/>
      <c r="BV1418" s="25"/>
      <c r="BW1418" s="25"/>
      <c r="BX1418" s="25"/>
      <c r="BY1418" s="25"/>
      <c r="BZ1418" s="25"/>
      <c r="CA1418" s="25"/>
      <c r="CB1418" s="25"/>
      <c r="CC1418" s="25"/>
      <c r="CD1418" s="25"/>
      <c r="CE1418" s="200"/>
      <c r="CF1418" s="200"/>
      <c r="CG1418" s="200"/>
      <c r="CH1418" s="200"/>
      <c r="CI1418" s="200"/>
      <c r="CJ1418" s="200"/>
      <c r="CK1418" s="200"/>
      <c r="CL1418" s="200"/>
      <c r="CM1418" s="200"/>
      <c r="CN1418" s="200"/>
      <c r="CO1418" s="200"/>
      <c r="CP1418" s="200"/>
      <c r="CQ1418" s="200"/>
      <c r="CR1418" s="200"/>
      <c r="CS1418" s="200"/>
      <c r="CT1418" s="200"/>
      <c r="CU1418" s="200"/>
    </row>
    <row r="1419" spans="1:99" s="17" customFormat="1" x14ac:dyDescent="0.2">
      <c r="A1419" s="25"/>
      <c r="B1419" s="20">
        <v>39035121700</v>
      </c>
      <c r="C1419" s="20">
        <v>1217</v>
      </c>
      <c r="D1419" s="20" t="s">
        <v>24</v>
      </c>
      <c r="E1419" s="20" t="s">
        <v>2829</v>
      </c>
      <c r="F1419" s="20" t="s">
        <v>8</v>
      </c>
      <c r="G1419" s="861">
        <v>51.224920513972002</v>
      </c>
      <c r="H1419" s="861">
        <v>62.585103119749903</v>
      </c>
      <c r="I1419" s="861">
        <v>43.943446089218703</v>
      </c>
      <c r="J1419" s="861">
        <v>49.289481261334501</v>
      </c>
      <c r="K1419" s="982">
        <v>0</v>
      </c>
      <c r="L1419" s="735">
        <v>3659</v>
      </c>
      <c r="M1419" s="735">
        <v>4719</v>
      </c>
      <c r="N1419" s="845">
        <f t="shared" ref="N1419:N1482" si="123">IF(OR(L1419="",M1419=""),"",(M1419-L1419)/L1419)</f>
        <v>0.2896966384257994</v>
      </c>
      <c r="O1419" s="735">
        <v>0.46827280608635691</v>
      </c>
      <c r="P1419" s="735">
        <f t="shared" ref="P1419:P1482" si="124">M1419/O1419</f>
        <v>10077.458991137191</v>
      </c>
      <c r="Q1419" s="849">
        <v>39.1</v>
      </c>
      <c r="R1419" s="71">
        <v>73889</v>
      </c>
      <c r="S1419" s="845">
        <v>0.12441514249255636</v>
      </c>
      <c r="T1419" s="845">
        <v>8.6999999999999994E-2</v>
      </c>
      <c r="U1419" s="845">
        <v>0</v>
      </c>
      <c r="V1419" s="845">
        <v>0</v>
      </c>
      <c r="W1419" s="845">
        <v>0.36448019801980197</v>
      </c>
      <c r="X1419" s="845">
        <v>0.37521222410865873</v>
      </c>
      <c r="Y1419" s="845">
        <v>3.8143674507310869E-3</v>
      </c>
      <c r="Z1419" s="845">
        <v>0.96037296037296038</v>
      </c>
      <c r="AA1419" s="845">
        <v>0</v>
      </c>
      <c r="AB1419" s="845">
        <v>0</v>
      </c>
      <c r="AC1419" s="845">
        <v>0</v>
      </c>
      <c r="AD1419" s="845">
        <v>2.1614748887476162E-2</v>
      </c>
      <c r="AE1419" s="845">
        <v>1.4197923288832379E-2</v>
      </c>
      <c r="AF1419" s="845">
        <v>1.6105107014197925E-2</v>
      </c>
      <c r="AG1419" s="845">
        <v>2.5429116338207248E-3</v>
      </c>
      <c r="AH1419" s="20" t="str">
        <f t="shared" ref="AH1419:AH1482" si="125">IF(AG1419&gt;=0.9,"Yes","No")</f>
        <v>No</v>
      </c>
      <c r="AI1419" s="25"/>
      <c r="AJ1419" s="37">
        <v>43442</v>
      </c>
      <c r="AK1419" s="37" t="s">
        <v>928</v>
      </c>
      <c r="AL1419" s="37">
        <v>39143</v>
      </c>
      <c r="AM1419" s="37" t="s">
        <v>77</v>
      </c>
      <c r="AN1419" s="37" t="str">
        <f t="shared" ref="AN1419:AN1482" si="126">VLOOKUP(AM1419,$CY$11:$DA$98,2,FALSE)</f>
        <v>N/A</v>
      </c>
      <c r="AO1419" s="37" t="str">
        <f t="shared" ref="AO1419:AO1482" si="127">VLOOKUP(AM1419,$CY$11:$DA$98,3,FALSE)</f>
        <v>N/A</v>
      </c>
      <c r="AP1419" s="37" t="s">
        <v>8</v>
      </c>
      <c r="AQ1419" s="25"/>
      <c r="AR1419" s="25"/>
      <c r="AS1419" s="25"/>
      <c r="AT1419" s="25"/>
      <c r="AU1419" s="36"/>
      <c r="AV1419" s="36"/>
      <c r="AW1419" s="36"/>
      <c r="AX1419" s="25"/>
      <c r="AY1419" s="25"/>
      <c r="AZ1419" s="25"/>
      <c r="BA1419" s="25"/>
      <c r="BB1419" s="25"/>
      <c r="BC1419" s="25"/>
      <c r="BD1419" s="25"/>
      <c r="BE1419" s="25"/>
      <c r="BF1419" s="25"/>
      <c r="BG1419" s="25"/>
      <c r="BH1419" s="25"/>
      <c r="BI1419" s="25"/>
      <c r="BJ1419" s="25"/>
      <c r="BK1419" s="25"/>
      <c r="BL1419" s="25"/>
      <c r="BM1419" s="25"/>
      <c r="BN1419" s="25"/>
      <c r="BO1419" s="25"/>
      <c r="BP1419" s="25"/>
      <c r="BQ1419" s="25"/>
      <c r="BR1419" s="25"/>
      <c r="BS1419" s="25"/>
      <c r="BT1419" s="25"/>
      <c r="BU1419" s="25"/>
      <c r="BV1419" s="25"/>
      <c r="BW1419" s="25"/>
      <c r="BX1419" s="25"/>
      <c r="BY1419" s="25"/>
      <c r="BZ1419" s="25"/>
      <c r="CA1419" s="25"/>
      <c r="CB1419" s="25"/>
      <c r="CC1419" s="25"/>
      <c r="CD1419" s="25"/>
      <c r="CE1419" s="200"/>
      <c r="CF1419" s="200"/>
      <c r="CG1419" s="200"/>
      <c r="CH1419" s="200"/>
      <c r="CI1419" s="200"/>
      <c r="CJ1419" s="200"/>
      <c r="CK1419" s="200"/>
      <c r="CL1419" s="200"/>
      <c r="CM1419" s="200"/>
      <c r="CN1419" s="200"/>
      <c r="CO1419" s="200"/>
      <c r="CP1419" s="200"/>
      <c r="CQ1419" s="200"/>
      <c r="CR1419" s="200"/>
      <c r="CS1419" s="200"/>
      <c r="CT1419" s="200"/>
      <c r="CU1419" s="200"/>
    </row>
    <row r="1420" spans="1:99" s="17" customFormat="1" x14ac:dyDescent="0.2">
      <c r="A1420" s="25"/>
      <c r="B1420" s="20">
        <v>39035186202</v>
      </c>
      <c r="C1420" s="20">
        <v>1862.02</v>
      </c>
      <c r="D1420" s="20" t="s">
        <v>24</v>
      </c>
      <c r="E1420" s="20" t="s">
        <v>2829</v>
      </c>
      <c r="F1420" s="20" t="s">
        <v>8</v>
      </c>
      <c r="G1420" s="861">
        <v>51.207610056076</v>
      </c>
      <c r="H1420" s="861">
        <v>52.623101883150198</v>
      </c>
      <c r="I1420" s="861">
        <v>22.0364941618754</v>
      </c>
      <c r="J1420" s="861">
        <v>35.667047062704</v>
      </c>
      <c r="K1420" s="982">
        <v>0</v>
      </c>
      <c r="L1420" s="735">
        <v>4752</v>
      </c>
      <c r="M1420" s="735">
        <v>4264</v>
      </c>
      <c r="N1420" s="845">
        <f t="shared" si="123"/>
        <v>-0.1026936026936027</v>
      </c>
      <c r="O1420" s="735">
        <v>1.4633086481620954</v>
      </c>
      <c r="P1420" s="735">
        <f t="shared" si="124"/>
        <v>2913.944372129251</v>
      </c>
      <c r="Q1420" s="849">
        <v>45.7</v>
      </c>
      <c r="R1420" s="71">
        <v>131615</v>
      </c>
      <c r="S1420" s="845">
        <v>7.3061513080367665E-2</v>
      </c>
      <c r="T1420" s="845">
        <v>7.5999999999999998E-2</v>
      </c>
      <c r="U1420" s="845">
        <v>0</v>
      </c>
      <c r="V1420" s="845">
        <v>0.31</v>
      </c>
      <c r="W1420" s="845">
        <v>7.3232323232323232E-2</v>
      </c>
      <c r="X1420" s="845">
        <v>0.61206896551724133</v>
      </c>
      <c r="Y1420" s="845">
        <v>0.88320825515947465</v>
      </c>
      <c r="Z1420" s="845">
        <v>4.878048780487805E-2</v>
      </c>
      <c r="AA1420" s="845">
        <v>7.0356472795497186E-4</v>
      </c>
      <c r="AB1420" s="845">
        <v>5.6988742964352718E-2</v>
      </c>
      <c r="AC1420" s="845">
        <v>2.1106941838649157E-3</v>
      </c>
      <c r="AD1420" s="845">
        <v>3.5178236397748592E-3</v>
      </c>
      <c r="AE1420" s="845">
        <v>4.6904315196998128E-3</v>
      </c>
      <c r="AF1420" s="845">
        <v>1.125703564727955E-2</v>
      </c>
      <c r="AG1420" s="845">
        <v>0.87546904315196994</v>
      </c>
      <c r="AH1420" s="20" t="str">
        <f t="shared" si="125"/>
        <v>No</v>
      </c>
      <c r="AI1420" s="25"/>
      <c r="AJ1420" s="37">
        <v>43449</v>
      </c>
      <c r="AK1420" s="37" t="s">
        <v>933</v>
      </c>
      <c r="AL1420" s="37">
        <v>39143</v>
      </c>
      <c r="AM1420" s="37" t="s">
        <v>77</v>
      </c>
      <c r="AN1420" s="37" t="str">
        <f t="shared" si="126"/>
        <v>N/A</v>
      </c>
      <c r="AO1420" s="37" t="str">
        <f t="shared" si="127"/>
        <v>N/A</v>
      </c>
      <c r="AP1420" s="37" t="s">
        <v>8</v>
      </c>
      <c r="AQ1420" s="25"/>
      <c r="AR1420" s="25"/>
      <c r="AS1420" s="25"/>
      <c r="AT1420" s="25"/>
      <c r="AU1420" s="36"/>
      <c r="AV1420" s="36"/>
      <c r="AW1420" s="36"/>
      <c r="AX1420" s="25"/>
      <c r="AY1420" s="25"/>
      <c r="AZ1420" s="25"/>
      <c r="BA1420" s="25"/>
      <c r="BB1420" s="25"/>
      <c r="BC1420" s="25"/>
      <c r="BD1420" s="25"/>
      <c r="BE1420" s="25"/>
      <c r="BF1420" s="25"/>
      <c r="BG1420" s="25"/>
      <c r="BH1420" s="25"/>
      <c r="BI1420" s="25"/>
      <c r="BJ1420" s="25"/>
      <c r="BK1420" s="25"/>
      <c r="BL1420" s="25"/>
      <c r="BM1420" s="25"/>
      <c r="BN1420" s="25"/>
      <c r="BO1420" s="25"/>
      <c r="BP1420" s="25"/>
      <c r="BQ1420" s="25"/>
      <c r="BR1420" s="25"/>
      <c r="BS1420" s="25"/>
      <c r="BT1420" s="25"/>
      <c r="BU1420" s="25"/>
      <c r="BV1420" s="25"/>
      <c r="BW1420" s="25"/>
      <c r="BX1420" s="25"/>
      <c r="BY1420" s="25"/>
      <c r="BZ1420" s="25"/>
      <c r="CA1420" s="25"/>
      <c r="CB1420" s="25"/>
      <c r="CC1420" s="25"/>
      <c r="CD1420" s="25"/>
      <c r="CE1420" s="200"/>
      <c r="CF1420" s="200"/>
      <c r="CG1420" s="200"/>
      <c r="CH1420" s="200"/>
      <c r="CI1420" s="200"/>
      <c r="CJ1420" s="200"/>
      <c r="CK1420" s="200"/>
      <c r="CL1420" s="200"/>
      <c r="CM1420" s="200"/>
      <c r="CN1420" s="200"/>
      <c r="CO1420" s="200"/>
      <c r="CP1420" s="200"/>
      <c r="CQ1420" s="200"/>
      <c r="CR1420" s="200"/>
      <c r="CS1420" s="200"/>
      <c r="CT1420" s="200"/>
      <c r="CU1420" s="200"/>
    </row>
    <row r="1421" spans="1:99" s="17" customFormat="1" x14ac:dyDescent="0.2">
      <c r="A1421" s="25"/>
      <c r="B1421" s="20">
        <v>39025040702</v>
      </c>
      <c r="C1421" s="20">
        <v>407.02</v>
      </c>
      <c r="D1421" s="20" t="s">
        <v>19</v>
      </c>
      <c r="E1421" s="20" t="s">
        <v>2828</v>
      </c>
      <c r="F1421" s="20" t="s">
        <v>8</v>
      </c>
      <c r="G1421" s="861">
        <v>51.186320407345796</v>
      </c>
      <c r="H1421" s="861">
        <v>49.4095180088812</v>
      </c>
      <c r="I1421" s="861">
        <v>21.011813887967101</v>
      </c>
      <c r="J1421" s="861">
        <v>56.695436875472602</v>
      </c>
      <c r="K1421" s="982">
        <v>0</v>
      </c>
      <c r="L1421" s="735">
        <v>3966</v>
      </c>
      <c r="M1421" s="735">
        <v>4681</v>
      </c>
      <c r="N1421" s="845">
        <f t="shared" si="123"/>
        <v>0.18028240040342916</v>
      </c>
      <c r="O1421" s="735">
        <v>2.9209639885180789</v>
      </c>
      <c r="P1421" s="735">
        <f t="shared" si="124"/>
        <v>1602.5531360196117</v>
      </c>
      <c r="Q1421" s="849">
        <v>35.5</v>
      </c>
      <c r="R1421" s="71">
        <v>102908</v>
      </c>
      <c r="S1421" s="845">
        <v>2.7879047823289729E-2</v>
      </c>
      <c r="T1421" s="845">
        <v>2.8999999999999998E-2</v>
      </c>
      <c r="U1421" s="845">
        <v>4.0000000000000001E-3</v>
      </c>
      <c r="V1421" s="845">
        <v>0</v>
      </c>
      <c r="W1421" s="845">
        <v>0.11862587224906065</v>
      </c>
      <c r="X1421" s="845">
        <v>0.28054298642533937</v>
      </c>
      <c r="Y1421" s="845">
        <v>0.9166844691305277</v>
      </c>
      <c r="Z1421" s="845">
        <v>2.7771843623157445E-3</v>
      </c>
      <c r="AA1421" s="845">
        <v>0</v>
      </c>
      <c r="AB1421" s="845">
        <v>0</v>
      </c>
      <c r="AC1421" s="845">
        <v>0</v>
      </c>
      <c r="AD1421" s="845">
        <v>2.4994659260841701E-2</v>
      </c>
      <c r="AE1421" s="845">
        <v>5.5543687246314893E-2</v>
      </c>
      <c r="AF1421" s="845">
        <v>4.5716727195043792E-2</v>
      </c>
      <c r="AG1421" s="845">
        <v>0.91454817346720785</v>
      </c>
      <c r="AH1421" s="20" t="str">
        <f t="shared" si="125"/>
        <v>Yes</v>
      </c>
      <c r="AI1421" s="25"/>
      <c r="AJ1421" s="37">
        <v>43457</v>
      </c>
      <c r="AK1421" s="37" t="s">
        <v>938</v>
      </c>
      <c r="AL1421" s="37">
        <v>39143</v>
      </c>
      <c r="AM1421" s="37" t="s">
        <v>77</v>
      </c>
      <c r="AN1421" s="37" t="str">
        <f t="shared" si="126"/>
        <v>N/A</v>
      </c>
      <c r="AO1421" s="37" t="str">
        <f t="shared" si="127"/>
        <v>N/A</v>
      </c>
      <c r="AP1421" s="37" t="s">
        <v>8</v>
      </c>
      <c r="AQ1421" s="25"/>
      <c r="AR1421" s="25"/>
      <c r="AS1421" s="25"/>
      <c r="AT1421" s="25"/>
      <c r="AU1421" s="36"/>
      <c r="AV1421" s="36"/>
      <c r="AW1421" s="36"/>
      <c r="AX1421" s="25"/>
      <c r="AY1421" s="25"/>
      <c r="AZ1421" s="25"/>
      <c r="BA1421" s="25"/>
      <c r="BB1421" s="25"/>
      <c r="BC1421" s="25"/>
      <c r="BD1421" s="25"/>
      <c r="BE1421" s="25"/>
      <c r="BF1421" s="25"/>
      <c r="BG1421" s="25"/>
      <c r="BH1421" s="25"/>
      <c r="BI1421" s="25"/>
      <c r="BJ1421" s="25"/>
      <c r="BK1421" s="25"/>
      <c r="BL1421" s="25"/>
      <c r="BM1421" s="25"/>
      <c r="BN1421" s="25"/>
      <c r="BO1421" s="25"/>
      <c r="BP1421" s="25"/>
      <c r="BQ1421" s="25"/>
      <c r="BR1421" s="25"/>
      <c r="BS1421" s="25"/>
      <c r="BT1421" s="25"/>
      <c r="BU1421" s="25"/>
      <c r="BV1421" s="25"/>
      <c r="BW1421" s="25"/>
      <c r="BX1421" s="25"/>
      <c r="BY1421" s="25"/>
      <c r="BZ1421" s="25"/>
      <c r="CA1421" s="25"/>
      <c r="CB1421" s="25"/>
      <c r="CC1421" s="25"/>
      <c r="CD1421" s="25"/>
      <c r="CE1421" s="200"/>
      <c r="CF1421" s="200"/>
      <c r="CG1421" s="200"/>
      <c r="CH1421" s="200"/>
      <c r="CI1421" s="200"/>
      <c r="CJ1421" s="200"/>
      <c r="CK1421" s="200"/>
      <c r="CL1421" s="200"/>
      <c r="CM1421" s="200"/>
      <c r="CN1421" s="200"/>
      <c r="CO1421" s="200"/>
      <c r="CP1421" s="200"/>
      <c r="CQ1421" s="200"/>
      <c r="CR1421" s="200"/>
      <c r="CS1421" s="200"/>
      <c r="CT1421" s="200"/>
      <c r="CU1421" s="200"/>
    </row>
    <row r="1422" spans="1:99" s="17" customFormat="1" x14ac:dyDescent="0.2">
      <c r="A1422" s="25"/>
      <c r="B1422" s="20">
        <v>39093080101</v>
      </c>
      <c r="C1422" s="20">
        <v>801.01</v>
      </c>
      <c r="D1422" s="20" t="s">
        <v>52</v>
      </c>
      <c r="E1422" s="20" t="s">
        <v>2829</v>
      </c>
      <c r="F1422" s="20" t="s">
        <v>8</v>
      </c>
      <c r="G1422" s="861">
        <v>51.186198033120597</v>
      </c>
      <c r="H1422" s="861">
        <v>49.431375562737699</v>
      </c>
      <c r="I1422" s="861">
        <v>22.004999192869899</v>
      </c>
      <c r="J1422" s="861">
        <v>40.258838859325003</v>
      </c>
      <c r="K1422" s="982">
        <v>0</v>
      </c>
      <c r="L1422" s="735">
        <v>2216</v>
      </c>
      <c r="M1422" s="735">
        <v>2154</v>
      </c>
      <c r="N1422" s="845">
        <f t="shared" si="123"/>
        <v>-2.7978339350180504E-2</v>
      </c>
      <c r="O1422" s="735">
        <v>0.75216522905195893</v>
      </c>
      <c r="P1422" s="735">
        <f t="shared" si="124"/>
        <v>2863.7324843039287</v>
      </c>
      <c r="Q1422" s="849">
        <v>50.1</v>
      </c>
      <c r="R1422" s="71">
        <v>71289</v>
      </c>
      <c r="S1422" s="845">
        <v>5.3072625698324022E-2</v>
      </c>
      <c r="T1422" s="845">
        <v>1.4999999999999999E-2</v>
      </c>
      <c r="U1422" s="845">
        <v>0</v>
      </c>
      <c r="V1422" s="845">
        <v>0</v>
      </c>
      <c r="W1422" s="845">
        <v>6.7235859124866598E-2</v>
      </c>
      <c r="X1422" s="845">
        <v>0.25396825396825395</v>
      </c>
      <c r="Y1422" s="845">
        <v>0.9294336118848654</v>
      </c>
      <c r="Z1422" s="845">
        <v>2.321262766945218E-3</v>
      </c>
      <c r="AA1422" s="845">
        <v>0</v>
      </c>
      <c r="AB1422" s="845">
        <v>6.4995357474466105E-3</v>
      </c>
      <c r="AC1422" s="845">
        <v>0</v>
      </c>
      <c r="AD1422" s="845">
        <v>1.021355617455896E-2</v>
      </c>
      <c r="AE1422" s="845">
        <v>5.1532033426183843E-2</v>
      </c>
      <c r="AF1422" s="845">
        <v>3.9925719591457756E-2</v>
      </c>
      <c r="AG1422" s="845">
        <v>0.91689879294336118</v>
      </c>
      <c r="AH1422" s="20" t="str">
        <f t="shared" si="125"/>
        <v>Yes</v>
      </c>
      <c r="AI1422" s="25"/>
      <c r="AJ1422" s="37">
        <v>43464</v>
      </c>
      <c r="AK1422" s="37" t="s">
        <v>943</v>
      </c>
      <c r="AL1422" s="37">
        <v>39143</v>
      </c>
      <c r="AM1422" s="37" t="s">
        <v>77</v>
      </c>
      <c r="AN1422" s="37" t="str">
        <f t="shared" si="126"/>
        <v>N/A</v>
      </c>
      <c r="AO1422" s="37" t="str">
        <f t="shared" si="127"/>
        <v>N/A</v>
      </c>
      <c r="AP1422" s="37" t="s">
        <v>8</v>
      </c>
      <c r="AQ1422" s="25"/>
      <c r="AR1422" s="25"/>
      <c r="AS1422" s="25"/>
      <c r="AT1422" s="25"/>
      <c r="AU1422" s="36"/>
      <c r="AV1422" s="36"/>
      <c r="AW1422" s="36"/>
      <c r="AX1422" s="25"/>
      <c r="AY1422" s="25"/>
      <c r="AZ1422" s="25"/>
      <c r="BA1422" s="25"/>
      <c r="BB1422" s="25"/>
      <c r="BC1422" s="25"/>
      <c r="BD1422" s="25"/>
      <c r="BE1422" s="25"/>
      <c r="BF1422" s="25"/>
      <c r="BG1422" s="25"/>
      <c r="BH1422" s="25"/>
      <c r="BI1422" s="25"/>
      <c r="BJ1422" s="25"/>
      <c r="BK1422" s="25"/>
      <c r="BL1422" s="25"/>
      <c r="BM1422" s="25"/>
      <c r="BN1422" s="25"/>
      <c r="BO1422" s="25"/>
      <c r="BP1422" s="25"/>
      <c r="BQ1422" s="25"/>
      <c r="BR1422" s="25"/>
      <c r="BS1422" s="25"/>
      <c r="BT1422" s="25"/>
      <c r="BU1422" s="25"/>
      <c r="BV1422" s="25"/>
      <c r="BW1422" s="25"/>
      <c r="BX1422" s="25"/>
      <c r="BY1422" s="25"/>
      <c r="BZ1422" s="25"/>
      <c r="CA1422" s="25"/>
      <c r="CB1422" s="25"/>
      <c r="CC1422" s="25"/>
      <c r="CD1422" s="25"/>
      <c r="CE1422" s="200"/>
      <c r="CF1422" s="200"/>
      <c r="CG1422" s="200"/>
      <c r="CH1422" s="200"/>
      <c r="CI1422" s="200"/>
      <c r="CJ1422" s="200"/>
      <c r="CK1422" s="200"/>
      <c r="CL1422" s="200"/>
      <c r="CM1422" s="200"/>
      <c r="CN1422" s="200"/>
      <c r="CO1422" s="200"/>
      <c r="CP1422" s="200"/>
      <c r="CQ1422" s="200"/>
      <c r="CR1422" s="200"/>
      <c r="CS1422" s="200"/>
      <c r="CT1422" s="200"/>
      <c r="CU1422" s="200"/>
    </row>
    <row r="1423" spans="1:99" s="17" customFormat="1" x14ac:dyDescent="0.2">
      <c r="A1423" s="25"/>
      <c r="B1423" s="20">
        <v>39153531405</v>
      </c>
      <c r="C1423" s="20">
        <v>5314.05</v>
      </c>
      <c r="D1423" s="20" t="s">
        <v>82</v>
      </c>
      <c r="E1423" s="20" t="s">
        <v>2843</v>
      </c>
      <c r="F1423" s="20" t="s">
        <v>8</v>
      </c>
      <c r="G1423" s="861">
        <v>51.181323896156599</v>
      </c>
      <c r="H1423" s="861">
        <v>45.639103413032103</v>
      </c>
      <c r="I1423" s="861">
        <v>21.999595503658899</v>
      </c>
      <c r="J1423" s="861">
        <v>43.107301517264503</v>
      </c>
      <c r="K1423" s="982">
        <v>0</v>
      </c>
      <c r="L1423" s="735">
        <v>4444</v>
      </c>
      <c r="M1423" s="735">
        <v>5085</v>
      </c>
      <c r="N1423" s="845">
        <f t="shared" si="123"/>
        <v>0.14423942394239425</v>
      </c>
      <c r="O1423" s="735">
        <v>3.4059272187160738</v>
      </c>
      <c r="P1423" s="735">
        <f t="shared" si="124"/>
        <v>1492.9855142109827</v>
      </c>
      <c r="Q1423" s="849">
        <v>37.1</v>
      </c>
      <c r="R1423" s="71">
        <v>78241</v>
      </c>
      <c r="S1423" s="845">
        <v>5.4161688570290724E-2</v>
      </c>
      <c r="T1423" s="845">
        <v>0.01</v>
      </c>
      <c r="U1423" s="845">
        <v>0</v>
      </c>
      <c r="V1423" s="845">
        <v>0</v>
      </c>
      <c r="W1423" s="845">
        <v>0.29315628192032689</v>
      </c>
      <c r="X1423" s="845">
        <v>0.2857142857142857</v>
      </c>
      <c r="Y1423" s="845">
        <v>0.95240904621435596</v>
      </c>
      <c r="Z1423" s="845">
        <v>1.3176007866273353E-2</v>
      </c>
      <c r="AA1423" s="845">
        <v>1.5732546705998034E-3</v>
      </c>
      <c r="AB1423" s="845">
        <v>4.1297935103244837E-3</v>
      </c>
      <c r="AC1423" s="845">
        <v>0</v>
      </c>
      <c r="AD1423" s="845">
        <v>0</v>
      </c>
      <c r="AE1423" s="845">
        <v>2.8711897738446412E-2</v>
      </c>
      <c r="AF1423" s="845">
        <v>6.0963618485742376E-3</v>
      </c>
      <c r="AG1423" s="845">
        <v>0.94926253687315632</v>
      </c>
      <c r="AH1423" s="20" t="str">
        <f t="shared" si="125"/>
        <v>Yes</v>
      </c>
      <c r="AI1423" s="25"/>
      <c r="AJ1423" s="37">
        <v>43469</v>
      </c>
      <c r="AK1423" s="37" t="s">
        <v>948</v>
      </c>
      <c r="AL1423" s="37">
        <v>39143</v>
      </c>
      <c r="AM1423" s="37" t="s">
        <v>77</v>
      </c>
      <c r="AN1423" s="37" t="str">
        <f t="shared" si="126"/>
        <v>N/A</v>
      </c>
      <c r="AO1423" s="37" t="str">
        <f t="shared" si="127"/>
        <v>N/A</v>
      </c>
      <c r="AP1423" s="37" t="s">
        <v>8</v>
      </c>
      <c r="AQ1423" s="25"/>
      <c r="AR1423" s="25"/>
      <c r="AS1423" s="25"/>
      <c r="AT1423" s="25"/>
      <c r="AU1423" s="36"/>
      <c r="AV1423" s="36"/>
      <c r="AW1423" s="36"/>
      <c r="AX1423" s="25"/>
      <c r="AY1423" s="25"/>
      <c r="AZ1423" s="25"/>
      <c r="BA1423" s="25"/>
      <c r="BB1423" s="25"/>
      <c r="BC1423" s="25"/>
      <c r="BD1423" s="25"/>
      <c r="BE1423" s="25"/>
      <c r="BF1423" s="25"/>
      <c r="BG1423" s="25"/>
      <c r="BH1423" s="25"/>
      <c r="BI1423" s="25"/>
      <c r="BJ1423" s="25"/>
      <c r="BK1423" s="25"/>
      <c r="BL1423" s="25"/>
      <c r="BM1423" s="25"/>
      <c r="BN1423" s="25"/>
      <c r="BO1423" s="25"/>
      <c r="BP1423" s="25"/>
      <c r="BQ1423" s="25"/>
      <c r="BR1423" s="25"/>
      <c r="BS1423" s="25"/>
      <c r="BT1423" s="25"/>
      <c r="BU1423" s="25"/>
      <c r="BV1423" s="25"/>
      <c r="BW1423" s="25"/>
      <c r="BX1423" s="25"/>
      <c r="BY1423" s="25"/>
      <c r="BZ1423" s="25"/>
      <c r="CA1423" s="25"/>
      <c r="CB1423" s="25"/>
      <c r="CC1423" s="25"/>
      <c r="CD1423" s="25"/>
      <c r="CE1423" s="200"/>
      <c r="CF1423" s="200"/>
      <c r="CG1423" s="200"/>
      <c r="CH1423" s="200"/>
      <c r="CI1423" s="200"/>
      <c r="CJ1423" s="200"/>
      <c r="CK1423" s="200"/>
      <c r="CL1423" s="200"/>
      <c r="CM1423" s="200"/>
      <c r="CN1423" s="200"/>
      <c r="CO1423" s="200"/>
      <c r="CP1423" s="200"/>
      <c r="CQ1423" s="200"/>
      <c r="CR1423" s="200"/>
      <c r="CS1423" s="200"/>
      <c r="CT1423" s="200"/>
      <c r="CU1423" s="200"/>
    </row>
    <row r="1424" spans="1:99" s="17" customFormat="1" x14ac:dyDescent="0.2">
      <c r="A1424" s="25"/>
      <c r="B1424" s="20">
        <v>39151711212</v>
      </c>
      <c r="C1424" s="20">
        <v>7112.12</v>
      </c>
      <c r="D1424" s="20" t="s">
        <v>81</v>
      </c>
      <c r="E1424" s="20" t="s">
        <v>2844</v>
      </c>
      <c r="F1424" s="20" t="s">
        <v>8</v>
      </c>
      <c r="G1424" s="861">
        <v>51.167748215497802</v>
      </c>
      <c r="H1424" s="861">
        <v>40.858322676840103</v>
      </c>
      <c r="I1424" s="861">
        <v>19.310243400368901</v>
      </c>
      <c r="J1424" s="861">
        <v>42.924960067231702</v>
      </c>
      <c r="K1424" s="982">
        <v>0</v>
      </c>
      <c r="L1424" s="735">
        <v>2591</v>
      </c>
      <c r="M1424" s="735">
        <v>2675</v>
      </c>
      <c r="N1424" s="845">
        <f t="shared" si="123"/>
        <v>3.2419915090698574E-2</v>
      </c>
      <c r="O1424" s="735">
        <v>4.8711401227243476</v>
      </c>
      <c r="P1424" s="735">
        <f t="shared" si="124"/>
        <v>549.15275122570631</v>
      </c>
      <c r="Q1424" s="849">
        <v>50.6</v>
      </c>
      <c r="R1424" s="71">
        <v>93726</v>
      </c>
      <c r="S1424" s="845">
        <v>3.4534534534534533E-2</v>
      </c>
      <c r="T1424" s="845">
        <v>5.2999999999999999E-2</v>
      </c>
      <c r="U1424" s="845">
        <v>0</v>
      </c>
      <c r="V1424" s="845">
        <v>0</v>
      </c>
      <c r="W1424" s="845">
        <v>8.4033613445378158E-2</v>
      </c>
      <c r="X1424" s="845">
        <v>0.33</v>
      </c>
      <c r="Y1424" s="845">
        <v>0.96934579439252333</v>
      </c>
      <c r="Z1424" s="845">
        <v>0</v>
      </c>
      <c r="AA1424" s="845">
        <v>0</v>
      </c>
      <c r="AB1424" s="845">
        <v>0</v>
      </c>
      <c r="AC1424" s="845">
        <v>0</v>
      </c>
      <c r="AD1424" s="845">
        <v>7.8504672897196266E-3</v>
      </c>
      <c r="AE1424" s="845">
        <v>2.2803738317757009E-2</v>
      </c>
      <c r="AF1424" s="845">
        <v>2.6168224299065422E-3</v>
      </c>
      <c r="AG1424" s="845">
        <v>0.96934579439252333</v>
      </c>
      <c r="AH1424" s="20" t="str">
        <f t="shared" si="125"/>
        <v>Yes</v>
      </c>
      <c r="AI1424" s="25"/>
      <c r="AJ1424" s="37">
        <v>44811</v>
      </c>
      <c r="AK1424" s="37" t="s">
        <v>1470</v>
      </c>
      <c r="AL1424" s="37">
        <v>39143</v>
      </c>
      <c r="AM1424" s="37" t="s">
        <v>77</v>
      </c>
      <c r="AN1424" s="37" t="str">
        <f t="shared" si="126"/>
        <v>N/A</v>
      </c>
      <c r="AO1424" s="37" t="str">
        <f t="shared" si="127"/>
        <v>N/A</v>
      </c>
      <c r="AP1424" s="37" t="s">
        <v>8</v>
      </c>
      <c r="AQ1424" s="25"/>
      <c r="AR1424" s="25"/>
      <c r="AS1424" s="25"/>
      <c r="AT1424" s="25"/>
      <c r="AU1424" s="36"/>
      <c r="AV1424" s="36"/>
      <c r="AW1424" s="36"/>
      <c r="AX1424" s="25"/>
      <c r="AY1424" s="25"/>
      <c r="AZ1424" s="25"/>
      <c r="BA1424" s="25"/>
      <c r="BB1424" s="25"/>
      <c r="BC1424" s="25"/>
      <c r="BD1424" s="25"/>
      <c r="BE1424" s="25"/>
      <c r="BF1424" s="25"/>
      <c r="BG1424" s="25"/>
      <c r="BH1424" s="25"/>
      <c r="BI1424" s="25"/>
      <c r="BJ1424" s="25"/>
      <c r="BK1424" s="25"/>
      <c r="BL1424" s="25"/>
      <c r="BM1424" s="25"/>
      <c r="BN1424" s="25"/>
      <c r="BO1424" s="25"/>
      <c r="BP1424" s="25"/>
      <c r="BQ1424" s="25"/>
      <c r="BR1424" s="25"/>
      <c r="BS1424" s="25"/>
      <c r="BT1424" s="25"/>
      <c r="BU1424" s="25"/>
      <c r="BV1424" s="25"/>
      <c r="BW1424" s="25"/>
      <c r="BX1424" s="25"/>
      <c r="BY1424" s="25"/>
      <c r="BZ1424" s="25"/>
      <c r="CA1424" s="25"/>
      <c r="CB1424" s="25"/>
      <c r="CC1424" s="25"/>
      <c r="CD1424" s="25"/>
      <c r="CE1424" s="200"/>
      <c r="CF1424" s="200"/>
      <c r="CG1424" s="200"/>
      <c r="CH1424" s="200"/>
      <c r="CI1424" s="200"/>
      <c r="CJ1424" s="200"/>
      <c r="CK1424" s="200"/>
      <c r="CL1424" s="200"/>
      <c r="CM1424" s="200"/>
      <c r="CN1424" s="200"/>
      <c r="CO1424" s="200"/>
      <c r="CP1424" s="200"/>
      <c r="CQ1424" s="200"/>
      <c r="CR1424" s="200"/>
      <c r="CS1424" s="200"/>
      <c r="CT1424" s="200"/>
      <c r="CU1424" s="200"/>
    </row>
    <row r="1425" spans="1:99" s="17" customFormat="1" x14ac:dyDescent="0.2">
      <c r="A1425" s="25"/>
      <c r="B1425" s="20">
        <v>39073965300</v>
      </c>
      <c r="C1425" s="20">
        <v>9653</v>
      </c>
      <c r="D1425" s="20" t="s">
        <v>43</v>
      </c>
      <c r="E1425" s="20" t="s">
        <v>2830</v>
      </c>
      <c r="F1425" s="20" t="s">
        <v>8</v>
      </c>
      <c r="G1425" s="861">
        <v>51.143656047027598</v>
      </c>
      <c r="H1425" s="861">
        <v>51.1154269676396</v>
      </c>
      <c r="I1425" s="861">
        <v>33.182656652492902</v>
      </c>
      <c r="J1425" s="861">
        <v>35.9880694281077</v>
      </c>
      <c r="K1425" s="982">
        <v>0</v>
      </c>
      <c r="L1425" s="735">
        <v>3613</v>
      </c>
      <c r="M1425" s="735">
        <v>3655</v>
      </c>
      <c r="N1425" s="845">
        <f t="shared" si="123"/>
        <v>1.1624688624411846E-2</v>
      </c>
      <c r="O1425" s="735">
        <v>9.3609989584083468</v>
      </c>
      <c r="P1425" s="735">
        <f t="shared" si="124"/>
        <v>390.4497817208881</v>
      </c>
      <c r="Q1425" s="849">
        <v>39.200000000000003</v>
      </c>
      <c r="R1425" s="71">
        <v>52878</v>
      </c>
      <c r="S1425" s="845">
        <v>0.24278251306021445</v>
      </c>
      <c r="T1425" s="845">
        <v>4.5999999999999999E-2</v>
      </c>
      <c r="U1425" s="845">
        <v>0</v>
      </c>
      <c r="V1425" s="845">
        <v>0</v>
      </c>
      <c r="W1425" s="845">
        <v>0.26653171390013497</v>
      </c>
      <c r="X1425" s="845">
        <v>0.4050632911392405</v>
      </c>
      <c r="Y1425" s="845">
        <v>0.92831737346101229</v>
      </c>
      <c r="Z1425" s="845">
        <v>1.8604651162790697E-2</v>
      </c>
      <c r="AA1425" s="845">
        <v>0</v>
      </c>
      <c r="AB1425" s="845">
        <v>0</v>
      </c>
      <c r="AC1425" s="845">
        <v>0</v>
      </c>
      <c r="AD1425" s="845">
        <v>3.3926128590971272E-2</v>
      </c>
      <c r="AE1425" s="845">
        <v>1.9151846785225718E-2</v>
      </c>
      <c r="AF1425" s="845">
        <v>4.5143638850889192E-2</v>
      </c>
      <c r="AG1425" s="845">
        <v>0.92476060191518472</v>
      </c>
      <c r="AH1425" s="20" t="str">
        <f t="shared" si="125"/>
        <v>Yes</v>
      </c>
      <c r="AI1425" s="25"/>
      <c r="AJ1425" s="37">
        <v>44824</v>
      </c>
      <c r="AK1425" s="37" t="s">
        <v>1478</v>
      </c>
      <c r="AL1425" s="37">
        <v>39143</v>
      </c>
      <c r="AM1425" s="37" t="s">
        <v>77</v>
      </c>
      <c r="AN1425" s="37" t="str">
        <f t="shared" si="126"/>
        <v>N/A</v>
      </c>
      <c r="AO1425" s="37" t="str">
        <f t="shared" si="127"/>
        <v>N/A</v>
      </c>
      <c r="AP1425" s="37" t="s">
        <v>8</v>
      </c>
      <c r="AQ1425" s="25"/>
      <c r="AR1425" s="25"/>
      <c r="AS1425" s="25"/>
      <c r="AT1425" s="25"/>
      <c r="AU1425" s="36"/>
      <c r="AV1425" s="36"/>
      <c r="AW1425" s="36"/>
      <c r="AX1425" s="25"/>
      <c r="AY1425" s="25"/>
      <c r="AZ1425" s="25"/>
      <c r="BA1425" s="25"/>
      <c r="BB1425" s="25"/>
      <c r="BC1425" s="25"/>
      <c r="BD1425" s="25"/>
      <c r="BE1425" s="25"/>
      <c r="BF1425" s="25"/>
      <c r="BG1425" s="25"/>
      <c r="BH1425" s="25"/>
      <c r="BI1425" s="25"/>
      <c r="BJ1425" s="25"/>
      <c r="BK1425" s="25"/>
      <c r="BL1425" s="25"/>
      <c r="BM1425" s="25"/>
      <c r="BN1425" s="25"/>
      <c r="BO1425" s="25"/>
      <c r="BP1425" s="25"/>
      <c r="BQ1425" s="25"/>
      <c r="BR1425" s="25"/>
      <c r="BS1425" s="25"/>
      <c r="BT1425" s="25"/>
      <c r="BU1425" s="25"/>
      <c r="BV1425" s="25"/>
      <c r="BW1425" s="25"/>
      <c r="BX1425" s="25"/>
      <c r="BY1425" s="25"/>
      <c r="BZ1425" s="25"/>
      <c r="CA1425" s="25"/>
      <c r="CB1425" s="25"/>
      <c r="CC1425" s="25"/>
      <c r="CD1425" s="25"/>
      <c r="CE1425" s="200"/>
      <c r="CF1425" s="200"/>
      <c r="CG1425" s="200"/>
      <c r="CH1425" s="200"/>
      <c r="CI1425" s="200"/>
      <c r="CJ1425" s="200"/>
      <c r="CK1425" s="200"/>
      <c r="CL1425" s="200"/>
      <c r="CM1425" s="200"/>
      <c r="CN1425" s="200"/>
      <c r="CO1425" s="200"/>
      <c r="CP1425" s="200"/>
      <c r="CQ1425" s="200"/>
      <c r="CR1425" s="200"/>
      <c r="CS1425" s="200"/>
      <c r="CT1425" s="200"/>
      <c r="CU1425" s="200"/>
    </row>
    <row r="1426" spans="1:99" s="17" customFormat="1" x14ac:dyDescent="0.2">
      <c r="A1426" s="25"/>
      <c r="B1426" s="20">
        <v>39017010906</v>
      </c>
      <c r="C1426" s="20">
        <v>109.06</v>
      </c>
      <c r="D1426" s="20" t="s">
        <v>15</v>
      </c>
      <c r="E1426" s="20" t="s">
        <v>2828</v>
      </c>
      <c r="F1426" s="20" t="s">
        <v>8</v>
      </c>
      <c r="G1426" s="861">
        <v>51.129712418170499</v>
      </c>
      <c r="H1426" s="861">
        <v>60.114462134773298</v>
      </c>
      <c r="I1426" s="861">
        <v>40.727599564792001</v>
      </c>
      <c r="J1426" s="861">
        <v>40.46580869444</v>
      </c>
      <c r="K1426" s="982">
        <v>0</v>
      </c>
      <c r="L1426" s="735">
        <v>7528</v>
      </c>
      <c r="M1426" s="735">
        <v>7664</v>
      </c>
      <c r="N1426" s="845">
        <f t="shared" si="123"/>
        <v>1.8065887353878853E-2</v>
      </c>
      <c r="O1426" s="735">
        <v>3.2767864714251527</v>
      </c>
      <c r="P1426" s="735">
        <f t="shared" si="124"/>
        <v>2338.8768437714966</v>
      </c>
      <c r="Q1426" s="849">
        <v>28.4</v>
      </c>
      <c r="R1426" s="71">
        <v>59307</v>
      </c>
      <c r="S1426" s="845">
        <v>0.11379171692802574</v>
      </c>
      <c r="T1426" s="845">
        <v>3.9E-2</v>
      </c>
      <c r="U1426" s="845">
        <v>1.1000000000000001E-2</v>
      </c>
      <c r="V1426" s="845">
        <v>5.4000000000000006E-2</v>
      </c>
      <c r="W1426" s="845">
        <v>0.60996272450016942</v>
      </c>
      <c r="X1426" s="845">
        <v>0.47499999999999998</v>
      </c>
      <c r="Y1426" s="845">
        <v>0.44754697286012524</v>
      </c>
      <c r="Z1426" s="845">
        <v>0.20120041753653445</v>
      </c>
      <c r="AA1426" s="845">
        <v>0</v>
      </c>
      <c r="AB1426" s="845">
        <v>1.3439457202505219E-2</v>
      </c>
      <c r="AC1426" s="845">
        <v>0</v>
      </c>
      <c r="AD1426" s="845">
        <v>0.176017745302714</v>
      </c>
      <c r="AE1426" s="845">
        <v>0.1617954070981211</v>
      </c>
      <c r="AF1426" s="845">
        <v>0.32907098121085593</v>
      </c>
      <c r="AG1426" s="845">
        <v>0.37186847599164929</v>
      </c>
      <c r="AH1426" s="20" t="str">
        <f t="shared" si="125"/>
        <v>No</v>
      </c>
      <c r="AI1426" s="25"/>
      <c r="AJ1426" s="37">
        <v>44836</v>
      </c>
      <c r="AK1426" s="37" t="s">
        <v>1485</v>
      </c>
      <c r="AL1426" s="37">
        <v>39143</v>
      </c>
      <c r="AM1426" s="37" t="s">
        <v>77</v>
      </c>
      <c r="AN1426" s="37" t="str">
        <f t="shared" si="126"/>
        <v>N/A</v>
      </c>
      <c r="AO1426" s="37" t="str">
        <f t="shared" si="127"/>
        <v>N/A</v>
      </c>
      <c r="AP1426" s="37" t="s">
        <v>8</v>
      </c>
      <c r="AQ1426" s="25"/>
      <c r="AR1426" s="25"/>
      <c r="AS1426" s="25"/>
      <c r="AT1426" s="25"/>
      <c r="AU1426" s="36"/>
      <c r="AV1426" s="36"/>
      <c r="AW1426" s="36"/>
      <c r="AX1426" s="25"/>
      <c r="AY1426" s="25"/>
      <c r="AZ1426" s="25"/>
      <c r="BA1426" s="25"/>
      <c r="BB1426" s="25"/>
      <c r="BC1426" s="25"/>
      <c r="BD1426" s="25"/>
      <c r="BE1426" s="25"/>
      <c r="BF1426" s="25"/>
      <c r="BG1426" s="25"/>
      <c r="BH1426" s="25"/>
      <c r="BI1426" s="25"/>
      <c r="BJ1426" s="25"/>
      <c r="BK1426" s="25"/>
      <c r="BL1426" s="25"/>
      <c r="BM1426" s="25"/>
      <c r="BN1426" s="25"/>
      <c r="BO1426" s="25"/>
      <c r="BP1426" s="25"/>
      <c r="BQ1426" s="25"/>
      <c r="BR1426" s="25"/>
      <c r="BS1426" s="25"/>
      <c r="BT1426" s="25"/>
      <c r="BU1426" s="25"/>
      <c r="BV1426" s="25"/>
      <c r="BW1426" s="25"/>
      <c r="BX1426" s="25"/>
      <c r="BY1426" s="25"/>
      <c r="BZ1426" s="25"/>
      <c r="CA1426" s="25"/>
      <c r="CB1426" s="25"/>
      <c r="CC1426" s="25"/>
      <c r="CD1426" s="25"/>
      <c r="CE1426" s="200"/>
      <c r="CF1426" s="200"/>
      <c r="CG1426" s="200"/>
      <c r="CH1426" s="200"/>
      <c r="CI1426" s="200"/>
      <c r="CJ1426" s="200"/>
      <c r="CK1426" s="200"/>
      <c r="CL1426" s="200"/>
      <c r="CM1426" s="200"/>
      <c r="CN1426" s="200"/>
      <c r="CO1426" s="200"/>
      <c r="CP1426" s="200"/>
      <c r="CQ1426" s="200"/>
      <c r="CR1426" s="200"/>
      <c r="CS1426" s="200"/>
      <c r="CT1426" s="200"/>
      <c r="CU1426" s="200"/>
    </row>
    <row r="1427" spans="1:99" s="17" customFormat="1" x14ac:dyDescent="0.2">
      <c r="A1427" s="25"/>
      <c r="B1427" s="20">
        <v>39071954400</v>
      </c>
      <c r="C1427" s="20">
        <v>9544</v>
      </c>
      <c r="D1427" s="20" t="s">
        <v>42</v>
      </c>
      <c r="E1427" s="20" t="s">
        <v>265</v>
      </c>
      <c r="F1427" s="20" t="s">
        <v>8</v>
      </c>
      <c r="G1427" s="861">
        <v>51.087492601857299</v>
      </c>
      <c r="H1427" s="861">
        <v>57.641591644958702</v>
      </c>
      <c r="I1427" s="861">
        <v>34.5256442520094</v>
      </c>
      <c r="J1427" s="861">
        <v>57.734487506647397</v>
      </c>
      <c r="K1427" s="982">
        <v>0</v>
      </c>
      <c r="L1427" s="735">
        <v>3911</v>
      </c>
      <c r="M1427" s="735">
        <v>4096</v>
      </c>
      <c r="N1427" s="845">
        <f t="shared" si="123"/>
        <v>4.7302480184096142E-2</v>
      </c>
      <c r="O1427" s="735">
        <v>34.890725424990464</v>
      </c>
      <c r="P1427" s="735">
        <f t="shared" si="124"/>
        <v>117.39509425809307</v>
      </c>
      <c r="Q1427" s="849">
        <v>37.6</v>
      </c>
      <c r="R1427" s="71">
        <v>75912</v>
      </c>
      <c r="S1427" s="845">
        <v>0.11865234375</v>
      </c>
      <c r="T1427" s="845">
        <v>1.3999999999999999E-2</v>
      </c>
      <c r="U1427" s="845">
        <v>0</v>
      </c>
      <c r="V1427" s="845">
        <v>0</v>
      </c>
      <c r="W1427" s="845">
        <v>0.22948797038864899</v>
      </c>
      <c r="X1427" s="845">
        <v>0.19892473118279569</v>
      </c>
      <c r="Y1427" s="845">
        <v>0.906982421875</v>
      </c>
      <c r="Z1427" s="845">
        <v>1.66015625E-2</v>
      </c>
      <c r="AA1427" s="845">
        <v>0</v>
      </c>
      <c r="AB1427" s="845">
        <v>6.8359375E-3</v>
      </c>
      <c r="AC1427" s="845">
        <v>0</v>
      </c>
      <c r="AD1427" s="845">
        <v>3.90625E-3</v>
      </c>
      <c r="AE1427" s="845">
        <v>6.5673828125E-2</v>
      </c>
      <c r="AF1427" s="845">
        <v>1.5625E-2</v>
      </c>
      <c r="AG1427" s="845">
        <v>0.902587890625</v>
      </c>
      <c r="AH1427" s="20" t="str">
        <f t="shared" si="125"/>
        <v>Yes</v>
      </c>
      <c r="AI1427" s="25"/>
      <c r="AJ1427" s="37">
        <v>44841</v>
      </c>
      <c r="AK1427" s="37" t="s">
        <v>1490</v>
      </c>
      <c r="AL1427" s="37">
        <v>39143</v>
      </c>
      <c r="AM1427" s="37" t="s">
        <v>77</v>
      </c>
      <c r="AN1427" s="37" t="str">
        <f t="shared" si="126"/>
        <v>N/A</v>
      </c>
      <c r="AO1427" s="37" t="str">
        <f t="shared" si="127"/>
        <v>N/A</v>
      </c>
      <c r="AP1427" s="37" t="s">
        <v>8</v>
      </c>
      <c r="AQ1427" s="25"/>
      <c r="AR1427" s="25"/>
      <c r="AS1427" s="25"/>
      <c r="AT1427" s="25"/>
      <c r="AU1427" s="36"/>
      <c r="AV1427" s="36"/>
      <c r="AW1427" s="36"/>
      <c r="AX1427" s="25"/>
      <c r="AY1427" s="25"/>
      <c r="AZ1427" s="25"/>
      <c r="BA1427" s="25"/>
      <c r="BB1427" s="25"/>
      <c r="BC1427" s="25"/>
      <c r="BD1427" s="25"/>
      <c r="BE1427" s="25"/>
      <c r="BF1427" s="25"/>
      <c r="BG1427" s="25"/>
      <c r="BH1427" s="25"/>
      <c r="BI1427" s="25"/>
      <c r="BJ1427" s="25"/>
      <c r="BK1427" s="25"/>
      <c r="BL1427" s="25"/>
      <c r="BM1427" s="25"/>
      <c r="BN1427" s="25"/>
      <c r="BO1427" s="25"/>
      <c r="BP1427" s="25"/>
      <c r="BQ1427" s="25"/>
      <c r="BR1427" s="25"/>
      <c r="BS1427" s="25"/>
      <c r="BT1427" s="25"/>
      <c r="BU1427" s="25"/>
      <c r="BV1427" s="25"/>
      <c r="BW1427" s="25"/>
      <c r="BX1427" s="25"/>
      <c r="BY1427" s="25"/>
      <c r="BZ1427" s="25"/>
      <c r="CA1427" s="25"/>
      <c r="CB1427" s="25"/>
      <c r="CC1427" s="25"/>
      <c r="CD1427" s="25"/>
      <c r="CE1427" s="200"/>
      <c r="CF1427" s="200"/>
      <c r="CG1427" s="200"/>
      <c r="CH1427" s="200"/>
      <c r="CI1427" s="200"/>
      <c r="CJ1427" s="200"/>
      <c r="CK1427" s="200"/>
      <c r="CL1427" s="200"/>
      <c r="CM1427" s="200"/>
      <c r="CN1427" s="200"/>
      <c r="CO1427" s="200"/>
      <c r="CP1427" s="200"/>
      <c r="CQ1427" s="200"/>
      <c r="CR1427" s="200"/>
      <c r="CS1427" s="200"/>
      <c r="CT1427" s="200"/>
      <c r="CU1427" s="200"/>
    </row>
    <row r="1428" spans="1:99" s="17" customFormat="1" x14ac:dyDescent="0.2">
      <c r="A1428" s="25"/>
      <c r="B1428" s="20">
        <v>39095007904</v>
      </c>
      <c r="C1428" s="20">
        <v>79.040000000000006</v>
      </c>
      <c r="D1428" s="20" t="s">
        <v>53</v>
      </c>
      <c r="E1428" s="20" t="s">
        <v>2839</v>
      </c>
      <c r="F1428" s="20" t="s">
        <v>8</v>
      </c>
      <c r="G1428" s="861">
        <v>51.086333258937302</v>
      </c>
      <c r="H1428" s="861">
        <v>65.654443631790102</v>
      </c>
      <c r="I1428" s="861">
        <v>43.3954179079428</v>
      </c>
      <c r="J1428" s="861">
        <v>34.860193489109598</v>
      </c>
      <c r="K1428" s="982">
        <v>0</v>
      </c>
      <c r="L1428" s="735" t="s">
        <v>2466</v>
      </c>
      <c r="M1428" s="735">
        <v>2410</v>
      </c>
      <c r="N1428" s="845" t="str">
        <f t="shared" si="123"/>
        <v/>
      </c>
      <c r="O1428" s="735">
        <v>0.56711959191194905</v>
      </c>
      <c r="P1428" s="735">
        <f t="shared" si="124"/>
        <v>4249.5446011221147</v>
      </c>
      <c r="Q1428" s="849">
        <v>51.5</v>
      </c>
      <c r="R1428" s="71">
        <v>48984</v>
      </c>
      <c r="S1428" s="845">
        <v>0.10446503791069923</v>
      </c>
      <c r="T1428" s="845">
        <v>8.3000000000000004E-2</v>
      </c>
      <c r="U1428" s="845">
        <v>0</v>
      </c>
      <c r="V1428" s="845">
        <v>0</v>
      </c>
      <c r="W1428" s="845">
        <v>0.27111826226870472</v>
      </c>
      <c r="X1428" s="845">
        <v>0.76261127596439171</v>
      </c>
      <c r="Y1428" s="845">
        <v>0.81784232365145226</v>
      </c>
      <c r="Z1428" s="845">
        <v>6.8464730290456438E-2</v>
      </c>
      <c r="AA1428" s="845">
        <v>0</v>
      </c>
      <c r="AB1428" s="845">
        <v>0</v>
      </c>
      <c r="AC1428" s="845">
        <v>0</v>
      </c>
      <c r="AD1428" s="845">
        <v>1.0373443983402489E-2</v>
      </c>
      <c r="AE1428" s="845">
        <v>0.10331950207468879</v>
      </c>
      <c r="AF1428" s="845">
        <v>5.5601659751037341E-2</v>
      </c>
      <c r="AG1428" s="845">
        <v>0.79668049792531115</v>
      </c>
      <c r="AH1428" s="20" t="str">
        <f t="shared" si="125"/>
        <v>No</v>
      </c>
      <c r="AI1428" s="25"/>
      <c r="AJ1428" s="37">
        <v>45613</v>
      </c>
      <c r="AK1428" s="37" t="s">
        <v>1770</v>
      </c>
      <c r="AL1428" s="37">
        <v>39145</v>
      </c>
      <c r="AM1428" s="37" t="s">
        <v>78</v>
      </c>
      <c r="AN1428" s="37" t="str">
        <f t="shared" si="126"/>
        <v>N/A</v>
      </c>
      <c r="AO1428" s="37" t="str">
        <f t="shared" si="127"/>
        <v>N/A</v>
      </c>
      <c r="AP1428" s="37" t="s">
        <v>8</v>
      </c>
      <c r="AQ1428" s="25"/>
      <c r="AR1428" s="25"/>
      <c r="AS1428" s="25"/>
      <c r="AT1428" s="25"/>
      <c r="AU1428" s="36"/>
      <c r="AV1428" s="36"/>
      <c r="AW1428" s="36"/>
      <c r="AX1428" s="25"/>
      <c r="AY1428" s="25"/>
      <c r="AZ1428" s="25"/>
      <c r="BA1428" s="25"/>
      <c r="BB1428" s="25"/>
      <c r="BC1428" s="25"/>
      <c r="BD1428" s="25"/>
      <c r="BE1428" s="25"/>
      <c r="BF1428" s="25"/>
      <c r="BG1428" s="25"/>
      <c r="BH1428" s="25"/>
      <c r="BI1428" s="25"/>
      <c r="BJ1428" s="25"/>
      <c r="BK1428" s="25"/>
      <c r="BL1428" s="25"/>
      <c r="BM1428" s="25"/>
      <c r="BN1428" s="25"/>
      <c r="BO1428" s="25"/>
      <c r="BP1428" s="25"/>
      <c r="BQ1428" s="25"/>
      <c r="BR1428" s="25"/>
      <c r="BS1428" s="25"/>
      <c r="BT1428" s="25"/>
      <c r="BU1428" s="25"/>
      <c r="BV1428" s="25"/>
      <c r="BW1428" s="25"/>
      <c r="BX1428" s="25"/>
      <c r="BY1428" s="25"/>
      <c r="BZ1428" s="25"/>
      <c r="CA1428" s="25"/>
      <c r="CB1428" s="25"/>
      <c r="CC1428" s="25"/>
      <c r="CD1428" s="25"/>
      <c r="CE1428" s="200"/>
      <c r="CF1428" s="200"/>
      <c r="CG1428" s="200"/>
      <c r="CH1428" s="200"/>
      <c r="CI1428" s="200"/>
      <c r="CJ1428" s="200"/>
      <c r="CK1428" s="200"/>
      <c r="CL1428" s="200"/>
      <c r="CM1428" s="200"/>
      <c r="CN1428" s="200"/>
      <c r="CO1428" s="200"/>
      <c r="CP1428" s="200"/>
      <c r="CQ1428" s="200"/>
      <c r="CR1428" s="200"/>
      <c r="CS1428" s="200"/>
      <c r="CT1428" s="200"/>
      <c r="CU1428" s="200"/>
    </row>
    <row r="1429" spans="1:99" s="17" customFormat="1" x14ac:dyDescent="0.2">
      <c r="A1429" s="25"/>
      <c r="B1429" s="20">
        <v>39049007740</v>
      </c>
      <c r="C1429" s="20">
        <v>77.400000000000006</v>
      </c>
      <c r="D1429" s="20" t="s">
        <v>31</v>
      </c>
      <c r="E1429" s="20" t="s">
        <v>2830</v>
      </c>
      <c r="F1429" s="20" t="s">
        <v>8</v>
      </c>
      <c r="G1429" s="861">
        <v>51.078142360765398</v>
      </c>
      <c r="H1429" s="861">
        <v>59.715975319219297</v>
      </c>
      <c r="I1429" s="861">
        <v>21.2358327975011</v>
      </c>
      <c r="J1429" s="861">
        <v>47.765680278174102</v>
      </c>
      <c r="K1429" s="982">
        <v>0</v>
      </c>
      <c r="L1429" s="735">
        <v>1839</v>
      </c>
      <c r="M1429" s="735">
        <v>1690</v>
      </c>
      <c r="N1429" s="845">
        <f t="shared" si="123"/>
        <v>-8.1022294725394239E-2</v>
      </c>
      <c r="O1429" s="735">
        <v>0.6817317010771915</v>
      </c>
      <c r="P1429" s="735">
        <f t="shared" si="124"/>
        <v>2478.981096712479</v>
      </c>
      <c r="Q1429" s="849">
        <v>55.5</v>
      </c>
      <c r="R1429" s="71">
        <v>65139</v>
      </c>
      <c r="S1429" s="845">
        <v>8.8165680473372782E-2</v>
      </c>
      <c r="T1429" s="845">
        <v>5.0999999999999997E-2</v>
      </c>
      <c r="U1429" s="845">
        <v>0</v>
      </c>
      <c r="V1429" s="845">
        <v>0</v>
      </c>
      <c r="W1429" s="845">
        <v>0.19069767441860466</v>
      </c>
      <c r="X1429" s="845">
        <v>0.36585365853658536</v>
      </c>
      <c r="Y1429" s="845">
        <v>0.82603550295857986</v>
      </c>
      <c r="Z1429" s="845">
        <v>0.12485207100591716</v>
      </c>
      <c r="AA1429" s="845">
        <v>2.5443786982248522E-2</v>
      </c>
      <c r="AB1429" s="845">
        <v>5.9171597633136093E-3</v>
      </c>
      <c r="AC1429" s="845">
        <v>0</v>
      </c>
      <c r="AD1429" s="845">
        <v>2.3668639053254438E-3</v>
      </c>
      <c r="AE1429" s="845">
        <v>1.5384615384615385E-2</v>
      </c>
      <c r="AF1429" s="845">
        <v>1.4792899408284023E-2</v>
      </c>
      <c r="AG1429" s="845">
        <v>0.81834319526627219</v>
      </c>
      <c r="AH1429" s="20" t="str">
        <f t="shared" si="125"/>
        <v>No</v>
      </c>
      <c r="AI1429" s="25"/>
      <c r="AJ1429" s="37">
        <v>45616</v>
      </c>
      <c r="AK1429" s="37" t="s">
        <v>1772</v>
      </c>
      <c r="AL1429" s="37">
        <v>39145</v>
      </c>
      <c r="AM1429" s="37" t="s">
        <v>78</v>
      </c>
      <c r="AN1429" s="37" t="str">
        <f t="shared" si="126"/>
        <v>N/A</v>
      </c>
      <c r="AO1429" s="37" t="str">
        <f t="shared" si="127"/>
        <v>N/A</v>
      </c>
      <c r="AP1429" s="37" t="s">
        <v>8</v>
      </c>
      <c r="AQ1429" s="25"/>
      <c r="AR1429" s="25"/>
      <c r="AS1429" s="25"/>
      <c r="AT1429" s="25"/>
      <c r="AU1429" s="36"/>
      <c r="AV1429" s="36"/>
      <c r="AW1429" s="36"/>
      <c r="AX1429" s="25"/>
      <c r="AY1429" s="25"/>
      <c r="AZ1429" s="25"/>
      <c r="BA1429" s="25"/>
      <c r="BB1429" s="25"/>
      <c r="BC1429" s="25"/>
      <c r="BD1429" s="25"/>
      <c r="BE1429" s="25"/>
      <c r="BF1429" s="25"/>
      <c r="BG1429" s="25"/>
      <c r="BH1429" s="25"/>
      <c r="BI1429" s="25"/>
      <c r="BJ1429" s="25"/>
      <c r="BK1429" s="25"/>
      <c r="BL1429" s="25"/>
      <c r="BM1429" s="25"/>
      <c r="BN1429" s="25"/>
      <c r="BO1429" s="25"/>
      <c r="BP1429" s="25"/>
      <c r="BQ1429" s="25"/>
      <c r="BR1429" s="25"/>
      <c r="BS1429" s="25"/>
      <c r="BT1429" s="25"/>
      <c r="BU1429" s="25"/>
      <c r="BV1429" s="25"/>
      <c r="BW1429" s="25"/>
      <c r="BX1429" s="25"/>
      <c r="BY1429" s="25"/>
      <c r="BZ1429" s="25"/>
      <c r="CA1429" s="25"/>
      <c r="CB1429" s="25"/>
      <c r="CC1429" s="25"/>
      <c r="CD1429" s="25"/>
      <c r="CE1429" s="200"/>
      <c r="CF1429" s="200"/>
      <c r="CG1429" s="200"/>
      <c r="CH1429" s="200"/>
      <c r="CI1429" s="200"/>
      <c r="CJ1429" s="200"/>
      <c r="CK1429" s="200"/>
      <c r="CL1429" s="200"/>
      <c r="CM1429" s="200"/>
      <c r="CN1429" s="200"/>
      <c r="CO1429" s="200"/>
      <c r="CP1429" s="200"/>
      <c r="CQ1429" s="200"/>
      <c r="CR1429" s="200"/>
      <c r="CS1429" s="200"/>
      <c r="CT1429" s="200"/>
      <c r="CU1429" s="200"/>
    </row>
    <row r="1430" spans="1:99" s="17" customFormat="1" x14ac:dyDescent="0.2">
      <c r="A1430" s="25"/>
      <c r="B1430" s="20">
        <v>39063000901</v>
      </c>
      <c r="C1430" s="20">
        <v>9.01</v>
      </c>
      <c r="D1430" s="20" t="s">
        <v>38</v>
      </c>
      <c r="E1430" s="20" t="s">
        <v>265</v>
      </c>
      <c r="F1430" s="20" t="s">
        <v>6</v>
      </c>
      <c r="G1430" s="861">
        <v>51.070731295827002</v>
      </c>
      <c r="H1430" s="861">
        <v>52.068930353407801</v>
      </c>
      <c r="I1430" s="861">
        <v>45.727738853878598</v>
      </c>
      <c r="J1430" s="861">
        <v>45.265750334944201</v>
      </c>
      <c r="K1430" s="982">
        <v>0</v>
      </c>
      <c r="L1430" s="735" t="s">
        <v>2466</v>
      </c>
      <c r="M1430" s="735">
        <v>1834</v>
      </c>
      <c r="N1430" s="845" t="str">
        <f t="shared" si="123"/>
        <v/>
      </c>
      <c r="O1430" s="735">
        <v>1.4001357712796605</v>
      </c>
      <c r="P1430" s="735">
        <f t="shared" si="124"/>
        <v>1309.8729691934143</v>
      </c>
      <c r="Q1430" s="849">
        <v>39.299999999999997</v>
      </c>
      <c r="R1430" s="71">
        <v>39427</v>
      </c>
      <c r="S1430" s="845">
        <v>0.19652855543113101</v>
      </c>
      <c r="T1430" s="845">
        <v>4.2999999999999997E-2</v>
      </c>
      <c r="U1430" s="845">
        <v>0</v>
      </c>
      <c r="V1430" s="845">
        <v>0</v>
      </c>
      <c r="W1430" s="845">
        <v>0.38053097345132741</v>
      </c>
      <c r="X1430" s="845">
        <v>0.58720930232558144</v>
      </c>
      <c r="Y1430" s="845">
        <v>0.89203925845147214</v>
      </c>
      <c r="Z1430" s="845">
        <v>1.8538713195201745E-2</v>
      </c>
      <c r="AA1430" s="845">
        <v>0</v>
      </c>
      <c r="AB1430" s="845">
        <v>0</v>
      </c>
      <c r="AC1430" s="845">
        <v>8.1788440567066526E-3</v>
      </c>
      <c r="AD1430" s="845">
        <v>3.5986913849509271E-2</v>
      </c>
      <c r="AE1430" s="845">
        <v>4.5256270447110142E-2</v>
      </c>
      <c r="AF1430" s="845">
        <v>3.8713195201744821E-2</v>
      </c>
      <c r="AG1430" s="845">
        <v>0.88931297709923662</v>
      </c>
      <c r="AH1430" s="20" t="str">
        <f t="shared" si="125"/>
        <v>No</v>
      </c>
      <c r="AI1430" s="25"/>
      <c r="AJ1430" s="37">
        <v>45629</v>
      </c>
      <c r="AK1430" s="37" t="s">
        <v>1782</v>
      </c>
      <c r="AL1430" s="37">
        <v>39145</v>
      </c>
      <c r="AM1430" s="37" t="s">
        <v>78</v>
      </c>
      <c r="AN1430" s="37" t="str">
        <f t="shared" si="126"/>
        <v>N/A</v>
      </c>
      <c r="AO1430" s="37" t="str">
        <f t="shared" si="127"/>
        <v>N/A</v>
      </c>
      <c r="AP1430" s="37" t="s">
        <v>8</v>
      </c>
      <c r="AQ1430" s="25"/>
      <c r="AR1430" s="25"/>
      <c r="AS1430" s="25"/>
      <c r="AT1430" s="25"/>
      <c r="AU1430" s="36"/>
      <c r="AV1430" s="36"/>
      <c r="AW1430" s="36"/>
      <c r="AX1430" s="25"/>
      <c r="AY1430" s="25"/>
      <c r="AZ1430" s="25"/>
      <c r="BA1430" s="25"/>
      <c r="BB1430" s="25"/>
      <c r="BC1430" s="25"/>
      <c r="BD1430" s="25"/>
      <c r="BE1430" s="25"/>
      <c r="BF1430" s="25"/>
      <c r="BG1430" s="25"/>
      <c r="BH1430" s="25"/>
      <c r="BI1430" s="25"/>
      <c r="BJ1430" s="25"/>
      <c r="BK1430" s="25"/>
      <c r="BL1430" s="25"/>
      <c r="BM1430" s="25"/>
      <c r="BN1430" s="25"/>
      <c r="BO1430" s="25"/>
      <c r="BP1430" s="25"/>
      <c r="BQ1430" s="25"/>
      <c r="BR1430" s="25"/>
      <c r="BS1430" s="25"/>
      <c r="BT1430" s="25"/>
      <c r="BU1430" s="25"/>
      <c r="BV1430" s="25"/>
      <c r="BW1430" s="25"/>
      <c r="BX1430" s="25"/>
      <c r="BY1430" s="25"/>
      <c r="BZ1430" s="25"/>
      <c r="CA1430" s="25"/>
      <c r="CB1430" s="25"/>
      <c r="CC1430" s="25"/>
      <c r="CD1430" s="25"/>
      <c r="CE1430" s="200"/>
      <c r="CF1430" s="200"/>
      <c r="CG1430" s="200"/>
      <c r="CH1430" s="200"/>
      <c r="CI1430" s="200"/>
      <c r="CJ1430" s="200"/>
      <c r="CK1430" s="200"/>
      <c r="CL1430" s="200"/>
      <c r="CM1430" s="200"/>
      <c r="CN1430" s="200"/>
      <c r="CO1430" s="200"/>
      <c r="CP1430" s="200"/>
      <c r="CQ1430" s="200"/>
      <c r="CR1430" s="200"/>
      <c r="CS1430" s="200"/>
      <c r="CT1430" s="200"/>
      <c r="CU1430" s="200"/>
    </row>
    <row r="1431" spans="1:99" s="17" customFormat="1" x14ac:dyDescent="0.2">
      <c r="A1431" s="25"/>
      <c r="B1431" s="20">
        <v>39007000300</v>
      </c>
      <c r="C1431" s="20">
        <v>3</v>
      </c>
      <c r="D1431" s="20" t="s">
        <v>10</v>
      </c>
      <c r="E1431" s="20" t="s">
        <v>2829</v>
      </c>
      <c r="F1431" s="20" t="s">
        <v>8</v>
      </c>
      <c r="G1431" s="861">
        <v>51.069667870092303</v>
      </c>
      <c r="H1431" s="861">
        <v>45.152289603417898</v>
      </c>
      <c r="I1431" s="861">
        <v>37.078628933736198</v>
      </c>
      <c r="J1431" s="861">
        <v>36.292791379519002</v>
      </c>
      <c r="K1431" s="982">
        <v>0</v>
      </c>
      <c r="L1431" s="735">
        <v>2127</v>
      </c>
      <c r="M1431" s="735">
        <v>2154</v>
      </c>
      <c r="N1431" s="845">
        <f t="shared" si="123"/>
        <v>1.2693935119887164E-2</v>
      </c>
      <c r="O1431" s="735">
        <v>14.537228898707184</v>
      </c>
      <c r="P1431" s="735">
        <f t="shared" si="124"/>
        <v>148.17129282400981</v>
      </c>
      <c r="Q1431" s="849">
        <v>41.2</v>
      </c>
      <c r="R1431" s="71">
        <v>51786</v>
      </c>
      <c r="S1431" s="845">
        <v>0.18198874296435272</v>
      </c>
      <c r="T1431" s="845">
        <v>5.7000000000000002E-2</v>
      </c>
      <c r="U1431" s="845">
        <v>0</v>
      </c>
      <c r="V1431" s="845">
        <v>0</v>
      </c>
      <c r="W1431" s="845">
        <v>0.17471264367816092</v>
      </c>
      <c r="X1431" s="845">
        <v>0.29605263157894735</v>
      </c>
      <c r="Y1431" s="845">
        <v>0.95821727019498604</v>
      </c>
      <c r="Z1431" s="845">
        <v>9.285051067780872E-3</v>
      </c>
      <c r="AA1431" s="845">
        <v>0</v>
      </c>
      <c r="AB1431" s="845">
        <v>8.356545961002786E-3</v>
      </c>
      <c r="AC1431" s="845">
        <v>0</v>
      </c>
      <c r="AD1431" s="845">
        <v>9.2850510677808728E-4</v>
      </c>
      <c r="AE1431" s="845">
        <v>2.3212627669452181E-2</v>
      </c>
      <c r="AF1431" s="845">
        <v>5.9888579387186627E-2</v>
      </c>
      <c r="AG1431" s="845">
        <v>0.91086350974930363</v>
      </c>
      <c r="AH1431" s="20" t="str">
        <f t="shared" si="125"/>
        <v>Yes</v>
      </c>
      <c r="AI1431" s="25"/>
      <c r="AJ1431" s="37">
        <v>45630</v>
      </c>
      <c r="AK1431" s="37" t="s">
        <v>1783</v>
      </c>
      <c r="AL1431" s="37">
        <v>39145</v>
      </c>
      <c r="AM1431" s="37" t="s">
        <v>78</v>
      </c>
      <c r="AN1431" s="37" t="str">
        <f t="shared" si="126"/>
        <v>N/A</v>
      </c>
      <c r="AO1431" s="37" t="str">
        <f t="shared" si="127"/>
        <v>N/A</v>
      </c>
      <c r="AP1431" s="37" t="s">
        <v>8</v>
      </c>
      <c r="AQ1431" s="25"/>
      <c r="AR1431" s="25"/>
      <c r="AS1431" s="25"/>
      <c r="AT1431" s="25"/>
      <c r="AU1431" s="36"/>
      <c r="AV1431" s="36"/>
      <c r="AW1431" s="36"/>
      <c r="AX1431" s="25"/>
      <c r="AY1431" s="25"/>
      <c r="AZ1431" s="25"/>
      <c r="BA1431" s="25"/>
      <c r="BB1431" s="25"/>
      <c r="BC1431" s="25"/>
      <c r="BD1431" s="25"/>
      <c r="BE1431" s="25"/>
      <c r="BF1431" s="25"/>
      <c r="BG1431" s="25"/>
      <c r="BH1431" s="25"/>
      <c r="BI1431" s="25"/>
      <c r="BJ1431" s="25"/>
      <c r="BK1431" s="25"/>
      <c r="BL1431" s="25"/>
      <c r="BM1431" s="25"/>
      <c r="BN1431" s="25"/>
      <c r="BO1431" s="25"/>
      <c r="BP1431" s="25"/>
      <c r="BQ1431" s="25"/>
      <c r="BR1431" s="25"/>
      <c r="BS1431" s="25"/>
      <c r="BT1431" s="25"/>
      <c r="BU1431" s="25"/>
      <c r="BV1431" s="25"/>
      <c r="BW1431" s="25"/>
      <c r="BX1431" s="25"/>
      <c r="BY1431" s="25"/>
      <c r="BZ1431" s="25"/>
      <c r="CA1431" s="25"/>
      <c r="CB1431" s="25"/>
      <c r="CC1431" s="25"/>
      <c r="CD1431" s="25"/>
      <c r="CE1431" s="200"/>
      <c r="CF1431" s="200"/>
      <c r="CG1431" s="200"/>
      <c r="CH1431" s="200"/>
      <c r="CI1431" s="200"/>
      <c r="CJ1431" s="200"/>
      <c r="CK1431" s="200"/>
      <c r="CL1431" s="200"/>
      <c r="CM1431" s="200"/>
      <c r="CN1431" s="200"/>
      <c r="CO1431" s="200"/>
      <c r="CP1431" s="200"/>
      <c r="CQ1431" s="200"/>
      <c r="CR1431" s="200"/>
      <c r="CS1431" s="200"/>
      <c r="CT1431" s="200"/>
      <c r="CU1431" s="200"/>
    </row>
    <row r="1432" spans="1:99" s="17" customFormat="1" x14ac:dyDescent="0.2">
      <c r="A1432" s="25"/>
      <c r="B1432" s="20">
        <v>39025041403</v>
      </c>
      <c r="C1432" s="20">
        <v>414.03</v>
      </c>
      <c r="D1432" s="20" t="s">
        <v>19</v>
      </c>
      <c r="E1432" s="20" t="s">
        <v>2828</v>
      </c>
      <c r="F1432" s="20" t="s">
        <v>8</v>
      </c>
      <c r="G1432" s="861">
        <v>51.042353292675102</v>
      </c>
      <c r="H1432" s="861">
        <v>64.301913725456899</v>
      </c>
      <c r="I1432" s="861">
        <v>28.794270832531399</v>
      </c>
      <c r="J1432" s="861">
        <v>44.253908648221199</v>
      </c>
      <c r="K1432" s="982">
        <v>0</v>
      </c>
      <c r="L1432" s="735">
        <v>4296</v>
      </c>
      <c r="M1432" s="735">
        <v>4140</v>
      </c>
      <c r="N1432" s="845">
        <f t="shared" si="123"/>
        <v>-3.6312849162011177E-2</v>
      </c>
      <c r="O1432" s="735">
        <v>1.6810243194514125</v>
      </c>
      <c r="P1432" s="735">
        <f t="shared" si="124"/>
        <v>2462.7841204290562</v>
      </c>
      <c r="Q1432" s="849">
        <v>40.700000000000003</v>
      </c>
      <c r="R1432" s="71">
        <v>59221</v>
      </c>
      <c r="S1432" s="845">
        <v>0.14855072463768115</v>
      </c>
      <c r="T1432" s="845">
        <v>8.0000000000000002E-3</v>
      </c>
      <c r="U1432" s="845">
        <v>3.7000000000000005E-2</v>
      </c>
      <c r="V1432" s="845">
        <v>0</v>
      </c>
      <c r="W1432" s="845">
        <v>0.39105829088851163</v>
      </c>
      <c r="X1432" s="845">
        <v>0.3227206946454414</v>
      </c>
      <c r="Y1432" s="845">
        <v>0.92898550724637685</v>
      </c>
      <c r="Z1432" s="845">
        <v>5.0724637681159417E-3</v>
      </c>
      <c r="AA1432" s="845">
        <v>5.7971014492753624E-3</v>
      </c>
      <c r="AB1432" s="845">
        <v>1.1594202898550725E-2</v>
      </c>
      <c r="AC1432" s="845">
        <v>0</v>
      </c>
      <c r="AD1432" s="845">
        <v>1.2077294685990338E-3</v>
      </c>
      <c r="AE1432" s="845">
        <v>4.7342995169082129E-2</v>
      </c>
      <c r="AF1432" s="845">
        <v>3.0193236714975844E-2</v>
      </c>
      <c r="AG1432" s="845">
        <v>0.91256038647342996</v>
      </c>
      <c r="AH1432" s="20" t="str">
        <f t="shared" si="125"/>
        <v>Yes</v>
      </c>
      <c r="AI1432" s="25"/>
      <c r="AJ1432" s="37">
        <v>45636</v>
      </c>
      <c r="AK1432" s="37" t="s">
        <v>1786</v>
      </c>
      <c r="AL1432" s="37">
        <v>39145</v>
      </c>
      <c r="AM1432" s="37" t="s">
        <v>78</v>
      </c>
      <c r="AN1432" s="37" t="str">
        <f t="shared" si="126"/>
        <v>N/A</v>
      </c>
      <c r="AO1432" s="37" t="str">
        <f t="shared" si="127"/>
        <v>N/A</v>
      </c>
      <c r="AP1432" s="37" t="s">
        <v>8</v>
      </c>
      <c r="AQ1432" s="25"/>
      <c r="AR1432" s="25"/>
      <c r="AS1432" s="25"/>
      <c r="AT1432" s="25"/>
      <c r="AU1432" s="36"/>
      <c r="AV1432" s="36"/>
      <c r="AW1432" s="36"/>
      <c r="AX1432" s="25"/>
      <c r="AY1432" s="25"/>
      <c r="AZ1432" s="25"/>
      <c r="BA1432" s="25"/>
      <c r="BB1432" s="25"/>
      <c r="BC1432" s="25"/>
      <c r="BD1432" s="25"/>
      <c r="BE1432" s="25"/>
      <c r="BF1432" s="25"/>
      <c r="BG1432" s="25"/>
      <c r="BH1432" s="25"/>
      <c r="BI1432" s="25"/>
      <c r="BJ1432" s="25"/>
      <c r="BK1432" s="25"/>
      <c r="BL1432" s="25"/>
      <c r="BM1432" s="25"/>
      <c r="BN1432" s="25"/>
      <c r="BO1432" s="25"/>
      <c r="BP1432" s="25"/>
      <c r="BQ1432" s="25"/>
      <c r="BR1432" s="25"/>
      <c r="BS1432" s="25"/>
      <c r="BT1432" s="25"/>
      <c r="BU1432" s="25"/>
      <c r="BV1432" s="25"/>
      <c r="BW1432" s="25"/>
      <c r="BX1432" s="25"/>
      <c r="BY1432" s="25"/>
      <c r="BZ1432" s="25"/>
      <c r="CA1432" s="25"/>
      <c r="CB1432" s="25"/>
      <c r="CC1432" s="25"/>
      <c r="CD1432" s="25"/>
      <c r="CE1432" s="200"/>
      <c r="CF1432" s="200"/>
      <c r="CG1432" s="200"/>
      <c r="CH1432" s="200"/>
      <c r="CI1432" s="200"/>
      <c r="CJ1432" s="200"/>
      <c r="CK1432" s="200"/>
      <c r="CL1432" s="200"/>
      <c r="CM1432" s="200"/>
      <c r="CN1432" s="200"/>
      <c r="CO1432" s="200"/>
      <c r="CP1432" s="200"/>
      <c r="CQ1432" s="200"/>
      <c r="CR1432" s="200"/>
      <c r="CS1432" s="200"/>
      <c r="CT1432" s="200"/>
      <c r="CU1432" s="200"/>
    </row>
    <row r="1433" spans="1:99" s="17" customFormat="1" x14ac:dyDescent="0.2">
      <c r="A1433" s="25"/>
      <c r="B1433" s="20">
        <v>39039958500</v>
      </c>
      <c r="C1433" s="20">
        <v>9585</v>
      </c>
      <c r="D1433" s="20" t="s">
        <v>26</v>
      </c>
      <c r="E1433" s="20" t="s">
        <v>265</v>
      </c>
      <c r="F1433" s="20" t="s">
        <v>8</v>
      </c>
      <c r="G1433" s="861">
        <v>51.035151848169498</v>
      </c>
      <c r="H1433" s="861">
        <v>51.418943330004403</v>
      </c>
      <c r="I1433" s="861">
        <v>33.802111149599902</v>
      </c>
      <c r="J1433" s="861">
        <v>33.5380932115009</v>
      </c>
      <c r="K1433" s="982">
        <v>0</v>
      </c>
      <c r="L1433" s="735">
        <v>4355</v>
      </c>
      <c r="M1433" s="735">
        <v>3979</v>
      </c>
      <c r="N1433" s="845">
        <f t="shared" si="123"/>
        <v>-8.6337543053960963E-2</v>
      </c>
      <c r="O1433" s="735">
        <v>4.7636388570139037</v>
      </c>
      <c r="P1433" s="735">
        <f t="shared" si="124"/>
        <v>835.28582233755731</v>
      </c>
      <c r="Q1433" s="849">
        <v>42.2</v>
      </c>
      <c r="R1433" s="71">
        <v>55208</v>
      </c>
      <c r="S1433" s="845">
        <v>0.13390629331854728</v>
      </c>
      <c r="T1433" s="845">
        <v>9.9000000000000005E-2</v>
      </c>
      <c r="U1433" s="845">
        <v>2.3E-2</v>
      </c>
      <c r="V1433" s="845">
        <v>0</v>
      </c>
      <c r="W1433" s="845">
        <v>0.33390804597701151</v>
      </c>
      <c r="X1433" s="845">
        <v>0.2857142857142857</v>
      </c>
      <c r="Y1433" s="845">
        <v>0.78311133450615733</v>
      </c>
      <c r="Z1433" s="845">
        <v>4.6745413420457405E-2</v>
      </c>
      <c r="AA1433" s="845">
        <v>2.0105554159336515E-3</v>
      </c>
      <c r="AB1433" s="845">
        <v>1.3068610203568736E-2</v>
      </c>
      <c r="AC1433" s="845">
        <v>0</v>
      </c>
      <c r="AD1433" s="845">
        <v>8.1930133199296304E-2</v>
      </c>
      <c r="AE1433" s="845">
        <v>7.3133953254586576E-2</v>
      </c>
      <c r="AF1433" s="845">
        <v>0.14224679567730586</v>
      </c>
      <c r="AG1433" s="845">
        <v>0.76401105805478764</v>
      </c>
      <c r="AH1433" s="20" t="str">
        <f t="shared" si="125"/>
        <v>No</v>
      </c>
      <c r="AI1433" s="25"/>
      <c r="AJ1433" s="37">
        <v>45638</v>
      </c>
      <c r="AK1433" s="37" t="s">
        <v>1787</v>
      </c>
      <c r="AL1433" s="37">
        <v>39145</v>
      </c>
      <c r="AM1433" s="37" t="s">
        <v>78</v>
      </c>
      <c r="AN1433" s="37" t="str">
        <f t="shared" si="126"/>
        <v>N/A</v>
      </c>
      <c r="AO1433" s="37" t="str">
        <f t="shared" si="127"/>
        <v>N/A</v>
      </c>
      <c r="AP1433" s="37" t="s">
        <v>8</v>
      </c>
      <c r="AQ1433" s="25"/>
      <c r="AR1433" s="25"/>
      <c r="AS1433" s="25"/>
      <c r="AT1433" s="25"/>
      <c r="AU1433" s="36"/>
      <c r="AV1433" s="36"/>
      <c r="AW1433" s="36"/>
      <c r="AX1433" s="25"/>
      <c r="AY1433" s="25"/>
      <c r="AZ1433" s="25"/>
      <c r="BA1433" s="25"/>
      <c r="BB1433" s="25"/>
      <c r="BC1433" s="25"/>
      <c r="BD1433" s="25"/>
      <c r="BE1433" s="25"/>
      <c r="BF1433" s="25"/>
      <c r="BG1433" s="25"/>
      <c r="BH1433" s="25"/>
      <c r="BI1433" s="25"/>
      <c r="BJ1433" s="25"/>
      <c r="BK1433" s="25"/>
      <c r="BL1433" s="25"/>
      <c r="BM1433" s="25"/>
      <c r="BN1433" s="25"/>
      <c r="BO1433" s="25"/>
      <c r="BP1433" s="25"/>
      <c r="BQ1433" s="25"/>
      <c r="BR1433" s="25"/>
      <c r="BS1433" s="25"/>
      <c r="BT1433" s="25"/>
      <c r="BU1433" s="25"/>
      <c r="BV1433" s="25"/>
      <c r="BW1433" s="25"/>
      <c r="BX1433" s="25"/>
      <c r="BY1433" s="25"/>
      <c r="BZ1433" s="25"/>
      <c r="CA1433" s="25"/>
      <c r="CB1433" s="25"/>
      <c r="CC1433" s="25"/>
      <c r="CD1433" s="25"/>
      <c r="CE1433" s="200"/>
      <c r="CF1433" s="200"/>
      <c r="CG1433" s="200"/>
      <c r="CH1433" s="200"/>
      <c r="CI1433" s="200"/>
      <c r="CJ1433" s="200"/>
      <c r="CK1433" s="200"/>
      <c r="CL1433" s="200"/>
      <c r="CM1433" s="200"/>
      <c r="CN1433" s="200"/>
      <c r="CO1433" s="200"/>
      <c r="CP1433" s="200"/>
      <c r="CQ1433" s="200"/>
      <c r="CR1433" s="200"/>
      <c r="CS1433" s="200"/>
      <c r="CT1433" s="200"/>
      <c r="CU1433" s="200"/>
    </row>
    <row r="1434" spans="1:99" s="17" customFormat="1" x14ac:dyDescent="0.2">
      <c r="A1434" s="25"/>
      <c r="B1434" s="20">
        <v>39061006300</v>
      </c>
      <c r="C1434" s="20">
        <v>63</v>
      </c>
      <c r="D1434" s="20" t="s">
        <v>37</v>
      </c>
      <c r="E1434" s="20" t="s">
        <v>2828</v>
      </c>
      <c r="F1434" s="20" t="s">
        <v>8</v>
      </c>
      <c r="G1434" s="861">
        <v>51.028351340852602</v>
      </c>
      <c r="H1434" s="861">
        <v>56.070502916749803</v>
      </c>
      <c r="I1434" s="861">
        <v>40.614208634607699</v>
      </c>
      <c r="J1434" s="861">
        <v>53.189438651682202</v>
      </c>
      <c r="K1434" s="982">
        <v>1</v>
      </c>
      <c r="L1434" s="735">
        <v>3681</v>
      </c>
      <c r="M1434" s="735">
        <v>3782</v>
      </c>
      <c r="N1434" s="845">
        <f t="shared" si="123"/>
        <v>2.7438196142352621E-2</v>
      </c>
      <c r="O1434" s="735">
        <v>0.62096115182551936</v>
      </c>
      <c r="P1434" s="735">
        <f t="shared" si="124"/>
        <v>6090.5581434226087</v>
      </c>
      <c r="Q1434" s="849">
        <v>37</v>
      </c>
      <c r="R1434" s="71">
        <v>60774</v>
      </c>
      <c r="S1434" s="845">
        <v>0.16019818331957061</v>
      </c>
      <c r="T1434" s="845">
        <v>8.6999999999999994E-2</v>
      </c>
      <c r="U1434" s="845">
        <v>0</v>
      </c>
      <c r="V1434" s="845">
        <v>0</v>
      </c>
      <c r="W1434" s="845">
        <v>0.34065202927478377</v>
      </c>
      <c r="X1434" s="845">
        <v>0.279296875</v>
      </c>
      <c r="Y1434" s="845">
        <v>4.8387096774193547E-2</v>
      </c>
      <c r="Z1434" s="845">
        <v>0.87810682178741406</v>
      </c>
      <c r="AA1434" s="845">
        <v>0</v>
      </c>
      <c r="AB1434" s="845">
        <v>0</v>
      </c>
      <c r="AC1434" s="845">
        <v>0</v>
      </c>
      <c r="AD1434" s="845">
        <v>1.0840824960338445E-2</v>
      </c>
      <c r="AE1434" s="845">
        <v>6.2665256478053946E-2</v>
      </c>
      <c r="AF1434" s="845">
        <v>1.7451084082496033E-2</v>
      </c>
      <c r="AG1434" s="845">
        <v>3.4108937070333155E-2</v>
      </c>
      <c r="AH1434" s="20" t="str">
        <f t="shared" si="125"/>
        <v>No</v>
      </c>
      <c r="AI1434" s="25"/>
      <c r="AJ1434" s="37">
        <v>45648</v>
      </c>
      <c r="AK1434" s="37" t="s">
        <v>1794</v>
      </c>
      <c r="AL1434" s="37">
        <v>39145</v>
      </c>
      <c r="AM1434" s="37" t="s">
        <v>78</v>
      </c>
      <c r="AN1434" s="37" t="str">
        <f t="shared" si="126"/>
        <v>N/A</v>
      </c>
      <c r="AO1434" s="37" t="str">
        <f t="shared" si="127"/>
        <v>N/A</v>
      </c>
      <c r="AP1434" s="37" t="s">
        <v>8</v>
      </c>
      <c r="AQ1434" s="25"/>
      <c r="AR1434" s="25"/>
      <c r="AS1434" s="25"/>
      <c r="AT1434" s="25"/>
      <c r="AU1434" s="36"/>
      <c r="AV1434" s="36"/>
      <c r="AW1434" s="36"/>
      <c r="AX1434" s="25"/>
      <c r="AY1434" s="25"/>
      <c r="AZ1434" s="25"/>
      <c r="BA1434" s="25"/>
      <c r="BB1434" s="25"/>
      <c r="BC1434" s="25"/>
      <c r="BD1434" s="25"/>
      <c r="BE1434" s="25"/>
      <c r="BF1434" s="25"/>
      <c r="BG1434" s="25"/>
      <c r="BH1434" s="25"/>
      <c r="BI1434" s="25"/>
      <c r="BJ1434" s="25"/>
      <c r="BK1434" s="25"/>
      <c r="BL1434" s="25"/>
      <c r="BM1434" s="25"/>
      <c r="BN1434" s="25"/>
      <c r="BO1434" s="25"/>
      <c r="BP1434" s="25"/>
      <c r="BQ1434" s="25"/>
      <c r="BR1434" s="25"/>
      <c r="BS1434" s="25"/>
      <c r="BT1434" s="25"/>
      <c r="BU1434" s="25"/>
      <c r="BV1434" s="25"/>
      <c r="BW1434" s="25"/>
      <c r="BX1434" s="25"/>
      <c r="BY1434" s="25"/>
      <c r="BZ1434" s="25"/>
      <c r="CA1434" s="25"/>
      <c r="CB1434" s="25"/>
      <c r="CC1434" s="25"/>
      <c r="CD1434" s="25"/>
      <c r="CE1434" s="200"/>
      <c r="CF1434" s="200"/>
      <c r="CG1434" s="200"/>
      <c r="CH1434" s="200"/>
      <c r="CI1434" s="200"/>
      <c r="CJ1434" s="200"/>
      <c r="CK1434" s="200"/>
      <c r="CL1434" s="200"/>
      <c r="CM1434" s="200"/>
      <c r="CN1434" s="200"/>
      <c r="CO1434" s="200"/>
      <c r="CP1434" s="200"/>
      <c r="CQ1434" s="200"/>
      <c r="CR1434" s="200"/>
      <c r="CS1434" s="200"/>
      <c r="CT1434" s="200"/>
      <c r="CU1434" s="200"/>
    </row>
    <row r="1435" spans="1:99" s="17" customFormat="1" x14ac:dyDescent="0.2">
      <c r="A1435" s="25"/>
      <c r="B1435" s="20">
        <v>39157021700</v>
      </c>
      <c r="C1435" s="20">
        <v>217</v>
      </c>
      <c r="D1435" s="20" t="s">
        <v>84</v>
      </c>
      <c r="E1435" s="20" t="s">
        <v>265</v>
      </c>
      <c r="F1435" s="20" t="s">
        <v>6</v>
      </c>
      <c r="G1435" s="861">
        <v>51.016422837894702</v>
      </c>
      <c r="H1435" s="861">
        <v>45.775651240408997</v>
      </c>
      <c r="I1435" s="861">
        <v>43.077449807734197</v>
      </c>
      <c r="J1435" s="861">
        <v>38.651001740677998</v>
      </c>
      <c r="K1435" s="982">
        <v>0</v>
      </c>
      <c r="L1435" s="735">
        <v>5525</v>
      </c>
      <c r="M1435" s="735">
        <v>4966</v>
      </c>
      <c r="N1435" s="845">
        <f t="shared" si="123"/>
        <v>-0.1011764705882353</v>
      </c>
      <c r="O1435" s="735">
        <v>36.339970688127984</v>
      </c>
      <c r="P1435" s="735">
        <f t="shared" si="124"/>
        <v>136.65393521141056</v>
      </c>
      <c r="Q1435" s="849">
        <v>48.1</v>
      </c>
      <c r="R1435" s="71">
        <v>45893</v>
      </c>
      <c r="S1435" s="845">
        <v>0.30271828665568368</v>
      </c>
      <c r="T1435" s="845">
        <v>0.19800000000000001</v>
      </c>
      <c r="U1435" s="845">
        <v>2.7000000000000003E-2</v>
      </c>
      <c r="V1435" s="845">
        <v>0</v>
      </c>
      <c r="W1435" s="845">
        <v>0.3843137254901961</v>
      </c>
      <c r="X1435" s="845">
        <v>0.5714285714285714</v>
      </c>
      <c r="Y1435" s="845">
        <v>0.96959323399113972</v>
      </c>
      <c r="Z1435" s="845">
        <v>0</v>
      </c>
      <c r="AA1435" s="845">
        <v>0</v>
      </c>
      <c r="AB1435" s="845">
        <v>0</v>
      </c>
      <c r="AC1435" s="845">
        <v>0</v>
      </c>
      <c r="AD1435" s="845">
        <v>0</v>
      </c>
      <c r="AE1435" s="845">
        <v>3.0406766008860251E-2</v>
      </c>
      <c r="AF1435" s="845">
        <v>2.5573902537253324E-2</v>
      </c>
      <c r="AG1435" s="845">
        <v>0.96596858638743455</v>
      </c>
      <c r="AH1435" s="20" t="str">
        <f t="shared" si="125"/>
        <v>Yes</v>
      </c>
      <c r="AI1435" s="25"/>
      <c r="AJ1435" s="37">
        <v>45652</v>
      </c>
      <c r="AK1435" s="37" t="s">
        <v>1797</v>
      </c>
      <c r="AL1435" s="37">
        <v>39145</v>
      </c>
      <c r="AM1435" s="37" t="s">
        <v>78</v>
      </c>
      <c r="AN1435" s="37" t="str">
        <f t="shared" si="126"/>
        <v>N/A</v>
      </c>
      <c r="AO1435" s="37" t="str">
        <f t="shared" si="127"/>
        <v>N/A</v>
      </c>
      <c r="AP1435" s="37" t="s">
        <v>8</v>
      </c>
      <c r="AQ1435" s="25"/>
      <c r="AR1435" s="25"/>
      <c r="AS1435" s="25"/>
      <c r="AT1435" s="25"/>
      <c r="AU1435" s="36"/>
      <c r="AV1435" s="36"/>
      <c r="AW1435" s="36"/>
      <c r="AX1435" s="25"/>
      <c r="AY1435" s="25"/>
      <c r="AZ1435" s="25"/>
      <c r="BA1435" s="25"/>
      <c r="BB1435" s="25"/>
      <c r="BC1435" s="25"/>
      <c r="BD1435" s="25"/>
      <c r="BE1435" s="25"/>
      <c r="BF1435" s="25"/>
      <c r="BG1435" s="25"/>
      <c r="BH1435" s="25"/>
      <c r="BI1435" s="25"/>
      <c r="BJ1435" s="25"/>
      <c r="BK1435" s="25"/>
      <c r="BL1435" s="25"/>
      <c r="BM1435" s="25"/>
      <c r="BN1435" s="25"/>
      <c r="BO1435" s="25"/>
      <c r="BP1435" s="25"/>
      <c r="BQ1435" s="25"/>
      <c r="BR1435" s="25"/>
      <c r="BS1435" s="25"/>
      <c r="BT1435" s="25"/>
      <c r="BU1435" s="25"/>
      <c r="BV1435" s="25"/>
      <c r="BW1435" s="25"/>
      <c r="BX1435" s="25"/>
      <c r="BY1435" s="25"/>
      <c r="BZ1435" s="25"/>
      <c r="CA1435" s="25"/>
      <c r="CB1435" s="25"/>
      <c r="CC1435" s="25"/>
      <c r="CD1435" s="25"/>
      <c r="CE1435" s="200"/>
      <c r="CF1435" s="200"/>
      <c r="CG1435" s="200"/>
      <c r="CH1435" s="200"/>
      <c r="CI1435" s="200"/>
      <c r="CJ1435" s="200"/>
      <c r="CK1435" s="200"/>
      <c r="CL1435" s="200"/>
      <c r="CM1435" s="200"/>
      <c r="CN1435" s="200"/>
      <c r="CO1435" s="200"/>
      <c r="CP1435" s="200"/>
      <c r="CQ1435" s="200"/>
      <c r="CR1435" s="200"/>
      <c r="CS1435" s="200"/>
      <c r="CT1435" s="200"/>
      <c r="CU1435" s="200"/>
    </row>
    <row r="1436" spans="1:99" s="17" customFormat="1" x14ac:dyDescent="0.2">
      <c r="A1436" s="25"/>
      <c r="B1436" s="20">
        <v>39049005900</v>
      </c>
      <c r="C1436" s="20">
        <v>59</v>
      </c>
      <c r="D1436" s="20" t="s">
        <v>31</v>
      </c>
      <c r="E1436" s="20" t="s">
        <v>2830</v>
      </c>
      <c r="F1436" s="20" t="s">
        <v>6</v>
      </c>
      <c r="G1436" s="861">
        <v>50.993358907143801</v>
      </c>
      <c r="H1436" s="861">
        <v>62.890635851537702</v>
      </c>
      <c r="I1436" s="861">
        <v>55.064768961533403</v>
      </c>
      <c r="J1436" s="861">
        <v>58.477188010184797</v>
      </c>
      <c r="K1436" s="982">
        <v>0</v>
      </c>
      <c r="L1436" s="735">
        <v>2219</v>
      </c>
      <c r="M1436" s="735">
        <v>2440</v>
      </c>
      <c r="N1436" s="845">
        <f t="shared" si="123"/>
        <v>9.9594411897251017E-2</v>
      </c>
      <c r="O1436" s="735">
        <v>0.30147126814416147</v>
      </c>
      <c r="P1436" s="735">
        <f t="shared" si="124"/>
        <v>8093.6402829380377</v>
      </c>
      <c r="Q1436" s="849">
        <v>32.1</v>
      </c>
      <c r="R1436" s="71">
        <v>48594</v>
      </c>
      <c r="S1436" s="845">
        <v>0.28278688524590162</v>
      </c>
      <c r="T1436" s="845">
        <v>0.151</v>
      </c>
      <c r="U1436" s="845">
        <v>0.13</v>
      </c>
      <c r="V1436" s="845">
        <v>0</v>
      </c>
      <c r="W1436" s="845">
        <v>0.61366061899679825</v>
      </c>
      <c r="X1436" s="845">
        <v>0.51130434782608691</v>
      </c>
      <c r="Y1436" s="845">
        <v>0.31598360655737706</v>
      </c>
      <c r="Z1436" s="845">
        <v>0.54959016393442628</v>
      </c>
      <c r="AA1436" s="845">
        <v>0</v>
      </c>
      <c r="AB1436" s="845">
        <v>0</v>
      </c>
      <c r="AC1436" s="845">
        <v>0</v>
      </c>
      <c r="AD1436" s="845">
        <v>4.9180327868852463E-3</v>
      </c>
      <c r="AE1436" s="845">
        <v>0.12950819672131147</v>
      </c>
      <c r="AF1436" s="845">
        <v>3.1557377049180331E-2</v>
      </c>
      <c r="AG1436" s="845">
        <v>0.31598360655737706</v>
      </c>
      <c r="AH1436" s="20" t="str">
        <f t="shared" si="125"/>
        <v>No</v>
      </c>
      <c r="AI1436" s="25"/>
      <c r="AJ1436" s="37">
        <v>45653</v>
      </c>
      <c r="AK1436" s="37" t="s">
        <v>1798</v>
      </c>
      <c r="AL1436" s="37">
        <v>39145</v>
      </c>
      <c r="AM1436" s="37" t="s">
        <v>78</v>
      </c>
      <c r="AN1436" s="37" t="str">
        <f t="shared" si="126"/>
        <v>N/A</v>
      </c>
      <c r="AO1436" s="37" t="str">
        <f t="shared" si="127"/>
        <v>N/A</v>
      </c>
      <c r="AP1436" s="37" t="s">
        <v>8</v>
      </c>
      <c r="AQ1436" s="25"/>
      <c r="AR1436" s="25"/>
      <c r="AS1436" s="25"/>
      <c r="AT1436" s="25"/>
      <c r="AU1436" s="36"/>
      <c r="AV1436" s="36"/>
      <c r="AW1436" s="36"/>
      <c r="AX1436" s="25"/>
      <c r="AY1436" s="25"/>
      <c r="AZ1436" s="25"/>
      <c r="BA1436" s="25"/>
      <c r="BB1436" s="25"/>
      <c r="BC1436" s="25"/>
      <c r="BD1436" s="25"/>
      <c r="BE1436" s="25"/>
      <c r="BF1436" s="25"/>
      <c r="BG1436" s="25"/>
      <c r="BH1436" s="25"/>
      <c r="BI1436" s="25"/>
      <c r="BJ1436" s="25"/>
      <c r="BK1436" s="25"/>
      <c r="BL1436" s="25"/>
      <c r="BM1436" s="25"/>
      <c r="BN1436" s="25"/>
      <c r="BO1436" s="25"/>
      <c r="BP1436" s="25"/>
      <c r="BQ1436" s="25"/>
      <c r="BR1436" s="25"/>
      <c r="BS1436" s="25"/>
      <c r="BT1436" s="25"/>
      <c r="BU1436" s="25"/>
      <c r="BV1436" s="25"/>
      <c r="BW1436" s="25"/>
      <c r="BX1436" s="25"/>
      <c r="BY1436" s="25"/>
      <c r="BZ1436" s="25"/>
      <c r="CA1436" s="25"/>
      <c r="CB1436" s="25"/>
      <c r="CC1436" s="25"/>
      <c r="CD1436" s="25"/>
      <c r="CE1436" s="200"/>
      <c r="CF1436" s="200"/>
      <c r="CG1436" s="200"/>
      <c r="CH1436" s="200"/>
      <c r="CI1436" s="200"/>
      <c r="CJ1436" s="200"/>
      <c r="CK1436" s="200"/>
      <c r="CL1436" s="200"/>
      <c r="CM1436" s="200"/>
      <c r="CN1436" s="200"/>
      <c r="CO1436" s="200"/>
      <c r="CP1436" s="200"/>
      <c r="CQ1436" s="200"/>
      <c r="CR1436" s="200"/>
      <c r="CS1436" s="200"/>
      <c r="CT1436" s="200"/>
      <c r="CU1436" s="200"/>
    </row>
    <row r="1437" spans="1:99" s="17" customFormat="1" x14ac:dyDescent="0.2">
      <c r="A1437" s="25"/>
      <c r="B1437" s="20">
        <v>39171950900</v>
      </c>
      <c r="C1437" s="20">
        <v>9509</v>
      </c>
      <c r="D1437" s="20" t="s">
        <v>91</v>
      </c>
      <c r="E1437" s="20" t="s">
        <v>265</v>
      </c>
      <c r="F1437" s="20" t="s">
        <v>8</v>
      </c>
      <c r="G1437" s="861">
        <v>50.992660617171197</v>
      </c>
      <c r="H1437" s="861">
        <v>50.125727572876599</v>
      </c>
      <c r="I1437" s="861">
        <v>37.776423795985899</v>
      </c>
      <c r="J1437" s="861">
        <v>33.933058020396402</v>
      </c>
      <c r="K1437" s="982">
        <v>1</v>
      </c>
      <c r="L1437" s="735">
        <v>2905</v>
      </c>
      <c r="M1437" s="735">
        <v>2750</v>
      </c>
      <c r="N1437" s="845">
        <f t="shared" si="123"/>
        <v>-5.3356282271944923E-2</v>
      </c>
      <c r="O1437" s="735">
        <v>35.380663195399769</v>
      </c>
      <c r="P1437" s="735">
        <f t="shared" si="124"/>
        <v>77.726072708483258</v>
      </c>
      <c r="Q1437" s="849">
        <v>40.1</v>
      </c>
      <c r="R1437" s="71">
        <v>45601</v>
      </c>
      <c r="S1437" s="845">
        <v>0.14216417910447762</v>
      </c>
      <c r="T1437" s="845">
        <v>5.7999999999999996E-2</v>
      </c>
      <c r="U1437" s="845">
        <v>0</v>
      </c>
      <c r="V1437" s="845">
        <v>5.0999999999999997E-2</v>
      </c>
      <c r="W1437" s="845">
        <v>0.24670763827919229</v>
      </c>
      <c r="X1437" s="845">
        <v>0.5195729537366548</v>
      </c>
      <c r="Y1437" s="845">
        <v>0.8625454545454545</v>
      </c>
      <c r="Z1437" s="845">
        <v>1.3818181818181818E-2</v>
      </c>
      <c r="AA1437" s="845">
        <v>1.2E-2</v>
      </c>
      <c r="AB1437" s="845">
        <v>5.8181818181818178E-3</v>
      </c>
      <c r="AC1437" s="845">
        <v>1.8181818181818182E-3</v>
      </c>
      <c r="AD1437" s="845">
        <v>6.5454545454545453E-3</v>
      </c>
      <c r="AE1437" s="845">
        <v>9.745454545454546E-2</v>
      </c>
      <c r="AF1437" s="845">
        <v>6.0363636363636362E-2</v>
      </c>
      <c r="AG1437" s="845">
        <v>0.8625454545454545</v>
      </c>
      <c r="AH1437" s="20" t="str">
        <f t="shared" si="125"/>
        <v>No</v>
      </c>
      <c r="AI1437" s="25"/>
      <c r="AJ1437" s="37">
        <v>45656</v>
      </c>
      <c r="AK1437" s="37" t="s">
        <v>1800</v>
      </c>
      <c r="AL1437" s="37">
        <v>39145</v>
      </c>
      <c r="AM1437" s="37" t="s">
        <v>78</v>
      </c>
      <c r="AN1437" s="37" t="str">
        <f t="shared" si="126"/>
        <v>N/A</v>
      </c>
      <c r="AO1437" s="37" t="str">
        <f t="shared" si="127"/>
        <v>N/A</v>
      </c>
      <c r="AP1437" s="37" t="s">
        <v>8</v>
      </c>
      <c r="AQ1437" s="25"/>
      <c r="AR1437" s="25"/>
      <c r="AS1437" s="25"/>
      <c r="AT1437" s="25"/>
      <c r="AU1437" s="36"/>
      <c r="AV1437" s="36"/>
      <c r="AW1437" s="36"/>
      <c r="AX1437" s="25"/>
      <c r="AY1437" s="25"/>
      <c r="AZ1437" s="25"/>
      <c r="BA1437" s="25"/>
      <c r="BB1437" s="25"/>
      <c r="BC1437" s="25"/>
      <c r="BD1437" s="25"/>
      <c r="BE1437" s="25"/>
      <c r="BF1437" s="25"/>
      <c r="BG1437" s="25"/>
      <c r="BH1437" s="25"/>
      <c r="BI1437" s="25"/>
      <c r="BJ1437" s="25"/>
      <c r="BK1437" s="25"/>
      <c r="BL1437" s="25"/>
      <c r="BM1437" s="25"/>
      <c r="BN1437" s="25"/>
      <c r="BO1437" s="25"/>
      <c r="BP1437" s="25"/>
      <c r="BQ1437" s="25"/>
      <c r="BR1437" s="25"/>
      <c r="BS1437" s="25"/>
      <c r="BT1437" s="25"/>
      <c r="BU1437" s="25"/>
      <c r="BV1437" s="25"/>
      <c r="BW1437" s="25"/>
      <c r="BX1437" s="25"/>
      <c r="BY1437" s="25"/>
      <c r="BZ1437" s="25"/>
      <c r="CA1437" s="25"/>
      <c r="CB1437" s="25"/>
      <c r="CC1437" s="25"/>
      <c r="CD1437" s="25"/>
      <c r="CE1437" s="200"/>
      <c r="CF1437" s="200"/>
      <c r="CG1437" s="200"/>
      <c r="CH1437" s="200"/>
      <c r="CI1437" s="200"/>
      <c r="CJ1437" s="200"/>
      <c r="CK1437" s="200"/>
      <c r="CL1437" s="200"/>
      <c r="CM1437" s="200"/>
      <c r="CN1437" s="200"/>
      <c r="CO1437" s="200"/>
      <c r="CP1437" s="200"/>
      <c r="CQ1437" s="200"/>
      <c r="CR1437" s="200"/>
      <c r="CS1437" s="200"/>
      <c r="CT1437" s="200"/>
      <c r="CU1437" s="200"/>
    </row>
    <row r="1438" spans="1:99" s="17" customFormat="1" x14ac:dyDescent="0.2">
      <c r="A1438" s="25"/>
      <c r="B1438" s="20">
        <v>39033974900</v>
      </c>
      <c r="C1438" s="20">
        <v>9749</v>
      </c>
      <c r="D1438" s="20" t="s">
        <v>23</v>
      </c>
      <c r="E1438" s="20" t="s">
        <v>265</v>
      </c>
      <c r="F1438" s="20" t="s">
        <v>8</v>
      </c>
      <c r="G1438" s="861">
        <v>50.9845567424764</v>
      </c>
      <c r="H1438" s="861">
        <v>48.940974472906902</v>
      </c>
      <c r="I1438" s="861">
        <v>46.042758366132603</v>
      </c>
      <c r="J1438" s="861">
        <v>44.048429456430199</v>
      </c>
      <c r="K1438" s="982">
        <v>0</v>
      </c>
      <c r="L1438" s="735">
        <v>3370</v>
      </c>
      <c r="M1438" s="735">
        <v>3215</v>
      </c>
      <c r="N1438" s="845">
        <f t="shared" si="123"/>
        <v>-4.5994065281899109E-2</v>
      </c>
      <c r="O1438" s="735">
        <v>8.9638461699347349</v>
      </c>
      <c r="P1438" s="735">
        <f t="shared" si="124"/>
        <v>358.66300459096436</v>
      </c>
      <c r="Q1438" s="849">
        <v>36.299999999999997</v>
      </c>
      <c r="R1438" s="71">
        <v>45880</v>
      </c>
      <c r="S1438" s="845">
        <v>0.13219284603421461</v>
      </c>
      <c r="T1438" s="845">
        <v>3.6000000000000004E-2</v>
      </c>
      <c r="U1438" s="845">
        <v>0</v>
      </c>
      <c r="V1438" s="845">
        <v>0.105</v>
      </c>
      <c r="W1438" s="845">
        <v>0.23957543593631539</v>
      </c>
      <c r="X1438" s="845">
        <v>0.59177215189873422</v>
      </c>
      <c r="Y1438" s="845">
        <v>0.9443234836702955</v>
      </c>
      <c r="Z1438" s="845">
        <v>0</v>
      </c>
      <c r="AA1438" s="845">
        <v>0</v>
      </c>
      <c r="AB1438" s="845">
        <v>1.6796267496111975E-2</v>
      </c>
      <c r="AC1438" s="845">
        <v>0</v>
      </c>
      <c r="AD1438" s="845">
        <v>2.4883359253499221E-3</v>
      </c>
      <c r="AE1438" s="845">
        <v>3.6391912908242612E-2</v>
      </c>
      <c r="AF1438" s="845">
        <v>7.7760497667185074E-3</v>
      </c>
      <c r="AG1438" s="845">
        <v>0.93654743390357698</v>
      </c>
      <c r="AH1438" s="20" t="str">
        <f t="shared" si="125"/>
        <v>Yes</v>
      </c>
      <c r="AI1438" s="25"/>
      <c r="AJ1438" s="37">
        <v>45657</v>
      </c>
      <c r="AK1438" s="37" t="s">
        <v>1801</v>
      </c>
      <c r="AL1438" s="37">
        <v>39145</v>
      </c>
      <c r="AM1438" s="37" t="s">
        <v>78</v>
      </c>
      <c r="AN1438" s="37" t="str">
        <f t="shared" si="126"/>
        <v>N/A</v>
      </c>
      <c r="AO1438" s="37" t="str">
        <f t="shared" si="127"/>
        <v>N/A</v>
      </c>
      <c r="AP1438" s="37" t="s">
        <v>8</v>
      </c>
      <c r="AQ1438" s="25"/>
      <c r="AR1438" s="25"/>
      <c r="AS1438" s="25"/>
      <c r="AT1438" s="25"/>
      <c r="AU1438" s="36"/>
      <c r="AV1438" s="36"/>
      <c r="AW1438" s="36"/>
      <c r="AX1438" s="25"/>
      <c r="AY1438" s="25"/>
      <c r="AZ1438" s="25"/>
      <c r="BA1438" s="25"/>
      <c r="BB1438" s="25"/>
      <c r="BC1438" s="25"/>
      <c r="BD1438" s="25"/>
      <c r="BE1438" s="25"/>
      <c r="BF1438" s="25"/>
      <c r="BG1438" s="25"/>
      <c r="BH1438" s="25"/>
      <c r="BI1438" s="25"/>
      <c r="BJ1438" s="25"/>
      <c r="BK1438" s="25"/>
      <c r="BL1438" s="25"/>
      <c r="BM1438" s="25"/>
      <c r="BN1438" s="25"/>
      <c r="BO1438" s="25"/>
      <c r="BP1438" s="25"/>
      <c r="BQ1438" s="25"/>
      <c r="BR1438" s="25"/>
      <c r="BS1438" s="25"/>
      <c r="BT1438" s="25"/>
      <c r="BU1438" s="25"/>
      <c r="BV1438" s="25"/>
      <c r="BW1438" s="25"/>
      <c r="BX1438" s="25"/>
      <c r="BY1438" s="25"/>
      <c r="BZ1438" s="25"/>
      <c r="CA1438" s="25"/>
      <c r="CB1438" s="25"/>
      <c r="CC1438" s="25"/>
      <c r="CD1438" s="25"/>
      <c r="CE1438" s="200"/>
      <c r="CF1438" s="200"/>
      <c r="CG1438" s="200"/>
      <c r="CH1438" s="200"/>
      <c r="CI1438" s="200"/>
      <c r="CJ1438" s="200"/>
      <c r="CK1438" s="200"/>
      <c r="CL1438" s="200"/>
      <c r="CM1438" s="200"/>
      <c r="CN1438" s="200"/>
      <c r="CO1438" s="200"/>
      <c r="CP1438" s="200"/>
      <c r="CQ1438" s="200"/>
      <c r="CR1438" s="200"/>
      <c r="CS1438" s="200"/>
      <c r="CT1438" s="200"/>
      <c r="CU1438" s="200"/>
    </row>
    <row r="1439" spans="1:99" s="17" customFormat="1" x14ac:dyDescent="0.2">
      <c r="A1439" s="25"/>
      <c r="B1439" s="20">
        <v>39103416400</v>
      </c>
      <c r="C1439" s="20">
        <v>4164</v>
      </c>
      <c r="D1439" s="20" t="s">
        <v>57</v>
      </c>
      <c r="E1439" s="20" t="s">
        <v>2829</v>
      </c>
      <c r="F1439" s="20" t="s">
        <v>8</v>
      </c>
      <c r="G1439" s="861">
        <v>50.965839724861702</v>
      </c>
      <c r="H1439" s="861">
        <v>51.142174558857903</v>
      </c>
      <c r="I1439" s="861">
        <v>24.595787893302401</v>
      </c>
      <c r="J1439" s="861">
        <v>40.998098768590097</v>
      </c>
      <c r="K1439" s="982">
        <v>0</v>
      </c>
      <c r="L1439" s="735">
        <v>3353</v>
      </c>
      <c r="M1439" s="735">
        <v>3485</v>
      </c>
      <c r="N1439" s="845">
        <f t="shared" si="123"/>
        <v>3.9367730390694897E-2</v>
      </c>
      <c r="O1439" s="735">
        <v>1.0615851823350648</v>
      </c>
      <c r="P1439" s="735">
        <f t="shared" si="124"/>
        <v>3282.8265296001846</v>
      </c>
      <c r="Q1439" s="849">
        <v>40.299999999999997</v>
      </c>
      <c r="R1439" s="71">
        <v>83946</v>
      </c>
      <c r="S1439" s="845">
        <v>7.7895947111238859E-2</v>
      </c>
      <c r="T1439" s="845">
        <v>2.2000000000000002E-2</v>
      </c>
      <c r="U1439" s="845">
        <v>0</v>
      </c>
      <c r="V1439" s="845">
        <v>0</v>
      </c>
      <c r="W1439" s="845">
        <v>0.23468634686346865</v>
      </c>
      <c r="X1439" s="845">
        <v>0.47169811320754718</v>
      </c>
      <c r="Y1439" s="845">
        <v>0.87546628407460547</v>
      </c>
      <c r="Z1439" s="845">
        <v>6.3127690100430412E-3</v>
      </c>
      <c r="AA1439" s="845">
        <v>0</v>
      </c>
      <c r="AB1439" s="845">
        <v>8.6083213773314202E-4</v>
      </c>
      <c r="AC1439" s="845">
        <v>0</v>
      </c>
      <c r="AD1439" s="845">
        <v>2.3816355810616929E-2</v>
      </c>
      <c r="AE1439" s="845">
        <v>9.3543758967001428E-2</v>
      </c>
      <c r="AF1439" s="845">
        <v>3.8163558106169296E-2</v>
      </c>
      <c r="AG1439" s="845">
        <v>0.87058823529411766</v>
      </c>
      <c r="AH1439" s="20" t="str">
        <f t="shared" si="125"/>
        <v>No</v>
      </c>
      <c r="AI1439" s="25"/>
      <c r="AJ1439" s="37">
        <v>45659</v>
      </c>
      <c r="AK1439" s="37" t="s">
        <v>1803</v>
      </c>
      <c r="AL1439" s="37">
        <v>39145</v>
      </c>
      <c r="AM1439" s="37" t="s">
        <v>78</v>
      </c>
      <c r="AN1439" s="37" t="str">
        <f t="shared" si="126"/>
        <v>N/A</v>
      </c>
      <c r="AO1439" s="37" t="str">
        <f t="shared" si="127"/>
        <v>N/A</v>
      </c>
      <c r="AP1439" s="37" t="s">
        <v>8</v>
      </c>
      <c r="AQ1439" s="25"/>
      <c r="AR1439" s="25"/>
      <c r="AS1439" s="25"/>
      <c r="AT1439" s="25"/>
      <c r="AU1439" s="36"/>
      <c r="AV1439" s="36"/>
      <c r="AW1439" s="36"/>
      <c r="AX1439" s="25"/>
      <c r="AY1439" s="25"/>
      <c r="AZ1439" s="25"/>
      <c r="BA1439" s="25"/>
      <c r="BB1439" s="25"/>
      <c r="BC1439" s="25"/>
      <c r="BD1439" s="25"/>
      <c r="BE1439" s="25"/>
      <c r="BF1439" s="25"/>
      <c r="BG1439" s="25"/>
      <c r="BH1439" s="25"/>
      <c r="BI1439" s="25"/>
      <c r="BJ1439" s="25"/>
      <c r="BK1439" s="25"/>
      <c r="BL1439" s="25"/>
      <c r="BM1439" s="25"/>
      <c r="BN1439" s="25"/>
      <c r="BO1439" s="25"/>
      <c r="BP1439" s="25"/>
      <c r="BQ1439" s="25"/>
      <c r="BR1439" s="25"/>
      <c r="BS1439" s="25"/>
      <c r="BT1439" s="25"/>
      <c r="BU1439" s="25"/>
      <c r="BV1439" s="25"/>
      <c r="BW1439" s="25"/>
      <c r="BX1439" s="25"/>
      <c r="BY1439" s="25"/>
      <c r="BZ1439" s="25"/>
      <c r="CA1439" s="25"/>
      <c r="CB1439" s="25"/>
      <c r="CC1439" s="25"/>
      <c r="CD1439" s="25"/>
      <c r="CE1439" s="200"/>
      <c r="CF1439" s="200"/>
      <c r="CG1439" s="200"/>
      <c r="CH1439" s="200"/>
      <c r="CI1439" s="200"/>
      <c r="CJ1439" s="200"/>
      <c r="CK1439" s="200"/>
      <c r="CL1439" s="200"/>
      <c r="CM1439" s="200"/>
      <c r="CN1439" s="200"/>
      <c r="CO1439" s="200"/>
      <c r="CP1439" s="200"/>
      <c r="CQ1439" s="200"/>
      <c r="CR1439" s="200"/>
      <c r="CS1439" s="200"/>
      <c r="CT1439" s="200"/>
      <c r="CU1439" s="200"/>
    </row>
    <row r="1440" spans="1:99" s="17" customFormat="1" x14ac:dyDescent="0.2">
      <c r="A1440" s="25"/>
      <c r="B1440" s="20">
        <v>39155931601</v>
      </c>
      <c r="C1440" s="20">
        <v>9316.01</v>
      </c>
      <c r="D1440" s="20" t="s">
        <v>83</v>
      </c>
      <c r="E1440" s="20" t="s">
        <v>2842</v>
      </c>
      <c r="F1440" s="20" t="s">
        <v>8</v>
      </c>
      <c r="G1440" s="861">
        <v>50.956963016683297</v>
      </c>
      <c r="H1440" s="861">
        <v>58.656293836335202</v>
      </c>
      <c r="I1440" s="861">
        <v>29.965027910409301</v>
      </c>
      <c r="J1440" s="861">
        <v>46.446909897326499</v>
      </c>
      <c r="K1440" s="982">
        <v>0</v>
      </c>
      <c r="L1440" s="735">
        <v>4362</v>
      </c>
      <c r="M1440" s="735">
        <v>3972</v>
      </c>
      <c r="N1440" s="845">
        <f t="shared" si="123"/>
        <v>-8.940852819807428E-2</v>
      </c>
      <c r="O1440" s="735">
        <v>1.8533015582067673</v>
      </c>
      <c r="P1440" s="735">
        <f t="shared" si="124"/>
        <v>2143.2022125116328</v>
      </c>
      <c r="Q1440" s="849">
        <v>53</v>
      </c>
      <c r="R1440" s="71">
        <v>57421</v>
      </c>
      <c r="S1440" s="845">
        <v>5.0471577874075961E-2</v>
      </c>
      <c r="T1440" s="845">
        <v>2.3E-2</v>
      </c>
      <c r="U1440" s="845">
        <v>0</v>
      </c>
      <c r="V1440" s="845">
        <v>7.6999999999999999E-2</v>
      </c>
      <c r="W1440" s="845">
        <v>0.24080431584109857</v>
      </c>
      <c r="X1440" s="845">
        <v>0.2219959266802444</v>
      </c>
      <c r="Y1440" s="845">
        <v>0.95619335347432022</v>
      </c>
      <c r="Z1440" s="845">
        <v>0</v>
      </c>
      <c r="AA1440" s="845">
        <v>0</v>
      </c>
      <c r="AB1440" s="845">
        <v>1.9889224572004028E-2</v>
      </c>
      <c r="AC1440" s="845">
        <v>0</v>
      </c>
      <c r="AD1440" s="845">
        <v>2.0392749244712991E-2</v>
      </c>
      <c r="AE1440" s="845">
        <v>3.5246727089627392E-3</v>
      </c>
      <c r="AF1440" s="845">
        <v>3.449144008056395E-2</v>
      </c>
      <c r="AG1440" s="845">
        <v>0.94561933534743203</v>
      </c>
      <c r="AH1440" s="20" t="str">
        <f t="shared" si="125"/>
        <v>Yes</v>
      </c>
      <c r="AI1440" s="25"/>
      <c r="AJ1440" s="37">
        <v>45660</v>
      </c>
      <c r="AK1440" s="37" t="s">
        <v>1804</v>
      </c>
      <c r="AL1440" s="37">
        <v>39145</v>
      </c>
      <c r="AM1440" s="37" t="s">
        <v>78</v>
      </c>
      <c r="AN1440" s="37" t="str">
        <f t="shared" si="126"/>
        <v>N/A</v>
      </c>
      <c r="AO1440" s="37" t="str">
        <f t="shared" si="127"/>
        <v>N/A</v>
      </c>
      <c r="AP1440" s="37" t="s">
        <v>8</v>
      </c>
      <c r="AQ1440" s="25"/>
      <c r="AR1440" s="25"/>
      <c r="AS1440" s="25"/>
      <c r="AT1440" s="25"/>
      <c r="AU1440" s="36"/>
      <c r="AV1440" s="36"/>
      <c r="AW1440" s="36"/>
      <c r="AX1440" s="25"/>
      <c r="AY1440" s="25"/>
      <c r="AZ1440" s="25"/>
      <c r="BA1440" s="25"/>
      <c r="BB1440" s="25"/>
      <c r="BC1440" s="25"/>
      <c r="BD1440" s="25"/>
      <c r="BE1440" s="25"/>
      <c r="BF1440" s="25"/>
      <c r="BG1440" s="25"/>
      <c r="BH1440" s="25"/>
      <c r="BI1440" s="25"/>
      <c r="BJ1440" s="25"/>
      <c r="BK1440" s="25"/>
      <c r="BL1440" s="25"/>
      <c r="BM1440" s="25"/>
      <c r="BN1440" s="25"/>
      <c r="BO1440" s="25"/>
      <c r="BP1440" s="25"/>
      <c r="BQ1440" s="25"/>
      <c r="BR1440" s="25"/>
      <c r="BS1440" s="25"/>
      <c r="BT1440" s="25"/>
      <c r="BU1440" s="25"/>
      <c r="BV1440" s="25"/>
      <c r="BW1440" s="25"/>
      <c r="BX1440" s="25"/>
      <c r="BY1440" s="25"/>
      <c r="BZ1440" s="25"/>
      <c r="CA1440" s="25"/>
      <c r="CB1440" s="25"/>
      <c r="CC1440" s="25"/>
      <c r="CD1440" s="25"/>
      <c r="CE1440" s="200"/>
      <c r="CF1440" s="200"/>
      <c r="CG1440" s="200"/>
      <c r="CH1440" s="200"/>
      <c r="CI1440" s="200"/>
      <c r="CJ1440" s="200"/>
      <c r="CK1440" s="200"/>
      <c r="CL1440" s="200"/>
      <c r="CM1440" s="200"/>
      <c r="CN1440" s="200"/>
      <c r="CO1440" s="200"/>
      <c r="CP1440" s="200"/>
      <c r="CQ1440" s="200"/>
      <c r="CR1440" s="200"/>
      <c r="CS1440" s="200"/>
      <c r="CT1440" s="200"/>
      <c r="CU1440" s="200"/>
    </row>
    <row r="1441" spans="1:99" s="17" customFormat="1" x14ac:dyDescent="0.2">
      <c r="A1441" s="25"/>
      <c r="B1441" s="20">
        <v>39099801500</v>
      </c>
      <c r="C1441" s="20">
        <v>8015</v>
      </c>
      <c r="D1441" s="20" t="s">
        <v>55</v>
      </c>
      <c r="E1441" s="20" t="s">
        <v>2842</v>
      </c>
      <c r="F1441" s="20" t="s">
        <v>8</v>
      </c>
      <c r="G1441" s="861">
        <v>50.953728182409101</v>
      </c>
      <c r="H1441" s="861">
        <v>47.783047903114003</v>
      </c>
      <c r="I1441" s="861">
        <v>39.660960964447803</v>
      </c>
      <c r="J1441" s="861">
        <v>42.842314996873803</v>
      </c>
      <c r="K1441" s="982">
        <v>0</v>
      </c>
      <c r="L1441" s="735">
        <v>2027</v>
      </c>
      <c r="M1441" s="735">
        <v>2003</v>
      </c>
      <c r="N1441" s="845">
        <f t="shared" si="123"/>
        <v>-1.1840157868771583E-2</v>
      </c>
      <c r="O1441" s="735">
        <v>0.40978682330707689</v>
      </c>
      <c r="P1441" s="735">
        <f t="shared" si="124"/>
        <v>4887.907287587519</v>
      </c>
      <c r="Q1441" s="849">
        <v>42.1</v>
      </c>
      <c r="R1441" s="71">
        <v>57083</v>
      </c>
      <c r="S1441" s="845">
        <v>7.7883175237144289E-2</v>
      </c>
      <c r="T1441" s="845">
        <v>0.13699999999999998</v>
      </c>
      <c r="U1441" s="845">
        <v>2.5000000000000001E-2</v>
      </c>
      <c r="V1441" s="845">
        <v>0</v>
      </c>
      <c r="W1441" s="845">
        <v>0.2503176620076239</v>
      </c>
      <c r="X1441" s="845">
        <v>0.20304568527918782</v>
      </c>
      <c r="Y1441" s="845">
        <v>0.47179231153270096</v>
      </c>
      <c r="Z1441" s="845">
        <v>0.42636045931103345</v>
      </c>
      <c r="AA1441" s="845">
        <v>9.9850224663005499E-3</v>
      </c>
      <c r="AB1441" s="845">
        <v>0</v>
      </c>
      <c r="AC1441" s="845">
        <v>0</v>
      </c>
      <c r="AD1441" s="845">
        <v>1.4977533699450823E-2</v>
      </c>
      <c r="AE1441" s="845">
        <v>7.6884672990514227E-2</v>
      </c>
      <c r="AF1441" s="845">
        <v>8.7368946580129808E-2</v>
      </c>
      <c r="AG1441" s="845">
        <v>0.4313529705441837</v>
      </c>
      <c r="AH1441" s="20" t="str">
        <f t="shared" si="125"/>
        <v>No</v>
      </c>
      <c r="AI1441" s="25"/>
      <c r="AJ1441" s="37">
        <v>45661</v>
      </c>
      <c r="AK1441" s="37" t="s">
        <v>1805</v>
      </c>
      <c r="AL1441" s="37">
        <v>39145</v>
      </c>
      <c r="AM1441" s="37" t="s">
        <v>78</v>
      </c>
      <c r="AN1441" s="37" t="str">
        <f t="shared" si="126"/>
        <v>N/A</v>
      </c>
      <c r="AO1441" s="37" t="str">
        <f t="shared" si="127"/>
        <v>N/A</v>
      </c>
      <c r="AP1441" s="37" t="s">
        <v>8</v>
      </c>
      <c r="AQ1441" s="25"/>
      <c r="AR1441" s="25"/>
      <c r="AS1441" s="25"/>
      <c r="AT1441" s="25"/>
      <c r="AU1441" s="36"/>
      <c r="AV1441" s="36"/>
      <c r="AW1441" s="36"/>
      <c r="AX1441" s="25"/>
      <c r="AY1441" s="25"/>
      <c r="AZ1441" s="25"/>
      <c r="BA1441" s="25"/>
      <c r="BB1441" s="25"/>
      <c r="BC1441" s="25"/>
      <c r="BD1441" s="25"/>
      <c r="BE1441" s="25"/>
      <c r="BF1441" s="25"/>
      <c r="BG1441" s="25"/>
      <c r="BH1441" s="25"/>
      <c r="BI1441" s="25"/>
      <c r="BJ1441" s="25"/>
      <c r="BK1441" s="25"/>
      <c r="BL1441" s="25"/>
      <c r="BM1441" s="25"/>
      <c r="BN1441" s="25"/>
      <c r="BO1441" s="25"/>
      <c r="BP1441" s="25"/>
      <c r="BQ1441" s="25"/>
      <c r="BR1441" s="25"/>
      <c r="BS1441" s="25"/>
      <c r="BT1441" s="25"/>
      <c r="BU1441" s="25"/>
      <c r="BV1441" s="25"/>
      <c r="BW1441" s="25"/>
      <c r="BX1441" s="25"/>
      <c r="BY1441" s="25"/>
      <c r="BZ1441" s="25"/>
      <c r="CA1441" s="25"/>
      <c r="CB1441" s="25"/>
      <c r="CC1441" s="25"/>
      <c r="CD1441" s="25"/>
      <c r="CE1441" s="200"/>
      <c r="CF1441" s="200"/>
      <c r="CG1441" s="200"/>
      <c r="CH1441" s="200"/>
      <c r="CI1441" s="200"/>
      <c r="CJ1441" s="200"/>
      <c r="CK1441" s="200"/>
      <c r="CL1441" s="200"/>
      <c r="CM1441" s="200"/>
      <c r="CN1441" s="200"/>
      <c r="CO1441" s="200"/>
      <c r="CP1441" s="200"/>
      <c r="CQ1441" s="200"/>
      <c r="CR1441" s="200"/>
      <c r="CS1441" s="200"/>
      <c r="CT1441" s="200"/>
      <c r="CU1441" s="200"/>
    </row>
    <row r="1442" spans="1:99" s="17" customFormat="1" x14ac:dyDescent="0.2">
      <c r="A1442" s="25"/>
      <c r="B1442" s="20">
        <v>39039958400</v>
      </c>
      <c r="C1442" s="20">
        <v>9584</v>
      </c>
      <c r="D1442" s="20" t="s">
        <v>26</v>
      </c>
      <c r="E1442" s="20" t="s">
        <v>265</v>
      </c>
      <c r="F1442" s="20" t="s">
        <v>8</v>
      </c>
      <c r="G1442" s="861">
        <v>50.934992335658897</v>
      </c>
      <c r="H1442" s="861">
        <v>54.6113892044445</v>
      </c>
      <c r="I1442" s="861">
        <v>18.884974690906802</v>
      </c>
      <c r="J1442" s="861">
        <v>49.308329212049202</v>
      </c>
      <c r="K1442" s="982">
        <v>0</v>
      </c>
      <c r="L1442" s="735">
        <v>4220</v>
      </c>
      <c r="M1442" s="735">
        <v>3732</v>
      </c>
      <c r="N1442" s="845">
        <f t="shared" si="123"/>
        <v>-0.11563981042654028</v>
      </c>
      <c r="O1442" s="735">
        <v>92.244350110163253</v>
      </c>
      <c r="P1442" s="735">
        <f t="shared" si="124"/>
        <v>40.457762405426905</v>
      </c>
      <c r="Q1442" s="849">
        <v>38.1</v>
      </c>
      <c r="R1442" s="71">
        <v>78929</v>
      </c>
      <c r="S1442" s="845">
        <v>5.1130247578040904E-2</v>
      </c>
      <c r="T1442" s="845">
        <v>2.4E-2</v>
      </c>
      <c r="U1442" s="845">
        <v>4.4000000000000004E-2</v>
      </c>
      <c r="V1442" s="845">
        <v>0.124</v>
      </c>
      <c r="W1442" s="845">
        <v>0.13346883468834689</v>
      </c>
      <c r="X1442" s="845">
        <v>0.17766497461928935</v>
      </c>
      <c r="Y1442" s="845">
        <v>0.92604501607717038</v>
      </c>
      <c r="Z1442" s="845">
        <v>0</v>
      </c>
      <c r="AA1442" s="845">
        <v>1.2057877813504822E-2</v>
      </c>
      <c r="AB1442" s="845">
        <v>5.0911039657020362E-3</v>
      </c>
      <c r="AC1442" s="845">
        <v>0</v>
      </c>
      <c r="AD1442" s="845">
        <v>7.502679528403001E-3</v>
      </c>
      <c r="AE1442" s="845">
        <v>4.9303322615219719E-2</v>
      </c>
      <c r="AF1442" s="845">
        <v>7.7974276527331188E-2</v>
      </c>
      <c r="AG1442" s="845">
        <v>0.8987138263665595</v>
      </c>
      <c r="AH1442" s="20" t="str">
        <f t="shared" si="125"/>
        <v>No</v>
      </c>
      <c r="AI1442" s="25"/>
      <c r="AJ1442" s="37">
        <v>45662</v>
      </c>
      <c r="AK1442" s="37" t="s">
        <v>1806</v>
      </c>
      <c r="AL1442" s="37">
        <v>39145</v>
      </c>
      <c r="AM1442" s="37" t="s">
        <v>78</v>
      </c>
      <c r="AN1442" s="37" t="str">
        <f t="shared" si="126"/>
        <v>N/A</v>
      </c>
      <c r="AO1442" s="37" t="str">
        <f t="shared" si="127"/>
        <v>N/A</v>
      </c>
      <c r="AP1442" s="37" t="s">
        <v>8</v>
      </c>
      <c r="AQ1442" s="25"/>
      <c r="AR1442" s="25"/>
      <c r="AS1442" s="25"/>
      <c r="AT1442" s="25"/>
      <c r="AU1442" s="36"/>
      <c r="AV1442" s="36"/>
      <c r="AW1442" s="36"/>
      <c r="AX1442" s="25"/>
      <c r="AY1442" s="25"/>
      <c r="AZ1442" s="25"/>
      <c r="BA1442" s="25"/>
      <c r="BB1442" s="25"/>
      <c r="BC1442" s="25"/>
      <c r="BD1442" s="25"/>
      <c r="BE1442" s="25"/>
      <c r="BF1442" s="25"/>
      <c r="BG1442" s="25"/>
      <c r="BH1442" s="25"/>
      <c r="BI1442" s="25"/>
      <c r="BJ1442" s="25"/>
      <c r="BK1442" s="25"/>
      <c r="BL1442" s="25"/>
      <c r="BM1442" s="25"/>
      <c r="BN1442" s="25"/>
      <c r="BO1442" s="25"/>
      <c r="BP1442" s="25"/>
      <c r="BQ1442" s="25"/>
      <c r="BR1442" s="25"/>
      <c r="BS1442" s="25"/>
      <c r="BT1442" s="25"/>
      <c r="BU1442" s="25"/>
      <c r="BV1442" s="25"/>
      <c r="BW1442" s="25"/>
      <c r="BX1442" s="25"/>
      <c r="BY1442" s="25"/>
      <c r="BZ1442" s="25"/>
      <c r="CA1442" s="25"/>
      <c r="CB1442" s="25"/>
      <c r="CC1442" s="25"/>
      <c r="CD1442" s="25"/>
      <c r="CE1442" s="200"/>
      <c r="CF1442" s="200"/>
      <c r="CG1442" s="200"/>
      <c r="CH1442" s="200"/>
      <c r="CI1442" s="200"/>
      <c r="CJ1442" s="200"/>
      <c r="CK1442" s="200"/>
      <c r="CL1442" s="200"/>
      <c r="CM1442" s="200"/>
      <c r="CN1442" s="200"/>
      <c r="CO1442" s="200"/>
      <c r="CP1442" s="200"/>
      <c r="CQ1442" s="200"/>
      <c r="CR1442" s="200"/>
      <c r="CS1442" s="200"/>
      <c r="CT1442" s="200"/>
      <c r="CU1442" s="200"/>
    </row>
    <row r="1443" spans="1:99" s="17" customFormat="1" x14ac:dyDescent="0.2">
      <c r="A1443" s="25"/>
      <c r="B1443" s="20">
        <v>39099812102</v>
      </c>
      <c r="C1443" s="20">
        <v>8121.02</v>
      </c>
      <c r="D1443" s="20" t="s">
        <v>55</v>
      </c>
      <c r="E1443" s="20" t="s">
        <v>2842</v>
      </c>
      <c r="F1443" s="20" t="s">
        <v>8</v>
      </c>
      <c r="G1443" s="861">
        <v>50.930887013400898</v>
      </c>
      <c r="H1443" s="861">
        <v>42.778860059890498</v>
      </c>
      <c r="I1443" s="861">
        <v>24.2634235710354</v>
      </c>
      <c r="J1443" s="861">
        <v>46.866019344412798</v>
      </c>
      <c r="K1443" s="982">
        <v>0</v>
      </c>
      <c r="L1443" s="735" t="s">
        <v>2466</v>
      </c>
      <c r="M1443" s="735">
        <v>4120</v>
      </c>
      <c r="N1443" s="845" t="str">
        <f t="shared" si="123"/>
        <v/>
      </c>
      <c r="O1443" s="735">
        <v>14.397636752085322</v>
      </c>
      <c r="P1443" s="735">
        <f t="shared" si="124"/>
        <v>286.15807378271774</v>
      </c>
      <c r="Q1443" s="849">
        <v>47.7</v>
      </c>
      <c r="R1443" s="71">
        <v>97163</v>
      </c>
      <c r="S1443" s="845">
        <v>1.2776412776412777E-2</v>
      </c>
      <c r="T1443" s="845">
        <v>9.8000000000000004E-2</v>
      </c>
      <c r="U1443" s="845">
        <v>0</v>
      </c>
      <c r="V1443" s="845">
        <v>0</v>
      </c>
      <c r="W1443" s="845">
        <v>2.3044269254093391E-2</v>
      </c>
      <c r="X1443" s="845">
        <v>0.28947368421052633</v>
      </c>
      <c r="Y1443" s="845">
        <v>0.98082524271844662</v>
      </c>
      <c r="Z1443" s="845">
        <v>0</v>
      </c>
      <c r="AA1443" s="845">
        <v>0</v>
      </c>
      <c r="AB1443" s="845">
        <v>0</v>
      </c>
      <c r="AC1443" s="845">
        <v>0</v>
      </c>
      <c r="AD1443" s="845">
        <v>0</v>
      </c>
      <c r="AE1443" s="845">
        <v>1.9174757281553399E-2</v>
      </c>
      <c r="AF1443" s="845">
        <v>0</v>
      </c>
      <c r="AG1443" s="845">
        <v>0.98082524271844662</v>
      </c>
      <c r="AH1443" s="20" t="str">
        <f t="shared" si="125"/>
        <v>Yes</v>
      </c>
      <c r="AI1443" s="25"/>
      <c r="AJ1443" s="37">
        <v>45663</v>
      </c>
      <c r="AK1443" s="37" t="s">
        <v>1807</v>
      </c>
      <c r="AL1443" s="37">
        <v>39145</v>
      </c>
      <c r="AM1443" s="37" t="s">
        <v>78</v>
      </c>
      <c r="AN1443" s="37" t="str">
        <f t="shared" si="126"/>
        <v>N/A</v>
      </c>
      <c r="AO1443" s="37" t="str">
        <f t="shared" si="127"/>
        <v>N/A</v>
      </c>
      <c r="AP1443" s="37" t="s">
        <v>8</v>
      </c>
      <c r="AQ1443" s="25"/>
      <c r="AR1443" s="25"/>
      <c r="AS1443" s="25"/>
      <c r="AT1443" s="25"/>
      <c r="AU1443" s="36"/>
      <c r="AV1443" s="36"/>
      <c r="AW1443" s="36"/>
      <c r="AX1443" s="25"/>
      <c r="AY1443" s="25"/>
      <c r="AZ1443" s="25"/>
      <c r="BA1443" s="25"/>
      <c r="BB1443" s="25"/>
      <c r="BC1443" s="25"/>
      <c r="BD1443" s="25"/>
      <c r="BE1443" s="25"/>
      <c r="BF1443" s="25"/>
      <c r="BG1443" s="25"/>
      <c r="BH1443" s="25"/>
      <c r="BI1443" s="25"/>
      <c r="BJ1443" s="25"/>
      <c r="BK1443" s="25"/>
      <c r="BL1443" s="25"/>
      <c r="BM1443" s="25"/>
      <c r="BN1443" s="25"/>
      <c r="BO1443" s="25"/>
      <c r="BP1443" s="25"/>
      <c r="BQ1443" s="25"/>
      <c r="BR1443" s="25"/>
      <c r="BS1443" s="25"/>
      <c r="BT1443" s="25"/>
      <c r="BU1443" s="25"/>
      <c r="BV1443" s="25"/>
      <c r="BW1443" s="25"/>
      <c r="BX1443" s="25"/>
      <c r="BY1443" s="25"/>
      <c r="BZ1443" s="25"/>
      <c r="CA1443" s="25"/>
      <c r="CB1443" s="25"/>
      <c r="CC1443" s="25"/>
      <c r="CD1443" s="25"/>
      <c r="CE1443" s="200"/>
      <c r="CF1443" s="200"/>
      <c r="CG1443" s="200"/>
      <c r="CH1443" s="200"/>
      <c r="CI1443" s="200"/>
      <c r="CJ1443" s="200"/>
      <c r="CK1443" s="200"/>
      <c r="CL1443" s="200"/>
      <c r="CM1443" s="200"/>
      <c r="CN1443" s="200"/>
      <c r="CO1443" s="200"/>
      <c r="CP1443" s="200"/>
      <c r="CQ1443" s="200"/>
      <c r="CR1443" s="200"/>
      <c r="CS1443" s="200"/>
      <c r="CT1443" s="200"/>
      <c r="CU1443" s="200"/>
    </row>
    <row r="1444" spans="1:99" s="17" customFormat="1" x14ac:dyDescent="0.2">
      <c r="A1444" s="25"/>
      <c r="B1444" s="20">
        <v>39133601200</v>
      </c>
      <c r="C1444" s="20">
        <v>6012</v>
      </c>
      <c r="D1444" s="20" t="s">
        <v>72</v>
      </c>
      <c r="E1444" s="20" t="s">
        <v>2843</v>
      </c>
      <c r="F1444" s="20" t="s">
        <v>6</v>
      </c>
      <c r="G1444" s="861">
        <v>50.927897968669697</v>
      </c>
      <c r="H1444" s="861">
        <v>60.111156428351002</v>
      </c>
      <c r="I1444" s="861">
        <v>47.040216712501802</v>
      </c>
      <c r="J1444" s="861">
        <v>41.2576473991586</v>
      </c>
      <c r="K1444" s="982">
        <v>0</v>
      </c>
      <c r="L1444" s="735">
        <v>4367</v>
      </c>
      <c r="M1444" s="735">
        <v>5394</v>
      </c>
      <c r="N1444" s="845">
        <f t="shared" si="123"/>
        <v>0.23517288756583468</v>
      </c>
      <c r="O1444" s="735">
        <v>1.4752226024697852</v>
      </c>
      <c r="P1444" s="735">
        <f t="shared" si="124"/>
        <v>3656.3973402857873</v>
      </c>
      <c r="Q1444" s="849">
        <v>23.7</v>
      </c>
      <c r="R1444" s="71">
        <v>40417</v>
      </c>
      <c r="S1444" s="845">
        <v>0.30562901397808839</v>
      </c>
      <c r="T1444" s="845">
        <v>6.0999999999999999E-2</v>
      </c>
      <c r="U1444" s="845">
        <v>0</v>
      </c>
      <c r="V1444" s="845">
        <v>0</v>
      </c>
      <c r="W1444" s="845">
        <v>0.65464813205907901</v>
      </c>
      <c r="X1444" s="845">
        <v>0.5036496350364964</v>
      </c>
      <c r="Y1444" s="845">
        <v>0.79903596588802372</v>
      </c>
      <c r="Z1444" s="845">
        <v>3.9859102706711162E-2</v>
      </c>
      <c r="AA1444" s="845">
        <v>0</v>
      </c>
      <c r="AB1444" s="845">
        <v>7.9718205413422324E-2</v>
      </c>
      <c r="AC1444" s="845">
        <v>0</v>
      </c>
      <c r="AD1444" s="845">
        <v>3.4111976269929553E-2</v>
      </c>
      <c r="AE1444" s="845">
        <v>4.7274749721913235E-2</v>
      </c>
      <c r="AF1444" s="845">
        <v>4.467927326659251E-2</v>
      </c>
      <c r="AG1444" s="845">
        <v>0.79458657767890251</v>
      </c>
      <c r="AH1444" s="20" t="str">
        <f t="shared" si="125"/>
        <v>No</v>
      </c>
      <c r="AI1444" s="25"/>
      <c r="AJ1444" s="37">
        <v>45671</v>
      </c>
      <c r="AK1444" s="37" t="s">
        <v>1809</v>
      </c>
      <c r="AL1444" s="37">
        <v>39145</v>
      </c>
      <c r="AM1444" s="37" t="s">
        <v>78</v>
      </c>
      <c r="AN1444" s="37" t="str">
        <f t="shared" si="126"/>
        <v>N/A</v>
      </c>
      <c r="AO1444" s="37" t="str">
        <f t="shared" si="127"/>
        <v>N/A</v>
      </c>
      <c r="AP1444" s="37" t="s">
        <v>8</v>
      </c>
      <c r="AQ1444" s="25"/>
      <c r="AR1444" s="25"/>
      <c r="AS1444" s="25"/>
      <c r="AT1444" s="25"/>
      <c r="AU1444" s="36"/>
      <c r="AV1444" s="36"/>
      <c r="AW1444" s="36"/>
      <c r="AX1444" s="25"/>
      <c r="AY1444" s="25"/>
      <c r="AZ1444" s="25"/>
      <c r="BA1444" s="25"/>
      <c r="BB1444" s="25"/>
      <c r="BC1444" s="25"/>
      <c r="BD1444" s="25"/>
      <c r="BE1444" s="25"/>
      <c r="BF1444" s="25"/>
      <c r="BG1444" s="25"/>
      <c r="BH1444" s="25"/>
      <c r="BI1444" s="25"/>
      <c r="BJ1444" s="25"/>
      <c r="BK1444" s="25"/>
      <c r="BL1444" s="25"/>
      <c r="BM1444" s="25"/>
      <c r="BN1444" s="25"/>
      <c r="BO1444" s="25"/>
      <c r="BP1444" s="25"/>
      <c r="BQ1444" s="25"/>
      <c r="BR1444" s="25"/>
      <c r="BS1444" s="25"/>
      <c r="BT1444" s="25"/>
      <c r="BU1444" s="25"/>
      <c r="BV1444" s="25"/>
      <c r="BW1444" s="25"/>
      <c r="BX1444" s="25"/>
      <c r="BY1444" s="25"/>
      <c r="BZ1444" s="25"/>
      <c r="CA1444" s="25"/>
      <c r="CB1444" s="25"/>
      <c r="CC1444" s="25"/>
      <c r="CD1444" s="25"/>
      <c r="CE1444" s="200"/>
      <c r="CF1444" s="200"/>
      <c r="CG1444" s="200"/>
      <c r="CH1444" s="200"/>
      <c r="CI1444" s="200"/>
      <c r="CJ1444" s="200"/>
      <c r="CK1444" s="200"/>
      <c r="CL1444" s="200"/>
      <c r="CM1444" s="200"/>
      <c r="CN1444" s="200"/>
      <c r="CO1444" s="200"/>
      <c r="CP1444" s="200"/>
      <c r="CQ1444" s="200"/>
      <c r="CR1444" s="200"/>
      <c r="CS1444" s="200"/>
      <c r="CT1444" s="200"/>
      <c r="CU1444" s="200"/>
    </row>
    <row r="1445" spans="1:99" s="17" customFormat="1" x14ac:dyDescent="0.2">
      <c r="A1445" s="25"/>
      <c r="B1445" s="20">
        <v>39157020300</v>
      </c>
      <c r="C1445" s="20">
        <v>203</v>
      </c>
      <c r="D1445" s="20" t="s">
        <v>84</v>
      </c>
      <c r="E1445" s="20" t="s">
        <v>265</v>
      </c>
      <c r="F1445" s="20" t="s">
        <v>8</v>
      </c>
      <c r="G1445" s="861">
        <v>50.891606857292203</v>
      </c>
      <c r="H1445" s="861">
        <v>54.9206630410131</v>
      </c>
      <c r="I1445" s="861">
        <v>23.897398456499602</v>
      </c>
      <c r="J1445" s="861">
        <v>37.665593412333898</v>
      </c>
      <c r="K1445" s="982">
        <v>0</v>
      </c>
      <c r="L1445" s="735">
        <v>3620</v>
      </c>
      <c r="M1445" s="735">
        <v>3497</v>
      </c>
      <c r="N1445" s="845">
        <f t="shared" si="123"/>
        <v>-3.3977900552486187E-2</v>
      </c>
      <c r="O1445" s="735">
        <v>11.207581180749127</v>
      </c>
      <c r="P1445" s="735">
        <f t="shared" si="124"/>
        <v>312.02093864880277</v>
      </c>
      <c r="Q1445" s="849">
        <v>44.6</v>
      </c>
      <c r="R1445" s="71">
        <v>68083</v>
      </c>
      <c r="S1445" s="845">
        <v>6.6056619959965687E-2</v>
      </c>
      <c r="T1445" s="845">
        <v>3.5000000000000003E-2</v>
      </c>
      <c r="U1445" s="845">
        <v>5.0000000000000001E-3</v>
      </c>
      <c r="V1445" s="845">
        <v>0.13699999999999998</v>
      </c>
      <c r="W1445" s="845">
        <v>0.33848220282068503</v>
      </c>
      <c r="X1445" s="845">
        <v>0.21626984126984128</v>
      </c>
      <c r="Y1445" s="845">
        <v>0.94795539033457255</v>
      </c>
      <c r="Z1445" s="845">
        <v>1.7443523019731198E-2</v>
      </c>
      <c r="AA1445" s="845">
        <v>0</v>
      </c>
      <c r="AB1445" s="845">
        <v>0</v>
      </c>
      <c r="AC1445" s="845">
        <v>0</v>
      </c>
      <c r="AD1445" s="845">
        <v>4.8613096940234484E-3</v>
      </c>
      <c r="AE1445" s="845">
        <v>2.9739776951672861E-2</v>
      </c>
      <c r="AF1445" s="845">
        <v>1.143837575064341E-3</v>
      </c>
      <c r="AG1445" s="845">
        <v>0.94681155275950812</v>
      </c>
      <c r="AH1445" s="20" t="str">
        <f t="shared" si="125"/>
        <v>Yes</v>
      </c>
      <c r="AI1445" s="25"/>
      <c r="AJ1445" s="37">
        <v>45677</v>
      </c>
      <c r="AK1445" s="37" t="s">
        <v>1813</v>
      </c>
      <c r="AL1445" s="37">
        <v>39145</v>
      </c>
      <c r="AM1445" s="37" t="s">
        <v>78</v>
      </c>
      <c r="AN1445" s="37" t="str">
        <f t="shared" si="126"/>
        <v>N/A</v>
      </c>
      <c r="AO1445" s="37" t="str">
        <f t="shared" si="127"/>
        <v>N/A</v>
      </c>
      <c r="AP1445" s="37" t="s">
        <v>8</v>
      </c>
      <c r="AQ1445" s="25"/>
      <c r="AR1445" s="25"/>
      <c r="AS1445" s="25"/>
      <c r="AT1445" s="25"/>
      <c r="AU1445" s="36"/>
      <c r="AV1445" s="36"/>
      <c r="AW1445" s="36"/>
      <c r="AX1445" s="25"/>
      <c r="AY1445" s="25"/>
      <c r="AZ1445" s="25"/>
      <c r="BA1445" s="25"/>
      <c r="BB1445" s="25"/>
      <c r="BC1445" s="25"/>
      <c r="BD1445" s="25"/>
      <c r="BE1445" s="25"/>
      <c r="BF1445" s="25"/>
      <c r="BG1445" s="25"/>
      <c r="BH1445" s="25"/>
      <c r="BI1445" s="25"/>
      <c r="BJ1445" s="25"/>
      <c r="BK1445" s="25"/>
      <c r="BL1445" s="25"/>
      <c r="BM1445" s="25"/>
      <c r="BN1445" s="25"/>
      <c r="BO1445" s="25"/>
      <c r="BP1445" s="25"/>
      <c r="BQ1445" s="25"/>
      <c r="BR1445" s="25"/>
      <c r="BS1445" s="25"/>
      <c r="BT1445" s="25"/>
      <c r="BU1445" s="25"/>
      <c r="BV1445" s="25"/>
      <c r="BW1445" s="25"/>
      <c r="BX1445" s="25"/>
      <c r="BY1445" s="25"/>
      <c r="BZ1445" s="25"/>
      <c r="CA1445" s="25"/>
      <c r="CB1445" s="25"/>
      <c r="CC1445" s="25"/>
      <c r="CD1445" s="25"/>
      <c r="CE1445" s="200"/>
      <c r="CF1445" s="200"/>
      <c r="CG1445" s="200"/>
      <c r="CH1445" s="200"/>
      <c r="CI1445" s="200"/>
      <c r="CJ1445" s="200"/>
      <c r="CK1445" s="200"/>
      <c r="CL1445" s="200"/>
      <c r="CM1445" s="200"/>
      <c r="CN1445" s="200"/>
      <c r="CO1445" s="200"/>
      <c r="CP1445" s="200"/>
      <c r="CQ1445" s="200"/>
      <c r="CR1445" s="200"/>
      <c r="CS1445" s="200"/>
      <c r="CT1445" s="200"/>
      <c r="CU1445" s="200"/>
    </row>
    <row r="1446" spans="1:99" s="17" customFormat="1" x14ac:dyDescent="0.2">
      <c r="A1446" s="25"/>
      <c r="B1446" s="20">
        <v>39061010003</v>
      </c>
      <c r="C1446" s="20">
        <v>100.03</v>
      </c>
      <c r="D1446" s="20" t="s">
        <v>37</v>
      </c>
      <c r="E1446" s="20" t="s">
        <v>2828</v>
      </c>
      <c r="F1446" s="20" t="s">
        <v>6</v>
      </c>
      <c r="G1446" s="861">
        <v>50.890727759184003</v>
      </c>
      <c r="H1446" s="861">
        <v>57.783442420129397</v>
      </c>
      <c r="I1446" s="861">
        <v>35.549077929245797</v>
      </c>
      <c r="J1446" s="861">
        <v>65.686939495794206</v>
      </c>
      <c r="K1446" s="982">
        <v>0</v>
      </c>
      <c r="L1446" s="735">
        <v>4446</v>
      </c>
      <c r="M1446" s="735">
        <v>6489</v>
      </c>
      <c r="N1446" s="845">
        <f t="shared" si="123"/>
        <v>0.45951417004048584</v>
      </c>
      <c r="O1446" s="735">
        <v>0.85534678381206941</v>
      </c>
      <c r="P1446" s="735">
        <f t="shared" si="124"/>
        <v>7586.3966788769922</v>
      </c>
      <c r="Q1446" s="849">
        <v>29.2</v>
      </c>
      <c r="R1446" s="71">
        <v>58776</v>
      </c>
      <c r="S1446" s="845">
        <v>0.17901828681424448</v>
      </c>
      <c r="T1446" s="845">
        <v>7.9000000000000001E-2</v>
      </c>
      <c r="U1446" s="845">
        <v>0</v>
      </c>
      <c r="V1446" s="845">
        <v>6.0000000000000001E-3</v>
      </c>
      <c r="W1446" s="845">
        <v>0.67364831953239157</v>
      </c>
      <c r="X1446" s="845">
        <v>0.30874909616775126</v>
      </c>
      <c r="Y1446" s="845">
        <v>0.24395130220372938</v>
      </c>
      <c r="Z1446" s="845">
        <v>0.52596702111265214</v>
      </c>
      <c r="AA1446" s="845">
        <v>9.2464170134073042E-4</v>
      </c>
      <c r="AB1446" s="845">
        <v>2.8817999691786101E-2</v>
      </c>
      <c r="AC1446" s="845">
        <v>0</v>
      </c>
      <c r="AD1446" s="845">
        <v>1.3253197719217137E-2</v>
      </c>
      <c r="AE1446" s="845">
        <v>0.18708583757127448</v>
      </c>
      <c r="AF1446" s="845">
        <v>0.1718292494991524</v>
      </c>
      <c r="AG1446" s="845">
        <v>0.20943134535367544</v>
      </c>
      <c r="AH1446" s="20" t="str">
        <f t="shared" si="125"/>
        <v>No</v>
      </c>
      <c r="AI1446" s="25"/>
      <c r="AJ1446" s="37">
        <v>45682</v>
      </c>
      <c r="AK1446" s="37" t="s">
        <v>1818</v>
      </c>
      <c r="AL1446" s="37">
        <v>39145</v>
      </c>
      <c r="AM1446" s="37" t="s">
        <v>78</v>
      </c>
      <c r="AN1446" s="37" t="str">
        <f t="shared" si="126"/>
        <v>N/A</v>
      </c>
      <c r="AO1446" s="37" t="str">
        <f t="shared" si="127"/>
        <v>N/A</v>
      </c>
      <c r="AP1446" s="37" t="s">
        <v>8</v>
      </c>
      <c r="AQ1446" s="25"/>
      <c r="AR1446" s="25"/>
      <c r="AS1446" s="25"/>
      <c r="AT1446" s="25"/>
      <c r="AU1446" s="36"/>
      <c r="AV1446" s="36"/>
      <c r="AW1446" s="36"/>
      <c r="AX1446" s="25"/>
      <c r="AY1446" s="25"/>
      <c r="AZ1446" s="25"/>
      <c r="BA1446" s="25"/>
      <c r="BB1446" s="25"/>
      <c r="BC1446" s="25"/>
      <c r="BD1446" s="25"/>
      <c r="BE1446" s="25"/>
      <c r="BF1446" s="25"/>
      <c r="BG1446" s="25"/>
      <c r="BH1446" s="25"/>
      <c r="BI1446" s="25"/>
      <c r="BJ1446" s="25"/>
      <c r="BK1446" s="25"/>
      <c r="BL1446" s="25"/>
      <c r="BM1446" s="25"/>
      <c r="BN1446" s="25"/>
      <c r="BO1446" s="25"/>
      <c r="BP1446" s="25"/>
      <c r="BQ1446" s="25"/>
      <c r="BR1446" s="25"/>
      <c r="BS1446" s="25"/>
      <c r="BT1446" s="25"/>
      <c r="BU1446" s="25"/>
      <c r="BV1446" s="25"/>
      <c r="BW1446" s="25"/>
      <c r="BX1446" s="25"/>
      <c r="BY1446" s="25"/>
      <c r="BZ1446" s="25"/>
      <c r="CA1446" s="25"/>
      <c r="CB1446" s="25"/>
      <c r="CC1446" s="25"/>
      <c r="CD1446" s="25"/>
      <c r="CE1446" s="200"/>
      <c r="CF1446" s="200"/>
      <c r="CG1446" s="200"/>
      <c r="CH1446" s="200"/>
      <c r="CI1446" s="200"/>
      <c r="CJ1446" s="200"/>
      <c r="CK1446" s="200"/>
      <c r="CL1446" s="200"/>
      <c r="CM1446" s="200"/>
      <c r="CN1446" s="200"/>
      <c r="CO1446" s="200"/>
      <c r="CP1446" s="200"/>
      <c r="CQ1446" s="200"/>
      <c r="CR1446" s="200"/>
      <c r="CS1446" s="200"/>
      <c r="CT1446" s="200"/>
      <c r="CU1446" s="200"/>
    </row>
    <row r="1447" spans="1:99" s="17" customFormat="1" x14ac:dyDescent="0.2">
      <c r="A1447" s="25"/>
      <c r="B1447" s="20">
        <v>39035154100</v>
      </c>
      <c r="C1447" s="20">
        <v>1541</v>
      </c>
      <c r="D1447" s="20" t="s">
        <v>24</v>
      </c>
      <c r="E1447" s="20" t="s">
        <v>2829</v>
      </c>
      <c r="F1447" s="20" t="s">
        <v>6</v>
      </c>
      <c r="G1447" s="861">
        <v>50.880057870733502</v>
      </c>
      <c r="H1447" s="861">
        <v>67.376498884061803</v>
      </c>
      <c r="I1447" s="861">
        <v>49.203789609924897</v>
      </c>
      <c r="J1447" s="861">
        <v>39.027378635745599</v>
      </c>
      <c r="K1447" s="982">
        <v>0</v>
      </c>
      <c r="L1447" s="735">
        <v>2006</v>
      </c>
      <c r="M1447" s="735">
        <v>2125</v>
      </c>
      <c r="N1447" s="845">
        <f t="shared" si="123"/>
        <v>5.9322033898305086E-2</v>
      </c>
      <c r="O1447" s="735">
        <v>0.22645007432099756</v>
      </c>
      <c r="P1447" s="735">
        <f t="shared" si="124"/>
        <v>9383.9668914737013</v>
      </c>
      <c r="Q1447" s="849">
        <v>40.5</v>
      </c>
      <c r="R1447" s="71">
        <v>53750</v>
      </c>
      <c r="S1447" s="845">
        <v>0.25549188156638014</v>
      </c>
      <c r="T1447" s="845">
        <v>5.5999999999999994E-2</v>
      </c>
      <c r="U1447" s="845">
        <v>3.4000000000000002E-2</v>
      </c>
      <c r="V1447" s="845">
        <v>0</v>
      </c>
      <c r="W1447" s="845">
        <v>0.50217391304347825</v>
      </c>
      <c r="X1447" s="845">
        <v>0.46753246753246752</v>
      </c>
      <c r="Y1447" s="845">
        <v>0.40988235294117648</v>
      </c>
      <c r="Z1447" s="845">
        <v>0.50964705882352945</v>
      </c>
      <c r="AA1447" s="845">
        <v>0</v>
      </c>
      <c r="AB1447" s="845">
        <v>0</v>
      </c>
      <c r="AC1447" s="845">
        <v>0</v>
      </c>
      <c r="AD1447" s="845">
        <v>4.0470588235294119E-2</v>
      </c>
      <c r="AE1447" s="845">
        <v>0.04</v>
      </c>
      <c r="AF1447" s="845">
        <v>5.2705882352941179E-2</v>
      </c>
      <c r="AG1447" s="845">
        <v>0.40705882352941175</v>
      </c>
      <c r="AH1447" s="20" t="str">
        <f t="shared" si="125"/>
        <v>No</v>
      </c>
      <c r="AI1447" s="25"/>
      <c r="AJ1447" s="37">
        <v>45684</v>
      </c>
      <c r="AK1447" s="37" t="s">
        <v>1819</v>
      </c>
      <c r="AL1447" s="37">
        <v>39145</v>
      </c>
      <c r="AM1447" s="37" t="s">
        <v>78</v>
      </c>
      <c r="AN1447" s="37" t="str">
        <f t="shared" si="126"/>
        <v>N/A</v>
      </c>
      <c r="AO1447" s="37" t="str">
        <f t="shared" si="127"/>
        <v>N/A</v>
      </c>
      <c r="AP1447" s="37" t="s">
        <v>8</v>
      </c>
      <c r="AQ1447" s="25"/>
      <c r="AR1447" s="25"/>
      <c r="AS1447" s="25"/>
      <c r="AT1447" s="25"/>
      <c r="AU1447" s="36"/>
      <c r="AV1447" s="36"/>
      <c r="AW1447" s="36"/>
      <c r="AX1447" s="25"/>
      <c r="AY1447" s="25"/>
      <c r="AZ1447" s="25"/>
      <c r="BA1447" s="25"/>
      <c r="BB1447" s="25"/>
      <c r="BC1447" s="25"/>
      <c r="BD1447" s="25"/>
      <c r="BE1447" s="25"/>
      <c r="BF1447" s="25"/>
      <c r="BG1447" s="25"/>
      <c r="BH1447" s="25"/>
      <c r="BI1447" s="25"/>
      <c r="BJ1447" s="25"/>
      <c r="BK1447" s="25"/>
      <c r="BL1447" s="25"/>
      <c r="BM1447" s="25"/>
      <c r="BN1447" s="25"/>
      <c r="BO1447" s="25"/>
      <c r="BP1447" s="25"/>
      <c r="BQ1447" s="25"/>
      <c r="BR1447" s="25"/>
      <c r="BS1447" s="25"/>
      <c r="BT1447" s="25"/>
      <c r="BU1447" s="25"/>
      <c r="BV1447" s="25"/>
      <c r="BW1447" s="25"/>
      <c r="BX1447" s="25"/>
      <c r="BY1447" s="25"/>
      <c r="BZ1447" s="25"/>
      <c r="CA1447" s="25"/>
      <c r="CB1447" s="25"/>
      <c r="CC1447" s="25"/>
      <c r="CD1447" s="25"/>
      <c r="CE1447" s="200"/>
      <c r="CF1447" s="200"/>
      <c r="CG1447" s="200"/>
      <c r="CH1447" s="200"/>
      <c r="CI1447" s="200"/>
      <c r="CJ1447" s="200"/>
      <c r="CK1447" s="200"/>
      <c r="CL1447" s="200"/>
      <c r="CM1447" s="200"/>
      <c r="CN1447" s="200"/>
      <c r="CO1447" s="200"/>
      <c r="CP1447" s="200"/>
      <c r="CQ1447" s="200"/>
      <c r="CR1447" s="200"/>
      <c r="CS1447" s="200"/>
      <c r="CT1447" s="200"/>
      <c r="CU1447" s="200"/>
    </row>
    <row r="1448" spans="1:99" s="17" customFormat="1" x14ac:dyDescent="0.2">
      <c r="A1448" s="25"/>
      <c r="B1448" s="20">
        <v>39113003100</v>
      </c>
      <c r="C1448" s="20">
        <v>31</v>
      </c>
      <c r="D1448" s="20" t="s">
        <v>62</v>
      </c>
      <c r="E1448" s="20" t="s">
        <v>2833</v>
      </c>
      <c r="F1448" s="20" t="s">
        <v>8</v>
      </c>
      <c r="G1448" s="861">
        <v>50.8658859526562</v>
      </c>
      <c r="H1448" s="861">
        <v>54.527622665771098</v>
      </c>
      <c r="I1448" s="861">
        <v>30.9134549685911</v>
      </c>
      <c r="J1448" s="861">
        <v>51.114640527000503</v>
      </c>
      <c r="K1448" s="982">
        <v>0</v>
      </c>
      <c r="L1448" s="735">
        <v>2535</v>
      </c>
      <c r="M1448" s="735">
        <v>3059</v>
      </c>
      <c r="N1448" s="845">
        <f t="shared" si="123"/>
        <v>0.2067061143984221</v>
      </c>
      <c r="O1448" s="735">
        <v>0.3920052744952563</v>
      </c>
      <c r="P1448" s="735">
        <f t="shared" si="124"/>
        <v>7803.4664302380897</v>
      </c>
      <c r="Q1448" s="849">
        <v>41.2</v>
      </c>
      <c r="R1448" s="71">
        <v>59250</v>
      </c>
      <c r="S1448" s="845">
        <v>0.2154298790454397</v>
      </c>
      <c r="T1448" s="845">
        <v>3.4000000000000002E-2</v>
      </c>
      <c r="U1448" s="845">
        <v>3.3000000000000002E-2</v>
      </c>
      <c r="V1448" s="845">
        <v>4.2000000000000003E-2</v>
      </c>
      <c r="W1448" s="845">
        <v>0.54262516914749659</v>
      </c>
      <c r="X1448" s="845">
        <v>0.37905236907730672</v>
      </c>
      <c r="Y1448" s="845">
        <v>0.86498855835240274</v>
      </c>
      <c r="Z1448" s="845">
        <v>6.6034651847008824E-2</v>
      </c>
      <c r="AA1448" s="845">
        <v>0</v>
      </c>
      <c r="AB1448" s="845">
        <v>0</v>
      </c>
      <c r="AC1448" s="845">
        <v>0</v>
      </c>
      <c r="AD1448" s="845">
        <v>3.2363517489375611E-2</v>
      </c>
      <c r="AE1448" s="845">
        <v>3.6613272311212815E-2</v>
      </c>
      <c r="AF1448" s="845">
        <v>4.5766590389016017E-2</v>
      </c>
      <c r="AG1448" s="845">
        <v>0.86498855835240274</v>
      </c>
      <c r="AH1448" s="20" t="str">
        <f t="shared" si="125"/>
        <v>No</v>
      </c>
      <c r="AI1448" s="25"/>
      <c r="AJ1448" s="37">
        <v>45694</v>
      </c>
      <c r="AK1448" s="37" t="s">
        <v>1826</v>
      </c>
      <c r="AL1448" s="37">
        <v>39145</v>
      </c>
      <c r="AM1448" s="37" t="s">
        <v>78</v>
      </c>
      <c r="AN1448" s="37" t="str">
        <f t="shared" si="126"/>
        <v>N/A</v>
      </c>
      <c r="AO1448" s="37" t="str">
        <f t="shared" si="127"/>
        <v>N/A</v>
      </c>
      <c r="AP1448" s="37" t="s">
        <v>8</v>
      </c>
      <c r="AQ1448" s="25"/>
      <c r="AR1448" s="25"/>
      <c r="AS1448" s="25"/>
      <c r="AT1448" s="25"/>
      <c r="AU1448" s="36"/>
      <c r="AV1448" s="36"/>
      <c r="AW1448" s="36"/>
      <c r="AX1448" s="25"/>
      <c r="AY1448" s="25"/>
      <c r="AZ1448" s="25"/>
      <c r="BA1448" s="25"/>
      <c r="BB1448" s="25"/>
      <c r="BC1448" s="25"/>
      <c r="BD1448" s="25"/>
      <c r="BE1448" s="25"/>
      <c r="BF1448" s="25"/>
      <c r="BG1448" s="25"/>
      <c r="BH1448" s="25"/>
      <c r="BI1448" s="25"/>
      <c r="BJ1448" s="25"/>
      <c r="BK1448" s="25"/>
      <c r="BL1448" s="25"/>
      <c r="BM1448" s="25"/>
      <c r="BN1448" s="25"/>
      <c r="BO1448" s="25"/>
      <c r="BP1448" s="25"/>
      <c r="BQ1448" s="25"/>
      <c r="BR1448" s="25"/>
      <c r="BS1448" s="25"/>
      <c r="BT1448" s="25"/>
      <c r="BU1448" s="25"/>
      <c r="BV1448" s="25"/>
      <c r="BW1448" s="25"/>
      <c r="BX1448" s="25"/>
      <c r="BY1448" s="25"/>
      <c r="BZ1448" s="25"/>
      <c r="CA1448" s="25"/>
      <c r="CB1448" s="25"/>
      <c r="CC1448" s="25"/>
      <c r="CD1448" s="25"/>
      <c r="CE1448" s="200"/>
      <c r="CF1448" s="200"/>
      <c r="CG1448" s="200"/>
      <c r="CH1448" s="200"/>
      <c r="CI1448" s="200"/>
      <c r="CJ1448" s="200"/>
      <c r="CK1448" s="200"/>
      <c r="CL1448" s="200"/>
      <c r="CM1448" s="200"/>
      <c r="CN1448" s="200"/>
      <c r="CO1448" s="200"/>
      <c r="CP1448" s="200"/>
      <c r="CQ1448" s="200"/>
      <c r="CR1448" s="200"/>
      <c r="CS1448" s="200"/>
      <c r="CT1448" s="200"/>
      <c r="CU1448" s="200"/>
    </row>
    <row r="1449" spans="1:99" s="17" customFormat="1" x14ac:dyDescent="0.2">
      <c r="A1449" s="25"/>
      <c r="B1449" s="20">
        <v>39107967400</v>
      </c>
      <c r="C1449" s="20">
        <v>9674</v>
      </c>
      <c r="D1449" s="20" t="s">
        <v>59</v>
      </c>
      <c r="E1449" s="20" t="s">
        <v>265</v>
      </c>
      <c r="F1449" s="20" t="s">
        <v>8</v>
      </c>
      <c r="G1449" s="861">
        <v>50.848325291447502</v>
      </c>
      <c r="H1449" s="861">
        <v>55.839585006388603</v>
      </c>
      <c r="I1449" s="861">
        <v>31.166818156316499</v>
      </c>
      <c r="J1449" s="861">
        <v>41.889286429003398</v>
      </c>
      <c r="K1449" s="982">
        <v>0</v>
      </c>
      <c r="L1449" s="735">
        <v>4625</v>
      </c>
      <c r="M1449" s="735">
        <v>4919</v>
      </c>
      <c r="N1449" s="845">
        <f t="shared" si="123"/>
        <v>6.3567567567567568E-2</v>
      </c>
      <c r="O1449" s="735">
        <v>9.0936726346593151</v>
      </c>
      <c r="P1449" s="735">
        <f t="shared" si="124"/>
        <v>540.92556413916759</v>
      </c>
      <c r="Q1449" s="849">
        <v>38.200000000000003</v>
      </c>
      <c r="R1449" s="71">
        <v>72468</v>
      </c>
      <c r="S1449" s="845">
        <v>9.9767491016698379E-2</v>
      </c>
      <c r="T1449" s="845">
        <v>2.1000000000000001E-2</v>
      </c>
      <c r="U1449" s="845">
        <v>1E-3</v>
      </c>
      <c r="V1449" s="845">
        <v>5.5999999999999994E-2</v>
      </c>
      <c r="W1449" s="845">
        <v>0.27263212977498691</v>
      </c>
      <c r="X1449" s="845">
        <v>0.32245681381957775</v>
      </c>
      <c r="Y1449" s="845">
        <v>0.92356169953242528</v>
      </c>
      <c r="Z1449" s="845">
        <v>1.8093108355356779E-2</v>
      </c>
      <c r="AA1449" s="845">
        <v>0</v>
      </c>
      <c r="AB1449" s="845">
        <v>3.4559869892254523E-3</v>
      </c>
      <c r="AC1449" s="845">
        <v>0</v>
      </c>
      <c r="AD1449" s="845">
        <v>2.4395202276885548E-3</v>
      </c>
      <c r="AE1449" s="845">
        <v>5.2449684895303925E-2</v>
      </c>
      <c r="AF1449" s="845">
        <v>4.614759097377516E-2</v>
      </c>
      <c r="AG1449" s="845">
        <v>0.90262248424476521</v>
      </c>
      <c r="AH1449" s="20" t="str">
        <f t="shared" si="125"/>
        <v>Yes</v>
      </c>
      <c r="AI1449" s="25"/>
      <c r="AJ1449" s="37">
        <v>45699</v>
      </c>
      <c r="AK1449" s="37" t="s">
        <v>1831</v>
      </c>
      <c r="AL1449" s="37">
        <v>39145</v>
      </c>
      <c r="AM1449" s="37" t="s">
        <v>78</v>
      </c>
      <c r="AN1449" s="37" t="str">
        <f t="shared" si="126"/>
        <v>N/A</v>
      </c>
      <c r="AO1449" s="37" t="str">
        <f t="shared" si="127"/>
        <v>N/A</v>
      </c>
      <c r="AP1449" s="37" t="s">
        <v>8</v>
      </c>
      <c r="AQ1449" s="25"/>
      <c r="AR1449" s="25"/>
      <c r="AS1449" s="25"/>
      <c r="AT1449" s="25"/>
      <c r="AU1449" s="36"/>
      <c r="AV1449" s="36"/>
      <c r="AW1449" s="36"/>
      <c r="AX1449" s="25"/>
      <c r="AY1449" s="25"/>
      <c r="AZ1449" s="25"/>
      <c r="BA1449" s="25"/>
      <c r="BB1449" s="25"/>
      <c r="BC1449" s="25"/>
      <c r="BD1449" s="25"/>
      <c r="BE1449" s="25"/>
      <c r="BF1449" s="25"/>
      <c r="BG1449" s="25"/>
      <c r="BH1449" s="25"/>
      <c r="BI1449" s="25"/>
      <c r="BJ1449" s="25"/>
      <c r="BK1449" s="25"/>
      <c r="BL1449" s="25"/>
      <c r="BM1449" s="25"/>
      <c r="BN1449" s="25"/>
      <c r="BO1449" s="25"/>
      <c r="BP1449" s="25"/>
      <c r="BQ1449" s="25"/>
      <c r="BR1449" s="25"/>
      <c r="BS1449" s="25"/>
      <c r="BT1449" s="25"/>
      <c r="BU1449" s="25"/>
      <c r="BV1449" s="25"/>
      <c r="BW1449" s="25"/>
      <c r="BX1449" s="25"/>
      <c r="BY1449" s="25"/>
      <c r="BZ1449" s="25"/>
      <c r="CA1449" s="25"/>
      <c r="CB1449" s="25"/>
      <c r="CC1449" s="25"/>
      <c r="CD1449" s="25"/>
      <c r="CE1449" s="200"/>
      <c r="CF1449" s="200"/>
      <c r="CG1449" s="200"/>
      <c r="CH1449" s="200"/>
      <c r="CI1449" s="200"/>
      <c r="CJ1449" s="200"/>
      <c r="CK1449" s="200"/>
      <c r="CL1449" s="200"/>
      <c r="CM1449" s="200"/>
      <c r="CN1449" s="200"/>
      <c r="CO1449" s="200"/>
      <c r="CP1449" s="200"/>
      <c r="CQ1449" s="200"/>
      <c r="CR1449" s="200"/>
      <c r="CS1449" s="200"/>
      <c r="CT1449" s="200"/>
      <c r="CU1449" s="200"/>
    </row>
    <row r="1450" spans="1:99" s="17" customFormat="1" x14ac:dyDescent="0.2">
      <c r="A1450" s="25"/>
      <c r="B1450" s="20">
        <v>39129020200</v>
      </c>
      <c r="C1450" s="20">
        <v>202</v>
      </c>
      <c r="D1450" s="20" t="s">
        <v>70</v>
      </c>
      <c r="E1450" s="20" t="s">
        <v>2830</v>
      </c>
      <c r="F1450" s="20" t="s">
        <v>6</v>
      </c>
      <c r="G1450" s="861">
        <v>50.844244018567998</v>
      </c>
      <c r="H1450" s="861">
        <v>38.590941533632602</v>
      </c>
      <c r="I1450" s="861">
        <v>41.621123459183401</v>
      </c>
      <c r="J1450" s="861">
        <v>53.086447390268802</v>
      </c>
      <c r="K1450" s="982">
        <v>0</v>
      </c>
      <c r="L1450" s="735">
        <v>2646</v>
      </c>
      <c r="M1450" s="735">
        <v>2710</v>
      </c>
      <c r="N1450" s="845">
        <f t="shared" si="123"/>
        <v>2.4187452758881331E-2</v>
      </c>
      <c r="O1450" s="735">
        <v>0.50843785533826258</v>
      </c>
      <c r="P1450" s="735">
        <f t="shared" si="124"/>
        <v>5330.0515914517082</v>
      </c>
      <c r="Q1450" s="849">
        <v>39</v>
      </c>
      <c r="R1450" s="71">
        <v>49796</v>
      </c>
      <c r="S1450" s="845">
        <v>0.20526120785476101</v>
      </c>
      <c r="T1450" s="845">
        <v>0.13100000000000001</v>
      </c>
      <c r="U1450" s="845">
        <v>0</v>
      </c>
      <c r="V1450" s="845">
        <v>0</v>
      </c>
      <c r="W1450" s="845">
        <v>0.5903908794788274</v>
      </c>
      <c r="X1450" s="845">
        <v>0.41379310344827586</v>
      </c>
      <c r="Y1450" s="845">
        <v>0.93690036900369</v>
      </c>
      <c r="Z1450" s="845">
        <v>4.0590405904059037E-3</v>
      </c>
      <c r="AA1450" s="845">
        <v>0</v>
      </c>
      <c r="AB1450" s="845">
        <v>5.9040590405904057E-3</v>
      </c>
      <c r="AC1450" s="845">
        <v>0</v>
      </c>
      <c r="AD1450" s="845">
        <v>4.7970479704797049E-3</v>
      </c>
      <c r="AE1450" s="845">
        <v>4.8339483394833946E-2</v>
      </c>
      <c r="AF1450" s="845">
        <v>0</v>
      </c>
      <c r="AG1450" s="845">
        <v>0.93690036900369</v>
      </c>
      <c r="AH1450" s="20" t="str">
        <f t="shared" si="125"/>
        <v>Yes</v>
      </c>
      <c r="AI1450" s="25"/>
      <c r="AJ1450" s="37">
        <v>43316</v>
      </c>
      <c r="AK1450" s="37" t="s">
        <v>871</v>
      </c>
      <c r="AL1450" s="37">
        <v>39147</v>
      </c>
      <c r="AM1450" s="37" t="s">
        <v>79</v>
      </c>
      <c r="AN1450" s="37" t="str">
        <f t="shared" si="126"/>
        <v>N/A</v>
      </c>
      <c r="AO1450" s="37" t="str">
        <f t="shared" si="127"/>
        <v>N/A</v>
      </c>
      <c r="AP1450" s="37" t="s">
        <v>8</v>
      </c>
      <c r="AQ1450" s="25"/>
      <c r="AR1450" s="25"/>
      <c r="AS1450" s="25"/>
      <c r="AT1450" s="25"/>
      <c r="AU1450" s="36"/>
      <c r="AV1450" s="36"/>
      <c r="AW1450" s="36"/>
      <c r="AX1450" s="25"/>
      <c r="AY1450" s="25"/>
      <c r="AZ1450" s="25"/>
      <c r="BA1450" s="25"/>
      <c r="BB1450" s="25"/>
      <c r="BC1450" s="25"/>
      <c r="BD1450" s="25"/>
      <c r="BE1450" s="25"/>
      <c r="BF1450" s="25"/>
      <c r="BG1450" s="25"/>
      <c r="BH1450" s="25"/>
      <c r="BI1450" s="25"/>
      <c r="BJ1450" s="25"/>
      <c r="BK1450" s="25"/>
      <c r="BL1450" s="25"/>
      <c r="BM1450" s="25"/>
      <c r="BN1450" s="25"/>
      <c r="BO1450" s="25"/>
      <c r="BP1450" s="25"/>
      <c r="BQ1450" s="25"/>
      <c r="BR1450" s="25"/>
      <c r="BS1450" s="25"/>
      <c r="BT1450" s="25"/>
      <c r="BU1450" s="25"/>
      <c r="BV1450" s="25"/>
      <c r="BW1450" s="25"/>
      <c r="BX1450" s="25"/>
      <c r="BY1450" s="25"/>
      <c r="BZ1450" s="25"/>
      <c r="CA1450" s="25"/>
      <c r="CB1450" s="25"/>
      <c r="CC1450" s="25"/>
      <c r="CD1450" s="25"/>
      <c r="CE1450" s="200"/>
      <c r="CF1450" s="200"/>
      <c r="CG1450" s="200"/>
      <c r="CH1450" s="200"/>
      <c r="CI1450" s="200"/>
      <c r="CJ1450" s="200"/>
      <c r="CK1450" s="200"/>
      <c r="CL1450" s="200"/>
      <c r="CM1450" s="200"/>
      <c r="CN1450" s="200"/>
      <c r="CO1450" s="200"/>
      <c r="CP1450" s="200"/>
      <c r="CQ1450" s="200"/>
      <c r="CR1450" s="200"/>
      <c r="CS1450" s="200"/>
      <c r="CT1450" s="200"/>
      <c r="CU1450" s="200"/>
    </row>
    <row r="1451" spans="1:99" s="17" customFormat="1" x14ac:dyDescent="0.2">
      <c r="A1451" s="25"/>
      <c r="B1451" s="20">
        <v>39039958700</v>
      </c>
      <c r="C1451" s="20">
        <v>9587</v>
      </c>
      <c r="D1451" s="20" t="s">
        <v>26</v>
      </c>
      <c r="E1451" s="20" t="s">
        <v>265</v>
      </c>
      <c r="F1451" s="20" t="s">
        <v>8</v>
      </c>
      <c r="G1451" s="861">
        <v>50.837469533737803</v>
      </c>
      <c r="H1451" s="861">
        <v>50.899386100873599</v>
      </c>
      <c r="I1451" s="861">
        <v>27.310169079863499</v>
      </c>
      <c r="J1451" s="861">
        <v>36.963754727090098</v>
      </c>
      <c r="K1451" s="982">
        <v>0</v>
      </c>
      <c r="L1451" s="735">
        <v>4490</v>
      </c>
      <c r="M1451" s="735">
        <v>4908</v>
      </c>
      <c r="N1451" s="845">
        <f t="shared" si="123"/>
        <v>9.3095768374164806E-2</v>
      </c>
      <c r="O1451" s="735">
        <v>4.2293672923463728</v>
      </c>
      <c r="P1451" s="735">
        <f t="shared" si="124"/>
        <v>1160.4572648210778</v>
      </c>
      <c r="Q1451" s="849">
        <v>45.6</v>
      </c>
      <c r="R1451" s="71">
        <v>76629</v>
      </c>
      <c r="S1451" s="845">
        <v>0.11108746541817408</v>
      </c>
      <c r="T1451" s="845">
        <v>5.7000000000000002E-2</v>
      </c>
      <c r="U1451" s="845">
        <v>1.4999999999999999E-2</v>
      </c>
      <c r="V1451" s="845">
        <v>6.0999999999999999E-2</v>
      </c>
      <c r="W1451" s="845">
        <v>0.21145374449339208</v>
      </c>
      <c r="X1451" s="845">
        <v>0.53472222222222221</v>
      </c>
      <c r="Y1451" s="845">
        <v>0.8590057049714751</v>
      </c>
      <c r="Z1451" s="845">
        <v>1.4873675631621841E-2</v>
      </c>
      <c r="AA1451" s="845">
        <v>6.5199674001629989E-3</v>
      </c>
      <c r="AB1451" s="845">
        <v>0</v>
      </c>
      <c r="AC1451" s="845">
        <v>0</v>
      </c>
      <c r="AD1451" s="845">
        <v>1.1613691931540342E-2</v>
      </c>
      <c r="AE1451" s="845">
        <v>0.10798696006519967</v>
      </c>
      <c r="AF1451" s="845">
        <v>0.13773431132844335</v>
      </c>
      <c r="AG1451" s="845">
        <v>0.81968215158924207</v>
      </c>
      <c r="AH1451" s="20" t="str">
        <f t="shared" si="125"/>
        <v>No</v>
      </c>
      <c r="AI1451" s="25"/>
      <c r="AJ1451" s="37">
        <v>43410</v>
      </c>
      <c r="AK1451" s="37" t="s">
        <v>911</v>
      </c>
      <c r="AL1451" s="37">
        <v>39147</v>
      </c>
      <c r="AM1451" s="37" t="s">
        <v>79</v>
      </c>
      <c r="AN1451" s="37" t="str">
        <f t="shared" si="126"/>
        <v>N/A</v>
      </c>
      <c r="AO1451" s="37" t="str">
        <f t="shared" si="127"/>
        <v>N/A</v>
      </c>
      <c r="AP1451" s="37" t="s">
        <v>8</v>
      </c>
      <c r="AQ1451" s="25"/>
      <c r="AR1451" s="25"/>
      <c r="AS1451" s="25"/>
      <c r="AT1451" s="25"/>
      <c r="AU1451" s="36"/>
      <c r="AV1451" s="36"/>
      <c r="AW1451" s="36"/>
      <c r="AX1451" s="25"/>
      <c r="AY1451" s="25"/>
      <c r="AZ1451" s="25"/>
      <c r="BA1451" s="25"/>
      <c r="BB1451" s="25"/>
      <c r="BC1451" s="25"/>
      <c r="BD1451" s="25"/>
      <c r="BE1451" s="25"/>
      <c r="BF1451" s="25"/>
      <c r="BG1451" s="25"/>
      <c r="BH1451" s="25"/>
      <c r="BI1451" s="25"/>
      <c r="BJ1451" s="25"/>
      <c r="BK1451" s="25"/>
      <c r="BL1451" s="25"/>
      <c r="BM1451" s="25"/>
      <c r="BN1451" s="25"/>
      <c r="BO1451" s="25"/>
      <c r="BP1451" s="25"/>
      <c r="BQ1451" s="25"/>
      <c r="BR1451" s="25"/>
      <c r="BS1451" s="25"/>
      <c r="BT1451" s="25"/>
      <c r="BU1451" s="25"/>
      <c r="BV1451" s="25"/>
      <c r="BW1451" s="25"/>
      <c r="BX1451" s="25"/>
      <c r="BY1451" s="25"/>
      <c r="BZ1451" s="25"/>
      <c r="CA1451" s="25"/>
      <c r="CB1451" s="25"/>
      <c r="CC1451" s="25"/>
      <c r="CD1451" s="25"/>
      <c r="CE1451" s="200"/>
      <c r="CF1451" s="200"/>
      <c r="CG1451" s="200"/>
      <c r="CH1451" s="200"/>
      <c r="CI1451" s="200"/>
      <c r="CJ1451" s="200"/>
      <c r="CK1451" s="200"/>
      <c r="CL1451" s="200"/>
      <c r="CM1451" s="200"/>
      <c r="CN1451" s="200"/>
      <c r="CO1451" s="200"/>
      <c r="CP1451" s="200"/>
      <c r="CQ1451" s="200"/>
      <c r="CR1451" s="200"/>
      <c r="CS1451" s="200"/>
      <c r="CT1451" s="200"/>
      <c r="CU1451" s="200"/>
    </row>
    <row r="1452" spans="1:99" s="17" customFormat="1" x14ac:dyDescent="0.2">
      <c r="A1452" s="25"/>
      <c r="B1452" s="20">
        <v>39133600200</v>
      </c>
      <c r="C1452" s="20">
        <v>6002</v>
      </c>
      <c r="D1452" s="20" t="s">
        <v>72</v>
      </c>
      <c r="E1452" s="20" t="s">
        <v>2843</v>
      </c>
      <c r="F1452" s="20" t="s">
        <v>8</v>
      </c>
      <c r="G1452" s="861">
        <v>50.8269698737491</v>
      </c>
      <c r="H1452" s="861">
        <v>54.465549985389003</v>
      </c>
      <c r="I1452" s="861">
        <v>25.168756206398701</v>
      </c>
      <c r="J1452" s="861">
        <v>47.230743245894303</v>
      </c>
      <c r="K1452" s="982">
        <v>0</v>
      </c>
      <c r="L1452" s="735">
        <v>6115</v>
      </c>
      <c r="M1452" s="735">
        <v>5288</v>
      </c>
      <c r="N1452" s="845">
        <f t="shared" si="123"/>
        <v>-0.13524121013900245</v>
      </c>
      <c r="O1452" s="735">
        <v>27.573472914514657</v>
      </c>
      <c r="P1452" s="735">
        <f t="shared" si="124"/>
        <v>191.77852628119254</v>
      </c>
      <c r="Q1452" s="849">
        <v>44.7</v>
      </c>
      <c r="R1452" s="71">
        <v>73868</v>
      </c>
      <c r="S1452" s="845">
        <v>0.10381996974281392</v>
      </c>
      <c r="T1452" s="845">
        <v>2.3E-2</v>
      </c>
      <c r="U1452" s="845">
        <v>0</v>
      </c>
      <c r="V1452" s="845">
        <v>0</v>
      </c>
      <c r="W1452" s="845">
        <v>0.1095890410958904</v>
      </c>
      <c r="X1452" s="845">
        <v>0.42672413793103448</v>
      </c>
      <c r="Y1452" s="845">
        <v>0.93021936459909227</v>
      </c>
      <c r="Z1452" s="845">
        <v>2.6475037821482601E-3</v>
      </c>
      <c r="AA1452" s="845">
        <v>5.8623298033282905E-3</v>
      </c>
      <c r="AB1452" s="845">
        <v>0</v>
      </c>
      <c r="AC1452" s="845">
        <v>0</v>
      </c>
      <c r="AD1452" s="845">
        <v>1.32375189107413E-3</v>
      </c>
      <c r="AE1452" s="845">
        <v>5.9947049924357038E-2</v>
      </c>
      <c r="AF1452" s="845">
        <v>2.1558245083207261E-2</v>
      </c>
      <c r="AG1452" s="845">
        <v>0.92473524962178522</v>
      </c>
      <c r="AH1452" s="20" t="str">
        <f t="shared" si="125"/>
        <v>Yes</v>
      </c>
      <c r="AI1452" s="25"/>
      <c r="AJ1452" s="37">
        <v>43457</v>
      </c>
      <c r="AK1452" s="37" t="s">
        <v>938</v>
      </c>
      <c r="AL1452" s="37">
        <v>39147</v>
      </c>
      <c r="AM1452" s="37" t="s">
        <v>79</v>
      </c>
      <c r="AN1452" s="37" t="str">
        <f t="shared" si="126"/>
        <v>N/A</v>
      </c>
      <c r="AO1452" s="37" t="str">
        <f t="shared" si="127"/>
        <v>N/A</v>
      </c>
      <c r="AP1452" s="37" t="s">
        <v>8</v>
      </c>
      <c r="AQ1452" s="25"/>
      <c r="AR1452" s="25"/>
      <c r="AS1452" s="25"/>
      <c r="AT1452" s="25"/>
      <c r="AU1452" s="36"/>
      <c r="AV1452" s="36"/>
      <c r="AW1452" s="36"/>
      <c r="AX1452" s="25"/>
      <c r="AY1452" s="25"/>
      <c r="AZ1452" s="25"/>
      <c r="BA1452" s="25"/>
      <c r="BB1452" s="25"/>
      <c r="BC1452" s="25"/>
      <c r="BD1452" s="25"/>
      <c r="BE1452" s="25"/>
      <c r="BF1452" s="25"/>
      <c r="BG1452" s="25"/>
      <c r="BH1452" s="25"/>
      <c r="BI1452" s="25"/>
      <c r="BJ1452" s="25"/>
      <c r="BK1452" s="25"/>
      <c r="BL1452" s="25"/>
      <c r="BM1452" s="25"/>
      <c r="BN1452" s="25"/>
      <c r="BO1452" s="25"/>
      <c r="BP1452" s="25"/>
      <c r="BQ1452" s="25"/>
      <c r="BR1452" s="25"/>
      <c r="BS1452" s="25"/>
      <c r="BT1452" s="25"/>
      <c r="BU1452" s="25"/>
      <c r="BV1452" s="25"/>
      <c r="BW1452" s="25"/>
      <c r="BX1452" s="25"/>
      <c r="BY1452" s="25"/>
      <c r="BZ1452" s="25"/>
      <c r="CA1452" s="25"/>
      <c r="CB1452" s="25"/>
      <c r="CC1452" s="25"/>
      <c r="CD1452" s="25"/>
      <c r="CE1452" s="200"/>
      <c r="CF1452" s="200"/>
      <c r="CG1452" s="200"/>
      <c r="CH1452" s="200"/>
      <c r="CI1452" s="200"/>
      <c r="CJ1452" s="200"/>
      <c r="CK1452" s="200"/>
      <c r="CL1452" s="200"/>
      <c r="CM1452" s="200"/>
      <c r="CN1452" s="200"/>
      <c r="CO1452" s="200"/>
      <c r="CP1452" s="200"/>
      <c r="CQ1452" s="200"/>
      <c r="CR1452" s="200"/>
      <c r="CS1452" s="200"/>
      <c r="CT1452" s="200"/>
      <c r="CU1452" s="200"/>
    </row>
    <row r="1453" spans="1:99" s="17" customFormat="1" x14ac:dyDescent="0.2">
      <c r="A1453" s="25"/>
      <c r="B1453" s="20">
        <v>39057200400</v>
      </c>
      <c r="C1453" s="20">
        <v>2004</v>
      </c>
      <c r="D1453" s="20" t="s">
        <v>35</v>
      </c>
      <c r="E1453" s="20" t="s">
        <v>2833</v>
      </c>
      <c r="F1453" s="20" t="s">
        <v>6</v>
      </c>
      <c r="G1453" s="861">
        <v>50.8092282376371</v>
      </c>
      <c r="H1453" s="861">
        <v>32.528819968068099</v>
      </c>
      <c r="I1453" s="861">
        <v>51.099100305877101</v>
      </c>
      <c r="J1453" s="861">
        <v>30.173906760532301</v>
      </c>
      <c r="K1453" s="982">
        <v>0</v>
      </c>
      <c r="L1453" s="735">
        <v>2051</v>
      </c>
      <c r="M1453" s="735">
        <v>1634</v>
      </c>
      <c r="N1453" s="845">
        <f t="shared" si="123"/>
        <v>-0.20331545587518285</v>
      </c>
      <c r="O1453" s="735">
        <v>0.67420888661917455</v>
      </c>
      <c r="P1453" s="735">
        <f t="shared" si="124"/>
        <v>2423.5812259813201</v>
      </c>
      <c r="Q1453" s="849">
        <v>40.5</v>
      </c>
      <c r="R1453" s="71">
        <v>32361</v>
      </c>
      <c r="S1453" s="845">
        <v>0.29914004914004916</v>
      </c>
      <c r="T1453" s="845">
        <v>0.01</v>
      </c>
      <c r="U1453" s="845">
        <v>0</v>
      </c>
      <c r="V1453" s="845">
        <v>0.185</v>
      </c>
      <c r="W1453" s="845">
        <v>0.67093596059113303</v>
      </c>
      <c r="X1453" s="845">
        <v>0.48751835535976507</v>
      </c>
      <c r="Y1453" s="845">
        <v>0.87086903304773566</v>
      </c>
      <c r="Z1453" s="845">
        <v>4.0391676866585069E-2</v>
      </c>
      <c r="AA1453" s="845">
        <v>0</v>
      </c>
      <c r="AB1453" s="845">
        <v>6.7319461444308448E-3</v>
      </c>
      <c r="AC1453" s="845">
        <v>0</v>
      </c>
      <c r="AD1453" s="845">
        <v>0</v>
      </c>
      <c r="AE1453" s="845">
        <v>8.2007343941248464E-2</v>
      </c>
      <c r="AF1453" s="845">
        <v>2.1419828641370868E-2</v>
      </c>
      <c r="AG1453" s="845">
        <v>0.84944920440636473</v>
      </c>
      <c r="AH1453" s="20" t="str">
        <f t="shared" si="125"/>
        <v>No</v>
      </c>
      <c r="AI1453" s="25"/>
      <c r="AJ1453" s="37">
        <v>44802</v>
      </c>
      <c r="AK1453" s="37" t="s">
        <v>1465</v>
      </c>
      <c r="AL1453" s="37">
        <v>39147</v>
      </c>
      <c r="AM1453" s="37" t="s">
        <v>79</v>
      </c>
      <c r="AN1453" s="37" t="str">
        <f t="shared" si="126"/>
        <v>N/A</v>
      </c>
      <c r="AO1453" s="37" t="str">
        <f t="shared" si="127"/>
        <v>N/A</v>
      </c>
      <c r="AP1453" s="37" t="s">
        <v>8</v>
      </c>
      <c r="AQ1453" s="25"/>
      <c r="AR1453" s="25"/>
      <c r="AS1453" s="25"/>
      <c r="AT1453" s="25"/>
      <c r="AU1453" s="36"/>
      <c r="AV1453" s="36"/>
      <c r="AW1453" s="36"/>
      <c r="AX1453" s="25"/>
      <c r="AY1453" s="25"/>
      <c r="AZ1453" s="25"/>
      <c r="BA1453" s="25"/>
      <c r="BB1453" s="25"/>
      <c r="BC1453" s="25"/>
      <c r="BD1453" s="25"/>
      <c r="BE1453" s="25"/>
      <c r="BF1453" s="25"/>
      <c r="BG1453" s="25"/>
      <c r="BH1453" s="25"/>
      <c r="BI1453" s="25"/>
      <c r="BJ1453" s="25"/>
      <c r="BK1453" s="25"/>
      <c r="BL1453" s="25"/>
      <c r="BM1453" s="25"/>
      <c r="BN1453" s="25"/>
      <c r="BO1453" s="25"/>
      <c r="BP1453" s="25"/>
      <c r="BQ1453" s="25"/>
      <c r="BR1453" s="25"/>
      <c r="BS1453" s="25"/>
      <c r="BT1453" s="25"/>
      <c r="BU1453" s="25"/>
      <c r="BV1453" s="25"/>
      <c r="BW1453" s="25"/>
      <c r="BX1453" s="25"/>
      <c r="BY1453" s="25"/>
      <c r="BZ1453" s="25"/>
      <c r="CA1453" s="25"/>
      <c r="CB1453" s="25"/>
      <c r="CC1453" s="25"/>
      <c r="CD1453" s="25"/>
      <c r="CE1453" s="200"/>
      <c r="CF1453" s="200"/>
      <c r="CG1453" s="200"/>
      <c r="CH1453" s="200"/>
      <c r="CI1453" s="200"/>
      <c r="CJ1453" s="200"/>
      <c r="CK1453" s="200"/>
      <c r="CL1453" s="200"/>
      <c r="CM1453" s="200"/>
      <c r="CN1453" s="200"/>
      <c r="CO1453" s="200"/>
      <c r="CP1453" s="200"/>
      <c r="CQ1453" s="200"/>
      <c r="CR1453" s="200"/>
      <c r="CS1453" s="200"/>
      <c r="CT1453" s="200"/>
      <c r="CU1453" s="200"/>
    </row>
    <row r="1454" spans="1:99" s="17" customFormat="1" x14ac:dyDescent="0.2">
      <c r="A1454" s="25"/>
      <c r="B1454" s="20">
        <v>39049006240</v>
      </c>
      <c r="C1454" s="20">
        <v>62.4</v>
      </c>
      <c r="D1454" s="20" t="s">
        <v>31</v>
      </c>
      <c r="E1454" s="20" t="s">
        <v>2830</v>
      </c>
      <c r="F1454" s="20" t="s">
        <v>8</v>
      </c>
      <c r="G1454" s="861">
        <v>50.807915569058899</v>
      </c>
      <c r="H1454" s="861">
        <v>69.820835990177699</v>
      </c>
      <c r="I1454" s="861">
        <v>23.7509846347949</v>
      </c>
      <c r="J1454" s="861">
        <v>40.027529461720299</v>
      </c>
      <c r="K1454" s="982">
        <v>0</v>
      </c>
      <c r="L1454" s="735" t="s">
        <v>2466</v>
      </c>
      <c r="M1454" s="735">
        <v>4892</v>
      </c>
      <c r="N1454" s="845" t="str">
        <f t="shared" si="123"/>
        <v/>
      </c>
      <c r="O1454" s="735">
        <v>5.9925711396412549</v>
      </c>
      <c r="P1454" s="735">
        <f t="shared" si="124"/>
        <v>816.34408436790943</v>
      </c>
      <c r="Q1454" s="849">
        <v>32</v>
      </c>
      <c r="R1454" s="71">
        <v>85811</v>
      </c>
      <c r="S1454" s="845">
        <v>0.1392068683565004</v>
      </c>
      <c r="T1454" s="845">
        <v>6.0000000000000001E-3</v>
      </c>
      <c r="U1454" s="845">
        <v>0</v>
      </c>
      <c r="V1454" s="845">
        <v>0</v>
      </c>
      <c r="W1454" s="845">
        <v>0.2785935085007728</v>
      </c>
      <c r="X1454" s="845">
        <v>0.22052704576976423</v>
      </c>
      <c r="Y1454" s="845">
        <v>0.75654129190515129</v>
      </c>
      <c r="Z1454" s="845">
        <v>3.9247751430907606E-2</v>
      </c>
      <c r="AA1454" s="845">
        <v>1.3082583810302535E-2</v>
      </c>
      <c r="AB1454" s="845">
        <v>0.17559280457890433</v>
      </c>
      <c r="AC1454" s="845">
        <v>0</v>
      </c>
      <c r="AD1454" s="845">
        <v>0</v>
      </c>
      <c r="AE1454" s="845">
        <v>1.5535568274734259E-2</v>
      </c>
      <c r="AF1454" s="845">
        <v>6.5004088307440713E-2</v>
      </c>
      <c r="AG1454" s="845">
        <v>0.73691741618969742</v>
      </c>
      <c r="AH1454" s="20" t="str">
        <f t="shared" si="125"/>
        <v>No</v>
      </c>
      <c r="AI1454" s="25"/>
      <c r="AJ1454" s="37">
        <v>44807</v>
      </c>
      <c r="AK1454" s="37" t="s">
        <v>1468</v>
      </c>
      <c r="AL1454" s="37">
        <v>39147</v>
      </c>
      <c r="AM1454" s="37" t="s">
        <v>79</v>
      </c>
      <c r="AN1454" s="37" t="str">
        <f t="shared" si="126"/>
        <v>N/A</v>
      </c>
      <c r="AO1454" s="37" t="str">
        <f t="shared" si="127"/>
        <v>N/A</v>
      </c>
      <c r="AP1454" s="37" t="s">
        <v>8</v>
      </c>
      <c r="AQ1454" s="25"/>
      <c r="AR1454" s="25"/>
      <c r="AS1454" s="25"/>
      <c r="AT1454" s="25"/>
      <c r="AU1454" s="36"/>
      <c r="AV1454" s="36"/>
      <c r="AW1454" s="36"/>
      <c r="AX1454" s="25"/>
      <c r="AY1454" s="25"/>
      <c r="AZ1454" s="25"/>
      <c r="BA1454" s="25"/>
      <c r="BB1454" s="25"/>
      <c r="BC1454" s="25"/>
      <c r="BD1454" s="25"/>
      <c r="BE1454" s="25"/>
      <c r="BF1454" s="25"/>
      <c r="BG1454" s="25"/>
      <c r="BH1454" s="25"/>
      <c r="BI1454" s="25"/>
      <c r="BJ1454" s="25"/>
      <c r="BK1454" s="25"/>
      <c r="BL1454" s="25"/>
      <c r="BM1454" s="25"/>
      <c r="BN1454" s="25"/>
      <c r="BO1454" s="25"/>
      <c r="BP1454" s="25"/>
      <c r="BQ1454" s="25"/>
      <c r="BR1454" s="25"/>
      <c r="BS1454" s="25"/>
      <c r="BT1454" s="25"/>
      <c r="BU1454" s="25"/>
      <c r="BV1454" s="25"/>
      <c r="BW1454" s="25"/>
      <c r="BX1454" s="25"/>
      <c r="BY1454" s="25"/>
      <c r="BZ1454" s="25"/>
      <c r="CA1454" s="25"/>
      <c r="CB1454" s="25"/>
      <c r="CC1454" s="25"/>
      <c r="CD1454" s="25"/>
      <c r="CE1454" s="200"/>
      <c r="CF1454" s="200"/>
      <c r="CG1454" s="200"/>
      <c r="CH1454" s="200"/>
      <c r="CI1454" s="200"/>
      <c r="CJ1454" s="200"/>
      <c r="CK1454" s="200"/>
      <c r="CL1454" s="200"/>
      <c r="CM1454" s="200"/>
      <c r="CN1454" s="200"/>
      <c r="CO1454" s="200"/>
      <c r="CP1454" s="200"/>
      <c r="CQ1454" s="200"/>
      <c r="CR1454" s="200"/>
      <c r="CS1454" s="200"/>
      <c r="CT1454" s="200"/>
      <c r="CU1454" s="200"/>
    </row>
    <row r="1455" spans="1:99" s="17" customFormat="1" x14ac:dyDescent="0.2">
      <c r="A1455" s="25"/>
      <c r="B1455" s="20">
        <v>39035140800</v>
      </c>
      <c r="C1455" s="20">
        <v>1408</v>
      </c>
      <c r="D1455" s="20" t="s">
        <v>24</v>
      </c>
      <c r="E1455" s="20" t="s">
        <v>2829</v>
      </c>
      <c r="F1455" s="20" t="s">
        <v>8</v>
      </c>
      <c r="G1455" s="861">
        <v>50.758711408268297</v>
      </c>
      <c r="H1455" s="861">
        <v>59.510187479178498</v>
      </c>
      <c r="I1455" s="861">
        <v>39.356190594664</v>
      </c>
      <c r="J1455" s="861">
        <v>20.056805320231199</v>
      </c>
      <c r="K1455" s="982">
        <v>0</v>
      </c>
      <c r="L1455" s="735">
        <v>3831</v>
      </c>
      <c r="M1455" s="735">
        <v>3641</v>
      </c>
      <c r="N1455" s="845">
        <f t="shared" si="123"/>
        <v>-4.9595405899243016E-2</v>
      </c>
      <c r="O1455" s="735">
        <v>0.73383541517493689</v>
      </c>
      <c r="P1455" s="735">
        <f t="shared" si="124"/>
        <v>4961.6030034909563</v>
      </c>
      <c r="Q1455" s="849">
        <v>31</v>
      </c>
      <c r="R1455" s="71">
        <v>48980</v>
      </c>
      <c r="S1455" s="845">
        <v>0.25405108486679484</v>
      </c>
      <c r="T1455" s="845">
        <v>8.5999999999999993E-2</v>
      </c>
      <c r="U1455" s="845">
        <v>5.7000000000000002E-2</v>
      </c>
      <c r="V1455" s="845">
        <v>0</v>
      </c>
      <c r="W1455" s="845">
        <v>0.57004244996967857</v>
      </c>
      <c r="X1455" s="845">
        <v>0.55851063829787229</v>
      </c>
      <c r="Y1455" s="845">
        <v>0.55561658884921727</v>
      </c>
      <c r="Z1455" s="845">
        <v>0.24086789343586926</v>
      </c>
      <c r="AA1455" s="845">
        <v>0</v>
      </c>
      <c r="AB1455" s="845">
        <v>0.16149409502883824</v>
      </c>
      <c r="AC1455" s="845">
        <v>0</v>
      </c>
      <c r="AD1455" s="845">
        <v>9.3380939302389453E-3</v>
      </c>
      <c r="AE1455" s="845">
        <v>3.2683328755836308E-2</v>
      </c>
      <c r="AF1455" s="845">
        <v>2.8288931612194451E-2</v>
      </c>
      <c r="AG1455" s="845">
        <v>0.55287009063444104</v>
      </c>
      <c r="AH1455" s="20" t="str">
        <f t="shared" si="125"/>
        <v>No</v>
      </c>
      <c r="AI1455" s="25"/>
      <c r="AJ1455" s="37">
        <v>44809</v>
      </c>
      <c r="AK1455" s="37" t="s">
        <v>1469</v>
      </c>
      <c r="AL1455" s="37">
        <v>39147</v>
      </c>
      <c r="AM1455" s="37" t="s">
        <v>79</v>
      </c>
      <c r="AN1455" s="37" t="str">
        <f t="shared" si="126"/>
        <v>N/A</v>
      </c>
      <c r="AO1455" s="37" t="str">
        <f t="shared" si="127"/>
        <v>N/A</v>
      </c>
      <c r="AP1455" s="37" t="s">
        <v>8</v>
      </c>
      <c r="AQ1455" s="25"/>
      <c r="AR1455" s="25"/>
      <c r="AS1455" s="25"/>
      <c r="AT1455" s="25"/>
      <c r="AU1455" s="36"/>
      <c r="AV1455" s="36"/>
      <c r="AW1455" s="36"/>
      <c r="AX1455" s="25"/>
      <c r="AY1455" s="25"/>
      <c r="AZ1455" s="25"/>
      <c r="BA1455" s="25"/>
      <c r="BB1455" s="25"/>
      <c r="BC1455" s="25"/>
      <c r="BD1455" s="25"/>
      <c r="BE1455" s="25"/>
      <c r="BF1455" s="25"/>
      <c r="BG1455" s="25"/>
      <c r="BH1455" s="25"/>
      <c r="BI1455" s="25"/>
      <c r="BJ1455" s="25"/>
      <c r="BK1455" s="25"/>
      <c r="BL1455" s="25"/>
      <c r="BM1455" s="25"/>
      <c r="BN1455" s="25"/>
      <c r="BO1455" s="25"/>
      <c r="BP1455" s="25"/>
      <c r="BQ1455" s="25"/>
      <c r="BR1455" s="25"/>
      <c r="BS1455" s="25"/>
      <c r="BT1455" s="25"/>
      <c r="BU1455" s="25"/>
      <c r="BV1455" s="25"/>
      <c r="BW1455" s="25"/>
      <c r="BX1455" s="25"/>
      <c r="BY1455" s="25"/>
      <c r="BZ1455" s="25"/>
      <c r="CA1455" s="25"/>
      <c r="CB1455" s="25"/>
      <c r="CC1455" s="25"/>
      <c r="CD1455" s="25"/>
      <c r="CE1455" s="200"/>
      <c r="CF1455" s="200"/>
      <c r="CG1455" s="200"/>
      <c r="CH1455" s="200"/>
      <c r="CI1455" s="200"/>
      <c r="CJ1455" s="200"/>
      <c r="CK1455" s="200"/>
      <c r="CL1455" s="200"/>
      <c r="CM1455" s="200"/>
      <c r="CN1455" s="200"/>
      <c r="CO1455" s="200"/>
      <c r="CP1455" s="200"/>
      <c r="CQ1455" s="200"/>
      <c r="CR1455" s="200"/>
      <c r="CS1455" s="200"/>
      <c r="CT1455" s="200"/>
      <c r="CU1455" s="200"/>
    </row>
    <row r="1456" spans="1:99" s="17" customFormat="1" x14ac:dyDescent="0.2">
      <c r="A1456" s="25"/>
      <c r="B1456" s="20">
        <v>39035180103</v>
      </c>
      <c r="C1456" s="20">
        <v>1801.03</v>
      </c>
      <c r="D1456" s="20" t="s">
        <v>24</v>
      </c>
      <c r="E1456" s="20" t="s">
        <v>2829</v>
      </c>
      <c r="F1456" s="20" t="s">
        <v>8</v>
      </c>
      <c r="G1456" s="861">
        <v>50.751155002491302</v>
      </c>
      <c r="H1456" s="861">
        <v>53.4592328976955</v>
      </c>
      <c r="I1456" s="861">
        <v>38.4396725224859</v>
      </c>
      <c r="J1456" s="861">
        <v>36.706272751830099</v>
      </c>
      <c r="K1456" s="982">
        <v>0</v>
      </c>
      <c r="L1456" s="735">
        <v>3563</v>
      </c>
      <c r="M1456" s="735">
        <v>3792</v>
      </c>
      <c r="N1456" s="845">
        <f t="shared" si="123"/>
        <v>6.4271681167555425E-2</v>
      </c>
      <c r="O1456" s="735">
        <v>1.8597842134495359</v>
      </c>
      <c r="P1456" s="735">
        <f t="shared" si="124"/>
        <v>2038.9462242861939</v>
      </c>
      <c r="Q1456" s="849">
        <v>51.4</v>
      </c>
      <c r="R1456" s="71">
        <v>82604</v>
      </c>
      <c r="S1456" s="845">
        <v>6.7639257294429711E-2</v>
      </c>
      <c r="T1456" s="845">
        <v>4.4000000000000004E-2</v>
      </c>
      <c r="U1456" s="845">
        <v>0</v>
      </c>
      <c r="V1456" s="845">
        <v>0</v>
      </c>
      <c r="W1456" s="845">
        <v>8.1289418360196222E-2</v>
      </c>
      <c r="X1456" s="845">
        <v>0.5</v>
      </c>
      <c r="Y1456" s="845">
        <v>0.31434599156118143</v>
      </c>
      <c r="Z1456" s="845">
        <v>0.64108649789029537</v>
      </c>
      <c r="AA1456" s="845">
        <v>0</v>
      </c>
      <c r="AB1456" s="845">
        <v>0</v>
      </c>
      <c r="AC1456" s="845">
        <v>0</v>
      </c>
      <c r="AD1456" s="845">
        <v>3.0063291139240507E-2</v>
      </c>
      <c r="AE1456" s="845">
        <v>1.45042194092827E-2</v>
      </c>
      <c r="AF1456" s="845">
        <v>7.3839662447257384E-3</v>
      </c>
      <c r="AG1456" s="845">
        <v>0.31144514767932491</v>
      </c>
      <c r="AH1456" s="20" t="str">
        <f t="shared" si="125"/>
        <v>No</v>
      </c>
      <c r="AI1456" s="25"/>
      <c r="AJ1456" s="37">
        <v>44811</v>
      </c>
      <c r="AK1456" s="37" t="s">
        <v>1470</v>
      </c>
      <c r="AL1456" s="37">
        <v>39147</v>
      </c>
      <c r="AM1456" s="37" t="s">
        <v>79</v>
      </c>
      <c r="AN1456" s="37" t="str">
        <f t="shared" si="126"/>
        <v>N/A</v>
      </c>
      <c r="AO1456" s="37" t="str">
        <f t="shared" si="127"/>
        <v>N/A</v>
      </c>
      <c r="AP1456" s="37" t="s">
        <v>8</v>
      </c>
      <c r="AQ1456" s="25"/>
      <c r="AR1456" s="25"/>
      <c r="AS1456" s="25"/>
      <c r="AT1456" s="25"/>
      <c r="AU1456" s="36"/>
      <c r="AV1456" s="36"/>
      <c r="AW1456" s="36"/>
      <c r="AX1456" s="25"/>
      <c r="AY1456" s="25"/>
      <c r="AZ1456" s="25"/>
      <c r="BA1456" s="25"/>
      <c r="BB1456" s="25"/>
      <c r="BC1456" s="25"/>
      <c r="BD1456" s="25"/>
      <c r="BE1456" s="25"/>
      <c r="BF1456" s="25"/>
      <c r="BG1456" s="25"/>
      <c r="BH1456" s="25"/>
      <c r="BI1456" s="25"/>
      <c r="BJ1456" s="25"/>
      <c r="BK1456" s="25"/>
      <c r="BL1456" s="25"/>
      <c r="BM1456" s="25"/>
      <c r="BN1456" s="25"/>
      <c r="BO1456" s="25"/>
      <c r="BP1456" s="25"/>
      <c r="BQ1456" s="25"/>
      <c r="BR1456" s="25"/>
      <c r="BS1456" s="25"/>
      <c r="BT1456" s="25"/>
      <c r="BU1456" s="25"/>
      <c r="BV1456" s="25"/>
      <c r="BW1456" s="25"/>
      <c r="BX1456" s="25"/>
      <c r="BY1456" s="25"/>
      <c r="BZ1456" s="25"/>
      <c r="CA1456" s="25"/>
      <c r="CB1456" s="25"/>
      <c r="CC1456" s="25"/>
      <c r="CD1456" s="25"/>
      <c r="CE1456" s="200"/>
      <c r="CF1456" s="200"/>
      <c r="CG1456" s="200"/>
      <c r="CH1456" s="200"/>
      <c r="CI1456" s="200"/>
      <c r="CJ1456" s="200"/>
      <c r="CK1456" s="200"/>
      <c r="CL1456" s="200"/>
      <c r="CM1456" s="200"/>
      <c r="CN1456" s="200"/>
      <c r="CO1456" s="200"/>
      <c r="CP1456" s="200"/>
      <c r="CQ1456" s="200"/>
      <c r="CR1456" s="200"/>
      <c r="CS1456" s="200"/>
      <c r="CT1456" s="200"/>
      <c r="CU1456" s="200"/>
    </row>
    <row r="1457" spans="1:99" s="17" customFormat="1" x14ac:dyDescent="0.2">
      <c r="A1457" s="25"/>
      <c r="B1457" s="20">
        <v>39167020101</v>
      </c>
      <c r="C1457" s="20">
        <v>201.01</v>
      </c>
      <c r="D1457" s="20" t="s">
        <v>89</v>
      </c>
      <c r="E1457" s="20" t="s">
        <v>265</v>
      </c>
      <c r="F1457" s="20" t="s">
        <v>8</v>
      </c>
      <c r="G1457" s="861">
        <v>50.7459887392788</v>
      </c>
      <c r="H1457" s="861">
        <v>50.534699509263</v>
      </c>
      <c r="I1457" s="861">
        <v>36.618418068592497</v>
      </c>
      <c r="J1457" s="861">
        <v>43.462745750949303</v>
      </c>
      <c r="K1457" s="982">
        <v>0</v>
      </c>
      <c r="L1457" s="735">
        <v>3781</v>
      </c>
      <c r="M1457" s="735">
        <v>4112</v>
      </c>
      <c r="N1457" s="845">
        <f t="shared" si="123"/>
        <v>8.754297804813542E-2</v>
      </c>
      <c r="O1457" s="735">
        <v>1.439451009680504</v>
      </c>
      <c r="P1457" s="735">
        <f t="shared" si="124"/>
        <v>2856.6446321175504</v>
      </c>
      <c r="Q1457" s="849">
        <v>48.9</v>
      </c>
      <c r="R1457" s="71">
        <v>54750</v>
      </c>
      <c r="S1457" s="845">
        <v>0.11651666261250304</v>
      </c>
      <c r="T1457" s="845">
        <v>1.2E-2</v>
      </c>
      <c r="U1457" s="845">
        <v>6.9999999999999993E-3</v>
      </c>
      <c r="V1457" s="845">
        <v>0</v>
      </c>
      <c r="W1457" s="845">
        <v>0.37350597609561753</v>
      </c>
      <c r="X1457" s="845">
        <v>0.45333333333333331</v>
      </c>
      <c r="Y1457" s="845">
        <v>0.96789883268482491</v>
      </c>
      <c r="Z1457" s="845">
        <v>1.4591439688715954E-2</v>
      </c>
      <c r="AA1457" s="845">
        <v>0</v>
      </c>
      <c r="AB1457" s="845">
        <v>5.8365758754863814E-3</v>
      </c>
      <c r="AC1457" s="845">
        <v>0</v>
      </c>
      <c r="AD1457" s="845">
        <v>9.727626459143969E-4</v>
      </c>
      <c r="AE1457" s="845">
        <v>1.0700389105058366E-2</v>
      </c>
      <c r="AF1457" s="845">
        <v>1.264591439688716E-2</v>
      </c>
      <c r="AG1457" s="845">
        <v>0.96108949416342415</v>
      </c>
      <c r="AH1457" s="20" t="str">
        <f t="shared" si="125"/>
        <v>Yes</v>
      </c>
      <c r="AI1457" s="25"/>
      <c r="AJ1457" s="37">
        <v>44815</v>
      </c>
      <c r="AK1457" s="37" t="s">
        <v>1473</v>
      </c>
      <c r="AL1457" s="37">
        <v>39147</v>
      </c>
      <c r="AM1457" s="37" t="s">
        <v>79</v>
      </c>
      <c r="AN1457" s="37" t="str">
        <f t="shared" si="126"/>
        <v>N/A</v>
      </c>
      <c r="AO1457" s="37" t="str">
        <f t="shared" si="127"/>
        <v>N/A</v>
      </c>
      <c r="AP1457" s="37" t="s">
        <v>8</v>
      </c>
      <c r="AQ1457" s="25"/>
      <c r="AR1457" s="25"/>
      <c r="AS1457" s="25"/>
      <c r="AT1457" s="25"/>
      <c r="AU1457" s="36"/>
      <c r="AV1457" s="36"/>
      <c r="AW1457" s="36"/>
      <c r="AX1457" s="25"/>
      <c r="AY1457" s="25"/>
      <c r="AZ1457" s="25"/>
      <c r="BA1457" s="25"/>
      <c r="BB1457" s="25"/>
      <c r="BC1457" s="25"/>
      <c r="BD1457" s="25"/>
      <c r="BE1457" s="25"/>
      <c r="BF1457" s="25"/>
      <c r="BG1457" s="25"/>
      <c r="BH1457" s="25"/>
      <c r="BI1457" s="25"/>
      <c r="BJ1457" s="25"/>
      <c r="BK1457" s="25"/>
      <c r="BL1457" s="25"/>
      <c r="BM1457" s="25"/>
      <c r="BN1457" s="25"/>
      <c r="BO1457" s="25"/>
      <c r="BP1457" s="25"/>
      <c r="BQ1457" s="25"/>
      <c r="BR1457" s="25"/>
      <c r="BS1457" s="25"/>
      <c r="BT1457" s="25"/>
      <c r="BU1457" s="25"/>
      <c r="BV1457" s="25"/>
      <c r="BW1457" s="25"/>
      <c r="BX1457" s="25"/>
      <c r="BY1457" s="25"/>
      <c r="BZ1457" s="25"/>
      <c r="CA1457" s="25"/>
      <c r="CB1457" s="25"/>
      <c r="CC1457" s="25"/>
      <c r="CD1457" s="25"/>
      <c r="CE1457" s="200"/>
      <c r="CF1457" s="200"/>
      <c r="CG1457" s="200"/>
      <c r="CH1457" s="200"/>
      <c r="CI1457" s="200"/>
      <c r="CJ1457" s="200"/>
      <c r="CK1457" s="200"/>
      <c r="CL1457" s="200"/>
      <c r="CM1457" s="200"/>
      <c r="CN1457" s="200"/>
      <c r="CO1457" s="200"/>
      <c r="CP1457" s="200"/>
      <c r="CQ1457" s="200"/>
      <c r="CR1457" s="200"/>
      <c r="CS1457" s="200"/>
      <c r="CT1457" s="200"/>
      <c r="CU1457" s="200"/>
    </row>
    <row r="1458" spans="1:99" s="17" customFormat="1" x14ac:dyDescent="0.2">
      <c r="A1458" s="25"/>
      <c r="B1458" s="20">
        <v>39029950800</v>
      </c>
      <c r="C1458" s="20">
        <v>9508</v>
      </c>
      <c r="D1458" s="20" t="s">
        <v>21</v>
      </c>
      <c r="E1458" s="20" t="s">
        <v>265</v>
      </c>
      <c r="F1458" s="20" t="s">
        <v>8</v>
      </c>
      <c r="G1458" s="861">
        <v>50.721913782089104</v>
      </c>
      <c r="H1458" s="861">
        <v>56.533805718153701</v>
      </c>
      <c r="I1458" s="861">
        <v>21.312462647450602</v>
      </c>
      <c r="J1458" s="861">
        <v>46.882649884682102</v>
      </c>
      <c r="K1458" s="982">
        <v>0</v>
      </c>
      <c r="L1458" s="735">
        <v>4385</v>
      </c>
      <c r="M1458" s="735">
        <v>4313</v>
      </c>
      <c r="N1458" s="845">
        <f t="shared" si="123"/>
        <v>-1.6419612314709234E-2</v>
      </c>
      <c r="O1458" s="735">
        <v>32.092055434184985</v>
      </c>
      <c r="P1458" s="735">
        <f t="shared" si="124"/>
        <v>134.39463261694735</v>
      </c>
      <c r="Q1458" s="849">
        <v>45.1</v>
      </c>
      <c r="R1458" s="71">
        <v>71719</v>
      </c>
      <c r="S1458" s="845">
        <v>4.2745191165993825E-2</v>
      </c>
      <c r="T1458" s="845">
        <v>6.0999999999999999E-2</v>
      </c>
      <c r="U1458" s="845">
        <v>0</v>
      </c>
      <c r="V1458" s="845">
        <v>0.17300000000000001</v>
      </c>
      <c r="W1458" s="845">
        <v>0.10508474576271186</v>
      </c>
      <c r="X1458" s="845">
        <v>0.36559139784946237</v>
      </c>
      <c r="Y1458" s="845">
        <v>0.96939485277069326</v>
      </c>
      <c r="Z1458" s="845">
        <v>4.6371435195919313E-4</v>
      </c>
      <c r="AA1458" s="845">
        <v>0</v>
      </c>
      <c r="AB1458" s="845">
        <v>4.6371435195919318E-3</v>
      </c>
      <c r="AC1458" s="845">
        <v>0</v>
      </c>
      <c r="AD1458" s="845">
        <v>4.6371435195919313E-4</v>
      </c>
      <c r="AE1458" s="845">
        <v>2.5040575005796428E-2</v>
      </c>
      <c r="AF1458" s="845">
        <v>0</v>
      </c>
      <c r="AG1458" s="845">
        <v>0.96939485277069326</v>
      </c>
      <c r="AH1458" s="20" t="str">
        <f t="shared" si="125"/>
        <v>Yes</v>
      </c>
      <c r="AI1458" s="25"/>
      <c r="AJ1458" s="37">
        <v>44818</v>
      </c>
      <c r="AK1458" s="37" t="s">
        <v>1475</v>
      </c>
      <c r="AL1458" s="37">
        <v>39147</v>
      </c>
      <c r="AM1458" s="37" t="s">
        <v>79</v>
      </c>
      <c r="AN1458" s="37" t="str">
        <f t="shared" si="126"/>
        <v>N/A</v>
      </c>
      <c r="AO1458" s="37" t="str">
        <f t="shared" si="127"/>
        <v>N/A</v>
      </c>
      <c r="AP1458" s="37" t="s">
        <v>8</v>
      </c>
      <c r="AQ1458" s="25"/>
      <c r="AR1458" s="25"/>
      <c r="AS1458" s="25"/>
      <c r="AT1458" s="25"/>
      <c r="AU1458" s="36"/>
      <c r="AV1458" s="36"/>
      <c r="AW1458" s="36"/>
      <c r="AX1458" s="25"/>
      <c r="AY1458" s="25"/>
      <c r="AZ1458" s="25"/>
      <c r="BA1458" s="25"/>
      <c r="BB1458" s="25"/>
      <c r="BC1458" s="25"/>
      <c r="BD1458" s="25"/>
      <c r="BE1458" s="25"/>
      <c r="BF1458" s="25"/>
      <c r="BG1458" s="25"/>
      <c r="BH1458" s="25"/>
      <c r="BI1458" s="25"/>
      <c r="BJ1458" s="25"/>
      <c r="BK1458" s="25"/>
      <c r="BL1458" s="25"/>
      <c r="BM1458" s="25"/>
      <c r="BN1458" s="25"/>
      <c r="BO1458" s="25"/>
      <c r="BP1458" s="25"/>
      <c r="BQ1458" s="25"/>
      <c r="BR1458" s="25"/>
      <c r="BS1458" s="25"/>
      <c r="BT1458" s="25"/>
      <c r="BU1458" s="25"/>
      <c r="BV1458" s="25"/>
      <c r="BW1458" s="25"/>
      <c r="BX1458" s="25"/>
      <c r="BY1458" s="25"/>
      <c r="BZ1458" s="25"/>
      <c r="CA1458" s="25"/>
      <c r="CB1458" s="25"/>
      <c r="CC1458" s="25"/>
      <c r="CD1458" s="25"/>
      <c r="CE1458" s="200"/>
      <c r="CF1458" s="200"/>
      <c r="CG1458" s="200"/>
      <c r="CH1458" s="200"/>
      <c r="CI1458" s="200"/>
      <c r="CJ1458" s="200"/>
      <c r="CK1458" s="200"/>
      <c r="CL1458" s="200"/>
      <c r="CM1458" s="200"/>
      <c r="CN1458" s="200"/>
      <c r="CO1458" s="200"/>
      <c r="CP1458" s="200"/>
      <c r="CQ1458" s="200"/>
      <c r="CR1458" s="200"/>
      <c r="CS1458" s="200"/>
      <c r="CT1458" s="200"/>
      <c r="CU1458" s="200"/>
    </row>
    <row r="1459" spans="1:99" s="17" customFormat="1" x14ac:dyDescent="0.2">
      <c r="A1459" s="25"/>
      <c r="B1459" s="20">
        <v>39035180104</v>
      </c>
      <c r="C1459" s="20">
        <v>1801.04</v>
      </c>
      <c r="D1459" s="20" t="s">
        <v>24</v>
      </c>
      <c r="E1459" s="20" t="s">
        <v>2829</v>
      </c>
      <c r="F1459" s="20" t="s">
        <v>6</v>
      </c>
      <c r="G1459" s="861">
        <v>50.710201326503302</v>
      </c>
      <c r="H1459" s="861">
        <v>54.1968294631017</v>
      </c>
      <c r="I1459" s="861">
        <v>80.3464415652291</v>
      </c>
      <c r="J1459" s="861">
        <v>39.599125908901001</v>
      </c>
      <c r="K1459" s="982">
        <v>0</v>
      </c>
      <c r="L1459" s="735">
        <v>3082</v>
      </c>
      <c r="M1459" s="735">
        <v>2875</v>
      </c>
      <c r="N1459" s="845">
        <f t="shared" si="123"/>
        <v>-6.7164179104477612E-2</v>
      </c>
      <c r="O1459" s="735">
        <v>0.96188047751308026</v>
      </c>
      <c r="P1459" s="735">
        <f t="shared" si="124"/>
        <v>2988.9368452858571</v>
      </c>
      <c r="Q1459" s="849">
        <v>39.9</v>
      </c>
      <c r="R1459" s="71">
        <v>42043</v>
      </c>
      <c r="S1459" s="845">
        <v>0.13849129593810444</v>
      </c>
      <c r="T1459" s="845">
        <v>0.14099999999999999</v>
      </c>
      <c r="U1459" s="845">
        <v>0</v>
      </c>
      <c r="V1459" s="845">
        <v>0.158</v>
      </c>
      <c r="W1459" s="845">
        <v>0.9372409709887507</v>
      </c>
      <c r="X1459" s="845">
        <v>0.37839545167403665</v>
      </c>
      <c r="Y1459" s="845">
        <v>0.17426086956521739</v>
      </c>
      <c r="Z1459" s="845">
        <v>0.81321739130434778</v>
      </c>
      <c r="AA1459" s="845">
        <v>0</v>
      </c>
      <c r="AB1459" s="845">
        <v>3.4782608695652176E-4</v>
      </c>
      <c r="AC1459" s="845">
        <v>0</v>
      </c>
      <c r="AD1459" s="845">
        <v>1.0434782608695651E-3</v>
      </c>
      <c r="AE1459" s="845">
        <v>1.1130434782608696E-2</v>
      </c>
      <c r="AF1459" s="845">
        <v>2.6086956521739129E-2</v>
      </c>
      <c r="AG1459" s="845">
        <v>0.1648695652173913</v>
      </c>
      <c r="AH1459" s="20" t="str">
        <f t="shared" si="125"/>
        <v>No</v>
      </c>
      <c r="AI1459" s="25"/>
      <c r="AJ1459" s="37">
        <v>44828</v>
      </c>
      <c r="AK1459" s="37" t="s">
        <v>1482</v>
      </c>
      <c r="AL1459" s="37">
        <v>39147</v>
      </c>
      <c r="AM1459" s="37" t="s">
        <v>79</v>
      </c>
      <c r="AN1459" s="37" t="str">
        <f t="shared" si="126"/>
        <v>N/A</v>
      </c>
      <c r="AO1459" s="37" t="str">
        <f t="shared" si="127"/>
        <v>N/A</v>
      </c>
      <c r="AP1459" s="37" t="s">
        <v>8</v>
      </c>
      <c r="AQ1459" s="25"/>
      <c r="AR1459" s="25"/>
      <c r="AS1459" s="25"/>
      <c r="AT1459" s="25"/>
      <c r="AU1459" s="36"/>
      <c r="AV1459" s="36"/>
      <c r="AW1459" s="36"/>
      <c r="AX1459" s="25"/>
      <c r="AY1459" s="25"/>
      <c r="AZ1459" s="25"/>
      <c r="BA1459" s="25"/>
      <c r="BB1459" s="25"/>
      <c r="BC1459" s="25"/>
      <c r="BD1459" s="25"/>
      <c r="BE1459" s="25"/>
      <c r="BF1459" s="25"/>
      <c r="BG1459" s="25"/>
      <c r="BH1459" s="25"/>
      <c r="BI1459" s="25"/>
      <c r="BJ1459" s="25"/>
      <c r="BK1459" s="25"/>
      <c r="BL1459" s="25"/>
      <c r="BM1459" s="25"/>
      <c r="BN1459" s="25"/>
      <c r="BO1459" s="25"/>
      <c r="BP1459" s="25"/>
      <c r="BQ1459" s="25"/>
      <c r="BR1459" s="25"/>
      <c r="BS1459" s="25"/>
      <c r="BT1459" s="25"/>
      <c r="BU1459" s="25"/>
      <c r="BV1459" s="25"/>
      <c r="BW1459" s="25"/>
      <c r="BX1459" s="25"/>
      <c r="BY1459" s="25"/>
      <c r="BZ1459" s="25"/>
      <c r="CA1459" s="25"/>
      <c r="CB1459" s="25"/>
      <c r="CC1459" s="25"/>
      <c r="CD1459" s="25"/>
      <c r="CE1459" s="200"/>
      <c r="CF1459" s="200"/>
      <c r="CG1459" s="200"/>
      <c r="CH1459" s="200"/>
      <c r="CI1459" s="200"/>
      <c r="CJ1459" s="200"/>
      <c r="CK1459" s="200"/>
      <c r="CL1459" s="200"/>
      <c r="CM1459" s="200"/>
      <c r="CN1459" s="200"/>
      <c r="CO1459" s="200"/>
      <c r="CP1459" s="200"/>
      <c r="CQ1459" s="200"/>
      <c r="CR1459" s="200"/>
      <c r="CS1459" s="200"/>
      <c r="CT1459" s="200"/>
      <c r="CU1459" s="200"/>
    </row>
    <row r="1460" spans="1:99" s="17" customFormat="1" x14ac:dyDescent="0.2">
      <c r="A1460" s="25"/>
      <c r="B1460" s="20">
        <v>39167020202</v>
      </c>
      <c r="C1460" s="20">
        <v>202.02</v>
      </c>
      <c r="D1460" s="20" t="s">
        <v>89</v>
      </c>
      <c r="E1460" s="20" t="s">
        <v>265</v>
      </c>
      <c r="F1460" s="20" t="s">
        <v>8</v>
      </c>
      <c r="G1460" s="861">
        <v>50.709659569902797</v>
      </c>
      <c r="H1460" s="861">
        <v>60.233035850662702</v>
      </c>
      <c r="I1460" s="861">
        <v>26.832714191903101</v>
      </c>
      <c r="J1460" s="861">
        <v>49.157762624872603</v>
      </c>
      <c r="K1460" s="982">
        <v>0</v>
      </c>
      <c r="L1460" s="735" t="s">
        <v>2466</v>
      </c>
      <c r="M1460" s="735">
        <v>3374</v>
      </c>
      <c r="N1460" s="845" t="str">
        <f t="shared" si="123"/>
        <v/>
      </c>
      <c r="O1460" s="735">
        <v>17.35107309044751</v>
      </c>
      <c r="P1460" s="735">
        <f t="shared" si="124"/>
        <v>194.45483183731892</v>
      </c>
      <c r="Q1460" s="849">
        <v>43.4</v>
      </c>
      <c r="R1460" s="71">
        <v>79722</v>
      </c>
      <c r="S1460" s="845">
        <v>9.3064611736810909E-2</v>
      </c>
      <c r="T1460" s="845">
        <v>4.4000000000000004E-2</v>
      </c>
      <c r="U1460" s="845">
        <v>5.7000000000000002E-2</v>
      </c>
      <c r="V1460" s="845">
        <v>0</v>
      </c>
      <c r="W1460" s="845">
        <v>9.8265895953757232E-2</v>
      </c>
      <c r="X1460" s="845">
        <v>0.49264705882352944</v>
      </c>
      <c r="Y1460" s="845">
        <v>0.97777119146413749</v>
      </c>
      <c r="Z1460" s="845">
        <v>7.1132187314759928E-3</v>
      </c>
      <c r="AA1460" s="845">
        <v>0</v>
      </c>
      <c r="AB1460" s="845">
        <v>0</v>
      </c>
      <c r="AC1460" s="845">
        <v>0</v>
      </c>
      <c r="AD1460" s="845">
        <v>0</v>
      </c>
      <c r="AE1460" s="845">
        <v>1.5115589804386485E-2</v>
      </c>
      <c r="AF1460" s="845">
        <v>4.1493775933609959E-3</v>
      </c>
      <c r="AG1460" s="845">
        <v>0.975696502667457</v>
      </c>
      <c r="AH1460" s="20" t="str">
        <f t="shared" si="125"/>
        <v>Yes</v>
      </c>
      <c r="AI1460" s="25"/>
      <c r="AJ1460" s="37">
        <v>44830</v>
      </c>
      <c r="AK1460" s="37" t="s">
        <v>1483</v>
      </c>
      <c r="AL1460" s="37">
        <v>39147</v>
      </c>
      <c r="AM1460" s="37" t="s">
        <v>79</v>
      </c>
      <c r="AN1460" s="37" t="str">
        <f t="shared" si="126"/>
        <v>N/A</v>
      </c>
      <c r="AO1460" s="37" t="str">
        <f t="shared" si="127"/>
        <v>N/A</v>
      </c>
      <c r="AP1460" s="37" t="s">
        <v>8</v>
      </c>
      <c r="AQ1460" s="25"/>
      <c r="AR1460" s="25"/>
      <c r="AS1460" s="25"/>
      <c r="AT1460" s="25"/>
      <c r="AU1460" s="36"/>
      <c r="AV1460" s="36"/>
      <c r="AW1460" s="36"/>
      <c r="AX1460" s="25"/>
      <c r="AY1460" s="25"/>
      <c r="AZ1460" s="25"/>
      <c r="BA1460" s="25"/>
      <c r="BB1460" s="25"/>
      <c r="BC1460" s="25"/>
      <c r="BD1460" s="25"/>
      <c r="BE1460" s="25"/>
      <c r="BF1460" s="25"/>
      <c r="BG1460" s="25"/>
      <c r="BH1460" s="25"/>
      <c r="BI1460" s="25"/>
      <c r="BJ1460" s="25"/>
      <c r="BK1460" s="25"/>
      <c r="BL1460" s="25"/>
      <c r="BM1460" s="25"/>
      <c r="BN1460" s="25"/>
      <c r="BO1460" s="25"/>
      <c r="BP1460" s="25"/>
      <c r="BQ1460" s="25"/>
      <c r="BR1460" s="25"/>
      <c r="BS1460" s="25"/>
      <c r="BT1460" s="25"/>
      <c r="BU1460" s="25"/>
      <c r="BV1460" s="25"/>
      <c r="BW1460" s="25"/>
      <c r="BX1460" s="25"/>
      <c r="BY1460" s="25"/>
      <c r="BZ1460" s="25"/>
      <c r="CA1460" s="25"/>
      <c r="CB1460" s="25"/>
      <c r="CC1460" s="25"/>
      <c r="CD1460" s="25"/>
      <c r="CE1460" s="200"/>
      <c r="CF1460" s="200"/>
      <c r="CG1460" s="200"/>
      <c r="CH1460" s="200"/>
      <c r="CI1460" s="200"/>
      <c r="CJ1460" s="200"/>
      <c r="CK1460" s="200"/>
      <c r="CL1460" s="200"/>
      <c r="CM1460" s="200"/>
      <c r="CN1460" s="200"/>
      <c r="CO1460" s="200"/>
      <c r="CP1460" s="200"/>
      <c r="CQ1460" s="200"/>
      <c r="CR1460" s="200"/>
      <c r="CS1460" s="200"/>
      <c r="CT1460" s="200"/>
      <c r="CU1460" s="200"/>
    </row>
    <row r="1461" spans="1:99" s="17" customFormat="1" x14ac:dyDescent="0.2">
      <c r="A1461" s="25"/>
      <c r="B1461" s="20">
        <v>39029950500</v>
      </c>
      <c r="C1461" s="20">
        <v>9505</v>
      </c>
      <c r="D1461" s="20" t="s">
        <v>21</v>
      </c>
      <c r="E1461" s="20" t="s">
        <v>265</v>
      </c>
      <c r="F1461" s="20" t="s">
        <v>8</v>
      </c>
      <c r="G1461" s="861">
        <v>50.708776126844803</v>
      </c>
      <c r="H1461" s="861">
        <v>53.830332662656801</v>
      </c>
      <c r="I1461" s="861">
        <v>30.357289351353</v>
      </c>
      <c r="J1461" s="861">
        <v>33.5488693896908</v>
      </c>
      <c r="K1461" s="982">
        <v>0</v>
      </c>
      <c r="L1461" s="735">
        <v>5934</v>
      </c>
      <c r="M1461" s="735">
        <v>5899</v>
      </c>
      <c r="N1461" s="845">
        <f t="shared" si="123"/>
        <v>-5.8982136838557466E-3</v>
      </c>
      <c r="O1461" s="735">
        <v>5.6205030223092418</v>
      </c>
      <c r="P1461" s="735">
        <f t="shared" si="124"/>
        <v>1049.5501873382741</v>
      </c>
      <c r="Q1461" s="849">
        <v>45.7</v>
      </c>
      <c r="R1461" s="71">
        <v>52750</v>
      </c>
      <c r="S1461" s="845">
        <v>0.11740473738414006</v>
      </c>
      <c r="T1461" s="845">
        <v>3.5000000000000003E-2</v>
      </c>
      <c r="U1461" s="845">
        <v>1.8000000000000002E-2</v>
      </c>
      <c r="V1461" s="845">
        <v>4.8000000000000001E-2</v>
      </c>
      <c r="W1461" s="845">
        <v>0.30433186490455211</v>
      </c>
      <c r="X1461" s="845">
        <v>0.31724969843184558</v>
      </c>
      <c r="Y1461" s="845">
        <v>0.96897779284624508</v>
      </c>
      <c r="Z1461" s="845">
        <v>7.4588913375148334E-3</v>
      </c>
      <c r="AA1461" s="845">
        <v>0</v>
      </c>
      <c r="AB1461" s="845">
        <v>5.4246482454653328E-3</v>
      </c>
      <c r="AC1461" s="845">
        <v>9.4931344295643323E-3</v>
      </c>
      <c r="AD1461" s="845">
        <v>0</v>
      </c>
      <c r="AE1461" s="845">
        <v>8.6455331412103754E-3</v>
      </c>
      <c r="AF1461" s="845">
        <v>7.4588913375148334E-3</v>
      </c>
      <c r="AG1461" s="845">
        <v>0.96897779284624508</v>
      </c>
      <c r="AH1461" s="20" t="str">
        <f t="shared" si="125"/>
        <v>Yes</v>
      </c>
      <c r="AI1461" s="25"/>
      <c r="AJ1461" s="37">
        <v>44836</v>
      </c>
      <c r="AK1461" s="37" t="s">
        <v>1485</v>
      </c>
      <c r="AL1461" s="37">
        <v>39147</v>
      </c>
      <c r="AM1461" s="37" t="s">
        <v>79</v>
      </c>
      <c r="AN1461" s="37" t="str">
        <f t="shared" si="126"/>
        <v>N/A</v>
      </c>
      <c r="AO1461" s="37" t="str">
        <f t="shared" si="127"/>
        <v>N/A</v>
      </c>
      <c r="AP1461" s="37" t="s">
        <v>8</v>
      </c>
      <c r="AQ1461" s="25"/>
      <c r="AR1461" s="25"/>
      <c r="AS1461" s="25"/>
      <c r="AT1461" s="25"/>
      <c r="AU1461" s="36"/>
      <c r="AV1461" s="36"/>
      <c r="AW1461" s="36"/>
      <c r="AX1461" s="25"/>
      <c r="AY1461" s="25"/>
      <c r="AZ1461" s="25"/>
      <c r="BA1461" s="25"/>
      <c r="BB1461" s="25"/>
      <c r="BC1461" s="25"/>
      <c r="BD1461" s="25"/>
      <c r="BE1461" s="25"/>
      <c r="BF1461" s="25"/>
      <c r="BG1461" s="25"/>
      <c r="BH1461" s="25"/>
      <c r="BI1461" s="25"/>
      <c r="BJ1461" s="25"/>
      <c r="BK1461" s="25"/>
      <c r="BL1461" s="25"/>
      <c r="BM1461" s="25"/>
      <c r="BN1461" s="25"/>
      <c r="BO1461" s="25"/>
      <c r="BP1461" s="25"/>
      <c r="BQ1461" s="25"/>
      <c r="BR1461" s="25"/>
      <c r="BS1461" s="25"/>
      <c r="BT1461" s="25"/>
      <c r="BU1461" s="25"/>
      <c r="BV1461" s="25"/>
      <c r="BW1461" s="25"/>
      <c r="BX1461" s="25"/>
      <c r="BY1461" s="25"/>
      <c r="BZ1461" s="25"/>
      <c r="CA1461" s="25"/>
      <c r="CB1461" s="25"/>
      <c r="CC1461" s="25"/>
      <c r="CD1461" s="25"/>
      <c r="CE1461" s="200"/>
      <c r="CF1461" s="200"/>
      <c r="CG1461" s="200"/>
      <c r="CH1461" s="200"/>
      <c r="CI1461" s="200"/>
      <c r="CJ1461" s="200"/>
      <c r="CK1461" s="200"/>
      <c r="CL1461" s="200"/>
      <c r="CM1461" s="200"/>
      <c r="CN1461" s="200"/>
      <c r="CO1461" s="200"/>
      <c r="CP1461" s="200"/>
      <c r="CQ1461" s="200"/>
      <c r="CR1461" s="200"/>
      <c r="CS1461" s="200"/>
      <c r="CT1461" s="200"/>
      <c r="CU1461" s="200"/>
    </row>
    <row r="1462" spans="1:99" s="17" customFormat="1" x14ac:dyDescent="0.2">
      <c r="A1462" s="25"/>
      <c r="B1462" s="20">
        <v>39035137102</v>
      </c>
      <c r="C1462" s="20">
        <v>1371.02</v>
      </c>
      <c r="D1462" s="20" t="s">
        <v>24</v>
      </c>
      <c r="E1462" s="20" t="s">
        <v>2829</v>
      </c>
      <c r="F1462" s="20" t="s">
        <v>8</v>
      </c>
      <c r="G1462" s="861">
        <v>50.703101373476699</v>
      </c>
      <c r="H1462" s="861">
        <v>62.625131135788003</v>
      </c>
      <c r="I1462" s="861">
        <v>26.8607172040678</v>
      </c>
      <c r="J1462" s="861">
        <v>41.102141136541</v>
      </c>
      <c r="K1462" s="982">
        <v>0</v>
      </c>
      <c r="L1462" s="735">
        <v>4414</v>
      </c>
      <c r="M1462" s="735">
        <v>4245</v>
      </c>
      <c r="N1462" s="845">
        <f t="shared" si="123"/>
        <v>-3.8287267784322607E-2</v>
      </c>
      <c r="O1462" s="735">
        <v>1.0486754705603649</v>
      </c>
      <c r="P1462" s="735">
        <f t="shared" si="124"/>
        <v>4047.963473134032</v>
      </c>
      <c r="Q1462" s="849">
        <v>47</v>
      </c>
      <c r="R1462" s="71">
        <v>67737</v>
      </c>
      <c r="S1462" s="845">
        <v>0.11184677228659258</v>
      </c>
      <c r="T1462" s="845">
        <v>2.7000000000000003E-2</v>
      </c>
      <c r="U1462" s="845">
        <v>4.2000000000000003E-2</v>
      </c>
      <c r="V1462" s="845">
        <v>0</v>
      </c>
      <c r="W1462" s="845">
        <v>0.47723785166240407</v>
      </c>
      <c r="X1462" s="845">
        <v>0.24866023579849947</v>
      </c>
      <c r="Y1462" s="845">
        <v>0.65347467608951704</v>
      </c>
      <c r="Z1462" s="845">
        <v>0.10035335689045936</v>
      </c>
      <c r="AA1462" s="845">
        <v>0</v>
      </c>
      <c r="AB1462" s="845">
        <v>4.1931684334511186E-2</v>
      </c>
      <c r="AC1462" s="845">
        <v>0</v>
      </c>
      <c r="AD1462" s="845">
        <v>8.1036513545347466E-2</v>
      </c>
      <c r="AE1462" s="845">
        <v>0.1232037691401649</v>
      </c>
      <c r="AF1462" s="845">
        <v>0.14322732626619553</v>
      </c>
      <c r="AG1462" s="845">
        <v>0.63321554770318023</v>
      </c>
      <c r="AH1462" s="20" t="str">
        <f t="shared" si="125"/>
        <v>No</v>
      </c>
      <c r="AI1462" s="25"/>
      <c r="AJ1462" s="37">
        <v>44841</v>
      </c>
      <c r="AK1462" s="37" t="s">
        <v>1490</v>
      </c>
      <c r="AL1462" s="37">
        <v>39147</v>
      </c>
      <c r="AM1462" s="37" t="s">
        <v>79</v>
      </c>
      <c r="AN1462" s="37" t="str">
        <f t="shared" si="126"/>
        <v>N/A</v>
      </c>
      <c r="AO1462" s="37" t="str">
        <f t="shared" si="127"/>
        <v>N/A</v>
      </c>
      <c r="AP1462" s="37" t="s">
        <v>8</v>
      </c>
      <c r="AQ1462" s="25"/>
      <c r="AR1462" s="25"/>
      <c r="AS1462" s="25"/>
      <c r="AT1462" s="25"/>
      <c r="AU1462" s="36"/>
      <c r="AV1462" s="36"/>
      <c r="AW1462" s="36"/>
      <c r="AX1462" s="25"/>
      <c r="AY1462" s="25"/>
      <c r="AZ1462" s="25"/>
      <c r="BA1462" s="25"/>
      <c r="BB1462" s="25"/>
      <c r="BC1462" s="25"/>
      <c r="BD1462" s="25"/>
      <c r="BE1462" s="25"/>
      <c r="BF1462" s="25"/>
      <c r="BG1462" s="25"/>
      <c r="BH1462" s="25"/>
      <c r="BI1462" s="25"/>
      <c r="BJ1462" s="25"/>
      <c r="BK1462" s="25"/>
      <c r="BL1462" s="25"/>
      <c r="BM1462" s="25"/>
      <c r="BN1462" s="25"/>
      <c r="BO1462" s="25"/>
      <c r="BP1462" s="25"/>
      <c r="BQ1462" s="25"/>
      <c r="BR1462" s="25"/>
      <c r="BS1462" s="25"/>
      <c r="BT1462" s="25"/>
      <c r="BU1462" s="25"/>
      <c r="BV1462" s="25"/>
      <c r="BW1462" s="25"/>
      <c r="BX1462" s="25"/>
      <c r="BY1462" s="25"/>
      <c r="BZ1462" s="25"/>
      <c r="CA1462" s="25"/>
      <c r="CB1462" s="25"/>
      <c r="CC1462" s="25"/>
      <c r="CD1462" s="25"/>
      <c r="CE1462" s="200"/>
      <c r="CF1462" s="200"/>
      <c r="CG1462" s="200"/>
      <c r="CH1462" s="200"/>
      <c r="CI1462" s="200"/>
      <c r="CJ1462" s="200"/>
      <c r="CK1462" s="200"/>
      <c r="CL1462" s="200"/>
      <c r="CM1462" s="200"/>
      <c r="CN1462" s="200"/>
      <c r="CO1462" s="200"/>
      <c r="CP1462" s="200"/>
      <c r="CQ1462" s="200"/>
      <c r="CR1462" s="200"/>
      <c r="CS1462" s="200"/>
      <c r="CT1462" s="200"/>
      <c r="CU1462" s="200"/>
    </row>
    <row r="1463" spans="1:99" s="17" customFormat="1" x14ac:dyDescent="0.2">
      <c r="A1463" s="25"/>
      <c r="B1463" s="20">
        <v>39043040801</v>
      </c>
      <c r="C1463" s="20">
        <v>408.01</v>
      </c>
      <c r="D1463" s="20" t="s">
        <v>28</v>
      </c>
      <c r="E1463" s="20" t="s">
        <v>2837</v>
      </c>
      <c r="F1463" s="20" t="s">
        <v>6</v>
      </c>
      <c r="G1463" s="861">
        <v>50.671803393950697</v>
      </c>
      <c r="H1463" s="861">
        <v>48.999467227967799</v>
      </c>
      <c r="I1463" s="861">
        <v>54.236421038245801</v>
      </c>
      <c r="J1463" s="861">
        <v>37.684362997610798</v>
      </c>
      <c r="K1463" s="982">
        <v>0</v>
      </c>
      <c r="L1463" s="735" t="s">
        <v>2466</v>
      </c>
      <c r="M1463" s="735">
        <v>1728</v>
      </c>
      <c r="N1463" s="845" t="str">
        <f t="shared" si="123"/>
        <v/>
      </c>
      <c r="O1463" s="735">
        <v>0.40289760249131029</v>
      </c>
      <c r="P1463" s="735">
        <f t="shared" si="124"/>
        <v>4288.9309574317203</v>
      </c>
      <c r="Q1463" s="849">
        <v>31.3</v>
      </c>
      <c r="R1463" s="71">
        <v>29609</v>
      </c>
      <c r="S1463" s="845">
        <v>0.28587962962962965</v>
      </c>
      <c r="T1463" s="845">
        <v>0.17800000000000002</v>
      </c>
      <c r="U1463" s="845">
        <v>8.6999999999999994E-2</v>
      </c>
      <c r="V1463" s="845">
        <v>0.28199999999999997</v>
      </c>
      <c r="W1463" s="845">
        <v>0.74884259259259256</v>
      </c>
      <c r="X1463" s="845">
        <v>0.43585780525502316</v>
      </c>
      <c r="Y1463" s="845">
        <v>0.7719907407407407</v>
      </c>
      <c r="Z1463" s="845">
        <v>9.7222222222222224E-2</v>
      </c>
      <c r="AA1463" s="845">
        <v>0</v>
      </c>
      <c r="AB1463" s="845">
        <v>0</v>
      </c>
      <c r="AC1463" s="845">
        <v>0</v>
      </c>
      <c r="AD1463" s="845">
        <v>8.6805555555555559E-3</v>
      </c>
      <c r="AE1463" s="845">
        <v>0.12210648148148148</v>
      </c>
      <c r="AF1463" s="845">
        <v>3.2407407407407406E-2</v>
      </c>
      <c r="AG1463" s="845">
        <v>0.7719907407407407</v>
      </c>
      <c r="AH1463" s="20" t="str">
        <f t="shared" si="125"/>
        <v>No</v>
      </c>
      <c r="AI1463" s="25"/>
      <c r="AJ1463" s="37">
        <v>44844</v>
      </c>
      <c r="AK1463" s="37" t="s">
        <v>1493</v>
      </c>
      <c r="AL1463" s="37">
        <v>39147</v>
      </c>
      <c r="AM1463" s="37" t="s">
        <v>79</v>
      </c>
      <c r="AN1463" s="37" t="str">
        <f t="shared" si="126"/>
        <v>N/A</v>
      </c>
      <c r="AO1463" s="37" t="str">
        <f t="shared" si="127"/>
        <v>N/A</v>
      </c>
      <c r="AP1463" s="37" t="s">
        <v>8</v>
      </c>
      <c r="AQ1463" s="25"/>
      <c r="AR1463" s="25"/>
      <c r="AS1463" s="25"/>
      <c r="AT1463" s="25"/>
      <c r="AU1463" s="36"/>
      <c r="AV1463" s="36"/>
      <c r="AW1463" s="36"/>
      <c r="AX1463" s="25"/>
      <c r="AY1463" s="25"/>
      <c r="AZ1463" s="25"/>
      <c r="BA1463" s="25"/>
      <c r="BB1463" s="25"/>
      <c r="BC1463" s="25"/>
      <c r="BD1463" s="25"/>
      <c r="BE1463" s="25"/>
      <c r="BF1463" s="25"/>
      <c r="BG1463" s="25"/>
      <c r="BH1463" s="25"/>
      <c r="BI1463" s="25"/>
      <c r="BJ1463" s="25"/>
      <c r="BK1463" s="25"/>
      <c r="BL1463" s="25"/>
      <c r="BM1463" s="25"/>
      <c r="BN1463" s="25"/>
      <c r="BO1463" s="25"/>
      <c r="BP1463" s="25"/>
      <c r="BQ1463" s="25"/>
      <c r="BR1463" s="25"/>
      <c r="BS1463" s="25"/>
      <c r="BT1463" s="25"/>
      <c r="BU1463" s="25"/>
      <c r="BV1463" s="25"/>
      <c r="BW1463" s="25"/>
      <c r="BX1463" s="25"/>
      <c r="BY1463" s="25"/>
      <c r="BZ1463" s="25"/>
      <c r="CA1463" s="25"/>
      <c r="CB1463" s="25"/>
      <c r="CC1463" s="25"/>
      <c r="CD1463" s="25"/>
      <c r="CE1463" s="200"/>
      <c r="CF1463" s="200"/>
      <c r="CG1463" s="200"/>
      <c r="CH1463" s="200"/>
      <c r="CI1463" s="200"/>
      <c r="CJ1463" s="200"/>
      <c r="CK1463" s="200"/>
      <c r="CL1463" s="200"/>
      <c r="CM1463" s="200"/>
      <c r="CN1463" s="200"/>
      <c r="CO1463" s="200"/>
      <c r="CP1463" s="200"/>
      <c r="CQ1463" s="200"/>
      <c r="CR1463" s="200"/>
      <c r="CS1463" s="200"/>
      <c r="CT1463" s="200"/>
      <c r="CU1463" s="200"/>
    </row>
    <row r="1464" spans="1:99" s="17" customFormat="1" x14ac:dyDescent="0.2">
      <c r="A1464" s="25"/>
      <c r="B1464" s="20">
        <v>39029950900</v>
      </c>
      <c r="C1464" s="20">
        <v>9509</v>
      </c>
      <c r="D1464" s="20" t="s">
        <v>21</v>
      </c>
      <c r="E1464" s="20" t="s">
        <v>265</v>
      </c>
      <c r="F1464" s="20" t="s">
        <v>8</v>
      </c>
      <c r="G1464" s="861">
        <v>50.666567456868798</v>
      </c>
      <c r="H1464" s="861">
        <v>53.262178817402102</v>
      </c>
      <c r="I1464" s="861">
        <v>20.003880728962798</v>
      </c>
      <c r="J1464" s="861">
        <v>32.446210226730599</v>
      </c>
      <c r="K1464" s="982">
        <v>0</v>
      </c>
      <c r="L1464" s="735">
        <v>3953</v>
      </c>
      <c r="M1464" s="735">
        <v>3523</v>
      </c>
      <c r="N1464" s="845">
        <f t="shared" si="123"/>
        <v>-0.10877814318239312</v>
      </c>
      <c r="O1464" s="735">
        <v>35.522456124325608</v>
      </c>
      <c r="P1464" s="735">
        <f t="shared" si="124"/>
        <v>99.176700723333894</v>
      </c>
      <c r="Q1464" s="849">
        <v>54.1</v>
      </c>
      <c r="R1464" s="71">
        <v>73786</v>
      </c>
      <c r="S1464" s="845">
        <v>8.7993187624183927E-2</v>
      </c>
      <c r="T1464" s="845">
        <v>3.2000000000000001E-2</v>
      </c>
      <c r="U1464" s="845">
        <v>0</v>
      </c>
      <c r="V1464" s="845">
        <v>0</v>
      </c>
      <c r="W1464" s="845">
        <v>9.2465753424657529E-2</v>
      </c>
      <c r="X1464" s="845">
        <v>5.185185185185185E-2</v>
      </c>
      <c r="Y1464" s="845">
        <v>0.98864604030655689</v>
      </c>
      <c r="Z1464" s="845">
        <v>2.2707919386886176E-3</v>
      </c>
      <c r="AA1464" s="845">
        <v>0</v>
      </c>
      <c r="AB1464" s="845">
        <v>0</v>
      </c>
      <c r="AC1464" s="845">
        <v>0</v>
      </c>
      <c r="AD1464" s="845">
        <v>1.9869429463525404E-3</v>
      </c>
      <c r="AE1464" s="845">
        <v>7.0962248084019304E-3</v>
      </c>
      <c r="AF1464" s="845">
        <v>1.9869429463525404E-3</v>
      </c>
      <c r="AG1464" s="845">
        <v>0.98864604030655689</v>
      </c>
      <c r="AH1464" s="20" t="str">
        <f t="shared" si="125"/>
        <v>Yes</v>
      </c>
      <c r="AI1464" s="25"/>
      <c r="AJ1464" s="37">
        <v>44853</v>
      </c>
      <c r="AK1464" s="37" t="s">
        <v>1499</v>
      </c>
      <c r="AL1464" s="37">
        <v>39147</v>
      </c>
      <c r="AM1464" s="37" t="s">
        <v>79</v>
      </c>
      <c r="AN1464" s="37" t="str">
        <f t="shared" si="126"/>
        <v>N/A</v>
      </c>
      <c r="AO1464" s="37" t="str">
        <f t="shared" si="127"/>
        <v>N/A</v>
      </c>
      <c r="AP1464" s="37" t="s">
        <v>8</v>
      </c>
      <c r="AQ1464" s="25"/>
      <c r="AR1464" s="25"/>
      <c r="AS1464" s="25"/>
      <c r="AT1464" s="25"/>
      <c r="AU1464" s="36"/>
      <c r="AV1464" s="36"/>
      <c r="AW1464" s="36"/>
      <c r="AX1464" s="25"/>
      <c r="AY1464" s="25"/>
      <c r="AZ1464" s="25"/>
      <c r="BA1464" s="25"/>
      <c r="BB1464" s="25"/>
      <c r="BC1464" s="25"/>
      <c r="BD1464" s="25"/>
      <c r="BE1464" s="25"/>
      <c r="BF1464" s="25"/>
      <c r="BG1464" s="25"/>
      <c r="BH1464" s="25"/>
      <c r="BI1464" s="25"/>
      <c r="BJ1464" s="25"/>
      <c r="BK1464" s="25"/>
      <c r="BL1464" s="25"/>
      <c r="BM1464" s="25"/>
      <c r="BN1464" s="25"/>
      <c r="BO1464" s="25"/>
      <c r="BP1464" s="25"/>
      <c r="BQ1464" s="25"/>
      <c r="BR1464" s="25"/>
      <c r="BS1464" s="25"/>
      <c r="BT1464" s="25"/>
      <c r="BU1464" s="25"/>
      <c r="BV1464" s="25"/>
      <c r="BW1464" s="25"/>
      <c r="BX1464" s="25"/>
      <c r="BY1464" s="25"/>
      <c r="BZ1464" s="25"/>
      <c r="CA1464" s="25"/>
      <c r="CB1464" s="25"/>
      <c r="CC1464" s="25"/>
      <c r="CD1464" s="25"/>
      <c r="CE1464" s="200"/>
      <c r="CF1464" s="200"/>
      <c r="CG1464" s="200"/>
      <c r="CH1464" s="200"/>
      <c r="CI1464" s="200"/>
      <c r="CJ1464" s="200"/>
      <c r="CK1464" s="200"/>
      <c r="CL1464" s="200"/>
      <c r="CM1464" s="200"/>
      <c r="CN1464" s="200"/>
      <c r="CO1464" s="200"/>
      <c r="CP1464" s="200"/>
      <c r="CQ1464" s="200"/>
      <c r="CR1464" s="200"/>
      <c r="CS1464" s="200"/>
      <c r="CT1464" s="200"/>
      <c r="CU1464" s="200"/>
    </row>
    <row r="1465" spans="1:99" s="17" customFormat="1" x14ac:dyDescent="0.2">
      <c r="A1465" s="25"/>
      <c r="B1465" s="20">
        <v>39099812002</v>
      </c>
      <c r="C1465" s="20">
        <v>8120.02</v>
      </c>
      <c r="D1465" s="20" t="s">
        <v>55</v>
      </c>
      <c r="E1465" s="20" t="s">
        <v>2842</v>
      </c>
      <c r="F1465" s="20" t="s">
        <v>8</v>
      </c>
      <c r="G1465" s="861">
        <v>50.666143960124202</v>
      </c>
      <c r="H1465" s="861">
        <v>62.445696617354102</v>
      </c>
      <c r="I1465" s="861">
        <v>33.186017245358599</v>
      </c>
      <c r="J1465" s="861">
        <v>29.4708564270782</v>
      </c>
      <c r="K1465" s="982">
        <v>0</v>
      </c>
      <c r="L1465" s="735">
        <v>4099</v>
      </c>
      <c r="M1465" s="735">
        <v>3841</v>
      </c>
      <c r="N1465" s="845">
        <f t="shared" si="123"/>
        <v>-6.2942181019760915E-2</v>
      </c>
      <c r="O1465" s="735">
        <v>4.4986816561099969</v>
      </c>
      <c r="P1465" s="735">
        <f t="shared" si="124"/>
        <v>853.80569100355206</v>
      </c>
      <c r="Q1465" s="849">
        <v>47.1</v>
      </c>
      <c r="R1465" s="71">
        <v>62155</v>
      </c>
      <c r="S1465" s="845">
        <v>9.94532673782869E-2</v>
      </c>
      <c r="T1465" s="845">
        <v>8.4000000000000005E-2</v>
      </c>
      <c r="U1465" s="845">
        <v>1.4999999999999999E-2</v>
      </c>
      <c r="V1465" s="845">
        <v>0</v>
      </c>
      <c r="W1465" s="845">
        <v>0.31843575418994413</v>
      </c>
      <c r="X1465" s="845">
        <v>0.38245614035087722</v>
      </c>
      <c r="Y1465" s="845">
        <v>0.92241603749023693</v>
      </c>
      <c r="Z1465" s="845">
        <v>1.9005467326217131E-2</v>
      </c>
      <c r="AA1465" s="845">
        <v>0</v>
      </c>
      <c r="AB1465" s="845">
        <v>0</v>
      </c>
      <c r="AC1465" s="845">
        <v>0</v>
      </c>
      <c r="AD1465" s="845">
        <v>1.5881280916428014E-2</v>
      </c>
      <c r="AE1465" s="845">
        <v>4.2697214267117936E-2</v>
      </c>
      <c r="AF1465" s="845">
        <v>4.5040354074459776E-2</v>
      </c>
      <c r="AG1465" s="845">
        <v>0.90367091903150221</v>
      </c>
      <c r="AH1465" s="20" t="str">
        <f t="shared" si="125"/>
        <v>Yes</v>
      </c>
      <c r="AI1465" s="25"/>
      <c r="AJ1465" s="37">
        <v>44854</v>
      </c>
      <c r="AK1465" s="37" t="s">
        <v>1500</v>
      </c>
      <c r="AL1465" s="37">
        <v>39147</v>
      </c>
      <c r="AM1465" s="37" t="s">
        <v>79</v>
      </c>
      <c r="AN1465" s="37" t="str">
        <f t="shared" si="126"/>
        <v>N/A</v>
      </c>
      <c r="AO1465" s="37" t="str">
        <f t="shared" si="127"/>
        <v>N/A</v>
      </c>
      <c r="AP1465" s="37" t="s">
        <v>8</v>
      </c>
      <c r="AQ1465" s="25"/>
      <c r="AR1465" s="25"/>
      <c r="AS1465" s="25"/>
      <c r="AT1465" s="25"/>
      <c r="AU1465" s="36"/>
      <c r="AV1465" s="36"/>
      <c r="AW1465" s="36"/>
      <c r="AX1465" s="25"/>
      <c r="AY1465" s="25"/>
      <c r="AZ1465" s="25"/>
      <c r="BA1465" s="25"/>
      <c r="BB1465" s="25"/>
      <c r="BC1465" s="25"/>
      <c r="BD1465" s="25"/>
      <c r="BE1465" s="25"/>
      <c r="BF1465" s="25"/>
      <c r="BG1465" s="25"/>
      <c r="BH1465" s="25"/>
      <c r="BI1465" s="25"/>
      <c r="BJ1465" s="25"/>
      <c r="BK1465" s="25"/>
      <c r="BL1465" s="25"/>
      <c r="BM1465" s="25"/>
      <c r="BN1465" s="25"/>
      <c r="BO1465" s="25"/>
      <c r="BP1465" s="25"/>
      <c r="BQ1465" s="25"/>
      <c r="BR1465" s="25"/>
      <c r="BS1465" s="25"/>
      <c r="BT1465" s="25"/>
      <c r="BU1465" s="25"/>
      <c r="BV1465" s="25"/>
      <c r="BW1465" s="25"/>
      <c r="BX1465" s="25"/>
      <c r="BY1465" s="25"/>
      <c r="BZ1465" s="25"/>
      <c r="CA1465" s="25"/>
      <c r="CB1465" s="25"/>
      <c r="CC1465" s="25"/>
      <c r="CD1465" s="25"/>
      <c r="CE1465" s="200"/>
      <c r="CF1465" s="200"/>
      <c r="CG1465" s="200"/>
      <c r="CH1465" s="200"/>
      <c r="CI1465" s="200"/>
      <c r="CJ1465" s="200"/>
      <c r="CK1465" s="200"/>
      <c r="CL1465" s="200"/>
      <c r="CM1465" s="200"/>
      <c r="CN1465" s="200"/>
      <c r="CO1465" s="200"/>
      <c r="CP1465" s="200"/>
      <c r="CQ1465" s="200"/>
      <c r="CR1465" s="200"/>
      <c r="CS1465" s="200"/>
      <c r="CT1465" s="200"/>
      <c r="CU1465" s="200"/>
    </row>
    <row r="1466" spans="1:99" s="17" customFormat="1" x14ac:dyDescent="0.2">
      <c r="A1466" s="25"/>
      <c r="B1466" s="20">
        <v>39077916200</v>
      </c>
      <c r="C1466" s="20">
        <v>9162</v>
      </c>
      <c r="D1466" s="20" t="s">
        <v>45</v>
      </c>
      <c r="E1466" s="20" t="s">
        <v>265</v>
      </c>
      <c r="F1466" s="20" t="s">
        <v>8</v>
      </c>
      <c r="G1466" s="861">
        <v>50.663753339568103</v>
      </c>
      <c r="H1466" s="861">
        <v>48.694754002840398</v>
      </c>
      <c r="I1466" s="861">
        <v>41.246129829982301</v>
      </c>
      <c r="J1466" s="861">
        <v>26.1963029444175</v>
      </c>
      <c r="K1466" s="982">
        <v>0</v>
      </c>
      <c r="L1466" s="735">
        <v>5265</v>
      </c>
      <c r="M1466" s="735">
        <v>4325</v>
      </c>
      <c r="N1466" s="845">
        <f t="shared" si="123"/>
        <v>-0.17853751187084521</v>
      </c>
      <c r="O1466" s="735">
        <v>27.908164026281959</v>
      </c>
      <c r="P1466" s="735">
        <f t="shared" si="124"/>
        <v>154.97257347086742</v>
      </c>
      <c r="Q1466" s="849">
        <v>38.9</v>
      </c>
      <c r="R1466" s="71">
        <v>61179</v>
      </c>
      <c r="S1466" s="845">
        <v>0.16994219653179191</v>
      </c>
      <c r="T1466" s="845">
        <v>0.05</v>
      </c>
      <c r="U1466" s="845">
        <v>0</v>
      </c>
      <c r="V1466" s="845">
        <v>0.11800000000000001</v>
      </c>
      <c r="W1466" s="845">
        <v>0.33249843456480904</v>
      </c>
      <c r="X1466" s="845">
        <v>0.38229755178907721</v>
      </c>
      <c r="Y1466" s="845">
        <v>0.89017341040462428</v>
      </c>
      <c r="Z1466" s="845">
        <v>4.6242774566473987E-4</v>
      </c>
      <c r="AA1466" s="845">
        <v>0</v>
      </c>
      <c r="AB1466" s="845">
        <v>1.5491329479768785E-2</v>
      </c>
      <c r="AC1466" s="845">
        <v>0</v>
      </c>
      <c r="AD1466" s="845">
        <v>4.3005780346820809E-2</v>
      </c>
      <c r="AE1466" s="845">
        <v>5.086705202312139E-2</v>
      </c>
      <c r="AF1466" s="845">
        <v>0.22427745664739884</v>
      </c>
      <c r="AG1466" s="845">
        <v>0.72508670520231211</v>
      </c>
      <c r="AH1466" s="20" t="str">
        <f t="shared" si="125"/>
        <v>No</v>
      </c>
      <c r="AI1466" s="25"/>
      <c r="AJ1466" s="37">
        <v>44861</v>
      </c>
      <c r="AK1466" s="37" t="s">
        <v>1505</v>
      </c>
      <c r="AL1466" s="37">
        <v>39147</v>
      </c>
      <c r="AM1466" s="37" t="s">
        <v>79</v>
      </c>
      <c r="AN1466" s="37" t="str">
        <f t="shared" si="126"/>
        <v>N/A</v>
      </c>
      <c r="AO1466" s="37" t="str">
        <f t="shared" si="127"/>
        <v>N/A</v>
      </c>
      <c r="AP1466" s="37" t="s">
        <v>8</v>
      </c>
      <c r="AQ1466" s="25"/>
      <c r="AR1466" s="25"/>
      <c r="AS1466" s="25"/>
      <c r="AT1466" s="25"/>
      <c r="AU1466" s="36"/>
      <c r="AV1466" s="36"/>
      <c r="AW1466" s="36"/>
      <c r="AX1466" s="25"/>
      <c r="AY1466" s="25"/>
      <c r="AZ1466" s="25"/>
      <c r="BA1466" s="25"/>
      <c r="BB1466" s="25"/>
      <c r="BC1466" s="25"/>
      <c r="BD1466" s="25"/>
      <c r="BE1466" s="25"/>
      <c r="BF1466" s="25"/>
      <c r="BG1466" s="25"/>
      <c r="BH1466" s="25"/>
      <c r="BI1466" s="25"/>
      <c r="BJ1466" s="25"/>
      <c r="BK1466" s="25"/>
      <c r="BL1466" s="25"/>
      <c r="BM1466" s="25"/>
      <c r="BN1466" s="25"/>
      <c r="BO1466" s="25"/>
      <c r="BP1466" s="25"/>
      <c r="BQ1466" s="25"/>
      <c r="BR1466" s="25"/>
      <c r="BS1466" s="25"/>
      <c r="BT1466" s="25"/>
      <c r="BU1466" s="25"/>
      <c r="BV1466" s="25"/>
      <c r="BW1466" s="25"/>
      <c r="BX1466" s="25"/>
      <c r="BY1466" s="25"/>
      <c r="BZ1466" s="25"/>
      <c r="CA1466" s="25"/>
      <c r="CB1466" s="25"/>
      <c r="CC1466" s="25"/>
      <c r="CD1466" s="25"/>
      <c r="CE1466" s="200"/>
      <c r="CF1466" s="200"/>
      <c r="CG1466" s="200"/>
      <c r="CH1466" s="200"/>
      <c r="CI1466" s="200"/>
      <c r="CJ1466" s="200"/>
      <c r="CK1466" s="200"/>
      <c r="CL1466" s="200"/>
      <c r="CM1466" s="200"/>
      <c r="CN1466" s="200"/>
      <c r="CO1466" s="200"/>
      <c r="CP1466" s="200"/>
      <c r="CQ1466" s="200"/>
      <c r="CR1466" s="200"/>
      <c r="CS1466" s="200"/>
      <c r="CT1466" s="200"/>
      <c r="CU1466" s="200"/>
    </row>
    <row r="1467" spans="1:99" s="17" customFormat="1" x14ac:dyDescent="0.2">
      <c r="A1467" s="25"/>
      <c r="B1467" s="20">
        <v>39061006900</v>
      </c>
      <c r="C1467" s="20">
        <v>69</v>
      </c>
      <c r="D1467" s="20" t="s">
        <v>37</v>
      </c>
      <c r="E1467" s="20" t="s">
        <v>2828</v>
      </c>
      <c r="F1467" s="20" t="s">
        <v>6</v>
      </c>
      <c r="G1467" s="861">
        <v>50.641758221250399</v>
      </c>
      <c r="H1467" s="861">
        <v>57.490210542398103</v>
      </c>
      <c r="I1467" s="861">
        <v>75.901157391832399</v>
      </c>
      <c r="J1467" s="861">
        <v>29.992345901631001</v>
      </c>
      <c r="K1467" s="982">
        <v>1</v>
      </c>
      <c r="L1467" s="735">
        <v>2483</v>
      </c>
      <c r="M1467" s="735">
        <v>3019</v>
      </c>
      <c r="N1467" s="845">
        <f t="shared" si="123"/>
        <v>0.21586790173177609</v>
      </c>
      <c r="O1467" s="735">
        <v>0.51437919535468446</v>
      </c>
      <c r="P1467" s="735">
        <f t="shared" si="124"/>
        <v>5869.2109386700258</v>
      </c>
      <c r="Q1467" s="849">
        <v>27.7</v>
      </c>
      <c r="R1467" s="71">
        <v>27235</v>
      </c>
      <c r="S1467" s="845">
        <v>0.44661803713527853</v>
      </c>
      <c r="T1467" s="845">
        <v>0.13400000000000001</v>
      </c>
      <c r="U1467" s="845">
        <v>0</v>
      </c>
      <c r="V1467" s="845">
        <v>0.03</v>
      </c>
      <c r="W1467" s="845">
        <v>0.65801526717557257</v>
      </c>
      <c r="X1467" s="845">
        <v>0.43155452436194897</v>
      </c>
      <c r="Y1467" s="845">
        <v>3.6767141437562108E-2</v>
      </c>
      <c r="Z1467" s="845">
        <v>0.86220602848625372</v>
      </c>
      <c r="AA1467" s="845">
        <v>0</v>
      </c>
      <c r="AB1467" s="845">
        <v>9.6058297449486581E-3</v>
      </c>
      <c r="AC1467" s="845">
        <v>0</v>
      </c>
      <c r="AD1467" s="845">
        <v>3.5110963895329576E-2</v>
      </c>
      <c r="AE1467" s="845">
        <v>5.631003643590593E-2</v>
      </c>
      <c r="AF1467" s="845">
        <v>5.2997681351440874E-2</v>
      </c>
      <c r="AG1467" s="845">
        <v>3.6767141437562108E-2</v>
      </c>
      <c r="AH1467" s="20" t="str">
        <f t="shared" si="125"/>
        <v>No</v>
      </c>
      <c r="AI1467" s="25"/>
      <c r="AJ1467" s="37">
        <v>44867</v>
      </c>
      <c r="AK1467" s="37" t="s">
        <v>1509</v>
      </c>
      <c r="AL1467" s="37">
        <v>39147</v>
      </c>
      <c r="AM1467" s="37" t="s">
        <v>79</v>
      </c>
      <c r="AN1467" s="37" t="str">
        <f t="shared" si="126"/>
        <v>N/A</v>
      </c>
      <c r="AO1467" s="37" t="str">
        <f t="shared" si="127"/>
        <v>N/A</v>
      </c>
      <c r="AP1467" s="37" t="s">
        <v>8</v>
      </c>
      <c r="AQ1467" s="25"/>
      <c r="AR1467" s="25"/>
      <c r="AS1467" s="25"/>
      <c r="AT1467" s="25"/>
      <c r="AU1467" s="36"/>
      <c r="AV1467" s="36"/>
      <c r="AW1467" s="36"/>
      <c r="AX1467" s="25"/>
      <c r="AY1467" s="25"/>
      <c r="AZ1467" s="25"/>
      <c r="BA1467" s="25"/>
      <c r="BB1467" s="25"/>
      <c r="BC1467" s="25"/>
      <c r="BD1467" s="25"/>
      <c r="BE1467" s="25"/>
      <c r="BF1467" s="25"/>
      <c r="BG1467" s="25"/>
      <c r="BH1467" s="25"/>
      <c r="BI1467" s="25"/>
      <c r="BJ1467" s="25"/>
      <c r="BK1467" s="25"/>
      <c r="BL1467" s="25"/>
      <c r="BM1467" s="25"/>
      <c r="BN1467" s="25"/>
      <c r="BO1467" s="25"/>
      <c r="BP1467" s="25"/>
      <c r="BQ1467" s="25"/>
      <c r="BR1467" s="25"/>
      <c r="BS1467" s="25"/>
      <c r="BT1467" s="25"/>
      <c r="BU1467" s="25"/>
      <c r="BV1467" s="25"/>
      <c r="BW1467" s="25"/>
      <c r="BX1467" s="25"/>
      <c r="BY1467" s="25"/>
      <c r="BZ1467" s="25"/>
      <c r="CA1467" s="25"/>
      <c r="CB1467" s="25"/>
      <c r="CC1467" s="25"/>
      <c r="CD1467" s="25"/>
      <c r="CE1467" s="200"/>
      <c r="CF1467" s="200"/>
      <c r="CG1467" s="200"/>
      <c r="CH1467" s="200"/>
      <c r="CI1467" s="200"/>
      <c r="CJ1467" s="200"/>
      <c r="CK1467" s="200"/>
      <c r="CL1467" s="200"/>
      <c r="CM1467" s="200"/>
      <c r="CN1467" s="200"/>
      <c r="CO1467" s="200"/>
      <c r="CP1467" s="200"/>
      <c r="CQ1467" s="200"/>
      <c r="CR1467" s="200"/>
      <c r="CS1467" s="200"/>
      <c r="CT1467" s="200"/>
      <c r="CU1467" s="200"/>
    </row>
    <row r="1468" spans="1:99" s="17" customFormat="1" x14ac:dyDescent="0.2">
      <c r="A1468" s="25"/>
      <c r="B1468" s="20">
        <v>39153531103</v>
      </c>
      <c r="C1468" s="20">
        <v>5311.03</v>
      </c>
      <c r="D1468" s="20" t="s">
        <v>82</v>
      </c>
      <c r="E1468" s="20" t="s">
        <v>2843</v>
      </c>
      <c r="F1468" s="20" t="s">
        <v>8</v>
      </c>
      <c r="G1468" s="861">
        <v>50.593141459246198</v>
      </c>
      <c r="H1468" s="861">
        <v>31.097868053124799</v>
      </c>
      <c r="I1468" s="861">
        <v>23.365330928936402</v>
      </c>
      <c r="J1468" s="861">
        <v>37.500743321065997</v>
      </c>
      <c r="K1468" s="982">
        <v>0</v>
      </c>
      <c r="L1468" s="735">
        <v>3216</v>
      </c>
      <c r="M1468" s="735">
        <v>3096</v>
      </c>
      <c r="N1468" s="845">
        <f t="shared" si="123"/>
        <v>-3.7313432835820892E-2</v>
      </c>
      <c r="O1468" s="735">
        <v>4.5115627963249612</v>
      </c>
      <c r="P1468" s="735">
        <f t="shared" si="124"/>
        <v>686.23670771510626</v>
      </c>
      <c r="Q1468" s="849">
        <v>52.9</v>
      </c>
      <c r="R1468" s="71">
        <v>74167</v>
      </c>
      <c r="S1468" s="845">
        <v>6.1692506459948324E-2</v>
      </c>
      <c r="T1468" s="845">
        <v>0.14400000000000002</v>
      </c>
      <c r="U1468" s="845">
        <v>0</v>
      </c>
      <c r="V1468" s="845">
        <v>0</v>
      </c>
      <c r="W1468" s="845">
        <v>0.13353115727002968</v>
      </c>
      <c r="X1468" s="845">
        <v>0.26666666666666666</v>
      </c>
      <c r="Y1468" s="845">
        <v>0.94670542635658916</v>
      </c>
      <c r="Z1468" s="845">
        <v>7.1059431524547806E-3</v>
      </c>
      <c r="AA1468" s="845">
        <v>3.875968992248062E-3</v>
      </c>
      <c r="AB1468" s="845">
        <v>0</v>
      </c>
      <c r="AC1468" s="845">
        <v>0</v>
      </c>
      <c r="AD1468" s="845">
        <v>1.0012919896640826E-2</v>
      </c>
      <c r="AE1468" s="845">
        <v>3.2299741602067181E-2</v>
      </c>
      <c r="AF1468" s="845">
        <v>3.0361757105943153E-2</v>
      </c>
      <c r="AG1468" s="845">
        <v>0.94670542635658916</v>
      </c>
      <c r="AH1468" s="20" t="str">
        <f t="shared" si="125"/>
        <v>Yes</v>
      </c>
      <c r="AI1468" s="25"/>
      <c r="AJ1468" s="37">
        <v>44882</v>
      </c>
      <c r="AK1468" s="37" t="s">
        <v>1516</v>
      </c>
      <c r="AL1468" s="37">
        <v>39147</v>
      </c>
      <c r="AM1468" s="37" t="s">
        <v>79</v>
      </c>
      <c r="AN1468" s="37" t="str">
        <f t="shared" si="126"/>
        <v>N/A</v>
      </c>
      <c r="AO1468" s="37" t="str">
        <f t="shared" si="127"/>
        <v>N/A</v>
      </c>
      <c r="AP1468" s="37" t="s">
        <v>8</v>
      </c>
      <c r="AQ1468" s="25"/>
      <c r="AR1468" s="25"/>
      <c r="AS1468" s="25"/>
      <c r="AT1468" s="25"/>
      <c r="AU1468" s="36"/>
      <c r="AV1468" s="36"/>
      <c r="AW1468" s="36"/>
      <c r="AX1468" s="25"/>
      <c r="AY1468" s="25"/>
      <c r="AZ1468" s="25"/>
      <c r="BA1468" s="25"/>
      <c r="BB1468" s="25"/>
      <c r="BC1468" s="25"/>
      <c r="BD1468" s="25"/>
      <c r="BE1468" s="25"/>
      <c r="BF1468" s="25"/>
      <c r="BG1468" s="25"/>
      <c r="BH1468" s="25"/>
      <c r="BI1468" s="25"/>
      <c r="BJ1468" s="25"/>
      <c r="BK1468" s="25"/>
      <c r="BL1468" s="25"/>
      <c r="BM1468" s="25"/>
      <c r="BN1468" s="25"/>
      <c r="BO1468" s="25"/>
      <c r="BP1468" s="25"/>
      <c r="BQ1468" s="25"/>
      <c r="BR1468" s="25"/>
      <c r="BS1468" s="25"/>
      <c r="BT1468" s="25"/>
      <c r="BU1468" s="25"/>
      <c r="BV1468" s="25"/>
      <c r="BW1468" s="25"/>
      <c r="BX1468" s="25"/>
      <c r="BY1468" s="25"/>
      <c r="BZ1468" s="25"/>
      <c r="CA1468" s="25"/>
      <c r="CB1468" s="25"/>
      <c r="CC1468" s="25"/>
      <c r="CD1468" s="25"/>
      <c r="CE1468" s="200"/>
      <c r="CF1468" s="200"/>
      <c r="CG1468" s="200"/>
      <c r="CH1468" s="200"/>
      <c r="CI1468" s="200"/>
      <c r="CJ1468" s="200"/>
      <c r="CK1468" s="200"/>
      <c r="CL1468" s="200"/>
      <c r="CM1468" s="200"/>
      <c r="CN1468" s="200"/>
      <c r="CO1468" s="200"/>
      <c r="CP1468" s="200"/>
      <c r="CQ1468" s="200"/>
      <c r="CR1468" s="200"/>
      <c r="CS1468" s="200"/>
      <c r="CT1468" s="200"/>
      <c r="CU1468" s="200"/>
    </row>
    <row r="1469" spans="1:99" s="17" customFormat="1" x14ac:dyDescent="0.2">
      <c r="A1469" s="25"/>
      <c r="B1469" s="20">
        <v>39153505800</v>
      </c>
      <c r="C1469" s="20">
        <v>5058</v>
      </c>
      <c r="D1469" s="20" t="s">
        <v>82</v>
      </c>
      <c r="E1469" s="20" t="s">
        <v>2843</v>
      </c>
      <c r="F1469" s="20" t="s">
        <v>8</v>
      </c>
      <c r="G1469" s="861">
        <v>50.592579210385601</v>
      </c>
      <c r="H1469" s="861">
        <v>60.139412139574702</v>
      </c>
      <c r="I1469" s="861">
        <v>35.768810830792503</v>
      </c>
      <c r="J1469" s="861">
        <v>45.892985647674699</v>
      </c>
      <c r="K1469" s="982">
        <v>0</v>
      </c>
      <c r="L1469" s="735">
        <v>5131</v>
      </c>
      <c r="M1469" s="735">
        <v>4513</v>
      </c>
      <c r="N1469" s="845">
        <f t="shared" si="123"/>
        <v>-0.12044435782498539</v>
      </c>
      <c r="O1469" s="735">
        <v>1.5408653748607364</v>
      </c>
      <c r="P1469" s="735">
        <f t="shared" si="124"/>
        <v>2928.8736534870127</v>
      </c>
      <c r="Q1469" s="849">
        <v>45.1</v>
      </c>
      <c r="R1469" s="71">
        <v>60031</v>
      </c>
      <c r="S1469" s="845">
        <v>0.14868158652780855</v>
      </c>
      <c r="T1469" s="845">
        <v>2.1000000000000001E-2</v>
      </c>
      <c r="U1469" s="845">
        <v>0</v>
      </c>
      <c r="V1469" s="845">
        <v>4.5999999999999999E-2</v>
      </c>
      <c r="W1469" s="845">
        <v>0.37693898655635988</v>
      </c>
      <c r="X1469" s="845">
        <v>0.26200274348422498</v>
      </c>
      <c r="Y1469" s="845">
        <v>0.70418790161754929</v>
      </c>
      <c r="Z1469" s="845">
        <v>0.18014624418346997</v>
      </c>
      <c r="AA1469" s="845">
        <v>0</v>
      </c>
      <c r="AB1469" s="845">
        <v>0</v>
      </c>
      <c r="AC1469" s="845">
        <v>0</v>
      </c>
      <c r="AD1469" s="845">
        <v>9.0848659428318188E-3</v>
      </c>
      <c r="AE1469" s="845">
        <v>0.10658098825614891</v>
      </c>
      <c r="AF1469" s="845">
        <v>5.8940837580323507E-2</v>
      </c>
      <c r="AG1469" s="845">
        <v>0.70418790161754929</v>
      </c>
      <c r="AH1469" s="20" t="str">
        <f t="shared" si="125"/>
        <v>No</v>
      </c>
      <c r="AI1469" s="25"/>
      <c r="AJ1469" s="37">
        <v>44883</v>
      </c>
      <c r="AK1469" s="37" t="s">
        <v>1517</v>
      </c>
      <c r="AL1469" s="37">
        <v>39147</v>
      </c>
      <c r="AM1469" s="37" t="s">
        <v>79</v>
      </c>
      <c r="AN1469" s="37" t="str">
        <f t="shared" si="126"/>
        <v>N/A</v>
      </c>
      <c r="AO1469" s="37" t="str">
        <f t="shared" si="127"/>
        <v>N/A</v>
      </c>
      <c r="AP1469" s="37" t="s">
        <v>8</v>
      </c>
      <c r="AQ1469" s="25"/>
      <c r="AR1469" s="25"/>
      <c r="AS1469" s="25"/>
      <c r="AT1469" s="25"/>
      <c r="AU1469" s="36"/>
      <c r="AV1469" s="36"/>
      <c r="AW1469" s="36"/>
      <c r="AX1469" s="25"/>
      <c r="AY1469" s="25"/>
      <c r="AZ1469" s="25"/>
      <c r="BA1469" s="25"/>
      <c r="BB1469" s="25"/>
      <c r="BC1469" s="25"/>
      <c r="BD1469" s="25"/>
      <c r="BE1469" s="25"/>
      <c r="BF1469" s="25"/>
      <c r="BG1469" s="25"/>
      <c r="BH1469" s="25"/>
      <c r="BI1469" s="25"/>
      <c r="BJ1469" s="25"/>
      <c r="BK1469" s="25"/>
      <c r="BL1469" s="25"/>
      <c r="BM1469" s="25"/>
      <c r="BN1469" s="25"/>
      <c r="BO1469" s="25"/>
      <c r="BP1469" s="25"/>
      <c r="BQ1469" s="25"/>
      <c r="BR1469" s="25"/>
      <c r="BS1469" s="25"/>
      <c r="BT1469" s="25"/>
      <c r="BU1469" s="25"/>
      <c r="BV1469" s="25"/>
      <c r="BW1469" s="25"/>
      <c r="BX1469" s="25"/>
      <c r="BY1469" s="25"/>
      <c r="BZ1469" s="25"/>
      <c r="CA1469" s="25"/>
      <c r="CB1469" s="25"/>
      <c r="CC1469" s="25"/>
      <c r="CD1469" s="25"/>
      <c r="CE1469" s="200"/>
      <c r="CF1469" s="200"/>
      <c r="CG1469" s="200"/>
      <c r="CH1469" s="200"/>
      <c r="CI1469" s="200"/>
      <c r="CJ1469" s="200"/>
      <c r="CK1469" s="200"/>
      <c r="CL1469" s="200"/>
      <c r="CM1469" s="200"/>
      <c r="CN1469" s="200"/>
      <c r="CO1469" s="200"/>
      <c r="CP1469" s="200"/>
      <c r="CQ1469" s="200"/>
      <c r="CR1469" s="200"/>
      <c r="CS1469" s="200"/>
      <c r="CT1469" s="200"/>
      <c r="CU1469" s="200"/>
    </row>
    <row r="1470" spans="1:99" s="17" customFormat="1" x14ac:dyDescent="0.2">
      <c r="A1470" s="25"/>
      <c r="B1470" s="20">
        <v>39049006943</v>
      </c>
      <c r="C1470" s="20">
        <v>69.430000000000007</v>
      </c>
      <c r="D1470" s="20" t="s">
        <v>31</v>
      </c>
      <c r="E1470" s="20" t="s">
        <v>2830</v>
      </c>
      <c r="F1470" s="20" t="s">
        <v>6</v>
      </c>
      <c r="G1470" s="861">
        <v>50.584589937881503</v>
      </c>
      <c r="H1470" s="861">
        <v>60.265117362443803</v>
      </c>
      <c r="I1470" s="861">
        <v>32.711592879480499</v>
      </c>
      <c r="J1470" s="861">
        <v>40.212272109231698</v>
      </c>
      <c r="K1470" s="982">
        <v>0</v>
      </c>
      <c r="L1470" s="735">
        <v>4500</v>
      </c>
      <c r="M1470" s="735">
        <v>4580</v>
      </c>
      <c r="N1470" s="845">
        <f t="shared" si="123"/>
        <v>1.7777777777777778E-2</v>
      </c>
      <c r="O1470" s="735">
        <v>0.71796352763951499</v>
      </c>
      <c r="P1470" s="735">
        <f t="shared" si="124"/>
        <v>6379.1541264747775</v>
      </c>
      <c r="Q1470" s="849">
        <v>35.799999999999997</v>
      </c>
      <c r="R1470" s="71">
        <v>48631</v>
      </c>
      <c r="S1470" s="845">
        <v>0.22248908296943232</v>
      </c>
      <c r="T1470" s="845">
        <v>0.11</v>
      </c>
      <c r="U1470" s="845">
        <v>0</v>
      </c>
      <c r="V1470" s="845">
        <v>0</v>
      </c>
      <c r="W1470" s="845">
        <v>0.30279898218829515</v>
      </c>
      <c r="X1470" s="845">
        <v>0.50252100840336134</v>
      </c>
      <c r="Y1470" s="845">
        <v>0.45065502183406114</v>
      </c>
      <c r="Z1470" s="845">
        <v>0.36506550218340611</v>
      </c>
      <c r="AA1470" s="845">
        <v>3.7117903930131003E-3</v>
      </c>
      <c r="AB1470" s="845">
        <v>5.3930131004366812E-2</v>
      </c>
      <c r="AC1470" s="845">
        <v>0</v>
      </c>
      <c r="AD1470" s="845">
        <v>8.296943231441048E-3</v>
      </c>
      <c r="AE1470" s="845">
        <v>0.11834061135371179</v>
      </c>
      <c r="AF1470" s="845">
        <v>0.12641921397379913</v>
      </c>
      <c r="AG1470" s="845">
        <v>0.41812227074235808</v>
      </c>
      <c r="AH1470" s="20" t="str">
        <f t="shared" si="125"/>
        <v>No</v>
      </c>
      <c r="AI1470" s="25"/>
      <c r="AJ1470" s="37">
        <v>45302</v>
      </c>
      <c r="AK1470" s="37" t="s">
        <v>1656</v>
      </c>
      <c r="AL1470" s="37">
        <v>39149</v>
      </c>
      <c r="AM1470" s="37" t="s">
        <v>80</v>
      </c>
      <c r="AN1470" s="37" t="str">
        <f t="shared" si="126"/>
        <v>N/A</v>
      </c>
      <c r="AO1470" s="37" t="str">
        <f t="shared" si="127"/>
        <v>N/A</v>
      </c>
      <c r="AP1470" s="37" t="s">
        <v>8</v>
      </c>
      <c r="AQ1470" s="25"/>
      <c r="AR1470" s="25"/>
      <c r="AS1470" s="25"/>
      <c r="AT1470" s="25"/>
      <c r="AU1470" s="36"/>
      <c r="AV1470" s="36"/>
      <c r="AW1470" s="36"/>
      <c r="AX1470" s="25"/>
      <c r="AY1470" s="25"/>
      <c r="AZ1470" s="25"/>
      <c r="BA1470" s="25"/>
      <c r="BB1470" s="25"/>
      <c r="BC1470" s="25"/>
      <c r="BD1470" s="25"/>
      <c r="BE1470" s="25"/>
      <c r="BF1470" s="25"/>
      <c r="BG1470" s="25"/>
      <c r="BH1470" s="25"/>
      <c r="BI1470" s="25"/>
      <c r="BJ1470" s="25"/>
      <c r="BK1470" s="25"/>
      <c r="BL1470" s="25"/>
      <c r="BM1470" s="25"/>
      <c r="BN1470" s="25"/>
      <c r="BO1470" s="25"/>
      <c r="BP1470" s="25"/>
      <c r="BQ1470" s="25"/>
      <c r="BR1470" s="25"/>
      <c r="BS1470" s="25"/>
      <c r="BT1470" s="25"/>
      <c r="BU1470" s="25"/>
      <c r="BV1470" s="25"/>
      <c r="BW1470" s="25"/>
      <c r="BX1470" s="25"/>
      <c r="BY1470" s="25"/>
      <c r="BZ1470" s="25"/>
      <c r="CA1470" s="25"/>
      <c r="CB1470" s="25"/>
      <c r="CC1470" s="25"/>
      <c r="CD1470" s="25"/>
      <c r="CE1470" s="200"/>
      <c r="CF1470" s="200"/>
      <c r="CG1470" s="200"/>
      <c r="CH1470" s="200"/>
      <c r="CI1470" s="200"/>
      <c r="CJ1470" s="200"/>
      <c r="CK1470" s="200"/>
      <c r="CL1470" s="200"/>
      <c r="CM1470" s="200"/>
      <c r="CN1470" s="200"/>
      <c r="CO1470" s="200"/>
      <c r="CP1470" s="200"/>
      <c r="CQ1470" s="200"/>
      <c r="CR1470" s="200"/>
      <c r="CS1470" s="200"/>
      <c r="CT1470" s="200"/>
      <c r="CU1470" s="200"/>
    </row>
    <row r="1471" spans="1:99" s="17" customFormat="1" x14ac:dyDescent="0.2">
      <c r="A1471" s="25"/>
      <c r="B1471" s="20">
        <v>39049006921</v>
      </c>
      <c r="C1471" s="20">
        <v>69.209999999999994</v>
      </c>
      <c r="D1471" s="20" t="s">
        <v>31</v>
      </c>
      <c r="E1471" s="20" t="s">
        <v>2830</v>
      </c>
      <c r="F1471" s="20" t="s">
        <v>8</v>
      </c>
      <c r="G1471" s="861">
        <v>50.574838057652101</v>
      </c>
      <c r="H1471" s="861">
        <v>69.038535551251499</v>
      </c>
      <c r="I1471" s="861">
        <v>47.013339550443199</v>
      </c>
      <c r="J1471" s="861">
        <v>41.754782651047002</v>
      </c>
      <c r="K1471" s="982">
        <v>0</v>
      </c>
      <c r="L1471" s="735">
        <v>4004</v>
      </c>
      <c r="M1471" s="735">
        <v>3736</v>
      </c>
      <c r="N1471" s="845">
        <f t="shared" si="123"/>
        <v>-6.6933066933066929E-2</v>
      </c>
      <c r="O1471" s="735">
        <v>1.0348279166424437</v>
      </c>
      <c r="P1471" s="735">
        <f t="shared" si="124"/>
        <v>3610.2620927754429</v>
      </c>
      <c r="Q1471" s="849">
        <v>35.1</v>
      </c>
      <c r="R1471" s="71">
        <v>55938</v>
      </c>
      <c r="S1471" s="845">
        <v>0.20339897491232803</v>
      </c>
      <c r="T1471" s="845">
        <v>4.2999999999999997E-2</v>
      </c>
      <c r="U1471" s="845">
        <v>0</v>
      </c>
      <c r="V1471" s="845">
        <v>0.04</v>
      </c>
      <c r="W1471" s="845">
        <v>0.5665236051502146</v>
      </c>
      <c r="X1471" s="845">
        <v>0.52272727272727271</v>
      </c>
      <c r="Y1471" s="845">
        <v>0.62178800856531047</v>
      </c>
      <c r="Z1471" s="845">
        <v>0.26739828693790152</v>
      </c>
      <c r="AA1471" s="845">
        <v>0</v>
      </c>
      <c r="AB1471" s="845">
        <v>3.9882226980728054E-2</v>
      </c>
      <c r="AC1471" s="845">
        <v>0</v>
      </c>
      <c r="AD1471" s="845">
        <v>0</v>
      </c>
      <c r="AE1471" s="845">
        <v>7.0931477516059951E-2</v>
      </c>
      <c r="AF1471" s="845">
        <v>7.3875802997858675E-2</v>
      </c>
      <c r="AG1471" s="845">
        <v>0.57334047109207709</v>
      </c>
      <c r="AH1471" s="20" t="str">
        <f t="shared" si="125"/>
        <v>No</v>
      </c>
      <c r="AI1471" s="25"/>
      <c r="AJ1471" s="37">
        <v>45306</v>
      </c>
      <c r="AK1471" s="37" t="s">
        <v>1660</v>
      </c>
      <c r="AL1471" s="37">
        <v>39149</v>
      </c>
      <c r="AM1471" s="37" t="s">
        <v>80</v>
      </c>
      <c r="AN1471" s="37" t="str">
        <f t="shared" si="126"/>
        <v>N/A</v>
      </c>
      <c r="AO1471" s="37" t="str">
        <f t="shared" si="127"/>
        <v>N/A</v>
      </c>
      <c r="AP1471" s="37" t="s">
        <v>8</v>
      </c>
      <c r="AQ1471" s="25"/>
      <c r="AR1471" s="25"/>
      <c r="AS1471" s="25"/>
      <c r="AT1471" s="25"/>
      <c r="AU1471" s="36"/>
      <c r="AV1471" s="36"/>
      <c r="AW1471" s="36"/>
      <c r="AX1471" s="25"/>
      <c r="AY1471" s="25"/>
      <c r="AZ1471" s="25"/>
      <c r="BA1471" s="25"/>
      <c r="BB1471" s="25"/>
      <c r="BC1471" s="25"/>
      <c r="BD1471" s="25"/>
      <c r="BE1471" s="25"/>
      <c r="BF1471" s="25"/>
      <c r="BG1471" s="25"/>
      <c r="BH1471" s="25"/>
      <c r="BI1471" s="25"/>
      <c r="BJ1471" s="25"/>
      <c r="BK1471" s="25"/>
      <c r="BL1471" s="25"/>
      <c r="BM1471" s="25"/>
      <c r="BN1471" s="25"/>
      <c r="BO1471" s="25"/>
      <c r="BP1471" s="25"/>
      <c r="BQ1471" s="25"/>
      <c r="BR1471" s="25"/>
      <c r="BS1471" s="25"/>
      <c r="BT1471" s="25"/>
      <c r="BU1471" s="25"/>
      <c r="BV1471" s="25"/>
      <c r="BW1471" s="25"/>
      <c r="BX1471" s="25"/>
      <c r="BY1471" s="25"/>
      <c r="BZ1471" s="25"/>
      <c r="CA1471" s="25"/>
      <c r="CB1471" s="25"/>
      <c r="CC1471" s="25"/>
      <c r="CD1471" s="25"/>
      <c r="CE1471" s="200"/>
      <c r="CF1471" s="200"/>
      <c r="CG1471" s="200"/>
      <c r="CH1471" s="200"/>
      <c r="CI1471" s="200"/>
      <c r="CJ1471" s="200"/>
      <c r="CK1471" s="200"/>
      <c r="CL1471" s="200"/>
      <c r="CM1471" s="200"/>
      <c r="CN1471" s="200"/>
      <c r="CO1471" s="200"/>
      <c r="CP1471" s="200"/>
      <c r="CQ1471" s="200"/>
      <c r="CR1471" s="200"/>
      <c r="CS1471" s="200"/>
      <c r="CT1471" s="200"/>
      <c r="CU1471" s="200"/>
    </row>
    <row r="1472" spans="1:99" s="17" customFormat="1" x14ac:dyDescent="0.2">
      <c r="A1472" s="25"/>
      <c r="B1472" s="20">
        <v>39153502300</v>
      </c>
      <c r="C1472" s="20">
        <v>5023</v>
      </c>
      <c r="D1472" s="20" t="s">
        <v>82</v>
      </c>
      <c r="E1472" s="20" t="s">
        <v>2843</v>
      </c>
      <c r="F1472" s="20" t="s">
        <v>8</v>
      </c>
      <c r="G1472" s="861">
        <v>50.531616466962902</v>
      </c>
      <c r="H1472" s="861">
        <v>59.151207423555299</v>
      </c>
      <c r="I1472" s="861">
        <v>38.364950436979399</v>
      </c>
      <c r="J1472" s="861">
        <v>49.116552398207602</v>
      </c>
      <c r="K1472" s="982">
        <v>0</v>
      </c>
      <c r="L1472" s="735">
        <v>5145</v>
      </c>
      <c r="M1472" s="735">
        <v>5250</v>
      </c>
      <c r="N1472" s="845">
        <f t="shared" si="123"/>
        <v>2.0408163265306121E-2</v>
      </c>
      <c r="O1472" s="735">
        <v>1.3641927491319643</v>
      </c>
      <c r="P1472" s="735">
        <f t="shared" si="124"/>
        <v>3848.429778959443</v>
      </c>
      <c r="Q1472" s="849">
        <v>36.5</v>
      </c>
      <c r="R1472" s="71">
        <v>59613</v>
      </c>
      <c r="S1472" s="845">
        <v>0.21523809523809523</v>
      </c>
      <c r="T1472" s="845">
        <v>4.5999999999999999E-2</v>
      </c>
      <c r="U1472" s="845">
        <v>0</v>
      </c>
      <c r="V1472" s="845">
        <v>0</v>
      </c>
      <c r="W1472" s="845">
        <v>0.36858137510879024</v>
      </c>
      <c r="X1472" s="845">
        <v>0.45572609208972847</v>
      </c>
      <c r="Y1472" s="845">
        <v>0.52628571428571425</v>
      </c>
      <c r="Z1472" s="845">
        <v>0.3059047619047619</v>
      </c>
      <c r="AA1472" s="845">
        <v>3.2380952380952383E-3</v>
      </c>
      <c r="AB1472" s="845">
        <v>2.8190476190476189E-2</v>
      </c>
      <c r="AC1472" s="845">
        <v>0</v>
      </c>
      <c r="AD1472" s="845">
        <v>2.8571428571428571E-3</v>
      </c>
      <c r="AE1472" s="845">
        <v>0.13352380952380952</v>
      </c>
      <c r="AF1472" s="845">
        <v>2.1142857142857144E-2</v>
      </c>
      <c r="AG1472" s="845">
        <v>0.51657142857142857</v>
      </c>
      <c r="AH1472" s="20" t="str">
        <f t="shared" si="125"/>
        <v>No</v>
      </c>
      <c r="AI1472" s="25"/>
      <c r="AJ1472" s="37">
        <v>45317</v>
      </c>
      <c r="AK1472" s="37" t="s">
        <v>1670</v>
      </c>
      <c r="AL1472" s="37">
        <v>39149</v>
      </c>
      <c r="AM1472" s="37" t="s">
        <v>80</v>
      </c>
      <c r="AN1472" s="37" t="str">
        <f t="shared" si="126"/>
        <v>N/A</v>
      </c>
      <c r="AO1472" s="37" t="str">
        <f t="shared" si="127"/>
        <v>N/A</v>
      </c>
      <c r="AP1472" s="37" t="s">
        <v>8</v>
      </c>
      <c r="AQ1472" s="25"/>
      <c r="AR1472" s="25"/>
      <c r="AS1472" s="25"/>
      <c r="AT1472" s="25"/>
      <c r="AU1472" s="36"/>
      <c r="AV1472" s="36"/>
      <c r="AW1472" s="36"/>
      <c r="AX1472" s="25"/>
      <c r="AY1472" s="25"/>
      <c r="AZ1472" s="25"/>
      <c r="BA1472" s="25"/>
      <c r="BB1472" s="25"/>
      <c r="BC1472" s="25"/>
      <c r="BD1472" s="25"/>
      <c r="BE1472" s="25"/>
      <c r="BF1472" s="25"/>
      <c r="BG1472" s="25"/>
      <c r="BH1472" s="25"/>
      <c r="BI1472" s="25"/>
      <c r="BJ1472" s="25"/>
      <c r="BK1472" s="25"/>
      <c r="BL1472" s="25"/>
      <c r="BM1472" s="25"/>
      <c r="BN1472" s="25"/>
      <c r="BO1472" s="25"/>
      <c r="BP1472" s="25"/>
      <c r="BQ1472" s="25"/>
      <c r="BR1472" s="25"/>
      <c r="BS1472" s="25"/>
      <c r="BT1472" s="25"/>
      <c r="BU1472" s="25"/>
      <c r="BV1472" s="25"/>
      <c r="BW1472" s="25"/>
      <c r="BX1472" s="25"/>
      <c r="BY1472" s="25"/>
      <c r="BZ1472" s="25"/>
      <c r="CA1472" s="25"/>
      <c r="CB1472" s="25"/>
      <c r="CC1472" s="25"/>
      <c r="CD1472" s="25"/>
      <c r="CE1472" s="200"/>
      <c r="CF1472" s="200"/>
      <c r="CG1472" s="200"/>
      <c r="CH1472" s="200"/>
      <c r="CI1472" s="200"/>
      <c r="CJ1472" s="200"/>
      <c r="CK1472" s="200"/>
      <c r="CL1472" s="200"/>
      <c r="CM1472" s="200"/>
      <c r="CN1472" s="200"/>
      <c r="CO1472" s="200"/>
      <c r="CP1472" s="200"/>
      <c r="CQ1472" s="200"/>
      <c r="CR1472" s="200"/>
      <c r="CS1472" s="200"/>
      <c r="CT1472" s="200"/>
      <c r="CU1472" s="200"/>
    </row>
    <row r="1473" spans="1:99" s="17" customFormat="1" x14ac:dyDescent="0.2">
      <c r="A1473" s="25"/>
      <c r="B1473" s="20">
        <v>39035177501</v>
      </c>
      <c r="C1473" s="20">
        <v>1775.01</v>
      </c>
      <c r="D1473" s="20" t="s">
        <v>24</v>
      </c>
      <c r="E1473" s="20" t="s">
        <v>2829</v>
      </c>
      <c r="F1473" s="20" t="s">
        <v>8</v>
      </c>
      <c r="G1473" s="861">
        <v>50.531523348012598</v>
      </c>
      <c r="H1473" s="861">
        <v>69.335772910669505</v>
      </c>
      <c r="I1473" s="861">
        <v>26.945499544160601</v>
      </c>
      <c r="J1473" s="861">
        <v>47.250869556838502</v>
      </c>
      <c r="K1473" s="982">
        <v>0</v>
      </c>
      <c r="L1473" s="735">
        <v>4107</v>
      </c>
      <c r="M1473" s="735">
        <v>4471</v>
      </c>
      <c r="N1473" s="845">
        <f t="shared" si="123"/>
        <v>8.8629169710250796E-2</v>
      </c>
      <c r="O1473" s="735">
        <v>0.67382510107353355</v>
      </c>
      <c r="P1473" s="735">
        <f t="shared" si="124"/>
        <v>6635.2529653122647</v>
      </c>
      <c r="Q1473" s="849">
        <v>41.1</v>
      </c>
      <c r="R1473" s="71">
        <v>67045</v>
      </c>
      <c r="S1473" s="845">
        <v>9.4245582238332584E-2</v>
      </c>
      <c r="T1473" s="845">
        <v>3.6000000000000004E-2</v>
      </c>
      <c r="U1473" s="845">
        <v>1.3999999999999999E-2</v>
      </c>
      <c r="V1473" s="845">
        <v>0</v>
      </c>
      <c r="W1473" s="845">
        <v>0.23880597014925373</v>
      </c>
      <c r="X1473" s="845">
        <v>0.48660714285714285</v>
      </c>
      <c r="Y1473" s="845">
        <v>0.8908521583538358</v>
      </c>
      <c r="Z1473" s="845">
        <v>2.5721315142026392E-2</v>
      </c>
      <c r="AA1473" s="845">
        <v>0</v>
      </c>
      <c r="AB1473" s="845">
        <v>9.3938716170878997E-3</v>
      </c>
      <c r="AC1473" s="845">
        <v>0</v>
      </c>
      <c r="AD1473" s="845">
        <v>1.0064862446879893E-2</v>
      </c>
      <c r="AE1473" s="845">
        <v>6.3967792440169979E-2</v>
      </c>
      <c r="AF1473" s="845">
        <v>2.8181614851263699E-2</v>
      </c>
      <c r="AG1473" s="845">
        <v>0.88257660478640121</v>
      </c>
      <c r="AH1473" s="20" t="str">
        <f t="shared" si="125"/>
        <v>No</v>
      </c>
      <c r="AI1473" s="25"/>
      <c r="AJ1473" s="37">
        <v>45333</v>
      </c>
      <c r="AK1473" s="37" t="s">
        <v>1685</v>
      </c>
      <c r="AL1473" s="37">
        <v>39149</v>
      </c>
      <c r="AM1473" s="37" t="s">
        <v>80</v>
      </c>
      <c r="AN1473" s="37" t="str">
        <f t="shared" si="126"/>
        <v>N/A</v>
      </c>
      <c r="AO1473" s="37" t="str">
        <f t="shared" si="127"/>
        <v>N/A</v>
      </c>
      <c r="AP1473" s="37" t="s">
        <v>8</v>
      </c>
      <c r="AQ1473" s="25"/>
      <c r="AR1473" s="25"/>
      <c r="AS1473" s="25"/>
      <c r="AT1473" s="25"/>
      <c r="AU1473" s="36"/>
      <c r="AV1473" s="36"/>
      <c r="AW1473" s="36"/>
      <c r="AX1473" s="25"/>
      <c r="AY1473" s="25"/>
      <c r="AZ1473" s="25"/>
      <c r="BA1473" s="25"/>
      <c r="BB1473" s="25"/>
      <c r="BC1473" s="25"/>
      <c r="BD1473" s="25"/>
      <c r="BE1473" s="25"/>
      <c r="BF1473" s="25"/>
      <c r="BG1473" s="25"/>
      <c r="BH1473" s="25"/>
      <c r="BI1473" s="25"/>
      <c r="BJ1473" s="25"/>
      <c r="BK1473" s="25"/>
      <c r="BL1473" s="25"/>
      <c r="BM1473" s="25"/>
      <c r="BN1473" s="25"/>
      <c r="BO1473" s="25"/>
      <c r="BP1473" s="25"/>
      <c r="BQ1473" s="25"/>
      <c r="BR1473" s="25"/>
      <c r="BS1473" s="25"/>
      <c r="BT1473" s="25"/>
      <c r="BU1473" s="25"/>
      <c r="BV1473" s="25"/>
      <c r="BW1473" s="25"/>
      <c r="BX1473" s="25"/>
      <c r="BY1473" s="25"/>
      <c r="BZ1473" s="25"/>
      <c r="CA1473" s="25"/>
      <c r="CB1473" s="25"/>
      <c r="CC1473" s="25"/>
      <c r="CD1473" s="25"/>
      <c r="CE1473" s="200"/>
      <c r="CF1473" s="200"/>
      <c r="CG1473" s="200"/>
      <c r="CH1473" s="200"/>
      <c r="CI1473" s="200"/>
      <c r="CJ1473" s="200"/>
      <c r="CK1473" s="200"/>
      <c r="CL1473" s="200"/>
      <c r="CM1473" s="200"/>
      <c r="CN1473" s="200"/>
      <c r="CO1473" s="200"/>
      <c r="CP1473" s="200"/>
      <c r="CQ1473" s="200"/>
      <c r="CR1473" s="200"/>
      <c r="CS1473" s="200"/>
      <c r="CT1473" s="200"/>
      <c r="CU1473" s="200"/>
    </row>
    <row r="1474" spans="1:99" s="17" customFormat="1" x14ac:dyDescent="0.2">
      <c r="A1474" s="25"/>
      <c r="B1474" s="20">
        <v>39049009420</v>
      </c>
      <c r="C1474" s="20">
        <v>94.2</v>
      </c>
      <c r="D1474" s="20" t="s">
        <v>31</v>
      </c>
      <c r="E1474" s="20" t="s">
        <v>2830</v>
      </c>
      <c r="F1474" s="20" t="s">
        <v>8</v>
      </c>
      <c r="G1474" s="861">
        <v>50.523679844758803</v>
      </c>
      <c r="H1474" s="861">
        <v>55.792649035952699</v>
      </c>
      <c r="I1474" s="861">
        <v>41.427170764398198</v>
      </c>
      <c r="J1474" s="861">
        <v>53.151805706203298</v>
      </c>
      <c r="K1474" s="982">
        <v>0</v>
      </c>
      <c r="L1474" s="735">
        <v>5646</v>
      </c>
      <c r="M1474" s="735">
        <v>6013</v>
      </c>
      <c r="N1474" s="845">
        <f t="shared" si="123"/>
        <v>6.5001771165426853E-2</v>
      </c>
      <c r="O1474" s="735">
        <v>1.5383669077924842</v>
      </c>
      <c r="P1474" s="735">
        <f t="shared" si="124"/>
        <v>3908.6904232934235</v>
      </c>
      <c r="Q1474" s="849">
        <v>30.5</v>
      </c>
      <c r="R1474" s="71">
        <v>64044</v>
      </c>
      <c r="S1474" s="845">
        <v>0.16472179942499576</v>
      </c>
      <c r="T1474" s="845">
        <v>7.5999999999999998E-2</v>
      </c>
      <c r="U1474" s="845">
        <v>0</v>
      </c>
      <c r="V1474" s="845">
        <v>5.7999999999999996E-2</v>
      </c>
      <c r="W1474" s="845">
        <v>0.35137657489500701</v>
      </c>
      <c r="X1474" s="845">
        <v>0.47808764940239046</v>
      </c>
      <c r="Y1474" s="845">
        <v>0.48079161816065191</v>
      </c>
      <c r="Z1474" s="845">
        <v>0.34009645767503743</v>
      </c>
      <c r="AA1474" s="845">
        <v>0</v>
      </c>
      <c r="AB1474" s="845">
        <v>3.9747214368867453E-2</v>
      </c>
      <c r="AC1474" s="845">
        <v>1.5133876600698487E-2</v>
      </c>
      <c r="AD1474" s="845">
        <v>4.3239647430567104E-3</v>
      </c>
      <c r="AE1474" s="845">
        <v>0.11990686845168801</v>
      </c>
      <c r="AF1474" s="845">
        <v>2.045567936138367E-2</v>
      </c>
      <c r="AG1474" s="845">
        <v>0.47430567104606686</v>
      </c>
      <c r="AH1474" s="20" t="str">
        <f t="shared" si="125"/>
        <v>No</v>
      </c>
      <c r="AI1474" s="25"/>
      <c r="AJ1474" s="37">
        <v>45334</v>
      </c>
      <c r="AK1474" s="37" t="s">
        <v>1686</v>
      </c>
      <c r="AL1474" s="37">
        <v>39149</v>
      </c>
      <c r="AM1474" s="37" t="s">
        <v>80</v>
      </c>
      <c r="AN1474" s="37" t="str">
        <f t="shared" si="126"/>
        <v>N/A</v>
      </c>
      <c r="AO1474" s="37" t="str">
        <f t="shared" si="127"/>
        <v>N/A</v>
      </c>
      <c r="AP1474" s="37" t="s">
        <v>8</v>
      </c>
      <c r="AQ1474" s="25"/>
      <c r="AR1474" s="25"/>
      <c r="AS1474" s="25"/>
      <c r="AT1474" s="25"/>
      <c r="AU1474" s="36"/>
      <c r="AV1474" s="36"/>
      <c r="AW1474" s="36"/>
      <c r="AX1474" s="25"/>
      <c r="AY1474" s="25"/>
      <c r="AZ1474" s="25"/>
      <c r="BA1474" s="25"/>
      <c r="BB1474" s="25"/>
      <c r="BC1474" s="25"/>
      <c r="BD1474" s="25"/>
      <c r="BE1474" s="25"/>
      <c r="BF1474" s="25"/>
      <c r="BG1474" s="25"/>
      <c r="BH1474" s="25"/>
      <c r="BI1474" s="25"/>
      <c r="BJ1474" s="25"/>
      <c r="BK1474" s="25"/>
      <c r="BL1474" s="25"/>
      <c r="BM1474" s="25"/>
      <c r="BN1474" s="25"/>
      <c r="BO1474" s="25"/>
      <c r="BP1474" s="25"/>
      <c r="BQ1474" s="25"/>
      <c r="BR1474" s="25"/>
      <c r="BS1474" s="25"/>
      <c r="BT1474" s="25"/>
      <c r="BU1474" s="25"/>
      <c r="BV1474" s="25"/>
      <c r="BW1474" s="25"/>
      <c r="BX1474" s="25"/>
      <c r="BY1474" s="25"/>
      <c r="BZ1474" s="25"/>
      <c r="CA1474" s="25"/>
      <c r="CB1474" s="25"/>
      <c r="CC1474" s="25"/>
      <c r="CD1474" s="25"/>
      <c r="CE1474" s="200"/>
      <c r="CF1474" s="200"/>
      <c r="CG1474" s="200"/>
      <c r="CH1474" s="200"/>
      <c r="CI1474" s="200"/>
      <c r="CJ1474" s="200"/>
      <c r="CK1474" s="200"/>
      <c r="CL1474" s="200"/>
      <c r="CM1474" s="200"/>
      <c r="CN1474" s="200"/>
      <c r="CO1474" s="200"/>
      <c r="CP1474" s="200"/>
      <c r="CQ1474" s="200"/>
      <c r="CR1474" s="200"/>
      <c r="CS1474" s="200"/>
      <c r="CT1474" s="200"/>
      <c r="CU1474" s="200"/>
    </row>
    <row r="1475" spans="1:99" s="17" customFormat="1" x14ac:dyDescent="0.2">
      <c r="A1475" s="25"/>
      <c r="B1475" s="20">
        <v>39051040400</v>
      </c>
      <c r="C1475" s="20">
        <v>404</v>
      </c>
      <c r="D1475" s="20" t="s">
        <v>32</v>
      </c>
      <c r="E1475" s="20" t="s">
        <v>2839</v>
      </c>
      <c r="F1475" s="20" t="s">
        <v>8</v>
      </c>
      <c r="G1475" s="861">
        <v>50.5232326630966</v>
      </c>
      <c r="H1475" s="861">
        <v>46.0820665986002</v>
      </c>
      <c r="I1475" s="861">
        <v>31.575170949618101</v>
      </c>
      <c r="J1475" s="861">
        <v>52.792234805315204</v>
      </c>
      <c r="K1475" s="982">
        <v>0</v>
      </c>
      <c r="L1475" s="735">
        <v>3903</v>
      </c>
      <c r="M1475" s="735">
        <v>3288</v>
      </c>
      <c r="N1475" s="845">
        <f t="shared" si="123"/>
        <v>-0.15757109915449655</v>
      </c>
      <c r="O1475" s="735">
        <v>7.3029976187805747</v>
      </c>
      <c r="P1475" s="735">
        <f t="shared" si="124"/>
        <v>450.22608134836241</v>
      </c>
      <c r="Q1475" s="849">
        <v>38.200000000000003</v>
      </c>
      <c r="R1475" s="71">
        <v>63214</v>
      </c>
      <c r="S1475" s="845">
        <v>0.16854961832061069</v>
      </c>
      <c r="T1475" s="845">
        <v>1.9E-2</v>
      </c>
      <c r="U1475" s="845">
        <v>0.06</v>
      </c>
      <c r="V1475" s="845">
        <v>9.4E-2</v>
      </c>
      <c r="W1475" s="845">
        <v>0.19498381877022652</v>
      </c>
      <c r="X1475" s="845">
        <v>0.50622406639004147</v>
      </c>
      <c r="Y1475" s="845">
        <v>0.86587591240875916</v>
      </c>
      <c r="Z1475" s="845">
        <v>1.2165450121654502E-3</v>
      </c>
      <c r="AA1475" s="845">
        <v>3.0717761557177616E-2</v>
      </c>
      <c r="AB1475" s="845">
        <v>0</v>
      </c>
      <c r="AC1475" s="845">
        <v>0</v>
      </c>
      <c r="AD1475" s="845">
        <v>3.0717761557177616E-2</v>
      </c>
      <c r="AE1475" s="845">
        <v>7.1472019464720191E-2</v>
      </c>
      <c r="AF1475" s="845">
        <v>0.13807785888077859</v>
      </c>
      <c r="AG1475" s="845">
        <v>0.8558394160583942</v>
      </c>
      <c r="AH1475" s="20" t="str">
        <f t="shared" si="125"/>
        <v>No</v>
      </c>
      <c r="AI1475" s="25"/>
      <c r="AJ1475" s="37">
        <v>45336</v>
      </c>
      <c r="AK1475" s="37" t="s">
        <v>1688</v>
      </c>
      <c r="AL1475" s="37">
        <v>39149</v>
      </c>
      <c r="AM1475" s="37" t="s">
        <v>80</v>
      </c>
      <c r="AN1475" s="37" t="str">
        <f t="shared" si="126"/>
        <v>N/A</v>
      </c>
      <c r="AO1475" s="37" t="str">
        <f t="shared" si="127"/>
        <v>N/A</v>
      </c>
      <c r="AP1475" s="37" t="s">
        <v>8</v>
      </c>
      <c r="AQ1475" s="25"/>
      <c r="AR1475" s="25"/>
      <c r="AS1475" s="25"/>
      <c r="AT1475" s="25"/>
      <c r="AU1475" s="36"/>
      <c r="AV1475" s="36"/>
      <c r="AW1475" s="36"/>
      <c r="AX1475" s="25"/>
      <c r="AY1475" s="25"/>
      <c r="AZ1475" s="25"/>
      <c r="BA1475" s="25"/>
      <c r="BB1475" s="25"/>
      <c r="BC1475" s="25"/>
      <c r="BD1475" s="25"/>
      <c r="BE1475" s="25"/>
      <c r="BF1475" s="25"/>
      <c r="BG1475" s="25"/>
      <c r="BH1475" s="25"/>
      <c r="BI1475" s="25"/>
      <c r="BJ1475" s="25"/>
      <c r="BK1475" s="25"/>
      <c r="BL1475" s="25"/>
      <c r="BM1475" s="25"/>
      <c r="BN1475" s="25"/>
      <c r="BO1475" s="25"/>
      <c r="BP1475" s="25"/>
      <c r="BQ1475" s="25"/>
      <c r="BR1475" s="25"/>
      <c r="BS1475" s="25"/>
      <c r="BT1475" s="25"/>
      <c r="BU1475" s="25"/>
      <c r="BV1475" s="25"/>
      <c r="BW1475" s="25"/>
      <c r="BX1475" s="25"/>
      <c r="BY1475" s="25"/>
      <c r="BZ1475" s="25"/>
      <c r="CA1475" s="25"/>
      <c r="CB1475" s="25"/>
      <c r="CC1475" s="25"/>
      <c r="CD1475" s="25"/>
      <c r="CE1475" s="200"/>
      <c r="CF1475" s="200"/>
      <c r="CG1475" s="200"/>
      <c r="CH1475" s="200"/>
      <c r="CI1475" s="200"/>
      <c r="CJ1475" s="200"/>
      <c r="CK1475" s="200"/>
      <c r="CL1475" s="200"/>
      <c r="CM1475" s="200"/>
      <c r="CN1475" s="200"/>
      <c r="CO1475" s="200"/>
      <c r="CP1475" s="200"/>
      <c r="CQ1475" s="200"/>
      <c r="CR1475" s="200"/>
      <c r="CS1475" s="200"/>
      <c r="CT1475" s="200"/>
      <c r="CU1475" s="200"/>
    </row>
    <row r="1476" spans="1:99" s="17" customFormat="1" x14ac:dyDescent="0.2">
      <c r="A1476" s="25"/>
      <c r="B1476" s="20">
        <v>39049009372</v>
      </c>
      <c r="C1476" s="20">
        <v>93.72</v>
      </c>
      <c r="D1476" s="20" t="s">
        <v>31</v>
      </c>
      <c r="E1476" s="20" t="s">
        <v>2830</v>
      </c>
      <c r="F1476" s="20" t="s">
        <v>8</v>
      </c>
      <c r="G1476" s="861">
        <v>50.518934355905301</v>
      </c>
      <c r="H1476" s="861">
        <v>62.875098079713801</v>
      </c>
      <c r="I1476" s="861">
        <v>36.326680136842398</v>
      </c>
      <c r="J1476" s="861">
        <v>51.077883535117699</v>
      </c>
      <c r="K1476" s="982">
        <v>0</v>
      </c>
      <c r="L1476" s="735">
        <v>4012</v>
      </c>
      <c r="M1476" s="735">
        <v>5334</v>
      </c>
      <c r="N1476" s="845">
        <f t="shared" si="123"/>
        <v>0.32951146560319045</v>
      </c>
      <c r="O1476" s="735">
        <v>0.85657072765480768</v>
      </c>
      <c r="P1476" s="735">
        <f t="shared" si="124"/>
        <v>6227.1565298570031</v>
      </c>
      <c r="Q1476" s="849">
        <v>31.8</v>
      </c>
      <c r="R1476" s="71">
        <v>69467</v>
      </c>
      <c r="S1476" s="845">
        <v>0.14103046257991725</v>
      </c>
      <c r="T1476" s="845">
        <v>4.0000000000000001E-3</v>
      </c>
      <c r="U1476" s="845">
        <v>0</v>
      </c>
      <c r="V1476" s="845">
        <v>0</v>
      </c>
      <c r="W1476" s="845">
        <v>0.41535111594991836</v>
      </c>
      <c r="X1476" s="845">
        <v>0.49803407601572741</v>
      </c>
      <c r="Y1476" s="845">
        <v>0.32545931758530183</v>
      </c>
      <c r="Z1476" s="845">
        <v>0.5759280089988752</v>
      </c>
      <c r="AA1476" s="845">
        <v>0</v>
      </c>
      <c r="AB1476" s="845">
        <v>4.8743907011623549E-3</v>
      </c>
      <c r="AC1476" s="845">
        <v>0</v>
      </c>
      <c r="AD1476" s="845">
        <v>3.618297712785902E-2</v>
      </c>
      <c r="AE1476" s="845">
        <v>5.755530558680165E-2</v>
      </c>
      <c r="AF1476" s="845">
        <v>2.0622422197225349E-2</v>
      </c>
      <c r="AG1476" s="845">
        <v>0.32545931758530183</v>
      </c>
      <c r="AH1476" s="20" t="str">
        <f t="shared" si="125"/>
        <v>No</v>
      </c>
      <c r="AI1476" s="25"/>
      <c r="AJ1476" s="37">
        <v>45340</v>
      </c>
      <c r="AK1476" s="37" t="s">
        <v>1692</v>
      </c>
      <c r="AL1476" s="37">
        <v>39149</v>
      </c>
      <c r="AM1476" s="37" t="s">
        <v>80</v>
      </c>
      <c r="AN1476" s="37" t="str">
        <f t="shared" si="126"/>
        <v>N/A</v>
      </c>
      <c r="AO1476" s="37" t="str">
        <f t="shared" si="127"/>
        <v>N/A</v>
      </c>
      <c r="AP1476" s="37" t="s">
        <v>8</v>
      </c>
      <c r="AQ1476" s="25"/>
      <c r="AR1476" s="25"/>
      <c r="AS1476" s="25"/>
      <c r="AT1476" s="25"/>
      <c r="AU1476" s="36"/>
      <c r="AV1476" s="36"/>
      <c r="AW1476" s="36"/>
      <c r="AX1476" s="25"/>
      <c r="AY1476" s="25"/>
      <c r="AZ1476" s="25"/>
      <c r="BA1476" s="25"/>
      <c r="BB1476" s="25"/>
      <c r="BC1476" s="25"/>
      <c r="BD1476" s="25"/>
      <c r="BE1476" s="25"/>
      <c r="BF1476" s="25"/>
      <c r="BG1476" s="25"/>
      <c r="BH1476" s="25"/>
      <c r="BI1476" s="25"/>
      <c r="BJ1476" s="25"/>
      <c r="BK1476" s="25"/>
      <c r="BL1476" s="25"/>
      <c r="BM1476" s="25"/>
      <c r="BN1476" s="25"/>
      <c r="BO1476" s="25"/>
      <c r="BP1476" s="25"/>
      <c r="BQ1476" s="25"/>
      <c r="BR1476" s="25"/>
      <c r="BS1476" s="25"/>
      <c r="BT1476" s="25"/>
      <c r="BU1476" s="25"/>
      <c r="BV1476" s="25"/>
      <c r="BW1476" s="25"/>
      <c r="BX1476" s="25"/>
      <c r="BY1476" s="25"/>
      <c r="BZ1476" s="25"/>
      <c r="CA1476" s="25"/>
      <c r="CB1476" s="25"/>
      <c r="CC1476" s="25"/>
      <c r="CD1476" s="25"/>
      <c r="CE1476" s="200"/>
      <c r="CF1476" s="200"/>
      <c r="CG1476" s="200"/>
      <c r="CH1476" s="200"/>
      <c r="CI1476" s="200"/>
      <c r="CJ1476" s="200"/>
      <c r="CK1476" s="200"/>
      <c r="CL1476" s="200"/>
      <c r="CM1476" s="200"/>
      <c r="CN1476" s="200"/>
      <c r="CO1476" s="200"/>
      <c r="CP1476" s="200"/>
      <c r="CQ1476" s="200"/>
      <c r="CR1476" s="200"/>
      <c r="CS1476" s="200"/>
      <c r="CT1476" s="200"/>
      <c r="CU1476" s="200"/>
    </row>
    <row r="1477" spans="1:99" s="17" customFormat="1" x14ac:dyDescent="0.2">
      <c r="A1477" s="25"/>
      <c r="B1477" s="20">
        <v>39171950300</v>
      </c>
      <c r="C1477" s="20">
        <v>9503</v>
      </c>
      <c r="D1477" s="20" t="s">
        <v>91</v>
      </c>
      <c r="E1477" s="20" t="s">
        <v>265</v>
      </c>
      <c r="F1477" s="20" t="s">
        <v>8</v>
      </c>
      <c r="G1477" s="861">
        <v>50.5111931316398</v>
      </c>
      <c r="H1477" s="861">
        <v>51.541953768322102</v>
      </c>
      <c r="I1477" s="861">
        <v>39.435816917831403</v>
      </c>
      <c r="J1477" s="861">
        <v>27.420388059987499</v>
      </c>
      <c r="K1477" s="982">
        <v>0</v>
      </c>
      <c r="L1477" s="735">
        <v>4538</v>
      </c>
      <c r="M1477" s="735">
        <v>4128</v>
      </c>
      <c r="N1477" s="845">
        <f t="shared" si="123"/>
        <v>-9.0348171000440722E-2</v>
      </c>
      <c r="O1477" s="735">
        <v>12.293515895715831</v>
      </c>
      <c r="P1477" s="735">
        <f t="shared" si="124"/>
        <v>335.78677044201544</v>
      </c>
      <c r="Q1477" s="849">
        <v>39.700000000000003</v>
      </c>
      <c r="R1477" s="71">
        <v>50500</v>
      </c>
      <c r="S1477" s="845">
        <v>0.14725602185249564</v>
      </c>
      <c r="T1477" s="845">
        <v>4.5999999999999999E-2</v>
      </c>
      <c r="U1477" s="845">
        <v>0</v>
      </c>
      <c r="V1477" s="845">
        <v>0</v>
      </c>
      <c r="W1477" s="845">
        <v>0.29738562091503268</v>
      </c>
      <c r="X1477" s="845">
        <v>0.45970695970695968</v>
      </c>
      <c r="Y1477" s="845">
        <v>0.96245155038759689</v>
      </c>
      <c r="Z1477" s="845">
        <v>7.5096899224806205E-3</v>
      </c>
      <c r="AA1477" s="845">
        <v>2.9069767441860465E-3</v>
      </c>
      <c r="AB1477" s="845">
        <v>6.2984496124031007E-3</v>
      </c>
      <c r="AC1477" s="845">
        <v>0</v>
      </c>
      <c r="AD1477" s="845">
        <v>0</v>
      </c>
      <c r="AE1477" s="845">
        <v>2.0833333333333332E-2</v>
      </c>
      <c r="AF1477" s="845">
        <v>2.2771317829457363E-2</v>
      </c>
      <c r="AG1477" s="845">
        <v>0.95639534883720934</v>
      </c>
      <c r="AH1477" s="20" t="str">
        <f t="shared" si="125"/>
        <v>Yes</v>
      </c>
      <c r="AI1477" s="25"/>
      <c r="AJ1477" s="37">
        <v>45353</v>
      </c>
      <c r="AK1477" s="37" t="s">
        <v>1704</v>
      </c>
      <c r="AL1477" s="37">
        <v>39149</v>
      </c>
      <c r="AM1477" s="37" t="s">
        <v>80</v>
      </c>
      <c r="AN1477" s="37" t="str">
        <f t="shared" si="126"/>
        <v>N/A</v>
      </c>
      <c r="AO1477" s="37" t="str">
        <f t="shared" si="127"/>
        <v>N/A</v>
      </c>
      <c r="AP1477" s="37" t="s">
        <v>8</v>
      </c>
      <c r="AQ1477" s="25"/>
      <c r="AR1477" s="25"/>
      <c r="AS1477" s="25"/>
      <c r="AT1477" s="25"/>
      <c r="AU1477" s="36"/>
      <c r="AV1477" s="36"/>
      <c r="AW1477" s="36"/>
      <c r="AX1477" s="25"/>
      <c r="AY1477" s="25"/>
      <c r="AZ1477" s="25"/>
      <c r="BA1477" s="25"/>
      <c r="BB1477" s="25"/>
      <c r="BC1477" s="25"/>
      <c r="BD1477" s="25"/>
      <c r="BE1477" s="25"/>
      <c r="BF1477" s="25"/>
      <c r="BG1477" s="25"/>
      <c r="BH1477" s="25"/>
      <c r="BI1477" s="25"/>
      <c r="BJ1477" s="25"/>
      <c r="BK1477" s="25"/>
      <c r="BL1477" s="25"/>
      <c r="BM1477" s="25"/>
      <c r="BN1477" s="25"/>
      <c r="BO1477" s="25"/>
      <c r="BP1477" s="25"/>
      <c r="BQ1477" s="25"/>
      <c r="BR1477" s="25"/>
      <c r="BS1477" s="25"/>
      <c r="BT1477" s="25"/>
      <c r="BU1477" s="25"/>
      <c r="BV1477" s="25"/>
      <c r="BW1477" s="25"/>
      <c r="BX1477" s="25"/>
      <c r="BY1477" s="25"/>
      <c r="BZ1477" s="25"/>
      <c r="CA1477" s="25"/>
      <c r="CB1477" s="25"/>
      <c r="CC1477" s="25"/>
      <c r="CD1477" s="25"/>
      <c r="CE1477" s="200"/>
      <c r="CF1477" s="200"/>
      <c r="CG1477" s="200"/>
      <c r="CH1477" s="200"/>
      <c r="CI1477" s="200"/>
      <c r="CJ1477" s="200"/>
      <c r="CK1477" s="200"/>
      <c r="CL1477" s="200"/>
      <c r="CM1477" s="200"/>
      <c r="CN1477" s="200"/>
      <c r="CO1477" s="200"/>
      <c r="CP1477" s="200"/>
      <c r="CQ1477" s="200"/>
      <c r="CR1477" s="200"/>
      <c r="CS1477" s="200"/>
      <c r="CT1477" s="200"/>
      <c r="CU1477" s="200"/>
    </row>
    <row r="1478" spans="1:99" s="17" customFormat="1" x14ac:dyDescent="0.2">
      <c r="A1478" s="25"/>
      <c r="B1478" s="20">
        <v>39025041307</v>
      </c>
      <c r="C1478" s="20">
        <v>413.07</v>
      </c>
      <c r="D1478" s="20" t="s">
        <v>19</v>
      </c>
      <c r="E1478" s="20" t="s">
        <v>2828</v>
      </c>
      <c r="F1478" s="20" t="s">
        <v>8</v>
      </c>
      <c r="G1478" s="861">
        <v>50.5105255703944</v>
      </c>
      <c r="H1478" s="861">
        <v>52.424950618645298</v>
      </c>
      <c r="I1478" s="861">
        <v>21.859485816495901</v>
      </c>
      <c r="J1478" s="861">
        <v>30.696639354695201</v>
      </c>
      <c r="K1478" s="982">
        <v>0</v>
      </c>
      <c r="L1478" s="735">
        <v>4538</v>
      </c>
      <c r="M1478" s="735">
        <v>4801</v>
      </c>
      <c r="N1478" s="845">
        <f t="shared" si="123"/>
        <v>5.7955046275892465E-2</v>
      </c>
      <c r="O1478" s="735">
        <v>6.6954786136064541</v>
      </c>
      <c r="P1478" s="735">
        <f t="shared" si="124"/>
        <v>717.0510544598676</v>
      </c>
      <c r="Q1478" s="849">
        <v>37.5</v>
      </c>
      <c r="R1478" s="71">
        <v>84907</v>
      </c>
      <c r="S1478" s="845">
        <v>5.6426332288401257E-2</v>
      </c>
      <c r="T1478" s="845">
        <v>2.4E-2</v>
      </c>
      <c r="U1478" s="845">
        <v>6.0000000000000001E-3</v>
      </c>
      <c r="V1478" s="845">
        <v>6.5000000000000002E-2</v>
      </c>
      <c r="W1478" s="845">
        <v>0.28835978835978837</v>
      </c>
      <c r="X1478" s="845">
        <v>0.32844036697247708</v>
      </c>
      <c r="Y1478" s="845">
        <v>0.92168298271193505</v>
      </c>
      <c r="Z1478" s="845">
        <v>2.7077692147469278E-3</v>
      </c>
      <c r="AA1478" s="845">
        <v>0</v>
      </c>
      <c r="AB1478" s="845">
        <v>3.103520099979171E-2</v>
      </c>
      <c r="AC1478" s="845">
        <v>0</v>
      </c>
      <c r="AD1478" s="845">
        <v>4.1657987919183504E-3</v>
      </c>
      <c r="AE1478" s="845">
        <v>4.0408248281608002E-2</v>
      </c>
      <c r="AF1478" s="845">
        <v>5.2280774838575295E-2</v>
      </c>
      <c r="AG1478" s="845">
        <v>0.88106644449073113</v>
      </c>
      <c r="AH1478" s="20" t="str">
        <f t="shared" si="125"/>
        <v>No</v>
      </c>
      <c r="AI1478" s="25"/>
      <c r="AJ1478" s="37">
        <v>45356</v>
      </c>
      <c r="AK1478" s="37" t="s">
        <v>1706</v>
      </c>
      <c r="AL1478" s="37">
        <v>39149</v>
      </c>
      <c r="AM1478" s="37" t="s">
        <v>80</v>
      </c>
      <c r="AN1478" s="37" t="str">
        <f t="shared" si="126"/>
        <v>N/A</v>
      </c>
      <c r="AO1478" s="37" t="str">
        <f t="shared" si="127"/>
        <v>N/A</v>
      </c>
      <c r="AP1478" s="37" t="s">
        <v>8</v>
      </c>
      <c r="AQ1478" s="25"/>
      <c r="AR1478" s="25"/>
      <c r="AS1478" s="25"/>
      <c r="AT1478" s="25"/>
      <c r="AU1478" s="36"/>
      <c r="AV1478" s="36"/>
      <c r="AW1478" s="36"/>
      <c r="AX1478" s="25"/>
      <c r="AY1478" s="25"/>
      <c r="AZ1478" s="25"/>
      <c r="BA1478" s="25"/>
      <c r="BB1478" s="25"/>
      <c r="BC1478" s="25"/>
      <c r="BD1478" s="25"/>
      <c r="BE1478" s="25"/>
      <c r="BF1478" s="25"/>
      <c r="BG1478" s="25"/>
      <c r="BH1478" s="25"/>
      <c r="BI1478" s="25"/>
      <c r="BJ1478" s="25"/>
      <c r="BK1478" s="25"/>
      <c r="BL1478" s="25"/>
      <c r="BM1478" s="25"/>
      <c r="BN1478" s="25"/>
      <c r="BO1478" s="25"/>
      <c r="BP1478" s="25"/>
      <c r="BQ1478" s="25"/>
      <c r="BR1478" s="25"/>
      <c r="BS1478" s="25"/>
      <c r="BT1478" s="25"/>
      <c r="BU1478" s="25"/>
      <c r="BV1478" s="25"/>
      <c r="BW1478" s="25"/>
      <c r="BX1478" s="25"/>
      <c r="BY1478" s="25"/>
      <c r="BZ1478" s="25"/>
      <c r="CA1478" s="25"/>
      <c r="CB1478" s="25"/>
      <c r="CC1478" s="25"/>
      <c r="CD1478" s="25"/>
      <c r="CE1478" s="200"/>
      <c r="CF1478" s="200"/>
      <c r="CG1478" s="200"/>
      <c r="CH1478" s="200"/>
      <c r="CI1478" s="200"/>
      <c r="CJ1478" s="200"/>
      <c r="CK1478" s="200"/>
      <c r="CL1478" s="200"/>
      <c r="CM1478" s="200"/>
      <c r="CN1478" s="200"/>
      <c r="CO1478" s="200"/>
      <c r="CP1478" s="200"/>
      <c r="CQ1478" s="200"/>
      <c r="CR1478" s="200"/>
      <c r="CS1478" s="200"/>
      <c r="CT1478" s="200"/>
      <c r="CU1478" s="200"/>
    </row>
    <row r="1479" spans="1:99" s="17" customFormat="1" x14ac:dyDescent="0.2">
      <c r="A1479" s="25"/>
      <c r="B1479" s="20">
        <v>39133601000</v>
      </c>
      <c r="C1479" s="20">
        <v>6010</v>
      </c>
      <c r="D1479" s="20" t="s">
        <v>72</v>
      </c>
      <c r="E1479" s="20" t="s">
        <v>2843</v>
      </c>
      <c r="F1479" s="20" t="s">
        <v>8</v>
      </c>
      <c r="G1479" s="861">
        <v>50.497366979037203</v>
      </c>
      <c r="H1479" s="861">
        <v>51.504509229095</v>
      </c>
      <c r="I1479" s="861">
        <v>43.074669062020199</v>
      </c>
      <c r="J1479" s="861">
        <v>57.407004967084397</v>
      </c>
      <c r="K1479" s="982">
        <v>0</v>
      </c>
      <c r="L1479" s="735">
        <v>2458</v>
      </c>
      <c r="M1479" s="735">
        <v>2394</v>
      </c>
      <c r="N1479" s="845">
        <f t="shared" si="123"/>
        <v>-2.6037428803905614E-2</v>
      </c>
      <c r="O1479" s="735">
        <v>1.6880212627694264</v>
      </c>
      <c r="P1479" s="735">
        <f t="shared" si="124"/>
        <v>1418.2285808842955</v>
      </c>
      <c r="Q1479" s="849">
        <v>38.4</v>
      </c>
      <c r="R1479" s="71">
        <v>58750</v>
      </c>
      <c r="S1479" s="845">
        <v>0.16123642439431912</v>
      </c>
      <c r="T1479" s="845">
        <v>0.106</v>
      </c>
      <c r="U1479" s="845">
        <v>0</v>
      </c>
      <c r="V1479" s="845">
        <v>7.4999999999999997E-2</v>
      </c>
      <c r="W1479" s="845">
        <v>0.44091360476663355</v>
      </c>
      <c r="X1479" s="845">
        <v>0.3355855855855856</v>
      </c>
      <c r="Y1479" s="845">
        <v>0.77694235588972427</v>
      </c>
      <c r="Z1479" s="845">
        <v>8.9807852965747698E-2</v>
      </c>
      <c r="AA1479" s="845">
        <v>0</v>
      </c>
      <c r="AB1479" s="845">
        <v>4.2188805346700081E-2</v>
      </c>
      <c r="AC1479" s="845">
        <v>0</v>
      </c>
      <c r="AD1479" s="845">
        <v>2.7986633249791143E-2</v>
      </c>
      <c r="AE1479" s="845">
        <v>6.3074352548036755E-2</v>
      </c>
      <c r="AF1479" s="845">
        <v>5.1378446115288218E-2</v>
      </c>
      <c r="AG1479" s="845">
        <v>0.75355054302422719</v>
      </c>
      <c r="AH1479" s="20" t="str">
        <f t="shared" si="125"/>
        <v>No</v>
      </c>
      <c r="AI1479" s="25"/>
      <c r="AJ1479" s="37">
        <v>45360</v>
      </c>
      <c r="AK1479" s="37" t="s">
        <v>1709</v>
      </c>
      <c r="AL1479" s="37">
        <v>39149</v>
      </c>
      <c r="AM1479" s="37" t="s">
        <v>80</v>
      </c>
      <c r="AN1479" s="37" t="str">
        <f t="shared" si="126"/>
        <v>N/A</v>
      </c>
      <c r="AO1479" s="37" t="str">
        <f t="shared" si="127"/>
        <v>N/A</v>
      </c>
      <c r="AP1479" s="37" t="s">
        <v>8</v>
      </c>
      <c r="AQ1479" s="25"/>
      <c r="AR1479" s="25"/>
      <c r="AS1479" s="25"/>
      <c r="AT1479" s="25"/>
      <c r="AU1479" s="36"/>
      <c r="AV1479" s="36"/>
      <c r="AW1479" s="36"/>
      <c r="AX1479" s="25"/>
      <c r="AY1479" s="25"/>
      <c r="AZ1479" s="25"/>
      <c r="BA1479" s="25"/>
      <c r="BB1479" s="25"/>
      <c r="BC1479" s="25"/>
      <c r="BD1479" s="25"/>
      <c r="BE1479" s="25"/>
      <c r="BF1479" s="25"/>
      <c r="BG1479" s="25"/>
      <c r="BH1479" s="25"/>
      <c r="BI1479" s="25"/>
      <c r="BJ1479" s="25"/>
      <c r="BK1479" s="25"/>
      <c r="BL1479" s="25"/>
      <c r="BM1479" s="25"/>
      <c r="BN1479" s="25"/>
      <c r="BO1479" s="25"/>
      <c r="BP1479" s="25"/>
      <c r="BQ1479" s="25"/>
      <c r="BR1479" s="25"/>
      <c r="BS1479" s="25"/>
      <c r="BT1479" s="25"/>
      <c r="BU1479" s="25"/>
      <c r="BV1479" s="25"/>
      <c r="BW1479" s="25"/>
      <c r="BX1479" s="25"/>
      <c r="BY1479" s="25"/>
      <c r="BZ1479" s="25"/>
      <c r="CA1479" s="25"/>
      <c r="CB1479" s="25"/>
      <c r="CC1479" s="25"/>
      <c r="CD1479" s="25"/>
      <c r="CE1479" s="200"/>
      <c r="CF1479" s="200"/>
      <c r="CG1479" s="200"/>
      <c r="CH1479" s="200"/>
      <c r="CI1479" s="200"/>
      <c r="CJ1479" s="200"/>
      <c r="CK1479" s="200"/>
      <c r="CL1479" s="200"/>
      <c r="CM1479" s="200"/>
      <c r="CN1479" s="200"/>
      <c r="CO1479" s="200"/>
      <c r="CP1479" s="200"/>
      <c r="CQ1479" s="200"/>
      <c r="CR1479" s="200"/>
      <c r="CS1479" s="200"/>
      <c r="CT1479" s="200"/>
      <c r="CU1479" s="200"/>
    </row>
    <row r="1480" spans="1:99" s="17" customFormat="1" x14ac:dyDescent="0.2">
      <c r="A1480" s="25"/>
      <c r="B1480" s="20">
        <v>39151711121</v>
      </c>
      <c r="C1480" s="20">
        <v>7111.21</v>
      </c>
      <c r="D1480" s="20" t="s">
        <v>81</v>
      </c>
      <c r="E1480" s="20" t="s">
        <v>2844</v>
      </c>
      <c r="F1480" s="20" t="s">
        <v>8</v>
      </c>
      <c r="G1480" s="861">
        <v>50.490934596482802</v>
      </c>
      <c r="H1480" s="861">
        <v>63.642024009419799</v>
      </c>
      <c r="I1480" s="861">
        <v>15.094093591650999</v>
      </c>
      <c r="J1480" s="861">
        <v>30.632776558297099</v>
      </c>
      <c r="K1480" s="982">
        <v>0</v>
      </c>
      <c r="L1480" s="735">
        <v>6591</v>
      </c>
      <c r="M1480" s="735">
        <v>6043</v>
      </c>
      <c r="N1480" s="845">
        <f t="shared" si="123"/>
        <v>-8.3143680776816872E-2</v>
      </c>
      <c r="O1480" s="735">
        <v>6.9019019550634155</v>
      </c>
      <c r="P1480" s="735">
        <f t="shared" si="124"/>
        <v>875.55575830321629</v>
      </c>
      <c r="Q1480" s="849">
        <v>41.3</v>
      </c>
      <c r="R1480" s="71">
        <v>107532</v>
      </c>
      <c r="S1480" s="845">
        <v>1.2907496276683767E-2</v>
      </c>
      <c r="T1480" s="845">
        <v>5.4000000000000006E-2</v>
      </c>
      <c r="U1480" s="845">
        <v>0</v>
      </c>
      <c r="V1480" s="845">
        <v>0</v>
      </c>
      <c r="W1480" s="845">
        <v>0.1596153846153846</v>
      </c>
      <c r="X1480" s="845">
        <v>0.2289156626506024</v>
      </c>
      <c r="Y1480" s="845">
        <v>0.95631308952507033</v>
      </c>
      <c r="Z1480" s="845">
        <v>5.6263445308621547E-3</v>
      </c>
      <c r="AA1480" s="845">
        <v>3.1441337084229686E-3</v>
      </c>
      <c r="AB1480" s="845">
        <v>2.1843455237464834E-2</v>
      </c>
      <c r="AC1480" s="845">
        <v>0</v>
      </c>
      <c r="AD1480" s="845">
        <v>0</v>
      </c>
      <c r="AE1480" s="845">
        <v>1.3072976998179713E-2</v>
      </c>
      <c r="AF1480" s="845">
        <v>0</v>
      </c>
      <c r="AG1480" s="845">
        <v>0.95631308952507033</v>
      </c>
      <c r="AH1480" s="20" t="str">
        <f t="shared" si="125"/>
        <v>Yes</v>
      </c>
      <c r="AI1480" s="25"/>
      <c r="AJ1480" s="37">
        <v>45363</v>
      </c>
      <c r="AK1480" s="37" t="s">
        <v>1712</v>
      </c>
      <c r="AL1480" s="37">
        <v>39149</v>
      </c>
      <c r="AM1480" s="37" t="s">
        <v>80</v>
      </c>
      <c r="AN1480" s="37" t="str">
        <f t="shared" si="126"/>
        <v>N/A</v>
      </c>
      <c r="AO1480" s="37" t="str">
        <f t="shared" si="127"/>
        <v>N/A</v>
      </c>
      <c r="AP1480" s="37" t="s">
        <v>8</v>
      </c>
      <c r="AQ1480" s="25"/>
      <c r="AR1480" s="25"/>
      <c r="AS1480" s="25"/>
      <c r="AT1480" s="25"/>
      <c r="AU1480" s="36"/>
      <c r="AV1480" s="36"/>
      <c r="AW1480" s="36"/>
      <c r="AX1480" s="25"/>
      <c r="AY1480" s="25"/>
      <c r="AZ1480" s="25"/>
      <c r="BA1480" s="25"/>
      <c r="BB1480" s="25"/>
      <c r="BC1480" s="25"/>
      <c r="BD1480" s="25"/>
      <c r="BE1480" s="25"/>
      <c r="BF1480" s="25"/>
      <c r="BG1480" s="25"/>
      <c r="BH1480" s="25"/>
      <c r="BI1480" s="25"/>
      <c r="BJ1480" s="25"/>
      <c r="BK1480" s="25"/>
      <c r="BL1480" s="25"/>
      <c r="BM1480" s="25"/>
      <c r="BN1480" s="25"/>
      <c r="BO1480" s="25"/>
      <c r="BP1480" s="25"/>
      <c r="BQ1480" s="25"/>
      <c r="BR1480" s="25"/>
      <c r="BS1480" s="25"/>
      <c r="BT1480" s="25"/>
      <c r="BU1480" s="25"/>
      <c r="BV1480" s="25"/>
      <c r="BW1480" s="25"/>
      <c r="BX1480" s="25"/>
      <c r="BY1480" s="25"/>
      <c r="BZ1480" s="25"/>
      <c r="CA1480" s="25"/>
      <c r="CB1480" s="25"/>
      <c r="CC1480" s="25"/>
      <c r="CD1480" s="25"/>
      <c r="CE1480" s="200"/>
      <c r="CF1480" s="200"/>
      <c r="CG1480" s="200"/>
      <c r="CH1480" s="200"/>
      <c r="CI1480" s="200"/>
      <c r="CJ1480" s="200"/>
      <c r="CK1480" s="200"/>
      <c r="CL1480" s="200"/>
      <c r="CM1480" s="200"/>
      <c r="CN1480" s="200"/>
      <c r="CO1480" s="200"/>
      <c r="CP1480" s="200"/>
      <c r="CQ1480" s="200"/>
      <c r="CR1480" s="200"/>
      <c r="CS1480" s="200"/>
      <c r="CT1480" s="200"/>
      <c r="CU1480" s="200"/>
    </row>
    <row r="1481" spans="1:99" s="17" customFormat="1" x14ac:dyDescent="0.2">
      <c r="A1481" s="25"/>
      <c r="B1481" s="20">
        <v>39099812101</v>
      </c>
      <c r="C1481" s="20">
        <v>8121.01</v>
      </c>
      <c r="D1481" s="20" t="s">
        <v>55</v>
      </c>
      <c r="E1481" s="20" t="s">
        <v>2842</v>
      </c>
      <c r="F1481" s="20" t="s">
        <v>8</v>
      </c>
      <c r="G1481" s="861">
        <v>50.477223713359301</v>
      </c>
      <c r="H1481" s="861">
        <v>64.748138412629402</v>
      </c>
      <c r="I1481" s="861">
        <v>20.061159218777401</v>
      </c>
      <c r="J1481" s="861">
        <v>37.809873485524299</v>
      </c>
      <c r="K1481" s="982">
        <v>0</v>
      </c>
      <c r="L1481" s="735" t="s">
        <v>2466</v>
      </c>
      <c r="M1481" s="735">
        <v>6339</v>
      </c>
      <c r="N1481" s="845" t="str">
        <f t="shared" si="123"/>
        <v/>
      </c>
      <c r="O1481" s="735">
        <v>7.2298042325761873</v>
      </c>
      <c r="P1481" s="735">
        <f t="shared" si="124"/>
        <v>876.78722633147038</v>
      </c>
      <c r="Q1481" s="849">
        <v>40.9</v>
      </c>
      <c r="R1481" s="71">
        <v>112167</v>
      </c>
      <c r="S1481" s="845">
        <v>4.9219119734973969E-2</v>
      </c>
      <c r="T1481" s="845">
        <v>4.4000000000000004E-2</v>
      </c>
      <c r="U1481" s="845">
        <v>0</v>
      </c>
      <c r="V1481" s="845">
        <v>0</v>
      </c>
      <c r="W1481" s="845">
        <v>0.15906838453914768</v>
      </c>
      <c r="X1481" s="845">
        <v>0.29595015576323985</v>
      </c>
      <c r="Y1481" s="845">
        <v>0.83577851396119263</v>
      </c>
      <c r="Z1481" s="845">
        <v>1.0411736867013724E-2</v>
      </c>
      <c r="AA1481" s="845">
        <v>0</v>
      </c>
      <c r="AB1481" s="845">
        <v>0.10632591891465532</v>
      </c>
      <c r="AC1481" s="845">
        <v>0</v>
      </c>
      <c r="AD1481" s="845">
        <v>2.0507966556239155E-3</v>
      </c>
      <c r="AE1481" s="845">
        <v>4.5433033601514433E-2</v>
      </c>
      <c r="AF1481" s="845">
        <v>2.0507966556239155E-3</v>
      </c>
      <c r="AG1481" s="845">
        <v>0.83577851396119263</v>
      </c>
      <c r="AH1481" s="20" t="str">
        <f t="shared" si="125"/>
        <v>No</v>
      </c>
      <c r="AI1481" s="25"/>
      <c r="AJ1481" s="37">
        <v>45365</v>
      </c>
      <c r="AK1481" s="37" t="s">
        <v>1713</v>
      </c>
      <c r="AL1481" s="37">
        <v>39149</v>
      </c>
      <c r="AM1481" s="37" t="s">
        <v>80</v>
      </c>
      <c r="AN1481" s="37" t="str">
        <f t="shared" si="126"/>
        <v>N/A</v>
      </c>
      <c r="AO1481" s="37" t="str">
        <f t="shared" si="127"/>
        <v>N/A</v>
      </c>
      <c r="AP1481" s="37" t="s">
        <v>8</v>
      </c>
      <c r="AQ1481" s="25"/>
      <c r="AR1481" s="25"/>
      <c r="AS1481" s="25"/>
      <c r="AT1481" s="25"/>
      <c r="AU1481" s="36"/>
      <c r="AV1481" s="36"/>
      <c r="AW1481" s="36"/>
      <c r="AX1481" s="25"/>
      <c r="AY1481" s="25"/>
      <c r="AZ1481" s="25"/>
      <c r="BA1481" s="25"/>
      <c r="BB1481" s="25"/>
      <c r="BC1481" s="25"/>
      <c r="BD1481" s="25"/>
      <c r="BE1481" s="25"/>
      <c r="BF1481" s="25"/>
      <c r="BG1481" s="25"/>
      <c r="BH1481" s="25"/>
      <c r="BI1481" s="25"/>
      <c r="BJ1481" s="25"/>
      <c r="BK1481" s="25"/>
      <c r="BL1481" s="25"/>
      <c r="BM1481" s="25"/>
      <c r="BN1481" s="25"/>
      <c r="BO1481" s="25"/>
      <c r="BP1481" s="25"/>
      <c r="BQ1481" s="25"/>
      <c r="BR1481" s="25"/>
      <c r="BS1481" s="25"/>
      <c r="BT1481" s="25"/>
      <c r="BU1481" s="25"/>
      <c r="BV1481" s="25"/>
      <c r="BW1481" s="25"/>
      <c r="BX1481" s="25"/>
      <c r="BY1481" s="25"/>
      <c r="BZ1481" s="25"/>
      <c r="CA1481" s="25"/>
      <c r="CB1481" s="25"/>
      <c r="CC1481" s="25"/>
      <c r="CD1481" s="25"/>
      <c r="CE1481" s="200"/>
      <c r="CF1481" s="200"/>
      <c r="CG1481" s="200"/>
      <c r="CH1481" s="200"/>
      <c r="CI1481" s="200"/>
      <c r="CJ1481" s="200"/>
      <c r="CK1481" s="200"/>
      <c r="CL1481" s="200"/>
      <c r="CM1481" s="200"/>
      <c r="CN1481" s="200"/>
      <c r="CO1481" s="200"/>
      <c r="CP1481" s="200"/>
      <c r="CQ1481" s="200"/>
      <c r="CR1481" s="200"/>
      <c r="CS1481" s="200"/>
      <c r="CT1481" s="200"/>
      <c r="CU1481" s="200"/>
    </row>
    <row r="1482" spans="1:99" s="17" customFormat="1" x14ac:dyDescent="0.2">
      <c r="A1482" s="25"/>
      <c r="B1482" s="20">
        <v>39089753600</v>
      </c>
      <c r="C1482" s="20">
        <v>7536</v>
      </c>
      <c r="D1482" s="20" t="s">
        <v>50</v>
      </c>
      <c r="E1482" s="20" t="s">
        <v>2830</v>
      </c>
      <c r="F1482" s="20" t="s">
        <v>8</v>
      </c>
      <c r="G1482" s="861">
        <v>50.472528807232898</v>
      </c>
      <c r="H1482" s="861">
        <v>56.140564261694102</v>
      </c>
      <c r="I1482" s="861">
        <v>20.916479270101501</v>
      </c>
      <c r="J1482" s="861">
        <v>36.015824209888002</v>
      </c>
      <c r="K1482" s="982">
        <v>0</v>
      </c>
      <c r="L1482" s="735">
        <v>1934</v>
      </c>
      <c r="M1482" s="735">
        <v>2069</v>
      </c>
      <c r="N1482" s="845">
        <f t="shared" si="123"/>
        <v>6.9803516028955528E-2</v>
      </c>
      <c r="O1482" s="735">
        <v>0.53267773495686055</v>
      </c>
      <c r="P1482" s="735">
        <f t="shared" si="124"/>
        <v>3884.1495790462504</v>
      </c>
      <c r="Q1482" s="849">
        <v>42.4</v>
      </c>
      <c r="R1482" s="71">
        <v>75553</v>
      </c>
      <c r="S1482" s="845">
        <v>7.2709646146388751E-2</v>
      </c>
      <c r="T1482" s="845">
        <v>9.0000000000000011E-3</v>
      </c>
      <c r="U1482" s="845">
        <v>0</v>
      </c>
      <c r="V1482" s="845">
        <v>0</v>
      </c>
      <c r="W1482" s="845">
        <v>0.18051282051282053</v>
      </c>
      <c r="X1482" s="845">
        <v>0.20454545454545456</v>
      </c>
      <c r="Y1482" s="845">
        <v>0.92411793136781051</v>
      </c>
      <c r="Z1482" s="845">
        <v>1.8366360560657321E-2</v>
      </c>
      <c r="AA1482" s="845">
        <v>0</v>
      </c>
      <c r="AB1482" s="845">
        <v>0</v>
      </c>
      <c r="AC1482" s="845">
        <v>0</v>
      </c>
      <c r="AD1482" s="845">
        <v>1.304978250362494E-2</v>
      </c>
      <c r="AE1482" s="845">
        <v>4.4465925567907204E-2</v>
      </c>
      <c r="AF1482" s="845">
        <v>4.0599323344610923E-2</v>
      </c>
      <c r="AG1482" s="845">
        <v>0.92411793136781051</v>
      </c>
      <c r="AH1482" s="20" t="str">
        <f t="shared" si="125"/>
        <v>Yes</v>
      </c>
      <c r="AI1482" s="25"/>
      <c r="AJ1482" s="37">
        <v>45380</v>
      </c>
      <c r="AK1482" s="37" t="s">
        <v>1722</v>
      </c>
      <c r="AL1482" s="37">
        <v>39149</v>
      </c>
      <c r="AM1482" s="37" t="s">
        <v>80</v>
      </c>
      <c r="AN1482" s="37" t="str">
        <f t="shared" si="126"/>
        <v>N/A</v>
      </c>
      <c r="AO1482" s="37" t="str">
        <f t="shared" si="127"/>
        <v>N/A</v>
      </c>
      <c r="AP1482" s="37" t="s">
        <v>8</v>
      </c>
      <c r="AQ1482" s="25"/>
      <c r="AR1482" s="25"/>
      <c r="AS1482" s="25"/>
      <c r="AT1482" s="25"/>
      <c r="AU1482" s="36"/>
      <c r="AV1482" s="36"/>
      <c r="AW1482" s="36"/>
      <c r="AX1482" s="25"/>
      <c r="AY1482" s="25"/>
      <c r="AZ1482" s="25"/>
      <c r="BA1482" s="25"/>
      <c r="BB1482" s="25"/>
      <c r="BC1482" s="25"/>
      <c r="BD1482" s="25"/>
      <c r="BE1482" s="25"/>
      <c r="BF1482" s="25"/>
      <c r="BG1482" s="25"/>
      <c r="BH1482" s="25"/>
      <c r="BI1482" s="25"/>
      <c r="BJ1482" s="25"/>
      <c r="BK1482" s="25"/>
      <c r="BL1482" s="25"/>
      <c r="BM1482" s="25"/>
      <c r="BN1482" s="25"/>
      <c r="BO1482" s="25"/>
      <c r="BP1482" s="25"/>
      <c r="BQ1482" s="25"/>
      <c r="BR1482" s="25"/>
      <c r="BS1482" s="25"/>
      <c r="BT1482" s="25"/>
      <c r="BU1482" s="25"/>
      <c r="BV1482" s="25"/>
      <c r="BW1482" s="25"/>
      <c r="BX1482" s="25"/>
      <c r="BY1482" s="25"/>
      <c r="BZ1482" s="25"/>
      <c r="CA1482" s="25"/>
      <c r="CB1482" s="25"/>
      <c r="CC1482" s="25"/>
      <c r="CD1482" s="25"/>
      <c r="CE1482" s="200"/>
      <c r="CF1482" s="200"/>
      <c r="CG1482" s="200"/>
      <c r="CH1482" s="200"/>
      <c r="CI1482" s="200"/>
      <c r="CJ1482" s="200"/>
      <c r="CK1482" s="200"/>
      <c r="CL1482" s="200"/>
      <c r="CM1482" s="200"/>
      <c r="CN1482" s="200"/>
      <c r="CO1482" s="200"/>
      <c r="CP1482" s="200"/>
      <c r="CQ1482" s="200"/>
      <c r="CR1482" s="200"/>
      <c r="CS1482" s="200"/>
      <c r="CT1482" s="200"/>
      <c r="CU1482" s="200"/>
    </row>
    <row r="1483" spans="1:99" s="17" customFormat="1" x14ac:dyDescent="0.2">
      <c r="A1483" s="25"/>
      <c r="B1483" s="20">
        <v>39081011402</v>
      </c>
      <c r="C1483" s="20">
        <v>114.02</v>
      </c>
      <c r="D1483" s="20" t="s">
        <v>47</v>
      </c>
      <c r="E1483" s="20" t="s">
        <v>2840</v>
      </c>
      <c r="F1483" s="20" t="s">
        <v>8</v>
      </c>
      <c r="G1483" s="861">
        <v>50.470178910455303</v>
      </c>
      <c r="H1483" s="861">
        <v>51.604688640097201</v>
      </c>
      <c r="I1483" s="861">
        <v>20.7375903899969</v>
      </c>
      <c r="J1483" s="861">
        <v>49.997855297583598</v>
      </c>
      <c r="K1483" s="982">
        <v>0</v>
      </c>
      <c r="L1483" s="735">
        <v>4014</v>
      </c>
      <c r="M1483" s="735">
        <v>3573</v>
      </c>
      <c r="N1483" s="845">
        <f t="shared" ref="N1483:N1546" si="128">IF(OR(L1483="",M1483=""),"",(M1483-L1483)/L1483)</f>
        <v>-0.10986547085201794</v>
      </c>
      <c r="O1483" s="735">
        <v>32.051080728706516</v>
      </c>
      <c r="P1483" s="735">
        <f t="shared" ref="P1483:P1546" si="129">M1483/O1483</f>
        <v>111.47830022467375</v>
      </c>
      <c r="Q1483" s="849">
        <v>51.2</v>
      </c>
      <c r="R1483" s="71">
        <v>65394</v>
      </c>
      <c r="S1483" s="845">
        <v>9.8379300540233153E-2</v>
      </c>
      <c r="T1483" s="845">
        <v>6.0999999999999999E-2</v>
      </c>
      <c r="U1483" s="845">
        <v>0</v>
      </c>
      <c r="V1483" s="845">
        <v>0</v>
      </c>
      <c r="W1483" s="845">
        <v>9.7514340344168254E-2</v>
      </c>
      <c r="X1483" s="845">
        <v>0.3202614379084967</v>
      </c>
      <c r="Y1483" s="845">
        <v>0.95689896445563949</v>
      </c>
      <c r="Z1483" s="845">
        <v>1.0075566750629723E-2</v>
      </c>
      <c r="AA1483" s="845">
        <v>2.2390148334732718E-3</v>
      </c>
      <c r="AB1483" s="845">
        <v>0</v>
      </c>
      <c r="AC1483" s="845">
        <v>0</v>
      </c>
      <c r="AD1483" s="845">
        <v>6.7170445004198151E-3</v>
      </c>
      <c r="AE1483" s="845">
        <v>2.4069409459837671E-2</v>
      </c>
      <c r="AF1483" s="845">
        <v>0</v>
      </c>
      <c r="AG1483" s="845">
        <v>0.95689896445563949</v>
      </c>
      <c r="AH1483" s="20" t="str">
        <f t="shared" ref="AH1483:AH1546" si="130">IF(AG1483&gt;=0.9,"Yes","No")</f>
        <v>Yes</v>
      </c>
      <c r="AI1483" s="25"/>
      <c r="AJ1483" s="37">
        <v>45388</v>
      </c>
      <c r="AK1483" s="37" t="s">
        <v>1729</v>
      </c>
      <c r="AL1483" s="37">
        <v>39149</v>
      </c>
      <c r="AM1483" s="37" t="s">
        <v>80</v>
      </c>
      <c r="AN1483" s="37" t="str">
        <f t="shared" ref="AN1483:AN1546" si="131">VLOOKUP(AM1483,$CY$11:$DA$98,2,FALSE)</f>
        <v>N/A</v>
      </c>
      <c r="AO1483" s="37" t="str">
        <f t="shared" ref="AO1483:AO1546" si="132">VLOOKUP(AM1483,$CY$11:$DA$98,3,FALSE)</f>
        <v>N/A</v>
      </c>
      <c r="AP1483" s="37" t="s">
        <v>8</v>
      </c>
      <c r="AQ1483" s="25"/>
      <c r="AR1483" s="25"/>
      <c r="AS1483" s="25"/>
      <c r="AT1483" s="25"/>
      <c r="AU1483" s="36"/>
      <c r="AV1483" s="36"/>
      <c r="AW1483" s="36"/>
      <c r="AX1483" s="25"/>
      <c r="AY1483" s="25"/>
      <c r="AZ1483" s="25"/>
      <c r="BA1483" s="25"/>
      <c r="BB1483" s="25"/>
      <c r="BC1483" s="25"/>
      <c r="BD1483" s="25"/>
      <c r="BE1483" s="25"/>
      <c r="BF1483" s="25"/>
      <c r="BG1483" s="25"/>
      <c r="BH1483" s="25"/>
      <c r="BI1483" s="25"/>
      <c r="BJ1483" s="25"/>
      <c r="BK1483" s="25"/>
      <c r="BL1483" s="25"/>
      <c r="BM1483" s="25"/>
      <c r="BN1483" s="25"/>
      <c r="BO1483" s="25"/>
      <c r="BP1483" s="25"/>
      <c r="BQ1483" s="25"/>
      <c r="BR1483" s="25"/>
      <c r="BS1483" s="25"/>
      <c r="BT1483" s="25"/>
      <c r="BU1483" s="25"/>
      <c r="BV1483" s="25"/>
      <c r="BW1483" s="25"/>
      <c r="BX1483" s="25"/>
      <c r="BY1483" s="25"/>
      <c r="BZ1483" s="25"/>
      <c r="CA1483" s="25"/>
      <c r="CB1483" s="25"/>
      <c r="CC1483" s="25"/>
      <c r="CD1483" s="25"/>
      <c r="CE1483" s="200"/>
      <c r="CF1483" s="200"/>
      <c r="CG1483" s="200"/>
      <c r="CH1483" s="200"/>
      <c r="CI1483" s="200"/>
      <c r="CJ1483" s="200"/>
      <c r="CK1483" s="200"/>
      <c r="CL1483" s="200"/>
      <c r="CM1483" s="200"/>
      <c r="CN1483" s="200"/>
      <c r="CO1483" s="200"/>
      <c r="CP1483" s="200"/>
      <c r="CQ1483" s="200"/>
      <c r="CR1483" s="200"/>
      <c r="CS1483" s="200"/>
      <c r="CT1483" s="200"/>
      <c r="CU1483" s="200"/>
    </row>
    <row r="1484" spans="1:99" s="17" customFormat="1" x14ac:dyDescent="0.2">
      <c r="A1484" s="25"/>
      <c r="B1484" s="20">
        <v>39095009300</v>
      </c>
      <c r="C1484" s="20">
        <v>93</v>
      </c>
      <c r="D1484" s="20" t="s">
        <v>53</v>
      </c>
      <c r="E1484" s="20" t="s">
        <v>2839</v>
      </c>
      <c r="F1484" s="20" t="s">
        <v>8</v>
      </c>
      <c r="G1484" s="861">
        <v>50.4645648392761</v>
      </c>
      <c r="H1484" s="861">
        <v>55.451156607794402</v>
      </c>
      <c r="I1484" s="861">
        <v>16.4711049038713</v>
      </c>
      <c r="J1484" s="861">
        <v>39.4416976208203</v>
      </c>
      <c r="K1484" s="982">
        <v>0</v>
      </c>
      <c r="L1484" s="735">
        <v>1631</v>
      </c>
      <c r="M1484" s="735">
        <v>1496</v>
      </c>
      <c r="N1484" s="845">
        <f t="shared" si="128"/>
        <v>-8.2771305947271612E-2</v>
      </c>
      <c r="O1484" s="735">
        <v>22.516830395796681</v>
      </c>
      <c r="P1484" s="735">
        <f t="shared" si="129"/>
        <v>66.439191205138044</v>
      </c>
      <c r="Q1484" s="849">
        <v>50.2</v>
      </c>
      <c r="R1484" s="71">
        <v>92632</v>
      </c>
      <c r="S1484" s="845">
        <v>1.1363636363636364E-2</v>
      </c>
      <c r="T1484" s="845">
        <v>6.0999999999999999E-2</v>
      </c>
      <c r="U1484" s="845">
        <v>2E-3</v>
      </c>
      <c r="V1484" s="845">
        <v>0</v>
      </c>
      <c r="W1484" s="845">
        <v>0.11774744027303755</v>
      </c>
      <c r="X1484" s="845">
        <v>0</v>
      </c>
      <c r="Y1484" s="845">
        <v>0.98262032085561501</v>
      </c>
      <c r="Z1484" s="845">
        <v>0</v>
      </c>
      <c r="AA1484" s="845">
        <v>0</v>
      </c>
      <c r="AB1484" s="845">
        <v>1.3368983957219251E-3</v>
      </c>
      <c r="AC1484" s="845">
        <v>0</v>
      </c>
      <c r="AD1484" s="845">
        <v>0</v>
      </c>
      <c r="AE1484" s="845">
        <v>1.6042780748663103E-2</v>
      </c>
      <c r="AF1484" s="845">
        <v>6.0160427807486629E-3</v>
      </c>
      <c r="AG1484" s="845">
        <v>0.98195187165775399</v>
      </c>
      <c r="AH1484" s="20" t="str">
        <f t="shared" si="130"/>
        <v>Yes</v>
      </c>
      <c r="AI1484" s="25"/>
      <c r="AJ1484" s="37">
        <v>45845</v>
      </c>
      <c r="AK1484" s="37" t="s">
        <v>1911</v>
      </c>
      <c r="AL1484" s="37">
        <v>39149</v>
      </c>
      <c r="AM1484" s="37" t="s">
        <v>80</v>
      </c>
      <c r="AN1484" s="37" t="str">
        <f t="shared" si="131"/>
        <v>N/A</v>
      </c>
      <c r="AO1484" s="37" t="str">
        <f t="shared" si="132"/>
        <v>N/A</v>
      </c>
      <c r="AP1484" s="37" t="s">
        <v>8</v>
      </c>
      <c r="AQ1484" s="25"/>
      <c r="AR1484" s="25"/>
      <c r="AS1484" s="25"/>
      <c r="AT1484" s="25"/>
      <c r="AU1484" s="36"/>
      <c r="AV1484" s="36"/>
      <c r="AW1484" s="36"/>
      <c r="AX1484" s="25"/>
      <c r="AY1484" s="25"/>
      <c r="AZ1484" s="25"/>
      <c r="BA1484" s="25"/>
      <c r="BB1484" s="25"/>
      <c r="BC1484" s="25"/>
      <c r="BD1484" s="25"/>
      <c r="BE1484" s="25"/>
      <c r="BF1484" s="25"/>
      <c r="BG1484" s="25"/>
      <c r="BH1484" s="25"/>
      <c r="BI1484" s="25"/>
      <c r="BJ1484" s="25"/>
      <c r="BK1484" s="25"/>
      <c r="BL1484" s="25"/>
      <c r="BM1484" s="25"/>
      <c r="BN1484" s="25"/>
      <c r="BO1484" s="25"/>
      <c r="BP1484" s="25"/>
      <c r="BQ1484" s="25"/>
      <c r="BR1484" s="25"/>
      <c r="BS1484" s="25"/>
      <c r="BT1484" s="25"/>
      <c r="BU1484" s="25"/>
      <c r="BV1484" s="25"/>
      <c r="BW1484" s="25"/>
      <c r="BX1484" s="25"/>
      <c r="BY1484" s="25"/>
      <c r="BZ1484" s="25"/>
      <c r="CA1484" s="25"/>
      <c r="CB1484" s="25"/>
      <c r="CC1484" s="25"/>
      <c r="CD1484" s="25"/>
      <c r="CE1484" s="200"/>
      <c r="CF1484" s="200"/>
      <c r="CG1484" s="200"/>
      <c r="CH1484" s="200"/>
      <c r="CI1484" s="200"/>
      <c r="CJ1484" s="200"/>
      <c r="CK1484" s="200"/>
      <c r="CL1484" s="200"/>
      <c r="CM1484" s="200"/>
      <c r="CN1484" s="200"/>
      <c r="CO1484" s="200"/>
      <c r="CP1484" s="200"/>
      <c r="CQ1484" s="200"/>
      <c r="CR1484" s="200"/>
      <c r="CS1484" s="200"/>
      <c r="CT1484" s="200"/>
      <c r="CU1484" s="200"/>
    </row>
    <row r="1485" spans="1:99" s="17" customFormat="1" x14ac:dyDescent="0.2">
      <c r="A1485" s="25"/>
      <c r="B1485" s="20">
        <v>39049008164</v>
      </c>
      <c r="C1485" s="20">
        <v>81.64</v>
      </c>
      <c r="D1485" s="20" t="s">
        <v>31</v>
      </c>
      <c r="E1485" s="20" t="s">
        <v>2830</v>
      </c>
      <c r="F1485" s="20" t="s">
        <v>8</v>
      </c>
      <c r="G1485" s="861">
        <v>50.4453107227733</v>
      </c>
      <c r="H1485" s="861">
        <v>68.593408566700703</v>
      </c>
      <c r="I1485" s="861">
        <v>39.714217601133001</v>
      </c>
      <c r="J1485" s="861">
        <v>50.614876685456601</v>
      </c>
      <c r="K1485" s="982">
        <v>1</v>
      </c>
      <c r="L1485" s="735">
        <v>4024</v>
      </c>
      <c r="M1485" s="735">
        <v>5231</v>
      </c>
      <c r="N1485" s="845">
        <f t="shared" si="128"/>
        <v>0.2999502982107356</v>
      </c>
      <c r="O1485" s="735">
        <v>0.50133627833527006</v>
      </c>
      <c r="P1485" s="735">
        <f t="shared" si="129"/>
        <v>10434.11423839101</v>
      </c>
      <c r="Q1485" s="849">
        <v>31.4</v>
      </c>
      <c r="R1485" s="71">
        <v>61596</v>
      </c>
      <c r="S1485" s="845">
        <v>0.17698259187620891</v>
      </c>
      <c r="T1485" s="845">
        <v>5.7000000000000002E-2</v>
      </c>
      <c r="U1485" s="845">
        <v>0</v>
      </c>
      <c r="V1485" s="845">
        <v>3.6000000000000004E-2</v>
      </c>
      <c r="W1485" s="845">
        <v>0.49643221202854232</v>
      </c>
      <c r="X1485" s="845">
        <v>0.42607802874743328</v>
      </c>
      <c r="Y1485" s="845">
        <v>0.54272605620340275</v>
      </c>
      <c r="Z1485" s="845">
        <v>0.19613840565857388</v>
      </c>
      <c r="AA1485" s="845">
        <v>0</v>
      </c>
      <c r="AB1485" s="845">
        <v>1.5102274899636781E-2</v>
      </c>
      <c r="AC1485" s="845">
        <v>2.3513668514624355E-2</v>
      </c>
      <c r="AD1485" s="845">
        <v>0.10667176448097879</v>
      </c>
      <c r="AE1485" s="845">
        <v>0.1158478302427834</v>
      </c>
      <c r="AF1485" s="845">
        <v>0.22156375454024088</v>
      </c>
      <c r="AG1485" s="845">
        <v>0.52781494934047024</v>
      </c>
      <c r="AH1485" s="20" t="str">
        <f t="shared" si="130"/>
        <v>No</v>
      </c>
      <c r="AI1485" s="25"/>
      <c r="AJ1485" s="37">
        <v>45865</v>
      </c>
      <c r="AK1485" s="37" t="s">
        <v>1928</v>
      </c>
      <c r="AL1485" s="37">
        <v>39149</v>
      </c>
      <c r="AM1485" s="37" t="s">
        <v>80</v>
      </c>
      <c r="AN1485" s="37" t="str">
        <f t="shared" si="131"/>
        <v>N/A</v>
      </c>
      <c r="AO1485" s="37" t="str">
        <f t="shared" si="132"/>
        <v>N/A</v>
      </c>
      <c r="AP1485" s="37" t="s">
        <v>8</v>
      </c>
      <c r="AQ1485" s="25"/>
      <c r="AR1485" s="25"/>
      <c r="AS1485" s="25"/>
      <c r="AT1485" s="25"/>
      <c r="AU1485" s="36"/>
      <c r="AV1485" s="36"/>
      <c r="AW1485" s="36"/>
      <c r="AX1485" s="25"/>
      <c r="AY1485" s="25"/>
      <c r="AZ1485" s="25"/>
      <c r="BA1485" s="25"/>
      <c r="BB1485" s="25"/>
      <c r="BC1485" s="25"/>
      <c r="BD1485" s="25"/>
      <c r="BE1485" s="25"/>
      <c r="BF1485" s="25"/>
      <c r="BG1485" s="25"/>
      <c r="BH1485" s="25"/>
      <c r="BI1485" s="25"/>
      <c r="BJ1485" s="25"/>
      <c r="BK1485" s="25"/>
      <c r="BL1485" s="25"/>
      <c r="BM1485" s="25"/>
      <c r="BN1485" s="25"/>
      <c r="BO1485" s="25"/>
      <c r="BP1485" s="25"/>
      <c r="BQ1485" s="25"/>
      <c r="BR1485" s="25"/>
      <c r="BS1485" s="25"/>
      <c r="BT1485" s="25"/>
      <c r="BU1485" s="25"/>
      <c r="BV1485" s="25"/>
      <c r="BW1485" s="25"/>
      <c r="BX1485" s="25"/>
      <c r="BY1485" s="25"/>
      <c r="BZ1485" s="25"/>
      <c r="CA1485" s="25"/>
      <c r="CB1485" s="25"/>
      <c r="CC1485" s="25"/>
      <c r="CD1485" s="25"/>
      <c r="CE1485" s="200"/>
      <c r="CF1485" s="200"/>
      <c r="CG1485" s="200"/>
      <c r="CH1485" s="200"/>
      <c r="CI1485" s="200"/>
      <c r="CJ1485" s="200"/>
      <c r="CK1485" s="200"/>
      <c r="CL1485" s="200"/>
      <c r="CM1485" s="200"/>
      <c r="CN1485" s="200"/>
      <c r="CO1485" s="200"/>
      <c r="CP1485" s="200"/>
      <c r="CQ1485" s="200"/>
      <c r="CR1485" s="200"/>
      <c r="CS1485" s="200"/>
      <c r="CT1485" s="200"/>
      <c r="CU1485" s="200"/>
    </row>
    <row r="1486" spans="1:99" s="17" customFormat="1" x14ac:dyDescent="0.2">
      <c r="A1486" s="25"/>
      <c r="B1486" s="20">
        <v>39155932801</v>
      </c>
      <c r="C1486" s="20">
        <v>9328.01</v>
      </c>
      <c r="D1486" s="20" t="s">
        <v>83</v>
      </c>
      <c r="E1486" s="20" t="s">
        <v>2842</v>
      </c>
      <c r="F1486" s="20" t="s">
        <v>8</v>
      </c>
      <c r="G1486" s="861">
        <v>50.442766004612899</v>
      </c>
      <c r="H1486" s="861">
        <v>45.526334663674497</v>
      </c>
      <c r="I1486" s="861">
        <v>29.919136362496499</v>
      </c>
      <c r="J1486" s="861">
        <v>50.742507846926301</v>
      </c>
      <c r="K1486" s="982">
        <v>0</v>
      </c>
      <c r="L1486" s="735">
        <v>3004</v>
      </c>
      <c r="M1486" s="735">
        <v>2676</v>
      </c>
      <c r="N1486" s="845">
        <f t="shared" si="128"/>
        <v>-0.10918774966711052</v>
      </c>
      <c r="O1486" s="735">
        <v>0.84823207933568467</v>
      </c>
      <c r="P1486" s="735">
        <f t="shared" si="129"/>
        <v>3154.7969773741402</v>
      </c>
      <c r="Q1486" s="849">
        <v>37.6</v>
      </c>
      <c r="R1486" s="71">
        <v>53906</v>
      </c>
      <c r="S1486" s="845">
        <v>8.520179372197309E-2</v>
      </c>
      <c r="T1486" s="845">
        <v>5.4000000000000006E-2</v>
      </c>
      <c r="U1486" s="845">
        <v>0</v>
      </c>
      <c r="V1486" s="845">
        <v>9.3000000000000013E-2</v>
      </c>
      <c r="W1486" s="845">
        <v>0.31766612641815234</v>
      </c>
      <c r="X1486" s="845">
        <v>0.34693877551020408</v>
      </c>
      <c r="Y1486" s="845">
        <v>0.88191330343796714</v>
      </c>
      <c r="Z1486" s="845">
        <v>4.1479820627802692E-2</v>
      </c>
      <c r="AA1486" s="845">
        <v>0</v>
      </c>
      <c r="AB1486" s="845">
        <v>7.4738415545590429E-3</v>
      </c>
      <c r="AC1486" s="845">
        <v>0</v>
      </c>
      <c r="AD1486" s="845">
        <v>0</v>
      </c>
      <c r="AE1486" s="845">
        <v>6.9133034379671152E-2</v>
      </c>
      <c r="AF1486" s="845">
        <v>4.8579970104633777E-3</v>
      </c>
      <c r="AG1486" s="845">
        <v>0.88191330343796714</v>
      </c>
      <c r="AH1486" s="20" t="str">
        <f t="shared" si="130"/>
        <v>No</v>
      </c>
      <c r="AI1486" s="25"/>
      <c r="AJ1486" s="37">
        <v>45869</v>
      </c>
      <c r="AK1486" s="37" t="s">
        <v>1932</v>
      </c>
      <c r="AL1486" s="37">
        <v>39149</v>
      </c>
      <c r="AM1486" s="37" t="s">
        <v>80</v>
      </c>
      <c r="AN1486" s="37" t="str">
        <f t="shared" si="131"/>
        <v>N/A</v>
      </c>
      <c r="AO1486" s="37" t="str">
        <f t="shared" si="132"/>
        <v>N/A</v>
      </c>
      <c r="AP1486" s="37" t="s">
        <v>8</v>
      </c>
      <c r="AQ1486" s="25"/>
      <c r="AR1486" s="25"/>
      <c r="AS1486" s="25"/>
      <c r="AT1486" s="25"/>
      <c r="AU1486" s="36"/>
      <c r="AV1486" s="36"/>
      <c r="AW1486" s="36"/>
      <c r="AX1486" s="25"/>
      <c r="AY1486" s="25"/>
      <c r="AZ1486" s="25"/>
      <c r="BA1486" s="25"/>
      <c r="BB1486" s="25"/>
      <c r="BC1486" s="25"/>
      <c r="BD1486" s="25"/>
      <c r="BE1486" s="25"/>
      <c r="BF1486" s="25"/>
      <c r="BG1486" s="25"/>
      <c r="BH1486" s="25"/>
      <c r="BI1486" s="25"/>
      <c r="BJ1486" s="25"/>
      <c r="BK1486" s="25"/>
      <c r="BL1486" s="25"/>
      <c r="BM1486" s="25"/>
      <c r="BN1486" s="25"/>
      <c r="BO1486" s="25"/>
      <c r="BP1486" s="25"/>
      <c r="BQ1486" s="25"/>
      <c r="BR1486" s="25"/>
      <c r="BS1486" s="25"/>
      <c r="BT1486" s="25"/>
      <c r="BU1486" s="25"/>
      <c r="BV1486" s="25"/>
      <c r="BW1486" s="25"/>
      <c r="BX1486" s="25"/>
      <c r="BY1486" s="25"/>
      <c r="BZ1486" s="25"/>
      <c r="CA1486" s="25"/>
      <c r="CB1486" s="25"/>
      <c r="CC1486" s="25"/>
      <c r="CD1486" s="25"/>
      <c r="CE1486" s="200"/>
      <c r="CF1486" s="200"/>
      <c r="CG1486" s="200"/>
      <c r="CH1486" s="200"/>
      <c r="CI1486" s="200"/>
      <c r="CJ1486" s="200"/>
      <c r="CK1486" s="200"/>
      <c r="CL1486" s="200"/>
      <c r="CM1486" s="200"/>
      <c r="CN1486" s="200"/>
      <c r="CO1486" s="200"/>
      <c r="CP1486" s="200"/>
      <c r="CQ1486" s="200"/>
      <c r="CR1486" s="200"/>
      <c r="CS1486" s="200"/>
      <c r="CT1486" s="200"/>
      <c r="CU1486" s="200"/>
    </row>
    <row r="1487" spans="1:99" s="17" customFormat="1" x14ac:dyDescent="0.2">
      <c r="A1487" s="25"/>
      <c r="B1487" s="20">
        <v>39025041504</v>
      </c>
      <c r="C1487" s="20">
        <v>415.04</v>
      </c>
      <c r="D1487" s="20" t="s">
        <v>19</v>
      </c>
      <c r="E1487" s="20" t="s">
        <v>2828</v>
      </c>
      <c r="F1487" s="20" t="s">
        <v>8</v>
      </c>
      <c r="G1487" s="861">
        <v>50.441544293016797</v>
      </c>
      <c r="H1487" s="861">
        <v>50.149746298356</v>
      </c>
      <c r="I1487" s="861">
        <v>25.917601357440699</v>
      </c>
      <c r="J1487" s="861">
        <v>44.734204342866498</v>
      </c>
      <c r="K1487" s="982">
        <v>0</v>
      </c>
      <c r="L1487" s="735" t="s">
        <v>2466</v>
      </c>
      <c r="M1487" s="735">
        <v>3828</v>
      </c>
      <c r="N1487" s="845" t="str">
        <f t="shared" si="128"/>
        <v/>
      </c>
      <c r="O1487" s="735">
        <v>3.039305072331008</v>
      </c>
      <c r="P1487" s="735">
        <f t="shared" si="129"/>
        <v>1259.4984408932989</v>
      </c>
      <c r="Q1487" s="849">
        <v>47</v>
      </c>
      <c r="R1487" s="71">
        <v>89615</v>
      </c>
      <c r="S1487" s="845">
        <v>8.6021505376344093E-2</v>
      </c>
      <c r="T1487" s="845">
        <v>7.9000000000000001E-2</v>
      </c>
      <c r="U1487" s="845">
        <v>0</v>
      </c>
      <c r="V1487" s="845">
        <v>0</v>
      </c>
      <c r="W1487" s="845">
        <v>0.13102998696219034</v>
      </c>
      <c r="X1487" s="845">
        <v>0.51741293532338306</v>
      </c>
      <c r="Y1487" s="845">
        <v>0.91927899686520376</v>
      </c>
      <c r="Z1487" s="845">
        <v>4.1797283176593526E-3</v>
      </c>
      <c r="AA1487" s="845">
        <v>2.8735632183908046E-3</v>
      </c>
      <c r="AB1487" s="845">
        <v>0</v>
      </c>
      <c r="AC1487" s="845">
        <v>0</v>
      </c>
      <c r="AD1487" s="845">
        <v>4.336468129571578E-2</v>
      </c>
      <c r="AE1487" s="845">
        <v>3.0303030303030304E-2</v>
      </c>
      <c r="AF1487" s="845">
        <v>3.6311389759665622E-2</v>
      </c>
      <c r="AG1487" s="845">
        <v>0.91927899686520376</v>
      </c>
      <c r="AH1487" s="20" t="str">
        <f t="shared" si="130"/>
        <v>Yes</v>
      </c>
      <c r="AI1487" s="25"/>
      <c r="AJ1487" s="37">
        <v>45871</v>
      </c>
      <c r="AK1487" s="37" t="s">
        <v>1934</v>
      </c>
      <c r="AL1487" s="37">
        <v>39149</v>
      </c>
      <c r="AM1487" s="37" t="s">
        <v>80</v>
      </c>
      <c r="AN1487" s="37" t="str">
        <f t="shared" si="131"/>
        <v>N/A</v>
      </c>
      <c r="AO1487" s="37" t="str">
        <f t="shared" si="132"/>
        <v>N/A</v>
      </c>
      <c r="AP1487" s="37" t="s">
        <v>8</v>
      </c>
      <c r="AQ1487" s="25"/>
      <c r="AR1487" s="25"/>
      <c r="AS1487" s="25"/>
      <c r="AT1487" s="25"/>
      <c r="AU1487" s="36"/>
      <c r="AV1487" s="36"/>
      <c r="AW1487" s="36"/>
      <c r="AX1487" s="25"/>
      <c r="AY1487" s="25"/>
      <c r="AZ1487" s="25"/>
      <c r="BA1487" s="25"/>
      <c r="BB1487" s="25"/>
      <c r="BC1487" s="25"/>
      <c r="BD1487" s="25"/>
      <c r="BE1487" s="25"/>
      <c r="BF1487" s="25"/>
      <c r="BG1487" s="25"/>
      <c r="BH1487" s="25"/>
      <c r="BI1487" s="25"/>
      <c r="BJ1487" s="25"/>
      <c r="BK1487" s="25"/>
      <c r="BL1487" s="25"/>
      <c r="BM1487" s="25"/>
      <c r="BN1487" s="25"/>
      <c r="BO1487" s="25"/>
      <c r="BP1487" s="25"/>
      <c r="BQ1487" s="25"/>
      <c r="BR1487" s="25"/>
      <c r="BS1487" s="25"/>
      <c r="BT1487" s="25"/>
      <c r="BU1487" s="25"/>
      <c r="BV1487" s="25"/>
      <c r="BW1487" s="25"/>
      <c r="BX1487" s="25"/>
      <c r="BY1487" s="25"/>
      <c r="BZ1487" s="25"/>
      <c r="CA1487" s="25"/>
      <c r="CB1487" s="25"/>
      <c r="CC1487" s="25"/>
      <c r="CD1487" s="25"/>
      <c r="CE1487" s="200"/>
      <c r="CF1487" s="200"/>
      <c r="CG1487" s="200"/>
      <c r="CH1487" s="200"/>
      <c r="CI1487" s="200"/>
      <c r="CJ1487" s="200"/>
      <c r="CK1487" s="200"/>
      <c r="CL1487" s="200"/>
      <c r="CM1487" s="200"/>
      <c r="CN1487" s="200"/>
      <c r="CO1487" s="200"/>
      <c r="CP1487" s="200"/>
      <c r="CQ1487" s="200"/>
      <c r="CR1487" s="200"/>
      <c r="CS1487" s="200"/>
      <c r="CT1487" s="200"/>
      <c r="CU1487" s="200"/>
    </row>
    <row r="1488" spans="1:99" s="17" customFormat="1" x14ac:dyDescent="0.2">
      <c r="A1488" s="25"/>
      <c r="B1488" s="20">
        <v>39035152703</v>
      </c>
      <c r="C1488" s="20">
        <v>1527.03</v>
      </c>
      <c r="D1488" s="20" t="s">
        <v>24</v>
      </c>
      <c r="E1488" s="20" t="s">
        <v>2829</v>
      </c>
      <c r="F1488" s="20" t="s">
        <v>8</v>
      </c>
      <c r="G1488" s="861">
        <v>50.425060627485799</v>
      </c>
      <c r="H1488" s="861">
        <v>60.943917014327504</v>
      </c>
      <c r="I1488" s="861">
        <v>31.8023696485388</v>
      </c>
      <c r="J1488" s="861">
        <v>41.702007439774697</v>
      </c>
      <c r="K1488" s="982">
        <v>0</v>
      </c>
      <c r="L1488" s="735">
        <v>1806</v>
      </c>
      <c r="M1488" s="735">
        <v>1787</v>
      </c>
      <c r="N1488" s="845">
        <f t="shared" si="128"/>
        <v>-1.0520487264673311E-2</v>
      </c>
      <c r="O1488" s="735">
        <v>0.72027936838675299</v>
      </c>
      <c r="P1488" s="735">
        <f t="shared" si="129"/>
        <v>2480.9817946089952</v>
      </c>
      <c r="Q1488" s="849">
        <v>48</v>
      </c>
      <c r="R1488" s="71">
        <v>65500</v>
      </c>
      <c r="S1488" s="845">
        <v>2.3022432113341203E-2</v>
      </c>
      <c r="T1488" s="845">
        <v>2.3E-2</v>
      </c>
      <c r="U1488" s="845">
        <v>0</v>
      </c>
      <c r="V1488" s="845">
        <v>0.09</v>
      </c>
      <c r="W1488" s="845">
        <v>0.30547945205479454</v>
      </c>
      <c r="X1488" s="845">
        <v>0.41255605381165922</v>
      </c>
      <c r="Y1488" s="845">
        <v>0.37381085618354787</v>
      </c>
      <c r="Z1488" s="845">
        <v>0.57134862898712924</v>
      </c>
      <c r="AA1488" s="845">
        <v>0</v>
      </c>
      <c r="AB1488" s="845">
        <v>9.5131505316172361E-3</v>
      </c>
      <c r="AC1488" s="845">
        <v>0</v>
      </c>
      <c r="AD1488" s="845">
        <v>6.7151650811415782E-3</v>
      </c>
      <c r="AE1488" s="845">
        <v>3.8612199216564072E-2</v>
      </c>
      <c r="AF1488" s="845">
        <v>4.4767767207610524E-3</v>
      </c>
      <c r="AG1488" s="845">
        <v>0.37381085618354787</v>
      </c>
      <c r="AH1488" s="20" t="str">
        <f t="shared" si="130"/>
        <v>No</v>
      </c>
      <c r="AI1488" s="25"/>
      <c r="AJ1488" s="37">
        <v>43749</v>
      </c>
      <c r="AK1488" s="37" t="s">
        <v>1047</v>
      </c>
      <c r="AL1488" s="37">
        <v>39157</v>
      </c>
      <c r="AM1488" s="37" t="s">
        <v>84</v>
      </c>
      <c r="AN1488" s="37" t="str">
        <f t="shared" si="131"/>
        <v>N/A</v>
      </c>
      <c r="AO1488" s="37" t="str">
        <f t="shared" si="132"/>
        <v>N/A</v>
      </c>
      <c r="AP1488" s="37" t="s">
        <v>8</v>
      </c>
      <c r="AQ1488" s="25"/>
      <c r="AR1488" s="25"/>
      <c r="AS1488" s="25"/>
      <c r="AT1488" s="25"/>
      <c r="AU1488" s="36"/>
      <c r="AV1488" s="36"/>
      <c r="AW1488" s="36"/>
      <c r="AX1488" s="25"/>
      <c r="AY1488" s="25"/>
      <c r="AZ1488" s="25"/>
      <c r="BA1488" s="25"/>
      <c r="BB1488" s="25"/>
      <c r="BC1488" s="25"/>
      <c r="BD1488" s="25"/>
      <c r="BE1488" s="25"/>
      <c r="BF1488" s="25"/>
      <c r="BG1488" s="25"/>
      <c r="BH1488" s="25"/>
      <c r="BI1488" s="25"/>
      <c r="BJ1488" s="25"/>
      <c r="BK1488" s="25"/>
      <c r="BL1488" s="25"/>
      <c r="BM1488" s="25"/>
      <c r="BN1488" s="25"/>
      <c r="BO1488" s="25"/>
      <c r="BP1488" s="25"/>
      <c r="BQ1488" s="25"/>
      <c r="BR1488" s="25"/>
      <c r="BS1488" s="25"/>
      <c r="BT1488" s="25"/>
      <c r="BU1488" s="25"/>
      <c r="BV1488" s="25"/>
      <c r="BW1488" s="25"/>
      <c r="BX1488" s="25"/>
      <c r="BY1488" s="25"/>
      <c r="BZ1488" s="25"/>
      <c r="CA1488" s="25"/>
      <c r="CB1488" s="25"/>
      <c r="CC1488" s="25"/>
      <c r="CD1488" s="25"/>
      <c r="CE1488" s="200"/>
      <c r="CF1488" s="200"/>
      <c r="CG1488" s="200"/>
      <c r="CH1488" s="200"/>
      <c r="CI1488" s="200"/>
      <c r="CJ1488" s="200"/>
      <c r="CK1488" s="200"/>
      <c r="CL1488" s="200"/>
      <c r="CM1488" s="200"/>
      <c r="CN1488" s="200"/>
      <c r="CO1488" s="200"/>
      <c r="CP1488" s="200"/>
      <c r="CQ1488" s="200"/>
      <c r="CR1488" s="200"/>
      <c r="CS1488" s="200"/>
      <c r="CT1488" s="200"/>
      <c r="CU1488" s="200"/>
    </row>
    <row r="1489" spans="1:99" s="17" customFormat="1" x14ac:dyDescent="0.2">
      <c r="A1489" s="25"/>
      <c r="B1489" s="20">
        <v>39003011400</v>
      </c>
      <c r="C1489" s="20">
        <v>114</v>
      </c>
      <c r="D1489" s="20" t="s">
        <v>7</v>
      </c>
      <c r="E1489" s="20" t="s">
        <v>2835</v>
      </c>
      <c r="F1489" s="20" t="s">
        <v>8</v>
      </c>
      <c r="G1489" s="861">
        <v>50.421695944667199</v>
      </c>
      <c r="H1489" s="861">
        <v>48.966586732607702</v>
      </c>
      <c r="I1489" s="861">
        <v>20.230075869622102</v>
      </c>
      <c r="J1489" s="861">
        <v>54.549444878947703</v>
      </c>
      <c r="K1489" s="982">
        <v>0</v>
      </c>
      <c r="L1489" s="735">
        <v>3014</v>
      </c>
      <c r="M1489" s="735">
        <v>3103</v>
      </c>
      <c r="N1489" s="845">
        <f t="shared" si="128"/>
        <v>2.9528865295288653E-2</v>
      </c>
      <c r="O1489" s="735">
        <v>35.718851620519601</v>
      </c>
      <c r="P1489" s="735">
        <f t="shared" si="129"/>
        <v>86.872893702366483</v>
      </c>
      <c r="Q1489" s="849">
        <v>39.1</v>
      </c>
      <c r="R1489" s="71">
        <v>90529</v>
      </c>
      <c r="S1489" s="845">
        <v>3.2701111837802485E-2</v>
      </c>
      <c r="T1489" s="845">
        <v>2.3E-2</v>
      </c>
      <c r="U1489" s="845">
        <v>4.0000000000000001E-3</v>
      </c>
      <c r="V1489" s="845">
        <v>0</v>
      </c>
      <c r="W1489" s="845">
        <v>9.2792792792792789E-2</v>
      </c>
      <c r="X1489" s="845">
        <v>9.7087378640776698E-2</v>
      </c>
      <c r="Y1489" s="845">
        <v>0.92716725749274898</v>
      </c>
      <c r="Z1489" s="845">
        <v>1.03126007089913E-2</v>
      </c>
      <c r="AA1489" s="845">
        <v>0</v>
      </c>
      <c r="AB1489" s="845">
        <v>3.8672252658717371E-3</v>
      </c>
      <c r="AC1489" s="845">
        <v>0</v>
      </c>
      <c r="AD1489" s="845">
        <v>1.9336126329358686E-3</v>
      </c>
      <c r="AE1489" s="845">
        <v>5.6719303899452143E-2</v>
      </c>
      <c r="AF1489" s="845">
        <v>4.1894940380277149E-3</v>
      </c>
      <c r="AG1489" s="845">
        <v>0.92491137608765706</v>
      </c>
      <c r="AH1489" s="20" t="str">
        <f t="shared" si="130"/>
        <v>Yes</v>
      </c>
      <c r="AI1489" s="25"/>
      <c r="AJ1489" s="37">
        <v>43804</v>
      </c>
      <c r="AK1489" s="37" t="s">
        <v>1076</v>
      </c>
      <c r="AL1489" s="37">
        <v>39157</v>
      </c>
      <c r="AM1489" s="37" t="s">
        <v>84</v>
      </c>
      <c r="AN1489" s="37" t="str">
        <f t="shared" si="131"/>
        <v>N/A</v>
      </c>
      <c r="AO1489" s="37" t="str">
        <f t="shared" si="132"/>
        <v>N/A</v>
      </c>
      <c r="AP1489" s="37" t="s">
        <v>8</v>
      </c>
      <c r="AQ1489" s="25"/>
      <c r="AR1489" s="25"/>
      <c r="AS1489" s="25"/>
      <c r="AT1489" s="25"/>
      <c r="AU1489" s="36"/>
      <c r="AV1489" s="36"/>
      <c r="AW1489" s="36"/>
      <c r="AX1489" s="25"/>
      <c r="AY1489" s="25"/>
      <c r="AZ1489" s="25"/>
      <c r="BA1489" s="25"/>
      <c r="BB1489" s="25"/>
      <c r="BC1489" s="25"/>
      <c r="BD1489" s="25"/>
      <c r="BE1489" s="25"/>
      <c r="BF1489" s="25"/>
      <c r="BG1489" s="25"/>
      <c r="BH1489" s="25"/>
      <c r="BI1489" s="25"/>
      <c r="BJ1489" s="25"/>
      <c r="BK1489" s="25"/>
      <c r="BL1489" s="25"/>
      <c r="BM1489" s="25"/>
      <c r="BN1489" s="25"/>
      <c r="BO1489" s="25"/>
      <c r="BP1489" s="25"/>
      <c r="BQ1489" s="25"/>
      <c r="BR1489" s="25"/>
      <c r="BS1489" s="25"/>
      <c r="BT1489" s="25"/>
      <c r="BU1489" s="25"/>
      <c r="BV1489" s="25"/>
      <c r="BW1489" s="25"/>
      <c r="BX1489" s="25"/>
      <c r="BY1489" s="25"/>
      <c r="BZ1489" s="25"/>
      <c r="CA1489" s="25"/>
      <c r="CB1489" s="25"/>
      <c r="CC1489" s="25"/>
      <c r="CD1489" s="25"/>
      <c r="CE1489" s="200"/>
      <c r="CF1489" s="200"/>
      <c r="CG1489" s="200"/>
      <c r="CH1489" s="200"/>
      <c r="CI1489" s="200"/>
      <c r="CJ1489" s="200"/>
      <c r="CK1489" s="200"/>
      <c r="CL1489" s="200"/>
      <c r="CM1489" s="200"/>
      <c r="CN1489" s="200"/>
      <c r="CO1489" s="200"/>
      <c r="CP1489" s="200"/>
      <c r="CQ1489" s="200"/>
      <c r="CR1489" s="200"/>
      <c r="CS1489" s="200"/>
      <c r="CT1489" s="200"/>
      <c r="CU1489" s="200"/>
    </row>
    <row r="1490" spans="1:99" s="17" customFormat="1" x14ac:dyDescent="0.2">
      <c r="A1490" s="25"/>
      <c r="B1490" s="20">
        <v>39113003000</v>
      </c>
      <c r="C1490" s="20">
        <v>30</v>
      </c>
      <c r="D1490" s="20" t="s">
        <v>62</v>
      </c>
      <c r="E1490" s="20" t="s">
        <v>2833</v>
      </c>
      <c r="F1490" s="20" t="s">
        <v>8</v>
      </c>
      <c r="G1490" s="861">
        <v>50.403232799998001</v>
      </c>
      <c r="H1490" s="861">
        <v>65.836083415722896</v>
      </c>
      <c r="I1490" s="861">
        <v>34.400500136688002</v>
      </c>
      <c r="J1490" s="861">
        <v>54.952932262755397</v>
      </c>
      <c r="K1490" s="982">
        <v>0</v>
      </c>
      <c r="L1490" s="735">
        <v>3078</v>
      </c>
      <c r="M1490" s="735">
        <v>2657</v>
      </c>
      <c r="N1490" s="845">
        <f t="shared" si="128"/>
        <v>-0.13677712800519817</v>
      </c>
      <c r="O1490" s="735">
        <v>0.64586937428064106</v>
      </c>
      <c r="P1490" s="735">
        <f t="shared" si="129"/>
        <v>4113.8349421805669</v>
      </c>
      <c r="Q1490" s="849">
        <v>44.4</v>
      </c>
      <c r="R1490" s="71">
        <v>55434</v>
      </c>
      <c r="S1490" s="845">
        <v>0.10045836516424751</v>
      </c>
      <c r="T1490" s="845">
        <v>1.6E-2</v>
      </c>
      <c r="U1490" s="845">
        <v>0</v>
      </c>
      <c r="V1490" s="845">
        <v>6.8000000000000005E-2</v>
      </c>
      <c r="W1490" s="845">
        <v>0.40879689521345408</v>
      </c>
      <c r="X1490" s="845">
        <v>0.44303797468354428</v>
      </c>
      <c r="Y1490" s="845">
        <v>0.83703424915318025</v>
      </c>
      <c r="Z1490" s="845">
        <v>6.1723748588633796E-2</v>
      </c>
      <c r="AA1490" s="845">
        <v>0</v>
      </c>
      <c r="AB1490" s="845">
        <v>4.2152803914188935E-2</v>
      </c>
      <c r="AC1490" s="845">
        <v>0</v>
      </c>
      <c r="AD1490" s="845">
        <v>0</v>
      </c>
      <c r="AE1490" s="845">
        <v>5.9089198343996986E-2</v>
      </c>
      <c r="AF1490" s="845">
        <v>1.9947308995107264E-2</v>
      </c>
      <c r="AG1490" s="845">
        <v>0.82160331200602188</v>
      </c>
      <c r="AH1490" s="20" t="str">
        <f t="shared" si="130"/>
        <v>No</v>
      </c>
      <c r="AI1490" s="25"/>
      <c r="AJ1490" s="37">
        <v>43824</v>
      </c>
      <c r="AK1490" s="37" t="s">
        <v>1082</v>
      </c>
      <c r="AL1490" s="37">
        <v>39157</v>
      </c>
      <c r="AM1490" s="37" t="s">
        <v>84</v>
      </c>
      <c r="AN1490" s="37" t="str">
        <f t="shared" si="131"/>
        <v>N/A</v>
      </c>
      <c r="AO1490" s="37" t="str">
        <f t="shared" si="132"/>
        <v>N/A</v>
      </c>
      <c r="AP1490" s="37" t="s">
        <v>8</v>
      </c>
      <c r="AQ1490" s="25"/>
      <c r="AR1490" s="25"/>
      <c r="AS1490" s="25"/>
      <c r="AT1490" s="25"/>
      <c r="AU1490" s="36"/>
      <c r="AV1490" s="36"/>
      <c r="AW1490" s="36"/>
      <c r="AX1490" s="25"/>
      <c r="AY1490" s="25"/>
      <c r="AZ1490" s="25"/>
      <c r="BA1490" s="25"/>
      <c r="BB1490" s="25"/>
      <c r="BC1490" s="25"/>
      <c r="BD1490" s="25"/>
      <c r="BE1490" s="25"/>
      <c r="BF1490" s="25"/>
      <c r="BG1490" s="25"/>
      <c r="BH1490" s="25"/>
      <c r="BI1490" s="25"/>
      <c r="BJ1490" s="25"/>
      <c r="BK1490" s="25"/>
      <c r="BL1490" s="25"/>
      <c r="BM1490" s="25"/>
      <c r="BN1490" s="25"/>
      <c r="BO1490" s="25"/>
      <c r="BP1490" s="25"/>
      <c r="BQ1490" s="25"/>
      <c r="BR1490" s="25"/>
      <c r="BS1490" s="25"/>
      <c r="BT1490" s="25"/>
      <c r="BU1490" s="25"/>
      <c r="BV1490" s="25"/>
      <c r="BW1490" s="25"/>
      <c r="BX1490" s="25"/>
      <c r="BY1490" s="25"/>
      <c r="BZ1490" s="25"/>
      <c r="CA1490" s="25"/>
      <c r="CB1490" s="25"/>
      <c r="CC1490" s="25"/>
      <c r="CD1490" s="25"/>
      <c r="CE1490" s="200"/>
      <c r="CF1490" s="200"/>
      <c r="CG1490" s="200"/>
      <c r="CH1490" s="200"/>
      <c r="CI1490" s="200"/>
      <c r="CJ1490" s="200"/>
      <c r="CK1490" s="200"/>
      <c r="CL1490" s="200"/>
      <c r="CM1490" s="200"/>
      <c r="CN1490" s="200"/>
      <c r="CO1490" s="200"/>
      <c r="CP1490" s="200"/>
      <c r="CQ1490" s="200"/>
      <c r="CR1490" s="200"/>
      <c r="CS1490" s="200"/>
      <c r="CT1490" s="200"/>
      <c r="CU1490" s="200"/>
    </row>
    <row r="1491" spans="1:99" s="17" customFormat="1" x14ac:dyDescent="0.2">
      <c r="A1491" s="25"/>
      <c r="B1491" s="20">
        <v>39161020500</v>
      </c>
      <c r="C1491" s="20">
        <v>205</v>
      </c>
      <c r="D1491" s="20" t="s">
        <v>86</v>
      </c>
      <c r="E1491" s="20" t="s">
        <v>265</v>
      </c>
      <c r="F1491" s="20" t="s">
        <v>8</v>
      </c>
      <c r="G1491" s="861">
        <v>50.396750742646098</v>
      </c>
      <c r="H1491" s="861">
        <v>48.498421559137199</v>
      </c>
      <c r="I1491" s="861">
        <v>33.6215038674979</v>
      </c>
      <c r="J1491" s="861">
        <v>39.101090942602902</v>
      </c>
      <c r="K1491" s="982">
        <v>0</v>
      </c>
      <c r="L1491" s="735">
        <v>3291</v>
      </c>
      <c r="M1491" s="735">
        <v>3043</v>
      </c>
      <c r="N1491" s="845">
        <f t="shared" si="128"/>
        <v>-7.5357034336068066E-2</v>
      </c>
      <c r="O1491" s="735">
        <v>2.3624475249038888</v>
      </c>
      <c r="P1491" s="735">
        <f t="shared" si="129"/>
        <v>1288.0709382629771</v>
      </c>
      <c r="Q1491" s="849">
        <v>40.9</v>
      </c>
      <c r="R1491" s="71">
        <v>54444</v>
      </c>
      <c r="S1491" s="845">
        <v>7.8580901856763932E-2</v>
      </c>
      <c r="T1491" s="845">
        <v>3.9E-2</v>
      </c>
      <c r="U1491" s="845">
        <v>0</v>
      </c>
      <c r="V1491" s="845">
        <v>0</v>
      </c>
      <c r="W1491" s="845">
        <v>0.25741839762611274</v>
      </c>
      <c r="X1491" s="845">
        <v>0.3804034582132565</v>
      </c>
      <c r="Y1491" s="845">
        <v>0.93328951692408813</v>
      </c>
      <c r="Z1491" s="845">
        <v>2.5961222477817944E-2</v>
      </c>
      <c r="AA1491" s="845">
        <v>2.6289845547157412E-3</v>
      </c>
      <c r="AB1491" s="845">
        <v>0</v>
      </c>
      <c r="AC1491" s="845">
        <v>0</v>
      </c>
      <c r="AD1491" s="845">
        <v>8.2155767334866903E-3</v>
      </c>
      <c r="AE1491" s="845">
        <v>2.9904699309891553E-2</v>
      </c>
      <c r="AF1491" s="845">
        <v>3.5819914558001972E-2</v>
      </c>
      <c r="AG1491" s="845">
        <v>0.92375944791324349</v>
      </c>
      <c r="AH1491" s="20" t="str">
        <f t="shared" si="130"/>
        <v>Yes</v>
      </c>
      <c r="AI1491" s="25"/>
      <c r="AJ1491" s="37">
        <v>43832</v>
      </c>
      <c r="AK1491" s="37" t="s">
        <v>1084</v>
      </c>
      <c r="AL1491" s="37">
        <v>39157</v>
      </c>
      <c r="AM1491" s="37" t="s">
        <v>84</v>
      </c>
      <c r="AN1491" s="37" t="str">
        <f t="shared" si="131"/>
        <v>N/A</v>
      </c>
      <c r="AO1491" s="37" t="str">
        <f t="shared" si="132"/>
        <v>N/A</v>
      </c>
      <c r="AP1491" s="37" t="s">
        <v>8</v>
      </c>
      <c r="AQ1491" s="25"/>
      <c r="AR1491" s="25"/>
      <c r="AS1491" s="25"/>
      <c r="AT1491" s="25"/>
      <c r="AU1491" s="36"/>
      <c r="AV1491" s="36"/>
      <c r="AW1491" s="36"/>
      <c r="AX1491" s="25"/>
      <c r="AY1491" s="25"/>
      <c r="AZ1491" s="25"/>
      <c r="BA1491" s="25"/>
      <c r="BB1491" s="25"/>
      <c r="BC1491" s="25"/>
      <c r="BD1491" s="25"/>
      <c r="BE1491" s="25"/>
      <c r="BF1491" s="25"/>
      <c r="BG1491" s="25"/>
      <c r="BH1491" s="25"/>
      <c r="BI1491" s="25"/>
      <c r="BJ1491" s="25"/>
      <c r="BK1491" s="25"/>
      <c r="BL1491" s="25"/>
      <c r="BM1491" s="25"/>
      <c r="BN1491" s="25"/>
      <c r="BO1491" s="25"/>
      <c r="BP1491" s="25"/>
      <c r="BQ1491" s="25"/>
      <c r="BR1491" s="25"/>
      <c r="BS1491" s="25"/>
      <c r="BT1491" s="25"/>
      <c r="BU1491" s="25"/>
      <c r="BV1491" s="25"/>
      <c r="BW1491" s="25"/>
      <c r="BX1491" s="25"/>
      <c r="BY1491" s="25"/>
      <c r="BZ1491" s="25"/>
      <c r="CA1491" s="25"/>
      <c r="CB1491" s="25"/>
      <c r="CC1491" s="25"/>
      <c r="CD1491" s="25"/>
      <c r="CE1491" s="200"/>
      <c r="CF1491" s="200"/>
      <c r="CG1491" s="200"/>
      <c r="CH1491" s="200"/>
      <c r="CI1491" s="200"/>
      <c r="CJ1491" s="200"/>
      <c r="CK1491" s="200"/>
      <c r="CL1491" s="200"/>
      <c r="CM1491" s="200"/>
      <c r="CN1491" s="200"/>
      <c r="CO1491" s="200"/>
      <c r="CP1491" s="200"/>
      <c r="CQ1491" s="200"/>
      <c r="CR1491" s="200"/>
      <c r="CS1491" s="200"/>
      <c r="CT1491" s="200"/>
      <c r="CU1491" s="200"/>
    </row>
    <row r="1492" spans="1:99" s="17" customFormat="1" x14ac:dyDescent="0.2">
      <c r="A1492" s="25"/>
      <c r="B1492" s="20">
        <v>39025041303</v>
      </c>
      <c r="C1492" s="20">
        <v>413.03</v>
      </c>
      <c r="D1492" s="20" t="s">
        <v>19</v>
      </c>
      <c r="E1492" s="20" t="s">
        <v>2828</v>
      </c>
      <c r="F1492" s="20" t="s">
        <v>8</v>
      </c>
      <c r="G1492" s="861">
        <v>50.391348211185601</v>
      </c>
      <c r="H1492" s="861">
        <v>48.6627771591872</v>
      </c>
      <c r="I1492" s="861">
        <v>34.049853586548302</v>
      </c>
      <c r="J1492" s="861">
        <v>38.094114713394397</v>
      </c>
      <c r="K1492" s="982">
        <v>0</v>
      </c>
      <c r="L1492" s="735">
        <v>5362</v>
      </c>
      <c r="M1492" s="735">
        <v>5269</v>
      </c>
      <c r="N1492" s="845">
        <f t="shared" si="128"/>
        <v>-1.7344274524431182E-2</v>
      </c>
      <c r="O1492" s="735">
        <v>2.0548337575186784</v>
      </c>
      <c r="P1492" s="735">
        <f t="shared" si="129"/>
        <v>2564.1977024762332</v>
      </c>
      <c r="Q1492" s="849">
        <v>34.6</v>
      </c>
      <c r="R1492" s="71">
        <v>82384</v>
      </c>
      <c r="S1492" s="845">
        <v>8.9323365919110595E-2</v>
      </c>
      <c r="T1492" s="845">
        <v>4.8000000000000001E-2</v>
      </c>
      <c r="U1492" s="845">
        <v>0</v>
      </c>
      <c r="V1492" s="845">
        <v>0</v>
      </c>
      <c r="W1492" s="845">
        <v>0.26556870818322181</v>
      </c>
      <c r="X1492" s="845">
        <v>0.30232558139534882</v>
      </c>
      <c r="Y1492" s="845">
        <v>0.87265135699373697</v>
      </c>
      <c r="Z1492" s="845">
        <v>5.0294173467451131E-2</v>
      </c>
      <c r="AA1492" s="845">
        <v>5.6936800151831466E-4</v>
      </c>
      <c r="AB1492" s="845">
        <v>2.2015562725374836E-2</v>
      </c>
      <c r="AC1492" s="845">
        <v>0</v>
      </c>
      <c r="AD1492" s="845">
        <v>1.2146517365724046E-2</v>
      </c>
      <c r="AE1492" s="845">
        <v>4.2323021446194722E-2</v>
      </c>
      <c r="AF1492" s="845">
        <v>4.0994496109318657E-2</v>
      </c>
      <c r="AG1492" s="845">
        <v>0.86297210096792565</v>
      </c>
      <c r="AH1492" s="20" t="str">
        <f t="shared" si="130"/>
        <v>No</v>
      </c>
      <c r="AI1492" s="25"/>
      <c r="AJ1492" s="37">
        <v>43837</v>
      </c>
      <c r="AK1492" s="37" t="s">
        <v>1086</v>
      </c>
      <c r="AL1492" s="37">
        <v>39157</v>
      </c>
      <c r="AM1492" s="37" t="s">
        <v>84</v>
      </c>
      <c r="AN1492" s="37" t="str">
        <f t="shared" si="131"/>
        <v>N/A</v>
      </c>
      <c r="AO1492" s="37" t="str">
        <f t="shared" si="132"/>
        <v>N/A</v>
      </c>
      <c r="AP1492" s="37" t="s">
        <v>8</v>
      </c>
      <c r="AQ1492" s="25"/>
      <c r="AR1492" s="25"/>
      <c r="AS1492" s="25"/>
      <c r="AT1492" s="25"/>
      <c r="AU1492" s="36"/>
      <c r="AV1492" s="36"/>
      <c r="AW1492" s="36"/>
      <c r="AX1492" s="25"/>
      <c r="AY1492" s="25"/>
      <c r="AZ1492" s="25"/>
      <c r="BA1492" s="25"/>
      <c r="BB1492" s="25"/>
      <c r="BC1492" s="25"/>
      <c r="BD1492" s="25"/>
      <c r="BE1492" s="25"/>
      <c r="BF1492" s="25"/>
      <c r="BG1492" s="25"/>
      <c r="BH1492" s="25"/>
      <c r="BI1492" s="25"/>
      <c r="BJ1492" s="25"/>
      <c r="BK1492" s="25"/>
      <c r="BL1492" s="25"/>
      <c r="BM1492" s="25"/>
      <c r="BN1492" s="25"/>
      <c r="BO1492" s="25"/>
      <c r="BP1492" s="25"/>
      <c r="BQ1492" s="25"/>
      <c r="BR1492" s="25"/>
      <c r="BS1492" s="25"/>
      <c r="BT1492" s="25"/>
      <c r="BU1492" s="25"/>
      <c r="BV1492" s="25"/>
      <c r="BW1492" s="25"/>
      <c r="BX1492" s="25"/>
      <c r="BY1492" s="25"/>
      <c r="BZ1492" s="25"/>
      <c r="CA1492" s="25"/>
      <c r="CB1492" s="25"/>
      <c r="CC1492" s="25"/>
      <c r="CD1492" s="25"/>
      <c r="CE1492" s="200"/>
      <c r="CF1492" s="200"/>
      <c r="CG1492" s="200"/>
      <c r="CH1492" s="200"/>
      <c r="CI1492" s="200"/>
      <c r="CJ1492" s="200"/>
      <c r="CK1492" s="200"/>
      <c r="CL1492" s="200"/>
      <c r="CM1492" s="200"/>
      <c r="CN1492" s="200"/>
      <c r="CO1492" s="200"/>
      <c r="CP1492" s="200"/>
      <c r="CQ1492" s="200"/>
      <c r="CR1492" s="200"/>
      <c r="CS1492" s="200"/>
      <c r="CT1492" s="200"/>
      <c r="CU1492" s="200"/>
    </row>
    <row r="1493" spans="1:99" s="17" customFormat="1" x14ac:dyDescent="0.2">
      <c r="A1493" s="25"/>
      <c r="B1493" s="20">
        <v>39133602000</v>
      </c>
      <c r="C1493" s="20">
        <v>6020</v>
      </c>
      <c r="D1493" s="20" t="s">
        <v>72</v>
      </c>
      <c r="E1493" s="20" t="s">
        <v>2843</v>
      </c>
      <c r="F1493" s="20" t="s">
        <v>8</v>
      </c>
      <c r="G1493" s="861">
        <v>50.379410978952301</v>
      </c>
      <c r="H1493" s="861">
        <v>59.736632229206101</v>
      </c>
      <c r="I1493" s="861">
        <v>19.9001918556086</v>
      </c>
      <c r="J1493" s="861">
        <v>46.433620991251303</v>
      </c>
      <c r="K1493" s="982">
        <v>0</v>
      </c>
      <c r="L1493" s="735">
        <v>5283</v>
      </c>
      <c r="M1493" s="735">
        <v>5292</v>
      </c>
      <c r="N1493" s="845">
        <f t="shared" si="128"/>
        <v>1.7035775127768314E-3</v>
      </c>
      <c r="O1493" s="735">
        <v>29.079018050009505</v>
      </c>
      <c r="P1493" s="735">
        <f t="shared" si="129"/>
        <v>181.98688796502432</v>
      </c>
      <c r="Q1493" s="849">
        <v>45.9</v>
      </c>
      <c r="R1493" s="71">
        <v>63979</v>
      </c>
      <c r="S1493" s="845">
        <v>2.456538170823885E-2</v>
      </c>
      <c r="T1493" s="845">
        <v>8.6999999999999994E-2</v>
      </c>
      <c r="U1493" s="845">
        <v>0</v>
      </c>
      <c r="V1493" s="845">
        <v>0</v>
      </c>
      <c r="W1493" s="845">
        <v>0.16293473082420201</v>
      </c>
      <c r="X1493" s="845">
        <v>0.17543859649122806</v>
      </c>
      <c r="Y1493" s="845">
        <v>0.95086923658352229</v>
      </c>
      <c r="Z1493" s="845">
        <v>3.779289493575208E-4</v>
      </c>
      <c r="AA1493" s="845">
        <v>0</v>
      </c>
      <c r="AB1493" s="845">
        <v>0</v>
      </c>
      <c r="AC1493" s="845">
        <v>0</v>
      </c>
      <c r="AD1493" s="845">
        <v>3.779289493575208E-3</v>
      </c>
      <c r="AE1493" s="845">
        <v>4.4973544973544971E-2</v>
      </c>
      <c r="AF1493" s="845">
        <v>1.4550264550264549E-2</v>
      </c>
      <c r="AG1493" s="845">
        <v>0.94009826152683296</v>
      </c>
      <c r="AH1493" s="20" t="str">
        <f t="shared" si="130"/>
        <v>Yes</v>
      </c>
      <c r="AI1493" s="25"/>
      <c r="AJ1493" s="37">
        <v>43840</v>
      </c>
      <c r="AK1493" s="37" t="s">
        <v>1087</v>
      </c>
      <c r="AL1493" s="37">
        <v>39157</v>
      </c>
      <c r="AM1493" s="37" t="s">
        <v>84</v>
      </c>
      <c r="AN1493" s="37" t="str">
        <f t="shared" si="131"/>
        <v>N/A</v>
      </c>
      <c r="AO1493" s="37" t="str">
        <f t="shared" si="132"/>
        <v>N/A</v>
      </c>
      <c r="AP1493" s="37" t="s">
        <v>8</v>
      </c>
      <c r="AQ1493" s="25"/>
      <c r="AR1493" s="25"/>
      <c r="AS1493" s="25"/>
      <c r="AT1493" s="25"/>
      <c r="AU1493" s="36"/>
      <c r="AV1493" s="36"/>
      <c r="AW1493" s="36"/>
      <c r="AX1493" s="25"/>
      <c r="AY1493" s="25"/>
      <c r="AZ1493" s="25"/>
      <c r="BA1493" s="25"/>
      <c r="BB1493" s="25"/>
      <c r="BC1493" s="25"/>
      <c r="BD1493" s="25"/>
      <c r="BE1493" s="25"/>
      <c r="BF1493" s="25"/>
      <c r="BG1493" s="25"/>
      <c r="BH1493" s="25"/>
      <c r="BI1493" s="25"/>
      <c r="BJ1493" s="25"/>
      <c r="BK1493" s="25"/>
      <c r="BL1493" s="25"/>
      <c r="BM1493" s="25"/>
      <c r="BN1493" s="25"/>
      <c r="BO1493" s="25"/>
      <c r="BP1493" s="25"/>
      <c r="BQ1493" s="25"/>
      <c r="BR1493" s="25"/>
      <c r="BS1493" s="25"/>
      <c r="BT1493" s="25"/>
      <c r="BU1493" s="25"/>
      <c r="BV1493" s="25"/>
      <c r="BW1493" s="25"/>
      <c r="BX1493" s="25"/>
      <c r="BY1493" s="25"/>
      <c r="BZ1493" s="25"/>
      <c r="CA1493" s="25"/>
      <c r="CB1493" s="25"/>
      <c r="CC1493" s="25"/>
      <c r="CD1493" s="25"/>
      <c r="CE1493" s="200"/>
      <c r="CF1493" s="200"/>
      <c r="CG1493" s="200"/>
      <c r="CH1493" s="200"/>
      <c r="CI1493" s="200"/>
      <c r="CJ1493" s="200"/>
      <c r="CK1493" s="200"/>
      <c r="CL1493" s="200"/>
      <c r="CM1493" s="200"/>
      <c r="CN1493" s="200"/>
      <c r="CO1493" s="200"/>
      <c r="CP1493" s="200"/>
      <c r="CQ1493" s="200"/>
      <c r="CR1493" s="200"/>
      <c r="CS1493" s="200"/>
      <c r="CT1493" s="200"/>
      <c r="CU1493" s="200"/>
    </row>
    <row r="1494" spans="1:99" s="17" customFormat="1" x14ac:dyDescent="0.2">
      <c r="A1494" s="25"/>
      <c r="B1494" s="20">
        <v>39061002200</v>
      </c>
      <c r="C1494" s="20">
        <v>22</v>
      </c>
      <c r="D1494" s="20" t="s">
        <v>37</v>
      </c>
      <c r="E1494" s="20" t="s">
        <v>2828</v>
      </c>
      <c r="F1494" s="20" t="s">
        <v>6</v>
      </c>
      <c r="G1494" s="861">
        <v>50.372951233154801</v>
      </c>
      <c r="H1494" s="861">
        <v>47.493255789148002</v>
      </c>
      <c r="I1494" s="861">
        <v>77.592277823616101</v>
      </c>
      <c r="J1494" s="861">
        <v>41.302779788468897</v>
      </c>
      <c r="K1494" s="982">
        <v>0</v>
      </c>
      <c r="L1494" s="735">
        <v>2291</v>
      </c>
      <c r="M1494" s="735">
        <v>2104</v>
      </c>
      <c r="N1494" s="845">
        <f t="shared" si="128"/>
        <v>-8.1623745089480573E-2</v>
      </c>
      <c r="O1494" s="735">
        <v>0.24929265022764913</v>
      </c>
      <c r="P1494" s="735">
        <f t="shared" si="129"/>
        <v>8439.8797881873725</v>
      </c>
      <c r="Q1494" s="849">
        <v>31.6</v>
      </c>
      <c r="R1494" s="71">
        <v>22042</v>
      </c>
      <c r="S1494" s="845">
        <v>0.28578407425500735</v>
      </c>
      <c r="T1494" s="845">
        <v>0.14300000000000002</v>
      </c>
      <c r="U1494" s="845">
        <v>0.14099999999999999</v>
      </c>
      <c r="V1494" s="845">
        <v>7.4999999999999997E-2</v>
      </c>
      <c r="W1494" s="845">
        <v>0.77404718693284935</v>
      </c>
      <c r="X1494" s="845">
        <v>0.49003516998827668</v>
      </c>
      <c r="Y1494" s="845">
        <v>0.25522813688212925</v>
      </c>
      <c r="Z1494" s="845">
        <v>0.54657794676806082</v>
      </c>
      <c r="AA1494" s="845">
        <v>0</v>
      </c>
      <c r="AB1494" s="845">
        <v>0.1335551330798479</v>
      </c>
      <c r="AC1494" s="845">
        <v>0</v>
      </c>
      <c r="AD1494" s="845">
        <v>9.0304182509505695E-3</v>
      </c>
      <c r="AE1494" s="845">
        <v>5.5608365019011403E-2</v>
      </c>
      <c r="AF1494" s="845">
        <v>1.9961977186311788E-2</v>
      </c>
      <c r="AG1494" s="845">
        <v>0.25522813688212925</v>
      </c>
      <c r="AH1494" s="20" t="str">
        <f t="shared" si="130"/>
        <v>No</v>
      </c>
      <c r="AI1494" s="25"/>
      <c r="AJ1494" s="37">
        <v>43973</v>
      </c>
      <c r="AK1494" s="37" t="s">
        <v>1138</v>
      </c>
      <c r="AL1494" s="37">
        <v>39157</v>
      </c>
      <c r="AM1494" s="37" t="s">
        <v>84</v>
      </c>
      <c r="AN1494" s="37" t="str">
        <f t="shared" si="131"/>
        <v>N/A</v>
      </c>
      <c r="AO1494" s="37" t="str">
        <f t="shared" si="132"/>
        <v>N/A</v>
      </c>
      <c r="AP1494" s="37" t="s">
        <v>8</v>
      </c>
      <c r="AQ1494" s="25"/>
      <c r="AR1494" s="25"/>
      <c r="AS1494" s="25"/>
      <c r="AT1494" s="25"/>
      <c r="AU1494" s="36"/>
      <c r="AV1494" s="36"/>
      <c r="AW1494" s="36"/>
      <c r="AX1494" s="25"/>
      <c r="AY1494" s="25"/>
      <c r="AZ1494" s="25"/>
      <c r="BA1494" s="25"/>
      <c r="BB1494" s="25"/>
      <c r="BC1494" s="25"/>
      <c r="BD1494" s="25"/>
      <c r="BE1494" s="25"/>
      <c r="BF1494" s="25"/>
      <c r="BG1494" s="25"/>
      <c r="BH1494" s="25"/>
      <c r="BI1494" s="25"/>
      <c r="BJ1494" s="25"/>
      <c r="BK1494" s="25"/>
      <c r="BL1494" s="25"/>
      <c r="BM1494" s="25"/>
      <c r="BN1494" s="25"/>
      <c r="BO1494" s="25"/>
      <c r="BP1494" s="25"/>
      <c r="BQ1494" s="25"/>
      <c r="BR1494" s="25"/>
      <c r="BS1494" s="25"/>
      <c r="BT1494" s="25"/>
      <c r="BU1494" s="25"/>
      <c r="BV1494" s="25"/>
      <c r="BW1494" s="25"/>
      <c r="BX1494" s="25"/>
      <c r="BY1494" s="25"/>
      <c r="BZ1494" s="25"/>
      <c r="CA1494" s="25"/>
      <c r="CB1494" s="25"/>
      <c r="CC1494" s="25"/>
      <c r="CD1494" s="25"/>
      <c r="CE1494" s="200"/>
      <c r="CF1494" s="200"/>
      <c r="CG1494" s="200"/>
      <c r="CH1494" s="200"/>
      <c r="CI1494" s="200"/>
      <c r="CJ1494" s="200"/>
      <c r="CK1494" s="200"/>
      <c r="CL1494" s="200"/>
      <c r="CM1494" s="200"/>
      <c r="CN1494" s="200"/>
      <c r="CO1494" s="200"/>
      <c r="CP1494" s="200"/>
      <c r="CQ1494" s="200"/>
      <c r="CR1494" s="200"/>
      <c r="CS1494" s="200"/>
      <c r="CT1494" s="200"/>
      <c r="CU1494" s="200"/>
    </row>
    <row r="1495" spans="1:99" s="17" customFormat="1" x14ac:dyDescent="0.2">
      <c r="A1495" s="25"/>
      <c r="B1495" s="20">
        <v>39049009373</v>
      </c>
      <c r="C1495" s="20">
        <v>93.73</v>
      </c>
      <c r="D1495" s="20" t="s">
        <v>31</v>
      </c>
      <c r="E1495" s="20" t="s">
        <v>2830</v>
      </c>
      <c r="F1495" s="20" t="s">
        <v>8</v>
      </c>
      <c r="G1495" s="861">
        <v>50.347609800271499</v>
      </c>
      <c r="H1495" s="861">
        <v>65.722292875840495</v>
      </c>
      <c r="I1495" s="861">
        <v>57.066719942941397</v>
      </c>
      <c r="J1495" s="861">
        <v>66.142380389386403</v>
      </c>
      <c r="K1495" s="982">
        <v>0</v>
      </c>
      <c r="L1495" s="735">
        <v>6327</v>
      </c>
      <c r="M1495" s="735">
        <v>6919</v>
      </c>
      <c r="N1495" s="845">
        <f t="shared" si="128"/>
        <v>9.3567251461988299E-2</v>
      </c>
      <c r="O1495" s="735">
        <v>1.2129499698745723</v>
      </c>
      <c r="P1495" s="735">
        <f t="shared" si="129"/>
        <v>5704.2748438465887</v>
      </c>
      <c r="Q1495" s="849">
        <v>28.1</v>
      </c>
      <c r="R1495" s="71">
        <v>69013</v>
      </c>
      <c r="S1495" s="845">
        <v>6.6628125451654863E-2</v>
      </c>
      <c r="T1495" s="845">
        <v>2.2000000000000002E-2</v>
      </c>
      <c r="U1495" s="845">
        <v>0</v>
      </c>
      <c r="V1495" s="845">
        <v>5.2000000000000005E-2</v>
      </c>
      <c r="W1495" s="845">
        <v>0.35764499121265375</v>
      </c>
      <c r="X1495" s="845">
        <v>0.48034398034398035</v>
      </c>
      <c r="Y1495" s="845">
        <v>0.24627836392542274</v>
      </c>
      <c r="Z1495" s="845">
        <v>0.599219540396011</v>
      </c>
      <c r="AA1495" s="845">
        <v>0</v>
      </c>
      <c r="AB1495" s="845">
        <v>6.6483595895360601E-3</v>
      </c>
      <c r="AC1495" s="845">
        <v>0</v>
      </c>
      <c r="AD1495" s="845">
        <v>4.9284578696343402E-2</v>
      </c>
      <c r="AE1495" s="845">
        <v>9.8569157392686804E-2</v>
      </c>
      <c r="AF1495" s="845">
        <v>0.10117068940598352</v>
      </c>
      <c r="AG1495" s="845">
        <v>0.24049718167365225</v>
      </c>
      <c r="AH1495" s="20" t="str">
        <f t="shared" si="130"/>
        <v>No</v>
      </c>
      <c r="AI1495" s="25"/>
      <c r="AJ1495" s="37">
        <v>44608</v>
      </c>
      <c r="AK1495" s="37" t="s">
        <v>1382</v>
      </c>
      <c r="AL1495" s="37">
        <v>39157</v>
      </c>
      <c r="AM1495" s="37" t="s">
        <v>84</v>
      </c>
      <c r="AN1495" s="37" t="str">
        <f t="shared" si="131"/>
        <v>N/A</v>
      </c>
      <c r="AO1495" s="37" t="str">
        <f t="shared" si="132"/>
        <v>N/A</v>
      </c>
      <c r="AP1495" s="37" t="s">
        <v>8</v>
      </c>
      <c r="AQ1495" s="25"/>
      <c r="AR1495" s="25"/>
      <c r="AS1495" s="25"/>
      <c r="AT1495" s="25"/>
      <c r="AU1495" s="36"/>
      <c r="AV1495" s="36"/>
      <c r="AW1495" s="36"/>
      <c r="AX1495" s="25"/>
      <c r="AY1495" s="25"/>
      <c r="AZ1495" s="25"/>
      <c r="BA1495" s="25"/>
      <c r="BB1495" s="25"/>
      <c r="BC1495" s="25"/>
      <c r="BD1495" s="25"/>
      <c r="BE1495" s="25"/>
      <c r="BF1495" s="25"/>
      <c r="BG1495" s="25"/>
      <c r="BH1495" s="25"/>
      <c r="BI1495" s="25"/>
      <c r="BJ1495" s="25"/>
      <c r="BK1495" s="25"/>
      <c r="BL1495" s="25"/>
      <c r="BM1495" s="25"/>
      <c r="BN1495" s="25"/>
      <c r="BO1495" s="25"/>
      <c r="BP1495" s="25"/>
      <c r="BQ1495" s="25"/>
      <c r="BR1495" s="25"/>
      <c r="BS1495" s="25"/>
      <c r="BT1495" s="25"/>
      <c r="BU1495" s="25"/>
      <c r="BV1495" s="25"/>
      <c r="BW1495" s="25"/>
      <c r="BX1495" s="25"/>
      <c r="BY1495" s="25"/>
      <c r="BZ1495" s="25"/>
      <c r="CA1495" s="25"/>
      <c r="CB1495" s="25"/>
      <c r="CC1495" s="25"/>
      <c r="CD1495" s="25"/>
      <c r="CE1495" s="200"/>
      <c r="CF1495" s="200"/>
      <c r="CG1495" s="200"/>
      <c r="CH1495" s="200"/>
      <c r="CI1495" s="200"/>
      <c r="CJ1495" s="200"/>
      <c r="CK1495" s="200"/>
      <c r="CL1495" s="200"/>
      <c r="CM1495" s="200"/>
      <c r="CN1495" s="200"/>
      <c r="CO1495" s="200"/>
      <c r="CP1495" s="200"/>
      <c r="CQ1495" s="200"/>
      <c r="CR1495" s="200"/>
      <c r="CS1495" s="200"/>
      <c r="CT1495" s="200"/>
      <c r="CU1495" s="200"/>
    </row>
    <row r="1496" spans="1:99" s="17" customFormat="1" x14ac:dyDescent="0.2">
      <c r="A1496" s="25"/>
      <c r="B1496" s="20">
        <v>39151711402</v>
      </c>
      <c r="C1496" s="20">
        <v>7114.02</v>
      </c>
      <c r="D1496" s="20" t="s">
        <v>81</v>
      </c>
      <c r="E1496" s="20" t="s">
        <v>2844</v>
      </c>
      <c r="F1496" s="20" t="s">
        <v>8</v>
      </c>
      <c r="G1496" s="861">
        <v>50.337312888834802</v>
      </c>
      <c r="H1496" s="861">
        <v>52.689714007104897</v>
      </c>
      <c r="I1496" s="861">
        <v>24.0813762158961</v>
      </c>
      <c r="J1496" s="861">
        <v>34.293204136394301</v>
      </c>
      <c r="K1496" s="982">
        <v>0</v>
      </c>
      <c r="L1496" s="735">
        <v>6662</v>
      </c>
      <c r="M1496" s="735">
        <v>6331</v>
      </c>
      <c r="N1496" s="845">
        <f t="shared" si="128"/>
        <v>-4.9684779345541878E-2</v>
      </c>
      <c r="O1496" s="735">
        <v>4.1400522105099551</v>
      </c>
      <c r="P1496" s="735">
        <f t="shared" si="129"/>
        <v>1529.2077679426591</v>
      </c>
      <c r="Q1496" s="849">
        <v>46.2</v>
      </c>
      <c r="R1496" s="71">
        <v>71429</v>
      </c>
      <c r="S1496" s="845">
        <v>4.8290056998100066E-2</v>
      </c>
      <c r="T1496" s="845">
        <v>1.7000000000000001E-2</v>
      </c>
      <c r="U1496" s="845">
        <v>0</v>
      </c>
      <c r="V1496" s="845">
        <v>4.2999999999999997E-2</v>
      </c>
      <c r="W1496" s="845">
        <v>0.36449579831932771</v>
      </c>
      <c r="X1496" s="845">
        <v>0.33717579250720459</v>
      </c>
      <c r="Y1496" s="845">
        <v>0.89369767809192857</v>
      </c>
      <c r="Z1496" s="845">
        <v>3.5855315116095403E-2</v>
      </c>
      <c r="AA1496" s="845">
        <v>0</v>
      </c>
      <c r="AB1496" s="845">
        <v>1.7690728163007423E-2</v>
      </c>
      <c r="AC1496" s="845">
        <v>0</v>
      </c>
      <c r="AD1496" s="845">
        <v>2.1007739693571316E-2</v>
      </c>
      <c r="AE1496" s="845">
        <v>3.1748538935397252E-2</v>
      </c>
      <c r="AF1496" s="845">
        <v>3.5855315116095403E-2</v>
      </c>
      <c r="AG1496" s="845">
        <v>0.89369767809192857</v>
      </c>
      <c r="AH1496" s="20" t="str">
        <f t="shared" si="130"/>
        <v>No</v>
      </c>
      <c r="AI1496" s="25"/>
      <c r="AJ1496" s="37">
        <v>44612</v>
      </c>
      <c r="AK1496" s="37" t="s">
        <v>1386</v>
      </c>
      <c r="AL1496" s="37">
        <v>39157</v>
      </c>
      <c r="AM1496" s="37" t="s">
        <v>84</v>
      </c>
      <c r="AN1496" s="37" t="str">
        <f t="shared" si="131"/>
        <v>N/A</v>
      </c>
      <c r="AO1496" s="37" t="str">
        <f t="shared" si="132"/>
        <v>N/A</v>
      </c>
      <c r="AP1496" s="37" t="s">
        <v>8</v>
      </c>
      <c r="AQ1496" s="25"/>
      <c r="AR1496" s="25"/>
      <c r="AS1496" s="25"/>
      <c r="AT1496" s="25"/>
      <c r="AU1496" s="36"/>
      <c r="AV1496" s="36"/>
      <c r="AW1496" s="36"/>
      <c r="AX1496" s="25"/>
      <c r="AY1496" s="25"/>
      <c r="AZ1496" s="25"/>
      <c r="BA1496" s="25"/>
      <c r="BB1496" s="25"/>
      <c r="BC1496" s="25"/>
      <c r="BD1496" s="25"/>
      <c r="BE1496" s="25"/>
      <c r="BF1496" s="25"/>
      <c r="BG1496" s="25"/>
      <c r="BH1496" s="25"/>
      <c r="BI1496" s="25"/>
      <c r="BJ1496" s="25"/>
      <c r="BK1496" s="25"/>
      <c r="BL1496" s="25"/>
      <c r="BM1496" s="25"/>
      <c r="BN1496" s="25"/>
      <c r="BO1496" s="25"/>
      <c r="BP1496" s="25"/>
      <c r="BQ1496" s="25"/>
      <c r="BR1496" s="25"/>
      <c r="BS1496" s="25"/>
      <c r="BT1496" s="25"/>
      <c r="BU1496" s="25"/>
      <c r="BV1496" s="25"/>
      <c r="BW1496" s="25"/>
      <c r="BX1496" s="25"/>
      <c r="BY1496" s="25"/>
      <c r="BZ1496" s="25"/>
      <c r="CA1496" s="25"/>
      <c r="CB1496" s="25"/>
      <c r="CC1496" s="25"/>
      <c r="CD1496" s="25"/>
      <c r="CE1496" s="200"/>
      <c r="CF1496" s="200"/>
      <c r="CG1496" s="200"/>
      <c r="CH1496" s="200"/>
      <c r="CI1496" s="200"/>
      <c r="CJ1496" s="200"/>
      <c r="CK1496" s="200"/>
      <c r="CL1496" s="200"/>
      <c r="CM1496" s="200"/>
      <c r="CN1496" s="200"/>
      <c r="CO1496" s="200"/>
      <c r="CP1496" s="200"/>
      <c r="CQ1496" s="200"/>
      <c r="CR1496" s="200"/>
      <c r="CS1496" s="200"/>
      <c r="CT1496" s="200"/>
      <c r="CU1496" s="200"/>
    </row>
    <row r="1497" spans="1:99" s="17" customFormat="1" x14ac:dyDescent="0.2">
      <c r="A1497" s="25"/>
      <c r="B1497" s="20">
        <v>39155931000</v>
      </c>
      <c r="C1497" s="20">
        <v>9310</v>
      </c>
      <c r="D1497" s="20" t="s">
        <v>83</v>
      </c>
      <c r="E1497" s="20" t="s">
        <v>2842</v>
      </c>
      <c r="F1497" s="20" t="s">
        <v>8</v>
      </c>
      <c r="G1497" s="861">
        <v>50.323800957944101</v>
      </c>
      <c r="H1497" s="861">
        <v>52.397512097199098</v>
      </c>
      <c r="I1497" s="861">
        <v>21.606246760309599</v>
      </c>
      <c r="J1497" s="861">
        <v>37.467286592912799</v>
      </c>
      <c r="K1497" s="982">
        <v>0</v>
      </c>
      <c r="L1497" s="735">
        <v>5755</v>
      </c>
      <c r="M1497" s="735">
        <v>5999</v>
      </c>
      <c r="N1497" s="845">
        <f t="shared" si="128"/>
        <v>4.2397914856646395E-2</v>
      </c>
      <c r="O1497" s="735">
        <v>20.189053686427929</v>
      </c>
      <c r="P1497" s="735">
        <f t="shared" si="129"/>
        <v>297.14121786861273</v>
      </c>
      <c r="Q1497" s="849">
        <v>51.1</v>
      </c>
      <c r="R1497" s="71">
        <v>77009</v>
      </c>
      <c r="S1497" s="845">
        <v>6.9266980497646263E-2</v>
      </c>
      <c r="T1497" s="845">
        <v>9.0000000000000011E-3</v>
      </c>
      <c r="U1497" s="845">
        <v>1.2E-2</v>
      </c>
      <c r="V1497" s="845">
        <v>0</v>
      </c>
      <c r="W1497" s="845">
        <v>0.18119266055045871</v>
      </c>
      <c r="X1497" s="845">
        <v>0.36497890295358648</v>
      </c>
      <c r="Y1497" s="845">
        <v>0.94215702617102848</v>
      </c>
      <c r="Z1497" s="845">
        <v>2.3503917319553258E-2</v>
      </c>
      <c r="AA1497" s="845">
        <v>0</v>
      </c>
      <c r="AB1497" s="845">
        <v>0</v>
      </c>
      <c r="AC1497" s="845">
        <v>0</v>
      </c>
      <c r="AD1497" s="845">
        <v>0</v>
      </c>
      <c r="AE1497" s="845">
        <v>3.4339056509418237E-2</v>
      </c>
      <c r="AF1497" s="845">
        <v>9.3348891481913644E-3</v>
      </c>
      <c r="AG1497" s="845">
        <v>0.93282213702283712</v>
      </c>
      <c r="AH1497" s="20" t="str">
        <f t="shared" si="130"/>
        <v>Yes</v>
      </c>
      <c r="AI1497" s="25"/>
      <c r="AJ1497" s="37">
        <v>44621</v>
      </c>
      <c r="AK1497" s="37" t="s">
        <v>1393</v>
      </c>
      <c r="AL1497" s="37">
        <v>39157</v>
      </c>
      <c r="AM1497" s="37" t="s">
        <v>84</v>
      </c>
      <c r="AN1497" s="37" t="str">
        <f t="shared" si="131"/>
        <v>N/A</v>
      </c>
      <c r="AO1497" s="37" t="str">
        <f t="shared" si="132"/>
        <v>N/A</v>
      </c>
      <c r="AP1497" s="37" t="s">
        <v>8</v>
      </c>
      <c r="AQ1497" s="25"/>
      <c r="AR1497" s="25"/>
      <c r="AS1497" s="25"/>
      <c r="AT1497" s="25"/>
      <c r="AU1497" s="36"/>
      <c r="AV1497" s="36"/>
      <c r="AW1497" s="36"/>
      <c r="AX1497" s="25"/>
      <c r="AY1497" s="25"/>
      <c r="AZ1497" s="25"/>
      <c r="BA1497" s="25"/>
      <c r="BB1497" s="25"/>
      <c r="BC1497" s="25"/>
      <c r="BD1497" s="25"/>
      <c r="BE1497" s="25"/>
      <c r="BF1497" s="25"/>
      <c r="BG1497" s="25"/>
      <c r="BH1497" s="25"/>
      <c r="BI1497" s="25"/>
      <c r="BJ1497" s="25"/>
      <c r="BK1497" s="25"/>
      <c r="BL1497" s="25"/>
      <c r="BM1497" s="25"/>
      <c r="BN1497" s="25"/>
      <c r="BO1497" s="25"/>
      <c r="BP1497" s="25"/>
      <c r="BQ1497" s="25"/>
      <c r="BR1497" s="25"/>
      <c r="BS1497" s="25"/>
      <c r="BT1497" s="25"/>
      <c r="BU1497" s="25"/>
      <c r="BV1497" s="25"/>
      <c r="BW1497" s="25"/>
      <c r="BX1497" s="25"/>
      <c r="BY1497" s="25"/>
      <c r="BZ1497" s="25"/>
      <c r="CA1497" s="25"/>
      <c r="CB1497" s="25"/>
      <c r="CC1497" s="25"/>
      <c r="CD1497" s="25"/>
      <c r="CE1497" s="200"/>
      <c r="CF1497" s="200"/>
      <c r="CG1497" s="200"/>
      <c r="CH1497" s="200"/>
      <c r="CI1497" s="200"/>
      <c r="CJ1497" s="200"/>
      <c r="CK1497" s="200"/>
      <c r="CL1497" s="200"/>
      <c r="CM1497" s="200"/>
      <c r="CN1497" s="200"/>
      <c r="CO1497" s="200"/>
      <c r="CP1497" s="200"/>
      <c r="CQ1497" s="200"/>
      <c r="CR1497" s="200"/>
      <c r="CS1497" s="200"/>
      <c r="CT1497" s="200"/>
      <c r="CU1497" s="200"/>
    </row>
    <row r="1498" spans="1:99" s="17" customFormat="1" x14ac:dyDescent="0.2">
      <c r="A1498" s="25"/>
      <c r="B1498" s="20">
        <v>39019720500</v>
      </c>
      <c r="C1498" s="20">
        <v>7205</v>
      </c>
      <c r="D1498" s="20" t="s">
        <v>16</v>
      </c>
      <c r="E1498" s="20" t="s">
        <v>2844</v>
      </c>
      <c r="F1498" s="20" t="s">
        <v>8</v>
      </c>
      <c r="G1498" s="861">
        <v>50.322262271764302</v>
      </c>
      <c r="H1498" s="861">
        <v>44.939529498775599</v>
      </c>
      <c r="I1498" s="861">
        <v>34.370303753981098</v>
      </c>
      <c r="J1498" s="861">
        <v>29.682221074644101</v>
      </c>
      <c r="K1498" s="982">
        <v>0</v>
      </c>
      <c r="L1498" s="735">
        <v>5327</v>
      </c>
      <c r="M1498" s="735">
        <v>5248</v>
      </c>
      <c r="N1498" s="845">
        <f t="shared" si="128"/>
        <v>-1.4830110756523372E-2</v>
      </c>
      <c r="O1498" s="735">
        <v>24.135319293029497</v>
      </c>
      <c r="P1498" s="735">
        <f t="shared" si="129"/>
        <v>217.44067009362792</v>
      </c>
      <c r="Q1498" s="849">
        <v>44.4</v>
      </c>
      <c r="R1498" s="71">
        <v>67314</v>
      </c>
      <c r="S1498" s="845">
        <v>0.14573459715639811</v>
      </c>
      <c r="T1498" s="845">
        <v>1.8000000000000002E-2</v>
      </c>
      <c r="U1498" s="845">
        <v>0</v>
      </c>
      <c r="V1498" s="845">
        <v>0</v>
      </c>
      <c r="W1498" s="845">
        <v>0.20124389160373168</v>
      </c>
      <c r="X1498" s="845">
        <v>0.22737306843267108</v>
      </c>
      <c r="Y1498" s="845">
        <v>0.97065548780487809</v>
      </c>
      <c r="Z1498" s="845">
        <v>7.2408536585365857E-3</v>
      </c>
      <c r="AA1498" s="845">
        <v>0</v>
      </c>
      <c r="AB1498" s="845">
        <v>0</v>
      </c>
      <c r="AC1498" s="845">
        <v>0</v>
      </c>
      <c r="AD1498" s="845">
        <v>5.335365853658537E-3</v>
      </c>
      <c r="AE1498" s="845">
        <v>1.676829268292683E-2</v>
      </c>
      <c r="AF1498" s="845">
        <v>1.1051829268292682E-2</v>
      </c>
      <c r="AG1498" s="845">
        <v>0.97065548780487809</v>
      </c>
      <c r="AH1498" s="20" t="str">
        <f t="shared" si="130"/>
        <v>Yes</v>
      </c>
      <c r="AI1498" s="25"/>
      <c r="AJ1498" s="37">
        <v>44622</v>
      </c>
      <c r="AK1498" s="37" t="s">
        <v>1394</v>
      </c>
      <c r="AL1498" s="37">
        <v>39157</v>
      </c>
      <c r="AM1498" s="37" t="s">
        <v>84</v>
      </c>
      <c r="AN1498" s="37" t="str">
        <f t="shared" si="131"/>
        <v>N/A</v>
      </c>
      <c r="AO1498" s="37" t="str">
        <f t="shared" si="132"/>
        <v>N/A</v>
      </c>
      <c r="AP1498" s="37" t="s">
        <v>8</v>
      </c>
      <c r="AQ1498" s="25"/>
      <c r="AR1498" s="25"/>
      <c r="AS1498" s="25"/>
      <c r="AT1498" s="25"/>
      <c r="AU1498" s="36"/>
      <c r="AV1498" s="36"/>
      <c r="AW1498" s="36"/>
      <c r="AX1498" s="25"/>
      <c r="AY1498" s="25"/>
      <c r="AZ1498" s="25"/>
      <c r="BA1498" s="25"/>
      <c r="BB1498" s="25"/>
      <c r="BC1498" s="25"/>
      <c r="BD1498" s="25"/>
      <c r="BE1498" s="25"/>
      <c r="BF1498" s="25"/>
      <c r="BG1498" s="25"/>
      <c r="BH1498" s="25"/>
      <c r="BI1498" s="25"/>
      <c r="BJ1498" s="25"/>
      <c r="BK1498" s="25"/>
      <c r="BL1498" s="25"/>
      <c r="BM1498" s="25"/>
      <c r="BN1498" s="25"/>
      <c r="BO1498" s="25"/>
      <c r="BP1498" s="25"/>
      <c r="BQ1498" s="25"/>
      <c r="BR1498" s="25"/>
      <c r="BS1498" s="25"/>
      <c r="BT1498" s="25"/>
      <c r="BU1498" s="25"/>
      <c r="BV1498" s="25"/>
      <c r="BW1498" s="25"/>
      <c r="BX1498" s="25"/>
      <c r="BY1498" s="25"/>
      <c r="BZ1498" s="25"/>
      <c r="CA1498" s="25"/>
      <c r="CB1498" s="25"/>
      <c r="CC1498" s="25"/>
      <c r="CD1498" s="25"/>
      <c r="CE1498" s="200"/>
      <c r="CF1498" s="200"/>
      <c r="CG1498" s="200"/>
      <c r="CH1498" s="200"/>
      <c r="CI1498" s="200"/>
      <c r="CJ1498" s="200"/>
      <c r="CK1498" s="200"/>
      <c r="CL1498" s="200"/>
      <c r="CM1498" s="200"/>
      <c r="CN1498" s="200"/>
      <c r="CO1498" s="200"/>
      <c r="CP1498" s="200"/>
      <c r="CQ1498" s="200"/>
      <c r="CR1498" s="200"/>
      <c r="CS1498" s="200"/>
      <c r="CT1498" s="200"/>
      <c r="CU1498" s="200"/>
    </row>
    <row r="1499" spans="1:99" s="17" customFormat="1" x14ac:dyDescent="0.2">
      <c r="A1499" s="25"/>
      <c r="B1499" s="20">
        <v>39049010201</v>
      </c>
      <c r="C1499" s="20">
        <v>102.01</v>
      </c>
      <c r="D1499" s="20" t="s">
        <v>31</v>
      </c>
      <c r="E1499" s="20" t="s">
        <v>2830</v>
      </c>
      <c r="F1499" s="20" t="s">
        <v>8</v>
      </c>
      <c r="G1499" s="861">
        <v>50.3102656700297</v>
      </c>
      <c r="H1499" s="861">
        <v>52.8004687336188</v>
      </c>
      <c r="I1499" s="861">
        <v>45.263561346792102</v>
      </c>
      <c r="J1499" s="861">
        <v>55.820656354561002</v>
      </c>
      <c r="K1499" s="982">
        <v>2</v>
      </c>
      <c r="L1499" s="735" t="s">
        <v>2466</v>
      </c>
      <c r="M1499" s="735">
        <v>3899</v>
      </c>
      <c r="N1499" s="845" t="str">
        <f t="shared" si="128"/>
        <v/>
      </c>
      <c r="O1499" s="735">
        <v>4.6686156408648536</v>
      </c>
      <c r="P1499" s="735">
        <f t="shared" si="129"/>
        <v>835.15120968016049</v>
      </c>
      <c r="Q1499" s="849">
        <v>43.5</v>
      </c>
      <c r="R1499" s="71">
        <v>54762</v>
      </c>
      <c r="S1499" s="845">
        <v>9.7973839446011804E-2</v>
      </c>
      <c r="T1499" s="845">
        <v>4.5999999999999999E-2</v>
      </c>
      <c r="U1499" s="845">
        <v>0</v>
      </c>
      <c r="V1499" s="845">
        <v>3.9E-2</v>
      </c>
      <c r="W1499" s="845">
        <v>0.61735884274381703</v>
      </c>
      <c r="X1499" s="845">
        <v>0.39002267573696148</v>
      </c>
      <c r="Y1499" s="845">
        <v>0.43472685303924086</v>
      </c>
      <c r="Z1499" s="845">
        <v>0.5085919466529879</v>
      </c>
      <c r="AA1499" s="845">
        <v>0</v>
      </c>
      <c r="AB1499" s="845">
        <v>0</v>
      </c>
      <c r="AC1499" s="845">
        <v>0</v>
      </c>
      <c r="AD1499" s="845">
        <v>1.4875609130546294E-2</v>
      </c>
      <c r="AE1499" s="845">
        <v>4.1805591177224932E-2</v>
      </c>
      <c r="AF1499" s="845">
        <v>4.8986919723005902E-2</v>
      </c>
      <c r="AG1499" s="845">
        <v>0.43472685303924086</v>
      </c>
      <c r="AH1499" s="20" t="str">
        <f t="shared" si="130"/>
        <v>No</v>
      </c>
      <c r="AI1499" s="25"/>
      <c r="AJ1499" s="37">
        <v>44624</v>
      </c>
      <c r="AK1499" s="37" t="s">
        <v>1395</v>
      </c>
      <c r="AL1499" s="37">
        <v>39157</v>
      </c>
      <c r="AM1499" s="37" t="s">
        <v>84</v>
      </c>
      <c r="AN1499" s="37" t="str">
        <f t="shared" si="131"/>
        <v>N/A</v>
      </c>
      <c r="AO1499" s="37" t="str">
        <f t="shared" si="132"/>
        <v>N/A</v>
      </c>
      <c r="AP1499" s="37" t="s">
        <v>8</v>
      </c>
      <c r="AQ1499" s="25"/>
      <c r="AR1499" s="25"/>
      <c r="AS1499" s="25"/>
      <c r="AT1499" s="25"/>
      <c r="AU1499" s="36"/>
      <c r="AV1499" s="36"/>
      <c r="AW1499" s="36"/>
      <c r="AX1499" s="25"/>
      <c r="AY1499" s="25"/>
      <c r="AZ1499" s="25"/>
      <c r="BA1499" s="25"/>
      <c r="BB1499" s="25"/>
      <c r="BC1499" s="25"/>
      <c r="BD1499" s="25"/>
      <c r="BE1499" s="25"/>
      <c r="BF1499" s="25"/>
      <c r="BG1499" s="25"/>
      <c r="BH1499" s="25"/>
      <c r="BI1499" s="25"/>
      <c r="BJ1499" s="25"/>
      <c r="BK1499" s="25"/>
      <c r="BL1499" s="25"/>
      <c r="BM1499" s="25"/>
      <c r="BN1499" s="25"/>
      <c r="BO1499" s="25"/>
      <c r="BP1499" s="25"/>
      <c r="BQ1499" s="25"/>
      <c r="BR1499" s="25"/>
      <c r="BS1499" s="25"/>
      <c r="BT1499" s="25"/>
      <c r="BU1499" s="25"/>
      <c r="BV1499" s="25"/>
      <c r="BW1499" s="25"/>
      <c r="BX1499" s="25"/>
      <c r="BY1499" s="25"/>
      <c r="BZ1499" s="25"/>
      <c r="CA1499" s="25"/>
      <c r="CB1499" s="25"/>
      <c r="CC1499" s="25"/>
      <c r="CD1499" s="25"/>
      <c r="CE1499" s="200"/>
      <c r="CF1499" s="200"/>
      <c r="CG1499" s="200"/>
      <c r="CH1499" s="200"/>
      <c r="CI1499" s="200"/>
      <c r="CJ1499" s="200"/>
      <c r="CK1499" s="200"/>
      <c r="CL1499" s="200"/>
      <c r="CM1499" s="200"/>
      <c r="CN1499" s="200"/>
      <c r="CO1499" s="200"/>
      <c r="CP1499" s="200"/>
      <c r="CQ1499" s="200"/>
      <c r="CR1499" s="200"/>
      <c r="CS1499" s="200"/>
      <c r="CT1499" s="200"/>
      <c r="CU1499" s="200"/>
    </row>
    <row r="1500" spans="1:99" s="17" customFormat="1" x14ac:dyDescent="0.2">
      <c r="A1500" s="25"/>
      <c r="B1500" s="20">
        <v>39133601400</v>
      </c>
      <c r="C1500" s="20">
        <v>6014</v>
      </c>
      <c r="D1500" s="20" t="s">
        <v>72</v>
      </c>
      <c r="E1500" s="20" t="s">
        <v>2843</v>
      </c>
      <c r="F1500" s="20" t="s">
        <v>6</v>
      </c>
      <c r="G1500" s="861">
        <v>50.308574397839003</v>
      </c>
      <c r="H1500" s="861">
        <v>41.266477928878501</v>
      </c>
      <c r="I1500" s="861">
        <v>49.9787398245738</v>
      </c>
      <c r="J1500" s="861">
        <v>25.904604512805999</v>
      </c>
      <c r="K1500" s="982">
        <v>0</v>
      </c>
      <c r="L1500" s="735">
        <v>4997</v>
      </c>
      <c r="M1500" s="735">
        <v>4910</v>
      </c>
      <c r="N1500" s="845">
        <f t="shared" si="128"/>
        <v>-1.7410446267760657E-2</v>
      </c>
      <c r="O1500" s="735">
        <v>2.1882077288764079</v>
      </c>
      <c r="P1500" s="735">
        <f t="shared" si="129"/>
        <v>2243.845470064749</v>
      </c>
      <c r="Q1500" s="849">
        <v>36.6</v>
      </c>
      <c r="R1500" s="71">
        <v>43592</v>
      </c>
      <c r="S1500" s="845">
        <v>0.18324500611496128</v>
      </c>
      <c r="T1500" s="845">
        <v>0.115</v>
      </c>
      <c r="U1500" s="845">
        <v>6.0999999999999999E-2</v>
      </c>
      <c r="V1500" s="845">
        <v>0</v>
      </c>
      <c r="W1500" s="845">
        <v>0.55809040980143643</v>
      </c>
      <c r="X1500" s="845">
        <v>0.6835730507191522</v>
      </c>
      <c r="Y1500" s="845">
        <v>0.74154786150712826</v>
      </c>
      <c r="Z1500" s="845">
        <v>0.13665987780040734</v>
      </c>
      <c r="AA1500" s="845">
        <v>0</v>
      </c>
      <c r="AB1500" s="845">
        <v>7.9429735234215884E-2</v>
      </c>
      <c r="AC1500" s="845">
        <v>0</v>
      </c>
      <c r="AD1500" s="845">
        <v>0</v>
      </c>
      <c r="AE1500" s="845">
        <v>4.2362525458248472E-2</v>
      </c>
      <c r="AF1500" s="845">
        <v>8.1466395112016286E-3</v>
      </c>
      <c r="AG1500" s="845">
        <v>0.74154786150712826</v>
      </c>
      <c r="AH1500" s="20" t="str">
        <f t="shared" si="130"/>
        <v>No</v>
      </c>
      <c r="AI1500" s="25"/>
      <c r="AJ1500" s="37">
        <v>44626</v>
      </c>
      <c r="AK1500" s="37" t="s">
        <v>1397</v>
      </c>
      <c r="AL1500" s="37">
        <v>39157</v>
      </c>
      <c r="AM1500" s="37" t="s">
        <v>84</v>
      </c>
      <c r="AN1500" s="37" t="str">
        <f t="shared" si="131"/>
        <v>N/A</v>
      </c>
      <c r="AO1500" s="37" t="str">
        <f t="shared" si="132"/>
        <v>N/A</v>
      </c>
      <c r="AP1500" s="37" t="s">
        <v>8</v>
      </c>
      <c r="AQ1500" s="25"/>
      <c r="AR1500" s="25"/>
      <c r="AS1500" s="25"/>
      <c r="AT1500" s="25"/>
      <c r="AU1500" s="36"/>
      <c r="AV1500" s="36"/>
      <c r="AW1500" s="36"/>
      <c r="AX1500" s="25"/>
      <c r="AY1500" s="25"/>
      <c r="AZ1500" s="25"/>
      <c r="BA1500" s="25"/>
      <c r="BB1500" s="25"/>
      <c r="BC1500" s="25"/>
      <c r="BD1500" s="25"/>
      <c r="BE1500" s="25"/>
      <c r="BF1500" s="25"/>
      <c r="BG1500" s="25"/>
      <c r="BH1500" s="25"/>
      <c r="BI1500" s="25"/>
      <c r="BJ1500" s="25"/>
      <c r="BK1500" s="25"/>
      <c r="BL1500" s="25"/>
      <c r="BM1500" s="25"/>
      <c r="BN1500" s="25"/>
      <c r="BO1500" s="25"/>
      <c r="BP1500" s="25"/>
      <c r="BQ1500" s="25"/>
      <c r="BR1500" s="25"/>
      <c r="BS1500" s="25"/>
      <c r="BT1500" s="25"/>
      <c r="BU1500" s="25"/>
      <c r="BV1500" s="25"/>
      <c r="BW1500" s="25"/>
      <c r="BX1500" s="25"/>
      <c r="BY1500" s="25"/>
      <c r="BZ1500" s="25"/>
      <c r="CA1500" s="25"/>
      <c r="CB1500" s="25"/>
      <c r="CC1500" s="25"/>
      <c r="CD1500" s="25"/>
      <c r="CE1500" s="200"/>
      <c r="CF1500" s="200"/>
      <c r="CG1500" s="200"/>
      <c r="CH1500" s="200"/>
      <c r="CI1500" s="200"/>
      <c r="CJ1500" s="200"/>
      <c r="CK1500" s="200"/>
      <c r="CL1500" s="200"/>
      <c r="CM1500" s="200"/>
      <c r="CN1500" s="200"/>
      <c r="CO1500" s="200"/>
      <c r="CP1500" s="200"/>
      <c r="CQ1500" s="200"/>
      <c r="CR1500" s="200"/>
      <c r="CS1500" s="200"/>
      <c r="CT1500" s="200"/>
      <c r="CU1500" s="200"/>
    </row>
    <row r="1501" spans="1:99" s="17" customFormat="1" x14ac:dyDescent="0.2">
      <c r="A1501" s="25"/>
      <c r="B1501" s="20">
        <v>39031961500</v>
      </c>
      <c r="C1501" s="20">
        <v>9615</v>
      </c>
      <c r="D1501" s="20" t="s">
        <v>22</v>
      </c>
      <c r="E1501" s="20" t="s">
        <v>265</v>
      </c>
      <c r="F1501" s="20" t="s">
        <v>6</v>
      </c>
      <c r="G1501" s="861">
        <v>50.305846824253202</v>
      </c>
      <c r="H1501" s="861">
        <v>57.732792623415399</v>
      </c>
      <c r="I1501" s="861">
        <v>56.220043852071399</v>
      </c>
      <c r="J1501" s="861">
        <v>56.561208215781797</v>
      </c>
      <c r="K1501" s="982">
        <v>0</v>
      </c>
      <c r="L1501" s="735">
        <v>2371</v>
      </c>
      <c r="M1501" s="735">
        <v>2528</v>
      </c>
      <c r="N1501" s="845">
        <f t="shared" si="128"/>
        <v>6.6216786166174615E-2</v>
      </c>
      <c r="O1501" s="735">
        <v>0.39588212626968394</v>
      </c>
      <c r="P1501" s="735">
        <f t="shared" si="129"/>
        <v>6385.7391689309779</v>
      </c>
      <c r="Q1501" s="849">
        <v>31.5</v>
      </c>
      <c r="R1501" s="71">
        <v>66003</v>
      </c>
      <c r="S1501" s="845">
        <v>0.26133651551312648</v>
      </c>
      <c r="T1501" s="845">
        <v>0.13300000000000001</v>
      </c>
      <c r="U1501" s="845">
        <v>0</v>
      </c>
      <c r="V1501" s="845">
        <v>5.2000000000000005E-2</v>
      </c>
      <c r="W1501" s="845">
        <v>0.53789954337899548</v>
      </c>
      <c r="X1501" s="845">
        <v>0.46010186757215621</v>
      </c>
      <c r="Y1501" s="845">
        <v>0.91178797468354433</v>
      </c>
      <c r="Z1501" s="845">
        <v>1.0284810126582278E-2</v>
      </c>
      <c r="AA1501" s="845">
        <v>9.0981012658227847E-3</v>
      </c>
      <c r="AB1501" s="845">
        <v>0</v>
      </c>
      <c r="AC1501" s="845">
        <v>0</v>
      </c>
      <c r="AD1501" s="845">
        <v>0</v>
      </c>
      <c r="AE1501" s="845">
        <v>6.8829113924050639E-2</v>
      </c>
      <c r="AF1501" s="845">
        <v>8.7025316455696198E-3</v>
      </c>
      <c r="AG1501" s="845">
        <v>0.90704113924050633</v>
      </c>
      <c r="AH1501" s="20" t="str">
        <f t="shared" si="130"/>
        <v>Yes</v>
      </c>
      <c r="AI1501" s="25"/>
      <c r="AJ1501" s="37">
        <v>44629</v>
      </c>
      <c r="AK1501" s="37" t="s">
        <v>1400</v>
      </c>
      <c r="AL1501" s="37">
        <v>39157</v>
      </c>
      <c r="AM1501" s="37" t="s">
        <v>84</v>
      </c>
      <c r="AN1501" s="37" t="str">
        <f t="shared" si="131"/>
        <v>N/A</v>
      </c>
      <c r="AO1501" s="37" t="str">
        <f t="shared" si="132"/>
        <v>N/A</v>
      </c>
      <c r="AP1501" s="37" t="s">
        <v>8</v>
      </c>
      <c r="AQ1501" s="25"/>
      <c r="AR1501" s="25"/>
      <c r="AS1501" s="25"/>
      <c r="AT1501" s="25"/>
      <c r="AU1501" s="36"/>
      <c r="AV1501" s="36"/>
      <c r="AW1501" s="36"/>
      <c r="AX1501" s="25"/>
      <c r="AY1501" s="25"/>
      <c r="AZ1501" s="25"/>
      <c r="BA1501" s="25"/>
      <c r="BB1501" s="25"/>
      <c r="BC1501" s="25"/>
      <c r="BD1501" s="25"/>
      <c r="BE1501" s="25"/>
      <c r="BF1501" s="25"/>
      <c r="BG1501" s="25"/>
      <c r="BH1501" s="25"/>
      <c r="BI1501" s="25"/>
      <c r="BJ1501" s="25"/>
      <c r="BK1501" s="25"/>
      <c r="BL1501" s="25"/>
      <c r="BM1501" s="25"/>
      <c r="BN1501" s="25"/>
      <c r="BO1501" s="25"/>
      <c r="BP1501" s="25"/>
      <c r="BQ1501" s="25"/>
      <c r="BR1501" s="25"/>
      <c r="BS1501" s="25"/>
      <c r="BT1501" s="25"/>
      <c r="BU1501" s="25"/>
      <c r="BV1501" s="25"/>
      <c r="BW1501" s="25"/>
      <c r="BX1501" s="25"/>
      <c r="BY1501" s="25"/>
      <c r="BZ1501" s="25"/>
      <c r="CA1501" s="25"/>
      <c r="CB1501" s="25"/>
      <c r="CC1501" s="25"/>
      <c r="CD1501" s="25"/>
      <c r="CE1501" s="200"/>
      <c r="CF1501" s="200"/>
      <c r="CG1501" s="200"/>
      <c r="CH1501" s="200"/>
      <c r="CI1501" s="200"/>
      <c r="CJ1501" s="200"/>
      <c r="CK1501" s="200"/>
      <c r="CL1501" s="200"/>
      <c r="CM1501" s="200"/>
      <c r="CN1501" s="200"/>
      <c r="CO1501" s="200"/>
      <c r="CP1501" s="200"/>
      <c r="CQ1501" s="200"/>
      <c r="CR1501" s="200"/>
      <c r="CS1501" s="200"/>
      <c r="CT1501" s="200"/>
      <c r="CU1501" s="200"/>
    </row>
    <row r="1502" spans="1:99" s="17" customFormat="1" x14ac:dyDescent="0.2">
      <c r="A1502" s="25"/>
      <c r="B1502" s="20">
        <v>39099811500</v>
      </c>
      <c r="C1502" s="20">
        <v>8115</v>
      </c>
      <c r="D1502" s="20" t="s">
        <v>55</v>
      </c>
      <c r="E1502" s="20" t="s">
        <v>2842</v>
      </c>
      <c r="F1502" s="20" t="s">
        <v>8</v>
      </c>
      <c r="G1502" s="861">
        <v>50.283531368862498</v>
      </c>
      <c r="H1502" s="861">
        <v>56.7417648079713</v>
      </c>
      <c r="I1502" s="861">
        <v>26.795917304548102</v>
      </c>
      <c r="J1502" s="861">
        <v>30.1833037990828</v>
      </c>
      <c r="K1502" s="982">
        <v>0</v>
      </c>
      <c r="L1502" s="735">
        <v>5554</v>
      </c>
      <c r="M1502" s="735">
        <v>5627</v>
      </c>
      <c r="N1502" s="845">
        <f t="shared" si="128"/>
        <v>1.3143680230464531E-2</v>
      </c>
      <c r="O1502" s="735">
        <v>3.2731138676926204</v>
      </c>
      <c r="P1502" s="735">
        <f t="shared" si="129"/>
        <v>1719.1580334376665</v>
      </c>
      <c r="Q1502" s="849">
        <v>45.7</v>
      </c>
      <c r="R1502" s="71">
        <v>78431</v>
      </c>
      <c r="S1502" s="845">
        <v>0.11438258386866523</v>
      </c>
      <c r="T1502" s="845">
        <v>1.3000000000000001E-2</v>
      </c>
      <c r="U1502" s="845">
        <v>0</v>
      </c>
      <c r="V1502" s="845">
        <v>0</v>
      </c>
      <c r="W1502" s="845">
        <v>0.14508758568164509</v>
      </c>
      <c r="X1502" s="845">
        <v>0.2283464566929134</v>
      </c>
      <c r="Y1502" s="845">
        <v>0.93886618091345297</v>
      </c>
      <c r="Z1502" s="845">
        <v>2.488004265150169E-3</v>
      </c>
      <c r="AA1502" s="845">
        <v>0</v>
      </c>
      <c r="AB1502" s="845">
        <v>2.8434334458859074E-3</v>
      </c>
      <c r="AC1502" s="845">
        <v>0</v>
      </c>
      <c r="AD1502" s="845">
        <v>6.9308690243468987E-3</v>
      </c>
      <c r="AE1502" s="845">
        <v>4.8871512351164027E-2</v>
      </c>
      <c r="AF1502" s="845">
        <v>2.3991469699662343E-2</v>
      </c>
      <c r="AG1502" s="845">
        <v>0.93886618091345297</v>
      </c>
      <c r="AH1502" s="20" t="str">
        <f t="shared" si="130"/>
        <v>Yes</v>
      </c>
      <c r="AI1502" s="25"/>
      <c r="AJ1502" s="37">
        <v>44643</v>
      </c>
      <c r="AK1502" s="37" t="s">
        <v>1410</v>
      </c>
      <c r="AL1502" s="37">
        <v>39157</v>
      </c>
      <c r="AM1502" s="37" t="s">
        <v>84</v>
      </c>
      <c r="AN1502" s="37" t="str">
        <f t="shared" si="131"/>
        <v>N/A</v>
      </c>
      <c r="AO1502" s="37" t="str">
        <f t="shared" si="132"/>
        <v>N/A</v>
      </c>
      <c r="AP1502" s="37" t="s">
        <v>8</v>
      </c>
      <c r="AQ1502" s="25"/>
      <c r="AR1502" s="25"/>
      <c r="AS1502" s="25"/>
      <c r="AT1502" s="25"/>
      <c r="AU1502" s="36"/>
      <c r="AV1502" s="36"/>
      <c r="AW1502" s="36"/>
      <c r="AX1502" s="25"/>
      <c r="AY1502" s="25"/>
      <c r="AZ1502" s="25"/>
      <c r="BA1502" s="25"/>
      <c r="BB1502" s="25"/>
      <c r="BC1502" s="25"/>
      <c r="BD1502" s="25"/>
      <c r="BE1502" s="25"/>
      <c r="BF1502" s="25"/>
      <c r="BG1502" s="25"/>
      <c r="BH1502" s="25"/>
      <c r="BI1502" s="25"/>
      <c r="BJ1502" s="25"/>
      <c r="BK1502" s="25"/>
      <c r="BL1502" s="25"/>
      <c r="BM1502" s="25"/>
      <c r="BN1502" s="25"/>
      <c r="BO1502" s="25"/>
      <c r="BP1502" s="25"/>
      <c r="BQ1502" s="25"/>
      <c r="BR1502" s="25"/>
      <c r="BS1502" s="25"/>
      <c r="BT1502" s="25"/>
      <c r="BU1502" s="25"/>
      <c r="BV1502" s="25"/>
      <c r="BW1502" s="25"/>
      <c r="BX1502" s="25"/>
      <c r="BY1502" s="25"/>
      <c r="BZ1502" s="25"/>
      <c r="CA1502" s="25"/>
      <c r="CB1502" s="25"/>
      <c r="CC1502" s="25"/>
      <c r="CD1502" s="25"/>
      <c r="CE1502" s="200"/>
      <c r="CF1502" s="200"/>
      <c r="CG1502" s="200"/>
      <c r="CH1502" s="200"/>
      <c r="CI1502" s="200"/>
      <c r="CJ1502" s="200"/>
      <c r="CK1502" s="200"/>
      <c r="CL1502" s="200"/>
      <c r="CM1502" s="200"/>
      <c r="CN1502" s="200"/>
      <c r="CO1502" s="200"/>
      <c r="CP1502" s="200"/>
      <c r="CQ1502" s="200"/>
      <c r="CR1502" s="200"/>
      <c r="CS1502" s="200"/>
      <c r="CT1502" s="200"/>
      <c r="CU1502" s="200"/>
    </row>
    <row r="1503" spans="1:99" s="17" customFormat="1" x14ac:dyDescent="0.2">
      <c r="A1503" s="25"/>
      <c r="B1503" s="20">
        <v>39003012600</v>
      </c>
      <c r="C1503" s="20">
        <v>126</v>
      </c>
      <c r="D1503" s="20" t="s">
        <v>7</v>
      </c>
      <c r="E1503" s="20" t="s">
        <v>2835</v>
      </c>
      <c r="F1503" s="20" t="s">
        <v>8</v>
      </c>
      <c r="G1503" s="861">
        <v>50.273961178765802</v>
      </c>
      <c r="H1503" s="861">
        <v>54.045242715638899</v>
      </c>
      <c r="I1503" s="861">
        <v>34.721758754582297</v>
      </c>
      <c r="J1503" s="861">
        <v>43.814252341815902</v>
      </c>
      <c r="K1503" s="982">
        <v>0</v>
      </c>
      <c r="L1503" s="735">
        <v>2096</v>
      </c>
      <c r="M1503" s="735">
        <v>1760</v>
      </c>
      <c r="N1503" s="845">
        <f t="shared" si="128"/>
        <v>-0.16030534351145037</v>
      </c>
      <c r="O1503" s="735">
        <v>0.79504071545718413</v>
      </c>
      <c r="P1503" s="735">
        <f t="shared" si="129"/>
        <v>2213.7231034613378</v>
      </c>
      <c r="Q1503" s="849">
        <v>34.4</v>
      </c>
      <c r="R1503" s="71">
        <v>58389</v>
      </c>
      <c r="S1503" s="845">
        <v>0.22122838401908168</v>
      </c>
      <c r="T1503" s="845">
        <v>5.7999999999999996E-2</v>
      </c>
      <c r="U1503" s="845">
        <v>0</v>
      </c>
      <c r="V1503" s="845">
        <v>0</v>
      </c>
      <c r="W1503" s="845">
        <v>0.40705128205128205</v>
      </c>
      <c r="X1503" s="845">
        <v>0.37795275590551181</v>
      </c>
      <c r="Y1503" s="845">
        <v>0.85852272727272727</v>
      </c>
      <c r="Z1503" s="845">
        <v>2.1590909090909091E-2</v>
      </c>
      <c r="AA1503" s="845">
        <v>0</v>
      </c>
      <c r="AB1503" s="845">
        <v>0</v>
      </c>
      <c r="AC1503" s="845">
        <v>0</v>
      </c>
      <c r="AD1503" s="845">
        <v>1.2500000000000001E-2</v>
      </c>
      <c r="AE1503" s="845">
        <v>0.10738636363636364</v>
      </c>
      <c r="AF1503" s="845">
        <v>2.9545454545454545E-2</v>
      </c>
      <c r="AG1503" s="845">
        <v>0.84886363636363638</v>
      </c>
      <c r="AH1503" s="20" t="str">
        <f t="shared" si="130"/>
        <v>No</v>
      </c>
      <c r="AI1503" s="25"/>
      <c r="AJ1503" s="37">
        <v>44653</v>
      </c>
      <c r="AK1503" s="37" t="s">
        <v>1417</v>
      </c>
      <c r="AL1503" s="37">
        <v>39157</v>
      </c>
      <c r="AM1503" s="37" t="s">
        <v>84</v>
      </c>
      <c r="AN1503" s="37" t="str">
        <f t="shared" si="131"/>
        <v>N/A</v>
      </c>
      <c r="AO1503" s="37" t="str">
        <f t="shared" si="132"/>
        <v>N/A</v>
      </c>
      <c r="AP1503" s="37" t="s">
        <v>8</v>
      </c>
      <c r="AQ1503" s="25"/>
      <c r="AR1503" s="25"/>
      <c r="AS1503" s="25"/>
      <c r="AT1503" s="25"/>
      <c r="AU1503" s="36"/>
      <c r="AV1503" s="36"/>
      <c r="AW1503" s="36"/>
      <c r="AX1503" s="25"/>
      <c r="AY1503" s="25"/>
      <c r="AZ1503" s="25"/>
      <c r="BA1503" s="25"/>
      <c r="BB1503" s="25"/>
      <c r="BC1503" s="25"/>
      <c r="BD1503" s="25"/>
      <c r="BE1503" s="25"/>
      <c r="BF1503" s="25"/>
      <c r="BG1503" s="25"/>
      <c r="BH1503" s="25"/>
      <c r="BI1503" s="25"/>
      <c r="BJ1503" s="25"/>
      <c r="BK1503" s="25"/>
      <c r="BL1503" s="25"/>
      <c r="BM1503" s="25"/>
      <c r="BN1503" s="25"/>
      <c r="BO1503" s="25"/>
      <c r="BP1503" s="25"/>
      <c r="BQ1503" s="25"/>
      <c r="BR1503" s="25"/>
      <c r="BS1503" s="25"/>
      <c r="BT1503" s="25"/>
      <c r="BU1503" s="25"/>
      <c r="BV1503" s="25"/>
      <c r="BW1503" s="25"/>
      <c r="BX1503" s="25"/>
      <c r="BY1503" s="25"/>
      <c r="BZ1503" s="25"/>
      <c r="CA1503" s="25"/>
      <c r="CB1503" s="25"/>
      <c r="CC1503" s="25"/>
      <c r="CD1503" s="25"/>
      <c r="CE1503" s="200"/>
      <c r="CF1503" s="200"/>
      <c r="CG1503" s="200"/>
      <c r="CH1503" s="200"/>
      <c r="CI1503" s="200"/>
      <c r="CJ1503" s="200"/>
      <c r="CK1503" s="200"/>
      <c r="CL1503" s="200"/>
      <c r="CM1503" s="200"/>
      <c r="CN1503" s="200"/>
      <c r="CO1503" s="200"/>
      <c r="CP1503" s="200"/>
      <c r="CQ1503" s="200"/>
      <c r="CR1503" s="200"/>
      <c r="CS1503" s="200"/>
      <c r="CT1503" s="200"/>
      <c r="CU1503" s="200"/>
    </row>
    <row r="1504" spans="1:99" s="17" customFormat="1" x14ac:dyDescent="0.2">
      <c r="A1504" s="25"/>
      <c r="B1504" s="20">
        <v>39113100201</v>
      </c>
      <c r="C1504" s="20">
        <v>1002.01</v>
      </c>
      <c r="D1504" s="20" t="s">
        <v>62</v>
      </c>
      <c r="E1504" s="20" t="s">
        <v>2833</v>
      </c>
      <c r="F1504" s="20" t="s">
        <v>8</v>
      </c>
      <c r="G1504" s="861">
        <v>50.270389147847098</v>
      </c>
      <c r="H1504" s="861">
        <v>59.165583053123797</v>
      </c>
      <c r="I1504" s="861">
        <v>32.899365584812699</v>
      </c>
      <c r="J1504" s="861">
        <v>54.905282027646201</v>
      </c>
      <c r="K1504" s="982">
        <v>0</v>
      </c>
      <c r="L1504" s="735">
        <v>4678</v>
      </c>
      <c r="M1504" s="735">
        <v>5296</v>
      </c>
      <c r="N1504" s="845">
        <f t="shared" si="128"/>
        <v>0.13210773834972211</v>
      </c>
      <c r="O1504" s="735">
        <v>0.90460338059235346</v>
      </c>
      <c r="P1504" s="735">
        <f t="shared" si="129"/>
        <v>5854.4994564712624</v>
      </c>
      <c r="Q1504" s="849">
        <v>32.5</v>
      </c>
      <c r="R1504" s="71">
        <v>72466</v>
      </c>
      <c r="S1504" s="845">
        <v>0.11499244712990936</v>
      </c>
      <c r="T1504" s="845">
        <v>7.2000000000000008E-2</v>
      </c>
      <c r="U1504" s="845">
        <v>0</v>
      </c>
      <c r="V1504" s="845">
        <v>0</v>
      </c>
      <c r="W1504" s="845">
        <v>0.3686293913904008</v>
      </c>
      <c r="X1504" s="845">
        <v>0.58523489932885908</v>
      </c>
      <c r="Y1504" s="845">
        <v>0.66030966767371602</v>
      </c>
      <c r="Z1504" s="845">
        <v>0.22243202416918428</v>
      </c>
      <c r="AA1504" s="845">
        <v>0</v>
      </c>
      <c r="AB1504" s="845">
        <v>1.7938066465256797E-2</v>
      </c>
      <c r="AC1504" s="845">
        <v>0</v>
      </c>
      <c r="AD1504" s="845">
        <v>4.2673716012084591E-2</v>
      </c>
      <c r="AE1504" s="845">
        <v>5.6646525679758308E-2</v>
      </c>
      <c r="AF1504" s="845">
        <v>5.7212990936555894E-2</v>
      </c>
      <c r="AG1504" s="845">
        <v>0.65691087613293053</v>
      </c>
      <c r="AH1504" s="20" t="str">
        <f t="shared" si="130"/>
        <v>No</v>
      </c>
      <c r="AI1504" s="25"/>
      <c r="AJ1504" s="37">
        <v>44656</v>
      </c>
      <c r="AK1504" s="37" t="s">
        <v>1419</v>
      </c>
      <c r="AL1504" s="37">
        <v>39157</v>
      </c>
      <c r="AM1504" s="37" t="s">
        <v>84</v>
      </c>
      <c r="AN1504" s="37" t="str">
        <f t="shared" si="131"/>
        <v>N/A</v>
      </c>
      <c r="AO1504" s="37" t="str">
        <f t="shared" si="132"/>
        <v>N/A</v>
      </c>
      <c r="AP1504" s="37" t="s">
        <v>8</v>
      </c>
      <c r="AQ1504" s="25"/>
      <c r="AR1504" s="25"/>
      <c r="AS1504" s="25"/>
      <c r="AT1504" s="25"/>
      <c r="AU1504" s="36"/>
      <c r="AV1504" s="36"/>
      <c r="AW1504" s="36"/>
      <c r="AX1504" s="25"/>
      <c r="AY1504" s="25"/>
      <c r="AZ1504" s="25"/>
      <c r="BA1504" s="25"/>
      <c r="BB1504" s="25"/>
      <c r="BC1504" s="25"/>
      <c r="BD1504" s="25"/>
      <c r="BE1504" s="25"/>
      <c r="BF1504" s="25"/>
      <c r="BG1504" s="25"/>
      <c r="BH1504" s="25"/>
      <c r="BI1504" s="25"/>
      <c r="BJ1504" s="25"/>
      <c r="BK1504" s="25"/>
      <c r="BL1504" s="25"/>
      <c r="BM1504" s="25"/>
      <c r="BN1504" s="25"/>
      <c r="BO1504" s="25"/>
      <c r="BP1504" s="25"/>
      <c r="BQ1504" s="25"/>
      <c r="BR1504" s="25"/>
      <c r="BS1504" s="25"/>
      <c r="BT1504" s="25"/>
      <c r="BU1504" s="25"/>
      <c r="BV1504" s="25"/>
      <c r="BW1504" s="25"/>
      <c r="BX1504" s="25"/>
      <c r="BY1504" s="25"/>
      <c r="BZ1504" s="25"/>
      <c r="CA1504" s="25"/>
      <c r="CB1504" s="25"/>
      <c r="CC1504" s="25"/>
      <c r="CD1504" s="25"/>
      <c r="CE1504" s="200"/>
      <c r="CF1504" s="200"/>
      <c r="CG1504" s="200"/>
      <c r="CH1504" s="200"/>
      <c r="CI1504" s="200"/>
      <c r="CJ1504" s="200"/>
      <c r="CK1504" s="200"/>
      <c r="CL1504" s="200"/>
      <c r="CM1504" s="200"/>
      <c r="CN1504" s="200"/>
      <c r="CO1504" s="200"/>
      <c r="CP1504" s="200"/>
      <c r="CQ1504" s="200"/>
      <c r="CR1504" s="200"/>
      <c r="CS1504" s="200"/>
      <c r="CT1504" s="200"/>
      <c r="CU1504" s="200"/>
    </row>
    <row r="1505" spans="1:99" s="17" customFormat="1" x14ac:dyDescent="0.2">
      <c r="A1505" s="25"/>
      <c r="B1505" s="20">
        <v>39013010902</v>
      </c>
      <c r="C1505" s="20">
        <v>109.02</v>
      </c>
      <c r="D1505" s="20" t="s">
        <v>13</v>
      </c>
      <c r="E1505" s="20" t="s">
        <v>2841</v>
      </c>
      <c r="F1505" s="20" t="s">
        <v>8</v>
      </c>
      <c r="G1505" s="861">
        <v>50.254425028465903</v>
      </c>
      <c r="H1505" s="861">
        <v>53.662149587592303</v>
      </c>
      <c r="I1505" s="861">
        <v>36.318583993729398</v>
      </c>
      <c r="J1505" s="861">
        <v>35.714892389095297</v>
      </c>
      <c r="K1505" s="982">
        <v>1</v>
      </c>
      <c r="L1505" s="735" t="s">
        <v>2466</v>
      </c>
      <c r="M1505" s="735">
        <v>4953</v>
      </c>
      <c r="N1505" s="845" t="str">
        <f t="shared" si="128"/>
        <v/>
      </c>
      <c r="O1505" s="735">
        <v>26.108722560892375</v>
      </c>
      <c r="P1505" s="735">
        <f t="shared" si="129"/>
        <v>189.70671538786732</v>
      </c>
      <c r="Q1505" s="849">
        <v>43.5</v>
      </c>
      <c r="R1505" s="71">
        <v>60592</v>
      </c>
      <c r="S1505" s="845">
        <v>0.17831374974232117</v>
      </c>
      <c r="T1505" s="845">
        <v>1.6E-2</v>
      </c>
      <c r="U1505" s="845">
        <v>3.7999999999999999E-2</v>
      </c>
      <c r="V1505" s="845">
        <v>0.13</v>
      </c>
      <c r="W1505" s="845">
        <v>0.31418219461697722</v>
      </c>
      <c r="X1505" s="845">
        <v>0.62932454695222406</v>
      </c>
      <c r="Y1505" s="845">
        <v>0.89622451039773876</v>
      </c>
      <c r="Z1505" s="845">
        <v>5.0474459923278824E-3</v>
      </c>
      <c r="AA1505" s="845">
        <v>0</v>
      </c>
      <c r="AB1505" s="845">
        <v>6.6626287098728041E-3</v>
      </c>
      <c r="AC1505" s="845">
        <v>3.2303654350898446E-3</v>
      </c>
      <c r="AD1505" s="845">
        <v>2.1199273167777106E-2</v>
      </c>
      <c r="AE1505" s="845">
        <v>6.7635776297193625E-2</v>
      </c>
      <c r="AF1505" s="845">
        <v>2.1199273167777106E-2</v>
      </c>
      <c r="AG1505" s="845">
        <v>0.89622451039773876</v>
      </c>
      <c r="AH1505" s="20" t="str">
        <f t="shared" si="130"/>
        <v>No</v>
      </c>
      <c r="AI1505" s="25"/>
      <c r="AJ1505" s="37">
        <v>44663</v>
      </c>
      <c r="AK1505" s="37" t="s">
        <v>1425</v>
      </c>
      <c r="AL1505" s="37">
        <v>39157</v>
      </c>
      <c r="AM1505" s="37" t="s">
        <v>84</v>
      </c>
      <c r="AN1505" s="37" t="str">
        <f t="shared" si="131"/>
        <v>N/A</v>
      </c>
      <c r="AO1505" s="37" t="str">
        <f t="shared" si="132"/>
        <v>N/A</v>
      </c>
      <c r="AP1505" s="37" t="s">
        <v>8</v>
      </c>
      <c r="AQ1505" s="25"/>
      <c r="AR1505" s="25"/>
      <c r="AS1505" s="25"/>
      <c r="AT1505" s="25"/>
      <c r="AU1505" s="36"/>
      <c r="AV1505" s="36"/>
      <c r="AW1505" s="36"/>
      <c r="AX1505" s="25"/>
      <c r="AY1505" s="25"/>
      <c r="AZ1505" s="25"/>
      <c r="BA1505" s="25"/>
      <c r="BB1505" s="25"/>
      <c r="BC1505" s="25"/>
      <c r="BD1505" s="25"/>
      <c r="BE1505" s="25"/>
      <c r="BF1505" s="25"/>
      <c r="BG1505" s="25"/>
      <c r="BH1505" s="25"/>
      <c r="BI1505" s="25"/>
      <c r="BJ1505" s="25"/>
      <c r="BK1505" s="25"/>
      <c r="BL1505" s="25"/>
      <c r="BM1505" s="25"/>
      <c r="BN1505" s="25"/>
      <c r="BO1505" s="25"/>
      <c r="BP1505" s="25"/>
      <c r="BQ1505" s="25"/>
      <c r="BR1505" s="25"/>
      <c r="BS1505" s="25"/>
      <c r="BT1505" s="25"/>
      <c r="BU1505" s="25"/>
      <c r="BV1505" s="25"/>
      <c r="BW1505" s="25"/>
      <c r="BX1505" s="25"/>
      <c r="BY1505" s="25"/>
      <c r="BZ1505" s="25"/>
      <c r="CA1505" s="25"/>
      <c r="CB1505" s="25"/>
      <c r="CC1505" s="25"/>
      <c r="CD1505" s="25"/>
      <c r="CE1505" s="200"/>
      <c r="CF1505" s="200"/>
      <c r="CG1505" s="200"/>
      <c r="CH1505" s="200"/>
      <c r="CI1505" s="200"/>
      <c r="CJ1505" s="200"/>
      <c r="CK1505" s="200"/>
      <c r="CL1505" s="200"/>
      <c r="CM1505" s="200"/>
      <c r="CN1505" s="200"/>
      <c r="CO1505" s="200"/>
      <c r="CP1505" s="200"/>
      <c r="CQ1505" s="200"/>
      <c r="CR1505" s="200"/>
      <c r="CS1505" s="200"/>
      <c r="CT1505" s="200"/>
      <c r="CU1505" s="200"/>
    </row>
    <row r="1506" spans="1:99" s="17" customFormat="1" x14ac:dyDescent="0.2">
      <c r="A1506" s="25"/>
      <c r="B1506" s="20">
        <v>39111966800</v>
      </c>
      <c r="C1506" s="20">
        <v>9668</v>
      </c>
      <c r="D1506" s="20" t="s">
        <v>61</v>
      </c>
      <c r="E1506" s="20" t="s">
        <v>265</v>
      </c>
      <c r="F1506" s="20" t="s">
        <v>8</v>
      </c>
      <c r="G1506" s="861">
        <v>50.228346125964102</v>
      </c>
      <c r="H1506" s="861">
        <v>33.177847564154</v>
      </c>
      <c r="I1506" s="861">
        <v>39.850033537141101</v>
      </c>
      <c r="J1506" s="861">
        <v>50.1389133467109</v>
      </c>
      <c r="K1506" s="982">
        <v>0</v>
      </c>
      <c r="L1506" s="735">
        <v>3907</v>
      </c>
      <c r="M1506" s="735">
        <v>3854</v>
      </c>
      <c r="N1506" s="845">
        <f t="shared" si="128"/>
        <v>-1.3565395444074738E-2</v>
      </c>
      <c r="O1506" s="735">
        <v>48.343011505176371</v>
      </c>
      <c r="P1506" s="735">
        <f t="shared" si="129"/>
        <v>79.721967664081689</v>
      </c>
      <c r="Q1506" s="849">
        <v>43.9</v>
      </c>
      <c r="R1506" s="71">
        <v>50822</v>
      </c>
      <c r="S1506" s="845">
        <v>0.20993589743589744</v>
      </c>
      <c r="T1506" s="845">
        <v>9.5000000000000001E-2</v>
      </c>
      <c r="U1506" s="845">
        <v>0.01</v>
      </c>
      <c r="V1506" s="845">
        <v>0.156</v>
      </c>
      <c r="W1506" s="845">
        <v>0.30477436232831917</v>
      </c>
      <c r="X1506" s="845">
        <v>0.44420600858369097</v>
      </c>
      <c r="Y1506" s="845">
        <v>0.92189932537623254</v>
      </c>
      <c r="Z1506" s="845">
        <v>4.4110015568240785E-3</v>
      </c>
      <c r="AA1506" s="845">
        <v>1.2973533990659055E-3</v>
      </c>
      <c r="AB1506" s="845">
        <v>1.5827711468604049E-2</v>
      </c>
      <c r="AC1506" s="845">
        <v>0</v>
      </c>
      <c r="AD1506" s="845">
        <v>0</v>
      </c>
      <c r="AE1506" s="845">
        <v>5.6564608199273482E-2</v>
      </c>
      <c r="AF1506" s="845">
        <v>5.708354955889984E-3</v>
      </c>
      <c r="AG1506" s="845">
        <v>0.92189932537623254</v>
      </c>
      <c r="AH1506" s="20" t="str">
        <f t="shared" si="130"/>
        <v>Yes</v>
      </c>
      <c r="AI1506" s="25"/>
      <c r="AJ1506" s="37">
        <v>44671</v>
      </c>
      <c r="AK1506" s="37" t="s">
        <v>1431</v>
      </c>
      <c r="AL1506" s="37">
        <v>39157</v>
      </c>
      <c r="AM1506" s="37" t="s">
        <v>84</v>
      </c>
      <c r="AN1506" s="37" t="str">
        <f t="shared" si="131"/>
        <v>N/A</v>
      </c>
      <c r="AO1506" s="37" t="str">
        <f t="shared" si="132"/>
        <v>N/A</v>
      </c>
      <c r="AP1506" s="37" t="s">
        <v>8</v>
      </c>
      <c r="AQ1506" s="25"/>
      <c r="AR1506" s="25"/>
      <c r="AS1506" s="25"/>
      <c r="AT1506" s="25"/>
      <c r="AU1506" s="36"/>
      <c r="AV1506" s="36"/>
      <c r="AW1506" s="36"/>
      <c r="AX1506" s="25"/>
      <c r="AY1506" s="25"/>
      <c r="AZ1506" s="25"/>
      <c r="BA1506" s="25"/>
      <c r="BB1506" s="25"/>
      <c r="BC1506" s="25"/>
      <c r="BD1506" s="25"/>
      <c r="BE1506" s="25"/>
      <c r="BF1506" s="25"/>
      <c r="BG1506" s="25"/>
      <c r="BH1506" s="25"/>
      <c r="BI1506" s="25"/>
      <c r="BJ1506" s="25"/>
      <c r="BK1506" s="25"/>
      <c r="BL1506" s="25"/>
      <c r="BM1506" s="25"/>
      <c r="BN1506" s="25"/>
      <c r="BO1506" s="25"/>
      <c r="BP1506" s="25"/>
      <c r="BQ1506" s="25"/>
      <c r="BR1506" s="25"/>
      <c r="BS1506" s="25"/>
      <c r="BT1506" s="25"/>
      <c r="BU1506" s="25"/>
      <c r="BV1506" s="25"/>
      <c r="BW1506" s="25"/>
      <c r="BX1506" s="25"/>
      <c r="BY1506" s="25"/>
      <c r="BZ1506" s="25"/>
      <c r="CA1506" s="25"/>
      <c r="CB1506" s="25"/>
      <c r="CC1506" s="25"/>
      <c r="CD1506" s="25"/>
      <c r="CE1506" s="200"/>
      <c r="CF1506" s="200"/>
      <c r="CG1506" s="200"/>
      <c r="CH1506" s="200"/>
      <c r="CI1506" s="200"/>
      <c r="CJ1506" s="200"/>
      <c r="CK1506" s="200"/>
      <c r="CL1506" s="200"/>
      <c r="CM1506" s="200"/>
      <c r="CN1506" s="200"/>
      <c r="CO1506" s="200"/>
      <c r="CP1506" s="200"/>
      <c r="CQ1506" s="200"/>
      <c r="CR1506" s="200"/>
      <c r="CS1506" s="200"/>
      <c r="CT1506" s="200"/>
      <c r="CU1506" s="200"/>
    </row>
    <row r="1507" spans="1:99" s="17" customFormat="1" x14ac:dyDescent="0.2">
      <c r="A1507" s="25"/>
      <c r="B1507" s="20">
        <v>39113100203</v>
      </c>
      <c r="C1507" s="20">
        <v>1002.03</v>
      </c>
      <c r="D1507" s="20" t="s">
        <v>62</v>
      </c>
      <c r="E1507" s="20" t="s">
        <v>2833</v>
      </c>
      <c r="F1507" s="20" t="s">
        <v>8</v>
      </c>
      <c r="G1507" s="861">
        <v>50.185360667810698</v>
      </c>
      <c r="H1507" s="861">
        <v>63.129163966017401</v>
      </c>
      <c r="I1507" s="861">
        <v>26.546262687391199</v>
      </c>
      <c r="J1507" s="861">
        <v>37.437746298755499</v>
      </c>
      <c r="K1507" s="982">
        <v>0</v>
      </c>
      <c r="L1507" s="735">
        <v>5115</v>
      </c>
      <c r="M1507" s="735">
        <v>4513</v>
      </c>
      <c r="N1507" s="845">
        <f t="shared" si="128"/>
        <v>-0.1176930596285435</v>
      </c>
      <c r="O1507" s="735">
        <v>0.94691245513092337</v>
      </c>
      <c r="P1507" s="735">
        <f t="shared" si="129"/>
        <v>4766.0160931941873</v>
      </c>
      <c r="Q1507" s="849">
        <v>34.1</v>
      </c>
      <c r="R1507" s="71">
        <v>77304</v>
      </c>
      <c r="S1507" s="845">
        <v>3.6253096149515877E-2</v>
      </c>
      <c r="T1507" s="845">
        <v>4.2000000000000003E-2</v>
      </c>
      <c r="U1507" s="845">
        <v>2.7999999999999997E-2</v>
      </c>
      <c r="V1507" s="845">
        <v>5.2999999999999999E-2</v>
      </c>
      <c r="W1507" s="845">
        <v>0.2063768115942029</v>
      </c>
      <c r="X1507" s="845">
        <v>0.2640449438202247</v>
      </c>
      <c r="Y1507" s="845">
        <v>0.75138488810104143</v>
      </c>
      <c r="Z1507" s="845">
        <v>0.13804564591181032</v>
      </c>
      <c r="AA1507" s="845">
        <v>2.8805672501661865E-3</v>
      </c>
      <c r="AB1507" s="845">
        <v>1.0192776423664968E-2</v>
      </c>
      <c r="AC1507" s="845">
        <v>0</v>
      </c>
      <c r="AD1507" s="845">
        <v>2.6368269443828939E-2</v>
      </c>
      <c r="AE1507" s="845">
        <v>7.112785286948814E-2</v>
      </c>
      <c r="AF1507" s="845">
        <v>6.5809882561489036E-2</v>
      </c>
      <c r="AG1507" s="845">
        <v>0.73232882783071129</v>
      </c>
      <c r="AH1507" s="20" t="str">
        <f t="shared" si="130"/>
        <v>No</v>
      </c>
      <c r="AI1507" s="25"/>
      <c r="AJ1507" s="37">
        <v>44675</v>
      </c>
      <c r="AK1507" s="37" t="s">
        <v>1433</v>
      </c>
      <c r="AL1507" s="37">
        <v>39157</v>
      </c>
      <c r="AM1507" s="37" t="s">
        <v>84</v>
      </c>
      <c r="AN1507" s="37" t="str">
        <f t="shared" si="131"/>
        <v>N/A</v>
      </c>
      <c r="AO1507" s="37" t="str">
        <f t="shared" si="132"/>
        <v>N/A</v>
      </c>
      <c r="AP1507" s="37" t="s">
        <v>8</v>
      </c>
      <c r="AQ1507" s="25"/>
      <c r="AR1507" s="25"/>
      <c r="AS1507" s="25"/>
      <c r="AT1507" s="25"/>
      <c r="AU1507" s="36"/>
      <c r="AV1507" s="36"/>
      <c r="AW1507" s="36"/>
      <c r="AX1507" s="25"/>
      <c r="AY1507" s="25"/>
      <c r="AZ1507" s="25"/>
      <c r="BA1507" s="25"/>
      <c r="BB1507" s="25"/>
      <c r="BC1507" s="25"/>
      <c r="BD1507" s="25"/>
      <c r="BE1507" s="25"/>
      <c r="BF1507" s="25"/>
      <c r="BG1507" s="25"/>
      <c r="BH1507" s="25"/>
      <c r="BI1507" s="25"/>
      <c r="BJ1507" s="25"/>
      <c r="BK1507" s="25"/>
      <c r="BL1507" s="25"/>
      <c r="BM1507" s="25"/>
      <c r="BN1507" s="25"/>
      <c r="BO1507" s="25"/>
      <c r="BP1507" s="25"/>
      <c r="BQ1507" s="25"/>
      <c r="BR1507" s="25"/>
      <c r="BS1507" s="25"/>
      <c r="BT1507" s="25"/>
      <c r="BU1507" s="25"/>
      <c r="BV1507" s="25"/>
      <c r="BW1507" s="25"/>
      <c r="BX1507" s="25"/>
      <c r="BY1507" s="25"/>
      <c r="BZ1507" s="25"/>
      <c r="CA1507" s="25"/>
      <c r="CB1507" s="25"/>
      <c r="CC1507" s="25"/>
      <c r="CD1507" s="25"/>
      <c r="CE1507" s="200"/>
      <c r="CF1507" s="200"/>
      <c r="CG1507" s="200"/>
      <c r="CH1507" s="200"/>
      <c r="CI1507" s="200"/>
      <c r="CJ1507" s="200"/>
      <c r="CK1507" s="200"/>
      <c r="CL1507" s="200"/>
      <c r="CM1507" s="200"/>
      <c r="CN1507" s="200"/>
      <c r="CO1507" s="200"/>
      <c r="CP1507" s="200"/>
      <c r="CQ1507" s="200"/>
      <c r="CR1507" s="200"/>
      <c r="CS1507" s="200"/>
      <c r="CT1507" s="200"/>
      <c r="CU1507" s="200"/>
    </row>
    <row r="1508" spans="1:99" s="17" customFormat="1" x14ac:dyDescent="0.2">
      <c r="A1508" s="25"/>
      <c r="B1508" s="20">
        <v>39017010913</v>
      </c>
      <c r="C1508" s="20">
        <v>109.13</v>
      </c>
      <c r="D1508" s="20" t="s">
        <v>15</v>
      </c>
      <c r="E1508" s="20" t="s">
        <v>2828</v>
      </c>
      <c r="F1508" s="20" t="s">
        <v>8</v>
      </c>
      <c r="G1508" s="861">
        <v>50.179635392879</v>
      </c>
      <c r="H1508" s="861">
        <v>57.573905154340402</v>
      </c>
      <c r="I1508" s="861">
        <v>49.388747874776598</v>
      </c>
      <c r="J1508" s="861">
        <v>31.828320996372401</v>
      </c>
      <c r="K1508" s="982">
        <v>0</v>
      </c>
      <c r="L1508" s="735" t="s">
        <v>2466</v>
      </c>
      <c r="M1508" s="735">
        <v>3161</v>
      </c>
      <c r="N1508" s="845" t="str">
        <f t="shared" si="128"/>
        <v/>
      </c>
      <c r="O1508" s="735">
        <v>1.2414821471902433</v>
      </c>
      <c r="P1508" s="735">
        <f t="shared" si="129"/>
        <v>2546.1501860127933</v>
      </c>
      <c r="Q1508" s="849">
        <v>32.299999999999997</v>
      </c>
      <c r="R1508" s="71">
        <v>54773</v>
      </c>
      <c r="S1508" s="845">
        <v>0.13223663397658969</v>
      </c>
      <c r="T1508" s="845">
        <v>3.7999999999999999E-2</v>
      </c>
      <c r="U1508" s="845">
        <v>0</v>
      </c>
      <c r="V1508" s="845">
        <v>4.9000000000000002E-2</v>
      </c>
      <c r="W1508" s="845">
        <v>0.67774936061381075</v>
      </c>
      <c r="X1508" s="845">
        <v>0.41320754716981134</v>
      </c>
      <c r="Y1508" s="845">
        <v>0.34039860803543182</v>
      </c>
      <c r="Z1508" s="845">
        <v>0.43119266055045874</v>
      </c>
      <c r="AA1508" s="845">
        <v>8.2252451755773486E-3</v>
      </c>
      <c r="AB1508" s="845">
        <v>9.6172097437519768E-2</v>
      </c>
      <c r="AC1508" s="845">
        <v>0</v>
      </c>
      <c r="AD1508" s="845">
        <v>8.5732363176210066E-2</v>
      </c>
      <c r="AE1508" s="845">
        <v>3.8279025624802281E-2</v>
      </c>
      <c r="AF1508" s="845">
        <v>0.1243277443846884</v>
      </c>
      <c r="AG1508" s="845">
        <v>0.32774438468838973</v>
      </c>
      <c r="AH1508" s="20" t="str">
        <f t="shared" si="130"/>
        <v>No</v>
      </c>
      <c r="AI1508" s="25"/>
      <c r="AJ1508" s="37">
        <v>44678</v>
      </c>
      <c r="AK1508" s="37" t="s">
        <v>1436</v>
      </c>
      <c r="AL1508" s="37">
        <v>39157</v>
      </c>
      <c r="AM1508" s="37" t="s">
        <v>84</v>
      </c>
      <c r="AN1508" s="37" t="str">
        <f t="shared" si="131"/>
        <v>N/A</v>
      </c>
      <c r="AO1508" s="37" t="str">
        <f t="shared" si="132"/>
        <v>N/A</v>
      </c>
      <c r="AP1508" s="37" t="s">
        <v>8</v>
      </c>
      <c r="AQ1508" s="25"/>
      <c r="AR1508" s="25"/>
      <c r="AS1508" s="25"/>
      <c r="AT1508" s="25"/>
      <c r="AU1508" s="36"/>
      <c r="AV1508" s="36"/>
      <c r="AW1508" s="36"/>
      <c r="AX1508" s="25"/>
      <c r="AY1508" s="25"/>
      <c r="AZ1508" s="25"/>
      <c r="BA1508" s="25"/>
      <c r="BB1508" s="25"/>
      <c r="BC1508" s="25"/>
      <c r="BD1508" s="25"/>
      <c r="BE1508" s="25"/>
      <c r="BF1508" s="25"/>
      <c r="BG1508" s="25"/>
      <c r="BH1508" s="25"/>
      <c r="BI1508" s="25"/>
      <c r="BJ1508" s="25"/>
      <c r="BK1508" s="25"/>
      <c r="BL1508" s="25"/>
      <c r="BM1508" s="25"/>
      <c r="BN1508" s="25"/>
      <c r="BO1508" s="25"/>
      <c r="BP1508" s="25"/>
      <c r="BQ1508" s="25"/>
      <c r="BR1508" s="25"/>
      <c r="BS1508" s="25"/>
      <c r="BT1508" s="25"/>
      <c r="BU1508" s="25"/>
      <c r="BV1508" s="25"/>
      <c r="BW1508" s="25"/>
      <c r="BX1508" s="25"/>
      <c r="BY1508" s="25"/>
      <c r="BZ1508" s="25"/>
      <c r="CA1508" s="25"/>
      <c r="CB1508" s="25"/>
      <c r="CC1508" s="25"/>
      <c r="CD1508" s="25"/>
      <c r="CE1508" s="200"/>
      <c r="CF1508" s="200"/>
      <c r="CG1508" s="200"/>
      <c r="CH1508" s="200"/>
      <c r="CI1508" s="200"/>
      <c r="CJ1508" s="200"/>
      <c r="CK1508" s="200"/>
      <c r="CL1508" s="200"/>
      <c r="CM1508" s="200"/>
      <c r="CN1508" s="200"/>
      <c r="CO1508" s="200"/>
      <c r="CP1508" s="200"/>
      <c r="CQ1508" s="200"/>
      <c r="CR1508" s="200"/>
      <c r="CS1508" s="200"/>
      <c r="CT1508" s="200"/>
      <c r="CU1508" s="200"/>
    </row>
    <row r="1509" spans="1:99" s="17" customFormat="1" x14ac:dyDescent="0.2">
      <c r="A1509" s="25"/>
      <c r="B1509" s="20">
        <v>39095008210</v>
      </c>
      <c r="C1509" s="20">
        <v>82.1</v>
      </c>
      <c r="D1509" s="20" t="s">
        <v>53</v>
      </c>
      <c r="E1509" s="20" t="s">
        <v>2839</v>
      </c>
      <c r="F1509" s="20" t="s">
        <v>8</v>
      </c>
      <c r="G1509" s="861">
        <v>50.160541855952403</v>
      </c>
      <c r="H1509" s="861">
        <v>49.302826579437998</v>
      </c>
      <c r="I1509" s="861">
        <v>27.703968153994101</v>
      </c>
      <c r="J1509" s="861">
        <v>10.5417162057052</v>
      </c>
      <c r="K1509" s="982">
        <v>0</v>
      </c>
      <c r="L1509" s="735" t="s">
        <v>2466</v>
      </c>
      <c r="M1509" s="735">
        <v>1559</v>
      </c>
      <c r="N1509" s="845" t="str">
        <f t="shared" si="128"/>
        <v/>
      </c>
      <c r="O1509" s="735">
        <v>0.40442772534581251</v>
      </c>
      <c r="P1509" s="735">
        <f t="shared" si="129"/>
        <v>3854.8296822799466</v>
      </c>
      <c r="Q1509" s="849">
        <v>38.700000000000003</v>
      </c>
      <c r="R1509" s="71">
        <v>55750</v>
      </c>
      <c r="S1509" s="845">
        <v>4.1000694927032663E-2</v>
      </c>
      <c r="T1509" s="845">
        <v>4.8000000000000001E-2</v>
      </c>
      <c r="U1509" s="845">
        <v>9.6000000000000002E-2</v>
      </c>
      <c r="V1509" s="845">
        <v>7.4999999999999997E-2</v>
      </c>
      <c r="W1509" s="845">
        <v>0.24845679012345678</v>
      </c>
      <c r="X1509" s="845">
        <v>8.0745341614906832E-2</v>
      </c>
      <c r="Y1509" s="845">
        <v>0.77036561898652978</v>
      </c>
      <c r="Z1509" s="845">
        <v>3.9769082745349585E-2</v>
      </c>
      <c r="AA1509" s="845">
        <v>0</v>
      </c>
      <c r="AB1509" s="845">
        <v>0.1141757536882617</v>
      </c>
      <c r="AC1509" s="845">
        <v>4.4900577293136628E-3</v>
      </c>
      <c r="AD1509" s="845">
        <v>2.3733162283515075E-2</v>
      </c>
      <c r="AE1509" s="845">
        <v>4.7466324567030149E-2</v>
      </c>
      <c r="AF1509" s="845">
        <v>4.1693393200769722E-2</v>
      </c>
      <c r="AG1509" s="845">
        <v>0.77036561898652978</v>
      </c>
      <c r="AH1509" s="20" t="str">
        <f t="shared" si="130"/>
        <v>No</v>
      </c>
      <c r="AI1509" s="25"/>
      <c r="AJ1509" s="37">
        <v>44680</v>
      </c>
      <c r="AK1509" s="37" t="s">
        <v>1437</v>
      </c>
      <c r="AL1509" s="37">
        <v>39157</v>
      </c>
      <c r="AM1509" s="37" t="s">
        <v>84</v>
      </c>
      <c r="AN1509" s="37" t="str">
        <f t="shared" si="131"/>
        <v>N/A</v>
      </c>
      <c r="AO1509" s="37" t="str">
        <f t="shared" si="132"/>
        <v>N/A</v>
      </c>
      <c r="AP1509" s="37" t="s">
        <v>8</v>
      </c>
      <c r="AQ1509" s="25"/>
      <c r="AR1509" s="25"/>
      <c r="AS1509" s="25"/>
      <c r="AT1509" s="25"/>
      <c r="AU1509" s="36"/>
      <c r="AV1509" s="36"/>
      <c r="AW1509" s="36"/>
      <c r="AX1509" s="25"/>
      <c r="AY1509" s="25"/>
      <c r="AZ1509" s="25"/>
      <c r="BA1509" s="25"/>
      <c r="BB1509" s="25"/>
      <c r="BC1509" s="25"/>
      <c r="BD1509" s="25"/>
      <c r="BE1509" s="25"/>
      <c r="BF1509" s="25"/>
      <c r="BG1509" s="25"/>
      <c r="BH1509" s="25"/>
      <c r="BI1509" s="25"/>
      <c r="BJ1509" s="25"/>
      <c r="BK1509" s="25"/>
      <c r="BL1509" s="25"/>
      <c r="BM1509" s="25"/>
      <c r="BN1509" s="25"/>
      <c r="BO1509" s="25"/>
      <c r="BP1509" s="25"/>
      <c r="BQ1509" s="25"/>
      <c r="BR1509" s="25"/>
      <c r="BS1509" s="25"/>
      <c r="BT1509" s="25"/>
      <c r="BU1509" s="25"/>
      <c r="BV1509" s="25"/>
      <c r="BW1509" s="25"/>
      <c r="BX1509" s="25"/>
      <c r="BY1509" s="25"/>
      <c r="BZ1509" s="25"/>
      <c r="CA1509" s="25"/>
      <c r="CB1509" s="25"/>
      <c r="CC1509" s="25"/>
      <c r="CD1509" s="25"/>
      <c r="CE1509" s="200"/>
      <c r="CF1509" s="200"/>
      <c r="CG1509" s="200"/>
      <c r="CH1509" s="200"/>
      <c r="CI1509" s="200"/>
      <c r="CJ1509" s="200"/>
      <c r="CK1509" s="200"/>
      <c r="CL1509" s="200"/>
      <c r="CM1509" s="200"/>
      <c r="CN1509" s="200"/>
      <c r="CO1509" s="200"/>
      <c r="CP1509" s="200"/>
      <c r="CQ1509" s="200"/>
      <c r="CR1509" s="200"/>
      <c r="CS1509" s="200"/>
      <c r="CT1509" s="200"/>
      <c r="CU1509" s="200"/>
    </row>
    <row r="1510" spans="1:99" s="17" customFormat="1" x14ac:dyDescent="0.2">
      <c r="A1510" s="25"/>
      <c r="B1510" s="20">
        <v>39035134100</v>
      </c>
      <c r="C1510" s="20">
        <v>1341</v>
      </c>
      <c r="D1510" s="20" t="s">
        <v>24</v>
      </c>
      <c r="E1510" s="20" t="s">
        <v>2829</v>
      </c>
      <c r="F1510" s="20" t="s">
        <v>8</v>
      </c>
      <c r="G1510" s="861">
        <v>50.143016460460601</v>
      </c>
      <c r="H1510" s="861">
        <v>47.039127566403899</v>
      </c>
      <c r="I1510" s="861">
        <v>30.682750432362599</v>
      </c>
      <c r="J1510" s="861">
        <v>42.686933501730003</v>
      </c>
      <c r="K1510" s="982">
        <v>0</v>
      </c>
      <c r="L1510" s="735">
        <v>1449</v>
      </c>
      <c r="M1510" s="735">
        <v>1477</v>
      </c>
      <c r="N1510" s="845">
        <f t="shared" si="128"/>
        <v>1.932367149758454E-2</v>
      </c>
      <c r="O1510" s="735">
        <v>0.69395723982686552</v>
      </c>
      <c r="P1510" s="735">
        <f t="shared" si="129"/>
        <v>2128.3732126903019</v>
      </c>
      <c r="Q1510" s="849">
        <v>37.4</v>
      </c>
      <c r="R1510" s="71">
        <v>56641</v>
      </c>
      <c r="S1510" s="845">
        <v>8.1183611532625183E-2</v>
      </c>
      <c r="T1510" s="845">
        <v>0.01</v>
      </c>
      <c r="U1510" s="845">
        <v>0</v>
      </c>
      <c r="V1510" s="845">
        <v>0</v>
      </c>
      <c r="W1510" s="845">
        <v>0.54098360655737709</v>
      </c>
      <c r="X1510" s="845">
        <v>0.2975206611570248</v>
      </c>
      <c r="Y1510" s="845">
        <v>0.70616113744075826</v>
      </c>
      <c r="Z1510" s="845">
        <v>0.14895057549085985</v>
      </c>
      <c r="AA1510" s="845">
        <v>0</v>
      </c>
      <c r="AB1510" s="845">
        <v>6.093432633716994E-3</v>
      </c>
      <c r="AC1510" s="845">
        <v>0</v>
      </c>
      <c r="AD1510" s="845">
        <v>9.004739336492891E-2</v>
      </c>
      <c r="AE1510" s="845">
        <v>4.8747461069735952E-2</v>
      </c>
      <c r="AF1510" s="845">
        <v>3.7914691943127965E-2</v>
      </c>
      <c r="AG1510" s="845">
        <v>0.70616113744075826</v>
      </c>
      <c r="AH1510" s="20" t="str">
        <f t="shared" si="130"/>
        <v>No</v>
      </c>
      <c r="AI1510" s="25"/>
      <c r="AJ1510" s="37">
        <v>44681</v>
      </c>
      <c r="AK1510" s="37" t="s">
        <v>1438</v>
      </c>
      <c r="AL1510" s="37">
        <v>39157</v>
      </c>
      <c r="AM1510" s="37" t="s">
        <v>84</v>
      </c>
      <c r="AN1510" s="37" t="str">
        <f t="shared" si="131"/>
        <v>N/A</v>
      </c>
      <c r="AO1510" s="37" t="str">
        <f t="shared" si="132"/>
        <v>N/A</v>
      </c>
      <c r="AP1510" s="37" t="s">
        <v>8</v>
      </c>
      <c r="AQ1510" s="25"/>
      <c r="AR1510" s="25"/>
      <c r="AS1510" s="25"/>
      <c r="AT1510" s="25"/>
      <c r="AU1510" s="36"/>
      <c r="AV1510" s="36"/>
      <c r="AW1510" s="36"/>
      <c r="AX1510" s="25"/>
      <c r="AY1510" s="25"/>
      <c r="AZ1510" s="25"/>
      <c r="BA1510" s="25"/>
      <c r="BB1510" s="25"/>
      <c r="BC1510" s="25"/>
      <c r="BD1510" s="25"/>
      <c r="BE1510" s="25"/>
      <c r="BF1510" s="25"/>
      <c r="BG1510" s="25"/>
      <c r="BH1510" s="25"/>
      <c r="BI1510" s="25"/>
      <c r="BJ1510" s="25"/>
      <c r="BK1510" s="25"/>
      <c r="BL1510" s="25"/>
      <c r="BM1510" s="25"/>
      <c r="BN1510" s="25"/>
      <c r="BO1510" s="25"/>
      <c r="BP1510" s="25"/>
      <c r="BQ1510" s="25"/>
      <c r="BR1510" s="25"/>
      <c r="BS1510" s="25"/>
      <c r="BT1510" s="25"/>
      <c r="BU1510" s="25"/>
      <c r="BV1510" s="25"/>
      <c r="BW1510" s="25"/>
      <c r="BX1510" s="25"/>
      <c r="BY1510" s="25"/>
      <c r="BZ1510" s="25"/>
      <c r="CA1510" s="25"/>
      <c r="CB1510" s="25"/>
      <c r="CC1510" s="25"/>
      <c r="CD1510" s="25"/>
      <c r="CE1510" s="200"/>
      <c r="CF1510" s="200"/>
      <c r="CG1510" s="200"/>
      <c r="CH1510" s="200"/>
      <c r="CI1510" s="200"/>
      <c r="CJ1510" s="200"/>
      <c r="CK1510" s="200"/>
      <c r="CL1510" s="200"/>
      <c r="CM1510" s="200"/>
      <c r="CN1510" s="200"/>
      <c r="CO1510" s="200"/>
      <c r="CP1510" s="200"/>
      <c r="CQ1510" s="200"/>
      <c r="CR1510" s="200"/>
      <c r="CS1510" s="200"/>
      <c r="CT1510" s="200"/>
      <c r="CU1510" s="200"/>
    </row>
    <row r="1511" spans="1:99" s="17" customFormat="1" x14ac:dyDescent="0.2">
      <c r="A1511" s="25"/>
      <c r="B1511" s="20">
        <v>39133600705</v>
      </c>
      <c r="C1511" s="20">
        <v>6007.05</v>
      </c>
      <c r="D1511" s="20" t="s">
        <v>72</v>
      </c>
      <c r="E1511" s="20" t="s">
        <v>2843</v>
      </c>
      <c r="F1511" s="20" t="s">
        <v>8</v>
      </c>
      <c r="G1511" s="861">
        <v>50.141974624516003</v>
      </c>
      <c r="H1511" s="861">
        <v>55.9835817361529</v>
      </c>
      <c r="I1511" s="861">
        <v>19.565816301281998</v>
      </c>
      <c r="J1511" s="861">
        <v>40.510976096027399</v>
      </c>
      <c r="K1511" s="982">
        <v>0</v>
      </c>
      <c r="L1511" s="735">
        <v>2576</v>
      </c>
      <c r="M1511" s="735">
        <v>2375</v>
      </c>
      <c r="N1511" s="845">
        <f t="shared" si="128"/>
        <v>-7.8027950310559008E-2</v>
      </c>
      <c r="O1511" s="735">
        <v>24.06825952571651</v>
      </c>
      <c r="P1511" s="735">
        <f t="shared" si="129"/>
        <v>98.677679516558086</v>
      </c>
      <c r="Q1511" s="849">
        <v>48.2</v>
      </c>
      <c r="R1511" s="71">
        <v>97054</v>
      </c>
      <c r="S1511" s="845">
        <v>4.5996592844974447E-2</v>
      </c>
      <c r="T1511" s="845">
        <v>2.2000000000000002E-2</v>
      </c>
      <c r="U1511" s="845">
        <v>0</v>
      </c>
      <c r="V1511" s="845">
        <v>0</v>
      </c>
      <c r="W1511" s="845">
        <v>0.21179039301310043</v>
      </c>
      <c r="X1511" s="845">
        <v>6.7010309278350513E-2</v>
      </c>
      <c r="Y1511" s="845">
        <v>0.88884210526315788</v>
      </c>
      <c r="Z1511" s="845">
        <v>1.0105263157894737E-2</v>
      </c>
      <c r="AA1511" s="845">
        <v>0</v>
      </c>
      <c r="AB1511" s="845">
        <v>6.7368421052631583E-3</v>
      </c>
      <c r="AC1511" s="845">
        <v>0</v>
      </c>
      <c r="AD1511" s="845">
        <v>5.894736842105263E-2</v>
      </c>
      <c r="AE1511" s="845">
        <v>3.5368421052631577E-2</v>
      </c>
      <c r="AF1511" s="845">
        <v>4.5473684210526319E-2</v>
      </c>
      <c r="AG1511" s="845">
        <v>0.88884210526315788</v>
      </c>
      <c r="AH1511" s="20" t="str">
        <f t="shared" si="130"/>
        <v>No</v>
      </c>
      <c r="AI1511" s="25"/>
      <c r="AJ1511" s="37">
        <v>44682</v>
      </c>
      <c r="AK1511" s="37" t="s">
        <v>1439</v>
      </c>
      <c r="AL1511" s="37">
        <v>39157</v>
      </c>
      <c r="AM1511" s="37" t="s">
        <v>84</v>
      </c>
      <c r="AN1511" s="37" t="str">
        <f t="shared" si="131"/>
        <v>N/A</v>
      </c>
      <c r="AO1511" s="37" t="str">
        <f t="shared" si="132"/>
        <v>N/A</v>
      </c>
      <c r="AP1511" s="37" t="s">
        <v>8</v>
      </c>
      <c r="AQ1511" s="25"/>
      <c r="AR1511" s="25"/>
      <c r="AS1511" s="25"/>
      <c r="AT1511" s="25"/>
      <c r="AU1511" s="36"/>
      <c r="AV1511" s="36"/>
      <c r="AW1511" s="36"/>
      <c r="AX1511" s="25"/>
      <c r="AY1511" s="25"/>
      <c r="AZ1511" s="25"/>
      <c r="BA1511" s="25"/>
      <c r="BB1511" s="25"/>
      <c r="BC1511" s="25"/>
      <c r="BD1511" s="25"/>
      <c r="BE1511" s="25"/>
      <c r="BF1511" s="25"/>
      <c r="BG1511" s="25"/>
      <c r="BH1511" s="25"/>
      <c r="BI1511" s="25"/>
      <c r="BJ1511" s="25"/>
      <c r="BK1511" s="25"/>
      <c r="BL1511" s="25"/>
      <c r="BM1511" s="25"/>
      <c r="BN1511" s="25"/>
      <c r="BO1511" s="25"/>
      <c r="BP1511" s="25"/>
      <c r="BQ1511" s="25"/>
      <c r="BR1511" s="25"/>
      <c r="BS1511" s="25"/>
      <c r="BT1511" s="25"/>
      <c r="BU1511" s="25"/>
      <c r="BV1511" s="25"/>
      <c r="BW1511" s="25"/>
      <c r="BX1511" s="25"/>
      <c r="BY1511" s="25"/>
      <c r="BZ1511" s="25"/>
      <c r="CA1511" s="25"/>
      <c r="CB1511" s="25"/>
      <c r="CC1511" s="25"/>
      <c r="CD1511" s="25"/>
      <c r="CE1511" s="200"/>
      <c r="CF1511" s="200"/>
      <c r="CG1511" s="200"/>
      <c r="CH1511" s="200"/>
      <c r="CI1511" s="200"/>
      <c r="CJ1511" s="200"/>
      <c r="CK1511" s="200"/>
      <c r="CL1511" s="200"/>
      <c r="CM1511" s="200"/>
      <c r="CN1511" s="200"/>
      <c r="CO1511" s="200"/>
      <c r="CP1511" s="200"/>
      <c r="CQ1511" s="200"/>
      <c r="CR1511" s="200"/>
      <c r="CS1511" s="200"/>
      <c r="CT1511" s="200"/>
      <c r="CU1511" s="200"/>
    </row>
    <row r="1512" spans="1:99" s="17" customFormat="1" x14ac:dyDescent="0.2">
      <c r="A1512" s="25"/>
      <c r="B1512" s="20">
        <v>39013011300</v>
      </c>
      <c r="C1512" s="20">
        <v>113</v>
      </c>
      <c r="D1512" s="20" t="s">
        <v>13</v>
      </c>
      <c r="E1512" s="20" t="s">
        <v>2841</v>
      </c>
      <c r="F1512" s="20" t="s">
        <v>8</v>
      </c>
      <c r="G1512" s="861">
        <v>50.133976169915996</v>
      </c>
      <c r="H1512" s="861">
        <v>42.306657568982899</v>
      </c>
      <c r="I1512" s="861">
        <v>34.082913685735001</v>
      </c>
      <c r="J1512" s="861">
        <v>38.230989248565997</v>
      </c>
      <c r="K1512" s="982">
        <v>0</v>
      </c>
      <c r="L1512" s="735">
        <v>3885</v>
      </c>
      <c r="M1512" s="735">
        <v>3694</v>
      </c>
      <c r="N1512" s="845">
        <f t="shared" si="128"/>
        <v>-4.9163449163449162E-2</v>
      </c>
      <c r="O1512" s="735">
        <v>2.6273908261300862</v>
      </c>
      <c r="P1512" s="735">
        <f t="shared" si="129"/>
        <v>1405.9575618755337</v>
      </c>
      <c r="Q1512" s="849">
        <v>45.8</v>
      </c>
      <c r="R1512" s="71">
        <v>54258</v>
      </c>
      <c r="S1512" s="845">
        <v>9.9692823233733588E-2</v>
      </c>
      <c r="T1512" s="845">
        <v>1.8000000000000002E-2</v>
      </c>
      <c r="U1512" s="845">
        <v>0</v>
      </c>
      <c r="V1512" s="845">
        <v>0.10099999999999999</v>
      </c>
      <c r="W1512" s="845">
        <v>0.30661809350333941</v>
      </c>
      <c r="X1512" s="845">
        <v>0.28316831683168314</v>
      </c>
      <c r="Y1512" s="845">
        <v>0.96426637791012448</v>
      </c>
      <c r="Z1512" s="845">
        <v>0</v>
      </c>
      <c r="AA1512" s="845">
        <v>0</v>
      </c>
      <c r="AB1512" s="845">
        <v>4.0606388738494859E-3</v>
      </c>
      <c r="AC1512" s="845">
        <v>0</v>
      </c>
      <c r="AD1512" s="845">
        <v>0</v>
      </c>
      <c r="AE1512" s="845">
        <v>3.1672983216025991E-2</v>
      </c>
      <c r="AF1512" s="845">
        <v>0</v>
      </c>
      <c r="AG1512" s="845">
        <v>0.96426637791012448</v>
      </c>
      <c r="AH1512" s="20" t="str">
        <f t="shared" si="130"/>
        <v>Yes</v>
      </c>
      <c r="AI1512" s="25"/>
      <c r="AJ1512" s="37">
        <v>44683</v>
      </c>
      <c r="AK1512" s="37" t="s">
        <v>1440</v>
      </c>
      <c r="AL1512" s="37">
        <v>39157</v>
      </c>
      <c r="AM1512" s="37" t="s">
        <v>84</v>
      </c>
      <c r="AN1512" s="37" t="str">
        <f t="shared" si="131"/>
        <v>N/A</v>
      </c>
      <c r="AO1512" s="37" t="str">
        <f t="shared" si="132"/>
        <v>N/A</v>
      </c>
      <c r="AP1512" s="37" t="s">
        <v>8</v>
      </c>
      <c r="AQ1512" s="25"/>
      <c r="AR1512" s="25"/>
      <c r="AS1512" s="25"/>
      <c r="AT1512" s="25"/>
      <c r="AU1512" s="36"/>
      <c r="AV1512" s="36"/>
      <c r="AW1512" s="36"/>
      <c r="AX1512" s="25"/>
      <c r="AY1512" s="25"/>
      <c r="AZ1512" s="25"/>
      <c r="BA1512" s="25"/>
      <c r="BB1512" s="25"/>
      <c r="BC1512" s="25"/>
      <c r="BD1512" s="25"/>
      <c r="BE1512" s="25"/>
      <c r="BF1512" s="25"/>
      <c r="BG1512" s="25"/>
      <c r="BH1512" s="25"/>
      <c r="BI1512" s="25"/>
      <c r="BJ1512" s="25"/>
      <c r="BK1512" s="25"/>
      <c r="BL1512" s="25"/>
      <c r="BM1512" s="25"/>
      <c r="BN1512" s="25"/>
      <c r="BO1512" s="25"/>
      <c r="BP1512" s="25"/>
      <c r="BQ1512" s="25"/>
      <c r="BR1512" s="25"/>
      <c r="BS1512" s="25"/>
      <c r="BT1512" s="25"/>
      <c r="BU1512" s="25"/>
      <c r="BV1512" s="25"/>
      <c r="BW1512" s="25"/>
      <c r="BX1512" s="25"/>
      <c r="BY1512" s="25"/>
      <c r="BZ1512" s="25"/>
      <c r="CA1512" s="25"/>
      <c r="CB1512" s="25"/>
      <c r="CC1512" s="25"/>
      <c r="CD1512" s="25"/>
      <c r="CE1512" s="200"/>
      <c r="CF1512" s="200"/>
      <c r="CG1512" s="200"/>
      <c r="CH1512" s="200"/>
      <c r="CI1512" s="200"/>
      <c r="CJ1512" s="200"/>
      <c r="CK1512" s="200"/>
      <c r="CL1512" s="200"/>
      <c r="CM1512" s="200"/>
      <c r="CN1512" s="200"/>
      <c r="CO1512" s="200"/>
      <c r="CP1512" s="200"/>
      <c r="CQ1512" s="200"/>
      <c r="CR1512" s="200"/>
      <c r="CS1512" s="200"/>
      <c r="CT1512" s="200"/>
      <c r="CU1512" s="200"/>
    </row>
    <row r="1513" spans="1:99" s="17" customFormat="1" x14ac:dyDescent="0.2">
      <c r="A1513" s="25"/>
      <c r="B1513" s="20">
        <v>39165031100</v>
      </c>
      <c r="C1513" s="20">
        <v>311</v>
      </c>
      <c r="D1513" s="20" t="s">
        <v>88</v>
      </c>
      <c r="E1513" s="20" t="s">
        <v>2828</v>
      </c>
      <c r="F1513" s="20" t="s">
        <v>8</v>
      </c>
      <c r="G1513" s="861">
        <v>50.125817205732901</v>
      </c>
      <c r="H1513" s="861">
        <v>62.854120808729803</v>
      </c>
      <c r="I1513" s="861">
        <v>15.132640939487001</v>
      </c>
      <c r="J1513" s="861">
        <v>46.2944255218259</v>
      </c>
      <c r="K1513" s="982">
        <v>0</v>
      </c>
      <c r="L1513" s="735">
        <v>3723</v>
      </c>
      <c r="M1513" s="735">
        <v>4020</v>
      </c>
      <c r="N1513" s="845">
        <f t="shared" si="128"/>
        <v>7.9774375503626108E-2</v>
      </c>
      <c r="O1513" s="735">
        <v>52.334205503360401</v>
      </c>
      <c r="P1513" s="735">
        <f t="shared" si="129"/>
        <v>76.814006467373886</v>
      </c>
      <c r="Q1513" s="849">
        <v>44.4</v>
      </c>
      <c r="R1513" s="71">
        <v>103333</v>
      </c>
      <c r="S1513" s="845">
        <v>2.8109452736318409E-2</v>
      </c>
      <c r="T1513" s="845">
        <v>3.0000000000000001E-3</v>
      </c>
      <c r="U1513" s="845">
        <v>0</v>
      </c>
      <c r="V1513" s="845">
        <v>0.44299999999999995</v>
      </c>
      <c r="W1513" s="845">
        <v>6.1893203883495146E-2</v>
      </c>
      <c r="X1513" s="845">
        <v>0.26470588235294118</v>
      </c>
      <c r="Y1513" s="845">
        <v>0.91990049751243785</v>
      </c>
      <c r="Z1513" s="845">
        <v>2.2388059701492539E-3</v>
      </c>
      <c r="AA1513" s="845">
        <v>7.7114427860696519E-3</v>
      </c>
      <c r="AB1513" s="845">
        <v>0</v>
      </c>
      <c r="AC1513" s="845">
        <v>0</v>
      </c>
      <c r="AD1513" s="845">
        <v>2.4875621890547265E-2</v>
      </c>
      <c r="AE1513" s="845">
        <v>4.5273631840796018E-2</v>
      </c>
      <c r="AF1513" s="845">
        <v>7.3134328358208961E-2</v>
      </c>
      <c r="AG1513" s="845">
        <v>0.89104477611940303</v>
      </c>
      <c r="AH1513" s="20" t="str">
        <f t="shared" si="130"/>
        <v>No</v>
      </c>
      <c r="AI1513" s="25"/>
      <c r="AJ1513" s="37">
        <v>44697</v>
      </c>
      <c r="AK1513" s="37" t="s">
        <v>1449</v>
      </c>
      <c r="AL1513" s="37">
        <v>39157</v>
      </c>
      <c r="AM1513" s="37" t="s">
        <v>84</v>
      </c>
      <c r="AN1513" s="37" t="str">
        <f t="shared" si="131"/>
        <v>N/A</v>
      </c>
      <c r="AO1513" s="37" t="str">
        <f t="shared" si="132"/>
        <v>N/A</v>
      </c>
      <c r="AP1513" s="37" t="s">
        <v>8</v>
      </c>
      <c r="AQ1513" s="25"/>
      <c r="AR1513" s="25"/>
      <c r="AS1513" s="25"/>
      <c r="AT1513" s="25"/>
      <c r="AU1513" s="36"/>
      <c r="AV1513" s="36"/>
      <c r="AW1513" s="36"/>
      <c r="AX1513" s="25"/>
      <c r="AY1513" s="25"/>
      <c r="AZ1513" s="25"/>
      <c r="BA1513" s="25"/>
      <c r="BB1513" s="25"/>
      <c r="BC1513" s="25"/>
      <c r="BD1513" s="25"/>
      <c r="BE1513" s="25"/>
      <c r="BF1513" s="25"/>
      <c r="BG1513" s="25"/>
      <c r="BH1513" s="25"/>
      <c r="BI1513" s="25"/>
      <c r="BJ1513" s="25"/>
      <c r="BK1513" s="25"/>
      <c r="BL1513" s="25"/>
      <c r="BM1513" s="25"/>
      <c r="BN1513" s="25"/>
      <c r="BO1513" s="25"/>
      <c r="BP1513" s="25"/>
      <c r="BQ1513" s="25"/>
      <c r="BR1513" s="25"/>
      <c r="BS1513" s="25"/>
      <c r="BT1513" s="25"/>
      <c r="BU1513" s="25"/>
      <c r="BV1513" s="25"/>
      <c r="BW1513" s="25"/>
      <c r="BX1513" s="25"/>
      <c r="BY1513" s="25"/>
      <c r="BZ1513" s="25"/>
      <c r="CA1513" s="25"/>
      <c r="CB1513" s="25"/>
      <c r="CC1513" s="25"/>
      <c r="CD1513" s="25"/>
      <c r="CE1513" s="200"/>
      <c r="CF1513" s="200"/>
      <c r="CG1513" s="200"/>
      <c r="CH1513" s="200"/>
      <c r="CI1513" s="200"/>
      <c r="CJ1513" s="200"/>
      <c r="CK1513" s="200"/>
      <c r="CL1513" s="200"/>
      <c r="CM1513" s="200"/>
      <c r="CN1513" s="200"/>
      <c r="CO1513" s="200"/>
      <c r="CP1513" s="200"/>
      <c r="CQ1513" s="200"/>
      <c r="CR1513" s="200"/>
      <c r="CS1513" s="200"/>
      <c r="CT1513" s="200"/>
      <c r="CU1513" s="200"/>
    </row>
    <row r="1514" spans="1:99" s="17" customFormat="1" x14ac:dyDescent="0.2">
      <c r="A1514" s="25"/>
      <c r="B1514" s="20">
        <v>39035190502</v>
      </c>
      <c r="C1514" s="20">
        <v>1905.02</v>
      </c>
      <c r="D1514" s="20" t="s">
        <v>24</v>
      </c>
      <c r="E1514" s="20" t="s">
        <v>2829</v>
      </c>
      <c r="F1514" s="20" t="s">
        <v>8</v>
      </c>
      <c r="G1514" s="861">
        <v>50.122318684123996</v>
      </c>
      <c r="H1514" s="861">
        <v>41.667010533203303</v>
      </c>
      <c r="I1514" s="861">
        <v>59.839473111018002</v>
      </c>
      <c r="J1514" s="861">
        <v>44.9389453085439</v>
      </c>
      <c r="K1514" s="982">
        <v>0</v>
      </c>
      <c r="L1514" s="735">
        <v>2242</v>
      </c>
      <c r="M1514" s="735">
        <v>2056</v>
      </c>
      <c r="N1514" s="845">
        <f t="shared" si="128"/>
        <v>-8.2961641391614632E-2</v>
      </c>
      <c r="O1514" s="735">
        <v>2.6689798201428809</v>
      </c>
      <c r="P1514" s="735">
        <f t="shared" si="129"/>
        <v>770.33178912905169</v>
      </c>
      <c r="Q1514" s="849">
        <v>67.5</v>
      </c>
      <c r="R1514" s="71">
        <v>55721</v>
      </c>
      <c r="S1514" s="845">
        <v>6.9140823589222161E-2</v>
      </c>
      <c r="T1514" s="845">
        <v>0</v>
      </c>
      <c r="U1514" s="845">
        <v>2.4E-2</v>
      </c>
      <c r="V1514" s="845">
        <v>0.115</v>
      </c>
      <c r="W1514" s="845">
        <v>0.17367601246105918</v>
      </c>
      <c r="X1514" s="845">
        <v>0.77578475336322872</v>
      </c>
      <c r="Y1514" s="845">
        <v>0.9518482490272373</v>
      </c>
      <c r="Z1514" s="845">
        <v>1.7996108949416341E-2</v>
      </c>
      <c r="AA1514" s="845">
        <v>0</v>
      </c>
      <c r="AB1514" s="845">
        <v>8.7548638132295721E-3</v>
      </c>
      <c r="AC1514" s="845">
        <v>0</v>
      </c>
      <c r="AD1514" s="845">
        <v>0</v>
      </c>
      <c r="AE1514" s="845">
        <v>2.1400778210116732E-2</v>
      </c>
      <c r="AF1514" s="845">
        <v>1.9455252918287938E-3</v>
      </c>
      <c r="AG1514" s="845">
        <v>0.9518482490272373</v>
      </c>
      <c r="AH1514" s="20" t="str">
        <f t="shared" si="130"/>
        <v>Yes</v>
      </c>
      <c r="AI1514" s="25"/>
      <c r="AJ1514" s="37">
        <v>44699</v>
      </c>
      <c r="AK1514" s="37" t="s">
        <v>1450</v>
      </c>
      <c r="AL1514" s="37">
        <v>39157</v>
      </c>
      <c r="AM1514" s="37" t="s">
        <v>84</v>
      </c>
      <c r="AN1514" s="37" t="str">
        <f t="shared" si="131"/>
        <v>N/A</v>
      </c>
      <c r="AO1514" s="37" t="str">
        <f t="shared" si="132"/>
        <v>N/A</v>
      </c>
      <c r="AP1514" s="37" t="s">
        <v>8</v>
      </c>
      <c r="AQ1514" s="25"/>
      <c r="AR1514" s="25"/>
      <c r="AS1514" s="25"/>
      <c r="AT1514" s="25"/>
      <c r="AU1514" s="36"/>
      <c r="AV1514" s="36"/>
      <c r="AW1514" s="36"/>
      <c r="AX1514" s="25"/>
      <c r="AY1514" s="25"/>
      <c r="AZ1514" s="25"/>
      <c r="BA1514" s="25"/>
      <c r="BB1514" s="25"/>
      <c r="BC1514" s="25"/>
      <c r="BD1514" s="25"/>
      <c r="BE1514" s="25"/>
      <c r="BF1514" s="25"/>
      <c r="BG1514" s="25"/>
      <c r="BH1514" s="25"/>
      <c r="BI1514" s="25"/>
      <c r="BJ1514" s="25"/>
      <c r="BK1514" s="25"/>
      <c r="BL1514" s="25"/>
      <c r="BM1514" s="25"/>
      <c r="BN1514" s="25"/>
      <c r="BO1514" s="25"/>
      <c r="BP1514" s="25"/>
      <c r="BQ1514" s="25"/>
      <c r="BR1514" s="25"/>
      <c r="BS1514" s="25"/>
      <c r="BT1514" s="25"/>
      <c r="BU1514" s="25"/>
      <c r="BV1514" s="25"/>
      <c r="BW1514" s="25"/>
      <c r="BX1514" s="25"/>
      <c r="BY1514" s="25"/>
      <c r="BZ1514" s="25"/>
      <c r="CA1514" s="25"/>
      <c r="CB1514" s="25"/>
      <c r="CC1514" s="25"/>
      <c r="CD1514" s="25"/>
      <c r="CE1514" s="200"/>
      <c r="CF1514" s="200"/>
      <c r="CG1514" s="200"/>
      <c r="CH1514" s="200"/>
      <c r="CI1514" s="200"/>
      <c r="CJ1514" s="200"/>
      <c r="CK1514" s="200"/>
      <c r="CL1514" s="200"/>
      <c r="CM1514" s="200"/>
      <c r="CN1514" s="200"/>
      <c r="CO1514" s="200"/>
      <c r="CP1514" s="200"/>
      <c r="CQ1514" s="200"/>
      <c r="CR1514" s="200"/>
      <c r="CS1514" s="200"/>
      <c r="CT1514" s="200"/>
      <c r="CU1514" s="200"/>
    </row>
    <row r="1515" spans="1:99" s="17" customFormat="1" x14ac:dyDescent="0.2">
      <c r="A1515" s="25"/>
      <c r="B1515" s="20">
        <v>39063000600</v>
      </c>
      <c r="C1515" s="20">
        <v>6</v>
      </c>
      <c r="D1515" s="20" t="s">
        <v>38</v>
      </c>
      <c r="E1515" s="20" t="s">
        <v>265</v>
      </c>
      <c r="F1515" s="20" t="s">
        <v>8</v>
      </c>
      <c r="G1515" s="861">
        <v>50.105787023608698</v>
      </c>
      <c r="H1515" s="861">
        <v>42.314764935033601</v>
      </c>
      <c r="I1515" s="861">
        <v>33.561607862021702</v>
      </c>
      <c r="J1515" s="861">
        <v>31.5338598527361</v>
      </c>
      <c r="K1515" s="982">
        <v>0</v>
      </c>
      <c r="L1515" s="735">
        <v>7026</v>
      </c>
      <c r="M1515" s="735">
        <v>5900</v>
      </c>
      <c r="N1515" s="845">
        <f t="shared" si="128"/>
        <v>-0.16026188442926273</v>
      </c>
      <c r="O1515" s="735">
        <v>4.0788897675673113</v>
      </c>
      <c r="P1515" s="735">
        <f t="shared" si="129"/>
        <v>1446.4720392575884</v>
      </c>
      <c r="Q1515" s="849">
        <v>50.7</v>
      </c>
      <c r="R1515" s="71">
        <v>44844</v>
      </c>
      <c r="S1515" s="845">
        <v>0.19</v>
      </c>
      <c r="T1515" s="845">
        <v>2.7999999999999997E-2</v>
      </c>
      <c r="U1515" s="845">
        <v>2.7000000000000003E-2</v>
      </c>
      <c r="V1515" s="845">
        <v>0</v>
      </c>
      <c r="W1515" s="845">
        <v>0.44590867300030645</v>
      </c>
      <c r="X1515" s="845">
        <v>0.39037800687285223</v>
      </c>
      <c r="Y1515" s="845">
        <v>0.8376271186440678</v>
      </c>
      <c r="Z1515" s="845">
        <v>2.0677966101694915E-2</v>
      </c>
      <c r="AA1515" s="845">
        <v>0</v>
      </c>
      <c r="AB1515" s="845">
        <v>4.711864406779661E-2</v>
      </c>
      <c r="AC1515" s="845">
        <v>0</v>
      </c>
      <c r="AD1515" s="845">
        <v>4.3220338983050846E-2</v>
      </c>
      <c r="AE1515" s="845">
        <v>5.1355932203389833E-2</v>
      </c>
      <c r="AF1515" s="845">
        <v>8.6271186440677966E-2</v>
      </c>
      <c r="AG1515" s="845">
        <v>0.81542372881355929</v>
      </c>
      <c r="AH1515" s="20" t="str">
        <f t="shared" si="130"/>
        <v>No</v>
      </c>
      <c r="AI1515" s="25"/>
      <c r="AJ1515" s="37">
        <v>45832</v>
      </c>
      <c r="AK1515" s="37" t="s">
        <v>1902</v>
      </c>
      <c r="AL1515" s="37">
        <v>39161</v>
      </c>
      <c r="AM1515" s="37" t="s">
        <v>86</v>
      </c>
      <c r="AN1515" s="37" t="str">
        <f t="shared" si="131"/>
        <v>N/A</v>
      </c>
      <c r="AO1515" s="37" t="str">
        <f t="shared" si="132"/>
        <v>N/A</v>
      </c>
      <c r="AP1515" s="37" t="s">
        <v>8</v>
      </c>
      <c r="AQ1515" s="25"/>
      <c r="AR1515" s="25"/>
      <c r="AS1515" s="25"/>
      <c r="AT1515" s="25"/>
      <c r="AU1515" s="36"/>
      <c r="AV1515" s="36"/>
      <c r="AW1515" s="36"/>
      <c r="AX1515" s="25"/>
      <c r="AY1515" s="25"/>
      <c r="AZ1515" s="25"/>
      <c r="BA1515" s="25"/>
      <c r="BB1515" s="25"/>
      <c r="BC1515" s="25"/>
      <c r="BD1515" s="25"/>
      <c r="BE1515" s="25"/>
      <c r="BF1515" s="25"/>
      <c r="BG1515" s="25"/>
      <c r="BH1515" s="25"/>
      <c r="BI1515" s="25"/>
      <c r="BJ1515" s="25"/>
      <c r="BK1515" s="25"/>
      <c r="BL1515" s="25"/>
      <c r="BM1515" s="25"/>
      <c r="BN1515" s="25"/>
      <c r="BO1515" s="25"/>
      <c r="BP1515" s="25"/>
      <c r="BQ1515" s="25"/>
      <c r="BR1515" s="25"/>
      <c r="BS1515" s="25"/>
      <c r="BT1515" s="25"/>
      <c r="BU1515" s="25"/>
      <c r="BV1515" s="25"/>
      <c r="BW1515" s="25"/>
      <c r="BX1515" s="25"/>
      <c r="BY1515" s="25"/>
      <c r="BZ1515" s="25"/>
      <c r="CA1515" s="25"/>
      <c r="CB1515" s="25"/>
      <c r="CC1515" s="25"/>
      <c r="CD1515" s="25"/>
      <c r="CE1515" s="200"/>
      <c r="CF1515" s="200"/>
      <c r="CG1515" s="200"/>
      <c r="CH1515" s="200"/>
      <c r="CI1515" s="200"/>
      <c r="CJ1515" s="200"/>
      <c r="CK1515" s="200"/>
      <c r="CL1515" s="200"/>
      <c r="CM1515" s="200"/>
      <c r="CN1515" s="200"/>
      <c r="CO1515" s="200"/>
      <c r="CP1515" s="200"/>
      <c r="CQ1515" s="200"/>
      <c r="CR1515" s="200"/>
      <c r="CS1515" s="200"/>
      <c r="CT1515" s="200"/>
      <c r="CU1515" s="200"/>
    </row>
    <row r="1516" spans="1:99" s="17" customFormat="1" x14ac:dyDescent="0.2">
      <c r="A1516" s="25"/>
      <c r="B1516" s="20">
        <v>39045031200</v>
      </c>
      <c r="C1516" s="20">
        <v>312</v>
      </c>
      <c r="D1516" s="20" t="s">
        <v>29</v>
      </c>
      <c r="E1516" s="20" t="s">
        <v>2830</v>
      </c>
      <c r="F1516" s="20" t="s">
        <v>8</v>
      </c>
      <c r="G1516" s="861">
        <v>50.097072426872401</v>
      </c>
      <c r="H1516" s="861">
        <v>50.999298553620598</v>
      </c>
      <c r="I1516" s="861">
        <v>25.671417537268699</v>
      </c>
      <c r="J1516" s="861">
        <v>49.131652460957397</v>
      </c>
      <c r="K1516" s="982">
        <v>0</v>
      </c>
      <c r="L1516" s="735">
        <v>4949</v>
      </c>
      <c r="M1516" s="735">
        <v>5023</v>
      </c>
      <c r="N1516" s="845">
        <f t="shared" si="128"/>
        <v>1.4952515659729238E-2</v>
      </c>
      <c r="O1516" s="735">
        <v>42.651333252645706</v>
      </c>
      <c r="P1516" s="735">
        <f t="shared" si="129"/>
        <v>117.76888591609075</v>
      </c>
      <c r="Q1516" s="849">
        <v>43.9</v>
      </c>
      <c r="R1516" s="71">
        <v>77017</v>
      </c>
      <c r="S1516" s="845">
        <v>0.11810551558752998</v>
      </c>
      <c r="T1516" s="845">
        <v>3.4000000000000002E-2</v>
      </c>
      <c r="U1516" s="845">
        <v>0</v>
      </c>
      <c r="V1516" s="845">
        <v>1.2E-2</v>
      </c>
      <c r="W1516" s="845">
        <v>0.15884115884115885</v>
      </c>
      <c r="X1516" s="845">
        <v>0.45597484276729561</v>
      </c>
      <c r="Y1516" s="845">
        <v>0.97431813657176991</v>
      </c>
      <c r="Z1516" s="845">
        <v>1.9908421262193908E-4</v>
      </c>
      <c r="AA1516" s="845">
        <v>0</v>
      </c>
      <c r="AB1516" s="845">
        <v>5.9725263786581729E-4</v>
      </c>
      <c r="AC1516" s="845">
        <v>3.1853474019510252E-3</v>
      </c>
      <c r="AD1516" s="845">
        <v>4.977105315548477E-3</v>
      </c>
      <c r="AE1516" s="845">
        <v>1.6723073860242882E-2</v>
      </c>
      <c r="AF1516" s="845">
        <v>7.9633685048775636E-3</v>
      </c>
      <c r="AG1516" s="845">
        <v>0.97431813657176991</v>
      </c>
      <c r="AH1516" s="20" t="str">
        <f t="shared" si="130"/>
        <v>Yes</v>
      </c>
      <c r="AI1516" s="25"/>
      <c r="AJ1516" s="37">
        <v>45833</v>
      </c>
      <c r="AK1516" s="37" t="s">
        <v>1903</v>
      </c>
      <c r="AL1516" s="37">
        <v>39161</v>
      </c>
      <c r="AM1516" s="37" t="s">
        <v>86</v>
      </c>
      <c r="AN1516" s="37" t="str">
        <f t="shared" si="131"/>
        <v>N/A</v>
      </c>
      <c r="AO1516" s="37" t="str">
        <f t="shared" si="132"/>
        <v>N/A</v>
      </c>
      <c r="AP1516" s="37" t="s">
        <v>8</v>
      </c>
      <c r="AQ1516" s="25"/>
      <c r="AR1516" s="25"/>
      <c r="AS1516" s="25"/>
      <c r="AT1516" s="25"/>
      <c r="AU1516" s="36"/>
      <c r="AV1516" s="36"/>
      <c r="AW1516" s="36"/>
      <c r="AX1516" s="25"/>
      <c r="AY1516" s="25"/>
      <c r="AZ1516" s="25"/>
      <c r="BA1516" s="25"/>
      <c r="BB1516" s="25"/>
      <c r="BC1516" s="25"/>
      <c r="BD1516" s="25"/>
      <c r="BE1516" s="25"/>
      <c r="BF1516" s="25"/>
      <c r="BG1516" s="25"/>
      <c r="BH1516" s="25"/>
      <c r="BI1516" s="25"/>
      <c r="BJ1516" s="25"/>
      <c r="BK1516" s="25"/>
      <c r="BL1516" s="25"/>
      <c r="BM1516" s="25"/>
      <c r="BN1516" s="25"/>
      <c r="BO1516" s="25"/>
      <c r="BP1516" s="25"/>
      <c r="BQ1516" s="25"/>
      <c r="BR1516" s="25"/>
      <c r="BS1516" s="25"/>
      <c r="BT1516" s="25"/>
      <c r="BU1516" s="25"/>
      <c r="BV1516" s="25"/>
      <c r="BW1516" s="25"/>
      <c r="BX1516" s="25"/>
      <c r="BY1516" s="25"/>
      <c r="BZ1516" s="25"/>
      <c r="CA1516" s="25"/>
      <c r="CB1516" s="25"/>
      <c r="CC1516" s="25"/>
      <c r="CD1516" s="25"/>
      <c r="CE1516" s="200"/>
      <c r="CF1516" s="200"/>
      <c r="CG1516" s="200"/>
      <c r="CH1516" s="200"/>
      <c r="CI1516" s="200"/>
      <c r="CJ1516" s="200"/>
      <c r="CK1516" s="200"/>
      <c r="CL1516" s="200"/>
      <c r="CM1516" s="200"/>
      <c r="CN1516" s="200"/>
      <c r="CO1516" s="200"/>
      <c r="CP1516" s="200"/>
      <c r="CQ1516" s="200"/>
      <c r="CR1516" s="200"/>
      <c r="CS1516" s="200"/>
      <c r="CT1516" s="200"/>
      <c r="CU1516" s="200"/>
    </row>
    <row r="1517" spans="1:99" s="17" customFormat="1" x14ac:dyDescent="0.2">
      <c r="A1517" s="25"/>
      <c r="B1517" s="20">
        <v>39091003900</v>
      </c>
      <c r="C1517" s="20">
        <v>39</v>
      </c>
      <c r="D1517" s="20" t="s">
        <v>51</v>
      </c>
      <c r="E1517" s="20" t="s">
        <v>265</v>
      </c>
      <c r="F1517" s="20" t="s">
        <v>8</v>
      </c>
      <c r="G1517" s="861">
        <v>50.079640544471999</v>
      </c>
      <c r="H1517" s="861">
        <v>56.028714061180303</v>
      </c>
      <c r="I1517" s="861">
        <v>17.628731121868</v>
      </c>
      <c r="J1517" s="861">
        <v>43.742645577882598</v>
      </c>
      <c r="K1517" s="982">
        <v>0</v>
      </c>
      <c r="L1517" s="735">
        <v>4615</v>
      </c>
      <c r="M1517" s="735">
        <v>4137</v>
      </c>
      <c r="N1517" s="845">
        <f t="shared" si="128"/>
        <v>-0.10357529794149513</v>
      </c>
      <c r="O1517" s="735">
        <v>65.225756963031003</v>
      </c>
      <c r="P1517" s="735">
        <f t="shared" si="129"/>
        <v>63.425864146655904</v>
      </c>
      <c r="Q1517" s="849">
        <v>41.3</v>
      </c>
      <c r="R1517" s="71">
        <v>70980</v>
      </c>
      <c r="S1517" s="845">
        <v>9.8385093167701859E-2</v>
      </c>
      <c r="T1517" s="845">
        <v>1.3999999999999999E-2</v>
      </c>
      <c r="U1517" s="845">
        <v>4.2999999999999997E-2</v>
      </c>
      <c r="V1517" s="845">
        <v>0.01</v>
      </c>
      <c r="W1517" s="845">
        <v>0.12833545108005082</v>
      </c>
      <c r="X1517" s="845">
        <v>0.19801980198019803</v>
      </c>
      <c r="Y1517" s="845">
        <v>0.97341068407058251</v>
      </c>
      <c r="Z1517" s="845">
        <v>3.1423737007493352E-3</v>
      </c>
      <c r="AA1517" s="845">
        <v>0</v>
      </c>
      <c r="AB1517" s="845">
        <v>7.0099105632100553E-3</v>
      </c>
      <c r="AC1517" s="845">
        <v>0</v>
      </c>
      <c r="AD1517" s="845">
        <v>5.5595842397872857E-3</v>
      </c>
      <c r="AE1517" s="845">
        <v>1.0877447425670777E-2</v>
      </c>
      <c r="AF1517" s="845">
        <v>1.3536379018612521E-2</v>
      </c>
      <c r="AG1517" s="845">
        <v>0.95987430505197002</v>
      </c>
      <c r="AH1517" s="20" t="str">
        <f t="shared" si="130"/>
        <v>Yes</v>
      </c>
      <c r="AI1517" s="25"/>
      <c r="AJ1517" s="37">
        <v>45838</v>
      </c>
      <c r="AK1517" s="37" t="s">
        <v>1906</v>
      </c>
      <c r="AL1517" s="37">
        <v>39161</v>
      </c>
      <c r="AM1517" s="37" t="s">
        <v>86</v>
      </c>
      <c r="AN1517" s="37" t="str">
        <f t="shared" si="131"/>
        <v>N/A</v>
      </c>
      <c r="AO1517" s="37" t="str">
        <f t="shared" si="132"/>
        <v>N/A</v>
      </c>
      <c r="AP1517" s="37" t="s">
        <v>8</v>
      </c>
      <c r="AQ1517" s="25"/>
      <c r="AR1517" s="25"/>
      <c r="AS1517" s="25"/>
      <c r="AT1517" s="25"/>
      <c r="AU1517" s="36"/>
      <c r="AV1517" s="36"/>
      <c r="AW1517" s="36"/>
      <c r="AX1517" s="25"/>
      <c r="AY1517" s="25"/>
      <c r="AZ1517" s="25"/>
      <c r="BA1517" s="25"/>
      <c r="BB1517" s="25"/>
      <c r="BC1517" s="25"/>
      <c r="BD1517" s="25"/>
      <c r="BE1517" s="25"/>
      <c r="BF1517" s="25"/>
      <c r="BG1517" s="25"/>
      <c r="BH1517" s="25"/>
      <c r="BI1517" s="25"/>
      <c r="BJ1517" s="25"/>
      <c r="BK1517" s="25"/>
      <c r="BL1517" s="25"/>
      <c r="BM1517" s="25"/>
      <c r="BN1517" s="25"/>
      <c r="BO1517" s="25"/>
      <c r="BP1517" s="25"/>
      <c r="BQ1517" s="25"/>
      <c r="BR1517" s="25"/>
      <c r="BS1517" s="25"/>
      <c r="BT1517" s="25"/>
      <c r="BU1517" s="25"/>
      <c r="BV1517" s="25"/>
      <c r="BW1517" s="25"/>
      <c r="BX1517" s="25"/>
      <c r="BY1517" s="25"/>
      <c r="BZ1517" s="25"/>
      <c r="CA1517" s="25"/>
      <c r="CB1517" s="25"/>
      <c r="CC1517" s="25"/>
      <c r="CD1517" s="25"/>
      <c r="CE1517" s="200"/>
      <c r="CF1517" s="200"/>
      <c r="CG1517" s="200"/>
      <c r="CH1517" s="200"/>
      <c r="CI1517" s="200"/>
      <c r="CJ1517" s="200"/>
      <c r="CK1517" s="200"/>
      <c r="CL1517" s="200"/>
      <c r="CM1517" s="200"/>
      <c r="CN1517" s="200"/>
      <c r="CO1517" s="200"/>
      <c r="CP1517" s="200"/>
      <c r="CQ1517" s="200"/>
      <c r="CR1517" s="200"/>
      <c r="CS1517" s="200"/>
      <c r="CT1517" s="200"/>
      <c r="CU1517" s="200"/>
    </row>
    <row r="1518" spans="1:99" s="17" customFormat="1" x14ac:dyDescent="0.2">
      <c r="A1518" s="25"/>
      <c r="B1518" s="20">
        <v>39087050800</v>
      </c>
      <c r="C1518" s="20">
        <v>508</v>
      </c>
      <c r="D1518" s="20" t="s">
        <v>49</v>
      </c>
      <c r="E1518" s="20" t="s">
        <v>2834</v>
      </c>
      <c r="F1518" s="20" t="s">
        <v>8</v>
      </c>
      <c r="G1518" s="861">
        <v>50.075070716891702</v>
      </c>
      <c r="H1518" s="861">
        <v>56.572636611737998</v>
      </c>
      <c r="I1518" s="861">
        <v>39.712251145552301</v>
      </c>
      <c r="J1518" s="861">
        <v>45.3665938351823</v>
      </c>
      <c r="K1518" s="982">
        <v>0</v>
      </c>
      <c r="L1518" s="735">
        <v>3737</v>
      </c>
      <c r="M1518" s="735">
        <v>3194</v>
      </c>
      <c r="N1518" s="845">
        <f t="shared" si="128"/>
        <v>-0.14530371956114529</v>
      </c>
      <c r="O1518" s="735">
        <v>19.716657695389962</v>
      </c>
      <c r="P1518" s="735">
        <f t="shared" si="129"/>
        <v>161.99500185808893</v>
      </c>
      <c r="Q1518" s="849">
        <v>35.799999999999997</v>
      </c>
      <c r="R1518" s="71">
        <v>51875</v>
      </c>
      <c r="S1518" s="845">
        <v>0.1931747025673137</v>
      </c>
      <c r="T1518" s="845">
        <v>1.1000000000000001E-2</v>
      </c>
      <c r="U1518" s="845">
        <v>0</v>
      </c>
      <c r="V1518" s="845">
        <v>0</v>
      </c>
      <c r="W1518" s="845">
        <v>0.18042071197411003</v>
      </c>
      <c r="X1518" s="845">
        <v>0.30493273542600896</v>
      </c>
      <c r="Y1518" s="845">
        <v>0.94270507201001874</v>
      </c>
      <c r="Z1518" s="845">
        <v>3.4439574201628053E-3</v>
      </c>
      <c r="AA1518" s="845">
        <v>0</v>
      </c>
      <c r="AB1518" s="845">
        <v>0</v>
      </c>
      <c r="AC1518" s="845">
        <v>0</v>
      </c>
      <c r="AD1518" s="845">
        <v>3.2247964934251722E-2</v>
      </c>
      <c r="AE1518" s="845">
        <v>2.1603005635566688E-2</v>
      </c>
      <c r="AF1518" s="845">
        <v>1.3775829680651221E-2</v>
      </c>
      <c r="AG1518" s="845">
        <v>0.94270507201001874</v>
      </c>
      <c r="AH1518" s="20" t="str">
        <f t="shared" si="130"/>
        <v>Yes</v>
      </c>
      <c r="AI1518" s="25"/>
      <c r="AJ1518" s="37">
        <v>45844</v>
      </c>
      <c r="AK1518" s="37" t="s">
        <v>1910</v>
      </c>
      <c r="AL1518" s="37">
        <v>39161</v>
      </c>
      <c r="AM1518" s="37" t="s">
        <v>86</v>
      </c>
      <c r="AN1518" s="37" t="str">
        <f t="shared" si="131"/>
        <v>N/A</v>
      </c>
      <c r="AO1518" s="37" t="str">
        <f t="shared" si="132"/>
        <v>N/A</v>
      </c>
      <c r="AP1518" s="37" t="s">
        <v>8</v>
      </c>
      <c r="AQ1518" s="25"/>
      <c r="AR1518" s="25"/>
      <c r="AS1518" s="25"/>
      <c r="AT1518" s="25"/>
      <c r="AU1518" s="36"/>
      <c r="AV1518" s="36"/>
      <c r="AW1518" s="36"/>
      <c r="AX1518" s="25"/>
      <c r="AY1518" s="25"/>
      <c r="AZ1518" s="25"/>
      <c r="BA1518" s="25"/>
      <c r="BB1518" s="25"/>
      <c r="BC1518" s="25"/>
      <c r="BD1518" s="25"/>
      <c r="BE1518" s="25"/>
      <c r="BF1518" s="25"/>
      <c r="BG1518" s="25"/>
      <c r="BH1518" s="25"/>
      <c r="BI1518" s="25"/>
      <c r="BJ1518" s="25"/>
      <c r="BK1518" s="25"/>
      <c r="BL1518" s="25"/>
      <c r="BM1518" s="25"/>
      <c r="BN1518" s="25"/>
      <c r="BO1518" s="25"/>
      <c r="BP1518" s="25"/>
      <c r="BQ1518" s="25"/>
      <c r="BR1518" s="25"/>
      <c r="BS1518" s="25"/>
      <c r="BT1518" s="25"/>
      <c r="BU1518" s="25"/>
      <c r="BV1518" s="25"/>
      <c r="BW1518" s="25"/>
      <c r="BX1518" s="25"/>
      <c r="BY1518" s="25"/>
      <c r="BZ1518" s="25"/>
      <c r="CA1518" s="25"/>
      <c r="CB1518" s="25"/>
      <c r="CC1518" s="25"/>
      <c r="CD1518" s="25"/>
      <c r="CE1518" s="200"/>
      <c r="CF1518" s="200"/>
      <c r="CG1518" s="200"/>
      <c r="CH1518" s="200"/>
      <c r="CI1518" s="200"/>
      <c r="CJ1518" s="200"/>
      <c r="CK1518" s="200"/>
      <c r="CL1518" s="200"/>
      <c r="CM1518" s="200"/>
      <c r="CN1518" s="200"/>
      <c r="CO1518" s="200"/>
      <c r="CP1518" s="200"/>
      <c r="CQ1518" s="200"/>
      <c r="CR1518" s="200"/>
      <c r="CS1518" s="200"/>
      <c r="CT1518" s="200"/>
      <c r="CU1518" s="200"/>
    </row>
    <row r="1519" spans="1:99" s="17" customFormat="1" x14ac:dyDescent="0.2">
      <c r="A1519" s="25"/>
      <c r="B1519" s="20">
        <v>39027964800</v>
      </c>
      <c r="C1519" s="20">
        <v>9648</v>
      </c>
      <c r="D1519" s="20" t="s">
        <v>20</v>
      </c>
      <c r="E1519" s="20" t="s">
        <v>265</v>
      </c>
      <c r="F1519" s="20" t="s">
        <v>8</v>
      </c>
      <c r="G1519" s="861">
        <v>50.031975301643698</v>
      </c>
      <c r="H1519" s="861">
        <v>57.324142890685401</v>
      </c>
      <c r="I1519" s="861">
        <v>19.392030739851201</v>
      </c>
      <c r="J1519" s="861">
        <v>49.091862911382698</v>
      </c>
      <c r="K1519" s="982">
        <v>0</v>
      </c>
      <c r="L1519" s="735">
        <v>4987</v>
      </c>
      <c r="M1519" s="735">
        <v>5303</v>
      </c>
      <c r="N1519" s="845">
        <f t="shared" si="128"/>
        <v>6.3364748345698815E-2</v>
      </c>
      <c r="O1519" s="735">
        <v>48.616000789285479</v>
      </c>
      <c r="P1519" s="735">
        <f t="shared" si="129"/>
        <v>109.07931368078989</v>
      </c>
      <c r="Q1519" s="849">
        <v>41</v>
      </c>
      <c r="R1519" s="71">
        <v>79628</v>
      </c>
      <c r="S1519" s="845">
        <v>9.0137657929473883E-2</v>
      </c>
      <c r="T1519" s="845">
        <v>3.6000000000000004E-2</v>
      </c>
      <c r="U1519" s="845">
        <v>3.0000000000000001E-3</v>
      </c>
      <c r="V1519" s="845">
        <v>2.7000000000000003E-2</v>
      </c>
      <c r="W1519" s="845">
        <v>0.12906556530717606</v>
      </c>
      <c r="X1519" s="845">
        <v>0.128</v>
      </c>
      <c r="Y1519" s="845">
        <v>0.96775410145200824</v>
      </c>
      <c r="Z1519" s="845">
        <v>1.0371487837073355E-2</v>
      </c>
      <c r="AA1519" s="845">
        <v>0</v>
      </c>
      <c r="AB1519" s="845">
        <v>1.8857250612860645E-3</v>
      </c>
      <c r="AC1519" s="845">
        <v>0</v>
      </c>
      <c r="AD1519" s="845">
        <v>0</v>
      </c>
      <c r="AE1519" s="845">
        <v>1.9988685649632285E-2</v>
      </c>
      <c r="AF1519" s="845">
        <v>6.9771827267584383E-3</v>
      </c>
      <c r="AG1519" s="845">
        <v>0.9613426362436357</v>
      </c>
      <c r="AH1519" s="20" t="str">
        <f t="shared" si="130"/>
        <v>Yes</v>
      </c>
      <c r="AI1519" s="25"/>
      <c r="AJ1519" s="37">
        <v>45849</v>
      </c>
      <c r="AK1519" s="37" t="s">
        <v>1914</v>
      </c>
      <c r="AL1519" s="37">
        <v>39161</v>
      </c>
      <c r="AM1519" s="37" t="s">
        <v>86</v>
      </c>
      <c r="AN1519" s="37" t="str">
        <f t="shared" si="131"/>
        <v>N/A</v>
      </c>
      <c r="AO1519" s="37" t="str">
        <f t="shared" si="132"/>
        <v>N/A</v>
      </c>
      <c r="AP1519" s="37" t="s">
        <v>8</v>
      </c>
      <c r="AQ1519" s="25"/>
      <c r="AR1519" s="25"/>
      <c r="AS1519" s="25"/>
      <c r="AT1519" s="25"/>
      <c r="AU1519" s="36"/>
      <c r="AV1519" s="36"/>
      <c r="AW1519" s="36"/>
      <c r="AX1519" s="25"/>
      <c r="AY1519" s="25"/>
      <c r="AZ1519" s="25"/>
      <c r="BA1519" s="25"/>
      <c r="BB1519" s="25"/>
      <c r="BC1519" s="25"/>
      <c r="BD1519" s="25"/>
      <c r="BE1519" s="25"/>
      <c r="BF1519" s="25"/>
      <c r="BG1519" s="25"/>
      <c r="BH1519" s="25"/>
      <c r="BI1519" s="25"/>
      <c r="BJ1519" s="25"/>
      <c r="BK1519" s="25"/>
      <c r="BL1519" s="25"/>
      <c r="BM1519" s="25"/>
      <c r="BN1519" s="25"/>
      <c r="BO1519" s="25"/>
      <c r="BP1519" s="25"/>
      <c r="BQ1519" s="25"/>
      <c r="BR1519" s="25"/>
      <c r="BS1519" s="25"/>
      <c r="BT1519" s="25"/>
      <c r="BU1519" s="25"/>
      <c r="BV1519" s="25"/>
      <c r="BW1519" s="25"/>
      <c r="BX1519" s="25"/>
      <c r="BY1519" s="25"/>
      <c r="BZ1519" s="25"/>
      <c r="CA1519" s="25"/>
      <c r="CB1519" s="25"/>
      <c r="CC1519" s="25"/>
      <c r="CD1519" s="25"/>
      <c r="CE1519" s="200"/>
      <c r="CF1519" s="200"/>
      <c r="CG1519" s="200"/>
      <c r="CH1519" s="200"/>
      <c r="CI1519" s="200"/>
      <c r="CJ1519" s="200"/>
      <c r="CK1519" s="200"/>
      <c r="CL1519" s="200"/>
      <c r="CM1519" s="200"/>
      <c r="CN1519" s="200"/>
      <c r="CO1519" s="200"/>
      <c r="CP1519" s="200"/>
      <c r="CQ1519" s="200"/>
      <c r="CR1519" s="200"/>
      <c r="CS1519" s="200"/>
      <c r="CT1519" s="200"/>
      <c r="CU1519" s="200"/>
    </row>
    <row r="1520" spans="1:99" s="17" customFormat="1" x14ac:dyDescent="0.2">
      <c r="A1520" s="25"/>
      <c r="B1520" s="20">
        <v>39151712602</v>
      </c>
      <c r="C1520" s="20">
        <v>7126.02</v>
      </c>
      <c r="D1520" s="20" t="s">
        <v>81</v>
      </c>
      <c r="E1520" s="20" t="s">
        <v>2844</v>
      </c>
      <c r="F1520" s="20" t="s">
        <v>8</v>
      </c>
      <c r="G1520" s="861">
        <v>50.026144630410599</v>
      </c>
      <c r="H1520" s="861">
        <v>37.262809287045698</v>
      </c>
      <c r="I1520" s="861">
        <v>28.919892837162902</v>
      </c>
      <c r="J1520" s="861">
        <v>45.7895161760637</v>
      </c>
      <c r="K1520" s="982">
        <v>0</v>
      </c>
      <c r="L1520" s="735">
        <v>4732</v>
      </c>
      <c r="M1520" s="735">
        <v>5095</v>
      </c>
      <c r="N1520" s="845">
        <f t="shared" si="128"/>
        <v>7.6711749788672859E-2</v>
      </c>
      <c r="O1520" s="735">
        <v>2.7074884911344248</v>
      </c>
      <c r="P1520" s="735">
        <f t="shared" si="129"/>
        <v>1881.817786736083</v>
      </c>
      <c r="Q1520" s="849">
        <v>44.6</v>
      </c>
      <c r="R1520" s="71">
        <v>68485</v>
      </c>
      <c r="S1520" s="845">
        <v>4.9044711443766001E-2</v>
      </c>
      <c r="T1520" s="845">
        <v>1.7000000000000001E-2</v>
      </c>
      <c r="U1520" s="845">
        <v>0</v>
      </c>
      <c r="V1520" s="845">
        <v>0</v>
      </c>
      <c r="W1520" s="845">
        <v>0.26353276353276356</v>
      </c>
      <c r="X1520" s="845">
        <v>0.27747747747747747</v>
      </c>
      <c r="Y1520" s="845">
        <v>0.97409224730127575</v>
      </c>
      <c r="Z1520" s="845">
        <v>3.1403336604514231E-3</v>
      </c>
      <c r="AA1520" s="845">
        <v>2.747791952894995E-3</v>
      </c>
      <c r="AB1520" s="845">
        <v>0</v>
      </c>
      <c r="AC1520" s="845">
        <v>0</v>
      </c>
      <c r="AD1520" s="845">
        <v>6.0843964671246321E-3</v>
      </c>
      <c r="AE1520" s="845">
        <v>1.393523061825319E-2</v>
      </c>
      <c r="AF1520" s="845">
        <v>5.8881256133464181E-3</v>
      </c>
      <c r="AG1520" s="845">
        <v>0.97114818449460261</v>
      </c>
      <c r="AH1520" s="20" t="str">
        <f t="shared" si="130"/>
        <v>Yes</v>
      </c>
      <c r="AI1520" s="25"/>
      <c r="AJ1520" s="37">
        <v>45863</v>
      </c>
      <c r="AK1520" s="37" t="s">
        <v>1926</v>
      </c>
      <c r="AL1520" s="37">
        <v>39161</v>
      </c>
      <c r="AM1520" s="37" t="s">
        <v>86</v>
      </c>
      <c r="AN1520" s="37" t="str">
        <f t="shared" si="131"/>
        <v>N/A</v>
      </c>
      <c r="AO1520" s="37" t="str">
        <f t="shared" si="132"/>
        <v>N/A</v>
      </c>
      <c r="AP1520" s="37" t="s">
        <v>8</v>
      </c>
      <c r="AQ1520" s="25"/>
      <c r="AR1520" s="25"/>
      <c r="AS1520" s="25"/>
      <c r="AT1520" s="25"/>
      <c r="AU1520" s="36"/>
      <c r="AV1520" s="36"/>
      <c r="AW1520" s="36"/>
      <c r="AX1520" s="25"/>
      <c r="AY1520" s="25"/>
      <c r="AZ1520" s="25"/>
      <c r="BA1520" s="25"/>
      <c r="BB1520" s="25"/>
      <c r="BC1520" s="25"/>
      <c r="BD1520" s="25"/>
      <c r="BE1520" s="25"/>
      <c r="BF1520" s="25"/>
      <c r="BG1520" s="25"/>
      <c r="BH1520" s="25"/>
      <c r="BI1520" s="25"/>
      <c r="BJ1520" s="25"/>
      <c r="BK1520" s="25"/>
      <c r="BL1520" s="25"/>
      <c r="BM1520" s="25"/>
      <c r="BN1520" s="25"/>
      <c r="BO1520" s="25"/>
      <c r="BP1520" s="25"/>
      <c r="BQ1520" s="25"/>
      <c r="BR1520" s="25"/>
      <c r="BS1520" s="25"/>
      <c r="BT1520" s="25"/>
      <c r="BU1520" s="25"/>
      <c r="BV1520" s="25"/>
      <c r="BW1520" s="25"/>
      <c r="BX1520" s="25"/>
      <c r="BY1520" s="25"/>
      <c r="BZ1520" s="25"/>
      <c r="CA1520" s="25"/>
      <c r="CB1520" s="25"/>
      <c r="CC1520" s="25"/>
      <c r="CD1520" s="25"/>
      <c r="CE1520" s="200"/>
      <c r="CF1520" s="200"/>
      <c r="CG1520" s="200"/>
      <c r="CH1520" s="200"/>
      <c r="CI1520" s="200"/>
      <c r="CJ1520" s="200"/>
      <c r="CK1520" s="200"/>
      <c r="CL1520" s="200"/>
      <c r="CM1520" s="200"/>
      <c r="CN1520" s="200"/>
      <c r="CO1520" s="200"/>
      <c r="CP1520" s="200"/>
      <c r="CQ1520" s="200"/>
      <c r="CR1520" s="200"/>
      <c r="CS1520" s="200"/>
      <c r="CT1520" s="200"/>
      <c r="CU1520" s="200"/>
    </row>
    <row r="1521" spans="1:99" s="17" customFormat="1" x14ac:dyDescent="0.2">
      <c r="A1521" s="25"/>
      <c r="B1521" s="20">
        <v>39125960400</v>
      </c>
      <c r="C1521" s="20">
        <v>9604</v>
      </c>
      <c r="D1521" s="20" t="s">
        <v>68</v>
      </c>
      <c r="E1521" s="20" t="s">
        <v>265</v>
      </c>
      <c r="F1521" s="20" t="s">
        <v>8</v>
      </c>
      <c r="G1521" s="861">
        <v>49.988612572108302</v>
      </c>
      <c r="H1521" s="861">
        <v>49.827523284711802</v>
      </c>
      <c r="I1521" s="861">
        <v>29.501436860685601</v>
      </c>
      <c r="J1521" s="861">
        <v>53.029223658290903</v>
      </c>
      <c r="K1521" s="982">
        <v>0</v>
      </c>
      <c r="L1521" s="735">
        <v>4223</v>
      </c>
      <c r="M1521" s="735">
        <v>4077</v>
      </c>
      <c r="N1521" s="845">
        <f t="shared" si="128"/>
        <v>-3.4572578735496094E-2</v>
      </c>
      <c r="O1521" s="735">
        <v>16.654528966158072</v>
      </c>
      <c r="P1521" s="735">
        <f t="shared" si="129"/>
        <v>244.79827729048631</v>
      </c>
      <c r="Q1521" s="849">
        <v>40.4</v>
      </c>
      <c r="R1521" s="71">
        <v>56596</v>
      </c>
      <c r="S1521" s="845">
        <v>0.11180747054399599</v>
      </c>
      <c r="T1521" s="845">
        <v>9.4E-2</v>
      </c>
      <c r="U1521" s="845">
        <v>0</v>
      </c>
      <c r="V1521" s="845">
        <v>0.12</v>
      </c>
      <c r="W1521" s="845">
        <v>0.29836435420191765</v>
      </c>
      <c r="X1521" s="845">
        <v>0.43667296786389415</v>
      </c>
      <c r="Y1521" s="845">
        <v>0.84105960264900659</v>
      </c>
      <c r="Z1521" s="845">
        <v>1.2018641157714005E-2</v>
      </c>
      <c r="AA1521" s="845">
        <v>1.6678930586215356E-2</v>
      </c>
      <c r="AB1521" s="845">
        <v>2.2075055187637969E-3</v>
      </c>
      <c r="AC1521" s="845">
        <v>0</v>
      </c>
      <c r="AD1521" s="845">
        <v>1.0546970811871474E-2</v>
      </c>
      <c r="AE1521" s="845">
        <v>0.11748834927642875</v>
      </c>
      <c r="AF1521" s="845">
        <v>0.10497915133676723</v>
      </c>
      <c r="AG1521" s="845">
        <v>0.83124846701005639</v>
      </c>
      <c r="AH1521" s="20" t="str">
        <f t="shared" si="130"/>
        <v>No</v>
      </c>
      <c r="AI1521" s="25"/>
      <c r="AJ1521" s="37">
        <v>45874</v>
      </c>
      <c r="AK1521" s="37" t="s">
        <v>1937</v>
      </c>
      <c r="AL1521" s="37">
        <v>39161</v>
      </c>
      <c r="AM1521" s="37" t="s">
        <v>86</v>
      </c>
      <c r="AN1521" s="37" t="str">
        <f t="shared" si="131"/>
        <v>N/A</v>
      </c>
      <c r="AO1521" s="37" t="str">
        <f t="shared" si="132"/>
        <v>N/A</v>
      </c>
      <c r="AP1521" s="37" t="s">
        <v>8</v>
      </c>
      <c r="AQ1521" s="25"/>
      <c r="AR1521" s="25"/>
      <c r="AS1521" s="25"/>
      <c r="AT1521" s="25"/>
      <c r="AU1521" s="36"/>
      <c r="AV1521" s="36"/>
      <c r="AW1521" s="36"/>
      <c r="AX1521" s="25"/>
      <c r="AY1521" s="25"/>
      <c r="AZ1521" s="25"/>
      <c r="BA1521" s="25"/>
      <c r="BB1521" s="25"/>
      <c r="BC1521" s="25"/>
      <c r="BD1521" s="25"/>
      <c r="BE1521" s="25"/>
      <c r="BF1521" s="25"/>
      <c r="BG1521" s="25"/>
      <c r="BH1521" s="25"/>
      <c r="BI1521" s="25"/>
      <c r="BJ1521" s="25"/>
      <c r="BK1521" s="25"/>
      <c r="BL1521" s="25"/>
      <c r="BM1521" s="25"/>
      <c r="BN1521" s="25"/>
      <c r="BO1521" s="25"/>
      <c r="BP1521" s="25"/>
      <c r="BQ1521" s="25"/>
      <c r="BR1521" s="25"/>
      <c r="BS1521" s="25"/>
      <c r="BT1521" s="25"/>
      <c r="BU1521" s="25"/>
      <c r="BV1521" s="25"/>
      <c r="BW1521" s="25"/>
      <c r="BX1521" s="25"/>
      <c r="BY1521" s="25"/>
      <c r="BZ1521" s="25"/>
      <c r="CA1521" s="25"/>
      <c r="CB1521" s="25"/>
      <c r="CC1521" s="25"/>
      <c r="CD1521" s="25"/>
      <c r="CE1521" s="200"/>
      <c r="CF1521" s="200"/>
      <c r="CG1521" s="200"/>
      <c r="CH1521" s="200"/>
      <c r="CI1521" s="200"/>
      <c r="CJ1521" s="200"/>
      <c r="CK1521" s="200"/>
      <c r="CL1521" s="200"/>
      <c r="CM1521" s="200"/>
      <c r="CN1521" s="200"/>
      <c r="CO1521" s="200"/>
      <c r="CP1521" s="200"/>
      <c r="CQ1521" s="200"/>
      <c r="CR1521" s="200"/>
      <c r="CS1521" s="200"/>
      <c r="CT1521" s="200"/>
      <c r="CU1521" s="200"/>
    </row>
    <row r="1522" spans="1:99" s="17" customFormat="1" x14ac:dyDescent="0.2">
      <c r="A1522" s="25"/>
      <c r="B1522" s="20">
        <v>39109365101</v>
      </c>
      <c r="C1522" s="20">
        <v>3651.01</v>
      </c>
      <c r="D1522" s="20" t="s">
        <v>60</v>
      </c>
      <c r="E1522" s="20" t="s">
        <v>2833</v>
      </c>
      <c r="F1522" s="20" t="s">
        <v>8</v>
      </c>
      <c r="G1522" s="861">
        <v>49.968712614725597</v>
      </c>
      <c r="H1522" s="861">
        <v>59.274951217573097</v>
      </c>
      <c r="I1522" s="861">
        <v>28.261175607884201</v>
      </c>
      <c r="J1522" s="861">
        <v>47.418034224663202</v>
      </c>
      <c r="K1522" s="982">
        <v>0</v>
      </c>
      <c r="L1522" s="735">
        <v>3979</v>
      </c>
      <c r="M1522" s="735">
        <v>3918</v>
      </c>
      <c r="N1522" s="845">
        <f t="shared" si="128"/>
        <v>-1.5330485046494095E-2</v>
      </c>
      <c r="O1522" s="735">
        <v>17.618325282582088</v>
      </c>
      <c r="P1522" s="735">
        <f t="shared" si="129"/>
        <v>222.38209007716708</v>
      </c>
      <c r="Q1522" s="849">
        <v>42.3</v>
      </c>
      <c r="R1522" s="71">
        <v>69091</v>
      </c>
      <c r="S1522" s="845">
        <v>9.2071611253196933E-2</v>
      </c>
      <c r="T1522" s="845">
        <v>2.5000000000000001E-2</v>
      </c>
      <c r="U1522" s="845">
        <v>0</v>
      </c>
      <c r="V1522" s="845">
        <v>0.06</v>
      </c>
      <c r="W1522" s="845">
        <v>0.19662921348314608</v>
      </c>
      <c r="X1522" s="845">
        <v>0.32063492063492066</v>
      </c>
      <c r="Y1522" s="845">
        <v>0.83460949464012246</v>
      </c>
      <c r="Z1522" s="845">
        <v>1.8887187340479835E-2</v>
      </c>
      <c r="AA1522" s="845">
        <v>0</v>
      </c>
      <c r="AB1522" s="845">
        <v>4.5941807044410417E-3</v>
      </c>
      <c r="AC1522" s="845">
        <v>0</v>
      </c>
      <c r="AD1522" s="845">
        <v>0</v>
      </c>
      <c r="AE1522" s="845">
        <v>0.14190913731495661</v>
      </c>
      <c r="AF1522" s="845">
        <v>4.5431342521694743E-2</v>
      </c>
      <c r="AG1522" s="845">
        <v>0.83460949464012246</v>
      </c>
      <c r="AH1522" s="20" t="str">
        <f t="shared" si="130"/>
        <v>No</v>
      </c>
      <c r="AI1522" s="25"/>
      <c r="AJ1522" s="37">
        <v>45882</v>
      </c>
      <c r="AK1522" s="37" t="s">
        <v>1944</v>
      </c>
      <c r="AL1522" s="37">
        <v>39161</v>
      </c>
      <c r="AM1522" s="37" t="s">
        <v>86</v>
      </c>
      <c r="AN1522" s="37" t="str">
        <f t="shared" si="131"/>
        <v>N/A</v>
      </c>
      <c r="AO1522" s="37" t="str">
        <f t="shared" si="132"/>
        <v>N/A</v>
      </c>
      <c r="AP1522" s="37" t="s">
        <v>8</v>
      </c>
      <c r="AQ1522" s="25"/>
      <c r="AR1522" s="25"/>
      <c r="AS1522" s="25"/>
      <c r="AT1522" s="25"/>
      <c r="AU1522" s="36"/>
      <c r="AV1522" s="36"/>
      <c r="AW1522" s="36"/>
      <c r="AX1522" s="25"/>
      <c r="AY1522" s="25"/>
      <c r="AZ1522" s="25"/>
      <c r="BA1522" s="25"/>
      <c r="BB1522" s="25"/>
      <c r="BC1522" s="25"/>
      <c r="BD1522" s="25"/>
      <c r="BE1522" s="25"/>
      <c r="BF1522" s="25"/>
      <c r="BG1522" s="25"/>
      <c r="BH1522" s="25"/>
      <c r="BI1522" s="25"/>
      <c r="BJ1522" s="25"/>
      <c r="BK1522" s="25"/>
      <c r="BL1522" s="25"/>
      <c r="BM1522" s="25"/>
      <c r="BN1522" s="25"/>
      <c r="BO1522" s="25"/>
      <c r="BP1522" s="25"/>
      <c r="BQ1522" s="25"/>
      <c r="BR1522" s="25"/>
      <c r="BS1522" s="25"/>
      <c r="BT1522" s="25"/>
      <c r="BU1522" s="25"/>
      <c r="BV1522" s="25"/>
      <c r="BW1522" s="25"/>
      <c r="BX1522" s="25"/>
      <c r="BY1522" s="25"/>
      <c r="BZ1522" s="25"/>
      <c r="CA1522" s="25"/>
      <c r="CB1522" s="25"/>
      <c r="CC1522" s="25"/>
      <c r="CD1522" s="25"/>
      <c r="CE1522" s="200"/>
      <c r="CF1522" s="200"/>
      <c r="CG1522" s="200"/>
      <c r="CH1522" s="200"/>
      <c r="CI1522" s="200"/>
      <c r="CJ1522" s="200"/>
      <c r="CK1522" s="200"/>
      <c r="CL1522" s="200"/>
      <c r="CM1522" s="200"/>
      <c r="CN1522" s="200"/>
      <c r="CO1522" s="200"/>
      <c r="CP1522" s="200"/>
      <c r="CQ1522" s="200"/>
      <c r="CR1522" s="200"/>
      <c r="CS1522" s="200"/>
      <c r="CT1522" s="200"/>
      <c r="CU1522" s="200"/>
    </row>
    <row r="1523" spans="1:99" s="17" customFormat="1" x14ac:dyDescent="0.2">
      <c r="A1523" s="25"/>
      <c r="B1523" s="20">
        <v>39153506800</v>
      </c>
      <c r="C1523" s="20">
        <v>5068</v>
      </c>
      <c r="D1523" s="20" t="s">
        <v>82</v>
      </c>
      <c r="E1523" s="20" t="s">
        <v>2843</v>
      </c>
      <c r="F1523" s="20" t="s">
        <v>6</v>
      </c>
      <c r="G1523" s="861">
        <v>49.966906375095498</v>
      </c>
      <c r="H1523" s="861">
        <v>56.9440670810596</v>
      </c>
      <c r="I1523" s="861">
        <v>47.4666723907212</v>
      </c>
      <c r="J1523" s="861">
        <v>37.016518547172801</v>
      </c>
      <c r="K1523" s="982">
        <v>0</v>
      </c>
      <c r="L1523" s="735">
        <v>2147</v>
      </c>
      <c r="M1523" s="735">
        <v>2409</v>
      </c>
      <c r="N1523" s="845">
        <f t="shared" si="128"/>
        <v>0.12203074056823475</v>
      </c>
      <c r="O1523" s="735">
        <v>1.2686764805263913</v>
      </c>
      <c r="P1523" s="735">
        <f t="shared" si="129"/>
        <v>1898.8292421094407</v>
      </c>
      <c r="Q1523" s="849">
        <v>29.5</v>
      </c>
      <c r="R1523" s="71">
        <v>15857</v>
      </c>
      <c r="S1523" s="845">
        <v>0.42414248021108181</v>
      </c>
      <c r="T1523" s="845">
        <v>5.5E-2</v>
      </c>
      <c r="U1523" s="845">
        <v>0</v>
      </c>
      <c r="V1523" s="845">
        <v>4.8000000000000001E-2</v>
      </c>
      <c r="W1523" s="845">
        <v>0.87112171837708829</v>
      </c>
      <c r="X1523" s="845">
        <v>0.45205479452054792</v>
      </c>
      <c r="Y1523" s="845">
        <v>0.47156496471564963</v>
      </c>
      <c r="Z1523" s="845">
        <v>0.42631797426317974</v>
      </c>
      <c r="AA1523" s="845">
        <v>3.3208800332088003E-3</v>
      </c>
      <c r="AB1523" s="845">
        <v>1.2868410128684102E-2</v>
      </c>
      <c r="AC1523" s="845">
        <v>0</v>
      </c>
      <c r="AD1523" s="845">
        <v>8.717310087173101E-3</v>
      </c>
      <c r="AE1523" s="845">
        <v>7.7210460772104611E-2</v>
      </c>
      <c r="AF1523" s="845">
        <v>3.1548360315483602E-2</v>
      </c>
      <c r="AG1523" s="845">
        <v>0.46782897467828977</v>
      </c>
      <c r="AH1523" s="20" t="str">
        <f t="shared" si="130"/>
        <v>No</v>
      </c>
      <c r="AI1523" s="25"/>
      <c r="AJ1523" s="37">
        <v>45886</v>
      </c>
      <c r="AK1523" s="37" t="s">
        <v>1948</v>
      </c>
      <c r="AL1523" s="37">
        <v>39161</v>
      </c>
      <c r="AM1523" s="37" t="s">
        <v>86</v>
      </c>
      <c r="AN1523" s="37" t="str">
        <f t="shared" si="131"/>
        <v>N/A</v>
      </c>
      <c r="AO1523" s="37" t="str">
        <f t="shared" si="132"/>
        <v>N/A</v>
      </c>
      <c r="AP1523" s="37" t="s">
        <v>8</v>
      </c>
      <c r="AQ1523" s="25"/>
      <c r="AR1523" s="25"/>
      <c r="AS1523" s="25"/>
      <c r="AT1523" s="25"/>
      <c r="AU1523" s="36"/>
      <c r="AV1523" s="36"/>
      <c r="AW1523" s="36"/>
      <c r="AX1523" s="25"/>
      <c r="AY1523" s="25"/>
      <c r="AZ1523" s="25"/>
      <c r="BA1523" s="25"/>
      <c r="BB1523" s="25"/>
      <c r="BC1523" s="25"/>
      <c r="BD1523" s="25"/>
      <c r="BE1523" s="25"/>
      <c r="BF1523" s="25"/>
      <c r="BG1523" s="25"/>
      <c r="BH1523" s="25"/>
      <c r="BI1523" s="25"/>
      <c r="BJ1523" s="25"/>
      <c r="BK1523" s="25"/>
      <c r="BL1523" s="25"/>
      <c r="BM1523" s="25"/>
      <c r="BN1523" s="25"/>
      <c r="BO1523" s="25"/>
      <c r="BP1523" s="25"/>
      <c r="BQ1523" s="25"/>
      <c r="BR1523" s="25"/>
      <c r="BS1523" s="25"/>
      <c r="BT1523" s="25"/>
      <c r="BU1523" s="25"/>
      <c r="BV1523" s="25"/>
      <c r="BW1523" s="25"/>
      <c r="BX1523" s="25"/>
      <c r="BY1523" s="25"/>
      <c r="BZ1523" s="25"/>
      <c r="CA1523" s="25"/>
      <c r="CB1523" s="25"/>
      <c r="CC1523" s="25"/>
      <c r="CD1523" s="25"/>
      <c r="CE1523" s="200"/>
      <c r="CF1523" s="200"/>
      <c r="CG1523" s="200"/>
      <c r="CH1523" s="200"/>
      <c r="CI1523" s="200"/>
      <c r="CJ1523" s="200"/>
      <c r="CK1523" s="200"/>
      <c r="CL1523" s="200"/>
      <c r="CM1523" s="200"/>
      <c r="CN1523" s="200"/>
      <c r="CO1523" s="200"/>
      <c r="CP1523" s="200"/>
      <c r="CQ1523" s="200"/>
      <c r="CR1523" s="200"/>
      <c r="CS1523" s="200"/>
      <c r="CT1523" s="200"/>
      <c r="CU1523" s="200"/>
    </row>
    <row r="1524" spans="1:99" s="17" customFormat="1" x14ac:dyDescent="0.2">
      <c r="A1524" s="25"/>
      <c r="B1524" s="20">
        <v>39049009311</v>
      </c>
      <c r="C1524" s="20">
        <v>93.11</v>
      </c>
      <c r="D1524" s="20" t="s">
        <v>31</v>
      </c>
      <c r="E1524" s="20" t="s">
        <v>2830</v>
      </c>
      <c r="F1524" s="20" t="s">
        <v>6</v>
      </c>
      <c r="G1524" s="861">
        <v>49.9506982612793</v>
      </c>
      <c r="H1524" s="861">
        <v>59.625705785275798</v>
      </c>
      <c r="I1524" s="861">
        <v>36.722264194667297</v>
      </c>
      <c r="J1524" s="861">
        <v>49.784878940719999</v>
      </c>
      <c r="K1524" s="982">
        <v>0</v>
      </c>
      <c r="L1524" s="735">
        <v>2996</v>
      </c>
      <c r="M1524" s="735">
        <v>2657</v>
      </c>
      <c r="N1524" s="845">
        <f t="shared" si="128"/>
        <v>-0.11315086782376502</v>
      </c>
      <c r="O1524" s="735">
        <v>0.65714471561801879</v>
      </c>
      <c r="P1524" s="735">
        <f t="shared" si="129"/>
        <v>4043.2494347933634</v>
      </c>
      <c r="Q1524" s="849">
        <v>46.9</v>
      </c>
      <c r="R1524" s="71">
        <v>61528</v>
      </c>
      <c r="S1524" s="845">
        <v>0.11855476100865638</v>
      </c>
      <c r="T1524" s="845">
        <v>4.4000000000000004E-2</v>
      </c>
      <c r="U1524" s="845">
        <v>0</v>
      </c>
      <c r="V1524" s="845">
        <v>0</v>
      </c>
      <c r="W1524" s="845">
        <v>0.31923714759535654</v>
      </c>
      <c r="X1524" s="845">
        <v>0.45714285714285713</v>
      </c>
      <c r="Y1524" s="845">
        <v>0.47722995859992473</v>
      </c>
      <c r="Z1524" s="845">
        <v>0.4452389913436206</v>
      </c>
      <c r="AA1524" s="845">
        <v>0</v>
      </c>
      <c r="AB1524" s="845">
        <v>0</v>
      </c>
      <c r="AC1524" s="845">
        <v>0</v>
      </c>
      <c r="AD1524" s="845">
        <v>2.5216409484380881E-2</v>
      </c>
      <c r="AE1524" s="845">
        <v>5.2314640572073766E-2</v>
      </c>
      <c r="AF1524" s="845">
        <v>3.2743695897628905E-2</v>
      </c>
      <c r="AG1524" s="845">
        <v>0.46970267218667672</v>
      </c>
      <c r="AH1524" s="20" t="str">
        <f t="shared" si="130"/>
        <v>No</v>
      </c>
      <c r="AI1524" s="25"/>
      <c r="AJ1524" s="37">
        <v>45887</v>
      </c>
      <c r="AK1524" s="37" t="s">
        <v>1949</v>
      </c>
      <c r="AL1524" s="37">
        <v>39161</v>
      </c>
      <c r="AM1524" s="37" t="s">
        <v>86</v>
      </c>
      <c r="AN1524" s="37" t="str">
        <f t="shared" si="131"/>
        <v>N/A</v>
      </c>
      <c r="AO1524" s="37" t="str">
        <f t="shared" si="132"/>
        <v>N/A</v>
      </c>
      <c r="AP1524" s="37" t="s">
        <v>8</v>
      </c>
      <c r="AQ1524" s="25"/>
      <c r="AR1524" s="25"/>
      <c r="AS1524" s="25"/>
      <c r="AT1524" s="25"/>
      <c r="AU1524" s="36"/>
      <c r="AV1524" s="36"/>
      <c r="AW1524" s="36"/>
      <c r="AX1524" s="25"/>
      <c r="AY1524" s="25"/>
      <c r="AZ1524" s="25"/>
      <c r="BA1524" s="25"/>
      <c r="BB1524" s="25"/>
      <c r="BC1524" s="25"/>
      <c r="BD1524" s="25"/>
      <c r="BE1524" s="25"/>
      <c r="BF1524" s="25"/>
      <c r="BG1524" s="25"/>
      <c r="BH1524" s="25"/>
      <c r="BI1524" s="25"/>
      <c r="BJ1524" s="25"/>
      <c r="BK1524" s="25"/>
      <c r="BL1524" s="25"/>
      <c r="BM1524" s="25"/>
      <c r="BN1524" s="25"/>
      <c r="BO1524" s="25"/>
      <c r="BP1524" s="25"/>
      <c r="BQ1524" s="25"/>
      <c r="BR1524" s="25"/>
      <c r="BS1524" s="25"/>
      <c r="BT1524" s="25"/>
      <c r="BU1524" s="25"/>
      <c r="BV1524" s="25"/>
      <c r="BW1524" s="25"/>
      <c r="BX1524" s="25"/>
      <c r="BY1524" s="25"/>
      <c r="BZ1524" s="25"/>
      <c r="CA1524" s="25"/>
      <c r="CB1524" s="25"/>
      <c r="CC1524" s="25"/>
      <c r="CD1524" s="25"/>
      <c r="CE1524" s="200"/>
      <c r="CF1524" s="200"/>
      <c r="CG1524" s="200"/>
      <c r="CH1524" s="200"/>
      <c r="CI1524" s="200"/>
      <c r="CJ1524" s="200"/>
      <c r="CK1524" s="200"/>
      <c r="CL1524" s="200"/>
      <c r="CM1524" s="200"/>
      <c r="CN1524" s="200"/>
      <c r="CO1524" s="200"/>
      <c r="CP1524" s="200"/>
      <c r="CQ1524" s="200"/>
      <c r="CR1524" s="200"/>
      <c r="CS1524" s="200"/>
      <c r="CT1524" s="200"/>
      <c r="CU1524" s="200"/>
    </row>
    <row r="1525" spans="1:99" s="17" customFormat="1" x14ac:dyDescent="0.2">
      <c r="A1525" s="25"/>
      <c r="B1525" s="20">
        <v>39085202600</v>
      </c>
      <c r="C1525" s="20">
        <v>2026</v>
      </c>
      <c r="D1525" s="20" t="s">
        <v>48</v>
      </c>
      <c r="E1525" s="20" t="s">
        <v>2829</v>
      </c>
      <c r="F1525" s="20" t="s">
        <v>8</v>
      </c>
      <c r="G1525" s="861">
        <v>49.927555561827802</v>
      </c>
      <c r="H1525" s="861">
        <v>63.902720274995197</v>
      </c>
      <c r="I1525" s="861">
        <v>28.704546391260301</v>
      </c>
      <c r="J1525" s="861">
        <v>42.727416476270598</v>
      </c>
      <c r="K1525" s="982">
        <v>0</v>
      </c>
      <c r="L1525" s="735">
        <v>3848</v>
      </c>
      <c r="M1525" s="735">
        <v>3435</v>
      </c>
      <c r="N1525" s="845">
        <f t="shared" si="128"/>
        <v>-0.10732848232848233</v>
      </c>
      <c r="O1525" s="735">
        <v>2.845123099812223</v>
      </c>
      <c r="P1525" s="735">
        <f t="shared" si="129"/>
        <v>1207.3291311109556</v>
      </c>
      <c r="Q1525" s="849">
        <v>40.6</v>
      </c>
      <c r="R1525" s="71">
        <v>79426</v>
      </c>
      <c r="S1525" s="845">
        <v>4.9796156086196856E-2</v>
      </c>
      <c r="T1525" s="845">
        <v>6.8000000000000005E-2</v>
      </c>
      <c r="U1525" s="845">
        <v>0</v>
      </c>
      <c r="V1525" s="845">
        <v>0.16800000000000001</v>
      </c>
      <c r="W1525" s="845">
        <v>0.20858895705521471</v>
      </c>
      <c r="X1525" s="845">
        <v>0.37908496732026142</v>
      </c>
      <c r="Y1525" s="845">
        <v>0.97583697234352251</v>
      </c>
      <c r="Z1525" s="845">
        <v>2.9112081513828241E-4</v>
      </c>
      <c r="AA1525" s="845">
        <v>0</v>
      </c>
      <c r="AB1525" s="845">
        <v>2.911208151382824E-3</v>
      </c>
      <c r="AC1525" s="845">
        <v>0</v>
      </c>
      <c r="AD1525" s="845">
        <v>0</v>
      </c>
      <c r="AE1525" s="845">
        <v>2.0960698689956331E-2</v>
      </c>
      <c r="AF1525" s="845">
        <v>4.6579330422125186E-3</v>
      </c>
      <c r="AG1525" s="845">
        <v>0.97583697234352251</v>
      </c>
      <c r="AH1525" s="20" t="str">
        <f t="shared" si="130"/>
        <v>Yes</v>
      </c>
      <c r="AI1525" s="25"/>
      <c r="AJ1525" s="37">
        <v>45891</v>
      </c>
      <c r="AK1525" s="37" t="s">
        <v>1953</v>
      </c>
      <c r="AL1525" s="37">
        <v>39161</v>
      </c>
      <c r="AM1525" s="37" t="s">
        <v>86</v>
      </c>
      <c r="AN1525" s="37" t="str">
        <f t="shared" si="131"/>
        <v>N/A</v>
      </c>
      <c r="AO1525" s="37" t="str">
        <f t="shared" si="132"/>
        <v>N/A</v>
      </c>
      <c r="AP1525" s="37" t="s">
        <v>8</v>
      </c>
      <c r="AQ1525" s="25"/>
      <c r="AR1525" s="25"/>
      <c r="AS1525" s="25"/>
      <c r="AT1525" s="25"/>
      <c r="AU1525" s="36"/>
      <c r="AV1525" s="36"/>
      <c r="AW1525" s="36"/>
      <c r="AX1525" s="25"/>
      <c r="AY1525" s="25"/>
      <c r="AZ1525" s="25"/>
      <c r="BA1525" s="25"/>
      <c r="BB1525" s="25"/>
      <c r="BC1525" s="25"/>
      <c r="BD1525" s="25"/>
      <c r="BE1525" s="25"/>
      <c r="BF1525" s="25"/>
      <c r="BG1525" s="25"/>
      <c r="BH1525" s="25"/>
      <c r="BI1525" s="25"/>
      <c r="BJ1525" s="25"/>
      <c r="BK1525" s="25"/>
      <c r="BL1525" s="25"/>
      <c r="BM1525" s="25"/>
      <c r="BN1525" s="25"/>
      <c r="BO1525" s="25"/>
      <c r="BP1525" s="25"/>
      <c r="BQ1525" s="25"/>
      <c r="BR1525" s="25"/>
      <c r="BS1525" s="25"/>
      <c r="BT1525" s="25"/>
      <c r="BU1525" s="25"/>
      <c r="BV1525" s="25"/>
      <c r="BW1525" s="25"/>
      <c r="BX1525" s="25"/>
      <c r="BY1525" s="25"/>
      <c r="BZ1525" s="25"/>
      <c r="CA1525" s="25"/>
      <c r="CB1525" s="25"/>
      <c r="CC1525" s="25"/>
      <c r="CD1525" s="25"/>
      <c r="CE1525" s="200"/>
      <c r="CF1525" s="200"/>
      <c r="CG1525" s="200"/>
      <c r="CH1525" s="200"/>
      <c r="CI1525" s="200"/>
      <c r="CJ1525" s="200"/>
      <c r="CK1525" s="200"/>
      <c r="CL1525" s="200"/>
      <c r="CM1525" s="200"/>
      <c r="CN1525" s="200"/>
      <c r="CO1525" s="200"/>
      <c r="CP1525" s="200"/>
      <c r="CQ1525" s="200"/>
      <c r="CR1525" s="200"/>
      <c r="CS1525" s="200"/>
      <c r="CT1525" s="200"/>
      <c r="CU1525" s="200"/>
    </row>
    <row r="1526" spans="1:99" s="17" customFormat="1" x14ac:dyDescent="0.2">
      <c r="A1526" s="25"/>
      <c r="B1526" s="20">
        <v>39113100102</v>
      </c>
      <c r="C1526" s="20">
        <v>1001.02</v>
      </c>
      <c r="D1526" s="20" t="s">
        <v>62</v>
      </c>
      <c r="E1526" s="20" t="s">
        <v>2833</v>
      </c>
      <c r="F1526" s="20" t="s">
        <v>8</v>
      </c>
      <c r="G1526" s="861">
        <v>49.918969783297896</v>
      </c>
      <c r="H1526" s="861">
        <v>60.876897832524897</v>
      </c>
      <c r="I1526" s="861">
        <v>20.1748680553128</v>
      </c>
      <c r="J1526" s="861">
        <v>37.167772327869002</v>
      </c>
      <c r="K1526" s="982">
        <v>0</v>
      </c>
      <c r="L1526" s="735">
        <v>5819</v>
      </c>
      <c r="M1526" s="735">
        <v>6021</v>
      </c>
      <c r="N1526" s="845">
        <f t="shared" si="128"/>
        <v>3.4713868362261556E-2</v>
      </c>
      <c r="O1526" s="735">
        <v>2.0927397230406592</v>
      </c>
      <c r="P1526" s="735">
        <f t="shared" si="129"/>
        <v>2877.089746856695</v>
      </c>
      <c r="Q1526" s="849">
        <v>46.1</v>
      </c>
      <c r="R1526" s="71">
        <v>106138</v>
      </c>
      <c r="S1526" s="845">
        <v>3.1556219897027074E-2</v>
      </c>
      <c r="T1526" s="845">
        <v>8.3000000000000004E-2</v>
      </c>
      <c r="U1526" s="845">
        <v>0</v>
      </c>
      <c r="V1526" s="845">
        <v>0.161</v>
      </c>
      <c r="W1526" s="845">
        <v>8.4210526315789472E-2</v>
      </c>
      <c r="X1526" s="845">
        <v>7.2115384615384609E-2</v>
      </c>
      <c r="Y1526" s="845">
        <v>0.81182527819299122</v>
      </c>
      <c r="Z1526" s="845">
        <v>0.13519348945357915</v>
      </c>
      <c r="AA1526" s="845">
        <v>3.3217073575817971E-4</v>
      </c>
      <c r="AB1526" s="845">
        <v>8.4703537618335822E-3</v>
      </c>
      <c r="AC1526" s="845">
        <v>0</v>
      </c>
      <c r="AD1526" s="845">
        <v>1.3286829430327188E-3</v>
      </c>
      <c r="AE1526" s="845">
        <v>4.2850024912805179E-2</v>
      </c>
      <c r="AF1526" s="845">
        <v>2.5743232021258926E-2</v>
      </c>
      <c r="AG1526" s="845">
        <v>0.79787410729114761</v>
      </c>
      <c r="AH1526" s="20" t="str">
        <f t="shared" si="130"/>
        <v>No</v>
      </c>
      <c r="AI1526" s="25"/>
      <c r="AJ1526" s="37">
        <v>45894</v>
      </c>
      <c r="AK1526" s="37" t="s">
        <v>1955</v>
      </c>
      <c r="AL1526" s="37">
        <v>39161</v>
      </c>
      <c r="AM1526" s="37" t="s">
        <v>86</v>
      </c>
      <c r="AN1526" s="37" t="str">
        <f t="shared" si="131"/>
        <v>N/A</v>
      </c>
      <c r="AO1526" s="37" t="str">
        <f t="shared" si="132"/>
        <v>N/A</v>
      </c>
      <c r="AP1526" s="37" t="s">
        <v>8</v>
      </c>
      <c r="AQ1526" s="25"/>
      <c r="AR1526" s="25"/>
      <c r="AS1526" s="25"/>
      <c r="AT1526" s="25"/>
      <c r="AU1526" s="36"/>
      <c r="AV1526" s="36"/>
      <c r="AW1526" s="36"/>
      <c r="AX1526" s="25"/>
      <c r="AY1526" s="25"/>
      <c r="AZ1526" s="25"/>
      <c r="BA1526" s="25"/>
      <c r="BB1526" s="25"/>
      <c r="BC1526" s="25"/>
      <c r="BD1526" s="25"/>
      <c r="BE1526" s="25"/>
      <c r="BF1526" s="25"/>
      <c r="BG1526" s="25"/>
      <c r="BH1526" s="25"/>
      <c r="BI1526" s="25"/>
      <c r="BJ1526" s="25"/>
      <c r="BK1526" s="25"/>
      <c r="BL1526" s="25"/>
      <c r="BM1526" s="25"/>
      <c r="BN1526" s="25"/>
      <c r="BO1526" s="25"/>
      <c r="BP1526" s="25"/>
      <c r="BQ1526" s="25"/>
      <c r="BR1526" s="25"/>
      <c r="BS1526" s="25"/>
      <c r="BT1526" s="25"/>
      <c r="BU1526" s="25"/>
      <c r="BV1526" s="25"/>
      <c r="BW1526" s="25"/>
      <c r="BX1526" s="25"/>
      <c r="BY1526" s="25"/>
      <c r="BZ1526" s="25"/>
      <c r="CA1526" s="25"/>
      <c r="CB1526" s="25"/>
      <c r="CC1526" s="25"/>
      <c r="CD1526" s="25"/>
      <c r="CE1526" s="200"/>
      <c r="CF1526" s="200"/>
      <c r="CG1526" s="200"/>
      <c r="CH1526" s="200"/>
      <c r="CI1526" s="200"/>
      <c r="CJ1526" s="200"/>
      <c r="CK1526" s="200"/>
      <c r="CL1526" s="200"/>
      <c r="CM1526" s="200"/>
      <c r="CN1526" s="200"/>
      <c r="CO1526" s="200"/>
      <c r="CP1526" s="200"/>
      <c r="CQ1526" s="200"/>
      <c r="CR1526" s="200"/>
      <c r="CS1526" s="200"/>
      <c r="CT1526" s="200"/>
      <c r="CU1526" s="200"/>
    </row>
    <row r="1527" spans="1:99" s="17" customFormat="1" x14ac:dyDescent="0.2">
      <c r="A1527" s="25"/>
      <c r="B1527" s="20">
        <v>39095008602</v>
      </c>
      <c r="C1527" s="20">
        <v>86.02</v>
      </c>
      <c r="D1527" s="20" t="s">
        <v>53</v>
      </c>
      <c r="E1527" s="20" t="s">
        <v>2839</v>
      </c>
      <c r="F1527" s="20" t="s">
        <v>8</v>
      </c>
      <c r="G1527" s="861">
        <v>49.900093075512302</v>
      </c>
      <c r="H1527" s="861">
        <v>54.789795963853599</v>
      </c>
      <c r="I1527" s="861">
        <v>26.458941453726698</v>
      </c>
      <c r="J1527" s="861">
        <v>46.817475275486899</v>
      </c>
      <c r="K1527" s="982">
        <v>0</v>
      </c>
      <c r="L1527" s="735" t="s">
        <v>2466</v>
      </c>
      <c r="M1527" s="735">
        <v>2966</v>
      </c>
      <c r="N1527" s="845" t="str">
        <f t="shared" si="128"/>
        <v/>
      </c>
      <c r="O1527" s="735">
        <v>0.89456086344736163</v>
      </c>
      <c r="P1527" s="735">
        <f t="shared" si="129"/>
        <v>3315.5932940883986</v>
      </c>
      <c r="Q1527" s="849">
        <v>36.9</v>
      </c>
      <c r="R1527" s="71">
        <v>71139</v>
      </c>
      <c r="S1527" s="845">
        <v>4.7538772757923127E-2</v>
      </c>
      <c r="T1527" s="845">
        <v>1.7000000000000001E-2</v>
      </c>
      <c r="U1527" s="845">
        <v>4.4000000000000004E-2</v>
      </c>
      <c r="V1527" s="845">
        <v>0</v>
      </c>
      <c r="W1527" s="845">
        <v>0.56051990251827777</v>
      </c>
      <c r="X1527" s="845">
        <v>0.20579710144927535</v>
      </c>
      <c r="Y1527" s="845">
        <v>0.78961564396493589</v>
      </c>
      <c r="Z1527" s="845">
        <v>0.16048550236008091</v>
      </c>
      <c r="AA1527" s="845">
        <v>0</v>
      </c>
      <c r="AB1527" s="845">
        <v>0</v>
      </c>
      <c r="AC1527" s="845">
        <v>0</v>
      </c>
      <c r="AD1527" s="845">
        <v>4.5853000674308836E-2</v>
      </c>
      <c r="AE1527" s="845">
        <v>4.045853000674309E-3</v>
      </c>
      <c r="AF1527" s="845">
        <v>4.5178691840863115E-2</v>
      </c>
      <c r="AG1527" s="845">
        <v>0.78624409979770737</v>
      </c>
      <c r="AH1527" s="20" t="str">
        <f t="shared" si="130"/>
        <v>No</v>
      </c>
      <c r="AI1527" s="25"/>
      <c r="AJ1527" s="37">
        <v>45898</v>
      </c>
      <c r="AK1527" s="37" t="s">
        <v>1959</v>
      </c>
      <c r="AL1527" s="37">
        <v>39161</v>
      </c>
      <c r="AM1527" s="37" t="s">
        <v>86</v>
      </c>
      <c r="AN1527" s="37" t="str">
        <f t="shared" si="131"/>
        <v>N/A</v>
      </c>
      <c r="AO1527" s="37" t="str">
        <f t="shared" si="132"/>
        <v>N/A</v>
      </c>
      <c r="AP1527" s="37" t="s">
        <v>8</v>
      </c>
      <c r="AQ1527" s="25"/>
      <c r="AR1527" s="25"/>
      <c r="AS1527" s="25"/>
      <c r="AT1527" s="25"/>
      <c r="AU1527" s="36"/>
      <c r="AV1527" s="36"/>
      <c r="AW1527" s="36"/>
      <c r="AX1527" s="25"/>
      <c r="AY1527" s="25"/>
      <c r="AZ1527" s="25"/>
      <c r="BA1527" s="25"/>
      <c r="BB1527" s="25"/>
      <c r="BC1527" s="25"/>
      <c r="BD1527" s="25"/>
      <c r="BE1527" s="25"/>
      <c r="BF1527" s="25"/>
      <c r="BG1527" s="25"/>
      <c r="BH1527" s="25"/>
      <c r="BI1527" s="25"/>
      <c r="BJ1527" s="25"/>
      <c r="BK1527" s="25"/>
      <c r="BL1527" s="25"/>
      <c r="BM1527" s="25"/>
      <c r="BN1527" s="25"/>
      <c r="BO1527" s="25"/>
      <c r="BP1527" s="25"/>
      <c r="BQ1527" s="25"/>
      <c r="BR1527" s="25"/>
      <c r="BS1527" s="25"/>
      <c r="BT1527" s="25"/>
      <c r="BU1527" s="25"/>
      <c r="BV1527" s="25"/>
      <c r="BW1527" s="25"/>
      <c r="BX1527" s="25"/>
      <c r="BY1527" s="25"/>
      <c r="BZ1527" s="25"/>
      <c r="CA1527" s="25"/>
      <c r="CB1527" s="25"/>
      <c r="CC1527" s="25"/>
      <c r="CD1527" s="25"/>
      <c r="CE1527" s="200"/>
      <c r="CF1527" s="200"/>
      <c r="CG1527" s="200"/>
      <c r="CH1527" s="200"/>
      <c r="CI1527" s="200"/>
      <c r="CJ1527" s="200"/>
      <c r="CK1527" s="200"/>
      <c r="CL1527" s="200"/>
      <c r="CM1527" s="200"/>
      <c r="CN1527" s="200"/>
      <c r="CO1527" s="200"/>
      <c r="CP1527" s="200"/>
      <c r="CQ1527" s="200"/>
      <c r="CR1527" s="200"/>
      <c r="CS1527" s="200"/>
      <c r="CT1527" s="200"/>
      <c r="CU1527" s="200"/>
    </row>
    <row r="1528" spans="1:99" s="17" customFormat="1" x14ac:dyDescent="0.2">
      <c r="A1528" s="25"/>
      <c r="B1528" s="20">
        <v>39145002700</v>
      </c>
      <c r="C1528" s="20">
        <v>27</v>
      </c>
      <c r="D1528" s="20" t="s">
        <v>78</v>
      </c>
      <c r="E1528" s="20" t="s">
        <v>265</v>
      </c>
      <c r="F1528" s="20" t="s">
        <v>8</v>
      </c>
      <c r="G1528" s="861">
        <v>49.886579490358002</v>
      </c>
      <c r="H1528" s="861">
        <v>52.414227269199102</v>
      </c>
      <c r="I1528" s="861">
        <v>18.035530758621199</v>
      </c>
      <c r="J1528" s="861">
        <v>40.2046988018799</v>
      </c>
      <c r="K1528" s="982">
        <v>0</v>
      </c>
      <c r="L1528" s="735">
        <v>5279</v>
      </c>
      <c r="M1528" s="735">
        <v>4974</v>
      </c>
      <c r="N1528" s="845">
        <f t="shared" si="128"/>
        <v>-5.7776093957188863E-2</v>
      </c>
      <c r="O1528" s="735">
        <v>55.353566468689316</v>
      </c>
      <c r="P1528" s="735">
        <f t="shared" si="129"/>
        <v>89.858708612994931</v>
      </c>
      <c r="Q1528" s="849">
        <v>43</v>
      </c>
      <c r="R1528" s="71">
        <v>75733</v>
      </c>
      <c r="S1528" s="845">
        <v>8.1222356252513062E-2</v>
      </c>
      <c r="T1528" s="845">
        <v>0.11900000000000001</v>
      </c>
      <c r="U1528" s="845">
        <v>0</v>
      </c>
      <c r="V1528" s="845">
        <v>0</v>
      </c>
      <c r="W1528" s="845">
        <v>0.10186666666666666</v>
      </c>
      <c r="X1528" s="845">
        <v>0.35078534031413611</v>
      </c>
      <c r="Y1528" s="845">
        <v>0.97527141133896256</v>
      </c>
      <c r="Z1528" s="845">
        <v>0</v>
      </c>
      <c r="AA1528" s="845">
        <v>0</v>
      </c>
      <c r="AB1528" s="845">
        <v>1.0052271813429834E-3</v>
      </c>
      <c r="AC1528" s="845">
        <v>0</v>
      </c>
      <c r="AD1528" s="845">
        <v>0</v>
      </c>
      <c r="AE1528" s="845">
        <v>2.3723361479694411E-2</v>
      </c>
      <c r="AF1528" s="845">
        <v>1.8496180136710897E-2</v>
      </c>
      <c r="AG1528" s="845">
        <v>0.97527141133896256</v>
      </c>
      <c r="AH1528" s="20" t="str">
        <f t="shared" si="130"/>
        <v>Yes</v>
      </c>
      <c r="AI1528" s="25"/>
      <c r="AJ1528" s="37">
        <v>45899</v>
      </c>
      <c r="AK1528" s="37" t="s">
        <v>1960</v>
      </c>
      <c r="AL1528" s="37">
        <v>39161</v>
      </c>
      <c r="AM1528" s="37" t="s">
        <v>86</v>
      </c>
      <c r="AN1528" s="37" t="str">
        <f t="shared" si="131"/>
        <v>N/A</v>
      </c>
      <c r="AO1528" s="37" t="str">
        <f t="shared" si="132"/>
        <v>N/A</v>
      </c>
      <c r="AP1528" s="37" t="s">
        <v>8</v>
      </c>
      <c r="AQ1528" s="25"/>
      <c r="AR1528" s="25"/>
      <c r="AS1528" s="25"/>
      <c r="AT1528" s="25"/>
      <c r="AU1528" s="36"/>
      <c r="AV1528" s="36"/>
      <c r="AW1528" s="36"/>
      <c r="AX1528" s="25"/>
      <c r="AY1528" s="25"/>
      <c r="AZ1528" s="25"/>
      <c r="BA1528" s="25"/>
      <c r="BB1528" s="25"/>
      <c r="BC1528" s="25"/>
      <c r="BD1528" s="25"/>
      <c r="BE1528" s="25"/>
      <c r="BF1528" s="25"/>
      <c r="BG1528" s="25"/>
      <c r="BH1528" s="25"/>
      <c r="BI1528" s="25"/>
      <c r="BJ1528" s="25"/>
      <c r="BK1528" s="25"/>
      <c r="BL1528" s="25"/>
      <c r="BM1528" s="25"/>
      <c r="BN1528" s="25"/>
      <c r="BO1528" s="25"/>
      <c r="BP1528" s="25"/>
      <c r="BQ1528" s="25"/>
      <c r="BR1528" s="25"/>
      <c r="BS1528" s="25"/>
      <c r="BT1528" s="25"/>
      <c r="BU1528" s="25"/>
      <c r="BV1528" s="25"/>
      <c r="BW1528" s="25"/>
      <c r="BX1528" s="25"/>
      <c r="BY1528" s="25"/>
      <c r="BZ1528" s="25"/>
      <c r="CA1528" s="25"/>
      <c r="CB1528" s="25"/>
      <c r="CC1528" s="25"/>
      <c r="CD1528" s="25"/>
      <c r="CE1528" s="200"/>
      <c r="CF1528" s="200"/>
      <c r="CG1528" s="200"/>
      <c r="CH1528" s="200"/>
      <c r="CI1528" s="200"/>
      <c r="CJ1528" s="200"/>
      <c r="CK1528" s="200"/>
      <c r="CL1528" s="200"/>
      <c r="CM1528" s="200"/>
      <c r="CN1528" s="200"/>
      <c r="CO1528" s="200"/>
      <c r="CP1528" s="200"/>
      <c r="CQ1528" s="200"/>
      <c r="CR1528" s="200"/>
      <c r="CS1528" s="200"/>
      <c r="CT1528" s="200"/>
      <c r="CU1528" s="200"/>
    </row>
    <row r="1529" spans="1:99" s="17" customFormat="1" x14ac:dyDescent="0.2">
      <c r="A1529" s="25"/>
      <c r="B1529" s="20">
        <v>39155932900</v>
      </c>
      <c r="C1529" s="20">
        <v>9329</v>
      </c>
      <c r="D1529" s="20" t="s">
        <v>83</v>
      </c>
      <c r="E1529" s="20" t="s">
        <v>2842</v>
      </c>
      <c r="F1529" s="20" t="s">
        <v>8</v>
      </c>
      <c r="G1529" s="861">
        <v>49.869732126309401</v>
      </c>
      <c r="H1529" s="861">
        <v>36.815737198085003</v>
      </c>
      <c r="I1529" s="861">
        <v>36.119674125058701</v>
      </c>
      <c r="J1529" s="861">
        <v>25.959293959988202</v>
      </c>
      <c r="K1529" s="982">
        <v>0</v>
      </c>
      <c r="L1529" s="735">
        <v>2398</v>
      </c>
      <c r="M1529" s="735">
        <v>2578</v>
      </c>
      <c r="N1529" s="845">
        <f t="shared" si="128"/>
        <v>7.5062552126772306E-2</v>
      </c>
      <c r="O1529" s="735">
        <v>4.1055566853548218</v>
      </c>
      <c r="P1529" s="735">
        <f t="shared" si="129"/>
        <v>627.92946184280902</v>
      </c>
      <c r="Q1529" s="849">
        <v>47.3</v>
      </c>
      <c r="R1529" s="71">
        <v>66583</v>
      </c>
      <c r="S1529" s="845">
        <v>0.18166735794276234</v>
      </c>
      <c r="T1529" s="845">
        <v>3.1E-2</v>
      </c>
      <c r="U1529" s="845">
        <v>0</v>
      </c>
      <c r="V1529" s="845">
        <v>0.126</v>
      </c>
      <c r="W1529" s="845">
        <v>0.42561576354679803</v>
      </c>
      <c r="X1529" s="845">
        <v>0.35185185185185186</v>
      </c>
      <c r="Y1529" s="845">
        <v>0.90147401086113266</v>
      </c>
      <c r="Z1529" s="845">
        <v>6.4003103180760273E-2</v>
      </c>
      <c r="AA1529" s="845">
        <v>0</v>
      </c>
      <c r="AB1529" s="845">
        <v>2.1722265321955005E-2</v>
      </c>
      <c r="AC1529" s="845">
        <v>0</v>
      </c>
      <c r="AD1529" s="845">
        <v>4.6547711404189293E-3</v>
      </c>
      <c r="AE1529" s="845">
        <v>8.1458494957331266E-3</v>
      </c>
      <c r="AF1529" s="845">
        <v>4.6547711404189293E-3</v>
      </c>
      <c r="AG1529" s="845">
        <v>0.90147401086113266</v>
      </c>
      <c r="AH1529" s="20" t="str">
        <f t="shared" si="130"/>
        <v>Yes</v>
      </c>
      <c r="AI1529" s="25"/>
      <c r="AJ1529" s="37">
        <v>43135</v>
      </c>
      <c r="AK1529" s="37" t="s">
        <v>811</v>
      </c>
      <c r="AL1529" s="37">
        <v>39163</v>
      </c>
      <c r="AM1529" s="37" t="s">
        <v>87</v>
      </c>
      <c r="AN1529" s="37" t="str">
        <f t="shared" si="131"/>
        <v>N/A</v>
      </c>
      <c r="AO1529" s="37" t="str">
        <f t="shared" si="132"/>
        <v>N/A</v>
      </c>
      <c r="AP1529" s="37" t="s">
        <v>8</v>
      </c>
      <c r="AQ1529" s="25"/>
      <c r="AR1529" s="25"/>
      <c r="AS1529" s="25"/>
      <c r="AT1529" s="25"/>
      <c r="AU1529" s="36"/>
      <c r="AV1529" s="36"/>
      <c r="AW1529" s="36"/>
      <c r="AX1529" s="25"/>
      <c r="AY1529" s="25"/>
      <c r="AZ1529" s="25"/>
      <c r="BA1529" s="25"/>
      <c r="BB1529" s="25"/>
      <c r="BC1529" s="25"/>
      <c r="BD1529" s="25"/>
      <c r="BE1529" s="25"/>
      <c r="BF1529" s="25"/>
      <c r="BG1529" s="25"/>
      <c r="BH1529" s="25"/>
      <c r="BI1529" s="25"/>
      <c r="BJ1529" s="25"/>
      <c r="BK1529" s="25"/>
      <c r="BL1529" s="25"/>
      <c r="BM1529" s="25"/>
      <c r="BN1529" s="25"/>
      <c r="BO1529" s="25"/>
      <c r="BP1529" s="25"/>
      <c r="BQ1529" s="25"/>
      <c r="BR1529" s="25"/>
      <c r="BS1529" s="25"/>
      <c r="BT1529" s="25"/>
      <c r="BU1529" s="25"/>
      <c r="BV1529" s="25"/>
      <c r="BW1529" s="25"/>
      <c r="BX1529" s="25"/>
      <c r="BY1529" s="25"/>
      <c r="BZ1529" s="25"/>
      <c r="CA1529" s="25"/>
      <c r="CB1529" s="25"/>
      <c r="CC1529" s="25"/>
      <c r="CD1529" s="25"/>
      <c r="CE1529" s="200"/>
      <c r="CF1529" s="200"/>
      <c r="CG1529" s="200"/>
      <c r="CH1529" s="200"/>
      <c r="CI1529" s="200"/>
      <c r="CJ1529" s="200"/>
      <c r="CK1529" s="200"/>
      <c r="CL1529" s="200"/>
      <c r="CM1529" s="200"/>
      <c r="CN1529" s="200"/>
      <c r="CO1529" s="200"/>
      <c r="CP1529" s="200"/>
      <c r="CQ1529" s="200"/>
      <c r="CR1529" s="200"/>
      <c r="CS1529" s="200"/>
      <c r="CT1529" s="200"/>
      <c r="CU1529" s="200"/>
    </row>
    <row r="1530" spans="1:99" s="17" customFormat="1" x14ac:dyDescent="0.2">
      <c r="A1530" s="25"/>
      <c r="B1530" s="20">
        <v>39035173105</v>
      </c>
      <c r="C1530" s="20">
        <v>1731.05</v>
      </c>
      <c r="D1530" s="20" t="s">
        <v>24</v>
      </c>
      <c r="E1530" s="20" t="s">
        <v>2829</v>
      </c>
      <c r="F1530" s="20" t="s">
        <v>8</v>
      </c>
      <c r="G1530" s="861">
        <v>49.8462126039</v>
      </c>
      <c r="H1530" s="861">
        <v>54.120466624204397</v>
      </c>
      <c r="I1530" s="861">
        <v>26.4723089246949</v>
      </c>
      <c r="J1530" s="861">
        <v>37.449695858673003</v>
      </c>
      <c r="K1530" s="982">
        <v>0</v>
      </c>
      <c r="L1530" s="735">
        <v>2503</v>
      </c>
      <c r="M1530" s="735">
        <v>2210</v>
      </c>
      <c r="N1530" s="845">
        <f t="shared" si="128"/>
        <v>-0.11705952856572113</v>
      </c>
      <c r="O1530" s="735">
        <v>0.64477593296750702</v>
      </c>
      <c r="P1530" s="735">
        <f t="shared" si="129"/>
        <v>3427.5472873634249</v>
      </c>
      <c r="Q1530" s="849">
        <v>51.9</v>
      </c>
      <c r="R1530" s="71">
        <v>82054</v>
      </c>
      <c r="S1530" s="845">
        <v>9.5022624434389132E-3</v>
      </c>
      <c r="T1530" s="845">
        <v>2.5000000000000001E-2</v>
      </c>
      <c r="U1530" s="845">
        <v>0</v>
      </c>
      <c r="V1530" s="845">
        <v>0</v>
      </c>
      <c r="W1530" s="845">
        <v>6.0935799782372145E-2</v>
      </c>
      <c r="X1530" s="845">
        <v>0.6607142857142857</v>
      </c>
      <c r="Y1530" s="845">
        <v>0.92669683257918556</v>
      </c>
      <c r="Z1530" s="845">
        <v>0</v>
      </c>
      <c r="AA1530" s="845">
        <v>1.8099547511312218E-3</v>
      </c>
      <c r="AB1530" s="845">
        <v>5.3846153846153849E-2</v>
      </c>
      <c r="AC1530" s="845">
        <v>0</v>
      </c>
      <c r="AD1530" s="845">
        <v>0</v>
      </c>
      <c r="AE1530" s="845">
        <v>1.7647058823529412E-2</v>
      </c>
      <c r="AF1530" s="845">
        <v>3.6199095022624436E-3</v>
      </c>
      <c r="AG1530" s="845">
        <v>0.92307692307692313</v>
      </c>
      <c r="AH1530" s="20" t="str">
        <f t="shared" si="130"/>
        <v>Yes</v>
      </c>
      <c r="AI1530" s="25"/>
      <c r="AJ1530" s="37">
        <v>43138</v>
      </c>
      <c r="AK1530" s="37" t="s">
        <v>814</v>
      </c>
      <c r="AL1530" s="37">
        <v>39163</v>
      </c>
      <c r="AM1530" s="37" t="s">
        <v>87</v>
      </c>
      <c r="AN1530" s="37" t="str">
        <f t="shared" si="131"/>
        <v>N/A</v>
      </c>
      <c r="AO1530" s="37" t="str">
        <f t="shared" si="132"/>
        <v>N/A</v>
      </c>
      <c r="AP1530" s="37" t="s">
        <v>8</v>
      </c>
      <c r="AQ1530" s="25"/>
      <c r="AR1530" s="25"/>
      <c r="AS1530" s="25"/>
      <c r="AT1530" s="25"/>
      <c r="AU1530" s="36"/>
      <c r="AV1530" s="36"/>
      <c r="AW1530" s="36"/>
      <c r="AX1530" s="25"/>
      <c r="AY1530" s="25"/>
      <c r="AZ1530" s="25"/>
      <c r="BA1530" s="25"/>
      <c r="BB1530" s="25"/>
      <c r="BC1530" s="25"/>
      <c r="BD1530" s="25"/>
      <c r="BE1530" s="25"/>
      <c r="BF1530" s="25"/>
      <c r="BG1530" s="25"/>
      <c r="BH1530" s="25"/>
      <c r="BI1530" s="25"/>
      <c r="BJ1530" s="25"/>
      <c r="BK1530" s="25"/>
      <c r="BL1530" s="25"/>
      <c r="BM1530" s="25"/>
      <c r="BN1530" s="25"/>
      <c r="BO1530" s="25"/>
      <c r="BP1530" s="25"/>
      <c r="BQ1530" s="25"/>
      <c r="BR1530" s="25"/>
      <c r="BS1530" s="25"/>
      <c r="BT1530" s="25"/>
      <c r="BU1530" s="25"/>
      <c r="BV1530" s="25"/>
      <c r="BW1530" s="25"/>
      <c r="BX1530" s="25"/>
      <c r="BY1530" s="25"/>
      <c r="BZ1530" s="25"/>
      <c r="CA1530" s="25"/>
      <c r="CB1530" s="25"/>
      <c r="CC1530" s="25"/>
      <c r="CD1530" s="25"/>
      <c r="CE1530" s="200"/>
      <c r="CF1530" s="200"/>
      <c r="CG1530" s="200"/>
      <c r="CH1530" s="200"/>
      <c r="CI1530" s="200"/>
      <c r="CJ1530" s="200"/>
      <c r="CK1530" s="200"/>
      <c r="CL1530" s="200"/>
      <c r="CM1530" s="200"/>
      <c r="CN1530" s="200"/>
      <c r="CO1530" s="200"/>
      <c r="CP1530" s="200"/>
      <c r="CQ1530" s="200"/>
      <c r="CR1530" s="200"/>
      <c r="CS1530" s="200"/>
      <c r="CT1530" s="200"/>
      <c r="CU1530" s="200"/>
    </row>
    <row r="1531" spans="1:99" s="17" customFormat="1" x14ac:dyDescent="0.2">
      <c r="A1531" s="25"/>
      <c r="B1531" s="20">
        <v>39151713501</v>
      </c>
      <c r="C1531" s="20">
        <v>7135.01</v>
      </c>
      <c r="D1531" s="20" t="s">
        <v>81</v>
      </c>
      <c r="E1531" s="20" t="s">
        <v>2844</v>
      </c>
      <c r="F1531" s="20" t="s">
        <v>8</v>
      </c>
      <c r="G1531" s="861">
        <v>49.844415230628002</v>
      </c>
      <c r="H1531" s="861">
        <v>53.592058664124799</v>
      </c>
      <c r="I1531" s="861">
        <v>24.693709223151</v>
      </c>
      <c r="J1531" s="861">
        <v>42.358181514132802</v>
      </c>
      <c r="K1531" s="982">
        <v>0</v>
      </c>
      <c r="L1531" s="735">
        <v>5213</v>
      </c>
      <c r="M1531" s="735">
        <v>5807</v>
      </c>
      <c r="N1531" s="845">
        <f t="shared" si="128"/>
        <v>0.11394590446959524</v>
      </c>
      <c r="O1531" s="735">
        <v>2.0959544096131006</v>
      </c>
      <c r="P1531" s="735">
        <f t="shared" si="129"/>
        <v>2770.5755303484552</v>
      </c>
      <c r="Q1531" s="849">
        <v>47.5</v>
      </c>
      <c r="R1531" s="71">
        <v>72077</v>
      </c>
      <c r="S1531" s="845">
        <v>8.2143486691344969E-2</v>
      </c>
      <c r="T1531" s="845">
        <v>0.02</v>
      </c>
      <c r="U1531" s="845">
        <v>0</v>
      </c>
      <c r="V1531" s="845">
        <v>0</v>
      </c>
      <c r="W1531" s="845">
        <v>0.32780563054377171</v>
      </c>
      <c r="X1531" s="845">
        <v>0.35529411764705882</v>
      </c>
      <c r="Y1531" s="845">
        <v>0.88496641983812641</v>
      </c>
      <c r="Z1531" s="845">
        <v>5.4589288789392114E-2</v>
      </c>
      <c r="AA1531" s="845">
        <v>2.238677458240055E-3</v>
      </c>
      <c r="AB1531" s="845">
        <v>2.7725159290511451E-2</v>
      </c>
      <c r="AC1531" s="845">
        <v>1.0332357499569485E-3</v>
      </c>
      <c r="AD1531" s="845">
        <v>0</v>
      </c>
      <c r="AE1531" s="845">
        <v>2.9447218873773034E-2</v>
      </c>
      <c r="AF1531" s="845">
        <v>0</v>
      </c>
      <c r="AG1531" s="845">
        <v>0.88496641983812641</v>
      </c>
      <c r="AH1531" s="20" t="str">
        <f t="shared" si="130"/>
        <v>No</v>
      </c>
      <c r="AI1531" s="25"/>
      <c r="AJ1531" s="37">
        <v>43152</v>
      </c>
      <c r="AK1531" s="37" t="s">
        <v>826</v>
      </c>
      <c r="AL1531" s="37">
        <v>39163</v>
      </c>
      <c r="AM1531" s="37" t="s">
        <v>87</v>
      </c>
      <c r="AN1531" s="37" t="str">
        <f t="shared" si="131"/>
        <v>N/A</v>
      </c>
      <c r="AO1531" s="37" t="str">
        <f t="shared" si="132"/>
        <v>N/A</v>
      </c>
      <c r="AP1531" s="37" t="s">
        <v>8</v>
      </c>
      <c r="AQ1531" s="25"/>
      <c r="AR1531" s="25"/>
      <c r="AS1531" s="25"/>
      <c r="AT1531" s="25"/>
      <c r="AU1531" s="36"/>
      <c r="AV1531" s="36"/>
      <c r="AW1531" s="36"/>
      <c r="AX1531" s="25"/>
      <c r="AY1531" s="25"/>
      <c r="AZ1531" s="25"/>
      <c r="BA1531" s="25"/>
      <c r="BB1531" s="25"/>
      <c r="BC1531" s="25"/>
      <c r="BD1531" s="25"/>
      <c r="BE1531" s="25"/>
      <c r="BF1531" s="25"/>
      <c r="BG1531" s="25"/>
      <c r="BH1531" s="25"/>
      <c r="BI1531" s="25"/>
      <c r="BJ1531" s="25"/>
      <c r="BK1531" s="25"/>
      <c r="BL1531" s="25"/>
      <c r="BM1531" s="25"/>
      <c r="BN1531" s="25"/>
      <c r="BO1531" s="25"/>
      <c r="BP1531" s="25"/>
      <c r="BQ1531" s="25"/>
      <c r="BR1531" s="25"/>
      <c r="BS1531" s="25"/>
      <c r="BT1531" s="25"/>
      <c r="BU1531" s="25"/>
      <c r="BV1531" s="25"/>
      <c r="BW1531" s="25"/>
      <c r="BX1531" s="25"/>
      <c r="BY1531" s="25"/>
      <c r="BZ1531" s="25"/>
      <c r="CA1531" s="25"/>
      <c r="CB1531" s="25"/>
      <c r="CC1531" s="25"/>
      <c r="CD1531" s="25"/>
      <c r="CE1531" s="200"/>
      <c r="CF1531" s="200"/>
      <c r="CG1531" s="200"/>
      <c r="CH1531" s="200"/>
      <c r="CI1531" s="200"/>
      <c r="CJ1531" s="200"/>
      <c r="CK1531" s="200"/>
      <c r="CL1531" s="200"/>
      <c r="CM1531" s="200"/>
      <c r="CN1531" s="200"/>
      <c r="CO1531" s="200"/>
      <c r="CP1531" s="200"/>
      <c r="CQ1531" s="200"/>
      <c r="CR1531" s="200"/>
      <c r="CS1531" s="200"/>
      <c r="CT1531" s="200"/>
      <c r="CU1531" s="200"/>
    </row>
    <row r="1532" spans="1:99" s="17" customFormat="1" x14ac:dyDescent="0.2">
      <c r="A1532" s="25"/>
      <c r="B1532" s="20">
        <v>39151714901</v>
      </c>
      <c r="C1532" s="20">
        <v>7149.01</v>
      </c>
      <c r="D1532" s="20" t="s">
        <v>81</v>
      </c>
      <c r="E1532" s="20" t="s">
        <v>2844</v>
      </c>
      <c r="F1532" s="20" t="s">
        <v>8</v>
      </c>
      <c r="G1532" s="861">
        <v>49.824442632073399</v>
      </c>
      <c r="H1532" s="861">
        <v>50.1476842132897</v>
      </c>
      <c r="I1532" s="861">
        <v>29.295799485860201</v>
      </c>
      <c r="J1532" s="861">
        <v>40.118500139172397</v>
      </c>
      <c r="K1532" s="982">
        <v>0</v>
      </c>
      <c r="L1532" s="735">
        <v>3938</v>
      </c>
      <c r="M1532" s="735">
        <v>3823</v>
      </c>
      <c r="N1532" s="845">
        <f t="shared" si="128"/>
        <v>-2.9202640934484509E-2</v>
      </c>
      <c r="O1532" s="735">
        <v>31.666153092880418</v>
      </c>
      <c r="P1532" s="735">
        <f t="shared" si="129"/>
        <v>120.72827377505274</v>
      </c>
      <c r="Q1532" s="849">
        <v>52.4</v>
      </c>
      <c r="R1532" s="71">
        <v>74194</v>
      </c>
      <c r="S1532" s="845">
        <v>5.6037884767166535E-2</v>
      </c>
      <c r="T1532" s="845">
        <v>7.8E-2</v>
      </c>
      <c r="U1532" s="845">
        <v>2E-3</v>
      </c>
      <c r="V1532" s="845">
        <v>0</v>
      </c>
      <c r="W1532" s="845">
        <v>0.14620535714285715</v>
      </c>
      <c r="X1532" s="845">
        <v>0.36641221374045801</v>
      </c>
      <c r="Y1532" s="845">
        <v>0.96024064870520531</v>
      </c>
      <c r="Z1532" s="845">
        <v>1.3078733978550876E-3</v>
      </c>
      <c r="AA1532" s="845">
        <v>0</v>
      </c>
      <c r="AB1532" s="845">
        <v>0</v>
      </c>
      <c r="AC1532" s="845">
        <v>0</v>
      </c>
      <c r="AD1532" s="845">
        <v>0</v>
      </c>
      <c r="AE1532" s="845">
        <v>3.8451477896939576E-2</v>
      </c>
      <c r="AF1532" s="845">
        <v>4.18519487313628E-3</v>
      </c>
      <c r="AG1532" s="845">
        <v>0.96024064870520531</v>
      </c>
      <c r="AH1532" s="20" t="str">
        <f t="shared" si="130"/>
        <v>Yes</v>
      </c>
      <c r="AI1532" s="25"/>
      <c r="AJ1532" s="37">
        <v>45622</v>
      </c>
      <c r="AK1532" s="37" t="s">
        <v>1778</v>
      </c>
      <c r="AL1532" s="37">
        <v>39163</v>
      </c>
      <c r="AM1532" s="37" t="s">
        <v>87</v>
      </c>
      <c r="AN1532" s="37" t="str">
        <f t="shared" si="131"/>
        <v>N/A</v>
      </c>
      <c r="AO1532" s="37" t="str">
        <f t="shared" si="132"/>
        <v>N/A</v>
      </c>
      <c r="AP1532" s="37" t="s">
        <v>8</v>
      </c>
      <c r="AQ1532" s="25"/>
      <c r="AR1532" s="25"/>
      <c r="AS1532" s="25"/>
      <c r="AT1532" s="25"/>
      <c r="AU1532" s="36"/>
      <c r="AV1532" s="36"/>
      <c r="AW1532" s="36"/>
      <c r="AX1532" s="25"/>
      <c r="AY1532" s="25"/>
      <c r="AZ1532" s="25"/>
      <c r="BA1532" s="25"/>
      <c r="BB1532" s="25"/>
      <c r="BC1532" s="25"/>
      <c r="BD1532" s="25"/>
      <c r="BE1532" s="25"/>
      <c r="BF1532" s="25"/>
      <c r="BG1532" s="25"/>
      <c r="BH1532" s="25"/>
      <c r="BI1532" s="25"/>
      <c r="BJ1532" s="25"/>
      <c r="BK1532" s="25"/>
      <c r="BL1532" s="25"/>
      <c r="BM1532" s="25"/>
      <c r="BN1532" s="25"/>
      <c r="BO1532" s="25"/>
      <c r="BP1532" s="25"/>
      <c r="BQ1532" s="25"/>
      <c r="BR1532" s="25"/>
      <c r="BS1532" s="25"/>
      <c r="BT1532" s="25"/>
      <c r="BU1532" s="25"/>
      <c r="BV1532" s="25"/>
      <c r="BW1532" s="25"/>
      <c r="BX1532" s="25"/>
      <c r="BY1532" s="25"/>
      <c r="BZ1532" s="25"/>
      <c r="CA1532" s="25"/>
      <c r="CB1532" s="25"/>
      <c r="CC1532" s="25"/>
      <c r="CD1532" s="25"/>
      <c r="CE1532" s="200"/>
      <c r="CF1532" s="200"/>
      <c r="CG1532" s="200"/>
      <c r="CH1532" s="200"/>
      <c r="CI1532" s="200"/>
      <c r="CJ1532" s="200"/>
      <c r="CK1532" s="200"/>
      <c r="CL1532" s="200"/>
      <c r="CM1532" s="200"/>
      <c r="CN1532" s="200"/>
      <c r="CO1532" s="200"/>
      <c r="CP1532" s="200"/>
      <c r="CQ1532" s="200"/>
      <c r="CR1532" s="200"/>
      <c r="CS1532" s="200"/>
      <c r="CT1532" s="200"/>
      <c r="CU1532" s="200"/>
    </row>
    <row r="1533" spans="1:99" s="17" customFormat="1" x14ac:dyDescent="0.2">
      <c r="A1533" s="25"/>
      <c r="B1533" s="20">
        <v>39035171204</v>
      </c>
      <c r="C1533" s="20">
        <v>1712.04</v>
      </c>
      <c r="D1533" s="20" t="s">
        <v>24</v>
      </c>
      <c r="E1533" s="20" t="s">
        <v>2829</v>
      </c>
      <c r="F1533" s="20" t="s">
        <v>6</v>
      </c>
      <c r="G1533" s="861">
        <v>49.8055857938771</v>
      </c>
      <c r="H1533" s="861">
        <v>56.088774750918297</v>
      </c>
      <c r="I1533" s="861">
        <v>40.769142888598303</v>
      </c>
      <c r="J1533" s="861">
        <v>54.503007631052803</v>
      </c>
      <c r="K1533" s="982">
        <v>0</v>
      </c>
      <c r="L1533" s="735">
        <v>1825</v>
      </c>
      <c r="M1533" s="735">
        <v>1918</v>
      </c>
      <c r="N1533" s="845">
        <f t="shared" si="128"/>
        <v>5.0958904109589039E-2</v>
      </c>
      <c r="O1533" s="735">
        <v>0.66621425532335743</v>
      </c>
      <c r="P1533" s="735">
        <f t="shared" si="129"/>
        <v>2878.9537069708435</v>
      </c>
      <c r="Q1533" s="849">
        <v>37.799999999999997</v>
      </c>
      <c r="R1533" s="71">
        <v>48487</v>
      </c>
      <c r="S1533" s="845">
        <v>0.25964546402502608</v>
      </c>
      <c r="T1533" s="845">
        <v>0.11199999999999999</v>
      </c>
      <c r="U1533" s="845">
        <v>9.0000000000000011E-3</v>
      </c>
      <c r="V1533" s="845">
        <v>0</v>
      </c>
      <c r="W1533" s="845">
        <v>0.31053351573187415</v>
      </c>
      <c r="X1533" s="845">
        <v>0.27312775330396477</v>
      </c>
      <c r="Y1533" s="845">
        <v>0.19082377476538059</v>
      </c>
      <c r="Z1533" s="845">
        <v>0.75338894681960378</v>
      </c>
      <c r="AA1533" s="845">
        <v>0</v>
      </c>
      <c r="AB1533" s="845">
        <v>4.6923879040667365E-3</v>
      </c>
      <c r="AC1533" s="845">
        <v>0</v>
      </c>
      <c r="AD1533" s="845">
        <v>0</v>
      </c>
      <c r="AE1533" s="845">
        <v>5.1094890510948905E-2</v>
      </c>
      <c r="AF1533" s="845">
        <v>1.9290928050052138E-2</v>
      </c>
      <c r="AG1533" s="845">
        <v>0.19082377476538059</v>
      </c>
      <c r="AH1533" s="20" t="str">
        <f t="shared" si="130"/>
        <v>No</v>
      </c>
      <c r="AI1533" s="25"/>
      <c r="AJ1533" s="37">
        <v>45634</v>
      </c>
      <c r="AK1533" s="37" t="s">
        <v>1785</v>
      </c>
      <c r="AL1533" s="37">
        <v>39163</v>
      </c>
      <c r="AM1533" s="37" t="s">
        <v>87</v>
      </c>
      <c r="AN1533" s="37" t="str">
        <f t="shared" si="131"/>
        <v>N/A</v>
      </c>
      <c r="AO1533" s="37" t="str">
        <f t="shared" si="132"/>
        <v>N/A</v>
      </c>
      <c r="AP1533" s="37" t="s">
        <v>8</v>
      </c>
      <c r="AQ1533" s="25"/>
      <c r="AR1533" s="25"/>
      <c r="AS1533" s="25"/>
      <c r="AT1533" s="25"/>
      <c r="AU1533" s="36"/>
      <c r="AV1533" s="36"/>
      <c r="AW1533" s="36"/>
      <c r="AX1533" s="25"/>
      <c r="AY1533" s="25"/>
      <c r="AZ1533" s="25"/>
      <c r="BA1533" s="25"/>
      <c r="BB1533" s="25"/>
      <c r="BC1533" s="25"/>
      <c r="BD1533" s="25"/>
      <c r="BE1533" s="25"/>
      <c r="BF1533" s="25"/>
      <c r="BG1533" s="25"/>
      <c r="BH1533" s="25"/>
      <c r="BI1533" s="25"/>
      <c r="BJ1533" s="25"/>
      <c r="BK1533" s="25"/>
      <c r="BL1533" s="25"/>
      <c r="BM1533" s="25"/>
      <c r="BN1533" s="25"/>
      <c r="BO1533" s="25"/>
      <c r="BP1533" s="25"/>
      <c r="BQ1533" s="25"/>
      <c r="BR1533" s="25"/>
      <c r="BS1533" s="25"/>
      <c r="BT1533" s="25"/>
      <c r="BU1533" s="25"/>
      <c r="BV1533" s="25"/>
      <c r="BW1533" s="25"/>
      <c r="BX1533" s="25"/>
      <c r="BY1533" s="25"/>
      <c r="BZ1533" s="25"/>
      <c r="CA1533" s="25"/>
      <c r="CB1533" s="25"/>
      <c r="CC1533" s="25"/>
      <c r="CD1533" s="25"/>
      <c r="CE1533" s="200"/>
      <c r="CF1533" s="200"/>
      <c r="CG1533" s="200"/>
      <c r="CH1533" s="200"/>
      <c r="CI1533" s="200"/>
      <c r="CJ1533" s="200"/>
      <c r="CK1533" s="200"/>
      <c r="CL1533" s="200"/>
      <c r="CM1533" s="200"/>
      <c r="CN1533" s="200"/>
      <c r="CO1533" s="200"/>
      <c r="CP1533" s="200"/>
      <c r="CQ1533" s="200"/>
      <c r="CR1533" s="200"/>
      <c r="CS1533" s="200"/>
      <c r="CT1533" s="200"/>
      <c r="CU1533" s="200"/>
    </row>
    <row r="1534" spans="1:99" s="17" customFormat="1" x14ac:dyDescent="0.2">
      <c r="A1534" s="25"/>
      <c r="B1534" s="20">
        <v>39093071202</v>
      </c>
      <c r="C1534" s="20">
        <v>712.02</v>
      </c>
      <c r="D1534" s="20" t="s">
        <v>52</v>
      </c>
      <c r="E1534" s="20" t="s">
        <v>2829</v>
      </c>
      <c r="F1534" s="20" t="s">
        <v>8</v>
      </c>
      <c r="G1534" s="861">
        <v>49.793093506401398</v>
      </c>
      <c r="H1534" s="861">
        <v>55.504050163828502</v>
      </c>
      <c r="I1534" s="861">
        <v>29.826176284841601</v>
      </c>
      <c r="J1534" s="861">
        <v>22.0239673594001</v>
      </c>
      <c r="K1534" s="982">
        <v>0</v>
      </c>
      <c r="L1534" s="735">
        <v>4384</v>
      </c>
      <c r="M1534" s="735">
        <v>3929</v>
      </c>
      <c r="N1534" s="845">
        <f t="shared" si="128"/>
        <v>-0.10378649635036497</v>
      </c>
      <c r="O1534" s="735">
        <v>1.4596094033806202</v>
      </c>
      <c r="P1534" s="735">
        <f t="shared" si="129"/>
        <v>2691.8160371534964</v>
      </c>
      <c r="Q1534" s="849">
        <v>47.7</v>
      </c>
      <c r="R1534" s="71">
        <v>85585</v>
      </c>
      <c r="S1534" s="845">
        <v>5.2631578947368418E-2</v>
      </c>
      <c r="T1534" s="845">
        <v>3.2000000000000001E-2</v>
      </c>
      <c r="U1534" s="845">
        <v>0</v>
      </c>
      <c r="V1534" s="845">
        <v>0.19800000000000001</v>
      </c>
      <c r="W1534" s="845">
        <v>0.17374999999999999</v>
      </c>
      <c r="X1534" s="845">
        <v>0.37050359712230213</v>
      </c>
      <c r="Y1534" s="845">
        <v>0.86383303639602949</v>
      </c>
      <c r="Z1534" s="845">
        <v>9.086281496564011E-2</v>
      </c>
      <c r="AA1534" s="845">
        <v>0</v>
      </c>
      <c r="AB1534" s="845">
        <v>1.374395520488674E-2</v>
      </c>
      <c r="AC1534" s="845">
        <v>0</v>
      </c>
      <c r="AD1534" s="845">
        <v>2.7996945787732248E-3</v>
      </c>
      <c r="AE1534" s="845">
        <v>2.8760498854670399E-2</v>
      </c>
      <c r="AF1534" s="845">
        <v>5.7520997709340799E-2</v>
      </c>
      <c r="AG1534" s="845">
        <v>0.82285568847034873</v>
      </c>
      <c r="AH1534" s="20" t="str">
        <f t="shared" si="130"/>
        <v>No</v>
      </c>
      <c r="AI1534" s="25"/>
      <c r="AJ1534" s="37">
        <v>45647</v>
      </c>
      <c r="AK1534" s="37" t="s">
        <v>1793</v>
      </c>
      <c r="AL1534" s="37">
        <v>39163</v>
      </c>
      <c r="AM1534" s="37" t="s">
        <v>87</v>
      </c>
      <c r="AN1534" s="37" t="str">
        <f t="shared" si="131"/>
        <v>N/A</v>
      </c>
      <c r="AO1534" s="37" t="str">
        <f t="shared" si="132"/>
        <v>N/A</v>
      </c>
      <c r="AP1534" s="37" t="s">
        <v>8</v>
      </c>
      <c r="AQ1534" s="25"/>
      <c r="AR1534" s="25"/>
      <c r="AS1534" s="25"/>
      <c r="AT1534" s="25"/>
      <c r="AU1534" s="36"/>
      <c r="AV1534" s="36"/>
      <c r="AW1534" s="36"/>
      <c r="AX1534" s="25"/>
      <c r="AY1534" s="25"/>
      <c r="AZ1534" s="25"/>
      <c r="BA1534" s="25"/>
      <c r="BB1534" s="25"/>
      <c r="BC1534" s="25"/>
      <c r="BD1534" s="25"/>
      <c r="BE1534" s="25"/>
      <c r="BF1534" s="25"/>
      <c r="BG1534" s="25"/>
      <c r="BH1534" s="25"/>
      <c r="BI1534" s="25"/>
      <c r="BJ1534" s="25"/>
      <c r="BK1534" s="25"/>
      <c r="BL1534" s="25"/>
      <c r="BM1534" s="25"/>
      <c r="BN1534" s="25"/>
      <c r="BO1534" s="25"/>
      <c r="BP1534" s="25"/>
      <c r="BQ1534" s="25"/>
      <c r="BR1534" s="25"/>
      <c r="BS1534" s="25"/>
      <c r="BT1534" s="25"/>
      <c r="BU1534" s="25"/>
      <c r="BV1534" s="25"/>
      <c r="BW1534" s="25"/>
      <c r="BX1534" s="25"/>
      <c r="BY1534" s="25"/>
      <c r="BZ1534" s="25"/>
      <c r="CA1534" s="25"/>
      <c r="CB1534" s="25"/>
      <c r="CC1534" s="25"/>
      <c r="CD1534" s="25"/>
      <c r="CE1534" s="200"/>
      <c r="CF1534" s="200"/>
      <c r="CG1534" s="200"/>
      <c r="CH1534" s="200"/>
      <c r="CI1534" s="200"/>
      <c r="CJ1534" s="200"/>
      <c r="CK1534" s="200"/>
      <c r="CL1534" s="200"/>
      <c r="CM1534" s="200"/>
      <c r="CN1534" s="200"/>
      <c r="CO1534" s="200"/>
      <c r="CP1534" s="200"/>
      <c r="CQ1534" s="200"/>
      <c r="CR1534" s="200"/>
      <c r="CS1534" s="200"/>
      <c r="CT1534" s="200"/>
      <c r="CU1534" s="200"/>
    </row>
    <row r="1535" spans="1:99" s="17" customFormat="1" x14ac:dyDescent="0.2">
      <c r="A1535" s="25"/>
      <c r="B1535" s="20">
        <v>39151711502</v>
      </c>
      <c r="C1535" s="20">
        <v>7115.02</v>
      </c>
      <c r="D1535" s="20" t="s">
        <v>81</v>
      </c>
      <c r="E1535" s="20" t="s">
        <v>2844</v>
      </c>
      <c r="F1535" s="20" t="s">
        <v>8</v>
      </c>
      <c r="G1535" s="861">
        <v>49.783895772726098</v>
      </c>
      <c r="H1535" s="861">
        <v>51.772941217456498</v>
      </c>
      <c r="I1535" s="861">
        <v>17.127829406586201</v>
      </c>
      <c r="J1535" s="861">
        <v>41.7882523208403</v>
      </c>
      <c r="K1535" s="982">
        <v>0</v>
      </c>
      <c r="L1535" s="735">
        <v>3153</v>
      </c>
      <c r="M1535" s="735">
        <v>3770</v>
      </c>
      <c r="N1535" s="845">
        <f t="shared" si="128"/>
        <v>0.19568664763717095</v>
      </c>
      <c r="O1535" s="735">
        <v>1.7194414842313699</v>
      </c>
      <c r="P1535" s="735">
        <f t="shared" si="129"/>
        <v>2192.5724338826672</v>
      </c>
      <c r="Q1535" s="849">
        <v>49.2</v>
      </c>
      <c r="R1535" s="71">
        <v>92083</v>
      </c>
      <c r="S1535" s="845">
        <v>5.4376657824933686E-2</v>
      </c>
      <c r="T1535" s="845">
        <v>4.4000000000000004E-2</v>
      </c>
      <c r="U1535" s="845">
        <v>0</v>
      </c>
      <c r="V1535" s="845">
        <v>6.0999999999999999E-2</v>
      </c>
      <c r="W1535" s="845">
        <v>0.16371971185330714</v>
      </c>
      <c r="X1535" s="845">
        <v>0.224</v>
      </c>
      <c r="Y1535" s="845">
        <v>0.77374005305039784</v>
      </c>
      <c r="Z1535" s="845">
        <v>5.5437665782493366E-2</v>
      </c>
      <c r="AA1535" s="845">
        <v>0</v>
      </c>
      <c r="AB1535" s="845">
        <v>6.4721485411140589E-2</v>
      </c>
      <c r="AC1535" s="845">
        <v>0</v>
      </c>
      <c r="AD1535" s="845">
        <v>3.9787798408488064E-3</v>
      </c>
      <c r="AE1535" s="845">
        <v>0.10212201591511937</v>
      </c>
      <c r="AF1535" s="845">
        <v>4.986737400530504E-2</v>
      </c>
      <c r="AG1535" s="845">
        <v>0.77374005305039784</v>
      </c>
      <c r="AH1535" s="20" t="str">
        <f t="shared" si="130"/>
        <v>No</v>
      </c>
      <c r="AI1535" s="25"/>
      <c r="AJ1535" s="37">
        <v>45651</v>
      </c>
      <c r="AK1535" s="37" t="s">
        <v>1796</v>
      </c>
      <c r="AL1535" s="37">
        <v>39163</v>
      </c>
      <c r="AM1535" s="37" t="s">
        <v>87</v>
      </c>
      <c r="AN1535" s="37" t="str">
        <f t="shared" si="131"/>
        <v>N/A</v>
      </c>
      <c r="AO1535" s="37" t="str">
        <f t="shared" si="132"/>
        <v>N/A</v>
      </c>
      <c r="AP1535" s="37" t="s">
        <v>8</v>
      </c>
      <c r="AQ1535" s="25"/>
      <c r="AR1535" s="25"/>
      <c r="AS1535" s="25"/>
      <c r="AT1535" s="25"/>
      <c r="AU1535" s="36"/>
      <c r="AV1535" s="36"/>
      <c r="AW1535" s="36"/>
      <c r="AX1535" s="25"/>
      <c r="AY1535" s="25"/>
      <c r="AZ1535" s="25"/>
      <c r="BA1535" s="25"/>
      <c r="BB1535" s="25"/>
      <c r="BC1535" s="25"/>
      <c r="BD1535" s="25"/>
      <c r="BE1535" s="25"/>
      <c r="BF1535" s="25"/>
      <c r="BG1535" s="25"/>
      <c r="BH1535" s="25"/>
      <c r="BI1535" s="25"/>
      <c r="BJ1535" s="25"/>
      <c r="BK1535" s="25"/>
      <c r="BL1535" s="25"/>
      <c r="BM1535" s="25"/>
      <c r="BN1535" s="25"/>
      <c r="BO1535" s="25"/>
      <c r="BP1535" s="25"/>
      <c r="BQ1535" s="25"/>
      <c r="BR1535" s="25"/>
      <c r="BS1535" s="25"/>
      <c r="BT1535" s="25"/>
      <c r="BU1535" s="25"/>
      <c r="BV1535" s="25"/>
      <c r="BW1535" s="25"/>
      <c r="BX1535" s="25"/>
      <c r="BY1535" s="25"/>
      <c r="BZ1535" s="25"/>
      <c r="CA1535" s="25"/>
      <c r="CB1535" s="25"/>
      <c r="CC1535" s="25"/>
      <c r="CD1535" s="25"/>
      <c r="CE1535" s="200"/>
      <c r="CF1535" s="200"/>
      <c r="CG1535" s="200"/>
      <c r="CH1535" s="200"/>
      <c r="CI1535" s="200"/>
      <c r="CJ1535" s="200"/>
      <c r="CK1535" s="200"/>
      <c r="CL1535" s="200"/>
      <c r="CM1535" s="200"/>
      <c r="CN1535" s="200"/>
      <c r="CO1535" s="200"/>
      <c r="CP1535" s="200"/>
      <c r="CQ1535" s="200"/>
      <c r="CR1535" s="200"/>
      <c r="CS1535" s="200"/>
      <c r="CT1535" s="200"/>
      <c r="CU1535" s="200"/>
    </row>
    <row r="1536" spans="1:99" s="17" customFormat="1" x14ac:dyDescent="0.2">
      <c r="A1536" s="25"/>
      <c r="B1536" s="20">
        <v>39049006944</v>
      </c>
      <c r="C1536" s="20">
        <v>69.44</v>
      </c>
      <c r="D1536" s="20" t="s">
        <v>31</v>
      </c>
      <c r="E1536" s="20" t="s">
        <v>2830</v>
      </c>
      <c r="F1536" s="20" t="s">
        <v>8</v>
      </c>
      <c r="G1536" s="861">
        <v>49.7774999800233</v>
      </c>
      <c r="H1536" s="861">
        <v>66.799674079463401</v>
      </c>
      <c r="I1536" s="861">
        <v>19.6522815494029</v>
      </c>
      <c r="J1536" s="861">
        <v>36.382048822894802</v>
      </c>
      <c r="K1536" s="982">
        <v>0</v>
      </c>
      <c r="L1536" s="735">
        <v>4079</v>
      </c>
      <c r="M1536" s="735">
        <v>4725</v>
      </c>
      <c r="N1536" s="845">
        <f t="shared" si="128"/>
        <v>0.15837215003677371</v>
      </c>
      <c r="O1536" s="735">
        <v>0.98751495812851442</v>
      </c>
      <c r="P1536" s="735">
        <f t="shared" si="129"/>
        <v>4784.7376499031143</v>
      </c>
      <c r="Q1536" s="849">
        <v>44.5</v>
      </c>
      <c r="R1536" s="71">
        <v>76667</v>
      </c>
      <c r="S1536" s="845">
        <v>0.18793650793650793</v>
      </c>
      <c r="T1536" s="845">
        <v>2.5000000000000001E-2</v>
      </c>
      <c r="U1536" s="845">
        <v>0</v>
      </c>
      <c r="V1536" s="845">
        <v>5.9000000000000004E-2</v>
      </c>
      <c r="W1536" s="845">
        <v>0.2379979570990807</v>
      </c>
      <c r="X1536" s="845">
        <v>0.14592274678111589</v>
      </c>
      <c r="Y1536" s="845">
        <v>0.67132275132275132</v>
      </c>
      <c r="Z1536" s="845">
        <v>0.26857142857142857</v>
      </c>
      <c r="AA1536" s="845">
        <v>0</v>
      </c>
      <c r="AB1536" s="845">
        <v>4.2328042328042331E-3</v>
      </c>
      <c r="AC1536" s="845">
        <v>0</v>
      </c>
      <c r="AD1536" s="845">
        <v>1.3968253968253968E-2</v>
      </c>
      <c r="AE1536" s="845">
        <v>4.1904761904761903E-2</v>
      </c>
      <c r="AF1536" s="845">
        <v>2.7513227513227514E-2</v>
      </c>
      <c r="AG1536" s="845">
        <v>0.65777777777777779</v>
      </c>
      <c r="AH1536" s="20" t="str">
        <f t="shared" si="130"/>
        <v>No</v>
      </c>
      <c r="AI1536" s="25"/>
      <c r="AJ1536" s="37">
        <v>45654</v>
      </c>
      <c r="AK1536" s="37" t="s">
        <v>1799</v>
      </c>
      <c r="AL1536" s="37">
        <v>39163</v>
      </c>
      <c r="AM1536" s="37" t="s">
        <v>87</v>
      </c>
      <c r="AN1536" s="37" t="str">
        <f t="shared" si="131"/>
        <v>N/A</v>
      </c>
      <c r="AO1536" s="37" t="str">
        <f t="shared" si="132"/>
        <v>N/A</v>
      </c>
      <c r="AP1536" s="37" t="s">
        <v>8</v>
      </c>
      <c r="AQ1536" s="25"/>
      <c r="AR1536" s="25"/>
      <c r="AS1536" s="25"/>
      <c r="AT1536" s="25"/>
      <c r="AU1536" s="36"/>
      <c r="AV1536" s="36"/>
      <c r="AW1536" s="36"/>
      <c r="AX1536" s="25"/>
      <c r="AY1536" s="25"/>
      <c r="AZ1536" s="25"/>
      <c r="BA1536" s="25"/>
      <c r="BB1536" s="25"/>
      <c r="BC1536" s="25"/>
      <c r="BD1536" s="25"/>
      <c r="BE1536" s="25"/>
      <c r="BF1536" s="25"/>
      <c r="BG1536" s="25"/>
      <c r="BH1536" s="25"/>
      <c r="BI1536" s="25"/>
      <c r="BJ1536" s="25"/>
      <c r="BK1536" s="25"/>
      <c r="BL1536" s="25"/>
      <c r="BM1536" s="25"/>
      <c r="BN1536" s="25"/>
      <c r="BO1536" s="25"/>
      <c r="BP1536" s="25"/>
      <c r="BQ1536" s="25"/>
      <c r="BR1536" s="25"/>
      <c r="BS1536" s="25"/>
      <c r="BT1536" s="25"/>
      <c r="BU1536" s="25"/>
      <c r="BV1536" s="25"/>
      <c r="BW1536" s="25"/>
      <c r="BX1536" s="25"/>
      <c r="BY1536" s="25"/>
      <c r="BZ1536" s="25"/>
      <c r="CA1536" s="25"/>
      <c r="CB1536" s="25"/>
      <c r="CC1536" s="25"/>
      <c r="CD1536" s="25"/>
      <c r="CE1536" s="200"/>
      <c r="CF1536" s="200"/>
      <c r="CG1536" s="200"/>
      <c r="CH1536" s="200"/>
      <c r="CI1536" s="200"/>
      <c r="CJ1536" s="200"/>
      <c r="CK1536" s="200"/>
      <c r="CL1536" s="200"/>
      <c r="CM1536" s="200"/>
      <c r="CN1536" s="200"/>
      <c r="CO1536" s="200"/>
      <c r="CP1536" s="200"/>
      <c r="CQ1536" s="200"/>
      <c r="CR1536" s="200"/>
      <c r="CS1536" s="200"/>
      <c r="CT1536" s="200"/>
      <c r="CU1536" s="200"/>
    </row>
    <row r="1537" spans="1:99" s="17" customFormat="1" x14ac:dyDescent="0.2">
      <c r="A1537" s="25"/>
      <c r="B1537" s="20">
        <v>39109320100</v>
      </c>
      <c r="C1537" s="20">
        <v>3201</v>
      </c>
      <c r="D1537" s="20" t="s">
        <v>60</v>
      </c>
      <c r="E1537" s="20" t="s">
        <v>2833</v>
      </c>
      <c r="F1537" s="20" t="s">
        <v>8</v>
      </c>
      <c r="G1537" s="861">
        <v>49.743151271256799</v>
      </c>
      <c r="H1537" s="861">
        <v>59.865070762534501</v>
      </c>
      <c r="I1537" s="861">
        <v>15.282881356837001</v>
      </c>
      <c r="J1537" s="861">
        <v>52.535103622461897</v>
      </c>
      <c r="K1537" s="982">
        <v>0</v>
      </c>
      <c r="L1537" s="735">
        <v>3713</v>
      </c>
      <c r="M1537" s="735">
        <v>3748</v>
      </c>
      <c r="N1537" s="845">
        <f t="shared" si="128"/>
        <v>9.4263398868839211E-3</v>
      </c>
      <c r="O1537" s="735">
        <v>37.830063243031645</v>
      </c>
      <c r="P1537" s="735">
        <f t="shared" si="129"/>
        <v>99.074642723215305</v>
      </c>
      <c r="Q1537" s="849">
        <v>51.6</v>
      </c>
      <c r="R1537" s="71">
        <v>68929</v>
      </c>
      <c r="S1537" s="845">
        <v>3.6758787228333784E-2</v>
      </c>
      <c r="T1537" s="845">
        <v>4.5999999999999999E-2</v>
      </c>
      <c r="U1537" s="845">
        <v>2E-3</v>
      </c>
      <c r="V1537" s="845">
        <v>0</v>
      </c>
      <c r="W1537" s="845">
        <v>7.8061911170928672E-2</v>
      </c>
      <c r="X1537" s="845">
        <v>6.0344827586206899E-2</v>
      </c>
      <c r="Y1537" s="845">
        <v>0.98292422625400211</v>
      </c>
      <c r="Z1537" s="845">
        <v>6.4034151547491995E-3</v>
      </c>
      <c r="AA1537" s="845">
        <v>0</v>
      </c>
      <c r="AB1537" s="845">
        <v>0</v>
      </c>
      <c r="AC1537" s="845">
        <v>0</v>
      </c>
      <c r="AD1537" s="845">
        <v>0</v>
      </c>
      <c r="AE1537" s="845">
        <v>1.0672358591248666E-2</v>
      </c>
      <c r="AF1537" s="845">
        <v>0</v>
      </c>
      <c r="AG1537" s="845">
        <v>0.98292422625400211</v>
      </c>
      <c r="AH1537" s="20" t="str">
        <f t="shared" si="130"/>
        <v>Yes</v>
      </c>
      <c r="AI1537" s="25"/>
      <c r="AJ1537" s="37">
        <v>45672</v>
      </c>
      <c r="AK1537" s="37" t="s">
        <v>1810</v>
      </c>
      <c r="AL1537" s="37">
        <v>39163</v>
      </c>
      <c r="AM1537" s="37" t="s">
        <v>87</v>
      </c>
      <c r="AN1537" s="37" t="str">
        <f t="shared" si="131"/>
        <v>N/A</v>
      </c>
      <c r="AO1537" s="37" t="str">
        <f t="shared" si="132"/>
        <v>N/A</v>
      </c>
      <c r="AP1537" s="37" t="s">
        <v>8</v>
      </c>
      <c r="AQ1537" s="25"/>
      <c r="AR1537" s="25"/>
      <c r="AS1537" s="25"/>
      <c r="AT1537" s="25"/>
      <c r="AU1537" s="36"/>
      <c r="AV1537" s="36"/>
      <c r="AW1537" s="36"/>
      <c r="AX1537" s="25"/>
      <c r="AY1537" s="25"/>
      <c r="AZ1537" s="25"/>
      <c r="BA1537" s="25"/>
      <c r="BB1537" s="25"/>
      <c r="BC1537" s="25"/>
      <c r="BD1537" s="25"/>
      <c r="BE1537" s="25"/>
      <c r="BF1537" s="25"/>
      <c r="BG1537" s="25"/>
      <c r="BH1537" s="25"/>
      <c r="BI1537" s="25"/>
      <c r="BJ1537" s="25"/>
      <c r="BK1537" s="25"/>
      <c r="BL1537" s="25"/>
      <c r="BM1537" s="25"/>
      <c r="BN1537" s="25"/>
      <c r="BO1537" s="25"/>
      <c r="BP1537" s="25"/>
      <c r="BQ1537" s="25"/>
      <c r="BR1537" s="25"/>
      <c r="BS1537" s="25"/>
      <c r="BT1537" s="25"/>
      <c r="BU1537" s="25"/>
      <c r="BV1537" s="25"/>
      <c r="BW1537" s="25"/>
      <c r="BX1537" s="25"/>
      <c r="BY1537" s="25"/>
      <c r="BZ1537" s="25"/>
      <c r="CA1537" s="25"/>
      <c r="CB1537" s="25"/>
      <c r="CC1537" s="25"/>
      <c r="CD1537" s="25"/>
      <c r="CE1537" s="200"/>
      <c r="CF1537" s="200"/>
      <c r="CG1537" s="200"/>
      <c r="CH1537" s="200"/>
      <c r="CI1537" s="200"/>
      <c r="CJ1537" s="200"/>
      <c r="CK1537" s="200"/>
      <c r="CL1537" s="200"/>
      <c r="CM1537" s="200"/>
      <c r="CN1537" s="200"/>
      <c r="CO1537" s="200"/>
      <c r="CP1537" s="200"/>
      <c r="CQ1537" s="200"/>
      <c r="CR1537" s="200"/>
      <c r="CS1537" s="200"/>
      <c r="CT1537" s="200"/>
      <c r="CU1537" s="200"/>
    </row>
    <row r="1538" spans="1:99" s="17" customFormat="1" x14ac:dyDescent="0.2">
      <c r="A1538" s="25"/>
      <c r="B1538" s="20">
        <v>39099810900</v>
      </c>
      <c r="C1538" s="20">
        <v>8109</v>
      </c>
      <c r="D1538" s="20" t="s">
        <v>55</v>
      </c>
      <c r="E1538" s="20" t="s">
        <v>2842</v>
      </c>
      <c r="F1538" s="20" t="s">
        <v>8</v>
      </c>
      <c r="G1538" s="861">
        <v>49.743011635020501</v>
      </c>
      <c r="H1538" s="861">
        <v>49.911105256930803</v>
      </c>
      <c r="I1538" s="861">
        <v>21.610467399824302</v>
      </c>
      <c r="J1538" s="861">
        <v>41.437634729266001</v>
      </c>
      <c r="K1538" s="982">
        <v>0</v>
      </c>
      <c r="L1538" s="735">
        <v>2167</v>
      </c>
      <c r="M1538" s="735">
        <v>1833</v>
      </c>
      <c r="N1538" s="845">
        <f t="shared" si="128"/>
        <v>-0.15413013382556529</v>
      </c>
      <c r="O1538" s="735">
        <v>16.319586887987683</v>
      </c>
      <c r="P1538" s="735">
        <f t="shared" si="129"/>
        <v>112.31901962844486</v>
      </c>
      <c r="Q1538" s="849">
        <v>54.5</v>
      </c>
      <c r="R1538" s="71">
        <v>72132</v>
      </c>
      <c r="S1538" s="845">
        <v>9.6563011456628475E-2</v>
      </c>
      <c r="T1538" s="845">
        <v>5.2000000000000005E-2</v>
      </c>
      <c r="U1538" s="845">
        <v>6.9999999999999993E-3</v>
      </c>
      <c r="V1538" s="845">
        <v>0</v>
      </c>
      <c r="W1538" s="845">
        <v>9.1009988901220862E-2</v>
      </c>
      <c r="X1538" s="845">
        <v>0.31707317073170732</v>
      </c>
      <c r="Y1538" s="845">
        <v>0.93507910529187122</v>
      </c>
      <c r="Z1538" s="845">
        <v>1.5821058374249863E-2</v>
      </c>
      <c r="AA1538" s="845">
        <v>0</v>
      </c>
      <c r="AB1538" s="845">
        <v>0</v>
      </c>
      <c r="AC1538" s="845">
        <v>0</v>
      </c>
      <c r="AD1538" s="845">
        <v>5.4555373704309879E-3</v>
      </c>
      <c r="AE1538" s="845">
        <v>4.3644298963447903E-2</v>
      </c>
      <c r="AF1538" s="845">
        <v>8.1833060556464818E-2</v>
      </c>
      <c r="AG1538" s="845">
        <v>0.89143480632842331</v>
      </c>
      <c r="AH1538" s="20" t="str">
        <f t="shared" si="130"/>
        <v>No</v>
      </c>
      <c r="AI1538" s="25"/>
      <c r="AJ1538" s="37">
        <v>45686</v>
      </c>
      <c r="AK1538" s="37" t="s">
        <v>1821</v>
      </c>
      <c r="AL1538" s="37">
        <v>39163</v>
      </c>
      <c r="AM1538" s="37" t="s">
        <v>87</v>
      </c>
      <c r="AN1538" s="37" t="str">
        <f t="shared" si="131"/>
        <v>N/A</v>
      </c>
      <c r="AO1538" s="37" t="str">
        <f t="shared" si="132"/>
        <v>N/A</v>
      </c>
      <c r="AP1538" s="37" t="s">
        <v>8</v>
      </c>
      <c r="AQ1538" s="25"/>
      <c r="AR1538" s="25"/>
      <c r="AS1538" s="25"/>
      <c r="AT1538" s="25"/>
      <c r="AU1538" s="36"/>
      <c r="AV1538" s="36"/>
      <c r="AW1538" s="36"/>
      <c r="AX1538" s="25"/>
      <c r="AY1538" s="25"/>
      <c r="AZ1538" s="25"/>
      <c r="BA1538" s="25"/>
      <c r="BB1538" s="25"/>
      <c r="BC1538" s="25"/>
      <c r="BD1538" s="25"/>
      <c r="BE1538" s="25"/>
      <c r="BF1538" s="25"/>
      <c r="BG1538" s="25"/>
      <c r="BH1538" s="25"/>
      <c r="BI1538" s="25"/>
      <c r="BJ1538" s="25"/>
      <c r="BK1538" s="25"/>
      <c r="BL1538" s="25"/>
      <c r="BM1538" s="25"/>
      <c r="BN1538" s="25"/>
      <c r="BO1538" s="25"/>
      <c r="BP1538" s="25"/>
      <c r="BQ1538" s="25"/>
      <c r="BR1538" s="25"/>
      <c r="BS1538" s="25"/>
      <c r="BT1538" s="25"/>
      <c r="BU1538" s="25"/>
      <c r="BV1538" s="25"/>
      <c r="BW1538" s="25"/>
      <c r="BX1538" s="25"/>
      <c r="BY1538" s="25"/>
      <c r="BZ1538" s="25"/>
      <c r="CA1538" s="25"/>
      <c r="CB1538" s="25"/>
      <c r="CC1538" s="25"/>
      <c r="CD1538" s="25"/>
      <c r="CE1538" s="200"/>
      <c r="CF1538" s="200"/>
      <c r="CG1538" s="200"/>
      <c r="CH1538" s="200"/>
      <c r="CI1538" s="200"/>
      <c r="CJ1538" s="200"/>
      <c r="CK1538" s="200"/>
      <c r="CL1538" s="200"/>
      <c r="CM1538" s="200"/>
      <c r="CN1538" s="200"/>
      <c r="CO1538" s="200"/>
      <c r="CP1538" s="200"/>
      <c r="CQ1538" s="200"/>
      <c r="CR1538" s="200"/>
      <c r="CS1538" s="200"/>
      <c r="CT1538" s="200"/>
      <c r="CU1538" s="200"/>
    </row>
    <row r="1539" spans="1:99" s="17" customFormat="1" x14ac:dyDescent="0.2">
      <c r="A1539" s="25"/>
      <c r="B1539" s="20">
        <v>39159050200</v>
      </c>
      <c r="C1539" s="20">
        <v>502</v>
      </c>
      <c r="D1539" s="20" t="s">
        <v>85</v>
      </c>
      <c r="E1539" s="20" t="s">
        <v>2830</v>
      </c>
      <c r="F1539" s="20" t="s">
        <v>8</v>
      </c>
      <c r="G1539" s="861">
        <v>49.733003334841499</v>
      </c>
      <c r="H1539" s="861">
        <v>52.229704442049403</v>
      </c>
      <c r="I1539" s="861">
        <v>22.0172938958702</v>
      </c>
      <c r="J1539" s="861">
        <v>43.711658930571097</v>
      </c>
      <c r="K1539" s="982">
        <v>0</v>
      </c>
      <c r="L1539" s="735">
        <v>4771</v>
      </c>
      <c r="M1539" s="735">
        <v>5099</v>
      </c>
      <c r="N1539" s="845">
        <f t="shared" si="128"/>
        <v>6.8748690002095991E-2</v>
      </c>
      <c r="O1539" s="735">
        <v>71.857174664790264</v>
      </c>
      <c r="P1539" s="735">
        <f t="shared" si="129"/>
        <v>70.960207157970686</v>
      </c>
      <c r="Q1539" s="849">
        <v>40.1</v>
      </c>
      <c r="R1539" s="71">
        <v>82535</v>
      </c>
      <c r="S1539" s="845">
        <v>9.3817468105986263E-2</v>
      </c>
      <c r="T1539" s="845">
        <v>4.2999999999999997E-2</v>
      </c>
      <c r="U1539" s="845">
        <v>0</v>
      </c>
      <c r="V1539" s="845">
        <v>8.5000000000000006E-2</v>
      </c>
      <c r="W1539" s="845">
        <v>0.14546402502606881</v>
      </c>
      <c r="X1539" s="845">
        <v>0.26881720430107525</v>
      </c>
      <c r="Y1539" s="845">
        <v>0.96646401255148073</v>
      </c>
      <c r="Z1539" s="845">
        <v>0</v>
      </c>
      <c r="AA1539" s="845">
        <v>0</v>
      </c>
      <c r="AB1539" s="845">
        <v>1.176701313983134E-3</v>
      </c>
      <c r="AC1539" s="845">
        <v>0</v>
      </c>
      <c r="AD1539" s="845">
        <v>2.5495195136301238E-3</v>
      </c>
      <c r="AE1539" s="845">
        <v>2.9809766620906061E-2</v>
      </c>
      <c r="AF1539" s="845">
        <v>8.2369091978819371E-3</v>
      </c>
      <c r="AG1539" s="845">
        <v>0.96646401255148073</v>
      </c>
      <c r="AH1539" s="20" t="str">
        <f t="shared" si="130"/>
        <v>Yes</v>
      </c>
      <c r="AI1539" s="25"/>
      <c r="AJ1539" s="37">
        <v>45692</v>
      </c>
      <c r="AK1539" s="37" t="s">
        <v>1824</v>
      </c>
      <c r="AL1539" s="37">
        <v>39163</v>
      </c>
      <c r="AM1539" s="37" t="s">
        <v>87</v>
      </c>
      <c r="AN1539" s="37" t="str">
        <f t="shared" si="131"/>
        <v>N/A</v>
      </c>
      <c r="AO1539" s="37" t="str">
        <f t="shared" si="132"/>
        <v>N/A</v>
      </c>
      <c r="AP1539" s="37" t="s">
        <v>8</v>
      </c>
      <c r="AQ1539" s="25"/>
      <c r="AR1539" s="25"/>
      <c r="AS1539" s="25"/>
      <c r="AT1539" s="25"/>
      <c r="AU1539" s="36"/>
      <c r="AV1539" s="36"/>
      <c r="AW1539" s="36"/>
      <c r="AX1539" s="25"/>
      <c r="AY1539" s="25"/>
      <c r="AZ1539" s="25"/>
      <c r="BA1539" s="25"/>
      <c r="BB1539" s="25"/>
      <c r="BC1539" s="25"/>
      <c r="BD1539" s="25"/>
      <c r="BE1539" s="25"/>
      <c r="BF1539" s="25"/>
      <c r="BG1539" s="25"/>
      <c r="BH1539" s="25"/>
      <c r="BI1539" s="25"/>
      <c r="BJ1539" s="25"/>
      <c r="BK1539" s="25"/>
      <c r="BL1539" s="25"/>
      <c r="BM1539" s="25"/>
      <c r="BN1539" s="25"/>
      <c r="BO1539" s="25"/>
      <c r="BP1539" s="25"/>
      <c r="BQ1539" s="25"/>
      <c r="BR1539" s="25"/>
      <c r="BS1539" s="25"/>
      <c r="BT1539" s="25"/>
      <c r="BU1539" s="25"/>
      <c r="BV1539" s="25"/>
      <c r="BW1539" s="25"/>
      <c r="BX1539" s="25"/>
      <c r="BY1539" s="25"/>
      <c r="BZ1539" s="25"/>
      <c r="CA1539" s="25"/>
      <c r="CB1539" s="25"/>
      <c r="CC1539" s="25"/>
      <c r="CD1539" s="25"/>
      <c r="CE1539" s="200"/>
      <c r="CF1539" s="200"/>
      <c r="CG1539" s="200"/>
      <c r="CH1539" s="200"/>
      <c r="CI1539" s="200"/>
      <c r="CJ1539" s="200"/>
      <c r="CK1539" s="200"/>
      <c r="CL1539" s="200"/>
      <c r="CM1539" s="200"/>
      <c r="CN1539" s="200"/>
      <c r="CO1539" s="200"/>
      <c r="CP1539" s="200"/>
      <c r="CQ1539" s="200"/>
      <c r="CR1539" s="200"/>
      <c r="CS1539" s="200"/>
      <c r="CT1539" s="200"/>
      <c r="CU1539" s="200"/>
    </row>
    <row r="1540" spans="1:99" s="17" customFormat="1" x14ac:dyDescent="0.2">
      <c r="A1540" s="25"/>
      <c r="B1540" s="20">
        <v>39153530603</v>
      </c>
      <c r="C1540" s="20">
        <v>5306.03</v>
      </c>
      <c r="D1540" s="20" t="s">
        <v>82</v>
      </c>
      <c r="E1540" s="20" t="s">
        <v>2843</v>
      </c>
      <c r="F1540" s="20" t="s">
        <v>8</v>
      </c>
      <c r="G1540" s="861">
        <v>49.720394600765403</v>
      </c>
      <c r="H1540" s="861">
        <v>54.914887357977101</v>
      </c>
      <c r="I1540" s="861">
        <v>41.224676436180999</v>
      </c>
      <c r="J1540" s="861">
        <v>33.1541131860183</v>
      </c>
      <c r="K1540" s="982">
        <v>0</v>
      </c>
      <c r="L1540" s="735">
        <v>4664</v>
      </c>
      <c r="M1540" s="735">
        <v>4697</v>
      </c>
      <c r="N1540" s="845">
        <f t="shared" si="128"/>
        <v>7.0754716981132077E-3</v>
      </c>
      <c r="O1540" s="735">
        <v>4.0609147815740361</v>
      </c>
      <c r="P1540" s="735">
        <f t="shared" si="129"/>
        <v>1156.6359435347258</v>
      </c>
      <c r="Q1540" s="849">
        <v>33.9</v>
      </c>
      <c r="R1540" s="71">
        <v>70302</v>
      </c>
      <c r="S1540" s="845">
        <v>0.14955947136563877</v>
      </c>
      <c r="T1540" s="845">
        <v>0.111</v>
      </c>
      <c r="U1540" s="845">
        <v>0</v>
      </c>
      <c r="V1540" s="845">
        <v>8.6999999999999994E-2</v>
      </c>
      <c r="W1540" s="845">
        <v>0.6032332563510393</v>
      </c>
      <c r="X1540" s="845">
        <v>0.53062787136294032</v>
      </c>
      <c r="Y1540" s="845">
        <v>0.75494996806472214</v>
      </c>
      <c r="Z1540" s="845">
        <v>0.11219927613370237</v>
      </c>
      <c r="AA1540" s="845">
        <v>0</v>
      </c>
      <c r="AB1540" s="845">
        <v>4.2580370449222908E-2</v>
      </c>
      <c r="AC1540" s="845">
        <v>0</v>
      </c>
      <c r="AD1540" s="845">
        <v>0</v>
      </c>
      <c r="AE1540" s="845">
        <v>9.0270385352352572E-2</v>
      </c>
      <c r="AF1540" s="845">
        <v>2.34192037470726E-3</v>
      </c>
      <c r="AG1540" s="845">
        <v>0.75494996806472214</v>
      </c>
      <c r="AH1540" s="20" t="str">
        <f t="shared" si="130"/>
        <v>No</v>
      </c>
      <c r="AI1540" s="25"/>
      <c r="AJ1540" s="37">
        <v>45695</v>
      </c>
      <c r="AK1540" s="37" t="s">
        <v>1827</v>
      </c>
      <c r="AL1540" s="37">
        <v>39163</v>
      </c>
      <c r="AM1540" s="37" t="s">
        <v>87</v>
      </c>
      <c r="AN1540" s="37" t="str">
        <f t="shared" si="131"/>
        <v>N/A</v>
      </c>
      <c r="AO1540" s="37" t="str">
        <f t="shared" si="132"/>
        <v>N/A</v>
      </c>
      <c r="AP1540" s="37" t="s">
        <v>8</v>
      </c>
      <c r="AQ1540" s="25"/>
      <c r="AR1540" s="25"/>
      <c r="AS1540" s="25"/>
      <c r="AT1540" s="25"/>
      <c r="AU1540" s="36"/>
      <c r="AV1540" s="36"/>
      <c r="AW1540" s="36"/>
      <c r="AX1540" s="25"/>
      <c r="AY1540" s="25"/>
      <c r="AZ1540" s="25"/>
      <c r="BA1540" s="25"/>
      <c r="BB1540" s="25"/>
      <c r="BC1540" s="25"/>
      <c r="BD1540" s="25"/>
      <c r="BE1540" s="25"/>
      <c r="BF1540" s="25"/>
      <c r="BG1540" s="25"/>
      <c r="BH1540" s="25"/>
      <c r="BI1540" s="25"/>
      <c r="BJ1540" s="25"/>
      <c r="BK1540" s="25"/>
      <c r="BL1540" s="25"/>
      <c r="BM1540" s="25"/>
      <c r="BN1540" s="25"/>
      <c r="BO1540" s="25"/>
      <c r="BP1540" s="25"/>
      <c r="BQ1540" s="25"/>
      <c r="BR1540" s="25"/>
      <c r="BS1540" s="25"/>
      <c r="BT1540" s="25"/>
      <c r="BU1540" s="25"/>
      <c r="BV1540" s="25"/>
      <c r="BW1540" s="25"/>
      <c r="BX1540" s="25"/>
      <c r="BY1540" s="25"/>
      <c r="BZ1540" s="25"/>
      <c r="CA1540" s="25"/>
      <c r="CB1540" s="25"/>
      <c r="CC1540" s="25"/>
      <c r="CD1540" s="25"/>
      <c r="CE1540" s="200"/>
      <c r="CF1540" s="200"/>
      <c r="CG1540" s="200"/>
      <c r="CH1540" s="200"/>
      <c r="CI1540" s="200"/>
      <c r="CJ1540" s="200"/>
      <c r="CK1540" s="200"/>
      <c r="CL1540" s="200"/>
      <c r="CM1540" s="200"/>
      <c r="CN1540" s="200"/>
      <c r="CO1540" s="200"/>
      <c r="CP1540" s="200"/>
      <c r="CQ1540" s="200"/>
      <c r="CR1540" s="200"/>
      <c r="CS1540" s="200"/>
      <c r="CT1540" s="200"/>
      <c r="CU1540" s="200"/>
    </row>
    <row r="1541" spans="1:99" s="17" customFormat="1" x14ac:dyDescent="0.2">
      <c r="A1541" s="25"/>
      <c r="B1541" s="20">
        <v>39113090700</v>
      </c>
      <c r="C1541" s="20">
        <v>907</v>
      </c>
      <c r="D1541" s="20" t="s">
        <v>62</v>
      </c>
      <c r="E1541" s="20" t="s">
        <v>2833</v>
      </c>
      <c r="F1541" s="20" t="s">
        <v>8</v>
      </c>
      <c r="G1541" s="861">
        <v>49.7051991462789</v>
      </c>
      <c r="H1541" s="861">
        <v>52.4647242469037</v>
      </c>
      <c r="I1541" s="861">
        <v>22.9416809527659</v>
      </c>
      <c r="J1541" s="861">
        <v>37.7933534261186</v>
      </c>
      <c r="K1541" s="982">
        <v>0</v>
      </c>
      <c r="L1541" s="735">
        <v>1458</v>
      </c>
      <c r="M1541" s="735">
        <v>1405</v>
      </c>
      <c r="N1541" s="845">
        <f t="shared" si="128"/>
        <v>-3.6351165980795609E-2</v>
      </c>
      <c r="O1541" s="735">
        <v>0.38762996483408568</v>
      </c>
      <c r="P1541" s="735">
        <f t="shared" si="129"/>
        <v>3624.5907887987232</v>
      </c>
      <c r="Q1541" s="849">
        <v>36.700000000000003</v>
      </c>
      <c r="R1541" s="71">
        <v>56471</v>
      </c>
      <c r="S1541" s="845">
        <v>0.2</v>
      </c>
      <c r="T1541" s="845">
        <v>7.0000000000000007E-2</v>
      </c>
      <c r="U1541" s="845">
        <v>0</v>
      </c>
      <c r="V1541" s="845">
        <v>0</v>
      </c>
      <c r="W1541" s="845">
        <v>0.2353896103896104</v>
      </c>
      <c r="X1541" s="845">
        <v>0.15862068965517243</v>
      </c>
      <c r="Y1541" s="845">
        <v>0.7921708185053381</v>
      </c>
      <c r="Z1541" s="845">
        <v>3.4163701067615661E-2</v>
      </c>
      <c r="AA1541" s="845">
        <v>0</v>
      </c>
      <c r="AB1541" s="845">
        <v>2.1352313167259787E-2</v>
      </c>
      <c r="AC1541" s="845">
        <v>0</v>
      </c>
      <c r="AD1541" s="845">
        <v>6.9039145907473315E-2</v>
      </c>
      <c r="AE1541" s="845">
        <v>8.3274021352313168E-2</v>
      </c>
      <c r="AF1541" s="845">
        <v>6.9039145907473315E-2</v>
      </c>
      <c r="AG1541" s="845">
        <v>0.7921708185053381</v>
      </c>
      <c r="AH1541" s="20" t="str">
        <f t="shared" si="130"/>
        <v>No</v>
      </c>
      <c r="AI1541" s="25"/>
      <c r="AJ1541" s="37">
        <v>45698</v>
      </c>
      <c r="AK1541" s="37" t="s">
        <v>1830</v>
      </c>
      <c r="AL1541" s="37">
        <v>39163</v>
      </c>
      <c r="AM1541" s="37" t="s">
        <v>87</v>
      </c>
      <c r="AN1541" s="37" t="str">
        <f t="shared" si="131"/>
        <v>N/A</v>
      </c>
      <c r="AO1541" s="37" t="str">
        <f t="shared" si="132"/>
        <v>N/A</v>
      </c>
      <c r="AP1541" s="37" t="s">
        <v>8</v>
      </c>
      <c r="AQ1541" s="25"/>
      <c r="AR1541" s="25"/>
      <c r="AS1541" s="25"/>
      <c r="AT1541" s="25"/>
      <c r="AU1541" s="36"/>
      <c r="AV1541" s="36"/>
      <c r="AW1541" s="36"/>
      <c r="AX1541" s="25"/>
      <c r="AY1541" s="25"/>
      <c r="AZ1541" s="25"/>
      <c r="BA1541" s="25"/>
      <c r="BB1541" s="25"/>
      <c r="BC1541" s="25"/>
      <c r="BD1541" s="25"/>
      <c r="BE1541" s="25"/>
      <c r="BF1541" s="25"/>
      <c r="BG1541" s="25"/>
      <c r="BH1541" s="25"/>
      <c r="BI1541" s="25"/>
      <c r="BJ1541" s="25"/>
      <c r="BK1541" s="25"/>
      <c r="BL1541" s="25"/>
      <c r="BM1541" s="25"/>
      <c r="BN1541" s="25"/>
      <c r="BO1541" s="25"/>
      <c r="BP1541" s="25"/>
      <c r="BQ1541" s="25"/>
      <c r="BR1541" s="25"/>
      <c r="BS1541" s="25"/>
      <c r="BT1541" s="25"/>
      <c r="BU1541" s="25"/>
      <c r="BV1541" s="25"/>
      <c r="BW1541" s="25"/>
      <c r="BX1541" s="25"/>
      <c r="BY1541" s="25"/>
      <c r="BZ1541" s="25"/>
      <c r="CA1541" s="25"/>
      <c r="CB1541" s="25"/>
      <c r="CC1541" s="25"/>
      <c r="CD1541" s="25"/>
      <c r="CE1541" s="200"/>
      <c r="CF1541" s="200"/>
      <c r="CG1541" s="200"/>
      <c r="CH1541" s="200"/>
      <c r="CI1541" s="200"/>
      <c r="CJ1541" s="200"/>
      <c r="CK1541" s="200"/>
      <c r="CL1541" s="200"/>
      <c r="CM1541" s="200"/>
      <c r="CN1541" s="200"/>
      <c r="CO1541" s="200"/>
      <c r="CP1541" s="200"/>
      <c r="CQ1541" s="200"/>
      <c r="CR1541" s="200"/>
      <c r="CS1541" s="200"/>
      <c r="CT1541" s="200"/>
      <c r="CU1541" s="200"/>
    </row>
    <row r="1542" spans="1:99" s="17" customFormat="1" x14ac:dyDescent="0.2">
      <c r="A1542" s="25"/>
      <c r="B1542" s="20">
        <v>39005970900</v>
      </c>
      <c r="C1542" s="20">
        <v>9709</v>
      </c>
      <c r="D1542" s="20" t="s">
        <v>9</v>
      </c>
      <c r="E1542" s="20" t="s">
        <v>265</v>
      </c>
      <c r="F1542" s="20" t="s">
        <v>8</v>
      </c>
      <c r="G1542" s="861">
        <v>49.7037460816451</v>
      </c>
      <c r="H1542" s="861">
        <v>40.948949656686899</v>
      </c>
      <c r="I1542" s="861">
        <v>26.3959855175627</v>
      </c>
      <c r="J1542" s="861">
        <v>48.355229963204103</v>
      </c>
      <c r="K1542" s="982">
        <v>0</v>
      </c>
      <c r="L1542" s="735">
        <v>4956</v>
      </c>
      <c r="M1542" s="735">
        <v>4635</v>
      </c>
      <c r="N1542" s="845">
        <f t="shared" si="128"/>
        <v>-6.4769975786924935E-2</v>
      </c>
      <c r="O1542" s="735">
        <v>86.065231395985066</v>
      </c>
      <c r="P1542" s="735">
        <f t="shared" si="129"/>
        <v>53.854499951024614</v>
      </c>
      <c r="Q1542" s="849">
        <v>43.8</v>
      </c>
      <c r="R1542" s="71">
        <v>72525</v>
      </c>
      <c r="S1542" s="845">
        <v>8.0432432432432435E-2</v>
      </c>
      <c r="T1542" s="845">
        <v>2.5000000000000001E-2</v>
      </c>
      <c r="U1542" s="845">
        <v>6.0000000000000001E-3</v>
      </c>
      <c r="V1542" s="845">
        <v>0</v>
      </c>
      <c r="W1542" s="845">
        <v>0.11480865224625623</v>
      </c>
      <c r="X1542" s="845">
        <v>0.44444444444444442</v>
      </c>
      <c r="Y1542" s="845">
        <v>0.96634304207119737</v>
      </c>
      <c r="Z1542" s="845">
        <v>4.3149946062567422E-4</v>
      </c>
      <c r="AA1542" s="845">
        <v>1.7259978425026969E-3</v>
      </c>
      <c r="AB1542" s="845">
        <v>1.3160733549083063E-2</v>
      </c>
      <c r="AC1542" s="845">
        <v>4.3149946062567422E-4</v>
      </c>
      <c r="AD1542" s="845">
        <v>7.7669902912621356E-3</v>
      </c>
      <c r="AE1542" s="845">
        <v>1.0140237324703344E-2</v>
      </c>
      <c r="AF1542" s="845">
        <v>9.7087378640776691E-3</v>
      </c>
      <c r="AG1542" s="845">
        <v>0.96591154261057177</v>
      </c>
      <c r="AH1542" s="20" t="str">
        <f t="shared" si="130"/>
        <v>Yes</v>
      </c>
      <c r="AI1542" s="25"/>
      <c r="AJ1542" s="37">
        <v>45710</v>
      </c>
      <c r="AK1542" s="37" t="s">
        <v>1833</v>
      </c>
      <c r="AL1542" s="37">
        <v>39163</v>
      </c>
      <c r="AM1542" s="37" t="s">
        <v>87</v>
      </c>
      <c r="AN1542" s="37" t="str">
        <f t="shared" si="131"/>
        <v>N/A</v>
      </c>
      <c r="AO1542" s="37" t="str">
        <f t="shared" si="132"/>
        <v>N/A</v>
      </c>
      <c r="AP1542" s="37" t="s">
        <v>8</v>
      </c>
      <c r="AQ1542" s="25"/>
      <c r="AR1542" s="25"/>
      <c r="AS1542" s="25"/>
      <c r="AT1542" s="25"/>
      <c r="AU1542" s="36"/>
      <c r="AV1542" s="36"/>
      <c r="AW1542" s="36"/>
      <c r="AX1542" s="25"/>
      <c r="AY1542" s="25"/>
      <c r="AZ1542" s="25"/>
      <c r="BA1542" s="25"/>
      <c r="BB1542" s="25"/>
      <c r="BC1542" s="25"/>
      <c r="BD1542" s="25"/>
      <c r="BE1542" s="25"/>
      <c r="BF1542" s="25"/>
      <c r="BG1542" s="25"/>
      <c r="BH1542" s="25"/>
      <c r="BI1542" s="25"/>
      <c r="BJ1542" s="25"/>
      <c r="BK1542" s="25"/>
      <c r="BL1542" s="25"/>
      <c r="BM1542" s="25"/>
      <c r="BN1542" s="25"/>
      <c r="BO1542" s="25"/>
      <c r="BP1542" s="25"/>
      <c r="BQ1542" s="25"/>
      <c r="BR1542" s="25"/>
      <c r="BS1542" s="25"/>
      <c r="BT1542" s="25"/>
      <c r="BU1542" s="25"/>
      <c r="BV1542" s="25"/>
      <c r="BW1542" s="25"/>
      <c r="BX1542" s="25"/>
      <c r="BY1542" s="25"/>
      <c r="BZ1542" s="25"/>
      <c r="CA1542" s="25"/>
      <c r="CB1542" s="25"/>
      <c r="CC1542" s="25"/>
      <c r="CD1542" s="25"/>
      <c r="CE1542" s="200"/>
      <c r="CF1542" s="200"/>
      <c r="CG1542" s="200"/>
      <c r="CH1542" s="200"/>
      <c r="CI1542" s="200"/>
      <c r="CJ1542" s="200"/>
      <c r="CK1542" s="200"/>
      <c r="CL1542" s="200"/>
      <c r="CM1542" s="200"/>
      <c r="CN1542" s="200"/>
      <c r="CO1542" s="200"/>
      <c r="CP1542" s="200"/>
      <c r="CQ1542" s="200"/>
      <c r="CR1542" s="200"/>
      <c r="CS1542" s="200"/>
      <c r="CT1542" s="200"/>
      <c r="CU1542" s="200"/>
    </row>
    <row r="1543" spans="1:99" s="17" customFormat="1" x14ac:dyDescent="0.2">
      <c r="A1543" s="25"/>
      <c r="B1543" s="20">
        <v>39035132100</v>
      </c>
      <c r="C1543" s="20">
        <v>1321</v>
      </c>
      <c r="D1543" s="20" t="s">
        <v>24</v>
      </c>
      <c r="E1543" s="20" t="s">
        <v>2829</v>
      </c>
      <c r="F1543" s="20" t="s">
        <v>8</v>
      </c>
      <c r="G1543" s="861">
        <v>49.700215203814999</v>
      </c>
      <c r="H1543" s="861">
        <v>56.403548087767803</v>
      </c>
      <c r="I1543" s="861">
        <v>38.930815106127199</v>
      </c>
      <c r="J1543" s="861">
        <v>30.497832452067399</v>
      </c>
      <c r="K1543" s="982">
        <v>0</v>
      </c>
      <c r="L1543" s="735">
        <v>4652</v>
      </c>
      <c r="M1543" s="735">
        <v>4585</v>
      </c>
      <c r="N1543" s="845">
        <f t="shared" si="128"/>
        <v>-1.4402407566638005E-2</v>
      </c>
      <c r="O1543" s="735">
        <v>1.50789881425363</v>
      </c>
      <c r="P1543" s="735">
        <f t="shared" si="129"/>
        <v>3040.6549542049038</v>
      </c>
      <c r="Q1543" s="849">
        <v>43.2</v>
      </c>
      <c r="R1543" s="71">
        <v>63467</v>
      </c>
      <c r="S1543" s="845">
        <v>0.15334207077326342</v>
      </c>
      <c r="T1543" s="845">
        <v>0.08</v>
      </c>
      <c r="U1543" s="845">
        <v>0</v>
      </c>
      <c r="V1543" s="845">
        <v>0.187</v>
      </c>
      <c r="W1543" s="845">
        <v>0.41883276115743012</v>
      </c>
      <c r="X1543" s="845">
        <v>0.44262295081967212</v>
      </c>
      <c r="Y1543" s="845">
        <v>0.34023991275899673</v>
      </c>
      <c r="Z1543" s="845">
        <v>0.64580152671755731</v>
      </c>
      <c r="AA1543" s="845">
        <v>0</v>
      </c>
      <c r="AB1543" s="845">
        <v>0</v>
      </c>
      <c r="AC1543" s="845">
        <v>0</v>
      </c>
      <c r="AD1543" s="845">
        <v>8.7241003271537627E-3</v>
      </c>
      <c r="AE1543" s="845">
        <v>5.2344601962922574E-3</v>
      </c>
      <c r="AF1543" s="845">
        <v>5.4525627044711015E-3</v>
      </c>
      <c r="AG1543" s="845">
        <v>0.34023991275899673</v>
      </c>
      <c r="AH1543" s="20" t="str">
        <f t="shared" si="130"/>
        <v>No</v>
      </c>
      <c r="AI1543" s="25"/>
      <c r="AJ1543" s="37">
        <v>45766</v>
      </c>
      <c r="AK1543" s="37" t="s">
        <v>1860</v>
      </c>
      <c r="AL1543" s="37">
        <v>39163</v>
      </c>
      <c r="AM1543" s="37" t="s">
        <v>87</v>
      </c>
      <c r="AN1543" s="37" t="str">
        <f t="shared" si="131"/>
        <v>N/A</v>
      </c>
      <c r="AO1543" s="37" t="str">
        <f t="shared" si="132"/>
        <v>N/A</v>
      </c>
      <c r="AP1543" s="37" t="s">
        <v>8</v>
      </c>
      <c r="AQ1543" s="25"/>
      <c r="AR1543" s="25"/>
      <c r="AS1543" s="25"/>
      <c r="AT1543" s="25"/>
      <c r="AU1543" s="36"/>
      <c r="AV1543" s="36"/>
      <c r="AW1543" s="36"/>
      <c r="AX1543" s="25"/>
      <c r="AY1543" s="25"/>
      <c r="AZ1543" s="25"/>
      <c r="BA1543" s="25"/>
      <c r="BB1543" s="25"/>
      <c r="BC1543" s="25"/>
      <c r="BD1543" s="25"/>
      <c r="BE1543" s="25"/>
      <c r="BF1543" s="25"/>
      <c r="BG1543" s="25"/>
      <c r="BH1543" s="25"/>
      <c r="BI1543" s="25"/>
      <c r="BJ1543" s="25"/>
      <c r="BK1543" s="25"/>
      <c r="BL1543" s="25"/>
      <c r="BM1543" s="25"/>
      <c r="BN1543" s="25"/>
      <c r="BO1543" s="25"/>
      <c r="BP1543" s="25"/>
      <c r="BQ1543" s="25"/>
      <c r="BR1543" s="25"/>
      <c r="BS1543" s="25"/>
      <c r="BT1543" s="25"/>
      <c r="BU1543" s="25"/>
      <c r="BV1543" s="25"/>
      <c r="BW1543" s="25"/>
      <c r="BX1543" s="25"/>
      <c r="BY1543" s="25"/>
      <c r="BZ1543" s="25"/>
      <c r="CA1543" s="25"/>
      <c r="CB1543" s="25"/>
      <c r="CC1543" s="25"/>
      <c r="CD1543" s="25"/>
      <c r="CE1543" s="200"/>
      <c r="CF1543" s="200"/>
      <c r="CG1543" s="200"/>
      <c r="CH1543" s="200"/>
      <c r="CI1543" s="200"/>
      <c r="CJ1543" s="200"/>
      <c r="CK1543" s="200"/>
      <c r="CL1543" s="200"/>
      <c r="CM1543" s="200"/>
      <c r="CN1543" s="200"/>
      <c r="CO1543" s="200"/>
      <c r="CP1543" s="200"/>
      <c r="CQ1543" s="200"/>
      <c r="CR1543" s="200"/>
      <c r="CS1543" s="200"/>
      <c r="CT1543" s="200"/>
      <c r="CU1543" s="200"/>
    </row>
    <row r="1544" spans="1:99" s="17" customFormat="1" x14ac:dyDescent="0.2">
      <c r="A1544" s="25"/>
      <c r="B1544" s="20">
        <v>39035185104</v>
      </c>
      <c r="C1544" s="20">
        <v>1851.04</v>
      </c>
      <c r="D1544" s="20" t="s">
        <v>24</v>
      </c>
      <c r="E1544" s="20" t="s">
        <v>2829</v>
      </c>
      <c r="F1544" s="20" t="s">
        <v>8</v>
      </c>
      <c r="G1544" s="861">
        <v>49.692685061674297</v>
      </c>
      <c r="H1544" s="861">
        <v>66.215645570271207</v>
      </c>
      <c r="I1544" s="861">
        <v>28.946623051756401</v>
      </c>
      <c r="J1544" s="861">
        <v>28.874661944851798</v>
      </c>
      <c r="K1544" s="982">
        <v>0</v>
      </c>
      <c r="L1544" s="735">
        <v>3871</v>
      </c>
      <c r="M1544" s="735">
        <v>3385</v>
      </c>
      <c r="N1544" s="845">
        <f t="shared" si="128"/>
        <v>-0.12554895375871869</v>
      </c>
      <c r="O1544" s="735">
        <v>1.3050971110442666</v>
      </c>
      <c r="P1544" s="735">
        <f t="shared" si="129"/>
        <v>2593.676724402148</v>
      </c>
      <c r="Q1544" s="849">
        <v>45.7</v>
      </c>
      <c r="R1544" s="71">
        <v>81821</v>
      </c>
      <c r="S1544" s="845">
        <v>6.5277352129941776E-2</v>
      </c>
      <c r="T1544" s="845">
        <v>1.9E-2</v>
      </c>
      <c r="U1544" s="845">
        <v>0</v>
      </c>
      <c r="V1544" s="845">
        <v>0</v>
      </c>
      <c r="W1544" s="845">
        <v>0.11997273346966598</v>
      </c>
      <c r="X1544" s="845">
        <v>0.36931818181818182</v>
      </c>
      <c r="Y1544" s="845">
        <v>0.58966026587887743</v>
      </c>
      <c r="Z1544" s="845">
        <v>0.32289512555391431</v>
      </c>
      <c r="AA1544" s="845">
        <v>0</v>
      </c>
      <c r="AB1544" s="845">
        <v>2.9837518463810931E-2</v>
      </c>
      <c r="AC1544" s="845">
        <v>0</v>
      </c>
      <c r="AD1544" s="845">
        <v>1.447562776957164E-2</v>
      </c>
      <c r="AE1544" s="845">
        <v>4.3131462333825699E-2</v>
      </c>
      <c r="AF1544" s="845">
        <v>2.3929098966026588E-2</v>
      </c>
      <c r="AG1544" s="845">
        <v>0.58493353028064987</v>
      </c>
      <c r="AH1544" s="20" t="str">
        <f t="shared" si="130"/>
        <v>No</v>
      </c>
      <c r="AI1544" s="25"/>
      <c r="AJ1544" s="37">
        <v>43787</v>
      </c>
      <c r="AK1544" s="37" t="s">
        <v>1071</v>
      </c>
      <c r="AL1544" s="37">
        <v>39167</v>
      </c>
      <c r="AM1544" s="37" t="s">
        <v>89</v>
      </c>
      <c r="AN1544" s="37" t="str">
        <f t="shared" si="131"/>
        <v>N/A</v>
      </c>
      <c r="AO1544" s="37" t="str">
        <f t="shared" si="132"/>
        <v>N/A</v>
      </c>
      <c r="AP1544" s="37" t="s">
        <v>8</v>
      </c>
      <c r="AQ1544" s="25"/>
      <c r="AR1544" s="25"/>
      <c r="AS1544" s="25"/>
      <c r="AT1544" s="25"/>
      <c r="AU1544" s="36"/>
      <c r="AV1544" s="36"/>
      <c r="AW1544" s="36"/>
      <c r="AX1544" s="25"/>
      <c r="AY1544" s="25"/>
      <c r="AZ1544" s="25"/>
      <c r="BA1544" s="25"/>
      <c r="BB1544" s="25"/>
      <c r="BC1544" s="25"/>
      <c r="BD1544" s="25"/>
      <c r="BE1544" s="25"/>
      <c r="BF1544" s="25"/>
      <c r="BG1544" s="25"/>
      <c r="BH1544" s="25"/>
      <c r="BI1544" s="25"/>
      <c r="BJ1544" s="25"/>
      <c r="BK1544" s="25"/>
      <c r="BL1544" s="25"/>
      <c r="BM1544" s="25"/>
      <c r="BN1544" s="25"/>
      <c r="BO1544" s="25"/>
      <c r="BP1544" s="25"/>
      <c r="BQ1544" s="25"/>
      <c r="BR1544" s="25"/>
      <c r="BS1544" s="25"/>
      <c r="BT1544" s="25"/>
      <c r="BU1544" s="25"/>
      <c r="BV1544" s="25"/>
      <c r="BW1544" s="25"/>
      <c r="BX1544" s="25"/>
      <c r="BY1544" s="25"/>
      <c r="BZ1544" s="25"/>
      <c r="CA1544" s="25"/>
      <c r="CB1544" s="25"/>
      <c r="CC1544" s="25"/>
      <c r="CD1544" s="25"/>
      <c r="CE1544" s="200"/>
      <c r="CF1544" s="200"/>
      <c r="CG1544" s="200"/>
      <c r="CH1544" s="200"/>
      <c r="CI1544" s="200"/>
      <c r="CJ1544" s="200"/>
      <c r="CK1544" s="200"/>
      <c r="CL1544" s="200"/>
      <c r="CM1544" s="200"/>
      <c r="CN1544" s="200"/>
      <c r="CO1544" s="200"/>
      <c r="CP1544" s="200"/>
      <c r="CQ1544" s="200"/>
      <c r="CR1544" s="200"/>
      <c r="CS1544" s="200"/>
      <c r="CT1544" s="200"/>
      <c r="CU1544" s="200"/>
    </row>
    <row r="1545" spans="1:99" s="17" customFormat="1" x14ac:dyDescent="0.2">
      <c r="A1545" s="25"/>
      <c r="B1545" s="20">
        <v>39151710600</v>
      </c>
      <c r="C1545" s="20">
        <v>7106</v>
      </c>
      <c r="D1545" s="20" t="s">
        <v>81</v>
      </c>
      <c r="E1545" s="20" t="s">
        <v>2844</v>
      </c>
      <c r="F1545" s="20" t="s">
        <v>8</v>
      </c>
      <c r="G1545" s="861">
        <v>49.680682901789801</v>
      </c>
      <c r="H1545" s="861">
        <v>52.063546000360702</v>
      </c>
      <c r="I1545" s="861">
        <v>22.703525408623801</v>
      </c>
      <c r="J1545" s="861">
        <v>41.465779129071301</v>
      </c>
      <c r="K1545" s="982">
        <v>0</v>
      </c>
      <c r="L1545" s="735">
        <v>4840</v>
      </c>
      <c r="M1545" s="735">
        <v>5273</v>
      </c>
      <c r="N1545" s="845">
        <f t="shared" si="128"/>
        <v>8.9462809917355376E-2</v>
      </c>
      <c r="O1545" s="735">
        <v>2.6155533200497976</v>
      </c>
      <c r="P1545" s="735">
        <f t="shared" si="129"/>
        <v>2016.0170162004601</v>
      </c>
      <c r="Q1545" s="849">
        <v>38.6</v>
      </c>
      <c r="R1545" s="71">
        <v>67168</v>
      </c>
      <c r="S1545" s="845">
        <v>0.15138142747505756</v>
      </c>
      <c r="T1545" s="845">
        <v>2.1000000000000001E-2</v>
      </c>
      <c r="U1545" s="845">
        <v>0</v>
      </c>
      <c r="V1545" s="845">
        <v>2.6000000000000002E-2</v>
      </c>
      <c r="W1545" s="845">
        <v>0.36579212916246218</v>
      </c>
      <c r="X1545" s="845">
        <v>0.22206896551724137</v>
      </c>
      <c r="Y1545" s="845">
        <v>0.96946709652948981</v>
      </c>
      <c r="Z1545" s="845">
        <v>1.6499146595865731E-2</v>
      </c>
      <c r="AA1545" s="845">
        <v>0</v>
      </c>
      <c r="AB1545" s="845">
        <v>6.068651621467855E-3</v>
      </c>
      <c r="AC1545" s="845">
        <v>0</v>
      </c>
      <c r="AD1545" s="845">
        <v>0</v>
      </c>
      <c r="AE1545" s="845">
        <v>7.9651052531765597E-3</v>
      </c>
      <c r="AF1545" s="845">
        <v>0</v>
      </c>
      <c r="AG1545" s="845">
        <v>0.96946709652948981</v>
      </c>
      <c r="AH1545" s="20" t="str">
        <f t="shared" si="130"/>
        <v>Yes</v>
      </c>
      <c r="AI1545" s="25"/>
      <c r="AJ1545" s="37">
        <v>45711</v>
      </c>
      <c r="AK1545" s="37" t="s">
        <v>1834</v>
      </c>
      <c r="AL1545" s="37">
        <v>39167</v>
      </c>
      <c r="AM1545" s="37" t="s">
        <v>89</v>
      </c>
      <c r="AN1545" s="37" t="str">
        <f t="shared" si="131"/>
        <v>N/A</v>
      </c>
      <c r="AO1545" s="37" t="str">
        <f t="shared" si="132"/>
        <v>N/A</v>
      </c>
      <c r="AP1545" s="37" t="s">
        <v>8</v>
      </c>
      <c r="AQ1545" s="25"/>
      <c r="AR1545" s="25"/>
      <c r="AS1545" s="25"/>
      <c r="AT1545" s="25"/>
      <c r="AU1545" s="36"/>
      <c r="AV1545" s="36"/>
      <c r="AW1545" s="36"/>
      <c r="AX1545" s="25"/>
      <c r="AY1545" s="25"/>
      <c r="AZ1545" s="25"/>
      <c r="BA1545" s="25"/>
      <c r="BB1545" s="25"/>
      <c r="BC1545" s="25"/>
      <c r="BD1545" s="25"/>
      <c r="BE1545" s="25"/>
      <c r="BF1545" s="25"/>
      <c r="BG1545" s="25"/>
      <c r="BH1545" s="25"/>
      <c r="BI1545" s="25"/>
      <c r="BJ1545" s="25"/>
      <c r="BK1545" s="25"/>
      <c r="BL1545" s="25"/>
      <c r="BM1545" s="25"/>
      <c r="BN1545" s="25"/>
      <c r="BO1545" s="25"/>
      <c r="BP1545" s="25"/>
      <c r="BQ1545" s="25"/>
      <c r="BR1545" s="25"/>
      <c r="BS1545" s="25"/>
      <c r="BT1545" s="25"/>
      <c r="BU1545" s="25"/>
      <c r="BV1545" s="25"/>
      <c r="BW1545" s="25"/>
      <c r="BX1545" s="25"/>
      <c r="BY1545" s="25"/>
      <c r="BZ1545" s="25"/>
      <c r="CA1545" s="25"/>
      <c r="CB1545" s="25"/>
      <c r="CC1545" s="25"/>
      <c r="CD1545" s="25"/>
      <c r="CE1545" s="200"/>
      <c r="CF1545" s="200"/>
      <c r="CG1545" s="200"/>
      <c r="CH1545" s="200"/>
      <c r="CI1545" s="200"/>
      <c r="CJ1545" s="200"/>
      <c r="CK1545" s="200"/>
      <c r="CL1545" s="200"/>
      <c r="CM1545" s="200"/>
      <c r="CN1545" s="200"/>
      <c r="CO1545" s="200"/>
      <c r="CP1545" s="200"/>
      <c r="CQ1545" s="200"/>
      <c r="CR1545" s="200"/>
      <c r="CS1545" s="200"/>
      <c r="CT1545" s="200"/>
      <c r="CU1545" s="200"/>
    </row>
    <row r="1546" spans="1:99" s="17" customFormat="1" x14ac:dyDescent="0.2">
      <c r="A1546" s="25"/>
      <c r="B1546" s="20">
        <v>39153532705</v>
      </c>
      <c r="C1546" s="20">
        <v>5327.05</v>
      </c>
      <c r="D1546" s="20" t="s">
        <v>82</v>
      </c>
      <c r="E1546" s="20" t="s">
        <v>2843</v>
      </c>
      <c r="F1546" s="20" t="s">
        <v>8</v>
      </c>
      <c r="G1546" s="861">
        <v>49.678602023964203</v>
      </c>
      <c r="H1546" s="861">
        <v>52.3413553402929</v>
      </c>
      <c r="I1546" s="861">
        <v>22.5956338798321</v>
      </c>
      <c r="J1546" s="861">
        <v>29.556151328928401</v>
      </c>
      <c r="K1546" s="982">
        <v>0</v>
      </c>
      <c r="L1546" s="735">
        <v>7301</v>
      </c>
      <c r="M1546" s="735">
        <v>7197</v>
      </c>
      <c r="N1546" s="845">
        <f t="shared" si="128"/>
        <v>-1.4244624024106287E-2</v>
      </c>
      <c r="O1546" s="735">
        <v>6.5553243022416812</v>
      </c>
      <c r="P1546" s="735">
        <f t="shared" si="129"/>
        <v>1097.8861865825447</v>
      </c>
      <c r="Q1546" s="849">
        <v>49.6</v>
      </c>
      <c r="R1546" s="71">
        <v>104599</v>
      </c>
      <c r="S1546" s="845">
        <v>9.2716214211541317E-2</v>
      </c>
      <c r="T1546" s="845">
        <v>2.7000000000000003E-2</v>
      </c>
      <c r="U1546" s="845">
        <v>1.1000000000000001E-2</v>
      </c>
      <c r="V1546" s="845">
        <v>0.13699999999999998</v>
      </c>
      <c r="W1546" s="845">
        <v>0.11842563566701497</v>
      </c>
      <c r="X1546" s="845">
        <v>0.46764705882352942</v>
      </c>
      <c r="Y1546" s="845">
        <v>0.87328053355564816</v>
      </c>
      <c r="Z1546" s="845">
        <v>5.2382937335000691E-2</v>
      </c>
      <c r="AA1546" s="845">
        <v>0</v>
      </c>
      <c r="AB1546" s="845">
        <v>3.2791440878143674E-2</v>
      </c>
      <c r="AC1546" s="845">
        <v>0</v>
      </c>
      <c r="AD1546" s="845">
        <v>9.1704877032096708E-3</v>
      </c>
      <c r="AE1546" s="845">
        <v>3.2374600527997774E-2</v>
      </c>
      <c r="AF1546" s="845">
        <v>3.1679866611087952E-2</v>
      </c>
      <c r="AG1546" s="845">
        <v>0.85257746283173541</v>
      </c>
      <c r="AH1546" s="20" t="str">
        <f t="shared" si="130"/>
        <v>No</v>
      </c>
      <c r="AI1546" s="25"/>
      <c r="AJ1546" s="37">
        <v>45714</v>
      </c>
      <c r="AK1546" s="37" t="s">
        <v>1835</v>
      </c>
      <c r="AL1546" s="37">
        <v>39167</v>
      </c>
      <c r="AM1546" s="37" t="s">
        <v>89</v>
      </c>
      <c r="AN1546" s="37" t="str">
        <f t="shared" si="131"/>
        <v>N/A</v>
      </c>
      <c r="AO1546" s="37" t="str">
        <f t="shared" si="132"/>
        <v>N/A</v>
      </c>
      <c r="AP1546" s="37" t="s">
        <v>8</v>
      </c>
      <c r="AQ1546" s="25"/>
      <c r="AR1546" s="25"/>
      <c r="AS1546" s="25"/>
      <c r="AT1546" s="25"/>
      <c r="AU1546" s="36"/>
      <c r="AV1546" s="36"/>
      <c r="AW1546" s="36"/>
      <c r="AX1546" s="25"/>
      <c r="AY1546" s="25"/>
      <c r="AZ1546" s="25"/>
      <c r="BA1546" s="25"/>
      <c r="BB1546" s="25"/>
      <c r="BC1546" s="25"/>
      <c r="BD1546" s="25"/>
      <c r="BE1546" s="25"/>
      <c r="BF1546" s="25"/>
      <c r="BG1546" s="25"/>
      <c r="BH1546" s="25"/>
      <c r="BI1546" s="25"/>
      <c r="BJ1546" s="25"/>
      <c r="BK1546" s="25"/>
      <c r="BL1546" s="25"/>
      <c r="BM1546" s="25"/>
      <c r="BN1546" s="25"/>
      <c r="BO1546" s="25"/>
      <c r="BP1546" s="25"/>
      <c r="BQ1546" s="25"/>
      <c r="BR1546" s="25"/>
      <c r="BS1546" s="25"/>
      <c r="BT1546" s="25"/>
      <c r="BU1546" s="25"/>
      <c r="BV1546" s="25"/>
      <c r="BW1546" s="25"/>
      <c r="BX1546" s="25"/>
      <c r="BY1546" s="25"/>
      <c r="BZ1546" s="25"/>
      <c r="CA1546" s="25"/>
      <c r="CB1546" s="25"/>
      <c r="CC1546" s="25"/>
      <c r="CD1546" s="25"/>
      <c r="CE1546" s="200"/>
      <c r="CF1546" s="200"/>
      <c r="CG1546" s="200"/>
      <c r="CH1546" s="200"/>
      <c r="CI1546" s="200"/>
      <c r="CJ1546" s="200"/>
      <c r="CK1546" s="200"/>
      <c r="CL1546" s="200"/>
      <c r="CM1546" s="200"/>
      <c r="CN1546" s="200"/>
      <c r="CO1546" s="200"/>
      <c r="CP1546" s="200"/>
      <c r="CQ1546" s="200"/>
      <c r="CR1546" s="200"/>
      <c r="CS1546" s="200"/>
      <c r="CT1546" s="200"/>
      <c r="CU1546" s="200"/>
    </row>
    <row r="1547" spans="1:99" s="17" customFormat="1" x14ac:dyDescent="0.2">
      <c r="A1547" s="25"/>
      <c r="B1547" s="20">
        <v>39093071100</v>
      </c>
      <c r="C1547" s="20">
        <v>711</v>
      </c>
      <c r="D1547" s="20" t="s">
        <v>52</v>
      </c>
      <c r="E1547" s="20" t="s">
        <v>2829</v>
      </c>
      <c r="F1547" s="20" t="s">
        <v>8</v>
      </c>
      <c r="G1547" s="861">
        <v>49.6657626114255</v>
      </c>
      <c r="H1547" s="861">
        <v>62.1474574240873</v>
      </c>
      <c r="I1547" s="861">
        <v>27.2474431000966</v>
      </c>
      <c r="J1547" s="861">
        <v>45.661079783735303</v>
      </c>
      <c r="K1547" s="982">
        <v>0</v>
      </c>
      <c r="L1547" s="735">
        <v>4494</v>
      </c>
      <c r="M1547" s="735">
        <v>4696</v>
      </c>
      <c r="N1547" s="845">
        <f t="shared" ref="N1547:N1610" si="133">IF(OR(L1547="",M1547=""),"",(M1547-L1547)/L1547)</f>
        <v>4.4948820649755229E-2</v>
      </c>
      <c r="O1547" s="735">
        <v>0.80446855796569661</v>
      </c>
      <c r="P1547" s="735">
        <f t="shared" ref="P1547:P1610" si="134">M1547/O1547</f>
        <v>5837.3940827159613</v>
      </c>
      <c r="Q1547" s="849">
        <v>38.9</v>
      </c>
      <c r="R1547" s="71">
        <v>78042</v>
      </c>
      <c r="S1547" s="845">
        <v>5.43015332197615E-2</v>
      </c>
      <c r="T1547" s="845">
        <v>3.7000000000000005E-2</v>
      </c>
      <c r="U1547" s="845">
        <v>1.9E-2</v>
      </c>
      <c r="V1547" s="845">
        <v>6.8000000000000005E-2</v>
      </c>
      <c r="W1547" s="845">
        <v>0.19119286510590858</v>
      </c>
      <c r="X1547" s="845">
        <v>0.33527696793002915</v>
      </c>
      <c r="Y1547" s="845">
        <v>0.81473594548551964</v>
      </c>
      <c r="Z1547" s="845">
        <v>5.5579216354344124E-2</v>
      </c>
      <c r="AA1547" s="845">
        <v>0</v>
      </c>
      <c r="AB1547" s="845">
        <v>3.8330494037478705E-3</v>
      </c>
      <c r="AC1547" s="845">
        <v>0</v>
      </c>
      <c r="AD1547" s="845">
        <v>4.6848381601362864E-3</v>
      </c>
      <c r="AE1547" s="845">
        <v>0.12116695059625213</v>
      </c>
      <c r="AF1547" s="845">
        <v>9.7103918228279393E-2</v>
      </c>
      <c r="AG1547" s="845">
        <v>0.80515332197614986</v>
      </c>
      <c r="AH1547" s="20" t="str">
        <f t="shared" ref="AH1547:AH1610" si="135">IF(AG1547&gt;=0.9,"Yes","No")</f>
        <v>No</v>
      </c>
      <c r="AI1547" s="25"/>
      <c r="AJ1547" s="37">
        <v>45715</v>
      </c>
      <c r="AK1547" s="37" t="s">
        <v>1836</v>
      </c>
      <c r="AL1547" s="37">
        <v>39167</v>
      </c>
      <c r="AM1547" s="37" t="s">
        <v>89</v>
      </c>
      <c r="AN1547" s="37" t="str">
        <f t="shared" ref="AN1547:AN1610" si="136">VLOOKUP(AM1547,$CY$11:$DA$98,2,FALSE)</f>
        <v>N/A</v>
      </c>
      <c r="AO1547" s="37" t="str">
        <f t="shared" ref="AO1547:AO1610" si="137">VLOOKUP(AM1547,$CY$11:$DA$98,3,FALSE)</f>
        <v>N/A</v>
      </c>
      <c r="AP1547" s="37" t="s">
        <v>8</v>
      </c>
      <c r="AQ1547" s="25"/>
      <c r="AR1547" s="25"/>
      <c r="AS1547" s="25"/>
      <c r="AT1547" s="25"/>
      <c r="AU1547" s="36"/>
      <c r="AV1547" s="36"/>
      <c r="AW1547" s="36"/>
      <c r="AX1547" s="25"/>
      <c r="AY1547" s="25"/>
      <c r="AZ1547" s="25"/>
      <c r="BA1547" s="25"/>
      <c r="BB1547" s="25"/>
      <c r="BC1547" s="25"/>
      <c r="BD1547" s="25"/>
      <c r="BE1547" s="25"/>
      <c r="BF1547" s="25"/>
      <c r="BG1547" s="25"/>
      <c r="BH1547" s="25"/>
      <c r="BI1547" s="25"/>
      <c r="BJ1547" s="25"/>
      <c r="BK1547" s="25"/>
      <c r="BL1547" s="25"/>
      <c r="BM1547" s="25"/>
      <c r="BN1547" s="25"/>
      <c r="BO1547" s="25"/>
      <c r="BP1547" s="25"/>
      <c r="BQ1547" s="25"/>
      <c r="BR1547" s="25"/>
      <c r="BS1547" s="25"/>
      <c r="BT1547" s="25"/>
      <c r="BU1547" s="25"/>
      <c r="BV1547" s="25"/>
      <c r="BW1547" s="25"/>
      <c r="BX1547" s="25"/>
      <c r="BY1547" s="25"/>
      <c r="BZ1547" s="25"/>
      <c r="CA1547" s="25"/>
      <c r="CB1547" s="25"/>
      <c r="CC1547" s="25"/>
      <c r="CD1547" s="25"/>
      <c r="CE1547" s="200"/>
      <c r="CF1547" s="200"/>
      <c r="CG1547" s="200"/>
      <c r="CH1547" s="200"/>
      <c r="CI1547" s="200"/>
      <c r="CJ1547" s="200"/>
      <c r="CK1547" s="200"/>
      <c r="CL1547" s="200"/>
      <c r="CM1547" s="200"/>
      <c r="CN1547" s="200"/>
      <c r="CO1547" s="200"/>
      <c r="CP1547" s="200"/>
      <c r="CQ1547" s="200"/>
      <c r="CR1547" s="200"/>
      <c r="CS1547" s="200"/>
      <c r="CT1547" s="200"/>
      <c r="CU1547" s="200"/>
    </row>
    <row r="1548" spans="1:99" s="17" customFormat="1" x14ac:dyDescent="0.2">
      <c r="A1548" s="25"/>
      <c r="B1548" s="20">
        <v>39025040404</v>
      </c>
      <c r="C1548" s="20">
        <v>404.04</v>
      </c>
      <c r="D1548" s="20" t="s">
        <v>19</v>
      </c>
      <c r="E1548" s="20" t="s">
        <v>2828</v>
      </c>
      <c r="F1548" s="20" t="s">
        <v>8</v>
      </c>
      <c r="G1548" s="861">
        <v>49.6632523248525</v>
      </c>
      <c r="H1548" s="861">
        <v>58.825472231665898</v>
      </c>
      <c r="I1548" s="861">
        <v>17.3226737626273</v>
      </c>
      <c r="J1548" s="861">
        <v>30.022585948643499</v>
      </c>
      <c r="K1548" s="982">
        <v>0</v>
      </c>
      <c r="L1548" s="735">
        <v>3733</v>
      </c>
      <c r="M1548" s="735">
        <v>4059</v>
      </c>
      <c r="N1548" s="845">
        <f t="shared" si="133"/>
        <v>8.7329225823734258E-2</v>
      </c>
      <c r="O1548" s="735">
        <v>2.4575186177206043</v>
      </c>
      <c r="P1548" s="735">
        <f t="shared" si="134"/>
        <v>1651.6660222760795</v>
      </c>
      <c r="Q1548" s="849">
        <v>57.3</v>
      </c>
      <c r="R1548" s="71">
        <v>97353</v>
      </c>
      <c r="S1548" s="845">
        <v>2.1231422505307854E-2</v>
      </c>
      <c r="T1548" s="845">
        <v>3.1E-2</v>
      </c>
      <c r="U1548" s="845">
        <v>0</v>
      </c>
      <c r="V1548" s="845">
        <v>0.13500000000000001</v>
      </c>
      <c r="W1548" s="845">
        <v>0.11235955056179775</v>
      </c>
      <c r="X1548" s="845">
        <v>0.31111111111111112</v>
      </c>
      <c r="Y1548" s="845">
        <v>0.86548410938654841</v>
      </c>
      <c r="Z1548" s="845">
        <v>8.9184528208918451E-2</v>
      </c>
      <c r="AA1548" s="845">
        <v>1.231830500123183E-3</v>
      </c>
      <c r="AB1548" s="845">
        <v>4.1882237004188224E-3</v>
      </c>
      <c r="AC1548" s="845">
        <v>0</v>
      </c>
      <c r="AD1548" s="845">
        <v>2.2172949002217295E-3</v>
      </c>
      <c r="AE1548" s="845">
        <v>3.7694013303769404E-2</v>
      </c>
      <c r="AF1548" s="845">
        <v>1.6013796501601379E-2</v>
      </c>
      <c r="AG1548" s="845">
        <v>0.85760039418576006</v>
      </c>
      <c r="AH1548" s="20" t="str">
        <f t="shared" si="135"/>
        <v>No</v>
      </c>
      <c r="AI1548" s="25"/>
      <c r="AJ1548" s="37">
        <v>45721</v>
      </c>
      <c r="AK1548" s="37" t="s">
        <v>1840</v>
      </c>
      <c r="AL1548" s="37">
        <v>39167</v>
      </c>
      <c r="AM1548" s="37" t="s">
        <v>89</v>
      </c>
      <c r="AN1548" s="37" t="str">
        <f t="shared" si="136"/>
        <v>N/A</v>
      </c>
      <c r="AO1548" s="37" t="str">
        <f t="shared" si="137"/>
        <v>N/A</v>
      </c>
      <c r="AP1548" s="37" t="s">
        <v>8</v>
      </c>
      <c r="AQ1548" s="25"/>
      <c r="AR1548" s="25"/>
      <c r="AS1548" s="25"/>
      <c r="AT1548" s="25"/>
      <c r="AU1548" s="36"/>
      <c r="AV1548" s="36"/>
      <c r="AW1548" s="36"/>
      <c r="AX1548" s="25"/>
      <c r="AY1548" s="25"/>
      <c r="AZ1548" s="25"/>
      <c r="BA1548" s="25"/>
      <c r="BB1548" s="25"/>
      <c r="BC1548" s="25"/>
      <c r="BD1548" s="25"/>
      <c r="BE1548" s="25"/>
      <c r="BF1548" s="25"/>
      <c r="BG1548" s="25"/>
      <c r="BH1548" s="25"/>
      <c r="BI1548" s="25"/>
      <c r="BJ1548" s="25"/>
      <c r="BK1548" s="25"/>
      <c r="BL1548" s="25"/>
      <c r="BM1548" s="25"/>
      <c r="BN1548" s="25"/>
      <c r="BO1548" s="25"/>
      <c r="BP1548" s="25"/>
      <c r="BQ1548" s="25"/>
      <c r="BR1548" s="25"/>
      <c r="BS1548" s="25"/>
      <c r="BT1548" s="25"/>
      <c r="BU1548" s="25"/>
      <c r="BV1548" s="25"/>
      <c r="BW1548" s="25"/>
      <c r="BX1548" s="25"/>
      <c r="BY1548" s="25"/>
      <c r="BZ1548" s="25"/>
      <c r="CA1548" s="25"/>
      <c r="CB1548" s="25"/>
      <c r="CC1548" s="25"/>
      <c r="CD1548" s="25"/>
      <c r="CE1548" s="200"/>
      <c r="CF1548" s="200"/>
      <c r="CG1548" s="200"/>
      <c r="CH1548" s="200"/>
      <c r="CI1548" s="200"/>
      <c r="CJ1548" s="200"/>
      <c r="CK1548" s="200"/>
      <c r="CL1548" s="200"/>
      <c r="CM1548" s="200"/>
      <c r="CN1548" s="200"/>
      <c r="CO1548" s="200"/>
      <c r="CP1548" s="200"/>
      <c r="CQ1548" s="200"/>
      <c r="CR1548" s="200"/>
      <c r="CS1548" s="200"/>
      <c r="CT1548" s="200"/>
      <c r="CU1548" s="200"/>
    </row>
    <row r="1549" spans="1:99" s="17" customFormat="1" x14ac:dyDescent="0.2">
      <c r="A1549" s="25"/>
      <c r="B1549" s="20">
        <v>39141956600</v>
      </c>
      <c r="C1549" s="20">
        <v>9566</v>
      </c>
      <c r="D1549" s="20" t="s">
        <v>76</v>
      </c>
      <c r="E1549" s="20" t="s">
        <v>265</v>
      </c>
      <c r="F1549" s="20" t="s">
        <v>8</v>
      </c>
      <c r="G1549" s="861">
        <v>49.648354024974097</v>
      </c>
      <c r="H1549" s="861">
        <v>50.7817807464263</v>
      </c>
      <c r="I1549" s="861">
        <v>15.7847488321726</v>
      </c>
      <c r="J1549" s="861">
        <v>51.360316190903703</v>
      </c>
      <c r="K1549" s="982">
        <v>0</v>
      </c>
      <c r="L1549" s="735">
        <v>5274</v>
      </c>
      <c r="M1549" s="735">
        <v>4765</v>
      </c>
      <c r="N1549" s="845">
        <f t="shared" si="133"/>
        <v>-9.6511186954872957E-2</v>
      </c>
      <c r="O1549" s="735">
        <v>79.430093599927773</v>
      </c>
      <c r="P1549" s="735">
        <f t="shared" si="134"/>
        <v>59.989857546942801</v>
      </c>
      <c r="Q1549" s="849">
        <v>46.6</v>
      </c>
      <c r="R1549" s="71">
        <v>84976</v>
      </c>
      <c r="S1549" s="845">
        <v>6.5687303252885618E-2</v>
      </c>
      <c r="T1549" s="845">
        <v>1.2E-2</v>
      </c>
      <c r="U1549" s="845">
        <v>0</v>
      </c>
      <c r="V1549" s="845">
        <v>0</v>
      </c>
      <c r="W1549" s="845">
        <v>0.14150447133087848</v>
      </c>
      <c r="X1549" s="845">
        <v>0.15613382899628253</v>
      </c>
      <c r="Y1549" s="845">
        <v>0.92738719832109129</v>
      </c>
      <c r="Z1549" s="845">
        <v>2.2665267576075551E-2</v>
      </c>
      <c r="AA1549" s="845">
        <v>3.5676810073452256E-3</v>
      </c>
      <c r="AB1549" s="845">
        <v>1.7418677859391395E-2</v>
      </c>
      <c r="AC1549" s="845">
        <v>0</v>
      </c>
      <c r="AD1549" s="845">
        <v>1.4690451206715634E-3</v>
      </c>
      <c r="AE1549" s="845">
        <v>2.7492130115424975E-2</v>
      </c>
      <c r="AF1549" s="845">
        <v>3.1479538300104933E-3</v>
      </c>
      <c r="AG1549" s="845">
        <v>0.92738719832109129</v>
      </c>
      <c r="AH1549" s="20" t="str">
        <f t="shared" si="135"/>
        <v>Yes</v>
      </c>
      <c r="AI1549" s="25"/>
      <c r="AJ1549" s="37">
        <v>45723</v>
      </c>
      <c r="AK1549" s="37" t="s">
        <v>1841</v>
      </c>
      <c r="AL1549" s="37">
        <v>39167</v>
      </c>
      <c r="AM1549" s="37" t="s">
        <v>89</v>
      </c>
      <c r="AN1549" s="37" t="str">
        <f t="shared" si="136"/>
        <v>N/A</v>
      </c>
      <c r="AO1549" s="37" t="str">
        <f t="shared" si="137"/>
        <v>N/A</v>
      </c>
      <c r="AP1549" s="37" t="s">
        <v>8</v>
      </c>
      <c r="AQ1549" s="25"/>
      <c r="AR1549" s="25"/>
      <c r="AS1549" s="25"/>
      <c r="AT1549" s="25"/>
      <c r="AU1549" s="36"/>
      <c r="AV1549" s="36"/>
      <c r="AW1549" s="36"/>
      <c r="AX1549" s="25"/>
      <c r="AY1549" s="25"/>
      <c r="AZ1549" s="25"/>
      <c r="BA1549" s="25"/>
      <c r="BB1549" s="25"/>
      <c r="BC1549" s="25"/>
      <c r="BD1549" s="25"/>
      <c r="BE1549" s="25"/>
      <c r="BF1549" s="25"/>
      <c r="BG1549" s="25"/>
      <c r="BH1549" s="25"/>
      <c r="BI1549" s="25"/>
      <c r="BJ1549" s="25"/>
      <c r="BK1549" s="25"/>
      <c r="BL1549" s="25"/>
      <c r="BM1549" s="25"/>
      <c r="BN1549" s="25"/>
      <c r="BO1549" s="25"/>
      <c r="BP1549" s="25"/>
      <c r="BQ1549" s="25"/>
      <c r="BR1549" s="25"/>
      <c r="BS1549" s="25"/>
      <c r="BT1549" s="25"/>
      <c r="BU1549" s="25"/>
      <c r="BV1549" s="25"/>
      <c r="BW1549" s="25"/>
      <c r="BX1549" s="25"/>
      <c r="BY1549" s="25"/>
      <c r="BZ1549" s="25"/>
      <c r="CA1549" s="25"/>
      <c r="CB1549" s="25"/>
      <c r="CC1549" s="25"/>
      <c r="CD1549" s="25"/>
      <c r="CE1549" s="200"/>
      <c r="CF1549" s="200"/>
      <c r="CG1549" s="200"/>
      <c r="CH1549" s="200"/>
      <c r="CI1549" s="200"/>
      <c r="CJ1549" s="200"/>
      <c r="CK1549" s="200"/>
      <c r="CL1549" s="200"/>
      <c r="CM1549" s="200"/>
      <c r="CN1549" s="200"/>
      <c r="CO1549" s="200"/>
      <c r="CP1549" s="200"/>
      <c r="CQ1549" s="200"/>
      <c r="CR1549" s="200"/>
      <c r="CS1549" s="200"/>
      <c r="CT1549" s="200"/>
      <c r="CU1549" s="200"/>
    </row>
    <row r="1550" spans="1:99" s="17" customFormat="1" x14ac:dyDescent="0.2">
      <c r="A1550" s="25"/>
      <c r="B1550" s="20">
        <v>39153505500</v>
      </c>
      <c r="C1550" s="20">
        <v>5055</v>
      </c>
      <c r="D1550" s="20" t="s">
        <v>82</v>
      </c>
      <c r="E1550" s="20" t="s">
        <v>2843</v>
      </c>
      <c r="F1550" s="20" t="s">
        <v>6</v>
      </c>
      <c r="G1550" s="861">
        <v>49.6398175777502</v>
      </c>
      <c r="H1550" s="861">
        <v>51.4441182475055</v>
      </c>
      <c r="I1550" s="861">
        <v>59.059147481992198</v>
      </c>
      <c r="J1550" s="861">
        <v>54.024434801142696</v>
      </c>
      <c r="K1550" s="982">
        <v>0</v>
      </c>
      <c r="L1550" s="735">
        <v>2702</v>
      </c>
      <c r="M1550" s="735">
        <v>2362</v>
      </c>
      <c r="N1550" s="845">
        <f t="shared" si="133"/>
        <v>-0.12583271650629163</v>
      </c>
      <c r="O1550" s="735">
        <v>0.41970115453541601</v>
      </c>
      <c r="P1550" s="735">
        <f t="shared" si="134"/>
        <v>5627.8139206326277</v>
      </c>
      <c r="Q1550" s="849">
        <v>37.299999999999997</v>
      </c>
      <c r="R1550" s="71">
        <v>40447</v>
      </c>
      <c r="S1550" s="845">
        <v>0.22142252328535139</v>
      </c>
      <c r="T1550" s="845">
        <v>6.2E-2</v>
      </c>
      <c r="U1550" s="845">
        <v>0</v>
      </c>
      <c r="V1550" s="845">
        <v>3.5000000000000003E-2</v>
      </c>
      <c r="W1550" s="845">
        <v>0.51186131386861311</v>
      </c>
      <c r="X1550" s="845">
        <v>0.57397504456327986</v>
      </c>
      <c r="Y1550" s="845">
        <v>0.65537679932260795</v>
      </c>
      <c r="Z1550" s="845">
        <v>0.14309906858594412</v>
      </c>
      <c r="AA1550" s="845">
        <v>3.3869602032176121E-3</v>
      </c>
      <c r="AB1550" s="845">
        <v>8.0440304826418282E-3</v>
      </c>
      <c r="AC1550" s="845">
        <v>0</v>
      </c>
      <c r="AD1550" s="845">
        <v>2.6672311600338696E-2</v>
      </c>
      <c r="AE1550" s="845">
        <v>0.1634208298052498</v>
      </c>
      <c r="AF1550" s="845">
        <v>4.8687552921253173E-2</v>
      </c>
      <c r="AG1550" s="845">
        <v>0.64055884843353095</v>
      </c>
      <c r="AH1550" s="20" t="str">
        <f t="shared" si="135"/>
        <v>No</v>
      </c>
      <c r="AI1550" s="25"/>
      <c r="AJ1550" s="37">
        <v>45724</v>
      </c>
      <c r="AK1550" s="37" t="s">
        <v>1842</v>
      </c>
      <c r="AL1550" s="37">
        <v>39167</v>
      </c>
      <c r="AM1550" s="37" t="s">
        <v>89</v>
      </c>
      <c r="AN1550" s="37" t="str">
        <f t="shared" si="136"/>
        <v>N/A</v>
      </c>
      <c r="AO1550" s="37" t="str">
        <f t="shared" si="137"/>
        <v>N/A</v>
      </c>
      <c r="AP1550" s="37" t="s">
        <v>8</v>
      </c>
      <c r="AQ1550" s="25"/>
      <c r="AR1550" s="25"/>
      <c r="AS1550" s="25"/>
      <c r="AT1550" s="25"/>
      <c r="AU1550" s="36"/>
      <c r="AV1550" s="36"/>
      <c r="AW1550" s="36"/>
      <c r="AX1550" s="25"/>
      <c r="AY1550" s="25"/>
      <c r="AZ1550" s="25"/>
      <c r="BA1550" s="25"/>
      <c r="BB1550" s="25"/>
      <c r="BC1550" s="25"/>
      <c r="BD1550" s="25"/>
      <c r="BE1550" s="25"/>
      <c r="BF1550" s="25"/>
      <c r="BG1550" s="25"/>
      <c r="BH1550" s="25"/>
      <c r="BI1550" s="25"/>
      <c r="BJ1550" s="25"/>
      <c r="BK1550" s="25"/>
      <c r="BL1550" s="25"/>
      <c r="BM1550" s="25"/>
      <c r="BN1550" s="25"/>
      <c r="BO1550" s="25"/>
      <c r="BP1550" s="25"/>
      <c r="BQ1550" s="25"/>
      <c r="BR1550" s="25"/>
      <c r="BS1550" s="25"/>
      <c r="BT1550" s="25"/>
      <c r="BU1550" s="25"/>
      <c r="BV1550" s="25"/>
      <c r="BW1550" s="25"/>
      <c r="BX1550" s="25"/>
      <c r="BY1550" s="25"/>
      <c r="BZ1550" s="25"/>
      <c r="CA1550" s="25"/>
      <c r="CB1550" s="25"/>
      <c r="CC1550" s="25"/>
      <c r="CD1550" s="25"/>
      <c r="CE1550" s="200"/>
      <c r="CF1550" s="200"/>
      <c r="CG1550" s="200"/>
      <c r="CH1550" s="200"/>
      <c r="CI1550" s="200"/>
      <c r="CJ1550" s="200"/>
      <c r="CK1550" s="200"/>
      <c r="CL1550" s="200"/>
      <c r="CM1550" s="200"/>
      <c r="CN1550" s="200"/>
      <c r="CO1550" s="200"/>
      <c r="CP1550" s="200"/>
      <c r="CQ1550" s="200"/>
      <c r="CR1550" s="200"/>
      <c r="CS1550" s="200"/>
      <c r="CT1550" s="200"/>
      <c r="CU1550" s="200"/>
    </row>
    <row r="1551" spans="1:99" s="17" customFormat="1" x14ac:dyDescent="0.2">
      <c r="A1551" s="25"/>
      <c r="B1551" s="20">
        <v>39031961600</v>
      </c>
      <c r="C1551" s="20">
        <v>9616</v>
      </c>
      <c r="D1551" s="20" t="s">
        <v>22</v>
      </c>
      <c r="E1551" s="20" t="s">
        <v>265</v>
      </c>
      <c r="F1551" s="20" t="s">
        <v>8</v>
      </c>
      <c r="G1551" s="861">
        <v>49.608680010986603</v>
      </c>
      <c r="H1551" s="861">
        <v>45.937751207699598</v>
      </c>
      <c r="I1551" s="861">
        <v>26.312870799891201</v>
      </c>
      <c r="J1551" s="861">
        <v>49.842696065265599</v>
      </c>
      <c r="K1551" s="982">
        <v>0</v>
      </c>
      <c r="L1551" s="735">
        <v>2561</v>
      </c>
      <c r="M1551" s="735">
        <v>2490</v>
      </c>
      <c r="N1551" s="845">
        <f t="shared" si="133"/>
        <v>-2.7723545490042953E-2</v>
      </c>
      <c r="O1551" s="735">
        <v>3.3170843398196141</v>
      </c>
      <c r="P1551" s="735">
        <f t="shared" si="134"/>
        <v>750.65923712250515</v>
      </c>
      <c r="Q1551" s="849">
        <v>35.9</v>
      </c>
      <c r="R1551" s="71">
        <v>69722</v>
      </c>
      <c r="S1551" s="845">
        <v>0.19637096774193549</v>
      </c>
      <c r="T1551" s="845">
        <v>2.1000000000000001E-2</v>
      </c>
      <c r="U1551" s="845">
        <v>0</v>
      </c>
      <c r="V1551" s="845">
        <v>0</v>
      </c>
      <c r="W1551" s="845">
        <v>0.26234567901234568</v>
      </c>
      <c r="X1551" s="845">
        <v>0.29411764705882354</v>
      </c>
      <c r="Y1551" s="845">
        <v>0.97951807228915666</v>
      </c>
      <c r="Z1551" s="845">
        <v>8.0321285140562252E-4</v>
      </c>
      <c r="AA1551" s="845">
        <v>2.8112449799196789E-3</v>
      </c>
      <c r="AB1551" s="845">
        <v>1.1244979919678716E-2</v>
      </c>
      <c r="AC1551" s="845">
        <v>0</v>
      </c>
      <c r="AD1551" s="845">
        <v>2.8112449799196789E-3</v>
      </c>
      <c r="AE1551" s="845">
        <v>2.8112449799196789E-3</v>
      </c>
      <c r="AF1551" s="845">
        <v>0</v>
      </c>
      <c r="AG1551" s="845">
        <v>0.97951807228915666</v>
      </c>
      <c r="AH1551" s="20" t="str">
        <f t="shared" si="135"/>
        <v>Yes</v>
      </c>
      <c r="AI1551" s="25"/>
      <c r="AJ1551" s="37">
        <v>45727</v>
      </c>
      <c r="AK1551" s="37" t="s">
        <v>1843</v>
      </c>
      <c r="AL1551" s="37">
        <v>39167</v>
      </c>
      <c r="AM1551" s="37" t="s">
        <v>89</v>
      </c>
      <c r="AN1551" s="37" t="str">
        <f t="shared" si="136"/>
        <v>N/A</v>
      </c>
      <c r="AO1551" s="37" t="str">
        <f t="shared" si="137"/>
        <v>N/A</v>
      </c>
      <c r="AP1551" s="37" t="s">
        <v>8</v>
      </c>
      <c r="AQ1551" s="25"/>
      <c r="AR1551" s="25"/>
      <c r="AS1551" s="25"/>
      <c r="AT1551" s="25"/>
      <c r="AU1551" s="36"/>
      <c r="AV1551" s="36"/>
      <c r="AW1551" s="36"/>
      <c r="AX1551" s="25"/>
      <c r="AY1551" s="25"/>
      <c r="AZ1551" s="25"/>
      <c r="BA1551" s="25"/>
      <c r="BB1551" s="25"/>
      <c r="BC1551" s="25"/>
      <c r="BD1551" s="25"/>
      <c r="BE1551" s="25"/>
      <c r="BF1551" s="25"/>
      <c r="BG1551" s="25"/>
      <c r="BH1551" s="25"/>
      <c r="BI1551" s="25"/>
      <c r="BJ1551" s="25"/>
      <c r="BK1551" s="25"/>
      <c r="BL1551" s="25"/>
      <c r="BM1551" s="25"/>
      <c r="BN1551" s="25"/>
      <c r="BO1551" s="25"/>
      <c r="BP1551" s="25"/>
      <c r="BQ1551" s="25"/>
      <c r="BR1551" s="25"/>
      <c r="BS1551" s="25"/>
      <c r="BT1551" s="25"/>
      <c r="BU1551" s="25"/>
      <c r="BV1551" s="25"/>
      <c r="BW1551" s="25"/>
      <c r="BX1551" s="25"/>
      <c r="BY1551" s="25"/>
      <c r="BZ1551" s="25"/>
      <c r="CA1551" s="25"/>
      <c r="CB1551" s="25"/>
      <c r="CC1551" s="25"/>
      <c r="CD1551" s="25"/>
      <c r="CE1551" s="200"/>
      <c r="CF1551" s="200"/>
      <c r="CG1551" s="200"/>
      <c r="CH1551" s="200"/>
      <c r="CI1551" s="200"/>
      <c r="CJ1551" s="200"/>
      <c r="CK1551" s="200"/>
      <c r="CL1551" s="200"/>
      <c r="CM1551" s="200"/>
      <c r="CN1551" s="200"/>
      <c r="CO1551" s="200"/>
      <c r="CP1551" s="200"/>
      <c r="CQ1551" s="200"/>
      <c r="CR1551" s="200"/>
      <c r="CS1551" s="200"/>
      <c r="CT1551" s="200"/>
      <c r="CU1551" s="200"/>
    </row>
    <row r="1552" spans="1:99" s="17" customFormat="1" x14ac:dyDescent="0.2">
      <c r="A1552" s="25"/>
      <c r="B1552" s="20">
        <v>39007000900</v>
      </c>
      <c r="C1552" s="20">
        <v>9</v>
      </c>
      <c r="D1552" s="20" t="s">
        <v>10</v>
      </c>
      <c r="E1552" s="20" t="s">
        <v>2829</v>
      </c>
      <c r="F1552" s="20" t="s">
        <v>8</v>
      </c>
      <c r="G1552" s="861">
        <v>49.604472987509297</v>
      </c>
      <c r="H1552" s="861">
        <v>52.568655063464497</v>
      </c>
      <c r="I1552" s="861">
        <v>39.506427658515399</v>
      </c>
      <c r="J1552" s="861">
        <v>45.435690106962497</v>
      </c>
      <c r="K1552" s="982">
        <v>0</v>
      </c>
      <c r="L1552" s="735">
        <v>4587</v>
      </c>
      <c r="M1552" s="735">
        <v>4275</v>
      </c>
      <c r="N1552" s="845">
        <f t="shared" si="133"/>
        <v>-6.8018312622629168E-2</v>
      </c>
      <c r="O1552" s="735">
        <v>16.668650652608594</v>
      </c>
      <c r="P1552" s="735">
        <f t="shared" si="134"/>
        <v>256.46947009060841</v>
      </c>
      <c r="Q1552" s="849">
        <v>49.3</v>
      </c>
      <c r="R1552" s="71">
        <v>46250</v>
      </c>
      <c r="S1552" s="845">
        <v>0.20128268376911693</v>
      </c>
      <c r="T1552" s="845">
        <v>0.02</v>
      </c>
      <c r="U1552" s="845">
        <v>0</v>
      </c>
      <c r="V1552" s="845">
        <v>0</v>
      </c>
      <c r="W1552" s="845">
        <v>0.37132156233279828</v>
      </c>
      <c r="X1552" s="845">
        <v>0.50576368876080691</v>
      </c>
      <c r="Y1552" s="845">
        <v>0.88140350877192986</v>
      </c>
      <c r="Z1552" s="845">
        <v>4.2573099415204679E-2</v>
      </c>
      <c r="AA1552" s="845">
        <v>2.5730994152046785E-3</v>
      </c>
      <c r="AB1552" s="845">
        <v>0</v>
      </c>
      <c r="AC1552" s="845">
        <v>0</v>
      </c>
      <c r="AD1552" s="845">
        <v>5.3801169590643278E-3</v>
      </c>
      <c r="AE1552" s="845">
        <v>6.8070175438596489E-2</v>
      </c>
      <c r="AF1552" s="845">
        <v>9.5204678362573097E-2</v>
      </c>
      <c r="AG1552" s="845">
        <v>0.79274853801169587</v>
      </c>
      <c r="AH1552" s="20" t="str">
        <f t="shared" si="135"/>
        <v>No</v>
      </c>
      <c r="AI1552" s="25"/>
      <c r="AJ1552" s="37">
        <v>45729</v>
      </c>
      <c r="AK1552" s="37" t="s">
        <v>1844</v>
      </c>
      <c r="AL1552" s="37">
        <v>39167</v>
      </c>
      <c r="AM1552" s="37" t="s">
        <v>89</v>
      </c>
      <c r="AN1552" s="37" t="str">
        <f t="shared" si="136"/>
        <v>N/A</v>
      </c>
      <c r="AO1552" s="37" t="str">
        <f t="shared" si="137"/>
        <v>N/A</v>
      </c>
      <c r="AP1552" s="37" t="s">
        <v>8</v>
      </c>
      <c r="AQ1552" s="25"/>
      <c r="AR1552" s="25"/>
      <c r="AS1552" s="25"/>
      <c r="AT1552" s="25"/>
      <c r="AU1552" s="36"/>
      <c r="AV1552" s="36"/>
      <c r="AW1552" s="36"/>
      <c r="AX1552" s="25"/>
      <c r="AY1552" s="25"/>
      <c r="AZ1552" s="25"/>
      <c r="BA1552" s="25"/>
      <c r="BB1552" s="25"/>
      <c r="BC1552" s="25"/>
      <c r="BD1552" s="25"/>
      <c r="BE1552" s="25"/>
      <c r="BF1552" s="25"/>
      <c r="BG1552" s="25"/>
      <c r="BH1552" s="25"/>
      <c r="BI1552" s="25"/>
      <c r="BJ1552" s="25"/>
      <c r="BK1552" s="25"/>
      <c r="BL1552" s="25"/>
      <c r="BM1552" s="25"/>
      <c r="BN1552" s="25"/>
      <c r="BO1552" s="25"/>
      <c r="BP1552" s="25"/>
      <c r="BQ1552" s="25"/>
      <c r="BR1552" s="25"/>
      <c r="BS1552" s="25"/>
      <c r="BT1552" s="25"/>
      <c r="BU1552" s="25"/>
      <c r="BV1552" s="25"/>
      <c r="BW1552" s="25"/>
      <c r="BX1552" s="25"/>
      <c r="BY1552" s="25"/>
      <c r="BZ1552" s="25"/>
      <c r="CA1552" s="25"/>
      <c r="CB1552" s="25"/>
      <c r="CC1552" s="25"/>
      <c r="CD1552" s="25"/>
      <c r="CE1552" s="200"/>
      <c r="CF1552" s="200"/>
      <c r="CG1552" s="200"/>
      <c r="CH1552" s="200"/>
      <c r="CI1552" s="200"/>
      <c r="CJ1552" s="200"/>
      <c r="CK1552" s="200"/>
      <c r="CL1552" s="200"/>
      <c r="CM1552" s="200"/>
      <c r="CN1552" s="200"/>
      <c r="CO1552" s="200"/>
      <c r="CP1552" s="200"/>
      <c r="CQ1552" s="200"/>
      <c r="CR1552" s="200"/>
      <c r="CS1552" s="200"/>
      <c r="CT1552" s="200"/>
      <c r="CU1552" s="200"/>
    </row>
    <row r="1553" spans="1:99" s="17" customFormat="1" x14ac:dyDescent="0.2">
      <c r="A1553" s="25"/>
      <c r="B1553" s="20">
        <v>39035171102</v>
      </c>
      <c r="C1553" s="20">
        <v>1711.02</v>
      </c>
      <c r="D1553" s="20" t="s">
        <v>24</v>
      </c>
      <c r="E1553" s="20" t="s">
        <v>2829</v>
      </c>
      <c r="F1553" s="20" t="s">
        <v>8</v>
      </c>
      <c r="G1553" s="861">
        <v>49.596370961223698</v>
      </c>
      <c r="H1553" s="861">
        <v>53.277047396929703</v>
      </c>
      <c r="I1553" s="861">
        <v>41.570198361368597</v>
      </c>
      <c r="J1553" s="861">
        <v>46.790200078813498</v>
      </c>
      <c r="K1553" s="982">
        <v>0</v>
      </c>
      <c r="L1553" s="735">
        <v>4801</v>
      </c>
      <c r="M1553" s="735">
        <v>4916</v>
      </c>
      <c r="N1553" s="845">
        <f t="shared" si="133"/>
        <v>2.3953343053530515E-2</v>
      </c>
      <c r="O1553" s="735">
        <v>1.0732721085735024</v>
      </c>
      <c r="P1553" s="735">
        <f t="shared" si="134"/>
        <v>4580.3854965856781</v>
      </c>
      <c r="Q1553" s="849">
        <v>34.299999999999997</v>
      </c>
      <c r="R1553" s="71">
        <v>68605</v>
      </c>
      <c r="S1553" s="845">
        <v>0.22475570032573289</v>
      </c>
      <c r="T1553" s="845">
        <v>0.107</v>
      </c>
      <c r="U1553" s="845">
        <v>1.3000000000000001E-2</v>
      </c>
      <c r="V1553" s="845">
        <v>9.6000000000000002E-2</v>
      </c>
      <c r="W1553" s="845">
        <v>0.33170466883821931</v>
      </c>
      <c r="X1553" s="845">
        <v>0.41080196399345337</v>
      </c>
      <c r="Y1553" s="845">
        <v>8.767290480065093E-2</v>
      </c>
      <c r="Z1553" s="845">
        <v>0.86635475996745326</v>
      </c>
      <c r="AA1553" s="845">
        <v>0</v>
      </c>
      <c r="AB1553" s="845">
        <v>9.9674532139951179E-3</v>
      </c>
      <c r="AC1553" s="845">
        <v>0</v>
      </c>
      <c r="AD1553" s="845">
        <v>0</v>
      </c>
      <c r="AE1553" s="845">
        <v>3.6004882017900731E-2</v>
      </c>
      <c r="AF1553" s="845">
        <v>0</v>
      </c>
      <c r="AG1553" s="845">
        <v>8.767290480065093E-2</v>
      </c>
      <c r="AH1553" s="20" t="str">
        <f t="shared" si="135"/>
        <v>No</v>
      </c>
      <c r="AI1553" s="25"/>
      <c r="AJ1553" s="37">
        <v>45742</v>
      </c>
      <c r="AK1553" s="37" t="s">
        <v>1851</v>
      </c>
      <c r="AL1553" s="37">
        <v>39167</v>
      </c>
      <c r="AM1553" s="37" t="s">
        <v>89</v>
      </c>
      <c r="AN1553" s="37" t="str">
        <f t="shared" si="136"/>
        <v>N/A</v>
      </c>
      <c r="AO1553" s="37" t="str">
        <f t="shared" si="137"/>
        <v>N/A</v>
      </c>
      <c r="AP1553" s="37" t="s">
        <v>8</v>
      </c>
      <c r="AQ1553" s="25"/>
      <c r="AR1553" s="25"/>
      <c r="AS1553" s="25"/>
      <c r="AT1553" s="25"/>
      <c r="AU1553" s="36"/>
      <c r="AV1553" s="36"/>
      <c r="AW1553" s="36"/>
      <c r="AX1553" s="25"/>
      <c r="AY1553" s="25"/>
      <c r="AZ1553" s="25"/>
      <c r="BA1553" s="25"/>
      <c r="BB1553" s="25"/>
      <c r="BC1553" s="25"/>
      <c r="BD1553" s="25"/>
      <c r="BE1553" s="25"/>
      <c r="BF1553" s="25"/>
      <c r="BG1553" s="25"/>
      <c r="BH1553" s="25"/>
      <c r="BI1553" s="25"/>
      <c r="BJ1553" s="25"/>
      <c r="BK1553" s="25"/>
      <c r="BL1553" s="25"/>
      <c r="BM1553" s="25"/>
      <c r="BN1553" s="25"/>
      <c r="BO1553" s="25"/>
      <c r="BP1553" s="25"/>
      <c r="BQ1553" s="25"/>
      <c r="BR1553" s="25"/>
      <c r="BS1553" s="25"/>
      <c r="BT1553" s="25"/>
      <c r="BU1553" s="25"/>
      <c r="BV1553" s="25"/>
      <c r="BW1553" s="25"/>
      <c r="BX1553" s="25"/>
      <c r="BY1553" s="25"/>
      <c r="BZ1553" s="25"/>
      <c r="CA1553" s="25"/>
      <c r="CB1553" s="25"/>
      <c r="CC1553" s="25"/>
      <c r="CD1553" s="25"/>
      <c r="CE1553" s="200"/>
      <c r="CF1553" s="200"/>
      <c r="CG1553" s="200"/>
      <c r="CH1553" s="200"/>
      <c r="CI1553" s="200"/>
      <c r="CJ1553" s="200"/>
      <c r="CK1553" s="200"/>
      <c r="CL1553" s="200"/>
      <c r="CM1553" s="200"/>
      <c r="CN1553" s="200"/>
      <c r="CO1553" s="200"/>
      <c r="CP1553" s="200"/>
      <c r="CQ1553" s="200"/>
      <c r="CR1553" s="200"/>
      <c r="CS1553" s="200"/>
      <c r="CT1553" s="200"/>
      <c r="CU1553" s="200"/>
    </row>
    <row r="1554" spans="1:99" s="17" customFormat="1" x14ac:dyDescent="0.2">
      <c r="A1554" s="25"/>
      <c r="B1554" s="20">
        <v>39061020502</v>
      </c>
      <c r="C1554" s="20">
        <v>205.02</v>
      </c>
      <c r="D1554" s="20" t="s">
        <v>37</v>
      </c>
      <c r="E1554" s="20" t="s">
        <v>2828</v>
      </c>
      <c r="F1554" s="20" t="s">
        <v>8</v>
      </c>
      <c r="G1554" s="861">
        <v>49.584285607924301</v>
      </c>
      <c r="H1554" s="861">
        <v>56.410198259774099</v>
      </c>
      <c r="I1554" s="861">
        <v>28.3196251386812</v>
      </c>
      <c r="J1554" s="861">
        <v>43.137680995244502</v>
      </c>
      <c r="K1554" s="982">
        <v>0</v>
      </c>
      <c r="L1554" s="735">
        <v>4957</v>
      </c>
      <c r="M1554" s="735">
        <v>5151</v>
      </c>
      <c r="N1554" s="845">
        <f t="shared" si="133"/>
        <v>3.9136574541053057E-2</v>
      </c>
      <c r="O1554" s="735">
        <v>11.981291682454867</v>
      </c>
      <c r="P1554" s="735">
        <f t="shared" si="134"/>
        <v>429.92025705734284</v>
      </c>
      <c r="Q1554" s="849">
        <v>48.8</v>
      </c>
      <c r="R1554" s="71">
        <v>96417</v>
      </c>
      <c r="S1554" s="845">
        <v>7.7821011673151752E-2</v>
      </c>
      <c r="T1554" s="845">
        <v>3.5000000000000003E-2</v>
      </c>
      <c r="U1554" s="845">
        <v>8.0000000000000002E-3</v>
      </c>
      <c r="V1554" s="845">
        <v>0</v>
      </c>
      <c r="W1554" s="845">
        <v>7.7149877149877144E-2</v>
      </c>
      <c r="X1554" s="845">
        <v>0</v>
      </c>
      <c r="Y1554" s="845">
        <v>0.82178217821782173</v>
      </c>
      <c r="Z1554" s="845">
        <v>0.13939040962919821</v>
      </c>
      <c r="AA1554" s="845">
        <v>0</v>
      </c>
      <c r="AB1554" s="845">
        <v>3.6886041545331006E-3</v>
      </c>
      <c r="AC1554" s="845">
        <v>0</v>
      </c>
      <c r="AD1554" s="845">
        <v>0</v>
      </c>
      <c r="AE1554" s="845">
        <v>3.5138807998446903E-2</v>
      </c>
      <c r="AF1554" s="845">
        <v>3.4944670937682005E-3</v>
      </c>
      <c r="AG1554" s="845">
        <v>0.82003494467093763</v>
      </c>
      <c r="AH1554" s="20" t="str">
        <f t="shared" si="135"/>
        <v>No</v>
      </c>
      <c r="AI1554" s="25"/>
      <c r="AJ1554" s="37">
        <v>45744</v>
      </c>
      <c r="AK1554" s="37" t="s">
        <v>1853</v>
      </c>
      <c r="AL1554" s="37">
        <v>39167</v>
      </c>
      <c r="AM1554" s="37" t="s">
        <v>89</v>
      </c>
      <c r="AN1554" s="37" t="str">
        <f t="shared" si="136"/>
        <v>N/A</v>
      </c>
      <c r="AO1554" s="37" t="str">
        <f t="shared" si="137"/>
        <v>N/A</v>
      </c>
      <c r="AP1554" s="37" t="s">
        <v>8</v>
      </c>
      <c r="AQ1554" s="25"/>
      <c r="AR1554" s="25"/>
      <c r="AS1554" s="25"/>
      <c r="AT1554" s="25"/>
      <c r="AU1554" s="36"/>
      <c r="AV1554" s="36"/>
      <c r="AW1554" s="36"/>
      <c r="AX1554" s="25"/>
      <c r="AY1554" s="25"/>
      <c r="AZ1554" s="25"/>
      <c r="BA1554" s="25"/>
      <c r="BB1554" s="25"/>
      <c r="BC1554" s="25"/>
      <c r="BD1554" s="25"/>
      <c r="BE1554" s="25"/>
      <c r="BF1554" s="25"/>
      <c r="BG1554" s="25"/>
      <c r="BH1554" s="25"/>
      <c r="BI1554" s="25"/>
      <c r="BJ1554" s="25"/>
      <c r="BK1554" s="25"/>
      <c r="BL1554" s="25"/>
      <c r="BM1554" s="25"/>
      <c r="BN1554" s="25"/>
      <c r="BO1554" s="25"/>
      <c r="BP1554" s="25"/>
      <c r="BQ1554" s="25"/>
      <c r="BR1554" s="25"/>
      <c r="BS1554" s="25"/>
      <c r="BT1554" s="25"/>
      <c r="BU1554" s="25"/>
      <c r="BV1554" s="25"/>
      <c r="BW1554" s="25"/>
      <c r="BX1554" s="25"/>
      <c r="BY1554" s="25"/>
      <c r="BZ1554" s="25"/>
      <c r="CA1554" s="25"/>
      <c r="CB1554" s="25"/>
      <c r="CC1554" s="25"/>
      <c r="CD1554" s="25"/>
      <c r="CE1554" s="200"/>
      <c r="CF1554" s="200"/>
      <c r="CG1554" s="200"/>
      <c r="CH1554" s="200"/>
      <c r="CI1554" s="200"/>
      <c r="CJ1554" s="200"/>
      <c r="CK1554" s="200"/>
      <c r="CL1554" s="200"/>
      <c r="CM1554" s="200"/>
      <c r="CN1554" s="200"/>
      <c r="CO1554" s="200"/>
      <c r="CP1554" s="200"/>
      <c r="CQ1554" s="200"/>
      <c r="CR1554" s="200"/>
      <c r="CS1554" s="200"/>
      <c r="CT1554" s="200"/>
      <c r="CU1554" s="200"/>
    </row>
    <row r="1555" spans="1:99" s="17" customFormat="1" x14ac:dyDescent="0.2">
      <c r="A1555" s="25"/>
      <c r="B1555" s="20">
        <v>39107967300</v>
      </c>
      <c r="C1555" s="20">
        <v>9673</v>
      </c>
      <c r="D1555" s="20" t="s">
        <v>59</v>
      </c>
      <c r="E1555" s="20" t="s">
        <v>265</v>
      </c>
      <c r="F1555" s="20" t="s">
        <v>8</v>
      </c>
      <c r="G1555" s="861">
        <v>49.582178739643197</v>
      </c>
      <c r="H1555" s="861">
        <v>54.582319078937402</v>
      </c>
      <c r="I1555" s="861">
        <v>19.797250731170902</v>
      </c>
      <c r="J1555" s="861">
        <v>40.217225036786502</v>
      </c>
      <c r="K1555" s="982">
        <v>0</v>
      </c>
      <c r="L1555" s="735">
        <v>4721</v>
      </c>
      <c r="M1555" s="735">
        <v>4143</v>
      </c>
      <c r="N1555" s="845">
        <f t="shared" si="133"/>
        <v>-0.12243168820165219</v>
      </c>
      <c r="O1555" s="735">
        <v>137.91752928163058</v>
      </c>
      <c r="P1555" s="735">
        <f t="shared" si="134"/>
        <v>30.039691267524844</v>
      </c>
      <c r="Q1555" s="849">
        <v>40.4</v>
      </c>
      <c r="R1555" s="71">
        <v>84200</v>
      </c>
      <c r="S1555" s="845">
        <v>5.3170731707317072E-2</v>
      </c>
      <c r="T1555" s="845">
        <v>2.5000000000000001E-2</v>
      </c>
      <c r="U1555" s="845">
        <v>0</v>
      </c>
      <c r="V1555" s="845">
        <v>0</v>
      </c>
      <c r="W1555" s="845">
        <v>0.11034912718204488</v>
      </c>
      <c r="X1555" s="845">
        <v>0.32203389830508472</v>
      </c>
      <c r="Y1555" s="845">
        <v>0.99227612840936519</v>
      </c>
      <c r="Z1555" s="845">
        <v>0</v>
      </c>
      <c r="AA1555" s="845">
        <v>2.4137098720733766E-3</v>
      </c>
      <c r="AB1555" s="845">
        <v>2.4137098720733766E-3</v>
      </c>
      <c r="AC1555" s="845">
        <v>0</v>
      </c>
      <c r="AD1555" s="845">
        <v>0</v>
      </c>
      <c r="AE1555" s="845">
        <v>2.8964518464880519E-3</v>
      </c>
      <c r="AF1555" s="845">
        <v>2.8964518464880519E-3</v>
      </c>
      <c r="AG1555" s="845">
        <v>0.99227612840936519</v>
      </c>
      <c r="AH1555" s="20" t="str">
        <f t="shared" si="135"/>
        <v>Yes</v>
      </c>
      <c r="AI1555" s="25"/>
      <c r="AJ1555" s="37">
        <v>45745</v>
      </c>
      <c r="AK1555" s="37" t="s">
        <v>1854</v>
      </c>
      <c r="AL1555" s="37">
        <v>39167</v>
      </c>
      <c r="AM1555" s="37" t="s">
        <v>89</v>
      </c>
      <c r="AN1555" s="37" t="str">
        <f t="shared" si="136"/>
        <v>N/A</v>
      </c>
      <c r="AO1555" s="37" t="str">
        <f t="shared" si="137"/>
        <v>N/A</v>
      </c>
      <c r="AP1555" s="37" t="s">
        <v>8</v>
      </c>
      <c r="AQ1555" s="25"/>
      <c r="AR1555" s="25"/>
      <c r="AS1555" s="25"/>
      <c r="AT1555" s="25"/>
      <c r="AU1555" s="36"/>
      <c r="AV1555" s="36"/>
      <c r="AW1555" s="36"/>
      <c r="AX1555" s="25"/>
      <c r="AY1555" s="25"/>
      <c r="AZ1555" s="25"/>
      <c r="BA1555" s="25"/>
      <c r="BB1555" s="25"/>
      <c r="BC1555" s="25"/>
      <c r="BD1555" s="25"/>
      <c r="BE1555" s="25"/>
      <c r="BF1555" s="25"/>
      <c r="BG1555" s="25"/>
      <c r="BH1555" s="25"/>
      <c r="BI1555" s="25"/>
      <c r="BJ1555" s="25"/>
      <c r="BK1555" s="25"/>
      <c r="BL1555" s="25"/>
      <c r="BM1555" s="25"/>
      <c r="BN1555" s="25"/>
      <c r="BO1555" s="25"/>
      <c r="BP1555" s="25"/>
      <c r="BQ1555" s="25"/>
      <c r="BR1555" s="25"/>
      <c r="BS1555" s="25"/>
      <c r="BT1555" s="25"/>
      <c r="BU1555" s="25"/>
      <c r="BV1555" s="25"/>
      <c r="BW1555" s="25"/>
      <c r="BX1555" s="25"/>
      <c r="BY1555" s="25"/>
      <c r="BZ1555" s="25"/>
      <c r="CA1555" s="25"/>
      <c r="CB1555" s="25"/>
      <c r="CC1555" s="25"/>
      <c r="CD1555" s="25"/>
      <c r="CE1555" s="200"/>
      <c r="CF1555" s="200"/>
      <c r="CG1555" s="200"/>
      <c r="CH1555" s="200"/>
      <c r="CI1555" s="200"/>
      <c r="CJ1555" s="200"/>
      <c r="CK1555" s="200"/>
      <c r="CL1555" s="200"/>
      <c r="CM1555" s="200"/>
      <c r="CN1555" s="200"/>
      <c r="CO1555" s="200"/>
      <c r="CP1555" s="200"/>
      <c r="CQ1555" s="200"/>
      <c r="CR1555" s="200"/>
      <c r="CS1555" s="200"/>
      <c r="CT1555" s="200"/>
      <c r="CU1555" s="200"/>
    </row>
    <row r="1556" spans="1:99" s="17" customFormat="1" x14ac:dyDescent="0.2">
      <c r="A1556" s="25"/>
      <c r="B1556" s="20">
        <v>39153532001</v>
      </c>
      <c r="C1556" s="20">
        <v>5320.01</v>
      </c>
      <c r="D1556" s="20" t="s">
        <v>82</v>
      </c>
      <c r="E1556" s="20" t="s">
        <v>2843</v>
      </c>
      <c r="F1556" s="20" t="s">
        <v>8</v>
      </c>
      <c r="G1556" s="861">
        <v>49.572717556971398</v>
      </c>
      <c r="H1556" s="861">
        <v>53.109148639036199</v>
      </c>
      <c r="I1556" s="861">
        <v>26.269263123325601</v>
      </c>
      <c r="J1556" s="861">
        <v>37.683559581531703</v>
      </c>
      <c r="K1556" s="982">
        <v>0</v>
      </c>
      <c r="L1556" s="735">
        <v>3661</v>
      </c>
      <c r="M1556" s="735">
        <v>3912</v>
      </c>
      <c r="N1556" s="845">
        <f t="shared" si="133"/>
        <v>6.8560502594919415E-2</v>
      </c>
      <c r="O1556" s="735">
        <v>7.7357787561426301</v>
      </c>
      <c r="P1556" s="735">
        <f t="shared" si="134"/>
        <v>505.70215660493892</v>
      </c>
      <c r="Q1556" s="849">
        <v>42.5</v>
      </c>
      <c r="R1556" s="71">
        <v>82250</v>
      </c>
      <c r="S1556" s="845">
        <v>7.1005917159763315E-2</v>
      </c>
      <c r="T1556" s="845">
        <v>4.7E-2</v>
      </c>
      <c r="U1556" s="845">
        <v>0</v>
      </c>
      <c r="V1556" s="845">
        <v>0</v>
      </c>
      <c r="W1556" s="845">
        <v>0.14587100663050029</v>
      </c>
      <c r="X1556" s="845">
        <v>0.52066115702479343</v>
      </c>
      <c r="Y1556" s="845">
        <v>0.93353783231083842</v>
      </c>
      <c r="Z1556" s="845">
        <v>5.8793456032719838E-3</v>
      </c>
      <c r="AA1556" s="845">
        <v>0</v>
      </c>
      <c r="AB1556" s="845">
        <v>3.2719836400817999E-2</v>
      </c>
      <c r="AC1556" s="845">
        <v>0</v>
      </c>
      <c r="AD1556" s="845">
        <v>2.5562372188139061E-3</v>
      </c>
      <c r="AE1556" s="845">
        <v>2.5306748466257668E-2</v>
      </c>
      <c r="AF1556" s="845">
        <v>6.3905930470347649E-3</v>
      </c>
      <c r="AG1556" s="845">
        <v>0.92970347648261764</v>
      </c>
      <c r="AH1556" s="20" t="str">
        <f t="shared" si="135"/>
        <v>Yes</v>
      </c>
      <c r="AI1556" s="25"/>
      <c r="AJ1556" s="37">
        <v>45746</v>
      </c>
      <c r="AK1556" s="37" t="s">
        <v>1855</v>
      </c>
      <c r="AL1556" s="37">
        <v>39167</v>
      </c>
      <c r="AM1556" s="37" t="s">
        <v>89</v>
      </c>
      <c r="AN1556" s="37" t="str">
        <f t="shared" si="136"/>
        <v>N/A</v>
      </c>
      <c r="AO1556" s="37" t="str">
        <f t="shared" si="137"/>
        <v>N/A</v>
      </c>
      <c r="AP1556" s="37" t="s">
        <v>8</v>
      </c>
      <c r="AQ1556" s="25"/>
      <c r="AR1556" s="25"/>
      <c r="AS1556" s="25"/>
      <c r="AT1556" s="25"/>
      <c r="AU1556" s="36"/>
      <c r="AV1556" s="36"/>
      <c r="AW1556" s="36"/>
      <c r="AX1556" s="25"/>
      <c r="AY1556" s="25"/>
      <c r="AZ1556" s="25"/>
      <c r="BA1556" s="25"/>
      <c r="BB1556" s="25"/>
      <c r="BC1556" s="25"/>
      <c r="BD1556" s="25"/>
      <c r="BE1556" s="25"/>
      <c r="BF1556" s="25"/>
      <c r="BG1556" s="25"/>
      <c r="BH1556" s="25"/>
      <c r="BI1556" s="25"/>
      <c r="BJ1556" s="25"/>
      <c r="BK1556" s="25"/>
      <c r="BL1556" s="25"/>
      <c r="BM1556" s="25"/>
      <c r="BN1556" s="25"/>
      <c r="BO1556" s="25"/>
      <c r="BP1556" s="25"/>
      <c r="BQ1556" s="25"/>
      <c r="BR1556" s="25"/>
      <c r="BS1556" s="25"/>
      <c r="BT1556" s="25"/>
      <c r="BU1556" s="25"/>
      <c r="BV1556" s="25"/>
      <c r="BW1556" s="25"/>
      <c r="BX1556" s="25"/>
      <c r="BY1556" s="25"/>
      <c r="BZ1556" s="25"/>
      <c r="CA1556" s="25"/>
      <c r="CB1556" s="25"/>
      <c r="CC1556" s="25"/>
      <c r="CD1556" s="25"/>
      <c r="CE1556" s="200"/>
      <c r="CF1556" s="200"/>
      <c r="CG1556" s="200"/>
      <c r="CH1556" s="200"/>
      <c r="CI1556" s="200"/>
      <c r="CJ1556" s="200"/>
      <c r="CK1556" s="200"/>
      <c r="CL1556" s="200"/>
      <c r="CM1556" s="200"/>
      <c r="CN1556" s="200"/>
      <c r="CO1556" s="200"/>
      <c r="CP1556" s="200"/>
      <c r="CQ1556" s="200"/>
      <c r="CR1556" s="200"/>
      <c r="CS1556" s="200"/>
      <c r="CT1556" s="200"/>
      <c r="CU1556" s="200"/>
    </row>
    <row r="1557" spans="1:99" s="17" customFormat="1" x14ac:dyDescent="0.2">
      <c r="A1557" s="25"/>
      <c r="B1557" s="20">
        <v>39117965000</v>
      </c>
      <c r="C1557" s="20">
        <v>9650</v>
      </c>
      <c r="D1557" s="20" t="s">
        <v>64</v>
      </c>
      <c r="E1557" s="20" t="s">
        <v>2830</v>
      </c>
      <c r="F1557" s="20" t="s">
        <v>8</v>
      </c>
      <c r="G1557" s="861">
        <v>49.560367259034102</v>
      </c>
      <c r="H1557" s="861">
        <v>53.771151933357302</v>
      </c>
      <c r="I1557" s="861">
        <v>17.421582867232601</v>
      </c>
      <c r="J1557" s="861">
        <v>55.356570282695998</v>
      </c>
      <c r="K1557" s="982">
        <v>0</v>
      </c>
      <c r="L1557" s="735">
        <v>4080</v>
      </c>
      <c r="M1557" s="735">
        <v>4565</v>
      </c>
      <c r="N1557" s="845">
        <f t="shared" si="133"/>
        <v>0.11887254901960784</v>
      </c>
      <c r="O1557" s="735">
        <v>66.26792777052556</v>
      </c>
      <c r="P1557" s="735">
        <f t="shared" si="134"/>
        <v>68.887019008770125</v>
      </c>
      <c r="Q1557" s="849">
        <v>43.3</v>
      </c>
      <c r="R1557" s="71">
        <v>77500</v>
      </c>
      <c r="S1557" s="845">
        <v>9.2442497261774365E-2</v>
      </c>
      <c r="T1557" s="845">
        <v>2.7999999999999997E-2</v>
      </c>
      <c r="U1557" s="845">
        <v>0</v>
      </c>
      <c r="V1557" s="845">
        <v>0</v>
      </c>
      <c r="W1557" s="845">
        <v>0.15410199556541021</v>
      </c>
      <c r="X1557" s="845">
        <v>0.26978417266187049</v>
      </c>
      <c r="Y1557" s="845">
        <v>0.98181818181818181</v>
      </c>
      <c r="Z1557" s="845">
        <v>0</v>
      </c>
      <c r="AA1557" s="845">
        <v>1.7524644030668128E-3</v>
      </c>
      <c r="AB1557" s="845">
        <v>0</v>
      </c>
      <c r="AC1557" s="845">
        <v>0</v>
      </c>
      <c r="AD1557" s="845">
        <v>9.2004381161007662E-3</v>
      </c>
      <c r="AE1557" s="845">
        <v>7.2289156626506026E-3</v>
      </c>
      <c r="AF1557" s="845">
        <v>2.1248630887185104E-2</v>
      </c>
      <c r="AG1557" s="845">
        <v>0.96976998904709744</v>
      </c>
      <c r="AH1557" s="20" t="str">
        <f t="shared" si="135"/>
        <v>Yes</v>
      </c>
      <c r="AI1557" s="25"/>
      <c r="AJ1557" s="37">
        <v>45750</v>
      </c>
      <c r="AK1557" s="37" t="s">
        <v>1856</v>
      </c>
      <c r="AL1557" s="37">
        <v>39167</v>
      </c>
      <c r="AM1557" s="37" t="s">
        <v>89</v>
      </c>
      <c r="AN1557" s="37" t="str">
        <f t="shared" si="136"/>
        <v>N/A</v>
      </c>
      <c r="AO1557" s="37" t="str">
        <f t="shared" si="137"/>
        <v>N/A</v>
      </c>
      <c r="AP1557" s="37" t="s">
        <v>8</v>
      </c>
      <c r="AQ1557" s="25"/>
      <c r="AR1557" s="25"/>
      <c r="AS1557" s="25"/>
      <c r="AT1557" s="25"/>
      <c r="AU1557" s="36"/>
      <c r="AV1557" s="36"/>
      <c r="AW1557" s="36"/>
      <c r="AX1557" s="25"/>
      <c r="AY1557" s="25"/>
      <c r="AZ1557" s="25"/>
      <c r="BA1557" s="25"/>
      <c r="BB1557" s="25"/>
      <c r="BC1557" s="25"/>
      <c r="BD1557" s="25"/>
      <c r="BE1557" s="25"/>
      <c r="BF1557" s="25"/>
      <c r="BG1557" s="25"/>
      <c r="BH1557" s="25"/>
      <c r="BI1557" s="25"/>
      <c r="BJ1557" s="25"/>
      <c r="BK1557" s="25"/>
      <c r="BL1557" s="25"/>
      <c r="BM1557" s="25"/>
      <c r="BN1557" s="25"/>
      <c r="BO1557" s="25"/>
      <c r="BP1557" s="25"/>
      <c r="BQ1557" s="25"/>
      <c r="BR1557" s="25"/>
      <c r="BS1557" s="25"/>
      <c r="BT1557" s="25"/>
      <c r="BU1557" s="25"/>
      <c r="BV1557" s="25"/>
      <c r="BW1557" s="25"/>
      <c r="BX1557" s="25"/>
      <c r="BY1557" s="25"/>
      <c r="BZ1557" s="25"/>
      <c r="CA1557" s="25"/>
      <c r="CB1557" s="25"/>
      <c r="CC1557" s="25"/>
      <c r="CD1557" s="25"/>
      <c r="CE1557" s="200"/>
      <c r="CF1557" s="200"/>
      <c r="CG1557" s="200"/>
      <c r="CH1557" s="200"/>
      <c r="CI1557" s="200"/>
      <c r="CJ1557" s="200"/>
      <c r="CK1557" s="200"/>
      <c r="CL1557" s="200"/>
      <c r="CM1557" s="200"/>
      <c r="CN1557" s="200"/>
      <c r="CO1557" s="200"/>
      <c r="CP1557" s="200"/>
      <c r="CQ1557" s="200"/>
      <c r="CR1557" s="200"/>
      <c r="CS1557" s="200"/>
      <c r="CT1557" s="200"/>
      <c r="CU1557" s="200"/>
    </row>
    <row r="1558" spans="1:99" s="17" customFormat="1" x14ac:dyDescent="0.2">
      <c r="A1558" s="25"/>
      <c r="B1558" s="20">
        <v>39061020505</v>
      </c>
      <c r="C1558" s="20">
        <v>205.05</v>
      </c>
      <c r="D1558" s="20" t="s">
        <v>37</v>
      </c>
      <c r="E1558" s="20" t="s">
        <v>2828</v>
      </c>
      <c r="F1558" s="20" t="s">
        <v>8</v>
      </c>
      <c r="G1558" s="861">
        <v>49.557090334837604</v>
      </c>
      <c r="H1558" s="861">
        <v>60.926154487810898</v>
      </c>
      <c r="I1558" s="861">
        <v>34.582173097449299</v>
      </c>
      <c r="J1558" s="861">
        <v>48.435871892966198</v>
      </c>
      <c r="K1558" s="982">
        <v>0</v>
      </c>
      <c r="L1558" s="735">
        <v>4525</v>
      </c>
      <c r="M1558" s="735">
        <v>4537</v>
      </c>
      <c r="N1558" s="845">
        <f t="shared" si="133"/>
        <v>2.6519337016574587E-3</v>
      </c>
      <c r="O1558" s="735">
        <v>1.2928719583967512</v>
      </c>
      <c r="P1558" s="735">
        <f t="shared" si="134"/>
        <v>3509.2415536850126</v>
      </c>
      <c r="Q1558" s="849">
        <v>37.799999999999997</v>
      </c>
      <c r="R1558" s="71">
        <v>76149</v>
      </c>
      <c r="S1558" s="845">
        <v>9.7065462753950338E-2</v>
      </c>
      <c r="T1558" s="845">
        <v>7.2999999999999995E-2</v>
      </c>
      <c r="U1558" s="845">
        <v>1.7000000000000001E-2</v>
      </c>
      <c r="V1558" s="845">
        <v>7.5999999999999998E-2</v>
      </c>
      <c r="W1558" s="845">
        <v>0.25492610837438423</v>
      </c>
      <c r="X1558" s="845">
        <v>0.5628019323671497</v>
      </c>
      <c r="Y1558" s="845">
        <v>0.49680405554331059</v>
      </c>
      <c r="Z1558" s="845">
        <v>0.42517081772096099</v>
      </c>
      <c r="AA1558" s="845">
        <v>0</v>
      </c>
      <c r="AB1558" s="845">
        <v>1.1681728014106238E-2</v>
      </c>
      <c r="AC1558" s="845">
        <v>0</v>
      </c>
      <c r="AD1558" s="845">
        <v>8.8163985012122553E-3</v>
      </c>
      <c r="AE1558" s="845">
        <v>5.7527000220409963E-2</v>
      </c>
      <c r="AF1558" s="845">
        <v>7.0531188009698043E-2</v>
      </c>
      <c r="AG1558" s="845">
        <v>0.46550584086400704</v>
      </c>
      <c r="AH1558" s="20" t="str">
        <f t="shared" si="135"/>
        <v>No</v>
      </c>
      <c r="AI1558" s="25"/>
      <c r="AJ1558" s="37">
        <v>45767</v>
      </c>
      <c r="AK1558" s="37" t="s">
        <v>1861</v>
      </c>
      <c r="AL1558" s="37">
        <v>39167</v>
      </c>
      <c r="AM1558" s="37" t="s">
        <v>89</v>
      </c>
      <c r="AN1558" s="37" t="str">
        <f t="shared" si="136"/>
        <v>N/A</v>
      </c>
      <c r="AO1558" s="37" t="str">
        <f t="shared" si="137"/>
        <v>N/A</v>
      </c>
      <c r="AP1558" s="37" t="s">
        <v>8</v>
      </c>
      <c r="AQ1558" s="25"/>
      <c r="AR1558" s="25"/>
      <c r="AS1558" s="25"/>
      <c r="AT1558" s="25"/>
      <c r="AU1558" s="36"/>
      <c r="AV1558" s="36"/>
      <c r="AW1558" s="36"/>
      <c r="AX1558" s="25"/>
      <c r="AY1558" s="25"/>
      <c r="AZ1558" s="25"/>
      <c r="BA1558" s="25"/>
      <c r="BB1558" s="25"/>
      <c r="BC1558" s="25"/>
      <c r="BD1558" s="25"/>
      <c r="BE1558" s="25"/>
      <c r="BF1558" s="25"/>
      <c r="BG1558" s="25"/>
      <c r="BH1558" s="25"/>
      <c r="BI1558" s="25"/>
      <c r="BJ1558" s="25"/>
      <c r="BK1558" s="25"/>
      <c r="BL1558" s="25"/>
      <c r="BM1558" s="25"/>
      <c r="BN1558" s="25"/>
      <c r="BO1558" s="25"/>
      <c r="BP1558" s="25"/>
      <c r="BQ1558" s="25"/>
      <c r="BR1558" s="25"/>
      <c r="BS1558" s="25"/>
      <c r="BT1558" s="25"/>
      <c r="BU1558" s="25"/>
      <c r="BV1558" s="25"/>
      <c r="BW1558" s="25"/>
      <c r="BX1558" s="25"/>
      <c r="BY1558" s="25"/>
      <c r="BZ1558" s="25"/>
      <c r="CA1558" s="25"/>
      <c r="CB1558" s="25"/>
      <c r="CC1558" s="25"/>
      <c r="CD1558" s="25"/>
      <c r="CE1558" s="200"/>
      <c r="CF1558" s="200"/>
      <c r="CG1558" s="200"/>
      <c r="CH1558" s="200"/>
      <c r="CI1558" s="200"/>
      <c r="CJ1558" s="200"/>
      <c r="CK1558" s="200"/>
      <c r="CL1558" s="200"/>
      <c r="CM1558" s="200"/>
      <c r="CN1558" s="200"/>
      <c r="CO1558" s="200"/>
      <c r="CP1558" s="200"/>
      <c r="CQ1558" s="200"/>
      <c r="CR1558" s="200"/>
      <c r="CS1558" s="200"/>
      <c r="CT1558" s="200"/>
      <c r="CU1558" s="200"/>
    </row>
    <row r="1559" spans="1:99" s="17" customFormat="1" x14ac:dyDescent="0.2">
      <c r="A1559" s="25"/>
      <c r="B1559" s="20">
        <v>39113050303</v>
      </c>
      <c r="C1559" s="20">
        <v>503.03</v>
      </c>
      <c r="D1559" s="20" t="s">
        <v>62</v>
      </c>
      <c r="E1559" s="20" t="s">
        <v>2833</v>
      </c>
      <c r="F1559" s="20" t="s">
        <v>8</v>
      </c>
      <c r="G1559" s="861">
        <v>49.556179840760201</v>
      </c>
      <c r="H1559" s="861">
        <v>52.648142641159801</v>
      </c>
      <c r="I1559" s="861">
        <v>35.780660387698298</v>
      </c>
      <c r="J1559" s="861">
        <v>48.745575478915299</v>
      </c>
      <c r="K1559" s="982">
        <v>0</v>
      </c>
      <c r="L1559" s="735">
        <v>4410</v>
      </c>
      <c r="M1559" s="735">
        <v>4299</v>
      </c>
      <c r="N1559" s="845">
        <f t="shared" si="133"/>
        <v>-2.5170068027210883E-2</v>
      </c>
      <c r="O1559" s="735">
        <v>0.84545870753051455</v>
      </c>
      <c r="P1559" s="735">
        <f t="shared" si="134"/>
        <v>5084.8136777216159</v>
      </c>
      <c r="Q1559" s="849">
        <v>36.200000000000003</v>
      </c>
      <c r="R1559" s="71">
        <v>50778</v>
      </c>
      <c r="S1559" s="845">
        <v>0.17394399620313242</v>
      </c>
      <c r="T1559" s="845">
        <v>2.8999999999999998E-2</v>
      </c>
      <c r="U1559" s="845">
        <v>0</v>
      </c>
      <c r="V1559" s="845">
        <v>1.7000000000000001E-2</v>
      </c>
      <c r="W1559" s="845">
        <v>0.61492537313432838</v>
      </c>
      <c r="X1559" s="845">
        <v>0.40638002773925103</v>
      </c>
      <c r="Y1559" s="845">
        <v>0.59804605722260995</v>
      </c>
      <c r="Z1559" s="845">
        <v>0.23214701093277507</v>
      </c>
      <c r="AA1559" s="845">
        <v>5.350081414282391E-3</v>
      </c>
      <c r="AB1559" s="845">
        <v>1.9772040009304489E-2</v>
      </c>
      <c r="AC1559" s="845">
        <v>0</v>
      </c>
      <c r="AD1559" s="845">
        <v>1.7445917655268667E-2</v>
      </c>
      <c r="AE1559" s="845">
        <v>0.12723889276575948</v>
      </c>
      <c r="AF1559" s="845">
        <v>6.5364038148406606E-2</v>
      </c>
      <c r="AG1559" s="845">
        <v>0.5722260990928123</v>
      </c>
      <c r="AH1559" s="20" t="str">
        <f t="shared" si="135"/>
        <v>No</v>
      </c>
      <c r="AI1559" s="25"/>
      <c r="AJ1559" s="37">
        <v>45768</v>
      </c>
      <c r="AK1559" s="37" t="s">
        <v>1862</v>
      </c>
      <c r="AL1559" s="37">
        <v>39167</v>
      </c>
      <c r="AM1559" s="37" t="s">
        <v>89</v>
      </c>
      <c r="AN1559" s="37" t="str">
        <f t="shared" si="136"/>
        <v>N/A</v>
      </c>
      <c r="AO1559" s="37" t="str">
        <f t="shared" si="137"/>
        <v>N/A</v>
      </c>
      <c r="AP1559" s="37" t="s">
        <v>8</v>
      </c>
      <c r="AQ1559" s="25"/>
      <c r="AR1559" s="25"/>
      <c r="AS1559" s="25"/>
      <c r="AT1559" s="25"/>
      <c r="AU1559" s="36"/>
      <c r="AV1559" s="36"/>
      <c r="AW1559" s="36"/>
      <c r="AX1559" s="25"/>
      <c r="AY1559" s="25"/>
      <c r="AZ1559" s="25"/>
      <c r="BA1559" s="25"/>
      <c r="BB1559" s="25"/>
      <c r="BC1559" s="25"/>
      <c r="BD1559" s="25"/>
      <c r="BE1559" s="25"/>
      <c r="BF1559" s="25"/>
      <c r="BG1559" s="25"/>
      <c r="BH1559" s="25"/>
      <c r="BI1559" s="25"/>
      <c r="BJ1559" s="25"/>
      <c r="BK1559" s="25"/>
      <c r="BL1559" s="25"/>
      <c r="BM1559" s="25"/>
      <c r="BN1559" s="25"/>
      <c r="BO1559" s="25"/>
      <c r="BP1559" s="25"/>
      <c r="BQ1559" s="25"/>
      <c r="BR1559" s="25"/>
      <c r="BS1559" s="25"/>
      <c r="BT1559" s="25"/>
      <c r="BU1559" s="25"/>
      <c r="BV1559" s="25"/>
      <c r="BW1559" s="25"/>
      <c r="BX1559" s="25"/>
      <c r="BY1559" s="25"/>
      <c r="BZ1559" s="25"/>
      <c r="CA1559" s="25"/>
      <c r="CB1559" s="25"/>
      <c r="CC1559" s="25"/>
      <c r="CD1559" s="25"/>
      <c r="CE1559" s="200"/>
      <c r="CF1559" s="200"/>
      <c r="CG1559" s="200"/>
      <c r="CH1559" s="200"/>
      <c r="CI1559" s="200"/>
      <c r="CJ1559" s="200"/>
      <c r="CK1559" s="200"/>
      <c r="CL1559" s="200"/>
      <c r="CM1559" s="200"/>
      <c r="CN1559" s="200"/>
      <c r="CO1559" s="200"/>
      <c r="CP1559" s="200"/>
      <c r="CQ1559" s="200"/>
      <c r="CR1559" s="200"/>
      <c r="CS1559" s="200"/>
      <c r="CT1559" s="200"/>
      <c r="CU1559" s="200"/>
    </row>
    <row r="1560" spans="1:99" s="17" customFormat="1" x14ac:dyDescent="0.2">
      <c r="A1560" s="25"/>
      <c r="B1560" s="20">
        <v>39121968401</v>
      </c>
      <c r="C1560" s="20">
        <v>9684.01</v>
      </c>
      <c r="D1560" s="20" t="s">
        <v>66</v>
      </c>
      <c r="E1560" s="20" t="s">
        <v>265</v>
      </c>
      <c r="F1560" s="20" t="s">
        <v>8</v>
      </c>
      <c r="G1560" s="861">
        <v>49.555588656504</v>
      </c>
      <c r="H1560" s="861">
        <v>44.562128960891798</v>
      </c>
      <c r="I1560" s="861">
        <v>21.974956640602699</v>
      </c>
      <c r="J1560" s="861">
        <v>51.619787111221797</v>
      </c>
      <c r="K1560" s="982">
        <v>0</v>
      </c>
      <c r="L1560" s="735" t="s">
        <v>2466</v>
      </c>
      <c r="M1560" s="735">
        <v>4695</v>
      </c>
      <c r="N1560" s="845" t="str">
        <f t="shared" si="133"/>
        <v/>
      </c>
      <c r="O1560" s="735">
        <v>36.575886829071194</v>
      </c>
      <c r="P1560" s="735">
        <f t="shared" si="134"/>
        <v>128.36325806510115</v>
      </c>
      <c r="Q1560" s="849">
        <v>56.3</v>
      </c>
      <c r="R1560" s="71">
        <v>51638</v>
      </c>
      <c r="S1560" s="845">
        <v>9.6802452912833986E-2</v>
      </c>
      <c r="T1560" s="845">
        <v>1.6E-2</v>
      </c>
      <c r="U1560" s="845">
        <v>0</v>
      </c>
      <c r="V1560" s="845">
        <v>0</v>
      </c>
      <c r="W1560" s="845">
        <v>0.26738882554161914</v>
      </c>
      <c r="X1560" s="845">
        <v>0.26226012793176973</v>
      </c>
      <c r="Y1560" s="845">
        <v>0.98083067092651754</v>
      </c>
      <c r="Z1560" s="845">
        <v>1.490947816826411E-3</v>
      </c>
      <c r="AA1560" s="845">
        <v>4.2598509052183171E-4</v>
      </c>
      <c r="AB1560" s="845">
        <v>0</v>
      </c>
      <c r="AC1560" s="845">
        <v>0</v>
      </c>
      <c r="AD1560" s="845">
        <v>5.111821086261981E-3</v>
      </c>
      <c r="AE1560" s="845">
        <v>1.2140575079872205E-2</v>
      </c>
      <c r="AF1560" s="845">
        <v>5.3248136315228968E-3</v>
      </c>
      <c r="AG1560" s="845">
        <v>0.98083067092651754</v>
      </c>
      <c r="AH1560" s="20" t="str">
        <f t="shared" si="135"/>
        <v>Yes</v>
      </c>
      <c r="AI1560" s="25"/>
      <c r="AJ1560" s="37">
        <v>45773</v>
      </c>
      <c r="AK1560" s="37" t="s">
        <v>1867</v>
      </c>
      <c r="AL1560" s="37">
        <v>39167</v>
      </c>
      <c r="AM1560" s="37" t="s">
        <v>89</v>
      </c>
      <c r="AN1560" s="37" t="str">
        <f t="shared" si="136"/>
        <v>N/A</v>
      </c>
      <c r="AO1560" s="37" t="str">
        <f t="shared" si="137"/>
        <v>N/A</v>
      </c>
      <c r="AP1560" s="37" t="s">
        <v>8</v>
      </c>
      <c r="AQ1560" s="25"/>
      <c r="AR1560" s="25"/>
      <c r="AS1560" s="25"/>
      <c r="AT1560" s="25"/>
      <c r="AU1560" s="36"/>
      <c r="AV1560" s="36"/>
      <c r="AW1560" s="36"/>
      <c r="AX1560" s="25"/>
      <c r="AY1560" s="25"/>
      <c r="AZ1560" s="25"/>
      <c r="BA1560" s="25"/>
      <c r="BB1560" s="25"/>
      <c r="BC1560" s="25"/>
      <c r="BD1560" s="25"/>
      <c r="BE1560" s="25"/>
      <c r="BF1560" s="25"/>
      <c r="BG1560" s="25"/>
      <c r="BH1560" s="25"/>
      <c r="BI1560" s="25"/>
      <c r="BJ1560" s="25"/>
      <c r="BK1560" s="25"/>
      <c r="BL1560" s="25"/>
      <c r="BM1560" s="25"/>
      <c r="BN1560" s="25"/>
      <c r="BO1560" s="25"/>
      <c r="BP1560" s="25"/>
      <c r="BQ1560" s="25"/>
      <c r="BR1560" s="25"/>
      <c r="BS1560" s="25"/>
      <c r="BT1560" s="25"/>
      <c r="BU1560" s="25"/>
      <c r="BV1560" s="25"/>
      <c r="BW1560" s="25"/>
      <c r="BX1560" s="25"/>
      <c r="BY1560" s="25"/>
      <c r="BZ1560" s="25"/>
      <c r="CA1560" s="25"/>
      <c r="CB1560" s="25"/>
      <c r="CC1560" s="25"/>
      <c r="CD1560" s="25"/>
      <c r="CE1560" s="200"/>
      <c r="CF1560" s="200"/>
      <c r="CG1560" s="200"/>
      <c r="CH1560" s="200"/>
      <c r="CI1560" s="200"/>
      <c r="CJ1560" s="200"/>
      <c r="CK1560" s="200"/>
      <c r="CL1560" s="200"/>
      <c r="CM1560" s="200"/>
      <c r="CN1560" s="200"/>
      <c r="CO1560" s="200"/>
      <c r="CP1560" s="200"/>
      <c r="CQ1560" s="200"/>
      <c r="CR1560" s="200"/>
      <c r="CS1560" s="200"/>
      <c r="CT1560" s="200"/>
      <c r="CU1560" s="200"/>
    </row>
    <row r="1561" spans="1:99" s="17" customFormat="1" x14ac:dyDescent="0.2">
      <c r="A1561" s="25"/>
      <c r="B1561" s="20">
        <v>39061020604</v>
      </c>
      <c r="C1561" s="20">
        <v>206.04</v>
      </c>
      <c r="D1561" s="20" t="s">
        <v>37</v>
      </c>
      <c r="E1561" s="20" t="s">
        <v>2828</v>
      </c>
      <c r="F1561" s="20" t="s">
        <v>8</v>
      </c>
      <c r="G1561" s="861">
        <v>49.540154782985503</v>
      </c>
      <c r="H1561" s="861">
        <v>61.736997483255799</v>
      </c>
      <c r="I1561" s="861">
        <v>27.367701420722199</v>
      </c>
      <c r="J1561" s="861">
        <v>16.5313977486624</v>
      </c>
      <c r="K1561" s="982">
        <v>0</v>
      </c>
      <c r="L1561" s="735" t="s">
        <v>2466</v>
      </c>
      <c r="M1561" s="735">
        <v>3111</v>
      </c>
      <c r="N1561" s="845" t="str">
        <f t="shared" si="133"/>
        <v/>
      </c>
      <c r="O1561" s="735">
        <v>1.5498430222523301</v>
      </c>
      <c r="P1561" s="735">
        <f t="shared" si="134"/>
        <v>2007.3000654472075</v>
      </c>
      <c r="Q1561" s="849">
        <v>39.700000000000003</v>
      </c>
      <c r="R1561" s="71">
        <v>70015</v>
      </c>
      <c r="S1561" s="845">
        <v>3.5105315947843531E-2</v>
      </c>
      <c r="T1561" s="845">
        <v>0</v>
      </c>
      <c r="U1561" s="845">
        <v>0</v>
      </c>
      <c r="V1561" s="845">
        <v>0</v>
      </c>
      <c r="W1561" s="845">
        <v>0.16521739130434782</v>
      </c>
      <c r="X1561" s="845">
        <v>0.19617224880382775</v>
      </c>
      <c r="Y1561" s="845">
        <v>0.85631629701060752</v>
      </c>
      <c r="Z1561" s="845">
        <v>2.8929604628736741E-2</v>
      </c>
      <c r="AA1561" s="845">
        <v>0</v>
      </c>
      <c r="AB1561" s="845">
        <v>4.1787206685953072E-2</v>
      </c>
      <c r="AC1561" s="845">
        <v>0</v>
      </c>
      <c r="AD1561" s="845">
        <v>0</v>
      </c>
      <c r="AE1561" s="845">
        <v>7.2966891674702675E-2</v>
      </c>
      <c r="AF1561" s="845">
        <v>0</v>
      </c>
      <c r="AG1561" s="845">
        <v>0.85631629701060752</v>
      </c>
      <c r="AH1561" s="20" t="str">
        <f t="shared" si="135"/>
        <v>No</v>
      </c>
      <c r="AI1561" s="25"/>
      <c r="AJ1561" s="37">
        <v>45784</v>
      </c>
      <c r="AK1561" s="37" t="s">
        <v>1875</v>
      </c>
      <c r="AL1561" s="37">
        <v>39167</v>
      </c>
      <c r="AM1561" s="37" t="s">
        <v>89</v>
      </c>
      <c r="AN1561" s="37" t="str">
        <f t="shared" si="136"/>
        <v>N/A</v>
      </c>
      <c r="AO1561" s="37" t="str">
        <f t="shared" si="137"/>
        <v>N/A</v>
      </c>
      <c r="AP1561" s="37" t="s">
        <v>8</v>
      </c>
      <c r="AQ1561" s="25"/>
      <c r="AR1561" s="25"/>
      <c r="AS1561" s="25"/>
      <c r="AT1561" s="25"/>
      <c r="AU1561" s="36"/>
      <c r="AV1561" s="36"/>
      <c r="AW1561" s="36"/>
      <c r="AX1561" s="25"/>
      <c r="AY1561" s="25"/>
      <c r="AZ1561" s="25"/>
      <c r="BA1561" s="25"/>
      <c r="BB1561" s="25"/>
      <c r="BC1561" s="25"/>
      <c r="BD1561" s="25"/>
      <c r="BE1561" s="25"/>
      <c r="BF1561" s="25"/>
      <c r="BG1561" s="25"/>
      <c r="BH1561" s="25"/>
      <c r="BI1561" s="25"/>
      <c r="BJ1561" s="25"/>
      <c r="BK1561" s="25"/>
      <c r="BL1561" s="25"/>
      <c r="BM1561" s="25"/>
      <c r="BN1561" s="25"/>
      <c r="BO1561" s="25"/>
      <c r="BP1561" s="25"/>
      <c r="BQ1561" s="25"/>
      <c r="BR1561" s="25"/>
      <c r="BS1561" s="25"/>
      <c r="BT1561" s="25"/>
      <c r="BU1561" s="25"/>
      <c r="BV1561" s="25"/>
      <c r="BW1561" s="25"/>
      <c r="BX1561" s="25"/>
      <c r="BY1561" s="25"/>
      <c r="BZ1561" s="25"/>
      <c r="CA1561" s="25"/>
      <c r="CB1561" s="25"/>
      <c r="CC1561" s="25"/>
      <c r="CD1561" s="25"/>
      <c r="CE1561" s="200"/>
      <c r="CF1561" s="200"/>
      <c r="CG1561" s="200"/>
      <c r="CH1561" s="200"/>
      <c r="CI1561" s="200"/>
      <c r="CJ1561" s="200"/>
      <c r="CK1561" s="200"/>
      <c r="CL1561" s="200"/>
      <c r="CM1561" s="200"/>
      <c r="CN1561" s="200"/>
      <c r="CO1561" s="200"/>
      <c r="CP1561" s="200"/>
      <c r="CQ1561" s="200"/>
      <c r="CR1561" s="200"/>
      <c r="CS1561" s="200"/>
      <c r="CT1561" s="200"/>
      <c r="CU1561" s="200"/>
    </row>
    <row r="1562" spans="1:99" s="17" customFormat="1" x14ac:dyDescent="0.2">
      <c r="A1562" s="25"/>
      <c r="B1562" s="20">
        <v>39003012000</v>
      </c>
      <c r="C1562" s="20">
        <v>120</v>
      </c>
      <c r="D1562" s="20" t="s">
        <v>7</v>
      </c>
      <c r="E1562" s="20" t="s">
        <v>2835</v>
      </c>
      <c r="F1562" s="20" t="s">
        <v>8</v>
      </c>
      <c r="G1562" s="861">
        <v>49.5347242114549</v>
      </c>
      <c r="H1562" s="861">
        <v>47.517491788349503</v>
      </c>
      <c r="I1562" s="861">
        <v>22.131700558765399</v>
      </c>
      <c r="J1562" s="861">
        <v>49.787101463383301</v>
      </c>
      <c r="K1562" s="982">
        <v>0</v>
      </c>
      <c r="L1562" s="735">
        <v>2272</v>
      </c>
      <c r="M1562" s="735">
        <v>2618</v>
      </c>
      <c r="N1562" s="845">
        <f t="shared" si="133"/>
        <v>0.15228873239436619</v>
      </c>
      <c r="O1562" s="735">
        <v>2.6836169529751239</v>
      </c>
      <c r="P1562" s="735">
        <f t="shared" si="134"/>
        <v>975.54906153712466</v>
      </c>
      <c r="Q1562" s="849">
        <v>44.2</v>
      </c>
      <c r="R1562" s="71">
        <v>108958</v>
      </c>
      <c r="S1562" s="845">
        <v>7.2956455309396484E-2</v>
      </c>
      <c r="T1562" s="845">
        <v>1.9E-2</v>
      </c>
      <c r="U1562" s="845">
        <v>0</v>
      </c>
      <c r="V1562" s="845">
        <v>0</v>
      </c>
      <c r="W1562" s="845">
        <v>4.7804878048780489E-2</v>
      </c>
      <c r="X1562" s="845">
        <v>8.1632653061224483E-2</v>
      </c>
      <c r="Y1562" s="845">
        <v>0.91749427043544696</v>
      </c>
      <c r="Z1562" s="845">
        <v>4.4690603514132926E-2</v>
      </c>
      <c r="AA1562" s="845">
        <v>0</v>
      </c>
      <c r="AB1562" s="845">
        <v>2.0626432391138275E-2</v>
      </c>
      <c r="AC1562" s="845">
        <v>4.2016806722689074E-3</v>
      </c>
      <c r="AD1562" s="845">
        <v>0</v>
      </c>
      <c r="AE1562" s="845">
        <v>1.2987012987012988E-2</v>
      </c>
      <c r="AF1562" s="845">
        <v>2.3682200152788387E-2</v>
      </c>
      <c r="AG1562" s="845">
        <v>0.906035141329259</v>
      </c>
      <c r="AH1562" s="20" t="str">
        <f t="shared" si="135"/>
        <v>Yes</v>
      </c>
      <c r="AI1562" s="25"/>
      <c r="AJ1562" s="37">
        <v>45786</v>
      </c>
      <c r="AK1562" s="37" t="s">
        <v>1876</v>
      </c>
      <c r="AL1562" s="37">
        <v>39167</v>
      </c>
      <c r="AM1562" s="37" t="s">
        <v>89</v>
      </c>
      <c r="AN1562" s="37" t="str">
        <f t="shared" si="136"/>
        <v>N/A</v>
      </c>
      <c r="AO1562" s="37" t="str">
        <f t="shared" si="137"/>
        <v>N/A</v>
      </c>
      <c r="AP1562" s="37" t="s">
        <v>8</v>
      </c>
      <c r="AQ1562" s="25"/>
      <c r="AR1562" s="25"/>
      <c r="AS1562" s="25"/>
      <c r="AT1562" s="25"/>
      <c r="AU1562" s="36"/>
      <c r="AV1562" s="36"/>
      <c r="AW1562" s="36"/>
      <c r="AX1562" s="25"/>
      <c r="AY1562" s="25"/>
      <c r="AZ1562" s="25"/>
      <c r="BA1562" s="25"/>
      <c r="BB1562" s="25"/>
      <c r="BC1562" s="25"/>
      <c r="BD1562" s="25"/>
      <c r="BE1562" s="25"/>
      <c r="BF1562" s="25"/>
      <c r="BG1562" s="25"/>
      <c r="BH1562" s="25"/>
      <c r="BI1562" s="25"/>
      <c r="BJ1562" s="25"/>
      <c r="BK1562" s="25"/>
      <c r="BL1562" s="25"/>
      <c r="BM1562" s="25"/>
      <c r="BN1562" s="25"/>
      <c r="BO1562" s="25"/>
      <c r="BP1562" s="25"/>
      <c r="BQ1562" s="25"/>
      <c r="BR1562" s="25"/>
      <c r="BS1562" s="25"/>
      <c r="BT1562" s="25"/>
      <c r="BU1562" s="25"/>
      <c r="BV1562" s="25"/>
      <c r="BW1562" s="25"/>
      <c r="BX1562" s="25"/>
      <c r="BY1562" s="25"/>
      <c r="BZ1562" s="25"/>
      <c r="CA1562" s="25"/>
      <c r="CB1562" s="25"/>
      <c r="CC1562" s="25"/>
      <c r="CD1562" s="25"/>
      <c r="CE1562" s="200"/>
      <c r="CF1562" s="200"/>
      <c r="CG1562" s="200"/>
      <c r="CH1562" s="200"/>
      <c r="CI1562" s="200"/>
      <c r="CJ1562" s="200"/>
      <c r="CK1562" s="200"/>
      <c r="CL1562" s="200"/>
      <c r="CM1562" s="200"/>
      <c r="CN1562" s="200"/>
      <c r="CO1562" s="200"/>
      <c r="CP1562" s="200"/>
      <c r="CQ1562" s="200"/>
      <c r="CR1562" s="200"/>
      <c r="CS1562" s="200"/>
      <c r="CT1562" s="200"/>
      <c r="CU1562" s="200"/>
    </row>
    <row r="1563" spans="1:99" s="17" customFormat="1" x14ac:dyDescent="0.2">
      <c r="A1563" s="25"/>
      <c r="B1563" s="20">
        <v>39027964400</v>
      </c>
      <c r="C1563" s="20">
        <v>9644</v>
      </c>
      <c r="D1563" s="20" t="s">
        <v>20</v>
      </c>
      <c r="E1563" s="20" t="s">
        <v>265</v>
      </c>
      <c r="F1563" s="20" t="s">
        <v>8</v>
      </c>
      <c r="G1563" s="861">
        <v>49.521983450117801</v>
      </c>
      <c r="H1563" s="861">
        <v>62.618384408218198</v>
      </c>
      <c r="I1563" s="861">
        <v>15.778408007920399</v>
      </c>
      <c r="J1563" s="861">
        <v>48.301391197485103</v>
      </c>
      <c r="K1563" s="982">
        <v>0</v>
      </c>
      <c r="L1563" s="735">
        <v>5168</v>
      </c>
      <c r="M1563" s="735">
        <v>5489</v>
      </c>
      <c r="N1563" s="845">
        <f t="shared" si="133"/>
        <v>6.2113003095975235E-2</v>
      </c>
      <c r="O1563" s="735">
        <v>103.71951166988177</v>
      </c>
      <c r="P1563" s="735">
        <f t="shared" si="134"/>
        <v>52.921575811794959</v>
      </c>
      <c r="Q1563" s="849">
        <v>43.9</v>
      </c>
      <c r="R1563" s="71">
        <v>104152</v>
      </c>
      <c r="S1563" s="845">
        <v>9.2548733831298968E-2</v>
      </c>
      <c r="T1563" s="845">
        <v>1.8000000000000002E-2</v>
      </c>
      <c r="U1563" s="845">
        <v>6.0000000000000001E-3</v>
      </c>
      <c r="V1563" s="845">
        <v>0</v>
      </c>
      <c r="W1563" s="845">
        <v>0.11752887995981919</v>
      </c>
      <c r="X1563" s="845">
        <v>0.21367521367521367</v>
      </c>
      <c r="Y1563" s="845">
        <v>0.96848241938422297</v>
      </c>
      <c r="Z1563" s="845">
        <v>3.4614683913281106E-3</v>
      </c>
      <c r="AA1563" s="845">
        <v>0</v>
      </c>
      <c r="AB1563" s="845">
        <v>1.5849881581344507E-2</v>
      </c>
      <c r="AC1563" s="845">
        <v>0</v>
      </c>
      <c r="AD1563" s="845">
        <v>0</v>
      </c>
      <c r="AE1563" s="845">
        <v>1.2206230643104391E-2</v>
      </c>
      <c r="AF1563" s="845">
        <v>1.8218254691200583E-4</v>
      </c>
      <c r="AG1563" s="845">
        <v>0.96830023683731103</v>
      </c>
      <c r="AH1563" s="20" t="str">
        <f t="shared" si="135"/>
        <v>Yes</v>
      </c>
      <c r="AI1563" s="25"/>
      <c r="AJ1563" s="37">
        <v>45788</v>
      </c>
      <c r="AK1563" s="37" t="s">
        <v>1877</v>
      </c>
      <c r="AL1563" s="37">
        <v>39167</v>
      </c>
      <c r="AM1563" s="37" t="s">
        <v>89</v>
      </c>
      <c r="AN1563" s="37" t="str">
        <f t="shared" si="136"/>
        <v>N/A</v>
      </c>
      <c r="AO1563" s="37" t="str">
        <f t="shared" si="137"/>
        <v>N/A</v>
      </c>
      <c r="AP1563" s="37" t="s">
        <v>8</v>
      </c>
      <c r="AQ1563" s="25"/>
      <c r="AR1563" s="25"/>
      <c r="AS1563" s="25"/>
      <c r="AT1563" s="25"/>
      <c r="AU1563" s="36"/>
      <c r="AV1563" s="36"/>
      <c r="AW1563" s="36"/>
      <c r="AX1563" s="25"/>
      <c r="AY1563" s="25"/>
      <c r="AZ1563" s="25"/>
      <c r="BA1563" s="25"/>
      <c r="BB1563" s="25"/>
      <c r="BC1563" s="25"/>
      <c r="BD1563" s="25"/>
      <c r="BE1563" s="25"/>
      <c r="BF1563" s="25"/>
      <c r="BG1563" s="25"/>
      <c r="BH1563" s="25"/>
      <c r="BI1563" s="25"/>
      <c r="BJ1563" s="25"/>
      <c r="BK1563" s="25"/>
      <c r="BL1563" s="25"/>
      <c r="BM1563" s="25"/>
      <c r="BN1563" s="25"/>
      <c r="BO1563" s="25"/>
      <c r="BP1563" s="25"/>
      <c r="BQ1563" s="25"/>
      <c r="BR1563" s="25"/>
      <c r="BS1563" s="25"/>
      <c r="BT1563" s="25"/>
      <c r="BU1563" s="25"/>
      <c r="BV1563" s="25"/>
      <c r="BW1563" s="25"/>
      <c r="BX1563" s="25"/>
      <c r="BY1563" s="25"/>
      <c r="BZ1563" s="25"/>
      <c r="CA1563" s="25"/>
      <c r="CB1563" s="25"/>
      <c r="CC1563" s="25"/>
      <c r="CD1563" s="25"/>
      <c r="CE1563" s="200"/>
      <c r="CF1563" s="200"/>
      <c r="CG1563" s="200"/>
      <c r="CH1563" s="200"/>
      <c r="CI1563" s="200"/>
      <c r="CJ1563" s="200"/>
      <c r="CK1563" s="200"/>
      <c r="CL1563" s="200"/>
      <c r="CM1563" s="200"/>
      <c r="CN1563" s="200"/>
      <c r="CO1563" s="200"/>
      <c r="CP1563" s="200"/>
      <c r="CQ1563" s="200"/>
      <c r="CR1563" s="200"/>
      <c r="CS1563" s="200"/>
      <c r="CT1563" s="200"/>
      <c r="CU1563" s="200"/>
    </row>
    <row r="1564" spans="1:99" s="17" customFormat="1" x14ac:dyDescent="0.2">
      <c r="A1564" s="25"/>
      <c r="B1564" s="20">
        <v>39029950300</v>
      </c>
      <c r="C1564" s="20">
        <v>9503</v>
      </c>
      <c r="D1564" s="20" t="s">
        <v>21</v>
      </c>
      <c r="E1564" s="20" t="s">
        <v>265</v>
      </c>
      <c r="F1564" s="20" t="s">
        <v>8</v>
      </c>
      <c r="G1564" s="861">
        <v>49.518544707045699</v>
      </c>
      <c r="H1564" s="861">
        <v>50.2861956776241</v>
      </c>
      <c r="I1564" s="861">
        <v>27.0908068672857</v>
      </c>
      <c r="J1564" s="861">
        <v>44.1134648705224</v>
      </c>
      <c r="K1564" s="982">
        <v>0</v>
      </c>
      <c r="L1564" s="735">
        <v>5184</v>
      </c>
      <c r="M1564" s="735">
        <v>5210</v>
      </c>
      <c r="N1564" s="845">
        <f t="shared" si="133"/>
        <v>5.0154320987654318E-3</v>
      </c>
      <c r="O1564" s="735">
        <v>14.222079575492725</v>
      </c>
      <c r="P1564" s="735">
        <f t="shared" si="134"/>
        <v>366.33179925232554</v>
      </c>
      <c r="Q1564" s="849">
        <v>46.8</v>
      </c>
      <c r="R1564" s="71">
        <v>62770</v>
      </c>
      <c r="S1564" s="845">
        <v>8.5220729366602688E-2</v>
      </c>
      <c r="T1564" s="845">
        <v>0.03</v>
      </c>
      <c r="U1564" s="845">
        <v>4.0000000000000001E-3</v>
      </c>
      <c r="V1564" s="845">
        <v>2.7000000000000003E-2</v>
      </c>
      <c r="W1564" s="845">
        <v>0.28149100257069409</v>
      </c>
      <c r="X1564" s="845">
        <v>0.24961948249619481</v>
      </c>
      <c r="Y1564" s="845">
        <v>0.9754318618042227</v>
      </c>
      <c r="Z1564" s="845">
        <v>1.3435700575815739E-3</v>
      </c>
      <c r="AA1564" s="845">
        <v>4.6065259117082534E-3</v>
      </c>
      <c r="AB1564" s="845">
        <v>1.1516314779270633E-3</v>
      </c>
      <c r="AC1564" s="845">
        <v>0</v>
      </c>
      <c r="AD1564" s="845">
        <v>4.2226487523992322E-3</v>
      </c>
      <c r="AE1564" s="845">
        <v>1.3243761996161228E-2</v>
      </c>
      <c r="AF1564" s="845">
        <v>2.3032629558541268E-2</v>
      </c>
      <c r="AG1564" s="845">
        <v>0.96737044145873319</v>
      </c>
      <c r="AH1564" s="20" t="str">
        <f t="shared" si="135"/>
        <v>Yes</v>
      </c>
      <c r="AI1564" s="25"/>
      <c r="AJ1564" s="37">
        <v>45789</v>
      </c>
      <c r="AK1564" s="37" t="s">
        <v>1878</v>
      </c>
      <c r="AL1564" s="37">
        <v>39167</v>
      </c>
      <c r="AM1564" s="37" t="s">
        <v>89</v>
      </c>
      <c r="AN1564" s="37" t="str">
        <f t="shared" si="136"/>
        <v>N/A</v>
      </c>
      <c r="AO1564" s="37" t="str">
        <f t="shared" si="137"/>
        <v>N/A</v>
      </c>
      <c r="AP1564" s="37" t="s">
        <v>8</v>
      </c>
      <c r="AQ1564" s="25"/>
      <c r="AR1564" s="25"/>
      <c r="AS1564" s="25"/>
      <c r="AT1564" s="25"/>
      <c r="AU1564" s="36"/>
      <c r="AV1564" s="36"/>
      <c r="AW1564" s="36"/>
      <c r="AX1564" s="25"/>
      <c r="AY1564" s="25"/>
      <c r="AZ1564" s="25"/>
      <c r="BA1564" s="25"/>
      <c r="BB1564" s="25"/>
      <c r="BC1564" s="25"/>
      <c r="BD1564" s="25"/>
      <c r="BE1564" s="25"/>
      <c r="BF1564" s="25"/>
      <c r="BG1564" s="25"/>
      <c r="BH1564" s="25"/>
      <c r="BI1564" s="25"/>
      <c r="BJ1564" s="25"/>
      <c r="BK1564" s="25"/>
      <c r="BL1564" s="25"/>
      <c r="BM1564" s="25"/>
      <c r="BN1564" s="25"/>
      <c r="BO1564" s="25"/>
      <c r="BP1564" s="25"/>
      <c r="BQ1564" s="25"/>
      <c r="BR1564" s="25"/>
      <c r="BS1564" s="25"/>
      <c r="BT1564" s="25"/>
      <c r="BU1564" s="25"/>
      <c r="BV1564" s="25"/>
      <c r="BW1564" s="25"/>
      <c r="BX1564" s="25"/>
      <c r="BY1564" s="25"/>
      <c r="BZ1564" s="25"/>
      <c r="CA1564" s="25"/>
      <c r="CB1564" s="25"/>
      <c r="CC1564" s="25"/>
      <c r="CD1564" s="25"/>
      <c r="CE1564" s="200"/>
      <c r="CF1564" s="200"/>
      <c r="CG1564" s="200"/>
      <c r="CH1564" s="200"/>
      <c r="CI1564" s="200"/>
      <c r="CJ1564" s="200"/>
      <c r="CK1564" s="200"/>
      <c r="CL1564" s="200"/>
      <c r="CM1564" s="200"/>
      <c r="CN1564" s="200"/>
      <c r="CO1564" s="200"/>
      <c r="CP1564" s="200"/>
      <c r="CQ1564" s="200"/>
      <c r="CR1564" s="200"/>
      <c r="CS1564" s="200"/>
      <c r="CT1564" s="200"/>
      <c r="CU1564" s="200"/>
    </row>
    <row r="1565" spans="1:99" s="17" customFormat="1" x14ac:dyDescent="0.2">
      <c r="A1565" s="25"/>
      <c r="B1565" s="20">
        <v>39081012400</v>
      </c>
      <c r="C1565" s="20">
        <v>124</v>
      </c>
      <c r="D1565" s="20" t="s">
        <v>47</v>
      </c>
      <c r="E1565" s="20" t="s">
        <v>2840</v>
      </c>
      <c r="F1565" s="20" t="s">
        <v>6</v>
      </c>
      <c r="G1565" s="861">
        <v>49.5147342935444</v>
      </c>
      <c r="H1565" s="861">
        <v>49.9799809835541</v>
      </c>
      <c r="I1565" s="861">
        <v>67.005373824173404</v>
      </c>
      <c r="J1565" s="861">
        <v>25.470641584074201</v>
      </c>
      <c r="K1565" s="982">
        <v>0</v>
      </c>
      <c r="L1565" s="735" t="s">
        <v>2466</v>
      </c>
      <c r="M1565" s="735">
        <v>2261</v>
      </c>
      <c r="N1565" s="845" t="str">
        <f t="shared" si="133"/>
        <v/>
      </c>
      <c r="O1565" s="735">
        <v>0.91721231878550979</v>
      </c>
      <c r="P1565" s="735">
        <f t="shared" si="134"/>
        <v>2465.0780999036442</v>
      </c>
      <c r="Q1565" s="849">
        <v>36</v>
      </c>
      <c r="R1565" s="71">
        <v>30324</v>
      </c>
      <c r="S1565" s="845">
        <v>0.35673034207019105</v>
      </c>
      <c r="T1565" s="845">
        <v>7.400000000000001E-2</v>
      </c>
      <c r="U1565" s="845">
        <v>0.1</v>
      </c>
      <c r="V1565" s="845">
        <v>6.6000000000000003E-2</v>
      </c>
      <c r="W1565" s="845">
        <v>0.48764769065520946</v>
      </c>
      <c r="X1565" s="845">
        <v>0.48237885462555063</v>
      </c>
      <c r="Y1565" s="845">
        <v>0.5961963732861566</v>
      </c>
      <c r="Z1565" s="845">
        <v>0.24502432551968156</v>
      </c>
      <c r="AA1565" s="845">
        <v>0</v>
      </c>
      <c r="AB1565" s="845">
        <v>1.7691287041132243E-2</v>
      </c>
      <c r="AC1565" s="845">
        <v>0</v>
      </c>
      <c r="AD1565" s="845">
        <v>3.4498009730207869E-2</v>
      </c>
      <c r="AE1565" s="845">
        <v>0.10659000442282177</v>
      </c>
      <c r="AF1565" s="845">
        <v>6.0592658115877933E-2</v>
      </c>
      <c r="AG1565" s="845">
        <v>0.59354268022998669</v>
      </c>
      <c r="AH1565" s="20" t="str">
        <f t="shared" si="135"/>
        <v>No</v>
      </c>
      <c r="AI1565" s="25"/>
      <c r="AJ1565" s="37">
        <v>44203</v>
      </c>
      <c r="AK1565" s="37" t="s">
        <v>1254</v>
      </c>
      <c r="AL1565" s="37">
        <v>39169</v>
      </c>
      <c r="AM1565" s="37" t="s">
        <v>90</v>
      </c>
      <c r="AN1565" s="37" t="str">
        <f t="shared" si="136"/>
        <v>N/A</v>
      </c>
      <c r="AO1565" s="37" t="str">
        <f t="shared" si="137"/>
        <v>N/A</v>
      </c>
      <c r="AP1565" s="37" t="s">
        <v>8</v>
      </c>
      <c r="AQ1565" s="25"/>
      <c r="AR1565" s="25"/>
      <c r="AS1565" s="25"/>
      <c r="AT1565" s="25"/>
      <c r="AU1565" s="36"/>
      <c r="AV1565" s="36"/>
      <c r="AW1565" s="36"/>
      <c r="AX1565" s="25"/>
      <c r="AY1565" s="25"/>
      <c r="AZ1565" s="25"/>
      <c r="BA1565" s="25"/>
      <c r="BB1565" s="25"/>
      <c r="BC1565" s="25"/>
      <c r="BD1565" s="25"/>
      <c r="BE1565" s="25"/>
      <c r="BF1565" s="25"/>
      <c r="BG1565" s="25"/>
      <c r="BH1565" s="25"/>
      <c r="BI1565" s="25"/>
      <c r="BJ1565" s="25"/>
      <c r="BK1565" s="25"/>
      <c r="BL1565" s="25"/>
      <c r="BM1565" s="25"/>
      <c r="BN1565" s="25"/>
      <c r="BO1565" s="25"/>
      <c r="BP1565" s="25"/>
      <c r="BQ1565" s="25"/>
      <c r="BR1565" s="25"/>
      <c r="BS1565" s="25"/>
      <c r="BT1565" s="25"/>
      <c r="BU1565" s="25"/>
      <c r="BV1565" s="25"/>
      <c r="BW1565" s="25"/>
      <c r="BX1565" s="25"/>
      <c r="BY1565" s="25"/>
      <c r="BZ1565" s="25"/>
      <c r="CA1565" s="25"/>
      <c r="CB1565" s="25"/>
      <c r="CC1565" s="25"/>
      <c r="CD1565" s="25"/>
      <c r="CE1565" s="200"/>
      <c r="CF1565" s="200"/>
      <c r="CG1565" s="200"/>
      <c r="CH1565" s="200"/>
      <c r="CI1565" s="200"/>
      <c r="CJ1565" s="200"/>
      <c r="CK1565" s="200"/>
      <c r="CL1565" s="200"/>
      <c r="CM1565" s="200"/>
      <c r="CN1565" s="200"/>
      <c r="CO1565" s="200"/>
      <c r="CP1565" s="200"/>
      <c r="CQ1565" s="200"/>
      <c r="CR1565" s="200"/>
      <c r="CS1565" s="200"/>
      <c r="CT1565" s="200"/>
      <c r="CU1565" s="200"/>
    </row>
    <row r="1566" spans="1:99" s="17" customFormat="1" x14ac:dyDescent="0.2">
      <c r="A1566" s="25"/>
      <c r="B1566" s="20">
        <v>39151712202</v>
      </c>
      <c r="C1566" s="20">
        <v>7122.02</v>
      </c>
      <c r="D1566" s="20" t="s">
        <v>81</v>
      </c>
      <c r="E1566" s="20" t="s">
        <v>2844</v>
      </c>
      <c r="F1566" s="20" t="s">
        <v>8</v>
      </c>
      <c r="G1566" s="861">
        <v>49.486237357177302</v>
      </c>
      <c r="H1566" s="861">
        <v>57.696132310792898</v>
      </c>
      <c r="I1566" s="861">
        <v>25.880945941255</v>
      </c>
      <c r="J1566" s="861">
        <v>52.388066936851402</v>
      </c>
      <c r="K1566" s="982">
        <v>0</v>
      </c>
      <c r="L1566" s="735">
        <v>5754</v>
      </c>
      <c r="M1566" s="735">
        <v>5961</v>
      </c>
      <c r="N1566" s="845">
        <f t="shared" si="133"/>
        <v>3.5974973931178308E-2</v>
      </c>
      <c r="O1566" s="735">
        <v>3.1231131790794207</v>
      </c>
      <c r="P1566" s="735">
        <f t="shared" si="134"/>
        <v>1908.6724233788684</v>
      </c>
      <c r="Q1566" s="849">
        <v>48.1</v>
      </c>
      <c r="R1566" s="71">
        <v>95336</v>
      </c>
      <c r="S1566" s="845">
        <v>3.4054688810602245E-2</v>
      </c>
      <c r="T1566" s="845">
        <v>1.3000000000000001E-2</v>
      </c>
      <c r="U1566" s="845">
        <v>0</v>
      </c>
      <c r="V1566" s="845">
        <v>0</v>
      </c>
      <c r="W1566" s="845">
        <v>0.12950819672131147</v>
      </c>
      <c r="X1566" s="845">
        <v>0.379746835443038</v>
      </c>
      <c r="Y1566" s="845">
        <v>0.91914108371078673</v>
      </c>
      <c r="Z1566" s="845">
        <v>5.8714980707934912E-2</v>
      </c>
      <c r="AA1566" s="845">
        <v>0</v>
      </c>
      <c r="AB1566" s="845">
        <v>9.0588827377956725E-3</v>
      </c>
      <c r="AC1566" s="845">
        <v>0</v>
      </c>
      <c r="AD1566" s="845">
        <v>3.1873846670021811E-3</v>
      </c>
      <c r="AE1566" s="845">
        <v>9.8976681764804571E-3</v>
      </c>
      <c r="AF1566" s="845">
        <v>6.8780405972152323E-3</v>
      </c>
      <c r="AG1566" s="845">
        <v>0.91394061399094106</v>
      </c>
      <c r="AH1566" s="20" t="str">
        <f t="shared" si="135"/>
        <v>Yes</v>
      </c>
      <c r="AI1566" s="25"/>
      <c r="AJ1566" s="37">
        <v>44214</v>
      </c>
      <c r="AK1566" s="37" t="s">
        <v>1256</v>
      </c>
      <c r="AL1566" s="37">
        <v>39169</v>
      </c>
      <c r="AM1566" s="37" t="s">
        <v>90</v>
      </c>
      <c r="AN1566" s="37" t="str">
        <f t="shared" si="136"/>
        <v>N/A</v>
      </c>
      <c r="AO1566" s="37" t="str">
        <f t="shared" si="137"/>
        <v>N/A</v>
      </c>
      <c r="AP1566" s="37" t="s">
        <v>8</v>
      </c>
      <c r="AQ1566" s="25"/>
      <c r="AR1566" s="25"/>
      <c r="AS1566" s="25"/>
      <c r="AT1566" s="25"/>
      <c r="AU1566" s="36"/>
      <c r="AV1566" s="36"/>
      <c r="AW1566" s="36"/>
      <c r="AX1566" s="25"/>
      <c r="AY1566" s="25"/>
      <c r="AZ1566" s="25"/>
      <c r="BA1566" s="25"/>
      <c r="BB1566" s="25"/>
      <c r="BC1566" s="25"/>
      <c r="BD1566" s="25"/>
      <c r="BE1566" s="25"/>
      <c r="BF1566" s="25"/>
      <c r="BG1566" s="25"/>
      <c r="BH1566" s="25"/>
      <c r="BI1566" s="25"/>
      <c r="BJ1566" s="25"/>
      <c r="BK1566" s="25"/>
      <c r="BL1566" s="25"/>
      <c r="BM1566" s="25"/>
      <c r="BN1566" s="25"/>
      <c r="BO1566" s="25"/>
      <c r="BP1566" s="25"/>
      <c r="BQ1566" s="25"/>
      <c r="BR1566" s="25"/>
      <c r="BS1566" s="25"/>
      <c r="BT1566" s="25"/>
      <c r="BU1566" s="25"/>
      <c r="BV1566" s="25"/>
      <c r="BW1566" s="25"/>
      <c r="BX1566" s="25"/>
      <c r="BY1566" s="25"/>
      <c r="BZ1566" s="25"/>
      <c r="CA1566" s="25"/>
      <c r="CB1566" s="25"/>
      <c r="CC1566" s="25"/>
      <c r="CD1566" s="25"/>
      <c r="CE1566" s="200"/>
      <c r="CF1566" s="200"/>
      <c r="CG1566" s="200"/>
      <c r="CH1566" s="200"/>
      <c r="CI1566" s="200"/>
      <c r="CJ1566" s="200"/>
      <c r="CK1566" s="200"/>
      <c r="CL1566" s="200"/>
      <c r="CM1566" s="200"/>
      <c r="CN1566" s="200"/>
      <c r="CO1566" s="200"/>
      <c r="CP1566" s="200"/>
      <c r="CQ1566" s="200"/>
      <c r="CR1566" s="200"/>
      <c r="CS1566" s="200"/>
      <c r="CT1566" s="200"/>
      <c r="CU1566" s="200"/>
    </row>
    <row r="1567" spans="1:99" s="17" customFormat="1" x14ac:dyDescent="0.2">
      <c r="A1567" s="25"/>
      <c r="B1567" s="20">
        <v>39141956800</v>
      </c>
      <c r="C1567" s="20">
        <v>9568</v>
      </c>
      <c r="D1567" s="20" t="s">
        <v>76</v>
      </c>
      <c r="E1567" s="20" t="s">
        <v>265</v>
      </c>
      <c r="F1567" s="20" t="s">
        <v>8</v>
      </c>
      <c r="G1567" s="861">
        <v>49.4611270936878</v>
      </c>
      <c r="H1567" s="861">
        <v>53.036906209462003</v>
      </c>
      <c r="I1567" s="861">
        <v>17.7702374576706</v>
      </c>
      <c r="J1567" s="861">
        <v>59.358617465752197</v>
      </c>
      <c r="K1567" s="982">
        <v>0</v>
      </c>
      <c r="L1567" s="735">
        <v>6100</v>
      </c>
      <c r="M1567" s="735">
        <v>6673</v>
      </c>
      <c r="N1567" s="845">
        <f t="shared" si="133"/>
        <v>9.3934426229508192E-2</v>
      </c>
      <c r="O1567" s="735">
        <v>51.315811252894136</v>
      </c>
      <c r="P1567" s="735">
        <f t="shared" si="134"/>
        <v>130.03789352786765</v>
      </c>
      <c r="Q1567" s="849">
        <v>43.8</v>
      </c>
      <c r="R1567" s="71">
        <v>63081</v>
      </c>
      <c r="S1567" s="845">
        <v>0.13822115384615385</v>
      </c>
      <c r="T1567" s="845">
        <v>6.6000000000000003E-2</v>
      </c>
      <c r="U1567" s="845">
        <v>0</v>
      </c>
      <c r="V1567" s="845">
        <v>0</v>
      </c>
      <c r="W1567" s="845">
        <v>0.11158301158301158</v>
      </c>
      <c r="X1567" s="845">
        <v>0.11072664359861592</v>
      </c>
      <c r="Y1567" s="845">
        <v>0.94575153604076123</v>
      </c>
      <c r="Z1567" s="845">
        <v>1.3487187172186424E-3</v>
      </c>
      <c r="AA1567" s="845">
        <v>0</v>
      </c>
      <c r="AB1567" s="845">
        <v>2.9971527049303163E-3</v>
      </c>
      <c r="AC1567" s="845">
        <v>0</v>
      </c>
      <c r="AD1567" s="845">
        <v>4.540686347969429E-2</v>
      </c>
      <c r="AE1567" s="845">
        <v>4.4957290573954742E-3</v>
      </c>
      <c r="AF1567" s="845">
        <v>5.110145361906189E-2</v>
      </c>
      <c r="AG1567" s="845">
        <v>0.9432039562415705</v>
      </c>
      <c r="AH1567" s="20" t="str">
        <f t="shared" si="135"/>
        <v>Yes</v>
      </c>
      <c r="AI1567" s="25"/>
      <c r="AJ1567" s="37">
        <v>44216</v>
      </c>
      <c r="AK1567" s="37" t="s">
        <v>1258</v>
      </c>
      <c r="AL1567" s="37">
        <v>39169</v>
      </c>
      <c r="AM1567" s="37" t="s">
        <v>90</v>
      </c>
      <c r="AN1567" s="37" t="str">
        <f t="shared" si="136"/>
        <v>N/A</v>
      </c>
      <c r="AO1567" s="37" t="str">
        <f t="shared" si="137"/>
        <v>N/A</v>
      </c>
      <c r="AP1567" s="37" t="s">
        <v>8</v>
      </c>
      <c r="AQ1567" s="25"/>
      <c r="AR1567" s="25"/>
      <c r="AS1567" s="25"/>
      <c r="AT1567" s="25"/>
      <c r="AU1567" s="36"/>
      <c r="AV1567" s="36"/>
      <c r="AW1567" s="36"/>
      <c r="AX1567" s="25"/>
      <c r="AY1567" s="25"/>
      <c r="AZ1567" s="25"/>
      <c r="BA1567" s="25"/>
      <c r="BB1567" s="25"/>
      <c r="BC1567" s="25"/>
      <c r="BD1567" s="25"/>
      <c r="BE1567" s="25"/>
      <c r="BF1567" s="25"/>
      <c r="BG1567" s="25"/>
      <c r="BH1567" s="25"/>
      <c r="BI1567" s="25"/>
      <c r="BJ1567" s="25"/>
      <c r="BK1567" s="25"/>
      <c r="BL1567" s="25"/>
      <c r="BM1567" s="25"/>
      <c r="BN1567" s="25"/>
      <c r="BO1567" s="25"/>
      <c r="BP1567" s="25"/>
      <c r="BQ1567" s="25"/>
      <c r="BR1567" s="25"/>
      <c r="BS1567" s="25"/>
      <c r="BT1567" s="25"/>
      <c r="BU1567" s="25"/>
      <c r="BV1567" s="25"/>
      <c r="BW1567" s="25"/>
      <c r="BX1567" s="25"/>
      <c r="BY1567" s="25"/>
      <c r="BZ1567" s="25"/>
      <c r="CA1567" s="25"/>
      <c r="CB1567" s="25"/>
      <c r="CC1567" s="25"/>
      <c r="CD1567" s="25"/>
      <c r="CE1567" s="200"/>
      <c r="CF1567" s="200"/>
      <c r="CG1567" s="200"/>
      <c r="CH1567" s="200"/>
      <c r="CI1567" s="200"/>
      <c r="CJ1567" s="200"/>
      <c r="CK1567" s="200"/>
      <c r="CL1567" s="200"/>
      <c r="CM1567" s="200"/>
      <c r="CN1567" s="200"/>
      <c r="CO1567" s="200"/>
      <c r="CP1567" s="200"/>
      <c r="CQ1567" s="200"/>
      <c r="CR1567" s="200"/>
      <c r="CS1567" s="200"/>
      <c r="CT1567" s="200"/>
      <c r="CU1567" s="200"/>
    </row>
    <row r="1568" spans="1:99" s="17" customFormat="1" x14ac:dyDescent="0.2">
      <c r="A1568" s="25"/>
      <c r="B1568" s="20">
        <v>39103415801</v>
      </c>
      <c r="C1568" s="20">
        <v>4158.01</v>
      </c>
      <c r="D1568" s="20" t="s">
        <v>57</v>
      </c>
      <c r="E1568" s="20" t="s">
        <v>2829</v>
      </c>
      <c r="F1568" s="20" t="s">
        <v>8</v>
      </c>
      <c r="G1568" s="861">
        <v>49.455458106681498</v>
      </c>
      <c r="H1568" s="861">
        <v>56.749242684723299</v>
      </c>
      <c r="I1568" s="861">
        <v>31.5459381409519</v>
      </c>
      <c r="J1568" s="861">
        <v>43.257797351779999</v>
      </c>
      <c r="K1568" s="982">
        <v>0</v>
      </c>
      <c r="L1568" s="735" t="s">
        <v>2466</v>
      </c>
      <c r="M1568" s="735">
        <v>5583</v>
      </c>
      <c r="N1568" s="845" t="str">
        <f t="shared" si="133"/>
        <v/>
      </c>
      <c r="O1568" s="735">
        <v>1.4272567452056759</v>
      </c>
      <c r="P1568" s="735">
        <f t="shared" si="134"/>
        <v>3911.6998527097221</v>
      </c>
      <c r="Q1568" s="849">
        <v>34.700000000000003</v>
      </c>
      <c r="R1568" s="71">
        <v>99716</v>
      </c>
      <c r="S1568" s="845">
        <v>6.3432165318957776E-2</v>
      </c>
      <c r="T1568" s="845">
        <v>0.02</v>
      </c>
      <c r="U1568" s="845">
        <v>0</v>
      </c>
      <c r="V1568" s="845">
        <v>0</v>
      </c>
      <c r="W1568" s="845">
        <v>0.29916214884179398</v>
      </c>
      <c r="X1568" s="845">
        <v>0.42504118616144976</v>
      </c>
      <c r="Y1568" s="845">
        <v>0.94089199355185382</v>
      </c>
      <c r="Z1568" s="845">
        <v>5.7316854737596273E-3</v>
      </c>
      <c r="AA1568" s="845">
        <v>0</v>
      </c>
      <c r="AB1568" s="845">
        <v>2.5792584631918324E-2</v>
      </c>
      <c r="AC1568" s="845">
        <v>0</v>
      </c>
      <c r="AD1568" s="845">
        <v>2.8658427368798136E-3</v>
      </c>
      <c r="AE1568" s="845">
        <v>2.4717893605588393E-2</v>
      </c>
      <c r="AF1568" s="845">
        <v>1.6836826079168907E-2</v>
      </c>
      <c r="AG1568" s="845">
        <v>0.92692101020956474</v>
      </c>
      <c r="AH1568" s="20" t="str">
        <f t="shared" si="135"/>
        <v>Yes</v>
      </c>
      <c r="AI1568" s="25"/>
      <c r="AJ1568" s="37">
        <v>44217</v>
      </c>
      <c r="AK1568" s="37" t="s">
        <v>1259</v>
      </c>
      <c r="AL1568" s="37">
        <v>39169</v>
      </c>
      <c r="AM1568" s="37" t="s">
        <v>90</v>
      </c>
      <c r="AN1568" s="37" t="str">
        <f t="shared" si="136"/>
        <v>N/A</v>
      </c>
      <c r="AO1568" s="37" t="str">
        <f t="shared" si="137"/>
        <v>N/A</v>
      </c>
      <c r="AP1568" s="37" t="s">
        <v>8</v>
      </c>
      <c r="AQ1568" s="25"/>
      <c r="AR1568" s="25"/>
      <c r="AS1568" s="25"/>
      <c r="AT1568" s="25"/>
      <c r="AU1568" s="36"/>
      <c r="AV1568" s="36"/>
      <c r="AW1568" s="36"/>
      <c r="AX1568" s="25"/>
      <c r="AY1568" s="25"/>
      <c r="AZ1568" s="25"/>
      <c r="BA1568" s="25"/>
      <c r="BB1568" s="25"/>
      <c r="BC1568" s="25"/>
      <c r="BD1568" s="25"/>
      <c r="BE1568" s="25"/>
      <c r="BF1568" s="25"/>
      <c r="BG1568" s="25"/>
      <c r="BH1568" s="25"/>
      <c r="BI1568" s="25"/>
      <c r="BJ1568" s="25"/>
      <c r="BK1568" s="25"/>
      <c r="BL1568" s="25"/>
      <c r="BM1568" s="25"/>
      <c r="BN1568" s="25"/>
      <c r="BO1568" s="25"/>
      <c r="BP1568" s="25"/>
      <c r="BQ1568" s="25"/>
      <c r="BR1568" s="25"/>
      <c r="BS1568" s="25"/>
      <c r="BT1568" s="25"/>
      <c r="BU1568" s="25"/>
      <c r="BV1568" s="25"/>
      <c r="BW1568" s="25"/>
      <c r="BX1568" s="25"/>
      <c r="BY1568" s="25"/>
      <c r="BZ1568" s="25"/>
      <c r="CA1568" s="25"/>
      <c r="CB1568" s="25"/>
      <c r="CC1568" s="25"/>
      <c r="CD1568" s="25"/>
      <c r="CE1568" s="200"/>
      <c r="CF1568" s="200"/>
      <c r="CG1568" s="200"/>
      <c r="CH1568" s="200"/>
      <c r="CI1568" s="200"/>
      <c r="CJ1568" s="200"/>
      <c r="CK1568" s="200"/>
      <c r="CL1568" s="200"/>
      <c r="CM1568" s="200"/>
      <c r="CN1568" s="200"/>
      <c r="CO1568" s="200"/>
      <c r="CP1568" s="200"/>
      <c r="CQ1568" s="200"/>
      <c r="CR1568" s="200"/>
      <c r="CS1568" s="200"/>
      <c r="CT1568" s="200"/>
      <c r="CU1568" s="200"/>
    </row>
    <row r="1569" spans="1:99" s="17" customFormat="1" x14ac:dyDescent="0.2">
      <c r="A1569" s="25"/>
      <c r="B1569" s="20">
        <v>39133601802</v>
      </c>
      <c r="C1569" s="20">
        <v>6018.02</v>
      </c>
      <c r="D1569" s="20" t="s">
        <v>72</v>
      </c>
      <c r="E1569" s="20" t="s">
        <v>2843</v>
      </c>
      <c r="F1569" s="20" t="s">
        <v>8</v>
      </c>
      <c r="G1569" s="861">
        <v>49.4456243508684</v>
      </c>
      <c r="H1569" s="861">
        <v>55.441550583159497</v>
      </c>
      <c r="I1569" s="861">
        <v>28.513980654065598</v>
      </c>
      <c r="J1569" s="861">
        <v>45.733743348265897</v>
      </c>
      <c r="K1569" s="982">
        <v>0</v>
      </c>
      <c r="L1569" s="735">
        <v>4311</v>
      </c>
      <c r="M1569" s="735">
        <v>4668</v>
      </c>
      <c r="N1569" s="845">
        <f t="shared" si="133"/>
        <v>8.2811412665274878E-2</v>
      </c>
      <c r="O1569" s="735">
        <v>17.215433085520999</v>
      </c>
      <c r="P1569" s="735">
        <f t="shared" si="134"/>
        <v>271.15205158132272</v>
      </c>
      <c r="Q1569" s="849">
        <v>39</v>
      </c>
      <c r="R1569" s="71">
        <v>90673</v>
      </c>
      <c r="S1569" s="845">
        <v>6.9091691777873443E-2</v>
      </c>
      <c r="T1569" s="845">
        <v>2.7000000000000003E-2</v>
      </c>
      <c r="U1569" s="845">
        <v>0</v>
      </c>
      <c r="V1569" s="845">
        <v>0</v>
      </c>
      <c r="W1569" s="845">
        <v>0.15413333333333334</v>
      </c>
      <c r="X1569" s="845">
        <v>0.20069204152249134</v>
      </c>
      <c r="Y1569" s="845">
        <v>0.95629820051413883</v>
      </c>
      <c r="Z1569" s="845">
        <v>3.2133676092544988E-3</v>
      </c>
      <c r="AA1569" s="845">
        <v>0</v>
      </c>
      <c r="AB1569" s="845">
        <v>5.1413881748071976E-3</v>
      </c>
      <c r="AC1569" s="845">
        <v>0</v>
      </c>
      <c r="AD1569" s="845">
        <v>8.7832047986289626E-3</v>
      </c>
      <c r="AE1569" s="845">
        <v>2.6563838903170524E-2</v>
      </c>
      <c r="AF1569" s="845">
        <v>1.8209083119108824E-2</v>
      </c>
      <c r="AG1569" s="845">
        <v>0.95244215938303345</v>
      </c>
      <c r="AH1569" s="20" t="str">
        <f t="shared" si="135"/>
        <v>Yes</v>
      </c>
      <c r="AI1569" s="25"/>
      <c r="AJ1569" s="37">
        <v>44230</v>
      </c>
      <c r="AK1569" s="37" t="s">
        <v>1263</v>
      </c>
      <c r="AL1569" s="37">
        <v>39169</v>
      </c>
      <c r="AM1569" s="37" t="s">
        <v>90</v>
      </c>
      <c r="AN1569" s="37" t="str">
        <f t="shared" si="136"/>
        <v>N/A</v>
      </c>
      <c r="AO1569" s="37" t="str">
        <f t="shared" si="137"/>
        <v>N/A</v>
      </c>
      <c r="AP1569" s="37" t="s">
        <v>8</v>
      </c>
      <c r="AQ1569" s="25"/>
      <c r="AR1569" s="25"/>
      <c r="AS1569" s="25"/>
      <c r="AT1569" s="25"/>
      <c r="AU1569" s="36"/>
      <c r="AV1569" s="36"/>
      <c r="AW1569" s="36"/>
      <c r="AX1569" s="25"/>
      <c r="AY1569" s="25"/>
      <c r="AZ1569" s="25"/>
      <c r="BA1569" s="25"/>
      <c r="BB1569" s="25"/>
      <c r="BC1569" s="25"/>
      <c r="BD1569" s="25"/>
      <c r="BE1569" s="25"/>
      <c r="BF1569" s="25"/>
      <c r="BG1569" s="25"/>
      <c r="BH1569" s="25"/>
      <c r="BI1569" s="25"/>
      <c r="BJ1569" s="25"/>
      <c r="BK1569" s="25"/>
      <c r="BL1569" s="25"/>
      <c r="BM1569" s="25"/>
      <c r="BN1569" s="25"/>
      <c r="BO1569" s="25"/>
      <c r="BP1569" s="25"/>
      <c r="BQ1569" s="25"/>
      <c r="BR1569" s="25"/>
      <c r="BS1569" s="25"/>
      <c r="BT1569" s="25"/>
      <c r="BU1569" s="25"/>
      <c r="BV1569" s="25"/>
      <c r="BW1569" s="25"/>
      <c r="BX1569" s="25"/>
      <c r="BY1569" s="25"/>
      <c r="BZ1569" s="25"/>
      <c r="CA1569" s="25"/>
      <c r="CB1569" s="25"/>
      <c r="CC1569" s="25"/>
      <c r="CD1569" s="25"/>
      <c r="CE1569" s="200"/>
      <c r="CF1569" s="200"/>
      <c r="CG1569" s="200"/>
      <c r="CH1569" s="200"/>
      <c r="CI1569" s="200"/>
      <c r="CJ1569" s="200"/>
      <c r="CK1569" s="200"/>
      <c r="CL1569" s="200"/>
      <c r="CM1569" s="200"/>
      <c r="CN1569" s="200"/>
      <c r="CO1569" s="200"/>
      <c r="CP1569" s="200"/>
      <c r="CQ1569" s="200"/>
      <c r="CR1569" s="200"/>
      <c r="CS1569" s="200"/>
      <c r="CT1569" s="200"/>
      <c r="CU1569" s="200"/>
    </row>
    <row r="1570" spans="1:99" s="17" customFormat="1" x14ac:dyDescent="0.2">
      <c r="A1570" s="25"/>
      <c r="B1570" s="20">
        <v>39035135103</v>
      </c>
      <c r="C1570" s="20">
        <v>1351.03</v>
      </c>
      <c r="D1570" s="20" t="s">
        <v>24</v>
      </c>
      <c r="E1570" s="20" t="s">
        <v>2829</v>
      </c>
      <c r="F1570" s="20" t="s">
        <v>8</v>
      </c>
      <c r="G1570" s="861">
        <v>49.436030502564201</v>
      </c>
      <c r="H1570" s="861">
        <v>63.6291966618099</v>
      </c>
      <c r="I1570" s="861">
        <v>20.114034629244301</v>
      </c>
      <c r="J1570" s="861">
        <v>34.961504983864103</v>
      </c>
      <c r="K1570" s="982">
        <v>0</v>
      </c>
      <c r="L1570" s="735">
        <v>2254</v>
      </c>
      <c r="M1570" s="735">
        <v>2491</v>
      </c>
      <c r="N1570" s="845">
        <f t="shared" si="133"/>
        <v>0.10514640638864241</v>
      </c>
      <c r="O1570" s="735">
        <v>1.3500208694008253</v>
      </c>
      <c r="P1570" s="735">
        <f t="shared" si="134"/>
        <v>1845.1566612489266</v>
      </c>
      <c r="Q1570" s="849">
        <v>54.6</v>
      </c>
      <c r="R1570" s="71">
        <v>76569</v>
      </c>
      <c r="S1570" s="845">
        <v>9.1529506222400636E-2</v>
      </c>
      <c r="T1570" s="845">
        <v>0.111</v>
      </c>
      <c r="U1570" s="845">
        <v>0</v>
      </c>
      <c r="V1570" s="845">
        <v>0.14699999999999999</v>
      </c>
      <c r="W1570" s="845">
        <v>0.31244914564686738</v>
      </c>
      <c r="X1570" s="845">
        <v>0.16666666666666666</v>
      </c>
      <c r="Y1570" s="845">
        <v>0.90285026093938181</v>
      </c>
      <c r="Z1570" s="845">
        <v>4.415897230028101E-3</v>
      </c>
      <c r="AA1570" s="845">
        <v>0</v>
      </c>
      <c r="AB1570" s="845">
        <v>4.5764753111200318E-2</v>
      </c>
      <c r="AC1570" s="845">
        <v>0</v>
      </c>
      <c r="AD1570" s="845">
        <v>0</v>
      </c>
      <c r="AE1570" s="845">
        <v>4.6969088719389804E-2</v>
      </c>
      <c r="AF1570" s="845">
        <v>6.8245684464070654E-3</v>
      </c>
      <c r="AG1570" s="845">
        <v>0.90285026093938181</v>
      </c>
      <c r="AH1570" s="20" t="str">
        <f t="shared" si="135"/>
        <v>Yes</v>
      </c>
      <c r="AI1570" s="25"/>
      <c r="AJ1570" s="37">
        <v>44270</v>
      </c>
      <c r="AK1570" s="37" t="s">
        <v>1283</v>
      </c>
      <c r="AL1570" s="37">
        <v>39169</v>
      </c>
      <c r="AM1570" s="37" t="s">
        <v>90</v>
      </c>
      <c r="AN1570" s="37" t="str">
        <f t="shared" si="136"/>
        <v>N/A</v>
      </c>
      <c r="AO1570" s="37" t="str">
        <f t="shared" si="137"/>
        <v>N/A</v>
      </c>
      <c r="AP1570" s="37" t="s">
        <v>8</v>
      </c>
      <c r="AQ1570" s="25"/>
      <c r="AR1570" s="25"/>
      <c r="AS1570" s="25"/>
      <c r="AT1570" s="25"/>
      <c r="AU1570" s="36"/>
      <c r="AV1570" s="36"/>
      <c r="AW1570" s="36"/>
      <c r="AX1570" s="25"/>
      <c r="AY1570" s="25"/>
      <c r="AZ1570" s="25"/>
      <c r="BA1570" s="25"/>
      <c r="BB1570" s="25"/>
      <c r="BC1570" s="25"/>
      <c r="BD1570" s="25"/>
      <c r="BE1570" s="25"/>
      <c r="BF1570" s="25"/>
      <c r="BG1570" s="25"/>
      <c r="BH1570" s="25"/>
      <c r="BI1570" s="25"/>
      <c r="BJ1570" s="25"/>
      <c r="BK1570" s="25"/>
      <c r="BL1570" s="25"/>
      <c r="BM1570" s="25"/>
      <c r="BN1570" s="25"/>
      <c r="BO1570" s="25"/>
      <c r="BP1570" s="25"/>
      <c r="BQ1570" s="25"/>
      <c r="BR1570" s="25"/>
      <c r="BS1570" s="25"/>
      <c r="BT1570" s="25"/>
      <c r="BU1570" s="25"/>
      <c r="BV1570" s="25"/>
      <c r="BW1570" s="25"/>
      <c r="BX1570" s="25"/>
      <c r="BY1570" s="25"/>
      <c r="BZ1570" s="25"/>
      <c r="CA1570" s="25"/>
      <c r="CB1570" s="25"/>
      <c r="CC1570" s="25"/>
      <c r="CD1570" s="25"/>
      <c r="CE1570" s="200"/>
      <c r="CF1570" s="200"/>
      <c r="CG1570" s="200"/>
      <c r="CH1570" s="200"/>
      <c r="CI1570" s="200"/>
      <c r="CJ1570" s="200"/>
      <c r="CK1570" s="200"/>
      <c r="CL1570" s="200"/>
      <c r="CM1570" s="200"/>
      <c r="CN1570" s="200"/>
      <c r="CO1570" s="200"/>
      <c r="CP1570" s="200"/>
      <c r="CQ1570" s="200"/>
      <c r="CR1570" s="200"/>
      <c r="CS1570" s="200"/>
      <c r="CT1570" s="200"/>
      <c r="CU1570" s="200"/>
    </row>
    <row r="1571" spans="1:99" s="17" customFormat="1" x14ac:dyDescent="0.2">
      <c r="A1571" s="25"/>
      <c r="B1571" s="20">
        <v>39095006900</v>
      </c>
      <c r="C1571" s="20">
        <v>69</v>
      </c>
      <c r="D1571" s="20" t="s">
        <v>53</v>
      </c>
      <c r="E1571" s="20" t="s">
        <v>2839</v>
      </c>
      <c r="F1571" s="20" t="s">
        <v>8</v>
      </c>
      <c r="G1571" s="861">
        <v>49.434842396693398</v>
      </c>
      <c r="H1571" s="861">
        <v>52.670153443022798</v>
      </c>
      <c r="I1571" s="861">
        <v>30.4645997410706</v>
      </c>
      <c r="J1571" s="861">
        <v>36.135558970378497</v>
      </c>
      <c r="K1571" s="982">
        <v>0</v>
      </c>
      <c r="L1571" s="735">
        <v>2650</v>
      </c>
      <c r="M1571" s="735">
        <v>2391</v>
      </c>
      <c r="N1571" s="845">
        <f t="shared" si="133"/>
        <v>-9.7735849056603777E-2</v>
      </c>
      <c r="O1571" s="735">
        <v>0.51474058697512715</v>
      </c>
      <c r="P1571" s="735">
        <f t="shared" si="134"/>
        <v>4645.0582303033661</v>
      </c>
      <c r="Q1571" s="849">
        <v>40.700000000000003</v>
      </c>
      <c r="R1571" s="71">
        <v>53056</v>
      </c>
      <c r="S1571" s="845">
        <v>0.10145566828407587</v>
      </c>
      <c r="T1571" s="845">
        <v>5.4000000000000006E-2</v>
      </c>
      <c r="U1571" s="845">
        <v>0</v>
      </c>
      <c r="V1571" s="845">
        <v>0</v>
      </c>
      <c r="W1571" s="845">
        <v>0.20094936708860758</v>
      </c>
      <c r="X1571" s="845">
        <v>0.44881889763779526</v>
      </c>
      <c r="Y1571" s="845">
        <v>0.82392304475115019</v>
      </c>
      <c r="Z1571" s="845">
        <v>0.10163111668757842</v>
      </c>
      <c r="AA1571" s="845">
        <v>0</v>
      </c>
      <c r="AB1571" s="845">
        <v>1.4219991635299039E-2</v>
      </c>
      <c r="AC1571" s="845">
        <v>0</v>
      </c>
      <c r="AD1571" s="845">
        <v>1.2128816394813885E-2</v>
      </c>
      <c r="AE1571" s="845">
        <v>4.8097030531158512E-2</v>
      </c>
      <c r="AF1571" s="845">
        <v>9.9121706398996243E-2</v>
      </c>
      <c r="AG1571" s="845">
        <v>0.74153074027603516</v>
      </c>
      <c r="AH1571" s="20" t="str">
        <f t="shared" si="135"/>
        <v>No</v>
      </c>
      <c r="AI1571" s="25"/>
      <c r="AJ1571" s="37">
        <v>44273</v>
      </c>
      <c r="AK1571" s="37" t="s">
        <v>1285</v>
      </c>
      <c r="AL1571" s="37">
        <v>39169</v>
      </c>
      <c r="AM1571" s="37" t="s">
        <v>90</v>
      </c>
      <c r="AN1571" s="37" t="str">
        <f t="shared" si="136"/>
        <v>N/A</v>
      </c>
      <c r="AO1571" s="37" t="str">
        <f t="shared" si="137"/>
        <v>N/A</v>
      </c>
      <c r="AP1571" s="37" t="s">
        <v>8</v>
      </c>
      <c r="AQ1571" s="25"/>
      <c r="AR1571" s="25"/>
      <c r="AS1571" s="25"/>
      <c r="AT1571" s="25"/>
      <c r="AU1571" s="36"/>
      <c r="AV1571" s="36"/>
      <c r="AW1571" s="36"/>
      <c r="AX1571" s="25"/>
      <c r="AY1571" s="25"/>
      <c r="AZ1571" s="25"/>
      <c r="BA1571" s="25"/>
      <c r="BB1571" s="25"/>
      <c r="BC1571" s="25"/>
      <c r="BD1571" s="25"/>
      <c r="BE1571" s="25"/>
      <c r="BF1571" s="25"/>
      <c r="BG1571" s="25"/>
      <c r="BH1571" s="25"/>
      <c r="BI1571" s="25"/>
      <c r="BJ1571" s="25"/>
      <c r="BK1571" s="25"/>
      <c r="BL1571" s="25"/>
      <c r="BM1571" s="25"/>
      <c r="BN1571" s="25"/>
      <c r="BO1571" s="25"/>
      <c r="BP1571" s="25"/>
      <c r="BQ1571" s="25"/>
      <c r="BR1571" s="25"/>
      <c r="BS1571" s="25"/>
      <c r="BT1571" s="25"/>
      <c r="BU1571" s="25"/>
      <c r="BV1571" s="25"/>
      <c r="BW1571" s="25"/>
      <c r="BX1571" s="25"/>
      <c r="BY1571" s="25"/>
      <c r="BZ1571" s="25"/>
      <c r="CA1571" s="25"/>
      <c r="CB1571" s="25"/>
      <c r="CC1571" s="25"/>
      <c r="CD1571" s="25"/>
      <c r="CE1571" s="200"/>
      <c r="CF1571" s="200"/>
      <c r="CG1571" s="200"/>
      <c r="CH1571" s="200"/>
      <c r="CI1571" s="200"/>
      <c r="CJ1571" s="200"/>
      <c r="CK1571" s="200"/>
      <c r="CL1571" s="200"/>
      <c r="CM1571" s="200"/>
      <c r="CN1571" s="200"/>
      <c r="CO1571" s="200"/>
      <c r="CP1571" s="200"/>
      <c r="CQ1571" s="200"/>
      <c r="CR1571" s="200"/>
      <c r="CS1571" s="200"/>
      <c r="CT1571" s="200"/>
      <c r="CU1571" s="200"/>
    </row>
    <row r="1572" spans="1:99" s="17" customFormat="1" x14ac:dyDescent="0.2">
      <c r="A1572" s="25"/>
      <c r="B1572" s="20">
        <v>39035178206</v>
      </c>
      <c r="C1572" s="20">
        <v>1782.06</v>
      </c>
      <c r="D1572" s="20" t="s">
        <v>24</v>
      </c>
      <c r="E1572" s="20" t="s">
        <v>2829</v>
      </c>
      <c r="F1572" s="20" t="s">
        <v>8</v>
      </c>
      <c r="G1572" s="861">
        <v>49.415041050358397</v>
      </c>
      <c r="H1572" s="861">
        <v>62.472688092390896</v>
      </c>
      <c r="I1572" s="861">
        <v>35.416306204898902</v>
      </c>
      <c r="J1572" s="861">
        <v>41.664108868108997</v>
      </c>
      <c r="K1572" s="982">
        <v>0</v>
      </c>
      <c r="L1572" s="735">
        <v>2754</v>
      </c>
      <c r="M1572" s="735">
        <v>2897</v>
      </c>
      <c r="N1572" s="845">
        <f t="shared" si="133"/>
        <v>5.1924473493100941E-2</v>
      </c>
      <c r="O1572" s="735">
        <v>0.7981990311144711</v>
      </c>
      <c r="P1572" s="735">
        <f t="shared" si="134"/>
        <v>3629.4205919482461</v>
      </c>
      <c r="Q1572" s="849">
        <v>51.2</v>
      </c>
      <c r="R1572" s="71">
        <v>67500</v>
      </c>
      <c r="S1572" s="845">
        <v>0.13151536071798411</v>
      </c>
      <c r="T1572" s="845">
        <v>3.6000000000000004E-2</v>
      </c>
      <c r="U1572" s="845">
        <v>0</v>
      </c>
      <c r="V1572" s="845">
        <v>0</v>
      </c>
      <c r="W1572" s="845">
        <v>0.27173913043478259</v>
      </c>
      <c r="X1572" s="845">
        <v>0.61428571428571432</v>
      </c>
      <c r="Y1572" s="845">
        <v>0.82533655505695547</v>
      </c>
      <c r="Z1572" s="845">
        <v>7.973765964791163E-2</v>
      </c>
      <c r="AA1572" s="845">
        <v>3.8315498791853642E-2</v>
      </c>
      <c r="AB1572" s="845">
        <v>4.1422160856057991E-3</v>
      </c>
      <c r="AC1572" s="845">
        <v>0</v>
      </c>
      <c r="AD1572" s="845">
        <v>5.1777701070072485E-3</v>
      </c>
      <c r="AE1572" s="845">
        <v>4.7290300310666208E-2</v>
      </c>
      <c r="AF1572" s="845">
        <v>3.0721435968243008E-2</v>
      </c>
      <c r="AG1572" s="845">
        <v>0.80220918191232304</v>
      </c>
      <c r="AH1572" s="20" t="str">
        <f t="shared" si="135"/>
        <v>No</v>
      </c>
      <c r="AI1572" s="25"/>
      <c r="AJ1572" s="37">
        <v>44276</v>
      </c>
      <c r="AK1572" s="37" t="s">
        <v>1288</v>
      </c>
      <c r="AL1572" s="37">
        <v>39169</v>
      </c>
      <c r="AM1572" s="37" t="s">
        <v>90</v>
      </c>
      <c r="AN1572" s="37" t="str">
        <f t="shared" si="136"/>
        <v>N/A</v>
      </c>
      <c r="AO1572" s="37" t="str">
        <f t="shared" si="137"/>
        <v>N/A</v>
      </c>
      <c r="AP1572" s="37" t="s">
        <v>8</v>
      </c>
      <c r="AQ1572" s="25"/>
      <c r="AR1572" s="25"/>
      <c r="AS1572" s="25"/>
      <c r="AT1572" s="25"/>
      <c r="AU1572" s="36"/>
      <c r="AV1572" s="36"/>
      <c r="AW1572" s="36"/>
      <c r="AX1572" s="25"/>
      <c r="AY1572" s="25"/>
      <c r="AZ1572" s="25"/>
      <c r="BA1572" s="25"/>
      <c r="BB1572" s="25"/>
      <c r="BC1572" s="25"/>
      <c r="BD1572" s="25"/>
      <c r="BE1572" s="25"/>
      <c r="BF1572" s="25"/>
      <c r="BG1572" s="25"/>
      <c r="BH1572" s="25"/>
      <c r="BI1572" s="25"/>
      <c r="BJ1572" s="25"/>
      <c r="BK1572" s="25"/>
      <c r="BL1572" s="25"/>
      <c r="BM1572" s="25"/>
      <c r="BN1572" s="25"/>
      <c r="BO1572" s="25"/>
      <c r="BP1572" s="25"/>
      <c r="BQ1572" s="25"/>
      <c r="BR1572" s="25"/>
      <c r="BS1572" s="25"/>
      <c r="BT1572" s="25"/>
      <c r="BU1572" s="25"/>
      <c r="BV1572" s="25"/>
      <c r="BW1572" s="25"/>
      <c r="BX1572" s="25"/>
      <c r="BY1572" s="25"/>
      <c r="BZ1572" s="25"/>
      <c r="CA1572" s="25"/>
      <c r="CB1572" s="25"/>
      <c r="CC1572" s="25"/>
      <c r="CD1572" s="25"/>
      <c r="CE1572" s="200"/>
      <c r="CF1572" s="200"/>
      <c r="CG1572" s="200"/>
      <c r="CH1572" s="200"/>
      <c r="CI1572" s="200"/>
      <c r="CJ1572" s="200"/>
      <c r="CK1572" s="200"/>
      <c r="CL1572" s="200"/>
      <c r="CM1572" s="200"/>
      <c r="CN1572" s="200"/>
      <c r="CO1572" s="200"/>
      <c r="CP1572" s="200"/>
      <c r="CQ1572" s="200"/>
      <c r="CR1572" s="200"/>
      <c r="CS1572" s="200"/>
      <c r="CT1572" s="200"/>
      <c r="CU1572" s="200"/>
    </row>
    <row r="1573" spans="1:99" s="17" customFormat="1" x14ac:dyDescent="0.2">
      <c r="A1573" s="25"/>
      <c r="B1573" s="20">
        <v>39113120103</v>
      </c>
      <c r="C1573" s="20">
        <v>1201.03</v>
      </c>
      <c r="D1573" s="20" t="s">
        <v>62</v>
      </c>
      <c r="E1573" s="20" t="s">
        <v>2833</v>
      </c>
      <c r="F1573" s="20" t="s">
        <v>8</v>
      </c>
      <c r="G1573" s="861">
        <v>49.398670419366098</v>
      </c>
      <c r="H1573" s="861">
        <v>60.842676308053697</v>
      </c>
      <c r="I1573" s="861">
        <v>24.3868130180851</v>
      </c>
      <c r="J1573" s="861">
        <v>48.781847909289702</v>
      </c>
      <c r="K1573" s="982">
        <v>0</v>
      </c>
      <c r="L1573" s="735">
        <v>2878</v>
      </c>
      <c r="M1573" s="735">
        <v>3269</v>
      </c>
      <c r="N1573" s="845">
        <f t="shared" si="133"/>
        <v>0.13585823488533705</v>
      </c>
      <c r="O1573" s="735">
        <v>1.5512627198894748</v>
      </c>
      <c r="P1573" s="735">
        <f t="shared" si="134"/>
        <v>2107.3155166346751</v>
      </c>
      <c r="Q1573" s="849">
        <v>46.2</v>
      </c>
      <c r="R1573" s="71">
        <v>80265</v>
      </c>
      <c r="S1573" s="845">
        <v>0.11636017755231452</v>
      </c>
      <c r="T1573" s="845">
        <v>1.8000000000000002E-2</v>
      </c>
      <c r="U1573" s="845">
        <v>0</v>
      </c>
      <c r="V1573" s="845">
        <v>0.157</v>
      </c>
      <c r="W1573" s="845">
        <v>0.44949099451840252</v>
      </c>
      <c r="X1573" s="845">
        <v>0.24390243902439024</v>
      </c>
      <c r="Y1573" s="845">
        <v>0.43988987457938206</v>
      </c>
      <c r="Z1573" s="845">
        <v>0.49281125726521874</v>
      </c>
      <c r="AA1573" s="845">
        <v>0</v>
      </c>
      <c r="AB1573" s="845">
        <v>1.1318446007953502E-2</v>
      </c>
      <c r="AC1573" s="845">
        <v>0</v>
      </c>
      <c r="AD1573" s="845">
        <v>0</v>
      </c>
      <c r="AE1573" s="845">
        <v>5.5980422147445703E-2</v>
      </c>
      <c r="AF1573" s="845">
        <v>6.7298868155399203E-3</v>
      </c>
      <c r="AG1573" s="845">
        <v>0.43652493117161212</v>
      </c>
      <c r="AH1573" s="20" t="str">
        <f t="shared" si="135"/>
        <v>No</v>
      </c>
      <c r="AI1573" s="25"/>
      <c r="AJ1573" s="37">
        <v>44287</v>
      </c>
      <c r="AK1573" s="37" t="s">
        <v>1294</v>
      </c>
      <c r="AL1573" s="37">
        <v>39169</v>
      </c>
      <c r="AM1573" s="37" t="s">
        <v>90</v>
      </c>
      <c r="AN1573" s="37" t="str">
        <f t="shared" si="136"/>
        <v>N/A</v>
      </c>
      <c r="AO1573" s="37" t="str">
        <f t="shared" si="137"/>
        <v>N/A</v>
      </c>
      <c r="AP1573" s="37" t="s">
        <v>8</v>
      </c>
      <c r="AQ1573" s="25"/>
      <c r="AR1573" s="25"/>
      <c r="AS1573" s="25"/>
      <c r="AT1573" s="25"/>
      <c r="AU1573" s="36"/>
      <c r="AV1573" s="36"/>
      <c r="AW1573" s="36"/>
      <c r="AX1573" s="25"/>
      <c r="AY1573" s="25"/>
      <c r="AZ1573" s="25"/>
      <c r="BA1573" s="25"/>
      <c r="BB1573" s="25"/>
      <c r="BC1573" s="25"/>
      <c r="BD1573" s="25"/>
      <c r="BE1573" s="25"/>
      <c r="BF1573" s="25"/>
      <c r="BG1573" s="25"/>
      <c r="BH1573" s="25"/>
      <c r="BI1573" s="25"/>
      <c r="BJ1573" s="25"/>
      <c r="BK1573" s="25"/>
      <c r="BL1573" s="25"/>
      <c r="BM1573" s="25"/>
      <c r="BN1573" s="25"/>
      <c r="BO1573" s="25"/>
      <c r="BP1573" s="25"/>
      <c r="BQ1573" s="25"/>
      <c r="BR1573" s="25"/>
      <c r="BS1573" s="25"/>
      <c r="BT1573" s="25"/>
      <c r="BU1573" s="25"/>
      <c r="BV1573" s="25"/>
      <c r="BW1573" s="25"/>
      <c r="BX1573" s="25"/>
      <c r="BY1573" s="25"/>
      <c r="BZ1573" s="25"/>
      <c r="CA1573" s="25"/>
      <c r="CB1573" s="25"/>
      <c r="CC1573" s="25"/>
      <c r="CD1573" s="25"/>
      <c r="CE1573" s="200"/>
      <c r="CF1573" s="200"/>
      <c r="CG1573" s="200"/>
      <c r="CH1573" s="200"/>
      <c r="CI1573" s="200"/>
      <c r="CJ1573" s="200"/>
      <c r="CK1573" s="200"/>
      <c r="CL1573" s="200"/>
      <c r="CM1573" s="200"/>
      <c r="CN1573" s="200"/>
      <c r="CO1573" s="200"/>
      <c r="CP1573" s="200"/>
      <c r="CQ1573" s="200"/>
      <c r="CR1573" s="200"/>
      <c r="CS1573" s="200"/>
      <c r="CT1573" s="200"/>
      <c r="CU1573" s="200"/>
    </row>
    <row r="1574" spans="1:99" s="17" customFormat="1" x14ac:dyDescent="0.2">
      <c r="A1574" s="25"/>
      <c r="B1574" s="20">
        <v>39133600401</v>
      </c>
      <c r="C1574" s="20">
        <v>6004.01</v>
      </c>
      <c r="D1574" s="20" t="s">
        <v>72</v>
      </c>
      <c r="E1574" s="20" t="s">
        <v>2843</v>
      </c>
      <c r="F1574" s="20" t="s">
        <v>8</v>
      </c>
      <c r="G1574" s="861">
        <v>49.377684086429099</v>
      </c>
      <c r="H1574" s="861">
        <v>48.323583615116497</v>
      </c>
      <c r="I1574" s="861">
        <v>33.231481111310103</v>
      </c>
      <c r="J1574" s="861">
        <v>43.662842474411498</v>
      </c>
      <c r="K1574" s="982">
        <v>0</v>
      </c>
      <c r="L1574" s="735">
        <v>6226</v>
      </c>
      <c r="M1574" s="735">
        <v>6913</v>
      </c>
      <c r="N1574" s="845">
        <f t="shared" si="133"/>
        <v>0.11034371988435593</v>
      </c>
      <c r="O1574" s="735">
        <v>5.9728729797141815</v>
      </c>
      <c r="P1574" s="735">
        <f t="shared" si="134"/>
        <v>1157.3994664676104</v>
      </c>
      <c r="Q1574" s="849">
        <v>42.3</v>
      </c>
      <c r="R1574" s="71">
        <v>80921</v>
      </c>
      <c r="S1574" s="845">
        <v>9.6340228554896573E-2</v>
      </c>
      <c r="T1574" s="845">
        <v>4.8000000000000001E-2</v>
      </c>
      <c r="U1574" s="845">
        <v>2.2000000000000002E-2</v>
      </c>
      <c r="V1574" s="845">
        <v>0</v>
      </c>
      <c r="W1574" s="845">
        <v>0.45042961004626569</v>
      </c>
      <c r="X1574" s="845">
        <v>0.45487894350696995</v>
      </c>
      <c r="Y1574" s="845">
        <v>0.76623752350643715</v>
      </c>
      <c r="Z1574" s="845">
        <v>0.13510776797338347</v>
      </c>
      <c r="AA1574" s="845">
        <v>0</v>
      </c>
      <c r="AB1574" s="845">
        <v>4.6000289309995661E-2</v>
      </c>
      <c r="AC1574" s="845">
        <v>0</v>
      </c>
      <c r="AD1574" s="845">
        <v>1.2151019817734702E-2</v>
      </c>
      <c r="AE1574" s="845">
        <v>4.0503399392449006E-2</v>
      </c>
      <c r="AF1574" s="845">
        <v>0</v>
      </c>
      <c r="AG1574" s="845">
        <v>0.76623752350643715</v>
      </c>
      <c r="AH1574" s="20" t="str">
        <f t="shared" si="135"/>
        <v>No</v>
      </c>
      <c r="AI1574" s="25"/>
      <c r="AJ1574" s="37">
        <v>44606</v>
      </c>
      <c r="AK1574" s="37" t="s">
        <v>1380</v>
      </c>
      <c r="AL1574" s="37">
        <v>39169</v>
      </c>
      <c r="AM1574" s="37" t="s">
        <v>90</v>
      </c>
      <c r="AN1574" s="37" t="str">
        <f t="shared" si="136"/>
        <v>N/A</v>
      </c>
      <c r="AO1574" s="37" t="str">
        <f t="shared" si="137"/>
        <v>N/A</v>
      </c>
      <c r="AP1574" s="37" t="s">
        <v>8</v>
      </c>
      <c r="AQ1574" s="25"/>
      <c r="AR1574" s="25"/>
      <c r="AS1574" s="25"/>
      <c r="AT1574" s="25"/>
      <c r="AU1574" s="36"/>
      <c r="AV1574" s="36"/>
      <c r="AW1574" s="36"/>
      <c r="AX1574" s="25"/>
      <c r="AY1574" s="25"/>
      <c r="AZ1574" s="25"/>
      <c r="BA1574" s="25"/>
      <c r="BB1574" s="25"/>
      <c r="BC1574" s="25"/>
      <c r="BD1574" s="25"/>
      <c r="BE1574" s="25"/>
      <c r="BF1574" s="25"/>
      <c r="BG1574" s="25"/>
      <c r="BH1574" s="25"/>
      <c r="BI1574" s="25"/>
      <c r="BJ1574" s="25"/>
      <c r="BK1574" s="25"/>
      <c r="BL1574" s="25"/>
      <c r="BM1574" s="25"/>
      <c r="BN1574" s="25"/>
      <c r="BO1574" s="25"/>
      <c r="BP1574" s="25"/>
      <c r="BQ1574" s="25"/>
      <c r="BR1574" s="25"/>
      <c r="BS1574" s="25"/>
      <c r="BT1574" s="25"/>
      <c r="BU1574" s="25"/>
      <c r="BV1574" s="25"/>
      <c r="BW1574" s="25"/>
      <c r="BX1574" s="25"/>
      <c r="BY1574" s="25"/>
      <c r="BZ1574" s="25"/>
      <c r="CA1574" s="25"/>
      <c r="CB1574" s="25"/>
      <c r="CC1574" s="25"/>
      <c r="CD1574" s="25"/>
      <c r="CE1574" s="200"/>
      <c r="CF1574" s="200"/>
      <c r="CG1574" s="200"/>
      <c r="CH1574" s="200"/>
      <c r="CI1574" s="200"/>
      <c r="CJ1574" s="200"/>
      <c r="CK1574" s="200"/>
      <c r="CL1574" s="200"/>
      <c r="CM1574" s="200"/>
      <c r="CN1574" s="200"/>
      <c r="CO1574" s="200"/>
      <c r="CP1574" s="200"/>
      <c r="CQ1574" s="200"/>
      <c r="CR1574" s="200"/>
      <c r="CS1574" s="200"/>
      <c r="CT1574" s="200"/>
      <c r="CU1574" s="200"/>
    </row>
    <row r="1575" spans="1:99" s="17" customFormat="1" x14ac:dyDescent="0.2">
      <c r="A1575" s="25"/>
      <c r="B1575" s="20">
        <v>39035177607</v>
      </c>
      <c r="C1575" s="20">
        <v>1776.07</v>
      </c>
      <c r="D1575" s="20" t="s">
        <v>24</v>
      </c>
      <c r="E1575" s="20" t="s">
        <v>2829</v>
      </c>
      <c r="F1575" s="20" t="s">
        <v>8</v>
      </c>
      <c r="G1575" s="861">
        <v>49.345608763647</v>
      </c>
      <c r="H1575" s="861">
        <v>64.375804589154797</v>
      </c>
      <c r="I1575" s="861">
        <v>35.974627380188601</v>
      </c>
      <c r="J1575" s="861">
        <v>38.719563318833401</v>
      </c>
      <c r="K1575" s="982">
        <v>0</v>
      </c>
      <c r="L1575" s="735">
        <v>4233</v>
      </c>
      <c r="M1575" s="735">
        <v>3529</v>
      </c>
      <c r="N1575" s="845">
        <f t="shared" si="133"/>
        <v>-0.16631230805575242</v>
      </c>
      <c r="O1575" s="735">
        <v>1.1658134600471197</v>
      </c>
      <c r="P1575" s="735">
        <f t="shared" si="134"/>
        <v>3027.0709002256376</v>
      </c>
      <c r="Q1575" s="849">
        <v>47.9</v>
      </c>
      <c r="R1575" s="71">
        <v>58542</v>
      </c>
      <c r="S1575" s="845">
        <v>0.12970588235294117</v>
      </c>
      <c r="T1575" s="845">
        <v>3.7000000000000005E-2</v>
      </c>
      <c r="U1575" s="845">
        <v>0</v>
      </c>
      <c r="V1575" s="845">
        <v>0</v>
      </c>
      <c r="W1575" s="845">
        <v>0.45835942391984974</v>
      </c>
      <c r="X1575" s="845">
        <v>0.46584699453551914</v>
      </c>
      <c r="Y1575" s="845">
        <v>0.91810711249645793</v>
      </c>
      <c r="Z1575" s="845">
        <v>2.5786341739869652E-2</v>
      </c>
      <c r="AA1575" s="845">
        <v>2.8336639274582036E-4</v>
      </c>
      <c r="AB1575" s="845">
        <v>9.0677245678662515E-3</v>
      </c>
      <c r="AC1575" s="845">
        <v>0</v>
      </c>
      <c r="AD1575" s="845">
        <v>3.6837631056956645E-3</v>
      </c>
      <c r="AE1575" s="845">
        <v>4.3071691697364696E-2</v>
      </c>
      <c r="AF1575" s="845">
        <v>6.1207140833097196E-2</v>
      </c>
      <c r="AG1575" s="845">
        <v>0.88268631340323034</v>
      </c>
      <c r="AH1575" s="20" t="str">
        <f t="shared" si="135"/>
        <v>No</v>
      </c>
      <c r="AI1575" s="25"/>
      <c r="AJ1575" s="37">
        <v>44611</v>
      </c>
      <c r="AK1575" s="37" t="s">
        <v>1385</v>
      </c>
      <c r="AL1575" s="37">
        <v>39169</v>
      </c>
      <c r="AM1575" s="37" t="s">
        <v>90</v>
      </c>
      <c r="AN1575" s="37" t="str">
        <f t="shared" si="136"/>
        <v>N/A</v>
      </c>
      <c r="AO1575" s="37" t="str">
        <f t="shared" si="137"/>
        <v>N/A</v>
      </c>
      <c r="AP1575" s="37" t="s">
        <v>8</v>
      </c>
      <c r="AQ1575" s="25"/>
      <c r="AR1575" s="25"/>
      <c r="AS1575" s="25"/>
      <c r="AT1575" s="25"/>
      <c r="AU1575" s="36"/>
      <c r="AV1575" s="36"/>
      <c r="AW1575" s="36"/>
      <c r="AX1575" s="25"/>
      <c r="AY1575" s="25"/>
      <c r="AZ1575" s="25"/>
      <c r="BA1575" s="25"/>
      <c r="BB1575" s="25"/>
      <c r="BC1575" s="25"/>
      <c r="BD1575" s="25"/>
      <c r="BE1575" s="25"/>
      <c r="BF1575" s="25"/>
      <c r="BG1575" s="25"/>
      <c r="BH1575" s="25"/>
      <c r="BI1575" s="25"/>
      <c r="BJ1575" s="25"/>
      <c r="BK1575" s="25"/>
      <c r="BL1575" s="25"/>
      <c r="BM1575" s="25"/>
      <c r="BN1575" s="25"/>
      <c r="BO1575" s="25"/>
      <c r="BP1575" s="25"/>
      <c r="BQ1575" s="25"/>
      <c r="BR1575" s="25"/>
      <c r="BS1575" s="25"/>
      <c r="BT1575" s="25"/>
      <c r="BU1575" s="25"/>
      <c r="BV1575" s="25"/>
      <c r="BW1575" s="25"/>
      <c r="BX1575" s="25"/>
      <c r="BY1575" s="25"/>
      <c r="BZ1575" s="25"/>
      <c r="CA1575" s="25"/>
      <c r="CB1575" s="25"/>
      <c r="CC1575" s="25"/>
      <c r="CD1575" s="25"/>
      <c r="CE1575" s="200"/>
      <c r="CF1575" s="200"/>
      <c r="CG1575" s="200"/>
      <c r="CH1575" s="200"/>
      <c r="CI1575" s="200"/>
      <c r="CJ1575" s="200"/>
      <c r="CK1575" s="200"/>
      <c r="CL1575" s="200"/>
      <c r="CM1575" s="200"/>
      <c r="CN1575" s="200"/>
      <c r="CO1575" s="200"/>
      <c r="CP1575" s="200"/>
      <c r="CQ1575" s="200"/>
      <c r="CR1575" s="200"/>
      <c r="CS1575" s="200"/>
      <c r="CT1575" s="200"/>
      <c r="CU1575" s="200"/>
    </row>
    <row r="1576" spans="1:99" s="17" customFormat="1" x14ac:dyDescent="0.2">
      <c r="A1576" s="25"/>
      <c r="B1576" s="20">
        <v>39049007202</v>
      </c>
      <c r="C1576" s="20">
        <v>72.02</v>
      </c>
      <c r="D1576" s="20" t="s">
        <v>31</v>
      </c>
      <c r="E1576" s="20" t="s">
        <v>2830</v>
      </c>
      <c r="F1576" s="20" t="s">
        <v>8</v>
      </c>
      <c r="G1576" s="861">
        <v>49.341272728487297</v>
      </c>
      <c r="H1576" s="861">
        <v>55.698680865774698</v>
      </c>
      <c r="I1576" s="861">
        <v>36.570246416466098</v>
      </c>
      <c r="J1576" s="861">
        <v>50.107331426905802</v>
      </c>
      <c r="K1576" s="982">
        <v>0</v>
      </c>
      <c r="L1576" s="735">
        <v>3367</v>
      </c>
      <c r="M1576" s="735">
        <v>4115</v>
      </c>
      <c r="N1576" s="845">
        <f t="shared" si="133"/>
        <v>0.22215622215622216</v>
      </c>
      <c r="O1576" s="735">
        <v>1.4684700618181603</v>
      </c>
      <c r="P1576" s="735">
        <f t="shared" si="134"/>
        <v>2802.236223260204</v>
      </c>
      <c r="Q1576" s="849">
        <v>30.1</v>
      </c>
      <c r="R1576" s="71">
        <v>69023</v>
      </c>
      <c r="S1576" s="845">
        <v>0.1611874386653582</v>
      </c>
      <c r="T1576" s="845">
        <v>3.9E-2</v>
      </c>
      <c r="U1576" s="845">
        <v>0</v>
      </c>
      <c r="V1576" s="845">
        <v>7.0000000000000007E-2</v>
      </c>
      <c r="W1576" s="845">
        <v>0.6325553560742071</v>
      </c>
      <c r="X1576" s="845">
        <v>0.4323557237464522</v>
      </c>
      <c r="Y1576" s="845">
        <v>0.40024301336573509</v>
      </c>
      <c r="Z1576" s="845">
        <v>0.32515188335358447</v>
      </c>
      <c r="AA1576" s="845">
        <v>2.9161603888213854E-3</v>
      </c>
      <c r="AB1576" s="845">
        <v>0.13948967193195624</v>
      </c>
      <c r="AC1576" s="845">
        <v>0</v>
      </c>
      <c r="AD1576" s="845">
        <v>7.3633049817739979E-2</v>
      </c>
      <c r="AE1576" s="845">
        <v>5.8566221142162818E-2</v>
      </c>
      <c r="AF1576" s="845">
        <v>8.9671931956257597E-2</v>
      </c>
      <c r="AG1576" s="845">
        <v>0.39173754556500606</v>
      </c>
      <c r="AH1576" s="20" t="str">
        <f t="shared" si="135"/>
        <v>No</v>
      </c>
      <c r="AI1576" s="25"/>
      <c r="AJ1576" s="37">
        <v>44614</v>
      </c>
      <c r="AK1576" s="37" t="s">
        <v>1388</v>
      </c>
      <c r="AL1576" s="37">
        <v>39169</v>
      </c>
      <c r="AM1576" s="37" t="s">
        <v>90</v>
      </c>
      <c r="AN1576" s="37" t="str">
        <f t="shared" si="136"/>
        <v>N/A</v>
      </c>
      <c r="AO1576" s="37" t="str">
        <f t="shared" si="137"/>
        <v>N/A</v>
      </c>
      <c r="AP1576" s="37" t="s">
        <v>8</v>
      </c>
      <c r="AQ1576" s="25"/>
      <c r="AR1576" s="25"/>
      <c r="AS1576" s="25"/>
      <c r="AT1576" s="25"/>
      <c r="AU1576" s="36"/>
      <c r="AV1576" s="36"/>
      <c r="AW1576" s="36"/>
      <c r="AX1576" s="25"/>
      <c r="AY1576" s="25"/>
      <c r="AZ1576" s="25"/>
      <c r="BA1576" s="25"/>
      <c r="BB1576" s="25"/>
      <c r="BC1576" s="25"/>
      <c r="BD1576" s="25"/>
      <c r="BE1576" s="25"/>
      <c r="BF1576" s="25"/>
      <c r="BG1576" s="25"/>
      <c r="BH1576" s="25"/>
      <c r="BI1576" s="25"/>
      <c r="BJ1576" s="25"/>
      <c r="BK1576" s="25"/>
      <c r="BL1576" s="25"/>
      <c r="BM1576" s="25"/>
      <c r="BN1576" s="25"/>
      <c r="BO1576" s="25"/>
      <c r="BP1576" s="25"/>
      <c r="BQ1576" s="25"/>
      <c r="BR1576" s="25"/>
      <c r="BS1576" s="25"/>
      <c r="BT1576" s="25"/>
      <c r="BU1576" s="25"/>
      <c r="BV1576" s="25"/>
      <c r="BW1576" s="25"/>
      <c r="BX1576" s="25"/>
      <c r="BY1576" s="25"/>
      <c r="BZ1576" s="25"/>
      <c r="CA1576" s="25"/>
      <c r="CB1576" s="25"/>
      <c r="CC1576" s="25"/>
      <c r="CD1576" s="25"/>
      <c r="CE1576" s="200"/>
      <c r="CF1576" s="200"/>
      <c r="CG1576" s="200"/>
      <c r="CH1576" s="200"/>
      <c r="CI1576" s="200"/>
      <c r="CJ1576" s="200"/>
      <c r="CK1576" s="200"/>
      <c r="CL1576" s="200"/>
      <c r="CM1576" s="200"/>
      <c r="CN1576" s="200"/>
      <c r="CO1576" s="200"/>
      <c r="CP1576" s="200"/>
      <c r="CQ1576" s="200"/>
      <c r="CR1576" s="200"/>
      <c r="CS1576" s="200"/>
      <c r="CT1576" s="200"/>
      <c r="CU1576" s="200"/>
    </row>
    <row r="1577" spans="1:99" s="17" customFormat="1" x14ac:dyDescent="0.2">
      <c r="A1577" s="25"/>
      <c r="B1577" s="20">
        <v>39113050301</v>
      </c>
      <c r="C1577" s="20">
        <v>503.01</v>
      </c>
      <c r="D1577" s="20" t="s">
        <v>62</v>
      </c>
      <c r="E1577" s="20" t="s">
        <v>2833</v>
      </c>
      <c r="F1577" s="20" t="s">
        <v>8</v>
      </c>
      <c r="G1577" s="861">
        <v>49.325358703669103</v>
      </c>
      <c r="H1577" s="861">
        <v>50.834360901930097</v>
      </c>
      <c r="I1577" s="861">
        <v>33.235383333265098</v>
      </c>
      <c r="J1577" s="861">
        <v>36.173799873430497</v>
      </c>
      <c r="K1577" s="982">
        <v>0</v>
      </c>
      <c r="L1577" s="735">
        <v>2968</v>
      </c>
      <c r="M1577" s="735">
        <v>3061</v>
      </c>
      <c r="N1577" s="845">
        <f t="shared" si="133"/>
        <v>3.1334231805929917E-2</v>
      </c>
      <c r="O1577" s="735">
        <v>3.4074801215979331</v>
      </c>
      <c r="P1577" s="735">
        <f t="shared" si="134"/>
        <v>898.31778638947662</v>
      </c>
      <c r="Q1577" s="849">
        <v>39.799999999999997</v>
      </c>
      <c r="R1577" s="71">
        <v>45550</v>
      </c>
      <c r="S1577" s="845">
        <v>0.13263639333551128</v>
      </c>
      <c r="T1577" s="845">
        <v>6.9000000000000006E-2</v>
      </c>
      <c r="U1577" s="845">
        <v>3.7000000000000005E-2</v>
      </c>
      <c r="V1577" s="845">
        <v>2.2000000000000002E-2</v>
      </c>
      <c r="W1577" s="845">
        <v>0.33109469442578909</v>
      </c>
      <c r="X1577" s="845">
        <v>0.33265720081135902</v>
      </c>
      <c r="Y1577" s="845">
        <v>0.8386148317543286</v>
      </c>
      <c r="Z1577" s="845">
        <v>3.8222803005553738E-2</v>
      </c>
      <c r="AA1577" s="845">
        <v>0</v>
      </c>
      <c r="AB1577" s="845">
        <v>1.1760862463247305E-2</v>
      </c>
      <c r="AC1577" s="845">
        <v>0</v>
      </c>
      <c r="AD1577" s="845">
        <v>9.800718719372754E-3</v>
      </c>
      <c r="AE1577" s="845">
        <v>0.10160078405749755</v>
      </c>
      <c r="AF1577" s="845">
        <v>3.4629206141783733E-2</v>
      </c>
      <c r="AG1577" s="845">
        <v>0.83534792551453774</v>
      </c>
      <c r="AH1577" s="20" t="str">
        <f t="shared" si="135"/>
        <v>No</v>
      </c>
      <c r="AI1577" s="25"/>
      <c r="AJ1577" s="37">
        <v>44618</v>
      </c>
      <c r="AK1577" s="37" t="s">
        <v>1390</v>
      </c>
      <c r="AL1577" s="37">
        <v>39169</v>
      </c>
      <c r="AM1577" s="37" t="s">
        <v>90</v>
      </c>
      <c r="AN1577" s="37" t="str">
        <f t="shared" si="136"/>
        <v>N/A</v>
      </c>
      <c r="AO1577" s="37" t="str">
        <f t="shared" si="137"/>
        <v>N/A</v>
      </c>
      <c r="AP1577" s="37" t="s">
        <v>8</v>
      </c>
      <c r="AQ1577" s="25"/>
      <c r="AR1577" s="25"/>
      <c r="AS1577" s="25"/>
      <c r="AT1577" s="25"/>
      <c r="AU1577" s="36"/>
      <c r="AV1577" s="36"/>
      <c r="AW1577" s="36"/>
      <c r="AX1577" s="25"/>
      <c r="AY1577" s="25"/>
      <c r="AZ1577" s="25"/>
      <c r="BA1577" s="25"/>
      <c r="BB1577" s="25"/>
      <c r="BC1577" s="25"/>
      <c r="BD1577" s="25"/>
      <c r="BE1577" s="25"/>
      <c r="BF1577" s="25"/>
      <c r="BG1577" s="25"/>
      <c r="BH1577" s="25"/>
      <c r="BI1577" s="25"/>
      <c r="BJ1577" s="25"/>
      <c r="BK1577" s="25"/>
      <c r="BL1577" s="25"/>
      <c r="BM1577" s="25"/>
      <c r="BN1577" s="25"/>
      <c r="BO1577" s="25"/>
      <c r="BP1577" s="25"/>
      <c r="BQ1577" s="25"/>
      <c r="BR1577" s="25"/>
      <c r="BS1577" s="25"/>
      <c r="BT1577" s="25"/>
      <c r="BU1577" s="25"/>
      <c r="BV1577" s="25"/>
      <c r="BW1577" s="25"/>
      <c r="BX1577" s="25"/>
      <c r="BY1577" s="25"/>
      <c r="BZ1577" s="25"/>
      <c r="CA1577" s="25"/>
      <c r="CB1577" s="25"/>
      <c r="CC1577" s="25"/>
      <c r="CD1577" s="25"/>
      <c r="CE1577" s="200"/>
      <c r="CF1577" s="200"/>
      <c r="CG1577" s="200"/>
      <c r="CH1577" s="200"/>
      <c r="CI1577" s="200"/>
      <c r="CJ1577" s="200"/>
      <c r="CK1577" s="200"/>
      <c r="CL1577" s="200"/>
      <c r="CM1577" s="200"/>
      <c r="CN1577" s="200"/>
      <c r="CO1577" s="200"/>
      <c r="CP1577" s="200"/>
      <c r="CQ1577" s="200"/>
      <c r="CR1577" s="200"/>
      <c r="CS1577" s="200"/>
      <c r="CT1577" s="200"/>
      <c r="CU1577" s="200"/>
    </row>
    <row r="1578" spans="1:99" s="17" customFormat="1" x14ac:dyDescent="0.2">
      <c r="A1578" s="25"/>
      <c r="B1578" s="20">
        <v>39025041503</v>
      </c>
      <c r="C1578" s="20">
        <v>415.03</v>
      </c>
      <c r="D1578" s="20" t="s">
        <v>19</v>
      </c>
      <c r="E1578" s="20" t="s">
        <v>2828</v>
      </c>
      <c r="F1578" s="20" t="s">
        <v>8</v>
      </c>
      <c r="G1578" s="861">
        <v>49.314316075911698</v>
      </c>
      <c r="H1578" s="861">
        <v>63.874661288868403</v>
      </c>
      <c r="I1578" s="861">
        <v>25.367350100101898</v>
      </c>
      <c r="J1578" s="861">
        <v>44.149426333554501</v>
      </c>
      <c r="K1578" s="982">
        <v>0</v>
      </c>
      <c r="L1578" s="735" t="s">
        <v>2466</v>
      </c>
      <c r="M1578" s="735">
        <v>5326</v>
      </c>
      <c r="N1578" s="845" t="str">
        <f t="shared" si="133"/>
        <v/>
      </c>
      <c r="O1578" s="735">
        <v>2.7687961084886989</v>
      </c>
      <c r="P1578" s="735">
        <f t="shared" si="134"/>
        <v>1923.5797044323022</v>
      </c>
      <c r="Q1578" s="849">
        <v>30.4</v>
      </c>
      <c r="R1578" s="71">
        <v>86443</v>
      </c>
      <c r="S1578" s="845">
        <v>0.10204081632653061</v>
      </c>
      <c r="T1578" s="845">
        <v>8.0000000000000002E-3</v>
      </c>
      <c r="U1578" s="845">
        <v>0</v>
      </c>
      <c r="V1578" s="845">
        <v>2.2000000000000002E-2</v>
      </c>
      <c r="W1578" s="845">
        <v>0.43020719738276991</v>
      </c>
      <c r="X1578" s="845">
        <v>0.23447401774397972</v>
      </c>
      <c r="Y1578" s="845">
        <v>0.93109275253473522</v>
      </c>
      <c r="Z1578" s="845">
        <v>3.1167855801727377E-2</v>
      </c>
      <c r="AA1578" s="845">
        <v>0</v>
      </c>
      <c r="AB1578" s="845">
        <v>0</v>
      </c>
      <c r="AC1578" s="845">
        <v>0</v>
      </c>
      <c r="AD1578" s="845">
        <v>0</v>
      </c>
      <c r="AE1578" s="845">
        <v>3.7739391663537361E-2</v>
      </c>
      <c r="AF1578" s="845">
        <v>3.7176117161096506E-2</v>
      </c>
      <c r="AG1578" s="845">
        <v>0.93109275253473522</v>
      </c>
      <c r="AH1578" s="20" t="str">
        <f t="shared" si="135"/>
        <v>Yes</v>
      </c>
      <c r="AI1578" s="25"/>
      <c r="AJ1578" s="37">
        <v>44624</v>
      </c>
      <c r="AK1578" s="37" t="s">
        <v>1395</v>
      </c>
      <c r="AL1578" s="37">
        <v>39169</v>
      </c>
      <c r="AM1578" s="37" t="s">
        <v>90</v>
      </c>
      <c r="AN1578" s="37" t="str">
        <f t="shared" si="136"/>
        <v>N/A</v>
      </c>
      <c r="AO1578" s="37" t="str">
        <f t="shared" si="137"/>
        <v>N/A</v>
      </c>
      <c r="AP1578" s="37" t="s">
        <v>8</v>
      </c>
      <c r="AQ1578" s="25"/>
      <c r="AR1578" s="25"/>
      <c r="AS1578" s="25"/>
      <c r="AT1578" s="25"/>
      <c r="AU1578" s="36"/>
      <c r="AV1578" s="36"/>
      <c r="AW1578" s="36"/>
      <c r="AX1578" s="25"/>
      <c r="AY1578" s="25"/>
      <c r="AZ1578" s="25"/>
      <c r="BA1578" s="25"/>
      <c r="BB1578" s="25"/>
      <c r="BC1578" s="25"/>
      <c r="BD1578" s="25"/>
      <c r="BE1578" s="25"/>
      <c r="BF1578" s="25"/>
      <c r="BG1578" s="25"/>
      <c r="BH1578" s="25"/>
      <c r="BI1578" s="25"/>
      <c r="BJ1578" s="25"/>
      <c r="BK1578" s="25"/>
      <c r="BL1578" s="25"/>
      <c r="BM1578" s="25"/>
      <c r="BN1578" s="25"/>
      <c r="BO1578" s="25"/>
      <c r="BP1578" s="25"/>
      <c r="BQ1578" s="25"/>
      <c r="BR1578" s="25"/>
      <c r="BS1578" s="25"/>
      <c r="BT1578" s="25"/>
      <c r="BU1578" s="25"/>
      <c r="BV1578" s="25"/>
      <c r="BW1578" s="25"/>
      <c r="BX1578" s="25"/>
      <c r="BY1578" s="25"/>
      <c r="BZ1578" s="25"/>
      <c r="CA1578" s="25"/>
      <c r="CB1578" s="25"/>
      <c r="CC1578" s="25"/>
      <c r="CD1578" s="25"/>
      <c r="CE1578" s="200"/>
      <c r="CF1578" s="200"/>
      <c r="CG1578" s="200"/>
      <c r="CH1578" s="200"/>
      <c r="CI1578" s="200"/>
      <c r="CJ1578" s="200"/>
      <c r="CK1578" s="200"/>
      <c r="CL1578" s="200"/>
      <c r="CM1578" s="200"/>
      <c r="CN1578" s="200"/>
      <c r="CO1578" s="200"/>
      <c r="CP1578" s="200"/>
      <c r="CQ1578" s="200"/>
      <c r="CR1578" s="200"/>
      <c r="CS1578" s="200"/>
      <c r="CT1578" s="200"/>
      <c r="CU1578" s="200"/>
    </row>
    <row r="1579" spans="1:99" s="17" customFormat="1" x14ac:dyDescent="0.2">
      <c r="A1579" s="25"/>
      <c r="B1579" s="20">
        <v>39035140301</v>
      </c>
      <c r="C1579" s="20">
        <v>1403.01</v>
      </c>
      <c r="D1579" s="20" t="s">
        <v>24</v>
      </c>
      <c r="E1579" s="20" t="s">
        <v>2829</v>
      </c>
      <c r="F1579" s="20" t="s">
        <v>6</v>
      </c>
      <c r="G1579" s="861">
        <v>49.311749360417998</v>
      </c>
      <c r="H1579" s="861">
        <v>41.019006640409103</v>
      </c>
      <c r="I1579" s="861">
        <v>52.979034444356003</v>
      </c>
      <c r="J1579" s="861">
        <v>51.595070545239501</v>
      </c>
      <c r="K1579" s="982">
        <v>0</v>
      </c>
      <c r="L1579" s="735">
        <v>2305</v>
      </c>
      <c r="M1579" s="735">
        <v>1906</v>
      </c>
      <c r="N1579" s="845">
        <f t="shared" si="133"/>
        <v>-0.17310195227765726</v>
      </c>
      <c r="O1579" s="735">
        <v>0.2791124782422264</v>
      </c>
      <c r="P1579" s="735">
        <f t="shared" si="134"/>
        <v>6828.788207547952</v>
      </c>
      <c r="Q1579" s="849">
        <v>45.5</v>
      </c>
      <c r="R1579" s="71">
        <v>53750</v>
      </c>
      <c r="S1579" s="845">
        <v>0.30692549842602307</v>
      </c>
      <c r="T1579" s="845">
        <v>0.127</v>
      </c>
      <c r="U1579" s="845">
        <v>0</v>
      </c>
      <c r="V1579" s="845">
        <v>0.154</v>
      </c>
      <c r="W1579" s="845">
        <v>0.29280397022332505</v>
      </c>
      <c r="X1579" s="845">
        <v>0.42796610169491528</v>
      </c>
      <c r="Y1579" s="845">
        <v>2.9905561385099685E-2</v>
      </c>
      <c r="Z1579" s="845">
        <v>0.95120671563483739</v>
      </c>
      <c r="AA1579" s="845">
        <v>0</v>
      </c>
      <c r="AB1579" s="845">
        <v>0</v>
      </c>
      <c r="AC1579" s="845">
        <v>0</v>
      </c>
      <c r="AD1579" s="845">
        <v>0</v>
      </c>
      <c r="AE1579" s="845">
        <v>1.888772298006296E-2</v>
      </c>
      <c r="AF1579" s="845">
        <v>0</v>
      </c>
      <c r="AG1579" s="845">
        <v>2.9905561385099685E-2</v>
      </c>
      <c r="AH1579" s="20" t="str">
        <f t="shared" si="135"/>
        <v>No</v>
      </c>
      <c r="AI1579" s="25"/>
      <c r="AJ1579" s="37">
        <v>44627</v>
      </c>
      <c r="AK1579" s="37" t="s">
        <v>1398</v>
      </c>
      <c r="AL1579" s="37">
        <v>39169</v>
      </c>
      <c r="AM1579" s="37" t="s">
        <v>90</v>
      </c>
      <c r="AN1579" s="37" t="str">
        <f t="shared" si="136"/>
        <v>N/A</v>
      </c>
      <c r="AO1579" s="37" t="str">
        <f t="shared" si="137"/>
        <v>N/A</v>
      </c>
      <c r="AP1579" s="37" t="s">
        <v>8</v>
      </c>
      <c r="AQ1579" s="25"/>
      <c r="AR1579" s="25"/>
      <c r="AS1579" s="25"/>
      <c r="AT1579" s="25"/>
      <c r="AU1579" s="36"/>
      <c r="AV1579" s="36"/>
      <c r="AW1579" s="36"/>
      <c r="AX1579" s="25"/>
      <c r="AY1579" s="25"/>
      <c r="AZ1579" s="25"/>
      <c r="BA1579" s="25"/>
      <c r="BB1579" s="25"/>
      <c r="BC1579" s="25"/>
      <c r="BD1579" s="25"/>
      <c r="BE1579" s="25"/>
      <c r="BF1579" s="25"/>
      <c r="BG1579" s="25"/>
      <c r="BH1579" s="25"/>
      <c r="BI1579" s="25"/>
      <c r="BJ1579" s="25"/>
      <c r="BK1579" s="25"/>
      <c r="BL1579" s="25"/>
      <c r="BM1579" s="25"/>
      <c r="BN1579" s="25"/>
      <c r="BO1579" s="25"/>
      <c r="BP1579" s="25"/>
      <c r="BQ1579" s="25"/>
      <c r="BR1579" s="25"/>
      <c r="BS1579" s="25"/>
      <c r="BT1579" s="25"/>
      <c r="BU1579" s="25"/>
      <c r="BV1579" s="25"/>
      <c r="BW1579" s="25"/>
      <c r="BX1579" s="25"/>
      <c r="BY1579" s="25"/>
      <c r="BZ1579" s="25"/>
      <c r="CA1579" s="25"/>
      <c r="CB1579" s="25"/>
      <c r="CC1579" s="25"/>
      <c r="CD1579" s="25"/>
      <c r="CE1579" s="200"/>
      <c r="CF1579" s="200"/>
      <c r="CG1579" s="200"/>
      <c r="CH1579" s="200"/>
      <c r="CI1579" s="200"/>
      <c r="CJ1579" s="200"/>
      <c r="CK1579" s="200"/>
      <c r="CL1579" s="200"/>
      <c r="CM1579" s="200"/>
      <c r="CN1579" s="200"/>
      <c r="CO1579" s="200"/>
      <c r="CP1579" s="200"/>
      <c r="CQ1579" s="200"/>
      <c r="CR1579" s="200"/>
      <c r="CS1579" s="200"/>
      <c r="CT1579" s="200"/>
      <c r="CU1579" s="200"/>
    </row>
    <row r="1580" spans="1:99" s="17" customFormat="1" x14ac:dyDescent="0.2">
      <c r="A1580" s="25"/>
      <c r="B1580" s="20">
        <v>39023003001</v>
      </c>
      <c r="C1580" s="20">
        <v>30.01</v>
      </c>
      <c r="D1580" s="20" t="s">
        <v>18</v>
      </c>
      <c r="E1580" s="20" t="s">
        <v>2838</v>
      </c>
      <c r="F1580" s="20" t="s">
        <v>8</v>
      </c>
      <c r="G1580" s="861">
        <v>49.304794403954602</v>
      </c>
      <c r="H1580" s="861">
        <v>44.6536405095123</v>
      </c>
      <c r="I1580" s="861">
        <v>25.166391546208299</v>
      </c>
      <c r="J1580" s="861">
        <v>42.515294746311298</v>
      </c>
      <c r="K1580" s="982">
        <v>0</v>
      </c>
      <c r="L1580" s="735">
        <v>3057</v>
      </c>
      <c r="M1580" s="735">
        <v>3237</v>
      </c>
      <c r="N1580" s="845">
        <f t="shared" si="133"/>
        <v>5.8881256133464184E-2</v>
      </c>
      <c r="O1580" s="735">
        <v>10.076721935221549</v>
      </c>
      <c r="P1580" s="735">
        <f t="shared" si="134"/>
        <v>321.23541969393744</v>
      </c>
      <c r="Q1580" s="849">
        <v>54.1</v>
      </c>
      <c r="R1580" s="71">
        <v>87344</v>
      </c>
      <c r="S1580" s="845">
        <v>4.0358744394618833E-2</v>
      </c>
      <c r="T1580" s="845">
        <v>4.9000000000000002E-2</v>
      </c>
      <c r="U1580" s="845">
        <v>2.4E-2</v>
      </c>
      <c r="V1580" s="845">
        <v>0</v>
      </c>
      <c r="W1580" s="845">
        <v>0.14842578710644677</v>
      </c>
      <c r="X1580" s="845">
        <v>0.51515151515151514</v>
      </c>
      <c r="Y1580" s="845">
        <v>0.9286376274328082</v>
      </c>
      <c r="Z1580" s="845">
        <v>9.2678405931417972E-3</v>
      </c>
      <c r="AA1580" s="845">
        <v>0</v>
      </c>
      <c r="AB1580" s="845">
        <v>1.6373185047883845E-2</v>
      </c>
      <c r="AC1580" s="845">
        <v>0</v>
      </c>
      <c r="AD1580" s="845">
        <v>2.2860673463083101E-2</v>
      </c>
      <c r="AE1580" s="845">
        <v>2.2860673463083101E-2</v>
      </c>
      <c r="AF1580" s="845">
        <v>2.4714241581711462E-2</v>
      </c>
      <c r="AG1580" s="845">
        <v>0.92153228297806611</v>
      </c>
      <c r="AH1580" s="20" t="str">
        <f t="shared" si="135"/>
        <v>Yes</v>
      </c>
      <c r="AI1580" s="25"/>
      <c r="AJ1580" s="37">
        <v>44638</v>
      </c>
      <c r="AK1580" s="37" t="s">
        <v>1406</v>
      </c>
      <c r="AL1580" s="37">
        <v>39169</v>
      </c>
      <c r="AM1580" s="37" t="s">
        <v>90</v>
      </c>
      <c r="AN1580" s="37" t="str">
        <f t="shared" si="136"/>
        <v>N/A</v>
      </c>
      <c r="AO1580" s="37" t="str">
        <f t="shared" si="137"/>
        <v>N/A</v>
      </c>
      <c r="AP1580" s="37" t="s">
        <v>8</v>
      </c>
      <c r="AQ1580" s="25"/>
      <c r="AR1580" s="25"/>
      <c r="AS1580" s="25"/>
      <c r="AT1580" s="25"/>
      <c r="AU1580" s="36"/>
      <c r="AV1580" s="36"/>
      <c r="AW1580" s="36"/>
      <c r="AX1580" s="25"/>
      <c r="AY1580" s="25"/>
      <c r="AZ1580" s="25"/>
      <c r="BA1580" s="25"/>
      <c r="BB1580" s="25"/>
      <c r="BC1580" s="25"/>
      <c r="BD1580" s="25"/>
      <c r="BE1580" s="25"/>
      <c r="BF1580" s="25"/>
      <c r="BG1580" s="25"/>
      <c r="BH1580" s="25"/>
      <c r="BI1580" s="25"/>
      <c r="BJ1580" s="25"/>
      <c r="BK1580" s="25"/>
      <c r="BL1580" s="25"/>
      <c r="BM1580" s="25"/>
      <c r="BN1580" s="25"/>
      <c r="BO1580" s="25"/>
      <c r="BP1580" s="25"/>
      <c r="BQ1580" s="25"/>
      <c r="BR1580" s="25"/>
      <c r="BS1580" s="25"/>
      <c r="BT1580" s="25"/>
      <c r="BU1580" s="25"/>
      <c r="BV1580" s="25"/>
      <c r="BW1580" s="25"/>
      <c r="BX1580" s="25"/>
      <c r="BY1580" s="25"/>
      <c r="BZ1580" s="25"/>
      <c r="CA1580" s="25"/>
      <c r="CB1580" s="25"/>
      <c r="CC1580" s="25"/>
      <c r="CD1580" s="25"/>
      <c r="CE1580" s="200"/>
      <c r="CF1580" s="200"/>
      <c r="CG1580" s="200"/>
      <c r="CH1580" s="200"/>
      <c r="CI1580" s="200"/>
      <c r="CJ1580" s="200"/>
      <c r="CK1580" s="200"/>
      <c r="CL1580" s="200"/>
      <c r="CM1580" s="200"/>
      <c r="CN1580" s="200"/>
      <c r="CO1580" s="200"/>
      <c r="CP1580" s="200"/>
      <c r="CQ1580" s="200"/>
      <c r="CR1580" s="200"/>
      <c r="CS1580" s="200"/>
      <c r="CT1580" s="200"/>
      <c r="CU1580" s="200"/>
    </row>
    <row r="1581" spans="1:99" s="17" customFormat="1" x14ac:dyDescent="0.2">
      <c r="A1581" s="25"/>
      <c r="B1581" s="20">
        <v>39049009326</v>
      </c>
      <c r="C1581" s="20">
        <v>93.26</v>
      </c>
      <c r="D1581" s="20" t="s">
        <v>31</v>
      </c>
      <c r="E1581" s="20" t="s">
        <v>2830</v>
      </c>
      <c r="F1581" s="20" t="s">
        <v>6</v>
      </c>
      <c r="G1581" s="861">
        <v>49.294127803402901</v>
      </c>
      <c r="H1581" s="861">
        <v>76.422030013005497</v>
      </c>
      <c r="I1581" s="861">
        <v>80.483746331476198</v>
      </c>
      <c r="J1581" s="861">
        <v>47.9820990037611</v>
      </c>
      <c r="K1581" s="982">
        <v>0</v>
      </c>
      <c r="L1581" s="735">
        <v>1567</v>
      </c>
      <c r="M1581" s="735">
        <v>2026</v>
      </c>
      <c r="N1581" s="845">
        <f t="shared" si="133"/>
        <v>0.2929164007657945</v>
      </c>
      <c r="O1581" s="735">
        <v>0.28354801984013744</v>
      </c>
      <c r="P1581" s="735">
        <f t="shared" si="134"/>
        <v>7145.1742147317618</v>
      </c>
      <c r="Q1581" s="849">
        <v>37.5</v>
      </c>
      <c r="R1581" s="71">
        <v>48177</v>
      </c>
      <c r="S1581" s="845">
        <v>0.1880552813425469</v>
      </c>
      <c r="T1581" s="845">
        <v>4.4999999999999998E-2</v>
      </c>
      <c r="U1581" s="845" t="s">
        <v>2466</v>
      </c>
      <c r="V1581" s="845">
        <v>3.4000000000000002E-2</v>
      </c>
      <c r="W1581" s="845">
        <v>1</v>
      </c>
      <c r="X1581" s="845">
        <v>0.40740740740740738</v>
      </c>
      <c r="Y1581" s="845">
        <v>0.1372161895360316</v>
      </c>
      <c r="Z1581" s="845">
        <v>0.72655478775913129</v>
      </c>
      <c r="AA1581" s="845">
        <v>4.4422507403751232E-3</v>
      </c>
      <c r="AB1581" s="845">
        <v>0</v>
      </c>
      <c r="AC1581" s="845">
        <v>0</v>
      </c>
      <c r="AD1581" s="845">
        <v>5.0345508390918066E-2</v>
      </c>
      <c r="AE1581" s="845">
        <v>8.1441263573543934E-2</v>
      </c>
      <c r="AF1581" s="845">
        <v>0.13079960513326752</v>
      </c>
      <c r="AG1581" s="845">
        <v>8.5883514313919052E-2</v>
      </c>
      <c r="AH1581" s="20" t="str">
        <f t="shared" si="135"/>
        <v>No</v>
      </c>
      <c r="AI1581" s="25"/>
      <c r="AJ1581" s="37">
        <v>44645</v>
      </c>
      <c r="AK1581" s="37" t="s">
        <v>1412</v>
      </c>
      <c r="AL1581" s="37">
        <v>39169</v>
      </c>
      <c r="AM1581" s="37" t="s">
        <v>90</v>
      </c>
      <c r="AN1581" s="37" t="str">
        <f t="shared" si="136"/>
        <v>N/A</v>
      </c>
      <c r="AO1581" s="37" t="str">
        <f t="shared" si="137"/>
        <v>N/A</v>
      </c>
      <c r="AP1581" s="37" t="s">
        <v>8</v>
      </c>
      <c r="AQ1581" s="25"/>
      <c r="AR1581" s="25"/>
      <c r="AS1581" s="25"/>
      <c r="AT1581" s="25"/>
      <c r="AU1581" s="36"/>
      <c r="AV1581" s="36"/>
      <c r="AW1581" s="36"/>
      <c r="AX1581" s="25"/>
      <c r="AY1581" s="25"/>
      <c r="AZ1581" s="25"/>
      <c r="BA1581" s="25"/>
      <c r="BB1581" s="25"/>
      <c r="BC1581" s="25"/>
      <c r="BD1581" s="25"/>
      <c r="BE1581" s="25"/>
      <c r="BF1581" s="25"/>
      <c r="BG1581" s="25"/>
      <c r="BH1581" s="25"/>
      <c r="BI1581" s="25"/>
      <c r="BJ1581" s="25"/>
      <c r="BK1581" s="25"/>
      <c r="BL1581" s="25"/>
      <c r="BM1581" s="25"/>
      <c r="BN1581" s="25"/>
      <c r="BO1581" s="25"/>
      <c r="BP1581" s="25"/>
      <c r="BQ1581" s="25"/>
      <c r="BR1581" s="25"/>
      <c r="BS1581" s="25"/>
      <c r="BT1581" s="25"/>
      <c r="BU1581" s="25"/>
      <c r="BV1581" s="25"/>
      <c r="BW1581" s="25"/>
      <c r="BX1581" s="25"/>
      <c r="BY1581" s="25"/>
      <c r="BZ1581" s="25"/>
      <c r="CA1581" s="25"/>
      <c r="CB1581" s="25"/>
      <c r="CC1581" s="25"/>
      <c r="CD1581" s="25"/>
      <c r="CE1581" s="200"/>
      <c r="CF1581" s="200"/>
      <c r="CG1581" s="200"/>
      <c r="CH1581" s="200"/>
      <c r="CI1581" s="200"/>
      <c r="CJ1581" s="200"/>
      <c r="CK1581" s="200"/>
      <c r="CL1581" s="200"/>
      <c r="CM1581" s="200"/>
      <c r="CN1581" s="200"/>
      <c r="CO1581" s="200"/>
      <c r="CP1581" s="200"/>
      <c r="CQ1581" s="200"/>
      <c r="CR1581" s="200"/>
      <c r="CS1581" s="200"/>
      <c r="CT1581" s="200"/>
      <c r="CU1581" s="200"/>
    </row>
    <row r="1582" spans="1:99" s="17" customFormat="1" x14ac:dyDescent="0.2">
      <c r="A1582" s="25"/>
      <c r="B1582" s="20">
        <v>39093080600</v>
      </c>
      <c r="C1582" s="20">
        <v>806</v>
      </c>
      <c r="D1582" s="20" t="s">
        <v>52</v>
      </c>
      <c r="E1582" s="20" t="s">
        <v>2829</v>
      </c>
      <c r="F1582" s="20" t="s">
        <v>8</v>
      </c>
      <c r="G1582" s="861">
        <v>49.289529295509901</v>
      </c>
      <c r="H1582" s="861">
        <v>54.321394257090702</v>
      </c>
      <c r="I1582" s="861">
        <v>29.8066989224079</v>
      </c>
      <c r="J1582" s="861">
        <v>42.679988864244002</v>
      </c>
      <c r="K1582" s="982">
        <v>1</v>
      </c>
      <c r="L1582" s="735">
        <v>5657</v>
      </c>
      <c r="M1582" s="735">
        <v>5699</v>
      </c>
      <c r="N1582" s="845">
        <f t="shared" si="133"/>
        <v>7.4244299098462085E-3</v>
      </c>
      <c r="O1582" s="735">
        <v>4.163573167909254</v>
      </c>
      <c r="P1582" s="735">
        <f t="shared" si="134"/>
        <v>1368.7762338188386</v>
      </c>
      <c r="Q1582" s="849">
        <v>36.799999999999997</v>
      </c>
      <c r="R1582" s="71">
        <v>78995</v>
      </c>
      <c r="S1582" s="845">
        <v>8.0211081794195255E-2</v>
      </c>
      <c r="T1582" s="845">
        <v>4.9000000000000002E-2</v>
      </c>
      <c r="U1582" s="845">
        <v>0</v>
      </c>
      <c r="V1582" s="845">
        <v>0</v>
      </c>
      <c r="W1582" s="845">
        <v>6.8882466281310215E-2</v>
      </c>
      <c r="X1582" s="845">
        <v>0.46153846153846156</v>
      </c>
      <c r="Y1582" s="845">
        <v>0.92296894191963508</v>
      </c>
      <c r="Z1582" s="845">
        <v>3.5269345499210389E-2</v>
      </c>
      <c r="AA1582" s="845">
        <v>0</v>
      </c>
      <c r="AB1582" s="845">
        <v>6.1414283207580278E-3</v>
      </c>
      <c r="AC1582" s="845">
        <v>2.1056325671170379E-3</v>
      </c>
      <c r="AD1582" s="845">
        <v>2.6671345850149148E-2</v>
      </c>
      <c r="AE1582" s="845">
        <v>6.8433058431303737E-3</v>
      </c>
      <c r="AF1582" s="845">
        <v>3.2286366029127919E-2</v>
      </c>
      <c r="AG1582" s="845">
        <v>0.91945955430777326</v>
      </c>
      <c r="AH1582" s="20" t="str">
        <f t="shared" si="135"/>
        <v>Yes</v>
      </c>
      <c r="AI1582" s="25"/>
      <c r="AJ1582" s="37">
        <v>44659</v>
      </c>
      <c r="AK1582" s="37" t="s">
        <v>1421</v>
      </c>
      <c r="AL1582" s="37">
        <v>39169</v>
      </c>
      <c r="AM1582" s="37" t="s">
        <v>90</v>
      </c>
      <c r="AN1582" s="37" t="str">
        <f t="shared" si="136"/>
        <v>N/A</v>
      </c>
      <c r="AO1582" s="37" t="str">
        <f t="shared" si="137"/>
        <v>N/A</v>
      </c>
      <c r="AP1582" s="37" t="s">
        <v>8</v>
      </c>
      <c r="AQ1582" s="25"/>
      <c r="AR1582" s="25"/>
      <c r="AS1582" s="25"/>
      <c r="AT1582" s="25"/>
      <c r="AU1582" s="36"/>
      <c r="AV1582" s="36"/>
      <c r="AW1582" s="36"/>
      <c r="AX1582" s="25"/>
      <c r="AY1582" s="25"/>
      <c r="AZ1582" s="25"/>
      <c r="BA1582" s="25"/>
      <c r="BB1582" s="25"/>
      <c r="BC1582" s="25"/>
      <c r="BD1582" s="25"/>
      <c r="BE1582" s="25"/>
      <c r="BF1582" s="25"/>
      <c r="BG1582" s="25"/>
      <c r="BH1582" s="25"/>
      <c r="BI1582" s="25"/>
      <c r="BJ1582" s="25"/>
      <c r="BK1582" s="25"/>
      <c r="BL1582" s="25"/>
      <c r="BM1582" s="25"/>
      <c r="BN1582" s="25"/>
      <c r="BO1582" s="25"/>
      <c r="BP1582" s="25"/>
      <c r="BQ1582" s="25"/>
      <c r="BR1582" s="25"/>
      <c r="BS1582" s="25"/>
      <c r="BT1582" s="25"/>
      <c r="BU1582" s="25"/>
      <c r="BV1582" s="25"/>
      <c r="BW1582" s="25"/>
      <c r="BX1582" s="25"/>
      <c r="BY1582" s="25"/>
      <c r="BZ1582" s="25"/>
      <c r="CA1582" s="25"/>
      <c r="CB1582" s="25"/>
      <c r="CC1582" s="25"/>
      <c r="CD1582" s="25"/>
      <c r="CE1582" s="200"/>
      <c r="CF1582" s="200"/>
      <c r="CG1582" s="200"/>
      <c r="CH1582" s="200"/>
      <c r="CI1582" s="200"/>
      <c r="CJ1582" s="200"/>
      <c r="CK1582" s="200"/>
      <c r="CL1582" s="200"/>
      <c r="CM1582" s="200"/>
      <c r="CN1582" s="200"/>
      <c r="CO1582" s="200"/>
      <c r="CP1582" s="200"/>
      <c r="CQ1582" s="200"/>
      <c r="CR1582" s="200"/>
      <c r="CS1582" s="200"/>
      <c r="CT1582" s="200"/>
      <c r="CU1582" s="200"/>
    </row>
    <row r="1583" spans="1:99" s="17" customFormat="1" x14ac:dyDescent="0.2">
      <c r="A1583" s="25"/>
      <c r="B1583" s="20">
        <v>39061026900</v>
      </c>
      <c r="C1583" s="20">
        <v>269</v>
      </c>
      <c r="D1583" s="20" t="s">
        <v>37</v>
      </c>
      <c r="E1583" s="20" t="s">
        <v>2828</v>
      </c>
      <c r="F1583" s="20" t="s">
        <v>6</v>
      </c>
      <c r="G1583" s="861">
        <v>49.285741906692202</v>
      </c>
      <c r="H1583" s="861">
        <v>53.667737838925198</v>
      </c>
      <c r="I1583" s="861">
        <v>91.1219740608976</v>
      </c>
      <c r="J1583" s="861">
        <v>77.600495837161205</v>
      </c>
      <c r="K1583" s="982">
        <v>0</v>
      </c>
      <c r="L1583" s="735">
        <v>1749</v>
      </c>
      <c r="M1583" s="735">
        <v>3206</v>
      </c>
      <c r="N1583" s="845">
        <f t="shared" si="133"/>
        <v>0.8330474556889651</v>
      </c>
      <c r="O1583" s="735">
        <v>0.37062062033945015</v>
      </c>
      <c r="P1583" s="735">
        <f t="shared" si="134"/>
        <v>8650.3551719913357</v>
      </c>
      <c r="Q1583" s="849">
        <v>29.6</v>
      </c>
      <c r="R1583" s="71">
        <v>18465</v>
      </c>
      <c r="S1583" s="845">
        <v>0.64806054872280039</v>
      </c>
      <c r="T1583" s="845">
        <v>0.14000000000000001</v>
      </c>
      <c r="U1583" s="845">
        <v>9.6999999999999989E-2</v>
      </c>
      <c r="V1583" s="845">
        <v>3.2000000000000001E-2</v>
      </c>
      <c r="W1583" s="845">
        <v>0.8680282796543598</v>
      </c>
      <c r="X1583" s="845">
        <v>0.56651583710407238</v>
      </c>
      <c r="Y1583" s="845">
        <v>0.21147847785402371</v>
      </c>
      <c r="Z1583" s="845">
        <v>0.70679975046787269</v>
      </c>
      <c r="AA1583" s="845">
        <v>3.1191515907673113E-4</v>
      </c>
      <c r="AB1583" s="845">
        <v>0</v>
      </c>
      <c r="AC1583" s="845">
        <v>0</v>
      </c>
      <c r="AD1583" s="845">
        <v>4.0548970679975043E-3</v>
      </c>
      <c r="AE1583" s="845">
        <v>7.7354959451029326E-2</v>
      </c>
      <c r="AF1583" s="845">
        <v>2.0898315658140987E-2</v>
      </c>
      <c r="AG1583" s="845">
        <v>0.21147847785402371</v>
      </c>
      <c r="AH1583" s="20" t="str">
        <f t="shared" si="135"/>
        <v>No</v>
      </c>
      <c r="AI1583" s="25"/>
      <c r="AJ1583" s="37">
        <v>44662</v>
      </c>
      <c r="AK1583" s="37" t="s">
        <v>1424</v>
      </c>
      <c r="AL1583" s="37">
        <v>39169</v>
      </c>
      <c r="AM1583" s="37" t="s">
        <v>90</v>
      </c>
      <c r="AN1583" s="37" t="str">
        <f t="shared" si="136"/>
        <v>N/A</v>
      </c>
      <c r="AO1583" s="37" t="str">
        <f t="shared" si="137"/>
        <v>N/A</v>
      </c>
      <c r="AP1583" s="37" t="s">
        <v>8</v>
      </c>
      <c r="AQ1583" s="25"/>
      <c r="AR1583" s="25"/>
      <c r="AS1583" s="25"/>
      <c r="AT1583" s="25"/>
      <c r="AU1583" s="36"/>
      <c r="AV1583" s="36"/>
      <c r="AW1583" s="36"/>
      <c r="AX1583" s="25"/>
      <c r="AY1583" s="25"/>
      <c r="AZ1583" s="25"/>
      <c r="BA1583" s="25"/>
      <c r="BB1583" s="25"/>
      <c r="BC1583" s="25"/>
      <c r="BD1583" s="25"/>
      <c r="BE1583" s="25"/>
      <c r="BF1583" s="25"/>
      <c r="BG1583" s="25"/>
      <c r="BH1583" s="25"/>
      <c r="BI1583" s="25"/>
      <c r="BJ1583" s="25"/>
      <c r="BK1583" s="25"/>
      <c r="BL1583" s="25"/>
      <c r="BM1583" s="25"/>
      <c r="BN1583" s="25"/>
      <c r="BO1583" s="25"/>
      <c r="BP1583" s="25"/>
      <c r="BQ1583" s="25"/>
      <c r="BR1583" s="25"/>
      <c r="BS1583" s="25"/>
      <c r="BT1583" s="25"/>
      <c r="BU1583" s="25"/>
      <c r="BV1583" s="25"/>
      <c r="BW1583" s="25"/>
      <c r="BX1583" s="25"/>
      <c r="BY1583" s="25"/>
      <c r="BZ1583" s="25"/>
      <c r="CA1583" s="25"/>
      <c r="CB1583" s="25"/>
      <c r="CC1583" s="25"/>
      <c r="CD1583" s="25"/>
      <c r="CE1583" s="200"/>
      <c r="CF1583" s="200"/>
      <c r="CG1583" s="200"/>
      <c r="CH1583" s="200"/>
      <c r="CI1583" s="200"/>
      <c r="CJ1583" s="200"/>
      <c r="CK1583" s="200"/>
      <c r="CL1583" s="200"/>
      <c r="CM1583" s="200"/>
      <c r="CN1583" s="200"/>
      <c r="CO1583" s="200"/>
      <c r="CP1583" s="200"/>
      <c r="CQ1583" s="200"/>
      <c r="CR1583" s="200"/>
      <c r="CS1583" s="200"/>
      <c r="CT1583" s="200"/>
      <c r="CU1583" s="200"/>
    </row>
    <row r="1584" spans="1:99" s="17" customFormat="1" x14ac:dyDescent="0.2">
      <c r="A1584" s="25"/>
      <c r="B1584" s="20">
        <v>39029951401</v>
      </c>
      <c r="C1584" s="20">
        <v>9514.01</v>
      </c>
      <c r="D1584" s="20" t="s">
        <v>21</v>
      </c>
      <c r="E1584" s="20" t="s">
        <v>265</v>
      </c>
      <c r="F1584" s="20" t="s">
        <v>8</v>
      </c>
      <c r="G1584" s="861">
        <v>49.245036875455099</v>
      </c>
      <c r="H1584" s="861">
        <v>61.695463300635701</v>
      </c>
      <c r="I1584" s="861">
        <v>11.5438242095505</v>
      </c>
      <c r="J1584" s="861">
        <v>58.732264705524798</v>
      </c>
      <c r="K1584" s="982">
        <v>0</v>
      </c>
      <c r="L1584" s="735" t="s">
        <v>2466</v>
      </c>
      <c r="M1584" s="735">
        <v>2512</v>
      </c>
      <c r="N1584" s="845" t="str">
        <f t="shared" si="133"/>
        <v/>
      </c>
      <c r="O1584" s="735">
        <v>20.302765791461493</v>
      </c>
      <c r="P1584" s="735">
        <f t="shared" si="134"/>
        <v>123.72698507197693</v>
      </c>
      <c r="Q1584" s="849">
        <v>37.9</v>
      </c>
      <c r="R1584" s="71">
        <v>103333</v>
      </c>
      <c r="S1584" s="845">
        <v>5.3072625698324022E-2</v>
      </c>
      <c r="T1584" s="845">
        <v>1.7000000000000001E-2</v>
      </c>
      <c r="U1584" s="845">
        <v>0</v>
      </c>
      <c r="V1584" s="845">
        <v>0</v>
      </c>
      <c r="W1584" s="845">
        <v>6.7873303167420809E-2</v>
      </c>
      <c r="X1584" s="845">
        <v>3.3333333333333333E-2</v>
      </c>
      <c r="Y1584" s="845">
        <v>0.95939490445859876</v>
      </c>
      <c r="Z1584" s="845">
        <v>7.9617834394904463E-4</v>
      </c>
      <c r="AA1584" s="845">
        <v>0</v>
      </c>
      <c r="AB1584" s="845">
        <v>2.8264331210191083E-2</v>
      </c>
      <c r="AC1584" s="845">
        <v>0</v>
      </c>
      <c r="AD1584" s="845">
        <v>3.9808917197452231E-4</v>
      </c>
      <c r="AE1584" s="845">
        <v>1.1146496815286623E-2</v>
      </c>
      <c r="AF1584" s="845">
        <v>8.3598726114649677E-2</v>
      </c>
      <c r="AG1584" s="845">
        <v>0.90485668789808915</v>
      </c>
      <c r="AH1584" s="20" t="str">
        <f t="shared" si="135"/>
        <v>Yes</v>
      </c>
      <c r="AI1584" s="25"/>
      <c r="AJ1584" s="37">
        <v>44666</v>
      </c>
      <c r="AK1584" s="37" t="s">
        <v>1427</v>
      </c>
      <c r="AL1584" s="37">
        <v>39169</v>
      </c>
      <c r="AM1584" s="37" t="s">
        <v>90</v>
      </c>
      <c r="AN1584" s="37" t="str">
        <f t="shared" si="136"/>
        <v>N/A</v>
      </c>
      <c r="AO1584" s="37" t="str">
        <f t="shared" si="137"/>
        <v>N/A</v>
      </c>
      <c r="AP1584" s="37" t="s">
        <v>8</v>
      </c>
      <c r="AQ1584" s="25"/>
      <c r="AR1584" s="25"/>
      <c r="AS1584" s="25"/>
      <c r="AT1584" s="25"/>
      <c r="AU1584" s="36"/>
      <c r="AV1584" s="36"/>
      <c r="AW1584" s="36"/>
      <c r="AX1584" s="25"/>
      <c r="AY1584" s="25"/>
      <c r="AZ1584" s="25"/>
      <c r="BA1584" s="25"/>
      <c r="BB1584" s="25"/>
      <c r="BC1584" s="25"/>
      <c r="BD1584" s="25"/>
      <c r="BE1584" s="25"/>
      <c r="BF1584" s="25"/>
      <c r="BG1584" s="25"/>
      <c r="BH1584" s="25"/>
      <c r="BI1584" s="25"/>
      <c r="BJ1584" s="25"/>
      <c r="BK1584" s="25"/>
      <c r="BL1584" s="25"/>
      <c r="BM1584" s="25"/>
      <c r="BN1584" s="25"/>
      <c r="BO1584" s="25"/>
      <c r="BP1584" s="25"/>
      <c r="BQ1584" s="25"/>
      <c r="BR1584" s="25"/>
      <c r="BS1584" s="25"/>
      <c r="BT1584" s="25"/>
      <c r="BU1584" s="25"/>
      <c r="BV1584" s="25"/>
      <c r="BW1584" s="25"/>
      <c r="BX1584" s="25"/>
      <c r="BY1584" s="25"/>
      <c r="BZ1584" s="25"/>
      <c r="CA1584" s="25"/>
      <c r="CB1584" s="25"/>
      <c r="CC1584" s="25"/>
      <c r="CD1584" s="25"/>
      <c r="CE1584" s="200"/>
      <c r="CF1584" s="200"/>
      <c r="CG1584" s="200"/>
      <c r="CH1584" s="200"/>
      <c r="CI1584" s="200"/>
      <c r="CJ1584" s="200"/>
      <c r="CK1584" s="200"/>
      <c r="CL1584" s="200"/>
      <c r="CM1584" s="200"/>
      <c r="CN1584" s="200"/>
      <c r="CO1584" s="200"/>
      <c r="CP1584" s="200"/>
      <c r="CQ1584" s="200"/>
      <c r="CR1584" s="200"/>
      <c r="CS1584" s="200"/>
      <c r="CT1584" s="200"/>
      <c r="CU1584" s="200"/>
    </row>
    <row r="1585" spans="1:99" s="17" customFormat="1" x14ac:dyDescent="0.2">
      <c r="A1585" s="25"/>
      <c r="B1585" s="20">
        <v>39051040701</v>
      </c>
      <c r="C1585" s="20">
        <v>407.01</v>
      </c>
      <c r="D1585" s="20" t="s">
        <v>32</v>
      </c>
      <c r="E1585" s="20" t="s">
        <v>2839</v>
      </c>
      <c r="F1585" s="20" t="s">
        <v>8</v>
      </c>
      <c r="G1585" s="861">
        <v>49.227066513077403</v>
      </c>
      <c r="H1585" s="861">
        <v>56.979780098020598</v>
      </c>
      <c r="I1585" s="861">
        <v>19.387940721009802</v>
      </c>
      <c r="J1585" s="861">
        <v>40.191136612949002</v>
      </c>
      <c r="K1585" s="982">
        <v>0</v>
      </c>
      <c r="L1585" s="735" t="s">
        <v>2466</v>
      </c>
      <c r="M1585" s="735">
        <v>2759</v>
      </c>
      <c r="N1585" s="845" t="str">
        <f t="shared" si="133"/>
        <v/>
      </c>
      <c r="O1585" s="735">
        <v>4.5370366584424202</v>
      </c>
      <c r="P1585" s="735">
        <f t="shared" si="134"/>
        <v>608.10617319260848</v>
      </c>
      <c r="Q1585" s="849">
        <v>37.1</v>
      </c>
      <c r="R1585" s="71">
        <v>79575</v>
      </c>
      <c r="S1585" s="845">
        <v>8.6033519553072632E-2</v>
      </c>
      <c r="T1585" s="845">
        <v>2.7999999999999997E-2</v>
      </c>
      <c r="U1585" s="845">
        <v>0</v>
      </c>
      <c r="V1585" s="845">
        <v>0</v>
      </c>
      <c r="W1585" s="845">
        <v>0.28490028490028491</v>
      </c>
      <c r="X1585" s="845">
        <v>0.17</v>
      </c>
      <c r="Y1585" s="845">
        <v>0.89633925335266396</v>
      </c>
      <c r="Z1585" s="845">
        <v>0</v>
      </c>
      <c r="AA1585" s="845">
        <v>0</v>
      </c>
      <c r="AB1585" s="845">
        <v>1.8122508155128669E-2</v>
      </c>
      <c r="AC1585" s="845">
        <v>0</v>
      </c>
      <c r="AD1585" s="845">
        <v>4.385646973541138E-2</v>
      </c>
      <c r="AE1585" s="845">
        <v>4.1681768756795939E-2</v>
      </c>
      <c r="AF1585" s="845">
        <v>0.13374411018484958</v>
      </c>
      <c r="AG1585" s="845">
        <v>0.85610728524827839</v>
      </c>
      <c r="AH1585" s="20" t="str">
        <f t="shared" si="135"/>
        <v>No</v>
      </c>
      <c r="AI1585" s="25"/>
      <c r="AJ1585" s="37">
        <v>44667</v>
      </c>
      <c r="AK1585" s="37" t="s">
        <v>1428</v>
      </c>
      <c r="AL1585" s="37">
        <v>39169</v>
      </c>
      <c r="AM1585" s="37" t="s">
        <v>90</v>
      </c>
      <c r="AN1585" s="37" t="str">
        <f t="shared" si="136"/>
        <v>N/A</v>
      </c>
      <c r="AO1585" s="37" t="str">
        <f t="shared" si="137"/>
        <v>N/A</v>
      </c>
      <c r="AP1585" s="37" t="s">
        <v>8</v>
      </c>
      <c r="AQ1585" s="25"/>
      <c r="AR1585" s="25"/>
      <c r="AS1585" s="25"/>
      <c r="AT1585" s="25"/>
      <c r="AU1585" s="36"/>
      <c r="AV1585" s="36"/>
      <c r="AW1585" s="36"/>
      <c r="AX1585" s="25"/>
      <c r="AY1585" s="25"/>
      <c r="AZ1585" s="25"/>
      <c r="BA1585" s="25"/>
      <c r="BB1585" s="25"/>
      <c r="BC1585" s="25"/>
      <c r="BD1585" s="25"/>
      <c r="BE1585" s="25"/>
      <c r="BF1585" s="25"/>
      <c r="BG1585" s="25"/>
      <c r="BH1585" s="25"/>
      <c r="BI1585" s="25"/>
      <c r="BJ1585" s="25"/>
      <c r="BK1585" s="25"/>
      <c r="BL1585" s="25"/>
      <c r="BM1585" s="25"/>
      <c r="BN1585" s="25"/>
      <c r="BO1585" s="25"/>
      <c r="BP1585" s="25"/>
      <c r="BQ1585" s="25"/>
      <c r="BR1585" s="25"/>
      <c r="BS1585" s="25"/>
      <c r="BT1585" s="25"/>
      <c r="BU1585" s="25"/>
      <c r="BV1585" s="25"/>
      <c r="BW1585" s="25"/>
      <c r="BX1585" s="25"/>
      <c r="BY1585" s="25"/>
      <c r="BZ1585" s="25"/>
      <c r="CA1585" s="25"/>
      <c r="CB1585" s="25"/>
      <c r="CC1585" s="25"/>
      <c r="CD1585" s="25"/>
      <c r="CE1585" s="200"/>
      <c r="CF1585" s="200"/>
      <c r="CG1585" s="200"/>
      <c r="CH1585" s="200"/>
      <c r="CI1585" s="200"/>
      <c r="CJ1585" s="200"/>
      <c r="CK1585" s="200"/>
      <c r="CL1585" s="200"/>
      <c r="CM1585" s="200"/>
      <c r="CN1585" s="200"/>
      <c r="CO1585" s="200"/>
      <c r="CP1585" s="200"/>
      <c r="CQ1585" s="200"/>
      <c r="CR1585" s="200"/>
      <c r="CS1585" s="200"/>
      <c r="CT1585" s="200"/>
      <c r="CU1585" s="200"/>
    </row>
    <row r="1586" spans="1:99" s="17" customFormat="1" x14ac:dyDescent="0.2">
      <c r="A1586" s="25"/>
      <c r="B1586" s="20">
        <v>39093070101</v>
      </c>
      <c r="C1586" s="20">
        <v>701.01</v>
      </c>
      <c r="D1586" s="20" t="s">
        <v>52</v>
      </c>
      <c r="E1586" s="20" t="s">
        <v>2829</v>
      </c>
      <c r="F1586" s="20" t="s">
        <v>8</v>
      </c>
      <c r="G1586" s="861">
        <v>49.224188840868898</v>
      </c>
      <c r="H1586" s="861">
        <v>47.252421128632697</v>
      </c>
      <c r="I1586" s="861">
        <v>17.360045042408402</v>
      </c>
      <c r="J1586" s="861">
        <v>35.173176989787102</v>
      </c>
      <c r="K1586" s="982">
        <v>0</v>
      </c>
      <c r="L1586" s="735">
        <v>3464</v>
      </c>
      <c r="M1586" s="735">
        <v>3714</v>
      </c>
      <c r="N1586" s="845">
        <f t="shared" si="133"/>
        <v>7.2170900692840642E-2</v>
      </c>
      <c r="O1586" s="735">
        <v>1.8394733093967757</v>
      </c>
      <c r="P1586" s="735">
        <f t="shared" si="134"/>
        <v>2019.0562053971546</v>
      </c>
      <c r="Q1586" s="849">
        <v>56.4</v>
      </c>
      <c r="R1586" s="71">
        <v>75072</v>
      </c>
      <c r="S1586" s="845">
        <v>5.9235325794291867E-2</v>
      </c>
      <c r="T1586" s="845">
        <v>2.3E-2</v>
      </c>
      <c r="U1586" s="845">
        <v>2.7999999999999997E-2</v>
      </c>
      <c r="V1586" s="845">
        <v>0</v>
      </c>
      <c r="W1586" s="845">
        <v>6.8901303538175043E-2</v>
      </c>
      <c r="X1586" s="845">
        <v>0</v>
      </c>
      <c r="Y1586" s="845">
        <v>0.84329563812600972</v>
      </c>
      <c r="Z1586" s="845">
        <v>4.9003769520732363E-2</v>
      </c>
      <c r="AA1586" s="845">
        <v>0</v>
      </c>
      <c r="AB1586" s="845">
        <v>2.2617124394184167E-2</v>
      </c>
      <c r="AC1586" s="845">
        <v>0</v>
      </c>
      <c r="AD1586" s="845">
        <v>8.8852988691437811E-3</v>
      </c>
      <c r="AE1586" s="845">
        <v>7.619816908992999E-2</v>
      </c>
      <c r="AF1586" s="845">
        <v>6.0312331717824449E-2</v>
      </c>
      <c r="AG1586" s="845">
        <v>0.83306408185245018</v>
      </c>
      <c r="AH1586" s="20" t="str">
        <f t="shared" si="135"/>
        <v>No</v>
      </c>
      <c r="AI1586" s="25"/>
      <c r="AJ1586" s="37">
        <v>44676</v>
      </c>
      <c r="AK1586" s="37" t="s">
        <v>1434</v>
      </c>
      <c r="AL1586" s="37">
        <v>39169</v>
      </c>
      <c r="AM1586" s="37" t="s">
        <v>90</v>
      </c>
      <c r="AN1586" s="37" t="str">
        <f t="shared" si="136"/>
        <v>N/A</v>
      </c>
      <c r="AO1586" s="37" t="str">
        <f t="shared" si="137"/>
        <v>N/A</v>
      </c>
      <c r="AP1586" s="37" t="s">
        <v>8</v>
      </c>
      <c r="AQ1586" s="25"/>
      <c r="AR1586" s="25"/>
      <c r="AS1586" s="25"/>
      <c r="AT1586" s="25"/>
      <c r="AU1586" s="36"/>
      <c r="AV1586" s="36"/>
      <c r="AW1586" s="36"/>
      <c r="AX1586" s="25"/>
      <c r="AY1586" s="25"/>
      <c r="AZ1586" s="25"/>
      <c r="BA1586" s="25"/>
      <c r="BB1586" s="25"/>
      <c r="BC1586" s="25"/>
      <c r="BD1586" s="25"/>
      <c r="BE1586" s="25"/>
      <c r="BF1586" s="25"/>
      <c r="BG1586" s="25"/>
      <c r="BH1586" s="25"/>
      <c r="BI1586" s="25"/>
      <c r="BJ1586" s="25"/>
      <c r="BK1586" s="25"/>
      <c r="BL1586" s="25"/>
      <c r="BM1586" s="25"/>
      <c r="BN1586" s="25"/>
      <c r="BO1586" s="25"/>
      <c r="BP1586" s="25"/>
      <c r="BQ1586" s="25"/>
      <c r="BR1586" s="25"/>
      <c r="BS1586" s="25"/>
      <c r="BT1586" s="25"/>
      <c r="BU1586" s="25"/>
      <c r="BV1586" s="25"/>
      <c r="BW1586" s="25"/>
      <c r="BX1586" s="25"/>
      <c r="BY1586" s="25"/>
      <c r="BZ1586" s="25"/>
      <c r="CA1586" s="25"/>
      <c r="CB1586" s="25"/>
      <c r="CC1586" s="25"/>
      <c r="CD1586" s="25"/>
      <c r="CE1586" s="200"/>
      <c r="CF1586" s="200"/>
      <c r="CG1586" s="200"/>
      <c r="CH1586" s="200"/>
      <c r="CI1586" s="200"/>
      <c r="CJ1586" s="200"/>
      <c r="CK1586" s="200"/>
      <c r="CL1586" s="200"/>
      <c r="CM1586" s="200"/>
      <c r="CN1586" s="200"/>
      <c r="CO1586" s="200"/>
      <c r="CP1586" s="200"/>
      <c r="CQ1586" s="200"/>
      <c r="CR1586" s="200"/>
      <c r="CS1586" s="200"/>
      <c r="CT1586" s="200"/>
      <c r="CU1586" s="200"/>
    </row>
    <row r="1587" spans="1:99" s="17" customFormat="1" x14ac:dyDescent="0.2">
      <c r="A1587" s="25"/>
      <c r="B1587" s="20">
        <v>39061010400</v>
      </c>
      <c r="C1587" s="20">
        <v>104</v>
      </c>
      <c r="D1587" s="20" t="s">
        <v>37</v>
      </c>
      <c r="E1587" s="20" t="s">
        <v>2828</v>
      </c>
      <c r="F1587" s="20" t="s">
        <v>8</v>
      </c>
      <c r="G1587" s="861">
        <v>49.198634220215801</v>
      </c>
      <c r="H1587" s="861">
        <v>55.752526957444601</v>
      </c>
      <c r="I1587" s="861">
        <v>38.608547620286799</v>
      </c>
      <c r="J1587" s="861">
        <v>60.707213542347397</v>
      </c>
      <c r="K1587" s="982">
        <v>0</v>
      </c>
      <c r="L1587" s="735">
        <v>1099</v>
      </c>
      <c r="M1587" s="735">
        <v>1162</v>
      </c>
      <c r="N1587" s="845">
        <f t="shared" si="133"/>
        <v>5.7324840764331211E-2</v>
      </c>
      <c r="O1587" s="735">
        <v>1.5375012667529198</v>
      </c>
      <c r="P1587" s="735">
        <f t="shared" si="134"/>
        <v>755.77173503996619</v>
      </c>
      <c r="Q1587" s="849">
        <v>39.5</v>
      </c>
      <c r="R1587" s="71">
        <v>58894</v>
      </c>
      <c r="S1587" s="845">
        <v>7.9173838209982791E-2</v>
      </c>
      <c r="T1587" s="845">
        <v>0</v>
      </c>
      <c r="U1587" s="845">
        <v>0</v>
      </c>
      <c r="V1587" s="845">
        <v>0</v>
      </c>
      <c r="W1587" s="845">
        <v>0.66407766990291262</v>
      </c>
      <c r="X1587" s="845">
        <v>0.27192982456140352</v>
      </c>
      <c r="Y1587" s="845">
        <v>0.90705679862306365</v>
      </c>
      <c r="Z1587" s="845">
        <v>6.3683304647160072E-2</v>
      </c>
      <c r="AA1587" s="845">
        <v>0</v>
      </c>
      <c r="AB1587" s="845">
        <v>0</v>
      </c>
      <c r="AC1587" s="845">
        <v>0</v>
      </c>
      <c r="AD1587" s="845">
        <v>0</v>
      </c>
      <c r="AE1587" s="845">
        <v>2.9259896729776247E-2</v>
      </c>
      <c r="AF1587" s="845">
        <v>1.8072289156626505E-2</v>
      </c>
      <c r="AG1587" s="845">
        <v>0.90705679862306365</v>
      </c>
      <c r="AH1587" s="20" t="str">
        <f t="shared" si="135"/>
        <v>Yes</v>
      </c>
      <c r="AI1587" s="25"/>
      <c r="AJ1587" s="37">
        <v>44677</v>
      </c>
      <c r="AK1587" s="37" t="s">
        <v>1435</v>
      </c>
      <c r="AL1587" s="37">
        <v>39169</v>
      </c>
      <c r="AM1587" s="37" t="s">
        <v>90</v>
      </c>
      <c r="AN1587" s="37" t="str">
        <f t="shared" si="136"/>
        <v>N/A</v>
      </c>
      <c r="AO1587" s="37" t="str">
        <f t="shared" si="137"/>
        <v>N/A</v>
      </c>
      <c r="AP1587" s="37" t="s">
        <v>8</v>
      </c>
      <c r="AQ1587" s="25"/>
      <c r="AR1587" s="25"/>
      <c r="AS1587" s="25"/>
      <c r="AT1587" s="25"/>
      <c r="AU1587" s="36"/>
      <c r="AV1587" s="36"/>
      <c r="AW1587" s="36"/>
      <c r="AX1587" s="25"/>
      <c r="AY1587" s="25"/>
      <c r="AZ1587" s="25"/>
      <c r="BA1587" s="25"/>
      <c r="BB1587" s="25"/>
      <c r="BC1587" s="25"/>
      <c r="BD1587" s="25"/>
      <c r="BE1587" s="25"/>
      <c r="BF1587" s="25"/>
      <c r="BG1587" s="25"/>
      <c r="BH1587" s="25"/>
      <c r="BI1587" s="25"/>
      <c r="BJ1587" s="25"/>
      <c r="BK1587" s="25"/>
      <c r="BL1587" s="25"/>
      <c r="BM1587" s="25"/>
      <c r="BN1587" s="25"/>
      <c r="BO1587" s="25"/>
      <c r="BP1587" s="25"/>
      <c r="BQ1587" s="25"/>
      <c r="BR1587" s="25"/>
      <c r="BS1587" s="25"/>
      <c r="BT1587" s="25"/>
      <c r="BU1587" s="25"/>
      <c r="BV1587" s="25"/>
      <c r="BW1587" s="25"/>
      <c r="BX1587" s="25"/>
      <c r="BY1587" s="25"/>
      <c r="BZ1587" s="25"/>
      <c r="CA1587" s="25"/>
      <c r="CB1587" s="25"/>
      <c r="CC1587" s="25"/>
      <c r="CD1587" s="25"/>
      <c r="CE1587" s="200"/>
      <c r="CF1587" s="200"/>
      <c r="CG1587" s="200"/>
      <c r="CH1587" s="200"/>
      <c r="CI1587" s="200"/>
      <c r="CJ1587" s="200"/>
      <c r="CK1587" s="200"/>
      <c r="CL1587" s="200"/>
      <c r="CM1587" s="200"/>
      <c r="CN1587" s="200"/>
      <c r="CO1587" s="200"/>
      <c r="CP1587" s="200"/>
      <c r="CQ1587" s="200"/>
      <c r="CR1587" s="200"/>
      <c r="CS1587" s="200"/>
      <c r="CT1587" s="200"/>
      <c r="CU1587" s="200"/>
    </row>
    <row r="1588" spans="1:99" s="17" customFormat="1" x14ac:dyDescent="0.2">
      <c r="A1588" s="25"/>
      <c r="B1588" s="20">
        <v>39153520103</v>
      </c>
      <c r="C1588" s="20">
        <v>5201.03</v>
      </c>
      <c r="D1588" s="20" t="s">
        <v>82</v>
      </c>
      <c r="E1588" s="20" t="s">
        <v>2843</v>
      </c>
      <c r="F1588" s="20" t="s">
        <v>8</v>
      </c>
      <c r="G1588" s="861">
        <v>49.181027816463299</v>
      </c>
      <c r="H1588" s="861">
        <v>46.843036043255502</v>
      </c>
      <c r="I1588" s="861">
        <v>54.3823615405365</v>
      </c>
      <c r="J1588" s="861">
        <v>32.682602648986702</v>
      </c>
      <c r="K1588" s="982">
        <v>0</v>
      </c>
      <c r="L1588" s="735">
        <v>1891</v>
      </c>
      <c r="M1588" s="735">
        <v>2275</v>
      </c>
      <c r="N1588" s="845">
        <f t="shared" si="133"/>
        <v>0.20306716023268112</v>
      </c>
      <c r="O1588" s="735">
        <v>0.81620143036100656</v>
      </c>
      <c r="P1588" s="735">
        <f t="shared" si="134"/>
        <v>2787.3021479437566</v>
      </c>
      <c r="Q1588" s="849">
        <v>34.9</v>
      </c>
      <c r="R1588" s="71">
        <v>50443</v>
      </c>
      <c r="S1588" s="845">
        <v>0.17626373626373626</v>
      </c>
      <c r="T1588" s="845">
        <v>3.5000000000000003E-2</v>
      </c>
      <c r="U1588" s="845">
        <v>0</v>
      </c>
      <c r="V1588" s="845">
        <v>9.3000000000000013E-2</v>
      </c>
      <c r="W1588" s="845">
        <v>0.53027522935779814</v>
      </c>
      <c r="X1588" s="845">
        <v>0.66608996539792387</v>
      </c>
      <c r="Y1588" s="845">
        <v>0.64923076923076928</v>
      </c>
      <c r="Z1588" s="845">
        <v>0.20527472527472526</v>
      </c>
      <c r="AA1588" s="845">
        <v>0</v>
      </c>
      <c r="AB1588" s="845">
        <v>0.12835164835164836</v>
      </c>
      <c r="AC1588" s="845">
        <v>0</v>
      </c>
      <c r="AD1588" s="845">
        <v>0</v>
      </c>
      <c r="AE1588" s="845">
        <v>1.7142857142857144E-2</v>
      </c>
      <c r="AF1588" s="845">
        <v>0</v>
      </c>
      <c r="AG1588" s="845">
        <v>0.64923076923076928</v>
      </c>
      <c r="AH1588" s="20" t="str">
        <f t="shared" si="135"/>
        <v>No</v>
      </c>
      <c r="AI1588" s="25"/>
      <c r="AJ1588" s="37">
        <v>44691</v>
      </c>
      <c r="AK1588" s="37" t="s">
        <v>1446</v>
      </c>
      <c r="AL1588" s="37">
        <v>39169</v>
      </c>
      <c r="AM1588" s="37" t="s">
        <v>90</v>
      </c>
      <c r="AN1588" s="37" t="str">
        <f t="shared" si="136"/>
        <v>N/A</v>
      </c>
      <c r="AO1588" s="37" t="str">
        <f t="shared" si="137"/>
        <v>N/A</v>
      </c>
      <c r="AP1588" s="37" t="s">
        <v>8</v>
      </c>
      <c r="AQ1588" s="25"/>
      <c r="AR1588" s="25"/>
      <c r="AS1588" s="25"/>
      <c r="AT1588" s="25"/>
      <c r="AU1588" s="36"/>
      <c r="AV1588" s="36"/>
      <c r="AW1588" s="36"/>
      <c r="AX1588" s="25"/>
      <c r="AY1588" s="25"/>
      <c r="AZ1588" s="25"/>
      <c r="BA1588" s="25"/>
      <c r="BB1588" s="25"/>
      <c r="BC1588" s="25"/>
      <c r="BD1588" s="25"/>
      <c r="BE1588" s="25"/>
      <c r="BF1588" s="25"/>
      <c r="BG1588" s="25"/>
      <c r="BH1588" s="25"/>
      <c r="BI1588" s="25"/>
      <c r="BJ1588" s="25"/>
      <c r="BK1588" s="25"/>
      <c r="BL1588" s="25"/>
      <c r="BM1588" s="25"/>
      <c r="BN1588" s="25"/>
      <c r="BO1588" s="25"/>
      <c r="BP1588" s="25"/>
      <c r="BQ1588" s="25"/>
      <c r="BR1588" s="25"/>
      <c r="BS1588" s="25"/>
      <c r="BT1588" s="25"/>
      <c r="BU1588" s="25"/>
      <c r="BV1588" s="25"/>
      <c r="BW1588" s="25"/>
      <c r="BX1588" s="25"/>
      <c r="BY1588" s="25"/>
      <c r="BZ1588" s="25"/>
      <c r="CA1588" s="25"/>
      <c r="CB1588" s="25"/>
      <c r="CC1588" s="25"/>
      <c r="CD1588" s="25"/>
      <c r="CE1588" s="200"/>
      <c r="CF1588" s="200"/>
      <c r="CG1588" s="200"/>
      <c r="CH1588" s="200"/>
      <c r="CI1588" s="200"/>
      <c r="CJ1588" s="200"/>
      <c r="CK1588" s="200"/>
      <c r="CL1588" s="200"/>
      <c r="CM1588" s="200"/>
      <c r="CN1588" s="200"/>
      <c r="CO1588" s="200"/>
      <c r="CP1588" s="200"/>
      <c r="CQ1588" s="200"/>
      <c r="CR1588" s="200"/>
      <c r="CS1588" s="200"/>
      <c r="CT1588" s="200"/>
      <c r="CU1588" s="200"/>
    </row>
    <row r="1589" spans="1:99" s="17" customFormat="1" x14ac:dyDescent="0.2">
      <c r="A1589" s="25"/>
      <c r="B1589" s="20">
        <v>39061021508</v>
      </c>
      <c r="C1589" s="20">
        <v>215.08</v>
      </c>
      <c r="D1589" s="20" t="s">
        <v>37</v>
      </c>
      <c r="E1589" s="20" t="s">
        <v>2828</v>
      </c>
      <c r="F1589" s="20" t="s">
        <v>8</v>
      </c>
      <c r="G1589" s="861">
        <v>49.179048709189097</v>
      </c>
      <c r="H1589" s="861">
        <v>58.264628799087298</v>
      </c>
      <c r="I1589" s="861">
        <v>21.005045283836399</v>
      </c>
      <c r="J1589" s="861">
        <v>41.187248114758397</v>
      </c>
      <c r="K1589" s="982">
        <v>0</v>
      </c>
      <c r="L1589" s="735">
        <v>5342</v>
      </c>
      <c r="M1589" s="735">
        <v>6119</v>
      </c>
      <c r="N1589" s="845">
        <f t="shared" si="133"/>
        <v>0.14545114189442157</v>
      </c>
      <c r="O1589" s="735">
        <v>1.3870947847710391</v>
      </c>
      <c r="P1589" s="735">
        <f t="shared" si="134"/>
        <v>4411.3784199758438</v>
      </c>
      <c r="Q1589" s="849">
        <v>33.799999999999997</v>
      </c>
      <c r="R1589" s="71">
        <v>78750</v>
      </c>
      <c r="S1589" s="845">
        <v>0.157799374073464</v>
      </c>
      <c r="T1589" s="845">
        <v>5.4000000000000006E-2</v>
      </c>
      <c r="U1589" s="845">
        <v>0</v>
      </c>
      <c r="V1589" s="845">
        <v>0</v>
      </c>
      <c r="W1589" s="845">
        <v>5.8212996389891698E-2</v>
      </c>
      <c r="X1589" s="845">
        <v>0</v>
      </c>
      <c r="Y1589" s="845">
        <v>0.58277496322928579</v>
      </c>
      <c r="Z1589" s="845">
        <v>0.34253963065860432</v>
      </c>
      <c r="AA1589" s="845">
        <v>0</v>
      </c>
      <c r="AB1589" s="845">
        <v>0</v>
      </c>
      <c r="AC1589" s="845">
        <v>0</v>
      </c>
      <c r="AD1589" s="845">
        <v>0</v>
      </c>
      <c r="AE1589" s="845">
        <v>7.4685406112109817E-2</v>
      </c>
      <c r="AF1589" s="845">
        <v>6.0467396633436836E-3</v>
      </c>
      <c r="AG1589" s="845">
        <v>0.58277496322928579</v>
      </c>
      <c r="AH1589" s="20" t="str">
        <f t="shared" si="135"/>
        <v>No</v>
      </c>
      <c r="AI1589" s="25"/>
      <c r="AJ1589" s="37">
        <v>44840</v>
      </c>
      <c r="AK1589" s="37" t="s">
        <v>1489</v>
      </c>
      <c r="AL1589" s="37">
        <v>39169</v>
      </c>
      <c r="AM1589" s="37" t="s">
        <v>90</v>
      </c>
      <c r="AN1589" s="37" t="str">
        <f t="shared" si="136"/>
        <v>N/A</v>
      </c>
      <c r="AO1589" s="37" t="str">
        <f t="shared" si="137"/>
        <v>N/A</v>
      </c>
      <c r="AP1589" s="37" t="s">
        <v>8</v>
      </c>
      <c r="AQ1589" s="25"/>
      <c r="AR1589" s="25"/>
      <c r="AS1589" s="25"/>
      <c r="AT1589" s="25"/>
      <c r="AU1589" s="36"/>
      <c r="AV1589" s="36"/>
      <c r="AW1589" s="36"/>
      <c r="AX1589" s="25"/>
      <c r="AY1589" s="25"/>
      <c r="AZ1589" s="25"/>
      <c r="BA1589" s="25"/>
      <c r="BB1589" s="25"/>
      <c r="BC1589" s="25"/>
      <c r="BD1589" s="25"/>
      <c r="BE1589" s="25"/>
      <c r="BF1589" s="25"/>
      <c r="BG1589" s="25"/>
      <c r="BH1589" s="25"/>
      <c r="BI1589" s="25"/>
      <c r="BJ1589" s="25"/>
      <c r="BK1589" s="25"/>
      <c r="BL1589" s="25"/>
      <c r="BM1589" s="25"/>
      <c r="BN1589" s="25"/>
      <c r="BO1589" s="25"/>
      <c r="BP1589" s="25"/>
      <c r="BQ1589" s="25"/>
      <c r="BR1589" s="25"/>
      <c r="BS1589" s="25"/>
      <c r="BT1589" s="25"/>
      <c r="BU1589" s="25"/>
      <c r="BV1589" s="25"/>
      <c r="BW1589" s="25"/>
      <c r="BX1589" s="25"/>
      <c r="BY1589" s="25"/>
      <c r="BZ1589" s="25"/>
      <c r="CA1589" s="25"/>
      <c r="CB1589" s="25"/>
      <c r="CC1589" s="25"/>
      <c r="CD1589" s="25"/>
      <c r="CE1589" s="200"/>
      <c r="CF1589" s="200"/>
      <c r="CG1589" s="200"/>
      <c r="CH1589" s="200"/>
      <c r="CI1589" s="200"/>
      <c r="CJ1589" s="200"/>
      <c r="CK1589" s="200"/>
      <c r="CL1589" s="200"/>
      <c r="CM1589" s="200"/>
      <c r="CN1589" s="200"/>
      <c r="CO1589" s="200"/>
      <c r="CP1589" s="200"/>
      <c r="CQ1589" s="200"/>
      <c r="CR1589" s="200"/>
      <c r="CS1589" s="200"/>
      <c r="CT1589" s="200"/>
      <c r="CU1589" s="200"/>
    </row>
    <row r="1590" spans="1:99" s="17" customFormat="1" x14ac:dyDescent="0.2">
      <c r="A1590" s="25"/>
      <c r="B1590" s="20">
        <v>39049009390</v>
      </c>
      <c r="C1590" s="20">
        <v>93.9</v>
      </c>
      <c r="D1590" s="20" t="s">
        <v>31</v>
      </c>
      <c r="E1590" s="20" t="s">
        <v>2830</v>
      </c>
      <c r="F1590" s="20" t="s">
        <v>8</v>
      </c>
      <c r="G1590" s="861">
        <v>49.177319064078603</v>
      </c>
      <c r="H1590" s="861">
        <v>60.4507708554302</v>
      </c>
      <c r="I1590" s="861">
        <v>19.552961100455001</v>
      </c>
      <c r="J1590" s="861">
        <v>39.825981766379698</v>
      </c>
      <c r="K1590" s="982">
        <v>0</v>
      </c>
      <c r="L1590" s="735">
        <v>5750</v>
      </c>
      <c r="M1590" s="735">
        <v>7768</v>
      </c>
      <c r="N1590" s="845">
        <f t="shared" si="133"/>
        <v>0.35095652173913044</v>
      </c>
      <c r="O1590" s="735">
        <v>2.5199949663089383</v>
      </c>
      <c r="P1590" s="735">
        <f t="shared" si="134"/>
        <v>3082.5458399140643</v>
      </c>
      <c r="Q1590" s="849">
        <v>39.6</v>
      </c>
      <c r="R1590" s="71">
        <v>93678</v>
      </c>
      <c r="S1590" s="845">
        <v>5.025190543857383E-2</v>
      </c>
      <c r="T1590" s="845">
        <v>4.4000000000000004E-2</v>
      </c>
      <c r="U1590" s="845">
        <v>0</v>
      </c>
      <c r="V1590" s="845">
        <v>0</v>
      </c>
      <c r="W1590" s="845">
        <v>8.5547870404077173E-2</v>
      </c>
      <c r="X1590" s="845">
        <v>0</v>
      </c>
      <c r="Y1590" s="845">
        <v>0.44696189495365601</v>
      </c>
      <c r="Z1590" s="845">
        <v>0.1679969104016478</v>
      </c>
      <c r="AA1590" s="845">
        <v>0</v>
      </c>
      <c r="AB1590" s="845">
        <v>0.16864057672502575</v>
      </c>
      <c r="AC1590" s="845">
        <v>0</v>
      </c>
      <c r="AD1590" s="845">
        <v>9.4361483007209063E-2</v>
      </c>
      <c r="AE1590" s="845">
        <v>0.12203913491246138</v>
      </c>
      <c r="AF1590" s="845">
        <v>0.15679711637487126</v>
      </c>
      <c r="AG1590" s="845">
        <v>0.44696189495365601</v>
      </c>
      <c r="AH1590" s="20" t="str">
        <f t="shared" si="135"/>
        <v>No</v>
      </c>
      <c r="AI1590" s="25"/>
      <c r="AJ1590" s="37">
        <v>43501</v>
      </c>
      <c r="AK1590" s="37" t="s">
        <v>949</v>
      </c>
      <c r="AL1590" s="37">
        <v>39171</v>
      </c>
      <c r="AM1590" s="37" t="s">
        <v>91</v>
      </c>
      <c r="AN1590" s="37" t="str">
        <f t="shared" si="136"/>
        <v>N/A</v>
      </c>
      <c r="AO1590" s="37" t="str">
        <f t="shared" si="137"/>
        <v>N/A</v>
      </c>
      <c r="AP1590" s="37" t="s">
        <v>8</v>
      </c>
      <c r="AQ1590" s="25"/>
      <c r="AR1590" s="25"/>
      <c r="AS1590" s="25"/>
      <c r="AT1590" s="25"/>
      <c r="AU1590" s="36"/>
      <c r="AV1590" s="36"/>
      <c r="AW1590" s="36"/>
      <c r="AX1590" s="25"/>
      <c r="AY1590" s="25"/>
      <c r="AZ1590" s="25"/>
      <c r="BA1590" s="25"/>
      <c r="BB1590" s="25"/>
      <c r="BC1590" s="25"/>
      <c r="BD1590" s="25"/>
      <c r="BE1590" s="25"/>
      <c r="BF1590" s="25"/>
      <c r="BG1590" s="25"/>
      <c r="BH1590" s="25"/>
      <c r="BI1590" s="25"/>
      <c r="BJ1590" s="25"/>
      <c r="BK1590" s="25"/>
      <c r="BL1590" s="25"/>
      <c r="BM1590" s="25"/>
      <c r="BN1590" s="25"/>
      <c r="BO1590" s="25"/>
      <c r="BP1590" s="25"/>
      <c r="BQ1590" s="25"/>
      <c r="BR1590" s="25"/>
      <c r="BS1590" s="25"/>
      <c r="BT1590" s="25"/>
      <c r="BU1590" s="25"/>
      <c r="BV1590" s="25"/>
      <c r="BW1590" s="25"/>
      <c r="BX1590" s="25"/>
      <c r="BY1590" s="25"/>
      <c r="BZ1590" s="25"/>
      <c r="CA1590" s="25"/>
      <c r="CB1590" s="25"/>
      <c r="CC1590" s="25"/>
      <c r="CD1590" s="25"/>
      <c r="CE1590" s="200"/>
      <c r="CF1590" s="200"/>
      <c r="CG1590" s="200"/>
      <c r="CH1590" s="200"/>
      <c r="CI1590" s="200"/>
      <c r="CJ1590" s="200"/>
      <c r="CK1590" s="200"/>
      <c r="CL1590" s="200"/>
      <c r="CM1590" s="200"/>
      <c r="CN1590" s="200"/>
      <c r="CO1590" s="200"/>
      <c r="CP1590" s="200"/>
      <c r="CQ1590" s="200"/>
      <c r="CR1590" s="200"/>
      <c r="CS1590" s="200"/>
      <c r="CT1590" s="200"/>
      <c r="CU1590" s="200"/>
    </row>
    <row r="1591" spans="1:99" s="17" customFormat="1" x14ac:dyDescent="0.2">
      <c r="A1591" s="25"/>
      <c r="B1591" s="20">
        <v>39023002602</v>
      </c>
      <c r="C1591" s="20">
        <v>26.02</v>
      </c>
      <c r="D1591" s="20" t="s">
        <v>18</v>
      </c>
      <c r="E1591" s="20" t="s">
        <v>2838</v>
      </c>
      <c r="F1591" s="20" t="s">
        <v>8</v>
      </c>
      <c r="G1591" s="861">
        <v>49.158128760547498</v>
      </c>
      <c r="H1591" s="861">
        <v>49.785856895629998</v>
      </c>
      <c r="I1591" s="861">
        <v>22.552435943989899</v>
      </c>
      <c r="J1591" s="861">
        <v>43.201167827516798</v>
      </c>
      <c r="K1591" s="982">
        <v>0</v>
      </c>
      <c r="L1591" s="735">
        <v>4067</v>
      </c>
      <c r="M1591" s="735">
        <v>3872</v>
      </c>
      <c r="N1591" s="845">
        <f t="shared" si="133"/>
        <v>-4.7946889599213179E-2</v>
      </c>
      <c r="O1591" s="735">
        <v>25.366824946543868</v>
      </c>
      <c r="P1591" s="735">
        <f t="shared" si="134"/>
        <v>152.64030907137808</v>
      </c>
      <c r="Q1591" s="849">
        <v>47.2</v>
      </c>
      <c r="R1591" s="71">
        <v>90583</v>
      </c>
      <c r="S1591" s="845">
        <v>0.10072314049586777</v>
      </c>
      <c r="T1591" s="845">
        <v>7.5999999999999998E-2</v>
      </c>
      <c r="U1591" s="845">
        <v>0</v>
      </c>
      <c r="V1591" s="845">
        <v>0.03</v>
      </c>
      <c r="W1591" s="845">
        <v>0.12444444444444444</v>
      </c>
      <c r="X1591" s="845">
        <v>0.39285714285714285</v>
      </c>
      <c r="Y1591" s="845">
        <v>0.94912190082644632</v>
      </c>
      <c r="Z1591" s="845">
        <v>0</v>
      </c>
      <c r="AA1591" s="845">
        <v>0</v>
      </c>
      <c r="AB1591" s="845">
        <v>1.7820247933884297E-2</v>
      </c>
      <c r="AC1591" s="845">
        <v>0</v>
      </c>
      <c r="AD1591" s="845">
        <v>5.1652892561983473E-4</v>
      </c>
      <c r="AE1591" s="845">
        <v>3.2541322314049589E-2</v>
      </c>
      <c r="AF1591" s="845">
        <v>1.3429752066115703E-2</v>
      </c>
      <c r="AG1591" s="845">
        <v>0.94602272727272729</v>
      </c>
      <c r="AH1591" s="20" t="str">
        <f t="shared" si="135"/>
        <v>Yes</v>
      </c>
      <c r="AI1591" s="25"/>
      <c r="AJ1591" s="37">
        <v>43502</v>
      </c>
      <c r="AK1591" s="37" t="s">
        <v>950</v>
      </c>
      <c r="AL1591" s="37">
        <v>39171</v>
      </c>
      <c r="AM1591" s="37" t="s">
        <v>91</v>
      </c>
      <c r="AN1591" s="37" t="str">
        <f t="shared" si="136"/>
        <v>N/A</v>
      </c>
      <c r="AO1591" s="37" t="str">
        <f t="shared" si="137"/>
        <v>N/A</v>
      </c>
      <c r="AP1591" s="37" t="s">
        <v>8</v>
      </c>
      <c r="AQ1591" s="25"/>
      <c r="AR1591" s="25"/>
      <c r="AS1591" s="25"/>
      <c r="AT1591" s="25"/>
      <c r="AU1591" s="36"/>
      <c r="AV1591" s="36"/>
      <c r="AW1591" s="36"/>
      <c r="AX1591" s="25"/>
      <c r="AY1591" s="25"/>
      <c r="AZ1591" s="25"/>
      <c r="BA1591" s="25"/>
      <c r="BB1591" s="25"/>
      <c r="BC1591" s="25"/>
      <c r="BD1591" s="25"/>
      <c r="BE1591" s="25"/>
      <c r="BF1591" s="25"/>
      <c r="BG1591" s="25"/>
      <c r="BH1591" s="25"/>
      <c r="BI1591" s="25"/>
      <c r="BJ1591" s="25"/>
      <c r="BK1591" s="25"/>
      <c r="BL1591" s="25"/>
      <c r="BM1591" s="25"/>
      <c r="BN1591" s="25"/>
      <c r="BO1591" s="25"/>
      <c r="BP1591" s="25"/>
      <c r="BQ1591" s="25"/>
      <c r="BR1591" s="25"/>
      <c r="BS1591" s="25"/>
      <c r="BT1591" s="25"/>
      <c r="BU1591" s="25"/>
      <c r="BV1591" s="25"/>
      <c r="BW1591" s="25"/>
      <c r="BX1591" s="25"/>
      <c r="BY1591" s="25"/>
      <c r="BZ1591" s="25"/>
      <c r="CA1591" s="25"/>
      <c r="CB1591" s="25"/>
      <c r="CC1591" s="25"/>
      <c r="CD1591" s="25"/>
      <c r="CE1591" s="200"/>
      <c r="CF1591" s="200"/>
      <c r="CG1591" s="200"/>
      <c r="CH1591" s="200"/>
      <c r="CI1591" s="200"/>
      <c r="CJ1591" s="200"/>
      <c r="CK1591" s="200"/>
      <c r="CL1591" s="200"/>
      <c r="CM1591" s="200"/>
      <c r="CN1591" s="200"/>
      <c r="CO1591" s="200"/>
      <c r="CP1591" s="200"/>
      <c r="CQ1591" s="200"/>
      <c r="CR1591" s="200"/>
      <c r="CS1591" s="200"/>
      <c r="CT1591" s="200"/>
      <c r="CU1591" s="200"/>
    </row>
    <row r="1592" spans="1:99" s="17" customFormat="1" x14ac:dyDescent="0.2">
      <c r="A1592" s="25"/>
      <c r="B1592" s="20">
        <v>39061023800</v>
      </c>
      <c r="C1592" s="20">
        <v>238</v>
      </c>
      <c r="D1592" s="20" t="s">
        <v>37</v>
      </c>
      <c r="E1592" s="20" t="s">
        <v>2828</v>
      </c>
      <c r="F1592" s="20" t="s">
        <v>6</v>
      </c>
      <c r="G1592" s="861">
        <v>49.1450997660396</v>
      </c>
      <c r="H1592" s="861">
        <v>51.148445229925798</v>
      </c>
      <c r="I1592" s="861">
        <v>36.253733036364601</v>
      </c>
      <c r="J1592" s="861">
        <v>54.261395794103699</v>
      </c>
      <c r="K1592" s="982">
        <v>0</v>
      </c>
      <c r="L1592" s="735">
        <v>5200</v>
      </c>
      <c r="M1592" s="735">
        <v>5135</v>
      </c>
      <c r="N1592" s="845">
        <f t="shared" si="133"/>
        <v>-1.2500000000000001E-2</v>
      </c>
      <c r="O1592" s="735">
        <v>1.1439496531125002</v>
      </c>
      <c r="P1592" s="735">
        <f t="shared" si="134"/>
        <v>4488.833915049061</v>
      </c>
      <c r="Q1592" s="849">
        <v>36.9</v>
      </c>
      <c r="R1592" s="71">
        <v>49198</v>
      </c>
      <c r="S1592" s="845">
        <v>0.16564173775044633</v>
      </c>
      <c r="T1592" s="845">
        <v>2.8999999999999998E-2</v>
      </c>
      <c r="U1592" s="845">
        <v>3.7999999999999999E-2</v>
      </c>
      <c r="V1592" s="845">
        <v>0</v>
      </c>
      <c r="W1592" s="845">
        <v>0.53775469436675993</v>
      </c>
      <c r="X1592" s="845">
        <v>0.37592867756315007</v>
      </c>
      <c r="Y1592" s="845">
        <v>0.50243427458617329</v>
      </c>
      <c r="Z1592" s="845">
        <v>0.35968841285296982</v>
      </c>
      <c r="AA1592" s="845">
        <v>4.089581304771178E-3</v>
      </c>
      <c r="AB1592" s="845">
        <v>2.1032132424537487E-2</v>
      </c>
      <c r="AC1592" s="845">
        <v>0</v>
      </c>
      <c r="AD1592" s="845">
        <v>1.2268743914313535E-2</v>
      </c>
      <c r="AE1592" s="845">
        <v>0.10048685491723466</v>
      </c>
      <c r="AF1592" s="845">
        <v>4.8296007789678679E-2</v>
      </c>
      <c r="AG1592" s="845">
        <v>0.46290165530671862</v>
      </c>
      <c r="AH1592" s="20" t="str">
        <f t="shared" si="135"/>
        <v>No</v>
      </c>
      <c r="AI1592" s="25"/>
      <c r="AJ1592" s="37">
        <v>43505</v>
      </c>
      <c r="AK1592" s="37" t="s">
        <v>952</v>
      </c>
      <c r="AL1592" s="37">
        <v>39171</v>
      </c>
      <c r="AM1592" s="37" t="s">
        <v>91</v>
      </c>
      <c r="AN1592" s="37" t="str">
        <f t="shared" si="136"/>
        <v>N/A</v>
      </c>
      <c r="AO1592" s="37" t="str">
        <f t="shared" si="137"/>
        <v>N/A</v>
      </c>
      <c r="AP1592" s="37" t="s">
        <v>8</v>
      </c>
      <c r="AQ1592" s="25"/>
      <c r="AR1592" s="25"/>
      <c r="AS1592" s="25"/>
      <c r="AT1592" s="25"/>
      <c r="AU1592" s="36"/>
      <c r="AV1592" s="36"/>
      <c r="AW1592" s="36"/>
      <c r="AX1592" s="25"/>
      <c r="AY1592" s="25"/>
      <c r="AZ1592" s="25"/>
      <c r="BA1592" s="25"/>
      <c r="BB1592" s="25"/>
      <c r="BC1592" s="25"/>
      <c r="BD1592" s="25"/>
      <c r="BE1592" s="25"/>
      <c r="BF1592" s="25"/>
      <c r="BG1592" s="25"/>
      <c r="BH1592" s="25"/>
      <c r="BI1592" s="25"/>
      <c r="BJ1592" s="25"/>
      <c r="BK1592" s="25"/>
      <c r="BL1592" s="25"/>
      <c r="BM1592" s="25"/>
      <c r="BN1592" s="25"/>
      <c r="BO1592" s="25"/>
      <c r="BP1592" s="25"/>
      <c r="BQ1592" s="25"/>
      <c r="BR1592" s="25"/>
      <c r="BS1592" s="25"/>
      <c r="BT1592" s="25"/>
      <c r="BU1592" s="25"/>
      <c r="BV1592" s="25"/>
      <c r="BW1592" s="25"/>
      <c r="BX1592" s="25"/>
      <c r="BY1592" s="25"/>
      <c r="BZ1592" s="25"/>
      <c r="CA1592" s="25"/>
      <c r="CB1592" s="25"/>
      <c r="CC1592" s="25"/>
      <c r="CD1592" s="25"/>
      <c r="CE1592" s="200"/>
      <c r="CF1592" s="200"/>
      <c r="CG1592" s="200"/>
      <c r="CH1592" s="200"/>
      <c r="CI1592" s="200"/>
      <c r="CJ1592" s="200"/>
      <c r="CK1592" s="200"/>
      <c r="CL1592" s="200"/>
      <c r="CM1592" s="200"/>
      <c r="CN1592" s="200"/>
      <c r="CO1592" s="200"/>
      <c r="CP1592" s="200"/>
      <c r="CQ1592" s="200"/>
      <c r="CR1592" s="200"/>
      <c r="CS1592" s="200"/>
      <c r="CT1592" s="200"/>
      <c r="CU1592" s="200"/>
    </row>
    <row r="1593" spans="1:99" s="17" customFormat="1" x14ac:dyDescent="0.2">
      <c r="A1593" s="25"/>
      <c r="B1593" s="20">
        <v>39125960300</v>
      </c>
      <c r="C1593" s="20">
        <v>9603</v>
      </c>
      <c r="D1593" s="20" t="s">
        <v>68</v>
      </c>
      <c r="E1593" s="20" t="s">
        <v>265</v>
      </c>
      <c r="F1593" s="20" t="s">
        <v>8</v>
      </c>
      <c r="G1593" s="861">
        <v>49.131844152047599</v>
      </c>
      <c r="H1593" s="861">
        <v>51.386257462115402</v>
      </c>
      <c r="I1593" s="861">
        <v>19.9710265856809</v>
      </c>
      <c r="J1593" s="861">
        <v>45.8680778600474</v>
      </c>
      <c r="K1593" s="982">
        <v>0</v>
      </c>
      <c r="L1593" s="735">
        <v>4061</v>
      </c>
      <c r="M1593" s="735">
        <v>4007</v>
      </c>
      <c r="N1593" s="845">
        <f t="shared" si="133"/>
        <v>-1.3297217434129524E-2</v>
      </c>
      <c r="O1593" s="735">
        <v>134.84941288012323</v>
      </c>
      <c r="P1593" s="735">
        <f t="shared" si="134"/>
        <v>29.714626963649398</v>
      </c>
      <c r="Q1593" s="849">
        <v>40.4</v>
      </c>
      <c r="R1593" s="71">
        <v>78125</v>
      </c>
      <c r="S1593" s="845">
        <v>0.10150089035868735</v>
      </c>
      <c r="T1593" s="845">
        <v>3.3000000000000002E-2</v>
      </c>
      <c r="U1593" s="845">
        <v>0.03</v>
      </c>
      <c r="V1593" s="845">
        <v>6.0999999999999999E-2</v>
      </c>
      <c r="W1593" s="845">
        <v>0.20376597175521183</v>
      </c>
      <c r="X1593" s="845">
        <v>0.28712871287128711</v>
      </c>
      <c r="Y1593" s="845">
        <v>0.94484651859246316</v>
      </c>
      <c r="Z1593" s="845">
        <v>6.4886448714749191E-3</v>
      </c>
      <c r="AA1593" s="845">
        <v>1.7469428500124782E-3</v>
      </c>
      <c r="AB1593" s="845">
        <v>1.7469428500124782E-3</v>
      </c>
      <c r="AC1593" s="845">
        <v>0</v>
      </c>
      <c r="AD1593" s="845">
        <v>1.8218118292987272E-2</v>
      </c>
      <c r="AE1593" s="845">
        <v>2.6952832543049664E-2</v>
      </c>
      <c r="AF1593" s="845">
        <v>3.3691040678812081E-2</v>
      </c>
      <c r="AG1593" s="845">
        <v>0.93261791864237586</v>
      </c>
      <c r="AH1593" s="20" t="str">
        <f t="shared" si="135"/>
        <v>Yes</v>
      </c>
      <c r="AI1593" s="25"/>
      <c r="AJ1593" s="37">
        <v>43506</v>
      </c>
      <c r="AK1593" s="37" t="s">
        <v>953</v>
      </c>
      <c r="AL1593" s="37">
        <v>39171</v>
      </c>
      <c r="AM1593" s="37" t="s">
        <v>91</v>
      </c>
      <c r="AN1593" s="37" t="str">
        <f t="shared" si="136"/>
        <v>N/A</v>
      </c>
      <c r="AO1593" s="37" t="str">
        <f t="shared" si="137"/>
        <v>N/A</v>
      </c>
      <c r="AP1593" s="37" t="s">
        <v>8</v>
      </c>
      <c r="AQ1593" s="25"/>
      <c r="AR1593" s="25"/>
      <c r="AS1593" s="25"/>
      <c r="AT1593" s="25"/>
      <c r="AU1593" s="36"/>
      <c r="AV1593" s="36"/>
      <c r="AW1593" s="36"/>
      <c r="AX1593" s="25"/>
      <c r="AY1593" s="25"/>
      <c r="AZ1593" s="25"/>
      <c r="BA1593" s="25"/>
      <c r="BB1593" s="25"/>
      <c r="BC1593" s="25"/>
      <c r="BD1593" s="25"/>
      <c r="BE1593" s="25"/>
      <c r="BF1593" s="25"/>
      <c r="BG1593" s="25"/>
      <c r="BH1593" s="25"/>
      <c r="BI1593" s="25"/>
      <c r="BJ1593" s="25"/>
      <c r="BK1593" s="25"/>
      <c r="BL1593" s="25"/>
      <c r="BM1593" s="25"/>
      <c r="BN1593" s="25"/>
      <c r="BO1593" s="25"/>
      <c r="BP1593" s="25"/>
      <c r="BQ1593" s="25"/>
      <c r="BR1593" s="25"/>
      <c r="BS1593" s="25"/>
      <c r="BT1593" s="25"/>
      <c r="BU1593" s="25"/>
      <c r="BV1593" s="25"/>
      <c r="BW1593" s="25"/>
      <c r="BX1593" s="25"/>
      <c r="BY1593" s="25"/>
      <c r="BZ1593" s="25"/>
      <c r="CA1593" s="25"/>
      <c r="CB1593" s="25"/>
      <c r="CC1593" s="25"/>
      <c r="CD1593" s="25"/>
      <c r="CE1593" s="200"/>
      <c r="CF1593" s="200"/>
      <c r="CG1593" s="200"/>
      <c r="CH1593" s="200"/>
      <c r="CI1593" s="200"/>
      <c r="CJ1593" s="200"/>
      <c r="CK1593" s="200"/>
      <c r="CL1593" s="200"/>
      <c r="CM1593" s="200"/>
      <c r="CN1593" s="200"/>
      <c r="CO1593" s="200"/>
      <c r="CP1593" s="200"/>
      <c r="CQ1593" s="200"/>
      <c r="CR1593" s="200"/>
      <c r="CS1593" s="200"/>
      <c r="CT1593" s="200"/>
      <c r="CU1593" s="200"/>
    </row>
    <row r="1594" spans="1:99" s="17" customFormat="1" x14ac:dyDescent="0.2">
      <c r="A1594" s="25"/>
      <c r="B1594" s="20">
        <v>39151713300</v>
      </c>
      <c r="C1594" s="20">
        <v>7133</v>
      </c>
      <c r="D1594" s="20" t="s">
        <v>81</v>
      </c>
      <c r="E1594" s="20" t="s">
        <v>2844</v>
      </c>
      <c r="F1594" s="20" t="s">
        <v>8</v>
      </c>
      <c r="G1594" s="861">
        <v>49.110010278517201</v>
      </c>
      <c r="H1594" s="861">
        <v>49.690226389741497</v>
      </c>
      <c r="I1594" s="861">
        <v>32.069596856937402</v>
      </c>
      <c r="J1594" s="861">
        <v>35.147218641159398</v>
      </c>
      <c r="K1594" s="982">
        <v>0</v>
      </c>
      <c r="L1594" s="735">
        <v>4595</v>
      </c>
      <c r="M1594" s="735">
        <v>4847</v>
      </c>
      <c r="N1594" s="845">
        <f t="shared" si="133"/>
        <v>5.484221980413493E-2</v>
      </c>
      <c r="O1594" s="735">
        <v>5.6809137243491055</v>
      </c>
      <c r="P1594" s="735">
        <f t="shared" si="134"/>
        <v>853.20781747224089</v>
      </c>
      <c r="Q1594" s="849">
        <v>39</v>
      </c>
      <c r="R1594" s="71">
        <v>63833</v>
      </c>
      <c r="S1594" s="845">
        <v>0.14837103133430171</v>
      </c>
      <c r="T1594" s="845">
        <v>1.9E-2</v>
      </c>
      <c r="U1594" s="845">
        <v>0</v>
      </c>
      <c r="V1594" s="845">
        <v>0</v>
      </c>
      <c r="W1594" s="845">
        <v>0.19311663479923519</v>
      </c>
      <c r="X1594" s="845">
        <v>0.54702970297029707</v>
      </c>
      <c r="Y1594" s="845">
        <v>0.95481741283267996</v>
      </c>
      <c r="Z1594" s="845">
        <v>1.2997730554982464E-2</v>
      </c>
      <c r="AA1594" s="845">
        <v>0</v>
      </c>
      <c r="AB1594" s="845">
        <v>1.8568186507117806E-3</v>
      </c>
      <c r="AC1594" s="845">
        <v>0</v>
      </c>
      <c r="AD1594" s="845">
        <v>7.6335877862595417E-3</v>
      </c>
      <c r="AE1594" s="845">
        <v>2.2694450175366206E-2</v>
      </c>
      <c r="AF1594" s="845">
        <v>3.2597482979162366E-2</v>
      </c>
      <c r="AG1594" s="845">
        <v>0.94615225912935841</v>
      </c>
      <c r="AH1594" s="20" t="str">
        <f t="shared" si="135"/>
        <v>Yes</v>
      </c>
      <c r="AI1594" s="25"/>
      <c r="AJ1594" s="37">
        <v>43517</v>
      </c>
      <c r="AK1594" s="37" t="s">
        <v>959</v>
      </c>
      <c r="AL1594" s="37">
        <v>39171</v>
      </c>
      <c r="AM1594" s="37" t="s">
        <v>91</v>
      </c>
      <c r="AN1594" s="37" t="str">
        <f t="shared" si="136"/>
        <v>N/A</v>
      </c>
      <c r="AO1594" s="37" t="str">
        <f t="shared" si="137"/>
        <v>N/A</v>
      </c>
      <c r="AP1594" s="37" t="s">
        <v>8</v>
      </c>
      <c r="AQ1594" s="25"/>
      <c r="AR1594" s="25"/>
      <c r="AS1594" s="25"/>
      <c r="AT1594" s="25"/>
      <c r="AU1594" s="36"/>
      <c r="AV1594" s="36"/>
      <c r="AW1594" s="36"/>
      <c r="AX1594" s="25"/>
      <c r="AY1594" s="25"/>
      <c r="AZ1594" s="25"/>
      <c r="BA1594" s="25"/>
      <c r="BB1594" s="25"/>
      <c r="BC1594" s="25"/>
      <c r="BD1594" s="25"/>
      <c r="BE1594" s="25"/>
      <c r="BF1594" s="25"/>
      <c r="BG1594" s="25"/>
      <c r="BH1594" s="25"/>
      <c r="BI1594" s="25"/>
      <c r="BJ1594" s="25"/>
      <c r="BK1594" s="25"/>
      <c r="BL1594" s="25"/>
      <c r="BM1594" s="25"/>
      <c r="BN1594" s="25"/>
      <c r="BO1594" s="25"/>
      <c r="BP1594" s="25"/>
      <c r="BQ1594" s="25"/>
      <c r="BR1594" s="25"/>
      <c r="BS1594" s="25"/>
      <c r="BT1594" s="25"/>
      <c r="BU1594" s="25"/>
      <c r="BV1594" s="25"/>
      <c r="BW1594" s="25"/>
      <c r="BX1594" s="25"/>
      <c r="BY1594" s="25"/>
      <c r="BZ1594" s="25"/>
      <c r="CA1594" s="25"/>
      <c r="CB1594" s="25"/>
      <c r="CC1594" s="25"/>
      <c r="CD1594" s="25"/>
      <c r="CE1594" s="200"/>
      <c r="CF1594" s="200"/>
      <c r="CG1594" s="200"/>
      <c r="CH1594" s="200"/>
      <c r="CI1594" s="200"/>
      <c r="CJ1594" s="200"/>
      <c r="CK1594" s="200"/>
      <c r="CL1594" s="200"/>
      <c r="CM1594" s="200"/>
      <c r="CN1594" s="200"/>
      <c r="CO1594" s="200"/>
      <c r="CP1594" s="200"/>
      <c r="CQ1594" s="200"/>
      <c r="CR1594" s="200"/>
      <c r="CS1594" s="200"/>
      <c r="CT1594" s="200"/>
      <c r="CU1594" s="200"/>
    </row>
    <row r="1595" spans="1:99" s="17" customFormat="1" x14ac:dyDescent="0.2">
      <c r="A1595" s="25"/>
      <c r="B1595" s="20">
        <v>39083007500</v>
      </c>
      <c r="C1595" s="20">
        <v>75</v>
      </c>
      <c r="D1595" s="20" t="s">
        <v>114</v>
      </c>
      <c r="E1595" s="20" t="s">
        <v>265</v>
      </c>
      <c r="F1595" s="20" t="s">
        <v>8</v>
      </c>
      <c r="G1595" s="861">
        <v>49.094625633805897</v>
      </c>
      <c r="H1595" s="861">
        <v>65.855373665569701</v>
      </c>
      <c r="I1595" s="861">
        <v>36.674918075681802</v>
      </c>
      <c r="J1595" s="861">
        <v>35.328370806172302</v>
      </c>
      <c r="K1595" s="982">
        <v>0</v>
      </c>
      <c r="L1595" s="735">
        <v>4594</v>
      </c>
      <c r="M1595" s="735">
        <v>4289</v>
      </c>
      <c r="N1595" s="845">
        <f t="shared" si="133"/>
        <v>-6.639094471049195E-2</v>
      </c>
      <c r="O1595" s="735">
        <v>8.8885176387933313</v>
      </c>
      <c r="P1595" s="735">
        <f t="shared" si="134"/>
        <v>482.53265328303462</v>
      </c>
      <c r="Q1595" s="849">
        <v>35.9</v>
      </c>
      <c r="R1595" s="71">
        <v>63844</v>
      </c>
      <c r="S1595" s="845">
        <v>0.10349897089091444</v>
      </c>
      <c r="T1595" s="845">
        <v>2.4E-2</v>
      </c>
      <c r="U1595" s="845">
        <v>0</v>
      </c>
      <c r="V1595" s="845">
        <v>0</v>
      </c>
      <c r="W1595" s="845">
        <v>0.34109042553191488</v>
      </c>
      <c r="X1595" s="845">
        <v>0.29044834307992201</v>
      </c>
      <c r="Y1595" s="845">
        <v>0.86780135229657263</v>
      </c>
      <c r="Z1595" s="845">
        <v>1.8186057356027047E-2</v>
      </c>
      <c r="AA1595" s="845">
        <v>0</v>
      </c>
      <c r="AB1595" s="845">
        <v>5.5957099557006297E-3</v>
      </c>
      <c r="AC1595" s="845">
        <v>4.6630916297505244E-4</v>
      </c>
      <c r="AD1595" s="845">
        <v>1.8652366519002097E-3</v>
      </c>
      <c r="AE1595" s="845">
        <v>0.10608533457682444</v>
      </c>
      <c r="AF1595" s="845">
        <v>3.450687806015388E-2</v>
      </c>
      <c r="AG1595" s="845">
        <v>0.8568430869666589</v>
      </c>
      <c r="AH1595" s="20" t="str">
        <f t="shared" si="135"/>
        <v>No</v>
      </c>
      <c r="AI1595" s="25"/>
      <c r="AJ1595" s="37">
        <v>43518</v>
      </c>
      <c r="AK1595" s="37" t="s">
        <v>960</v>
      </c>
      <c r="AL1595" s="37">
        <v>39171</v>
      </c>
      <c r="AM1595" s="37" t="s">
        <v>91</v>
      </c>
      <c r="AN1595" s="37" t="str">
        <f t="shared" si="136"/>
        <v>N/A</v>
      </c>
      <c r="AO1595" s="37" t="str">
        <f t="shared" si="137"/>
        <v>N/A</v>
      </c>
      <c r="AP1595" s="37" t="s">
        <v>8</v>
      </c>
      <c r="AQ1595" s="25"/>
      <c r="AR1595" s="25"/>
      <c r="AS1595" s="25"/>
      <c r="AT1595" s="25"/>
      <c r="AU1595" s="36"/>
      <c r="AV1595" s="36"/>
      <c r="AW1595" s="36"/>
      <c r="AX1595" s="25"/>
      <c r="AY1595" s="25"/>
      <c r="AZ1595" s="25"/>
      <c r="BA1595" s="25"/>
      <c r="BB1595" s="25"/>
      <c r="BC1595" s="25"/>
      <c r="BD1595" s="25"/>
      <c r="BE1595" s="25"/>
      <c r="BF1595" s="25"/>
      <c r="BG1595" s="25"/>
      <c r="BH1595" s="25"/>
      <c r="BI1595" s="25"/>
      <c r="BJ1595" s="25"/>
      <c r="BK1595" s="25"/>
      <c r="BL1595" s="25"/>
      <c r="BM1595" s="25"/>
      <c r="BN1595" s="25"/>
      <c r="BO1595" s="25"/>
      <c r="BP1595" s="25"/>
      <c r="BQ1595" s="25"/>
      <c r="BR1595" s="25"/>
      <c r="BS1595" s="25"/>
      <c r="BT1595" s="25"/>
      <c r="BU1595" s="25"/>
      <c r="BV1595" s="25"/>
      <c r="BW1595" s="25"/>
      <c r="BX1595" s="25"/>
      <c r="BY1595" s="25"/>
      <c r="BZ1595" s="25"/>
      <c r="CA1595" s="25"/>
      <c r="CB1595" s="25"/>
      <c r="CC1595" s="25"/>
      <c r="CD1595" s="25"/>
      <c r="CE1595" s="200"/>
      <c r="CF1595" s="200"/>
      <c r="CG1595" s="200"/>
      <c r="CH1595" s="200"/>
      <c r="CI1595" s="200"/>
      <c r="CJ1595" s="200"/>
      <c r="CK1595" s="200"/>
      <c r="CL1595" s="200"/>
      <c r="CM1595" s="200"/>
      <c r="CN1595" s="200"/>
      <c r="CO1595" s="200"/>
      <c r="CP1595" s="200"/>
      <c r="CQ1595" s="200"/>
      <c r="CR1595" s="200"/>
      <c r="CS1595" s="200"/>
      <c r="CT1595" s="200"/>
      <c r="CU1595" s="200"/>
    </row>
    <row r="1596" spans="1:99" s="17" customFormat="1" x14ac:dyDescent="0.2">
      <c r="A1596" s="25"/>
      <c r="B1596" s="20">
        <v>39089759102</v>
      </c>
      <c r="C1596" s="20">
        <v>7591.02</v>
      </c>
      <c r="D1596" s="20" t="s">
        <v>50</v>
      </c>
      <c r="E1596" s="20" t="s">
        <v>2830</v>
      </c>
      <c r="F1596" s="20" t="s">
        <v>8</v>
      </c>
      <c r="G1596" s="861">
        <v>49.070331741465701</v>
      </c>
      <c r="H1596" s="861">
        <v>60.939567762737099</v>
      </c>
      <c r="I1596" s="861">
        <v>29.786809889391201</v>
      </c>
      <c r="J1596" s="861">
        <v>72.702856002865502</v>
      </c>
      <c r="K1596" s="982">
        <v>0</v>
      </c>
      <c r="L1596" s="735" t="s">
        <v>2466</v>
      </c>
      <c r="M1596" s="735">
        <v>3080</v>
      </c>
      <c r="N1596" s="845" t="str">
        <f t="shared" si="133"/>
        <v/>
      </c>
      <c r="O1596" s="735">
        <v>13.680094848002991</v>
      </c>
      <c r="P1596" s="735">
        <f t="shared" si="134"/>
        <v>225.14463782753785</v>
      </c>
      <c r="Q1596" s="849">
        <v>40.700000000000003</v>
      </c>
      <c r="R1596" s="71">
        <v>154323</v>
      </c>
      <c r="S1596" s="845">
        <v>3.7630890052356022E-2</v>
      </c>
      <c r="T1596" s="845">
        <v>2.8999999999999998E-2</v>
      </c>
      <c r="U1596" s="845">
        <v>0</v>
      </c>
      <c r="V1596" s="845">
        <v>0.17600000000000002</v>
      </c>
      <c r="W1596" s="845">
        <v>0.14846743295019157</v>
      </c>
      <c r="X1596" s="845">
        <v>0.74193548387096775</v>
      </c>
      <c r="Y1596" s="845">
        <v>0.94155844155844159</v>
      </c>
      <c r="Z1596" s="845">
        <v>1.6233766233766235E-3</v>
      </c>
      <c r="AA1596" s="845">
        <v>0</v>
      </c>
      <c r="AB1596" s="845">
        <v>5.6818181818181816E-2</v>
      </c>
      <c r="AC1596" s="845">
        <v>0</v>
      </c>
      <c r="AD1596" s="845">
        <v>0</v>
      </c>
      <c r="AE1596" s="845">
        <v>0</v>
      </c>
      <c r="AF1596" s="845">
        <v>7.1428571428571426E-3</v>
      </c>
      <c r="AG1596" s="845">
        <v>0.93441558441558437</v>
      </c>
      <c r="AH1596" s="20" t="str">
        <f t="shared" si="135"/>
        <v>Yes</v>
      </c>
      <c r="AI1596" s="25"/>
      <c r="AJ1596" s="37">
        <v>43521</v>
      </c>
      <c r="AK1596" s="37" t="s">
        <v>963</v>
      </c>
      <c r="AL1596" s="37">
        <v>39171</v>
      </c>
      <c r="AM1596" s="37" t="s">
        <v>91</v>
      </c>
      <c r="AN1596" s="37" t="str">
        <f t="shared" si="136"/>
        <v>N/A</v>
      </c>
      <c r="AO1596" s="37" t="str">
        <f t="shared" si="137"/>
        <v>N/A</v>
      </c>
      <c r="AP1596" s="37" t="s">
        <v>8</v>
      </c>
      <c r="AQ1596" s="25"/>
      <c r="AR1596" s="25"/>
      <c r="AS1596" s="25"/>
      <c r="AT1596" s="25"/>
      <c r="AU1596" s="36"/>
      <c r="AV1596" s="36"/>
      <c r="AW1596" s="36"/>
      <c r="AX1596" s="25"/>
      <c r="AY1596" s="25"/>
      <c r="AZ1596" s="25"/>
      <c r="BA1596" s="25"/>
      <c r="BB1596" s="25"/>
      <c r="BC1596" s="25"/>
      <c r="BD1596" s="25"/>
      <c r="BE1596" s="25"/>
      <c r="BF1596" s="25"/>
      <c r="BG1596" s="25"/>
      <c r="BH1596" s="25"/>
      <c r="BI1596" s="25"/>
      <c r="BJ1596" s="25"/>
      <c r="BK1596" s="25"/>
      <c r="BL1596" s="25"/>
      <c r="BM1596" s="25"/>
      <c r="BN1596" s="25"/>
      <c r="BO1596" s="25"/>
      <c r="BP1596" s="25"/>
      <c r="BQ1596" s="25"/>
      <c r="BR1596" s="25"/>
      <c r="BS1596" s="25"/>
      <c r="BT1596" s="25"/>
      <c r="BU1596" s="25"/>
      <c r="BV1596" s="25"/>
      <c r="BW1596" s="25"/>
      <c r="BX1596" s="25"/>
      <c r="BY1596" s="25"/>
      <c r="BZ1596" s="25"/>
      <c r="CA1596" s="25"/>
      <c r="CB1596" s="25"/>
      <c r="CC1596" s="25"/>
      <c r="CD1596" s="25"/>
      <c r="CE1596" s="200"/>
      <c r="CF1596" s="200"/>
      <c r="CG1596" s="200"/>
      <c r="CH1596" s="200"/>
      <c r="CI1596" s="200"/>
      <c r="CJ1596" s="200"/>
      <c r="CK1596" s="200"/>
      <c r="CL1596" s="200"/>
      <c r="CM1596" s="200"/>
      <c r="CN1596" s="200"/>
      <c r="CO1596" s="200"/>
      <c r="CP1596" s="200"/>
      <c r="CQ1596" s="200"/>
      <c r="CR1596" s="200"/>
      <c r="CS1596" s="200"/>
      <c r="CT1596" s="200"/>
      <c r="CU1596" s="200"/>
    </row>
    <row r="1597" spans="1:99" s="17" customFormat="1" x14ac:dyDescent="0.2">
      <c r="A1597" s="25"/>
      <c r="B1597" s="20">
        <v>39053953902</v>
      </c>
      <c r="C1597" s="20">
        <v>9539.02</v>
      </c>
      <c r="D1597" s="20" t="s">
        <v>33</v>
      </c>
      <c r="E1597" s="20" t="s">
        <v>265</v>
      </c>
      <c r="F1597" s="20" t="s">
        <v>8</v>
      </c>
      <c r="G1597" s="861">
        <v>49.070213410475901</v>
      </c>
      <c r="H1597" s="861">
        <v>52.712709610593002</v>
      </c>
      <c r="I1597" s="861">
        <v>19.3709346012559</v>
      </c>
      <c r="J1597" s="861">
        <v>53.894816558579798</v>
      </c>
      <c r="K1597" s="982">
        <v>0</v>
      </c>
      <c r="L1597" s="735" t="s">
        <v>2466</v>
      </c>
      <c r="M1597" s="735">
        <v>2771</v>
      </c>
      <c r="N1597" s="845" t="str">
        <f t="shared" si="133"/>
        <v/>
      </c>
      <c r="O1597" s="735">
        <v>19.157605321979645</v>
      </c>
      <c r="P1597" s="735">
        <f t="shared" si="134"/>
        <v>144.64229497518741</v>
      </c>
      <c r="Q1597" s="849">
        <v>42.1</v>
      </c>
      <c r="R1597" s="71">
        <v>70759</v>
      </c>
      <c r="S1597" s="845">
        <v>4.4027426921688921E-2</v>
      </c>
      <c r="T1597" s="845">
        <v>5.0999999999999997E-2</v>
      </c>
      <c r="U1597" s="845">
        <v>2.5000000000000001E-2</v>
      </c>
      <c r="V1597" s="845">
        <v>0</v>
      </c>
      <c r="W1597" s="845">
        <v>0.14243323442136499</v>
      </c>
      <c r="X1597" s="845">
        <v>0.43055555555555558</v>
      </c>
      <c r="Y1597" s="845">
        <v>1</v>
      </c>
      <c r="Z1597" s="845">
        <v>0</v>
      </c>
      <c r="AA1597" s="845">
        <v>0</v>
      </c>
      <c r="AB1597" s="845">
        <v>0</v>
      </c>
      <c r="AC1597" s="845">
        <v>0</v>
      </c>
      <c r="AD1597" s="845">
        <v>0</v>
      </c>
      <c r="AE1597" s="845">
        <v>0</v>
      </c>
      <c r="AF1597" s="845">
        <v>0</v>
      </c>
      <c r="AG1597" s="845">
        <v>1</v>
      </c>
      <c r="AH1597" s="20" t="str">
        <f t="shared" si="135"/>
        <v>Yes</v>
      </c>
      <c r="AI1597" s="25"/>
      <c r="AJ1597" s="37">
        <v>43531</v>
      </c>
      <c r="AK1597" s="37" t="s">
        <v>973</v>
      </c>
      <c r="AL1597" s="37">
        <v>39171</v>
      </c>
      <c r="AM1597" s="37" t="s">
        <v>91</v>
      </c>
      <c r="AN1597" s="37" t="str">
        <f t="shared" si="136"/>
        <v>N/A</v>
      </c>
      <c r="AO1597" s="37" t="str">
        <f t="shared" si="137"/>
        <v>N/A</v>
      </c>
      <c r="AP1597" s="37" t="s">
        <v>8</v>
      </c>
      <c r="AQ1597" s="25"/>
      <c r="AR1597" s="25"/>
      <c r="AS1597" s="25"/>
      <c r="AT1597" s="25"/>
      <c r="AU1597" s="36"/>
      <c r="AV1597" s="36"/>
      <c r="AW1597" s="36"/>
      <c r="AX1597" s="25"/>
      <c r="AY1597" s="25"/>
      <c r="AZ1597" s="25"/>
      <c r="BA1597" s="25"/>
      <c r="BB1597" s="25"/>
      <c r="BC1597" s="25"/>
      <c r="BD1597" s="25"/>
      <c r="BE1597" s="25"/>
      <c r="BF1597" s="25"/>
      <c r="BG1597" s="25"/>
      <c r="BH1597" s="25"/>
      <c r="BI1597" s="25"/>
      <c r="BJ1597" s="25"/>
      <c r="BK1597" s="25"/>
      <c r="BL1597" s="25"/>
      <c r="BM1597" s="25"/>
      <c r="BN1597" s="25"/>
      <c r="BO1597" s="25"/>
      <c r="BP1597" s="25"/>
      <c r="BQ1597" s="25"/>
      <c r="BR1597" s="25"/>
      <c r="BS1597" s="25"/>
      <c r="BT1597" s="25"/>
      <c r="BU1597" s="25"/>
      <c r="BV1597" s="25"/>
      <c r="BW1597" s="25"/>
      <c r="BX1597" s="25"/>
      <c r="BY1597" s="25"/>
      <c r="BZ1597" s="25"/>
      <c r="CA1597" s="25"/>
      <c r="CB1597" s="25"/>
      <c r="CC1597" s="25"/>
      <c r="CD1597" s="25"/>
      <c r="CE1597" s="200"/>
      <c r="CF1597" s="200"/>
      <c r="CG1597" s="200"/>
      <c r="CH1597" s="200"/>
      <c r="CI1597" s="200"/>
      <c r="CJ1597" s="200"/>
      <c r="CK1597" s="200"/>
      <c r="CL1597" s="200"/>
      <c r="CM1597" s="200"/>
      <c r="CN1597" s="200"/>
      <c r="CO1597" s="200"/>
      <c r="CP1597" s="200"/>
      <c r="CQ1597" s="200"/>
      <c r="CR1597" s="200"/>
      <c r="CS1597" s="200"/>
      <c r="CT1597" s="200"/>
      <c r="CU1597" s="200"/>
    </row>
    <row r="1598" spans="1:99" s="17" customFormat="1" x14ac:dyDescent="0.2">
      <c r="A1598" s="25"/>
      <c r="B1598" s="20">
        <v>39011040400</v>
      </c>
      <c r="C1598" s="20">
        <v>404</v>
      </c>
      <c r="D1598" s="20" t="s">
        <v>12</v>
      </c>
      <c r="E1598" s="20" t="s">
        <v>265</v>
      </c>
      <c r="F1598" s="20" t="s">
        <v>8</v>
      </c>
      <c r="G1598" s="861">
        <v>49.067115311459403</v>
      </c>
      <c r="H1598" s="861">
        <v>38.9409805204535</v>
      </c>
      <c r="I1598" s="861">
        <v>30.1621877439241</v>
      </c>
      <c r="J1598" s="861">
        <v>41.580125582579797</v>
      </c>
      <c r="K1598" s="982">
        <v>0</v>
      </c>
      <c r="L1598" s="735">
        <v>6515</v>
      </c>
      <c r="M1598" s="735">
        <v>6802</v>
      </c>
      <c r="N1598" s="845">
        <f t="shared" si="133"/>
        <v>4.4052187260168844E-2</v>
      </c>
      <c r="O1598" s="735">
        <v>4.1595438057821816</v>
      </c>
      <c r="P1598" s="735">
        <f t="shared" si="134"/>
        <v>1635.2754815430817</v>
      </c>
      <c r="Q1598" s="849">
        <v>42.5</v>
      </c>
      <c r="R1598" s="71">
        <v>69643</v>
      </c>
      <c r="S1598" s="845">
        <v>0.1312434378281086</v>
      </c>
      <c r="T1598" s="845">
        <v>3.9E-2</v>
      </c>
      <c r="U1598" s="845">
        <v>2.4E-2</v>
      </c>
      <c r="V1598" s="845">
        <v>7.2000000000000008E-2</v>
      </c>
      <c r="W1598" s="845">
        <v>0.3910299003322259</v>
      </c>
      <c r="X1598" s="845">
        <v>0.34494477485131692</v>
      </c>
      <c r="Y1598" s="845">
        <v>0.90620405763010881</v>
      </c>
      <c r="Z1598" s="845">
        <v>5.2925610114672155E-3</v>
      </c>
      <c r="AA1598" s="845">
        <v>0</v>
      </c>
      <c r="AB1598" s="845">
        <v>0</v>
      </c>
      <c r="AC1598" s="845">
        <v>0</v>
      </c>
      <c r="AD1598" s="845">
        <v>3.5871802411055573E-2</v>
      </c>
      <c r="AE1598" s="845">
        <v>5.2631578947368418E-2</v>
      </c>
      <c r="AF1598" s="845">
        <v>6.0423404880917381E-2</v>
      </c>
      <c r="AG1598" s="845">
        <v>0.8920905615995296</v>
      </c>
      <c r="AH1598" s="20" t="str">
        <f t="shared" si="135"/>
        <v>No</v>
      </c>
      <c r="AI1598" s="25"/>
      <c r="AJ1598" s="37">
        <v>43543</v>
      </c>
      <c r="AK1598" s="37" t="s">
        <v>983</v>
      </c>
      <c r="AL1598" s="37">
        <v>39171</v>
      </c>
      <c r="AM1598" s="37" t="s">
        <v>91</v>
      </c>
      <c r="AN1598" s="37" t="str">
        <f t="shared" si="136"/>
        <v>N/A</v>
      </c>
      <c r="AO1598" s="37" t="str">
        <f t="shared" si="137"/>
        <v>N/A</v>
      </c>
      <c r="AP1598" s="37" t="s">
        <v>8</v>
      </c>
      <c r="AQ1598" s="25"/>
      <c r="AR1598" s="25"/>
      <c r="AS1598" s="25"/>
      <c r="AT1598" s="25"/>
      <c r="AU1598" s="36"/>
      <c r="AV1598" s="36"/>
      <c r="AW1598" s="36"/>
      <c r="AX1598" s="25"/>
      <c r="AY1598" s="25"/>
      <c r="AZ1598" s="25"/>
      <c r="BA1598" s="25"/>
      <c r="BB1598" s="25"/>
      <c r="BC1598" s="25"/>
      <c r="BD1598" s="25"/>
      <c r="BE1598" s="25"/>
      <c r="BF1598" s="25"/>
      <c r="BG1598" s="25"/>
      <c r="BH1598" s="25"/>
      <c r="BI1598" s="25"/>
      <c r="BJ1598" s="25"/>
      <c r="BK1598" s="25"/>
      <c r="BL1598" s="25"/>
      <c r="BM1598" s="25"/>
      <c r="BN1598" s="25"/>
      <c r="BO1598" s="25"/>
      <c r="BP1598" s="25"/>
      <c r="BQ1598" s="25"/>
      <c r="BR1598" s="25"/>
      <c r="BS1598" s="25"/>
      <c r="BT1598" s="25"/>
      <c r="BU1598" s="25"/>
      <c r="BV1598" s="25"/>
      <c r="BW1598" s="25"/>
      <c r="BX1598" s="25"/>
      <c r="BY1598" s="25"/>
      <c r="BZ1598" s="25"/>
      <c r="CA1598" s="25"/>
      <c r="CB1598" s="25"/>
      <c r="CC1598" s="25"/>
      <c r="CD1598" s="25"/>
      <c r="CE1598" s="200"/>
      <c r="CF1598" s="200"/>
      <c r="CG1598" s="200"/>
      <c r="CH1598" s="200"/>
      <c r="CI1598" s="200"/>
      <c r="CJ1598" s="200"/>
      <c r="CK1598" s="200"/>
      <c r="CL1598" s="200"/>
      <c r="CM1598" s="200"/>
      <c r="CN1598" s="200"/>
      <c r="CO1598" s="200"/>
      <c r="CP1598" s="200"/>
      <c r="CQ1598" s="200"/>
      <c r="CR1598" s="200"/>
      <c r="CS1598" s="200"/>
      <c r="CT1598" s="200"/>
      <c r="CU1598" s="200"/>
    </row>
    <row r="1599" spans="1:99" s="17" customFormat="1" x14ac:dyDescent="0.2">
      <c r="A1599" s="25"/>
      <c r="B1599" s="20">
        <v>39113160100</v>
      </c>
      <c r="C1599" s="20">
        <v>1601</v>
      </c>
      <c r="D1599" s="20" t="s">
        <v>62</v>
      </c>
      <c r="E1599" s="20" t="s">
        <v>2833</v>
      </c>
      <c r="F1599" s="20" t="s">
        <v>8</v>
      </c>
      <c r="G1599" s="861">
        <v>49.060403757812203</v>
      </c>
      <c r="H1599" s="861">
        <v>61.213171108726499</v>
      </c>
      <c r="I1599" s="861">
        <v>21.501622221897701</v>
      </c>
      <c r="J1599" s="861">
        <v>47.443958610451297</v>
      </c>
      <c r="K1599" s="982">
        <v>0</v>
      </c>
      <c r="L1599" s="735">
        <v>1965</v>
      </c>
      <c r="M1599" s="735">
        <v>1889</v>
      </c>
      <c r="N1599" s="845">
        <f t="shared" si="133"/>
        <v>-3.8676844783715011E-2</v>
      </c>
      <c r="O1599" s="735">
        <v>23.602771674500083</v>
      </c>
      <c r="P1599" s="735">
        <f t="shared" si="134"/>
        <v>80.032973502041472</v>
      </c>
      <c r="Q1599" s="849">
        <v>40.5</v>
      </c>
      <c r="R1599" s="71">
        <v>99231</v>
      </c>
      <c r="S1599" s="845">
        <v>4.1291688724192692E-2</v>
      </c>
      <c r="T1599" s="845">
        <v>1.9E-2</v>
      </c>
      <c r="U1599" s="845">
        <v>0</v>
      </c>
      <c r="V1599" s="845">
        <v>0</v>
      </c>
      <c r="W1599" s="845">
        <v>5.6521739130434782E-2</v>
      </c>
      <c r="X1599" s="845">
        <v>0.20512820512820512</v>
      </c>
      <c r="Y1599" s="845">
        <v>0.96347273689782953</v>
      </c>
      <c r="Z1599" s="845">
        <v>1.9057702488088937E-2</v>
      </c>
      <c r="AA1599" s="845">
        <v>0</v>
      </c>
      <c r="AB1599" s="845">
        <v>3.7056643726839597E-3</v>
      </c>
      <c r="AC1599" s="845">
        <v>0</v>
      </c>
      <c r="AD1599" s="845">
        <v>0</v>
      </c>
      <c r="AE1599" s="845">
        <v>1.3763896241397565E-2</v>
      </c>
      <c r="AF1599" s="845">
        <v>1.4293276866066702E-2</v>
      </c>
      <c r="AG1599" s="845">
        <v>0.94917946003176279</v>
      </c>
      <c r="AH1599" s="20" t="str">
        <f t="shared" si="135"/>
        <v>Yes</v>
      </c>
      <c r="AI1599" s="25"/>
      <c r="AJ1599" s="37">
        <v>43554</v>
      </c>
      <c r="AK1599" s="37" t="s">
        <v>990</v>
      </c>
      <c r="AL1599" s="37">
        <v>39171</v>
      </c>
      <c r="AM1599" s="37" t="s">
        <v>91</v>
      </c>
      <c r="AN1599" s="37" t="str">
        <f t="shared" si="136"/>
        <v>N/A</v>
      </c>
      <c r="AO1599" s="37" t="str">
        <f t="shared" si="137"/>
        <v>N/A</v>
      </c>
      <c r="AP1599" s="37" t="s">
        <v>8</v>
      </c>
      <c r="AQ1599" s="25"/>
      <c r="AR1599" s="25"/>
      <c r="AS1599" s="25"/>
      <c r="AT1599" s="25"/>
      <c r="AU1599" s="36"/>
      <c r="AV1599" s="36"/>
      <c r="AW1599" s="36"/>
      <c r="AX1599" s="25"/>
      <c r="AY1599" s="25"/>
      <c r="AZ1599" s="25"/>
      <c r="BA1599" s="25"/>
      <c r="BB1599" s="25"/>
      <c r="BC1599" s="25"/>
      <c r="BD1599" s="25"/>
      <c r="BE1599" s="25"/>
      <c r="BF1599" s="25"/>
      <c r="BG1599" s="25"/>
      <c r="BH1599" s="25"/>
      <c r="BI1599" s="25"/>
      <c r="BJ1599" s="25"/>
      <c r="BK1599" s="25"/>
      <c r="BL1599" s="25"/>
      <c r="BM1599" s="25"/>
      <c r="BN1599" s="25"/>
      <c r="BO1599" s="25"/>
      <c r="BP1599" s="25"/>
      <c r="BQ1599" s="25"/>
      <c r="BR1599" s="25"/>
      <c r="BS1599" s="25"/>
      <c r="BT1599" s="25"/>
      <c r="BU1599" s="25"/>
      <c r="BV1599" s="25"/>
      <c r="BW1599" s="25"/>
      <c r="BX1599" s="25"/>
      <c r="BY1599" s="25"/>
      <c r="BZ1599" s="25"/>
      <c r="CA1599" s="25"/>
      <c r="CB1599" s="25"/>
      <c r="CC1599" s="25"/>
      <c r="CD1599" s="25"/>
      <c r="CE1599" s="200"/>
      <c r="CF1599" s="200"/>
      <c r="CG1599" s="200"/>
      <c r="CH1599" s="200"/>
      <c r="CI1599" s="200"/>
      <c r="CJ1599" s="200"/>
      <c r="CK1599" s="200"/>
      <c r="CL1599" s="200"/>
      <c r="CM1599" s="200"/>
      <c r="CN1599" s="200"/>
      <c r="CO1599" s="200"/>
      <c r="CP1599" s="200"/>
      <c r="CQ1599" s="200"/>
      <c r="CR1599" s="200"/>
      <c r="CS1599" s="200"/>
      <c r="CT1599" s="200"/>
      <c r="CU1599" s="200"/>
    </row>
    <row r="1600" spans="1:99" s="17" customFormat="1" x14ac:dyDescent="0.2">
      <c r="A1600" s="25"/>
      <c r="B1600" s="20">
        <v>39021011506</v>
      </c>
      <c r="C1600" s="20">
        <v>115.06</v>
      </c>
      <c r="D1600" s="20" t="s">
        <v>17</v>
      </c>
      <c r="E1600" s="20" t="s">
        <v>265</v>
      </c>
      <c r="F1600" s="20" t="s">
        <v>8</v>
      </c>
      <c r="G1600" s="861">
        <v>49.052563734377699</v>
      </c>
      <c r="H1600" s="861">
        <v>50.946152138873401</v>
      </c>
      <c r="I1600" s="861">
        <v>29.025494196814702</v>
      </c>
      <c r="J1600" s="861">
        <v>46.176056379724002</v>
      </c>
      <c r="K1600" s="982">
        <v>0</v>
      </c>
      <c r="L1600" s="735">
        <v>2853</v>
      </c>
      <c r="M1600" s="735">
        <v>2967</v>
      </c>
      <c r="N1600" s="845">
        <f t="shared" si="133"/>
        <v>3.9957939011566773E-2</v>
      </c>
      <c r="O1600" s="735">
        <v>39.717252215493765</v>
      </c>
      <c r="P1600" s="735">
        <f t="shared" si="134"/>
        <v>74.7030530687762</v>
      </c>
      <c r="Q1600" s="849">
        <v>39.700000000000003</v>
      </c>
      <c r="R1600" s="71">
        <v>63656</v>
      </c>
      <c r="S1600" s="845">
        <v>8.5273972602739723E-2</v>
      </c>
      <c r="T1600" s="845">
        <v>6.4000000000000001E-2</v>
      </c>
      <c r="U1600" s="845">
        <v>5.4000000000000006E-2</v>
      </c>
      <c r="V1600" s="845">
        <v>0.04</v>
      </c>
      <c r="W1600" s="845">
        <v>0.25198237885462554</v>
      </c>
      <c r="X1600" s="845">
        <v>0.55244755244755239</v>
      </c>
      <c r="Y1600" s="845">
        <v>0.95618469834850017</v>
      </c>
      <c r="Z1600" s="845">
        <v>1.6852039096730705E-3</v>
      </c>
      <c r="AA1600" s="845">
        <v>1.6852039096730705E-3</v>
      </c>
      <c r="AB1600" s="845">
        <v>0</v>
      </c>
      <c r="AC1600" s="845">
        <v>0</v>
      </c>
      <c r="AD1600" s="845">
        <v>3.7074486012807551E-3</v>
      </c>
      <c r="AE1600" s="845">
        <v>3.6737445230872932E-2</v>
      </c>
      <c r="AF1600" s="845">
        <v>3.0333670374115269E-3</v>
      </c>
      <c r="AG1600" s="845">
        <v>0.95618469834850017</v>
      </c>
      <c r="AH1600" s="20" t="str">
        <f t="shared" si="135"/>
        <v>Yes</v>
      </c>
      <c r="AI1600" s="25"/>
      <c r="AJ1600" s="37">
        <v>43557</v>
      </c>
      <c r="AK1600" s="37" t="s">
        <v>993</v>
      </c>
      <c r="AL1600" s="37">
        <v>39171</v>
      </c>
      <c r="AM1600" s="37" t="s">
        <v>91</v>
      </c>
      <c r="AN1600" s="37" t="str">
        <f t="shared" si="136"/>
        <v>N/A</v>
      </c>
      <c r="AO1600" s="37" t="str">
        <f t="shared" si="137"/>
        <v>N/A</v>
      </c>
      <c r="AP1600" s="37" t="s">
        <v>8</v>
      </c>
      <c r="AQ1600" s="25"/>
      <c r="AR1600" s="25"/>
      <c r="AS1600" s="25"/>
      <c r="AT1600" s="25"/>
      <c r="AU1600" s="36"/>
      <c r="AV1600" s="36"/>
      <c r="AW1600" s="36"/>
      <c r="AX1600" s="25"/>
      <c r="AY1600" s="25"/>
      <c r="AZ1600" s="25"/>
      <c r="BA1600" s="25"/>
      <c r="BB1600" s="25"/>
      <c r="BC1600" s="25"/>
      <c r="BD1600" s="25"/>
      <c r="BE1600" s="25"/>
      <c r="BF1600" s="25"/>
      <c r="BG1600" s="25"/>
      <c r="BH1600" s="25"/>
      <c r="BI1600" s="25"/>
      <c r="BJ1600" s="25"/>
      <c r="BK1600" s="25"/>
      <c r="BL1600" s="25"/>
      <c r="BM1600" s="25"/>
      <c r="BN1600" s="25"/>
      <c r="BO1600" s="25"/>
      <c r="BP1600" s="25"/>
      <c r="BQ1600" s="25"/>
      <c r="BR1600" s="25"/>
      <c r="BS1600" s="25"/>
      <c r="BT1600" s="25"/>
      <c r="BU1600" s="25"/>
      <c r="BV1600" s="25"/>
      <c r="BW1600" s="25"/>
      <c r="BX1600" s="25"/>
      <c r="BY1600" s="25"/>
      <c r="BZ1600" s="25"/>
      <c r="CA1600" s="25"/>
      <c r="CB1600" s="25"/>
      <c r="CC1600" s="25"/>
      <c r="CD1600" s="25"/>
      <c r="CE1600" s="200"/>
      <c r="CF1600" s="200"/>
      <c r="CG1600" s="200"/>
      <c r="CH1600" s="200"/>
      <c r="CI1600" s="200"/>
      <c r="CJ1600" s="200"/>
      <c r="CK1600" s="200"/>
      <c r="CL1600" s="200"/>
      <c r="CM1600" s="200"/>
      <c r="CN1600" s="200"/>
      <c r="CO1600" s="200"/>
      <c r="CP1600" s="200"/>
      <c r="CQ1600" s="200"/>
      <c r="CR1600" s="200"/>
      <c r="CS1600" s="200"/>
      <c r="CT1600" s="200"/>
      <c r="CU1600" s="200"/>
    </row>
    <row r="1601" spans="1:99" s="17" customFormat="1" x14ac:dyDescent="0.2">
      <c r="A1601" s="25"/>
      <c r="B1601" s="20">
        <v>39153532902</v>
      </c>
      <c r="C1601" s="20">
        <v>5329.02</v>
      </c>
      <c r="D1601" s="20" t="s">
        <v>82</v>
      </c>
      <c r="E1601" s="20" t="s">
        <v>2843</v>
      </c>
      <c r="F1601" s="20" t="s">
        <v>8</v>
      </c>
      <c r="G1601" s="861">
        <v>49.049296286353503</v>
      </c>
      <c r="H1601" s="861">
        <v>52.4575116792697</v>
      </c>
      <c r="I1601" s="861">
        <v>34.603745969701301</v>
      </c>
      <c r="J1601" s="861">
        <v>53.778934595140399</v>
      </c>
      <c r="K1601" s="982">
        <v>2</v>
      </c>
      <c r="L1601" s="735">
        <v>8317</v>
      </c>
      <c r="M1601" s="735">
        <v>9671</v>
      </c>
      <c r="N1601" s="845">
        <f t="shared" si="133"/>
        <v>0.16279908620896957</v>
      </c>
      <c r="O1601" s="735">
        <v>6.4707559603429994</v>
      </c>
      <c r="P1601" s="735">
        <f t="shared" si="134"/>
        <v>1494.5703499359545</v>
      </c>
      <c r="Q1601" s="849">
        <v>40.1</v>
      </c>
      <c r="R1601" s="71">
        <v>87647</v>
      </c>
      <c r="S1601" s="845">
        <v>0.12928449014567267</v>
      </c>
      <c r="T1601" s="845">
        <v>3.4000000000000002E-2</v>
      </c>
      <c r="U1601" s="845">
        <v>5.2999999999999999E-2</v>
      </c>
      <c r="V1601" s="845">
        <v>5.2000000000000005E-2</v>
      </c>
      <c r="W1601" s="845">
        <v>0.38970229380185456</v>
      </c>
      <c r="X1601" s="845">
        <v>0.42579837194740139</v>
      </c>
      <c r="Y1601" s="845">
        <v>0.78295936304415259</v>
      </c>
      <c r="Z1601" s="845">
        <v>5.8835694343914793E-2</v>
      </c>
      <c r="AA1601" s="845">
        <v>1.6544307724123668E-3</v>
      </c>
      <c r="AB1601" s="845">
        <v>6.2247957812015302E-2</v>
      </c>
      <c r="AC1601" s="845">
        <v>0</v>
      </c>
      <c r="AD1601" s="845">
        <v>4.1464171233584944E-2</v>
      </c>
      <c r="AE1601" s="845">
        <v>5.2838382793919968E-2</v>
      </c>
      <c r="AF1601" s="845">
        <v>3.7638300072381344E-2</v>
      </c>
      <c r="AG1601" s="845">
        <v>0.77613483610795164</v>
      </c>
      <c r="AH1601" s="20" t="str">
        <f t="shared" si="135"/>
        <v>No</v>
      </c>
      <c r="AI1601" s="25"/>
      <c r="AJ1601" s="37">
        <v>43570</v>
      </c>
      <c r="AK1601" s="37" t="s">
        <v>1000</v>
      </c>
      <c r="AL1601" s="37">
        <v>39171</v>
      </c>
      <c r="AM1601" s="37" t="s">
        <v>91</v>
      </c>
      <c r="AN1601" s="37" t="str">
        <f t="shared" si="136"/>
        <v>N/A</v>
      </c>
      <c r="AO1601" s="37" t="str">
        <f t="shared" si="137"/>
        <v>N/A</v>
      </c>
      <c r="AP1601" s="37" t="s">
        <v>8</v>
      </c>
      <c r="AQ1601" s="25"/>
      <c r="AR1601" s="25"/>
      <c r="AS1601" s="25"/>
      <c r="AT1601" s="25"/>
      <c r="AU1601" s="36"/>
      <c r="AV1601" s="36"/>
      <c r="AW1601" s="36"/>
      <c r="AX1601" s="25"/>
      <c r="AY1601" s="25"/>
      <c r="AZ1601" s="25"/>
      <c r="BA1601" s="25"/>
      <c r="BB1601" s="25"/>
      <c r="BC1601" s="25"/>
      <c r="BD1601" s="25"/>
      <c r="BE1601" s="25"/>
      <c r="BF1601" s="25"/>
      <c r="BG1601" s="25"/>
      <c r="BH1601" s="25"/>
      <c r="BI1601" s="25"/>
      <c r="BJ1601" s="25"/>
      <c r="BK1601" s="25"/>
      <c r="BL1601" s="25"/>
      <c r="BM1601" s="25"/>
      <c r="BN1601" s="25"/>
      <c r="BO1601" s="25"/>
      <c r="BP1601" s="25"/>
      <c r="BQ1601" s="25"/>
      <c r="BR1601" s="25"/>
      <c r="BS1601" s="25"/>
      <c r="BT1601" s="25"/>
      <c r="BU1601" s="25"/>
      <c r="BV1601" s="25"/>
      <c r="BW1601" s="25"/>
      <c r="BX1601" s="25"/>
      <c r="BY1601" s="25"/>
      <c r="BZ1601" s="25"/>
      <c r="CA1601" s="25"/>
      <c r="CB1601" s="25"/>
      <c r="CC1601" s="25"/>
      <c r="CD1601" s="25"/>
      <c r="CE1601" s="200"/>
      <c r="CF1601" s="200"/>
      <c r="CG1601" s="200"/>
      <c r="CH1601" s="200"/>
      <c r="CI1601" s="200"/>
      <c r="CJ1601" s="200"/>
      <c r="CK1601" s="200"/>
      <c r="CL1601" s="200"/>
      <c r="CM1601" s="200"/>
      <c r="CN1601" s="200"/>
      <c r="CO1601" s="200"/>
      <c r="CP1601" s="200"/>
      <c r="CQ1601" s="200"/>
      <c r="CR1601" s="200"/>
      <c r="CS1601" s="200"/>
      <c r="CT1601" s="200"/>
      <c r="CU1601" s="200"/>
    </row>
    <row r="1602" spans="1:99" s="17" customFormat="1" x14ac:dyDescent="0.2">
      <c r="A1602" s="25"/>
      <c r="B1602" s="20">
        <v>39109365001</v>
      </c>
      <c r="C1602" s="20">
        <v>3650.01</v>
      </c>
      <c r="D1602" s="20" t="s">
        <v>60</v>
      </c>
      <c r="E1602" s="20" t="s">
        <v>2833</v>
      </c>
      <c r="F1602" s="20" t="s">
        <v>8</v>
      </c>
      <c r="G1602" s="861">
        <v>49.026255591174397</v>
      </c>
      <c r="H1602" s="861">
        <v>55.784657829929301</v>
      </c>
      <c r="I1602" s="861">
        <v>29.493607320664399</v>
      </c>
      <c r="J1602" s="861">
        <v>53.838682878359698</v>
      </c>
      <c r="K1602" s="982">
        <v>0</v>
      </c>
      <c r="L1602" s="735" t="s">
        <v>2466</v>
      </c>
      <c r="M1602" s="735">
        <v>3526</v>
      </c>
      <c r="N1602" s="845" t="str">
        <f t="shared" si="133"/>
        <v/>
      </c>
      <c r="O1602" s="735">
        <v>6.5069704123081866</v>
      </c>
      <c r="P1602" s="735">
        <f t="shared" si="134"/>
        <v>541.88044152320629</v>
      </c>
      <c r="Q1602" s="849">
        <v>38.9</v>
      </c>
      <c r="R1602" s="71">
        <v>115100</v>
      </c>
      <c r="S1602" s="845">
        <v>0.13670304422745549</v>
      </c>
      <c r="T1602" s="845">
        <v>0.06</v>
      </c>
      <c r="U1602" s="845">
        <v>0</v>
      </c>
      <c r="V1602" s="845">
        <v>0.113</v>
      </c>
      <c r="W1602" s="845">
        <v>0.2911111111111111</v>
      </c>
      <c r="X1602" s="845">
        <v>0.40966921119592875</v>
      </c>
      <c r="Y1602" s="845">
        <v>0.78644356211003974</v>
      </c>
      <c r="Z1602" s="845">
        <v>1.6165626772546796E-2</v>
      </c>
      <c r="AA1602" s="845">
        <v>0</v>
      </c>
      <c r="AB1602" s="845">
        <v>0.10606920022688598</v>
      </c>
      <c r="AC1602" s="845">
        <v>0</v>
      </c>
      <c r="AD1602" s="845">
        <v>8.7918321043675557E-3</v>
      </c>
      <c r="AE1602" s="845">
        <v>8.2529778786159955E-2</v>
      </c>
      <c r="AF1602" s="845">
        <v>0</v>
      </c>
      <c r="AG1602" s="845">
        <v>0.78644356211003974</v>
      </c>
      <c r="AH1602" s="20" t="str">
        <f t="shared" si="135"/>
        <v>No</v>
      </c>
      <c r="AI1602" s="25"/>
      <c r="AJ1602" s="37">
        <v>43316</v>
      </c>
      <c r="AK1602" s="37" t="s">
        <v>871</v>
      </c>
      <c r="AL1602" s="37">
        <v>39175</v>
      </c>
      <c r="AM1602" s="37" t="s">
        <v>93</v>
      </c>
      <c r="AN1602" s="37" t="str">
        <f t="shared" si="136"/>
        <v>N/A</v>
      </c>
      <c r="AO1602" s="37" t="str">
        <f t="shared" si="137"/>
        <v>N/A</v>
      </c>
      <c r="AP1602" s="37" t="s">
        <v>8</v>
      </c>
      <c r="AQ1602" s="25"/>
      <c r="AR1602" s="25"/>
      <c r="AS1602" s="25"/>
      <c r="AT1602" s="25"/>
      <c r="AU1602" s="36"/>
      <c r="AV1602" s="36"/>
      <c r="AW1602" s="36"/>
      <c r="AX1602" s="25"/>
      <c r="AY1602" s="25"/>
      <c r="AZ1602" s="25"/>
      <c r="BA1602" s="25"/>
      <c r="BB1602" s="25"/>
      <c r="BC1602" s="25"/>
      <c r="BD1602" s="25"/>
      <c r="BE1602" s="25"/>
      <c r="BF1602" s="25"/>
      <c r="BG1602" s="25"/>
      <c r="BH1602" s="25"/>
      <c r="BI1602" s="25"/>
      <c r="BJ1602" s="25"/>
      <c r="BK1602" s="25"/>
      <c r="BL1602" s="25"/>
      <c r="BM1602" s="25"/>
      <c r="BN1602" s="25"/>
      <c r="BO1602" s="25"/>
      <c r="BP1602" s="25"/>
      <c r="BQ1602" s="25"/>
      <c r="BR1602" s="25"/>
      <c r="BS1602" s="25"/>
      <c r="BT1602" s="25"/>
      <c r="BU1602" s="25"/>
      <c r="BV1602" s="25"/>
      <c r="BW1602" s="25"/>
      <c r="BX1602" s="25"/>
      <c r="BY1602" s="25"/>
      <c r="BZ1602" s="25"/>
      <c r="CA1602" s="25"/>
      <c r="CB1602" s="25"/>
      <c r="CC1602" s="25"/>
      <c r="CD1602" s="25"/>
      <c r="CE1602" s="200"/>
      <c r="CF1602" s="200"/>
      <c r="CG1602" s="200"/>
      <c r="CH1602" s="200"/>
      <c r="CI1602" s="200"/>
      <c r="CJ1602" s="200"/>
      <c r="CK1602" s="200"/>
      <c r="CL1602" s="200"/>
      <c r="CM1602" s="200"/>
      <c r="CN1602" s="200"/>
      <c r="CO1602" s="200"/>
      <c r="CP1602" s="200"/>
      <c r="CQ1602" s="200"/>
      <c r="CR1602" s="200"/>
      <c r="CS1602" s="200"/>
      <c r="CT1602" s="200"/>
      <c r="CU1602" s="200"/>
    </row>
    <row r="1603" spans="1:99" s="17" customFormat="1" x14ac:dyDescent="0.2">
      <c r="A1603" s="25"/>
      <c r="B1603" s="20">
        <v>39159050304</v>
      </c>
      <c r="C1603" s="20">
        <v>503.04</v>
      </c>
      <c r="D1603" s="20" t="s">
        <v>85</v>
      </c>
      <c r="E1603" s="20" t="s">
        <v>2830</v>
      </c>
      <c r="F1603" s="20" t="s">
        <v>8</v>
      </c>
      <c r="G1603" s="861">
        <v>49.004244089439098</v>
      </c>
      <c r="H1603" s="861">
        <v>61.049617970313697</v>
      </c>
      <c r="I1603" s="861">
        <v>25.885763953237099</v>
      </c>
      <c r="J1603" s="861">
        <v>45.358269620292802</v>
      </c>
      <c r="K1603" s="982">
        <v>0</v>
      </c>
      <c r="L1603" s="735">
        <v>2309</v>
      </c>
      <c r="M1603" s="735">
        <v>2558</v>
      </c>
      <c r="N1603" s="845">
        <f t="shared" si="133"/>
        <v>0.10783889129493288</v>
      </c>
      <c r="O1603" s="735">
        <v>44.584664521876903</v>
      </c>
      <c r="P1603" s="735">
        <f t="shared" si="134"/>
        <v>57.373987837114598</v>
      </c>
      <c r="Q1603" s="849">
        <v>45.2</v>
      </c>
      <c r="R1603" s="71">
        <v>96250</v>
      </c>
      <c r="S1603" s="845">
        <v>2.7365129007036748E-2</v>
      </c>
      <c r="T1603" s="845">
        <v>2.7999999999999997E-2</v>
      </c>
      <c r="U1603" s="845">
        <v>0</v>
      </c>
      <c r="V1603" s="845">
        <v>0</v>
      </c>
      <c r="W1603" s="845">
        <v>0.10884353741496598</v>
      </c>
      <c r="X1603" s="845">
        <v>0</v>
      </c>
      <c r="Y1603" s="845">
        <v>0.93080531665363564</v>
      </c>
      <c r="Z1603" s="845">
        <v>1.4464425332290852E-2</v>
      </c>
      <c r="AA1603" s="845">
        <v>1.4855355746677092E-2</v>
      </c>
      <c r="AB1603" s="845">
        <v>1.9155590304925724E-2</v>
      </c>
      <c r="AC1603" s="845">
        <v>0</v>
      </c>
      <c r="AD1603" s="845">
        <v>0</v>
      </c>
      <c r="AE1603" s="845">
        <v>2.071931196247068E-2</v>
      </c>
      <c r="AF1603" s="845">
        <v>6.2548866301798279E-3</v>
      </c>
      <c r="AG1603" s="845">
        <v>0.93080531665363564</v>
      </c>
      <c r="AH1603" s="20" t="str">
        <f t="shared" si="135"/>
        <v>Yes</v>
      </c>
      <c r="AI1603" s="25"/>
      <c r="AJ1603" s="37">
        <v>43323</v>
      </c>
      <c r="AK1603" s="37" t="s">
        <v>878</v>
      </c>
      <c r="AL1603" s="37">
        <v>39175</v>
      </c>
      <c r="AM1603" s="37" t="s">
        <v>93</v>
      </c>
      <c r="AN1603" s="37" t="str">
        <f t="shared" si="136"/>
        <v>N/A</v>
      </c>
      <c r="AO1603" s="37" t="str">
        <f t="shared" si="137"/>
        <v>N/A</v>
      </c>
      <c r="AP1603" s="37" t="s">
        <v>8</v>
      </c>
      <c r="AQ1603" s="25"/>
      <c r="AR1603" s="25"/>
      <c r="AS1603" s="25"/>
      <c r="AT1603" s="25"/>
      <c r="AU1603" s="36"/>
      <c r="AV1603" s="36"/>
      <c r="AW1603" s="36"/>
      <c r="AX1603" s="25"/>
      <c r="AY1603" s="25"/>
      <c r="AZ1603" s="25"/>
      <c r="BA1603" s="25"/>
      <c r="BB1603" s="25"/>
      <c r="BC1603" s="25"/>
      <c r="BD1603" s="25"/>
      <c r="BE1603" s="25"/>
      <c r="BF1603" s="25"/>
      <c r="BG1603" s="25"/>
      <c r="BH1603" s="25"/>
      <c r="BI1603" s="25"/>
      <c r="BJ1603" s="25"/>
      <c r="BK1603" s="25"/>
      <c r="BL1603" s="25"/>
      <c r="BM1603" s="25"/>
      <c r="BN1603" s="25"/>
      <c r="BO1603" s="25"/>
      <c r="BP1603" s="25"/>
      <c r="BQ1603" s="25"/>
      <c r="BR1603" s="25"/>
      <c r="BS1603" s="25"/>
      <c r="BT1603" s="25"/>
      <c r="BU1603" s="25"/>
      <c r="BV1603" s="25"/>
      <c r="BW1603" s="25"/>
      <c r="BX1603" s="25"/>
      <c r="BY1603" s="25"/>
      <c r="BZ1603" s="25"/>
      <c r="CA1603" s="25"/>
      <c r="CB1603" s="25"/>
      <c r="CC1603" s="25"/>
      <c r="CD1603" s="25"/>
      <c r="CE1603" s="200"/>
      <c r="CF1603" s="200"/>
      <c r="CG1603" s="200"/>
      <c r="CH1603" s="200"/>
      <c r="CI1603" s="200"/>
      <c r="CJ1603" s="200"/>
      <c r="CK1603" s="200"/>
      <c r="CL1603" s="200"/>
      <c r="CM1603" s="200"/>
      <c r="CN1603" s="200"/>
      <c r="CO1603" s="200"/>
      <c r="CP1603" s="200"/>
      <c r="CQ1603" s="200"/>
      <c r="CR1603" s="200"/>
      <c r="CS1603" s="200"/>
      <c r="CT1603" s="200"/>
      <c r="CU1603" s="200"/>
    </row>
    <row r="1604" spans="1:99" s="17" customFormat="1" x14ac:dyDescent="0.2">
      <c r="A1604" s="25"/>
      <c r="B1604" s="20">
        <v>39041011102</v>
      </c>
      <c r="C1604" s="20">
        <v>111.02</v>
      </c>
      <c r="D1604" s="20" t="s">
        <v>27</v>
      </c>
      <c r="E1604" s="20" t="s">
        <v>2830</v>
      </c>
      <c r="F1604" s="20" t="s">
        <v>8</v>
      </c>
      <c r="G1604" s="861">
        <v>48.994901695986002</v>
      </c>
      <c r="H1604" s="861">
        <v>65.573160034252894</v>
      </c>
      <c r="I1604" s="861">
        <v>21.552013083754499</v>
      </c>
      <c r="J1604" s="861">
        <v>48.320201671191398</v>
      </c>
      <c r="K1604" s="982">
        <v>0</v>
      </c>
      <c r="L1604" s="735">
        <v>5282</v>
      </c>
      <c r="M1604" s="735">
        <v>5630</v>
      </c>
      <c r="N1604" s="845">
        <f t="shared" si="133"/>
        <v>6.588413479742522E-2</v>
      </c>
      <c r="O1604" s="735">
        <v>62.136357066133407</v>
      </c>
      <c r="P1604" s="735">
        <f t="shared" si="134"/>
        <v>90.607178563877483</v>
      </c>
      <c r="Q1604" s="849">
        <v>45.4</v>
      </c>
      <c r="R1604" s="71">
        <v>117533</v>
      </c>
      <c r="S1604" s="845">
        <v>6.4619778650481977E-2</v>
      </c>
      <c r="T1604" s="845">
        <v>3.1E-2</v>
      </c>
      <c r="U1604" s="845">
        <v>4.2000000000000003E-2</v>
      </c>
      <c r="V1604" s="845">
        <v>0</v>
      </c>
      <c r="W1604" s="845">
        <v>8.5203847915712325E-2</v>
      </c>
      <c r="X1604" s="845">
        <v>0.20430107526881722</v>
      </c>
      <c r="Y1604" s="845">
        <v>0.94120781527531083</v>
      </c>
      <c r="Z1604" s="845">
        <v>0</v>
      </c>
      <c r="AA1604" s="845">
        <v>0</v>
      </c>
      <c r="AB1604" s="845">
        <v>6.5719360568383661E-3</v>
      </c>
      <c r="AC1604" s="845">
        <v>0</v>
      </c>
      <c r="AD1604" s="845">
        <v>3.7300177619893427E-3</v>
      </c>
      <c r="AE1604" s="845">
        <v>4.8490230905861458E-2</v>
      </c>
      <c r="AF1604" s="845">
        <v>3.5701598579040851E-2</v>
      </c>
      <c r="AG1604" s="845">
        <v>0.91989342806394314</v>
      </c>
      <c r="AH1604" s="20" t="str">
        <f t="shared" si="135"/>
        <v>Yes</v>
      </c>
      <c r="AI1604" s="25"/>
      <c r="AJ1604" s="37">
        <v>43330</v>
      </c>
      <c r="AK1604" s="37" t="s">
        <v>882</v>
      </c>
      <c r="AL1604" s="37">
        <v>39175</v>
      </c>
      <c r="AM1604" s="37" t="s">
        <v>93</v>
      </c>
      <c r="AN1604" s="37" t="str">
        <f t="shared" si="136"/>
        <v>N/A</v>
      </c>
      <c r="AO1604" s="37" t="str">
        <f t="shared" si="137"/>
        <v>N/A</v>
      </c>
      <c r="AP1604" s="37" t="s">
        <v>8</v>
      </c>
      <c r="AQ1604" s="25"/>
      <c r="AR1604" s="25"/>
      <c r="AS1604" s="25"/>
      <c r="AT1604" s="25"/>
      <c r="AU1604" s="36"/>
      <c r="AV1604" s="36"/>
      <c r="AW1604" s="36"/>
      <c r="AX1604" s="25"/>
      <c r="AY1604" s="25"/>
      <c r="AZ1604" s="25"/>
      <c r="BA1604" s="25"/>
      <c r="BB1604" s="25"/>
      <c r="BC1604" s="25"/>
      <c r="BD1604" s="25"/>
      <c r="BE1604" s="25"/>
      <c r="BF1604" s="25"/>
      <c r="BG1604" s="25"/>
      <c r="BH1604" s="25"/>
      <c r="BI1604" s="25"/>
      <c r="BJ1604" s="25"/>
      <c r="BK1604" s="25"/>
      <c r="BL1604" s="25"/>
      <c r="BM1604" s="25"/>
      <c r="BN1604" s="25"/>
      <c r="BO1604" s="25"/>
      <c r="BP1604" s="25"/>
      <c r="BQ1604" s="25"/>
      <c r="BR1604" s="25"/>
      <c r="BS1604" s="25"/>
      <c r="BT1604" s="25"/>
      <c r="BU1604" s="25"/>
      <c r="BV1604" s="25"/>
      <c r="BW1604" s="25"/>
      <c r="BX1604" s="25"/>
      <c r="BY1604" s="25"/>
      <c r="BZ1604" s="25"/>
      <c r="CA1604" s="25"/>
      <c r="CB1604" s="25"/>
      <c r="CC1604" s="25"/>
      <c r="CD1604" s="25"/>
      <c r="CE1604" s="200"/>
      <c r="CF1604" s="200"/>
      <c r="CG1604" s="200"/>
      <c r="CH1604" s="200"/>
      <c r="CI1604" s="200"/>
      <c r="CJ1604" s="200"/>
      <c r="CK1604" s="200"/>
      <c r="CL1604" s="200"/>
      <c r="CM1604" s="200"/>
      <c r="CN1604" s="200"/>
      <c r="CO1604" s="200"/>
      <c r="CP1604" s="200"/>
      <c r="CQ1604" s="200"/>
      <c r="CR1604" s="200"/>
      <c r="CS1604" s="200"/>
      <c r="CT1604" s="200"/>
      <c r="CU1604" s="200"/>
    </row>
    <row r="1605" spans="1:99" s="17" customFormat="1" x14ac:dyDescent="0.2">
      <c r="A1605" s="25"/>
      <c r="B1605" s="20">
        <v>39049009382</v>
      </c>
      <c r="C1605" s="20">
        <v>93.82</v>
      </c>
      <c r="D1605" s="20" t="s">
        <v>31</v>
      </c>
      <c r="E1605" s="20" t="s">
        <v>2830</v>
      </c>
      <c r="F1605" s="20" t="s">
        <v>6</v>
      </c>
      <c r="G1605" s="861">
        <v>48.9905821326713</v>
      </c>
      <c r="H1605" s="861">
        <v>52.615242412669701</v>
      </c>
      <c r="I1605" s="861">
        <v>31.985404862413301</v>
      </c>
      <c r="J1605" s="861">
        <v>39.791943909929302</v>
      </c>
      <c r="K1605" s="982">
        <v>0</v>
      </c>
      <c r="L1605" s="735">
        <v>2801</v>
      </c>
      <c r="M1605" s="735">
        <v>2940</v>
      </c>
      <c r="N1605" s="845">
        <f t="shared" si="133"/>
        <v>4.9625133880756872E-2</v>
      </c>
      <c r="O1605" s="735">
        <v>0.75176638552213282</v>
      </c>
      <c r="P1605" s="735">
        <f t="shared" si="134"/>
        <v>3910.7893843351994</v>
      </c>
      <c r="Q1605" s="849">
        <v>41.8</v>
      </c>
      <c r="R1605" s="71">
        <v>54205</v>
      </c>
      <c r="S1605" s="845">
        <v>0.15182531559194815</v>
      </c>
      <c r="T1605" s="845">
        <v>9.0999999999999998E-2</v>
      </c>
      <c r="U1605" s="845">
        <v>0</v>
      </c>
      <c r="V1605" s="845">
        <v>3.7000000000000005E-2</v>
      </c>
      <c r="W1605" s="845">
        <v>0.46045370938074803</v>
      </c>
      <c r="X1605" s="845">
        <v>9.986684420772303E-2</v>
      </c>
      <c r="Y1605" s="845">
        <v>0.68605442176870746</v>
      </c>
      <c r="Z1605" s="845">
        <v>0.1520408163265306</v>
      </c>
      <c r="AA1605" s="845">
        <v>0</v>
      </c>
      <c r="AB1605" s="845">
        <v>2.9931972789115645E-2</v>
      </c>
      <c r="AC1605" s="845">
        <v>0</v>
      </c>
      <c r="AD1605" s="845">
        <v>2.3809523809523808E-2</v>
      </c>
      <c r="AE1605" s="845">
        <v>0.10816326530612246</v>
      </c>
      <c r="AF1605" s="845">
        <v>4.0136054421768708E-2</v>
      </c>
      <c r="AG1605" s="845">
        <v>0.66870748299319727</v>
      </c>
      <c r="AH1605" s="20" t="str">
        <f t="shared" si="135"/>
        <v>No</v>
      </c>
      <c r="AI1605" s="25"/>
      <c r="AJ1605" s="37">
        <v>43332</v>
      </c>
      <c r="AK1605" s="37" t="s">
        <v>884</v>
      </c>
      <c r="AL1605" s="37">
        <v>39175</v>
      </c>
      <c r="AM1605" s="37" t="s">
        <v>93</v>
      </c>
      <c r="AN1605" s="37" t="str">
        <f t="shared" si="136"/>
        <v>N/A</v>
      </c>
      <c r="AO1605" s="37" t="str">
        <f t="shared" si="137"/>
        <v>N/A</v>
      </c>
      <c r="AP1605" s="37" t="s">
        <v>8</v>
      </c>
      <c r="AQ1605" s="25"/>
      <c r="AR1605" s="25"/>
      <c r="AS1605" s="25"/>
      <c r="AT1605" s="25"/>
      <c r="AU1605" s="36"/>
      <c r="AV1605" s="36"/>
      <c r="AW1605" s="36"/>
      <c r="AX1605" s="25"/>
      <c r="AY1605" s="25"/>
      <c r="AZ1605" s="25"/>
      <c r="BA1605" s="25"/>
      <c r="BB1605" s="25"/>
      <c r="BC1605" s="25"/>
      <c r="BD1605" s="25"/>
      <c r="BE1605" s="25"/>
      <c r="BF1605" s="25"/>
      <c r="BG1605" s="25"/>
      <c r="BH1605" s="25"/>
      <c r="BI1605" s="25"/>
      <c r="BJ1605" s="25"/>
      <c r="BK1605" s="25"/>
      <c r="BL1605" s="25"/>
      <c r="BM1605" s="25"/>
      <c r="BN1605" s="25"/>
      <c r="BO1605" s="25"/>
      <c r="BP1605" s="25"/>
      <c r="BQ1605" s="25"/>
      <c r="BR1605" s="25"/>
      <c r="BS1605" s="25"/>
      <c r="BT1605" s="25"/>
      <c r="BU1605" s="25"/>
      <c r="BV1605" s="25"/>
      <c r="BW1605" s="25"/>
      <c r="BX1605" s="25"/>
      <c r="BY1605" s="25"/>
      <c r="BZ1605" s="25"/>
      <c r="CA1605" s="25"/>
      <c r="CB1605" s="25"/>
      <c r="CC1605" s="25"/>
      <c r="CD1605" s="25"/>
      <c r="CE1605" s="200"/>
      <c r="CF1605" s="200"/>
      <c r="CG1605" s="200"/>
      <c r="CH1605" s="200"/>
      <c r="CI1605" s="200"/>
      <c r="CJ1605" s="200"/>
      <c r="CK1605" s="200"/>
      <c r="CL1605" s="200"/>
      <c r="CM1605" s="200"/>
      <c r="CN1605" s="200"/>
      <c r="CO1605" s="200"/>
      <c r="CP1605" s="200"/>
      <c r="CQ1605" s="200"/>
      <c r="CR1605" s="200"/>
      <c r="CS1605" s="200"/>
      <c r="CT1605" s="200"/>
      <c r="CU1605" s="200"/>
    </row>
    <row r="1606" spans="1:99" s="17" customFormat="1" x14ac:dyDescent="0.2">
      <c r="A1606" s="25"/>
      <c r="B1606" s="20">
        <v>39151712800</v>
      </c>
      <c r="C1606" s="20">
        <v>7128</v>
      </c>
      <c r="D1606" s="20" t="s">
        <v>81</v>
      </c>
      <c r="E1606" s="20" t="s">
        <v>2844</v>
      </c>
      <c r="F1606" s="20" t="s">
        <v>8</v>
      </c>
      <c r="G1606" s="861">
        <v>48.984571610279602</v>
      </c>
      <c r="H1606" s="861">
        <v>57.007911451731601</v>
      </c>
      <c r="I1606" s="861">
        <v>27.5426351146087</v>
      </c>
      <c r="J1606" s="861">
        <v>42.693993824437399</v>
      </c>
      <c r="K1606" s="982">
        <v>0</v>
      </c>
      <c r="L1606" s="735">
        <v>4818</v>
      </c>
      <c r="M1606" s="735">
        <v>4766</v>
      </c>
      <c r="N1606" s="845">
        <f t="shared" si="133"/>
        <v>-1.0792860107928601E-2</v>
      </c>
      <c r="O1606" s="735">
        <v>30.322037269893105</v>
      </c>
      <c r="P1606" s="735">
        <f t="shared" si="134"/>
        <v>157.17941237187858</v>
      </c>
      <c r="Q1606" s="849">
        <v>49.6</v>
      </c>
      <c r="R1606" s="71">
        <v>81458</v>
      </c>
      <c r="S1606" s="845">
        <v>7.0600858369098712E-2</v>
      </c>
      <c r="T1606" s="845">
        <v>4.4000000000000004E-2</v>
      </c>
      <c r="U1606" s="845">
        <v>2.7999999999999997E-2</v>
      </c>
      <c r="V1606" s="845">
        <v>0</v>
      </c>
      <c r="W1606" s="845">
        <v>0.25145067698259188</v>
      </c>
      <c r="X1606" s="845">
        <v>0.40576923076923077</v>
      </c>
      <c r="Y1606" s="845">
        <v>0.91418380193033988</v>
      </c>
      <c r="Z1606" s="845">
        <v>1.6156105749055811E-2</v>
      </c>
      <c r="AA1606" s="845">
        <v>0</v>
      </c>
      <c r="AB1606" s="845">
        <v>2.0981955518254301E-2</v>
      </c>
      <c r="AC1606" s="845">
        <v>0</v>
      </c>
      <c r="AD1606" s="845">
        <v>7.7633235417540912E-3</v>
      </c>
      <c r="AE1606" s="845">
        <v>4.0914813260595886E-2</v>
      </c>
      <c r="AF1606" s="845">
        <v>1.3428451531682753E-2</v>
      </c>
      <c r="AG1606" s="845">
        <v>0.90327318506084764</v>
      </c>
      <c r="AH1606" s="20" t="str">
        <f t="shared" si="135"/>
        <v>Yes</v>
      </c>
      <c r="AI1606" s="25"/>
      <c r="AJ1606" s="37">
        <v>43337</v>
      </c>
      <c r="AK1606" s="37" t="s">
        <v>888</v>
      </c>
      <c r="AL1606" s="37">
        <v>39175</v>
      </c>
      <c r="AM1606" s="37" t="s">
        <v>93</v>
      </c>
      <c r="AN1606" s="37" t="str">
        <f t="shared" si="136"/>
        <v>N/A</v>
      </c>
      <c r="AO1606" s="37" t="str">
        <f t="shared" si="137"/>
        <v>N/A</v>
      </c>
      <c r="AP1606" s="37" t="s">
        <v>8</v>
      </c>
      <c r="AQ1606" s="25"/>
      <c r="AR1606" s="25"/>
      <c r="AS1606" s="25"/>
      <c r="AT1606" s="25"/>
      <c r="AU1606" s="36"/>
      <c r="AV1606" s="36"/>
      <c r="AW1606" s="36"/>
      <c r="AX1606" s="25"/>
      <c r="AY1606" s="25"/>
      <c r="AZ1606" s="25"/>
      <c r="BA1606" s="25"/>
      <c r="BB1606" s="25"/>
      <c r="BC1606" s="25"/>
      <c r="BD1606" s="25"/>
      <c r="BE1606" s="25"/>
      <c r="BF1606" s="25"/>
      <c r="BG1606" s="25"/>
      <c r="BH1606" s="25"/>
      <c r="BI1606" s="25"/>
      <c r="BJ1606" s="25"/>
      <c r="BK1606" s="25"/>
      <c r="BL1606" s="25"/>
      <c r="BM1606" s="25"/>
      <c r="BN1606" s="25"/>
      <c r="BO1606" s="25"/>
      <c r="BP1606" s="25"/>
      <c r="BQ1606" s="25"/>
      <c r="BR1606" s="25"/>
      <c r="BS1606" s="25"/>
      <c r="BT1606" s="25"/>
      <c r="BU1606" s="25"/>
      <c r="BV1606" s="25"/>
      <c r="BW1606" s="25"/>
      <c r="BX1606" s="25"/>
      <c r="BY1606" s="25"/>
      <c r="BZ1606" s="25"/>
      <c r="CA1606" s="25"/>
      <c r="CB1606" s="25"/>
      <c r="CC1606" s="25"/>
      <c r="CD1606" s="25"/>
      <c r="CE1606" s="200"/>
      <c r="CF1606" s="200"/>
      <c r="CG1606" s="200"/>
      <c r="CH1606" s="200"/>
      <c r="CI1606" s="200"/>
      <c r="CJ1606" s="200"/>
      <c r="CK1606" s="200"/>
      <c r="CL1606" s="200"/>
      <c r="CM1606" s="200"/>
      <c r="CN1606" s="200"/>
      <c r="CO1606" s="200"/>
      <c r="CP1606" s="200"/>
      <c r="CQ1606" s="200"/>
      <c r="CR1606" s="200"/>
      <c r="CS1606" s="200"/>
      <c r="CT1606" s="200"/>
      <c r="CU1606" s="200"/>
    </row>
    <row r="1607" spans="1:99" s="17" customFormat="1" x14ac:dyDescent="0.2">
      <c r="A1607" s="25"/>
      <c r="B1607" s="20">
        <v>39123050900</v>
      </c>
      <c r="C1607" s="20">
        <v>509</v>
      </c>
      <c r="D1607" s="20" t="s">
        <v>67</v>
      </c>
      <c r="E1607" s="20" t="s">
        <v>2837</v>
      </c>
      <c r="F1607" s="20" t="s">
        <v>8</v>
      </c>
      <c r="G1607" s="861">
        <v>48.935925141313703</v>
      </c>
      <c r="H1607" s="861">
        <v>41.518698608018497</v>
      </c>
      <c r="I1607" s="861">
        <v>26.013325162628799</v>
      </c>
      <c r="J1607" s="861">
        <v>48.706256425715601</v>
      </c>
      <c r="K1607" s="982">
        <v>0</v>
      </c>
      <c r="L1607" s="735">
        <v>5656</v>
      </c>
      <c r="M1607" s="735">
        <v>5055</v>
      </c>
      <c r="N1607" s="845">
        <f t="shared" si="133"/>
        <v>-0.10625884016973126</v>
      </c>
      <c r="O1607" s="735">
        <v>72.541873560956233</v>
      </c>
      <c r="P1607" s="735">
        <f t="shared" si="134"/>
        <v>69.683890859978035</v>
      </c>
      <c r="Q1607" s="849">
        <v>47.4</v>
      </c>
      <c r="R1607" s="71">
        <v>98906</v>
      </c>
      <c r="S1607" s="845">
        <v>4.5986124876114969E-2</v>
      </c>
      <c r="T1607" s="845">
        <v>1.2E-2</v>
      </c>
      <c r="U1607" s="845">
        <v>8.0000000000000002E-3</v>
      </c>
      <c r="V1607" s="845">
        <v>0</v>
      </c>
      <c r="W1607" s="845">
        <v>0.11040856031128404</v>
      </c>
      <c r="X1607" s="845">
        <v>0.45814977973568283</v>
      </c>
      <c r="Y1607" s="845">
        <v>0.90425321463897135</v>
      </c>
      <c r="Z1607" s="845">
        <v>5.539070227497527E-3</v>
      </c>
      <c r="AA1607" s="845">
        <v>6.923837784371909E-3</v>
      </c>
      <c r="AB1607" s="845">
        <v>9.8911968348170125E-4</v>
      </c>
      <c r="AC1607" s="845">
        <v>0</v>
      </c>
      <c r="AD1607" s="845">
        <v>2.274975272007913E-2</v>
      </c>
      <c r="AE1607" s="845">
        <v>5.9545004945598418E-2</v>
      </c>
      <c r="AF1607" s="845">
        <v>6.8842729970326408E-2</v>
      </c>
      <c r="AG1607" s="845">
        <v>0.88902077151335313</v>
      </c>
      <c r="AH1607" s="20" t="str">
        <f t="shared" si="135"/>
        <v>No</v>
      </c>
      <c r="AI1607" s="25"/>
      <c r="AJ1607" s="37">
        <v>43351</v>
      </c>
      <c r="AK1607" s="37" t="s">
        <v>900</v>
      </c>
      <c r="AL1607" s="37">
        <v>39175</v>
      </c>
      <c r="AM1607" s="37" t="s">
        <v>93</v>
      </c>
      <c r="AN1607" s="37" t="str">
        <f t="shared" si="136"/>
        <v>N/A</v>
      </c>
      <c r="AO1607" s="37" t="str">
        <f t="shared" si="137"/>
        <v>N/A</v>
      </c>
      <c r="AP1607" s="37" t="s">
        <v>8</v>
      </c>
      <c r="AQ1607" s="25"/>
      <c r="AR1607" s="25"/>
      <c r="AS1607" s="25"/>
      <c r="AT1607" s="25"/>
      <c r="AU1607" s="36"/>
      <c r="AV1607" s="36"/>
      <c r="AW1607" s="36"/>
      <c r="AX1607" s="25"/>
      <c r="AY1607" s="25"/>
      <c r="AZ1607" s="25"/>
      <c r="BA1607" s="25"/>
      <c r="BB1607" s="25"/>
      <c r="BC1607" s="25"/>
      <c r="BD1607" s="25"/>
      <c r="BE1607" s="25"/>
      <c r="BF1607" s="25"/>
      <c r="BG1607" s="25"/>
      <c r="BH1607" s="25"/>
      <c r="BI1607" s="25"/>
      <c r="BJ1607" s="25"/>
      <c r="BK1607" s="25"/>
      <c r="BL1607" s="25"/>
      <c r="BM1607" s="25"/>
      <c r="BN1607" s="25"/>
      <c r="BO1607" s="25"/>
      <c r="BP1607" s="25"/>
      <c r="BQ1607" s="25"/>
      <c r="BR1607" s="25"/>
      <c r="BS1607" s="25"/>
      <c r="BT1607" s="25"/>
      <c r="BU1607" s="25"/>
      <c r="BV1607" s="25"/>
      <c r="BW1607" s="25"/>
      <c r="BX1607" s="25"/>
      <c r="BY1607" s="25"/>
      <c r="BZ1607" s="25"/>
      <c r="CA1607" s="25"/>
      <c r="CB1607" s="25"/>
      <c r="CC1607" s="25"/>
      <c r="CD1607" s="25"/>
      <c r="CE1607" s="200"/>
      <c r="CF1607" s="200"/>
      <c r="CG1607" s="200"/>
      <c r="CH1607" s="200"/>
      <c r="CI1607" s="200"/>
      <c r="CJ1607" s="200"/>
      <c r="CK1607" s="200"/>
      <c r="CL1607" s="200"/>
      <c r="CM1607" s="200"/>
      <c r="CN1607" s="200"/>
      <c r="CO1607" s="200"/>
      <c r="CP1607" s="200"/>
      <c r="CQ1607" s="200"/>
      <c r="CR1607" s="200"/>
      <c r="CS1607" s="200"/>
      <c r="CT1607" s="200"/>
      <c r="CU1607" s="200"/>
    </row>
    <row r="1608" spans="1:99" s="17" customFormat="1" x14ac:dyDescent="0.2">
      <c r="A1608" s="25"/>
      <c r="B1608" s="20">
        <v>39049004820</v>
      </c>
      <c r="C1608" s="20">
        <v>48.2</v>
      </c>
      <c r="D1608" s="20" t="s">
        <v>31</v>
      </c>
      <c r="E1608" s="20" t="s">
        <v>2830</v>
      </c>
      <c r="F1608" s="20" t="s">
        <v>6</v>
      </c>
      <c r="G1608" s="861">
        <v>48.935553851703503</v>
      </c>
      <c r="H1608" s="861">
        <v>68.281444212811905</v>
      </c>
      <c r="I1608" s="861">
        <v>53.365978760944003</v>
      </c>
      <c r="J1608" s="861">
        <v>51.804331744526699</v>
      </c>
      <c r="K1608" s="982">
        <v>0</v>
      </c>
      <c r="L1608" s="735">
        <v>2351</v>
      </c>
      <c r="M1608" s="735">
        <v>2534</v>
      </c>
      <c r="N1608" s="845">
        <f t="shared" si="133"/>
        <v>7.7839217354317314E-2</v>
      </c>
      <c r="O1608" s="735">
        <v>0.32672621033769922</v>
      </c>
      <c r="P1608" s="735">
        <f t="shared" si="134"/>
        <v>7755.7291696337934</v>
      </c>
      <c r="Q1608" s="849">
        <v>33.1</v>
      </c>
      <c r="R1608" s="71">
        <v>44348</v>
      </c>
      <c r="S1608" s="845">
        <v>0.2116991643454039</v>
      </c>
      <c r="T1608" s="845">
        <v>7.4999999999999997E-2</v>
      </c>
      <c r="U1608" s="845">
        <v>4.0999999999999995E-2</v>
      </c>
      <c r="V1608" s="845">
        <v>0</v>
      </c>
      <c r="W1608" s="845">
        <v>0.55807086614173229</v>
      </c>
      <c r="X1608" s="845">
        <v>0.42328042328042326</v>
      </c>
      <c r="Y1608" s="845">
        <v>0.6270718232044199</v>
      </c>
      <c r="Z1608" s="845">
        <v>0.19100236779794791</v>
      </c>
      <c r="AA1608" s="845">
        <v>0</v>
      </c>
      <c r="AB1608" s="845">
        <v>1.9731649565903711E-3</v>
      </c>
      <c r="AC1608" s="845">
        <v>0</v>
      </c>
      <c r="AD1608" s="845">
        <v>6.1168113654301498E-2</v>
      </c>
      <c r="AE1608" s="845">
        <v>0.11878453038674033</v>
      </c>
      <c r="AF1608" s="845">
        <v>9.826361483820048E-2</v>
      </c>
      <c r="AG1608" s="845">
        <v>0.61365430149960531</v>
      </c>
      <c r="AH1608" s="20" t="str">
        <f t="shared" si="135"/>
        <v>No</v>
      </c>
      <c r="AI1608" s="25"/>
      <c r="AJ1608" s="37">
        <v>43359</v>
      </c>
      <c r="AK1608" s="37" t="s">
        <v>904</v>
      </c>
      <c r="AL1608" s="37">
        <v>39175</v>
      </c>
      <c r="AM1608" s="37" t="s">
        <v>93</v>
      </c>
      <c r="AN1608" s="37" t="str">
        <f t="shared" si="136"/>
        <v>N/A</v>
      </c>
      <c r="AO1608" s="37" t="str">
        <f t="shared" si="137"/>
        <v>N/A</v>
      </c>
      <c r="AP1608" s="37" t="s">
        <v>8</v>
      </c>
      <c r="AQ1608" s="25"/>
      <c r="AR1608" s="25"/>
      <c r="AS1608" s="25"/>
      <c r="AT1608" s="25"/>
      <c r="AU1608" s="36"/>
      <c r="AV1608" s="36"/>
      <c r="AW1608" s="36"/>
      <c r="AX1608" s="25"/>
      <c r="AY1608" s="25"/>
      <c r="AZ1608" s="25"/>
      <c r="BA1608" s="25"/>
      <c r="BB1608" s="25"/>
      <c r="BC1608" s="25"/>
      <c r="BD1608" s="25"/>
      <c r="BE1608" s="25"/>
      <c r="BF1608" s="25"/>
      <c r="BG1608" s="25"/>
      <c r="BH1608" s="25"/>
      <c r="BI1608" s="25"/>
      <c r="BJ1608" s="25"/>
      <c r="BK1608" s="25"/>
      <c r="BL1608" s="25"/>
      <c r="BM1608" s="25"/>
      <c r="BN1608" s="25"/>
      <c r="BO1608" s="25"/>
      <c r="BP1608" s="25"/>
      <c r="BQ1608" s="25"/>
      <c r="BR1608" s="25"/>
      <c r="BS1608" s="25"/>
      <c r="BT1608" s="25"/>
      <c r="BU1608" s="25"/>
      <c r="BV1608" s="25"/>
      <c r="BW1608" s="25"/>
      <c r="BX1608" s="25"/>
      <c r="BY1608" s="25"/>
      <c r="BZ1608" s="25"/>
      <c r="CA1608" s="25"/>
      <c r="CB1608" s="25"/>
      <c r="CC1608" s="25"/>
      <c r="CD1608" s="25"/>
      <c r="CE1608" s="200"/>
      <c r="CF1608" s="200"/>
      <c r="CG1608" s="200"/>
      <c r="CH1608" s="200"/>
      <c r="CI1608" s="200"/>
      <c r="CJ1608" s="200"/>
      <c r="CK1608" s="200"/>
      <c r="CL1608" s="200"/>
      <c r="CM1608" s="200"/>
      <c r="CN1608" s="200"/>
      <c r="CO1608" s="200"/>
      <c r="CP1608" s="200"/>
      <c r="CQ1608" s="200"/>
      <c r="CR1608" s="200"/>
      <c r="CS1608" s="200"/>
      <c r="CT1608" s="200"/>
      <c r="CU1608" s="200"/>
    </row>
    <row r="1609" spans="1:99" s="17" customFormat="1" x14ac:dyDescent="0.2">
      <c r="A1609" s="25"/>
      <c r="B1609" s="20">
        <v>39167020400</v>
      </c>
      <c r="C1609" s="20">
        <v>204</v>
      </c>
      <c r="D1609" s="20" t="s">
        <v>89</v>
      </c>
      <c r="E1609" s="20" t="s">
        <v>265</v>
      </c>
      <c r="F1609" s="20" t="s">
        <v>8</v>
      </c>
      <c r="G1609" s="861">
        <v>48.908871281142702</v>
      </c>
      <c r="H1609" s="861">
        <v>43.190605703809901</v>
      </c>
      <c r="I1609" s="861">
        <v>35.086815699213197</v>
      </c>
      <c r="J1609" s="861">
        <v>37.615573399166301</v>
      </c>
      <c r="K1609" s="982">
        <v>0</v>
      </c>
      <c r="L1609" s="735">
        <v>2315</v>
      </c>
      <c r="M1609" s="735">
        <v>2324</v>
      </c>
      <c r="N1609" s="845">
        <f t="shared" si="133"/>
        <v>3.8876889848812094E-3</v>
      </c>
      <c r="O1609" s="735">
        <v>3.5770708615338007</v>
      </c>
      <c r="P1609" s="735">
        <f t="shared" si="134"/>
        <v>649.69358728428983</v>
      </c>
      <c r="Q1609" s="849">
        <v>43.1</v>
      </c>
      <c r="R1609" s="71">
        <v>55769</v>
      </c>
      <c r="S1609" s="845">
        <v>0.18334108887854816</v>
      </c>
      <c r="T1609" s="845">
        <v>9.3000000000000013E-2</v>
      </c>
      <c r="U1609" s="845">
        <v>0</v>
      </c>
      <c r="V1609" s="845">
        <v>2.3E-2</v>
      </c>
      <c r="W1609" s="845">
        <v>0.29680851063829788</v>
      </c>
      <c r="X1609" s="845">
        <v>0.4838709677419355</v>
      </c>
      <c r="Y1609" s="845">
        <v>0.94750430292598964</v>
      </c>
      <c r="Z1609" s="845">
        <v>1.7211703958691909E-2</v>
      </c>
      <c r="AA1609" s="845">
        <v>0</v>
      </c>
      <c r="AB1609" s="845">
        <v>2.6247848537005163E-2</v>
      </c>
      <c r="AC1609" s="845">
        <v>0</v>
      </c>
      <c r="AD1609" s="845">
        <v>0</v>
      </c>
      <c r="AE1609" s="845">
        <v>9.0361445783132526E-3</v>
      </c>
      <c r="AF1609" s="845">
        <v>1.2478485370051634E-2</v>
      </c>
      <c r="AG1609" s="845">
        <v>0.93502581755593805</v>
      </c>
      <c r="AH1609" s="20" t="str">
        <f t="shared" si="135"/>
        <v>Yes</v>
      </c>
      <c r="AI1609" s="25"/>
      <c r="AJ1609" s="37">
        <v>44820</v>
      </c>
      <c r="AK1609" s="37" t="s">
        <v>1476</v>
      </c>
      <c r="AL1609" s="37">
        <v>39175</v>
      </c>
      <c r="AM1609" s="37" t="s">
        <v>93</v>
      </c>
      <c r="AN1609" s="37" t="str">
        <f t="shared" si="136"/>
        <v>N/A</v>
      </c>
      <c r="AO1609" s="37" t="str">
        <f t="shared" si="137"/>
        <v>N/A</v>
      </c>
      <c r="AP1609" s="37" t="s">
        <v>8</v>
      </c>
      <c r="AQ1609" s="25"/>
      <c r="AR1609" s="25"/>
      <c r="AS1609" s="25"/>
      <c r="AT1609" s="25"/>
      <c r="AU1609" s="36"/>
      <c r="AV1609" s="36"/>
      <c r="AW1609" s="36"/>
      <c r="AX1609" s="25"/>
      <c r="AY1609" s="25"/>
      <c r="AZ1609" s="25"/>
      <c r="BA1609" s="25"/>
      <c r="BB1609" s="25"/>
      <c r="BC1609" s="25"/>
      <c r="BD1609" s="25"/>
      <c r="BE1609" s="25"/>
      <c r="BF1609" s="25"/>
      <c r="BG1609" s="25"/>
      <c r="BH1609" s="25"/>
      <c r="BI1609" s="25"/>
      <c r="BJ1609" s="25"/>
      <c r="BK1609" s="25"/>
      <c r="BL1609" s="25"/>
      <c r="BM1609" s="25"/>
      <c r="BN1609" s="25"/>
      <c r="BO1609" s="25"/>
      <c r="BP1609" s="25"/>
      <c r="BQ1609" s="25"/>
      <c r="BR1609" s="25"/>
      <c r="BS1609" s="25"/>
      <c r="BT1609" s="25"/>
      <c r="BU1609" s="25"/>
      <c r="BV1609" s="25"/>
      <c r="BW1609" s="25"/>
      <c r="BX1609" s="25"/>
      <c r="BY1609" s="25"/>
      <c r="BZ1609" s="25"/>
      <c r="CA1609" s="25"/>
      <c r="CB1609" s="25"/>
      <c r="CC1609" s="25"/>
      <c r="CD1609" s="25"/>
      <c r="CE1609" s="200"/>
      <c r="CF1609" s="200"/>
      <c r="CG1609" s="200"/>
      <c r="CH1609" s="200"/>
      <c r="CI1609" s="200"/>
      <c r="CJ1609" s="200"/>
      <c r="CK1609" s="200"/>
      <c r="CL1609" s="200"/>
      <c r="CM1609" s="200"/>
      <c r="CN1609" s="200"/>
      <c r="CO1609" s="200"/>
      <c r="CP1609" s="200"/>
      <c r="CQ1609" s="200"/>
      <c r="CR1609" s="200"/>
      <c r="CS1609" s="200"/>
      <c r="CT1609" s="200"/>
      <c r="CU1609" s="200"/>
    </row>
    <row r="1610" spans="1:99" s="17" customFormat="1" x14ac:dyDescent="0.2">
      <c r="A1610" s="25"/>
      <c r="B1610" s="20">
        <v>39039958900</v>
      </c>
      <c r="C1610" s="20">
        <v>9589</v>
      </c>
      <c r="D1610" s="20" t="s">
        <v>26</v>
      </c>
      <c r="E1610" s="20" t="s">
        <v>265</v>
      </c>
      <c r="F1610" s="20" t="s">
        <v>8</v>
      </c>
      <c r="G1610" s="861">
        <v>48.898159280175499</v>
      </c>
      <c r="H1610" s="861">
        <v>51.963197827992097</v>
      </c>
      <c r="I1610" s="861">
        <v>20.236661206849501</v>
      </c>
      <c r="J1610" s="861">
        <v>33.554853759100702</v>
      </c>
      <c r="K1610" s="982">
        <v>0</v>
      </c>
      <c r="L1610" s="735">
        <v>5277</v>
      </c>
      <c r="M1610" s="735">
        <v>4833</v>
      </c>
      <c r="N1610" s="845">
        <f t="shared" si="133"/>
        <v>-8.4138715179079018E-2</v>
      </c>
      <c r="O1610" s="735">
        <v>55.526987728140575</v>
      </c>
      <c r="P1610" s="735">
        <f t="shared" si="134"/>
        <v>87.038757147466853</v>
      </c>
      <c r="Q1610" s="849">
        <v>49.9</v>
      </c>
      <c r="R1610" s="71">
        <v>76074</v>
      </c>
      <c r="S1610" s="845">
        <v>7.8131545873481353E-2</v>
      </c>
      <c r="T1610" s="845">
        <v>1.9E-2</v>
      </c>
      <c r="U1610" s="845">
        <v>0</v>
      </c>
      <c r="V1610" s="845">
        <v>0</v>
      </c>
      <c r="W1610" s="845">
        <v>9.9586966498393756E-2</v>
      </c>
      <c r="X1610" s="845">
        <v>9.6774193548387094E-2</v>
      </c>
      <c r="Y1610" s="845">
        <v>0.91433891992551208</v>
      </c>
      <c r="Z1610" s="845">
        <v>5.3796813573349887E-3</v>
      </c>
      <c r="AA1610" s="845">
        <v>0</v>
      </c>
      <c r="AB1610" s="845">
        <v>1.4483757500517278E-3</v>
      </c>
      <c r="AC1610" s="845">
        <v>0</v>
      </c>
      <c r="AD1610" s="845">
        <v>2.069108214359611E-2</v>
      </c>
      <c r="AE1610" s="845">
        <v>5.8141940823505073E-2</v>
      </c>
      <c r="AF1610" s="845">
        <v>9.6627353610593839E-2</v>
      </c>
      <c r="AG1610" s="845">
        <v>0.88971653217463276</v>
      </c>
      <c r="AH1610" s="20" t="str">
        <f t="shared" si="135"/>
        <v>No</v>
      </c>
      <c r="AI1610" s="25"/>
      <c r="AJ1610" s="37">
        <v>44844</v>
      </c>
      <c r="AK1610" s="37" t="s">
        <v>1493</v>
      </c>
      <c r="AL1610" s="37">
        <v>39175</v>
      </c>
      <c r="AM1610" s="37" t="s">
        <v>93</v>
      </c>
      <c r="AN1610" s="37" t="str">
        <f t="shared" si="136"/>
        <v>N/A</v>
      </c>
      <c r="AO1610" s="37" t="str">
        <f t="shared" si="137"/>
        <v>N/A</v>
      </c>
      <c r="AP1610" s="37" t="s">
        <v>8</v>
      </c>
      <c r="AQ1610" s="25"/>
      <c r="AR1610" s="25"/>
      <c r="AS1610" s="25"/>
      <c r="AT1610" s="25"/>
      <c r="AU1610" s="36"/>
      <c r="AV1610" s="36"/>
      <c r="AW1610" s="36"/>
      <c r="AX1610" s="25"/>
      <c r="AY1610" s="25"/>
      <c r="AZ1610" s="25"/>
      <c r="BA1610" s="25"/>
      <c r="BB1610" s="25"/>
      <c r="BC1610" s="25"/>
      <c r="BD1610" s="25"/>
      <c r="BE1610" s="25"/>
      <c r="BF1610" s="25"/>
      <c r="BG1610" s="25"/>
      <c r="BH1610" s="25"/>
      <c r="BI1610" s="25"/>
      <c r="BJ1610" s="25"/>
      <c r="BK1610" s="25"/>
      <c r="BL1610" s="25"/>
      <c r="BM1610" s="25"/>
      <c r="BN1610" s="25"/>
      <c r="BO1610" s="25"/>
      <c r="BP1610" s="25"/>
      <c r="BQ1610" s="25"/>
      <c r="BR1610" s="25"/>
      <c r="BS1610" s="25"/>
      <c r="BT1610" s="25"/>
      <c r="BU1610" s="25"/>
      <c r="BV1610" s="25"/>
      <c r="BW1610" s="25"/>
      <c r="BX1610" s="25"/>
      <c r="BY1610" s="25"/>
      <c r="BZ1610" s="25"/>
      <c r="CA1610" s="25"/>
      <c r="CB1610" s="25"/>
      <c r="CC1610" s="25"/>
      <c r="CD1610" s="25"/>
      <c r="CE1610" s="200"/>
      <c r="CF1610" s="200"/>
      <c r="CG1610" s="200"/>
      <c r="CH1610" s="200"/>
      <c r="CI1610" s="200"/>
      <c r="CJ1610" s="200"/>
      <c r="CK1610" s="200"/>
      <c r="CL1610" s="200"/>
      <c r="CM1610" s="200"/>
      <c r="CN1610" s="200"/>
      <c r="CO1610" s="200"/>
      <c r="CP1610" s="200"/>
      <c r="CQ1610" s="200"/>
      <c r="CR1610" s="200"/>
      <c r="CS1610" s="200"/>
      <c r="CT1610" s="200"/>
      <c r="CU1610" s="200"/>
    </row>
    <row r="1611" spans="1:99" s="17" customFormat="1" x14ac:dyDescent="0.2">
      <c r="A1611" s="25"/>
      <c r="B1611" s="20">
        <v>39151714802</v>
      </c>
      <c r="C1611" s="20">
        <v>7148.02</v>
      </c>
      <c r="D1611" s="20" t="s">
        <v>81</v>
      </c>
      <c r="E1611" s="20" t="s">
        <v>2844</v>
      </c>
      <c r="F1611" s="20" t="s">
        <v>8</v>
      </c>
      <c r="G1611" s="861">
        <v>48.893473624237998</v>
      </c>
      <c r="H1611" s="861">
        <v>54.257753628478397</v>
      </c>
      <c r="I1611" s="861">
        <v>29.659676376381899</v>
      </c>
      <c r="J1611" s="861">
        <v>47.608404005278402</v>
      </c>
      <c r="K1611" s="982">
        <v>0</v>
      </c>
      <c r="L1611" s="735">
        <v>2797</v>
      </c>
      <c r="M1611" s="735">
        <v>3111</v>
      </c>
      <c r="N1611" s="845">
        <f t="shared" ref="N1611:N1674" si="138">IF(OR(L1611="",M1611=""),"",(M1611-L1611)/L1611)</f>
        <v>0.11226313907758312</v>
      </c>
      <c r="O1611" s="735">
        <v>30.278747495871709</v>
      </c>
      <c r="P1611" s="735">
        <f t="shared" ref="P1611:P1674" si="139">M1611/O1611</f>
        <v>102.74533318870481</v>
      </c>
      <c r="Q1611" s="849">
        <v>50.6</v>
      </c>
      <c r="R1611" s="71">
        <v>71995</v>
      </c>
      <c r="S1611" s="845">
        <v>9.8682095789135324E-2</v>
      </c>
      <c r="T1611" s="845">
        <v>1.3000000000000001E-2</v>
      </c>
      <c r="U1611" s="845">
        <v>0</v>
      </c>
      <c r="V1611" s="845">
        <v>0</v>
      </c>
      <c r="W1611" s="845">
        <v>0.14148681055155876</v>
      </c>
      <c r="X1611" s="845">
        <v>0.4576271186440678</v>
      </c>
      <c r="Y1611" s="845">
        <v>0.96367727418836391</v>
      </c>
      <c r="Z1611" s="845">
        <v>7.3931211828993891E-3</v>
      </c>
      <c r="AA1611" s="845">
        <v>0</v>
      </c>
      <c r="AB1611" s="845">
        <v>0</v>
      </c>
      <c r="AC1611" s="845">
        <v>0</v>
      </c>
      <c r="AD1611" s="845">
        <v>2.8929604628736743E-3</v>
      </c>
      <c r="AE1611" s="845">
        <v>2.6036644165863067E-2</v>
      </c>
      <c r="AF1611" s="845">
        <v>3.2144005143040825E-3</v>
      </c>
      <c r="AG1611" s="845">
        <v>0.9604628736740598</v>
      </c>
      <c r="AH1611" s="20" t="str">
        <f t="shared" ref="AH1611:AH1674" si="140">IF(AG1611&gt;=0.9,"Yes","No")</f>
        <v>Yes</v>
      </c>
      <c r="AI1611" s="25"/>
      <c r="AJ1611" s="37">
        <v>44849</v>
      </c>
      <c r="AK1611" s="37" t="s">
        <v>1496</v>
      </c>
      <c r="AL1611" s="37">
        <v>39175</v>
      </c>
      <c r="AM1611" s="37" t="s">
        <v>93</v>
      </c>
      <c r="AN1611" s="37" t="str">
        <f t="shared" ref="AN1611:AN1674" si="141">VLOOKUP(AM1611,$CY$11:$DA$98,2,FALSE)</f>
        <v>N/A</v>
      </c>
      <c r="AO1611" s="37" t="str">
        <f t="shared" ref="AO1611:AO1674" si="142">VLOOKUP(AM1611,$CY$11:$DA$98,3,FALSE)</f>
        <v>N/A</v>
      </c>
      <c r="AP1611" s="37" t="s">
        <v>8</v>
      </c>
      <c r="AQ1611" s="25"/>
      <c r="AR1611" s="25"/>
      <c r="AS1611" s="25"/>
      <c r="AT1611" s="25"/>
      <c r="AU1611" s="36"/>
      <c r="AV1611" s="36"/>
      <c r="AW1611" s="36"/>
      <c r="AX1611" s="25"/>
      <c r="AY1611" s="25"/>
      <c r="AZ1611" s="25"/>
      <c r="BA1611" s="25"/>
      <c r="BB1611" s="25"/>
      <c r="BC1611" s="25"/>
      <c r="BD1611" s="25"/>
      <c r="BE1611" s="25"/>
      <c r="BF1611" s="25"/>
      <c r="BG1611" s="25"/>
      <c r="BH1611" s="25"/>
      <c r="BI1611" s="25"/>
      <c r="BJ1611" s="25"/>
      <c r="BK1611" s="25"/>
      <c r="BL1611" s="25"/>
      <c r="BM1611" s="25"/>
      <c r="BN1611" s="25"/>
      <c r="BO1611" s="25"/>
      <c r="BP1611" s="25"/>
      <c r="BQ1611" s="25"/>
      <c r="BR1611" s="25"/>
      <c r="BS1611" s="25"/>
      <c r="BT1611" s="25"/>
      <c r="BU1611" s="25"/>
      <c r="BV1611" s="25"/>
      <c r="BW1611" s="25"/>
      <c r="BX1611" s="25"/>
      <c r="BY1611" s="25"/>
      <c r="BZ1611" s="25"/>
      <c r="CA1611" s="25"/>
      <c r="CB1611" s="25"/>
      <c r="CC1611" s="25"/>
      <c r="CD1611" s="25"/>
      <c r="CE1611" s="200"/>
      <c r="CF1611" s="200"/>
      <c r="CG1611" s="200"/>
      <c r="CH1611" s="200"/>
      <c r="CI1611" s="200"/>
      <c r="CJ1611" s="200"/>
      <c r="CK1611" s="200"/>
      <c r="CL1611" s="200"/>
      <c r="CM1611" s="200"/>
      <c r="CN1611" s="200"/>
      <c r="CO1611" s="200"/>
      <c r="CP1611" s="200"/>
      <c r="CQ1611" s="200"/>
      <c r="CR1611" s="200"/>
      <c r="CS1611" s="200"/>
      <c r="CT1611" s="200"/>
      <c r="CU1611" s="200"/>
    </row>
    <row r="1612" spans="1:99" s="17" customFormat="1" x14ac:dyDescent="0.2">
      <c r="A1612" s="25"/>
      <c r="B1612" s="20">
        <v>39061006501</v>
      </c>
      <c r="C1612" s="20">
        <v>65.010000000000005</v>
      </c>
      <c r="D1612" s="20" t="s">
        <v>37</v>
      </c>
      <c r="E1612" s="20" t="s">
        <v>2828</v>
      </c>
      <c r="F1612" s="20" t="s">
        <v>8</v>
      </c>
      <c r="G1612" s="861">
        <v>48.8923751760084</v>
      </c>
      <c r="H1612" s="861">
        <v>56.987820690584499</v>
      </c>
      <c r="I1612" s="861">
        <v>19.291674328437502</v>
      </c>
      <c r="J1612" s="861">
        <v>59.169724837809198</v>
      </c>
      <c r="K1612" s="982">
        <v>0</v>
      </c>
      <c r="L1612" s="735" t="s">
        <v>2466</v>
      </c>
      <c r="M1612" s="735">
        <v>2892</v>
      </c>
      <c r="N1612" s="845" t="str">
        <f t="shared" si="138"/>
        <v/>
      </c>
      <c r="O1612" s="735">
        <v>0.36445727158183749</v>
      </c>
      <c r="P1612" s="735">
        <f t="shared" si="139"/>
        <v>7935.0865670699404</v>
      </c>
      <c r="Q1612" s="849">
        <v>20.2</v>
      </c>
      <c r="R1612" s="71"/>
      <c r="S1612" s="845">
        <v>0.10236220472440945</v>
      </c>
      <c r="T1612" s="845">
        <v>0.113</v>
      </c>
      <c r="U1612" s="845">
        <v>0</v>
      </c>
      <c r="V1612" s="845">
        <v>0</v>
      </c>
      <c r="W1612" s="845">
        <v>0.356401384083045</v>
      </c>
      <c r="X1612" s="845">
        <v>0.17475728155339806</v>
      </c>
      <c r="Y1612" s="845">
        <v>0.75587828492392806</v>
      </c>
      <c r="Z1612" s="845">
        <v>0.16943291839557401</v>
      </c>
      <c r="AA1612" s="845">
        <v>6.9156293222683261E-3</v>
      </c>
      <c r="AB1612" s="845">
        <v>2.8008298755186723E-2</v>
      </c>
      <c r="AC1612" s="845">
        <v>0</v>
      </c>
      <c r="AD1612" s="845">
        <v>2.4204702627939143E-2</v>
      </c>
      <c r="AE1612" s="845">
        <v>1.5560165975103735E-2</v>
      </c>
      <c r="AF1612" s="845">
        <v>3.4232365145228219E-2</v>
      </c>
      <c r="AG1612" s="845">
        <v>0.7430843706777317</v>
      </c>
      <c r="AH1612" s="20" t="str">
        <f t="shared" si="140"/>
        <v>No</v>
      </c>
      <c r="AI1612" s="25"/>
      <c r="AJ1612" s="37">
        <v>44882</v>
      </c>
      <c r="AK1612" s="37" t="s">
        <v>1516</v>
      </c>
      <c r="AL1612" s="37">
        <v>39175</v>
      </c>
      <c r="AM1612" s="37" t="s">
        <v>93</v>
      </c>
      <c r="AN1612" s="37" t="str">
        <f t="shared" si="141"/>
        <v>N/A</v>
      </c>
      <c r="AO1612" s="37" t="str">
        <f t="shared" si="142"/>
        <v>N/A</v>
      </c>
      <c r="AP1612" s="37" t="s">
        <v>8</v>
      </c>
      <c r="AQ1612" s="25"/>
      <c r="AR1612" s="25"/>
      <c r="AS1612" s="25"/>
      <c r="AT1612" s="25"/>
      <c r="AU1612" s="36"/>
      <c r="AV1612" s="36"/>
      <c r="AW1612" s="36"/>
      <c r="AX1612" s="25"/>
      <c r="AY1612" s="25"/>
      <c r="AZ1612" s="25"/>
      <c r="BA1612" s="25"/>
      <c r="BB1612" s="25"/>
      <c r="BC1612" s="25"/>
      <c r="BD1612" s="25"/>
      <c r="BE1612" s="25"/>
      <c r="BF1612" s="25"/>
      <c r="BG1612" s="25"/>
      <c r="BH1612" s="25"/>
      <c r="BI1612" s="25"/>
      <c r="BJ1612" s="25"/>
      <c r="BK1612" s="25"/>
      <c r="BL1612" s="25"/>
      <c r="BM1612" s="25"/>
      <c r="BN1612" s="25"/>
      <c r="BO1612" s="25"/>
      <c r="BP1612" s="25"/>
      <c r="BQ1612" s="25"/>
      <c r="BR1612" s="25"/>
      <c r="BS1612" s="25"/>
      <c r="BT1612" s="25"/>
      <c r="BU1612" s="25"/>
      <c r="BV1612" s="25"/>
      <c r="BW1612" s="25"/>
      <c r="BX1612" s="25"/>
      <c r="BY1612" s="25"/>
      <c r="BZ1612" s="25"/>
      <c r="CA1612" s="25"/>
      <c r="CB1612" s="25"/>
      <c r="CC1612" s="25"/>
      <c r="CD1612" s="25"/>
      <c r="CE1612" s="200"/>
      <c r="CF1612" s="200"/>
      <c r="CG1612" s="200"/>
      <c r="CH1612" s="200"/>
      <c r="CI1612" s="200"/>
      <c r="CJ1612" s="200"/>
      <c r="CK1612" s="200"/>
      <c r="CL1612" s="200"/>
      <c r="CM1612" s="200"/>
      <c r="CN1612" s="200"/>
      <c r="CO1612" s="200"/>
      <c r="CP1612" s="200"/>
      <c r="CQ1612" s="200"/>
      <c r="CR1612" s="200"/>
      <c r="CS1612" s="200"/>
      <c r="CT1612" s="200"/>
      <c r="CU1612" s="200"/>
    </row>
    <row r="1613" spans="1:99" s="17" customFormat="1" x14ac:dyDescent="0.2">
      <c r="A1613" s="25"/>
      <c r="B1613" s="20">
        <v>39157020900</v>
      </c>
      <c r="C1613" s="20">
        <v>209</v>
      </c>
      <c r="D1613" s="20" t="s">
        <v>84</v>
      </c>
      <c r="E1613" s="20" t="s">
        <v>265</v>
      </c>
      <c r="F1613" s="20" t="s">
        <v>8</v>
      </c>
      <c r="G1613" s="861">
        <v>48.867675549872601</v>
      </c>
      <c r="H1613" s="861">
        <v>65.258224479088796</v>
      </c>
      <c r="I1613" s="861">
        <v>28.173820643625898</v>
      </c>
      <c r="J1613" s="861">
        <v>36.900264459581699</v>
      </c>
      <c r="K1613" s="982">
        <v>0</v>
      </c>
      <c r="L1613" s="735">
        <v>4145</v>
      </c>
      <c r="M1613" s="735">
        <v>4407</v>
      </c>
      <c r="N1613" s="845">
        <f t="shared" si="138"/>
        <v>6.3208685162846806E-2</v>
      </c>
      <c r="O1613" s="735">
        <v>3.6822856302610596</v>
      </c>
      <c r="P1613" s="735">
        <f t="shared" si="139"/>
        <v>1196.8110142741862</v>
      </c>
      <c r="Q1613" s="849">
        <v>44</v>
      </c>
      <c r="R1613" s="71">
        <v>73762</v>
      </c>
      <c r="S1613" s="845">
        <v>7.9259936043855644E-2</v>
      </c>
      <c r="T1613" s="845">
        <v>3.4000000000000002E-2</v>
      </c>
      <c r="U1613" s="845">
        <v>1.9E-2</v>
      </c>
      <c r="V1613" s="845">
        <v>0</v>
      </c>
      <c r="W1613" s="845">
        <v>0.36486486486486486</v>
      </c>
      <c r="X1613" s="845">
        <v>0.30315500685871055</v>
      </c>
      <c r="Y1613" s="845">
        <v>0.90855457227138647</v>
      </c>
      <c r="Z1613" s="845">
        <v>2.3825731790333562E-2</v>
      </c>
      <c r="AA1613" s="845">
        <v>0</v>
      </c>
      <c r="AB1613" s="845">
        <v>7.4880871341048332E-3</v>
      </c>
      <c r="AC1613" s="845">
        <v>0</v>
      </c>
      <c r="AD1613" s="845">
        <v>5.3324256864079871E-2</v>
      </c>
      <c r="AE1613" s="845">
        <v>6.8073519400953025E-3</v>
      </c>
      <c r="AF1613" s="845">
        <v>5.6954844565464034E-2</v>
      </c>
      <c r="AG1613" s="845">
        <v>0.90855457227138647</v>
      </c>
      <c r="AH1613" s="20" t="str">
        <f t="shared" si="140"/>
        <v>Yes</v>
      </c>
      <c r="AI1613" s="25"/>
      <c r="AJ1613" s="37">
        <v>45843</v>
      </c>
      <c r="AK1613" s="37" t="s">
        <v>1909</v>
      </c>
      <c r="AL1613" s="37">
        <v>39175</v>
      </c>
      <c r="AM1613" s="37" t="s">
        <v>93</v>
      </c>
      <c r="AN1613" s="37" t="str">
        <f t="shared" si="141"/>
        <v>N/A</v>
      </c>
      <c r="AO1613" s="37" t="str">
        <f t="shared" si="142"/>
        <v>N/A</v>
      </c>
      <c r="AP1613" s="37" t="s">
        <v>8</v>
      </c>
      <c r="AQ1613" s="25"/>
      <c r="AR1613" s="25"/>
      <c r="AS1613" s="25"/>
      <c r="AT1613" s="25"/>
      <c r="AU1613" s="36"/>
      <c r="AV1613" s="36"/>
      <c r="AW1613" s="36"/>
      <c r="AX1613" s="25"/>
      <c r="AY1613" s="25"/>
      <c r="AZ1613" s="25"/>
      <c r="BA1613" s="25"/>
      <c r="BB1613" s="25"/>
      <c r="BC1613" s="25"/>
      <c r="BD1613" s="25"/>
      <c r="BE1613" s="25"/>
      <c r="BF1613" s="25"/>
      <c r="BG1613" s="25"/>
      <c r="BH1613" s="25"/>
      <c r="BI1613" s="25"/>
      <c r="BJ1613" s="25"/>
      <c r="BK1613" s="25"/>
      <c r="BL1613" s="25"/>
      <c r="BM1613" s="25"/>
      <c r="BN1613" s="25"/>
      <c r="BO1613" s="25"/>
      <c r="BP1613" s="25"/>
      <c r="BQ1613" s="25"/>
      <c r="BR1613" s="25"/>
      <c r="BS1613" s="25"/>
      <c r="BT1613" s="25"/>
      <c r="BU1613" s="25"/>
      <c r="BV1613" s="25"/>
      <c r="BW1613" s="25"/>
      <c r="BX1613" s="25"/>
      <c r="BY1613" s="25"/>
      <c r="BZ1613" s="25"/>
      <c r="CA1613" s="25"/>
      <c r="CB1613" s="25"/>
      <c r="CC1613" s="25"/>
      <c r="CD1613" s="25"/>
      <c r="CE1613" s="200"/>
      <c r="CF1613" s="200"/>
      <c r="CG1613" s="200"/>
      <c r="CH1613" s="200"/>
      <c r="CI1613" s="200"/>
      <c r="CJ1613" s="200"/>
      <c r="CK1613" s="200"/>
      <c r="CL1613" s="200"/>
      <c r="CM1613" s="200"/>
      <c r="CN1613" s="200"/>
      <c r="CO1613" s="200"/>
      <c r="CP1613" s="200"/>
      <c r="CQ1613" s="200"/>
      <c r="CR1613" s="200"/>
      <c r="CS1613" s="200"/>
      <c r="CT1613" s="200"/>
      <c r="CU1613" s="200"/>
    </row>
    <row r="1614" spans="1:99" s="17" customFormat="1" x14ac:dyDescent="0.2">
      <c r="A1614" s="25"/>
      <c r="B1614" s="20">
        <v>39143961500</v>
      </c>
      <c r="C1614" s="20">
        <v>9615</v>
      </c>
      <c r="D1614" s="20" t="s">
        <v>77</v>
      </c>
      <c r="E1614" s="20" t="s">
        <v>265</v>
      </c>
      <c r="F1614" s="20" t="s">
        <v>8</v>
      </c>
      <c r="G1614" s="861">
        <v>48.842867881320103</v>
      </c>
      <c r="H1614" s="861">
        <v>53.129804351757002</v>
      </c>
      <c r="I1614" s="861">
        <v>38.076737808954697</v>
      </c>
      <c r="J1614" s="861">
        <v>38.534678468523303</v>
      </c>
      <c r="K1614" s="982">
        <v>0</v>
      </c>
      <c r="L1614" s="735">
        <v>4319</v>
      </c>
      <c r="M1614" s="735">
        <v>4246</v>
      </c>
      <c r="N1614" s="845">
        <f t="shared" si="138"/>
        <v>-1.6902060662190323E-2</v>
      </c>
      <c r="O1614" s="735">
        <v>0.68474986165090934</v>
      </c>
      <c r="P1614" s="735">
        <f t="shared" si="139"/>
        <v>6200.8044656818684</v>
      </c>
      <c r="Q1614" s="849">
        <v>35</v>
      </c>
      <c r="R1614" s="71">
        <v>50408</v>
      </c>
      <c r="S1614" s="845">
        <v>0.19407582938388626</v>
      </c>
      <c r="T1614" s="845">
        <v>0.04</v>
      </c>
      <c r="U1614" s="845">
        <v>6.4000000000000001E-2</v>
      </c>
      <c r="V1614" s="845">
        <v>0</v>
      </c>
      <c r="W1614" s="845">
        <v>0.38992642897566498</v>
      </c>
      <c r="X1614" s="845">
        <v>0.5079825834542816</v>
      </c>
      <c r="Y1614" s="845">
        <v>0.66839378238341973</v>
      </c>
      <c r="Z1614" s="845">
        <v>0.12859161563824775</v>
      </c>
      <c r="AA1614" s="845">
        <v>9.4206311822892137E-4</v>
      </c>
      <c r="AB1614" s="845">
        <v>4.2392840320301462E-3</v>
      </c>
      <c r="AC1614" s="845">
        <v>0</v>
      </c>
      <c r="AD1614" s="845">
        <v>5.2520018841262367E-2</v>
      </c>
      <c r="AE1614" s="845">
        <v>0.14531323598681112</v>
      </c>
      <c r="AF1614" s="845">
        <v>0.16910032972209138</v>
      </c>
      <c r="AG1614" s="845">
        <v>0.64060292039566646</v>
      </c>
      <c r="AH1614" s="20" t="str">
        <f t="shared" si="140"/>
        <v>No</v>
      </c>
      <c r="AI1614" s="25"/>
      <c r="AJ1614" s="37">
        <v>45867</v>
      </c>
      <c r="AK1614" s="37" t="s">
        <v>1930</v>
      </c>
      <c r="AL1614" s="37">
        <v>39175</v>
      </c>
      <c r="AM1614" s="37" t="s">
        <v>93</v>
      </c>
      <c r="AN1614" s="37" t="str">
        <f t="shared" si="141"/>
        <v>N/A</v>
      </c>
      <c r="AO1614" s="37" t="str">
        <f t="shared" si="142"/>
        <v>N/A</v>
      </c>
      <c r="AP1614" s="37" t="s">
        <v>8</v>
      </c>
      <c r="AQ1614" s="25"/>
      <c r="AR1614" s="25"/>
      <c r="AS1614" s="25"/>
      <c r="AT1614" s="25"/>
      <c r="AU1614" s="36"/>
      <c r="AV1614" s="36"/>
      <c r="AW1614" s="36"/>
      <c r="AX1614" s="25"/>
      <c r="AY1614" s="25"/>
      <c r="AZ1614" s="25"/>
      <c r="BA1614" s="25"/>
      <c r="BB1614" s="25"/>
      <c r="BC1614" s="25"/>
      <c r="BD1614" s="25"/>
      <c r="BE1614" s="25"/>
      <c r="BF1614" s="25"/>
      <c r="BG1614" s="25"/>
      <c r="BH1614" s="25"/>
      <c r="BI1614" s="25"/>
      <c r="BJ1614" s="25"/>
      <c r="BK1614" s="25"/>
      <c r="BL1614" s="25"/>
      <c r="BM1614" s="25"/>
      <c r="BN1614" s="25"/>
      <c r="BO1614" s="25"/>
      <c r="BP1614" s="25"/>
      <c r="BQ1614" s="25"/>
      <c r="BR1614" s="25"/>
      <c r="BS1614" s="25"/>
      <c r="BT1614" s="25"/>
      <c r="BU1614" s="25"/>
      <c r="BV1614" s="25"/>
      <c r="BW1614" s="25"/>
      <c r="BX1614" s="25"/>
      <c r="BY1614" s="25"/>
      <c r="BZ1614" s="25"/>
      <c r="CA1614" s="25"/>
      <c r="CB1614" s="25"/>
      <c r="CC1614" s="25"/>
      <c r="CD1614" s="25"/>
      <c r="CE1614" s="200"/>
      <c r="CF1614" s="200"/>
      <c r="CG1614" s="200"/>
      <c r="CH1614" s="200"/>
      <c r="CI1614" s="200"/>
      <c r="CJ1614" s="200"/>
      <c r="CK1614" s="200"/>
      <c r="CL1614" s="200"/>
      <c r="CM1614" s="200"/>
      <c r="CN1614" s="200"/>
      <c r="CO1614" s="200"/>
      <c r="CP1614" s="200"/>
      <c r="CQ1614" s="200"/>
      <c r="CR1614" s="200"/>
      <c r="CS1614" s="200"/>
      <c r="CT1614" s="200"/>
      <c r="CU1614" s="200"/>
    </row>
    <row r="1615" spans="1:99" s="17" customFormat="1" x14ac:dyDescent="0.2">
      <c r="A1615" s="25"/>
      <c r="B1615" s="20">
        <v>39049009410</v>
      </c>
      <c r="C1615" s="20">
        <v>94.1</v>
      </c>
      <c r="D1615" s="20" t="s">
        <v>31</v>
      </c>
      <c r="E1615" s="20" t="s">
        <v>2830</v>
      </c>
      <c r="F1615" s="20" t="s">
        <v>8</v>
      </c>
      <c r="G1615" s="861">
        <v>48.841204098063102</v>
      </c>
      <c r="H1615" s="861">
        <v>57.9818290567028</v>
      </c>
      <c r="I1615" s="861">
        <v>21.339860867997199</v>
      </c>
      <c r="J1615" s="861">
        <v>47.817067103401399</v>
      </c>
      <c r="K1615" s="982">
        <v>0</v>
      </c>
      <c r="L1615" s="735">
        <v>2883</v>
      </c>
      <c r="M1615" s="735">
        <v>3025</v>
      </c>
      <c r="N1615" s="845">
        <f t="shared" si="138"/>
        <v>4.9254249046132501E-2</v>
      </c>
      <c r="O1615" s="735">
        <v>0.49825209429243289</v>
      </c>
      <c r="P1615" s="735">
        <f t="shared" si="139"/>
        <v>6071.2238536514296</v>
      </c>
      <c r="Q1615" s="849">
        <v>39.200000000000003</v>
      </c>
      <c r="R1615" s="71">
        <v>74545</v>
      </c>
      <c r="S1615" s="845">
        <v>7.8255078255078256E-2</v>
      </c>
      <c r="T1615" s="845">
        <v>6.0999999999999999E-2</v>
      </c>
      <c r="U1615" s="845">
        <v>0</v>
      </c>
      <c r="V1615" s="845">
        <v>0</v>
      </c>
      <c r="W1615" s="845">
        <v>0.22182468694096602</v>
      </c>
      <c r="X1615" s="845">
        <v>0.20161290322580644</v>
      </c>
      <c r="Y1615" s="845">
        <v>0.51504132231404953</v>
      </c>
      <c r="Z1615" s="845">
        <v>0.44925619834710745</v>
      </c>
      <c r="AA1615" s="845">
        <v>0</v>
      </c>
      <c r="AB1615" s="845">
        <v>0</v>
      </c>
      <c r="AC1615" s="845">
        <v>0</v>
      </c>
      <c r="AD1615" s="845">
        <v>0</v>
      </c>
      <c r="AE1615" s="845">
        <v>3.5702479338842977E-2</v>
      </c>
      <c r="AF1615" s="845">
        <v>1.1570247933884297E-2</v>
      </c>
      <c r="AG1615" s="845">
        <v>0.51504132231404953</v>
      </c>
      <c r="AH1615" s="20" t="str">
        <f t="shared" si="140"/>
        <v>No</v>
      </c>
      <c r="AI1615" s="25"/>
      <c r="AJ1615" s="20">
        <v>43438</v>
      </c>
      <c r="AK1615" s="20" t="s">
        <v>925</v>
      </c>
      <c r="AL1615" s="20">
        <v>39043</v>
      </c>
      <c r="AM1615" s="20" t="s">
        <v>28</v>
      </c>
      <c r="AN1615" s="37">
        <f t="shared" si="141"/>
        <v>41780</v>
      </c>
      <c r="AO1615" s="37" t="str">
        <f t="shared" si="142"/>
        <v>Sandusky, OH</v>
      </c>
      <c r="AP1615" s="20" t="s">
        <v>8</v>
      </c>
      <c r="AQ1615" s="25"/>
      <c r="AR1615" s="25"/>
      <c r="AS1615" s="25"/>
      <c r="AT1615" s="25"/>
      <c r="AU1615" s="36"/>
      <c r="AV1615" s="36"/>
      <c r="AW1615" s="36"/>
      <c r="AX1615" s="25"/>
      <c r="AY1615" s="25"/>
      <c r="AZ1615" s="25"/>
      <c r="BA1615" s="25"/>
      <c r="BB1615" s="25"/>
      <c r="BC1615" s="25"/>
      <c r="BD1615" s="25"/>
      <c r="BE1615" s="25"/>
      <c r="BF1615" s="25"/>
      <c r="BG1615" s="25"/>
      <c r="BH1615" s="25"/>
      <c r="BI1615" s="25"/>
      <c r="BJ1615" s="25"/>
      <c r="BK1615" s="25"/>
      <c r="BL1615" s="25"/>
      <c r="BM1615" s="25"/>
      <c r="BN1615" s="25"/>
      <c r="BO1615" s="25"/>
      <c r="BP1615" s="25"/>
      <c r="BQ1615" s="25"/>
      <c r="BR1615" s="25"/>
      <c r="BS1615" s="25"/>
      <c r="BT1615" s="25"/>
      <c r="BU1615" s="25"/>
      <c r="BV1615" s="25"/>
      <c r="BW1615" s="25"/>
      <c r="BX1615" s="25"/>
      <c r="BY1615" s="25"/>
      <c r="BZ1615" s="25"/>
      <c r="CA1615" s="25"/>
      <c r="CB1615" s="25"/>
      <c r="CC1615" s="25"/>
      <c r="CD1615" s="25"/>
      <c r="CE1615" s="200"/>
      <c r="CF1615" s="200"/>
      <c r="CG1615" s="200"/>
      <c r="CH1615" s="200"/>
      <c r="CI1615" s="200"/>
      <c r="CJ1615" s="200"/>
      <c r="CK1615" s="200"/>
      <c r="CL1615" s="200"/>
      <c r="CM1615" s="200"/>
      <c r="CN1615" s="200"/>
      <c r="CO1615" s="200"/>
      <c r="CP1615" s="200"/>
      <c r="CQ1615" s="200"/>
      <c r="CR1615" s="200"/>
      <c r="CS1615" s="200"/>
      <c r="CT1615" s="200"/>
      <c r="CU1615" s="200"/>
    </row>
    <row r="1616" spans="1:99" s="17" customFormat="1" x14ac:dyDescent="0.2">
      <c r="A1616" s="25"/>
      <c r="B1616" s="20">
        <v>39151711002</v>
      </c>
      <c r="C1616" s="20">
        <v>7110.02</v>
      </c>
      <c r="D1616" s="20" t="s">
        <v>81</v>
      </c>
      <c r="E1616" s="20" t="s">
        <v>2844</v>
      </c>
      <c r="F1616" s="20" t="s">
        <v>8</v>
      </c>
      <c r="G1616" s="861">
        <v>48.839942803586403</v>
      </c>
      <c r="H1616" s="861">
        <v>53.726121949364</v>
      </c>
      <c r="I1616" s="861">
        <v>27.543208756558698</v>
      </c>
      <c r="J1616" s="861">
        <v>66.482690268498601</v>
      </c>
      <c r="K1616" s="982">
        <v>0</v>
      </c>
      <c r="L1616" s="735" t="s">
        <v>2466</v>
      </c>
      <c r="M1616" s="735">
        <v>4875</v>
      </c>
      <c r="N1616" s="845" t="str">
        <f t="shared" si="138"/>
        <v/>
      </c>
      <c r="O1616" s="735">
        <v>11.040229447230939</v>
      </c>
      <c r="P1616" s="735">
        <f t="shared" si="139"/>
        <v>441.56690975500749</v>
      </c>
      <c r="Q1616" s="849">
        <v>37.9</v>
      </c>
      <c r="R1616" s="71">
        <v>113125</v>
      </c>
      <c r="S1616" s="845">
        <v>4.7373841400617921E-2</v>
      </c>
      <c r="T1616" s="845">
        <v>2.3E-2</v>
      </c>
      <c r="U1616" s="845">
        <v>0</v>
      </c>
      <c r="V1616" s="845">
        <v>0</v>
      </c>
      <c r="W1616" s="845">
        <v>0.14979029358897544</v>
      </c>
      <c r="X1616" s="845">
        <v>0.27600000000000002</v>
      </c>
      <c r="Y1616" s="845">
        <v>0.91364102564102567</v>
      </c>
      <c r="Z1616" s="845">
        <v>2.5846153846153845E-2</v>
      </c>
      <c r="AA1616" s="845">
        <v>0</v>
      </c>
      <c r="AB1616" s="845">
        <v>0</v>
      </c>
      <c r="AC1616" s="845">
        <v>0</v>
      </c>
      <c r="AD1616" s="845">
        <v>3.6923076923076922E-3</v>
      </c>
      <c r="AE1616" s="845">
        <v>5.6820512820512821E-2</v>
      </c>
      <c r="AF1616" s="845">
        <v>4.7589743589743591E-2</v>
      </c>
      <c r="AG1616" s="845">
        <v>0.91035897435897439</v>
      </c>
      <c r="AH1616" s="20" t="str">
        <f t="shared" si="140"/>
        <v>Yes</v>
      </c>
      <c r="AI1616" s="25"/>
      <c r="AJ1616" s="20">
        <v>43464</v>
      </c>
      <c r="AK1616" s="20" t="s">
        <v>943</v>
      </c>
      <c r="AL1616" s="20">
        <v>39043</v>
      </c>
      <c r="AM1616" s="20" t="s">
        <v>28</v>
      </c>
      <c r="AN1616" s="37">
        <f t="shared" si="141"/>
        <v>41780</v>
      </c>
      <c r="AO1616" s="37" t="str">
        <f t="shared" si="142"/>
        <v>Sandusky, OH</v>
      </c>
      <c r="AP1616" s="20" t="s">
        <v>8</v>
      </c>
      <c r="AQ1616" s="25"/>
      <c r="AR1616" s="25"/>
      <c r="AS1616" s="25"/>
      <c r="AT1616" s="25"/>
      <c r="AU1616" s="36"/>
      <c r="AV1616" s="36"/>
      <c r="AW1616" s="36"/>
      <c r="AX1616" s="25"/>
      <c r="AY1616" s="25"/>
      <c r="AZ1616" s="25"/>
      <c r="BA1616" s="25"/>
      <c r="BB1616" s="25"/>
      <c r="BC1616" s="25"/>
      <c r="BD1616" s="25"/>
      <c r="BE1616" s="25"/>
      <c r="BF1616" s="25"/>
      <c r="BG1616" s="25"/>
      <c r="BH1616" s="25"/>
      <c r="BI1616" s="25"/>
      <c r="BJ1616" s="25"/>
      <c r="BK1616" s="25"/>
      <c r="BL1616" s="25"/>
      <c r="BM1616" s="25"/>
      <c r="BN1616" s="25"/>
      <c r="BO1616" s="25"/>
      <c r="BP1616" s="25"/>
      <c r="BQ1616" s="25"/>
      <c r="BR1616" s="25"/>
      <c r="BS1616" s="25"/>
      <c r="BT1616" s="25"/>
      <c r="BU1616" s="25"/>
      <c r="BV1616" s="25"/>
      <c r="BW1616" s="25"/>
      <c r="BX1616" s="25"/>
      <c r="BY1616" s="25"/>
      <c r="BZ1616" s="25"/>
      <c r="CA1616" s="25"/>
      <c r="CB1616" s="25"/>
      <c r="CC1616" s="25"/>
      <c r="CD1616" s="25"/>
      <c r="CE1616" s="200"/>
      <c r="CF1616" s="200"/>
      <c r="CG1616" s="200"/>
      <c r="CH1616" s="200"/>
      <c r="CI1616" s="200"/>
      <c r="CJ1616" s="200"/>
      <c r="CK1616" s="200"/>
      <c r="CL1616" s="200"/>
      <c r="CM1616" s="200"/>
      <c r="CN1616" s="200"/>
      <c r="CO1616" s="200"/>
      <c r="CP1616" s="200"/>
      <c r="CQ1616" s="200"/>
      <c r="CR1616" s="200"/>
      <c r="CS1616" s="200"/>
      <c r="CT1616" s="200"/>
      <c r="CU1616" s="200"/>
    </row>
    <row r="1617" spans="1:99" s="17" customFormat="1" x14ac:dyDescent="0.2">
      <c r="A1617" s="25"/>
      <c r="B1617" s="20">
        <v>39095000703</v>
      </c>
      <c r="C1617" s="20">
        <v>7.03</v>
      </c>
      <c r="D1617" s="20" t="s">
        <v>53</v>
      </c>
      <c r="E1617" s="20" t="s">
        <v>2839</v>
      </c>
      <c r="F1617" s="20" t="s">
        <v>8</v>
      </c>
      <c r="G1617" s="861">
        <v>48.838127234888397</v>
      </c>
      <c r="H1617" s="861">
        <v>52.601956537432997</v>
      </c>
      <c r="I1617" s="861">
        <v>44.752758521875599</v>
      </c>
      <c r="J1617" s="861">
        <v>43.764896815268301</v>
      </c>
      <c r="K1617" s="982">
        <v>0</v>
      </c>
      <c r="L1617" s="735" t="s">
        <v>2466</v>
      </c>
      <c r="M1617" s="735">
        <v>713</v>
      </c>
      <c r="N1617" s="845" t="str">
        <f t="shared" si="138"/>
        <v/>
      </c>
      <c r="O1617" s="735">
        <v>0.2741251966596866</v>
      </c>
      <c r="P1617" s="735">
        <f t="shared" si="139"/>
        <v>2601.0013259932307</v>
      </c>
      <c r="Q1617" s="849">
        <v>42.4</v>
      </c>
      <c r="R1617" s="71">
        <v>46146</v>
      </c>
      <c r="S1617" s="845">
        <v>0.39971949509116411</v>
      </c>
      <c r="T1617" s="845">
        <v>0</v>
      </c>
      <c r="U1617" s="845">
        <v>0</v>
      </c>
      <c r="V1617" s="845">
        <v>0</v>
      </c>
      <c r="W1617" s="845">
        <v>0.40259740259740262</v>
      </c>
      <c r="X1617" s="845">
        <v>0.17419354838709677</v>
      </c>
      <c r="Y1617" s="845">
        <v>0.5189340813464236</v>
      </c>
      <c r="Z1617" s="845">
        <v>0.47405329593267881</v>
      </c>
      <c r="AA1617" s="845">
        <v>0</v>
      </c>
      <c r="AB1617" s="845">
        <v>7.0126227208976155E-3</v>
      </c>
      <c r="AC1617" s="845">
        <v>0</v>
      </c>
      <c r="AD1617" s="845">
        <v>0</v>
      </c>
      <c r="AE1617" s="845">
        <v>0</v>
      </c>
      <c r="AF1617" s="845">
        <v>0</v>
      </c>
      <c r="AG1617" s="845">
        <v>0.5189340813464236</v>
      </c>
      <c r="AH1617" s="20" t="str">
        <f t="shared" si="140"/>
        <v>No</v>
      </c>
      <c r="AI1617" s="25"/>
      <c r="AJ1617" s="20">
        <v>44089</v>
      </c>
      <c r="AK1617" s="20" t="s">
        <v>1197</v>
      </c>
      <c r="AL1617" s="20">
        <v>39043</v>
      </c>
      <c r="AM1617" s="20" t="s">
        <v>28</v>
      </c>
      <c r="AN1617" s="37">
        <f t="shared" si="141"/>
        <v>41780</v>
      </c>
      <c r="AO1617" s="37" t="str">
        <f t="shared" si="142"/>
        <v>Sandusky, OH</v>
      </c>
      <c r="AP1617" s="20" t="s">
        <v>8</v>
      </c>
      <c r="AQ1617" s="25"/>
      <c r="AR1617" s="25"/>
      <c r="AS1617" s="25"/>
      <c r="AT1617" s="25"/>
      <c r="AU1617" s="36"/>
      <c r="AV1617" s="36"/>
      <c r="AW1617" s="36"/>
      <c r="AX1617" s="25"/>
      <c r="AY1617" s="25"/>
      <c r="AZ1617" s="25"/>
      <c r="BA1617" s="25"/>
      <c r="BB1617" s="25"/>
      <c r="BC1617" s="25"/>
      <c r="BD1617" s="25"/>
      <c r="BE1617" s="25"/>
      <c r="BF1617" s="25"/>
      <c r="BG1617" s="25"/>
      <c r="BH1617" s="25"/>
      <c r="BI1617" s="25"/>
      <c r="BJ1617" s="25"/>
      <c r="BK1617" s="25"/>
      <c r="BL1617" s="25"/>
      <c r="BM1617" s="25"/>
      <c r="BN1617" s="25"/>
      <c r="BO1617" s="25"/>
      <c r="BP1617" s="25"/>
      <c r="BQ1617" s="25"/>
      <c r="BR1617" s="25"/>
      <c r="BS1617" s="25"/>
      <c r="BT1617" s="25"/>
      <c r="BU1617" s="25"/>
      <c r="BV1617" s="25"/>
      <c r="BW1617" s="25"/>
      <c r="BX1617" s="25"/>
      <c r="BY1617" s="25"/>
      <c r="BZ1617" s="25"/>
      <c r="CA1617" s="25"/>
      <c r="CB1617" s="25"/>
      <c r="CC1617" s="25"/>
      <c r="CD1617" s="25"/>
      <c r="CE1617" s="200"/>
      <c r="CF1617" s="200"/>
      <c r="CG1617" s="200"/>
      <c r="CH1617" s="200"/>
      <c r="CI1617" s="200"/>
      <c r="CJ1617" s="200"/>
      <c r="CK1617" s="200"/>
      <c r="CL1617" s="200"/>
      <c r="CM1617" s="200"/>
      <c r="CN1617" s="200"/>
      <c r="CO1617" s="200"/>
      <c r="CP1617" s="200"/>
      <c r="CQ1617" s="200"/>
      <c r="CR1617" s="200"/>
      <c r="CS1617" s="200"/>
      <c r="CT1617" s="200"/>
      <c r="CU1617" s="200"/>
    </row>
    <row r="1618" spans="1:99" s="17" customFormat="1" x14ac:dyDescent="0.2">
      <c r="A1618" s="25"/>
      <c r="B1618" s="20">
        <v>39153530604</v>
      </c>
      <c r="C1618" s="20">
        <v>5306.04</v>
      </c>
      <c r="D1618" s="20" t="s">
        <v>82</v>
      </c>
      <c r="E1618" s="20" t="s">
        <v>2843</v>
      </c>
      <c r="F1618" s="20" t="s">
        <v>8</v>
      </c>
      <c r="G1618" s="861">
        <v>48.831096062699999</v>
      </c>
      <c r="H1618" s="861">
        <v>55.272546832150702</v>
      </c>
      <c r="I1618" s="861">
        <v>23.361594337285499</v>
      </c>
      <c r="J1618" s="861">
        <v>22.098649300940298</v>
      </c>
      <c r="K1618" s="982">
        <v>0</v>
      </c>
      <c r="L1618" s="735">
        <v>3453</v>
      </c>
      <c r="M1618" s="735">
        <v>2926</v>
      </c>
      <c r="N1618" s="845">
        <f t="shared" si="138"/>
        <v>-0.15262090935418476</v>
      </c>
      <c r="O1618" s="735">
        <v>1.7649262490243633</v>
      </c>
      <c r="P1618" s="735">
        <f t="shared" si="139"/>
        <v>1657.8596423603924</v>
      </c>
      <c r="Q1618" s="849">
        <v>46.6</v>
      </c>
      <c r="R1618" s="71">
        <v>96712</v>
      </c>
      <c r="S1618" s="845">
        <v>7.7846364883401922E-2</v>
      </c>
      <c r="T1618" s="845">
        <v>2.4E-2</v>
      </c>
      <c r="U1618" s="845">
        <v>0</v>
      </c>
      <c r="V1618" s="845">
        <v>0.129</v>
      </c>
      <c r="W1618" s="845">
        <v>0.13138686131386862</v>
      </c>
      <c r="X1618" s="845">
        <v>0.48148148148148145</v>
      </c>
      <c r="Y1618" s="845">
        <v>0.92412850307587147</v>
      </c>
      <c r="Z1618" s="845">
        <v>3.896103896103896E-2</v>
      </c>
      <c r="AA1618" s="845">
        <v>0</v>
      </c>
      <c r="AB1618" s="845">
        <v>7.5187969924812026E-3</v>
      </c>
      <c r="AC1618" s="845">
        <v>0</v>
      </c>
      <c r="AD1618" s="845">
        <v>6.4935064935064939E-3</v>
      </c>
      <c r="AE1618" s="845">
        <v>2.2898154477101845E-2</v>
      </c>
      <c r="AF1618" s="845">
        <v>5.1264524948735476E-3</v>
      </c>
      <c r="AG1618" s="845">
        <v>0.92412850307587147</v>
      </c>
      <c r="AH1618" s="20" t="str">
        <f t="shared" si="140"/>
        <v>Yes</v>
      </c>
      <c r="AI1618" s="25"/>
      <c r="AJ1618" s="37">
        <v>44811</v>
      </c>
      <c r="AK1618" s="37" t="s">
        <v>1470</v>
      </c>
      <c r="AL1618" s="37">
        <v>39043</v>
      </c>
      <c r="AM1618" s="37" t="s">
        <v>28</v>
      </c>
      <c r="AN1618" s="37">
        <f t="shared" si="141"/>
        <v>41780</v>
      </c>
      <c r="AO1618" s="37" t="str">
        <f t="shared" si="142"/>
        <v>Sandusky, OH</v>
      </c>
      <c r="AP1618" s="20" t="s">
        <v>8</v>
      </c>
      <c r="AQ1618" s="25"/>
      <c r="AR1618" s="25"/>
      <c r="AS1618" s="25"/>
      <c r="AT1618" s="25"/>
      <c r="AU1618" s="36"/>
      <c r="AV1618" s="36"/>
      <c r="AW1618" s="36"/>
      <c r="AX1618" s="25"/>
      <c r="AY1618" s="25"/>
      <c r="AZ1618" s="25"/>
      <c r="BA1618" s="25"/>
      <c r="BB1618" s="25"/>
      <c r="BC1618" s="25"/>
      <c r="BD1618" s="25"/>
      <c r="BE1618" s="25"/>
      <c r="BF1618" s="25"/>
      <c r="BG1618" s="25"/>
      <c r="BH1618" s="25"/>
      <c r="BI1618" s="25"/>
      <c r="BJ1618" s="25"/>
      <c r="BK1618" s="25"/>
      <c r="BL1618" s="25"/>
      <c r="BM1618" s="25"/>
      <c r="BN1618" s="25"/>
      <c r="BO1618" s="25"/>
      <c r="BP1618" s="25"/>
      <c r="BQ1618" s="25"/>
      <c r="BR1618" s="25"/>
      <c r="BS1618" s="25"/>
      <c r="BT1618" s="25"/>
      <c r="BU1618" s="25"/>
      <c r="BV1618" s="25"/>
      <c r="BW1618" s="25"/>
      <c r="BX1618" s="25"/>
      <c r="BY1618" s="25"/>
      <c r="BZ1618" s="25"/>
      <c r="CA1618" s="25"/>
      <c r="CB1618" s="25"/>
      <c r="CC1618" s="25"/>
      <c r="CD1618" s="25"/>
      <c r="CE1618" s="200"/>
      <c r="CF1618" s="200"/>
      <c r="CG1618" s="200"/>
      <c r="CH1618" s="200"/>
      <c r="CI1618" s="200"/>
      <c r="CJ1618" s="200"/>
      <c r="CK1618" s="200"/>
      <c r="CL1618" s="200"/>
      <c r="CM1618" s="200"/>
      <c r="CN1618" s="200"/>
      <c r="CO1618" s="200"/>
      <c r="CP1618" s="200"/>
      <c r="CQ1618" s="200"/>
      <c r="CR1618" s="200"/>
      <c r="CS1618" s="200"/>
      <c r="CT1618" s="200"/>
      <c r="CU1618" s="200"/>
    </row>
    <row r="1619" spans="1:99" s="17" customFormat="1" x14ac:dyDescent="0.2">
      <c r="A1619" s="25"/>
      <c r="B1619" s="20">
        <v>39167020300</v>
      </c>
      <c r="C1619" s="20">
        <v>203</v>
      </c>
      <c r="D1619" s="20" t="s">
        <v>89</v>
      </c>
      <c r="E1619" s="20" t="s">
        <v>265</v>
      </c>
      <c r="F1619" s="20" t="s">
        <v>8</v>
      </c>
      <c r="G1619" s="861">
        <v>48.817402440486198</v>
      </c>
      <c r="H1619" s="861">
        <v>53.665448041038701</v>
      </c>
      <c r="I1619" s="861">
        <v>17.379150100263502</v>
      </c>
      <c r="J1619" s="861">
        <v>49.434087084903403</v>
      </c>
      <c r="K1619" s="982">
        <v>0</v>
      </c>
      <c r="L1619" s="735">
        <v>3708</v>
      </c>
      <c r="M1619" s="735">
        <v>3756</v>
      </c>
      <c r="N1619" s="845">
        <f t="shared" si="138"/>
        <v>1.2944983818770227E-2</v>
      </c>
      <c r="O1619" s="735">
        <v>35.514890838630144</v>
      </c>
      <c r="P1619" s="735">
        <f t="shared" si="139"/>
        <v>105.75845543398195</v>
      </c>
      <c r="Q1619" s="849">
        <v>42.6</v>
      </c>
      <c r="R1619" s="71">
        <v>78698</v>
      </c>
      <c r="S1619" s="845">
        <v>4.3663471778487756E-2</v>
      </c>
      <c r="T1619" s="845">
        <v>0.03</v>
      </c>
      <c r="U1619" s="845">
        <v>0</v>
      </c>
      <c r="V1619" s="845">
        <v>5.9000000000000004E-2</v>
      </c>
      <c r="W1619" s="845">
        <v>8.9122807017543854E-2</v>
      </c>
      <c r="X1619" s="845">
        <v>0.29921259842519687</v>
      </c>
      <c r="Y1619" s="845">
        <v>0.95740149094781679</v>
      </c>
      <c r="Z1619" s="845">
        <v>2.2364217252396165E-2</v>
      </c>
      <c r="AA1619" s="845">
        <v>1.3312034078807242E-3</v>
      </c>
      <c r="AB1619" s="845">
        <v>0</v>
      </c>
      <c r="AC1619" s="845">
        <v>0</v>
      </c>
      <c r="AD1619" s="845">
        <v>8.5197018104366355E-3</v>
      </c>
      <c r="AE1619" s="845">
        <v>1.0383386581469648E-2</v>
      </c>
      <c r="AF1619" s="845">
        <v>5.5910543130990413E-3</v>
      </c>
      <c r="AG1619" s="845">
        <v>0.95740149094781679</v>
      </c>
      <c r="AH1619" s="20" t="str">
        <f t="shared" si="140"/>
        <v>Yes</v>
      </c>
      <c r="AI1619" s="25"/>
      <c r="AJ1619" s="20">
        <v>44814</v>
      </c>
      <c r="AK1619" s="20" t="s">
        <v>1472</v>
      </c>
      <c r="AL1619" s="20">
        <v>39043</v>
      </c>
      <c r="AM1619" s="20" t="s">
        <v>28</v>
      </c>
      <c r="AN1619" s="37">
        <f t="shared" si="141"/>
        <v>41780</v>
      </c>
      <c r="AO1619" s="37" t="str">
        <f t="shared" si="142"/>
        <v>Sandusky, OH</v>
      </c>
      <c r="AP1619" s="20" t="s">
        <v>8</v>
      </c>
      <c r="AQ1619" s="25"/>
      <c r="AR1619" s="25"/>
      <c r="AS1619" s="25"/>
      <c r="AT1619" s="25"/>
      <c r="AU1619" s="36"/>
      <c r="AV1619" s="36"/>
      <c r="AW1619" s="36"/>
      <c r="AX1619" s="25"/>
      <c r="AY1619" s="25"/>
      <c r="AZ1619" s="25"/>
      <c r="BA1619" s="25"/>
      <c r="BB1619" s="25"/>
      <c r="BC1619" s="25"/>
      <c r="BD1619" s="25"/>
      <c r="BE1619" s="25"/>
      <c r="BF1619" s="25"/>
      <c r="BG1619" s="25"/>
      <c r="BH1619" s="25"/>
      <c r="BI1619" s="25"/>
      <c r="BJ1619" s="25"/>
      <c r="BK1619" s="25"/>
      <c r="BL1619" s="25"/>
      <c r="BM1619" s="25"/>
      <c r="BN1619" s="25"/>
      <c r="BO1619" s="25"/>
      <c r="BP1619" s="25"/>
      <c r="BQ1619" s="25"/>
      <c r="BR1619" s="25"/>
      <c r="BS1619" s="25"/>
      <c r="BT1619" s="25"/>
      <c r="BU1619" s="25"/>
      <c r="BV1619" s="25"/>
      <c r="BW1619" s="25"/>
      <c r="BX1619" s="25"/>
      <c r="BY1619" s="25"/>
      <c r="BZ1619" s="25"/>
      <c r="CA1619" s="25"/>
      <c r="CB1619" s="25"/>
      <c r="CC1619" s="25"/>
      <c r="CD1619" s="25"/>
      <c r="CE1619" s="200"/>
      <c r="CF1619" s="200"/>
      <c r="CG1619" s="200"/>
      <c r="CH1619" s="200"/>
      <c r="CI1619" s="200"/>
      <c r="CJ1619" s="200"/>
      <c r="CK1619" s="200"/>
      <c r="CL1619" s="200"/>
      <c r="CM1619" s="200"/>
      <c r="CN1619" s="200"/>
      <c r="CO1619" s="200"/>
      <c r="CP1619" s="200"/>
      <c r="CQ1619" s="200"/>
      <c r="CR1619" s="200"/>
      <c r="CS1619" s="200"/>
      <c r="CT1619" s="200"/>
      <c r="CU1619" s="200"/>
    </row>
    <row r="1620" spans="1:99" s="17" customFormat="1" x14ac:dyDescent="0.2">
      <c r="A1620" s="25"/>
      <c r="B1620" s="20">
        <v>39167020102</v>
      </c>
      <c r="C1620" s="20">
        <v>201.02</v>
      </c>
      <c r="D1620" s="20" t="s">
        <v>89</v>
      </c>
      <c r="E1620" s="20" t="s">
        <v>265</v>
      </c>
      <c r="F1620" s="20" t="s">
        <v>8</v>
      </c>
      <c r="G1620" s="861">
        <v>48.809818398018599</v>
      </c>
      <c r="H1620" s="861">
        <v>49.9790345046735</v>
      </c>
      <c r="I1620" s="861">
        <v>50.983621570338599</v>
      </c>
      <c r="J1620" s="861">
        <v>41.606932748413101</v>
      </c>
      <c r="K1620" s="982">
        <v>0</v>
      </c>
      <c r="L1620" s="735">
        <v>2146</v>
      </c>
      <c r="M1620" s="735">
        <v>1956</v>
      </c>
      <c r="N1620" s="845">
        <f t="shared" si="138"/>
        <v>-8.8536812674743712E-2</v>
      </c>
      <c r="O1620" s="735">
        <v>0.91738876747198661</v>
      </c>
      <c r="P1620" s="735">
        <f t="shared" si="139"/>
        <v>2132.138597456425</v>
      </c>
      <c r="Q1620" s="849">
        <v>41.4</v>
      </c>
      <c r="R1620" s="71">
        <v>50240</v>
      </c>
      <c r="S1620" s="845">
        <v>0.2467260345730749</v>
      </c>
      <c r="T1620" s="845">
        <v>1.9E-2</v>
      </c>
      <c r="U1620" s="845">
        <v>0</v>
      </c>
      <c r="V1620" s="845">
        <v>0</v>
      </c>
      <c r="W1620" s="845">
        <v>0.3730255164034022</v>
      </c>
      <c r="X1620" s="845">
        <v>0.61889250814332253</v>
      </c>
      <c r="Y1620" s="845">
        <v>0.92893660531697342</v>
      </c>
      <c r="Z1620" s="845">
        <v>8.6912065439672809E-3</v>
      </c>
      <c r="AA1620" s="845">
        <v>0</v>
      </c>
      <c r="AB1620" s="845">
        <v>0</v>
      </c>
      <c r="AC1620" s="845">
        <v>0</v>
      </c>
      <c r="AD1620" s="845">
        <v>0</v>
      </c>
      <c r="AE1620" s="845">
        <v>6.2372188139059308E-2</v>
      </c>
      <c r="AF1620" s="845">
        <v>3.0163599182004092E-2</v>
      </c>
      <c r="AG1620" s="845">
        <v>0.91104294478527603</v>
      </c>
      <c r="AH1620" s="20" t="str">
        <f t="shared" si="140"/>
        <v>Yes</v>
      </c>
      <c r="AI1620" s="25"/>
      <c r="AJ1620" s="20">
        <v>44824</v>
      </c>
      <c r="AK1620" s="20" t="s">
        <v>1478</v>
      </c>
      <c r="AL1620" s="20">
        <v>39043</v>
      </c>
      <c r="AM1620" s="20" t="s">
        <v>28</v>
      </c>
      <c r="AN1620" s="37">
        <f t="shared" si="141"/>
        <v>41780</v>
      </c>
      <c r="AO1620" s="37" t="str">
        <f t="shared" si="142"/>
        <v>Sandusky, OH</v>
      </c>
      <c r="AP1620" s="20" t="s">
        <v>8</v>
      </c>
      <c r="AQ1620" s="25"/>
      <c r="AR1620" s="25"/>
      <c r="AS1620" s="25"/>
      <c r="AT1620" s="25"/>
      <c r="AU1620" s="36"/>
      <c r="AV1620" s="36"/>
      <c r="AW1620" s="36"/>
      <c r="AX1620" s="25"/>
      <c r="AY1620" s="25"/>
      <c r="AZ1620" s="25"/>
      <c r="BA1620" s="25"/>
      <c r="BB1620" s="25"/>
      <c r="BC1620" s="25"/>
      <c r="BD1620" s="25"/>
      <c r="BE1620" s="25"/>
      <c r="BF1620" s="25"/>
      <c r="BG1620" s="25"/>
      <c r="BH1620" s="25"/>
      <c r="BI1620" s="25"/>
      <c r="BJ1620" s="25"/>
      <c r="BK1620" s="25"/>
      <c r="BL1620" s="25"/>
      <c r="BM1620" s="25"/>
      <c r="BN1620" s="25"/>
      <c r="BO1620" s="25"/>
      <c r="BP1620" s="25"/>
      <c r="BQ1620" s="25"/>
      <c r="BR1620" s="25"/>
      <c r="BS1620" s="25"/>
      <c r="BT1620" s="25"/>
      <c r="BU1620" s="25"/>
      <c r="BV1620" s="25"/>
      <c r="BW1620" s="25"/>
      <c r="BX1620" s="25"/>
      <c r="BY1620" s="25"/>
      <c r="BZ1620" s="25"/>
      <c r="CA1620" s="25"/>
      <c r="CB1620" s="25"/>
      <c r="CC1620" s="25"/>
      <c r="CD1620" s="25"/>
      <c r="CE1620" s="200"/>
      <c r="CF1620" s="200"/>
      <c r="CG1620" s="200"/>
      <c r="CH1620" s="200"/>
      <c r="CI1620" s="200"/>
      <c r="CJ1620" s="200"/>
      <c r="CK1620" s="200"/>
      <c r="CL1620" s="200"/>
      <c r="CM1620" s="200"/>
      <c r="CN1620" s="200"/>
      <c r="CO1620" s="200"/>
      <c r="CP1620" s="200"/>
      <c r="CQ1620" s="200"/>
      <c r="CR1620" s="200"/>
      <c r="CS1620" s="200"/>
      <c r="CT1620" s="200"/>
      <c r="CU1620" s="200"/>
    </row>
    <row r="1621" spans="1:99" s="17" customFormat="1" x14ac:dyDescent="0.2">
      <c r="A1621" s="25"/>
      <c r="B1621" s="20">
        <v>39089757702</v>
      </c>
      <c r="C1621" s="20">
        <v>7577.02</v>
      </c>
      <c r="D1621" s="20" t="s">
        <v>50</v>
      </c>
      <c r="E1621" s="20" t="s">
        <v>2830</v>
      </c>
      <c r="F1621" s="20" t="s">
        <v>8</v>
      </c>
      <c r="G1621" s="861">
        <v>48.7865738529674</v>
      </c>
      <c r="H1621" s="861">
        <v>57.255196944102899</v>
      </c>
      <c r="I1621" s="861">
        <v>26.030214074166398</v>
      </c>
      <c r="J1621" s="861">
        <v>68.450906975616903</v>
      </c>
      <c r="K1621" s="982">
        <v>0</v>
      </c>
      <c r="L1621" s="735" t="s">
        <v>2466</v>
      </c>
      <c r="M1621" s="735">
        <v>5090</v>
      </c>
      <c r="N1621" s="845" t="str">
        <f t="shared" si="138"/>
        <v/>
      </c>
      <c r="O1621" s="735">
        <v>13.891993118068793</v>
      </c>
      <c r="P1621" s="735">
        <f t="shared" si="139"/>
        <v>366.3981083736378</v>
      </c>
      <c r="Q1621" s="849">
        <v>34.299999999999997</v>
      </c>
      <c r="R1621" s="71">
        <v>119211</v>
      </c>
      <c r="S1621" s="845">
        <v>7.884761182714177E-2</v>
      </c>
      <c r="T1621" s="845">
        <v>2.6000000000000002E-2</v>
      </c>
      <c r="U1621" s="845">
        <v>0</v>
      </c>
      <c r="V1621" s="845">
        <v>0.105</v>
      </c>
      <c r="W1621" s="845">
        <v>0.23278061224489796</v>
      </c>
      <c r="X1621" s="845">
        <v>0.30958904109589042</v>
      </c>
      <c r="Y1621" s="845">
        <v>0.88310412573673869</v>
      </c>
      <c r="Z1621" s="845">
        <v>6.8762278978389E-3</v>
      </c>
      <c r="AA1621" s="845">
        <v>0</v>
      </c>
      <c r="AB1621" s="845">
        <v>5.1080550098231828E-2</v>
      </c>
      <c r="AC1621" s="845">
        <v>0</v>
      </c>
      <c r="AD1621" s="845">
        <v>0</v>
      </c>
      <c r="AE1621" s="845">
        <v>5.8939096267190572E-2</v>
      </c>
      <c r="AF1621" s="845">
        <v>3.1237721021611001E-2</v>
      </c>
      <c r="AG1621" s="845">
        <v>0.87170923379174847</v>
      </c>
      <c r="AH1621" s="20" t="str">
        <f t="shared" si="140"/>
        <v>No</v>
      </c>
      <c r="AI1621" s="25"/>
      <c r="AJ1621" s="20">
        <v>44826</v>
      </c>
      <c r="AK1621" s="20" t="s">
        <v>1480</v>
      </c>
      <c r="AL1621" s="20">
        <v>39043</v>
      </c>
      <c r="AM1621" s="20" t="s">
        <v>28</v>
      </c>
      <c r="AN1621" s="37">
        <f t="shared" si="141"/>
        <v>41780</v>
      </c>
      <c r="AO1621" s="37" t="str">
        <f t="shared" si="142"/>
        <v>Sandusky, OH</v>
      </c>
      <c r="AP1621" s="20" t="s">
        <v>8</v>
      </c>
      <c r="AQ1621" s="25"/>
      <c r="AR1621" s="25"/>
      <c r="AS1621" s="25"/>
      <c r="AT1621" s="25"/>
      <c r="AU1621" s="36"/>
      <c r="AV1621" s="36"/>
      <c r="AW1621" s="36"/>
      <c r="AX1621" s="25"/>
      <c r="AY1621" s="25"/>
      <c r="AZ1621" s="25"/>
      <c r="BA1621" s="25"/>
      <c r="BB1621" s="25"/>
      <c r="BC1621" s="25"/>
      <c r="BD1621" s="25"/>
      <c r="BE1621" s="25"/>
      <c r="BF1621" s="25"/>
      <c r="BG1621" s="25"/>
      <c r="BH1621" s="25"/>
      <c r="BI1621" s="25"/>
      <c r="BJ1621" s="25"/>
      <c r="BK1621" s="25"/>
      <c r="BL1621" s="25"/>
      <c r="BM1621" s="25"/>
      <c r="BN1621" s="25"/>
      <c r="BO1621" s="25"/>
      <c r="BP1621" s="25"/>
      <c r="BQ1621" s="25"/>
      <c r="BR1621" s="25"/>
      <c r="BS1621" s="25"/>
      <c r="BT1621" s="25"/>
      <c r="BU1621" s="25"/>
      <c r="BV1621" s="25"/>
      <c r="BW1621" s="25"/>
      <c r="BX1621" s="25"/>
      <c r="BY1621" s="25"/>
      <c r="BZ1621" s="25"/>
      <c r="CA1621" s="25"/>
      <c r="CB1621" s="25"/>
      <c r="CC1621" s="25"/>
      <c r="CD1621" s="25"/>
      <c r="CE1621" s="200"/>
      <c r="CF1621" s="200"/>
      <c r="CG1621" s="200"/>
      <c r="CH1621" s="200"/>
      <c r="CI1621" s="200"/>
      <c r="CJ1621" s="200"/>
      <c r="CK1621" s="200"/>
      <c r="CL1621" s="200"/>
      <c r="CM1621" s="200"/>
      <c r="CN1621" s="200"/>
      <c r="CO1621" s="200"/>
      <c r="CP1621" s="200"/>
      <c r="CQ1621" s="200"/>
      <c r="CR1621" s="200"/>
      <c r="CS1621" s="200"/>
      <c r="CT1621" s="200"/>
      <c r="CU1621" s="200"/>
    </row>
    <row r="1622" spans="1:99" s="17" customFormat="1" x14ac:dyDescent="0.2">
      <c r="A1622" s="25"/>
      <c r="B1622" s="20">
        <v>39165032202</v>
      </c>
      <c r="C1622" s="20">
        <v>322.02</v>
      </c>
      <c r="D1622" s="20" t="s">
        <v>88</v>
      </c>
      <c r="E1622" s="20" t="s">
        <v>2828</v>
      </c>
      <c r="F1622" s="20" t="s">
        <v>8</v>
      </c>
      <c r="G1622" s="861">
        <v>48.777986719738003</v>
      </c>
      <c r="H1622" s="861">
        <v>57.7267600610108</v>
      </c>
      <c r="I1622" s="861">
        <v>29.306637906577301</v>
      </c>
      <c r="J1622" s="861">
        <v>39.114662591797497</v>
      </c>
      <c r="K1622" s="982">
        <v>0</v>
      </c>
      <c r="L1622" s="735">
        <v>5559</v>
      </c>
      <c r="M1622" s="735">
        <v>6804</v>
      </c>
      <c r="N1622" s="845">
        <f t="shared" si="138"/>
        <v>0.22396114409066378</v>
      </c>
      <c r="O1622" s="735">
        <v>17.101529859918934</v>
      </c>
      <c r="P1622" s="735">
        <f t="shared" si="139"/>
        <v>397.85914217807021</v>
      </c>
      <c r="Q1622" s="849">
        <v>43.4</v>
      </c>
      <c r="R1622" s="71">
        <v>112200</v>
      </c>
      <c r="S1622" s="845">
        <v>5.9802158273381298E-2</v>
      </c>
      <c r="T1622" s="845">
        <v>4.2000000000000003E-2</v>
      </c>
      <c r="U1622" s="845">
        <v>0</v>
      </c>
      <c r="V1622" s="845">
        <v>0</v>
      </c>
      <c r="W1622" s="845">
        <v>0.10074318744838975</v>
      </c>
      <c r="X1622" s="845">
        <v>0.55737704918032782</v>
      </c>
      <c r="Y1622" s="845">
        <v>0.94900058788947683</v>
      </c>
      <c r="Z1622" s="845">
        <v>7.3486184597295707E-3</v>
      </c>
      <c r="AA1622" s="845">
        <v>0</v>
      </c>
      <c r="AB1622" s="845">
        <v>1.131687242798354E-2</v>
      </c>
      <c r="AC1622" s="845">
        <v>0</v>
      </c>
      <c r="AD1622" s="845">
        <v>3.3803644914756027E-3</v>
      </c>
      <c r="AE1622" s="845">
        <v>2.8953556731334509E-2</v>
      </c>
      <c r="AF1622" s="845">
        <v>2.3956496178718402E-2</v>
      </c>
      <c r="AG1622" s="845">
        <v>0.92871840094062319</v>
      </c>
      <c r="AH1622" s="20" t="str">
        <f t="shared" si="140"/>
        <v>Yes</v>
      </c>
      <c r="AI1622" s="25"/>
      <c r="AJ1622" s="20">
        <v>44839</v>
      </c>
      <c r="AK1622" s="20" t="s">
        <v>1488</v>
      </c>
      <c r="AL1622" s="20">
        <v>39043</v>
      </c>
      <c r="AM1622" s="20" t="s">
        <v>28</v>
      </c>
      <c r="AN1622" s="37">
        <f t="shared" si="141"/>
        <v>41780</v>
      </c>
      <c r="AO1622" s="37" t="str">
        <f t="shared" si="142"/>
        <v>Sandusky, OH</v>
      </c>
      <c r="AP1622" s="20" t="s">
        <v>8</v>
      </c>
      <c r="AQ1622" s="25"/>
      <c r="AR1622" s="25"/>
      <c r="AS1622" s="25"/>
      <c r="AT1622" s="25"/>
      <c r="AU1622" s="36"/>
      <c r="AV1622" s="36"/>
      <c r="AW1622" s="36"/>
      <c r="AX1622" s="25"/>
      <c r="AY1622" s="25"/>
      <c r="AZ1622" s="25"/>
      <c r="BA1622" s="25"/>
      <c r="BB1622" s="25"/>
      <c r="BC1622" s="25"/>
      <c r="BD1622" s="25"/>
      <c r="BE1622" s="25"/>
      <c r="BF1622" s="25"/>
      <c r="BG1622" s="25"/>
      <c r="BH1622" s="25"/>
      <c r="BI1622" s="25"/>
      <c r="BJ1622" s="25"/>
      <c r="BK1622" s="25"/>
      <c r="BL1622" s="25"/>
      <c r="BM1622" s="25"/>
      <c r="BN1622" s="25"/>
      <c r="BO1622" s="25"/>
      <c r="BP1622" s="25"/>
      <c r="BQ1622" s="25"/>
      <c r="BR1622" s="25"/>
      <c r="BS1622" s="25"/>
      <c r="BT1622" s="25"/>
      <c r="BU1622" s="25"/>
      <c r="BV1622" s="25"/>
      <c r="BW1622" s="25"/>
      <c r="BX1622" s="25"/>
      <c r="BY1622" s="25"/>
      <c r="BZ1622" s="25"/>
      <c r="CA1622" s="25"/>
      <c r="CB1622" s="25"/>
      <c r="CC1622" s="25"/>
      <c r="CD1622" s="25"/>
      <c r="CE1622" s="200"/>
      <c r="CF1622" s="200"/>
      <c r="CG1622" s="200"/>
      <c r="CH1622" s="200"/>
      <c r="CI1622" s="200"/>
      <c r="CJ1622" s="200"/>
      <c r="CK1622" s="200"/>
      <c r="CL1622" s="200"/>
      <c r="CM1622" s="200"/>
      <c r="CN1622" s="200"/>
      <c r="CO1622" s="200"/>
      <c r="CP1622" s="200"/>
      <c r="CQ1622" s="200"/>
      <c r="CR1622" s="200"/>
      <c r="CS1622" s="200"/>
      <c r="CT1622" s="200"/>
      <c r="CU1622" s="200"/>
    </row>
    <row r="1623" spans="1:99" s="17" customFormat="1" x14ac:dyDescent="0.2">
      <c r="A1623" s="25"/>
      <c r="B1623" s="20">
        <v>39151711800</v>
      </c>
      <c r="C1623" s="20">
        <v>7118</v>
      </c>
      <c r="D1623" s="20" t="s">
        <v>81</v>
      </c>
      <c r="E1623" s="20" t="s">
        <v>2844</v>
      </c>
      <c r="F1623" s="20" t="s">
        <v>8</v>
      </c>
      <c r="G1623" s="861">
        <v>48.775388569959198</v>
      </c>
      <c r="H1623" s="861">
        <v>50.900095678441197</v>
      </c>
      <c r="I1623" s="861">
        <v>32.742842669279803</v>
      </c>
      <c r="J1623" s="861">
        <v>32.682693548779298</v>
      </c>
      <c r="K1623" s="982">
        <v>0</v>
      </c>
      <c r="L1623" s="735">
        <v>4778</v>
      </c>
      <c r="M1623" s="735">
        <v>4933</v>
      </c>
      <c r="N1623" s="845">
        <f t="shared" si="138"/>
        <v>3.2440351611552953E-2</v>
      </c>
      <c r="O1623" s="735">
        <v>2.7151055145191383</v>
      </c>
      <c r="P1623" s="735">
        <f t="shared" si="139"/>
        <v>1816.8722996659171</v>
      </c>
      <c r="Q1623" s="849">
        <v>39.5</v>
      </c>
      <c r="R1623" s="71">
        <v>60903</v>
      </c>
      <c r="S1623" s="845">
        <v>9.3249543888100542E-2</v>
      </c>
      <c r="T1623" s="845">
        <v>0</v>
      </c>
      <c r="U1623" s="845">
        <v>0</v>
      </c>
      <c r="V1623" s="845">
        <v>0.14499999999999999</v>
      </c>
      <c r="W1623" s="845">
        <v>0.3783553472518108</v>
      </c>
      <c r="X1623" s="845">
        <v>0.34346846846846846</v>
      </c>
      <c r="Y1623" s="845">
        <v>0.84147577539022911</v>
      </c>
      <c r="Z1623" s="845">
        <v>0.10622339347253193</v>
      </c>
      <c r="AA1623" s="845">
        <v>0</v>
      </c>
      <c r="AB1623" s="845">
        <v>2.8380295965943644E-2</v>
      </c>
      <c r="AC1623" s="845">
        <v>0</v>
      </c>
      <c r="AD1623" s="845">
        <v>0</v>
      </c>
      <c r="AE1623" s="845">
        <v>2.3920535171295356E-2</v>
      </c>
      <c r="AF1623" s="845">
        <v>4.2570443948915463E-3</v>
      </c>
      <c r="AG1623" s="845">
        <v>0.8372187309953375</v>
      </c>
      <c r="AH1623" s="20" t="str">
        <f t="shared" si="140"/>
        <v>No</v>
      </c>
      <c r="AI1623" s="25"/>
      <c r="AJ1623" s="20">
        <v>44846</v>
      </c>
      <c r="AK1623" s="20" t="s">
        <v>1494</v>
      </c>
      <c r="AL1623" s="20">
        <v>39043</v>
      </c>
      <c r="AM1623" s="20" t="s">
        <v>28</v>
      </c>
      <c r="AN1623" s="37">
        <f t="shared" si="141"/>
        <v>41780</v>
      </c>
      <c r="AO1623" s="37" t="str">
        <f t="shared" si="142"/>
        <v>Sandusky, OH</v>
      </c>
      <c r="AP1623" s="20" t="s">
        <v>8</v>
      </c>
      <c r="AQ1623" s="25"/>
      <c r="AR1623" s="25"/>
      <c r="AS1623" s="25"/>
      <c r="AT1623" s="25"/>
      <c r="AU1623" s="36"/>
      <c r="AV1623" s="36"/>
      <c r="AW1623" s="36"/>
      <c r="AX1623" s="25"/>
      <c r="AY1623" s="25"/>
      <c r="AZ1623" s="25"/>
      <c r="BA1623" s="25"/>
      <c r="BB1623" s="25"/>
      <c r="BC1623" s="25"/>
      <c r="BD1623" s="25"/>
      <c r="BE1623" s="25"/>
      <c r="BF1623" s="25"/>
      <c r="BG1623" s="25"/>
      <c r="BH1623" s="25"/>
      <c r="BI1623" s="25"/>
      <c r="BJ1623" s="25"/>
      <c r="BK1623" s="25"/>
      <c r="BL1623" s="25"/>
      <c r="BM1623" s="25"/>
      <c r="BN1623" s="25"/>
      <c r="BO1623" s="25"/>
      <c r="BP1623" s="25"/>
      <c r="BQ1623" s="25"/>
      <c r="BR1623" s="25"/>
      <c r="BS1623" s="25"/>
      <c r="BT1623" s="25"/>
      <c r="BU1623" s="25"/>
      <c r="BV1623" s="25"/>
      <c r="BW1623" s="25"/>
      <c r="BX1623" s="25"/>
      <c r="BY1623" s="25"/>
      <c r="BZ1623" s="25"/>
      <c r="CA1623" s="25"/>
      <c r="CB1623" s="25"/>
      <c r="CC1623" s="25"/>
      <c r="CD1623" s="25"/>
      <c r="CE1623" s="200"/>
      <c r="CF1623" s="200"/>
      <c r="CG1623" s="200"/>
      <c r="CH1623" s="200"/>
      <c r="CI1623" s="200"/>
      <c r="CJ1623" s="200"/>
      <c r="CK1623" s="200"/>
      <c r="CL1623" s="200"/>
      <c r="CM1623" s="200"/>
      <c r="CN1623" s="200"/>
      <c r="CO1623" s="200"/>
      <c r="CP1623" s="200"/>
      <c r="CQ1623" s="200"/>
      <c r="CR1623" s="200"/>
      <c r="CS1623" s="200"/>
      <c r="CT1623" s="200"/>
      <c r="CU1623" s="200"/>
    </row>
    <row r="1624" spans="1:99" s="17" customFormat="1" x14ac:dyDescent="0.2">
      <c r="A1624" s="25"/>
      <c r="B1624" s="20">
        <v>39061020501</v>
      </c>
      <c r="C1624" s="20">
        <v>205.01</v>
      </c>
      <c r="D1624" s="20" t="s">
        <v>37</v>
      </c>
      <c r="E1624" s="20" t="s">
        <v>2828</v>
      </c>
      <c r="F1624" s="20" t="s">
        <v>8</v>
      </c>
      <c r="G1624" s="861">
        <v>48.764406204694097</v>
      </c>
      <c r="H1624" s="861">
        <v>46.138000665001101</v>
      </c>
      <c r="I1624" s="861">
        <v>29.729754432685201</v>
      </c>
      <c r="J1624" s="861">
        <v>43.410829234134901</v>
      </c>
      <c r="K1624" s="982">
        <v>0</v>
      </c>
      <c r="L1624" s="735">
        <v>2321</v>
      </c>
      <c r="M1624" s="735">
        <v>3249</v>
      </c>
      <c r="N1624" s="845">
        <f t="shared" si="138"/>
        <v>0.39982766049116758</v>
      </c>
      <c r="O1624" s="735">
        <v>8.9394777182973257</v>
      </c>
      <c r="P1624" s="735">
        <f t="shared" si="139"/>
        <v>363.44405147405263</v>
      </c>
      <c r="Q1624" s="849">
        <v>38.5</v>
      </c>
      <c r="R1624" s="71">
        <v>84559</v>
      </c>
      <c r="S1624" s="845">
        <v>3.8165589412126812E-2</v>
      </c>
      <c r="T1624" s="845">
        <v>2.4E-2</v>
      </c>
      <c r="U1624" s="845">
        <v>0</v>
      </c>
      <c r="V1624" s="845">
        <v>0</v>
      </c>
      <c r="W1624" s="845">
        <v>0.11624203821656051</v>
      </c>
      <c r="X1624" s="845">
        <v>7.5342465753424653E-2</v>
      </c>
      <c r="Y1624" s="845">
        <v>0.83841181902123729</v>
      </c>
      <c r="Z1624" s="845">
        <v>6.8328716528162511E-2</v>
      </c>
      <c r="AA1624" s="845">
        <v>0</v>
      </c>
      <c r="AB1624" s="845">
        <v>9.2336103416435829E-3</v>
      </c>
      <c r="AC1624" s="845">
        <v>0</v>
      </c>
      <c r="AD1624" s="845">
        <v>3.6934441366574329E-3</v>
      </c>
      <c r="AE1624" s="845">
        <v>8.0332409972299165E-2</v>
      </c>
      <c r="AF1624" s="845">
        <v>3.139427516158818E-2</v>
      </c>
      <c r="AG1624" s="845">
        <v>0.82517697753154817</v>
      </c>
      <c r="AH1624" s="20" t="str">
        <f t="shared" si="140"/>
        <v>No</v>
      </c>
      <c r="AI1624" s="25"/>
      <c r="AJ1624" s="37">
        <v>44847</v>
      </c>
      <c r="AK1624" s="37" t="s">
        <v>1495</v>
      </c>
      <c r="AL1624" s="37">
        <v>39043</v>
      </c>
      <c r="AM1624" s="37" t="s">
        <v>28</v>
      </c>
      <c r="AN1624" s="37">
        <f t="shared" si="141"/>
        <v>41780</v>
      </c>
      <c r="AO1624" s="37" t="str">
        <f t="shared" si="142"/>
        <v>Sandusky, OH</v>
      </c>
      <c r="AP1624" s="20" t="s">
        <v>8</v>
      </c>
      <c r="AQ1624" s="25"/>
      <c r="AR1624" s="25"/>
      <c r="AS1624" s="25"/>
      <c r="AT1624" s="25"/>
      <c r="AU1624" s="36"/>
      <c r="AV1624" s="36"/>
      <c r="AW1624" s="36"/>
      <c r="AX1624" s="25"/>
      <c r="AY1624" s="25"/>
      <c r="AZ1624" s="25"/>
      <c r="BA1624" s="25"/>
      <c r="BB1624" s="25"/>
      <c r="BC1624" s="25"/>
      <c r="BD1624" s="25"/>
      <c r="BE1624" s="25"/>
      <c r="BF1624" s="25"/>
      <c r="BG1624" s="25"/>
      <c r="BH1624" s="25"/>
      <c r="BI1624" s="25"/>
      <c r="BJ1624" s="25"/>
      <c r="BK1624" s="25"/>
      <c r="BL1624" s="25"/>
      <c r="BM1624" s="25"/>
      <c r="BN1624" s="25"/>
      <c r="BO1624" s="25"/>
      <c r="BP1624" s="25"/>
      <c r="BQ1624" s="25"/>
      <c r="BR1624" s="25"/>
      <c r="BS1624" s="25"/>
      <c r="BT1624" s="25"/>
      <c r="BU1624" s="25"/>
      <c r="BV1624" s="25"/>
      <c r="BW1624" s="25"/>
      <c r="BX1624" s="25"/>
      <c r="BY1624" s="25"/>
      <c r="BZ1624" s="25"/>
      <c r="CA1624" s="25"/>
      <c r="CB1624" s="25"/>
      <c r="CC1624" s="25"/>
      <c r="CD1624" s="25"/>
      <c r="CE1624" s="200"/>
      <c r="CF1624" s="200"/>
      <c r="CG1624" s="200"/>
      <c r="CH1624" s="200"/>
      <c r="CI1624" s="200"/>
      <c r="CJ1624" s="200"/>
      <c r="CK1624" s="200"/>
      <c r="CL1624" s="200"/>
      <c r="CM1624" s="200"/>
      <c r="CN1624" s="200"/>
      <c r="CO1624" s="200"/>
      <c r="CP1624" s="200"/>
      <c r="CQ1624" s="200"/>
      <c r="CR1624" s="200"/>
      <c r="CS1624" s="200"/>
      <c r="CT1624" s="200"/>
      <c r="CU1624" s="200"/>
    </row>
    <row r="1625" spans="1:99" s="17" customFormat="1" x14ac:dyDescent="0.2">
      <c r="A1625" s="25"/>
      <c r="B1625" s="20">
        <v>39035171104</v>
      </c>
      <c r="C1625" s="20">
        <v>1711.04</v>
      </c>
      <c r="D1625" s="20" t="s">
        <v>24</v>
      </c>
      <c r="E1625" s="20" t="s">
        <v>2829</v>
      </c>
      <c r="F1625" s="20" t="s">
        <v>6</v>
      </c>
      <c r="G1625" s="861">
        <v>48.7248941081968</v>
      </c>
      <c r="H1625" s="861">
        <v>55.194754999102699</v>
      </c>
      <c r="I1625" s="861">
        <v>52.6470290397531</v>
      </c>
      <c r="J1625" s="861">
        <v>48.961219702076299</v>
      </c>
      <c r="K1625" s="982">
        <v>0</v>
      </c>
      <c r="L1625" s="735">
        <v>4641</v>
      </c>
      <c r="M1625" s="735">
        <v>4907</v>
      </c>
      <c r="N1625" s="845">
        <f t="shared" si="138"/>
        <v>5.7315233785822019E-2</v>
      </c>
      <c r="O1625" s="735">
        <v>0.61769125264439928</v>
      </c>
      <c r="P1625" s="735">
        <f t="shared" si="139"/>
        <v>7944.0982513393747</v>
      </c>
      <c r="Q1625" s="849">
        <v>34.4</v>
      </c>
      <c r="R1625" s="71">
        <v>52518</v>
      </c>
      <c r="S1625" s="845">
        <v>0.36391752577319586</v>
      </c>
      <c r="T1625" s="845">
        <v>9.9000000000000005E-2</v>
      </c>
      <c r="U1625" s="845">
        <v>2.1000000000000001E-2</v>
      </c>
      <c r="V1625" s="845">
        <v>0</v>
      </c>
      <c r="W1625" s="845">
        <v>0.50388802488335926</v>
      </c>
      <c r="X1625" s="845">
        <v>0.56275720164609055</v>
      </c>
      <c r="Y1625" s="845">
        <v>0.11656816792337477</v>
      </c>
      <c r="Z1625" s="845">
        <v>0.78255553291216629</v>
      </c>
      <c r="AA1625" s="845">
        <v>0</v>
      </c>
      <c r="AB1625" s="845">
        <v>1.5895659262278379E-2</v>
      </c>
      <c r="AC1625" s="845">
        <v>0</v>
      </c>
      <c r="AD1625" s="845">
        <v>5.5023435907886695E-3</v>
      </c>
      <c r="AE1625" s="845">
        <v>7.9478296311391888E-2</v>
      </c>
      <c r="AF1625" s="845">
        <v>1.8341145302628898E-3</v>
      </c>
      <c r="AG1625" s="845">
        <v>0.11656816792337477</v>
      </c>
      <c r="AH1625" s="20" t="str">
        <f t="shared" si="140"/>
        <v>No</v>
      </c>
      <c r="AI1625" s="25"/>
      <c r="AJ1625" s="37">
        <v>44857</v>
      </c>
      <c r="AK1625" s="37" t="s">
        <v>1503</v>
      </c>
      <c r="AL1625" s="37">
        <v>39043</v>
      </c>
      <c r="AM1625" s="37" t="s">
        <v>28</v>
      </c>
      <c r="AN1625" s="37">
        <f t="shared" si="141"/>
        <v>41780</v>
      </c>
      <c r="AO1625" s="37" t="str">
        <f t="shared" si="142"/>
        <v>Sandusky, OH</v>
      </c>
      <c r="AP1625" s="20" t="s">
        <v>8</v>
      </c>
      <c r="AQ1625" s="25"/>
      <c r="AR1625" s="25"/>
      <c r="AS1625" s="25"/>
      <c r="AT1625" s="25"/>
      <c r="AU1625" s="36"/>
      <c r="AV1625" s="36"/>
      <c r="AW1625" s="36"/>
      <c r="AX1625" s="25"/>
      <c r="AY1625" s="25"/>
      <c r="AZ1625" s="25"/>
      <c r="BA1625" s="25"/>
      <c r="BB1625" s="25"/>
      <c r="BC1625" s="25"/>
      <c r="BD1625" s="25"/>
      <c r="BE1625" s="25"/>
      <c r="BF1625" s="25"/>
      <c r="BG1625" s="25"/>
      <c r="BH1625" s="25"/>
      <c r="BI1625" s="25"/>
      <c r="BJ1625" s="25"/>
      <c r="BK1625" s="25"/>
      <c r="BL1625" s="25"/>
      <c r="BM1625" s="25"/>
      <c r="BN1625" s="25"/>
      <c r="BO1625" s="25"/>
      <c r="BP1625" s="25"/>
      <c r="BQ1625" s="25"/>
      <c r="BR1625" s="25"/>
      <c r="BS1625" s="25"/>
      <c r="BT1625" s="25"/>
      <c r="BU1625" s="25"/>
      <c r="BV1625" s="25"/>
      <c r="BW1625" s="25"/>
      <c r="BX1625" s="25"/>
      <c r="BY1625" s="25"/>
      <c r="BZ1625" s="25"/>
      <c r="CA1625" s="25"/>
      <c r="CB1625" s="25"/>
      <c r="CC1625" s="25"/>
      <c r="CD1625" s="25"/>
      <c r="CE1625" s="200"/>
      <c r="CF1625" s="200"/>
      <c r="CG1625" s="200"/>
      <c r="CH1625" s="200"/>
      <c r="CI1625" s="200"/>
      <c r="CJ1625" s="200"/>
      <c r="CK1625" s="200"/>
      <c r="CL1625" s="200"/>
      <c r="CM1625" s="200"/>
      <c r="CN1625" s="200"/>
      <c r="CO1625" s="200"/>
      <c r="CP1625" s="200"/>
      <c r="CQ1625" s="200"/>
      <c r="CR1625" s="200"/>
      <c r="CS1625" s="200"/>
      <c r="CT1625" s="200"/>
      <c r="CU1625" s="200"/>
    </row>
    <row r="1626" spans="1:99" s="17" customFormat="1" x14ac:dyDescent="0.2">
      <c r="A1626" s="25"/>
      <c r="B1626" s="20">
        <v>39025040800</v>
      </c>
      <c r="C1626" s="20">
        <v>408</v>
      </c>
      <c r="D1626" s="20" t="s">
        <v>19</v>
      </c>
      <c r="E1626" s="20" t="s">
        <v>2828</v>
      </c>
      <c r="F1626" s="20" t="s">
        <v>8</v>
      </c>
      <c r="G1626" s="861">
        <v>48.710197252506603</v>
      </c>
      <c r="H1626" s="861">
        <v>56.531145034514502</v>
      </c>
      <c r="I1626" s="861">
        <v>29.168768957471901</v>
      </c>
      <c r="J1626" s="861">
        <v>49.935504240716398</v>
      </c>
      <c r="K1626" s="982">
        <v>0</v>
      </c>
      <c r="L1626" s="735">
        <v>5963</v>
      </c>
      <c r="M1626" s="735">
        <v>5704</v>
      </c>
      <c r="N1626" s="845">
        <f t="shared" si="138"/>
        <v>-4.3434512829112863E-2</v>
      </c>
      <c r="O1626" s="735">
        <v>29.476873930513914</v>
      </c>
      <c r="P1626" s="735">
        <f t="shared" si="139"/>
        <v>193.50762952157299</v>
      </c>
      <c r="Q1626" s="849">
        <v>44.6</v>
      </c>
      <c r="R1626" s="71">
        <v>71512</v>
      </c>
      <c r="S1626" s="845">
        <v>0.13089373680506686</v>
      </c>
      <c r="T1626" s="845">
        <v>5.9000000000000004E-2</v>
      </c>
      <c r="U1626" s="845">
        <v>2.6000000000000002E-2</v>
      </c>
      <c r="V1626" s="845">
        <v>1.3999999999999999E-2</v>
      </c>
      <c r="W1626" s="845">
        <v>0.18593189964157705</v>
      </c>
      <c r="X1626" s="845">
        <v>0.31566265060240961</v>
      </c>
      <c r="Y1626" s="845">
        <v>0.97019635343618515</v>
      </c>
      <c r="Z1626" s="845">
        <v>1.0518934081346423E-3</v>
      </c>
      <c r="AA1626" s="845">
        <v>3.5063113604488078E-3</v>
      </c>
      <c r="AB1626" s="845">
        <v>3.5063113604488078E-4</v>
      </c>
      <c r="AC1626" s="845">
        <v>0</v>
      </c>
      <c r="AD1626" s="845">
        <v>0</v>
      </c>
      <c r="AE1626" s="845">
        <v>2.4894810659186535E-2</v>
      </c>
      <c r="AF1626" s="845">
        <v>1.2096774193548387E-2</v>
      </c>
      <c r="AG1626" s="845">
        <v>0.96160589060308554</v>
      </c>
      <c r="AH1626" s="20" t="str">
        <f t="shared" si="140"/>
        <v>Yes</v>
      </c>
      <c r="AI1626" s="25"/>
      <c r="AJ1626" s="20">
        <v>44870</v>
      </c>
      <c r="AK1626" s="20" t="s">
        <v>1510</v>
      </c>
      <c r="AL1626" s="20">
        <v>39043</v>
      </c>
      <c r="AM1626" s="20" t="s">
        <v>28</v>
      </c>
      <c r="AN1626" s="37">
        <f t="shared" si="141"/>
        <v>41780</v>
      </c>
      <c r="AO1626" s="37" t="str">
        <f t="shared" si="142"/>
        <v>Sandusky, OH</v>
      </c>
      <c r="AP1626" s="20" t="s">
        <v>8</v>
      </c>
      <c r="AQ1626" s="25"/>
      <c r="AR1626" s="25"/>
      <c r="AS1626" s="25"/>
      <c r="AT1626" s="25"/>
      <c r="AU1626" s="36"/>
      <c r="AV1626" s="36"/>
      <c r="AW1626" s="36"/>
      <c r="AX1626" s="25"/>
      <c r="AY1626" s="25"/>
      <c r="AZ1626" s="25"/>
      <c r="BA1626" s="25"/>
      <c r="BB1626" s="25"/>
      <c r="BC1626" s="25"/>
      <c r="BD1626" s="25"/>
      <c r="BE1626" s="25"/>
      <c r="BF1626" s="25"/>
      <c r="BG1626" s="25"/>
      <c r="BH1626" s="25"/>
      <c r="BI1626" s="25"/>
      <c r="BJ1626" s="25"/>
      <c r="BK1626" s="25"/>
      <c r="BL1626" s="25"/>
      <c r="BM1626" s="25"/>
      <c r="BN1626" s="25"/>
      <c r="BO1626" s="25"/>
      <c r="BP1626" s="25"/>
      <c r="BQ1626" s="25"/>
      <c r="BR1626" s="25"/>
      <c r="BS1626" s="25"/>
      <c r="BT1626" s="25"/>
      <c r="BU1626" s="25"/>
      <c r="BV1626" s="25"/>
      <c r="BW1626" s="25"/>
      <c r="BX1626" s="25"/>
      <c r="BY1626" s="25"/>
      <c r="BZ1626" s="25"/>
      <c r="CA1626" s="25"/>
      <c r="CB1626" s="25"/>
      <c r="CC1626" s="25"/>
      <c r="CD1626" s="25"/>
      <c r="CE1626" s="200"/>
      <c r="CF1626" s="200"/>
      <c r="CG1626" s="200"/>
      <c r="CH1626" s="200"/>
      <c r="CI1626" s="200"/>
      <c r="CJ1626" s="200"/>
      <c r="CK1626" s="200"/>
      <c r="CL1626" s="200"/>
      <c r="CM1626" s="200"/>
      <c r="CN1626" s="200"/>
      <c r="CO1626" s="200"/>
      <c r="CP1626" s="200"/>
      <c r="CQ1626" s="200"/>
      <c r="CR1626" s="200"/>
      <c r="CS1626" s="200"/>
      <c r="CT1626" s="200"/>
      <c r="CU1626" s="200"/>
    </row>
    <row r="1627" spans="1:99" s="17" customFormat="1" x14ac:dyDescent="0.2">
      <c r="A1627" s="25"/>
      <c r="B1627" s="20">
        <v>39087051001</v>
      </c>
      <c r="C1627" s="20">
        <v>510.01</v>
      </c>
      <c r="D1627" s="20" t="s">
        <v>49</v>
      </c>
      <c r="E1627" s="20" t="s">
        <v>2834</v>
      </c>
      <c r="F1627" s="20" t="s">
        <v>8</v>
      </c>
      <c r="G1627" s="861">
        <v>48.708415821809901</v>
      </c>
      <c r="H1627" s="861">
        <v>47.9919429267891</v>
      </c>
      <c r="I1627" s="861">
        <v>20.421223996073</v>
      </c>
      <c r="J1627" s="861">
        <v>49.549369610074002</v>
      </c>
      <c r="K1627" s="982">
        <v>0</v>
      </c>
      <c r="L1627" s="735">
        <v>4291</v>
      </c>
      <c r="M1627" s="735">
        <v>4323</v>
      </c>
      <c r="N1627" s="845">
        <f t="shared" si="138"/>
        <v>7.4574691214169195E-3</v>
      </c>
      <c r="O1627" s="735">
        <v>2.6979664396992158</v>
      </c>
      <c r="P1627" s="735">
        <f t="shared" si="139"/>
        <v>1602.3179296781586</v>
      </c>
      <c r="Q1627" s="849">
        <v>38.700000000000003</v>
      </c>
      <c r="R1627" s="71">
        <v>77641</v>
      </c>
      <c r="S1627" s="845">
        <v>0.15898994622398877</v>
      </c>
      <c r="T1627" s="845">
        <v>2.7999999999999997E-2</v>
      </c>
      <c r="U1627" s="845">
        <v>2.1000000000000001E-2</v>
      </c>
      <c r="V1627" s="845">
        <v>0</v>
      </c>
      <c r="W1627" s="845">
        <v>0.26539151225343693</v>
      </c>
      <c r="X1627" s="845">
        <v>0.22522522522522523</v>
      </c>
      <c r="Y1627" s="845">
        <v>0.88688410825815411</v>
      </c>
      <c r="Z1627" s="845">
        <v>7.332870691649318E-2</v>
      </c>
      <c r="AA1627" s="845">
        <v>0</v>
      </c>
      <c r="AB1627" s="845">
        <v>0</v>
      </c>
      <c r="AC1627" s="845">
        <v>0</v>
      </c>
      <c r="AD1627" s="845">
        <v>2.1975479990747167E-2</v>
      </c>
      <c r="AE1627" s="845">
        <v>1.7811704834605598E-2</v>
      </c>
      <c r="AF1627" s="845">
        <v>3.4929447143187603E-2</v>
      </c>
      <c r="AG1627" s="845">
        <v>0.880175803839926</v>
      </c>
      <c r="AH1627" s="20" t="str">
        <f t="shared" si="140"/>
        <v>No</v>
      </c>
      <c r="AI1627" s="25"/>
      <c r="AJ1627" s="37">
        <v>44889</v>
      </c>
      <c r="AK1627" s="37" t="s">
        <v>1519</v>
      </c>
      <c r="AL1627" s="37">
        <v>39043</v>
      </c>
      <c r="AM1627" s="37" t="s">
        <v>28</v>
      </c>
      <c r="AN1627" s="37">
        <f t="shared" si="141"/>
        <v>41780</v>
      </c>
      <c r="AO1627" s="37" t="str">
        <f t="shared" si="142"/>
        <v>Sandusky, OH</v>
      </c>
      <c r="AP1627" s="20" t="s">
        <v>8</v>
      </c>
      <c r="AQ1627" s="25"/>
      <c r="AR1627" s="25"/>
      <c r="AS1627" s="25"/>
      <c r="AT1627" s="25"/>
      <c r="AU1627" s="36"/>
      <c r="AV1627" s="36"/>
      <c r="AW1627" s="36"/>
      <c r="AX1627" s="25"/>
      <c r="AY1627" s="25"/>
      <c r="AZ1627" s="25"/>
      <c r="BA1627" s="25"/>
      <c r="BB1627" s="25"/>
      <c r="BC1627" s="25"/>
      <c r="BD1627" s="25"/>
      <c r="BE1627" s="25"/>
      <c r="BF1627" s="25"/>
      <c r="BG1627" s="25"/>
      <c r="BH1627" s="25"/>
      <c r="BI1627" s="25"/>
      <c r="BJ1627" s="25"/>
      <c r="BK1627" s="25"/>
      <c r="BL1627" s="25"/>
      <c r="BM1627" s="25"/>
      <c r="BN1627" s="25"/>
      <c r="BO1627" s="25"/>
      <c r="BP1627" s="25"/>
      <c r="BQ1627" s="25"/>
      <c r="BR1627" s="25"/>
      <c r="BS1627" s="25"/>
      <c r="BT1627" s="25"/>
      <c r="BU1627" s="25"/>
      <c r="BV1627" s="25"/>
      <c r="BW1627" s="25"/>
      <c r="BX1627" s="25"/>
      <c r="BY1627" s="25"/>
      <c r="BZ1627" s="25"/>
      <c r="CA1627" s="25"/>
      <c r="CB1627" s="25"/>
      <c r="CC1627" s="25"/>
      <c r="CD1627" s="25"/>
      <c r="CE1627" s="200"/>
      <c r="CF1627" s="200"/>
      <c r="CG1627" s="200"/>
      <c r="CH1627" s="200"/>
      <c r="CI1627" s="200"/>
      <c r="CJ1627" s="200"/>
      <c r="CK1627" s="200"/>
      <c r="CL1627" s="200"/>
      <c r="CM1627" s="200"/>
      <c r="CN1627" s="200"/>
      <c r="CO1627" s="200"/>
      <c r="CP1627" s="200"/>
      <c r="CQ1627" s="200"/>
      <c r="CR1627" s="200"/>
      <c r="CS1627" s="200"/>
      <c r="CT1627" s="200"/>
      <c r="CU1627" s="200"/>
    </row>
    <row r="1628" spans="1:99" s="17" customFormat="1" x14ac:dyDescent="0.2">
      <c r="A1628" s="25"/>
      <c r="B1628" s="20">
        <v>39049007722</v>
      </c>
      <c r="C1628" s="20">
        <v>77.22</v>
      </c>
      <c r="D1628" s="20" t="s">
        <v>31</v>
      </c>
      <c r="E1628" s="20" t="s">
        <v>2830</v>
      </c>
      <c r="F1628" s="20" t="s">
        <v>6</v>
      </c>
      <c r="G1628" s="861">
        <v>48.707237258217397</v>
      </c>
      <c r="H1628" s="861">
        <v>50.249758302142403</v>
      </c>
      <c r="I1628" s="861">
        <v>41.477549091200203</v>
      </c>
      <c r="J1628" s="861">
        <v>44.873474112555101</v>
      </c>
      <c r="K1628" s="982">
        <v>0</v>
      </c>
      <c r="L1628" s="735">
        <v>3023</v>
      </c>
      <c r="M1628" s="735">
        <v>4072</v>
      </c>
      <c r="N1628" s="845">
        <f t="shared" si="138"/>
        <v>0.34700628514720477</v>
      </c>
      <c r="O1628" s="735">
        <v>0.6920614782281761</v>
      </c>
      <c r="P1628" s="735">
        <f t="shared" si="139"/>
        <v>5883.8703324814178</v>
      </c>
      <c r="Q1628" s="849">
        <v>33.700000000000003</v>
      </c>
      <c r="R1628" s="71">
        <v>53469</v>
      </c>
      <c r="S1628" s="845">
        <v>0.19059344988918986</v>
      </c>
      <c r="T1628" s="845">
        <v>7.0000000000000007E-2</v>
      </c>
      <c r="U1628" s="845">
        <v>3.4000000000000002E-2</v>
      </c>
      <c r="V1628" s="845">
        <v>3.5000000000000003E-2</v>
      </c>
      <c r="W1628" s="845">
        <v>0.3654211526282457</v>
      </c>
      <c r="X1628" s="845">
        <v>0.43154246100519933</v>
      </c>
      <c r="Y1628" s="845">
        <v>0.49803536345776034</v>
      </c>
      <c r="Z1628" s="845">
        <v>0.2782416502946955</v>
      </c>
      <c r="AA1628" s="845">
        <v>1.4734774066797642E-3</v>
      </c>
      <c r="AB1628" s="845">
        <v>9.8968565815324164E-2</v>
      </c>
      <c r="AC1628" s="845">
        <v>0</v>
      </c>
      <c r="AD1628" s="845">
        <v>4.7396856581532414E-2</v>
      </c>
      <c r="AE1628" s="845">
        <v>7.5884086444007862E-2</v>
      </c>
      <c r="AF1628" s="845">
        <v>8.8408644400785857E-2</v>
      </c>
      <c r="AG1628" s="845">
        <v>0.49557956777996071</v>
      </c>
      <c r="AH1628" s="20" t="str">
        <f t="shared" si="140"/>
        <v>No</v>
      </c>
      <c r="AI1628" s="25"/>
      <c r="AJ1628" s="37">
        <v>43408</v>
      </c>
      <c r="AK1628" s="37" t="s">
        <v>910</v>
      </c>
      <c r="AL1628" s="37">
        <v>39123</v>
      </c>
      <c r="AM1628" s="37" t="s">
        <v>67</v>
      </c>
      <c r="AN1628" s="37">
        <f t="shared" si="141"/>
        <v>41780</v>
      </c>
      <c r="AO1628" s="37" t="str">
        <f t="shared" si="142"/>
        <v>Sandusky, OH</v>
      </c>
      <c r="AP1628" s="37" t="s">
        <v>8</v>
      </c>
      <c r="AQ1628" s="25"/>
      <c r="AR1628" s="25"/>
      <c r="AS1628" s="25"/>
      <c r="AT1628" s="25"/>
      <c r="AU1628" s="36"/>
      <c r="AV1628" s="36"/>
      <c r="AW1628" s="36"/>
      <c r="AX1628" s="25"/>
      <c r="AY1628" s="25"/>
      <c r="AZ1628" s="25"/>
      <c r="BA1628" s="25"/>
      <c r="BB1628" s="25"/>
      <c r="BC1628" s="25"/>
      <c r="BD1628" s="25"/>
      <c r="BE1628" s="25"/>
      <c r="BF1628" s="25"/>
      <c r="BG1628" s="25"/>
      <c r="BH1628" s="25"/>
      <c r="BI1628" s="25"/>
      <c r="BJ1628" s="25"/>
      <c r="BK1628" s="25"/>
      <c r="BL1628" s="25"/>
      <c r="BM1628" s="25"/>
      <c r="BN1628" s="25"/>
      <c r="BO1628" s="25"/>
      <c r="BP1628" s="25"/>
      <c r="BQ1628" s="25"/>
      <c r="BR1628" s="25"/>
      <c r="BS1628" s="25"/>
      <c r="BT1628" s="25"/>
      <c r="BU1628" s="25"/>
      <c r="BV1628" s="25"/>
      <c r="BW1628" s="25"/>
      <c r="BX1628" s="25"/>
      <c r="BY1628" s="25"/>
      <c r="BZ1628" s="25"/>
      <c r="CA1628" s="25"/>
      <c r="CB1628" s="25"/>
      <c r="CC1628" s="25"/>
      <c r="CD1628" s="25"/>
      <c r="CE1628" s="200"/>
      <c r="CF1628" s="200"/>
      <c r="CG1628" s="200"/>
      <c r="CH1628" s="200"/>
      <c r="CI1628" s="200"/>
      <c r="CJ1628" s="200"/>
      <c r="CK1628" s="200"/>
      <c r="CL1628" s="200"/>
      <c r="CM1628" s="200"/>
      <c r="CN1628" s="200"/>
      <c r="CO1628" s="200"/>
      <c r="CP1628" s="200"/>
      <c r="CQ1628" s="200"/>
      <c r="CR1628" s="200"/>
      <c r="CS1628" s="200"/>
      <c r="CT1628" s="200"/>
      <c r="CU1628" s="200"/>
    </row>
    <row r="1629" spans="1:99" s="17" customFormat="1" x14ac:dyDescent="0.2">
      <c r="A1629" s="25"/>
      <c r="B1629" s="20">
        <v>39149972200</v>
      </c>
      <c r="C1629" s="20">
        <v>9722</v>
      </c>
      <c r="D1629" s="20" t="s">
        <v>80</v>
      </c>
      <c r="E1629" s="20" t="s">
        <v>265</v>
      </c>
      <c r="F1629" s="20" t="s">
        <v>8</v>
      </c>
      <c r="G1629" s="861">
        <v>48.682267417189202</v>
      </c>
      <c r="H1629" s="861">
        <v>61.586413800920099</v>
      </c>
      <c r="I1629" s="861">
        <v>27.3021584484896</v>
      </c>
      <c r="J1629" s="861">
        <v>49.6628129956853</v>
      </c>
      <c r="K1629" s="982">
        <v>0</v>
      </c>
      <c r="L1629" s="735">
        <v>5590</v>
      </c>
      <c r="M1629" s="735">
        <v>5073</v>
      </c>
      <c r="N1629" s="845">
        <f t="shared" si="138"/>
        <v>-9.2486583184257606E-2</v>
      </c>
      <c r="O1629" s="735">
        <v>78.741403179646255</v>
      </c>
      <c r="P1629" s="735">
        <f t="shared" si="139"/>
        <v>64.426080754823431</v>
      </c>
      <c r="Q1629" s="849">
        <v>44.7</v>
      </c>
      <c r="R1629" s="71">
        <v>75000</v>
      </c>
      <c r="S1629" s="845">
        <v>0.1537532702757094</v>
      </c>
      <c r="T1629" s="845">
        <v>0.02</v>
      </c>
      <c r="U1629" s="845">
        <v>0</v>
      </c>
      <c r="V1629" s="845">
        <v>0</v>
      </c>
      <c r="W1629" s="845">
        <v>0.15897693079237712</v>
      </c>
      <c r="X1629" s="845">
        <v>0.46687697160883279</v>
      </c>
      <c r="Y1629" s="845">
        <v>0.95958998620145874</v>
      </c>
      <c r="Z1629" s="845">
        <v>1.8332347723240685E-2</v>
      </c>
      <c r="AA1629" s="845">
        <v>0</v>
      </c>
      <c r="AB1629" s="845">
        <v>6.1107825744135622E-3</v>
      </c>
      <c r="AC1629" s="845">
        <v>0</v>
      </c>
      <c r="AD1629" s="845">
        <v>1.7740981667652277E-3</v>
      </c>
      <c r="AE1629" s="845">
        <v>1.4192785334121822E-2</v>
      </c>
      <c r="AF1629" s="845">
        <v>7.68775872264932E-3</v>
      </c>
      <c r="AG1629" s="845">
        <v>0.954661935738222</v>
      </c>
      <c r="AH1629" s="20" t="str">
        <f t="shared" si="140"/>
        <v>Yes</v>
      </c>
      <c r="AI1629" s="25"/>
      <c r="AJ1629" s="37">
        <v>43412</v>
      </c>
      <c r="AK1629" s="37" t="s">
        <v>912</v>
      </c>
      <c r="AL1629" s="37">
        <v>39123</v>
      </c>
      <c r="AM1629" s="37" t="s">
        <v>67</v>
      </c>
      <c r="AN1629" s="37">
        <f t="shared" si="141"/>
        <v>41780</v>
      </c>
      <c r="AO1629" s="37" t="str">
        <f t="shared" si="142"/>
        <v>Sandusky, OH</v>
      </c>
      <c r="AP1629" s="37" t="s">
        <v>8</v>
      </c>
      <c r="AQ1629" s="25"/>
      <c r="AR1629" s="25"/>
      <c r="AS1629" s="25"/>
      <c r="AT1629" s="25"/>
      <c r="AU1629" s="36"/>
      <c r="AV1629" s="36"/>
      <c r="AW1629" s="36"/>
      <c r="AX1629" s="25"/>
      <c r="AY1629" s="25"/>
      <c r="AZ1629" s="25"/>
      <c r="BA1629" s="25"/>
      <c r="BB1629" s="25"/>
      <c r="BC1629" s="25"/>
      <c r="BD1629" s="25"/>
      <c r="BE1629" s="25"/>
      <c r="BF1629" s="25"/>
      <c r="BG1629" s="25"/>
      <c r="BH1629" s="25"/>
      <c r="BI1629" s="25"/>
      <c r="BJ1629" s="25"/>
      <c r="BK1629" s="25"/>
      <c r="BL1629" s="25"/>
      <c r="BM1629" s="25"/>
      <c r="BN1629" s="25"/>
      <c r="BO1629" s="25"/>
      <c r="BP1629" s="25"/>
      <c r="BQ1629" s="25"/>
      <c r="BR1629" s="25"/>
      <c r="BS1629" s="25"/>
      <c r="BT1629" s="25"/>
      <c r="BU1629" s="25"/>
      <c r="BV1629" s="25"/>
      <c r="BW1629" s="25"/>
      <c r="BX1629" s="25"/>
      <c r="BY1629" s="25"/>
      <c r="BZ1629" s="25"/>
      <c r="CA1629" s="25"/>
      <c r="CB1629" s="25"/>
      <c r="CC1629" s="25"/>
      <c r="CD1629" s="25"/>
      <c r="CE1629" s="200"/>
      <c r="CF1629" s="200"/>
      <c r="CG1629" s="200"/>
      <c r="CH1629" s="200"/>
      <c r="CI1629" s="200"/>
      <c r="CJ1629" s="200"/>
      <c r="CK1629" s="200"/>
      <c r="CL1629" s="200"/>
      <c r="CM1629" s="200"/>
      <c r="CN1629" s="200"/>
      <c r="CO1629" s="200"/>
      <c r="CP1629" s="200"/>
      <c r="CQ1629" s="200"/>
      <c r="CR1629" s="200"/>
      <c r="CS1629" s="200"/>
      <c r="CT1629" s="200"/>
      <c r="CU1629" s="200"/>
    </row>
    <row r="1630" spans="1:99" s="17" customFormat="1" x14ac:dyDescent="0.2">
      <c r="A1630" s="25"/>
      <c r="B1630" s="20">
        <v>39149971800</v>
      </c>
      <c r="C1630" s="20">
        <v>9718</v>
      </c>
      <c r="D1630" s="20" t="s">
        <v>80</v>
      </c>
      <c r="E1630" s="20" t="s">
        <v>265</v>
      </c>
      <c r="F1630" s="20" t="s">
        <v>8</v>
      </c>
      <c r="G1630" s="861">
        <v>48.682235395676997</v>
      </c>
      <c r="H1630" s="861">
        <v>49.955837480397498</v>
      </c>
      <c r="I1630" s="861">
        <v>39.246306123416701</v>
      </c>
      <c r="J1630" s="861">
        <v>41.779495655839703</v>
      </c>
      <c r="K1630" s="982">
        <v>0</v>
      </c>
      <c r="L1630" s="735">
        <v>5651</v>
      </c>
      <c r="M1630" s="735">
        <v>5756</v>
      </c>
      <c r="N1630" s="845">
        <f t="shared" si="138"/>
        <v>1.8580782162449124E-2</v>
      </c>
      <c r="O1630" s="735">
        <v>2.3516779773942669</v>
      </c>
      <c r="P1630" s="735">
        <f t="shared" si="139"/>
        <v>2447.6140251046741</v>
      </c>
      <c r="Q1630" s="849">
        <v>38.1</v>
      </c>
      <c r="R1630" s="71">
        <v>51118</v>
      </c>
      <c r="S1630" s="845">
        <v>0.10689715999294408</v>
      </c>
      <c r="T1630" s="845">
        <v>6.0999999999999999E-2</v>
      </c>
      <c r="U1630" s="845">
        <v>0</v>
      </c>
      <c r="V1630" s="845">
        <v>4.9000000000000002E-2</v>
      </c>
      <c r="W1630" s="845">
        <v>0.41983122362869196</v>
      </c>
      <c r="X1630" s="845">
        <v>0.48944723618090452</v>
      </c>
      <c r="Y1630" s="845">
        <v>0.85892981236970123</v>
      </c>
      <c r="Z1630" s="845">
        <v>4.638637943015983E-2</v>
      </c>
      <c r="AA1630" s="845">
        <v>1.9110493398193189E-3</v>
      </c>
      <c r="AB1630" s="845">
        <v>8.6865879082696322E-3</v>
      </c>
      <c r="AC1630" s="845">
        <v>0</v>
      </c>
      <c r="AD1630" s="845">
        <v>1.7720639332870047E-2</v>
      </c>
      <c r="AE1630" s="845">
        <v>6.636553161917999E-2</v>
      </c>
      <c r="AF1630" s="845">
        <v>2.9881862404447533E-2</v>
      </c>
      <c r="AG1630" s="845">
        <v>0.85823488533703962</v>
      </c>
      <c r="AH1630" s="20" t="str">
        <f t="shared" si="140"/>
        <v>No</v>
      </c>
      <c r="AI1630" s="25"/>
      <c r="AJ1630" s="37">
        <v>43416</v>
      </c>
      <c r="AK1630" s="37" t="s">
        <v>915</v>
      </c>
      <c r="AL1630" s="37">
        <v>39123</v>
      </c>
      <c r="AM1630" s="37" t="s">
        <v>67</v>
      </c>
      <c r="AN1630" s="37">
        <f t="shared" si="141"/>
        <v>41780</v>
      </c>
      <c r="AO1630" s="37" t="str">
        <f t="shared" si="142"/>
        <v>Sandusky, OH</v>
      </c>
      <c r="AP1630" s="37" t="s">
        <v>8</v>
      </c>
      <c r="AQ1630" s="25"/>
      <c r="AR1630" s="25"/>
      <c r="AS1630" s="25"/>
      <c r="AT1630" s="25"/>
      <c r="AU1630" s="36"/>
      <c r="AV1630" s="36"/>
      <c r="AW1630" s="36"/>
      <c r="AX1630" s="25"/>
      <c r="AY1630" s="25"/>
      <c r="AZ1630" s="25"/>
      <c r="BA1630" s="25"/>
      <c r="BB1630" s="25"/>
      <c r="BC1630" s="25"/>
      <c r="BD1630" s="25"/>
      <c r="BE1630" s="25"/>
      <c r="BF1630" s="25"/>
      <c r="BG1630" s="25"/>
      <c r="BH1630" s="25"/>
      <c r="BI1630" s="25"/>
      <c r="BJ1630" s="25"/>
      <c r="BK1630" s="25"/>
      <c r="BL1630" s="25"/>
      <c r="BM1630" s="25"/>
      <c r="BN1630" s="25"/>
      <c r="BO1630" s="25"/>
      <c r="BP1630" s="25"/>
      <c r="BQ1630" s="25"/>
      <c r="BR1630" s="25"/>
      <c r="BS1630" s="25"/>
      <c r="BT1630" s="25"/>
      <c r="BU1630" s="25"/>
      <c r="BV1630" s="25"/>
      <c r="BW1630" s="25"/>
      <c r="BX1630" s="25"/>
      <c r="BY1630" s="25"/>
      <c r="BZ1630" s="25"/>
      <c r="CA1630" s="25"/>
      <c r="CB1630" s="25"/>
      <c r="CC1630" s="25"/>
      <c r="CD1630" s="25"/>
      <c r="CE1630" s="200"/>
      <c r="CF1630" s="200"/>
      <c r="CG1630" s="200"/>
      <c r="CH1630" s="200"/>
      <c r="CI1630" s="200"/>
      <c r="CJ1630" s="200"/>
      <c r="CK1630" s="200"/>
      <c r="CL1630" s="200"/>
      <c r="CM1630" s="200"/>
      <c r="CN1630" s="200"/>
      <c r="CO1630" s="200"/>
      <c r="CP1630" s="200"/>
      <c r="CQ1630" s="200"/>
      <c r="CR1630" s="200"/>
      <c r="CS1630" s="200"/>
      <c r="CT1630" s="200"/>
      <c r="CU1630" s="200"/>
    </row>
    <row r="1631" spans="1:99" s="17" customFormat="1" x14ac:dyDescent="0.2">
      <c r="A1631" s="25"/>
      <c r="B1631" s="20">
        <v>39011040500</v>
      </c>
      <c r="C1631" s="20">
        <v>405</v>
      </c>
      <c r="D1631" s="20" t="s">
        <v>12</v>
      </c>
      <c r="E1631" s="20" t="s">
        <v>265</v>
      </c>
      <c r="F1631" s="20" t="s">
        <v>8</v>
      </c>
      <c r="G1631" s="861">
        <v>48.662814768126402</v>
      </c>
      <c r="H1631" s="861">
        <v>52.183535761819698</v>
      </c>
      <c r="I1631" s="861">
        <v>16.3836761528846</v>
      </c>
      <c r="J1631" s="861">
        <v>42.522856698955401</v>
      </c>
      <c r="K1631" s="982">
        <v>0</v>
      </c>
      <c r="L1631" s="735">
        <v>4841</v>
      </c>
      <c r="M1631" s="735">
        <v>5162</v>
      </c>
      <c r="N1631" s="845">
        <f t="shared" si="138"/>
        <v>6.6308613922743231E-2</v>
      </c>
      <c r="O1631" s="735">
        <v>111.26892007237825</v>
      </c>
      <c r="P1631" s="735">
        <f t="shared" si="139"/>
        <v>46.392110183528523</v>
      </c>
      <c r="Q1631" s="849">
        <v>42.3</v>
      </c>
      <c r="R1631" s="71">
        <v>96202</v>
      </c>
      <c r="S1631" s="845">
        <v>1.8016272762495157E-2</v>
      </c>
      <c r="T1631" s="845">
        <v>0.02</v>
      </c>
      <c r="U1631" s="845">
        <v>0</v>
      </c>
      <c r="V1631" s="845">
        <v>0</v>
      </c>
      <c r="W1631" s="845">
        <v>4.4730077120822623E-2</v>
      </c>
      <c r="X1631" s="845">
        <v>6.8965517241379309E-2</v>
      </c>
      <c r="Y1631" s="845">
        <v>0.97365362262688882</v>
      </c>
      <c r="Z1631" s="845">
        <v>3.2932971716388999E-3</v>
      </c>
      <c r="AA1631" s="845">
        <v>0</v>
      </c>
      <c r="AB1631" s="845">
        <v>3.8744672607516468E-3</v>
      </c>
      <c r="AC1631" s="845">
        <v>0</v>
      </c>
      <c r="AD1631" s="845">
        <v>2.1309569934134056E-3</v>
      </c>
      <c r="AE1631" s="845">
        <v>1.7047655947307245E-2</v>
      </c>
      <c r="AF1631" s="845">
        <v>7.1677644323905462E-3</v>
      </c>
      <c r="AG1631" s="845">
        <v>0.97210383572258818</v>
      </c>
      <c r="AH1631" s="20" t="str">
        <f t="shared" si="140"/>
        <v>Yes</v>
      </c>
      <c r="AI1631" s="25"/>
      <c r="AJ1631" s="37">
        <v>43420</v>
      </c>
      <c r="AK1631" s="37" t="s">
        <v>916</v>
      </c>
      <c r="AL1631" s="37">
        <v>39123</v>
      </c>
      <c r="AM1631" s="37" t="s">
        <v>67</v>
      </c>
      <c r="AN1631" s="37">
        <f t="shared" si="141"/>
        <v>41780</v>
      </c>
      <c r="AO1631" s="37" t="str">
        <f t="shared" si="142"/>
        <v>Sandusky, OH</v>
      </c>
      <c r="AP1631" s="37" t="s">
        <v>8</v>
      </c>
      <c r="AQ1631" s="25"/>
      <c r="AR1631" s="25"/>
      <c r="AS1631" s="25"/>
      <c r="AT1631" s="25"/>
      <c r="AU1631" s="36"/>
      <c r="AV1631" s="36"/>
      <c r="AW1631" s="36"/>
      <c r="AX1631" s="25"/>
      <c r="AY1631" s="25"/>
      <c r="AZ1631" s="25"/>
      <c r="BA1631" s="25"/>
      <c r="BB1631" s="25"/>
      <c r="BC1631" s="25"/>
      <c r="BD1631" s="25"/>
      <c r="BE1631" s="25"/>
      <c r="BF1631" s="25"/>
      <c r="BG1631" s="25"/>
      <c r="BH1631" s="25"/>
      <c r="BI1631" s="25"/>
      <c r="BJ1631" s="25"/>
      <c r="BK1631" s="25"/>
      <c r="BL1631" s="25"/>
      <c r="BM1631" s="25"/>
      <c r="BN1631" s="25"/>
      <c r="BO1631" s="25"/>
      <c r="BP1631" s="25"/>
      <c r="BQ1631" s="25"/>
      <c r="BR1631" s="25"/>
      <c r="BS1631" s="25"/>
      <c r="BT1631" s="25"/>
      <c r="BU1631" s="25"/>
      <c r="BV1631" s="25"/>
      <c r="BW1631" s="25"/>
      <c r="BX1631" s="25"/>
      <c r="BY1631" s="25"/>
      <c r="BZ1631" s="25"/>
      <c r="CA1631" s="25"/>
      <c r="CB1631" s="25"/>
      <c r="CC1631" s="25"/>
      <c r="CD1631" s="25"/>
      <c r="CE1631" s="200"/>
      <c r="CF1631" s="200"/>
      <c r="CG1631" s="200"/>
      <c r="CH1631" s="200"/>
      <c r="CI1631" s="200"/>
      <c r="CJ1631" s="200"/>
      <c r="CK1631" s="200"/>
      <c r="CL1631" s="200"/>
      <c r="CM1631" s="200"/>
      <c r="CN1631" s="200"/>
      <c r="CO1631" s="200"/>
      <c r="CP1631" s="200"/>
      <c r="CQ1631" s="200"/>
      <c r="CR1631" s="200"/>
      <c r="CS1631" s="200"/>
      <c r="CT1631" s="200"/>
      <c r="CU1631" s="200"/>
    </row>
    <row r="1632" spans="1:99" s="17" customFormat="1" x14ac:dyDescent="0.2">
      <c r="A1632" s="25"/>
      <c r="B1632" s="20">
        <v>39029952400</v>
      </c>
      <c r="C1632" s="20">
        <v>9524</v>
      </c>
      <c r="D1632" s="20" t="s">
        <v>21</v>
      </c>
      <c r="E1632" s="20" t="s">
        <v>265</v>
      </c>
      <c r="F1632" s="20" t="s">
        <v>8</v>
      </c>
      <c r="G1632" s="861">
        <v>48.650428189658797</v>
      </c>
      <c r="H1632" s="861">
        <v>48.765056384577903</v>
      </c>
      <c r="I1632" s="861">
        <v>29.720810132440199</v>
      </c>
      <c r="J1632" s="861">
        <v>45.168438188282899</v>
      </c>
      <c r="K1632" s="982">
        <v>0</v>
      </c>
      <c r="L1632" s="735">
        <v>4166</v>
      </c>
      <c r="M1632" s="735">
        <v>3880</v>
      </c>
      <c r="N1632" s="845">
        <f t="shared" si="138"/>
        <v>-6.8650984157465192E-2</v>
      </c>
      <c r="O1632" s="735">
        <v>12.817469266297135</v>
      </c>
      <c r="P1632" s="735">
        <f t="shared" si="139"/>
        <v>302.71186295739807</v>
      </c>
      <c r="Q1632" s="849">
        <v>52</v>
      </c>
      <c r="R1632" s="71">
        <v>56495</v>
      </c>
      <c r="S1632" s="845">
        <v>0.1049042748492001</v>
      </c>
      <c r="T1632" s="845">
        <v>6.3E-2</v>
      </c>
      <c r="U1632" s="845">
        <v>0.02</v>
      </c>
      <c r="V1632" s="845">
        <v>0</v>
      </c>
      <c r="W1632" s="845">
        <v>0.21206896551724139</v>
      </c>
      <c r="X1632" s="845">
        <v>0.2791327913279133</v>
      </c>
      <c r="Y1632" s="845">
        <v>0.89716494845360828</v>
      </c>
      <c r="Z1632" s="845">
        <v>0.05</v>
      </c>
      <c r="AA1632" s="845">
        <v>0</v>
      </c>
      <c r="AB1632" s="845">
        <v>4.6391752577319588E-3</v>
      </c>
      <c r="AC1632" s="845">
        <v>0</v>
      </c>
      <c r="AD1632" s="845">
        <v>9.2783505154639175E-3</v>
      </c>
      <c r="AE1632" s="845">
        <v>3.8917525773195877E-2</v>
      </c>
      <c r="AF1632" s="845">
        <v>0</v>
      </c>
      <c r="AG1632" s="845">
        <v>0.89716494845360828</v>
      </c>
      <c r="AH1632" s="20" t="str">
        <f t="shared" si="140"/>
        <v>No</v>
      </c>
      <c r="AI1632" s="25"/>
      <c r="AJ1632" s="37">
        <v>43430</v>
      </c>
      <c r="AK1632" s="37" t="s">
        <v>917</v>
      </c>
      <c r="AL1632" s="37">
        <v>39123</v>
      </c>
      <c r="AM1632" s="37" t="s">
        <v>67</v>
      </c>
      <c r="AN1632" s="37">
        <f t="shared" si="141"/>
        <v>41780</v>
      </c>
      <c r="AO1632" s="37" t="str">
        <f t="shared" si="142"/>
        <v>Sandusky, OH</v>
      </c>
      <c r="AP1632" s="37" t="s">
        <v>8</v>
      </c>
      <c r="AQ1632" s="25"/>
      <c r="AR1632" s="25"/>
      <c r="AS1632" s="25"/>
      <c r="AT1632" s="25"/>
      <c r="AU1632" s="36"/>
      <c r="AV1632" s="36"/>
      <c r="AW1632" s="36"/>
      <c r="AX1632" s="25"/>
      <c r="AY1632" s="25"/>
      <c r="AZ1632" s="25"/>
      <c r="BA1632" s="25"/>
      <c r="BB1632" s="25"/>
      <c r="BC1632" s="25"/>
      <c r="BD1632" s="25"/>
      <c r="BE1632" s="25"/>
      <c r="BF1632" s="25"/>
      <c r="BG1632" s="25"/>
      <c r="BH1632" s="25"/>
      <c r="BI1632" s="25"/>
      <c r="BJ1632" s="25"/>
      <c r="BK1632" s="25"/>
      <c r="BL1632" s="25"/>
      <c r="BM1632" s="25"/>
      <c r="BN1632" s="25"/>
      <c r="BO1632" s="25"/>
      <c r="BP1632" s="25"/>
      <c r="BQ1632" s="25"/>
      <c r="BR1632" s="25"/>
      <c r="BS1632" s="25"/>
      <c r="BT1632" s="25"/>
      <c r="BU1632" s="25"/>
      <c r="BV1632" s="25"/>
      <c r="BW1632" s="25"/>
      <c r="BX1632" s="25"/>
      <c r="BY1632" s="25"/>
      <c r="BZ1632" s="25"/>
      <c r="CA1632" s="25"/>
      <c r="CB1632" s="25"/>
      <c r="CC1632" s="25"/>
      <c r="CD1632" s="25"/>
      <c r="CE1632" s="200"/>
      <c r="CF1632" s="200"/>
      <c r="CG1632" s="200"/>
      <c r="CH1632" s="200"/>
      <c r="CI1632" s="200"/>
      <c r="CJ1632" s="200"/>
      <c r="CK1632" s="200"/>
      <c r="CL1632" s="200"/>
      <c r="CM1632" s="200"/>
      <c r="CN1632" s="200"/>
      <c r="CO1632" s="200"/>
      <c r="CP1632" s="200"/>
      <c r="CQ1632" s="200"/>
      <c r="CR1632" s="200"/>
      <c r="CS1632" s="200"/>
      <c r="CT1632" s="200"/>
      <c r="CU1632" s="200"/>
    </row>
    <row r="1633" spans="1:99" s="17" customFormat="1" x14ac:dyDescent="0.2">
      <c r="A1633" s="25"/>
      <c r="B1633" s="20">
        <v>39035152101</v>
      </c>
      <c r="C1633" s="20">
        <v>1521.01</v>
      </c>
      <c r="D1633" s="20" t="s">
        <v>24</v>
      </c>
      <c r="E1633" s="20" t="s">
        <v>2829</v>
      </c>
      <c r="F1633" s="20" t="s">
        <v>8</v>
      </c>
      <c r="G1633" s="861">
        <v>48.627402997668298</v>
      </c>
      <c r="H1633" s="861">
        <v>61.313890611165597</v>
      </c>
      <c r="I1633" s="861">
        <v>31.590449798268299</v>
      </c>
      <c r="J1633" s="861">
        <v>31.001270440066499</v>
      </c>
      <c r="K1633" s="982">
        <v>0</v>
      </c>
      <c r="L1633" s="735">
        <v>2260</v>
      </c>
      <c r="M1633" s="735">
        <v>2406</v>
      </c>
      <c r="N1633" s="845">
        <f t="shared" si="138"/>
        <v>6.4601769911504431E-2</v>
      </c>
      <c r="O1633" s="735">
        <v>0.41144049885232875</v>
      </c>
      <c r="P1633" s="735">
        <f t="shared" si="139"/>
        <v>5847.7471389211596</v>
      </c>
      <c r="Q1633" s="849">
        <v>50.6</v>
      </c>
      <c r="R1633" s="71">
        <v>84545</v>
      </c>
      <c r="S1633" s="845">
        <v>4.9542048293089093E-2</v>
      </c>
      <c r="T1633" s="845">
        <v>1.6E-2</v>
      </c>
      <c r="U1633" s="845">
        <v>0</v>
      </c>
      <c r="V1633" s="845">
        <v>0</v>
      </c>
      <c r="W1633" s="845">
        <v>8.5170340681362727E-2</v>
      </c>
      <c r="X1633" s="845">
        <v>0.81176470588235294</v>
      </c>
      <c r="Y1633" s="845">
        <v>0.56691604322527012</v>
      </c>
      <c r="Z1633" s="845">
        <v>0.35494596841230258</v>
      </c>
      <c r="AA1633" s="845">
        <v>0</v>
      </c>
      <c r="AB1633" s="845">
        <v>1.3715710723192019E-2</v>
      </c>
      <c r="AC1633" s="845">
        <v>0</v>
      </c>
      <c r="AD1633" s="845">
        <v>0</v>
      </c>
      <c r="AE1633" s="845">
        <v>6.4422277639235248E-2</v>
      </c>
      <c r="AF1633" s="845">
        <v>4.1562759767248547E-3</v>
      </c>
      <c r="AG1633" s="845">
        <v>0.56275976724854526</v>
      </c>
      <c r="AH1633" s="20" t="str">
        <f t="shared" si="140"/>
        <v>No</v>
      </c>
      <c r="AI1633" s="25"/>
      <c r="AJ1633" s="37">
        <v>43432</v>
      </c>
      <c r="AK1633" s="37" t="s">
        <v>919</v>
      </c>
      <c r="AL1633" s="37">
        <v>39123</v>
      </c>
      <c r="AM1633" s="37" t="s">
        <v>67</v>
      </c>
      <c r="AN1633" s="37">
        <f t="shared" si="141"/>
        <v>41780</v>
      </c>
      <c r="AO1633" s="37" t="str">
        <f t="shared" si="142"/>
        <v>Sandusky, OH</v>
      </c>
      <c r="AP1633" s="37" t="s">
        <v>8</v>
      </c>
      <c r="AQ1633" s="25"/>
      <c r="AR1633" s="25"/>
      <c r="AS1633" s="25"/>
      <c r="AT1633" s="25"/>
      <c r="AU1633" s="36"/>
      <c r="AV1633" s="36"/>
      <c r="AW1633" s="36"/>
      <c r="AX1633" s="25"/>
      <c r="AY1633" s="25"/>
      <c r="AZ1633" s="25"/>
      <c r="BA1633" s="25"/>
      <c r="BB1633" s="25"/>
      <c r="BC1633" s="25"/>
      <c r="BD1633" s="25"/>
      <c r="BE1633" s="25"/>
      <c r="BF1633" s="25"/>
      <c r="BG1633" s="25"/>
      <c r="BH1633" s="25"/>
      <c r="BI1633" s="25"/>
      <c r="BJ1633" s="25"/>
      <c r="BK1633" s="25"/>
      <c r="BL1633" s="25"/>
      <c r="BM1633" s="25"/>
      <c r="BN1633" s="25"/>
      <c r="BO1633" s="25"/>
      <c r="BP1633" s="25"/>
      <c r="BQ1633" s="25"/>
      <c r="BR1633" s="25"/>
      <c r="BS1633" s="25"/>
      <c r="BT1633" s="25"/>
      <c r="BU1633" s="25"/>
      <c r="BV1633" s="25"/>
      <c r="BW1633" s="25"/>
      <c r="BX1633" s="25"/>
      <c r="BY1633" s="25"/>
      <c r="BZ1633" s="25"/>
      <c r="CA1633" s="25"/>
      <c r="CB1633" s="25"/>
      <c r="CC1633" s="25"/>
      <c r="CD1633" s="25"/>
      <c r="CE1633" s="200"/>
      <c r="CF1633" s="200"/>
      <c r="CG1633" s="200"/>
      <c r="CH1633" s="200"/>
      <c r="CI1633" s="200"/>
      <c r="CJ1633" s="200"/>
      <c r="CK1633" s="200"/>
      <c r="CL1633" s="200"/>
      <c r="CM1633" s="200"/>
      <c r="CN1633" s="200"/>
      <c r="CO1633" s="200"/>
      <c r="CP1633" s="200"/>
      <c r="CQ1633" s="200"/>
      <c r="CR1633" s="200"/>
      <c r="CS1633" s="200"/>
      <c r="CT1633" s="200"/>
      <c r="CU1633" s="200"/>
    </row>
    <row r="1634" spans="1:99" s="17" customFormat="1" x14ac:dyDescent="0.2">
      <c r="A1634" s="25"/>
      <c r="B1634" s="20">
        <v>39093050301</v>
      </c>
      <c r="C1634" s="20">
        <v>503.01</v>
      </c>
      <c r="D1634" s="20" t="s">
        <v>52</v>
      </c>
      <c r="E1634" s="20" t="s">
        <v>2829</v>
      </c>
      <c r="F1634" s="20" t="s">
        <v>8</v>
      </c>
      <c r="G1634" s="861">
        <v>48.618204479410103</v>
      </c>
      <c r="H1634" s="861">
        <v>46.143900431062498</v>
      </c>
      <c r="I1634" s="861">
        <v>24.782375523733698</v>
      </c>
      <c r="J1634" s="861">
        <v>40.845602679037903</v>
      </c>
      <c r="K1634" s="982">
        <v>0</v>
      </c>
      <c r="L1634" s="735" t="s">
        <v>2466</v>
      </c>
      <c r="M1634" s="735">
        <v>4840</v>
      </c>
      <c r="N1634" s="845" t="str">
        <f t="shared" si="138"/>
        <v/>
      </c>
      <c r="O1634" s="735">
        <v>2.8129623344100989</v>
      </c>
      <c r="P1634" s="735">
        <f t="shared" si="139"/>
        <v>1720.6060460866381</v>
      </c>
      <c r="Q1634" s="849">
        <v>45.6</v>
      </c>
      <c r="R1634" s="71">
        <v>107188</v>
      </c>
      <c r="S1634" s="845">
        <v>6.341968911917098E-2</v>
      </c>
      <c r="T1634" s="845">
        <v>2.8999999999999998E-2</v>
      </c>
      <c r="U1634" s="845">
        <v>0</v>
      </c>
      <c r="V1634" s="845">
        <v>0.17100000000000001</v>
      </c>
      <c r="W1634" s="845">
        <v>7.634001082837033E-2</v>
      </c>
      <c r="X1634" s="845">
        <v>0.40425531914893614</v>
      </c>
      <c r="Y1634" s="845">
        <v>0.89855371900826442</v>
      </c>
      <c r="Z1634" s="845">
        <v>1.5702479338842976E-2</v>
      </c>
      <c r="AA1634" s="845">
        <v>0</v>
      </c>
      <c r="AB1634" s="845">
        <v>2.9958677685950414E-2</v>
      </c>
      <c r="AC1634" s="845">
        <v>0</v>
      </c>
      <c r="AD1634" s="845">
        <v>1.859504132231405E-3</v>
      </c>
      <c r="AE1634" s="845">
        <v>5.3925619834710746E-2</v>
      </c>
      <c r="AF1634" s="845">
        <v>2.2107438016528924E-2</v>
      </c>
      <c r="AG1634" s="845">
        <v>0.87830578512396695</v>
      </c>
      <c r="AH1634" s="20" t="str">
        <f t="shared" si="140"/>
        <v>No</v>
      </c>
      <c r="AI1634" s="25"/>
      <c r="AJ1634" s="37">
        <v>43433</v>
      </c>
      <c r="AK1634" s="37" t="s">
        <v>920</v>
      </c>
      <c r="AL1634" s="37">
        <v>39123</v>
      </c>
      <c r="AM1634" s="37" t="s">
        <v>67</v>
      </c>
      <c r="AN1634" s="37">
        <f t="shared" si="141"/>
        <v>41780</v>
      </c>
      <c r="AO1634" s="37" t="str">
        <f t="shared" si="142"/>
        <v>Sandusky, OH</v>
      </c>
      <c r="AP1634" s="37" t="s">
        <v>8</v>
      </c>
      <c r="AQ1634" s="25"/>
      <c r="AR1634" s="25"/>
      <c r="AS1634" s="25"/>
      <c r="AT1634" s="25"/>
      <c r="AU1634" s="36"/>
      <c r="AV1634" s="36"/>
      <c r="AW1634" s="36"/>
      <c r="AX1634" s="25"/>
      <c r="AY1634" s="25"/>
      <c r="AZ1634" s="25"/>
      <c r="BA1634" s="25"/>
      <c r="BB1634" s="25"/>
      <c r="BC1634" s="25"/>
      <c r="BD1634" s="25"/>
      <c r="BE1634" s="25"/>
      <c r="BF1634" s="25"/>
      <c r="BG1634" s="25"/>
      <c r="BH1634" s="25"/>
      <c r="BI1634" s="25"/>
      <c r="BJ1634" s="25"/>
      <c r="BK1634" s="25"/>
      <c r="BL1634" s="25"/>
      <c r="BM1634" s="25"/>
      <c r="BN1634" s="25"/>
      <c r="BO1634" s="25"/>
      <c r="BP1634" s="25"/>
      <c r="BQ1634" s="25"/>
      <c r="BR1634" s="25"/>
      <c r="BS1634" s="25"/>
      <c r="BT1634" s="25"/>
      <c r="BU1634" s="25"/>
      <c r="BV1634" s="25"/>
      <c r="BW1634" s="25"/>
      <c r="BX1634" s="25"/>
      <c r="BY1634" s="25"/>
      <c r="BZ1634" s="25"/>
      <c r="CA1634" s="25"/>
      <c r="CB1634" s="25"/>
      <c r="CC1634" s="25"/>
      <c r="CD1634" s="25"/>
      <c r="CE1634" s="200"/>
      <c r="CF1634" s="200"/>
      <c r="CG1634" s="200"/>
      <c r="CH1634" s="200"/>
      <c r="CI1634" s="200"/>
      <c r="CJ1634" s="200"/>
      <c r="CK1634" s="200"/>
      <c r="CL1634" s="200"/>
      <c r="CM1634" s="200"/>
      <c r="CN1634" s="200"/>
      <c r="CO1634" s="200"/>
      <c r="CP1634" s="200"/>
      <c r="CQ1634" s="200"/>
      <c r="CR1634" s="200"/>
      <c r="CS1634" s="200"/>
      <c r="CT1634" s="200"/>
      <c r="CU1634" s="200"/>
    </row>
    <row r="1635" spans="1:99" s="17" customFormat="1" x14ac:dyDescent="0.2">
      <c r="A1635" s="25"/>
      <c r="B1635" s="20">
        <v>39049009220</v>
      </c>
      <c r="C1635" s="20">
        <v>92.2</v>
      </c>
      <c r="D1635" s="20" t="s">
        <v>31</v>
      </c>
      <c r="E1635" s="20" t="s">
        <v>2830</v>
      </c>
      <c r="F1635" s="20" t="s">
        <v>6</v>
      </c>
      <c r="G1635" s="861">
        <v>48.579436152834496</v>
      </c>
      <c r="H1635" s="861">
        <v>57.310804736543801</v>
      </c>
      <c r="I1635" s="861">
        <v>51.624642073680498</v>
      </c>
      <c r="J1635" s="861">
        <v>47.001469410950101</v>
      </c>
      <c r="K1635" s="982">
        <v>0</v>
      </c>
      <c r="L1635" s="735">
        <v>1939</v>
      </c>
      <c r="M1635" s="735">
        <v>2570</v>
      </c>
      <c r="N1635" s="845">
        <f t="shared" si="138"/>
        <v>0.32542547705002578</v>
      </c>
      <c r="O1635" s="735">
        <v>0.79521716414366095</v>
      </c>
      <c r="P1635" s="735">
        <f t="shared" si="139"/>
        <v>3231.8215902287961</v>
      </c>
      <c r="Q1635" s="849">
        <v>39.5</v>
      </c>
      <c r="R1635" s="71">
        <v>54329</v>
      </c>
      <c r="S1635" s="845">
        <v>0.20616113744075829</v>
      </c>
      <c r="T1635" s="845">
        <v>0.12</v>
      </c>
      <c r="U1635" s="845">
        <v>0</v>
      </c>
      <c r="V1635" s="845">
        <v>2.7999999999999997E-2</v>
      </c>
      <c r="W1635" s="845">
        <v>0.55995934959349591</v>
      </c>
      <c r="X1635" s="845">
        <v>0.54446460980036293</v>
      </c>
      <c r="Y1635" s="845">
        <v>0.48132295719844359</v>
      </c>
      <c r="Z1635" s="845">
        <v>0.28365758754863812</v>
      </c>
      <c r="AA1635" s="845">
        <v>0</v>
      </c>
      <c r="AB1635" s="845">
        <v>2.6459143968871595E-2</v>
      </c>
      <c r="AC1635" s="845">
        <v>0</v>
      </c>
      <c r="AD1635" s="845">
        <v>0.12529182879377432</v>
      </c>
      <c r="AE1635" s="845">
        <v>8.3268482490272369E-2</v>
      </c>
      <c r="AF1635" s="845">
        <v>0.19299610894941635</v>
      </c>
      <c r="AG1635" s="845">
        <v>0.46264591439688718</v>
      </c>
      <c r="AH1635" s="20" t="str">
        <f t="shared" si="140"/>
        <v>No</v>
      </c>
      <c r="AI1635" s="25"/>
      <c r="AJ1635" s="37">
        <v>43436</v>
      </c>
      <c r="AK1635" s="37" t="s">
        <v>923</v>
      </c>
      <c r="AL1635" s="37">
        <v>39123</v>
      </c>
      <c r="AM1635" s="37" t="s">
        <v>67</v>
      </c>
      <c r="AN1635" s="37">
        <f t="shared" si="141"/>
        <v>41780</v>
      </c>
      <c r="AO1635" s="37" t="str">
        <f t="shared" si="142"/>
        <v>Sandusky, OH</v>
      </c>
      <c r="AP1635" s="37" t="s">
        <v>8</v>
      </c>
      <c r="AQ1635" s="25"/>
      <c r="AR1635" s="25"/>
      <c r="AS1635" s="25"/>
      <c r="AT1635" s="25"/>
      <c r="AU1635" s="36"/>
      <c r="AV1635" s="36"/>
      <c r="AW1635" s="36"/>
      <c r="AX1635" s="25"/>
      <c r="AY1635" s="25"/>
      <c r="AZ1635" s="25"/>
      <c r="BA1635" s="25"/>
      <c r="BB1635" s="25"/>
      <c r="BC1635" s="25"/>
      <c r="BD1635" s="25"/>
      <c r="BE1635" s="25"/>
      <c r="BF1635" s="25"/>
      <c r="BG1635" s="25"/>
      <c r="BH1635" s="25"/>
      <c r="BI1635" s="25"/>
      <c r="BJ1635" s="25"/>
      <c r="BK1635" s="25"/>
      <c r="BL1635" s="25"/>
      <c r="BM1635" s="25"/>
      <c r="BN1635" s="25"/>
      <c r="BO1635" s="25"/>
      <c r="BP1635" s="25"/>
      <c r="BQ1635" s="25"/>
      <c r="BR1635" s="25"/>
      <c r="BS1635" s="25"/>
      <c r="BT1635" s="25"/>
      <c r="BU1635" s="25"/>
      <c r="BV1635" s="25"/>
      <c r="BW1635" s="25"/>
      <c r="BX1635" s="25"/>
      <c r="BY1635" s="25"/>
      <c r="BZ1635" s="25"/>
      <c r="CA1635" s="25"/>
      <c r="CB1635" s="25"/>
      <c r="CC1635" s="25"/>
      <c r="CD1635" s="25"/>
      <c r="CE1635" s="200"/>
      <c r="CF1635" s="200"/>
      <c r="CG1635" s="200"/>
      <c r="CH1635" s="200"/>
      <c r="CI1635" s="200"/>
      <c r="CJ1635" s="200"/>
      <c r="CK1635" s="200"/>
      <c r="CL1635" s="200"/>
      <c r="CM1635" s="200"/>
      <c r="CN1635" s="200"/>
      <c r="CO1635" s="200"/>
      <c r="CP1635" s="200"/>
      <c r="CQ1635" s="200"/>
      <c r="CR1635" s="200"/>
      <c r="CS1635" s="200"/>
      <c r="CT1635" s="200"/>
      <c r="CU1635" s="200"/>
    </row>
    <row r="1636" spans="1:99" s="17" customFormat="1" x14ac:dyDescent="0.2">
      <c r="A1636" s="25"/>
      <c r="B1636" s="20">
        <v>39119911100</v>
      </c>
      <c r="C1636" s="20">
        <v>9111</v>
      </c>
      <c r="D1636" s="20" t="s">
        <v>65</v>
      </c>
      <c r="E1636" s="20" t="s">
        <v>265</v>
      </c>
      <c r="F1636" s="20" t="s">
        <v>8</v>
      </c>
      <c r="G1636" s="861">
        <v>48.569117197029399</v>
      </c>
      <c r="H1636" s="861">
        <v>42.8089502749704</v>
      </c>
      <c r="I1636" s="861">
        <v>26.104698768997501</v>
      </c>
      <c r="J1636" s="861">
        <v>54.206044636029297</v>
      </c>
      <c r="K1636" s="982">
        <v>0</v>
      </c>
      <c r="L1636" s="735">
        <v>5776</v>
      </c>
      <c r="M1636" s="735">
        <v>5883</v>
      </c>
      <c r="N1636" s="845">
        <f t="shared" si="138"/>
        <v>1.8524930747922438E-2</v>
      </c>
      <c r="O1636" s="735">
        <v>47.476858494149617</v>
      </c>
      <c r="P1636" s="735">
        <f t="shared" si="139"/>
        <v>123.91300070380476</v>
      </c>
      <c r="Q1636" s="849">
        <v>40.6</v>
      </c>
      <c r="R1636" s="71">
        <v>74922</v>
      </c>
      <c r="S1636" s="845">
        <v>0.13129251700680272</v>
      </c>
      <c r="T1636" s="845">
        <v>3.1E-2</v>
      </c>
      <c r="U1636" s="845">
        <v>5.0000000000000001E-3</v>
      </c>
      <c r="V1636" s="845">
        <v>0.17699999999999999</v>
      </c>
      <c r="W1636" s="845">
        <v>0.21717171717171718</v>
      </c>
      <c r="X1636" s="845">
        <v>0.46723044397463004</v>
      </c>
      <c r="Y1636" s="845">
        <v>0.95801461839197688</v>
      </c>
      <c r="Z1636" s="845">
        <v>1.087880333163352E-2</v>
      </c>
      <c r="AA1636" s="845">
        <v>0</v>
      </c>
      <c r="AB1636" s="845">
        <v>3.5696073431922487E-3</v>
      </c>
      <c r="AC1636" s="845">
        <v>0</v>
      </c>
      <c r="AD1636" s="845">
        <v>2.0397756246812852E-3</v>
      </c>
      <c r="AE1636" s="845">
        <v>2.5497195308516064E-2</v>
      </c>
      <c r="AF1636" s="845">
        <v>0</v>
      </c>
      <c r="AG1636" s="845">
        <v>0.95801461839197688</v>
      </c>
      <c r="AH1636" s="20" t="str">
        <f t="shared" si="140"/>
        <v>Yes</v>
      </c>
      <c r="AI1636" s="25"/>
      <c r="AJ1636" s="37">
        <v>43439</v>
      </c>
      <c r="AK1636" s="37" t="s">
        <v>926</v>
      </c>
      <c r="AL1636" s="37">
        <v>39123</v>
      </c>
      <c r="AM1636" s="37" t="s">
        <v>67</v>
      </c>
      <c r="AN1636" s="37">
        <f t="shared" si="141"/>
        <v>41780</v>
      </c>
      <c r="AO1636" s="37" t="str">
        <f t="shared" si="142"/>
        <v>Sandusky, OH</v>
      </c>
      <c r="AP1636" s="37" t="s">
        <v>8</v>
      </c>
      <c r="AQ1636" s="25"/>
      <c r="AR1636" s="25"/>
      <c r="AS1636" s="25"/>
      <c r="AT1636" s="25"/>
      <c r="AU1636" s="36"/>
      <c r="AV1636" s="36"/>
      <c r="AW1636" s="36"/>
      <c r="AX1636" s="25"/>
      <c r="AY1636" s="25"/>
      <c r="AZ1636" s="25"/>
      <c r="BA1636" s="25"/>
      <c r="BB1636" s="25"/>
      <c r="BC1636" s="25"/>
      <c r="BD1636" s="25"/>
      <c r="BE1636" s="25"/>
      <c r="BF1636" s="25"/>
      <c r="BG1636" s="25"/>
      <c r="BH1636" s="25"/>
      <c r="BI1636" s="25"/>
      <c r="BJ1636" s="25"/>
      <c r="BK1636" s="25"/>
      <c r="BL1636" s="25"/>
      <c r="BM1636" s="25"/>
      <c r="BN1636" s="25"/>
      <c r="BO1636" s="25"/>
      <c r="BP1636" s="25"/>
      <c r="BQ1636" s="25"/>
      <c r="BR1636" s="25"/>
      <c r="BS1636" s="25"/>
      <c r="BT1636" s="25"/>
      <c r="BU1636" s="25"/>
      <c r="BV1636" s="25"/>
      <c r="BW1636" s="25"/>
      <c r="BX1636" s="25"/>
      <c r="BY1636" s="25"/>
      <c r="BZ1636" s="25"/>
      <c r="CA1636" s="25"/>
      <c r="CB1636" s="25"/>
      <c r="CC1636" s="25"/>
      <c r="CD1636" s="25"/>
      <c r="CE1636" s="200"/>
      <c r="CF1636" s="200"/>
      <c r="CG1636" s="200"/>
      <c r="CH1636" s="200"/>
      <c r="CI1636" s="200"/>
      <c r="CJ1636" s="200"/>
      <c r="CK1636" s="200"/>
      <c r="CL1636" s="200"/>
      <c r="CM1636" s="200"/>
      <c r="CN1636" s="200"/>
      <c r="CO1636" s="200"/>
      <c r="CP1636" s="200"/>
      <c r="CQ1636" s="200"/>
      <c r="CR1636" s="200"/>
      <c r="CS1636" s="200"/>
      <c r="CT1636" s="200"/>
      <c r="CU1636" s="200"/>
    </row>
    <row r="1637" spans="1:99" s="17" customFormat="1" x14ac:dyDescent="0.2">
      <c r="A1637" s="25"/>
      <c r="B1637" s="20">
        <v>39153530903</v>
      </c>
      <c r="C1637" s="20">
        <v>5309.03</v>
      </c>
      <c r="D1637" s="20" t="s">
        <v>82</v>
      </c>
      <c r="E1637" s="20" t="s">
        <v>2843</v>
      </c>
      <c r="F1637" s="20" t="s">
        <v>8</v>
      </c>
      <c r="G1637" s="861">
        <v>48.567207369146303</v>
      </c>
      <c r="H1637" s="861">
        <v>59.5216411486727</v>
      </c>
      <c r="I1637" s="861">
        <v>15.861181788852001</v>
      </c>
      <c r="J1637" s="861">
        <v>46.175708526564897</v>
      </c>
      <c r="K1637" s="982">
        <v>0</v>
      </c>
      <c r="L1637" s="735">
        <v>5154</v>
      </c>
      <c r="M1637" s="735">
        <v>5144</v>
      </c>
      <c r="N1637" s="845">
        <f t="shared" si="138"/>
        <v>-1.9402405898331393E-3</v>
      </c>
      <c r="O1637" s="735">
        <v>3.7001613879995769</v>
      </c>
      <c r="P1637" s="735">
        <f t="shared" si="139"/>
        <v>1390.2096315806937</v>
      </c>
      <c r="Q1637" s="849">
        <v>44.4</v>
      </c>
      <c r="R1637" s="71">
        <v>114724</v>
      </c>
      <c r="S1637" s="845">
        <v>4.0561622464898597E-2</v>
      </c>
      <c r="T1637" s="845">
        <v>0.01</v>
      </c>
      <c r="U1637" s="845">
        <v>0</v>
      </c>
      <c r="V1637" s="845">
        <v>0</v>
      </c>
      <c r="W1637" s="845">
        <v>2.6109660574412531E-2</v>
      </c>
      <c r="X1637" s="845">
        <v>0</v>
      </c>
      <c r="Y1637" s="845">
        <v>0.97122861586314158</v>
      </c>
      <c r="Z1637" s="845">
        <v>1.4968895800933127E-2</v>
      </c>
      <c r="AA1637" s="845">
        <v>0</v>
      </c>
      <c r="AB1637" s="845">
        <v>1.749611197511664E-3</v>
      </c>
      <c r="AC1637" s="845">
        <v>0</v>
      </c>
      <c r="AD1637" s="845">
        <v>0</v>
      </c>
      <c r="AE1637" s="845">
        <v>1.2052877138413685E-2</v>
      </c>
      <c r="AF1637" s="845">
        <v>1.1275272161741835E-2</v>
      </c>
      <c r="AG1637" s="845">
        <v>0.97122861586314158</v>
      </c>
      <c r="AH1637" s="20" t="str">
        <f t="shared" si="140"/>
        <v>Yes</v>
      </c>
      <c r="AI1637" s="25"/>
      <c r="AJ1637" s="37">
        <v>43440</v>
      </c>
      <c r="AK1637" s="37" t="s">
        <v>927</v>
      </c>
      <c r="AL1637" s="37">
        <v>39123</v>
      </c>
      <c r="AM1637" s="37" t="s">
        <v>67</v>
      </c>
      <c r="AN1637" s="37">
        <f t="shared" si="141"/>
        <v>41780</v>
      </c>
      <c r="AO1637" s="37" t="str">
        <f t="shared" si="142"/>
        <v>Sandusky, OH</v>
      </c>
      <c r="AP1637" s="37" t="s">
        <v>8</v>
      </c>
      <c r="AQ1637" s="25"/>
      <c r="AR1637" s="25"/>
      <c r="AS1637" s="25"/>
      <c r="AT1637" s="25"/>
      <c r="AU1637" s="36"/>
      <c r="AV1637" s="36"/>
      <c r="AW1637" s="36"/>
      <c r="AX1637" s="25"/>
      <c r="AY1637" s="25"/>
      <c r="AZ1637" s="25"/>
      <c r="BA1637" s="25"/>
      <c r="BB1637" s="25"/>
      <c r="BC1637" s="25"/>
      <c r="BD1637" s="25"/>
      <c r="BE1637" s="25"/>
      <c r="BF1637" s="25"/>
      <c r="BG1637" s="25"/>
      <c r="BH1637" s="25"/>
      <c r="BI1637" s="25"/>
      <c r="BJ1637" s="25"/>
      <c r="BK1637" s="25"/>
      <c r="BL1637" s="25"/>
      <c r="BM1637" s="25"/>
      <c r="BN1637" s="25"/>
      <c r="BO1637" s="25"/>
      <c r="BP1637" s="25"/>
      <c r="BQ1637" s="25"/>
      <c r="BR1637" s="25"/>
      <c r="BS1637" s="25"/>
      <c r="BT1637" s="25"/>
      <c r="BU1637" s="25"/>
      <c r="BV1637" s="25"/>
      <c r="BW1637" s="25"/>
      <c r="BX1637" s="25"/>
      <c r="BY1637" s="25"/>
      <c r="BZ1637" s="25"/>
      <c r="CA1637" s="25"/>
      <c r="CB1637" s="25"/>
      <c r="CC1637" s="25"/>
      <c r="CD1637" s="25"/>
      <c r="CE1637" s="200"/>
      <c r="CF1637" s="200"/>
      <c r="CG1637" s="200"/>
      <c r="CH1637" s="200"/>
      <c r="CI1637" s="200"/>
      <c r="CJ1637" s="200"/>
      <c r="CK1637" s="200"/>
      <c r="CL1637" s="200"/>
      <c r="CM1637" s="200"/>
      <c r="CN1637" s="200"/>
      <c r="CO1637" s="200"/>
      <c r="CP1637" s="200"/>
      <c r="CQ1637" s="200"/>
      <c r="CR1637" s="200"/>
      <c r="CS1637" s="200"/>
      <c r="CT1637" s="200"/>
      <c r="CU1637" s="200"/>
    </row>
    <row r="1638" spans="1:99" s="17" customFormat="1" x14ac:dyDescent="0.2">
      <c r="A1638" s="25"/>
      <c r="B1638" s="20">
        <v>39151712300</v>
      </c>
      <c r="C1638" s="20">
        <v>7123</v>
      </c>
      <c r="D1638" s="20" t="s">
        <v>81</v>
      </c>
      <c r="E1638" s="20" t="s">
        <v>2844</v>
      </c>
      <c r="F1638" s="20" t="s">
        <v>8</v>
      </c>
      <c r="G1638" s="861">
        <v>48.549408350965102</v>
      </c>
      <c r="H1638" s="861">
        <v>52.212268846527799</v>
      </c>
      <c r="I1638" s="861">
        <v>23.1661827754168</v>
      </c>
      <c r="J1638" s="861">
        <v>41.217596384911097</v>
      </c>
      <c r="K1638" s="982">
        <v>0</v>
      </c>
      <c r="L1638" s="735">
        <v>5963</v>
      </c>
      <c r="M1638" s="735">
        <v>6207</v>
      </c>
      <c r="N1638" s="845">
        <f t="shared" si="138"/>
        <v>4.0919000503102466E-2</v>
      </c>
      <c r="O1638" s="735">
        <v>4.2855941913957283</v>
      </c>
      <c r="P1638" s="735">
        <f t="shared" si="139"/>
        <v>1448.3405854109835</v>
      </c>
      <c r="Q1638" s="849">
        <v>39.5</v>
      </c>
      <c r="R1638" s="71">
        <v>71717</v>
      </c>
      <c r="S1638" s="845">
        <v>7.3948767520541331E-2</v>
      </c>
      <c r="T1638" s="845">
        <v>3.4000000000000002E-2</v>
      </c>
      <c r="U1638" s="845">
        <v>0</v>
      </c>
      <c r="V1638" s="845">
        <v>0</v>
      </c>
      <c r="W1638" s="845">
        <v>0.36888181456426583</v>
      </c>
      <c r="X1638" s="845">
        <v>0.16073354908306364</v>
      </c>
      <c r="Y1638" s="845">
        <v>0.89495730626711778</v>
      </c>
      <c r="Z1638" s="845">
        <v>6.5248912518124702E-2</v>
      </c>
      <c r="AA1638" s="845">
        <v>0</v>
      </c>
      <c r="AB1638" s="845">
        <v>0</v>
      </c>
      <c r="AC1638" s="845">
        <v>0</v>
      </c>
      <c r="AD1638" s="845">
        <v>0</v>
      </c>
      <c r="AE1638" s="845">
        <v>3.9793781214757531E-2</v>
      </c>
      <c r="AF1638" s="845">
        <v>3.56049621395199E-2</v>
      </c>
      <c r="AG1638" s="845">
        <v>0.87836313839213787</v>
      </c>
      <c r="AH1638" s="20" t="str">
        <f t="shared" si="140"/>
        <v>No</v>
      </c>
      <c r="AI1638" s="25"/>
      <c r="AJ1638" s="37">
        <v>43442</v>
      </c>
      <c r="AK1638" s="37" t="s">
        <v>928</v>
      </c>
      <c r="AL1638" s="37">
        <v>39123</v>
      </c>
      <c r="AM1638" s="37" t="s">
        <v>67</v>
      </c>
      <c r="AN1638" s="37">
        <f t="shared" si="141"/>
        <v>41780</v>
      </c>
      <c r="AO1638" s="37" t="str">
        <f t="shared" si="142"/>
        <v>Sandusky, OH</v>
      </c>
      <c r="AP1638" s="37" t="s">
        <v>8</v>
      </c>
      <c r="AQ1638" s="25"/>
      <c r="AR1638" s="25"/>
      <c r="AS1638" s="25"/>
      <c r="AT1638" s="25"/>
      <c r="AU1638" s="36"/>
      <c r="AV1638" s="36"/>
      <c r="AW1638" s="36"/>
      <c r="AX1638" s="25"/>
      <c r="AY1638" s="25"/>
      <c r="AZ1638" s="25"/>
      <c r="BA1638" s="25"/>
      <c r="BB1638" s="25"/>
      <c r="BC1638" s="25"/>
      <c r="BD1638" s="25"/>
      <c r="BE1638" s="25"/>
      <c r="BF1638" s="25"/>
      <c r="BG1638" s="25"/>
      <c r="BH1638" s="25"/>
      <c r="BI1638" s="25"/>
      <c r="BJ1638" s="25"/>
      <c r="BK1638" s="25"/>
      <c r="BL1638" s="25"/>
      <c r="BM1638" s="25"/>
      <c r="BN1638" s="25"/>
      <c r="BO1638" s="25"/>
      <c r="BP1638" s="25"/>
      <c r="BQ1638" s="25"/>
      <c r="BR1638" s="25"/>
      <c r="BS1638" s="25"/>
      <c r="BT1638" s="25"/>
      <c r="BU1638" s="25"/>
      <c r="BV1638" s="25"/>
      <c r="BW1638" s="25"/>
      <c r="BX1638" s="25"/>
      <c r="BY1638" s="25"/>
      <c r="BZ1638" s="25"/>
      <c r="CA1638" s="25"/>
      <c r="CB1638" s="25"/>
      <c r="CC1638" s="25"/>
      <c r="CD1638" s="25"/>
      <c r="CE1638" s="200"/>
      <c r="CF1638" s="200"/>
      <c r="CG1638" s="200"/>
      <c r="CH1638" s="200"/>
      <c r="CI1638" s="200"/>
      <c r="CJ1638" s="200"/>
      <c r="CK1638" s="200"/>
      <c r="CL1638" s="200"/>
      <c r="CM1638" s="200"/>
      <c r="CN1638" s="200"/>
      <c r="CO1638" s="200"/>
      <c r="CP1638" s="200"/>
      <c r="CQ1638" s="200"/>
      <c r="CR1638" s="200"/>
      <c r="CS1638" s="200"/>
      <c r="CT1638" s="200"/>
      <c r="CU1638" s="200"/>
    </row>
    <row r="1639" spans="1:99" s="17" customFormat="1" x14ac:dyDescent="0.2">
      <c r="A1639" s="25"/>
      <c r="B1639" s="20">
        <v>39117965401</v>
      </c>
      <c r="C1639" s="20">
        <v>9654.01</v>
      </c>
      <c r="D1639" s="20" t="s">
        <v>64</v>
      </c>
      <c r="E1639" s="20" t="s">
        <v>2830</v>
      </c>
      <c r="F1639" s="20" t="s">
        <v>8</v>
      </c>
      <c r="G1639" s="861">
        <v>48.546321179776903</v>
      </c>
      <c r="H1639" s="861">
        <v>68.766455745620505</v>
      </c>
      <c r="I1639" s="861">
        <v>11.422775158125299</v>
      </c>
      <c r="J1639" s="861">
        <v>51.577567579022599</v>
      </c>
      <c r="K1639" s="982">
        <v>0</v>
      </c>
      <c r="L1639" s="735" t="s">
        <v>2466</v>
      </c>
      <c r="M1639" s="735">
        <v>2302</v>
      </c>
      <c r="N1639" s="845" t="str">
        <f t="shared" si="138"/>
        <v/>
      </c>
      <c r="O1639" s="735">
        <v>32.250648440235508</v>
      </c>
      <c r="P1639" s="735">
        <f t="shared" si="139"/>
        <v>71.378409778826438</v>
      </c>
      <c r="Q1639" s="849">
        <v>44.1</v>
      </c>
      <c r="R1639" s="71">
        <v>93125</v>
      </c>
      <c r="S1639" s="845">
        <v>7.1676802780191132E-2</v>
      </c>
      <c r="T1639" s="845">
        <v>6.4000000000000001E-2</v>
      </c>
      <c r="U1639" s="845">
        <v>0</v>
      </c>
      <c r="V1639" s="845">
        <v>0</v>
      </c>
      <c r="W1639" s="845">
        <v>5.8252427184466021E-2</v>
      </c>
      <c r="X1639" s="845">
        <v>0</v>
      </c>
      <c r="Y1639" s="845">
        <v>0.95264986967854037</v>
      </c>
      <c r="Z1639" s="845">
        <v>3.4752389226759338E-3</v>
      </c>
      <c r="AA1639" s="845">
        <v>8.6880973066898344E-4</v>
      </c>
      <c r="AB1639" s="845">
        <v>4.2571676802780192E-2</v>
      </c>
      <c r="AC1639" s="845">
        <v>0</v>
      </c>
      <c r="AD1639" s="845">
        <v>0</v>
      </c>
      <c r="AE1639" s="845">
        <v>4.3440486533449172E-4</v>
      </c>
      <c r="AF1639" s="845">
        <v>4.7784535186794095E-3</v>
      </c>
      <c r="AG1639" s="845">
        <v>0.94787141615986104</v>
      </c>
      <c r="AH1639" s="20" t="str">
        <f t="shared" si="140"/>
        <v>Yes</v>
      </c>
      <c r="AI1639" s="25"/>
      <c r="AJ1639" s="37">
        <v>43445</v>
      </c>
      <c r="AK1639" s="37" t="s">
        <v>930</v>
      </c>
      <c r="AL1639" s="37">
        <v>39123</v>
      </c>
      <c r="AM1639" s="37" t="s">
        <v>67</v>
      </c>
      <c r="AN1639" s="37">
        <f t="shared" si="141"/>
        <v>41780</v>
      </c>
      <c r="AO1639" s="37" t="str">
        <f t="shared" si="142"/>
        <v>Sandusky, OH</v>
      </c>
      <c r="AP1639" s="37" t="s">
        <v>8</v>
      </c>
      <c r="AQ1639" s="25"/>
      <c r="AR1639" s="25"/>
      <c r="AS1639" s="25"/>
      <c r="AT1639" s="25"/>
      <c r="AU1639" s="36"/>
      <c r="AV1639" s="36"/>
      <c r="AW1639" s="36"/>
      <c r="AX1639" s="25"/>
      <c r="AY1639" s="25"/>
      <c r="AZ1639" s="25"/>
      <c r="BA1639" s="25"/>
      <c r="BB1639" s="25"/>
      <c r="BC1639" s="25"/>
      <c r="BD1639" s="25"/>
      <c r="BE1639" s="25"/>
      <c r="BF1639" s="25"/>
      <c r="BG1639" s="25"/>
      <c r="BH1639" s="25"/>
      <c r="BI1639" s="25"/>
      <c r="BJ1639" s="25"/>
      <c r="BK1639" s="25"/>
      <c r="BL1639" s="25"/>
      <c r="BM1639" s="25"/>
      <c r="BN1639" s="25"/>
      <c r="BO1639" s="25"/>
      <c r="BP1639" s="25"/>
      <c r="BQ1639" s="25"/>
      <c r="BR1639" s="25"/>
      <c r="BS1639" s="25"/>
      <c r="BT1639" s="25"/>
      <c r="BU1639" s="25"/>
      <c r="BV1639" s="25"/>
      <c r="BW1639" s="25"/>
      <c r="BX1639" s="25"/>
      <c r="BY1639" s="25"/>
      <c r="BZ1639" s="25"/>
      <c r="CA1639" s="25"/>
      <c r="CB1639" s="25"/>
      <c r="CC1639" s="25"/>
      <c r="CD1639" s="25"/>
      <c r="CE1639" s="200"/>
      <c r="CF1639" s="200"/>
      <c r="CG1639" s="200"/>
      <c r="CH1639" s="200"/>
      <c r="CI1639" s="200"/>
      <c r="CJ1639" s="200"/>
      <c r="CK1639" s="200"/>
      <c r="CL1639" s="200"/>
      <c r="CM1639" s="200"/>
      <c r="CN1639" s="200"/>
      <c r="CO1639" s="200"/>
      <c r="CP1639" s="200"/>
      <c r="CQ1639" s="200"/>
      <c r="CR1639" s="200"/>
      <c r="CS1639" s="200"/>
      <c r="CT1639" s="200"/>
      <c r="CU1639" s="200"/>
    </row>
    <row r="1640" spans="1:99" s="17" customFormat="1" x14ac:dyDescent="0.2">
      <c r="A1640" s="25"/>
      <c r="B1640" s="20">
        <v>39113100301</v>
      </c>
      <c r="C1640" s="20">
        <v>1003.01</v>
      </c>
      <c r="D1640" s="20" t="s">
        <v>62</v>
      </c>
      <c r="E1640" s="20" t="s">
        <v>2833</v>
      </c>
      <c r="F1640" s="20" t="s">
        <v>8</v>
      </c>
      <c r="G1640" s="861">
        <v>48.539305919994298</v>
      </c>
      <c r="H1640" s="861">
        <v>61.585303365360097</v>
      </c>
      <c r="I1640" s="861">
        <v>28.214747624532801</v>
      </c>
      <c r="J1640" s="861">
        <v>33.739532909698298</v>
      </c>
      <c r="K1640" s="982">
        <v>0</v>
      </c>
      <c r="L1640" s="735">
        <v>4093</v>
      </c>
      <c r="M1640" s="735">
        <v>4815</v>
      </c>
      <c r="N1640" s="845">
        <f t="shared" si="138"/>
        <v>0.17639872953823602</v>
      </c>
      <c r="O1640" s="735">
        <v>1.12648625247936</v>
      </c>
      <c r="P1640" s="735">
        <f t="shared" si="139"/>
        <v>4274.3530952129595</v>
      </c>
      <c r="Q1640" s="849">
        <v>38.200000000000003</v>
      </c>
      <c r="R1640" s="71">
        <v>66528</v>
      </c>
      <c r="S1640" s="845">
        <v>0.11339563862928349</v>
      </c>
      <c r="T1640" s="845">
        <v>0.02</v>
      </c>
      <c r="U1640" s="845">
        <v>0</v>
      </c>
      <c r="V1640" s="845">
        <v>0.04</v>
      </c>
      <c r="W1640" s="845">
        <v>0.2340653454740225</v>
      </c>
      <c r="X1640" s="845">
        <v>0.2494279176201373</v>
      </c>
      <c r="Y1640" s="845">
        <v>0.74745586708203526</v>
      </c>
      <c r="Z1640" s="845">
        <v>0.10321910695742471</v>
      </c>
      <c r="AA1640" s="845">
        <v>0</v>
      </c>
      <c r="AB1640" s="845">
        <v>5.8151609553478714E-2</v>
      </c>
      <c r="AC1640" s="845">
        <v>0</v>
      </c>
      <c r="AD1640" s="845">
        <v>1.474558670820353E-2</v>
      </c>
      <c r="AE1640" s="845">
        <v>7.6427829698857738E-2</v>
      </c>
      <c r="AF1640" s="845">
        <v>5.2336448598130844E-2</v>
      </c>
      <c r="AG1640" s="845">
        <v>0.74267912772585665</v>
      </c>
      <c r="AH1640" s="20" t="str">
        <f t="shared" si="140"/>
        <v>No</v>
      </c>
      <c r="AI1640" s="25"/>
      <c r="AJ1640" s="37">
        <v>43446</v>
      </c>
      <c r="AK1640" s="37" t="s">
        <v>931</v>
      </c>
      <c r="AL1640" s="37">
        <v>39123</v>
      </c>
      <c r="AM1640" s="37" t="s">
        <v>67</v>
      </c>
      <c r="AN1640" s="37">
        <f t="shared" si="141"/>
        <v>41780</v>
      </c>
      <c r="AO1640" s="37" t="str">
        <f t="shared" si="142"/>
        <v>Sandusky, OH</v>
      </c>
      <c r="AP1640" s="37" t="s">
        <v>8</v>
      </c>
      <c r="AQ1640" s="25"/>
      <c r="AR1640" s="25"/>
      <c r="AS1640" s="25"/>
      <c r="AT1640" s="25"/>
      <c r="AU1640" s="36"/>
      <c r="AV1640" s="36"/>
      <c r="AW1640" s="36"/>
      <c r="AX1640" s="25"/>
      <c r="AY1640" s="25"/>
      <c r="AZ1640" s="25"/>
      <c r="BA1640" s="25"/>
      <c r="BB1640" s="25"/>
      <c r="BC1640" s="25"/>
      <c r="BD1640" s="25"/>
      <c r="BE1640" s="25"/>
      <c r="BF1640" s="25"/>
      <c r="BG1640" s="25"/>
      <c r="BH1640" s="25"/>
      <c r="BI1640" s="25"/>
      <c r="BJ1640" s="25"/>
      <c r="BK1640" s="25"/>
      <c r="BL1640" s="25"/>
      <c r="BM1640" s="25"/>
      <c r="BN1640" s="25"/>
      <c r="BO1640" s="25"/>
      <c r="BP1640" s="25"/>
      <c r="BQ1640" s="25"/>
      <c r="BR1640" s="25"/>
      <c r="BS1640" s="25"/>
      <c r="BT1640" s="25"/>
      <c r="BU1640" s="25"/>
      <c r="BV1640" s="25"/>
      <c r="BW1640" s="25"/>
      <c r="BX1640" s="25"/>
      <c r="BY1640" s="25"/>
      <c r="BZ1640" s="25"/>
      <c r="CA1640" s="25"/>
      <c r="CB1640" s="25"/>
      <c r="CC1640" s="25"/>
      <c r="CD1640" s="25"/>
      <c r="CE1640" s="200"/>
      <c r="CF1640" s="200"/>
      <c r="CG1640" s="200"/>
      <c r="CH1640" s="200"/>
      <c r="CI1640" s="200"/>
      <c r="CJ1640" s="200"/>
      <c r="CK1640" s="200"/>
      <c r="CL1640" s="200"/>
      <c r="CM1640" s="200"/>
      <c r="CN1640" s="200"/>
      <c r="CO1640" s="200"/>
      <c r="CP1640" s="200"/>
      <c r="CQ1640" s="200"/>
      <c r="CR1640" s="200"/>
      <c r="CS1640" s="200"/>
      <c r="CT1640" s="200"/>
      <c r="CU1640" s="200"/>
    </row>
    <row r="1641" spans="1:99" s="17" customFormat="1" x14ac:dyDescent="0.2">
      <c r="A1641" s="25"/>
      <c r="B1641" s="20">
        <v>39049006932</v>
      </c>
      <c r="C1641" s="20">
        <v>69.319999999999993</v>
      </c>
      <c r="D1641" s="20" t="s">
        <v>31</v>
      </c>
      <c r="E1641" s="20" t="s">
        <v>2830</v>
      </c>
      <c r="F1641" s="20" t="s">
        <v>6</v>
      </c>
      <c r="G1641" s="861">
        <v>48.538305811380198</v>
      </c>
      <c r="H1641" s="861">
        <v>65.610220506644396</v>
      </c>
      <c r="I1641" s="861">
        <v>37.816600741227603</v>
      </c>
      <c r="J1641" s="861">
        <v>39.6595384263901</v>
      </c>
      <c r="K1641" s="982">
        <v>0</v>
      </c>
      <c r="L1641" s="735">
        <v>6281</v>
      </c>
      <c r="M1641" s="735">
        <v>7048</v>
      </c>
      <c r="N1641" s="845">
        <f t="shared" si="138"/>
        <v>0.12211431300748289</v>
      </c>
      <c r="O1641" s="735">
        <v>0.98739217764208198</v>
      </c>
      <c r="P1641" s="735">
        <f t="shared" si="139"/>
        <v>7137.9945674988085</v>
      </c>
      <c r="Q1641" s="849">
        <v>38.200000000000003</v>
      </c>
      <c r="R1641" s="71">
        <v>53992</v>
      </c>
      <c r="S1641" s="845">
        <v>0.19905281285878301</v>
      </c>
      <c r="T1641" s="845">
        <v>0.11</v>
      </c>
      <c r="U1641" s="845">
        <v>0</v>
      </c>
      <c r="V1641" s="845">
        <v>0</v>
      </c>
      <c r="W1641" s="845">
        <v>0.36117556071152357</v>
      </c>
      <c r="X1641" s="845">
        <v>0.44218415417558887</v>
      </c>
      <c r="Y1641" s="845">
        <v>0.36265607264472188</v>
      </c>
      <c r="Z1641" s="845">
        <v>0.4887911464245176</v>
      </c>
      <c r="AA1641" s="845">
        <v>1.8444948921679909E-3</v>
      </c>
      <c r="AB1641" s="845">
        <v>8.5556186152099881E-2</v>
      </c>
      <c r="AC1641" s="845">
        <v>0</v>
      </c>
      <c r="AD1641" s="845">
        <v>3.5612939841089673E-2</v>
      </c>
      <c r="AE1641" s="845">
        <v>2.553916004540295E-2</v>
      </c>
      <c r="AF1641" s="845">
        <v>4.4409761634506245E-2</v>
      </c>
      <c r="AG1641" s="845">
        <v>0.36066969353007944</v>
      </c>
      <c r="AH1641" s="20" t="str">
        <f t="shared" si="140"/>
        <v>No</v>
      </c>
      <c r="AI1641" s="25"/>
      <c r="AJ1641" s="37">
        <v>43447</v>
      </c>
      <c r="AK1641" s="37" t="s">
        <v>932</v>
      </c>
      <c r="AL1641" s="37">
        <v>39123</v>
      </c>
      <c r="AM1641" s="37" t="s">
        <v>67</v>
      </c>
      <c r="AN1641" s="37">
        <f t="shared" si="141"/>
        <v>41780</v>
      </c>
      <c r="AO1641" s="37" t="str">
        <f t="shared" si="142"/>
        <v>Sandusky, OH</v>
      </c>
      <c r="AP1641" s="37" t="s">
        <v>8</v>
      </c>
      <c r="AQ1641" s="25"/>
      <c r="AR1641" s="25"/>
      <c r="AS1641" s="25"/>
      <c r="AT1641" s="25"/>
      <c r="AU1641" s="36"/>
      <c r="AV1641" s="36"/>
      <c r="AW1641" s="36"/>
      <c r="AX1641" s="25"/>
      <c r="AY1641" s="25"/>
      <c r="AZ1641" s="25"/>
      <c r="BA1641" s="25"/>
      <c r="BB1641" s="25"/>
      <c r="BC1641" s="25"/>
      <c r="BD1641" s="25"/>
      <c r="BE1641" s="25"/>
      <c r="BF1641" s="25"/>
      <c r="BG1641" s="25"/>
      <c r="BH1641" s="25"/>
      <c r="BI1641" s="25"/>
      <c r="BJ1641" s="25"/>
      <c r="BK1641" s="25"/>
      <c r="BL1641" s="25"/>
      <c r="BM1641" s="25"/>
      <c r="BN1641" s="25"/>
      <c r="BO1641" s="25"/>
      <c r="BP1641" s="25"/>
      <c r="BQ1641" s="25"/>
      <c r="BR1641" s="25"/>
      <c r="BS1641" s="25"/>
      <c r="BT1641" s="25"/>
      <c r="BU1641" s="25"/>
      <c r="BV1641" s="25"/>
      <c r="BW1641" s="25"/>
      <c r="BX1641" s="25"/>
      <c r="BY1641" s="25"/>
      <c r="BZ1641" s="25"/>
      <c r="CA1641" s="25"/>
      <c r="CB1641" s="25"/>
      <c r="CC1641" s="25"/>
      <c r="CD1641" s="25"/>
      <c r="CE1641" s="200"/>
      <c r="CF1641" s="200"/>
      <c r="CG1641" s="200"/>
      <c r="CH1641" s="200"/>
      <c r="CI1641" s="200"/>
      <c r="CJ1641" s="200"/>
      <c r="CK1641" s="200"/>
      <c r="CL1641" s="200"/>
      <c r="CM1641" s="200"/>
      <c r="CN1641" s="200"/>
      <c r="CO1641" s="200"/>
      <c r="CP1641" s="200"/>
      <c r="CQ1641" s="200"/>
      <c r="CR1641" s="200"/>
      <c r="CS1641" s="200"/>
      <c r="CT1641" s="200"/>
      <c r="CU1641" s="200"/>
    </row>
    <row r="1642" spans="1:99" s="17" customFormat="1" x14ac:dyDescent="0.2">
      <c r="A1642" s="25"/>
      <c r="B1642" s="20">
        <v>39127966200</v>
      </c>
      <c r="C1642" s="20">
        <v>9662</v>
      </c>
      <c r="D1642" s="20" t="s">
        <v>69</v>
      </c>
      <c r="E1642" s="20" t="s">
        <v>2830</v>
      </c>
      <c r="F1642" s="20" t="s">
        <v>8</v>
      </c>
      <c r="G1642" s="861">
        <v>48.535930376942297</v>
      </c>
      <c r="H1642" s="861">
        <v>51.225918259224201</v>
      </c>
      <c r="I1642" s="861">
        <v>29.734672158404098</v>
      </c>
      <c r="J1642" s="861">
        <v>50.9916746713157</v>
      </c>
      <c r="K1642" s="982">
        <v>0</v>
      </c>
      <c r="L1642" s="735">
        <v>5940</v>
      </c>
      <c r="M1642" s="735">
        <v>5852</v>
      </c>
      <c r="N1642" s="845">
        <f t="shared" si="138"/>
        <v>-1.4814814814814815E-2</v>
      </c>
      <c r="O1642" s="735">
        <v>16.68890827456347</v>
      </c>
      <c r="P1642" s="735">
        <f t="shared" si="139"/>
        <v>350.65205606764414</v>
      </c>
      <c r="Q1642" s="849">
        <v>37.9</v>
      </c>
      <c r="R1642" s="71">
        <v>47899</v>
      </c>
      <c r="S1642" s="845">
        <v>0.22721728524133125</v>
      </c>
      <c r="T1642" s="845">
        <v>0.04</v>
      </c>
      <c r="U1642" s="845">
        <v>0</v>
      </c>
      <c r="V1642" s="845">
        <v>0</v>
      </c>
      <c r="W1642" s="845">
        <v>0.42667257421355781</v>
      </c>
      <c r="X1642" s="845">
        <v>0.41952232606438211</v>
      </c>
      <c r="Y1642" s="845">
        <v>0.96701982228298022</v>
      </c>
      <c r="Z1642" s="845">
        <v>1.3670539986329461E-3</v>
      </c>
      <c r="AA1642" s="845">
        <v>0</v>
      </c>
      <c r="AB1642" s="845">
        <v>0</v>
      </c>
      <c r="AC1642" s="845">
        <v>0</v>
      </c>
      <c r="AD1642" s="845">
        <v>0</v>
      </c>
      <c r="AE1642" s="845">
        <v>3.1613123718386878E-2</v>
      </c>
      <c r="AF1642" s="845">
        <v>3.5885167464114833E-3</v>
      </c>
      <c r="AG1642" s="845">
        <v>0.96514012303485985</v>
      </c>
      <c r="AH1642" s="20" t="str">
        <f t="shared" si="140"/>
        <v>Yes</v>
      </c>
      <c r="AI1642" s="25"/>
      <c r="AJ1642" s="37">
        <v>43449</v>
      </c>
      <c r="AK1642" s="37" t="s">
        <v>933</v>
      </c>
      <c r="AL1642" s="37">
        <v>39123</v>
      </c>
      <c r="AM1642" s="37" t="s">
        <v>67</v>
      </c>
      <c r="AN1642" s="37">
        <f t="shared" si="141"/>
        <v>41780</v>
      </c>
      <c r="AO1642" s="37" t="str">
        <f t="shared" si="142"/>
        <v>Sandusky, OH</v>
      </c>
      <c r="AP1642" s="37" t="s">
        <v>8</v>
      </c>
      <c r="AQ1642" s="25"/>
      <c r="AR1642" s="25"/>
      <c r="AS1642" s="25"/>
      <c r="AT1642" s="25"/>
      <c r="AU1642" s="36"/>
      <c r="AV1642" s="36"/>
      <c r="AW1642" s="36"/>
      <c r="AX1642" s="25"/>
      <c r="AY1642" s="25"/>
      <c r="AZ1642" s="25"/>
      <c r="BA1642" s="25"/>
      <c r="BB1642" s="25"/>
      <c r="BC1642" s="25"/>
      <c r="BD1642" s="25"/>
      <c r="BE1642" s="25"/>
      <c r="BF1642" s="25"/>
      <c r="BG1642" s="25"/>
      <c r="BH1642" s="25"/>
      <c r="BI1642" s="25"/>
      <c r="BJ1642" s="25"/>
      <c r="BK1642" s="25"/>
      <c r="BL1642" s="25"/>
      <c r="BM1642" s="25"/>
      <c r="BN1642" s="25"/>
      <c r="BO1642" s="25"/>
      <c r="BP1642" s="25"/>
      <c r="BQ1642" s="25"/>
      <c r="BR1642" s="25"/>
      <c r="BS1642" s="25"/>
      <c r="BT1642" s="25"/>
      <c r="BU1642" s="25"/>
      <c r="BV1642" s="25"/>
      <c r="BW1642" s="25"/>
      <c r="BX1642" s="25"/>
      <c r="BY1642" s="25"/>
      <c r="BZ1642" s="25"/>
      <c r="CA1642" s="25"/>
      <c r="CB1642" s="25"/>
      <c r="CC1642" s="25"/>
      <c r="CD1642" s="25"/>
      <c r="CE1642" s="200"/>
      <c r="CF1642" s="200"/>
      <c r="CG1642" s="200"/>
      <c r="CH1642" s="200"/>
      <c r="CI1642" s="200"/>
      <c r="CJ1642" s="200"/>
      <c r="CK1642" s="200"/>
      <c r="CL1642" s="200"/>
      <c r="CM1642" s="200"/>
      <c r="CN1642" s="200"/>
      <c r="CO1642" s="200"/>
      <c r="CP1642" s="200"/>
      <c r="CQ1642" s="200"/>
      <c r="CR1642" s="200"/>
      <c r="CS1642" s="200"/>
      <c r="CT1642" s="200"/>
      <c r="CU1642" s="200"/>
    </row>
    <row r="1643" spans="1:99" s="17" customFormat="1" x14ac:dyDescent="0.2">
      <c r="A1643" s="25"/>
      <c r="B1643" s="20">
        <v>39061021900</v>
      </c>
      <c r="C1643" s="20">
        <v>219</v>
      </c>
      <c r="D1643" s="20" t="s">
        <v>37</v>
      </c>
      <c r="E1643" s="20" t="s">
        <v>2828</v>
      </c>
      <c r="F1643" s="20" t="s">
        <v>6</v>
      </c>
      <c r="G1643" s="861">
        <v>48.506285321966601</v>
      </c>
      <c r="H1643" s="861">
        <v>40.218151985076197</v>
      </c>
      <c r="I1643" s="861">
        <v>52.224345316502699</v>
      </c>
      <c r="J1643" s="861">
        <v>55.025681283574002</v>
      </c>
      <c r="K1643" s="982">
        <v>0</v>
      </c>
      <c r="L1643" s="735">
        <v>1406</v>
      </c>
      <c r="M1643" s="735">
        <v>1803</v>
      </c>
      <c r="N1643" s="845">
        <f t="shared" si="138"/>
        <v>0.28236130867709813</v>
      </c>
      <c r="O1643" s="735">
        <v>0.28590362910971051</v>
      </c>
      <c r="P1643" s="735">
        <f t="shared" si="139"/>
        <v>6306.320789331885</v>
      </c>
      <c r="Q1643" s="849">
        <v>37.1</v>
      </c>
      <c r="R1643" s="71">
        <v>57560</v>
      </c>
      <c r="S1643" s="845">
        <v>0.19576719576719576</v>
      </c>
      <c r="T1643" s="845">
        <v>0.107</v>
      </c>
      <c r="U1643" s="845">
        <v>0</v>
      </c>
      <c r="V1643" s="845">
        <v>0.127</v>
      </c>
      <c r="W1643" s="845">
        <v>0.39965694682675817</v>
      </c>
      <c r="X1643" s="845">
        <v>0.42060085836909872</v>
      </c>
      <c r="Y1643" s="845">
        <v>0.3682750970604548</v>
      </c>
      <c r="Z1643" s="845">
        <v>0.43594009983361065</v>
      </c>
      <c r="AA1643" s="845">
        <v>0</v>
      </c>
      <c r="AB1643" s="845">
        <v>0</v>
      </c>
      <c r="AC1643" s="845">
        <v>7.2102052135330002E-3</v>
      </c>
      <c r="AD1643" s="845">
        <v>0.13754853022739877</v>
      </c>
      <c r="AE1643" s="845">
        <v>5.1026067665002776E-2</v>
      </c>
      <c r="AF1643" s="845">
        <v>0.13366611203549639</v>
      </c>
      <c r="AG1643" s="845">
        <v>0.23904603438713257</v>
      </c>
      <c r="AH1643" s="20" t="str">
        <f t="shared" si="140"/>
        <v>No</v>
      </c>
      <c r="AI1643" s="25"/>
      <c r="AJ1643" s="37">
        <v>43452</v>
      </c>
      <c r="AK1643" s="37" t="s">
        <v>936</v>
      </c>
      <c r="AL1643" s="37">
        <v>39123</v>
      </c>
      <c r="AM1643" s="37" t="s">
        <v>67</v>
      </c>
      <c r="AN1643" s="37">
        <f t="shared" si="141"/>
        <v>41780</v>
      </c>
      <c r="AO1643" s="37" t="str">
        <f t="shared" si="142"/>
        <v>Sandusky, OH</v>
      </c>
      <c r="AP1643" s="37" t="s">
        <v>8</v>
      </c>
      <c r="AQ1643" s="25"/>
      <c r="AR1643" s="25"/>
      <c r="AS1643" s="25"/>
      <c r="AT1643" s="25"/>
      <c r="AU1643" s="36"/>
      <c r="AV1643" s="36"/>
      <c r="AW1643" s="36"/>
      <c r="AX1643" s="25"/>
      <c r="AY1643" s="25"/>
      <c r="AZ1643" s="25"/>
      <c r="BA1643" s="25"/>
      <c r="BB1643" s="25"/>
      <c r="BC1643" s="25"/>
      <c r="BD1643" s="25"/>
      <c r="BE1643" s="25"/>
      <c r="BF1643" s="25"/>
      <c r="BG1643" s="25"/>
      <c r="BH1643" s="25"/>
      <c r="BI1643" s="25"/>
      <c r="BJ1643" s="25"/>
      <c r="BK1643" s="25"/>
      <c r="BL1643" s="25"/>
      <c r="BM1643" s="25"/>
      <c r="BN1643" s="25"/>
      <c r="BO1643" s="25"/>
      <c r="BP1643" s="25"/>
      <c r="BQ1643" s="25"/>
      <c r="BR1643" s="25"/>
      <c r="BS1643" s="25"/>
      <c r="BT1643" s="25"/>
      <c r="BU1643" s="25"/>
      <c r="BV1643" s="25"/>
      <c r="BW1643" s="25"/>
      <c r="BX1643" s="25"/>
      <c r="BY1643" s="25"/>
      <c r="BZ1643" s="25"/>
      <c r="CA1643" s="25"/>
      <c r="CB1643" s="25"/>
      <c r="CC1643" s="25"/>
      <c r="CD1643" s="25"/>
      <c r="CE1643" s="200"/>
      <c r="CF1643" s="200"/>
      <c r="CG1643" s="200"/>
      <c r="CH1643" s="200"/>
      <c r="CI1643" s="200"/>
      <c r="CJ1643" s="200"/>
      <c r="CK1643" s="200"/>
      <c r="CL1643" s="200"/>
      <c r="CM1643" s="200"/>
      <c r="CN1643" s="200"/>
      <c r="CO1643" s="200"/>
      <c r="CP1643" s="200"/>
      <c r="CQ1643" s="200"/>
      <c r="CR1643" s="200"/>
      <c r="CS1643" s="200"/>
      <c r="CT1643" s="200"/>
      <c r="CU1643" s="200"/>
    </row>
    <row r="1644" spans="1:99" s="17" customFormat="1" x14ac:dyDescent="0.2">
      <c r="A1644" s="25"/>
      <c r="B1644" s="20">
        <v>39065000600</v>
      </c>
      <c r="C1644" s="20">
        <v>6</v>
      </c>
      <c r="D1644" s="20" t="s">
        <v>39</v>
      </c>
      <c r="E1644" s="20" t="s">
        <v>265</v>
      </c>
      <c r="F1644" s="20" t="s">
        <v>6</v>
      </c>
      <c r="G1644" s="861">
        <v>48.504166517245999</v>
      </c>
      <c r="H1644" s="861">
        <v>47.146344916879897</v>
      </c>
      <c r="I1644" s="861">
        <v>34.561461777046603</v>
      </c>
      <c r="J1644" s="861">
        <v>33.292319058093</v>
      </c>
      <c r="K1644" s="982">
        <v>0</v>
      </c>
      <c r="L1644" s="735">
        <v>3790</v>
      </c>
      <c r="M1644" s="735">
        <v>3671</v>
      </c>
      <c r="N1644" s="845">
        <f t="shared" si="138"/>
        <v>-3.1398416886543538E-2</v>
      </c>
      <c r="O1644" s="735">
        <v>8.5296796980276497</v>
      </c>
      <c r="P1644" s="735">
        <f t="shared" si="139"/>
        <v>430.37958398940339</v>
      </c>
      <c r="Q1644" s="849">
        <v>41.3</v>
      </c>
      <c r="R1644" s="71">
        <v>42167</v>
      </c>
      <c r="S1644" s="845">
        <v>0.30086705202312136</v>
      </c>
      <c r="T1644" s="845">
        <v>6.9000000000000006E-2</v>
      </c>
      <c r="U1644" s="845">
        <v>0</v>
      </c>
      <c r="V1644" s="845">
        <v>5.5E-2</v>
      </c>
      <c r="W1644" s="845">
        <v>0.321524064171123</v>
      </c>
      <c r="X1644" s="845">
        <v>0.48648648648648651</v>
      </c>
      <c r="Y1644" s="845">
        <v>0.90574775265595209</v>
      </c>
      <c r="Z1644" s="845">
        <v>1.4165077635521656E-2</v>
      </c>
      <c r="AA1644" s="845">
        <v>0</v>
      </c>
      <c r="AB1644" s="845">
        <v>1.0896213565785889E-2</v>
      </c>
      <c r="AC1644" s="845">
        <v>4.630890765459003E-3</v>
      </c>
      <c r="AD1644" s="845">
        <v>1.6344320348678834E-3</v>
      </c>
      <c r="AE1644" s="845">
        <v>6.2925633342413509E-2</v>
      </c>
      <c r="AF1644" s="845">
        <v>1.6344320348678834E-3</v>
      </c>
      <c r="AG1644" s="845">
        <v>0.90574775265595209</v>
      </c>
      <c r="AH1644" s="20" t="str">
        <f t="shared" si="140"/>
        <v>Yes</v>
      </c>
      <c r="AI1644" s="25"/>
      <c r="AJ1644" s="37">
        <v>43456</v>
      </c>
      <c r="AK1644" s="37" t="s">
        <v>937</v>
      </c>
      <c r="AL1644" s="37">
        <v>39123</v>
      </c>
      <c r="AM1644" s="37" t="s">
        <v>67</v>
      </c>
      <c r="AN1644" s="37">
        <f t="shared" si="141"/>
        <v>41780</v>
      </c>
      <c r="AO1644" s="37" t="str">
        <f t="shared" si="142"/>
        <v>Sandusky, OH</v>
      </c>
      <c r="AP1644" s="37" t="s">
        <v>8</v>
      </c>
      <c r="AQ1644" s="25"/>
      <c r="AR1644" s="25"/>
      <c r="AS1644" s="25"/>
      <c r="AT1644" s="25"/>
      <c r="AU1644" s="36"/>
      <c r="AV1644" s="36"/>
      <c r="AW1644" s="36"/>
      <c r="AX1644" s="25"/>
      <c r="AY1644" s="25"/>
      <c r="AZ1644" s="25"/>
      <c r="BA1644" s="25"/>
      <c r="BB1644" s="25"/>
      <c r="BC1644" s="25"/>
      <c r="BD1644" s="25"/>
      <c r="BE1644" s="25"/>
      <c r="BF1644" s="25"/>
      <c r="BG1644" s="25"/>
      <c r="BH1644" s="25"/>
      <c r="BI1644" s="25"/>
      <c r="BJ1644" s="25"/>
      <c r="BK1644" s="25"/>
      <c r="BL1644" s="25"/>
      <c r="BM1644" s="25"/>
      <c r="BN1644" s="25"/>
      <c r="BO1644" s="25"/>
      <c r="BP1644" s="25"/>
      <c r="BQ1644" s="25"/>
      <c r="BR1644" s="25"/>
      <c r="BS1644" s="25"/>
      <c r="BT1644" s="25"/>
      <c r="BU1644" s="25"/>
      <c r="BV1644" s="25"/>
      <c r="BW1644" s="25"/>
      <c r="BX1644" s="25"/>
      <c r="BY1644" s="25"/>
      <c r="BZ1644" s="25"/>
      <c r="CA1644" s="25"/>
      <c r="CB1644" s="25"/>
      <c r="CC1644" s="25"/>
      <c r="CD1644" s="25"/>
      <c r="CE1644" s="200"/>
      <c r="CF1644" s="200"/>
      <c r="CG1644" s="200"/>
      <c r="CH1644" s="200"/>
      <c r="CI1644" s="200"/>
      <c r="CJ1644" s="200"/>
      <c r="CK1644" s="200"/>
      <c r="CL1644" s="200"/>
      <c r="CM1644" s="200"/>
      <c r="CN1644" s="200"/>
      <c r="CO1644" s="200"/>
      <c r="CP1644" s="200"/>
      <c r="CQ1644" s="200"/>
      <c r="CR1644" s="200"/>
      <c r="CS1644" s="200"/>
      <c r="CT1644" s="200"/>
      <c r="CU1644" s="200"/>
    </row>
    <row r="1645" spans="1:99" s="17" customFormat="1" x14ac:dyDescent="0.2">
      <c r="A1645" s="25"/>
      <c r="B1645" s="20">
        <v>39139002000</v>
      </c>
      <c r="C1645" s="20">
        <v>20</v>
      </c>
      <c r="D1645" s="20" t="s">
        <v>75</v>
      </c>
      <c r="E1645" s="20" t="s">
        <v>2836</v>
      </c>
      <c r="F1645" s="20" t="s">
        <v>8</v>
      </c>
      <c r="G1645" s="861">
        <v>48.500506730421002</v>
      </c>
      <c r="H1645" s="861">
        <v>56.978596530444101</v>
      </c>
      <c r="I1645" s="861">
        <v>14.593489330498899</v>
      </c>
      <c r="J1645" s="861">
        <v>53.397962332109699</v>
      </c>
      <c r="K1645" s="982">
        <v>0</v>
      </c>
      <c r="L1645" s="735">
        <v>5399</v>
      </c>
      <c r="M1645" s="735">
        <v>5370</v>
      </c>
      <c r="N1645" s="845">
        <f t="shared" si="138"/>
        <v>-5.371365067605112E-3</v>
      </c>
      <c r="O1645" s="735">
        <v>57.208222473268421</v>
      </c>
      <c r="P1645" s="735">
        <f t="shared" si="139"/>
        <v>93.867625453827543</v>
      </c>
      <c r="Q1645" s="849">
        <v>46.8</v>
      </c>
      <c r="R1645" s="71">
        <v>85109</v>
      </c>
      <c r="S1645" s="845">
        <v>2.1042830540037243E-2</v>
      </c>
      <c r="T1645" s="845">
        <v>4.9000000000000002E-2</v>
      </c>
      <c r="U1645" s="845">
        <v>0</v>
      </c>
      <c r="V1645" s="845">
        <v>9.8000000000000004E-2</v>
      </c>
      <c r="W1645" s="845">
        <v>8.7703435804701621E-2</v>
      </c>
      <c r="X1645" s="845">
        <v>0.16494845360824742</v>
      </c>
      <c r="Y1645" s="845">
        <v>0.94469273743016757</v>
      </c>
      <c r="Z1645" s="845">
        <v>9.1247672253258853E-3</v>
      </c>
      <c r="AA1645" s="845">
        <v>0</v>
      </c>
      <c r="AB1645" s="845">
        <v>4.0968342644320298E-3</v>
      </c>
      <c r="AC1645" s="845">
        <v>0</v>
      </c>
      <c r="AD1645" s="845">
        <v>1.266294227188082E-2</v>
      </c>
      <c r="AE1645" s="845">
        <v>2.9422718808193669E-2</v>
      </c>
      <c r="AF1645" s="845">
        <v>9.3109869646182495E-4</v>
      </c>
      <c r="AG1645" s="845">
        <v>0.94376163873370578</v>
      </c>
      <c r="AH1645" s="20" t="str">
        <f t="shared" si="140"/>
        <v>Yes</v>
      </c>
      <c r="AI1645" s="25"/>
      <c r="AJ1645" s="37">
        <v>43458</v>
      </c>
      <c r="AK1645" s="37" t="s">
        <v>939</v>
      </c>
      <c r="AL1645" s="37">
        <v>39123</v>
      </c>
      <c r="AM1645" s="37" t="s">
        <v>67</v>
      </c>
      <c r="AN1645" s="37">
        <f t="shared" si="141"/>
        <v>41780</v>
      </c>
      <c r="AO1645" s="37" t="str">
        <f t="shared" si="142"/>
        <v>Sandusky, OH</v>
      </c>
      <c r="AP1645" s="37" t="s">
        <v>8</v>
      </c>
      <c r="AQ1645" s="25"/>
      <c r="AR1645" s="25"/>
      <c r="AS1645" s="25"/>
      <c r="AT1645" s="25"/>
      <c r="AU1645" s="36"/>
      <c r="AV1645" s="36"/>
      <c r="AW1645" s="36"/>
      <c r="AX1645" s="25"/>
      <c r="AY1645" s="25"/>
      <c r="AZ1645" s="25"/>
      <c r="BA1645" s="25"/>
      <c r="BB1645" s="25"/>
      <c r="BC1645" s="25"/>
      <c r="BD1645" s="25"/>
      <c r="BE1645" s="25"/>
      <c r="BF1645" s="25"/>
      <c r="BG1645" s="25"/>
      <c r="BH1645" s="25"/>
      <c r="BI1645" s="25"/>
      <c r="BJ1645" s="25"/>
      <c r="BK1645" s="25"/>
      <c r="BL1645" s="25"/>
      <c r="BM1645" s="25"/>
      <c r="BN1645" s="25"/>
      <c r="BO1645" s="25"/>
      <c r="BP1645" s="25"/>
      <c r="BQ1645" s="25"/>
      <c r="BR1645" s="25"/>
      <c r="BS1645" s="25"/>
      <c r="BT1645" s="25"/>
      <c r="BU1645" s="25"/>
      <c r="BV1645" s="25"/>
      <c r="BW1645" s="25"/>
      <c r="BX1645" s="25"/>
      <c r="BY1645" s="25"/>
      <c r="BZ1645" s="25"/>
      <c r="CA1645" s="25"/>
      <c r="CB1645" s="25"/>
      <c r="CC1645" s="25"/>
      <c r="CD1645" s="25"/>
      <c r="CE1645" s="200"/>
      <c r="CF1645" s="200"/>
      <c r="CG1645" s="200"/>
      <c r="CH1645" s="200"/>
      <c r="CI1645" s="200"/>
      <c r="CJ1645" s="200"/>
      <c r="CK1645" s="200"/>
      <c r="CL1645" s="200"/>
      <c r="CM1645" s="200"/>
      <c r="CN1645" s="200"/>
      <c r="CO1645" s="200"/>
      <c r="CP1645" s="200"/>
      <c r="CQ1645" s="200"/>
      <c r="CR1645" s="200"/>
      <c r="CS1645" s="200"/>
      <c r="CT1645" s="200"/>
      <c r="CU1645" s="200"/>
    </row>
    <row r="1646" spans="1:99" s="17" customFormat="1" x14ac:dyDescent="0.2">
      <c r="A1646" s="25"/>
      <c r="B1646" s="20">
        <v>39017012100</v>
      </c>
      <c r="C1646" s="20">
        <v>121</v>
      </c>
      <c r="D1646" s="20" t="s">
        <v>15</v>
      </c>
      <c r="E1646" s="20" t="s">
        <v>2828</v>
      </c>
      <c r="F1646" s="20" t="s">
        <v>8</v>
      </c>
      <c r="G1646" s="861">
        <v>48.487137896120601</v>
      </c>
      <c r="H1646" s="861">
        <v>53.648775037393499</v>
      </c>
      <c r="I1646" s="861">
        <v>48.013782891069397</v>
      </c>
      <c r="J1646" s="861">
        <v>39.611723627993399</v>
      </c>
      <c r="K1646" s="982">
        <v>0</v>
      </c>
      <c r="L1646" s="735">
        <v>3234</v>
      </c>
      <c r="M1646" s="735">
        <v>3076</v>
      </c>
      <c r="N1646" s="845">
        <f t="shared" si="138"/>
        <v>-4.885590599876314E-2</v>
      </c>
      <c r="O1646" s="735">
        <v>8.5378391949451853</v>
      </c>
      <c r="P1646" s="735">
        <f t="shared" si="139"/>
        <v>360.27851190042804</v>
      </c>
      <c r="Q1646" s="849">
        <v>36.6</v>
      </c>
      <c r="R1646" s="71">
        <v>69670</v>
      </c>
      <c r="S1646" s="845">
        <v>0.17815344603381014</v>
      </c>
      <c r="T1646" s="845">
        <v>1.4999999999999999E-2</v>
      </c>
      <c r="U1646" s="845">
        <v>0</v>
      </c>
      <c r="V1646" s="845">
        <v>0</v>
      </c>
      <c r="W1646" s="845">
        <v>0.31313131313131315</v>
      </c>
      <c r="X1646" s="845">
        <v>0.49731182795698925</v>
      </c>
      <c r="Y1646" s="845">
        <v>0.9723667100130039</v>
      </c>
      <c r="Z1646" s="845">
        <v>0</v>
      </c>
      <c r="AA1646" s="845">
        <v>0</v>
      </c>
      <c r="AB1646" s="845">
        <v>0</v>
      </c>
      <c r="AC1646" s="845">
        <v>0</v>
      </c>
      <c r="AD1646" s="845">
        <v>0</v>
      </c>
      <c r="AE1646" s="845">
        <v>2.7633289986996098E-2</v>
      </c>
      <c r="AF1646" s="845">
        <v>0</v>
      </c>
      <c r="AG1646" s="845">
        <v>0.9723667100130039</v>
      </c>
      <c r="AH1646" s="20" t="str">
        <f t="shared" si="140"/>
        <v>Yes</v>
      </c>
      <c r="AI1646" s="25"/>
      <c r="AJ1646" s="37">
        <v>43468</v>
      </c>
      <c r="AK1646" s="37" t="s">
        <v>947</v>
      </c>
      <c r="AL1646" s="37">
        <v>39123</v>
      </c>
      <c r="AM1646" s="37" t="s">
        <v>67</v>
      </c>
      <c r="AN1646" s="37">
        <f t="shared" si="141"/>
        <v>41780</v>
      </c>
      <c r="AO1646" s="37" t="str">
        <f t="shared" si="142"/>
        <v>Sandusky, OH</v>
      </c>
      <c r="AP1646" s="37" t="s">
        <v>8</v>
      </c>
      <c r="AQ1646" s="25"/>
      <c r="AR1646" s="25"/>
      <c r="AS1646" s="25"/>
      <c r="AT1646" s="25"/>
      <c r="AU1646" s="36"/>
      <c r="AV1646" s="36"/>
      <c r="AW1646" s="36"/>
      <c r="AX1646" s="25"/>
      <c r="AY1646" s="25"/>
      <c r="AZ1646" s="25"/>
      <c r="BA1646" s="25"/>
      <c r="BB1646" s="25"/>
      <c r="BC1646" s="25"/>
      <c r="BD1646" s="25"/>
      <c r="BE1646" s="25"/>
      <c r="BF1646" s="25"/>
      <c r="BG1646" s="25"/>
      <c r="BH1646" s="25"/>
      <c r="BI1646" s="25"/>
      <c r="BJ1646" s="25"/>
      <c r="BK1646" s="25"/>
      <c r="BL1646" s="25"/>
      <c r="BM1646" s="25"/>
      <c r="BN1646" s="25"/>
      <c r="BO1646" s="25"/>
      <c r="BP1646" s="25"/>
      <c r="BQ1646" s="25"/>
      <c r="BR1646" s="25"/>
      <c r="BS1646" s="25"/>
      <c r="BT1646" s="25"/>
      <c r="BU1646" s="25"/>
      <c r="BV1646" s="25"/>
      <c r="BW1646" s="25"/>
      <c r="BX1646" s="25"/>
      <c r="BY1646" s="25"/>
      <c r="BZ1646" s="25"/>
      <c r="CA1646" s="25"/>
      <c r="CB1646" s="25"/>
      <c r="CC1646" s="25"/>
      <c r="CD1646" s="25"/>
      <c r="CE1646" s="200"/>
      <c r="CF1646" s="200"/>
      <c r="CG1646" s="200"/>
      <c r="CH1646" s="200"/>
      <c r="CI1646" s="200"/>
      <c r="CJ1646" s="200"/>
      <c r="CK1646" s="200"/>
      <c r="CL1646" s="200"/>
      <c r="CM1646" s="200"/>
      <c r="CN1646" s="200"/>
      <c r="CO1646" s="200"/>
      <c r="CP1646" s="200"/>
      <c r="CQ1646" s="200"/>
      <c r="CR1646" s="200"/>
      <c r="CS1646" s="200"/>
      <c r="CT1646" s="200"/>
      <c r="CU1646" s="200"/>
    </row>
    <row r="1647" spans="1:99" s="17" customFormat="1" x14ac:dyDescent="0.2">
      <c r="A1647" s="25"/>
      <c r="B1647" s="20">
        <v>39049008241</v>
      </c>
      <c r="C1647" s="20">
        <v>82.41</v>
      </c>
      <c r="D1647" s="20" t="s">
        <v>31</v>
      </c>
      <c r="E1647" s="20" t="s">
        <v>2830</v>
      </c>
      <c r="F1647" s="20" t="s">
        <v>6</v>
      </c>
      <c r="G1647" s="861">
        <v>48.482024701862699</v>
      </c>
      <c r="H1647" s="861">
        <v>63.695775050651598</v>
      </c>
      <c r="I1647" s="861">
        <v>53.1863762627993</v>
      </c>
      <c r="J1647" s="861">
        <v>51.0386020697742</v>
      </c>
      <c r="K1647" s="982">
        <v>0</v>
      </c>
      <c r="L1647" s="735">
        <v>2111</v>
      </c>
      <c r="M1647" s="735">
        <v>2883</v>
      </c>
      <c r="N1647" s="845">
        <f t="shared" si="138"/>
        <v>0.36570345807674087</v>
      </c>
      <c r="O1647" s="735">
        <v>1.557267380659906</v>
      </c>
      <c r="P1647" s="735">
        <f t="shared" si="139"/>
        <v>1851.3198412839695</v>
      </c>
      <c r="Q1647" s="849">
        <v>30.4</v>
      </c>
      <c r="R1647" s="71">
        <v>46902</v>
      </c>
      <c r="S1647" s="845">
        <v>0.22025667707249394</v>
      </c>
      <c r="T1647" s="845">
        <v>7.2999999999999995E-2</v>
      </c>
      <c r="U1647" s="845">
        <v>8.0000000000000002E-3</v>
      </c>
      <c r="V1647" s="845">
        <v>3.4000000000000002E-2</v>
      </c>
      <c r="W1647" s="845">
        <v>0.70286195286195285</v>
      </c>
      <c r="X1647" s="845">
        <v>0.54011976047904187</v>
      </c>
      <c r="Y1647" s="845">
        <v>0.55324314949705167</v>
      </c>
      <c r="Z1647" s="845">
        <v>0.28234477974332295</v>
      </c>
      <c r="AA1647" s="845">
        <v>3.4686090877558099E-4</v>
      </c>
      <c r="AB1647" s="845">
        <v>7.9778009018383628E-3</v>
      </c>
      <c r="AC1647" s="845">
        <v>2.428026361429067E-3</v>
      </c>
      <c r="AD1647" s="845">
        <v>5.6885189039195282E-2</v>
      </c>
      <c r="AE1647" s="845">
        <v>9.6774193548387094E-2</v>
      </c>
      <c r="AF1647" s="845">
        <v>0.1678806798473812</v>
      </c>
      <c r="AG1647" s="845">
        <v>0.46826222684703434</v>
      </c>
      <c r="AH1647" s="20" t="str">
        <f t="shared" si="140"/>
        <v>No</v>
      </c>
      <c r="AI1647" s="25"/>
      <c r="AJ1647" s="37">
        <v>43469</v>
      </c>
      <c r="AK1647" s="37" t="s">
        <v>948</v>
      </c>
      <c r="AL1647" s="37">
        <v>39123</v>
      </c>
      <c r="AM1647" s="37" t="s">
        <v>67</v>
      </c>
      <c r="AN1647" s="37">
        <f t="shared" si="141"/>
        <v>41780</v>
      </c>
      <c r="AO1647" s="37" t="str">
        <f t="shared" si="142"/>
        <v>Sandusky, OH</v>
      </c>
      <c r="AP1647" s="37" t="s">
        <v>8</v>
      </c>
      <c r="AQ1647" s="25"/>
      <c r="AR1647" s="25"/>
      <c r="AS1647" s="25"/>
      <c r="AT1647" s="25"/>
      <c r="AU1647" s="36"/>
      <c r="AV1647" s="36"/>
      <c r="AW1647" s="36"/>
      <c r="AX1647" s="25"/>
      <c r="AY1647" s="25"/>
      <c r="AZ1647" s="25"/>
      <c r="BA1647" s="25"/>
      <c r="BB1647" s="25"/>
      <c r="BC1647" s="25"/>
      <c r="BD1647" s="25"/>
      <c r="BE1647" s="25"/>
      <c r="BF1647" s="25"/>
      <c r="BG1647" s="25"/>
      <c r="BH1647" s="25"/>
      <c r="BI1647" s="25"/>
      <c r="BJ1647" s="25"/>
      <c r="BK1647" s="25"/>
      <c r="BL1647" s="25"/>
      <c r="BM1647" s="25"/>
      <c r="BN1647" s="25"/>
      <c r="BO1647" s="25"/>
      <c r="BP1647" s="25"/>
      <c r="BQ1647" s="25"/>
      <c r="BR1647" s="25"/>
      <c r="BS1647" s="25"/>
      <c r="BT1647" s="25"/>
      <c r="BU1647" s="25"/>
      <c r="BV1647" s="25"/>
      <c r="BW1647" s="25"/>
      <c r="BX1647" s="25"/>
      <c r="BY1647" s="25"/>
      <c r="BZ1647" s="25"/>
      <c r="CA1647" s="25"/>
      <c r="CB1647" s="25"/>
      <c r="CC1647" s="25"/>
      <c r="CD1647" s="25"/>
      <c r="CE1647" s="200"/>
      <c r="CF1647" s="200"/>
      <c r="CG1647" s="200"/>
      <c r="CH1647" s="200"/>
      <c r="CI1647" s="200"/>
      <c r="CJ1647" s="200"/>
      <c r="CK1647" s="200"/>
      <c r="CL1647" s="200"/>
      <c r="CM1647" s="200"/>
      <c r="CN1647" s="200"/>
      <c r="CO1647" s="200"/>
      <c r="CP1647" s="200"/>
      <c r="CQ1647" s="200"/>
      <c r="CR1647" s="200"/>
      <c r="CS1647" s="200"/>
      <c r="CT1647" s="200"/>
      <c r="CU1647" s="200"/>
    </row>
    <row r="1648" spans="1:99" s="17" customFormat="1" x14ac:dyDescent="0.2">
      <c r="A1648" s="25"/>
      <c r="B1648" s="20">
        <v>39049001810</v>
      </c>
      <c r="C1648" s="20">
        <v>18.100000000000001</v>
      </c>
      <c r="D1648" s="20" t="s">
        <v>31</v>
      </c>
      <c r="E1648" s="20" t="s">
        <v>2830</v>
      </c>
      <c r="F1648" s="20" t="s">
        <v>6</v>
      </c>
      <c r="G1648" s="861">
        <v>48.477012859100299</v>
      </c>
      <c r="H1648" s="861">
        <v>66.410278132622096</v>
      </c>
      <c r="I1648" s="861">
        <v>59.939361688426096</v>
      </c>
      <c r="J1648" s="861">
        <v>40.390569928217097</v>
      </c>
      <c r="K1648" s="982">
        <v>0</v>
      </c>
      <c r="L1648" s="735">
        <v>3595</v>
      </c>
      <c r="M1648" s="735">
        <v>3483</v>
      </c>
      <c r="N1648" s="845">
        <f t="shared" si="138"/>
        <v>-3.1154381084840057E-2</v>
      </c>
      <c r="O1648" s="735">
        <v>0.15251614417643022</v>
      </c>
      <c r="P1648" s="735">
        <f t="shared" si="139"/>
        <v>22836.92666640507</v>
      </c>
      <c r="Q1648" s="849">
        <v>22.8</v>
      </c>
      <c r="R1648" s="71">
        <v>21883</v>
      </c>
      <c r="S1648" s="845">
        <v>0.45255474452554745</v>
      </c>
      <c r="T1648" s="845">
        <v>7.400000000000001E-2</v>
      </c>
      <c r="U1648" s="845">
        <v>0</v>
      </c>
      <c r="V1648" s="845">
        <v>0.03</v>
      </c>
      <c r="W1648" s="845">
        <v>0.98465909090909087</v>
      </c>
      <c r="X1648" s="845">
        <v>0.68897864974033463</v>
      </c>
      <c r="Y1648" s="845">
        <v>0.63393626184323859</v>
      </c>
      <c r="Z1648" s="845">
        <v>4.3066322136089581E-2</v>
      </c>
      <c r="AA1648" s="845">
        <v>5.7421762848119441E-4</v>
      </c>
      <c r="AB1648" s="845">
        <v>0.19724375538329025</v>
      </c>
      <c r="AC1648" s="845">
        <v>0</v>
      </c>
      <c r="AD1648" s="845">
        <v>7.4648291702555268E-3</v>
      </c>
      <c r="AE1648" s="845">
        <v>0.11771461383864484</v>
      </c>
      <c r="AF1648" s="845">
        <v>7.9816250358886023E-2</v>
      </c>
      <c r="AG1648" s="845">
        <v>0.62130347401665231</v>
      </c>
      <c r="AH1648" s="20" t="str">
        <f t="shared" si="140"/>
        <v>No</v>
      </c>
      <c r="AI1648" s="25"/>
      <c r="AJ1648" s="20">
        <v>43010</v>
      </c>
      <c r="AK1648" s="20" t="s">
        <v>737</v>
      </c>
      <c r="AL1648" s="20">
        <v>39023</v>
      </c>
      <c r="AM1648" s="20" t="s">
        <v>18</v>
      </c>
      <c r="AN1648" s="37">
        <f t="shared" si="141"/>
        <v>44220</v>
      </c>
      <c r="AO1648" s="37" t="str">
        <f t="shared" si="142"/>
        <v>Springfield, OH</v>
      </c>
      <c r="AP1648" s="20" t="s">
        <v>8</v>
      </c>
      <c r="AQ1648" s="25"/>
      <c r="AR1648" s="25"/>
      <c r="AS1648" s="25"/>
      <c r="AT1648" s="25"/>
      <c r="AU1648" s="36"/>
      <c r="AV1648" s="36"/>
      <c r="AW1648" s="36"/>
      <c r="AX1648" s="25"/>
      <c r="AY1648" s="25"/>
      <c r="AZ1648" s="25"/>
      <c r="BA1648" s="25"/>
      <c r="BB1648" s="25"/>
      <c r="BC1648" s="25"/>
      <c r="BD1648" s="25"/>
      <c r="BE1648" s="25"/>
      <c r="BF1648" s="25"/>
      <c r="BG1648" s="25"/>
      <c r="BH1648" s="25"/>
      <c r="BI1648" s="25"/>
      <c r="BJ1648" s="25"/>
      <c r="BK1648" s="25"/>
      <c r="BL1648" s="25"/>
      <c r="BM1648" s="25"/>
      <c r="BN1648" s="25"/>
      <c r="BO1648" s="25"/>
      <c r="BP1648" s="25"/>
      <c r="BQ1648" s="25"/>
      <c r="BR1648" s="25"/>
      <c r="BS1648" s="25"/>
      <c r="BT1648" s="25"/>
      <c r="BU1648" s="25"/>
      <c r="BV1648" s="25"/>
      <c r="BW1648" s="25"/>
      <c r="BX1648" s="25"/>
      <c r="BY1648" s="25"/>
      <c r="BZ1648" s="25"/>
      <c r="CA1648" s="25"/>
      <c r="CB1648" s="25"/>
      <c r="CC1648" s="25"/>
      <c r="CD1648" s="25"/>
      <c r="CE1648" s="200"/>
      <c r="CF1648" s="200"/>
      <c r="CG1648" s="200"/>
      <c r="CH1648" s="200"/>
      <c r="CI1648" s="200"/>
      <c r="CJ1648" s="200"/>
      <c r="CK1648" s="200"/>
      <c r="CL1648" s="200"/>
      <c r="CM1648" s="200"/>
      <c r="CN1648" s="200"/>
      <c r="CO1648" s="200"/>
      <c r="CP1648" s="200"/>
      <c r="CQ1648" s="200"/>
      <c r="CR1648" s="200"/>
      <c r="CS1648" s="200"/>
      <c r="CT1648" s="200"/>
      <c r="CU1648" s="200"/>
    </row>
    <row r="1649" spans="1:99" s="17" customFormat="1" x14ac:dyDescent="0.2">
      <c r="A1649" s="25"/>
      <c r="B1649" s="20">
        <v>39035190506</v>
      </c>
      <c r="C1649" s="20">
        <v>1905.06</v>
      </c>
      <c r="D1649" s="20" t="s">
        <v>24</v>
      </c>
      <c r="E1649" s="20" t="s">
        <v>2829</v>
      </c>
      <c r="F1649" s="20" t="s">
        <v>8</v>
      </c>
      <c r="G1649" s="861">
        <v>48.476980367392898</v>
      </c>
      <c r="H1649" s="861">
        <v>54.702499550058697</v>
      </c>
      <c r="I1649" s="861">
        <v>22.470119075846799</v>
      </c>
      <c r="J1649" s="861">
        <v>26.399383374590201</v>
      </c>
      <c r="K1649" s="982">
        <v>0</v>
      </c>
      <c r="L1649" s="735" t="s">
        <v>2466</v>
      </c>
      <c r="M1649" s="735">
        <v>5014</v>
      </c>
      <c r="N1649" s="845" t="str">
        <f t="shared" si="138"/>
        <v/>
      </c>
      <c r="O1649" s="735">
        <v>3.6845617024859627</v>
      </c>
      <c r="P1649" s="735">
        <f t="shared" si="139"/>
        <v>1360.8131454596266</v>
      </c>
      <c r="Q1649" s="849">
        <v>39.4</v>
      </c>
      <c r="R1649" s="71">
        <v>92880</v>
      </c>
      <c r="S1649" s="845">
        <v>5.9633027522935783E-2</v>
      </c>
      <c r="T1649" s="845">
        <v>3.6000000000000004E-2</v>
      </c>
      <c r="U1649" s="845">
        <v>3.7000000000000005E-2</v>
      </c>
      <c r="V1649" s="845">
        <v>0</v>
      </c>
      <c r="W1649" s="845">
        <v>0.47106261859582543</v>
      </c>
      <c r="X1649" s="845">
        <v>0.11983887210473314</v>
      </c>
      <c r="Y1649" s="845">
        <v>0.79776625448743521</v>
      </c>
      <c r="Z1649" s="845">
        <v>7.9178300757877948E-2</v>
      </c>
      <c r="AA1649" s="845">
        <v>0</v>
      </c>
      <c r="AB1649" s="845">
        <v>3.3306741124850416E-2</v>
      </c>
      <c r="AC1649" s="845">
        <v>0</v>
      </c>
      <c r="AD1649" s="845">
        <v>1.8548065416832869E-2</v>
      </c>
      <c r="AE1649" s="845">
        <v>7.1200638213003584E-2</v>
      </c>
      <c r="AF1649" s="845">
        <v>0.11029118468288791</v>
      </c>
      <c r="AG1649" s="845">
        <v>0.7844036697247706</v>
      </c>
      <c r="AH1649" s="20" t="str">
        <f t="shared" si="140"/>
        <v>No</v>
      </c>
      <c r="AI1649" s="25"/>
      <c r="AJ1649" s="37">
        <v>43044</v>
      </c>
      <c r="AK1649" s="37" t="s">
        <v>762</v>
      </c>
      <c r="AL1649" s="37">
        <v>39023</v>
      </c>
      <c r="AM1649" s="37" t="s">
        <v>18</v>
      </c>
      <c r="AN1649" s="37">
        <f t="shared" si="141"/>
        <v>44220</v>
      </c>
      <c r="AO1649" s="37" t="str">
        <f t="shared" si="142"/>
        <v>Springfield, OH</v>
      </c>
      <c r="AP1649" s="20" t="s">
        <v>8</v>
      </c>
      <c r="AQ1649" s="25"/>
      <c r="AR1649" s="25"/>
      <c r="AS1649" s="25"/>
      <c r="AT1649" s="25"/>
      <c r="AU1649" s="36"/>
      <c r="AV1649" s="36"/>
      <c r="AW1649" s="36"/>
      <c r="AX1649" s="25"/>
      <c r="AY1649" s="25"/>
      <c r="AZ1649" s="25"/>
      <c r="BA1649" s="25"/>
      <c r="BB1649" s="25"/>
      <c r="BC1649" s="25"/>
      <c r="BD1649" s="25"/>
      <c r="BE1649" s="25"/>
      <c r="BF1649" s="25"/>
      <c r="BG1649" s="25"/>
      <c r="BH1649" s="25"/>
      <c r="BI1649" s="25"/>
      <c r="BJ1649" s="25"/>
      <c r="BK1649" s="25"/>
      <c r="BL1649" s="25"/>
      <c r="BM1649" s="25"/>
      <c r="BN1649" s="25"/>
      <c r="BO1649" s="25"/>
      <c r="BP1649" s="25"/>
      <c r="BQ1649" s="25"/>
      <c r="BR1649" s="25"/>
      <c r="BS1649" s="25"/>
      <c r="BT1649" s="25"/>
      <c r="BU1649" s="25"/>
      <c r="BV1649" s="25"/>
      <c r="BW1649" s="25"/>
      <c r="BX1649" s="25"/>
      <c r="BY1649" s="25"/>
      <c r="BZ1649" s="25"/>
      <c r="CA1649" s="25"/>
      <c r="CB1649" s="25"/>
      <c r="CC1649" s="25"/>
      <c r="CD1649" s="25"/>
      <c r="CE1649" s="200"/>
      <c r="CF1649" s="200"/>
      <c r="CG1649" s="200"/>
      <c r="CH1649" s="200"/>
      <c r="CI1649" s="200"/>
      <c r="CJ1649" s="200"/>
      <c r="CK1649" s="200"/>
      <c r="CL1649" s="200"/>
      <c r="CM1649" s="200"/>
      <c r="CN1649" s="200"/>
      <c r="CO1649" s="200"/>
      <c r="CP1649" s="200"/>
      <c r="CQ1649" s="200"/>
      <c r="CR1649" s="200"/>
      <c r="CS1649" s="200"/>
      <c r="CT1649" s="200"/>
      <c r="CU1649" s="200"/>
    </row>
    <row r="1650" spans="1:99" s="17" customFormat="1" x14ac:dyDescent="0.2">
      <c r="A1650" s="25"/>
      <c r="B1650" s="20">
        <v>39083007701</v>
      </c>
      <c r="C1650" s="20">
        <v>77.010000000000005</v>
      </c>
      <c r="D1650" s="20" t="s">
        <v>114</v>
      </c>
      <c r="E1650" s="20" t="s">
        <v>265</v>
      </c>
      <c r="F1650" s="20" t="s">
        <v>8</v>
      </c>
      <c r="G1650" s="861">
        <v>48.446720138564501</v>
      </c>
      <c r="H1650" s="861">
        <v>54.752846075380297</v>
      </c>
      <c r="I1650" s="861">
        <v>25.036334219267399</v>
      </c>
      <c r="J1650" s="861">
        <v>51.596547428106</v>
      </c>
      <c r="K1650" s="982">
        <v>0</v>
      </c>
      <c r="L1650" s="735" t="s">
        <v>2466</v>
      </c>
      <c r="M1650" s="735">
        <v>3358</v>
      </c>
      <c r="N1650" s="845" t="str">
        <f t="shared" si="138"/>
        <v/>
      </c>
      <c r="O1650" s="735">
        <v>18.066186411952295</v>
      </c>
      <c r="P1650" s="735">
        <f t="shared" si="139"/>
        <v>185.8720995914446</v>
      </c>
      <c r="Q1650" s="849">
        <v>39.1</v>
      </c>
      <c r="R1650" s="71">
        <v>82309</v>
      </c>
      <c r="S1650" s="845">
        <v>4.8714069591527985E-2</v>
      </c>
      <c r="T1650" s="845">
        <v>3.4000000000000002E-2</v>
      </c>
      <c r="U1650" s="845">
        <v>0</v>
      </c>
      <c r="V1650" s="845">
        <v>0.03</v>
      </c>
      <c r="W1650" s="845">
        <v>0.17117117117117117</v>
      </c>
      <c r="X1650" s="845">
        <v>0.42105263157894735</v>
      </c>
      <c r="Y1650" s="845">
        <v>0.94580107206670638</v>
      </c>
      <c r="Z1650" s="845">
        <v>4.1691483025610484E-3</v>
      </c>
      <c r="AA1650" s="845">
        <v>0</v>
      </c>
      <c r="AB1650" s="845">
        <v>0</v>
      </c>
      <c r="AC1650" s="845">
        <v>0</v>
      </c>
      <c r="AD1650" s="845">
        <v>3.0375223347230494E-2</v>
      </c>
      <c r="AE1650" s="845">
        <v>1.9654556283502083E-2</v>
      </c>
      <c r="AF1650" s="845">
        <v>1.1316259678379988E-2</v>
      </c>
      <c r="AG1650" s="845">
        <v>0.93448481238832637</v>
      </c>
      <c r="AH1650" s="20" t="str">
        <f t="shared" si="140"/>
        <v>Yes</v>
      </c>
      <c r="AI1650" s="25"/>
      <c r="AJ1650" s="20">
        <v>43078</v>
      </c>
      <c r="AK1650" s="20" t="s">
        <v>784</v>
      </c>
      <c r="AL1650" s="20">
        <v>39023</v>
      </c>
      <c r="AM1650" s="20" t="s">
        <v>18</v>
      </c>
      <c r="AN1650" s="37">
        <f t="shared" si="141"/>
        <v>44220</v>
      </c>
      <c r="AO1650" s="37" t="str">
        <f t="shared" si="142"/>
        <v>Springfield, OH</v>
      </c>
      <c r="AP1650" s="20" t="s">
        <v>8</v>
      </c>
      <c r="AQ1650" s="25"/>
      <c r="AR1650" s="25"/>
      <c r="AS1650" s="25"/>
      <c r="AT1650" s="25"/>
      <c r="AU1650" s="36"/>
      <c r="AV1650" s="36"/>
      <c r="AW1650" s="36"/>
      <c r="AX1650" s="25"/>
      <c r="AY1650" s="25"/>
      <c r="AZ1650" s="25"/>
      <c r="BA1650" s="25"/>
      <c r="BB1650" s="25"/>
      <c r="BC1650" s="25"/>
      <c r="BD1650" s="25"/>
      <c r="BE1650" s="25"/>
      <c r="BF1650" s="25"/>
      <c r="BG1650" s="25"/>
      <c r="BH1650" s="25"/>
      <c r="BI1650" s="25"/>
      <c r="BJ1650" s="25"/>
      <c r="BK1650" s="25"/>
      <c r="BL1650" s="25"/>
      <c r="BM1650" s="25"/>
      <c r="BN1650" s="25"/>
      <c r="BO1650" s="25"/>
      <c r="BP1650" s="25"/>
      <c r="BQ1650" s="25"/>
      <c r="BR1650" s="25"/>
      <c r="BS1650" s="25"/>
      <c r="BT1650" s="25"/>
      <c r="BU1650" s="25"/>
      <c r="BV1650" s="25"/>
      <c r="BW1650" s="25"/>
      <c r="BX1650" s="25"/>
      <c r="BY1650" s="25"/>
      <c r="BZ1650" s="25"/>
      <c r="CA1650" s="25"/>
      <c r="CB1650" s="25"/>
      <c r="CC1650" s="25"/>
      <c r="CD1650" s="25"/>
      <c r="CE1650" s="200"/>
      <c r="CF1650" s="200"/>
      <c r="CG1650" s="200"/>
      <c r="CH1650" s="200"/>
      <c r="CI1650" s="200"/>
      <c r="CJ1650" s="200"/>
      <c r="CK1650" s="200"/>
      <c r="CL1650" s="200"/>
      <c r="CM1650" s="200"/>
      <c r="CN1650" s="200"/>
      <c r="CO1650" s="200"/>
      <c r="CP1650" s="200"/>
      <c r="CQ1650" s="200"/>
      <c r="CR1650" s="200"/>
      <c r="CS1650" s="200"/>
      <c r="CT1650" s="200"/>
      <c r="CU1650" s="200"/>
    </row>
    <row r="1651" spans="1:99" s="17" customFormat="1" x14ac:dyDescent="0.2">
      <c r="A1651" s="25"/>
      <c r="B1651" s="20">
        <v>39101000502</v>
      </c>
      <c r="C1651" s="20">
        <v>5.0199999999999996</v>
      </c>
      <c r="D1651" s="20" t="s">
        <v>56</v>
      </c>
      <c r="E1651" s="20" t="s">
        <v>265</v>
      </c>
      <c r="F1651" s="20" t="s">
        <v>8</v>
      </c>
      <c r="G1651" s="861">
        <v>48.443998740223797</v>
      </c>
      <c r="H1651" s="861">
        <v>52.695800422251502</v>
      </c>
      <c r="I1651" s="861">
        <v>45.421936332427798</v>
      </c>
      <c r="J1651" s="861">
        <v>43.357143146821898</v>
      </c>
      <c r="K1651" s="982">
        <v>0</v>
      </c>
      <c r="L1651" s="735">
        <v>2528</v>
      </c>
      <c r="M1651" s="735">
        <v>2373</v>
      </c>
      <c r="N1651" s="845">
        <f t="shared" si="138"/>
        <v>-6.1313291139240507E-2</v>
      </c>
      <c r="O1651" s="735">
        <v>0.5859107978684891</v>
      </c>
      <c r="P1651" s="735">
        <f t="shared" si="139"/>
        <v>4050.1045698984249</v>
      </c>
      <c r="Q1651" s="849">
        <v>31.9</v>
      </c>
      <c r="R1651" s="71">
        <v>53077</v>
      </c>
      <c r="S1651" s="845">
        <v>0.27138643067846607</v>
      </c>
      <c r="T1651" s="845">
        <v>0.11</v>
      </c>
      <c r="U1651" s="845">
        <v>0</v>
      </c>
      <c r="V1651" s="845">
        <v>7.6999999999999999E-2</v>
      </c>
      <c r="W1651" s="845">
        <v>0.46926229508196721</v>
      </c>
      <c r="X1651" s="845">
        <v>0.39519650655021832</v>
      </c>
      <c r="Y1651" s="845">
        <v>0.83227981458069955</v>
      </c>
      <c r="Z1651" s="845">
        <v>3.3712600084281501E-2</v>
      </c>
      <c r="AA1651" s="845">
        <v>1.0956595027391488E-2</v>
      </c>
      <c r="AB1651" s="845">
        <v>2.4441635061104087E-2</v>
      </c>
      <c r="AC1651" s="845">
        <v>0</v>
      </c>
      <c r="AD1651" s="845">
        <v>0</v>
      </c>
      <c r="AE1651" s="845">
        <v>9.8609355246523395E-2</v>
      </c>
      <c r="AF1651" s="845">
        <v>5.3940160134850403E-2</v>
      </c>
      <c r="AG1651" s="845">
        <v>0.82595870206489674</v>
      </c>
      <c r="AH1651" s="20" t="str">
        <f t="shared" si="140"/>
        <v>No</v>
      </c>
      <c r="AI1651" s="25"/>
      <c r="AJ1651" s="20">
        <v>43140</v>
      </c>
      <c r="AK1651" s="20" t="s">
        <v>815</v>
      </c>
      <c r="AL1651" s="20">
        <v>39023</v>
      </c>
      <c r="AM1651" s="20" t="s">
        <v>18</v>
      </c>
      <c r="AN1651" s="37">
        <f t="shared" si="141"/>
        <v>44220</v>
      </c>
      <c r="AO1651" s="37" t="str">
        <f t="shared" si="142"/>
        <v>Springfield, OH</v>
      </c>
      <c r="AP1651" s="20" t="s">
        <v>8</v>
      </c>
      <c r="AQ1651" s="25"/>
      <c r="AR1651" s="25"/>
      <c r="AS1651" s="25"/>
      <c r="AT1651" s="25"/>
      <c r="AU1651" s="36"/>
      <c r="AV1651" s="36"/>
      <c r="AW1651" s="36"/>
      <c r="AX1651" s="25"/>
      <c r="AY1651" s="25"/>
      <c r="AZ1651" s="25"/>
      <c r="BA1651" s="25"/>
      <c r="BB1651" s="25"/>
      <c r="BC1651" s="25"/>
      <c r="BD1651" s="25"/>
      <c r="BE1651" s="25"/>
      <c r="BF1651" s="25"/>
      <c r="BG1651" s="25"/>
      <c r="BH1651" s="25"/>
      <c r="BI1651" s="25"/>
      <c r="BJ1651" s="25"/>
      <c r="BK1651" s="25"/>
      <c r="BL1651" s="25"/>
      <c r="BM1651" s="25"/>
      <c r="BN1651" s="25"/>
      <c r="BO1651" s="25"/>
      <c r="BP1651" s="25"/>
      <c r="BQ1651" s="25"/>
      <c r="BR1651" s="25"/>
      <c r="BS1651" s="25"/>
      <c r="BT1651" s="25"/>
      <c r="BU1651" s="25"/>
      <c r="BV1651" s="25"/>
      <c r="BW1651" s="25"/>
      <c r="BX1651" s="25"/>
      <c r="BY1651" s="25"/>
      <c r="BZ1651" s="25"/>
      <c r="CA1651" s="25"/>
      <c r="CB1651" s="25"/>
      <c r="CC1651" s="25"/>
      <c r="CD1651" s="25"/>
      <c r="CE1651" s="200"/>
      <c r="CF1651" s="200"/>
      <c r="CG1651" s="200"/>
      <c r="CH1651" s="200"/>
      <c r="CI1651" s="200"/>
      <c r="CJ1651" s="200"/>
      <c r="CK1651" s="200"/>
      <c r="CL1651" s="200"/>
      <c r="CM1651" s="200"/>
      <c r="CN1651" s="200"/>
      <c r="CO1651" s="200"/>
      <c r="CP1651" s="200"/>
      <c r="CQ1651" s="200"/>
      <c r="CR1651" s="200"/>
      <c r="CS1651" s="200"/>
      <c r="CT1651" s="200"/>
      <c r="CU1651" s="200"/>
    </row>
    <row r="1652" spans="1:99" s="17" customFormat="1" x14ac:dyDescent="0.2">
      <c r="A1652" s="25"/>
      <c r="B1652" s="20">
        <v>39035106100</v>
      </c>
      <c r="C1652" s="20">
        <v>1061</v>
      </c>
      <c r="D1652" s="20" t="s">
        <v>24</v>
      </c>
      <c r="E1652" s="20" t="s">
        <v>2829</v>
      </c>
      <c r="F1652" s="20" t="s">
        <v>8</v>
      </c>
      <c r="G1652" s="861">
        <v>48.440034228029297</v>
      </c>
      <c r="H1652" s="861">
        <v>74.743143687058193</v>
      </c>
      <c r="I1652" s="861">
        <v>36.539256848700099</v>
      </c>
      <c r="J1652" s="861">
        <v>37.349407524384901</v>
      </c>
      <c r="K1652" s="982">
        <v>0</v>
      </c>
      <c r="L1652" s="735">
        <v>3696</v>
      </c>
      <c r="M1652" s="735">
        <v>3795</v>
      </c>
      <c r="N1652" s="845">
        <f t="shared" si="138"/>
        <v>2.6785714285714284E-2</v>
      </c>
      <c r="O1652" s="735">
        <v>0.62381058575593229</v>
      </c>
      <c r="P1652" s="735">
        <f t="shared" si="139"/>
        <v>6083.5774298399047</v>
      </c>
      <c r="Q1652" s="849">
        <v>38.5</v>
      </c>
      <c r="R1652" s="71">
        <v>63333</v>
      </c>
      <c r="S1652" s="845">
        <v>0.1506087877183695</v>
      </c>
      <c r="T1652" s="845">
        <v>0.127</v>
      </c>
      <c r="U1652" s="845">
        <v>0</v>
      </c>
      <c r="V1652" s="845">
        <v>0</v>
      </c>
      <c r="W1652" s="845">
        <v>0.25385527876631081</v>
      </c>
      <c r="X1652" s="845">
        <v>0.53738317757009346</v>
      </c>
      <c r="Y1652" s="845">
        <v>0.61133069828721998</v>
      </c>
      <c r="Z1652" s="845">
        <v>0.13754940711462452</v>
      </c>
      <c r="AA1652" s="845">
        <v>2.8985507246376812E-3</v>
      </c>
      <c r="AB1652" s="845">
        <v>6.7193675889328064E-2</v>
      </c>
      <c r="AC1652" s="845">
        <v>0</v>
      </c>
      <c r="AD1652" s="845">
        <v>6.9828722002635041E-2</v>
      </c>
      <c r="AE1652" s="845">
        <v>0.11119894598155468</v>
      </c>
      <c r="AF1652" s="845">
        <v>0.22055335968379447</v>
      </c>
      <c r="AG1652" s="845">
        <v>0.54492753623188406</v>
      </c>
      <c r="AH1652" s="20" t="str">
        <f t="shared" si="140"/>
        <v>No</v>
      </c>
      <c r="AI1652" s="25"/>
      <c r="AJ1652" s="37">
        <v>43153</v>
      </c>
      <c r="AK1652" s="37" t="s">
        <v>827</v>
      </c>
      <c r="AL1652" s="37">
        <v>39023</v>
      </c>
      <c r="AM1652" s="37" t="s">
        <v>18</v>
      </c>
      <c r="AN1652" s="37">
        <f t="shared" si="141"/>
        <v>44220</v>
      </c>
      <c r="AO1652" s="37" t="str">
        <f t="shared" si="142"/>
        <v>Springfield, OH</v>
      </c>
      <c r="AP1652" s="20" t="s">
        <v>8</v>
      </c>
      <c r="AQ1652" s="25"/>
      <c r="AR1652" s="25"/>
      <c r="AS1652" s="25"/>
      <c r="AT1652" s="25"/>
      <c r="AU1652" s="36"/>
      <c r="AV1652" s="36"/>
      <c r="AW1652" s="36"/>
      <c r="AX1652" s="25"/>
      <c r="AY1652" s="25"/>
      <c r="AZ1652" s="25"/>
      <c r="BA1652" s="25"/>
      <c r="BB1652" s="25"/>
      <c r="BC1652" s="25"/>
      <c r="BD1652" s="25"/>
      <c r="BE1652" s="25"/>
      <c r="BF1652" s="25"/>
      <c r="BG1652" s="25"/>
      <c r="BH1652" s="25"/>
      <c r="BI1652" s="25"/>
      <c r="BJ1652" s="25"/>
      <c r="BK1652" s="25"/>
      <c r="BL1652" s="25"/>
      <c r="BM1652" s="25"/>
      <c r="BN1652" s="25"/>
      <c r="BO1652" s="25"/>
      <c r="BP1652" s="25"/>
      <c r="BQ1652" s="25"/>
      <c r="BR1652" s="25"/>
      <c r="BS1652" s="25"/>
      <c r="BT1652" s="25"/>
      <c r="BU1652" s="25"/>
      <c r="BV1652" s="25"/>
      <c r="BW1652" s="25"/>
      <c r="BX1652" s="25"/>
      <c r="BY1652" s="25"/>
      <c r="BZ1652" s="25"/>
      <c r="CA1652" s="25"/>
      <c r="CB1652" s="25"/>
      <c r="CC1652" s="25"/>
      <c r="CD1652" s="25"/>
      <c r="CE1652" s="200"/>
      <c r="CF1652" s="200"/>
      <c r="CG1652" s="200"/>
      <c r="CH1652" s="200"/>
      <c r="CI1652" s="200"/>
      <c r="CJ1652" s="200"/>
      <c r="CK1652" s="200"/>
      <c r="CL1652" s="200"/>
      <c r="CM1652" s="200"/>
      <c r="CN1652" s="200"/>
      <c r="CO1652" s="200"/>
      <c r="CP1652" s="200"/>
      <c r="CQ1652" s="200"/>
      <c r="CR1652" s="200"/>
      <c r="CS1652" s="200"/>
      <c r="CT1652" s="200"/>
      <c r="CU1652" s="200"/>
    </row>
    <row r="1653" spans="1:99" s="17" customFormat="1" x14ac:dyDescent="0.2">
      <c r="A1653" s="25"/>
      <c r="B1653" s="20">
        <v>39135400100</v>
      </c>
      <c r="C1653" s="20">
        <v>4001</v>
      </c>
      <c r="D1653" s="20" t="s">
        <v>73</v>
      </c>
      <c r="E1653" s="20" t="s">
        <v>265</v>
      </c>
      <c r="F1653" s="20" t="s">
        <v>8</v>
      </c>
      <c r="G1653" s="861">
        <v>48.428005224304897</v>
      </c>
      <c r="H1653" s="861">
        <v>59.946591856012802</v>
      </c>
      <c r="I1653" s="861">
        <v>33.274468269297103</v>
      </c>
      <c r="J1653" s="861">
        <v>39.024201774920201</v>
      </c>
      <c r="K1653" s="982">
        <v>0</v>
      </c>
      <c r="L1653" s="735">
        <v>3285</v>
      </c>
      <c r="M1653" s="735">
        <v>3214</v>
      </c>
      <c r="N1653" s="845">
        <f t="shared" si="138"/>
        <v>-2.1613394216133942E-2</v>
      </c>
      <c r="O1653" s="735">
        <v>35.045649302227879</v>
      </c>
      <c r="P1653" s="735">
        <f t="shared" si="139"/>
        <v>91.70895857237501</v>
      </c>
      <c r="Q1653" s="849">
        <v>39.799999999999997</v>
      </c>
      <c r="R1653" s="71">
        <v>73600</v>
      </c>
      <c r="S1653" s="845">
        <v>0.11749999999999999</v>
      </c>
      <c r="T1653" s="845">
        <v>3.7000000000000005E-2</v>
      </c>
      <c r="U1653" s="845">
        <v>3.2000000000000001E-2</v>
      </c>
      <c r="V1653" s="845">
        <v>0.03</v>
      </c>
      <c r="W1653" s="845">
        <v>0.24804992199687986</v>
      </c>
      <c r="X1653" s="845">
        <v>0.22012578616352202</v>
      </c>
      <c r="Y1653" s="845">
        <v>0.93341630367143746</v>
      </c>
      <c r="Z1653" s="845">
        <v>1.9912881144990666E-2</v>
      </c>
      <c r="AA1653" s="845">
        <v>0</v>
      </c>
      <c r="AB1653" s="845">
        <v>7.1561916614810202E-3</v>
      </c>
      <c r="AC1653" s="845">
        <v>1.2445550715619166E-3</v>
      </c>
      <c r="AD1653" s="845">
        <v>0</v>
      </c>
      <c r="AE1653" s="845">
        <v>3.8270068450528938E-2</v>
      </c>
      <c r="AF1653" s="845">
        <v>0</v>
      </c>
      <c r="AG1653" s="845">
        <v>0.93341630367143746</v>
      </c>
      <c r="AH1653" s="20" t="str">
        <f t="shared" si="140"/>
        <v>Yes</v>
      </c>
      <c r="AI1653" s="25"/>
      <c r="AJ1653" s="37">
        <v>45314</v>
      </c>
      <c r="AK1653" s="37" t="s">
        <v>1667</v>
      </c>
      <c r="AL1653" s="37">
        <v>39023</v>
      </c>
      <c r="AM1653" s="37" t="s">
        <v>18</v>
      </c>
      <c r="AN1653" s="37">
        <f t="shared" si="141"/>
        <v>44220</v>
      </c>
      <c r="AO1653" s="37" t="str">
        <f t="shared" si="142"/>
        <v>Springfield, OH</v>
      </c>
      <c r="AP1653" s="20" t="s">
        <v>8</v>
      </c>
      <c r="AQ1653" s="25"/>
      <c r="AR1653" s="25"/>
      <c r="AS1653" s="25"/>
      <c r="AT1653" s="25"/>
      <c r="AU1653" s="36"/>
      <c r="AV1653" s="36"/>
      <c r="AW1653" s="36"/>
      <c r="AX1653" s="25"/>
      <c r="AY1653" s="25"/>
      <c r="AZ1653" s="25"/>
      <c r="BA1653" s="25"/>
      <c r="BB1653" s="25"/>
      <c r="BC1653" s="25"/>
      <c r="BD1653" s="25"/>
      <c r="BE1653" s="25"/>
      <c r="BF1653" s="25"/>
      <c r="BG1653" s="25"/>
      <c r="BH1653" s="25"/>
      <c r="BI1653" s="25"/>
      <c r="BJ1653" s="25"/>
      <c r="BK1653" s="25"/>
      <c r="BL1653" s="25"/>
      <c r="BM1653" s="25"/>
      <c r="BN1653" s="25"/>
      <c r="BO1653" s="25"/>
      <c r="BP1653" s="25"/>
      <c r="BQ1653" s="25"/>
      <c r="BR1653" s="25"/>
      <c r="BS1653" s="25"/>
      <c r="BT1653" s="25"/>
      <c r="BU1653" s="25"/>
      <c r="BV1653" s="25"/>
      <c r="BW1653" s="25"/>
      <c r="BX1653" s="25"/>
      <c r="BY1653" s="25"/>
      <c r="BZ1653" s="25"/>
      <c r="CA1653" s="25"/>
      <c r="CB1653" s="25"/>
      <c r="CC1653" s="25"/>
      <c r="CD1653" s="25"/>
      <c r="CE1653" s="200"/>
      <c r="CF1653" s="200"/>
      <c r="CG1653" s="200"/>
      <c r="CH1653" s="200"/>
      <c r="CI1653" s="200"/>
      <c r="CJ1653" s="200"/>
      <c r="CK1653" s="200"/>
      <c r="CL1653" s="200"/>
      <c r="CM1653" s="200"/>
      <c r="CN1653" s="200"/>
      <c r="CO1653" s="200"/>
      <c r="CP1653" s="200"/>
      <c r="CQ1653" s="200"/>
      <c r="CR1653" s="200"/>
      <c r="CS1653" s="200"/>
      <c r="CT1653" s="200"/>
      <c r="CU1653" s="200"/>
    </row>
    <row r="1654" spans="1:99" s="17" customFormat="1" x14ac:dyDescent="0.2">
      <c r="A1654" s="25"/>
      <c r="B1654" s="20">
        <v>39139003002</v>
      </c>
      <c r="C1654" s="20">
        <v>30.02</v>
      </c>
      <c r="D1654" s="20" t="s">
        <v>75</v>
      </c>
      <c r="E1654" s="20" t="s">
        <v>2836</v>
      </c>
      <c r="F1654" s="20" t="s">
        <v>8</v>
      </c>
      <c r="G1654" s="861">
        <v>48.409123283788396</v>
      </c>
      <c r="H1654" s="861">
        <v>54.872616818005397</v>
      </c>
      <c r="I1654" s="861">
        <v>19.3738382675328</v>
      </c>
      <c r="J1654" s="861">
        <v>46.993977453003303</v>
      </c>
      <c r="K1654" s="982">
        <v>0</v>
      </c>
      <c r="L1654" s="735">
        <v>3572</v>
      </c>
      <c r="M1654" s="735">
        <v>3676</v>
      </c>
      <c r="N1654" s="845">
        <f t="shared" si="138"/>
        <v>2.9115341545352745E-2</v>
      </c>
      <c r="O1654" s="735">
        <v>49.955677595755454</v>
      </c>
      <c r="P1654" s="735">
        <f t="shared" si="139"/>
        <v>73.585229485753899</v>
      </c>
      <c r="Q1654" s="849">
        <v>41.1</v>
      </c>
      <c r="R1654" s="71">
        <v>68594</v>
      </c>
      <c r="S1654" s="845">
        <v>6.695818529652911E-2</v>
      </c>
      <c r="T1654" s="845">
        <v>1.3999999999999999E-2</v>
      </c>
      <c r="U1654" s="845">
        <v>0</v>
      </c>
      <c r="V1654" s="845">
        <v>0</v>
      </c>
      <c r="W1654" s="845">
        <v>0.25340990667623836</v>
      </c>
      <c r="X1654" s="845">
        <v>0.32011331444759206</v>
      </c>
      <c r="Y1654" s="845">
        <v>0.96953210010881397</v>
      </c>
      <c r="Z1654" s="845">
        <v>0</v>
      </c>
      <c r="AA1654" s="845">
        <v>0</v>
      </c>
      <c r="AB1654" s="845">
        <v>0</v>
      </c>
      <c r="AC1654" s="845">
        <v>0</v>
      </c>
      <c r="AD1654" s="845">
        <v>1.632208922742111E-3</v>
      </c>
      <c r="AE1654" s="845">
        <v>2.8835690968443961E-2</v>
      </c>
      <c r="AF1654" s="845">
        <v>1.0337323177366704E-2</v>
      </c>
      <c r="AG1654" s="845">
        <v>0.96082698585418935</v>
      </c>
      <c r="AH1654" s="20" t="str">
        <f t="shared" si="140"/>
        <v>Yes</v>
      </c>
      <c r="AI1654" s="25"/>
      <c r="AJ1654" s="20">
        <v>45316</v>
      </c>
      <c r="AK1654" s="20" t="s">
        <v>1669</v>
      </c>
      <c r="AL1654" s="20">
        <v>39023</v>
      </c>
      <c r="AM1654" s="20" t="s">
        <v>18</v>
      </c>
      <c r="AN1654" s="37">
        <f t="shared" si="141"/>
        <v>44220</v>
      </c>
      <c r="AO1654" s="37" t="str">
        <f t="shared" si="142"/>
        <v>Springfield, OH</v>
      </c>
      <c r="AP1654" s="20" t="s">
        <v>8</v>
      </c>
      <c r="AQ1654" s="25"/>
      <c r="AR1654" s="25"/>
      <c r="AS1654" s="25"/>
      <c r="AT1654" s="25"/>
      <c r="AU1654" s="36"/>
      <c r="AV1654" s="36"/>
      <c r="AW1654" s="36"/>
      <c r="AX1654" s="25"/>
      <c r="AY1654" s="25"/>
      <c r="AZ1654" s="25"/>
      <c r="BA1654" s="25"/>
      <c r="BB1654" s="25"/>
      <c r="BC1654" s="25"/>
      <c r="BD1654" s="25"/>
      <c r="BE1654" s="25"/>
      <c r="BF1654" s="25"/>
      <c r="BG1654" s="25"/>
      <c r="BH1654" s="25"/>
      <c r="BI1654" s="25"/>
      <c r="BJ1654" s="25"/>
      <c r="BK1654" s="25"/>
      <c r="BL1654" s="25"/>
      <c r="BM1654" s="25"/>
      <c r="BN1654" s="25"/>
      <c r="BO1654" s="25"/>
      <c r="BP1654" s="25"/>
      <c r="BQ1654" s="25"/>
      <c r="BR1654" s="25"/>
      <c r="BS1654" s="25"/>
      <c r="BT1654" s="25"/>
      <c r="BU1654" s="25"/>
      <c r="BV1654" s="25"/>
      <c r="BW1654" s="25"/>
      <c r="BX1654" s="25"/>
      <c r="BY1654" s="25"/>
      <c r="BZ1654" s="25"/>
      <c r="CA1654" s="25"/>
      <c r="CB1654" s="25"/>
      <c r="CC1654" s="25"/>
      <c r="CD1654" s="25"/>
      <c r="CE1654" s="200"/>
      <c r="CF1654" s="200"/>
      <c r="CG1654" s="200"/>
      <c r="CH1654" s="200"/>
      <c r="CI1654" s="200"/>
      <c r="CJ1654" s="200"/>
      <c r="CK1654" s="200"/>
      <c r="CL1654" s="200"/>
      <c r="CM1654" s="200"/>
      <c r="CN1654" s="200"/>
      <c r="CO1654" s="200"/>
      <c r="CP1654" s="200"/>
      <c r="CQ1654" s="200"/>
      <c r="CR1654" s="200"/>
      <c r="CS1654" s="200"/>
      <c r="CT1654" s="200"/>
      <c r="CU1654" s="200"/>
    </row>
    <row r="1655" spans="1:99" s="17" customFormat="1" x14ac:dyDescent="0.2">
      <c r="A1655" s="25"/>
      <c r="B1655" s="20">
        <v>39093080103</v>
      </c>
      <c r="C1655" s="20">
        <v>801.03</v>
      </c>
      <c r="D1655" s="20" t="s">
        <v>52</v>
      </c>
      <c r="E1655" s="20" t="s">
        <v>2829</v>
      </c>
      <c r="F1655" s="20" t="s">
        <v>8</v>
      </c>
      <c r="G1655" s="861">
        <v>48.398398021956297</v>
      </c>
      <c r="H1655" s="861">
        <v>57.206906948372399</v>
      </c>
      <c r="I1655" s="861">
        <v>24.312648963215899</v>
      </c>
      <c r="J1655" s="861">
        <v>30.961930126283999</v>
      </c>
      <c r="K1655" s="982">
        <v>0</v>
      </c>
      <c r="L1655" s="735">
        <v>4494</v>
      </c>
      <c r="M1655" s="735">
        <v>4308</v>
      </c>
      <c r="N1655" s="845">
        <f t="shared" si="138"/>
        <v>-4.1388518024032039E-2</v>
      </c>
      <c r="O1655" s="735">
        <v>1.1839494506405284</v>
      </c>
      <c r="P1655" s="735">
        <f t="shared" si="139"/>
        <v>3638.6688618076805</v>
      </c>
      <c r="Q1655" s="849">
        <v>42.7</v>
      </c>
      <c r="R1655" s="71">
        <v>60625</v>
      </c>
      <c r="S1655" s="845">
        <v>7.9639725053330168E-2</v>
      </c>
      <c r="T1655" s="845">
        <v>2.8999999999999998E-2</v>
      </c>
      <c r="U1655" s="845">
        <v>0</v>
      </c>
      <c r="V1655" s="845">
        <v>0</v>
      </c>
      <c r="W1655" s="845">
        <v>0.33479212253829321</v>
      </c>
      <c r="X1655" s="845">
        <v>0.30065359477124182</v>
      </c>
      <c r="Y1655" s="845">
        <v>0.87604456824512533</v>
      </c>
      <c r="Z1655" s="845">
        <v>6.4995357474466105E-3</v>
      </c>
      <c r="AA1655" s="845">
        <v>1.6248839368616526E-3</v>
      </c>
      <c r="AB1655" s="845">
        <v>1.0445682451253482E-2</v>
      </c>
      <c r="AC1655" s="845">
        <v>0</v>
      </c>
      <c r="AD1655" s="845">
        <v>3.4818941504178272E-3</v>
      </c>
      <c r="AE1655" s="845">
        <v>0.10190343546889508</v>
      </c>
      <c r="AF1655" s="845">
        <v>8.1708449396471677E-2</v>
      </c>
      <c r="AG1655" s="845">
        <v>0.84772516248839369</v>
      </c>
      <c r="AH1655" s="20" t="str">
        <f t="shared" si="140"/>
        <v>No</v>
      </c>
      <c r="AI1655" s="25"/>
      <c r="AJ1655" s="20">
        <v>45319</v>
      </c>
      <c r="AK1655" s="20" t="s">
        <v>1672</v>
      </c>
      <c r="AL1655" s="20">
        <v>39023</v>
      </c>
      <c r="AM1655" s="20" t="s">
        <v>18</v>
      </c>
      <c r="AN1655" s="37">
        <f t="shared" si="141"/>
        <v>44220</v>
      </c>
      <c r="AO1655" s="37" t="str">
        <f t="shared" si="142"/>
        <v>Springfield, OH</v>
      </c>
      <c r="AP1655" s="20" t="s">
        <v>8</v>
      </c>
      <c r="AQ1655" s="25"/>
      <c r="AR1655" s="25"/>
      <c r="AS1655" s="25"/>
      <c r="AT1655" s="25"/>
      <c r="AU1655" s="36"/>
      <c r="AV1655" s="36"/>
      <c r="AW1655" s="36"/>
      <c r="AX1655" s="25"/>
      <c r="AY1655" s="25"/>
      <c r="AZ1655" s="25"/>
      <c r="BA1655" s="25"/>
      <c r="BB1655" s="25"/>
      <c r="BC1655" s="25"/>
      <c r="BD1655" s="25"/>
      <c r="BE1655" s="25"/>
      <c r="BF1655" s="25"/>
      <c r="BG1655" s="25"/>
      <c r="BH1655" s="25"/>
      <c r="BI1655" s="25"/>
      <c r="BJ1655" s="25"/>
      <c r="BK1655" s="25"/>
      <c r="BL1655" s="25"/>
      <c r="BM1655" s="25"/>
      <c r="BN1655" s="25"/>
      <c r="BO1655" s="25"/>
      <c r="BP1655" s="25"/>
      <c r="BQ1655" s="25"/>
      <c r="BR1655" s="25"/>
      <c r="BS1655" s="25"/>
      <c r="BT1655" s="25"/>
      <c r="BU1655" s="25"/>
      <c r="BV1655" s="25"/>
      <c r="BW1655" s="25"/>
      <c r="BX1655" s="25"/>
      <c r="BY1655" s="25"/>
      <c r="BZ1655" s="25"/>
      <c r="CA1655" s="25"/>
      <c r="CB1655" s="25"/>
      <c r="CC1655" s="25"/>
      <c r="CD1655" s="25"/>
      <c r="CE1655" s="200"/>
      <c r="CF1655" s="200"/>
      <c r="CG1655" s="200"/>
      <c r="CH1655" s="200"/>
      <c r="CI1655" s="200"/>
      <c r="CJ1655" s="200"/>
      <c r="CK1655" s="200"/>
      <c r="CL1655" s="200"/>
      <c r="CM1655" s="200"/>
      <c r="CN1655" s="200"/>
      <c r="CO1655" s="200"/>
      <c r="CP1655" s="200"/>
      <c r="CQ1655" s="200"/>
      <c r="CR1655" s="200"/>
      <c r="CS1655" s="200"/>
      <c r="CT1655" s="200"/>
      <c r="CU1655" s="200"/>
    </row>
    <row r="1656" spans="1:99" s="17" customFormat="1" x14ac:dyDescent="0.2">
      <c r="A1656" s="25"/>
      <c r="B1656" s="20">
        <v>39007000500</v>
      </c>
      <c r="C1656" s="20">
        <v>5</v>
      </c>
      <c r="D1656" s="20" t="s">
        <v>10</v>
      </c>
      <c r="E1656" s="20" t="s">
        <v>2829</v>
      </c>
      <c r="F1656" s="20" t="s">
        <v>8</v>
      </c>
      <c r="G1656" s="861">
        <v>48.393648855559299</v>
      </c>
      <c r="H1656" s="861">
        <v>55.677955622719097</v>
      </c>
      <c r="I1656" s="861">
        <v>40.6878635575762</v>
      </c>
      <c r="J1656" s="861">
        <v>45.3985735996825</v>
      </c>
      <c r="K1656" s="982">
        <v>0</v>
      </c>
      <c r="L1656" s="735">
        <v>4370</v>
      </c>
      <c r="M1656" s="735">
        <v>4072</v>
      </c>
      <c r="N1656" s="845">
        <f t="shared" si="138"/>
        <v>-6.8192219679633861E-2</v>
      </c>
      <c r="O1656" s="735">
        <v>1.776580742681479</v>
      </c>
      <c r="P1656" s="735">
        <f t="shared" si="139"/>
        <v>2292.043306657672</v>
      </c>
      <c r="Q1656" s="849">
        <v>42.1</v>
      </c>
      <c r="R1656" s="71">
        <v>56782</v>
      </c>
      <c r="S1656" s="845">
        <v>0.19965618860510806</v>
      </c>
      <c r="T1656" s="845">
        <v>4.5999999999999999E-2</v>
      </c>
      <c r="U1656" s="845">
        <v>0</v>
      </c>
      <c r="V1656" s="845">
        <v>0.1</v>
      </c>
      <c r="W1656" s="845">
        <v>0.35345296356715605</v>
      </c>
      <c r="X1656" s="845">
        <v>0.44769230769230767</v>
      </c>
      <c r="Y1656" s="845">
        <v>0.82833988212180742</v>
      </c>
      <c r="Z1656" s="845">
        <v>0.10093320235756385</v>
      </c>
      <c r="AA1656" s="845">
        <v>0</v>
      </c>
      <c r="AB1656" s="845">
        <v>0</v>
      </c>
      <c r="AC1656" s="845">
        <v>0</v>
      </c>
      <c r="AD1656" s="845">
        <v>9.823182711198428E-3</v>
      </c>
      <c r="AE1656" s="845">
        <v>6.0903732809430254E-2</v>
      </c>
      <c r="AF1656" s="845">
        <v>3.2907662082514735E-2</v>
      </c>
      <c r="AG1656" s="845">
        <v>0.82170923379174854</v>
      </c>
      <c r="AH1656" s="20" t="str">
        <f t="shared" si="140"/>
        <v>No</v>
      </c>
      <c r="AI1656" s="25"/>
      <c r="AJ1656" s="20">
        <v>45323</v>
      </c>
      <c r="AK1656" s="20" t="s">
        <v>1676</v>
      </c>
      <c r="AL1656" s="20">
        <v>39023</v>
      </c>
      <c r="AM1656" s="20" t="s">
        <v>18</v>
      </c>
      <c r="AN1656" s="37">
        <f t="shared" si="141"/>
        <v>44220</v>
      </c>
      <c r="AO1656" s="37" t="str">
        <f t="shared" si="142"/>
        <v>Springfield, OH</v>
      </c>
      <c r="AP1656" s="20" t="s">
        <v>8</v>
      </c>
      <c r="AQ1656" s="25"/>
      <c r="AR1656" s="25"/>
      <c r="AS1656" s="25"/>
      <c r="AT1656" s="25"/>
      <c r="AU1656" s="36"/>
      <c r="AV1656" s="36"/>
      <c r="AW1656" s="36"/>
      <c r="AX1656" s="25"/>
      <c r="AY1656" s="25"/>
      <c r="AZ1656" s="25"/>
      <c r="BA1656" s="25"/>
      <c r="BB1656" s="25"/>
      <c r="BC1656" s="25"/>
      <c r="BD1656" s="25"/>
      <c r="BE1656" s="25"/>
      <c r="BF1656" s="25"/>
      <c r="BG1656" s="25"/>
      <c r="BH1656" s="25"/>
      <c r="BI1656" s="25"/>
      <c r="BJ1656" s="25"/>
      <c r="BK1656" s="25"/>
      <c r="BL1656" s="25"/>
      <c r="BM1656" s="25"/>
      <c r="BN1656" s="25"/>
      <c r="BO1656" s="25"/>
      <c r="BP1656" s="25"/>
      <c r="BQ1656" s="25"/>
      <c r="BR1656" s="25"/>
      <c r="BS1656" s="25"/>
      <c r="BT1656" s="25"/>
      <c r="BU1656" s="25"/>
      <c r="BV1656" s="25"/>
      <c r="BW1656" s="25"/>
      <c r="BX1656" s="25"/>
      <c r="BY1656" s="25"/>
      <c r="BZ1656" s="25"/>
      <c r="CA1656" s="25"/>
      <c r="CB1656" s="25"/>
      <c r="CC1656" s="25"/>
      <c r="CD1656" s="25"/>
      <c r="CE1656" s="200"/>
      <c r="CF1656" s="200"/>
      <c r="CG1656" s="200"/>
      <c r="CH1656" s="200"/>
      <c r="CI1656" s="200"/>
      <c r="CJ1656" s="200"/>
      <c r="CK1656" s="200"/>
      <c r="CL1656" s="200"/>
      <c r="CM1656" s="200"/>
      <c r="CN1656" s="200"/>
      <c r="CO1656" s="200"/>
      <c r="CP1656" s="200"/>
      <c r="CQ1656" s="200"/>
      <c r="CR1656" s="200"/>
      <c r="CS1656" s="200"/>
      <c r="CT1656" s="200"/>
      <c r="CU1656" s="200"/>
    </row>
    <row r="1657" spans="1:99" s="17" customFormat="1" x14ac:dyDescent="0.2">
      <c r="A1657" s="25"/>
      <c r="B1657" s="20">
        <v>39129021700</v>
      </c>
      <c r="C1657" s="20">
        <v>217</v>
      </c>
      <c r="D1657" s="20" t="s">
        <v>70</v>
      </c>
      <c r="E1657" s="20" t="s">
        <v>2830</v>
      </c>
      <c r="F1657" s="20" t="s">
        <v>8</v>
      </c>
      <c r="G1657" s="861">
        <v>48.372221420679203</v>
      </c>
      <c r="H1657" s="861">
        <v>57.957202501192597</v>
      </c>
      <c r="I1657" s="861">
        <v>19.517776759391001</v>
      </c>
      <c r="J1657" s="861">
        <v>50.951942244125398</v>
      </c>
      <c r="K1657" s="982">
        <v>0</v>
      </c>
      <c r="L1657" s="735">
        <v>4843</v>
      </c>
      <c r="M1657" s="735">
        <v>4584</v>
      </c>
      <c r="N1657" s="845">
        <f t="shared" si="138"/>
        <v>-5.3479248399752218E-2</v>
      </c>
      <c r="O1657" s="735">
        <v>84.596533533893336</v>
      </c>
      <c r="P1657" s="735">
        <f t="shared" si="139"/>
        <v>54.186617447669235</v>
      </c>
      <c r="Q1657" s="849">
        <v>49.6</v>
      </c>
      <c r="R1657" s="71">
        <v>81614</v>
      </c>
      <c r="S1657" s="845">
        <v>6.8499127399650958E-2</v>
      </c>
      <c r="T1657" s="845">
        <v>0.03</v>
      </c>
      <c r="U1657" s="845">
        <v>0</v>
      </c>
      <c r="V1657" s="845">
        <v>0</v>
      </c>
      <c r="W1657" s="845">
        <v>0.19085095917363501</v>
      </c>
      <c r="X1657" s="845">
        <v>0.15979381443298968</v>
      </c>
      <c r="Y1657" s="845">
        <v>0.97164048865619546</v>
      </c>
      <c r="Z1657" s="845">
        <v>1.963350785340314E-3</v>
      </c>
      <c r="AA1657" s="845">
        <v>0</v>
      </c>
      <c r="AB1657" s="845">
        <v>0</v>
      </c>
      <c r="AC1657" s="845">
        <v>0</v>
      </c>
      <c r="AD1657" s="845">
        <v>0</v>
      </c>
      <c r="AE1657" s="845">
        <v>2.6396160558464225E-2</v>
      </c>
      <c r="AF1657" s="845">
        <v>0</v>
      </c>
      <c r="AG1657" s="845">
        <v>0.97164048865619546</v>
      </c>
      <c r="AH1657" s="20" t="str">
        <f t="shared" si="140"/>
        <v>Yes</v>
      </c>
      <c r="AI1657" s="25"/>
      <c r="AJ1657" s="20">
        <v>45324</v>
      </c>
      <c r="AK1657" s="20" t="s">
        <v>1677</v>
      </c>
      <c r="AL1657" s="20">
        <v>39023</v>
      </c>
      <c r="AM1657" s="20" t="s">
        <v>18</v>
      </c>
      <c r="AN1657" s="37">
        <f t="shared" si="141"/>
        <v>44220</v>
      </c>
      <c r="AO1657" s="37" t="str">
        <f t="shared" si="142"/>
        <v>Springfield, OH</v>
      </c>
      <c r="AP1657" s="20" t="s">
        <v>8</v>
      </c>
      <c r="AQ1657" s="25"/>
      <c r="AR1657" s="25"/>
      <c r="AS1657" s="25"/>
      <c r="AT1657" s="25"/>
      <c r="AU1657" s="36"/>
      <c r="AV1657" s="36"/>
      <c r="AW1657" s="36"/>
      <c r="AX1657" s="25"/>
      <c r="AY1657" s="25"/>
      <c r="AZ1657" s="25"/>
      <c r="BA1657" s="25"/>
      <c r="BB1657" s="25"/>
      <c r="BC1657" s="25"/>
      <c r="BD1657" s="25"/>
      <c r="BE1657" s="25"/>
      <c r="BF1657" s="25"/>
      <c r="BG1657" s="25"/>
      <c r="BH1657" s="25"/>
      <c r="BI1657" s="25"/>
      <c r="BJ1657" s="25"/>
      <c r="BK1657" s="25"/>
      <c r="BL1657" s="25"/>
      <c r="BM1657" s="25"/>
      <c r="BN1657" s="25"/>
      <c r="BO1657" s="25"/>
      <c r="BP1657" s="25"/>
      <c r="BQ1657" s="25"/>
      <c r="BR1657" s="25"/>
      <c r="BS1657" s="25"/>
      <c r="BT1657" s="25"/>
      <c r="BU1657" s="25"/>
      <c r="BV1657" s="25"/>
      <c r="BW1657" s="25"/>
      <c r="BX1657" s="25"/>
      <c r="BY1657" s="25"/>
      <c r="BZ1657" s="25"/>
      <c r="CA1657" s="25"/>
      <c r="CB1657" s="25"/>
      <c r="CC1657" s="25"/>
      <c r="CD1657" s="25"/>
      <c r="CE1657" s="200"/>
      <c r="CF1657" s="200"/>
      <c r="CG1657" s="200"/>
      <c r="CH1657" s="200"/>
      <c r="CI1657" s="200"/>
      <c r="CJ1657" s="200"/>
      <c r="CK1657" s="200"/>
      <c r="CL1657" s="200"/>
      <c r="CM1657" s="200"/>
      <c r="CN1657" s="200"/>
      <c r="CO1657" s="200"/>
      <c r="CP1657" s="200"/>
      <c r="CQ1657" s="200"/>
      <c r="CR1657" s="200"/>
      <c r="CS1657" s="200"/>
      <c r="CT1657" s="200"/>
      <c r="CU1657" s="200"/>
    </row>
    <row r="1658" spans="1:99" s="17" customFormat="1" x14ac:dyDescent="0.2">
      <c r="A1658" s="25"/>
      <c r="B1658" s="20">
        <v>39049009801</v>
      </c>
      <c r="C1658" s="20">
        <v>98.01</v>
      </c>
      <c r="D1658" s="20" t="s">
        <v>31</v>
      </c>
      <c r="E1658" s="20" t="s">
        <v>2830</v>
      </c>
      <c r="F1658" s="20" t="s">
        <v>8</v>
      </c>
      <c r="G1658" s="861">
        <v>48.3587632159892</v>
      </c>
      <c r="H1658" s="861">
        <v>54.373100157762799</v>
      </c>
      <c r="I1658" s="861">
        <v>21.9523946660794</v>
      </c>
      <c r="J1658" s="861">
        <v>54.067028536591501</v>
      </c>
      <c r="K1658" s="982">
        <v>0</v>
      </c>
      <c r="L1658" s="735" t="s">
        <v>2466</v>
      </c>
      <c r="M1658" s="735">
        <v>3503</v>
      </c>
      <c r="N1658" s="845" t="str">
        <f t="shared" si="138"/>
        <v/>
      </c>
      <c r="O1658" s="735">
        <v>14.584823325694728</v>
      </c>
      <c r="P1658" s="735">
        <f t="shared" si="139"/>
        <v>240.18117475777782</v>
      </c>
      <c r="Q1658" s="849">
        <v>38.6</v>
      </c>
      <c r="R1658" s="71">
        <v>97833</v>
      </c>
      <c r="S1658" s="845">
        <v>9.6203254353411358E-2</v>
      </c>
      <c r="T1658" s="845">
        <v>4.2999999999999997E-2</v>
      </c>
      <c r="U1658" s="845">
        <v>0</v>
      </c>
      <c r="V1658" s="845">
        <v>0.183</v>
      </c>
      <c r="W1658" s="845">
        <v>9.0202177293934677E-2</v>
      </c>
      <c r="X1658" s="845">
        <v>0</v>
      </c>
      <c r="Y1658" s="845">
        <v>0.90208392806166149</v>
      </c>
      <c r="Z1658" s="845">
        <v>1.3988010276905509E-2</v>
      </c>
      <c r="AA1658" s="845">
        <v>0</v>
      </c>
      <c r="AB1658" s="845">
        <v>0</v>
      </c>
      <c r="AC1658" s="845">
        <v>0</v>
      </c>
      <c r="AD1658" s="845">
        <v>0</v>
      </c>
      <c r="AE1658" s="845">
        <v>8.3928061661433059E-2</v>
      </c>
      <c r="AF1658" s="845">
        <v>3.3685412503568372E-2</v>
      </c>
      <c r="AG1658" s="845">
        <v>0.89723094490436772</v>
      </c>
      <c r="AH1658" s="20" t="str">
        <f t="shared" si="140"/>
        <v>No</v>
      </c>
      <c r="AI1658" s="25"/>
      <c r="AJ1658" s="37">
        <v>45341</v>
      </c>
      <c r="AK1658" s="37" t="s">
        <v>1693</v>
      </c>
      <c r="AL1658" s="37">
        <v>39023</v>
      </c>
      <c r="AM1658" s="37" t="s">
        <v>18</v>
      </c>
      <c r="AN1658" s="37">
        <f t="shared" si="141"/>
        <v>44220</v>
      </c>
      <c r="AO1658" s="37" t="str">
        <f t="shared" si="142"/>
        <v>Springfield, OH</v>
      </c>
      <c r="AP1658" s="20" t="s">
        <v>8</v>
      </c>
      <c r="AQ1658" s="25"/>
      <c r="AR1658" s="25"/>
      <c r="AS1658" s="25"/>
      <c r="AT1658" s="25"/>
      <c r="AU1658" s="36"/>
      <c r="AV1658" s="36"/>
      <c r="AW1658" s="36"/>
      <c r="AX1658" s="25"/>
      <c r="AY1658" s="25"/>
      <c r="AZ1658" s="25"/>
      <c r="BA1658" s="25"/>
      <c r="BB1658" s="25"/>
      <c r="BC1658" s="25"/>
      <c r="BD1658" s="25"/>
      <c r="BE1658" s="25"/>
      <c r="BF1658" s="25"/>
      <c r="BG1658" s="25"/>
      <c r="BH1658" s="25"/>
      <c r="BI1658" s="25"/>
      <c r="BJ1658" s="25"/>
      <c r="BK1658" s="25"/>
      <c r="BL1658" s="25"/>
      <c r="BM1658" s="25"/>
      <c r="BN1658" s="25"/>
      <c r="BO1658" s="25"/>
      <c r="BP1658" s="25"/>
      <c r="BQ1658" s="25"/>
      <c r="BR1658" s="25"/>
      <c r="BS1658" s="25"/>
      <c r="BT1658" s="25"/>
      <c r="BU1658" s="25"/>
      <c r="BV1658" s="25"/>
      <c r="BW1658" s="25"/>
      <c r="BX1658" s="25"/>
      <c r="BY1658" s="25"/>
      <c r="BZ1658" s="25"/>
      <c r="CA1658" s="25"/>
      <c r="CB1658" s="25"/>
      <c r="CC1658" s="25"/>
      <c r="CD1658" s="25"/>
      <c r="CE1658" s="200"/>
      <c r="CF1658" s="200"/>
      <c r="CG1658" s="200"/>
      <c r="CH1658" s="200"/>
      <c r="CI1658" s="200"/>
      <c r="CJ1658" s="200"/>
      <c r="CK1658" s="200"/>
      <c r="CL1658" s="200"/>
      <c r="CM1658" s="200"/>
      <c r="CN1658" s="200"/>
      <c r="CO1658" s="200"/>
      <c r="CP1658" s="200"/>
      <c r="CQ1658" s="200"/>
      <c r="CR1658" s="200"/>
      <c r="CS1658" s="200"/>
      <c r="CT1658" s="200"/>
      <c r="CU1658" s="200"/>
    </row>
    <row r="1659" spans="1:99" s="17" customFormat="1" x14ac:dyDescent="0.2">
      <c r="A1659" s="25"/>
      <c r="B1659" s="20">
        <v>39007000702</v>
      </c>
      <c r="C1659" s="20">
        <v>7.02</v>
      </c>
      <c r="D1659" s="20" t="s">
        <v>10</v>
      </c>
      <c r="E1659" s="20" t="s">
        <v>2829</v>
      </c>
      <c r="F1659" s="20" t="s">
        <v>8</v>
      </c>
      <c r="G1659" s="861">
        <v>48.3491700362245</v>
      </c>
      <c r="H1659" s="861">
        <v>56.747620297662102</v>
      </c>
      <c r="I1659" s="861">
        <v>16.039245492315299</v>
      </c>
      <c r="J1659" s="861">
        <v>47.163167111466898</v>
      </c>
      <c r="K1659" s="982">
        <v>0</v>
      </c>
      <c r="L1659" s="735">
        <v>2437</v>
      </c>
      <c r="M1659" s="735">
        <v>2784</v>
      </c>
      <c r="N1659" s="845">
        <f t="shared" si="138"/>
        <v>0.14238818219121871</v>
      </c>
      <c r="O1659" s="735">
        <v>18.962166586934643</v>
      </c>
      <c r="P1659" s="735">
        <f t="shared" si="139"/>
        <v>146.81866585426152</v>
      </c>
      <c r="Q1659" s="849">
        <v>50.2</v>
      </c>
      <c r="R1659" s="71">
        <v>82083</v>
      </c>
      <c r="S1659" s="845">
        <v>7.7227011494252873E-2</v>
      </c>
      <c r="T1659" s="845">
        <v>0.125</v>
      </c>
      <c r="U1659" s="845">
        <v>0</v>
      </c>
      <c r="V1659" s="845">
        <v>0</v>
      </c>
      <c r="W1659" s="845">
        <v>9.9309153713298792E-2</v>
      </c>
      <c r="X1659" s="845">
        <v>0.20869565217391303</v>
      </c>
      <c r="Y1659" s="845">
        <v>0.79489942528735635</v>
      </c>
      <c r="Z1659" s="845">
        <v>9.5186781609195401E-2</v>
      </c>
      <c r="AA1659" s="845">
        <v>0</v>
      </c>
      <c r="AB1659" s="845">
        <v>2.6939655172413791E-2</v>
      </c>
      <c r="AC1659" s="845">
        <v>0</v>
      </c>
      <c r="AD1659" s="845">
        <v>1.7241379310344827E-2</v>
      </c>
      <c r="AE1659" s="845">
        <v>6.5732758620689655E-2</v>
      </c>
      <c r="AF1659" s="845">
        <v>2.8735632183908046E-2</v>
      </c>
      <c r="AG1659" s="845">
        <v>0.78340517241379315</v>
      </c>
      <c r="AH1659" s="20" t="str">
        <f t="shared" si="140"/>
        <v>No</v>
      </c>
      <c r="AI1659" s="25"/>
      <c r="AJ1659" s="37">
        <v>45344</v>
      </c>
      <c r="AK1659" s="37" t="s">
        <v>1695</v>
      </c>
      <c r="AL1659" s="37">
        <v>39023</v>
      </c>
      <c r="AM1659" s="37" t="s">
        <v>18</v>
      </c>
      <c r="AN1659" s="37">
        <f t="shared" si="141"/>
        <v>44220</v>
      </c>
      <c r="AO1659" s="37" t="str">
        <f t="shared" si="142"/>
        <v>Springfield, OH</v>
      </c>
      <c r="AP1659" s="20" t="s">
        <v>8</v>
      </c>
      <c r="AQ1659" s="25"/>
      <c r="AR1659" s="25"/>
      <c r="AS1659" s="25"/>
      <c r="AT1659" s="25"/>
      <c r="AU1659" s="36"/>
      <c r="AV1659" s="36"/>
      <c r="AW1659" s="36"/>
      <c r="AX1659" s="25"/>
      <c r="AY1659" s="25"/>
      <c r="AZ1659" s="25"/>
      <c r="BA1659" s="25"/>
      <c r="BB1659" s="25"/>
      <c r="BC1659" s="25"/>
      <c r="BD1659" s="25"/>
      <c r="BE1659" s="25"/>
      <c r="BF1659" s="25"/>
      <c r="BG1659" s="25"/>
      <c r="BH1659" s="25"/>
      <c r="BI1659" s="25"/>
      <c r="BJ1659" s="25"/>
      <c r="BK1659" s="25"/>
      <c r="BL1659" s="25"/>
      <c r="BM1659" s="25"/>
      <c r="BN1659" s="25"/>
      <c r="BO1659" s="25"/>
      <c r="BP1659" s="25"/>
      <c r="BQ1659" s="25"/>
      <c r="BR1659" s="25"/>
      <c r="BS1659" s="25"/>
      <c r="BT1659" s="25"/>
      <c r="BU1659" s="25"/>
      <c r="BV1659" s="25"/>
      <c r="BW1659" s="25"/>
      <c r="BX1659" s="25"/>
      <c r="BY1659" s="25"/>
      <c r="BZ1659" s="25"/>
      <c r="CA1659" s="25"/>
      <c r="CB1659" s="25"/>
      <c r="CC1659" s="25"/>
      <c r="CD1659" s="25"/>
      <c r="CE1659" s="200"/>
      <c r="CF1659" s="200"/>
      <c r="CG1659" s="200"/>
      <c r="CH1659" s="200"/>
      <c r="CI1659" s="200"/>
      <c r="CJ1659" s="200"/>
      <c r="CK1659" s="200"/>
      <c r="CL1659" s="200"/>
      <c r="CM1659" s="200"/>
      <c r="CN1659" s="200"/>
      <c r="CO1659" s="200"/>
      <c r="CP1659" s="200"/>
      <c r="CQ1659" s="200"/>
      <c r="CR1659" s="200"/>
      <c r="CS1659" s="200"/>
      <c r="CT1659" s="200"/>
      <c r="CU1659" s="200"/>
    </row>
    <row r="1660" spans="1:99" s="17" customFormat="1" x14ac:dyDescent="0.2">
      <c r="A1660" s="25"/>
      <c r="B1660" s="20">
        <v>39173022500</v>
      </c>
      <c r="C1660" s="20">
        <v>225</v>
      </c>
      <c r="D1660" s="20" t="s">
        <v>92</v>
      </c>
      <c r="E1660" s="20" t="s">
        <v>2839</v>
      </c>
      <c r="F1660" s="20" t="s">
        <v>8</v>
      </c>
      <c r="G1660" s="861">
        <v>48.336059918459299</v>
      </c>
      <c r="H1660" s="861">
        <v>43.2870436482755</v>
      </c>
      <c r="I1660" s="861">
        <v>25.662271613604901</v>
      </c>
      <c r="J1660" s="861">
        <v>25.864770411625599</v>
      </c>
      <c r="K1660" s="982">
        <v>0</v>
      </c>
      <c r="L1660" s="735">
        <v>4539</v>
      </c>
      <c r="M1660" s="735">
        <v>4172</v>
      </c>
      <c r="N1660" s="845">
        <f t="shared" si="138"/>
        <v>-8.0854813835646619E-2</v>
      </c>
      <c r="O1660" s="735">
        <v>63.508308538142288</v>
      </c>
      <c r="P1660" s="735">
        <f t="shared" si="139"/>
        <v>65.692192030186874</v>
      </c>
      <c r="Q1660" s="849">
        <v>34.700000000000003</v>
      </c>
      <c r="R1660" s="71">
        <v>62059</v>
      </c>
      <c r="S1660" s="845">
        <v>0.11737211113996364</v>
      </c>
      <c r="T1660" s="845">
        <v>7.2999999999999995E-2</v>
      </c>
      <c r="U1660" s="845">
        <v>5.4000000000000006E-2</v>
      </c>
      <c r="V1660" s="845">
        <v>3.2000000000000001E-2</v>
      </c>
      <c r="W1660" s="845">
        <v>0.3605898123324397</v>
      </c>
      <c r="X1660" s="845">
        <v>0.37174721189591076</v>
      </c>
      <c r="Y1660" s="845">
        <v>0.82454458293384469</v>
      </c>
      <c r="Z1660" s="845">
        <v>4.0987535953978908E-2</v>
      </c>
      <c r="AA1660" s="845">
        <v>2.3969319271332693E-4</v>
      </c>
      <c r="AB1660" s="845">
        <v>1.1505273250239693E-2</v>
      </c>
      <c r="AC1660" s="845">
        <v>0</v>
      </c>
      <c r="AD1660" s="845">
        <v>1.725790987535954E-2</v>
      </c>
      <c r="AE1660" s="845">
        <v>0.10546500479386385</v>
      </c>
      <c r="AF1660" s="845">
        <v>0.11840843720038351</v>
      </c>
      <c r="AG1660" s="845">
        <v>0.79769894534995212</v>
      </c>
      <c r="AH1660" s="20" t="str">
        <f t="shared" si="140"/>
        <v>No</v>
      </c>
      <c r="AI1660" s="25"/>
      <c r="AJ1660" s="37">
        <v>45349</v>
      </c>
      <c r="AK1660" s="37" t="s">
        <v>1700</v>
      </c>
      <c r="AL1660" s="37">
        <v>39023</v>
      </c>
      <c r="AM1660" s="37" t="s">
        <v>18</v>
      </c>
      <c r="AN1660" s="37">
        <f t="shared" si="141"/>
        <v>44220</v>
      </c>
      <c r="AO1660" s="37" t="str">
        <f t="shared" si="142"/>
        <v>Springfield, OH</v>
      </c>
      <c r="AP1660" s="20" t="s">
        <v>8</v>
      </c>
      <c r="AQ1660" s="25"/>
      <c r="AR1660" s="25"/>
      <c r="AS1660" s="25"/>
      <c r="AT1660" s="25"/>
      <c r="AU1660" s="36"/>
      <c r="AV1660" s="36"/>
      <c r="AW1660" s="36"/>
      <c r="AX1660" s="25"/>
      <c r="AY1660" s="25"/>
      <c r="AZ1660" s="25"/>
      <c r="BA1660" s="25"/>
      <c r="BB1660" s="25"/>
      <c r="BC1660" s="25"/>
      <c r="BD1660" s="25"/>
      <c r="BE1660" s="25"/>
      <c r="BF1660" s="25"/>
      <c r="BG1660" s="25"/>
      <c r="BH1660" s="25"/>
      <c r="BI1660" s="25"/>
      <c r="BJ1660" s="25"/>
      <c r="BK1660" s="25"/>
      <c r="BL1660" s="25"/>
      <c r="BM1660" s="25"/>
      <c r="BN1660" s="25"/>
      <c r="BO1660" s="25"/>
      <c r="BP1660" s="25"/>
      <c r="BQ1660" s="25"/>
      <c r="BR1660" s="25"/>
      <c r="BS1660" s="25"/>
      <c r="BT1660" s="25"/>
      <c r="BU1660" s="25"/>
      <c r="BV1660" s="25"/>
      <c r="BW1660" s="25"/>
      <c r="BX1660" s="25"/>
      <c r="BY1660" s="25"/>
      <c r="BZ1660" s="25"/>
      <c r="CA1660" s="25"/>
      <c r="CB1660" s="25"/>
      <c r="CC1660" s="25"/>
      <c r="CD1660" s="25"/>
      <c r="CE1660" s="200"/>
      <c r="CF1660" s="200"/>
      <c r="CG1660" s="200"/>
      <c r="CH1660" s="200"/>
      <c r="CI1660" s="200"/>
      <c r="CJ1660" s="200"/>
      <c r="CK1660" s="200"/>
      <c r="CL1660" s="200"/>
      <c r="CM1660" s="200"/>
      <c r="CN1660" s="200"/>
      <c r="CO1660" s="200"/>
      <c r="CP1660" s="200"/>
      <c r="CQ1660" s="200"/>
      <c r="CR1660" s="200"/>
      <c r="CS1660" s="200"/>
      <c r="CT1660" s="200"/>
      <c r="CU1660" s="200"/>
    </row>
    <row r="1661" spans="1:99" s="17" customFormat="1" x14ac:dyDescent="0.2">
      <c r="A1661" s="25"/>
      <c r="B1661" s="20">
        <v>39061021701</v>
      </c>
      <c r="C1661" s="20">
        <v>217.01</v>
      </c>
      <c r="D1661" s="20" t="s">
        <v>37</v>
      </c>
      <c r="E1661" s="20" t="s">
        <v>2828</v>
      </c>
      <c r="F1661" s="20" t="s">
        <v>8</v>
      </c>
      <c r="G1661" s="861">
        <v>48.3300273882504</v>
      </c>
      <c r="H1661" s="861">
        <v>54.4676182861946</v>
      </c>
      <c r="I1661" s="861">
        <v>50.039907296321097</v>
      </c>
      <c r="J1661" s="861">
        <v>46.338868762246904</v>
      </c>
      <c r="K1661" s="982">
        <v>0</v>
      </c>
      <c r="L1661" s="735">
        <v>2838</v>
      </c>
      <c r="M1661" s="735">
        <v>2738</v>
      </c>
      <c r="N1661" s="845">
        <f t="shared" si="138"/>
        <v>-3.5236081747709654E-2</v>
      </c>
      <c r="O1661" s="735">
        <v>0.81343809721195981</v>
      </c>
      <c r="P1661" s="735">
        <f t="shared" si="139"/>
        <v>3365.9598799028854</v>
      </c>
      <c r="Q1661" s="849">
        <v>43.7</v>
      </c>
      <c r="R1661" s="71">
        <v>53173</v>
      </c>
      <c r="S1661" s="845">
        <v>0.14952561669829223</v>
      </c>
      <c r="T1661" s="845">
        <v>3.5000000000000003E-2</v>
      </c>
      <c r="U1661" s="845">
        <v>0</v>
      </c>
      <c r="V1661" s="845">
        <v>5.2999999999999999E-2</v>
      </c>
      <c r="W1661" s="845">
        <v>0.50834724540901499</v>
      </c>
      <c r="X1661" s="845">
        <v>0.55008210180623973</v>
      </c>
      <c r="Y1661" s="845">
        <v>0.54309715120525937</v>
      </c>
      <c r="Z1661" s="845">
        <v>0.2929145361577794</v>
      </c>
      <c r="AA1661" s="845">
        <v>0</v>
      </c>
      <c r="AB1661" s="845">
        <v>9.8612125639152663E-3</v>
      </c>
      <c r="AC1661" s="845">
        <v>0</v>
      </c>
      <c r="AD1661" s="845">
        <v>1.6070124178232285E-2</v>
      </c>
      <c r="AE1661" s="845">
        <v>0.13805697589481372</v>
      </c>
      <c r="AF1661" s="845">
        <v>0.11723886048210373</v>
      </c>
      <c r="AG1661" s="845">
        <v>0.54309715120525937</v>
      </c>
      <c r="AH1661" s="20" t="str">
        <f t="shared" si="140"/>
        <v>No</v>
      </c>
      <c r="AI1661" s="25"/>
      <c r="AJ1661" s="20">
        <v>45368</v>
      </c>
      <c r="AK1661" s="20" t="s">
        <v>1714</v>
      </c>
      <c r="AL1661" s="20">
        <v>39023</v>
      </c>
      <c r="AM1661" s="20" t="s">
        <v>18</v>
      </c>
      <c r="AN1661" s="37">
        <f t="shared" si="141"/>
        <v>44220</v>
      </c>
      <c r="AO1661" s="37" t="str">
        <f t="shared" si="142"/>
        <v>Springfield, OH</v>
      </c>
      <c r="AP1661" s="20" t="s">
        <v>8</v>
      </c>
      <c r="AQ1661" s="25"/>
      <c r="AR1661" s="25"/>
      <c r="AS1661" s="25"/>
      <c r="AT1661" s="25"/>
      <c r="AU1661" s="36"/>
      <c r="AV1661" s="36"/>
      <c r="AW1661" s="36"/>
      <c r="AX1661" s="25"/>
      <c r="AY1661" s="25"/>
      <c r="AZ1661" s="25"/>
      <c r="BA1661" s="25"/>
      <c r="BB1661" s="25"/>
      <c r="BC1661" s="25"/>
      <c r="BD1661" s="25"/>
      <c r="BE1661" s="25"/>
      <c r="BF1661" s="25"/>
      <c r="BG1661" s="25"/>
      <c r="BH1661" s="25"/>
      <c r="BI1661" s="25"/>
      <c r="BJ1661" s="25"/>
      <c r="BK1661" s="25"/>
      <c r="BL1661" s="25"/>
      <c r="BM1661" s="25"/>
      <c r="BN1661" s="25"/>
      <c r="BO1661" s="25"/>
      <c r="BP1661" s="25"/>
      <c r="BQ1661" s="25"/>
      <c r="BR1661" s="25"/>
      <c r="BS1661" s="25"/>
      <c r="BT1661" s="25"/>
      <c r="BU1661" s="25"/>
      <c r="BV1661" s="25"/>
      <c r="BW1661" s="25"/>
      <c r="BX1661" s="25"/>
      <c r="BY1661" s="25"/>
      <c r="BZ1661" s="25"/>
      <c r="CA1661" s="25"/>
      <c r="CB1661" s="25"/>
      <c r="CC1661" s="25"/>
      <c r="CD1661" s="25"/>
      <c r="CE1661" s="200"/>
      <c r="CF1661" s="200"/>
      <c r="CG1661" s="200"/>
      <c r="CH1661" s="200"/>
      <c r="CI1661" s="200"/>
      <c r="CJ1661" s="200"/>
      <c r="CK1661" s="200"/>
      <c r="CL1661" s="200"/>
      <c r="CM1661" s="200"/>
      <c r="CN1661" s="200"/>
      <c r="CO1661" s="200"/>
      <c r="CP1661" s="200"/>
      <c r="CQ1661" s="200"/>
      <c r="CR1661" s="200"/>
      <c r="CS1661" s="200"/>
      <c r="CT1661" s="200"/>
      <c r="CU1661" s="200"/>
    </row>
    <row r="1662" spans="1:99" s="17" customFormat="1" x14ac:dyDescent="0.2">
      <c r="A1662" s="25"/>
      <c r="B1662" s="20">
        <v>39035194100</v>
      </c>
      <c r="C1662" s="20">
        <v>1941</v>
      </c>
      <c r="D1662" s="20" t="s">
        <v>24</v>
      </c>
      <c r="E1662" s="20" t="s">
        <v>2829</v>
      </c>
      <c r="F1662" s="20" t="s">
        <v>8</v>
      </c>
      <c r="G1662" s="861">
        <v>48.3174222785835</v>
      </c>
      <c r="H1662" s="861">
        <v>59.033423626081301</v>
      </c>
      <c r="I1662" s="861">
        <v>25.1723500111897</v>
      </c>
      <c r="J1662" s="861">
        <v>52.925578794590798</v>
      </c>
      <c r="K1662" s="982">
        <v>0</v>
      </c>
      <c r="L1662" s="735">
        <v>2272</v>
      </c>
      <c r="M1662" s="735">
        <v>2083</v>
      </c>
      <c r="N1662" s="845">
        <f t="shared" si="138"/>
        <v>-8.3186619718309859E-2</v>
      </c>
      <c r="O1662" s="735">
        <v>6.7529757887575785</v>
      </c>
      <c r="P1662" s="735">
        <f t="shared" si="139"/>
        <v>308.45660715499662</v>
      </c>
      <c r="Q1662" s="849">
        <v>61.3</v>
      </c>
      <c r="R1662" s="71">
        <v>103547</v>
      </c>
      <c r="S1662" s="845">
        <v>7.2608913370055081E-2</v>
      </c>
      <c r="T1662" s="845">
        <v>7.2999999999999995E-2</v>
      </c>
      <c r="U1662" s="845">
        <v>5.0000000000000001E-3</v>
      </c>
      <c r="V1662" s="845">
        <v>0</v>
      </c>
      <c r="W1662" s="845">
        <v>5.6806002143622719E-2</v>
      </c>
      <c r="X1662" s="845">
        <v>0.32075471698113206</v>
      </c>
      <c r="Y1662" s="845">
        <v>0.80988958233317332</v>
      </c>
      <c r="Z1662" s="845">
        <v>0.14450312049927988</v>
      </c>
      <c r="AA1662" s="845">
        <v>0</v>
      </c>
      <c r="AB1662" s="845">
        <v>0</v>
      </c>
      <c r="AC1662" s="845">
        <v>0</v>
      </c>
      <c r="AD1662" s="845">
        <v>0</v>
      </c>
      <c r="AE1662" s="845">
        <v>4.5607297167546808E-2</v>
      </c>
      <c r="AF1662" s="845">
        <v>3.8406144983197311E-2</v>
      </c>
      <c r="AG1662" s="845">
        <v>0.80652904464714359</v>
      </c>
      <c r="AH1662" s="20" t="str">
        <f t="shared" si="140"/>
        <v>No</v>
      </c>
      <c r="AI1662" s="25"/>
      <c r="AJ1662" s="37">
        <v>45369</v>
      </c>
      <c r="AK1662" s="37" t="s">
        <v>1715</v>
      </c>
      <c r="AL1662" s="37">
        <v>39023</v>
      </c>
      <c r="AM1662" s="37" t="s">
        <v>18</v>
      </c>
      <c r="AN1662" s="37">
        <f t="shared" si="141"/>
        <v>44220</v>
      </c>
      <c r="AO1662" s="37" t="str">
        <f t="shared" si="142"/>
        <v>Springfield, OH</v>
      </c>
      <c r="AP1662" s="20" t="s">
        <v>8</v>
      </c>
      <c r="AQ1662" s="25"/>
      <c r="AR1662" s="25"/>
      <c r="AS1662" s="25"/>
      <c r="AT1662" s="25"/>
      <c r="AU1662" s="36"/>
      <c r="AV1662" s="36"/>
      <c r="AW1662" s="36"/>
      <c r="AX1662" s="25"/>
      <c r="AY1662" s="25"/>
      <c r="AZ1662" s="25"/>
      <c r="BA1662" s="25"/>
      <c r="BB1662" s="25"/>
      <c r="BC1662" s="25"/>
      <c r="BD1662" s="25"/>
      <c r="BE1662" s="25"/>
      <c r="BF1662" s="25"/>
      <c r="BG1662" s="25"/>
      <c r="BH1662" s="25"/>
      <c r="BI1662" s="25"/>
      <c r="BJ1662" s="25"/>
      <c r="BK1662" s="25"/>
      <c r="BL1662" s="25"/>
      <c r="BM1662" s="25"/>
      <c r="BN1662" s="25"/>
      <c r="BO1662" s="25"/>
      <c r="BP1662" s="25"/>
      <c r="BQ1662" s="25"/>
      <c r="BR1662" s="25"/>
      <c r="BS1662" s="25"/>
      <c r="BT1662" s="25"/>
      <c r="BU1662" s="25"/>
      <c r="BV1662" s="25"/>
      <c r="BW1662" s="25"/>
      <c r="BX1662" s="25"/>
      <c r="BY1662" s="25"/>
      <c r="BZ1662" s="25"/>
      <c r="CA1662" s="25"/>
      <c r="CB1662" s="25"/>
      <c r="CC1662" s="25"/>
      <c r="CD1662" s="25"/>
      <c r="CE1662" s="200"/>
      <c r="CF1662" s="200"/>
      <c r="CG1662" s="200"/>
      <c r="CH1662" s="200"/>
      <c r="CI1662" s="200"/>
      <c r="CJ1662" s="200"/>
      <c r="CK1662" s="200"/>
      <c r="CL1662" s="200"/>
      <c r="CM1662" s="200"/>
      <c r="CN1662" s="200"/>
      <c r="CO1662" s="200"/>
      <c r="CP1662" s="200"/>
      <c r="CQ1662" s="200"/>
      <c r="CR1662" s="200"/>
      <c r="CS1662" s="200"/>
      <c r="CT1662" s="200"/>
      <c r="CU1662" s="200"/>
    </row>
    <row r="1663" spans="1:99" s="17" customFormat="1" x14ac:dyDescent="0.2">
      <c r="A1663" s="25"/>
      <c r="B1663" s="20">
        <v>39085205300</v>
      </c>
      <c r="C1663" s="20">
        <v>2053</v>
      </c>
      <c r="D1663" s="20" t="s">
        <v>48</v>
      </c>
      <c r="E1663" s="20" t="s">
        <v>2829</v>
      </c>
      <c r="F1663" s="20" t="s">
        <v>8</v>
      </c>
      <c r="G1663" s="861">
        <v>48.315325801972797</v>
      </c>
      <c r="H1663" s="861">
        <v>58.4695468885689</v>
      </c>
      <c r="I1663" s="861">
        <v>23.980782858342302</v>
      </c>
      <c r="J1663" s="861">
        <v>48.8388571484831</v>
      </c>
      <c r="K1663" s="982">
        <v>0</v>
      </c>
      <c r="L1663" s="735">
        <v>2528</v>
      </c>
      <c r="M1663" s="735">
        <v>2350</v>
      </c>
      <c r="N1663" s="845">
        <f t="shared" si="138"/>
        <v>-7.0411392405063292E-2</v>
      </c>
      <c r="O1663" s="735">
        <v>8.4290344483473323</v>
      </c>
      <c r="P1663" s="735">
        <f t="shared" si="139"/>
        <v>278.79824366606556</v>
      </c>
      <c r="Q1663" s="849">
        <v>45.9</v>
      </c>
      <c r="R1663" s="71">
        <v>92847</v>
      </c>
      <c r="S1663" s="845">
        <v>4.2127659574468082E-2</v>
      </c>
      <c r="T1663" s="845">
        <v>2.3E-2</v>
      </c>
      <c r="U1663" s="845">
        <v>0</v>
      </c>
      <c r="V1663" s="845">
        <v>0</v>
      </c>
      <c r="W1663" s="845">
        <v>2.0470829068577279E-2</v>
      </c>
      <c r="X1663" s="845">
        <v>0</v>
      </c>
      <c r="Y1663" s="845">
        <v>0.93702127659574463</v>
      </c>
      <c r="Z1663" s="845">
        <v>1.276595744680851E-3</v>
      </c>
      <c r="AA1663" s="845">
        <v>0</v>
      </c>
      <c r="AB1663" s="845">
        <v>1.7021276595744681E-3</v>
      </c>
      <c r="AC1663" s="845">
        <v>0</v>
      </c>
      <c r="AD1663" s="845">
        <v>2.553191489361702E-3</v>
      </c>
      <c r="AE1663" s="845">
        <v>5.7446808510638298E-2</v>
      </c>
      <c r="AF1663" s="845">
        <v>5.9148936170212767E-2</v>
      </c>
      <c r="AG1663" s="845">
        <v>0.9212765957446809</v>
      </c>
      <c r="AH1663" s="20" t="str">
        <f t="shared" si="140"/>
        <v>Yes</v>
      </c>
      <c r="AI1663" s="25"/>
      <c r="AJ1663" s="20">
        <v>45372</v>
      </c>
      <c r="AK1663" s="20" t="s">
        <v>1718</v>
      </c>
      <c r="AL1663" s="20">
        <v>39023</v>
      </c>
      <c r="AM1663" s="20" t="s">
        <v>18</v>
      </c>
      <c r="AN1663" s="37">
        <f t="shared" si="141"/>
        <v>44220</v>
      </c>
      <c r="AO1663" s="37" t="str">
        <f t="shared" si="142"/>
        <v>Springfield, OH</v>
      </c>
      <c r="AP1663" s="20" t="s">
        <v>8</v>
      </c>
      <c r="AQ1663" s="25"/>
      <c r="AR1663" s="25"/>
      <c r="AS1663" s="25"/>
      <c r="AT1663" s="25"/>
      <c r="AU1663" s="36"/>
      <c r="AV1663" s="36"/>
      <c r="AW1663" s="36"/>
      <c r="AX1663" s="25"/>
      <c r="AY1663" s="25"/>
      <c r="AZ1663" s="25"/>
      <c r="BA1663" s="25"/>
      <c r="BB1663" s="25"/>
      <c r="BC1663" s="25"/>
      <c r="BD1663" s="25"/>
      <c r="BE1663" s="25"/>
      <c r="BF1663" s="25"/>
      <c r="BG1663" s="25"/>
      <c r="BH1663" s="25"/>
      <c r="BI1663" s="25"/>
      <c r="BJ1663" s="25"/>
      <c r="BK1663" s="25"/>
      <c r="BL1663" s="25"/>
      <c r="BM1663" s="25"/>
      <c r="BN1663" s="25"/>
      <c r="BO1663" s="25"/>
      <c r="BP1663" s="25"/>
      <c r="BQ1663" s="25"/>
      <c r="BR1663" s="25"/>
      <c r="BS1663" s="25"/>
      <c r="BT1663" s="25"/>
      <c r="BU1663" s="25"/>
      <c r="BV1663" s="25"/>
      <c r="BW1663" s="25"/>
      <c r="BX1663" s="25"/>
      <c r="BY1663" s="25"/>
      <c r="BZ1663" s="25"/>
      <c r="CA1663" s="25"/>
      <c r="CB1663" s="25"/>
      <c r="CC1663" s="25"/>
      <c r="CD1663" s="25"/>
      <c r="CE1663" s="200"/>
      <c r="CF1663" s="200"/>
      <c r="CG1663" s="200"/>
      <c r="CH1663" s="200"/>
      <c r="CI1663" s="200"/>
      <c r="CJ1663" s="200"/>
      <c r="CK1663" s="200"/>
      <c r="CL1663" s="200"/>
      <c r="CM1663" s="200"/>
      <c r="CN1663" s="200"/>
      <c r="CO1663" s="200"/>
      <c r="CP1663" s="200"/>
      <c r="CQ1663" s="200"/>
      <c r="CR1663" s="200"/>
      <c r="CS1663" s="200"/>
      <c r="CT1663" s="200"/>
      <c r="CU1663" s="200"/>
    </row>
    <row r="1664" spans="1:99" s="17" customFormat="1" x14ac:dyDescent="0.2">
      <c r="A1664" s="25"/>
      <c r="B1664" s="20">
        <v>39171950100</v>
      </c>
      <c r="C1664" s="20">
        <v>9501</v>
      </c>
      <c r="D1664" s="20" t="s">
        <v>91</v>
      </c>
      <c r="E1664" s="20" t="s">
        <v>265</v>
      </c>
      <c r="F1664" s="20" t="s">
        <v>8</v>
      </c>
      <c r="G1664" s="861">
        <v>48.305163507021597</v>
      </c>
      <c r="H1664" s="861">
        <v>49.495636553427197</v>
      </c>
      <c r="I1664" s="861">
        <v>23.124427901027101</v>
      </c>
      <c r="J1664" s="861">
        <v>36.928512353237998</v>
      </c>
      <c r="K1664" s="982">
        <v>0</v>
      </c>
      <c r="L1664" s="735">
        <v>4980</v>
      </c>
      <c r="M1664" s="735">
        <v>4397</v>
      </c>
      <c r="N1664" s="845">
        <f t="shared" si="138"/>
        <v>-0.11706827309236947</v>
      </c>
      <c r="O1664" s="735">
        <v>92.553705970488025</v>
      </c>
      <c r="P1664" s="735">
        <f t="shared" si="139"/>
        <v>47.507552008798456</v>
      </c>
      <c r="Q1664" s="849">
        <v>49</v>
      </c>
      <c r="R1664" s="71">
        <v>63317</v>
      </c>
      <c r="S1664" s="845">
        <v>0.13232908458864426</v>
      </c>
      <c r="T1664" s="845">
        <v>2.8999999999999998E-2</v>
      </c>
      <c r="U1664" s="845">
        <v>0</v>
      </c>
      <c r="V1664" s="845">
        <v>0</v>
      </c>
      <c r="W1664" s="845">
        <v>0.24508790072388831</v>
      </c>
      <c r="X1664" s="845">
        <v>0.27848101265822783</v>
      </c>
      <c r="Y1664" s="845">
        <v>0.96975210370707299</v>
      </c>
      <c r="Z1664" s="845">
        <v>5.4582670002274276E-3</v>
      </c>
      <c r="AA1664" s="845">
        <v>0</v>
      </c>
      <c r="AB1664" s="845">
        <v>2.5017057084375711E-3</v>
      </c>
      <c r="AC1664" s="845">
        <v>0</v>
      </c>
      <c r="AD1664" s="845">
        <v>6.1405503752558566E-3</v>
      </c>
      <c r="AE1664" s="845">
        <v>1.6147373209006142E-2</v>
      </c>
      <c r="AF1664" s="845">
        <v>3.547873550147828E-2</v>
      </c>
      <c r="AG1664" s="845">
        <v>0.95269501933136225</v>
      </c>
      <c r="AH1664" s="20" t="str">
        <f t="shared" si="140"/>
        <v>Yes</v>
      </c>
      <c r="AI1664" s="25"/>
      <c r="AJ1664" s="20">
        <v>45387</v>
      </c>
      <c r="AK1664" s="20" t="s">
        <v>1728</v>
      </c>
      <c r="AL1664" s="20">
        <v>39023</v>
      </c>
      <c r="AM1664" s="20" t="s">
        <v>18</v>
      </c>
      <c r="AN1664" s="37">
        <f t="shared" si="141"/>
        <v>44220</v>
      </c>
      <c r="AO1664" s="37" t="str">
        <f t="shared" si="142"/>
        <v>Springfield, OH</v>
      </c>
      <c r="AP1664" s="20" t="s">
        <v>8</v>
      </c>
      <c r="AQ1664" s="25"/>
      <c r="AR1664" s="25"/>
      <c r="AS1664" s="25"/>
      <c r="AT1664" s="25"/>
      <c r="AU1664" s="36"/>
      <c r="AV1664" s="36"/>
      <c r="AW1664" s="36"/>
      <c r="AX1664" s="25"/>
      <c r="AY1664" s="25"/>
      <c r="AZ1664" s="25"/>
      <c r="BA1664" s="25"/>
      <c r="BB1664" s="25"/>
      <c r="BC1664" s="25"/>
      <c r="BD1664" s="25"/>
      <c r="BE1664" s="25"/>
      <c r="BF1664" s="25"/>
      <c r="BG1664" s="25"/>
      <c r="BH1664" s="25"/>
      <c r="BI1664" s="25"/>
      <c r="BJ1664" s="25"/>
      <c r="BK1664" s="25"/>
      <c r="BL1664" s="25"/>
      <c r="BM1664" s="25"/>
      <c r="BN1664" s="25"/>
      <c r="BO1664" s="25"/>
      <c r="BP1664" s="25"/>
      <c r="BQ1664" s="25"/>
      <c r="BR1664" s="25"/>
      <c r="BS1664" s="25"/>
      <c r="BT1664" s="25"/>
      <c r="BU1664" s="25"/>
      <c r="BV1664" s="25"/>
      <c r="BW1664" s="25"/>
      <c r="BX1664" s="25"/>
      <c r="BY1664" s="25"/>
      <c r="BZ1664" s="25"/>
      <c r="CA1664" s="25"/>
      <c r="CB1664" s="25"/>
      <c r="CC1664" s="25"/>
      <c r="CD1664" s="25"/>
      <c r="CE1664" s="200"/>
      <c r="CF1664" s="200"/>
      <c r="CG1664" s="200"/>
      <c r="CH1664" s="200"/>
      <c r="CI1664" s="200"/>
      <c r="CJ1664" s="200"/>
      <c r="CK1664" s="200"/>
      <c r="CL1664" s="200"/>
      <c r="CM1664" s="200"/>
      <c r="CN1664" s="200"/>
      <c r="CO1664" s="200"/>
      <c r="CP1664" s="200"/>
      <c r="CQ1664" s="200"/>
      <c r="CR1664" s="200"/>
      <c r="CS1664" s="200"/>
      <c r="CT1664" s="200"/>
      <c r="CU1664" s="200"/>
    </row>
    <row r="1665" spans="1:99" s="17" customFormat="1" x14ac:dyDescent="0.2">
      <c r="A1665" s="25"/>
      <c r="B1665" s="20">
        <v>39035197400</v>
      </c>
      <c r="C1665" s="20">
        <v>1974</v>
      </c>
      <c r="D1665" s="20" t="s">
        <v>24</v>
      </c>
      <c r="E1665" s="20" t="s">
        <v>2829</v>
      </c>
      <c r="F1665" s="20" t="s">
        <v>6</v>
      </c>
      <c r="G1665" s="861">
        <v>48.2891914472455</v>
      </c>
      <c r="H1665" s="861">
        <v>60.710188640199199</v>
      </c>
      <c r="I1665" s="861">
        <v>67.565317200988403</v>
      </c>
      <c r="J1665" s="861">
        <v>30.3772181118369</v>
      </c>
      <c r="K1665" s="982">
        <v>0</v>
      </c>
      <c r="L1665" s="735" t="s">
        <v>2466</v>
      </c>
      <c r="M1665" s="735">
        <v>3725</v>
      </c>
      <c r="N1665" s="845" t="str">
        <f t="shared" si="138"/>
        <v/>
      </c>
      <c r="O1665" s="735">
        <v>0.55981106415195092</v>
      </c>
      <c r="P1665" s="735">
        <f t="shared" si="139"/>
        <v>6654.030687376543</v>
      </c>
      <c r="Q1665" s="849">
        <v>35.299999999999997</v>
      </c>
      <c r="R1665" s="71">
        <v>41667</v>
      </c>
      <c r="S1665" s="845">
        <v>0.22664872139973083</v>
      </c>
      <c r="T1665" s="845">
        <v>0.125</v>
      </c>
      <c r="U1665" s="845">
        <v>0</v>
      </c>
      <c r="V1665" s="845">
        <v>4.8000000000000001E-2</v>
      </c>
      <c r="W1665" s="845">
        <v>0.45538818076477405</v>
      </c>
      <c r="X1665" s="845">
        <v>0.4681933842239186</v>
      </c>
      <c r="Y1665" s="845">
        <v>0.57583892617449661</v>
      </c>
      <c r="Z1665" s="845">
        <v>0.15489932885906041</v>
      </c>
      <c r="AA1665" s="845">
        <v>9.3959731543624154E-3</v>
      </c>
      <c r="AB1665" s="845">
        <v>1.5570469798657718E-2</v>
      </c>
      <c r="AC1665" s="845">
        <v>0</v>
      </c>
      <c r="AD1665" s="845">
        <v>0.12026845637583893</v>
      </c>
      <c r="AE1665" s="845">
        <v>0.1240268456375839</v>
      </c>
      <c r="AF1665" s="845">
        <v>0.1906040268456376</v>
      </c>
      <c r="AG1665" s="845">
        <v>0.54979865771812075</v>
      </c>
      <c r="AH1665" s="20" t="str">
        <f t="shared" si="140"/>
        <v>No</v>
      </c>
      <c r="AI1665" s="25"/>
      <c r="AJ1665" s="20">
        <v>45501</v>
      </c>
      <c r="AK1665" s="20" t="s">
        <v>1762</v>
      </c>
      <c r="AL1665" s="20">
        <v>39023</v>
      </c>
      <c r="AM1665" s="20" t="s">
        <v>18</v>
      </c>
      <c r="AN1665" s="37">
        <f t="shared" si="141"/>
        <v>44220</v>
      </c>
      <c r="AO1665" s="37" t="str">
        <f t="shared" si="142"/>
        <v>Springfield, OH</v>
      </c>
      <c r="AP1665" s="20" t="s">
        <v>8</v>
      </c>
      <c r="AQ1665" s="25"/>
      <c r="AR1665" s="25"/>
      <c r="AS1665" s="25"/>
      <c r="AT1665" s="25"/>
      <c r="AU1665" s="36"/>
      <c r="AV1665" s="36"/>
      <c r="AW1665" s="36"/>
      <c r="AX1665" s="25"/>
      <c r="AY1665" s="25"/>
      <c r="AZ1665" s="25"/>
      <c r="BA1665" s="25"/>
      <c r="BB1665" s="25"/>
      <c r="BC1665" s="25"/>
      <c r="BD1665" s="25"/>
      <c r="BE1665" s="25"/>
      <c r="BF1665" s="25"/>
      <c r="BG1665" s="25"/>
      <c r="BH1665" s="25"/>
      <c r="BI1665" s="25"/>
      <c r="BJ1665" s="25"/>
      <c r="BK1665" s="25"/>
      <c r="BL1665" s="25"/>
      <c r="BM1665" s="25"/>
      <c r="BN1665" s="25"/>
      <c r="BO1665" s="25"/>
      <c r="BP1665" s="25"/>
      <c r="BQ1665" s="25"/>
      <c r="BR1665" s="25"/>
      <c r="BS1665" s="25"/>
      <c r="BT1665" s="25"/>
      <c r="BU1665" s="25"/>
      <c r="BV1665" s="25"/>
      <c r="BW1665" s="25"/>
      <c r="BX1665" s="25"/>
      <c r="BY1665" s="25"/>
      <c r="BZ1665" s="25"/>
      <c r="CA1665" s="25"/>
      <c r="CB1665" s="25"/>
      <c r="CC1665" s="25"/>
      <c r="CD1665" s="25"/>
      <c r="CE1665" s="200"/>
      <c r="CF1665" s="200"/>
      <c r="CG1665" s="200"/>
      <c r="CH1665" s="200"/>
      <c r="CI1665" s="200"/>
      <c r="CJ1665" s="200"/>
      <c r="CK1665" s="200"/>
      <c r="CL1665" s="200"/>
      <c r="CM1665" s="200"/>
      <c r="CN1665" s="200"/>
      <c r="CO1665" s="200"/>
      <c r="CP1665" s="200"/>
      <c r="CQ1665" s="200"/>
      <c r="CR1665" s="200"/>
      <c r="CS1665" s="200"/>
      <c r="CT1665" s="200"/>
      <c r="CU1665" s="200"/>
    </row>
    <row r="1666" spans="1:99" s="17" customFormat="1" x14ac:dyDescent="0.2">
      <c r="A1666" s="25"/>
      <c r="B1666" s="20">
        <v>39017013300</v>
      </c>
      <c r="C1666" s="20">
        <v>133</v>
      </c>
      <c r="D1666" s="20" t="s">
        <v>15</v>
      </c>
      <c r="E1666" s="20" t="s">
        <v>2828</v>
      </c>
      <c r="F1666" s="20" t="s">
        <v>8</v>
      </c>
      <c r="G1666" s="861">
        <v>48.284114037713003</v>
      </c>
      <c r="H1666" s="861">
        <v>60.769705304329598</v>
      </c>
      <c r="I1666" s="861">
        <v>24.905158475047202</v>
      </c>
      <c r="J1666" s="861">
        <v>39.467962786518001</v>
      </c>
      <c r="K1666" s="982">
        <v>0</v>
      </c>
      <c r="L1666" s="735">
        <v>2134</v>
      </c>
      <c r="M1666" s="735">
        <v>2394</v>
      </c>
      <c r="N1666" s="845">
        <f t="shared" si="138"/>
        <v>0.1218369259606373</v>
      </c>
      <c r="O1666" s="735">
        <v>0.72377166241122248</v>
      </c>
      <c r="P1666" s="735">
        <f t="shared" si="139"/>
        <v>3307.6730194498973</v>
      </c>
      <c r="Q1666" s="849">
        <v>46.5</v>
      </c>
      <c r="R1666" s="71">
        <v>69472</v>
      </c>
      <c r="S1666" s="845">
        <v>7.0175438596491224E-2</v>
      </c>
      <c r="T1666" s="845">
        <v>7.4999999999999997E-2</v>
      </c>
      <c r="U1666" s="845">
        <v>0</v>
      </c>
      <c r="V1666" s="845">
        <v>3.2000000000000001E-2</v>
      </c>
      <c r="W1666" s="845">
        <v>0.23833167825223436</v>
      </c>
      <c r="X1666" s="845">
        <v>0.29166666666666669</v>
      </c>
      <c r="Y1666" s="845">
        <v>0.89348370927318299</v>
      </c>
      <c r="Z1666" s="845">
        <v>1.1278195488721804E-2</v>
      </c>
      <c r="AA1666" s="845">
        <v>0</v>
      </c>
      <c r="AB1666" s="845">
        <v>0</v>
      </c>
      <c r="AC1666" s="845">
        <v>0</v>
      </c>
      <c r="AD1666" s="845">
        <v>4.0517961570593147E-2</v>
      </c>
      <c r="AE1666" s="845">
        <v>5.4720133667502086E-2</v>
      </c>
      <c r="AF1666" s="845">
        <v>7.685881370091896E-2</v>
      </c>
      <c r="AG1666" s="845">
        <v>0.88721804511278191</v>
      </c>
      <c r="AH1666" s="20" t="str">
        <f t="shared" si="140"/>
        <v>No</v>
      </c>
      <c r="AI1666" s="25"/>
      <c r="AJ1666" s="37">
        <v>45502</v>
      </c>
      <c r="AK1666" s="37" t="s">
        <v>1763</v>
      </c>
      <c r="AL1666" s="37">
        <v>39023</v>
      </c>
      <c r="AM1666" s="37" t="s">
        <v>18</v>
      </c>
      <c r="AN1666" s="37">
        <f t="shared" si="141"/>
        <v>44220</v>
      </c>
      <c r="AO1666" s="37" t="str">
        <f t="shared" si="142"/>
        <v>Springfield, OH</v>
      </c>
      <c r="AP1666" s="20" t="s">
        <v>8</v>
      </c>
      <c r="AQ1666" s="25"/>
      <c r="AR1666" s="25"/>
      <c r="AS1666" s="25"/>
      <c r="AT1666" s="25"/>
      <c r="AU1666" s="36"/>
      <c r="AV1666" s="36"/>
      <c r="AW1666" s="36"/>
      <c r="AX1666" s="25"/>
      <c r="AY1666" s="25"/>
      <c r="AZ1666" s="25"/>
      <c r="BA1666" s="25"/>
      <c r="BB1666" s="25"/>
      <c r="BC1666" s="25"/>
      <c r="BD1666" s="25"/>
      <c r="BE1666" s="25"/>
      <c r="BF1666" s="25"/>
      <c r="BG1666" s="25"/>
      <c r="BH1666" s="25"/>
      <c r="BI1666" s="25"/>
      <c r="BJ1666" s="25"/>
      <c r="BK1666" s="25"/>
      <c r="BL1666" s="25"/>
      <c r="BM1666" s="25"/>
      <c r="BN1666" s="25"/>
      <c r="BO1666" s="25"/>
      <c r="BP1666" s="25"/>
      <c r="BQ1666" s="25"/>
      <c r="BR1666" s="25"/>
      <c r="BS1666" s="25"/>
      <c r="BT1666" s="25"/>
      <c r="BU1666" s="25"/>
      <c r="BV1666" s="25"/>
      <c r="BW1666" s="25"/>
      <c r="BX1666" s="25"/>
      <c r="BY1666" s="25"/>
      <c r="BZ1666" s="25"/>
      <c r="CA1666" s="25"/>
      <c r="CB1666" s="25"/>
      <c r="CC1666" s="25"/>
      <c r="CD1666" s="25"/>
      <c r="CE1666" s="200"/>
      <c r="CF1666" s="200"/>
      <c r="CG1666" s="200"/>
      <c r="CH1666" s="200"/>
      <c r="CI1666" s="200"/>
      <c r="CJ1666" s="200"/>
      <c r="CK1666" s="200"/>
      <c r="CL1666" s="200"/>
      <c r="CM1666" s="200"/>
      <c r="CN1666" s="200"/>
      <c r="CO1666" s="200"/>
      <c r="CP1666" s="200"/>
      <c r="CQ1666" s="200"/>
      <c r="CR1666" s="200"/>
      <c r="CS1666" s="200"/>
      <c r="CT1666" s="200"/>
      <c r="CU1666" s="200"/>
    </row>
    <row r="1667" spans="1:99" s="17" customFormat="1" x14ac:dyDescent="0.2">
      <c r="A1667" s="25"/>
      <c r="B1667" s="20">
        <v>39035177503</v>
      </c>
      <c r="C1667" s="20">
        <v>1775.03</v>
      </c>
      <c r="D1667" s="20" t="s">
        <v>24</v>
      </c>
      <c r="E1667" s="20" t="s">
        <v>2829</v>
      </c>
      <c r="F1667" s="20" t="s">
        <v>8</v>
      </c>
      <c r="G1667" s="861">
        <v>48.265950032820598</v>
      </c>
      <c r="H1667" s="861">
        <v>58.009556308233797</v>
      </c>
      <c r="I1667" s="861">
        <v>22.534894589296801</v>
      </c>
      <c r="J1667" s="861">
        <v>37.785848734414103</v>
      </c>
      <c r="K1667" s="982">
        <v>0</v>
      </c>
      <c r="L1667" s="735">
        <v>3770</v>
      </c>
      <c r="M1667" s="735">
        <v>3350</v>
      </c>
      <c r="N1667" s="845">
        <f t="shared" si="138"/>
        <v>-0.11140583554376658</v>
      </c>
      <c r="O1667" s="735">
        <v>2.0722492814841531</v>
      </c>
      <c r="P1667" s="735">
        <f t="shared" si="139"/>
        <v>1616.6008741963306</v>
      </c>
      <c r="Q1667" s="849">
        <v>50.7</v>
      </c>
      <c r="R1667" s="71">
        <v>87756</v>
      </c>
      <c r="S1667" s="845">
        <v>6.5377532228360957E-2</v>
      </c>
      <c r="T1667" s="845">
        <v>4.2000000000000003E-2</v>
      </c>
      <c r="U1667" s="845">
        <v>0</v>
      </c>
      <c r="V1667" s="845">
        <v>0.155</v>
      </c>
      <c r="W1667" s="845">
        <v>0.1193502824858757</v>
      </c>
      <c r="X1667" s="845">
        <v>0.34319526627218933</v>
      </c>
      <c r="Y1667" s="845">
        <v>0.88865671641791044</v>
      </c>
      <c r="Z1667" s="845">
        <v>1.373134328358209E-2</v>
      </c>
      <c r="AA1667" s="845">
        <v>0</v>
      </c>
      <c r="AB1667" s="845">
        <v>3.9402985074626869E-2</v>
      </c>
      <c r="AC1667" s="845">
        <v>0</v>
      </c>
      <c r="AD1667" s="845">
        <v>8.3582089552238798E-3</v>
      </c>
      <c r="AE1667" s="845">
        <v>4.9850746268656716E-2</v>
      </c>
      <c r="AF1667" s="845">
        <v>5.8208955223880594E-2</v>
      </c>
      <c r="AG1667" s="845">
        <v>0.86865671641791042</v>
      </c>
      <c r="AH1667" s="20" t="str">
        <f t="shared" si="140"/>
        <v>No</v>
      </c>
      <c r="AI1667" s="25"/>
      <c r="AJ1667" s="20">
        <v>45503</v>
      </c>
      <c r="AK1667" s="20" t="s">
        <v>1764</v>
      </c>
      <c r="AL1667" s="20">
        <v>39023</v>
      </c>
      <c r="AM1667" s="20" t="s">
        <v>18</v>
      </c>
      <c r="AN1667" s="37">
        <f t="shared" si="141"/>
        <v>44220</v>
      </c>
      <c r="AO1667" s="37" t="str">
        <f t="shared" si="142"/>
        <v>Springfield, OH</v>
      </c>
      <c r="AP1667" s="20" t="s">
        <v>8</v>
      </c>
      <c r="AQ1667" s="25"/>
      <c r="AR1667" s="25"/>
      <c r="AS1667" s="25"/>
      <c r="AT1667" s="25"/>
      <c r="AU1667" s="36"/>
      <c r="AV1667" s="36"/>
      <c r="AW1667" s="36"/>
      <c r="AX1667" s="25"/>
      <c r="AY1667" s="25"/>
      <c r="AZ1667" s="25"/>
      <c r="BA1667" s="25"/>
      <c r="BB1667" s="25"/>
      <c r="BC1667" s="25"/>
      <c r="BD1667" s="25"/>
      <c r="BE1667" s="25"/>
      <c r="BF1667" s="25"/>
      <c r="BG1667" s="25"/>
      <c r="BH1667" s="25"/>
      <c r="BI1667" s="25"/>
      <c r="BJ1667" s="25"/>
      <c r="BK1667" s="25"/>
      <c r="BL1667" s="25"/>
      <c r="BM1667" s="25"/>
      <c r="BN1667" s="25"/>
      <c r="BO1667" s="25"/>
      <c r="BP1667" s="25"/>
      <c r="BQ1667" s="25"/>
      <c r="BR1667" s="25"/>
      <c r="BS1667" s="25"/>
      <c r="BT1667" s="25"/>
      <c r="BU1667" s="25"/>
      <c r="BV1667" s="25"/>
      <c r="BW1667" s="25"/>
      <c r="BX1667" s="25"/>
      <c r="BY1667" s="25"/>
      <c r="BZ1667" s="25"/>
      <c r="CA1667" s="25"/>
      <c r="CB1667" s="25"/>
      <c r="CC1667" s="25"/>
      <c r="CD1667" s="25"/>
      <c r="CE1667" s="200"/>
      <c r="CF1667" s="200"/>
      <c r="CG1667" s="200"/>
      <c r="CH1667" s="200"/>
      <c r="CI1667" s="200"/>
      <c r="CJ1667" s="200"/>
      <c r="CK1667" s="200"/>
      <c r="CL1667" s="200"/>
      <c r="CM1667" s="200"/>
      <c r="CN1667" s="200"/>
      <c r="CO1667" s="200"/>
      <c r="CP1667" s="200"/>
      <c r="CQ1667" s="200"/>
      <c r="CR1667" s="200"/>
      <c r="CS1667" s="200"/>
      <c r="CT1667" s="200"/>
      <c r="CU1667" s="200"/>
    </row>
    <row r="1668" spans="1:99" s="17" customFormat="1" x14ac:dyDescent="0.2">
      <c r="A1668" s="25"/>
      <c r="B1668" s="20">
        <v>39095005601</v>
      </c>
      <c r="C1668" s="20">
        <v>56.01</v>
      </c>
      <c r="D1668" s="20" t="s">
        <v>53</v>
      </c>
      <c r="E1668" s="20" t="s">
        <v>2839</v>
      </c>
      <c r="F1668" s="20" t="s">
        <v>8</v>
      </c>
      <c r="G1668" s="861">
        <v>48.222877445895399</v>
      </c>
      <c r="H1668" s="861">
        <v>58.293648543452598</v>
      </c>
      <c r="I1668" s="861">
        <v>27.9020804316199</v>
      </c>
      <c r="J1668" s="861">
        <v>58.603254766663099</v>
      </c>
      <c r="K1668" s="982">
        <v>0</v>
      </c>
      <c r="L1668" s="735" t="s">
        <v>2466</v>
      </c>
      <c r="M1668" s="735">
        <v>5100</v>
      </c>
      <c r="N1668" s="845" t="str">
        <f t="shared" si="138"/>
        <v/>
      </c>
      <c r="O1668" s="735">
        <v>1.1220962709361628</v>
      </c>
      <c r="P1668" s="735">
        <f t="shared" si="139"/>
        <v>4545.0645654005066</v>
      </c>
      <c r="Q1668" s="849">
        <v>36.9</v>
      </c>
      <c r="R1668" s="71">
        <v>87778</v>
      </c>
      <c r="S1668" s="845">
        <v>6.5739060294414203E-2</v>
      </c>
      <c r="T1668" s="845">
        <v>9.0000000000000011E-3</v>
      </c>
      <c r="U1668" s="845">
        <v>0</v>
      </c>
      <c r="V1668" s="845">
        <v>0</v>
      </c>
      <c r="W1668" s="845">
        <v>0.17266536964980544</v>
      </c>
      <c r="X1668" s="845">
        <v>0.323943661971831</v>
      </c>
      <c r="Y1668" s="845">
        <v>0.90274509803921565</v>
      </c>
      <c r="Z1668" s="845">
        <v>3.0980392156862744E-2</v>
      </c>
      <c r="AA1668" s="845">
        <v>0</v>
      </c>
      <c r="AB1668" s="845">
        <v>0</v>
      </c>
      <c r="AC1668" s="845">
        <v>0</v>
      </c>
      <c r="AD1668" s="845">
        <v>2.4117647058823528E-2</v>
      </c>
      <c r="AE1668" s="845">
        <v>4.2156862745098042E-2</v>
      </c>
      <c r="AF1668" s="845">
        <v>4.1372549019607845E-2</v>
      </c>
      <c r="AG1668" s="845">
        <v>0.89901960784313728</v>
      </c>
      <c r="AH1668" s="20" t="str">
        <f t="shared" si="140"/>
        <v>No</v>
      </c>
      <c r="AI1668" s="25"/>
      <c r="AJ1668" s="37">
        <v>45504</v>
      </c>
      <c r="AK1668" s="37" t="s">
        <v>1765</v>
      </c>
      <c r="AL1668" s="37">
        <v>39023</v>
      </c>
      <c r="AM1668" s="37" t="s">
        <v>18</v>
      </c>
      <c r="AN1668" s="37">
        <f t="shared" si="141"/>
        <v>44220</v>
      </c>
      <c r="AO1668" s="37" t="str">
        <f t="shared" si="142"/>
        <v>Springfield, OH</v>
      </c>
      <c r="AP1668" s="20" t="s">
        <v>8</v>
      </c>
      <c r="AQ1668" s="25"/>
      <c r="AR1668" s="25"/>
      <c r="AS1668" s="25"/>
      <c r="AT1668" s="25"/>
      <c r="AU1668" s="36"/>
      <c r="AV1668" s="36"/>
      <c r="AW1668" s="36"/>
      <c r="AX1668" s="25"/>
      <c r="AY1668" s="25"/>
      <c r="AZ1668" s="25"/>
      <c r="BA1668" s="25"/>
      <c r="BB1668" s="25"/>
      <c r="BC1668" s="25"/>
      <c r="BD1668" s="25"/>
      <c r="BE1668" s="25"/>
      <c r="BF1668" s="25"/>
      <c r="BG1668" s="25"/>
      <c r="BH1668" s="25"/>
      <c r="BI1668" s="25"/>
      <c r="BJ1668" s="25"/>
      <c r="BK1668" s="25"/>
      <c r="BL1668" s="25"/>
      <c r="BM1668" s="25"/>
      <c r="BN1668" s="25"/>
      <c r="BO1668" s="25"/>
      <c r="BP1668" s="25"/>
      <c r="BQ1668" s="25"/>
      <c r="BR1668" s="25"/>
      <c r="BS1668" s="25"/>
      <c r="BT1668" s="25"/>
      <c r="BU1668" s="25"/>
      <c r="BV1668" s="25"/>
      <c r="BW1668" s="25"/>
      <c r="BX1668" s="25"/>
      <c r="BY1668" s="25"/>
      <c r="BZ1668" s="25"/>
      <c r="CA1668" s="25"/>
      <c r="CB1668" s="25"/>
      <c r="CC1668" s="25"/>
      <c r="CD1668" s="25"/>
      <c r="CE1668" s="200"/>
      <c r="CF1668" s="200"/>
      <c r="CG1668" s="200"/>
      <c r="CH1668" s="200"/>
      <c r="CI1668" s="200"/>
      <c r="CJ1668" s="200"/>
      <c r="CK1668" s="200"/>
      <c r="CL1668" s="200"/>
      <c r="CM1668" s="200"/>
      <c r="CN1668" s="200"/>
      <c r="CO1668" s="200"/>
      <c r="CP1668" s="200"/>
      <c r="CQ1668" s="200"/>
      <c r="CR1668" s="200"/>
      <c r="CS1668" s="200"/>
      <c r="CT1668" s="200"/>
      <c r="CU1668" s="200"/>
    </row>
    <row r="1669" spans="1:99" s="17" customFormat="1" x14ac:dyDescent="0.2">
      <c r="A1669" s="25"/>
      <c r="B1669" s="20">
        <v>39147963800</v>
      </c>
      <c r="C1669" s="20">
        <v>9638</v>
      </c>
      <c r="D1669" s="20" t="s">
        <v>79</v>
      </c>
      <c r="E1669" s="20" t="s">
        <v>265</v>
      </c>
      <c r="F1669" s="20" t="s">
        <v>8</v>
      </c>
      <c r="G1669" s="861">
        <v>48.196664462204197</v>
      </c>
      <c r="H1669" s="861">
        <v>53.082141874324101</v>
      </c>
      <c r="I1669" s="861">
        <v>21.929605249947802</v>
      </c>
      <c r="J1669" s="861">
        <v>45.910559642107799</v>
      </c>
      <c r="K1669" s="982">
        <v>0</v>
      </c>
      <c r="L1669" s="735">
        <v>3828</v>
      </c>
      <c r="M1669" s="735">
        <v>3768</v>
      </c>
      <c r="N1669" s="845">
        <f t="shared" si="138"/>
        <v>-1.5673981191222569E-2</v>
      </c>
      <c r="O1669" s="735">
        <v>88.286481747593825</v>
      </c>
      <c r="P1669" s="735">
        <f t="shared" si="139"/>
        <v>42.679240642667175</v>
      </c>
      <c r="Q1669" s="849">
        <v>45.7</v>
      </c>
      <c r="R1669" s="71">
        <v>81518</v>
      </c>
      <c r="S1669" s="845">
        <v>9.7502014504431911E-2</v>
      </c>
      <c r="T1669" s="845">
        <v>2.5000000000000001E-2</v>
      </c>
      <c r="U1669" s="845">
        <v>0</v>
      </c>
      <c r="V1669" s="845">
        <v>2.4E-2</v>
      </c>
      <c r="W1669" s="845">
        <v>0.15853658536585366</v>
      </c>
      <c r="X1669" s="845">
        <v>0.2793522267206478</v>
      </c>
      <c r="Y1669" s="845">
        <v>0.94930997876857748</v>
      </c>
      <c r="Z1669" s="845">
        <v>2.9193205944798299E-3</v>
      </c>
      <c r="AA1669" s="845">
        <v>0</v>
      </c>
      <c r="AB1669" s="845">
        <v>2.9193205944798299E-3</v>
      </c>
      <c r="AC1669" s="845">
        <v>0</v>
      </c>
      <c r="AD1669" s="845">
        <v>4.7770700636942673E-3</v>
      </c>
      <c r="AE1669" s="845">
        <v>4.0074309978768576E-2</v>
      </c>
      <c r="AF1669" s="845">
        <v>8.4925690021231421E-3</v>
      </c>
      <c r="AG1669" s="845">
        <v>0.94453290870488327</v>
      </c>
      <c r="AH1669" s="20" t="str">
        <f t="shared" si="140"/>
        <v>Yes</v>
      </c>
      <c r="AI1669" s="25"/>
      <c r="AJ1669" s="20">
        <v>45505</v>
      </c>
      <c r="AK1669" s="20" t="s">
        <v>1766</v>
      </c>
      <c r="AL1669" s="20">
        <v>39023</v>
      </c>
      <c r="AM1669" s="20" t="s">
        <v>18</v>
      </c>
      <c r="AN1669" s="37">
        <f t="shared" si="141"/>
        <v>44220</v>
      </c>
      <c r="AO1669" s="37" t="str">
        <f t="shared" si="142"/>
        <v>Springfield, OH</v>
      </c>
      <c r="AP1669" s="20" t="s">
        <v>8</v>
      </c>
      <c r="AQ1669" s="25"/>
      <c r="AR1669" s="25"/>
      <c r="AS1669" s="25"/>
      <c r="AT1669" s="25"/>
      <c r="AU1669" s="36"/>
      <c r="AV1669" s="36"/>
      <c r="AW1669" s="36"/>
      <c r="AX1669" s="25"/>
      <c r="AY1669" s="25"/>
      <c r="AZ1669" s="25"/>
      <c r="BA1669" s="25"/>
      <c r="BB1669" s="25"/>
      <c r="BC1669" s="25"/>
      <c r="BD1669" s="25"/>
      <c r="BE1669" s="25"/>
      <c r="BF1669" s="25"/>
      <c r="BG1669" s="25"/>
      <c r="BH1669" s="25"/>
      <c r="BI1669" s="25"/>
      <c r="BJ1669" s="25"/>
      <c r="BK1669" s="25"/>
      <c r="BL1669" s="25"/>
      <c r="BM1669" s="25"/>
      <c r="BN1669" s="25"/>
      <c r="BO1669" s="25"/>
      <c r="BP1669" s="25"/>
      <c r="BQ1669" s="25"/>
      <c r="BR1669" s="25"/>
      <c r="BS1669" s="25"/>
      <c r="BT1669" s="25"/>
      <c r="BU1669" s="25"/>
      <c r="BV1669" s="25"/>
      <c r="BW1669" s="25"/>
      <c r="BX1669" s="25"/>
      <c r="BY1669" s="25"/>
      <c r="BZ1669" s="25"/>
      <c r="CA1669" s="25"/>
      <c r="CB1669" s="25"/>
      <c r="CC1669" s="25"/>
      <c r="CD1669" s="25"/>
      <c r="CE1669" s="200"/>
      <c r="CF1669" s="200"/>
      <c r="CG1669" s="200"/>
      <c r="CH1669" s="200"/>
      <c r="CI1669" s="200"/>
      <c r="CJ1669" s="200"/>
      <c r="CK1669" s="200"/>
      <c r="CL1669" s="200"/>
      <c r="CM1669" s="200"/>
      <c r="CN1669" s="200"/>
      <c r="CO1669" s="200"/>
      <c r="CP1669" s="200"/>
      <c r="CQ1669" s="200"/>
      <c r="CR1669" s="200"/>
      <c r="CS1669" s="200"/>
      <c r="CT1669" s="200"/>
      <c r="CU1669" s="200"/>
    </row>
    <row r="1670" spans="1:99" s="17" customFormat="1" x14ac:dyDescent="0.2">
      <c r="A1670" s="25"/>
      <c r="B1670" s="20">
        <v>39057280101</v>
      </c>
      <c r="C1670" s="20">
        <v>2801.01</v>
      </c>
      <c r="D1670" s="20" t="s">
        <v>35</v>
      </c>
      <c r="E1670" s="20" t="s">
        <v>2833</v>
      </c>
      <c r="F1670" s="20" t="s">
        <v>8</v>
      </c>
      <c r="G1670" s="861">
        <v>48.177400940223599</v>
      </c>
      <c r="H1670" s="861">
        <v>45.931414717035899</v>
      </c>
      <c r="I1670" s="861">
        <v>20.458662800947401</v>
      </c>
      <c r="J1670" s="861">
        <v>49.744448816684901</v>
      </c>
      <c r="K1670" s="982">
        <v>0</v>
      </c>
      <c r="L1670" s="735">
        <v>2592</v>
      </c>
      <c r="M1670" s="735">
        <v>2639</v>
      </c>
      <c r="N1670" s="845">
        <f t="shared" si="138"/>
        <v>1.8132716049382717E-2</v>
      </c>
      <c r="O1670" s="735">
        <v>21.416796774406816</v>
      </c>
      <c r="P1670" s="735">
        <f t="shared" si="139"/>
        <v>123.22104130686895</v>
      </c>
      <c r="Q1670" s="849">
        <v>42.9</v>
      </c>
      <c r="R1670" s="71">
        <v>92438</v>
      </c>
      <c r="S1670" s="845">
        <v>4.0924592648730579E-2</v>
      </c>
      <c r="T1670" s="845">
        <v>0.107</v>
      </c>
      <c r="U1670" s="845">
        <v>0</v>
      </c>
      <c r="V1670" s="845">
        <v>0</v>
      </c>
      <c r="W1670" s="845">
        <v>6.9813176007866268E-2</v>
      </c>
      <c r="X1670" s="845">
        <v>0.12676056338028169</v>
      </c>
      <c r="Y1670" s="845">
        <v>0.97953770367563475</v>
      </c>
      <c r="Z1670" s="845">
        <v>2.6525198938992041E-3</v>
      </c>
      <c r="AA1670" s="845">
        <v>1.8946570670708603E-3</v>
      </c>
      <c r="AB1670" s="845">
        <v>0</v>
      </c>
      <c r="AC1670" s="845">
        <v>0</v>
      </c>
      <c r="AD1670" s="845">
        <v>0</v>
      </c>
      <c r="AE1670" s="845">
        <v>1.5915119363395226E-2</v>
      </c>
      <c r="AF1670" s="845">
        <v>1.098901098901099E-2</v>
      </c>
      <c r="AG1670" s="845">
        <v>0.96854869268662369</v>
      </c>
      <c r="AH1670" s="20" t="str">
        <f t="shared" si="140"/>
        <v>Yes</v>
      </c>
      <c r="AI1670" s="25"/>
      <c r="AJ1670" s="37">
        <v>45506</v>
      </c>
      <c r="AK1670" s="37" t="s">
        <v>1767</v>
      </c>
      <c r="AL1670" s="37">
        <v>39023</v>
      </c>
      <c r="AM1670" s="37" t="s">
        <v>18</v>
      </c>
      <c r="AN1670" s="37">
        <f t="shared" si="141"/>
        <v>44220</v>
      </c>
      <c r="AO1670" s="37" t="str">
        <f t="shared" si="142"/>
        <v>Springfield, OH</v>
      </c>
      <c r="AP1670" s="20" t="s">
        <v>8</v>
      </c>
      <c r="AQ1670" s="25"/>
      <c r="AR1670" s="25"/>
      <c r="AS1670" s="25"/>
      <c r="AT1670" s="25"/>
      <c r="AU1670" s="36"/>
      <c r="AV1670" s="36"/>
      <c r="AW1670" s="36"/>
      <c r="AX1670" s="25"/>
      <c r="AY1670" s="25"/>
      <c r="AZ1670" s="25"/>
      <c r="BA1670" s="25"/>
      <c r="BB1670" s="25"/>
      <c r="BC1670" s="25"/>
      <c r="BD1670" s="25"/>
      <c r="BE1670" s="25"/>
      <c r="BF1670" s="25"/>
      <c r="BG1670" s="25"/>
      <c r="BH1670" s="25"/>
      <c r="BI1670" s="25"/>
      <c r="BJ1670" s="25"/>
      <c r="BK1670" s="25"/>
      <c r="BL1670" s="25"/>
      <c r="BM1670" s="25"/>
      <c r="BN1670" s="25"/>
      <c r="BO1670" s="25"/>
      <c r="BP1670" s="25"/>
      <c r="BQ1670" s="25"/>
      <c r="BR1670" s="25"/>
      <c r="BS1670" s="25"/>
      <c r="BT1670" s="25"/>
      <c r="BU1670" s="25"/>
      <c r="BV1670" s="25"/>
      <c r="BW1670" s="25"/>
      <c r="BX1670" s="25"/>
      <c r="BY1670" s="25"/>
      <c r="BZ1670" s="25"/>
      <c r="CA1670" s="25"/>
      <c r="CB1670" s="25"/>
      <c r="CC1670" s="25"/>
      <c r="CD1670" s="25"/>
      <c r="CE1670" s="200"/>
      <c r="CF1670" s="200"/>
      <c r="CG1670" s="200"/>
      <c r="CH1670" s="200"/>
      <c r="CI1670" s="200"/>
      <c r="CJ1670" s="200"/>
      <c r="CK1670" s="200"/>
      <c r="CL1670" s="200"/>
      <c r="CM1670" s="200"/>
      <c r="CN1670" s="200"/>
      <c r="CO1670" s="200"/>
      <c r="CP1670" s="200"/>
      <c r="CQ1670" s="200"/>
      <c r="CR1670" s="200"/>
      <c r="CS1670" s="200"/>
      <c r="CT1670" s="200"/>
      <c r="CU1670" s="200"/>
    </row>
    <row r="1671" spans="1:99" s="17" customFormat="1" x14ac:dyDescent="0.2">
      <c r="A1671" s="25"/>
      <c r="B1671" s="20">
        <v>39153531602</v>
      </c>
      <c r="C1671" s="20">
        <v>5316.02</v>
      </c>
      <c r="D1671" s="20" t="s">
        <v>82</v>
      </c>
      <c r="E1671" s="20" t="s">
        <v>2843</v>
      </c>
      <c r="F1671" s="20" t="s">
        <v>8</v>
      </c>
      <c r="G1671" s="861">
        <v>48.139435074241703</v>
      </c>
      <c r="H1671" s="861">
        <v>50.436477461956699</v>
      </c>
      <c r="I1671" s="861">
        <v>31.649348844360102</v>
      </c>
      <c r="J1671" s="861">
        <v>41.286287319405901</v>
      </c>
      <c r="K1671" s="982">
        <v>0</v>
      </c>
      <c r="L1671" s="735">
        <v>2977</v>
      </c>
      <c r="M1671" s="735">
        <v>3154</v>
      </c>
      <c r="N1671" s="845">
        <f t="shared" si="138"/>
        <v>5.9455828014779978E-2</v>
      </c>
      <c r="O1671" s="735">
        <v>4.3379338139123735</v>
      </c>
      <c r="P1671" s="735">
        <f t="shared" si="139"/>
        <v>727.07425592448442</v>
      </c>
      <c r="Q1671" s="849">
        <v>40.5</v>
      </c>
      <c r="R1671" s="71">
        <v>91350</v>
      </c>
      <c r="S1671" s="845">
        <v>3.4242232086239693E-2</v>
      </c>
      <c r="T1671" s="845">
        <v>1.4999999999999999E-2</v>
      </c>
      <c r="U1671" s="845">
        <v>0</v>
      </c>
      <c r="V1671" s="845">
        <v>0</v>
      </c>
      <c r="W1671" s="845">
        <v>9.7520661157024791E-2</v>
      </c>
      <c r="X1671" s="845">
        <v>0.1440677966101695</v>
      </c>
      <c r="Y1671" s="845">
        <v>0.9594166138237159</v>
      </c>
      <c r="Z1671" s="845">
        <v>7.6093849080532657E-3</v>
      </c>
      <c r="AA1671" s="845">
        <v>0</v>
      </c>
      <c r="AB1671" s="845">
        <v>0</v>
      </c>
      <c r="AC1671" s="845">
        <v>0</v>
      </c>
      <c r="AD1671" s="845">
        <v>1.0145846544071021E-2</v>
      </c>
      <c r="AE1671" s="845">
        <v>2.2828154724159798E-2</v>
      </c>
      <c r="AF1671" s="845">
        <v>2.2194039315155359E-2</v>
      </c>
      <c r="AG1671" s="845">
        <v>0.9375396322130628</v>
      </c>
      <c r="AH1671" s="20" t="str">
        <f t="shared" si="140"/>
        <v>Yes</v>
      </c>
      <c r="AI1671" s="25"/>
      <c r="AJ1671" s="20">
        <v>43502</v>
      </c>
      <c r="AK1671" s="20" t="s">
        <v>950</v>
      </c>
      <c r="AL1671" s="20">
        <v>39051</v>
      </c>
      <c r="AM1671" s="20" t="s">
        <v>32</v>
      </c>
      <c r="AN1671" s="37">
        <f t="shared" si="141"/>
        <v>45780</v>
      </c>
      <c r="AO1671" s="37" t="str">
        <f t="shared" si="142"/>
        <v>Toledo, OH</v>
      </c>
      <c r="AP1671" s="20" t="s">
        <v>8</v>
      </c>
      <c r="AQ1671" s="25"/>
      <c r="AR1671" s="25"/>
      <c r="AS1671" s="25"/>
      <c r="AT1671" s="25"/>
      <c r="AU1671" s="36"/>
      <c r="AV1671" s="36"/>
      <c r="AW1671" s="36"/>
      <c r="AX1671" s="25"/>
      <c r="AY1671" s="25"/>
      <c r="AZ1671" s="25"/>
      <c r="BA1671" s="25"/>
      <c r="BB1671" s="25"/>
      <c r="BC1671" s="25"/>
      <c r="BD1671" s="25"/>
      <c r="BE1671" s="25"/>
      <c r="BF1671" s="25"/>
      <c r="BG1671" s="25"/>
      <c r="BH1671" s="25"/>
      <c r="BI1671" s="25"/>
      <c r="BJ1671" s="25"/>
      <c r="BK1671" s="25"/>
      <c r="BL1671" s="25"/>
      <c r="BM1671" s="25"/>
      <c r="BN1671" s="25"/>
      <c r="BO1671" s="25"/>
      <c r="BP1671" s="25"/>
      <c r="BQ1671" s="25"/>
      <c r="BR1671" s="25"/>
      <c r="BS1671" s="25"/>
      <c r="BT1671" s="25"/>
      <c r="BU1671" s="25"/>
      <c r="BV1671" s="25"/>
      <c r="BW1671" s="25"/>
      <c r="BX1671" s="25"/>
      <c r="BY1671" s="25"/>
      <c r="BZ1671" s="25"/>
      <c r="CA1671" s="25"/>
      <c r="CB1671" s="25"/>
      <c r="CC1671" s="25"/>
      <c r="CD1671" s="25"/>
      <c r="CE1671" s="200"/>
      <c r="CF1671" s="200"/>
      <c r="CG1671" s="200"/>
      <c r="CH1671" s="200"/>
      <c r="CI1671" s="200"/>
      <c r="CJ1671" s="200"/>
      <c r="CK1671" s="200"/>
      <c r="CL1671" s="200"/>
      <c r="CM1671" s="200"/>
      <c r="CN1671" s="200"/>
      <c r="CO1671" s="200"/>
      <c r="CP1671" s="200"/>
      <c r="CQ1671" s="200"/>
      <c r="CR1671" s="200"/>
      <c r="CS1671" s="200"/>
      <c r="CT1671" s="200"/>
      <c r="CU1671" s="200"/>
    </row>
    <row r="1672" spans="1:99" s="17" customFormat="1" x14ac:dyDescent="0.2">
      <c r="A1672" s="25"/>
      <c r="B1672" s="20">
        <v>39007000704</v>
      </c>
      <c r="C1672" s="20">
        <v>7.04</v>
      </c>
      <c r="D1672" s="20" t="s">
        <v>10</v>
      </c>
      <c r="E1672" s="20" t="s">
        <v>2829</v>
      </c>
      <c r="F1672" s="20" t="s">
        <v>8</v>
      </c>
      <c r="G1672" s="861">
        <v>48.134942352798198</v>
      </c>
      <c r="H1672" s="861">
        <v>59.4723205781263</v>
      </c>
      <c r="I1672" s="861">
        <v>44.7093878928763</v>
      </c>
      <c r="J1672" s="861">
        <v>44.518771411874297</v>
      </c>
      <c r="K1672" s="982">
        <v>0</v>
      </c>
      <c r="L1672" s="735">
        <v>4323</v>
      </c>
      <c r="M1672" s="735">
        <v>4088</v>
      </c>
      <c r="N1672" s="845">
        <f t="shared" si="138"/>
        <v>-5.4360397871848251E-2</v>
      </c>
      <c r="O1672" s="735">
        <v>9.4925763964221446</v>
      </c>
      <c r="P1672" s="735">
        <f t="shared" si="139"/>
        <v>430.65231495432704</v>
      </c>
      <c r="Q1672" s="849">
        <v>42.5</v>
      </c>
      <c r="R1672" s="71">
        <v>45181</v>
      </c>
      <c r="S1672" s="845">
        <v>0.24321657622101628</v>
      </c>
      <c r="T1672" s="845">
        <v>0.16</v>
      </c>
      <c r="U1672" s="845">
        <v>3.7000000000000005E-2</v>
      </c>
      <c r="V1672" s="845">
        <v>0</v>
      </c>
      <c r="W1672" s="845">
        <v>0.3970336565887051</v>
      </c>
      <c r="X1672" s="845">
        <v>0.41091954022988508</v>
      </c>
      <c r="Y1672" s="845">
        <v>0.88356164383561642</v>
      </c>
      <c r="Z1672" s="845">
        <v>4.3297455968688843E-2</v>
      </c>
      <c r="AA1672" s="845">
        <v>7.3385518590998039E-4</v>
      </c>
      <c r="AB1672" s="845">
        <v>3.9138943248532287E-3</v>
      </c>
      <c r="AC1672" s="845">
        <v>0</v>
      </c>
      <c r="AD1672" s="845">
        <v>4.0362035225048921E-2</v>
      </c>
      <c r="AE1672" s="845">
        <v>2.8131115459882582E-2</v>
      </c>
      <c r="AF1672" s="845">
        <v>0.11937377690802348</v>
      </c>
      <c r="AG1672" s="845">
        <v>0.81139921722113506</v>
      </c>
      <c r="AH1672" s="20" t="str">
        <f t="shared" si="140"/>
        <v>No</v>
      </c>
      <c r="AI1672" s="25"/>
      <c r="AJ1672" s="20">
        <v>43504</v>
      </c>
      <c r="AK1672" s="20" t="s">
        <v>951</v>
      </c>
      <c r="AL1672" s="20">
        <v>39051</v>
      </c>
      <c r="AM1672" s="20" t="s">
        <v>32</v>
      </c>
      <c r="AN1672" s="37">
        <f t="shared" si="141"/>
        <v>45780</v>
      </c>
      <c r="AO1672" s="37" t="str">
        <f t="shared" si="142"/>
        <v>Toledo, OH</v>
      </c>
      <c r="AP1672" s="20" t="s">
        <v>8</v>
      </c>
      <c r="AQ1672" s="25"/>
      <c r="AR1672" s="25"/>
      <c r="AS1672" s="25"/>
      <c r="AT1672" s="25"/>
      <c r="AU1672" s="36"/>
      <c r="AV1672" s="36"/>
      <c r="AW1672" s="36"/>
      <c r="AX1672" s="25"/>
      <c r="AY1672" s="25"/>
      <c r="AZ1672" s="25"/>
      <c r="BA1672" s="25"/>
      <c r="BB1672" s="25"/>
      <c r="BC1672" s="25"/>
      <c r="BD1672" s="25"/>
      <c r="BE1672" s="25"/>
      <c r="BF1672" s="25"/>
      <c r="BG1672" s="25"/>
      <c r="BH1672" s="25"/>
      <c r="BI1672" s="25"/>
      <c r="BJ1672" s="25"/>
      <c r="BK1672" s="25"/>
      <c r="BL1672" s="25"/>
      <c r="BM1672" s="25"/>
      <c r="BN1672" s="25"/>
      <c r="BO1672" s="25"/>
      <c r="BP1672" s="25"/>
      <c r="BQ1672" s="25"/>
      <c r="BR1672" s="25"/>
      <c r="BS1672" s="25"/>
      <c r="BT1672" s="25"/>
      <c r="CD1672" s="25"/>
      <c r="CE1672" s="200"/>
      <c r="CF1672" s="200"/>
      <c r="CG1672" s="200"/>
      <c r="CH1672" s="200"/>
      <c r="CI1672" s="200"/>
      <c r="CJ1672" s="200"/>
      <c r="CK1672" s="200"/>
      <c r="CL1672" s="200"/>
      <c r="CM1672" s="200"/>
      <c r="CN1672" s="200"/>
      <c r="CO1672" s="200"/>
      <c r="CP1672" s="200"/>
      <c r="CQ1672" s="200"/>
      <c r="CR1672" s="200"/>
      <c r="CS1672" s="200"/>
      <c r="CT1672" s="200"/>
      <c r="CU1672" s="200"/>
    </row>
    <row r="1673" spans="1:99" s="17" customFormat="1" x14ac:dyDescent="0.2">
      <c r="A1673" s="25"/>
      <c r="B1673" s="20">
        <v>39061006100</v>
      </c>
      <c r="C1673" s="20">
        <v>61</v>
      </c>
      <c r="D1673" s="20" t="s">
        <v>37</v>
      </c>
      <c r="E1673" s="20" t="s">
        <v>2828</v>
      </c>
      <c r="F1673" s="20" t="s">
        <v>6</v>
      </c>
      <c r="G1673" s="861">
        <v>48.132883712591102</v>
      </c>
      <c r="H1673" s="861">
        <v>65.368278864979004</v>
      </c>
      <c r="I1673" s="861">
        <v>54.317641382268803</v>
      </c>
      <c r="J1673" s="861">
        <v>40.509119368193197</v>
      </c>
      <c r="K1673" s="982">
        <v>1</v>
      </c>
      <c r="L1673" s="735">
        <v>2774</v>
      </c>
      <c r="M1673" s="735">
        <v>2962</v>
      </c>
      <c r="N1673" s="845">
        <f t="shared" si="138"/>
        <v>6.7772170151405908E-2</v>
      </c>
      <c r="O1673" s="735">
        <v>1.2666162394081415</v>
      </c>
      <c r="P1673" s="735">
        <f t="shared" si="139"/>
        <v>2338.5141512034215</v>
      </c>
      <c r="Q1673" s="849">
        <v>39.4</v>
      </c>
      <c r="R1673" s="71">
        <v>50331</v>
      </c>
      <c r="S1673" s="845">
        <v>6.7521944632005407E-2</v>
      </c>
      <c r="T1673" s="845">
        <v>4.7E-2</v>
      </c>
      <c r="U1673" s="845">
        <v>0</v>
      </c>
      <c r="V1673" s="845">
        <v>9.0999999999999998E-2</v>
      </c>
      <c r="W1673" s="845">
        <v>0.45703839122486289</v>
      </c>
      <c r="X1673" s="845">
        <v>0.48599999999999999</v>
      </c>
      <c r="Y1673" s="845">
        <v>0.41829844699527347</v>
      </c>
      <c r="Z1673" s="845">
        <v>0.24341661039837947</v>
      </c>
      <c r="AA1673" s="845">
        <v>0</v>
      </c>
      <c r="AB1673" s="845">
        <v>0</v>
      </c>
      <c r="AC1673" s="845">
        <v>0</v>
      </c>
      <c r="AD1673" s="845">
        <v>0.17724510465901419</v>
      </c>
      <c r="AE1673" s="845">
        <v>0.16103983794733287</v>
      </c>
      <c r="AF1673" s="845">
        <v>0.28764348413234303</v>
      </c>
      <c r="AG1673" s="845">
        <v>0.32207967589466574</v>
      </c>
      <c r="AH1673" s="20" t="str">
        <f t="shared" si="140"/>
        <v>No</v>
      </c>
      <c r="AI1673" s="25"/>
      <c r="AJ1673" s="20">
        <v>43515</v>
      </c>
      <c r="AK1673" s="20" t="s">
        <v>957</v>
      </c>
      <c r="AL1673" s="20">
        <v>39051</v>
      </c>
      <c r="AM1673" s="20" t="s">
        <v>32</v>
      </c>
      <c r="AN1673" s="37">
        <f t="shared" si="141"/>
        <v>45780</v>
      </c>
      <c r="AO1673" s="37" t="str">
        <f t="shared" si="142"/>
        <v>Toledo, OH</v>
      </c>
      <c r="AP1673" s="20" t="s">
        <v>8</v>
      </c>
      <c r="AQ1673" s="25"/>
      <c r="AR1673" s="25"/>
      <c r="AS1673" s="25"/>
      <c r="AT1673" s="25"/>
      <c r="AU1673" s="36"/>
      <c r="AV1673" s="36"/>
      <c r="AW1673" s="36"/>
      <c r="AX1673" s="25"/>
      <c r="AY1673" s="25"/>
      <c r="AZ1673" s="25"/>
      <c r="BA1673" s="25"/>
      <c r="BB1673" s="25"/>
      <c r="BC1673" s="25"/>
      <c r="BD1673" s="25"/>
      <c r="BE1673" s="25"/>
      <c r="BF1673" s="25"/>
      <c r="BG1673" s="25"/>
      <c r="BH1673" s="25"/>
      <c r="BI1673" s="25"/>
      <c r="BJ1673" s="25"/>
      <c r="BK1673" s="25"/>
      <c r="BL1673" s="25"/>
      <c r="BM1673" s="25"/>
      <c r="BN1673" s="25"/>
      <c r="BO1673" s="25"/>
      <c r="BP1673" s="25"/>
      <c r="BQ1673" s="25"/>
      <c r="BR1673" s="25"/>
      <c r="BS1673" s="25"/>
      <c r="BT1673" s="25"/>
      <c r="CD1673" s="25"/>
      <c r="CE1673" s="200"/>
      <c r="CF1673" s="200"/>
      <c r="CG1673" s="200"/>
      <c r="CH1673" s="200"/>
      <c r="CI1673" s="200"/>
      <c r="CJ1673" s="200"/>
      <c r="CK1673" s="200"/>
      <c r="CL1673" s="200"/>
      <c r="CM1673" s="200"/>
      <c r="CN1673" s="200"/>
      <c r="CO1673" s="200"/>
      <c r="CP1673" s="200"/>
      <c r="CQ1673" s="200"/>
      <c r="CR1673" s="200"/>
      <c r="CS1673" s="200"/>
      <c r="CT1673" s="200"/>
      <c r="CU1673" s="200"/>
    </row>
    <row r="1674" spans="1:99" s="17" customFormat="1" x14ac:dyDescent="0.2">
      <c r="A1674" s="25"/>
      <c r="B1674" s="20">
        <v>39065000300</v>
      </c>
      <c r="C1674" s="20">
        <v>3</v>
      </c>
      <c r="D1674" s="20" t="s">
        <v>39</v>
      </c>
      <c r="E1674" s="20" t="s">
        <v>265</v>
      </c>
      <c r="F1674" s="20" t="s">
        <v>8</v>
      </c>
      <c r="G1674" s="861">
        <v>48.120383669204998</v>
      </c>
      <c r="H1674" s="861">
        <v>47.472031132789098</v>
      </c>
      <c r="I1674" s="861">
        <v>24.5957997913257</v>
      </c>
      <c r="J1674" s="861">
        <v>48.043923048020197</v>
      </c>
      <c r="K1674" s="982">
        <v>0</v>
      </c>
      <c r="L1674" s="735">
        <v>3902</v>
      </c>
      <c r="M1674" s="735">
        <v>3621</v>
      </c>
      <c r="N1674" s="845">
        <f t="shared" si="138"/>
        <v>-7.2014351614556632E-2</v>
      </c>
      <c r="O1674" s="735">
        <v>105.40137576152812</v>
      </c>
      <c r="P1674" s="735">
        <f t="shared" si="139"/>
        <v>34.354390289862593</v>
      </c>
      <c r="Q1674" s="849">
        <v>42.4</v>
      </c>
      <c r="R1674" s="71">
        <v>68833</v>
      </c>
      <c r="S1674" s="845">
        <v>9.9143882905274788E-2</v>
      </c>
      <c r="T1674" s="845">
        <v>0.03</v>
      </c>
      <c r="U1674" s="845">
        <v>0</v>
      </c>
      <c r="V1674" s="845">
        <v>0</v>
      </c>
      <c r="W1674" s="845">
        <v>0.16488651535380508</v>
      </c>
      <c r="X1674" s="845">
        <v>0.14979757085020243</v>
      </c>
      <c r="Y1674" s="845">
        <v>0.9859154929577465</v>
      </c>
      <c r="Z1674" s="845">
        <v>1.9331676332504833E-3</v>
      </c>
      <c r="AA1674" s="845">
        <v>0</v>
      </c>
      <c r="AB1674" s="845">
        <v>0</v>
      </c>
      <c r="AC1674" s="845">
        <v>0</v>
      </c>
      <c r="AD1674" s="845">
        <v>3.0378348522507597E-3</v>
      </c>
      <c r="AE1674" s="845">
        <v>9.1135045567522777E-3</v>
      </c>
      <c r="AF1674" s="845">
        <v>6.6280033140016566E-3</v>
      </c>
      <c r="AG1674" s="845">
        <v>0.98204915769124557</v>
      </c>
      <c r="AH1674" s="20" t="str">
        <f t="shared" si="140"/>
        <v>Yes</v>
      </c>
      <c r="AI1674" s="25"/>
      <c r="AJ1674" s="20">
        <v>43521</v>
      </c>
      <c r="AK1674" s="20" t="s">
        <v>963</v>
      </c>
      <c r="AL1674" s="20">
        <v>39051</v>
      </c>
      <c r="AM1674" s="20" t="s">
        <v>32</v>
      </c>
      <c r="AN1674" s="37">
        <f t="shared" si="141"/>
        <v>45780</v>
      </c>
      <c r="AO1674" s="37" t="str">
        <f t="shared" si="142"/>
        <v>Toledo, OH</v>
      </c>
      <c r="AP1674" s="20" t="s">
        <v>8</v>
      </c>
      <c r="AQ1674" s="25"/>
      <c r="AR1674" s="25"/>
      <c r="AS1674" s="25"/>
      <c r="AT1674" s="25"/>
      <c r="AU1674" s="36"/>
      <c r="AV1674" s="36"/>
      <c r="AW1674" s="36"/>
      <c r="AX1674" s="25"/>
      <c r="AY1674" s="25"/>
      <c r="AZ1674" s="25"/>
      <c r="BA1674" s="25"/>
      <c r="BB1674" s="25"/>
      <c r="BC1674" s="25"/>
      <c r="BD1674" s="25"/>
      <c r="BE1674" s="25"/>
      <c r="BF1674" s="25"/>
      <c r="BG1674" s="25"/>
      <c r="BH1674" s="25"/>
      <c r="BI1674" s="25"/>
      <c r="BJ1674" s="25"/>
      <c r="BK1674" s="25"/>
      <c r="BL1674" s="25"/>
      <c r="BM1674" s="25"/>
      <c r="BN1674" s="25"/>
      <c r="BO1674" s="25"/>
      <c r="BP1674" s="25"/>
      <c r="BQ1674" s="25"/>
      <c r="BR1674" s="25"/>
      <c r="BS1674" s="25"/>
      <c r="BT1674" s="25"/>
      <c r="CD1674" s="25"/>
      <c r="CE1674" s="200"/>
      <c r="CF1674" s="200"/>
      <c r="CG1674" s="200"/>
      <c r="CH1674" s="200"/>
      <c r="CI1674" s="200"/>
      <c r="CJ1674" s="200"/>
      <c r="CK1674" s="200"/>
      <c r="CL1674" s="200"/>
      <c r="CM1674" s="200"/>
      <c r="CN1674" s="200"/>
      <c r="CO1674" s="200"/>
      <c r="CP1674" s="200"/>
      <c r="CQ1674" s="200"/>
      <c r="CR1674" s="200"/>
      <c r="CS1674" s="200"/>
      <c r="CT1674" s="200"/>
      <c r="CU1674" s="200"/>
    </row>
    <row r="1675" spans="1:99" s="17" customFormat="1" x14ac:dyDescent="0.2">
      <c r="A1675" s="25"/>
      <c r="B1675" s="20">
        <v>39099811800</v>
      </c>
      <c r="C1675" s="20">
        <v>8118</v>
      </c>
      <c r="D1675" s="20" t="s">
        <v>55</v>
      </c>
      <c r="E1675" s="20" t="s">
        <v>2842</v>
      </c>
      <c r="F1675" s="20" t="s">
        <v>8</v>
      </c>
      <c r="G1675" s="861">
        <v>48.1188999924074</v>
      </c>
      <c r="H1675" s="861">
        <v>51.690259554880498</v>
      </c>
      <c r="I1675" s="861">
        <v>37.1975503108821</v>
      </c>
      <c r="J1675" s="861">
        <v>23.757200168183399</v>
      </c>
      <c r="K1675" s="982">
        <v>0</v>
      </c>
      <c r="L1675" s="735">
        <v>1357</v>
      </c>
      <c r="M1675" s="735">
        <v>1769</v>
      </c>
      <c r="N1675" s="845">
        <f t="shared" ref="N1675:N1738" si="143">IF(OR(L1675="",M1675=""),"",(M1675-L1675)/L1675)</f>
        <v>0.3036109064112012</v>
      </c>
      <c r="O1675" s="735">
        <v>0.45121674323053168</v>
      </c>
      <c r="P1675" s="735">
        <f t="shared" ref="P1675:P1738" si="144">M1675/O1675</f>
        <v>3920.5105451864806</v>
      </c>
      <c r="Q1675" s="849">
        <v>37</v>
      </c>
      <c r="R1675" s="71">
        <v>60378</v>
      </c>
      <c r="S1675" s="845">
        <v>0.23752969121140141</v>
      </c>
      <c r="T1675" s="845">
        <v>4.4000000000000004E-2</v>
      </c>
      <c r="U1675" s="845">
        <v>7.8E-2</v>
      </c>
      <c r="V1675" s="845">
        <v>4.5999999999999999E-2</v>
      </c>
      <c r="W1675" s="845">
        <v>0.30849478390461998</v>
      </c>
      <c r="X1675" s="845">
        <v>0.41545893719806765</v>
      </c>
      <c r="Y1675" s="845">
        <v>0.87280949689089882</v>
      </c>
      <c r="Z1675" s="845">
        <v>6.6139061616732622E-2</v>
      </c>
      <c r="AA1675" s="845">
        <v>7.9140757490107402E-3</v>
      </c>
      <c r="AB1675" s="845">
        <v>0</v>
      </c>
      <c r="AC1675" s="845">
        <v>0</v>
      </c>
      <c r="AD1675" s="845">
        <v>2.4872809496890899E-2</v>
      </c>
      <c r="AE1675" s="845">
        <v>2.826455624646693E-2</v>
      </c>
      <c r="AF1675" s="845">
        <v>2.882984737139627E-2</v>
      </c>
      <c r="AG1675" s="845">
        <v>0.84906726964386658</v>
      </c>
      <c r="AH1675" s="20" t="str">
        <f t="shared" ref="AH1675:AH1738" si="145">IF(AG1675&gt;=0.9,"Yes","No")</f>
        <v>No</v>
      </c>
      <c r="AI1675" s="25"/>
      <c r="AJ1675" s="20">
        <v>43532</v>
      </c>
      <c r="AK1675" s="20" t="s">
        <v>974</v>
      </c>
      <c r="AL1675" s="20">
        <v>39051</v>
      </c>
      <c r="AM1675" s="20" t="s">
        <v>32</v>
      </c>
      <c r="AN1675" s="37">
        <f t="shared" ref="AN1675:AN1738" si="146">VLOOKUP(AM1675,$CY$11:$DA$98,2,FALSE)</f>
        <v>45780</v>
      </c>
      <c r="AO1675" s="37" t="str">
        <f t="shared" ref="AO1675:AO1738" si="147">VLOOKUP(AM1675,$CY$11:$DA$98,3,FALSE)</f>
        <v>Toledo, OH</v>
      </c>
      <c r="AP1675" s="20" t="s">
        <v>8</v>
      </c>
      <c r="AQ1675" s="25"/>
      <c r="AR1675" s="25"/>
      <c r="AS1675" s="25"/>
      <c r="AT1675" s="25"/>
      <c r="AU1675" s="36"/>
      <c r="AV1675" s="36"/>
      <c r="AW1675" s="36"/>
      <c r="AX1675" s="25"/>
      <c r="AY1675" s="25"/>
      <c r="AZ1675" s="25"/>
      <c r="BA1675" s="25"/>
      <c r="BB1675" s="25"/>
      <c r="BC1675" s="25"/>
      <c r="BD1675" s="25"/>
      <c r="BE1675" s="25"/>
      <c r="BF1675" s="25"/>
      <c r="BG1675" s="25"/>
      <c r="BH1675" s="25"/>
      <c r="BI1675" s="25"/>
      <c r="BJ1675" s="25"/>
      <c r="BK1675" s="25"/>
      <c r="BL1675" s="25"/>
      <c r="BM1675" s="25"/>
      <c r="BN1675" s="25"/>
      <c r="BO1675" s="25"/>
      <c r="BP1675" s="25"/>
      <c r="BQ1675" s="25"/>
      <c r="BR1675" s="25"/>
      <c r="BS1675" s="25"/>
      <c r="BT1675" s="25"/>
      <c r="CD1675" s="25"/>
      <c r="CE1675" s="200"/>
      <c r="CF1675" s="200"/>
      <c r="CG1675" s="200"/>
      <c r="CH1675" s="200"/>
      <c r="CI1675" s="200"/>
      <c r="CJ1675" s="200"/>
      <c r="CK1675" s="200"/>
      <c r="CL1675" s="200"/>
      <c r="CM1675" s="200"/>
      <c r="CN1675" s="200"/>
      <c r="CO1675" s="200"/>
      <c r="CP1675" s="200"/>
      <c r="CQ1675" s="200"/>
      <c r="CR1675" s="200"/>
      <c r="CS1675" s="200"/>
      <c r="CT1675" s="200"/>
      <c r="CU1675" s="200"/>
    </row>
    <row r="1676" spans="1:99" s="17" customFormat="1" x14ac:dyDescent="0.2">
      <c r="A1676" s="25"/>
      <c r="B1676" s="20">
        <v>39095005901</v>
      </c>
      <c r="C1676" s="20">
        <v>59.01</v>
      </c>
      <c r="D1676" s="20" t="s">
        <v>53</v>
      </c>
      <c r="E1676" s="20" t="s">
        <v>2839</v>
      </c>
      <c r="F1676" s="20" t="s">
        <v>8</v>
      </c>
      <c r="G1676" s="861">
        <v>48.111525879652802</v>
      </c>
      <c r="H1676" s="861">
        <v>45.183759116715102</v>
      </c>
      <c r="I1676" s="861">
        <v>38.7708639599606</v>
      </c>
      <c r="J1676" s="861">
        <v>34.5215571304729</v>
      </c>
      <c r="K1676" s="982">
        <v>0</v>
      </c>
      <c r="L1676" s="735">
        <v>2622</v>
      </c>
      <c r="M1676" s="735">
        <v>2397</v>
      </c>
      <c r="N1676" s="845">
        <f t="shared" si="143"/>
        <v>-8.5812356979405036E-2</v>
      </c>
      <c r="O1676" s="735">
        <v>0.50925060038209979</v>
      </c>
      <c r="P1676" s="735">
        <f t="shared" si="144"/>
        <v>4706.9163947995121</v>
      </c>
      <c r="Q1676" s="849">
        <v>41.9</v>
      </c>
      <c r="R1676" s="71">
        <v>68400</v>
      </c>
      <c r="S1676" s="845">
        <v>0.1276595744680851</v>
      </c>
      <c r="T1676" s="845">
        <v>4.2000000000000003E-2</v>
      </c>
      <c r="U1676" s="845">
        <v>3.2000000000000001E-2</v>
      </c>
      <c r="V1676" s="845">
        <v>0</v>
      </c>
      <c r="W1676" s="845">
        <v>0.25285171102661597</v>
      </c>
      <c r="X1676" s="845">
        <v>0.84210526315789469</v>
      </c>
      <c r="Y1676" s="845">
        <v>0.8994576554025866</v>
      </c>
      <c r="Z1676" s="845">
        <v>8.3437630371297454E-4</v>
      </c>
      <c r="AA1676" s="845">
        <v>0</v>
      </c>
      <c r="AB1676" s="845">
        <v>1.2098456403838132E-2</v>
      </c>
      <c r="AC1676" s="845">
        <v>0</v>
      </c>
      <c r="AD1676" s="845">
        <v>4.5890696704213602E-3</v>
      </c>
      <c r="AE1676" s="845">
        <v>8.3020442219440965E-2</v>
      </c>
      <c r="AF1676" s="845">
        <v>4.1718815185648725E-2</v>
      </c>
      <c r="AG1676" s="845">
        <v>0.89194826866916976</v>
      </c>
      <c r="AH1676" s="20" t="str">
        <f t="shared" si="145"/>
        <v>No</v>
      </c>
      <c r="AI1676" s="25"/>
      <c r="AJ1676" s="20">
        <v>43533</v>
      </c>
      <c r="AK1676" s="20" t="s">
        <v>975</v>
      </c>
      <c r="AL1676" s="20">
        <v>39051</v>
      </c>
      <c r="AM1676" s="20" t="s">
        <v>32</v>
      </c>
      <c r="AN1676" s="37">
        <f t="shared" si="146"/>
        <v>45780</v>
      </c>
      <c r="AO1676" s="37" t="str">
        <f t="shared" si="147"/>
        <v>Toledo, OH</v>
      </c>
      <c r="AP1676" s="20" t="s">
        <v>8</v>
      </c>
      <c r="AQ1676" s="25"/>
      <c r="AR1676" s="25"/>
      <c r="AS1676" s="25"/>
      <c r="AT1676" s="25"/>
      <c r="AU1676" s="36"/>
      <c r="AV1676" s="36"/>
      <c r="AW1676" s="36"/>
      <c r="AX1676" s="25"/>
      <c r="AY1676" s="25"/>
      <c r="AZ1676" s="25"/>
      <c r="BA1676" s="25"/>
      <c r="BB1676" s="25"/>
      <c r="BC1676" s="25"/>
      <c r="BD1676" s="25"/>
      <c r="BE1676" s="25"/>
      <c r="BF1676" s="25"/>
      <c r="BG1676" s="25"/>
      <c r="BH1676" s="25"/>
      <c r="BI1676" s="25"/>
      <c r="BJ1676" s="25"/>
      <c r="BK1676" s="25"/>
      <c r="BL1676" s="25"/>
      <c r="BM1676" s="25"/>
      <c r="BN1676" s="25"/>
      <c r="BO1676" s="25"/>
      <c r="BP1676" s="25"/>
      <c r="BQ1676" s="25"/>
      <c r="BR1676" s="25"/>
      <c r="BS1676" s="25"/>
      <c r="BT1676" s="25"/>
      <c r="CD1676" s="25"/>
      <c r="CE1676" s="200"/>
      <c r="CF1676" s="200"/>
      <c r="CG1676" s="200"/>
      <c r="CH1676" s="200"/>
      <c r="CI1676" s="200"/>
      <c r="CJ1676" s="200"/>
      <c r="CK1676" s="200"/>
      <c r="CL1676" s="200"/>
      <c r="CM1676" s="200"/>
      <c r="CN1676" s="200"/>
      <c r="CO1676" s="200"/>
      <c r="CP1676" s="200"/>
      <c r="CQ1676" s="200"/>
      <c r="CR1676" s="200"/>
      <c r="CS1676" s="200"/>
      <c r="CT1676" s="200"/>
      <c r="CU1676" s="200"/>
    </row>
    <row r="1677" spans="1:99" s="17" customFormat="1" x14ac:dyDescent="0.2">
      <c r="A1677" s="25"/>
      <c r="B1677" s="20">
        <v>39049001700</v>
      </c>
      <c r="C1677" s="20">
        <v>17</v>
      </c>
      <c r="D1677" s="20" t="s">
        <v>31</v>
      </c>
      <c r="E1677" s="20" t="s">
        <v>2830</v>
      </c>
      <c r="F1677" s="20" t="s">
        <v>6</v>
      </c>
      <c r="G1677" s="861">
        <v>48.094594213654403</v>
      </c>
      <c r="H1677" s="861">
        <v>67.464594806086197</v>
      </c>
      <c r="I1677" s="861">
        <v>52.488071094493101</v>
      </c>
      <c r="J1677" s="861">
        <v>44.050338826447501</v>
      </c>
      <c r="K1677" s="982">
        <v>0</v>
      </c>
      <c r="L1677" s="735">
        <v>1979</v>
      </c>
      <c r="M1677" s="735">
        <v>3599</v>
      </c>
      <c r="N1677" s="845">
        <f t="shared" si="143"/>
        <v>0.81859525012632639</v>
      </c>
      <c r="O1677" s="735">
        <v>0.19812909488607652</v>
      </c>
      <c r="P1677" s="735">
        <f t="shared" si="144"/>
        <v>18164.924248351366</v>
      </c>
      <c r="Q1677" s="849">
        <v>22.2</v>
      </c>
      <c r="R1677" s="71">
        <v>27411</v>
      </c>
      <c r="S1677" s="845">
        <v>0.53082879265844563</v>
      </c>
      <c r="T1677" s="845">
        <v>0.13699999999999998</v>
      </c>
      <c r="U1677" s="845">
        <v>0</v>
      </c>
      <c r="V1677" s="845">
        <v>7.2999999999999995E-2</v>
      </c>
      <c r="W1677" s="845">
        <v>0.93456861609727848</v>
      </c>
      <c r="X1677" s="845">
        <v>0.49566294919454773</v>
      </c>
      <c r="Y1677" s="845">
        <v>0.69435954431786606</v>
      </c>
      <c r="Z1677" s="845">
        <v>0.15115309808280078</v>
      </c>
      <c r="AA1677" s="845">
        <v>0</v>
      </c>
      <c r="AB1677" s="845">
        <v>6.863017504862462E-2</v>
      </c>
      <c r="AC1677" s="845">
        <v>0</v>
      </c>
      <c r="AD1677" s="845">
        <v>2.7785495971103086E-3</v>
      </c>
      <c r="AE1677" s="845">
        <v>8.3078632953598228E-2</v>
      </c>
      <c r="AF1677" s="845">
        <v>4.4456793553764938E-2</v>
      </c>
      <c r="AG1677" s="845">
        <v>0.67963323145318144</v>
      </c>
      <c r="AH1677" s="20" t="str">
        <f t="shared" si="145"/>
        <v>No</v>
      </c>
      <c r="AI1677" s="25"/>
      <c r="AJ1677" s="20">
        <v>43540</v>
      </c>
      <c r="AK1677" s="20" t="s">
        <v>980</v>
      </c>
      <c r="AL1677" s="20">
        <v>39051</v>
      </c>
      <c r="AM1677" s="20" t="s">
        <v>32</v>
      </c>
      <c r="AN1677" s="37">
        <f t="shared" si="146"/>
        <v>45780</v>
      </c>
      <c r="AO1677" s="37" t="str">
        <f t="shared" si="147"/>
        <v>Toledo, OH</v>
      </c>
      <c r="AP1677" s="20" t="s">
        <v>8</v>
      </c>
      <c r="AQ1677" s="25"/>
      <c r="AR1677" s="25"/>
      <c r="AS1677" s="25"/>
      <c r="AT1677" s="25"/>
      <c r="AU1677" s="36"/>
      <c r="AV1677" s="36"/>
      <c r="AW1677" s="36"/>
      <c r="AX1677" s="25"/>
      <c r="AY1677" s="25"/>
      <c r="AZ1677" s="25"/>
      <c r="BA1677" s="25"/>
      <c r="BB1677" s="25"/>
      <c r="BC1677" s="25"/>
      <c r="BD1677" s="25"/>
      <c r="BE1677" s="25"/>
      <c r="BF1677" s="25"/>
      <c r="BG1677" s="25"/>
      <c r="BH1677" s="25"/>
      <c r="BI1677" s="25"/>
      <c r="BJ1677" s="25"/>
      <c r="BK1677" s="25"/>
      <c r="BL1677" s="25"/>
      <c r="BM1677" s="25"/>
      <c r="BN1677" s="25"/>
      <c r="BO1677" s="25"/>
      <c r="BP1677" s="25"/>
      <c r="BQ1677" s="25"/>
      <c r="BR1677" s="25"/>
      <c r="BS1677" s="25"/>
      <c r="BT1677" s="25"/>
      <c r="CD1677" s="25"/>
      <c r="CE1677" s="200"/>
      <c r="CF1677" s="200"/>
      <c r="CG1677" s="200"/>
      <c r="CH1677" s="200"/>
      <c r="CI1677" s="200"/>
      <c r="CJ1677" s="200"/>
      <c r="CK1677" s="200"/>
      <c r="CL1677" s="200"/>
      <c r="CM1677" s="200"/>
      <c r="CN1677" s="200"/>
      <c r="CO1677" s="200"/>
      <c r="CP1677" s="200"/>
      <c r="CQ1677" s="200"/>
      <c r="CR1677" s="200"/>
      <c r="CS1677" s="200"/>
      <c r="CT1677" s="200"/>
      <c r="CU1677" s="200"/>
    </row>
    <row r="1678" spans="1:99" s="17" customFormat="1" x14ac:dyDescent="0.2">
      <c r="A1678" s="25"/>
      <c r="B1678" s="20">
        <v>39035195600</v>
      </c>
      <c r="C1678" s="20">
        <v>1956</v>
      </c>
      <c r="D1678" s="20" t="s">
        <v>24</v>
      </c>
      <c r="E1678" s="20" t="s">
        <v>2829</v>
      </c>
      <c r="F1678" s="20" t="s">
        <v>8</v>
      </c>
      <c r="G1678" s="861">
        <v>48.083778504889402</v>
      </c>
      <c r="H1678" s="861">
        <v>44.405396591941397</v>
      </c>
      <c r="I1678" s="861">
        <v>40.041027314778503</v>
      </c>
      <c r="J1678" s="861">
        <v>39.311625052808097</v>
      </c>
      <c r="K1678" s="982">
        <v>0</v>
      </c>
      <c r="L1678" s="735">
        <v>4804</v>
      </c>
      <c r="M1678" s="735">
        <v>4578</v>
      </c>
      <c r="N1678" s="845">
        <f t="shared" si="143"/>
        <v>-4.7044129891756867E-2</v>
      </c>
      <c r="O1678" s="735">
        <v>1.7357346092218162</v>
      </c>
      <c r="P1678" s="735">
        <f t="shared" si="144"/>
        <v>2637.4999816662407</v>
      </c>
      <c r="Q1678" s="849">
        <v>47.6</v>
      </c>
      <c r="R1678" s="71">
        <v>51520</v>
      </c>
      <c r="S1678" s="845">
        <v>6.1380515508955874E-2</v>
      </c>
      <c r="T1678" s="845">
        <v>1.2E-2</v>
      </c>
      <c r="U1678" s="845">
        <v>1.1000000000000001E-2</v>
      </c>
      <c r="V1678" s="845">
        <v>6.6000000000000003E-2</v>
      </c>
      <c r="W1678" s="845">
        <v>0.33732269503546097</v>
      </c>
      <c r="X1678" s="845">
        <v>0.19710906701708278</v>
      </c>
      <c r="Y1678" s="845">
        <v>0.11555264307557886</v>
      </c>
      <c r="Z1678" s="845">
        <v>0.74748798602009614</v>
      </c>
      <c r="AA1678" s="845">
        <v>0</v>
      </c>
      <c r="AB1678" s="845">
        <v>0</v>
      </c>
      <c r="AC1678" s="845">
        <v>0</v>
      </c>
      <c r="AD1678" s="845">
        <v>2.1406727828746176E-2</v>
      </c>
      <c r="AE1678" s="845">
        <v>0.11555264307557886</v>
      </c>
      <c r="AF1678" s="845">
        <v>9.0869375273044992E-2</v>
      </c>
      <c r="AG1678" s="845">
        <v>9.9825251201397985E-2</v>
      </c>
      <c r="AH1678" s="20" t="str">
        <f t="shared" si="145"/>
        <v>No</v>
      </c>
      <c r="AI1678" s="25"/>
      <c r="AJ1678" s="20">
        <v>43553</v>
      </c>
      <c r="AK1678" s="20" t="s">
        <v>989</v>
      </c>
      <c r="AL1678" s="20">
        <v>39051</v>
      </c>
      <c r="AM1678" s="20" t="s">
        <v>32</v>
      </c>
      <c r="AN1678" s="37">
        <f t="shared" si="146"/>
        <v>45780</v>
      </c>
      <c r="AO1678" s="37" t="str">
        <f t="shared" si="147"/>
        <v>Toledo, OH</v>
      </c>
      <c r="AP1678" s="20" t="s">
        <v>8</v>
      </c>
      <c r="AQ1678" s="25"/>
      <c r="AR1678" s="25"/>
      <c r="AS1678" s="25"/>
      <c r="AT1678" s="25"/>
      <c r="AU1678" s="36"/>
      <c r="AV1678" s="36"/>
      <c r="AW1678" s="36"/>
      <c r="AX1678" s="25"/>
      <c r="AY1678" s="25"/>
      <c r="AZ1678" s="25"/>
      <c r="BA1678" s="25"/>
      <c r="BB1678" s="25"/>
      <c r="BC1678" s="25"/>
      <c r="BD1678" s="25"/>
      <c r="BE1678" s="25"/>
      <c r="BF1678" s="25"/>
      <c r="BG1678" s="25"/>
      <c r="BH1678" s="25"/>
      <c r="BI1678" s="25"/>
      <c r="BJ1678" s="25"/>
      <c r="BK1678" s="25"/>
      <c r="BL1678" s="25"/>
      <c r="BM1678" s="25"/>
      <c r="BN1678" s="25"/>
      <c r="BO1678" s="25"/>
      <c r="BP1678" s="25"/>
      <c r="BQ1678" s="25"/>
      <c r="BR1678" s="25"/>
      <c r="BS1678" s="25"/>
      <c r="BT1678" s="25"/>
      <c r="CD1678" s="25"/>
      <c r="CE1678" s="200"/>
      <c r="CF1678" s="200"/>
      <c r="CG1678" s="200"/>
      <c r="CH1678" s="200"/>
      <c r="CI1678" s="200"/>
      <c r="CJ1678" s="200"/>
      <c r="CK1678" s="200"/>
      <c r="CL1678" s="200"/>
      <c r="CM1678" s="200"/>
      <c r="CN1678" s="200"/>
      <c r="CO1678" s="200"/>
      <c r="CP1678" s="200"/>
      <c r="CQ1678" s="200"/>
      <c r="CR1678" s="200"/>
      <c r="CS1678" s="200"/>
      <c r="CT1678" s="200"/>
      <c r="CU1678" s="200"/>
    </row>
    <row r="1679" spans="1:99" s="17" customFormat="1" x14ac:dyDescent="0.2">
      <c r="A1679" s="25"/>
      <c r="B1679" s="20">
        <v>39017014600</v>
      </c>
      <c r="C1679" s="20">
        <v>146</v>
      </c>
      <c r="D1679" s="20" t="s">
        <v>15</v>
      </c>
      <c r="E1679" s="20" t="s">
        <v>2828</v>
      </c>
      <c r="F1679" s="20" t="s">
        <v>6</v>
      </c>
      <c r="G1679" s="861">
        <v>48.082741656234496</v>
      </c>
      <c r="H1679" s="861">
        <v>69.844522546937398</v>
      </c>
      <c r="I1679" s="861">
        <v>38.916470061152403</v>
      </c>
      <c r="J1679" s="861">
        <v>61.108999361598897</v>
      </c>
      <c r="K1679" s="982">
        <v>0</v>
      </c>
      <c r="L1679" s="735">
        <v>1053</v>
      </c>
      <c r="M1679" s="735">
        <v>1239</v>
      </c>
      <c r="N1679" s="845">
        <f t="shared" si="143"/>
        <v>0.17663817663817663</v>
      </c>
      <c r="O1679" s="735">
        <v>0.5082988585611693</v>
      </c>
      <c r="P1679" s="735">
        <f t="shared" si="144"/>
        <v>2437.5423614115734</v>
      </c>
      <c r="Q1679" s="849">
        <v>40.9</v>
      </c>
      <c r="R1679" s="71">
        <v>44369</v>
      </c>
      <c r="S1679" s="845">
        <v>0.22767857142857142</v>
      </c>
      <c r="T1679" s="845">
        <v>0.02</v>
      </c>
      <c r="U1679" s="845">
        <v>0.313</v>
      </c>
      <c r="V1679" s="845">
        <v>0.02</v>
      </c>
      <c r="W1679" s="845">
        <v>0.92320534223706174</v>
      </c>
      <c r="X1679" s="845">
        <v>0.30018083182640143</v>
      </c>
      <c r="Y1679" s="845">
        <v>0.7231638418079096</v>
      </c>
      <c r="Z1679" s="845">
        <v>9.03954802259887E-2</v>
      </c>
      <c r="AA1679" s="845">
        <v>0</v>
      </c>
      <c r="AB1679" s="845">
        <v>0</v>
      </c>
      <c r="AC1679" s="845">
        <v>0</v>
      </c>
      <c r="AD1679" s="845">
        <v>0.14608555286521388</v>
      </c>
      <c r="AE1679" s="845">
        <v>4.0355125100887811E-2</v>
      </c>
      <c r="AF1679" s="845">
        <v>0.13397901533494755</v>
      </c>
      <c r="AG1679" s="845">
        <v>0.7231638418079096</v>
      </c>
      <c r="AH1679" s="20" t="str">
        <f t="shared" si="145"/>
        <v>No</v>
      </c>
      <c r="AI1679" s="25"/>
      <c r="AJ1679" s="37">
        <v>43557</v>
      </c>
      <c r="AK1679" s="37" t="s">
        <v>993</v>
      </c>
      <c r="AL1679" s="37">
        <v>39051</v>
      </c>
      <c r="AM1679" s="37" t="s">
        <v>32</v>
      </c>
      <c r="AN1679" s="37">
        <f t="shared" si="146"/>
        <v>45780</v>
      </c>
      <c r="AO1679" s="37" t="str">
        <f t="shared" si="147"/>
        <v>Toledo, OH</v>
      </c>
      <c r="AP1679" s="20" t="s">
        <v>8</v>
      </c>
      <c r="AQ1679" s="25"/>
      <c r="AR1679" s="25"/>
      <c r="AS1679" s="25"/>
      <c r="AT1679" s="25"/>
      <c r="AU1679" s="36"/>
      <c r="AV1679" s="36"/>
      <c r="AW1679" s="36"/>
      <c r="AX1679" s="25"/>
      <c r="AY1679" s="25"/>
      <c r="AZ1679" s="25"/>
      <c r="BA1679" s="25"/>
      <c r="BB1679" s="25"/>
      <c r="BC1679" s="25"/>
      <c r="BD1679" s="25"/>
      <c r="BE1679" s="25"/>
      <c r="BF1679" s="25"/>
      <c r="BG1679" s="25"/>
      <c r="BH1679" s="25"/>
      <c r="BI1679" s="25"/>
      <c r="BJ1679" s="25"/>
      <c r="BK1679" s="25"/>
      <c r="BL1679" s="25"/>
      <c r="BM1679" s="25"/>
      <c r="BN1679" s="25"/>
      <c r="BO1679" s="25"/>
      <c r="BP1679" s="25"/>
      <c r="BQ1679" s="25"/>
      <c r="BR1679" s="25"/>
      <c r="BS1679" s="25"/>
      <c r="BT1679" s="25"/>
      <c r="CD1679" s="25"/>
      <c r="CE1679" s="200"/>
      <c r="CF1679" s="200"/>
      <c r="CG1679" s="200"/>
      <c r="CH1679" s="200"/>
      <c r="CI1679" s="200"/>
      <c r="CJ1679" s="200"/>
      <c r="CK1679" s="200"/>
      <c r="CL1679" s="200"/>
      <c r="CM1679" s="200"/>
      <c r="CN1679" s="200"/>
      <c r="CO1679" s="200"/>
      <c r="CP1679" s="200"/>
      <c r="CQ1679" s="200"/>
      <c r="CR1679" s="200"/>
      <c r="CS1679" s="200"/>
      <c r="CT1679" s="200"/>
      <c r="CU1679" s="200"/>
    </row>
    <row r="1680" spans="1:99" s="17" customFormat="1" x14ac:dyDescent="0.2">
      <c r="A1680" s="25"/>
      <c r="B1680" s="20">
        <v>39049009321</v>
      </c>
      <c r="C1680" s="20">
        <v>93.21</v>
      </c>
      <c r="D1680" s="20" t="s">
        <v>31</v>
      </c>
      <c r="E1680" s="20" t="s">
        <v>2830</v>
      </c>
      <c r="F1680" s="20" t="s">
        <v>8</v>
      </c>
      <c r="G1680" s="861">
        <v>48.050652725094402</v>
      </c>
      <c r="H1680" s="861">
        <v>60.518524883974898</v>
      </c>
      <c r="I1680" s="861">
        <v>44.062311263330699</v>
      </c>
      <c r="J1680" s="861">
        <v>38.837598833707403</v>
      </c>
      <c r="K1680" s="982">
        <v>0</v>
      </c>
      <c r="L1680" s="735">
        <v>2334</v>
      </c>
      <c r="M1680" s="735">
        <v>3103</v>
      </c>
      <c r="N1680" s="845">
        <f t="shared" si="143"/>
        <v>0.32947729220222793</v>
      </c>
      <c r="O1680" s="735">
        <v>0.37856274174169857</v>
      </c>
      <c r="P1680" s="735">
        <f t="shared" si="144"/>
        <v>8196.7918599798268</v>
      </c>
      <c r="Q1680" s="849">
        <v>36.799999999999997</v>
      </c>
      <c r="R1680" s="71">
        <v>56094</v>
      </c>
      <c r="S1680" s="845">
        <v>0.34933934901708025</v>
      </c>
      <c r="T1680" s="845">
        <v>8.199999999999999E-2</v>
      </c>
      <c r="U1680" s="845">
        <v>0.02</v>
      </c>
      <c r="V1680" s="845">
        <v>0</v>
      </c>
      <c r="W1680" s="845">
        <v>0.31453362255965295</v>
      </c>
      <c r="X1680" s="845">
        <v>0.25172413793103449</v>
      </c>
      <c r="Y1680" s="845">
        <v>0.29745407669996776</v>
      </c>
      <c r="Z1680" s="845">
        <v>0.60618756042539479</v>
      </c>
      <c r="AA1680" s="845">
        <v>1.6113438607798904E-3</v>
      </c>
      <c r="AB1680" s="845">
        <v>2.8359651949726072E-2</v>
      </c>
      <c r="AC1680" s="845">
        <v>0</v>
      </c>
      <c r="AD1680" s="845">
        <v>2.4814695456010314E-2</v>
      </c>
      <c r="AE1680" s="845">
        <v>4.157267160812117E-2</v>
      </c>
      <c r="AF1680" s="845">
        <v>3.3515952304221719E-2</v>
      </c>
      <c r="AG1680" s="845">
        <v>0.29745407669996776</v>
      </c>
      <c r="AH1680" s="20" t="str">
        <f t="shared" si="145"/>
        <v>No</v>
      </c>
      <c r="AI1680" s="25"/>
      <c r="AJ1680" s="37">
        <v>43558</v>
      </c>
      <c r="AK1680" s="37" t="s">
        <v>994</v>
      </c>
      <c r="AL1680" s="37">
        <v>39051</v>
      </c>
      <c r="AM1680" s="37" t="s">
        <v>32</v>
      </c>
      <c r="AN1680" s="37">
        <f t="shared" si="146"/>
        <v>45780</v>
      </c>
      <c r="AO1680" s="37" t="str">
        <f t="shared" si="147"/>
        <v>Toledo, OH</v>
      </c>
      <c r="AP1680" s="20" t="s">
        <v>8</v>
      </c>
      <c r="AQ1680" s="25"/>
      <c r="AR1680" s="25"/>
      <c r="AS1680" s="25"/>
      <c r="AT1680" s="25"/>
      <c r="AU1680" s="36"/>
      <c r="AV1680" s="36"/>
      <c r="AW1680" s="36"/>
      <c r="AX1680" s="25"/>
      <c r="AY1680" s="25"/>
      <c r="AZ1680" s="25"/>
      <c r="BA1680" s="25"/>
      <c r="BB1680" s="25"/>
      <c r="BC1680" s="25"/>
      <c r="BD1680" s="25"/>
      <c r="BE1680" s="25"/>
      <c r="BF1680" s="25"/>
      <c r="BG1680" s="25"/>
      <c r="BH1680" s="25"/>
      <c r="BI1680" s="25"/>
      <c r="BJ1680" s="25"/>
      <c r="BK1680" s="25"/>
      <c r="BL1680" s="25"/>
      <c r="BM1680" s="25"/>
      <c r="BN1680" s="25"/>
      <c r="BO1680" s="25"/>
      <c r="BP1680" s="25"/>
      <c r="BQ1680" s="25"/>
      <c r="BR1680" s="25"/>
      <c r="BS1680" s="25"/>
      <c r="BT1680" s="25"/>
      <c r="CD1680" s="25"/>
      <c r="CE1680" s="200"/>
      <c r="CF1680" s="200"/>
      <c r="CG1680" s="200"/>
      <c r="CH1680" s="200"/>
      <c r="CI1680" s="200"/>
      <c r="CJ1680" s="200"/>
      <c r="CK1680" s="200"/>
      <c r="CL1680" s="200"/>
      <c r="CM1680" s="200"/>
      <c r="CN1680" s="200"/>
      <c r="CO1680" s="200"/>
      <c r="CP1680" s="200"/>
      <c r="CQ1680" s="200"/>
      <c r="CR1680" s="200"/>
      <c r="CS1680" s="200"/>
      <c r="CT1680" s="200"/>
      <c r="CU1680" s="200"/>
    </row>
    <row r="1681" spans="1:99" s="17" customFormat="1" x14ac:dyDescent="0.2">
      <c r="A1681" s="25"/>
      <c r="B1681" s="20">
        <v>39035188107</v>
      </c>
      <c r="C1681" s="20">
        <v>1881.07</v>
      </c>
      <c r="D1681" s="20" t="s">
        <v>24</v>
      </c>
      <c r="E1681" s="20" t="s">
        <v>2829</v>
      </c>
      <c r="F1681" s="20" t="s">
        <v>6</v>
      </c>
      <c r="G1681" s="861">
        <v>48.031861116506903</v>
      </c>
      <c r="H1681" s="861">
        <v>38.723605160017399</v>
      </c>
      <c r="I1681" s="861">
        <v>47.043191302299903</v>
      </c>
      <c r="J1681" s="861">
        <v>30.984409865021298</v>
      </c>
      <c r="K1681" s="982">
        <v>0</v>
      </c>
      <c r="L1681" s="735">
        <v>2424</v>
      </c>
      <c r="M1681" s="735">
        <v>2326</v>
      </c>
      <c r="N1681" s="845">
        <f t="shared" si="143"/>
        <v>-4.0429042904290426E-2</v>
      </c>
      <c r="O1681" s="735">
        <v>1.0047845354780414</v>
      </c>
      <c r="P1681" s="735">
        <f t="shared" si="144"/>
        <v>2314.9241632121361</v>
      </c>
      <c r="Q1681" s="849">
        <v>30.8</v>
      </c>
      <c r="R1681" s="71">
        <v>47407</v>
      </c>
      <c r="S1681" s="845">
        <v>0.13542562338779021</v>
      </c>
      <c r="T1681" s="845">
        <v>0.18100000000000002</v>
      </c>
      <c r="U1681" s="845">
        <v>0</v>
      </c>
      <c r="V1681" s="845">
        <v>0.187</v>
      </c>
      <c r="W1681" s="845">
        <v>0.83986371379897784</v>
      </c>
      <c r="X1681" s="845">
        <v>0.31643002028397565</v>
      </c>
      <c r="Y1681" s="845">
        <v>4.3852106620808254E-2</v>
      </c>
      <c r="Z1681" s="845">
        <v>0.94325021496130701</v>
      </c>
      <c r="AA1681" s="845">
        <v>0</v>
      </c>
      <c r="AB1681" s="845">
        <v>0</v>
      </c>
      <c r="AC1681" s="845">
        <v>0</v>
      </c>
      <c r="AD1681" s="845">
        <v>0</v>
      </c>
      <c r="AE1681" s="845">
        <v>1.2897678417884782E-2</v>
      </c>
      <c r="AF1681" s="845">
        <v>0</v>
      </c>
      <c r="AG1681" s="845">
        <v>4.3852106620808254E-2</v>
      </c>
      <c r="AH1681" s="20" t="str">
        <f t="shared" si="145"/>
        <v>No</v>
      </c>
      <c r="AI1681" s="25"/>
      <c r="AJ1681" s="20">
        <v>43567</v>
      </c>
      <c r="AK1681" s="20" t="s">
        <v>998</v>
      </c>
      <c r="AL1681" s="20">
        <v>39051</v>
      </c>
      <c r="AM1681" s="20" t="s">
        <v>32</v>
      </c>
      <c r="AN1681" s="37">
        <f t="shared" si="146"/>
        <v>45780</v>
      </c>
      <c r="AO1681" s="37" t="str">
        <f t="shared" si="147"/>
        <v>Toledo, OH</v>
      </c>
      <c r="AP1681" s="20" t="s">
        <v>8</v>
      </c>
      <c r="AQ1681" s="25"/>
      <c r="AR1681" s="25"/>
      <c r="AS1681" s="25"/>
      <c r="AT1681" s="25"/>
      <c r="AU1681" s="36"/>
      <c r="AV1681" s="36"/>
      <c r="AW1681" s="36"/>
      <c r="AX1681" s="25"/>
      <c r="AY1681" s="25"/>
      <c r="AZ1681" s="25"/>
      <c r="BA1681" s="25"/>
      <c r="BB1681" s="25"/>
      <c r="BC1681" s="25"/>
      <c r="BD1681" s="25"/>
      <c r="BE1681" s="25"/>
      <c r="BF1681" s="25"/>
      <c r="BG1681" s="25"/>
      <c r="BH1681" s="25"/>
      <c r="BI1681" s="25"/>
      <c r="BJ1681" s="25"/>
      <c r="BK1681" s="25"/>
      <c r="BL1681" s="25"/>
      <c r="BM1681" s="25"/>
      <c r="BN1681" s="25"/>
      <c r="BO1681" s="25"/>
      <c r="BP1681" s="25"/>
      <c r="BQ1681" s="25"/>
      <c r="BR1681" s="25"/>
      <c r="BS1681" s="25"/>
      <c r="BT1681" s="25"/>
      <c r="CD1681" s="25"/>
      <c r="CE1681" s="200"/>
      <c r="CF1681" s="200"/>
      <c r="CG1681" s="200"/>
      <c r="CH1681" s="200"/>
      <c r="CI1681" s="200"/>
      <c r="CJ1681" s="200"/>
      <c r="CK1681" s="200"/>
      <c r="CL1681" s="200"/>
      <c r="CM1681" s="200"/>
      <c r="CN1681" s="200"/>
      <c r="CO1681" s="200"/>
      <c r="CP1681" s="200"/>
      <c r="CQ1681" s="200"/>
      <c r="CR1681" s="200"/>
      <c r="CS1681" s="200"/>
      <c r="CT1681" s="200"/>
      <c r="CU1681" s="200"/>
    </row>
    <row r="1682" spans="1:99" s="17" customFormat="1" x14ac:dyDescent="0.2">
      <c r="A1682" s="25"/>
      <c r="B1682" s="20">
        <v>39021011504</v>
      </c>
      <c r="C1682" s="20">
        <v>115.04</v>
      </c>
      <c r="D1682" s="20" t="s">
        <v>17</v>
      </c>
      <c r="E1682" s="20" t="s">
        <v>265</v>
      </c>
      <c r="F1682" s="20" t="s">
        <v>8</v>
      </c>
      <c r="G1682" s="861">
        <v>48.024908444286403</v>
      </c>
      <c r="H1682" s="861">
        <v>60.134669078979996</v>
      </c>
      <c r="I1682" s="861">
        <v>22.9587606709723</v>
      </c>
      <c r="J1682" s="861">
        <v>48.214401352933898</v>
      </c>
      <c r="K1682" s="982">
        <v>0</v>
      </c>
      <c r="L1682" s="735">
        <v>4859</v>
      </c>
      <c r="M1682" s="735">
        <v>4914</v>
      </c>
      <c r="N1682" s="845">
        <f t="shared" si="143"/>
        <v>1.1319201481786376E-2</v>
      </c>
      <c r="O1682" s="735">
        <v>72.926266445292683</v>
      </c>
      <c r="P1682" s="735">
        <f t="shared" si="144"/>
        <v>67.383128734368299</v>
      </c>
      <c r="Q1682" s="849">
        <v>47.3</v>
      </c>
      <c r="R1682" s="71">
        <v>86096</v>
      </c>
      <c r="S1682" s="845">
        <v>9.8964803312629399E-2</v>
      </c>
      <c r="T1682" s="845">
        <v>4.8000000000000001E-2</v>
      </c>
      <c r="U1682" s="845">
        <v>0</v>
      </c>
      <c r="V1682" s="845">
        <v>0</v>
      </c>
      <c r="W1682" s="845">
        <v>4.5059717698154179E-2</v>
      </c>
      <c r="X1682" s="845">
        <v>0.51807228915662651</v>
      </c>
      <c r="Y1682" s="845">
        <v>0.90883190883190879</v>
      </c>
      <c r="Z1682" s="845">
        <v>7.1225071225071226E-3</v>
      </c>
      <c r="AA1682" s="845">
        <v>0</v>
      </c>
      <c r="AB1682" s="845">
        <v>1.4652014652014652E-2</v>
      </c>
      <c r="AC1682" s="845">
        <v>0</v>
      </c>
      <c r="AD1682" s="845">
        <v>5.6980056980056983E-3</v>
      </c>
      <c r="AE1682" s="845">
        <v>6.3695563695563701E-2</v>
      </c>
      <c r="AF1682" s="845">
        <v>2.157102157102157E-2</v>
      </c>
      <c r="AG1682" s="845">
        <v>0.90883190883190879</v>
      </c>
      <c r="AH1682" s="20" t="str">
        <f t="shared" si="145"/>
        <v>Yes</v>
      </c>
      <c r="AI1682" s="25"/>
      <c r="AJ1682" s="37">
        <v>43570</v>
      </c>
      <c r="AK1682" s="37" t="s">
        <v>1000</v>
      </c>
      <c r="AL1682" s="37">
        <v>39051</v>
      </c>
      <c r="AM1682" s="37" t="s">
        <v>32</v>
      </c>
      <c r="AN1682" s="37">
        <f t="shared" si="146"/>
        <v>45780</v>
      </c>
      <c r="AO1682" s="37" t="str">
        <f t="shared" si="147"/>
        <v>Toledo, OH</v>
      </c>
      <c r="AP1682" s="20" t="s">
        <v>8</v>
      </c>
      <c r="AQ1682" s="25"/>
      <c r="AR1682" s="25"/>
      <c r="AS1682" s="25"/>
      <c r="AT1682" s="25"/>
      <c r="AU1682" s="36"/>
      <c r="AV1682" s="36"/>
      <c r="AW1682" s="36"/>
      <c r="AX1682" s="25"/>
      <c r="AY1682" s="25"/>
      <c r="AZ1682" s="25"/>
      <c r="BA1682" s="25"/>
      <c r="BB1682" s="25"/>
      <c r="BC1682" s="25"/>
      <c r="BD1682" s="25"/>
      <c r="BE1682" s="25"/>
      <c r="BF1682" s="25"/>
      <c r="BG1682" s="25"/>
      <c r="BH1682" s="25"/>
      <c r="BI1682" s="25"/>
      <c r="BJ1682" s="25"/>
      <c r="BK1682" s="25"/>
      <c r="BL1682" s="25"/>
      <c r="BM1682" s="25"/>
      <c r="BN1682" s="25"/>
      <c r="BO1682" s="25"/>
      <c r="BP1682" s="25"/>
      <c r="BQ1682" s="25"/>
      <c r="BR1682" s="25"/>
      <c r="BS1682" s="25"/>
      <c r="BT1682" s="25"/>
      <c r="CD1682" s="25"/>
      <c r="CE1682" s="200"/>
      <c r="CF1682" s="200"/>
      <c r="CG1682" s="200"/>
      <c r="CH1682" s="200"/>
      <c r="CI1682" s="200"/>
      <c r="CJ1682" s="200"/>
      <c r="CK1682" s="200"/>
      <c r="CL1682" s="200"/>
      <c r="CM1682" s="200"/>
      <c r="CN1682" s="200"/>
      <c r="CO1682" s="200"/>
      <c r="CP1682" s="200"/>
      <c r="CQ1682" s="200"/>
      <c r="CR1682" s="200"/>
      <c r="CS1682" s="200"/>
      <c r="CT1682" s="200"/>
      <c r="CU1682" s="200"/>
    </row>
    <row r="1683" spans="1:99" s="17" customFormat="1" x14ac:dyDescent="0.2">
      <c r="A1683" s="25"/>
      <c r="B1683" s="20">
        <v>39003010300</v>
      </c>
      <c r="C1683" s="20">
        <v>103</v>
      </c>
      <c r="D1683" s="20" t="s">
        <v>7</v>
      </c>
      <c r="E1683" s="20" t="s">
        <v>2835</v>
      </c>
      <c r="F1683" s="20" t="s">
        <v>8</v>
      </c>
      <c r="G1683" s="861">
        <v>48.023454953463201</v>
      </c>
      <c r="H1683" s="861">
        <v>58.675345416046</v>
      </c>
      <c r="I1683" s="861">
        <v>26.866323058599601</v>
      </c>
      <c r="J1683" s="861">
        <v>59.0499012954959</v>
      </c>
      <c r="K1683" s="982">
        <v>0</v>
      </c>
      <c r="L1683" s="735">
        <v>1584</v>
      </c>
      <c r="M1683" s="735">
        <v>1482</v>
      </c>
      <c r="N1683" s="845">
        <f t="shared" si="143"/>
        <v>-6.4393939393939392E-2</v>
      </c>
      <c r="O1683" s="735">
        <v>28.896324161117484</v>
      </c>
      <c r="P1683" s="735">
        <f t="shared" si="144"/>
        <v>51.286800069683601</v>
      </c>
      <c r="Q1683" s="849">
        <v>39.4</v>
      </c>
      <c r="R1683" s="71">
        <v>84936</v>
      </c>
      <c r="S1683" s="845">
        <v>2.6990553306342781E-2</v>
      </c>
      <c r="T1683" s="845">
        <v>3.0000000000000001E-3</v>
      </c>
      <c r="U1683" s="845">
        <v>0</v>
      </c>
      <c r="V1683" s="845">
        <v>0</v>
      </c>
      <c r="W1683" s="845">
        <v>0.14186851211072665</v>
      </c>
      <c r="X1683" s="845">
        <v>0.28048780487804881</v>
      </c>
      <c r="Y1683" s="845">
        <v>0.97908232118758431</v>
      </c>
      <c r="Z1683" s="845">
        <v>0</v>
      </c>
      <c r="AA1683" s="845">
        <v>0</v>
      </c>
      <c r="AB1683" s="845">
        <v>0</v>
      </c>
      <c r="AC1683" s="845">
        <v>0</v>
      </c>
      <c r="AD1683" s="845">
        <v>4.048582995951417E-3</v>
      </c>
      <c r="AE1683" s="845">
        <v>1.6869095816464237E-2</v>
      </c>
      <c r="AF1683" s="845">
        <v>2.6990553306342779E-3</v>
      </c>
      <c r="AG1683" s="845">
        <v>0.97908232118758431</v>
      </c>
      <c r="AH1683" s="20" t="str">
        <f t="shared" si="145"/>
        <v>Yes</v>
      </c>
      <c r="AI1683" s="25"/>
      <c r="AJ1683" s="37">
        <v>43412</v>
      </c>
      <c r="AK1683" s="37" t="s">
        <v>912</v>
      </c>
      <c r="AL1683" s="37">
        <v>39095</v>
      </c>
      <c r="AM1683" s="37" t="s">
        <v>53</v>
      </c>
      <c r="AN1683" s="37">
        <f t="shared" si="146"/>
        <v>45780</v>
      </c>
      <c r="AO1683" s="37" t="str">
        <f t="shared" si="147"/>
        <v>Toledo, OH</v>
      </c>
      <c r="AP1683" s="20" t="s">
        <v>8</v>
      </c>
      <c r="AQ1683" s="25"/>
      <c r="AR1683" s="25"/>
      <c r="AS1683" s="25"/>
      <c r="AT1683" s="25"/>
      <c r="AU1683" s="36"/>
      <c r="AV1683" s="36"/>
      <c r="AW1683" s="36"/>
      <c r="AX1683" s="25"/>
      <c r="AY1683" s="25"/>
      <c r="AZ1683" s="25"/>
      <c r="BA1683" s="25"/>
      <c r="BB1683" s="25"/>
      <c r="BC1683" s="25"/>
      <c r="BD1683" s="25"/>
      <c r="BE1683" s="25"/>
      <c r="BF1683" s="25"/>
      <c r="BG1683" s="25"/>
      <c r="BH1683" s="25"/>
      <c r="BI1683" s="25"/>
      <c r="BJ1683" s="25"/>
      <c r="BK1683" s="25"/>
      <c r="BL1683" s="25"/>
      <c r="BM1683" s="25"/>
      <c r="BN1683" s="25"/>
      <c r="BO1683" s="25"/>
      <c r="BP1683" s="25"/>
      <c r="BQ1683" s="25"/>
      <c r="BR1683" s="25"/>
      <c r="BS1683" s="25"/>
      <c r="BT1683" s="25"/>
      <c r="CD1683" s="25"/>
      <c r="CE1683" s="200"/>
      <c r="CF1683" s="200"/>
      <c r="CG1683" s="200"/>
      <c r="CH1683" s="200"/>
      <c r="CI1683" s="200"/>
      <c r="CJ1683" s="200"/>
      <c r="CK1683" s="200"/>
      <c r="CL1683" s="200"/>
      <c r="CM1683" s="200"/>
      <c r="CN1683" s="200"/>
      <c r="CO1683" s="200"/>
      <c r="CP1683" s="200"/>
      <c r="CQ1683" s="200"/>
      <c r="CR1683" s="200"/>
      <c r="CS1683" s="200"/>
      <c r="CT1683" s="200"/>
      <c r="CU1683" s="200"/>
    </row>
    <row r="1684" spans="1:99" s="17" customFormat="1" x14ac:dyDescent="0.2">
      <c r="A1684" s="25"/>
      <c r="B1684" s="20">
        <v>39151711111</v>
      </c>
      <c r="C1684" s="20">
        <v>7111.11</v>
      </c>
      <c r="D1684" s="20" t="s">
        <v>81</v>
      </c>
      <c r="E1684" s="20" t="s">
        <v>2844</v>
      </c>
      <c r="F1684" s="20" t="s">
        <v>8</v>
      </c>
      <c r="G1684" s="861">
        <v>48.0152335334882</v>
      </c>
      <c r="H1684" s="861">
        <v>51.889854352055998</v>
      </c>
      <c r="I1684" s="861">
        <v>13.390542795216801</v>
      </c>
      <c r="J1684" s="861">
        <v>44.614873348575799</v>
      </c>
      <c r="K1684" s="982">
        <v>0</v>
      </c>
      <c r="L1684" s="735">
        <v>4941</v>
      </c>
      <c r="M1684" s="735">
        <v>4605</v>
      </c>
      <c r="N1684" s="845">
        <f t="shared" si="143"/>
        <v>-6.8002428658166358E-2</v>
      </c>
      <c r="O1684" s="735">
        <v>3.0196972603090444</v>
      </c>
      <c r="P1684" s="735">
        <f t="shared" si="144"/>
        <v>1524.9873093333572</v>
      </c>
      <c r="Q1684" s="849">
        <v>45</v>
      </c>
      <c r="R1684" s="71">
        <v>90938</v>
      </c>
      <c r="S1684" s="845">
        <v>1.2932924156071899E-2</v>
      </c>
      <c r="T1684" s="845">
        <v>0.03</v>
      </c>
      <c r="U1684" s="845">
        <v>0</v>
      </c>
      <c r="V1684" s="845">
        <v>0</v>
      </c>
      <c r="W1684" s="845">
        <v>8.7953091684434964E-2</v>
      </c>
      <c r="X1684" s="845">
        <v>0.15151515151515152</v>
      </c>
      <c r="Y1684" s="845">
        <v>0.89706840390879483</v>
      </c>
      <c r="Z1684" s="845">
        <v>5.0162866449511401E-2</v>
      </c>
      <c r="AA1684" s="845">
        <v>5.8631921824104233E-3</v>
      </c>
      <c r="AB1684" s="845">
        <v>0</v>
      </c>
      <c r="AC1684" s="845">
        <v>0</v>
      </c>
      <c r="AD1684" s="845">
        <v>0</v>
      </c>
      <c r="AE1684" s="845">
        <v>4.6905537459283386E-2</v>
      </c>
      <c r="AF1684" s="845">
        <v>2.8013029315960912E-2</v>
      </c>
      <c r="AG1684" s="845">
        <v>0.88794788273615632</v>
      </c>
      <c r="AH1684" s="20" t="str">
        <f t="shared" si="145"/>
        <v>No</v>
      </c>
      <c r="AI1684" s="25"/>
      <c r="AJ1684" s="20">
        <v>43434</v>
      </c>
      <c r="AK1684" s="20" t="s">
        <v>921</v>
      </c>
      <c r="AL1684" s="20">
        <v>39095</v>
      </c>
      <c r="AM1684" s="20" t="s">
        <v>53</v>
      </c>
      <c r="AN1684" s="37">
        <f t="shared" si="146"/>
        <v>45780</v>
      </c>
      <c r="AO1684" s="37" t="str">
        <f t="shared" si="147"/>
        <v>Toledo, OH</v>
      </c>
      <c r="AP1684" s="20" t="s">
        <v>8</v>
      </c>
      <c r="AQ1684" s="25"/>
      <c r="AR1684" s="25"/>
      <c r="AS1684" s="25"/>
      <c r="AT1684" s="25"/>
      <c r="AU1684" s="36"/>
      <c r="AV1684" s="36"/>
      <c r="AW1684" s="36"/>
      <c r="AX1684" s="25"/>
      <c r="AY1684" s="25"/>
      <c r="AZ1684" s="25"/>
      <c r="BA1684" s="25"/>
      <c r="BB1684" s="25"/>
      <c r="BC1684" s="25"/>
      <c r="BD1684" s="25"/>
      <c r="BE1684" s="25"/>
      <c r="BF1684" s="25"/>
      <c r="BG1684" s="25"/>
      <c r="BH1684" s="25"/>
      <c r="BI1684" s="25"/>
      <c r="BJ1684" s="25"/>
      <c r="BK1684" s="25"/>
      <c r="BL1684" s="25"/>
      <c r="BM1684" s="25"/>
      <c r="BN1684" s="25"/>
      <c r="BO1684" s="25"/>
      <c r="BP1684" s="25"/>
      <c r="BQ1684" s="25"/>
      <c r="BR1684" s="25"/>
      <c r="BS1684" s="25"/>
      <c r="BT1684" s="25"/>
      <c r="CD1684" s="25"/>
      <c r="CE1684" s="200"/>
      <c r="CF1684" s="200"/>
      <c r="CG1684" s="200"/>
      <c r="CH1684" s="200"/>
      <c r="CI1684" s="200"/>
      <c r="CJ1684" s="200"/>
      <c r="CK1684" s="200"/>
      <c r="CL1684" s="200"/>
      <c r="CM1684" s="200"/>
      <c r="CN1684" s="200"/>
      <c r="CO1684" s="200"/>
      <c r="CP1684" s="200"/>
      <c r="CQ1684" s="200"/>
      <c r="CR1684" s="200"/>
      <c r="CS1684" s="200"/>
      <c r="CT1684" s="200"/>
      <c r="CU1684" s="200"/>
    </row>
    <row r="1685" spans="1:99" s="17" customFormat="1" x14ac:dyDescent="0.2">
      <c r="A1685" s="25"/>
      <c r="B1685" s="20">
        <v>39087050200</v>
      </c>
      <c r="C1685" s="20">
        <v>502</v>
      </c>
      <c r="D1685" s="20" t="s">
        <v>49</v>
      </c>
      <c r="E1685" s="20" t="s">
        <v>2834</v>
      </c>
      <c r="F1685" s="20" t="s">
        <v>8</v>
      </c>
      <c r="G1685" s="861">
        <v>47.956847697474799</v>
      </c>
      <c r="H1685" s="861">
        <v>46.985029558890503</v>
      </c>
      <c r="I1685" s="861">
        <v>51.360413367228198</v>
      </c>
      <c r="J1685" s="861">
        <v>39.750893640221399</v>
      </c>
      <c r="K1685" s="982">
        <v>0</v>
      </c>
      <c r="L1685" s="735">
        <v>2395</v>
      </c>
      <c r="M1685" s="735">
        <v>2177</v>
      </c>
      <c r="N1685" s="845">
        <f t="shared" si="143"/>
        <v>-9.1022964509394566E-2</v>
      </c>
      <c r="O1685" s="735">
        <v>0.63239865606950607</v>
      </c>
      <c r="P1685" s="735">
        <f t="shared" si="144"/>
        <v>3442.4488083680067</v>
      </c>
      <c r="Q1685" s="849">
        <v>47</v>
      </c>
      <c r="R1685" s="71">
        <v>59337</v>
      </c>
      <c r="S1685" s="845">
        <v>0.20395039044556729</v>
      </c>
      <c r="T1685" s="845">
        <v>4.5999999999999999E-2</v>
      </c>
      <c r="U1685" s="845">
        <v>2.5000000000000001E-2</v>
      </c>
      <c r="V1685" s="845">
        <v>0</v>
      </c>
      <c r="W1685" s="845">
        <v>0.38563327032136108</v>
      </c>
      <c r="X1685" s="845">
        <v>0.52450980392156865</v>
      </c>
      <c r="Y1685" s="845">
        <v>0.92282958199356913</v>
      </c>
      <c r="Z1685" s="845">
        <v>9.1869545245751034E-4</v>
      </c>
      <c r="AA1685" s="845">
        <v>0</v>
      </c>
      <c r="AB1685" s="845">
        <v>0</v>
      </c>
      <c r="AC1685" s="845">
        <v>0</v>
      </c>
      <c r="AD1685" s="845">
        <v>0</v>
      </c>
      <c r="AE1685" s="845">
        <v>7.6251722553973361E-2</v>
      </c>
      <c r="AF1685" s="845">
        <v>9.1869545245751028E-3</v>
      </c>
      <c r="AG1685" s="845">
        <v>0.92282958199356913</v>
      </c>
      <c r="AH1685" s="20" t="str">
        <f t="shared" si="145"/>
        <v>Yes</v>
      </c>
      <c r="AI1685" s="25"/>
      <c r="AJ1685" s="20">
        <v>43445</v>
      </c>
      <c r="AK1685" s="20" t="s">
        <v>930</v>
      </c>
      <c r="AL1685" s="20">
        <v>39095</v>
      </c>
      <c r="AM1685" s="20" t="s">
        <v>53</v>
      </c>
      <c r="AN1685" s="37">
        <f t="shared" si="146"/>
        <v>45780</v>
      </c>
      <c r="AO1685" s="37" t="str">
        <f t="shared" si="147"/>
        <v>Toledo, OH</v>
      </c>
      <c r="AP1685" s="20" t="s">
        <v>8</v>
      </c>
      <c r="AQ1685" s="25"/>
      <c r="AR1685" s="25"/>
      <c r="AS1685" s="25"/>
      <c r="AT1685" s="25"/>
      <c r="AU1685" s="36"/>
      <c r="AV1685" s="36"/>
      <c r="AW1685" s="36"/>
      <c r="AX1685" s="25"/>
      <c r="AY1685" s="25"/>
      <c r="AZ1685" s="25"/>
      <c r="BA1685" s="25"/>
      <c r="BB1685" s="25"/>
      <c r="BC1685" s="25"/>
      <c r="BD1685" s="25"/>
      <c r="BE1685" s="25"/>
      <c r="BF1685" s="25"/>
      <c r="BG1685" s="25"/>
      <c r="BH1685" s="25"/>
      <c r="BI1685" s="25"/>
      <c r="BJ1685" s="25"/>
      <c r="BK1685" s="25"/>
      <c r="BL1685" s="25"/>
      <c r="BM1685" s="25"/>
      <c r="BN1685" s="25"/>
      <c r="BO1685" s="25"/>
      <c r="BP1685" s="25"/>
      <c r="BQ1685" s="25"/>
      <c r="BR1685" s="25"/>
      <c r="BS1685" s="25"/>
      <c r="BT1685" s="25"/>
      <c r="CD1685" s="25"/>
      <c r="CE1685" s="200"/>
      <c r="CF1685" s="200"/>
      <c r="CG1685" s="200"/>
      <c r="CH1685" s="200"/>
      <c r="CI1685" s="200"/>
      <c r="CJ1685" s="200"/>
      <c r="CK1685" s="200"/>
      <c r="CL1685" s="200"/>
      <c r="CM1685" s="200"/>
      <c r="CN1685" s="200"/>
      <c r="CO1685" s="200"/>
      <c r="CP1685" s="200"/>
      <c r="CQ1685" s="200"/>
      <c r="CR1685" s="200"/>
      <c r="CS1685" s="200"/>
      <c r="CT1685" s="200"/>
      <c r="CU1685" s="200"/>
    </row>
    <row r="1686" spans="1:99" s="17" customFormat="1" x14ac:dyDescent="0.2">
      <c r="A1686" s="25"/>
      <c r="B1686" s="20">
        <v>39117965501</v>
      </c>
      <c r="C1686" s="20">
        <v>9655.01</v>
      </c>
      <c r="D1686" s="20" t="s">
        <v>64</v>
      </c>
      <c r="E1686" s="20" t="s">
        <v>2830</v>
      </c>
      <c r="F1686" s="20" t="s">
        <v>8</v>
      </c>
      <c r="G1686" s="861">
        <v>47.94445538179</v>
      </c>
      <c r="H1686" s="861">
        <v>49.039114322730804</v>
      </c>
      <c r="I1686" s="861">
        <v>19.370866693384102</v>
      </c>
      <c r="J1686" s="861">
        <v>50.958456374102298</v>
      </c>
      <c r="K1686" s="982">
        <v>0</v>
      </c>
      <c r="L1686" s="735" t="s">
        <v>2466</v>
      </c>
      <c r="M1686" s="735">
        <v>3458</v>
      </c>
      <c r="N1686" s="845" t="str">
        <f t="shared" si="143"/>
        <v/>
      </c>
      <c r="O1686" s="735">
        <v>35.969554701932594</v>
      </c>
      <c r="P1686" s="735">
        <f t="shared" si="144"/>
        <v>96.136858758893851</v>
      </c>
      <c r="Q1686" s="849">
        <v>43.2</v>
      </c>
      <c r="R1686" s="71">
        <v>82899</v>
      </c>
      <c r="S1686" s="845">
        <v>4.6790641871625675E-2</v>
      </c>
      <c r="T1686" s="845">
        <v>1.8000000000000002E-2</v>
      </c>
      <c r="U1686" s="845">
        <v>0</v>
      </c>
      <c r="V1686" s="845">
        <v>0</v>
      </c>
      <c r="W1686" s="845">
        <v>0.13406079501169135</v>
      </c>
      <c r="X1686" s="845">
        <v>0.39534883720930231</v>
      </c>
      <c r="Y1686" s="845">
        <v>0.99363794100636205</v>
      </c>
      <c r="Z1686" s="845">
        <v>0</v>
      </c>
      <c r="AA1686" s="845">
        <v>0</v>
      </c>
      <c r="AB1686" s="845">
        <v>0</v>
      </c>
      <c r="AC1686" s="845">
        <v>0</v>
      </c>
      <c r="AD1686" s="845">
        <v>0</v>
      </c>
      <c r="AE1686" s="845">
        <v>6.3620589936379413E-3</v>
      </c>
      <c r="AF1686" s="845">
        <v>8.0971659919028341E-3</v>
      </c>
      <c r="AG1686" s="845">
        <v>0.98872180451127822</v>
      </c>
      <c r="AH1686" s="20" t="str">
        <f t="shared" si="145"/>
        <v>Yes</v>
      </c>
      <c r="AI1686" s="25"/>
      <c r="AJ1686" s="37">
        <v>43504</v>
      </c>
      <c r="AK1686" s="37" t="s">
        <v>951</v>
      </c>
      <c r="AL1686" s="37">
        <v>39095</v>
      </c>
      <c r="AM1686" s="37" t="s">
        <v>53</v>
      </c>
      <c r="AN1686" s="37">
        <f t="shared" si="146"/>
        <v>45780</v>
      </c>
      <c r="AO1686" s="37" t="str">
        <f t="shared" si="147"/>
        <v>Toledo, OH</v>
      </c>
      <c r="AP1686" s="20" t="s">
        <v>8</v>
      </c>
      <c r="AQ1686" s="25"/>
      <c r="AR1686" s="25"/>
      <c r="AS1686" s="25"/>
      <c r="AT1686" s="25"/>
      <c r="AU1686" s="36"/>
      <c r="AV1686" s="36"/>
      <c r="AW1686" s="36"/>
      <c r="AX1686" s="25"/>
      <c r="AY1686" s="25"/>
      <c r="AZ1686" s="25"/>
      <c r="BA1686" s="25"/>
      <c r="BB1686" s="25"/>
      <c r="BC1686" s="25"/>
      <c r="BD1686" s="25"/>
      <c r="BE1686" s="25"/>
      <c r="BF1686" s="25"/>
      <c r="BG1686" s="25"/>
      <c r="BH1686" s="25"/>
      <c r="BI1686" s="25"/>
      <c r="BJ1686" s="25"/>
      <c r="BK1686" s="25"/>
      <c r="BL1686" s="25"/>
      <c r="BM1686" s="25"/>
      <c r="BN1686" s="25"/>
      <c r="BO1686" s="25"/>
      <c r="BP1686" s="25"/>
      <c r="BQ1686" s="25"/>
      <c r="BR1686" s="25"/>
      <c r="BS1686" s="25"/>
      <c r="BT1686" s="25"/>
      <c r="CD1686" s="25"/>
      <c r="CE1686" s="200"/>
      <c r="CF1686" s="200"/>
      <c r="CG1686" s="200"/>
      <c r="CH1686" s="200"/>
      <c r="CI1686" s="200"/>
      <c r="CJ1686" s="200"/>
      <c r="CK1686" s="200"/>
      <c r="CL1686" s="200"/>
      <c r="CM1686" s="200"/>
      <c r="CN1686" s="200"/>
      <c r="CO1686" s="200"/>
      <c r="CP1686" s="200"/>
      <c r="CQ1686" s="200"/>
      <c r="CR1686" s="200"/>
      <c r="CS1686" s="200"/>
      <c r="CT1686" s="200"/>
      <c r="CU1686" s="200"/>
    </row>
    <row r="1687" spans="1:99" s="17" customFormat="1" x14ac:dyDescent="0.2">
      <c r="A1687" s="25"/>
      <c r="B1687" s="20">
        <v>39091004400</v>
      </c>
      <c r="C1687" s="20">
        <v>44</v>
      </c>
      <c r="D1687" s="20" t="s">
        <v>51</v>
      </c>
      <c r="E1687" s="20" t="s">
        <v>265</v>
      </c>
      <c r="F1687" s="20" t="s">
        <v>8</v>
      </c>
      <c r="G1687" s="861">
        <v>47.926901386559003</v>
      </c>
      <c r="H1687" s="861">
        <v>43.798780145135503</v>
      </c>
      <c r="I1687" s="861">
        <v>34.500426682335203</v>
      </c>
      <c r="J1687" s="861">
        <v>47.4651430945732</v>
      </c>
      <c r="K1687" s="982">
        <v>0</v>
      </c>
      <c r="L1687" s="735">
        <v>4751</v>
      </c>
      <c r="M1687" s="735">
        <v>5516</v>
      </c>
      <c r="N1687" s="845">
        <f t="shared" si="143"/>
        <v>0.16101873289833718</v>
      </c>
      <c r="O1687" s="735">
        <v>9.4043910495017684</v>
      </c>
      <c r="P1687" s="735">
        <f t="shared" si="144"/>
        <v>586.53452105144333</v>
      </c>
      <c r="Q1687" s="849">
        <v>34.6</v>
      </c>
      <c r="R1687" s="71">
        <v>49988</v>
      </c>
      <c r="S1687" s="845">
        <v>0.27322704782847718</v>
      </c>
      <c r="T1687" s="845">
        <v>1.6E-2</v>
      </c>
      <c r="U1687" s="845">
        <v>4.2000000000000003E-2</v>
      </c>
      <c r="V1687" s="845">
        <v>7.8E-2</v>
      </c>
      <c r="W1687" s="845">
        <v>0.53379762392462105</v>
      </c>
      <c r="X1687" s="845">
        <v>0.35533384497313891</v>
      </c>
      <c r="Y1687" s="845">
        <v>0.93147208121827407</v>
      </c>
      <c r="Z1687" s="845">
        <v>0</v>
      </c>
      <c r="AA1687" s="845">
        <v>0</v>
      </c>
      <c r="AB1687" s="845">
        <v>7.9767947788252358E-3</v>
      </c>
      <c r="AC1687" s="845">
        <v>0</v>
      </c>
      <c r="AD1687" s="845">
        <v>0</v>
      </c>
      <c r="AE1687" s="845">
        <v>6.055112400290065E-2</v>
      </c>
      <c r="AF1687" s="845">
        <v>1.359680928208847E-2</v>
      </c>
      <c r="AG1687" s="845">
        <v>0.92965917331399561</v>
      </c>
      <c r="AH1687" s="20" t="str">
        <f t="shared" si="145"/>
        <v>Yes</v>
      </c>
      <c r="AI1687" s="25"/>
      <c r="AJ1687" s="20">
        <v>43522</v>
      </c>
      <c r="AK1687" s="20" t="s">
        <v>964</v>
      </c>
      <c r="AL1687" s="20">
        <v>39095</v>
      </c>
      <c r="AM1687" s="20" t="s">
        <v>53</v>
      </c>
      <c r="AN1687" s="37">
        <f t="shared" si="146"/>
        <v>45780</v>
      </c>
      <c r="AO1687" s="37" t="str">
        <f t="shared" si="147"/>
        <v>Toledo, OH</v>
      </c>
      <c r="AP1687" s="20" t="s">
        <v>8</v>
      </c>
      <c r="AQ1687" s="25"/>
      <c r="AR1687" s="25"/>
      <c r="AS1687" s="25"/>
      <c r="AT1687" s="25"/>
      <c r="AU1687" s="36"/>
      <c r="AV1687" s="36"/>
      <c r="AW1687" s="36"/>
      <c r="AX1687" s="25"/>
      <c r="AY1687" s="25"/>
      <c r="AZ1687" s="25"/>
      <c r="BA1687" s="25"/>
      <c r="BB1687" s="25"/>
      <c r="BC1687" s="25"/>
      <c r="BD1687" s="25"/>
      <c r="BE1687" s="25"/>
      <c r="BF1687" s="25"/>
      <c r="BG1687" s="25"/>
      <c r="BH1687" s="25"/>
      <c r="BI1687" s="25"/>
      <c r="BJ1687" s="25"/>
      <c r="BK1687" s="25"/>
      <c r="BL1687" s="25"/>
      <c r="BM1687" s="25"/>
      <c r="BN1687" s="25"/>
      <c r="BO1687" s="25"/>
      <c r="BP1687" s="25"/>
      <c r="BQ1687" s="25"/>
      <c r="BR1687" s="25"/>
      <c r="BS1687" s="25"/>
      <c r="BT1687" s="25"/>
      <c r="CD1687" s="25"/>
      <c r="CE1687" s="200"/>
      <c r="CF1687" s="200"/>
      <c r="CG1687" s="200"/>
      <c r="CH1687" s="200"/>
      <c r="CI1687" s="200"/>
      <c r="CJ1687" s="200"/>
      <c r="CK1687" s="200"/>
      <c r="CL1687" s="200"/>
      <c r="CM1687" s="200"/>
      <c r="CN1687" s="200"/>
      <c r="CO1687" s="200"/>
      <c r="CP1687" s="200"/>
      <c r="CQ1687" s="200"/>
      <c r="CR1687" s="200"/>
      <c r="CS1687" s="200"/>
      <c r="CT1687" s="200"/>
      <c r="CU1687" s="200"/>
    </row>
    <row r="1688" spans="1:99" s="17" customFormat="1" x14ac:dyDescent="0.2">
      <c r="A1688" s="25"/>
      <c r="B1688" s="20">
        <v>39123051203</v>
      </c>
      <c r="C1688" s="20">
        <v>512.03</v>
      </c>
      <c r="D1688" s="20" t="s">
        <v>67</v>
      </c>
      <c r="E1688" s="20" t="s">
        <v>2837</v>
      </c>
      <c r="F1688" s="20" t="s">
        <v>8</v>
      </c>
      <c r="G1688" s="861">
        <v>47.926519866289198</v>
      </c>
      <c r="H1688" s="861">
        <v>49.8969903394593</v>
      </c>
      <c r="I1688" s="861">
        <v>32.4864545209049</v>
      </c>
      <c r="J1688" s="861">
        <v>42.2544778412963</v>
      </c>
      <c r="K1688" s="982">
        <v>0</v>
      </c>
      <c r="L1688" s="735" t="s">
        <v>2466</v>
      </c>
      <c r="M1688" s="735">
        <v>510</v>
      </c>
      <c r="N1688" s="845" t="str">
        <f t="shared" si="143"/>
        <v/>
      </c>
      <c r="O1688" s="735">
        <v>6.1112851981393845</v>
      </c>
      <c r="P1688" s="735">
        <f t="shared" si="144"/>
        <v>83.452168155279736</v>
      </c>
      <c r="Q1688" s="849">
        <v>62.2</v>
      </c>
      <c r="R1688" s="71">
        <v>50862</v>
      </c>
      <c r="S1688" s="845">
        <v>0.14705882352941177</v>
      </c>
      <c r="T1688" s="845">
        <v>0</v>
      </c>
      <c r="U1688" s="845">
        <v>0</v>
      </c>
      <c r="V1688" s="845">
        <v>0.52900000000000003</v>
      </c>
      <c r="W1688" s="845">
        <v>0.13945578231292516</v>
      </c>
      <c r="X1688" s="845">
        <v>9.7560975609756101E-2</v>
      </c>
      <c r="Y1688" s="845">
        <v>0.9882352941176471</v>
      </c>
      <c r="Z1688" s="845">
        <v>0</v>
      </c>
      <c r="AA1688" s="845">
        <v>1.1764705882352941E-2</v>
      </c>
      <c r="AB1688" s="845">
        <v>0</v>
      </c>
      <c r="AC1688" s="845">
        <v>0</v>
      </c>
      <c r="AD1688" s="845">
        <v>0</v>
      </c>
      <c r="AE1688" s="845">
        <v>0</v>
      </c>
      <c r="AF1688" s="845">
        <v>8.2352941176470587E-2</v>
      </c>
      <c r="AG1688" s="845">
        <v>0.90588235294117647</v>
      </c>
      <c r="AH1688" s="20" t="str">
        <f t="shared" si="145"/>
        <v>Yes</v>
      </c>
      <c r="AI1688" s="25"/>
      <c r="AJ1688" s="20">
        <v>43528</v>
      </c>
      <c r="AK1688" s="20" t="s">
        <v>970</v>
      </c>
      <c r="AL1688" s="20">
        <v>39095</v>
      </c>
      <c r="AM1688" s="20" t="s">
        <v>53</v>
      </c>
      <c r="AN1688" s="37">
        <f t="shared" si="146"/>
        <v>45780</v>
      </c>
      <c r="AO1688" s="37" t="str">
        <f t="shared" si="147"/>
        <v>Toledo, OH</v>
      </c>
      <c r="AP1688" s="20" t="s">
        <v>8</v>
      </c>
      <c r="AQ1688" s="25"/>
      <c r="AR1688" s="25"/>
      <c r="AS1688" s="25"/>
      <c r="AT1688" s="25"/>
      <c r="AU1688" s="36"/>
      <c r="AV1688" s="36"/>
      <c r="AW1688" s="36"/>
      <c r="AX1688" s="25"/>
      <c r="AY1688" s="25"/>
      <c r="AZ1688" s="25"/>
      <c r="BA1688" s="25"/>
      <c r="BB1688" s="25"/>
      <c r="BC1688" s="25"/>
      <c r="BD1688" s="25"/>
      <c r="BE1688" s="25"/>
      <c r="BF1688" s="25"/>
      <c r="BG1688" s="25"/>
      <c r="BH1688" s="25"/>
      <c r="BI1688" s="25"/>
      <c r="BJ1688" s="25"/>
      <c r="BK1688" s="25"/>
      <c r="BL1688" s="25"/>
      <c r="BM1688" s="25"/>
      <c r="BN1688" s="25"/>
      <c r="BO1688" s="25"/>
      <c r="BP1688" s="25"/>
      <c r="BQ1688" s="25"/>
      <c r="BR1688" s="25"/>
      <c r="BS1688" s="25"/>
      <c r="BT1688" s="25"/>
      <c r="CD1688" s="25"/>
      <c r="CE1688" s="200"/>
      <c r="CF1688" s="200"/>
      <c r="CG1688" s="200"/>
      <c r="CH1688" s="200"/>
      <c r="CI1688" s="200"/>
      <c r="CJ1688" s="200"/>
      <c r="CK1688" s="200"/>
      <c r="CL1688" s="200"/>
      <c r="CM1688" s="200"/>
      <c r="CN1688" s="200"/>
      <c r="CO1688" s="200"/>
      <c r="CP1688" s="200"/>
      <c r="CQ1688" s="200"/>
      <c r="CR1688" s="200"/>
      <c r="CS1688" s="200"/>
      <c r="CT1688" s="200"/>
      <c r="CU1688" s="200"/>
    </row>
    <row r="1689" spans="1:99" s="17" customFormat="1" x14ac:dyDescent="0.2">
      <c r="A1689" s="25"/>
      <c r="B1689" s="20">
        <v>39049007552</v>
      </c>
      <c r="C1689" s="20">
        <v>75.52</v>
      </c>
      <c r="D1689" s="20" t="s">
        <v>31</v>
      </c>
      <c r="E1689" s="20" t="s">
        <v>2830</v>
      </c>
      <c r="F1689" s="20" t="s">
        <v>6</v>
      </c>
      <c r="G1689" s="861">
        <v>47.916783456883202</v>
      </c>
      <c r="H1689" s="861">
        <v>43.194234238054598</v>
      </c>
      <c r="I1689" s="861">
        <v>50.1126275808627</v>
      </c>
      <c r="J1689" s="861">
        <v>51.832738766807701</v>
      </c>
      <c r="K1689" s="982">
        <v>0</v>
      </c>
      <c r="L1689" s="735" t="s">
        <v>2466</v>
      </c>
      <c r="M1689" s="735">
        <v>4748</v>
      </c>
      <c r="N1689" s="845" t="str">
        <f t="shared" si="143"/>
        <v/>
      </c>
      <c r="O1689" s="735">
        <v>0.58017756691554856</v>
      </c>
      <c r="P1689" s="735">
        <f t="shared" si="144"/>
        <v>8183.7014575420935</v>
      </c>
      <c r="Q1689" s="849">
        <v>25.3</v>
      </c>
      <c r="R1689" s="71">
        <v>61023</v>
      </c>
      <c r="S1689" s="845">
        <v>0.30219780219780218</v>
      </c>
      <c r="T1689" s="845">
        <v>6.5000000000000002E-2</v>
      </c>
      <c r="U1689" s="845">
        <v>0</v>
      </c>
      <c r="V1689" s="845">
        <v>0</v>
      </c>
      <c r="W1689" s="845">
        <v>0.46320681642137879</v>
      </c>
      <c r="X1689" s="845">
        <v>0.5</v>
      </c>
      <c r="Y1689" s="845">
        <v>5.9393428812131423E-2</v>
      </c>
      <c r="Z1689" s="845">
        <v>0.79528222409435556</v>
      </c>
      <c r="AA1689" s="845">
        <v>0</v>
      </c>
      <c r="AB1689" s="845">
        <v>7.7506318449873629E-2</v>
      </c>
      <c r="AC1689" s="845">
        <v>2.527379949452401E-3</v>
      </c>
      <c r="AD1689" s="845">
        <v>2.780117944397641E-2</v>
      </c>
      <c r="AE1689" s="845">
        <v>3.7489469250210614E-2</v>
      </c>
      <c r="AF1689" s="845">
        <v>2.780117944397641E-2</v>
      </c>
      <c r="AG1689" s="845">
        <v>5.9393428812131423E-2</v>
      </c>
      <c r="AH1689" s="20" t="str">
        <f t="shared" si="145"/>
        <v>No</v>
      </c>
      <c r="AI1689" s="25"/>
      <c r="AJ1689" s="20">
        <v>43532</v>
      </c>
      <c r="AK1689" s="20" t="s">
        <v>974</v>
      </c>
      <c r="AL1689" s="20">
        <v>39095</v>
      </c>
      <c r="AM1689" s="20" t="s">
        <v>53</v>
      </c>
      <c r="AN1689" s="37">
        <f t="shared" si="146"/>
        <v>45780</v>
      </c>
      <c r="AO1689" s="37" t="str">
        <f t="shared" si="147"/>
        <v>Toledo, OH</v>
      </c>
      <c r="AP1689" s="20" t="s">
        <v>8</v>
      </c>
      <c r="AQ1689" s="25"/>
      <c r="AR1689" s="25"/>
      <c r="AS1689" s="25"/>
      <c r="AT1689" s="25"/>
      <c r="AU1689" s="36"/>
      <c r="AV1689" s="36"/>
      <c r="AW1689" s="36"/>
      <c r="AX1689" s="25"/>
      <c r="AY1689" s="25"/>
      <c r="AZ1689" s="25"/>
      <c r="BA1689" s="25"/>
      <c r="BB1689" s="25"/>
      <c r="BC1689" s="25"/>
      <c r="BD1689" s="25"/>
      <c r="BE1689" s="25"/>
      <c r="BF1689" s="25"/>
      <c r="BG1689" s="25"/>
      <c r="BH1689" s="25"/>
      <c r="BI1689" s="25"/>
      <c r="BJ1689" s="25"/>
      <c r="BK1689" s="25"/>
      <c r="BL1689" s="25"/>
      <c r="BM1689" s="25"/>
      <c r="BN1689" s="25"/>
      <c r="BO1689" s="25"/>
      <c r="BP1689" s="25"/>
      <c r="BQ1689" s="25"/>
      <c r="BR1689" s="25"/>
      <c r="BS1689" s="25"/>
      <c r="BT1689" s="25"/>
      <c r="CD1689" s="25"/>
      <c r="CE1689" s="200"/>
      <c r="CF1689" s="200"/>
      <c r="CG1689" s="200"/>
      <c r="CH1689" s="200"/>
      <c r="CI1689" s="200"/>
      <c r="CJ1689" s="200"/>
      <c r="CK1689" s="200"/>
      <c r="CL1689" s="200"/>
      <c r="CM1689" s="200"/>
      <c r="CN1689" s="200"/>
      <c r="CO1689" s="200"/>
      <c r="CP1689" s="200"/>
      <c r="CQ1689" s="200"/>
      <c r="CR1689" s="200"/>
      <c r="CS1689" s="200"/>
      <c r="CT1689" s="200"/>
      <c r="CU1689" s="200"/>
    </row>
    <row r="1690" spans="1:99" s="17" customFormat="1" x14ac:dyDescent="0.2">
      <c r="A1690" s="25"/>
      <c r="B1690" s="20">
        <v>39017014700</v>
      </c>
      <c r="C1690" s="20">
        <v>147</v>
      </c>
      <c r="D1690" s="20" t="s">
        <v>15</v>
      </c>
      <c r="E1690" s="20" t="s">
        <v>2828</v>
      </c>
      <c r="F1690" s="20" t="s">
        <v>8</v>
      </c>
      <c r="G1690" s="861">
        <v>47.905291555366802</v>
      </c>
      <c r="H1690" s="861">
        <v>67.078767808090106</v>
      </c>
      <c r="I1690" s="861">
        <v>36.6761137769901</v>
      </c>
      <c r="J1690" s="861">
        <v>40.48295925907</v>
      </c>
      <c r="K1690" s="982">
        <v>0</v>
      </c>
      <c r="L1690" s="735">
        <v>3937</v>
      </c>
      <c r="M1690" s="735">
        <v>4587</v>
      </c>
      <c r="N1690" s="845">
        <f t="shared" si="143"/>
        <v>0.16510033020066039</v>
      </c>
      <c r="O1690" s="735">
        <v>0.63566816914846769</v>
      </c>
      <c r="P1690" s="735">
        <f t="shared" si="144"/>
        <v>7216.0290897445466</v>
      </c>
      <c r="Q1690" s="849">
        <v>26.5</v>
      </c>
      <c r="R1690" s="71">
        <v>60347</v>
      </c>
      <c r="S1690" s="845">
        <v>0.13959111892723675</v>
      </c>
      <c r="T1690" s="845">
        <v>3.7999999999999999E-2</v>
      </c>
      <c r="U1690" s="845">
        <v>0</v>
      </c>
      <c r="V1690" s="845">
        <v>0</v>
      </c>
      <c r="W1690" s="845">
        <v>0.41856177012907192</v>
      </c>
      <c r="X1690" s="845">
        <v>0.1776798825256975</v>
      </c>
      <c r="Y1690" s="845">
        <v>0.90189666448659256</v>
      </c>
      <c r="Z1690" s="845">
        <v>1.9838674514933506E-2</v>
      </c>
      <c r="AA1690" s="845">
        <v>0</v>
      </c>
      <c r="AB1690" s="845">
        <v>0</v>
      </c>
      <c r="AC1690" s="845">
        <v>0</v>
      </c>
      <c r="AD1690" s="845">
        <v>2.3980815347721823E-2</v>
      </c>
      <c r="AE1690" s="845">
        <v>5.4283845650752123E-2</v>
      </c>
      <c r="AF1690" s="845">
        <v>7.4994549814693695E-2</v>
      </c>
      <c r="AG1690" s="845">
        <v>0.85415304120340096</v>
      </c>
      <c r="AH1690" s="20" t="str">
        <f t="shared" si="145"/>
        <v>No</v>
      </c>
      <c r="AI1690" s="25"/>
      <c r="AJ1690" s="20">
        <v>43537</v>
      </c>
      <c r="AK1690" s="20" t="s">
        <v>979</v>
      </c>
      <c r="AL1690" s="20">
        <v>39095</v>
      </c>
      <c r="AM1690" s="20" t="s">
        <v>53</v>
      </c>
      <c r="AN1690" s="37">
        <f t="shared" si="146"/>
        <v>45780</v>
      </c>
      <c r="AO1690" s="37" t="str">
        <f t="shared" si="147"/>
        <v>Toledo, OH</v>
      </c>
      <c r="AP1690" s="20" t="s">
        <v>8</v>
      </c>
      <c r="AQ1690" s="25"/>
      <c r="AR1690" s="25"/>
      <c r="AS1690" s="25"/>
      <c r="AT1690" s="25"/>
      <c r="AU1690" s="36"/>
      <c r="AV1690" s="36"/>
      <c r="AW1690" s="36"/>
      <c r="AX1690" s="25"/>
      <c r="AY1690" s="25"/>
      <c r="AZ1690" s="25"/>
      <c r="BA1690" s="25"/>
      <c r="BB1690" s="25"/>
      <c r="BC1690" s="25"/>
      <c r="BD1690" s="25"/>
      <c r="BE1690" s="25"/>
      <c r="BF1690" s="25"/>
      <c r="BG1690" s="25"/>
      <c r="BH1690" s="25"/>
      <c r="BI1690" s="25"/>
      <c r="BJ1690" s="25"/>
      <c r="BK1690" s="25"/>
      <c r="BL1690" s="25"/>
      <c r="BM1690" s="25"/>
      <c r="BN1690" s="25"/>
      <c r="BO1690" s="25"/>
      <c r="BP1690" s="25"/>
      <c r="BQ1690" s="25"/>
      <c r="BR1690" s="25"/>
      <c r="BS1690" s="25"/>
      <c r="BT1690" s="25"/>
      <c r="CD1690" s="25"/>
      <c r="CE1690" s="200"/>
      <c r="CF1690" s="200"/>
      <c r="CG1690" s="200"/>
      <c r="CH1690" s="200"/>
      <c r="CI1690" s="200"/>
      <c r="CJ1690" s="200"/>
      <c r="CK1690" s="200"/>
      <c r="CL1690" s="200"/>
      <c r="CM1690" s="200"/>
      <c r="CN1690" s="200"/>
      <c r="CO1690" s="200"/>
      <c r="CP1690" s="200"/>
      <c r="CQ1690" s="200"/>
      <c r="CR1690" s="200"/>
      <c r="CS1690" s="200"/>
      <c r="CT1690" s="200"/>
      <c r="CU1690" s="200"/>
    </row>
    <row r="1691" spans="1:99" s="17" customFormat="1" x14ac:dyDescent="0.2">
      <c r="A1691" s="25"/>
      <c r="B1691" s="20">
        <v>39071954800</v>
      </c>
      <c r="C1691" s="20">
        <v>9548</v>
      </c>
      <c r="D1691" s="20" t="s">
        <v>42</v>
      </c>
      <c r="E1691" s="20" t="s">
        <v>265</v>
      </c>
      <c r="F1691" s="20" t="s">
        <v>8</v>
      </c>
      <c r="G1691" s="861">
        <v>47.904066138189002</v>
      </c>
      <c r="H1691" s="861">
        <v>36.759758305850397</v>
      </c>
      <c r="I1691" s="861">
        <v>32.199180475591497</v>
      </c>
      <c r="J1691" s="861">
        <v>51.9584630138149</v>
      </c>
      <c r="K1691" s="982">
        <v>0</v>
      </c>
      <c r="L1691" s="735">
        <v>4353</v>
      </c>
      <c r="M1691" s="735">
        <v>4250</v>
      </c>
      <c r="N1691" s="845">
        <f t="shared" si="143"/>
        <v>-2.3661842407535032E-2</v>
      </c>
      <c r="O1691" s="735">
        <v>6.2679048360573368</v>
      </c>
      <c r="P1691" s="735">
        <f t="shared" si="144"/>
        <v>678.05751860670432</v>
      </c>
      <c r="Q1691" s="849">
        <v>42.3</v>
      </c>
      <c r="R1691" s="71">
        <v>60095</v>
      </c>
      <c r="S1691" s="845">
        <v>0.20885919326899283</v>
      </c>
      <c r="T1691" s="845">
        <v>4.2999999999999997E-2</v>
      </c>
      <c r="U1691" s="845">
        <v>0</v>
      </c>
      <c r="V1691" s="845">
        <v>0</v>
      </c>
      <c r="W1691" s="845">
        <v>0.40321686078757624</v>
      </c>
      <c r="X1691" s="845">
        <v>0.47455295735900965</v>
      </c>
      <c r="Y1691" s="845">
        <v>0.94470588235294117</v>
      </c>
      <c r="Z1691" s="845">
        <v>1.176470588235294E-3</v>
      </c>
      <c r="AA1691" s="845">
        <v>4.9411764705882353E-3</v>
      </c>
      <c r="AB1691" s="845">
        <v>0</v>
      </c>
      <c r="AC1691" s="845">
        <v>0</v>
      </c>
      <c r="AD1691" s="845">
        <v>1.8823529411764706E-3</v>
      </c>
      <c r="AE1691" s="845">
        <v>4.7294117647058827E-2</v>
      </c>
      <c r="AF1691" s="845">
        <v>2.023529411764706E-2</v>
      </c>
      <c r="AG1691" s="845">
        <v>0.94023529411764706</v>
      </c>
      <c r="AH1691" s="20" t="str">
        <f t="shared" si="145"/>
        <v>Yes</v>
      </c>
      <c r="AI1691" s="25"/>
      <c r="AJ1691" s="37">
        <v>43542</v>
      </c>
      <c r="AK1691" s="37" t="s">
        <v>982</v>
      </c>
      <c r="AL1691" s="37">
        <v>39095</v>
      </c>
      <c r="AM1691" s="37" t="s">
        <v>53</v>
      </c>
      <c r="AN1691" s="37">
        <f t="shared" si="146"/>
        <v>45780</v>
      </c>
      <c r="AO1691" s="37" t="str">
        <f t="shared" si="147"/>
        <v>Toledo, OH</v>
      </c>
      <c r="AP1691" s="20" t="s">
        <v>8</v>
      </c>
      <c r="AQ1691" s="25"/>
      <c r="AR1691" s="25"/>
      <c r="AS1691" s="25"/>
      <c r="AT1691" s="25"/>
      <c r="AU1691" s="36"/>
      <c r="AV1691" s="36"/>
      <c r="AW1691" s="36"/>
      <c r="AX1691" s="25"/>
      <c r="AY1691" s="25"/>
      <c r="AZ1691" s="25"/>
      <c r="BA1691" s="25"/>
      <c r="BB1691" s="25"/>
      <c r="BC1691" s="25"/>
      <c r="BD1691" s="25"/>
      <c r="BE1691" s="25"/>
      <c r="BF1691" s="25"/>
      <c r="BG1691" s="25"/>
      <c r="BH1691" s="25"/>
      <c r="BI1691" s="25"/>
      <c r="BJ1691" s="25"/>
      <c r="BK1691" s="25"/>
      <c r="BL1691" s="25"/>
      <c r="BM1691" s="25"/>
      <c r="BN1691" s="25"/>
      <c r="BO1691" s="25"/>
      <c r="BP1691" s="25"/>
      <c r="BQ1691" s="25"/>
      <c r="BR1691" s="25"/>
      <c r="BS1691" s="25"/>
      <c r="BT1691" s="25"/>
      <c r="CD1691" s="25"/>
      <c r="CE1691" s="200"/>
      <c r="CF1691" s="200"/>
      <c r="CG1691" s="200"/>
      <c r="CH1691" s="200"/>
      <c r="CI1691" s="200"/>
      <c r="CJ1691" s="200"/>
      <c r="CK1691" s="200"/>
      <c r="CL1691" s="200"/>
      <c r="CM1691" s="200"/>
      <c r="CN1691" s="200"/>
      <c r="CO1691" s="200"/>
      <c r="CP1691" s="200"/>
      <c r="CQ1691" s="200"/>
      <c r="CR1691" s="200"/>
      <c r="CS1691" s="200"/>
      <c r="CT1691" s="200"/>
      <c r="CU1691" s="200"/>
    </row>
    <row r="1692" spans="1:99" s="17" customFormat="1" x14ac:dyDescent="0.2">
      <c r="A1692" s="25"/>
      <c r="B1692" s="20">
        <v>39049007511</v>
      </c>
      <c r="C1692" s="20">
        <v>75.11</v>
      </c>
      <c r="D1692" s="20" t="s">
        <v>31</v>
      </c>
      <c r="E1692" s="20" t="s">
        <v>2830</v>
      </c>
      <c r="F1692" s="20" t="s">
        <v>6</v>
      </c>
      <c r="G1692" s="861">
        <v>47.875074982678697</v>
      </c>
      <c r="H1692" s="861">
        <v>57.829344707508</v>
      </c>
      <c r="I1692" s="861">
        <v>51.147566979471797</v>
      </c>
      <c r="J1692" s="861">
        <v>64.049863192634305</v>
      </c>
      <c r="K1692" s="982">
        <v>0</v>
      </c>
      <c r="L1692" s="735">
        <v>1659</v>
      </c>
      <c r="M1692" s="735">
        <v>2105</v>
      </c>
      <c r="N1692" s="845">
        <f t="shared" si="143"/>
        <v>0.26883664858348405</v>
      </c>
      <c r="O1692" s="735">
        <v>0.66151925307487225</v>
      </c>
      <c r="P1692" s="735">
        <f t="shared" si="144"/>
        <v>3182.0691389034318</v>
      </c>
      <c r="Q1692" s="849">
        <v>36.5</v>
      </c>
      <c r="R1692" s="71">
        <v>42438</v>
      </c>
      <c r="S1692" s="845">
        <v>0.13824228028503563</v>
      </c>
      <c r="T1692" s="845">
        <v>9.8000000000000004E-2</v>
      </c>
      <c r="U1692" s="845">
        <v>0</v>
      </c>
      <c r="V1692" s="845">
        <v>0</v>
      </c>
      <c r="W1692" s="845">
        <v>0.64874551971326166</v>
      </c>
      <c r="X1692" s="845">
        <v>0.51565377532228363</v>
      </c>
      <c r="Y1692" s="845">
        <v>1.5676959619952493E-2</v>
      </c>
      <c r="Z1692" s="845">
        <v>0.81282660332541568</v>
      </c>
      <c r="AA1692" s="845">
        <v>0</v>
      </c>
      <c r="AB1692" s="845">
        <v>0</v>
      </c>
      <c r="AC1692" s="845">
        <v>0</v>
      </c>
      <c r="AD1692" s="845">
        <v>7.8859857482185269E-2</v>
      </c>
      <c r="AE1692" s="845">
        <v>9.2636579572446559E-2</v>
      </c>
      <c r="AF1692" s="845">
        <v>0.12066508313539193</v>
      </c>
      <c r="AG1692" s="845">
        <v>1.5676959619952493E-2</v>
      </c>
      <c r="AH1692" s="20" t="str">
        <f t="shared" si="145"/>
        <v>No</v>
      </c>
      <c r="AI1692" s="25"/>
      <c r="AJ1692" s="20">
        <v>43547</v>
      </c>
      <c r="AK1692" s="20" t="s">
        <v>985</v>
      </c>
      <c r="AL1692" s="20">
        <v>39095</v>
      </c>
      <c r="AM1692" s="20" t="s">
        <v>53</v>
      </c>
      <c r="AN1692" s="37">
        <f t="shared" si="146"/>
        <v>45780</v>
      </c>
      <c r="AO1692" s="37" t="str">
        <f t="shared" si="147"/>
        <v>Toledo, OH</v>
      </c>
      <c r="AP1692" s="20" t="s">
        <v>8</v>
      </c>
      <c r="AQ1692" s="25"/>
      <c r="AR1692" s="25"/>
      <c r="AS1692" s="25"/>
      <c r="AT1692" s="25"/>
      <c r="AU1692" s="36"/>
      <c r="AV1692" s="36"/>
      <c r="AW1692" s="36"/>
      <c r="AX1692" s="25"/>
      <c r="AY1692" s="25"/>
      <c r="AZ1692" s="25"/>
      <c r="BA1692" s="25"/>
      <c r="BB1692" s="25"/>
      <c r="BC1692" s="25"/>
      <c r="BD1692" s="25"/>
      <c r="BE1692" s="25"/>
      <c r="BF1692" s="25"/>
      <c r="BG1692" s="25"/>
      <c r="BH1692" s="25"/>
      <c r="BI1692" s="25"/>
      <c r="BJ1692" s="25"/>
      <c r="BK1692" s="25"/>
      <c r="BL1692" s="25"/>
      <c r="BM1692" s="25"/>
      <c r="BN1692" s="25"/>
      <c r="BO1692" s="25"/>
      <c r="BP1692" s="25"/>
      <c r="BQ1692" s="25"/>
      <c r="BR1692" s="25"/>
      <c r="BS1692" s="25"/>
      <c r="BT1692" s="25"/>
      <c r="CD1692" s="25"/>
      <c r="CE1692" s="200"/>
      <c r="CF1692" s="200"/>
      <c r="CG1692" s="200"/>
      <c r="CH1692" s="200"/>
      <c r="CI1692" s="200"/>
      <c r="CJ1692" s="200"/>
      <c r="CK1692" s="200"/>
      <c r="CL1692" s="200"/>
      <c r="CM1692" s="200"/>
      <c r="CN1692" s="200"/>
      <c r="CO1692" s="200"/>
      <c r="CP1692" s="200"/>
      <c r="CQ1692" s="200"/>
      <c r="CR1692" s="200"/>
      <c r="CS1692" s="200"/>
      <c r="CT1692" s="200"/>
      <c r="CU1692" s="200"/>
    </row>
    <row r="1693" spans="1:99" s="17" customFormat="1" x14ac:dyDescent="0.2">
      <c r="A1693" s="25"/>
      <c r="B1693" s="20">
        <v>39095007801</v>
      </c>
      <c r="C1693" s="20">
        <v>78.010000000000005</v>
      </c>
      <c r="D1693" s="20" t="s">
        <v>53</v>
      </c>
      <c r="E1693" s="20" t="s">
        <v>2839</v>
      </c>
      <c r="F1693" s="20" t="s">
        <v>8</v>
      </c>
      <c r="G1693" s="861">
        <v>47.867338391819402</v>
      </c>
      <c r="H1693" s="861">
        <v>60.942409746408899</v>
      </c>
      <c r="I1693" s="861">
        <v>24.733447784875398</v>
      </c>
      <c r="J1693" s="861">
        <v>50.400777838206103</v>
      </c>
      <c r="K1693" s="982">
        <v>0</v>
      </c>
      <c r="L1693" s="735" t="s">
        <v>2466</v>
      </c>
      <c r="M1693" s="735">
        <v>1945</v>
      </c>
      <c r="N1693" s="845" t="str">
        <f t="shared" si="143"/>
        <v/>
      </c>
      <c r="O1693" s="735">
        <v>0.37980907950963527</v>
      </c>
      <c r="P1693" s="735">
        <f t="shared" si="144"/>
        <v>5120.9939544129775</v>
      </c>
      <c r="Q1693" s="849">
        <v>42.7</v>
      </c>
      <c r="R1693" s="71">
        <v>73967</v>
      </c>
      <c r="S1693" s="845">
        <v>6.529562982005141E-2</v>
      </c>
      <c r="T1693" s="845">
        <v>0.10300000000000001</v>
      </c>
      <c r="U1693" s="845">
        <v>0</v>
      </c>
      <c r="V1693" s="845">
        <v>0</v>
      </c>
      <c r="W1693" s="845">
        <v>6.6516347237880497E-2</v>
      </c>
      <c r="X1693" s="845">
        <v>0.49152542372881358</v>
      </c>
      <c r="Y1693" s="845">
        <v>0.97634961439588686</v>
      </c>
      <c r="Z1693" s="845">
        <v>5.1413881748071976E-4</v>
      </c>
      <c r="AA1693" s="845">
        <v>2.056555269922879E-3</v>
      </c>
      <c r="AB1693" s="845">
        <v>1.3367609254498715E-2</v>
      </c>
      <c r="AC1693" s="845">
        <v>0</v>
      </c>
      <c r="AD1693" s="845">
        <v>6.6838046272493573E-3</v>
      </c>
      <c r="AE1693" s="845">
        <v>1.0282776349614395E-3</v>
      </c>
      <c r="AF1693" s="845">
        <v>7.9691516709511565E-2</v>
      </c>
      <c r="AG1693" s="845">
        <v>0.90128534704370178</v>
      </c>
      <c r="AH1693" s="20" t="str">
        <f t="shared" si="145"/>
        <v>Yes</v>
      </c>
      <c r="AI1693" s="25"/>
      <c r="AJ1693" s="37">
        <v>43558</v>
      </c>
      <c r="AK1693" s="37" t="s">
        <v>994</v>
      </c>
      <c r="AL1693" s="37">
        <v>39095</v>
      </c>
      <c r="AM1693" s="37" t="s">
        <v>53</v>
      </c>
      <c r="AN1693" s="37">
        <f t="shared" si="146"/>
        <v>45780</v>
      </c>
      <c r="AO1693" s="37" t="str">
        <f t="shared" si="147"/>
        <v>Toledo, OH</v>
      </c>
      <c r="AP1693" s="20" t="s">
        <v>8</v>
      </c>
      <c r="AQ1693" s="25"/>
      <c r="AR1693" s="25"/>
      <c r="AS1693" s="25"/>
      <c r="AT1693" s="25"/>
      <c r="AU1693" s="36"/>
      <c r="AV1693" s="36"/>
      <c r="AW1693" s="36"/>
      <c r="AX1693" s="25"/>
      <c r="AY1693" s="25"/>
      <c r="AZ1693" s="25"/>
      <c r="BA1693" s="25"/>
      <c r="BB1693" s="25"/>
      <c r="BC1693" s="25"/>
      <c r="BD1693" s="25"/>
      <c r="BE1693" s="25"/>
      <c r="BF1693" s="25"/>
      <c r="BG1693" s="25"/>
      <c r="BH1693" s="25"/>
      <c r="BI1693" s="25"/>
      <c r="BJ1693" s="25"/>
      <c r="BK1693" s="25"/>
      <c r="BL1693" s="25"/>
      <c r="BM1693" s="25"/>
      <c r="BN1693" s="25"/>
      <c r="BO1693" s="25"/>
      <c r="BP1693" s="25"/>
      <c r="BQ1693" s="25"/>
      <c r="BR1693" s="25"/>
      <c r="BS1693" s="25"/>
      <c r="BT1693" s="25"/>
      <c r="CD1693" s="25"/>
      <c r="CE1693" s="200"/>
      <c r="CF1693" s="200"/>
      <c r="CG1693" s="200"/>
      <c r="CH1693" s="200"/>
      <c r="CI1693" s="200"/>
      <c r="CJ1693" s="200"/>
      <c r="CK1693" s="200"/>
      <c r="CL1693" s="200"/>
      <c r="CM1693" s="200"/>
      <c r="CN1693" s="200"/>
      <c r="CO1693" s="200"/>
      <c r="CP1693" s="200"/>
      <c r="CQ1693" s="200"/>
      <c r="CR1693" s="200"/>
      <c r="CS1693" s="200"/>
      <c r="CT1693" s="200"/>
      <c r="CU1693" s="200"/>
    </row>
    <row r="1694" spans="1:99" s="17" customFormat="1" x14ac:dyDescent="0.2">
      <c r="A1694" s="25"/>
      <c r="B1694" s="20">
        <v>39007001102</v>
      </c>
      <c r="C1694" s="20">
        <v>11.02</v>
      </c>
      <c r="D1694" s="20" t="s">
        <v>10</v>
      </c>
      <c r="E1694" s="20" t="s">
        <v>2829</v>
      </c>
      <c r="F1694" s="20" t="s">
        <v>8</v>
      </c>
      <c r="G1694" s="861">
        <v>47.864946319163501</v>
      </c>
      <c r="H1694" s="861">
        <v>50.086401066357702</v>
      </c>
      <c r="I1694" s="861">
        <v>26.340263825362499</v>
      </c>
      <c r="J1694" s="861">
        <v>37.296808916596902</v>
      </c>
      <c r="K1694" s="982">
        <v>0</v>
      </c>
      <c r="L1694" s="735">
        <v>5972</v>
      </c>
      <c r="M1694" s="735">
        <v>5902</v>
      </c>
      <c r="N1694" s="845">
        <f t="shared" si="143"/>
        <v>-1.172136637642331E-2</v>
      </c>
      <c r="O1694" s="735">
        <v>43.493929012670257</v>
      </c>
      <c r="P1694" s="735">
        <f t="shared" si="144"/>
        <v>135.6970992039069</v>
      </c>
      <c r="Q1694" s="849">
        <v>52.1</v>
      </c>
      <c r="R1694" s="71">
        <v>57586</v>
      </c>
      <c r="S1694" s="845">
        <v>0.11165132835561729</v>
      </c>
      <c r="T1694" s="845">
        <v>2.1000000000000001E-2</v>
      </c>
      <c r="U1694" s="845">
        <v>0</v>
      </c>
      <c r="V1694" s="845">
        <v>5.7000000000000002E-2</v>
      </c>
      <c r="W1694" s="845">
        <v>0.25620767494356661</v>
      </c>
      <c r="X1694" s="845">
        <v>0.47283406754772395</v>
      </c>
      <c r="Y1694" s="845">
        <v>0.95340562521179262</v>
      </c>
      <c r="Z1694" s="845">
        <v>4.2358522534733985E-3</v>
      </c>
      <c r="AA1694" s="845">
        <v>0</v>
      </c>
      <c r="AB1694" s="845">
        <v>0</v>
      </c>
      <c r="AC1694" s="845">
        <v>5.7607590647238225E-3</v>
      </c>
      <c r="AD1694" s="845">
        <v>1.2199254490003388E-2</v>
      </c>
      <c r="AE1694" s="845">
        <v>2.4398508980006776E-2</v>
      </c>
      <c r="AF1694" s="845">
        <v>5.032192477126398E-2</v>
      </c>
      <c r="AG1694" s="845">
        <v>0.93239579803456452</v>
      </c>
      <c r="AH1694" s="20" t="str">
        <f t="shared" si="145"/>
        <v>Yes</v>
      </c>
      <c r="AI1694" s="25"/>
      <c r="AJ1694" s="20">
        <v>43560</v>
      </c>
      <c r="AK1694" s="20" t="s">
        <v>995</v>
      </c>
      <c r="AL1694" s="20">
        <v>39095</v>
      </c>
      <c r="AM1694" s="20" t="s">
        <v>53</v>
      </c>
      <c r="AN1694" s="37">
        <f t="shared" si="146"/>
        <v>45780</v>
      </c>
      <c r="AO1694" s="37" t="str">
        <f t="shared" si="147"/>
        <v>Toledo, OH</v>
      </c>
      <c r="AP1694" s="20" t="s">
        <v>8</v>
      </c>
      <c r="AQ1694" s="25"/>
      <c r="AR1694" s="25"/>
      <c r="AS1694" s="25"/>
      <c r="AT1694" s="25"/>
      <c r="AU1694" s="36"/>
      <c r="AV1694" s="36"/>
      <c r="AW1694" s="36"/>
      <c r="AX1694" s="25"/>
      <c r="AY1694" s="25"/>
      <c r="AZ1694" s="25"/>
      <c r="BA1694" s="25"/>
      <c r="BB1694" s="25"/>
      <c r="BC1694" s="25"/>
      <c r="BD1694" s="25"/>
      <c r="BE1694" s="25"/>
      <c r="BF1694" s="25"/>
      <c r="BG1694" s="25"/>
      <c r="BH1694" s="25"/>
      <c r="BI1694" s="25"/>
      <c r="BJ1694" s="25"/>
      <c r="BK1694" s="25"/>
      <c r="BL1694" s="25"/>
      <c r="BM1694" s="25"/>
      <c r="BN1694" s="25"/>
      <c r="BO1694" s="25"/>
      <c r="BP1694" s="25"/>
      <c r="BQ1694" s="25"/>
      <c r="BR1694" s="25"/>
      <c r="BS1694" s="25"/>
      <c r="BT1694" s="25"/>
      <c r="CD1694" s="25"/>
      <c r="CE1694" s="200"/>
      <c r="CF1694" s="200"/>
      <c r="CG1694" s="200"/>
      <c r="CH1694" s="200"/>
      <c r="CI1694" s="200"/>
      <c r="CJ1694" s="200"/>
      <c r="CK1694" s="200"/>
      <c r="CL1694" s="200"/>
      <c r="CM1694" s="200"/>
      <c r="CN1694" s="200"/>
      <c r="CO1694" s="200"/>
      <c r="CP1694" s="200"/>
      <c r="CQ1694" s="200"/>
      <c r="CR1694" s="200"/>
      <c r="CS1694" s="200"/>
      <c r="CT1694" s="200"/>
      <c r="CU1694" s="200"/>
    </row>
    <row r="1695" spans="1:99" s="17" customFormat="1" x14ac:dyDescent="0.2">
      <c r="A1695" s="25"/>
      <c r="B1695" s="20">
        <v>39113050101</v>
      </c>
      <c r="C1695" s="20">
        <v>501.01</v>
      </c>
      <c r="D1695" s="20" t="s">
        <v>62</v>
      </c>
      <c r="E1695" s="20" t="s">
        <v>2833</v>
      </c>
      <c r="F1695" s="20" t="s">
        <v>8</v>
      </c>
      <c r="G1695" s="861">
        <v>47.860055521928402</v>
      </c>
      <c r="H1695" s="861">
        <v>55.3538894761029</v>
      </c>
      <c r="I1695" s="861">
        <v>29.932231191924298</v>
      </c>
      <c r="J1695" s="861">
        <v>39.705134563317998</v>
      </c>
      <c r="K1695" s="982">
        <v>0</v>
      </c>
      <c r="L1695" s="735">
        <v>3738</v>
      </c>
      <c r="M1695" s="735">
        <v>3674</v>
      </c>
      <c r="N1695" s="845">
        <f t="shared" si="143"/>
        <v>-1.7121455323702513E-2</v>
      </c>
      <c r="O1695" s="735">
        <v>1.3123276461682289</v>
      </c>
      <c r="P1695" s="735">
        <f t="shared" si="144"/>
        <v>2799.6057316383208</v>
      </c>
      <c r="Q1695" s="849">
        <v>39.5</v>
      </c>
      <c r="R1695" s="71">
        <v>58895</v>
      </c>
      <c r="S1695" s="845">
        <v>0.13680210464776382</v>
      </c>
      <c r="T1695" s="845">
        <v>1.9E-2</v>
      </c>
      <c r="U1695" s="845">
        <v>4.2000000000000003E-2</v>
      </c>
      <c r="V1695" s="845">
        <v>0.122</v>
      </c>
      <c r="W1695" s="845">
        <v>0.33314187248707638</v>
      </c>
      <c r="X1695" s="845">
        <v>0.33793103448275863</v>
      </c>
      <c r="Y1695" s="845">
        <v>0.74850299401197606</v>
      </c>
      <c r="Z1695" s="845">
        <v>0.13554708764289602</v>
      </c>
      <c r="AA1695" s="845">
        <v>0</v>
      </c>
      <c r="AB1695" s="845">
        <v>3.8377789874795863E-2</v>
      </c>
      <c r="AC1695" s="845">
        <v>0</v>
      </c>
      <c r="AD1695" s="845">
        <v>2.9123571039738703E-2</v>
      </c>
      <c r="AE1695" s="845">
        <v>4.8448557430593356E-2</v>
      </c>
      <c r="AF1695" s="845">
        <v>3.9194338595536199E-2</v>
      </c>
      <c r="AG1695" s="845">
        <v>0.74632553075666852</v>
      </c>
      <c r="AH1695" s="20" t="str">
        <f t="shared" si="145"/>
        <v>No</v>
      </c>
      <c r="AI1695" s="25"/>
      <c r="AJ1695" s="20">
        <v>43566</v>
      </c>
      <c r="AK1695" s="20" t="s">
        <v>997</v>
      </c>
      <c r="AL1695" s="20">
        <v>39095</v>
      </c>
      <c r="AM1695" s="20" t="s">
        <v>53</v>
      </c>
      <c r="AN1695" s="37">
        <f t="shared" si="146"/>
        <v>45780</v>
      </c>
      <c r="AO1695" s="37" t="str">
        <f t="shared" si="147"/>
        <v>Toledo, OH</v>
      </c>
      <c r="AP1695" s="20" t="s">
        <v>8</v>
      </c>
      <c r="AQ1695" s="25"/>
      <c r="AR1695" s="25"/>
      <c r="AS1695" s="25"/>
      <c r="AT1695" s="25"/>
      <c r="AU1695" s="36"/>
      <c r="AV1695" s="36"/>
      <c r="AW1695" s="36"/>
      <c r="AX1695" s="25"/>
      <c r="AY1695" s="25"/>
      <c r="AZ1695" s="25"/>
      <c r="BA1695" s="25"/>
      <c r="BB1695" s="25"/>
      <c r="BC1695" s="25"/>
      <c r="BD1695" s="25"/>
      <c r="BE1695" s="25"/>
      <c r="BF1695" s="25"/>
      <c r="BG1695" s="25"/>
      <c r="BH1695" s="25"/>
      <c r="BI1695" s="25"/>
      <c r="BJ1695" s="25"/>
      <c r="BK1695" s="25"/>
      <c r="BL1695" s="25"/>
      <c r="BM1695" s="25"/>
      <c r="BN1695" s="25"/>
      <c r="BO1695" s="25"/>
      <c r="BP1695" s="25"/>
      <c r="BQ1695" s="25"/>
      <c r="BR1695" s="25"/>
      <c r="BS1695" s="25"/>
      <c r="BT1695" s="25"/>
      <c r="CD1695" s="25"/>
      <c r="CE1695" s="200"/>
      <c r="CF1695" s="200"/>
      <c r="CG1695" s="200"/>
      <c r="CH1695" s="200"/>
      <c r="CI1695" s="200"/>
      <c r="CJ1695" s="200"/>
      <c r="CK1695" s="200"/>
      <c r="CL1695" s="200"/>
      <c r="CM1695" s="200"/>
      <c r="CN1695" s="200"/>
      <c r="CO1695" s="200"/>
      <c r="CP1695" s="200"/>
      <c r="CQ1695" s="200"/>
      <c r="CR1695" s="200"/>
      <c r="CS1695" s="200"/>
      <c r="CT1695" s="200"/>
      <c r="CU1695" s="200"/>
    </row>
    <row r="1696" spans="1:99" s="17" customFormat="1" x14ac:dyDescent="0.2">
      <c r="A1696" s="25"/>
      <c r="B1696" s="20">
        <v>39023003101</v>
      </c>
      <c r="C1696" s="20">
        <v>31.01</v>
      </c>
      <c r="D1696" s="20" t="s">
        <v>18</v>
      </c>
      <c r="E1696" s="20" t="s">
        <v>2838</v>
      </c>
      <c r="F1696" s="20" t="s">
        <v>8</v>
      </c>
      <c r="G1696" s="861">
        <v>47.850034308467201</v>
      </c>
      <c r="H1696" s="861">
        <v>48.787239395917297</v>
      </c>
      <c r="I1696" s="861">
        <v>25.8801167477157</v>
      </c>
      <c r="J1696" s="861">
        <v>47.429472265010197</v>
      </c>
      <c r="K1696" s="982">
        <v>0</v>
      </c>
      <c r="L1696" s="735">
        <v>2580</v>
      </c>
      <c r="M1696" s="735">
        <v>2456</v>
      </c>
      <c r="N1696" s="845">
        <f t="shared" si="143"/>
        <v>-4.8062015503875968E-2</v>
      </c>
      <c r="O1696" s="735">
        <v>2.6501990389446228</v>
      </c>
      <c r="P1696" s="735">
        <f t="shared" si="144"/>
        <v>926.72284757074021</v>
      </c>
      <c r="Q1696" s="849">
        <v>38.4</v>
      </c>
      <c r="R1696" s="71">
        <v>72826</v>
      </c>
      <c r="S1696" s="845">
        <v>7.5325732899022807E-2</v>
      </c>
      <c r="T1696" s="845">
        <v>8.3000000000000004E-2</v>
      </c>
      <c r="U1696" s="845">
        <v>0</v>
      </c>
      <c r="V1696" s="845">
        <v>0.13100000000000001</v>
      </c>
      <c r="W1696" s="845">
        <v>0.29174664107485604</v>
      </c>
      <c r="X1696" s="845">
        <v>0.19407894736842105</v>
      </c>
      <c r="Y1696" s="845">
        <v>0.96335504885993484</v>
      </c>
      <c r="Z1696" s="845">
        <v>8.5504885993485345E-3</v>
      </c>
      <c r="AA1696" s="845">
        <v>0</v>
      </c>
      <c r="AB1696" s="845">
        <v>8.5504885993485345E-3</v>
      </c>
      <c r="AC1696" s="845">
        <v>0</v>
      </c>
      <c r="AD1696" s="845">
        <v>0</v>
      </c>
      <c r="AE1696" s="845">
        <v>1.9543973941368076E-2</v>
      </c>
      <c r="AF1696" s="845">
        <v>1.5472312703583062E-2</v>
      </c>
      <c r="AG1696" s="845">
        <v>0.96335504885993484</v>
      </c>
      <c r="AH1696" s="20" t="str">
        <f t="shared" si="145"/>
        <v>Yes</v>
      </c>
      <c r="AI1696" s="25"/>
      <c r="AJ1696" s="37">
        <v>43571</v>
      </c>
      <c r="AK1696" s="37" t="s">
        <v>1001</v>
      </c>
      <c r="AL1696" s="37">
        <v>39095</v>
      </c>
      <c r="AM1696" s="37" t="s">
        <v>53</v>
      </c>
      <c r="AN1696" s="37">
        <f t="shared" si="146"/>
        <v>45780</v>
      </c>
      <c r="AO1696" s="37" t="str">
        <f t="shared" si="147"/>
        <v>Toledo, OH</v>
      </c>
      <c r="AP1696" s="20" t="s">
        <v>8</v>
      </c>
      <c r="AQ1696" s="25"/>
      <c r="AR1696" s="25"/>
      <c r="AS1696" s="25"/>
      <c r="AT1696" s="25"/>
      <c r="AU1696" s="36"/>
      <c r="AV1696" s="36"/>
      <c r="AW1696" s="36"/>
      <c r="AX1696" s="25"/>
      <c r="AY1696" s="25"/>
      <c r="AZ1696" s="25"/>
      <c r="BA1696" s="25"/>
      <c r="BB1696" s="25"/>
      <c r="BC1696" s="25"/>
      <c r="BD1696" s="25"/>
      <c r="BE1696" s="25"/>
      <c r="BF1696" s="25"/>
      <c r="BG1696" s="25"/>
      <c r="BH1696" s="25"/>
      <c r="BI1696" s="25"/>
      <c r="BJ1696" s="25"/>
      <c r="BK1696" s="25"/>
      <c r="BL1696" s="25"/>
      <c r="BM1696" s="25"/>
      <c r="BN1696" s="25"/>
      <c r="BO1696" s="25"/>
      <c r="BP1696" s="25"/>
      <c r="BQ1696" s="25"/>
      <c r="BR1696" s="25"/>
      <c r="BS1696" s="25"/>
      <c r="BT1696" s="25"/>
      <c r="CD1696" s="25"/>
      <c r="CE1696" s="200"/>
      <c r="CF1696" s="200"/>
      <c r="CG1696" s="200"/>
      <c r="CH1696" s="200"/>
      <c r="CI1696" s="200"/>
      <c r="CJ1696" s="200"/>
      <c r="CK1696" s="200"/>
      <c r="CL1696" s="200"/>
      <c r="CM1696" s="200"/>
      <c r="CN1696" s="200"/>
      <c r="CO1696" s="200"/>
      <c r="CP1696" s="200"/>
      <c r="CQ1696" s="200"/>
      <c r="CR1696" s="200"/>
      <c r="CS1696" s="200"/>
      <c r="CT1696" s="200"/>
      <c r="CU1696" s="200"/>
    </row>
    <row r="1697" spans="1:99" s="17" customFormat="1" x14ac:dyDescent="0.2">
      <c r="A1697" s="25"/>
      <c r="B1697" s="20">
        <v>39045032200</v>
      </c>
      <c r="C1697" s="20">
        <v>322</v>
      </c>
      <c r="D1697" s="20" t="s">
        <v>29</v>
      </c>
      <c r="E1697" s="20" t="s">
        <v>2830</v>
      </c>
      <c r="F1697" s="20" t="s">
        <v>6</v>
      </c>
      <c r="G1697" s="861">
        <v>47.8422738276562</v>
      </c>
      <c r="H1697" s="861">
        <v>56.784276180953697</v>
      </c>
      <c r="I1697" s="861">
        <v>50.6984011420355</v>
      </c>
      <c r="J1697" s="861">
        <v>39.310978092010203</v>
      </c>
      <c r="K1697" s="982">
        <v>2</v>
      </c>
      <c r="L1697" s="735">
        <v>3816</v>
      </c>
      <c r="M1697" s="735">
        <v>2974</v>
      </c>
      <c r="N1697" s="845">
        <f t="shared" si="143"/>
        <v>-0.22064989517819705</v>
      </c>
      <c r="O1697" s="735">
        <v>1.2470064968753853</v>
      </c>
      <c r="P1697" s="735">
        <f t="shared" si="144"/>
        <v>2384.9113917625364</v>
      </c>
      <c r="Q1697" s="849">
        <v>31.6</v>
      </c>
      <c r="R1697" s="71">
        <v>47414</v>
      </c>
      <c r="S1697" s="845">
        <v>0.14167528438469493</v>
      </c>
      <c r="T1697" s="845">
        <v>3.5000000000000003E-2</v>
      </c>
      <c r="U1697" s="845">
        <v>0</v>
      </c>
      <c r="V1697" s="845">
        <v>0.13400000000000001</v>
      </c>
      <c r="W1697" s="845">
        <v>0.54107008289374525</v>
      </c>
      <c r="X1697" s="845">
        <v>0.38579387186629527</v>
      </c>
      <c r="Y1697" s="845">
        <v>0.90719569603227979</v>
      </c>
      <c r="Z1697" s="845">
        <v>2.3537323470073975E-3</v>
      </c>
      <c r="AA1697" s="845">
        <v>0</v>
      </c>
      <c r="AB1697" s="845">
        <v>0</v>
      </c>
      <c r="AC1697" s="845">
        <v>0</v>
      </c>
      <c r="AD1697" s="845">
        <v>3.1943510423671821E-2</v>
      </c>
      <c r="AE1697" s="845">
        <v>5.8507061197041021E-2</v>
      </c>
      <c r="AF1697" s="845">
        <v>0.11062542030934767</v>
      </c>
      <c r="AG1697" s="845">
        <v>0.86449226630800269</v>
      </c>
      <c r="AH1697" s="20" t="str">
        <f t="shared" si="145"/>
        <v>No</v>
      </c>
      <c r="AI1697" s="25"/>
      <c r="AJ1697" s="20">
        <v>43604</v>
      </c>
      <c r="AK1697" s="20" t="s">
        <v>1002</v>
      </c>
      <c r="AL1697" s="20">
        <v>39095</v>
      </c>
      <c r="AM1697" s="20" t="s">
        <v>53</v>
      </c>
      <c r="AN1697" s="37">
        <f t="shared" si="146"/>
        <v>45780</v>
      </c>
      <c r="AO1697" s="37" t="str">
        <f t="shared" si="147"/>
        <v>Toledo, OH</v>
      </c>
      <c r="AP1697" s="20" t="s">
        <v>8</v>
      </c>
      <c r="AQ1697" s="25"/>
      <c r="AR1697" s="25"/>
      <c r="AS1697" s="25"/>
      <c r="AT1697" s="25"/>
      <c r="AU1697" s="36"/>
      <c r="AV1697" s="36"/>
      <c r="AW1697" s="36"/>
      <c r="AX1697" s="25"/>
      <c r="AY1697" s="25"/>
      <c r="AZ1697" s="25"/>
      <c r="BA1697" s="25"/>
      <c r="BB1697" s="25"/>
      <c r="BC1697" s="25"/>
      <c r="BD1697" s="25"/>
      <c r="BE1697" s="25"/>
      <c r="BF1697" s="25"/>
      <c r="BG1697" s="25"/>
      <c r="BH1697" s="25"/>
      <c r="BI1697" s="25"/>
      <c r="BJ1697" s="25"/>
      <c r="BK1697" s="25"/>
      <c r="BL1697" s="25"/>
      <c r="BM1697" s="25"/>
      <c r="BN1697" s="25"/>
      <c r="BO1697" s="25"/>
      <c r="BP1697" s="25"/>
      <c r="BQ1697" s="25"/>
      <c r="BR1697" s="25"/>
      <c r="BS1697" s="25"/>
      <c r="BT1697" s="25"/>
      <c r="CD1697" s="25"/>
      <c r="CE1697" s="200"/>
      <c r="CF1697" s="200"/>
      <c r="CG1697" s="200"/>
      <c r="CH1697" s="200"/>
      <c r="CI1697" s="200"/>
      <c r="CJ1697" s="200"/>
      <c r="CK1697" s="200"/>
      <c r="CL1697" s="200"/>
      <c r="CM1697" s="200"/>
      <c r="CN1697" s="200"/>
      <c r="CO1697" s="200"/>
      <c r="CP1697" s="200"/>
      <c r="CQ1697" s="200"/>
      <c r="CR1697" s="200"/>
      <c r="CS1697" s="200"/>
      <c r="CT1697" s="200"/>
      <c r="CU1697" s="200"/>
    </row>
    <row r="1698" spans="1:99" s="17" customFormat="1" x14ac:dyDescent="0.2">
      <c r="A1698" s="25"/>
      <c r="B1698" s="20">
        <v>39099811001</v>
      </c>
      <c r="C1698" s="20">
        <v>8110.01</v>
      </c>
      <c r="D1698" s="20" t="s">
        <v>55</v>
      </c>
      <c r="E1698" s="20" t="s">
        <v>2842</v>
      </c>
      <c r="F1698" s="20" t="s">
        <v>8</v>
      </c>
      <c r="G1698" s="861">
        <v>47.836347822795297</v>
      </c>
      <c r="H1698" s="861">
        <v>44.530201759828103</v>
      </c>
      <c r="I1698" s="861">
        <v>28.808892628497802</v>
      </c>
      <c r="J1698" s="861">
        <v>37.600522309835803</v>
      </c>
      <c r="K1698" s="982">
        <v>0</v>
      </c>
      <c r="L1698" s="735">
        <v>3954</v>
      </c>
      <c r="M1698" s="735">
        <v>3844</v>
      </c>
      <c r="N1698" s="845">
        <f t="shared" si="143"/>
        <v>-2.7819929185634799E-2</v>
      </c>
      <c r="O1698" s="735">
        <v>4.2826833672220994</v>
      </c>
      <c r="P1698" s="735">
        <f t="shared" si="144"/>
        <v>897.56810634668864</v>
      </c>
      <c r="Q1698" s="849">
        <v>47.5</v>
      </c>
      <c r="R1698" s="71">
        <v>76000</v>
      </c>
      <c r="S1698" s="845">
        <v>0.11870597443255936</v>
      </c>
      <c r="T1698" s="845">
        <v>1.2E-2</v>
      </c>
      <c r="U1698" s="845">
        <v>0</v>
      </c>
      <c r="V1698" s="845">
        <v>0.17199999999999999</v>
      </c>
      <c r="W1698" s="845">
        <v>0.13402625820568928</v>
      </c>
      <c r="X1698" s="845">
        <v>0.71836734693877546</v>
      </c>
      <c r="Y1698" s="845">
        <v>0.95031217481789798</v>
      </c>
      <c r="Z1698" s="845">
        <v>8.8449531737773146E-3</v>
      </c>
      <c r="AA1698" s="845">
        <v>0</v>
      </c>
      <c r="AB1698" s="845">
        <v>0</v>
      </c>
      <c r="AC1698" s="845">
        <v>0</v>
      </c>
      <c r="AD1698" s="845">
        <v>3.1997918834547348E-2</v>
      </c>
      <c r="AE1698" s="845">
        <v>8.8449531737773146E-3</v>
      </c>
      <c r="AF1698" s="845">
        <v>4.760665972944849E-2</v>
      </c>
      <c r="AG1698" s="845">
        <v>0.93288241415192508</v>
      </c>
      <c r="AH1698" s="20" t="str">
        <f t="shared" si="145"/>
        <v>Yes</v>
      </c>
      <c r="AI1698" s="25"/>
      <c r="AJ1698" s="20">
        <v>43605</v>
      </c>
      <c r="AK1698" s="20" t="s">
        <v>1003</v>
      </c>
      <c r="AL1698" s="20">
        <v>39095</v>
      </c>
      <c r="AM1698" s="20" t="s">
        <v>53</v>
      </c>
      <c r="AN1698" s="37">
        <f t="shared" si="146"/>
        <v>45780</v>
      </c>
      <c r="AO1698" s="37" t="str">
        <f t="shared" si="147"/>
        <v>Toledo, OH</v>
      </c>
      <c r="AP1698" s="20" t="s">
        <v>8</v>
      </c>
      <c r="AQ1698" s="25"/>
      <c r="AR1698" s="25"/>
      <c r="AS1698" s="25"/>
      <c r="AT1698" s="25"/>
      <c r="AU1698" s="36"/>
      <c r="AV1698" s="36"/>
      <c r="AW1698" s="36"/>
      <c r="AX1698" s="25"/>
      <c r="AY1698" s="25"/>
      <c r="AZ1698" s="25"/>
      <c r="BA1698" s="25"/>
      <c r="BB1698" s="25"/>
      <c r="BC1698" s="25"/>
      <c r="BD1698" s="25"/>
      <c r="BE1698" s="25"/>
      <c r="BF1698" s="25"/>
      <c r="BG1698" s="25"/>
      <c r="BH1698" s="25"/>
      <c r="BI1698" s="25"/>
      <c r="BJ1698" s="25"/>
      <c r="BK1698" s="25"/>
      <c r="BL1698" s="25"/>
      <c r="BM1698" s="25"/>
      <c r="BN1698" s="25"/>
      <c r="BO1698" s="25"/>
      <c r="BP1698" s="25"/>
      <c r="BQ1698" s="25"/>
      <c r="BR1698" s="25"/>
      <c r="BS1698" s="25"/>
      <c r="BT1698" s="25"/>
      <c r="CD1698" s="25"/>
      <c r="CE1698" s="200"/>
      <c r="CF1698" s="200"/>
      <c r="CG1698" s="200"/>
      <c r="CH1698" s="200"/>
      <c r="CI1698" s="200"/>
      <c r="CJ1698" s="200"/>
      <c r="CK1698" s="200"/>
      <c r="CL1698" s="200"/>
      <c r="CM1698" s="200"/>
      <c r="CN1698" s="200"/>
      <c r="CO1698" s="200"/>
      <c r="CP1698" s="200"/>
      <c r="CQ1698" s="200"/>
      <c r="CR1698" s="200"/>
      <c r="CS1698" s="200"/>
      <c r="CT1698" s="200"/>
      <c r="CU1698" s="200"/>
    </row>
    <row r="1699" spans="1:99" s="17" customFormat="1" x14ac:dyDescent="0.2">
      <c r="A1699" s="25"/>
      <c r="B1699" s="20">
        <v>39155932000</v>
      </c>
      <c r="C1699" s="20">
        <v>9320</v>
      </c>
      <c r="D1699" s="20" t="s">
        <v>83</v>
      </c>
      <c r="E1699" s="20" t="s">
        <v>2842</v>
      </c>
      <c r="F1699" s="20" t="s">
        <v>8</v>
      </c>
      <c r="G1699" s="861">
        <v>47.817292892220401</v>
      </c>
      <c r="H1699" s="861">
        <v>57.328674477279598</v>
      </c>
      <c r="I1699" s="861">
        <v>27.3766069476622</v>
      </c>
      <c r="J1699" s="861">
        <v>42.970895182589402</v>
      </c>
      <c r="K1699" s="982">
        <v>1</v>
      </c>
      <c r="L1699" s="735">
        <v>6069</v>
      </c>
      <c r="M1699" s="735">
        <v>5540</v>
      </c>
      <c r="N1699" s="845">
        <f t="shared" si="143"/>
        <v>-8.7164277475696161E-2</v>
      </c>
      <c r="O1699" s="735">
        <v>12.37401356255647</v>
      </c>
      <c r="P1699" s="735">
        <f t="shared" si="144"/>
        <v>447.71245578426829</v>
      </c>
      <c r="Q1699" s="849">
        <v>46</v>
      </c>
      <c r="R1699" s="71">
        <v>78402</v>
      </c>
      <c r="S1699" s="845">
        <v>0.13700361010830325</v>
      </c>
      <c r="T1699" s="845">
        <v>3.1E-2</v>
      </c>
      <c r="U1699" s="845">
        <v>0</v>
      </c>
      <c r="V1699" s="845">
        <v>0</v>
      </c>
      <c r="W1699" s="845">
        <v>8.6183310533515731E-2</v>
      </c>
      <c r="X1699" s="845">
        <v>0.57671957671957674</v>
      </c>
      <c r="Y1699" s="845">
        <v>0.88519855595667873</v>
      </c>
      <c r="Z1699" s="845">
        <v>5.4873646209386284E-2</v>
      </c>
      <c r="AA1699" s="845">
        <v>0</v>
      </c>
      <c r="AB1699" s="845">
        <v>1.263537906137184E-2</v>
      </c>
      <c r="AC1699" s="845">
        <v>0</v>
      </c>
      <c r="AD1699" s="845">
        <v>0</v>
      </c>
      <c r="AE1699" s="845">
        <v>4.7292418772563176E-2</v>
      </c>
      <c r="AF1699" s="845">
        <v>3.3754512635379062E-2</v>
      </c>
      <c r="AG1699" s="845">
        <v>0.8541516245487365</v>
      </c>
      <c r="AH1699" s="20" t="str">
        <f t="shared" si="145"/>
        <v>No</v>
      </c>
      <c r="AI1699" s="25"/>
      <c r="AJ1699" s="20">
        <v>43606</v>
      </c>
      <c r="AK1699" s="20" t="s">
        <v>1004</v>
      </c>
      <c r="AL1699" s="20">
        <v>39095</v>
      </c>
      <c r="AM1699" s="20" t="s">
        <v>53</v>
      </c>
      <c r="AN1699" s="37">
        <f t="shared" si="146"/>
        <v>45780</v>
      </c>
      <c r="AO1699" s="37" t="str">
        <f t="shared" si="147"/>
        <v>Toledo, OH</v>
      </c>
      <c r="AP1699" s="20" t="s">
        <v>8</v>
      </c>
      <c r="AQ1699" s="25"/>
      <c r="AR1699" s="25"/>
      <c r="AS1699" s="25"/>
      <c r="AT1699" s="25"/>
      <c r="AU1699" s="36"/>
      <c r="AV1699" s="36"/>
      <c r="AW1699" s="36"/>
      <c r="AX1699" s="25"/>
      <c r="AY1699" s="25"/>
      <c r="AZ1699" s="25"/>
      <c r="BA1699" s="25"/>
      <c r="BB1699" s="25"/>
      <c r="BC1699" s="25"/>
      <c r="BD1699" s="25"/>
      <c r="BE1699" s="25"/>
      <c r="BF1699" s="25"/>
      <c r="BG1699" s="25"/>
      <c r="BH1699" s="25"/>
      <c r="BI1699" s="25"/>
      <c r="BJ1699" s="25"/>
      <c r="BK1699" s="25"/>
      <c r="BL1699" s="25"/>
      <c r="BM1699" s="25"/>
      <c r="BN1699" s="25"/>
      <c r="BO1699" s="25"/>
      <c r="BP1699" s="25"/>
      <c r="BQ1699" s="25"/>
      <c r="BR1699" s="25"/>
      <c r="BS1699" s="25"/>
      <c r="BT1699" s="25"/>
      <c r="CD1699" s="25"/>
      <c r="CE1699" s="200"/>
      <c r="CF1699" s="200"/>
      <c r="CG1699" s="200"/>
      <c r="CH1699" s="200"/>
      <c r="CI1699" s="200"/>
      <c r="CJ1699" s="200"/>
      <c r="CK1699" s="200"/>
      <c r="CL1699" s="200"/>
      <c r="CM1699" s="200"/>
      <c r="CN1699" s="200"/>
      <c r="CO1699" s="200"/>
      <c r="CP1699" s="200"/>
      <c r="CQ1699" s="200"/>
      <c r="CR1699" s="200"/>
      <c r="CS1699" s="200"/>
      <c r="CT1699" s="200"/>
      <c r="CU1699" s="200"/>
    </row>
    <row r="1700" spans="1:99" s="17" customFormat="1" x14ac:dyDescent="0.2">
      <c r="A1700" s="25"/>
      <c r="B1700" s="20">
        <v>39051040200</v>
      </c>
      <c r="C1700" s="20">
        <v>402</v>
      </c>
      <c r="D1700" s="20" t="s">
        <v>32</v>
      </c>
      <c r="E1700" s="20" t="s">
        <v>2839</v>
      </c>
      <c r="F1700" s="20" t="s">
        <v>8</v>
      </c>
      <c r="G1700" s="861">
        <v>47.816734551271097</v>
      </c>
      <c r="H1700" s="861">
        <v>51.565413586549603</v>
      </c>
      <c r="I1700" s="861">
        <v>31.700653579086701</v>
      </c>
      <c r="J1700" s="861">
        <v>49.622715800899499</v>
      </c>
      <c r="K1700" s="982">
        <v>0</v>
      </c>
      <c r="L1700" s="735">
        <v>4678</v>
      </c>
      <c r="M1700" s="735">
        <v>4708</v>
      </c>
      <c r="N1700" s="845">
        <f t="shared" si="143"/>
        <v>6.412997007268063E-3</v>
      </c>
      <c r="O1700" s="735">
        <v>6.4678540165190181</v>
      </c>
      <c r="P1700" s="735">
        <f t="shared" si="144"/>
        <v>727.90758541792707</v>
      </c>
      <c r="Q1700" s="849">
        <v>43.3</v>
      </c>
      <c r="R1700" s="71">
        <v>72960</v>
      </c>
      <c r="S1700" s="845">
        <v>7.3218997361477578E-2</v>
      </c>
      <c r="T1700" s="845">
        <v>1.2E-2</v>
      </c>
      <c r="U1700" s="845">
        <v>0</v>
      </c>
      <c r="V1700" s="845">
        <v>0</v>
      </c>
      <c r="W1700" s="845">
        <v>0.21096837944664032</v>
      </c>
      <c r="X1700" s="845">
        <v>0.19203747072599531</v>
      </c>
      <c r="Y1700" s="845">
        <v>0.93245539507221753</v>
      </c>
      <c r="Z1700" s="845">
        <v>1.0620220900594733E-3</v>
      </c>
      <c r="AA1700" s="845">
        <v>2.5488530161427358E-3</v>
      </c>
      <c r="AB1700" s="845">
        <v>0</v>
      </c>
      <c r="AC1700" s="845">
        <v>0</v>
      </c>
      <c r="AD1700" s="845">
        <v>3.7383177570093455E-2</v>
      </c>
      <c r="AE1700" s="845">
        <v>2.6550552251486829E-2</v>
      </c>
      <c r="AF1700" s="845">
        <v>4.8003398470688192E-2</v>
      </c>
      <c r="AG1700" s="845">
        <v>0.90824129141886156</v>
      </c>
      <c r="AH1700" s="20" t="str">
        <f t="shared" si="145"/>
        <v>Yes</v>
      </c>
      <c r="AI1700" s="25"/>
      <c r="AJ1700" s="37">
        <v>43607</v>
      </c>
      <c r="AK1700" s="37" t="s">
        <v>1005</v>
      </c>
      <c r="AL1700" s="37">
        <v>39095</v>
      </c>
      <c r="AM1700" s="37" t="s">
        <v>53</v>
      </c>
      <c r="AN1700" s="37">
        <f t="shared" si="146"/>
        <v>45780</v>
      </c>
      <c r="AO1700" s="37" t="str">
        <f t="shared" si="147"/>
        <v>Toledo, OH</v>
      </c>
      <c r="AP1700" s="20" t="s">
        <v>8</v>
      </c>
      <c r="AQ1700" s="25"/>
      <c r="AR1700" s="25"/>
      <c r="AS1700" s="25"/>
      <c r="AT1700" s="25"/>
      <c r="AU1700" s="36"/>
      <c r="AV1700" s="36"/>
      <c r="AW1700" s="36"/>
      <c r="AX1700" s="25"/>
      <c r="AY1700" s="25"/>
      <c r="AZ1700" s="25"/>
      <c r="BA1700" s="25"/>
      <c r="BB1700" s="25"/>
      <c r="BC1700" s="25"/>
      <c r="BD1700" s="25"/>
      <c r="BE1700" s="25"/>
      <c r="BF1700" s="25"/>
      <c r="BG1700" s="25"/>
      <c r="BH1700" s="25"/>
      <c r="BI1700" s="25"/>
      <c r="BJ1700" s="25"/>
      <c r="BK1700" s="25"/>
      <c r="BL1700" s="25"/>
      <c r="BM1700" s="25"/>
      <c r="BN1700" s="25"/>
      <c r="BO1700" s="25"/>
      <c r="BP1700" s="25"/>
      <c r="BQ1700" s="25"/>
      <c r="BR1700" s="25"/>
      <c r="BS1700" s="25"/>
      <c r="BT1700" s="25"/>
      <c r="CD1700" s="25"/>
      <c r="CE1700" s="200"/>
      <c r="CF1700" s="200"/>
      <c r="CG1700" s="200"/>
      <c r="CH1700" s="200"/>
      <c r="CI1700" s="200"/>
      <c r="CJ1700" s="200"/>
      <c r="CK1700" s="200"/>
      <c r="CL1700" s="200"/>
      <c r="CM1700" s="200"/>
      <c r="CN1700" s="200"/>
      <c r="CO1700" s="200"/>
      <c r="CP1700" s="200"/>
      <c r="CQ1700" s="200"/>
      <c r="CR1700" s="200"/>
      <c r="CS1700" s="200"/>
      <c r="CT1700" s="200"/>
      <c r="CU1700" s="200"/>
    </row>
    <row r="1701" spans="1:99" s="17" customFormat="1" x14ac:dyDescent="0.2">
      <c r="A1701" s="25"/>
      <c r="B1701" s="20">
        <v>39089752801</v>
      </c>
      <c r="C1701" s="20">
        <v>7528.01</v>
      </c>
      <c r="D1701" s="20" t="s">
        <v>50</v>
      </c>
      <c r="E1701" s="20" t="s">
        <v>2830</v>
      </c>
      <c r="F1701" s="20" t="s">
        <v>8</v>
      </c>
      <c r="G1701" s="861">
        <v>47.816414835356198</v>
      </c>
      <c r="H1701" s="861">
        <v>57.702327020064303</v>
      </c>
      <c r="I1701" s="861">
        <v>21.085668432500601</v>
      </c>
      <c r="J1701" s="861">
        <v>65.1256588630133</v>
      </c>
      <c r="K1701" s="982">
        <v>0</v>
      </c>
      <c r="L1701" s="735" t="s">
        <v>2466</v>
      </c>
      <c r="M1701" s="735">
        <v>4358</v>
      </c>
      <c r="N1701" s="845" t="str">
        <f t="shared" si="143"/>
        <v/>
      </c>
      <c r="O1701" s="735">
        <v>7.1056569445023436</v>
      </c>
      <c r="P1701" s="735">
        <f t="shared" si="144"/>
        <v>613.31415716203276</v>
      </c>
      <c r="Q1701" s="849">
        <v>40.700000000000003</v>
      </c>
      <c r="R1701" s="71">
        <v>116655</v>
      </c>
      <c r="S1701" s="845">
        <v>6.7464886023486076E-2</v>
      </c>
      <c r="T1701" s="845">
        <v>5.7999999999999996E-2</v>
      </c>
      <c r="U1701" s="845">
        <v>0</v>
      </c>
      <c r="V1701" s="845">
        <v>0</v>
      </c>
      <c r="W1701" s="845">
        <v>0.16297786720321933</v>
      </c>
      <c r="X1701" s="845">
        <v>0.52263374485596703</v>
      </c>
      <c r="Y1701" s="845">
        <v>0.92381826525929323</v>
      </c>
      <c r="Z1701" s="845">
        <v>6.8838916934373566E-3</v>
      </c>
      <c r="AA1701" s="845">
        <v>0</v>
      </c>
      <c r="AB1701" s="845">
        <v>9.8669114272602106E-3</v>
      </c>
      <c r="AC1701" s="845">
        <v>0</v>
      </c>
      <c r="AD1701" s="845">
        <v>3.6714089031665903E-3</v>
      </c>
      <c r="AE1701" s="845">
        <v>5.5759522716842591E-2</v>
      </c>
      <c r="AF1701" s="845">
        <v>2.1569527306103717E-2</v>
      </c>
      <c r="AG1701" s="845">
        <v>0.91624598439651217</v>
      </c>
      <c r="AH1701" s="20" t="str">
        <f t="shared" si="145"/>
        <v>Yes</v>
      </c>
      <c r="AI1701" s="25"/>
      <c r="AJ1701" s="20">
        <v>43608</v>
      </c>
      <c r="AK1701" s="20" t="s">
        <v>1006</v>
      </c>
      <c r="AL1701" s="20">
        <v>39095</v>
      </c>
      <c r="AM1701" s="20" t="s">
        <v>53</v>
      </c>
      <c r="AN1701" s="37">
        <f t="shared" si="146"/>
        <v>45780</v>
      </c>
      <c r="AO1701" s="37" t="str">
        <f t="shared" si="147"/>
        <v>Toledo, OH</v>
      </c>
      <c r="AP1701" s="20" t="s">
        <v>8</v>
      </c>
      <c r="AQ1701" s="25"/>
      <c r="AR1701" s="25"/>
      <c r="AS1701" s="25"/>
      <c r="AT1701" s="25"/>
      <c r="AU1701" s="36"/>
      <c r="AV1701" s="36"/>
      <c r="AW1701" s="36"/>
      <c r="AX1701" s="25"/>
      <c r="AY1701" s="25"/>
      <c r="AZ1701" s="25"/>
      <c r="BA1701" s="25"/>
      <c r="BB1701" s="25"/>
      <c r="BC1701" s="25"/>
      <c r="BD1701" s="25"/>
      <c r="BE1701" s="25"/>
      <c r="BF1701" s="25"/>
      <c r="BG1701" s="25"/>
      <c r="BH1701" s="25"/>
      <c r="BI1701" s="25"/>
      <c r="BJ1701" s="25"/>
      <c r="BK1701" s="25"/>
      <c r="BL1701" s="25"/>
      <c r="BM1701" s="25"/>
      <c r="BN1701" s="25"/>
      <c r="BO1701" s="25"/>
      <c r="BP1701" s="25"/>
      <c r="BQ1701" s="25"/>
      <c r="BR1701" s="25"/>
      <c r="BS1701" s="25"/>
      <c r="BT1701" s="25"/>
      <c r="CD1701" s="25"/>
      <c r="CE1701" s="200"/>
      <c r="CF1701" s="200"/>
      <c r="CG1701" s="200"/>
      <c r="CH1701" s="200"/>
      <c r="CI1701" s="200"/>
      <c r="CJ1701" s="200"/>
      <c r="CK1701" s="200"/>
      <c r="CL1701" s="200"/>
      <c r="CM1701" s="200"/>
      <c r="CN1701" s="200"/>
      <c r="CO1701" s="200"/>
      <c r="CP1701" s="200"/>
      <c r="CQ1701" s="200"/>
      <c r="CR1701" s="200"/>
      <c r="CS1701" s="200"/>
      <c r="CT1701" s="200"/>
      <c r="CU1701" s="200"/>
    </row>
    <row r="1702" spans="1:99" s="17" customFormat="1" x14ac:dyDescent="0.2">
      <c r="A1702" s="25"/>
      <c r="B1702" s="20">
        <v>39095000602</v>
      </c>
      <c r="C1702" s="20">
        <v>6.02</v>
      </c>
      <c r="D1702" s="20" t="s">
        <v>53</v>
      </c>
      <c r="E1702" s="20" t="s">
        <v>2839</v>
      </c>
      <c r="F1702" s="20" t="s">
        <v>8</v>
      </c>
      <c r="G1702" s="861">
        <v>47.808733573385901</v>
      </c>
      <c r="H1702" s="861">
        <v>74.594034966166305</v>
      </c>
      <c r="I1702" s="861">
        <v>49.157732296844898</v>
      </c>
      <c r="J1702" s="861">
        <v>44.5676262809991</v>
      </c>
      <c r="K1702" s="982">
        <v>0</v>
      </c>
      <c r="L1702" s="735" t="s">
        <v>2466</v>
      </c>
      <c r="M1702" s="735">
        <v>790</v>
      </c>
      <c r="N1702" s="845" t="str">
        <f t="shared" si="143"/>
        <v/>
      </c>
      <c r="O1702" s="735">
        <v>0.50871198787086325</v>
      </c>
      <c r="P1702" s="735">
        <f t="shared" si="144"/>
        <v>1552.9415835204218</v>
      </c>
      <c r="Q1702" s="849">
        <v>34.200000000000003</v>
      </c>
      <c r="R1702" s="71">
        <v>104688</v>
      </c>
      <c r="S1702" s="845">
        <v>0.21392405063291139</v>
      </c>
      <c r="T1702" s="845">
        <v>7.8E-2</v>
      </c>
      <c r="U1702" s="845">
        <v>0</v>
      </c>
      <c r="V1702" s="845">
        <v>0.45100000000000001</v>
      </c>
      <c r="W1702" s="845">
        <v>0.41549295774647887</v>
      </c>
      <c r="X1702" s="845">
        <v>0.33898305084745761</v>
      </c>
      <c r="Y1702" s="845">
        <v>0.35443037974683544</v>
      </c>
      <c r="Z1702" s="845">
        <v>0.58354430379746836</v>
      </c>
      <c r="AA1702" s="845">
        <v>0</v>
      </c>
      <c r="AB1702" s="845">
        <v>6.3291139240506328E-3</v>
      </c>
      <c r="AC1702" s="845">
        <v>0</v>
      </c>
      <c r="AD1702" s="845">
        <v>0</v>
      </c>
      <c r="AE1702" s="845">
        <v>5.5696202531645568E-2</v>
      </c>
      <c r="AF1702" s="845">
        <v>5.5696202531645568E-2</v>
      </c>
      <c r="AG1702" s="845">
        <v>0.35443037974683544</v>
      </c>
      <c r="AH1702" s="20" t="str">
        <f t="shared" si="145"/>
        <v>No</v>
      </c>
      <c r="AI1702" s="25"/>
      <c r="AJ1702" s="20">
        <v>43609</v>
      </c>
      <c r="AK1702" s="20" t="s">
        <v>1007</v>
      </c>
      <c r="AL1702" s="20">
        <v>39095</v>
      </c>
      <c r="AM1702" s="20" t="s">
        <v>53</v>
      </c>
      <c r="AN1702" s="37">
        <f t="shared" si="146"/>
        <v>45780</v>
      </c>
      <c r="AO1702" s="37" t="str">
        <f t="shared" si="147"/>
        <v>Toledo, OH</v>
      </c>
      <c r="AP1702" s="20" t="s">
        <v>8</v>
      </c>
      <c r="AQ1702" s="25"/>
      <c r="AR1702" s="25"/>
      <c r="AS1702" s="25"/>
      <c r="AT1702" s="25"/>
      <c r="AU1702" s="36"/>
      <c r="AV1702" s="36"/>
      <c r="AW1702" s="36"/>
      <c r="AX1702" s="25"/>
      <c r="AY1702" s="25"/>
      <c r="AZ1702" s="25"/>
      <c r="BA1702" s="25"/>
      <c r="BB1702" s="25"/>
      <c r="BC1702" s="25"/>
      <c r="BD1702" s="25"/>
      <c r="BE1702" s="25"/>
      <c r="BF1702" s="25"/>
      <c r="BG1702" s="25"/>
      <c r="BH1702" s="25"/>
      <c r="BI1702" s="25"/>
      <c r="BJ1702" s="25"/>
      <c r="BK1702" s="25"/>
      <c r="BL1702" s="25"/>
      <c r="BM1702" s="25"/>
      <c r="BN1702" s="25"/>
      <c r="BO1702" s="25"/>
      <c r="BP1702" s="25"/>
      <c r="BQ1702" s="25"/>
      <c r="BR1702" s="25"/>
      <c r="BS1702" s="25"/>
      <c r="BT1702" s="25"/>
      <c r="CD1702" s="25"/>
      <c r="CE1702" s="200"/>
      <c r="CF1702" s="200"/>
      <c r="CG1702" s="200"/>
      <c r="CH1702" s="200"/>
      <c r="CI1702" s="200"/>
      <c r="CJ1702" s="200"/>
      <c r="CK1702" s="200"/>
      <c r="CL1702" s="200"/>
      <c r="CM1702" s="200"/>
      <c r="CN1702" s="200"/>
      <c r="CO1702" s="200"/>
      <c r="CP1702" s="200"/>
      <c r="CQ1702" s="200"/>
      <c r="CR1702" s="200"/>
      <c r="CS1702" s="200"/>
      <c r="CT1702" s="200"/>
      <c r="CU1702" s="200"/>
    </row>
    <row r="1703" spans="1:99" s="17" customFormat="1" x14ac:dyDescent="0.2">
      <c r="A1703" s="25"/>
      <c r="B1703" s="20">
        <v>39095004501</v>
      </c>
      <c r="C1703" s="20">
        <v>45.01</v>
      </c>
      <c r="D1703" s="20" t="s">
        <v>53</v>
      </c>
      <c r="E1703" s="20" t="s">
        <v>2839</v>
      </c>
      <c r="F1703" s="20" t="s">
        <v>8</v>
      </c>
      <c r="G1703" s="861">
        <v>47.793929348369304</v>
      </c>
      <c r="H1703" s="861">
        <v>46.127090243185897</v>
      </c>
      <c r="I1703" s="861">
        <v>33.893429236782403</v>
      </c>
      <c r="J1703" s="861">
        <v>35.325573444249898</v>
      </c>
      <c r="K1703" s="982">
        <v>0</v>
      </c>
      <c r="L1703" s="735">
        <v>2718</v>
      </c>
      <c r="M1703" s="735">
        <v>2793</v>
      </c>
      <c r="N1703" s="845">
        <f t="shared" si="143"/>
        <v>2.759381898454746E-2</v>
      </c>
      <c r="O1703" s="735">
        <v>0.71620560451144311</v>
      </c>
      <c r="P1703" s="735">
        <f t="shared" si="144"/>
        <v>3899.718156918409</v>
      </c>
      <c r="Q1703" s="849">
        <v>39.1</v>
      </c>
      <c r="R1703" s="71">
        <v>70927</v>
      </c>
      <c r="S1703" s="845">
        <v>0.10588657573582197</v>
      </c>
      <c r="T1703" s="845">
        <v>2.5000000000000001E-2</v>
      </c>
      <c r="U1703" s="845">
        <v>0</v>
      </c>
      <c r="V1703" s="845">
        <v>0</v>
      </c>
      <c r="W1703" s="845">
        <v>0.33502109704641353</v>
      </c>
      <c r="X1703" s="845">
        <v>0.32241813602015112</v>
      </c>
      <c r="Y1703" s="845">
        <v>0.91979949874686717</v>
      </c>
      <c r="Z1703" s="845">
        <v>3.9026136770497676E-2</v>
      </c>
      <c r="AA1703" s="845">
        <v>0</v>
      </c>
      <c r="AB1703" s="845">
        <v>8.95094880057286E-3</v>
      </c>
      <c r="AC1703" s="845">
        <v>0</v>
      </c>
      <c r="AD1703" s="845">
        <v>1.2531328320802004E-2</v>
      </c>
      <c r="AE1703" s="845">
        <v>1.9692087361260293E-2</v>
      </c>
      <c r="AF1703" s="845">
        <v>9.0583601861797355E-2</v>
      </c>
      <c r="AG1703" s="845">
        <v>0.84998209810239889</v>
      </c>
      <c r="AH1703" s="20" t="str">
        <f t="shared" si="145"/>
        <v>No</v>
      </c>
      <c r="AI1703" s="25"/>
      <c r="AJ1703" s="20">
        <v>43610</v>
      </c>
      <c r="AK1703" s="20" t="s">
        <v>1008</v>
      </c>
      <c r="AL1703" s="20">
        <v>39095</v>
      </c>
      <c r="AM1703" s="20" t="s">
        <v>53</v>
      </c>
      <c r="AN1703" s="37">
        <f t="shared" si="146"/>
        <v>45780</v>
      </c>
      <c r="AO1703" s="37" t="str">
        <f t="shared" si="147"/>
        <v>Toledo, OH</v>
      </c>
      <c r="AP1703" s="20" t="s">
        <v>8</v>
      </c>
      <c r="AQ1703" s="25"/>
      <c r="AR1703" s="25"/>
      <c r="AS1703" s="25"/>
      <c r="AT1703" s="25"/>
      <c r="AU1703" s="36"/>
      <c r="AV1703" s="36"/>
      <c r="AW1703" s="36"/>
      <c r="AX1703" s="25"/>
      <c r="AY1703" s="25"/>
      <c r="AZ1703" s="25"/>
      <c r="BA1703" s="25"/>
      <c r="BB1703" s="25"/>
      <c r="BC1703" s="25"/>
      <c r="BD1703" s="25"/>
      <c r="BE1703" s="25"/>
      <c r="BF1703" s="25"/>
      <c r="BG1703" s="25"/>
      <c r="BH1703" s="25"/>
      <c r="BI1703" s="25"/>
      <c r="BJ1703" s="25"/>
      <c r="BK1703" s="25"/>
      <c r="BL1703" s="25"/>
      <c r="BM1703" s="25"/>
      <c r="BN1703" s="25"/>
      <c r="BO1703" s="25"/>
      <c r="BP1703" s="25"/>
      <c r="BQ1703" s="25"/>
      <c r="BR1703" s="25"/>
      <c r="BS1703" s="25"/>
      <c r="BT1703" s="25"/>
      <c r="CD1703" s="25"/>
      <c r="CE1703" s="200"/>
      <c r="CF1703" s="200"/>
      <c r="CG1703" s="200"/>
      <c r="CH1703" s="200"/>
      <c r="CI1703" s="200"/>
      <c r="CJ1703" s="200"/>
      <c r="CK1703" s="200"/>
      <c r="CL1703" s="200"/>
      <c r="CM1703" s="200"/>
      <c r="CN1703" s="200"/>
      <c r="CO1703" s="200"/>
      <c r="CP1703" s="200"/>
      <c r="CQ1703" s="200"/>
      <c r="CR1703" s="200"/>
      <c r="CS1703" s="200"/>
      <c r="CT1703" s="200"/>
      <c r="CU1703" s="200"/>
    </row>
    <row r="1704" spans="1:99" s="17" customFormat="1" x14ac:dyDescent="0.2">
      <c r="A1704" s="25"/>
      <c r="B1704" s="20">
        <v>39017011300</v>
      </c>
      <c r="C1704" s="20">
        <v>113</v>
      </c>
      <c r="D1704" s="20" t="s">
        <v>15</v>
      </c>
      <c r="E1704" s="20" t="s">
        <v>2828</v>
      </c>
      <c r="F1704" s="20" t="s">
        <v>8</v>
      </c>
      <c r="G1704" s="861">
        <v>47.793084550168302</v>
      </c>
      <c r="H1704" s="861">
        <v>42.636673105462997</v>
      </c>
      <c r="I1704" s="861">
        <v>36.395186030469702</v>
      </c>
      <c r="J1704" s="861">
        <v>38.559384932045198</v>
      </c>
      <c r="K1704" s="982">
        <v>0</v>
      </c>
      <c r="L1704" s="735">
        <v>5253</v>
      </c>
      <c r="M1704" s="735">
        <v>7175</v>
      </c>
      <c r="N1704" s="845">
        <f t="shared" si="143"/>
        <v>0.36588616028935844</v>
      </c>
      <c r="O1704" s="735">
        <v>6.4319534656087676</v>
      </c>
      <c r="P1704" s="735">
        <f t="shared" si="144"/>
        <v>1115.5242397763375</v>
      </c>
      <c r="Q1704" s="849">
        <v>36.200000000000003</v>
      </c>
      <c r="R1704" s="71">
        <v>95493</v>
      </c>
      <c r="S1704" s="845">
        <v>0.12531071794121948</v>
      </c>
      <c r="T1704" s="845">
        <v>0.02</v>
      </c>
      <c r="U1704" s="845">
        <v>4.4999999999999998E-2</v>
      </c>
      <c r="V1704" s="845">
        <v>0</v>
      </c>
      <c r="W1704" s="845">
        <v>0.225557461406518</v>
      </c>
      <c r="X1704" s="845">
        <v>0.61216730038022815</v>
      </c>
      <c r="Y1704" s="845">
        <v>0.85825783972125436</v>
      </c>
      <c r="Z1704" s="845">
        <v>2.4668989547038327E-2</v>
      </c>
      <c r="AA1704" s="845">
        <v>1.2543554006968641E-3</v>
      </c>
      <c r="AB1704" s="845">
        <v>2.3693379790940768E-2</v>
      </c>
      <c r="AC1704" s="845">
        <v>0</v>
      </c>
      <c r="AD1704" s="845">
        <v>7.6236933797909412E-2</v>
      </c>
      <c r="AE1704" s="845">
        <v>1.588850174216028E-2</v>
      </c>
      <c r="AF1704" s="845">
        <v>0.10118466898954703</v>
      </c>
      <c r="AG1704" s="845">
        <v>0.84766550522648088</v>
      </c>
      <c r="AH1704" s="20" t="str">
        <f t="shared" si="145"/>
        <v>No</v>
      </c>
      <c r="AI1704" s="25"/>
      <c r="AJ1704" s="20">
        <v>43611</v>
      </c>
      <c r="AK1704" s="20" t="s">
        <v>1009</v>
      </c>
      <c r="AL1704" s="20">
        <v>39095</v>
      </c>
      <c r="AM1704" s="20" t="s">
        <v>53</v>
      </c>
      <c r="AN1704" s="37">
        <f t="shared" si="146"/>
        <v>45780</v>
      </c>
      <c r="AO1704" s="37" t="str">
        <f t="shared" si="147"/>
        <v>Toledo, OH</v>
      </c>
      <c r="AP1704" s="20" t="s">
        <v>8</v>
      </c>
      <c r="AQ1704" s="25"/>
      <c r="AR1704" s="25"/>
      <c r="AS1704" s="25"/>
      <c r="AT1704" s="25"/>
      <c r="AU1704" s="36"/>
      <c r="AV1704" s="36"/>
      <c r="AW1704" s="36"/>
      <c r="AX1704" s="25"/>
      <c r="AY1704" s="25"/>
      <c r="AZ1704" s="25"/>
      <c r="BA1704" s="25"/>
      <c r="BB1704" s="25"/>
      <c r="BC1704" s="25"/>
      <c r="BD1704" s="25"/>
      <c r="BE1704" s="25"/>
      <c r="BF1704" s="25"/>
      <c r="BG1704" s="25"/>
      <c r="BH1704" s="25"/>
      <c r="BI1704" s="25"/>
      <c r="BJ1704" s="25"/>
      <c r="BK1704" s="25"/>
      <c r="BL1704" s="25"/>
      <c r="BM1704" s="25"/>
      <c r="BN1704" s="25"/>
      <c r="BO1704" s="25"/>
      <c r="BP1704" s="25"/>
      <c r="BQ1704" s="25"/>
      <c r="BR1704" s="25"/>
      <c r="BS1704" s="25"/>
      <c r="BT1704" s="25"/>
      <c r="CD1704" s="25"/>
      <c r="CE1704" s="200"/>
      <c r="CF1704" s="200"/>
      <c r="CG1704" s="200"/>
      <c r="CH1704" s="200"/>
      <c r="CI1704" s="200"/>
      <c r="CJ1704" s="200"/>
      <c r="CK1704" s="200"/>
      <c r="CL1704" s="200"/>
      <c r="CM1704" s="200"/>
      <c r="CN1704" s="200"/>
      <c r="CO1704" s="200"/>
      <c r="CP1704" s="200"/>
      <c r="CQ1704" s="200"/>
      <c r="CR1704" s="200"/>
      <c r="CS1704" s="200"/>
      <c r="CT1704" s="200"/>
      <c r="CU1704" s="200"/>
    </row>
    <row r="1705" spans="1:99" s="17" customFormat="1" x14ac:dyDescent="0.2">
      <c r="A1705" s="25"/>
      <c r="B1705" s="20">
        <v>39049005500</v>
      </c>
      <c r="C1705" s="20">
        <v>55</v>
      </c>
      <c r="D1705" s="20" t="s">
        <v>31</v>
      </c>
      <c r="E1705" s="20" t="s">
        <v>2830</v>
      </c>
      <c r="F1705" s="20" t="s">
        <v>6</v>
      </c>
      <c r="G1705" s="861">
        <v>47.7836810197959</v>
      </c>
      <c r="H1705" s="861">
        <v>67.303988049544699</v>
      </c>
      <c r="I1705" s="861">
        <v>53.899798983550397</v>
      </c>
      <c r="J1705" s="861">
        <v>53.924569732804997</v>
      </c>
      <c r="K1705" s="982">
        <v>0</v>
      </c>
      <c r="L1705" s="735">
        <v>4809</v>
      </c>
      <c r="M1705" s="735">
        <v>4647</v>
      </c>
      <c r="N1705" s="845">
        <f t="shared" si="143"/>
        <v>-3.3686837180286963E-2</v>
      </c>
      <c r="O1705" s="735">
        <v>0.57174007644382585</v>
      </c>
      <c r="P1705" s="735">
        <f t="shared" si="144"/>
        <v>8127.8192511952993</v>
      </c>
      <c r="Q1705" s="849">
        <v>33.9</v>
      </c>
      <c r="R1705" s="71">
        <v>53698</v>
      </c>
      <c r="S1705" s="845">
        <v>0.22724338282763074</v>
      </c>
      <c r="T1705" s="845">
        <v>1.8000000000000002E-2</v>
      </c>
      <c r="U1705" s="845">
        <v>4.8000000000000001E-2</v>
      </c>
      <c r="V1705" s="845">
        <v>8.0000000000000002E-3</v>
      </c>
      <c r="W1705" s="845">
        <v>0.58829221093372042</v>
      </c>
      <c r="X1705" s="845">
        <v>0.44161184210526316</v>
      </c>
      <c r="Y1705" s="845">
        <v>0.2771680654185496</v>
      </c>
      <c r="Z1705" s="845">
        <v>0.5582095975898429</v>
      </c>
      <c r="AA1705" s="845">
        <v>1.2911555842479018E-3</v>
      </c>
      <c r="AB1705" s="845">
        <v>3.0126963632451042E-3</v>
      </c>
      <c r="AC1705" s="845">
        <v>0</v>
      </c>
      <c r="AD1705" s="845">
        <v>6.6709705186141595E-3</v>
      </c>
      <c r="AE1705" s="845">
        <v>0.15364751452550032</v>
      </c>
      <c r="AF1705" s="845">
        <v>9.6836668818592632E-3</v>
      </c>
      <c r="AG1705" s="845">
        <v>0.27415536905530452</v>
      </c>
      <c r="AH1705" s="20" t="str">
        <f t="shared" si="145"/>
        <v>No</v>
      </c>
      <c r="AI1705" s="25"/>
      <c r="AJ1705" s="20">
        <v>43612</v>
      </c>
      <c r="AK1705" s="20" t="s">
        <v>1010</v>
      </c>
      <c r="AL1705" s="20">
        <v>39095</v>
      </c>
      <c r="AM1705" s="20" t="s">
        <v>53</v>
      </c>
      <c r="AN1705" s="37">
        <f t="shared" si="146"/>
        <v>45780</v>
      </c>
      <c r="AO1705" s="37" t="str">
        <f t="shared" si="147"/>
        <v>Toledo, OH</v>
      </c>
      <c r="AP1705" s="20" t="s">
        <v>8</v>
      </c>
      <c r="AQ1705" s="25"/>
      <c r="AR1705" s="25"/>
      <c r="AS1705" s="25"/>
      <c r="AT1705" s="25"/>
      <c r="AU1705" s="36"/>
      <c r="AV1705" s="36"/>
      <c r="AW1705" s="36"/>
      <c r="AX1705" s="25"/>
      <c r="AY1705" s="25"/>
      <c r="AZ1705" s="25"/>
      <c r="BA1705" s="25"/>
      <c r="BB1705" s="25"/>
      <c r="BC1705" s="25"/>
      <c r="BD1705" s="25"/>
      <c r="BE1705" s="25"/>
      <c r="BF1705" s="25"/>
      <c r="BG1705" s="25"/>
      <c r="BH1705" s="25"/>
      <c r="BI1705" s="25"/>
      <c r="BJ1705" s="25"/>
      <c r="BK1705" s="25"/>
      <c r="BL1705" s="25"/>
      <c r="BM1705" s="25"/>
      <c r="BN1705" s="25"/>
      <c r="BO1705" s="25"/>
      <c r="BP1705" s="25"/>
      <c r="BQ1705" s="25"/>
      <c r="BR1705" s="25"/>
      <c r="BS1705" s="25"/>
      <c r="BT1705" s="25"/>
      <c r="CD1705" s="25"/>
      <c r="CE1705" s="200"/>
      <c r="CF1705" s="200"/>
      <c r="CG1705" s="200"/>
      <c r="CH1705" s="200"/>
      <c r="CI1705" s="200"/>
      <c r="CJ1705" s="200"/>
      <c r="CK1705" s="200"/>
      <c r="CL1705" s="200"/>
      <c r="CM1705" s="200"/>
      <c r="CN1705" s="200"/>
      <c r="CO1705" s="200"/>
      <c r="CP1705" s="200"/>
      <c r="CQ1705" s="200"/>
      <c r="CR1705" s="200"/>
      <c r="CS1705" s="200"/>
      <c r="CT1705" s="200"/>
      <c r="CU1705" s="200"/>
    </row>
    <row r="1706" spans="1:99" s="17" customFormat="1" x14ac:dyDescent="0.2">
      <c r="A1706" s="25"/>
      <c r="B1706" s="20">
        <v>39157021503</v>
      </c>
      <c r="C1706" s="20">
        <v>215.03</v>
      </c>
      <c r="D1706" s="20" t="s">
        <v>84</v>
      </c>
      <c r="E1706" s="20" t="s">
        <v>265</v>
      </c>
      <c r="F1706" s="20" t="s">
        <v>8</v>
      </c>
      <c r="G1706" s="861">
        <v>47.782058208277299</v>
      </c>
      <c r="H1706" s="861">
        <v>43.941670803125803</v>
      </c>
      <c r="I1706" s="861">
        <v>22.716570133941399</v>
      </c>
      <c r="J1706" s="861">
        <v>39.079795250553502</v>
      </c>
      <c r="K1706" s="982">
        <v>0</v>
      </c>
      <c r="L1706" s="735" t="s">
        <v>2466</v>
      </c>
      <c r="M1706" s="735">
        <v>2379</v>
      </c>
      <c r="N1706" s="845" t="str">
        <f t="shared" si="143"/>
        <v/>
      </c>
      <c r="O1706" s="735">
        <v>13.183262451347701</v>
      </c>
      <c r="P1706" s="735">
        <f t="shared" si="144"/>
        <v>180.45609034786372</v>
      </c>
      <c r="Q1706" s="849">
        <v>39.9</v>
      </c>
      <c r="R1706" s="71">
        <v>73967</v>
      </c>
      <c r="S1706" s="845">
        <v>0.11943493150684932</v>
      </c>
      <c r="T1706" s="845">
        <v>1.4999999999999999E-2</v>
      </c>
      <c r="U1706" s="845">
        <v>0</v>
      </c>
      <c r="V1706" s="845">
        <v>0.27200000000000002</v>
      </c>
      <c r="W1706" s="845">
        <v>0.24773413897280966</v>
      </c>
      <c r="X1706" s="845">
        <v>0.35772357723577236</v>
      </c>
      <c r="Y1706" s="845">
        <v>0.9609079445145019</v>
      </c>
      <c r="Z1706" s="845">
        <v>2.9424127784783522E-3</v>
      </c>
      <c r="AA1706" s="845">
        <v>0</v>
      </c>
      <c r="AB1706" s="845">
        <v>0</v>
      </c>
      <c r="AC1706" s="845">
        <v>0</v>
      </c>
      <c r="AD1706" s="845">
        <v>1.4712063892391762E-2</v>
      </c>
      <c r="AE1706" s="845">
        <v>2.1437578814627996E-2</v>
      </c>
      <c r="AF1706" s="845">
        <v>7.1458596048759983E-3</v>
      </c>
      <c r="AG1706" s="845">
        <v>0.9609079445145019</v>
      </c>
      <c r="AH1706" s="20" t="str">
        <f t="shared" si="145"/>
        <v>Yes</v>
      </c>
      <c r="AI1706" s="25"/>
      <c r="AJ1706" s="20">
        <v>43613</v>
      </c>
      <c r="AK1706" s="20" t="s">
        <v>1011</v>
      </c>
      <c r="AL1706" s="20">
        <v>39095</v>
      </c>
      <c r="AM1706" s="20" t="s">
        <v>53</v>
      </c>
      <c r="AN1706" s="37">
        <f t="shared" si="146"/>
        <v>45780</v>
      </c>
      <c r="AO1706" s="37" t="str">
        <f t="shared" si="147"/>
        <v>Toledo, OH</v>
      </c>
      <c r="AP1706" s="20" t="s">
        <v>8</v>
      </c>
      <c r="AQ1706" s="25"/>
      <c r="AR1706" s="25"/>
      <c r="AS1706" s="25"/>
      <c r="AT1706" s="25"/>
      <c r="AU1706" s="36"/>
      <c r="AV1706" s="36"/>
      <c r="AW1706" s="36"/>
      <c r="AX1706" s="25"/>
      <c r="AY1706" s="25"/>
      <c r="AZ1706" s="25"/>
      <c r="BA1706" s="25"/>
      <c r="BB1706" s="25"/>
      <c r="BC1706" s="25"/>
      <c r="BD1706" s="25"/>
      <c r="BE1706" s="25"/>
      <c r="BF1706" s="25"/>
      <c r="BG1706" s="25"/>
      <c r="BH1706" s="25"/>
      <c r="BI1706" s="25"/>
      <c r="BJ1706" s="25"/>
      <c r="BK1706" s="25"/>
      <c r="BL1706" s="25"/>
      <c r="BM1706" s="25"/>
      <c r="BN1706" s="25"/>
      <c r="BO1706" s="25"/>
      <c r="BP1706" s="25"/>
      <c r="BQ1706" s="25"/>
      <c r="BR1706" s="25"/>
      <c r="BS1706" s="25"/>
      <c r="BT1706" s="25"/>
      <c r="CD1706" s="25"/>
      <c r="CE1706" s="200"/>
      <c r="CF1706" s="200"/>
      <c r="CG1706" s="200"/>
      <c r="CH1706" s="200"/>
      <c r="CI1706" s="200"/>
      <c r="CJ1706" s="200"/>
      <c r="CK1706" s="200"/>
      <c r="CL1706" s="200"/>
      <c r="CM1706" s="200"/>
      <c r="CN1706" s="200"/>
      <c r="CO1706" s="200"/>
      <c r="CP1706" s="200"/>
      <c r="CQ1706" s="200"/>
      <c r="CR1706" s="200"/>
      <c r="CS1706" s="200"/>
      <c r="CT1706" s="200"/>
      <c r="CU1706" s="200"/>
    </row>
    <row r="1707" spans="1:99" s="17" customFormat="1" x14ac:dyDescent="0.2">
      <c r="A1707" s="25"/>
      <c r="B1707" s="20">
        <v>39061020403</v>
      </c>
      <c r="C1707" s="20">
        <v>204.03</v>
      </c>
      <c r="D1707" s="20" t="s">
        <v>37</v>
      </c>
      <c r="E1707" s="20" t="s">
        <v>2828</v>
      </c>
      <c r="F1707" s="20" t="s">
        <v>8</v>
      </c>
      <c r="G1707" s="861">
        <v>47.760937772292401</v>
      </c>
      <c r="H1707" s="861">
        <v>43.172491931468699</v>
      </c>
      <c r="I1707" s="861">
        <v>18.061886059814199</v>
      </c>
      <c r="J1707" s="861">
        <v>47.741300888270601</v>
      </c>
      <c r="K1707" s="982">
        <v>0</v>
      </c>
      <c r="L1707" s="735">
        <v>5536</v>
      </c>
      <c r="M1707" s="735">
        <v>5812</v>
      </c>
      <c r="N1707" s="845">
        <f t="shared" si="143"/>
        <v>4.9855491329479772E-2</v>
      </c>
      <c r="O1707" s="735">
        <v>15.248212471523663</v>
      </c>
      <c r="P1707" s="735">
        <f t="shared" si="144"/>
        <v>381.15943169430676</v>
      </c>
      <c r="Q1707" s="849">
        <v>44</v>
      </c>
      <c r="R1707" s="71">
        <v>118072</v>
      </c>
      <c r="S1707" s="845">
        <v>2.8905712319339298E-2</v>
      </c>
      <c r="T1707" s="845">
        <v>0.121</v>
      </c>
      <c r="U1707" s="845">
        <v>1.1000000000000001E-2</v>
      </c>
      <c r="V1707" s="845">
        <v>0</v>
      </c>
      <c r="W1707" s="845">
        <v>6.8397403894158756E-2</v>
      </c>
      <c r="X1707" s="845">
        <v>5.1094890510948905E-2</v>
      </c>
      <c r="Y1707" s="845">
        <v>0.92343427391603583</v>
      </c>
      <c r="Z1707" s="845">
        <v>0</v>
      </c>
      <c r="AA1707" s="845">
        <v>0</v>
      </c>
      <c r="AB1707" s="845">
        <v>0</v>
      </c>
      <c r="AC1707" s="845">
        <v>0</v>
      </c>
      <c r="AD1707" s="845">
        <v>0</v>
      </c>
      <c r="AE1707" s="845">
        <v>7.6565726083964211E-2</v>
      </c>
      <c r="AF1707" s="845">
        <v>9.635237439779766E-3</v>
      </c>
      <c r="AG1707" s="845">
        <v>0.92343427391603583</v>
      </c>
      <c r="AH1707" s="20" t="str">
        <f t="shared" si="145"/>
        <v>Yes</v>
      </c>
      <c r="AI1707" s="25"/>
      <c r="AJ1707" s="37">
        <v>43614</v>
      </c>
      <c r="AK1707" s="37" t="s">
        <v>1012</v>
      </c>
      <c r="AL1707" s="37">
        <v>39095</v>
      </c>
      <c r="AM1707" s="37" t="s">
        <v>53</v>
      </c>
      <c r="AN1707" s="37">
        <f t="shared" si="146"/>
        <v>45780</v>
      </c>
      <c r="AO1707" s="37" t="str">
        <f t="shared" si="147"/>
        <v>Toledo, OH</v>
      </c>
      <c r="AP1707" s="20" t="s">
        <v>8</v>
      </c>
      <c r="AQ1707" s="25"/>
      <c r="AR1707" s="25"/>
      <c r="AS1707" s="25"/>
      <c r="AT1707" s="25"/>
      <c r="AU1707" s="36"/>
      <c r="AV1707" s="36"/>
      <c r="AW1707" s="36"/>
      <c r="AX1707" s="25"/>
      <c r="AY1707" s="25"/>
      <c r="AZ1707" s="25"/>
      <c r="BA1707" s="25"/>
      <c r="BB1707" s="25"/>
      <c r="BC1707" s="25"/>
      <c r="BD1707" s="25"/>
      <c r="BE1707" s="25"/>
      <c r="BF1707" s="25"/>
      <c r="BG1707" s="25"/>
      <c r="BH1707" s="25"/>
      <c r="BI1707" s="25"/>
      <c r="BJ1707" s="25"/>
      <c r="BK1707" s="25"/>
      <c r="BL1707" s="25"/>
      <c r="BM1707" s="25"/>
      <c r="BN1707" s="25"/>
      <c r="BO1707" s="25"/>
      <c r="BP1707" s="25"/>
      <c r="BQ1707" s="25"/>
      <c r="BR1707" s="25"/>
      <c r="BS1707" s="25"/>
      <c r="BT1707" s="25"/>
      <c r="CD1707" s="25"/>
      <c r="CE1707" s="200"/>
      <c r="CF1707" s="200"/>
      <c r="CG1707" s="200"/>
      <c r="CH1707" s="200"/>
      <c r="CI1707" s="200"/>
      <c r="CJ1707" s="200"/>
      <c r="CK1707" s="200"/>
      <c r="CL1707" s="200"/>
      <c r="CM1707" s="200"/>
      <c r="CN1707" s="200"/>
      <c r="CO1707" s="200"/>
      <c r="CP1707" s="200"/>
      <c r="CQ1707" s="200"/>
      <c r="CR1707" s="200"/>
      <c r="CS1707" s="200"/>
      <c r="CT1707" s="200"/>
      <c r="CU1707" s="200"/>
    </row>
    <row r="1708" spans="1:99" s="17" customFormat="1" x14ac:dyDescent="0.2">
      <c r="A1708" s="25"/>
      <c r="B1708" s="20">
        <v>39117965202</v>
      </c>
      <c r="C1708" s="20">
        <v>9652.02</v>
      </c>
      <c r="D1708" s="20" t="s">
        <v>64</v>
      </c>
      <c r="E1708" s="20" t="s">
        <v>2830</v>
      </c>
      <c r="F1708" s="20" t="s">
        <v>8</v>
      </c>
      <c r="G1708" s="861">
        <v>47.757428046285</v>
      </c>
      <c r="H1708" s="861">
        <v>75.2427198737889</v>
      </c>
      <c r="I1708" s="861">
        <v>33.057388503694099</v>
      </c>
      <c r="J1708" s="861">
        <v>38.451113521771099</v>
      </c>
      <c r="K1708" s="982">
        <v>0</v>
      </c>
      <c r="L1708" s="735" t="s">
        <v>2466</v>
      </c>
      <c r="M1708" s="735">
        <v>2348</v>
      </c>
      <c r="N1708" s="845" t="str">
        <f t="shared" si="143"/>
        <v/>
      </c>
      <c r="O1708" s="735">
        <v>22.632500810978627</v>
      </c>
      <c r="P1708" s="735">
        <f t="shared" si="144"/>
        <v>103.74461132730974</v>
      </c>
      <c r="Q1708" s="849">
        <v>45.3</v>
      </c>
      <c r="R1708" s="71">
        <v>69135</v>
      </c>
      <c r="S1708" s="845">
        <v>7.6651982378854622E-2</v>
      </c>
      <c r="T1708" s="845">
        <v>0</v>
      </c>
      <c r="U1708" s="845">
        <v>0</v>
      </c>
      <c r="V1708" s="845">
        <v>0</v>
      </c>
      <c r="W1708" s="845">
        <v>0.19644839067702552</v>
      </c>
      <c r="X1708" s="845">
        <v>0.2655367231638418</v>
      </c>
      <c r="Y1708" s="845">
        <v>0.87989778534923335</v>
      </c>
      <c r="Z1708" s="845">
        <v>9.7955706984667809E-3</v>
      </c>
      <c r="AA1708" s="845">
        <v>9.3696763202725727E-3</v>
      </c>
      <c r="AB1708" s="845">
        <v>0</v>
      </c>
      <c r="AC1708" s="845">
        <v>0</v>
      </c>
      <c r="AD1708" s="845">
        <v>9.7955706984667809E-3</v>
      </c>
      <c r="AE1708" s="845">
        <v>9.1141396933560478E-2</v>
      </c>
      <c r="AF1708" s="845">
        <v>9.4974446337308352E-2</v>
      </c>
      <c r="AG1708" s="845">
        <v>0.87265758091993184</v>
      </c>
      <c r="AH1708" s="20" t="str">
        <f t="shared" si="145"/>
        <v>No</v>
      </c>
      <c r="AI1708" s="25"/>
      <c r="AJ1708" s="37">
        <v>43615</v>
      </c>
      <c r="AK1708" s="37" t="s">
        <v>1013</v>
      </c>
      <c r="AL1708" s="37">
        <v>39095</v>
      </c>
      <c r="AM1708" s="37" t="s">
        <v>53</v>
      </c>
      <c r="AN1708" s="37">
        <f t="shared" si="146"/>
        <v>45780</v>
      </c>
      <c r="AO1708" s="37" t="str">
        <f t="shared" si="147"/>
        <v>Toledo, OH</v>
      </c>
      <c r="AP1708" s="20" t="s">
        <v>8</v>
      </c>
      <c r="AQ1708" s="25"/>
      <c r="AR1708" s="25"/>
      <c r="AS1708" s="25"/>
      <c r="AT1708" s="25"/>
      <c r="AU1708" s="36"/>
      <c r="AV1708" s="36"/>
      <c r="AW1708" s="36"/>
      <c r="AX1708" s="25"/>
      <c r="AY1708" s="25"/>
      <c r="AZ1708" s="25"/>
      <c r="BA1708" s="25"/>
      <c r="BB1708" s="25"/>
      <c r="BC1708" s="25"/>
      <c r="BD1708" s="25"/>
      <c r="BE1708" s="25"/>
      <c r="BF1708" s="25"/>
      <c r="BG1708" s="25"/>
      <c r="BH1708" s="25"/>
      <c r="BI1708" s="25"/>
      <c r="BJ1708" s="25"/>
      <c r="BK1708" s="25"/>
      <c r="BL1708" s="25"/>
      <c r="BM1708" s="25"/>
      <c r="BN1708" s="25"/>
      <c r="BO1708" s="25"/>
      <c r="BP1708" s="25"/>
      <c r="BQ1708" s="25"/>
      <c r="BR1708" s="25"/>
      <c r="BS1708" s="25"/>
      <c r="BT1708" s="25"/>
      <c r="CD1708" s="25"/>
      <c r="CE1708" s="200"/>
      <c r="CF1708" s="200"/>
      <c r="CG1708" s="200"/>
      <c r="CH1708" s="200"/>
      <c r="CI1708" s="200"/>
      <c r="CJ1708" s="200"/>
      <c r="CK1708" s="200"/>
      <c r="CL1708" s="200"/>
      <c r="CM1708" s="200"/>
      <c r="CN1708" s="200"/>
      <c r="CO1708" s="200"/>
      <c r="CP1708" s="200"/>
      <c r="CQ1708" s="200"/>
      <c r="CR1708" s="200"/>
      <c r="CS1708" s="200"/>
      <c r="CT1708" s="200"/>
      <c r="CU1708" s="200"/>
    </row>
    <row r="1709" spans="1:99" s="17" customFormat="1" x14ac:dyDescent="0.2">
      <c r="A1709" s="25"/>
      <c r="B1709" s="20">
        <v>39061005500</v>
      </c>
      <c r="C1709" s="20">
        <v>55</v>
      </c>
      <c r="D1709" s="20" t="s">
        <v>37</v>
      </c>
      <c r="E1709" s="20" t="s">
        <v>2828</v>
      </c>
      <c r="F1709" s="20" t="s">
        <v>6</v>
      </c>
      <c r="G1709" s="861">
        <v>47.7570212680032</v>
      </c>
      <c r="H1709" s="861">
        <v>52.552653351010697</v>
      </c>
      <c r="I1709" s="861">
        <v>38.738105195583699</v>
      </c>
      <c r="J1709" s="861">
        <v>64.115849202144304</v>
      </c>
      <c r="K1709" s="982">
        <v>0</v>
      </c>
      <c r="L1709" s="735">
        <v>3930</v>
      </c>
      <c r="M1709" s="735">
        <v>4292</v>
      </c>
      <c r="N1709" s="845">
        <f t="shared" si="143"/>
        <v>9.2111959287531811E-2</v>
      </c>
      <c r="O1709" s="735">
        <v>1.2640849536564089</v>
      </c>
      <c r="P1709" s="735">
        <f t="shared" si="144"/>
        <v>3395.3414187750936</v>
      </c>
      <c r="Q1709" s="849">
        <v>35</v>
      </c>
      <c r="R1709" s="71">
        <v>49335</v>
      </c>
      <c r="S1709" s="845">
        <v>0.26454125091263081</v>
      </c>
      <c r="T1709" s="845">
        <v>4.7E-2</v>
      </c>
      <c r="U1709" s="845">
        <v>0</v>
      </c>
      <c r="V1709" s="845">
        <v>0</v>
      </c>
      <c r="W1709" s="845">
        <v>0.71301020408163263</v>
      </c>
      <c r="X1709" s="845">
        <v>0.39534883720930231</v>
      </c>
      <c r="Y1709" s="845">
        <v>0.52842497670083877</v>
      </c>
      <c r="Z1709" s="845">
        <v>0.38979496738117425</v>
      </c>
      <c r="AA1709" s="845">
        <v>1.3979496738117428E-3</v>
      </c>
      <c r="AB1709" s="845">
        <v>2.5163094128611369E-2</v>
      </c>
      <c r="AC1709" s="845">
        <v>0</v>
      </c>
      <c r="AD1709" s="845">
        <v>6.7567567567567571E-3</v>
      </c>
      <c r="AE1709" s="845">
        <v>4.8462255358807084E-2</v>
      </c>
      <c r="AF1709" s="845">
        <v>1.9105312208760484E-2</v>
      </c>
      <c r="AG1709" s="845">
        <v>0.51980428704566639</v>
      </c>
      <c r="AH1709" s="20" t="str">
        <f t="shared" si="145"/>
        <v>No</v>
      </c>
      <c r="AI1709" s="25"/>
      <c r="AJ1709" s="37">
        <v>43616</v>
      </c>
      <c r="AK1709" s="37" t="s">
        <v>1014</v>
      </c>
      <c r="AL1709" s="37">
        <v>39095</v>
      </c>
      <c r="AM1709" s="37" t="s">
        <v>53</v>
      </c>
      <c r="AN1709" s="37">
        <f t="shared" si="146"/>
        <v>45780</v>
      </c>
      <c r="AO1709" s="37" t="str">
        <f t="shared" si="147"/>
        <v>Toledo, OH</v>
      </c>
      <c r="AP1709" s="20" t="s">
        <v>8</v>
      </c>
      <c r="AQ1709" s="25"/>
      <c r="AR1709" s="25"/>
      <c r="AS1709" s="25"/>
      <c r="AT1709" s="25"/>
      <c r="AU1709" s="36"/>
      <c r="AV1709" s="36"/>
      <c r="AW1709" s="36"/>
      <c r="AX1709" s="25"/>
      <c r="AY1709" s="25"/>
      <c r="AZ1709" s="25"/>
      <c r="BA1709" s="25"/>
      <c r="BB1709" s="25"/>
      <c r="BC1709" s="25"/>
      <c r="BD1709" s="25"/>
      <c r="BE1709" s="25"/>
      <c r="BF1709" s="25"/>
      <c r="BG1709" s="25"/>
      <c r="BH1709" s="25"/>
      <c r="BI1709" s="25"/>
      <c r="BJ1709" s="25"/>
      <c r="BK1709" s="25"/>
      <c r="BL1709" s="25"/>
      <c r="BM1709" s="25"/>
      <c r="BN1709" s="25"/>
      <c r="BO1709" s="25"/>
      <c r="BP1709" s="25"/>
      <c r="BQ1709" s="25"/>
      <c r="BR1709" s="25"/>
      <c r="BS1709" s="25"/>
      <c r="BT1709" s="25"/>
      <c r="CD1709" s="25"/>
      <c r="CE1709" s="200"/>
      <c r="CF1709" s="200"/>
      <c r="CG1709" s="200"/>
      <c r="CH1709" s="200"/>
      <c r="CI1709" s="200"/>
      <c r="CJ1709" s="200"/>
      <c r="CK1709" s="200"/>
      <c r="CL1709" s="200"/>
      <c r="CM1709" s="200"/>
      <c r="CN1709" s="200"/>
      <c r="CO1709" s="200"/>
      <c r="CP1709" s="200"/>
      <c r="CQ1709" s="200"/>
      <c r="CR1709" s="200"/>
      <c r="CS1709" s="200"/>
      <c r="CT1709" s="200"/>
      <c r="CU1709" s="200"/>
    </row>
    <row r="1710" spans="1:99" s="17" customFormat="1" x14ac:dyDescent="0.2">
      <c r="A1710" s="25"/>
      <c r="B1710" s="20">
        <v>39133600901</v>
      </c>
      <c r="C1710" s="20">
        <v>6009.01</v>
      </c>
      <c r="D1710" s="20" t="s">
        <v>72</v>
      </c>
      <c r="E1710" s="20" t="s">
        <v>2843</v>
      </c>
      <c r="F1710" s="20" t="s">
        <v>6</v>
      </c>
      <c r="G1710" s="861">
        <v>47.754649798142502</v>
      </c>
      <c r="H1710" s="861">
        <v>59.232147064650597</v>
      </c>
      <c r="I1710" s="861">
        <v>43.803752100405802</v>
      </c>
      <c r="J1710" s="861">
        <v>42.596866326250797</v>
      </c>
      <c r="K1710" s="982">
        <v>0</v>
      </c>
      <c r="L1710" s="735">
        <v>3814</v>
      </c>
      <c r="M1710" s="735">
        <v>3767</v>
      </c>
      <c r="N1710" s="845">
        <f t="shared" si="143"/>
        <v>-1.2323020450970111E-2</v>
      </c>
      <c r="O1710" s="735">
        <v>1.9016836335978393</v>
      </c>
      <c r="P1710" s="735">
        <f t="shared" si="144"/>
        <v>1980.8762790228811</v>
      </c>
      <c r="Q1710" s="849">
        <v>35.9</v>
      </c>
      <c r="R1710" s="71">
        <v>52764</v>
      </c>
      <c r="S1710" s="845">
        <v>0.25588235294117645</v>
      </c>
      <c r="T1710" s="845">
        <v>5.7999999999999996E-2</v>
      </c>
      <c r="U1710" s="845">
        <v>0</v>
      </c>
      <c r="V1710" s="845">
        <v>0</v>
      </c>
      <c r="W1710" s="845">
        <v>0.37672465506898623</v>
      </c>
      <c r="X1710" s="845">
        <v>0.43789808917197454</v>
      </c>
      <c r="Y1710" s="845">
        <v>0.82240509689408015</v>
      </c>
      <c r="Z1710" s="845">
        <v>0.11813113883727104</v>
      </c>
      <c r="AA1710" s="845">
        <v>0</v>
      </c>
      <c r="AB1710" s="845">
        <v>3.4510220334483675E-3</v>
      </c>
      <c r="AC1710" s="845">
        <v>0</v>
      </c>
      <c r="AD1710" s="845">
        <v>0</v>
      </c>
      <c r="AE1710" s="845">
        <v>5.6012742235200426E-2</v>
      </c>
      <c r="AF1710" s="845">
        <v>2.9200955667640031E-2</v>
      </c>
      <c r="AG1710" s="845">
        <v>0.81045925139368202</v>
      </c>
      <c r="AH1710" s="20" t="str">
        <f t="shared" si="145"/>
        <v>No</v>
      </c>
      <c r="AI1710" s="25"/>
      <c r="AJ1710" s="20">
        <v>43617</v>
      </c>
      <c r="AK1710" s="20" t="s">
        <v>1015</v>
      </c>
      <c r="AL1710" s="20">
        <v>39095</v>
      </c>
      <c r="AM1710" s="20" t="s">
        <v>53</v>
      </c>
      <c r="AN1710" s="37">
        <f t="shared" si="146"/>
        <v>45780</v>
      </c>
      <c r="AO1710" s="37" t="str">
        <f t="shared" si="147"/>
        <v>Toledo, OH</v>
      </c>
      <c r="AP1710" s="20" t="s">
        <v>8</v>
      </c>
      <c r="AQ1710" s="25"/>
      <c r="AR1710" s="25"/>
      <c r="AS1710" s="25"/>
      <c r="AT1710" s="25"/>
      <c r="AU1710" s="36"/>
      <c r="AV1710" s="36"/>
      <c r="AW1710" s="36"/>
      <c r="AX1710" s="25"/>
      <c r="AY1710" s="25"/>
      <c r="AZ1710" s="25"/>
      <c r="BA1710" s="25"/>
      <c r="BB1710" s="25"/>
      <c r="BC1710" s="25"/>
      <c r="BD1710" s="25"/>
      <c r="BE1710" s="25"/>
      <c r="BF1710" s="25"/>
      <c r="BG1710" s="25"/>
      <c r="BH1710" s="25"/>
      <c r="BI1710" s="25"/>
      <c r="BJ1710" s="25"/>
      <c r="BK1710" s="25"/>
      <c r="BL1710" s="25"/>
      <c r="BM1710" s="25"/>
      <c r="BN1710" s="25"/>
      <c r="BO1710" s="25"/>
      <c r="BP1710" s="25"/>
      <c r="BQ1710" s="25"/>
      <c r="BR1710" s="25"/>
      <c r="BS1710" s="25"/>
      <c r="BT1710" s="25"/>
      <c r="CD1710" s="25"/>
      <c r="CE1710" s="200"/>
      <c r="CF1710" s="200"/>
      <c r="CG1710" s="200"/>
      <c r="CH1710" s="200"/>
      <c r="CI1710" s="200"/>
      <c r="CJ1710" s="200"/>
      <c r="CK1710" s="200"/>
      <c r="CL1710" s="200"/>
      <c r="CM1710" s="200"/>
      <c r="CN1710" s="200"/>
      <c r="CO1710" s="200"/>
      <c r="CP1710" s="200"/>
      <c r="CQ1710" s="200"/>
      <c r="CR1710" s="200"/>
      <c r="CS1710" s="200"/>
      <c r="CT1710" s="200"/>
      <c r="CU1710" s="200"/>
    </row>
    <row r="1711" spans="1:99" s="17" customFormat="1" x14ac:dyDescent="0.2">
      <c r="A1711" s="25"/>
      <c r="B1711" s="20">
        <v>39081011800</v>
      </c>
      <c r="C1711" s="20">
        <v>118</v>
      </c>
      <c r="D1711" s="20" t="s">
        <v>47</v>
      </c>
      <c r="E1711" s="20" t="s">
        <v>2840</v>
      </c>
      <c r="F1711" s="20" t="s">
        <v>8</v>
      </c>
      <c r="G1711" s="861">
        <v>47.751090202324697</v>
      </c>
      <c r="H1711" s="861">
        <v>53.501241400287199</v>
      </c>
      <c r="I1711" s="861">
        <v>46.3137253769804</v>
      </c>
      <c r="J1711" s="861">
        <v>40.243533019553297</v>
      </c>
      <c r="K1711" s="982">
        <v>0</v>
      </c>
      <c r="L1711" s="735">
        <v>3408</v>
      </c>
      <c r="M1711" s="735">
        <v>3493</v>
      </c>
      <c r="N1711" s="845">
        <f t="shared" si="143"/>
        <v>2.4941314553990609E-2</v>
      </c>
      <c r="O1711" s="735">
        <v>3.7224317605071944</v>
      </c>
      <c r="P1711" s="735">
        <f t="shared" si="144"/>
        <v>938.3650862478313</v>
      </c>
      <c r="Q1711" s="849">
        <v>42.7</v>
      </c>
      <c r="R1711" s="71">
        <v>58802</v>
      </c>
      <c r="S1711" s="845">
        <v>0.25279129687947322</v>
      </c>
      <c r="T1711" s="845">
        <v>6.3E-2</v>
      </c>
      <c r="U1711" s="845">
        <v>0</v>
      </c>
      <c r="V1711" s="845">
        <v>0.06</v>
      </c>
      <c r="W1711" s="845">
        <v>0.29217516152189521</v>
      </c>
      <c r="X1711" s="845">
        <v>0.58722358722358725</v>
      </c>
      <c r="Y1711" s="845">
        <v>0.94131119381620387</v>
      </c>
      <c r="Z1711" s="845">
        <v>7.1571714858288003E-3</v>
      </c>
      <c r="AA1711" s="845">
        <v>2.8628685943315199E-4</v>
      </c>
      <c r="AB1711" s="845">
        <v>0</v>
      </c>
      <c r="AC1711" s="845">
        <v>0</v>
      </c>
      <c r="AD1711" s="845">
        <v>2.576581734898368E-3</v>
      </c>
      <c r="AE1711" s="845">
        <v>4.8668766103635845E-2</v>
      </c>
      <c r="AF1711" s="845">
        <v>1.4314342971657602E-3</v>
      </c>
      <c r="AG1711" s="845">
        <v>0.94131119381620387</v>
      </c>
      <c r="AH1711" s="20" t="str">
        <f t="shared" si="145"/>
        <v>Yes</v>
      </c>
      <c r="AI1711" s="25"/>
      <c r="AJ1711" s="20">
        <v>43620</v>
      </c>
      <c r="AK1711" s="20" t="s">
        <v>1017</v>
      </c>
      <c r="AL1711" s="20">
        <v>39095</v>
      </c>
      <c r="AM1711" s="20" t="s">
        <v>53</v>
      </c>
      <c r="AN1711" s="37">
        <f t="shared" si="146"/>
        <v>45780</v>
      </c>
      <c r="AO1711" s="37" t="str">
        <f t="shared" si="147"/>
        <v>Toledo, OH</v>
      </c>
      <c r="AP1711" s="20" t="s">
        <v>8</v>
      </c>
      <c r="AQ1711" s="25"/>
      <c r="AR1711" s="25"/>
      <c r="AS1711" s="25"/>
      <c r="AT1711" s="25"/>
      <c r="AU1711" s="36"/>
      <c r="AV1711" s="36"/>
      <c r="AW1711" s="36"/>
      <c r="AX1711" s="25"/>
      <c r="AY1711" s="25"/>
      <c r="AZ1711" s="25"/>
      <c r="BA1711" s="25"/>
      <c r="BB1711" s="25"/>
      <c r="BC1711" s="25"/>
      <c r="BD1711" s="25"/>
      <c r="BE1711" s="25"/>
      <c r="BF1711" s="25"/>
      <c r="BG1711" s="25"/>
      <c r="BH1711" s="25"/>
      <c r="BI1711" s="25"/>
      <c r="BJ1711" s="25"/>
      <c r="BK1711" s="25"/>
      <c r="BL1711" s="25"/>
      <c r="BM1711" s="25"/>
      <c r="BN1711" s="25"/>
      <c r="BO1711" s="25"/>
      <c r="BP1711" s="25"/>
      <c r="BQ1711" s="25"/>
      <c r="BR1711" s="25"/>
      <c r="BS1711" s="25"/>
      <c r="BT1711" s="25"/>
      <c r="CD1711" s="25"/>
      <c r="CE1711" s="200"/>
      <c r="CF1711" s="200"/>
      <c r="CG1711" s="200"/>
      <c r="CH1711" s="200"/>
      <c r="CI1711" s="200"/>
      <c r="CJ1711" s="200"/>
      <c r="CK1711" s="200"/>
      <c r="CL1711" s="200"/>
      <c r="CM1711" s="200"/>
      <c r="CN1711" s="200"/>
      <c r="CO1711" s="200"/>
      <c r="CP1711" s="200"/>
      <c r="CQ1711" s="200"/>
      <c r="CR1711" s="200"/>
      <c r="CS1711" s="200"/>
      <c r="CT1711" s="200"/>
      <c r="CU1711" s="200"/>
    </row>
    <row r="1712" spans="1:99" s="17" customFormat="1" x14ac:dyDescent="0.2">
      <c r="A1712" s="25"/>
      <c r="B1712" s="20">
        <v>39061010004</v>
      </c>
      <c r="C1712" s="20">
        <v>100.04</v>
      </c>
      <c r="D1712" s="20" t="s">
        <v>37</v>
      </c>
      <c r="E1712" s="20" t="s">
        <v>2828</v>
      </c>
      <c r="F1712" s="20" t="s">
        <v>6</v>
      </c>
      <c r="G1712" s="861">
        <v>47.746929308377702</v>
      </c>
      <c r="H1712" s="861">
        <v>56.781747864131603</v>
      </c>
      <c r="I1712" s="861">
        <v>44.608863166980903</v>
      </c>
      <c r="J1712" s="861">
        <v>56.371450542811701</v>
      </c>
      <c r="K1712" s="982">
        <v>0</v>
      </c>
      <c r="L1712" s="735">
        <v>5180</v>
      </c>
      <c r="M1712" s="735">
        <v>5231</v>
      </c>
      <c r="N1712" s="845">
        <f t="shared" si="143"/>
        <v>9.8455598455598464E-3</v>
      </c>
      <c r="O1712" s="735">
        <v>0.60447845067520412</v>
      </c>
      <c r="P1712" s="735">
        <f t="shared" si="144"/>
        <v>8653.7410790359172</v>
      </c>
      <c r="Q1712" s="849">
        <v>29.4</v>
      </c>
      <c r="R1712" s="71">
        <v>38111</v>
      </c>
      <c r="S1712" s="845">
        <v>0.26164733634755261</v>
      </c>
      <c r="T1712" s="845">
        <v>4.7E-2</v>
      </c>
      <c r="U1712" s="845">
        <v>0</v>
      </c>
      <c r="V1712" s="845">
        <v>2.6000000000000002E-2</v>
      </c>
      <c r="W1712" s="845">
        <v>0.92198581560283688</v>
      </c>
      <c r="X1712" s="845">
        <v>0.37408906882591092</v>
      </c>
      <c r="Y1712" s="845">
        <v>0.13324412158287136</v>
      </c>
      <c r="Z1712" s="845">
        <v>0.77690690116612504</v>
      </c>
      <c r="AA1712" s="845">
        <v>0</v>
      </c>
      <c r="AB1712" s="845">
        <v>1.1087746128847257E-2</v>
      </c>
      <c r="AC1712" s="845">
        <v>0</v>
      </c>
      <c r="AD1712" s="845">
        <v>0</v>
      </c>
      <c r="AE1712" s="845">
        <v>7.8761231122156369E-2</v>
      </c>
      <c r="AF1712" s="845">
        <v>1.7778627413496464E-2</v>
      </c>
      <c r="AG1712" s="845">
        <v>0.13324412158287136</v>
      </c>
      <c r="AH1712" s="20" t="str">
        <f t="shared" si="145"/>
        <v>No</v>
      </c>
      <c r="AI1712" s="25"/>
      <c r="AJ1712" s="20">
        <v>43623</v>
      </c>
      <c r="AK1712" s="20" t="s">
        <v>1018</v>
      </c>
      <c r="AL1712" s="20">
        <v>39095</v>
      </c>
      <c r="AM1712" s="20" t="s">
        <v>53</v>
      </c>
      <c r="AN1712" s="37">
        <f t="shared" si="146"/>
        <v>45780</v>
      </c>
      <c r="AO1712" s="37" t="str">
        <f t="shared" si="147"/>
        <v>Toledo, OH</v>
      </c>
      <c r="AP1712" s="20" t="s">
        <v>8</v>
      </c>
      <c r="AQ1712" s="25"/>
      <c r="AR1712" s="25"/>
      <c r="AS1712" s="25"/>
      <c r="AT1712" s="25"/>
      <c r="AU1712" s="36"/>
      <c r="AV1712" s="36"/>
      <c r="AW1712" s="36"/>
      <c r="AX1712" s="25"/>
      <c r="AY1712" s="25"/>
      <c r="AZ1712" s="25"/>
      <c r="BA1712" s="25"/>
      <c r="BB1712" s="25"/>
      <c r="BC1712" s="25"/>
      <c r="BD1712" s="25"/>
      <c r="BE1712" s="25"/>
      <c r="BF1712" s="25"/>
      <c r="BG1712" s="25"/>
      <c r="BH1712" s="25"/>
      <c r="BI1712" s="25"/>
      <c r="BJ1712" s="25"/>
      <c r="BK1712" s="25"/>
      <c r="BL1712" s="25"/>
      <c r="BM1712" s="25"/>
      <c r="BN1712" s="25"/>
      <c r="BO1712" s="25"/>
      <c r="BP1712" s="25"/>
      <c r="BQ1712" s="25"/>
      <c r="BR1712" s="25"/>
      <c r="BS1712" s="25"/>
      <c r="BT1712" s="25"/>
      <c r="CD1712" s="25"/>
      <c r="CE1712" s="200"/>
      <c r="CF1712" s="200"/>
      <c r="CG1712" s="200"/>
      <c r="CH1712" s="200"/>
      <c r="CI1712" s="200"/>
      <c r="CJ1712" s="200"/>
      <c r="CK1712" s="200"/>
      <c r="CL1712" s="200"/>
      <c r="CM1712" s="200"/>
      <c r="CN1712" s="200"/>
      <c r="CO1712" s="200"/>
      <c r="CP1712" s="200"/>
      <c r="CQ1712" s="200"/>
      <c r="CR1712" s="200"/>
      <c r="CS1712" s="200"/>
      <c r="CT1712" s="200"/>
      <c r="CU1712" s="200"/>
    </row>
    <row r="1713" spans="1:99" s="17" customFormat="1" x14ac:dyDescent="0.2">
      <c r="A1713" s="25"/>
      <c r="B1713" s="20">
        <v>39109365302</v>
      </c>
      <c r="C1713" s="20">
        <v>3653.02</v>
      </c>
      <c r="D1713" s="20" t="s">
        <v>60</v>
      </c>
      <c r="E1713" s="20" t="s">
        <v>2833</v>
      </c>
      <c r="F1713" s="20" t="s">
        <v>8</v>
      </c>
      <c r="G1713" s="861">
        <v>47.745760574943901</v>
      </c>
      <c r="H1713" s="861">
        <v>52.320901744946802</v>
      </c>
      <c r="I1713" s="861">
        <v>17.163674738501602</v>
      </c>
      <c r="J1713" s="861">
        <v>48.501645588524703</v>
      </c>
      <c r="K1713" s="982">
        <v>0</v>
      </c>
      <c r="L1713" s="735">
        <v>5794</v>
      </c>
      <c r="M1713" s="735">
        <v>6459</v>
      </c>
      <c r="N1713" s="845">
        <f t="shared" si="143"/>
        <v>0.11477390403866068</v>
      </c>
      <c r="O1713" s="735">
        <v>6.8941625372944282</v>
      </c>
      <c r="P1713" s="735">
        <f t="shared" si="144"/>
        <v>936.87956514799475</v>
      </c>
      <c r="Q1713" s="849">
        <v>41.9</v>
      </c>
      <c r="R1713" s="71">
        <v>123623</v>
      </c>
      <c r="S1713" s="845">
        <v>2.9608851488234379E-2</v>
      </c>
      <c r="T1713" s="845">
        <v>5.5E-2</v>
      </c>
      <c r="U1713" s="845">
        <v>0</v>
      </c>
      <c r="V1713" s="845">
        <v>0</v>
      </c>
      <c r="W1713" s="845">
        <v>6.1955025240936212E-2</v>
      </c>
      <c r="X1713" s="845">
        <v>0.42962962962962964</v>
      </c>
      <c r="Y1713" s="845">
        <v>0.91577643598080194</v>
      </c>
      <c r="Z1713" s="845">
        <v>1.7340145533364298E-2</v>
      </c>
      <c r="AA1713" s="845">
        <v>3.0964545595293388E-4</v>
      </c>
      <c r="AB1713" s="845">
        <v>1.9972131908964234E-2</v>
      </c>
      <c r="AC1713" s="845">
        <v>0</v>
      </c>
      <c r="AD1713" s="845">
        <v>2.9571141043505188E-2</v>
      </c>
      <c r="AE1713" s="845">
        <v>1.7030500077411363E-2</v>
      </c>
      <c r="AF1713" s="845">
        <v>6.0535686638798575E-2</v>
      </c>
      <c r="AG1713" s="845">
        <v>0.88481189038550856</v>
      </c>
      <c r="AH1713" s="20" t="str">
        <f t="shared" si="145"/>
        <v>No</v>
      </c>
      <c r="AI1713" s="25"/>
      <c r="AJ1713" s="37">
        <v>43402</v>
      </c>
      <c r="AK1713" s="37" t="s">
        <v>906</v>
      </c>
      <c r="AL1713" s="37">
        <v>39173</v>
      </c>
      <c r="AM1713" s="37" t="s">
        <v>92</v>
      </c>
      <c r="AN1713" s="37">
        <f t="shared" si="146"/>
        <v>45780</v>
      </c>
      <c r="AO1713" s="37" t="str">
        <f t="shared" si="147"/>
        <v>Toledo, OH</v>
      </c>
      <c r="AP1713" s="37" t="s">
        <v>8</v>
      </c>
      <c r="AQ1713" s="25"/>
      <c r="AR1713" s="25"/>
      <c r="AS1713" s="25"/>
      <c r="AT1713" s="25"/>
      <c r="AU1713" s="36"/>
      <c r="AV1713" s="36"/>
      <c r="AW1713" s="36"/>
      <c r="AX1713" s="25"/>
      <c r="AY1713" s="25"/>
      <c r="AZ1713" s="25"/>
      <c r="BA1713" s="25"/>
      <c r="BB1713" s="25"/>
      <c r="BC1713" s="25"/>
      <c r="BD1713" s="25"/>
      <c r="BE1713" s="25"/>
      <c r="BF1713" s="25"/>
      <c r="BG1713" s="25"/>
      <c r="BH1713" s="25"/>
      <c r="BI1713" s="25"/>
      <c r="BJ1713" s="25"/>
      <c r="BK1713" s="25"/>
      <c r="BL1713" s="25"/>
      <c r="BM1713" s="25"/>
      <c r="BN1713" s="25"/>
      <c r="BO1713" s="25"/>
      <c r="BP1713" s="25"/>
      <c r="BQ1713" s="25"/>
      <c r="BR1713" s="25"/>
      <c r="BS1713" s="25"/>
      <c r="BT1713" s="25"/>
      <c r="CD1713" s="25"/>
      <c r="CE1713" s="200"/>
      <c r="CF1713" s="200"/>
      <c r="CG1713" s="200"/>
      <c r="CH1713" s="200"/>
      <c r="CI1713" s="200"/>
      <c r="CJ1713" s="200"/>
      <c r="CK1713" s="200"/>
      <c r="CL1713" s="200"/>
      <c r="CM1713" s="200"/>
      <c r="CN1713" s="200"/>
      <c r="CO1713" s="200"/>
      <c r="CP1713" s="200"/>
      <c r="CQ1713" s="200"/>
      <c r="CR1713" s="200"/>
      <c r="CS1713" s="200"/>
      <c r="CT1713" s="200"/>
      <c r="CU1713" s="200"/>
    </row>
    <row r="1714" spans="1:99" s="17" customFormat="1" x14ac:dyDescent="0.2">
      <c r="A1714" s="25"/>
      <c r="B1714" s="20">
        <v>39029950100</v>
      </c>
      <c r="C1714" s="20">
        <v>9501</v>
      </c>
      <c r="D1714" s="20" t="s">
        <v>21</v>
      </c>
      <c r="E1714" s="20" t="s">
        <v>265</v>
      </c>
      <c r="F1714" s="20" t="s">
        <v>8</v>
      </c>
      <c r="G1714" s="861">
        <v>47.745756639667803</v>
      </c>
      <c r="H1714" s="861">
        <v>51.552224848348601</v>
      </c>
      <c r="I1714" s="861">
        <v>25.818258729981601</v>
      </c>
      <c r="J1714" s="861">
        <v>38.614136490783203</v>
      </c>
      <c r="K1714" s="982">
        <v>0</v>
      </c>
      <c r="L1714" s="735">
        <v>5800</v>
      </c>
      <c r="M1714" s="735">
        <v>5315</v>
      </c>
      <c r="N1714" s="845">
        <f t="shared" si="143"/>
        <v>-8.3620689655172414E-2</v>
      </c>
      <c r="O1714" s="735">
        <v>28.660369023856255</v>
      </c>
      <c r="P1714" s="735">
        <f t="shared" si="144"/>
        <v>185.4477168656102</v>
      </c>
      <c r="Q1714" s="849">
        <v>45.6</v>
      </c>
      <c r="R1714" s="71">
        <v>61641</v>
      </c>
      <c r="S1714" s="845">
        <v>9.1289463674400911E-2</v>
      </c>
      <c r="T1714" s="845">
        <v>3.3000000000000002E-2</v>
      </c>
      <c r="U1714" s="845">
        <v>0</v>
      </c>
      <c r="V1714" s="845">
        <v>0</v>
      </c>
      <c r="W1714" s="845">
        <v>0.14333976833976833</v>
      </c>
      <c r="X1714" s="845">
        <v>0.35353535353535354</v>
      </c>
      <c r="Y1714" s="845">
        <v>0.95653809971777992</v>
      </c>
      <c r="Z1714" s="845">
        <v>4.5155221072436498E-3</v>
      </c>
      <c r="AA1714" s="845">
        <v>0</v>
      </c>
      <c r="AB1714" s="845">
        <v>7.525870178739417E-3</v>
      </c>
      <c r="AC1714" s="845">
        <v>6.3969896519285039E-3</v>
      </c>
      <c r="AD1714" s="845">
        <v>6.3969896519285039E-3</v>
      </c>
      <c r="AE1714" s="845">
        <v>1.8626528692380056E-2</v>
      </c>
      <c r="AF1714" s="845">
        <v>2.8222013170272815E-3</v>
      </c>
      <c r="AG1714" s="845">
        <v>0.95371589840075255</v>
      </c>
      <c r="AH1714" s="20" t="str">
        <f t="shared" si="145"/>
        <v>Yes</v>
      </c>
      <c r="AI1714" s="25"/>
      <c r="AJ1714" s="37">
        <v>43403</v>
      </c>
      <c r="AK1714" s="37" t="s">
        <v>907</v>
      </c>
      <c r="AL1714" s="37">
        <v>39173</v>
      </c>
      <c r="AM1714" s="37" t="s">
        <v>92</v>
      </c>
      <c r="AN1714" s="37">
        <f t="shared" si="146"/>
        <v>45780</v>
      </c>
      <c r="AO1714" s="37" t="str">
        <f t="shared" si="147"/>
        <v>Toledo, OH</v>
      </c>
      <c r="AP1714" s="37" t="s">
        <v>8</v>
      </c>
      <c r="AQ1714" s="25"/>
      <c r="AR1714" s="25"/>
      <c r="AS1714" s="25"/>
      <c r="AT1714" s="25"/>
      <c r="AU1714" s="36"/>
      <c r="AV1714" s="36"/>
      <c r="AW1714" s="36"/>
      <c r="AX1714" s="25"/>
      <c r="AY1714" s="25"/>
      <c r="AZ1714" s="25"/>
      <c r="BA1714" s="25"/>
      <c r="BB1714" s="25"/>
      <c r="BC1714" s="25"/>
      <c r="BD1714" s="25"/>
      <c r="BE1714" s="25"/>
      <c r="BF1714" s="25"/>
      <c r="BG1714" s="25"/>
      <c r="BH1714" s="25"/>
      <c r="BI1714" s="25"/>
      <c r="BJ1714" s="25"/>
      <c r="BK1714" s="25"/>
      <c r="BL1714" s="25"/>
      <c r="BM1714" s="25"/>
      <c r="BN1714" s="25"/>
      <c r="BO1714" s="25"/>
      <c r="BP1714" s="25"/>
      <c r="BQ1714" s="25"/>
      <c r="BR1714" s="25"/>
      <c r="BS1714" s="25"/>
      <c r="BT1714" s="25"/>
      <c r="CD1714" s="25"/>
      <c r="CE1714" s="200"/>
      <c r="CF1714" s="200"/>
      <c r="CG1714" s="200"/>
      <c r="CH1714" s="200"/>
      <c r="CI1714" s="200"/>
      <c r="CJ1714" s="200"/>
      <c r="CK1714" s="200"/>
      <c r="CL1714" s="200"/>
      <c r="CM1714" s="200"/>
      <c r="CN1714" s="200"/>
      <c r="CO1714" s="200"/>
      <c r="CP1714" s="200"/>
      <c r="CQ1714" s="200"/>
      <c r="CR1714" s="200"/>
      <c r="CS1714" s="200"/>
      <c r="CT1714" s="200"/>
      <c r="CU1714" s="200"/>
    </row>
    <row r="1715" spans="1:99" s="17" customFormat="1" x14ac:dyDescent="0.2">
      <c r="A1715" s="25"/>
      <c r="B1715" s="20">
        <v>39045030800</v>
      </c>
      <c r="C1715" s="20">
        <v>308</v>
      </c>
      <c r="D1715" s="20" t="s">
        <v>29</v>
      </c>
      <c r="E1715" s="20" t="s">
        <v>2830</v>
      </c>
      <c r="F1715" s="20" t="s">
        <v>8</v>
      </c>
      <c r="G1715" s="861">
        <v>47.721028894052303</v>
      </c>
      <c r="H1715" s="861">
        <v>67.907719840401498</v>
      </c>
      <c r="I1715" s="861">
        <v>29.2284186187206</v>
      </c>
      <c r="J1715" s="861">
        <v>40.7368877033378</v>
      </c>
      <c r="K1715" s="982">
        <v>0</v>
      </c>
      <c r="L1715" s="735">
        <v>5358</v>
      </c>
      <c r="M1715" s="735">
        <v>6172</v>
      </c>
      <c r="N1715" s="845">
        <f t="shared" si="143"/>
        <v>0.15192235908921239</v>
      </c>
      <c r="O1715" s="735">
        <v>27.059802602723146</v>
      </c>
      <c r="P1715" s="735">
        <f t="shared" si="144"/>
        <v>228.08739925467472</v>
      </c>
      <c r="Q1715" s="849">
        <v>46.9</v>
      </c>
      <c r="R1715" s="71">
        <v>118387</v>
      </c>
      <c r="S1715" s="845">
        <v>4.0461488462788429E-2</v>
      </c>
      <c r="T1715" s="845">
        <v>6.9999999999999993E-3</v>
      </c>
      <c r="U1715" s="845">
        <v>8.0000000000000002E-3</v>
      </c>
      <c r="V1715" s="845">
        <v>0</v>
      </c>
      <c r="W1715" s="845">
        <v>9.6618357487922704E-2</v>
      </c>
      <c r="X1715" s="845">
        <v>0.31</v>
      </c>
      <c r="Y1715" s="845">
        <v>0.96386908619572265</v>
      </c>
      <c r="Z1715" s="845">
        <v>4.2125729099157481E-3</v>
      </c>
      <c r="AA1715" s="845">
        <v>6.4808813998703824E-3</v>
      </c>
      <c r="AB1715" s="845">
        <v>0</v>
      </c>
      <c r="AC1715" s="845">
        <v>0</v>
      </c>
      <c r="AD1715" s="845">
        <v>0</v>
      </c>
      <c r="AE1715" s="845">
        <v>2.5437459494491249E-2</v>
      </c>
      <c r="AF1715" s="845">
        <v>2.2845106934543096E-2</v>
      </c>
      <c r="AG1715" s="845">
        <v>0.96160077770576802</v>
      </c>
      <c r="AH1715" s="20" t="str">
        <f t="shared" si="145"/>
        <v>Yes</v>
      </c>
      <c r="AI1715" s="25"/>
      <c r="AJ1715" s="37">
        <v>43406</v>
      </c>
      <c r="AK1715" s="37" t="s">
        <v>908</v>
      </c>
      <c r="AL1715" s="37">
        <v>39173</v>
      </c>
      <c r="AM1715" s="37" t="s">
        <v>92</v>
      </c>
      <c r="AN1715" s="37">
        <f t="shared" si="146"/>
        <v>45780</v>
      </c>
      <c r="AO1715" s="37" t="str">
        <f t="shared" si="147"/>
        <v>Toledo, OH</v>
      </c>
      <c r="AP1715" s="37" t="s">
        <v>8</v>
      </c>
      <c r="AQ1715" s="25"/>
      <c r="AR1715" s="25"/>
      <c r="AS1715" s="25"/>
      <c r="AT1715" s="25"/>
      <c r="AU1715" s="36"/>
      <c r="AV1715" s="36"/>
      <c r="AW1715" s="36"/>
      <c r="AX1715" s="25"/>
      <c r="AY1715" s="25"/>
      <c r="AZ1715" s="25"/>
      <c r="BA1715" s="25"/>
      <c r="BB1715" s="25"/>
      <c r="BC1715" s="25"/>
      <c r="BD1715" s="25"/>
      <c r="BE1715" s="25"/>
      <c r="BF1715" s="25"/>
      <c r="BG1715" s="25"/>
      <c r="BH1715" s="25"/>
      <c r="BI1715" s="25"/>
      <c r="BJ1715" s="25"/>
      <c r="BK1715" s="25"/>
      <c r="BL1715" s="25"/>
      <c r="BM1715" s="25"/>
      <c r="BN1715" s="25"/>
      <c r="BO1715" s="25"/>
      <c r="BP1715" s="25"/>
      <c r="BQ1715" s="25"/>
      <c r="BR1715" s="25"/>
      <c r="BS1715" s="25"/>
      <c r="BT1715" s="25"/>
      <c r="CD1715" s="25"/>
      <c r="CE1715" s="200"/>
      <c r="CF1715" s="200"/>
      <c r="CG1715" s="200"/>
      <c r="CH1715" s="200"/>
      <c r="CI1715" s="200"/>
      <c r="CJ1715" s="200"/>
      <c r="CK1715" s="200"/>
      <c r="CL1715" s="200"/>
      <c r="CM1715" s="200"/>
      <c r="CN1715" s="200"/>
      <c r="CO1715" s="200"/>
      <c r="CP1715" s="200"/>
      <c r="CQ1715" s="200"/>
      <c r="CR1715" s="200"/>
      <c r="CS1715" s="200"/>
      <c r="CT1715" s="200"/>
      <c r="CU1715" s="200"/>
    </row>
    <row r="1716" spans="1:99" s="17" customFormat="1" x14ac:dyDescent="0.2">
      <c r="A1716" s="25"/>
      <c r="B1716" s="20">
        <v>39135420100</v>
      </c>
      <c r="C1716" s="20">
        <v>4201</v>
      </c>
      <c r="D1716" s="20" t="s">
        <v>73</v>
      </c>
      <c r="E1716" s="20" t="s">
        <v>265</v>
      </c>
      <c r="F1716" s="20" t="s">
        <v>8</v>
      </c>
      <c r="G1716" s="861">
        <v>47.720296296007099</v>
      </c>
      <c r="H1716" s="861">
        <v>51.5670602881424</v>
      </c>
      <c r="I1716" s="861">
        <v>23.552341568806799</v>
      </c>
      <c r="J1716" s="861">
        <v>42.432884339574301</v>
      </c>
      <c r="K1716" s="982">
        <v>0</v>
      </c>
      <c r="L1716" s="735">
        <v>4551</v>
      </c>
      <c r="M1716" s="735">
        <v>4284</v>
      </c>
      <c r="N1716" s="845">
        <f t="shared" si="143"/>
        <v>-5.8668424522083061E-2</v>
      </c>
      <c r="O1716" s="735">
        <v>35.720944294219173</v>
      </c>
      <c r="P1716" s="735">
        <f t="shared" si="144"/>
        <v>119.9296402893048</v>
      </c>
      <c r="Q1716" s="849">
        <v>37</v>
      </c>
      <c r="R1716" s="71">
        <v>75027</v>
      </c>
      <c r="S1716" s="845">
        <v>0.11554621848739496</v>
      </c>
      <c r="T1716" s="845">
        <v>4.0999999999999995E-2</v>
      </c>
      <c r="U1716" s="845">
        <v>0</v>
      </c>
      <c r="V1716" s="845">
        <v>0</v>
      </c>
      <c r="W1716" s="845">
        <v>0.22131624927198601</v>
      </c>
      <c r="X1716" s="845">
        <v>0.23947368421052631</v>
      </c>
      <c r="Y1716" s="845">
        <v>0.97058823529411764</v>
      </c>
      <c r="Z1716" s="845">
        <v>0</v>
      </c>
      <c r="AA1716" s="845">
        <v>9.3370681605975728E-4</v>
      </c>
      <c r="AB1716" s="845">
        <v>7.0028011204481795E-3</v>
      </c>
      <c r="AC1716" s="845">
        <v>0</v>
      </c>
      <c r="AD1716" s="845">
        <v>0</v>
      </c>
      <c r="AE1716" s="845">
        <v>2.1475256769374416E-2</v>
      </c>
      <c r="AF1716" s="845">
        <v>2.6143790849673203E-2</v>
      </c>
      <c r="AG1716" s="845">
        <v>0.94701213818860874</v>
      </c>
      <c r="AH1716" s="20" t="str">
        <f t="shared" si="145"/>
        <v>Yes</v>
      </c>
      <c r="AI1716" s="25"/>
      <c r="AJ1716" s="37">
        <v>43413</v>
      </c>
      <c r="AK1716" s="37" t="s">
        <v>913</v>
      </c>
      <c r="AL1716" s="37">
        <v>39173</v>
      </c>
      <c r="AM1716" s="37" t="s">
        <v>92</v>
      </c>
      <c r="AN1716" s="37">
        <f t="shared" si="146"/>
        <v>45780</v>
      </c>
      <c r="AO1716" s="37" t="str">
        <f t="shared" si="147"/>
        <v>Toledo, OH</v>
      </c>
      <c r="AP1716" s="37" t="s">
        <v>8</v>
      </c>
      <c r="AQ1716" s="25"/>
      <c r="AR1716" s="25"/>
      <c r="AS1716" s="25"/>
      <c r="AT1716" s="25"/>
      <c r="AU1716" s="36"/>
      <c r="AV1716" s="36"/>
      <c r="AW1716" s="36"/>
      <c r="AX1716" s="25"/>
      <c r="AY1716" s="25"/>
      <c r="AZ1716" s="25"/>
      <c r="BA1716" s="25"/>
      <c r="BB1716" s="25"/>
      <c r="BC1716" s="25"/>
      <c r="BD1716" s="25"/>
      <c r="BE1716" s="25"/>
      <c r="BF1716" s="25"/>
      <c r="BG1716" s="25"/>
      <c r="BH1716" s="25"/>
      <c r="BI1716" s="25"/>
      <c r="BJ1716" s="25"/>
      <c r="BK1716" s="25"/>
      <c r="BL1716" s="25"/>
      <c r="BM1716" s="25"/>
      <c r="BN1716" s="25"/>
      <c r="BO1716" s="25"/>
      <c r="BP1716" s="25"/>
      <c r="BQ1716" s="25"/>
      <c r="BR1716" s="25"/>
      <c r="BS1716" s="25"/>
      <c r="BT1716" s="25"/>
      <c r="CD1716" s="25"/>
      <c r="CE1716" s="200"/>
      <c r="CF1716" s="200"/>
      <c r="CG1716" s="200"/>
      <c r="CH1716" s="200"/>
      <c r="CI1716" s="200"/>
      <c r="CJ1716" s="200"/>
      <c r="CK1716" s="200"/>
      <c r="CL1716" s="200"/>
      <c r="CM1716" s="200"/>
      <c r="CN1716" s="200"/>
      <c r="CO1716" s="200"/>
      <c r="CP1716" s="200"/>
      <c r="CQ1716" s="200"/>
      <c r="CR1716" s="200"/>
      <c r="CS1716" s="200"/>
      <c r="CT1716" s="200"/>
      <c r="CU1716" s="200"/>
    </row>
    <row r="1717" spans="1:99" s="17" customFormat="1" x14ac:dyDescent="0.2">
      <c r="A1717" s="25"/>
      <c r="B1717" s="20">
        <v>39079957500</v>
      </c>
      <c r="C1717" s="20">
        <v>9575</v>
      </c>
      <c r="D1717" s="20" t="s">
        <v>46</v>
      </c>
      <c r="E1717" s="20" t="s">
        <v>265</v>
      </c>
      <c r="F1717" s="20" t="s">
        <v>8</v>
      </c>
      <c r="G1717" s="861">
        <v>47.715442689236198</v>
      </c>
      <c r="H1717" s="861">
        <v>46.614865216178302</v>
      </c>
      <c r="I1717" s="861">
        <v>31.999610524221001</v>
      </c>
      <c r="J1717" s="861">
        <v>41.786600950622997</v>
      </c>
      <c r="K1717" s="982">
        <v>0</v>
      </c>
      <c r="L1717" s="735">
        <v>5357</v>
      </c>
      <c r="M1717" s="735">
        <v>6037</v>
      </c>
      <c r="N1717" s="845">
        <f t="shared" si="143"/>
        <v>0.12693671831248834</v>
      </c>
      <c r="O1717" s="735">
        <v>12.110438993482484</v>
      </c>
      <c r="P1717" s="735">
        <f t="shared" si="144"/>
        <v>498.49555439311098</v>
      </c>
      <c r="Q1717" s="849">
        <v>35.799999999999997</v>
      </c>
      <c r="R1717" s="71">
        <v>57917</v>
      </c>
      <c r="S1717" s="845">
        <v>0.17051153460381144</v>
      </c>
      <c r="T1717" s="845">
        <v>2.5000000000000001E-2</v>
      </c>
      <c r="U1717" s="845">
        <v>4.7E-2</v>
      </c>
      <c r="V1717" s="845">
        <v>0</v>
      </c>
      <c r="W1717" s="845">
        <v>0.37595496582227583</v>
      </c>
      <c r="X1717" s="845">
        <v>0.33903743315508023</v>
      </c>
      <c r="Y1717" s="845">
        <v>0.92926950472088787</v>
      </c>
      <c r="Z1717" s="845">
        <v>3.3129037601457677E-4</v>
      </c>
      <c r="AA1717" s="845">
        <v>2.8159681961239026E-3</v>
      </c>
      <c r="AB1717" s="845">
        <v>3.0975650157362929E-2</v>
      </c>
      <c r="AC1717" s="845">
        <v>0</v>
      </c>
      <c r="AD1717" s="845">
        <v>0</v>
      </c>
      <c r="AE1717" s="845">
        <v>3.6607586549610736E-2</v>
      </c>
      <c r="AF1717" s="845">
        <v>1.2257743912539341E-2</v>
      </c>
      <c r="AG1717" s="845">
        <v>0.92926950472088787</v>
      </c>
      <c r="AH1717" s="20" t="str">
        <f t="shared" si="145"/>
        <v>Yes</v>
      </c>
      <c r="AI1717" s="25"/>
      <c r="AJ1717" s="37">
        <v>43414</v>
      </c>
      <c r="AK1717" s="37" t="s">
        <v>914</v>
      </c>
      <c r="AL1717" s="37">
        <v>39173</v>
      </c>
      <c r="AM1717" s="37" t="s">
        <v>92</v>
      </c>
      <c r="AN1717" s="37">
        <f t="shared" si="146"/>
        <v>45780</v>
      </c>
      <c r="AO1717" s="37" t="str">
        <f t="shared" si="147"/>
        <v>Toledo, OH</v>
      </c>
      <c r="AP1717" s="37" t="s">
        <v>8</v>
      </c>
      <c r="AQ1717" s="25"/>
      <c r="AR1717" s="25"/>
      <c r="AS1717" s="25"/>
      <c r="AT1717" s="25"/>
      <c r="AU1717" s="36"/>
      <c r="AV1717" s="36"/>
      <c r="AW1717" s="36"/>
      <c r="AX1717" s="25"/>
      <c r="AY1717" s="25"/>
      <c r="AZ1717" s="25"/>
      <c r="BA1717" s="25"/>
      <c r="BB1717" s="25"/>
      <c r="BC1717" s="25"/>
      <c r="BD1717" s="25"/>
      <c r="BE1717" s="25"/>
      <c r="BF1717" s="25"/>
      <c r="BG1717" s="25"/>
      <c r="BH1717" s="25"/>
      <c r="BI1717" s="25"/>
      <c r="BJ1717" s="25"/>
      <c r="BK1717" s="25"/>
      <c r="BL1717" s="25"/>
      <c r="BM1717" s="25"/>
      <c r="BN1717" s="25"/>
      <c r="BO1717" s="25"/>
      <c r="BP1717" s="25"/>
      <c r="BQ1717" s="25"/>
      <c r="BR1717" s="25"/>
      <c r="BS1717" s="25"/>
      <c r="BT1717" s="25"/>
      <c r="CD1717" s="25"/>
      <c r="CE1717" s="200"/>
      <c r="CF1717" s="200"/>
      <c r="CG1717" s="200"/>
      <c r="CH1717" s="200"/>
      <c r="CI1717" s="200"/>
      <c r="CJ1717" s="200"/>
      <c r="CK1717" s="200"/>
      <c r="CL1717" s="200"/>
      <c r="CM1717" s="200"/>
      <c r="CN1717" s="200"/>
      <c r="CO1717" s="200"/>
      <c r="CP1717" s="200"/>
      <c r="CQ1717" s="200"/>
      <c r="CR1717" s="200"/>
      <c r="CS1717" s="200"/>
      <c r="CT1717" s="200"/>
      <c r="CU1717" s="200"/>
    </row>
    <row r="1718" spans="1:99" s="17" customFormat="1" x14ac:dyDescent="0.2">
      <c r="A1718" s="25"/>
      <c r="B1718" s="20">
        <v>39007000602</v>
      </c>
      <c r="C1718" s="20">
        <v>6.02</v>
      </c>
      <c r="D1718" s="20" t="s">
        <v>10</v>
      </c>
      <c r="E1718" s="20" t="s">
        <v>2829</v>
      </c>
      <c r="F1718" s="20" t="s">
        <v>8</v>
      </c>
      <c r="G1718" s="861">
        <v>47.7142383106872</v>
      </c>
      <c r="H1718" s="861">
        <v>59.2096470963399</v>
      </c>
      <c r="I1718" s="861">
        <v>37.479979256396803</v>
      </c>
      <c r="J1718" s="861">
        <v>48.173188577787599</v>
      </c>
      <c r="K1718" s="982">
        <v>0</v>
      </c>
      <c r="L1718" s="735">
        <v>3215</v>
      </c>
      <c r="M1718" s="735">
        <v>3733</v>
      </c>
      <c r="N1718" s="845">
        <f t="shared" si="143"/>
        <v>0.16111975116640748</v>
      </c>
      <c r="O1718" s="735">
        <v>1.2814012493671256</v>
      </c>
      <c r="P1718" s="735">
        <f t="shared" si="144"/>
        <v>2913.2170753257033</v>
      </c>
      <c r="Q1718" s="849">
        <v>49.7</v>
      </c>
      <c r="R1718" s="71">
        <v>56195</v>
      </c>
      <c r="S1718" s="845">
        <v>0.13715510313420842</v>
      </c>
      <c r="T1718" s="845">
        <v>8.6999999999999994E-2</v>
      </c>
      <c r="U1718" s="845">
        <v>4.0000000000000001E-3</v>
      </c>
      <c r="V1718" s="845">
        <v>0.11199999999999999</v>
      </c>
      <c r="W1718" s="845">
        <v>0.22296918767507004</v>
      </c>
      <c r="X1718" s="845">
        <v>0.52010050251256279</v>
      </c>
      <c r="Y1718" s="845">
        <v>0.92097508706134479</v>
      </c>
      <c r="Z1718" s="845">
        <v>9.1079560675060272E-3</v>
      </c>
      <c r="AA1718" s="845">
        <v>0</v>
      </c>
      <c r="AB1718" s="845">
        <v>0</v>
      </c>
      <c r="AC1718" s="845">
        <v>0</v>
      </c>
      <c r="AD1718" s="845">
        <v>2.7323868202518083E-2</v>
      </c>
      <c r="AE1718" s="845">
        <v>4.2593088668631131E-2</v>
      </c>
      <c r="AF1718" s="845">
        <v>2.1162603803911065E-2</v>
      </c>
      <c r="AG1718" s="845">
        <v>0.92097508706134479</v>
      </c>
      <c r="AH1718" s="20" t="str">
        <f t="shared" si="145"/>
        <v>Yes</v>
      </c>
      <c r="AI1718" s="25"/>
      <c r="AJ1718" s="37">
        <v>43430</v>
      </c>
      <c r="AK1718" s="37" t="s">
        <v>917</v>
      </c>
      <c r="AL1718" s="37">
        <v>39173</v>
      </c>
      <c r="AM1718" s="37" t="s">
        <v>92</v>
      </c>
      <c r="AN1718" s="37">
        <f t="shared" si="146"/>
        <v>45780</v>
      </c>
      <c r="AO1718" s="37" t="str">
        <f t="shared" si="147"/>
        <v>Toledo, OH</v>
      </c>
      <c r="AP1718" s="37" t="s">
        <v>8</v>
      </c>
      <c r="AQ1718" s="25"/>
      <c r="AR1718" s="25"/>
      <c r="AS1718" s="25"/>
      <c r="AT1718" s="25"/>
      <c r="AU1718" s="36"/>
      <c r="AV1718" s="36"/>
      <c r="AW1718" s="36"/>
      <c r="AX1718" s="25"/>
      <c r="AY1718" s="25"/>
      <c r="AZ1718" s="25"/>
      <c r="BA1718" s="25"/>
      <c r="BB1718" s="25"/>
      <c r="BC1718" s="25"/>
      <c r="BD1718" s="25"/>
      <c r="BE1718" s="25"/>
      <c r="BF1718" s="25"/>
      <c r="BG1718" s="25"/>
      <c r="BH1718" s="25"/>
      <c r="BI1718" s="25"/>
      <c r="BJ1718" s="25"/>
      <c r="BK1718" s="25"/>
      <c r="BL1718" s="25"/>
      <c r="BM1718" s="25"/>
      <c r="BN1718" s="25"/>
      <c r="BO1718" s="25"/>
      <c r="BP1718" s="25"/>
      <c r="BQ1718" s="25"/>
      <c r="BR1718" s="25"/>
      <c r="BS1718" s="25"/>
      <c r="BT1718" s="25"/>
      <c r="CD1718" s="25"/>
      <c r="CE1718" s="200"/>
      <c r="CF1718" s="200"/>
      <c r="CG1718" s="200"/>
      <c r="CH1718" s="200"/>
      <c r="CI1718" s="200"/>
      <c r="CJ1718" s="200"/>
      <c r="CK1718" s="200"/>
      <c r="CL1718" s="200"/>
      <c r="CM1718" s="200"/>
      <c r="CN1718" s="200"/>
      <c r="CO1718" s="200"/>
      <c r="CP1718" s="200"/>
      <c r="CQ1718" s="200"/>
      <c r="CR1718" s="200"/>
      <c r="CS1718" s="200"/>
      <c r="CT1718" s="200"/>
      <c r="CU1718" s="200"/>
    </row>
    <row r="1719" spans="1:99" s="17" customFormat="1" x14ac:dyDescent="0.2">
      <c r="A1719" s="25"/>
      <c r="B1719" s="20">
        <v>39035152605</v>
      </c>
      <c r="C1719" s="20">
        <v>1526.05</v>
      </c>
      <c r="D1719" s="20" t="s">
        <v>24</v>
      </c>
      <c r="E1719" s="20" t="s">
        <v>2829</v>
      </c>
      <c r="F1719" s="20" t="s">
        <v>8</v>
      </c>
      <c r="G1719" s="861">
        <v>47.707971401106199</v>
      </c>
      <c r="H1719" s="861">
        <v>51.119890432427098</v>
      </c>
      <c r="I1719" s="861">
        <v>39.509330056790198</v>
      </c>
      <c r="J1719" s="861">
        <v>48.607702248820999</v>
      </c>
      <c r="K1719" s="982">
        <v>0</v>
      </c>
      <c r="L1719" s="735" t="s">
        <v>2466</v>
      </c>
      <c r="M1719" s="735">
        <v>4782</v>
      </c>
      <c r="N1719" s="845" t="str">
        <f t="shared" si="143"/>
        <v/>
      </c>
      <c r="O1719" s="735">
        <v>1.5657284233633026</v>
      </c>
      <c r="P1719" s="735">
        <f t="shared" si="144"/>
        <v>3054.1695026062716</v>
      </c>
      <c r="Q1719" s="849">
        <v>45.6</v>
      </c>
      <c r="R1719" s="71">
        <v>46199</v>
      </c>
      <c r="S1719" s="845">
        <v>0.1732662895453593</v>
      </c>
      <c r="T1719" s="845">
        <v>0.04</v>
      </c>
      <c r="U1719" s="845">
        <v>0</v>
      </c>
      <c r="V1719" s="845">
        <v>8.6999999999999994E-2</v>
      </c>
      <c r="W1719" s="845">
        <v>0.59052453468697119</v>
      </c>
      <c r="X1719" s="845">
        <v>0.36604584527220629</v>
      </c>
      <c r="Y1719" s="845">
        <v>0.21685487243831034</v>
      </c>
      <c r="Z1719" s="845">
        <v>0.70347135089920532</v>
      </c>
      <c r="AA1719" s="845">
        <v>8.3647009619406115E-3</v>
      </c>
      <c r="AB1719" s="845">
        <v>3.5549979088247597E-3</v>
      </c>
      <c r="AC1719" s="845">
        <v>0</v>
      </c>
      <c r="AD1719" s="845">
        <v>7.7373483897950649E-3</v>
      </c>
      <c r="AE1719" s="845">
        <v>6.0016729401923881E-2</v>
      </c>
      <c r="AF1719" s="845">
        <v>4.0150564617314928E-2</v>
      </c>
      <c r="AG1719" s="845">
        <v>0.20368046842325388</v>
      </c>
      <c r="AH1719" s="20" t="str">
        <f t="shared" si="145"/>
        <v>No</v>
      </c>
      <c r="AI1719" s="25"/>
      <c r="AJ1719" s="37">
        <v>43431</v>
      </c>
      <c r="AK1719" s="37" t="s">
        <v>918</v>
      </c>
      <c r="AL1719" s="37">
        <v>39173</v>
      </c>
      <c r="AM1719" s="37" t="s">
        <v>92</v>
      </c>
      <c r="AN1719" s="37">
        <f t="shared" si="146"/>
        <v>45780</v>
      </c>
      <c r="AO1719" s="37" t="str">
        <f t="shared" si="147"/>
        <v>Toledo, OH</v>
      </c>
      <c r="AP1719" s="37" t="s">
        <v>8</v>
      </c>
      <c r="AQ1719" s="25"/>
      <c r="AR1719" s="25"/>
      <c r="AS1719" s="25"/>
      <c r="AT1719" s="25"/>
      <c r="AU1719" s="36"/>
      <c r="AV1719" s="36"/>
      <c r="AW1719" s="36"/>
      <c r="AX1719" s="25"/>
      <c r="AY1719" s="25"/>
      <c r="AZ1719" s="25"/>
      <c r="BA1719" s="25"/>
      <c r="BB1719" s="25"/>
      <c r="BC1719" s="25"/>
      <c r="BD1719" s="25"/>
      <c r="BE1719" s="25"/>
      <c r="BF1719" s="25"/>
      <c r="BG1719" s="25"/>
      <c r="BH1719" s="25"/>
      <c r="BI1719" s="25"/>
      <c r="BJ1719" s="25"/>
      <c r="BK1719" s="25"/>
      <c r="BL1719" s="25"/>
      <c r="BM1719" s="25"/>
      <c r="BN1719" s="25"/>
      <c r="BO1719" s="25"/>
      <c r="BP1719" s="25"/>
      <c r="BQ1719" s="25"/>
      <c r="BR1719" s="25"/>
      <c r="BS1719" s="25"/>
      <c r="BT1719" s="25"/>
      <c r="CD1719" s="25"/>
      <c r="CE1719" s="200"/>
      <c r="CF1719" s="200"/>
      <c r="CG1719" s="200"/>
      <c r="CH1719" s="200"/>
      <c r="CI1719" s="200"/>
      <c r="CJ1719" s="200"/>
      <c r="CK1719" s="200"/>
      <c r="CL1719" s="200"/>
      <c r="CM1719" s="200"/>
      <c r="CN1719" s="200"/>
      <c r="CO1719" s="200"/>
      <c r="CP1719" s="200"/>
      <c r="CQ1719" s="200"/>
      <c r="CR1719" s="200"/>
      <c r="CS1719" s="200"/>
      <c r="CT1719" s="200"/>
      <c r="CU1719" s="200"/>
    </row>
    <row r="1720" spans="1:99" s="17" customFormat="1" x14ac:dyDescent="0.2">
      <c r="A1720" s="25"/>
      <c r="B1720" s="20">
        <v>39049007512</v>
      </c>
      <c r="C1720" s="20">
        <v>75.12</v>
      </c>
      <c r="D1720" s="20" t="s">
        <v>31</v>
      </c>
      <c r="E1720" s="20" t="s">
        <v>2830</v>
      </c>
      <c r="F1720" s="20" t="s">
        <v>6</v>
      </c>
      <c r="G1720" s="861">
        <v>47.693314688628099</v>
      </c>
      <c r="H1720" s="861">
        <v>59.2078999576771</v>
      </c>
      <c r="I1720" s="861">
        <v>39.987690684226799</v>
      </c>
      <c r="J1720" s="861">
        <v>55.983092250736298</v>
      </c>
      <c r="K1720" s="982">
        <v>0</v>
      </c>
      <c r="L1720" s="735">
        <v>3831</v>
      </c>
      <c r="M1720" s="735">
        <v>4526</v>
      </c>
      <c r="N1720" s="845">
        <f t="shared" si="143"/>
        <v>0.18141477421038893</v>
      </c>
      <c r="O1720" s="735">
        <v>0.76275137803624904</v>
      </c>
      <c r="P1720" s="735">
        <f t="shared" si="144"/>
        <v>5933.7814789040031</v>
      </c>
      <c r="Q1720" s="849">
        <v>35.1</v>
      </c>
      <c r="R1720" s="71">
        <v>50542</v>
      </c>
      <c r="S1720" s="845">
        <v>0.16438356164383561</v>
      </c>
      <c r="T1720" s="845">
        <v>6.0999999999999999E-2</v>
      </c>
      <c r="U1720" s="845">
        <v>0</v>
      </c>
      <c r="V1720" s="845">
        <v>1.3999999999999999E-2</v>
      </c>
      <c r="W1720" s="845">
        <v>0.55362156092083104</v>
      </c>
      <c r="X1720" s="845">
        <v>0.35496957403651114</v>
      </c>
      <c r="Y1720" s="845">
        <v>0.18095448519664162</v>
      </c>
      <c r="Z1720" s="845">
        <v>0.75231992929739289</v>
      </c>
      <c r="AA1720" s="845">
        <v>1.3477684489615555E-2</v>
      </c>
      <c r="AB1720" s="845">
        <v>0</v>
      </c>
      <c r="AC1720" s="845">
        <v>0</v>
      </c>
      <c r="AD1720" s="845">
        <v>5.9655324790101631E-3</v>
      </c>
      <c r="AE1720" s="845">
        <v>4.7282368537339817E-2</v>
      </c>
      <c r="AF1720" s="845">
        <v>4.81661511268228E-2</v>
      </c>
      <c r="AG1720" s="845">
        <v>0.15223155103844455</v>
      </c>
      <c r="AH1720" s="20" t="str">
        <f t="shared" si="145"/>
        <v>No</v>
      </c>
      <c r="AI1720" s="25"/>
      <c r="AJ1720" s="37">
        <v>43437</v>
      </c>
      <c r="AK1720" s="37" t="s">
        <v>924</v>
      </c>
      <c r="AL1720" s="37">
        <v>39173</v>
      </c>
      <c r="AM1720" s="37" t="s">
        <v>92</v>
      </c>
      <c r="AN1720" s="37">
        <f t="shared" si="146"/>
        <v>45780</v>
      </c>
      <c r="AO1720" s="37" t="str">
        <f t="shared" si="147"/>
        <v>Toledo, OH</v>
      </c>
      <c r="AP1720" s="37" t="s">
        <v>8</v>
      </c>
      <c r="AQ1720" s="25"/>
      <c r="AR1720" s="25"/>
      <c r="AS1720" s="25"/>
      <c r="AT1720" s="25"/>
      <c r="AU1720" s="36"/>
      <c r="AV1720" s="36"/>
      <c r="AW1720" s="36"/>
      <c r="AX1720" s="25"/>
      <c r="AY1720" s="25"/>
      <c r="AZ1720" s="25"/>
      <c r="BA1720" s="25"/>
      <c r="BB1720" s="25"/>
      <c r="BC1720" s="25"/>
      <c r="BD1720" s="25"/>
      <c r="BE1720" s="25"/>
      <c r="BF1720" s="25"/>
      <c r="BG1720" s="25"/>
      <c r="BH1720" s="25"/>
      <c r="BI1720" s="25"/>
      <c r="BJ1720" s="25"/>
      <c r="BK1720" s="25"/>
      <c r="BL1720" s="25"/>
      <c r="BM1720" s="25"/>
      <c r="BN1720" s="25"/>
      <c r="BO1720" s="25"/>
      <c r="BP1720" s="25"/>
      <c r="BQ1720" s="25"/>
      <c r="BR1720" s="25"/>
      <c r="BS1720" s="25"/>
      <c r="BT1720" s="25"/>
      <c r="CD1720" s="25"/>
      <c r="CE1720" s="200"/>
      <c r="CF1720" s="200"/>
      <c r="CG1720" s="200"/>
      <c r="CH1720" s="200"/>
      <c r="CI1720" s="200"/>
      <c r="CJ1720" s="200"/>
      <c r="CK1720" s="200"/>
      <c r="CL1720" s="200"/>
      <c r="CM1720" s="200"/>
      <c r="CN1720" s="200"/>
      <c r="CO1720" s="200"/>
      <c r="CP1720" s="200"/>
      <c r="CQ1720" s="200"/>
      <c r="CR1720" s="200"/>
      <c r="CS1720" s="200"/>
      <c r="CT1720" s="200"/>
      <c r="CU1720" s="200"/>
    </row>
    <row r="1721" spans="1:99" s="17" customFormat="1" x14ac:dyDescent="0.2">
      <c r="A1721" s="25"/>
      <c r="B1721" s="20">
        <v>39113110201</v>
      </c>
      <c r="C1721" s="20">
        <v>1102.01</v>
      </c>
      <c r="D1721" s="20" t="s">
        <v>62</v>
      </c>
      <c r="E1721" s="20" t="s">
        <v>2833</v>
      </c>
      <c r="F1721" s="20" t="s">
        <v>8</v>
      </c>
      <c r="G1721" s="861">
        <v>47.692886538175699</v>
      </c>
      <c r="H1721" s="861">
        <v>49.714603722856602</v>
      </c>
      <c r="I1721" s="861">
        <v>27.7929020936743</v>
      </c>
      <c r="J1721" s="861">
        <v>42.517297446634302</v>
      </c>
      <c r="K1721" s="982">
        <v>0</v>
      </c>
      <c r="L1721" s="735">
        <v>4437</v>
      </c>
      <c r="M1721" s="735">
        <v>4868</v>
      </c>
      <c r="N1721" s="845">
        <f t="shared" si="143"/>
        <v>9.7137705656975437E-2</v>
      </c>
      <c r="O1721" s="735">
        <v>5.0911052251896249</v>
      </c>
      <c r="P1721" s="735">
        <f t="shared" si="144"/>
        <v>956.17744766190424</v>
      </c>
      <c r="Q1721" s="849">
        <v>51.6</v>
      </c>
      <c r="R1721" s="71">
        <v>106385</v>
      </c>
      <c r="S1721" s="845">
        <v>5.2793755135579296E-2</v>
      </c>
      <c r="T1721" s="845">
        <v>1.8000000000000002E-2</v>
      </c>
      <c r="U1721" s="845">
        <v>0</v>
      </c>
      <c r="V1721" s="845">
        <v>0</v>
      </c>
      <c r="W1721" s="845">
        <v>4.0322580645161289E-2</v>
      </c>
      <c r="X1721" s="845">
        <v>0</v>
      </c>
      <c r="Y1721" s="845">
        <v>0.83032046014790473</v>
      </c>
      <c r="Z1721" s="845">
        <v>8.3196384552177483E-2</v>
      </c>
      <c r="AA1721" s="845">
        <v>0</v>
      </c>
      <c r="AB1721" s="845">
        <v>6.9843878389482337E-3</v>
      </c>
      <c r="AC1721" s="845">
        <v>0</v>
      </c>
      <c r="AD1721" s="845">
        <v>0</v>
      </c>
      <c r="AE1721" s="845">
        <v>7.9498767460969594E-2</v>
      </c>
      <c r="AF1721" s="845">
        <v>1.2736236647493838E-2</v>
      </c>
      <c r="AG1721" s="845">
        <v>0.82580115036976176</v>
      </c>
      <c r="AH1721" s="20" t="str">
        <f t="shared" si="145"/>
        <v>No</v>
      </c>
      <c r="AI1721" s="25"/>
      <c r="AJ1721" s="37">
        <v>43443</v>
      </c>
      <c r="AK1721" s="37" t="s">
        <v>929</v>
      </c>
      <c r="AL1721" s="37">
        <v>39173</v>
      </c>
      <c r="AM1721" s="37" t="s">
        <v>92</v>
      </c>
      <c r="AN1721" s="37">
        <f t="shared" si="146"/>
        <v>45780</v>
      </c>
      <c r="AO1721" s="37" t="str">
        <f t="shared" si="147"/>
        <v>Toledo, OH</v>
      </c>
      <c r="AP1721" s="37" t="s">
        <v>8</v>
      </c>
      <c r="AQ1721" s="25"/>
      <c r="AR1721" s="25"/>
      <c r="AS1721" s="25"/>
      <c r="AT1721" s="25"/>
      <c r="AU1721" s="36"/>
      <c r="AV1721" s="36"/>
      <c r="AW1721" s="36"/>
      <c r="AX1721" s="25"/>
      <c r="AY1721" s="25"/>
      <c r="AZ1721" s="25"/>
      <c r="BA1721" s="25"/>
      <c r="BB1721" s="25"/>
      <c r="BC1721" s="25"/>
      <c r="BD1721" s="25"/>
      <c r="BE1721" s="25"/>
      <c r="BF1721" s="25"/>
      <c r="BG1721" s="25"/>
      <c r="BH1721" s="25"/>
      <c r="BI1721" s="25"/>
      <c r="BJ1721" s="25"/>
      <c r="BK1721" s="25"/>
      <c r="BL1721" s="25"/>
      <c r="BM1721" s="25"/>
      <c r="BN1721" s="25"/>
      <c r="BO1721" s="25"/>
      <c r="BP1721" s="25"/>
      <c r="BQ1721" s="25"/>
      <c r="BR1721" s="25"/>
      <c r="BS1721" s="25"/>
      <c r="BT1721" s="25"/>
      <c r="CD1721" s="25"/>
      <c r="CE1721" s="200"/>
      <c r="CF1721" s="200"/>
      <c r="CG1721" s="200"/>
      <c r="CH1721" s="200"/>
      <c r="CI1721" s="200"/>
      <c r="CJ1721" s="200"/>
      <c r="CK1721" s="200"/>
      <c r="CL1721" s="200"/>
      <c r="CM1721" s="200"/>
      <c r="CN1721" s="200"/>
      <c r="CO1721" s="200"/>
      <c r="CP1721" s="200"/>
      <c r="CQ1721" s="200"/>
      <c r="CR1721" s="200"/>
      <c r="CS1721" s="200"/>
      <c r="CT1721" s="200"/>
      <c r="CU1721" s="200"/>
    </row>
    <row r="1722" spans="1:99" s="17" customFormat="1" x14ac:dyDescent="0.2">
      <c r="A1722" s="25"/>
      <c r="B1722" s="20">
        <v>39157020700</v>
      </c>
      <c r="C1722" s="20">
        <v>207</v>
      </c>
      <c r="D1722" s="20" t="s">
        <v>84</v>
      </c>
      <c r="E1722" s="20" t="s">
        <v>265</v>
      </c>
      <c r="F1722" s="20" t="s">
        <v>8</v>
      </c>
      <c r="G1722" s="861">
        <v>47.676650392785</v>
      </c>
      <c r="H1722" s="861">
        <v>49.5440405030836</v>
      </c>
      <c r="I1722" s="861">
        <v>36.0181300547315</v>
      </c>
      <c r="J1722" s="861">
        <v>28.248268208055698</v>
      </c>
      <c r="K1722" s="982">
        <v>0</v>
      </c>
      <c r="L1722" s="735">
        <v>6454</v>
      </c>
      <c r="M1722" s="735">
        <v>6415</v>
      </c>
      <c r="N1722" s="845">
        <f t="shared" si="143"/>
        <v>-6.042764177254416E-3</v>
      </c>
      <c r="O1722" s="735">
        <v>8.4898907122782123</v>
      </c>
      <c r="P1722" s="735">
        <f t="shared" si="144"/>
        <v>755.60454396927946</v>
      </c>
      <c r="Q1722" s="849">
        <v>39.799999999999997</v>
      </c>
      <c r="R1722" s="71">
        <v>61207</v>
      </c>
      <c r="S1722" s="845">
        <v>0.13366415879622218</v>
      </c>
      <c r="T1722" s="845">
        <v>7.2000000000000008E-2</v>
      </c>
      <c r="U1722" s="845">
        <v>0</v>
      </c>
      <c r="V1722" s="845">
        <v>4.2000000000000003E-2</v>
      </c>
      <c r="W1722" s="845">
        <v>0.40716612377850164</v>
      </c>
      <c r="X1722" s="845">
        <v>0.311</v>
      </c>
      <c r="Y1722" s="845">
        <v>0.90319563522992985</v>
      </c>
      <c r="Z1722" s="845">
        <v>0</v>
      </c>
      <c r="AA1722" s="845">
        <v>0</v>
      </c>
      <c r="AB1722" s="845">
        <v>0</v>
      </c>
      <c r="AC1722" s="845">
        <v>0</v>
      </c>
      <c r="AD1722" s="845">
        <v>7.217459080280593E-2</v>
      </c>
      <c r="AE1722" s="845">
        <v>2.4629773967264224E-2</v>
      </c>
      <c r="AF1722" s="845">
        <v>7.3577552611067812E-2</v>
      </c>
      <c r="AG1722" s="845">
        <v>0.90179267342166791</v>
      </c>
      <c r="AH1722" s="20" t="str">
        <f t="shared" si="145"/>
        <v>Yes</v>
      </c>
      <c r="AI1722" s="25"/>
      <c r="AJ1722" s="37">
        <v>43447</v>
      </c>
      <c r="AK1722" s="37" t="s">
        <v>932</v>
      </c>
      <c r="AL1722" s="37">
        <v>39173</v>
      </c>
      <c r="AM1722" s="37" t="s">
        <v>92</v>
      </c>
      <c r="AN1722" s="37">
        <f t="shared" si="146"/>
        <v>45780</v>
      </c>
      <c r="AO1722" s="37" t="str">
        <f t="shared" si="147"/>
        <v>Toledo, OH</v>
      </c>
      <c r="AP1722" s="37" t="s">
        <v>8</v>
      </c>
      <c r="AQ1722" s="25"/>
      <c r="AR1722" s="25"/>
      <c r="AS1722" s="25"/>
      <c r="AT1722" s="25"/>
      <c r="AU1722" s="36"/>
      <c r="AV1722" s="36"/>
      <c r="AW1722" s="36"/>
      <c r="AX1722" s="25"/>
      <c r="AY1722" s="25"/>
      <c r="AZ1722" s="25"/>
      <c r="BA1722" s="25"/>
      <c r="BB1722" s="25"/>
      <c r="BC1722" s="25"/>
      <c r="BD1722" s="25"/>
      <c r="BE1722" s="25"/>
      <c r="BF1722" s="25"/>
      <c r="BG1722" s="25"/>
      <c r="BH1722" s="25"/>
      <c r="BI1722" s="25"/>
      <c r="BJ1722" s="25"/>
      <c r="BK1722" s="25"/>
      <c r="BL1722" s="25"/>
      <c r="BM1722" s="25"/>
      <c r="BN1722" s="25"/>
      <c r="BO1722" s="25"/>
      <c r="BP1722" s="25"/>
      <c r="BQ1722" s="25"/>
      <c r="BR1722" s="25"/>
      <c r="BS1722" s="25"/>
      <c r="BT1722" s="25"/>
      <c r="CD1722" s="25"/>
      <c r="CE1722" s="200"/>
      <c r="CF1722" s="200"/>
      <c r="CG1722" s="200"/>
      <c r="CH1722" s="200"/>
      <c r="CI1722" s="200"/>
      <c r="CJ1722" s="200"/>
      <c r="CK1722" s="200"/>
      <c r="CL1722" s="200"/>
      <c r="CM1722" s="200"/>
      <c r="CN1722" s="200"/>
      <c r="CO1722" s="200"/>
      <c r="CP1722" s="200"/>
      <c r="CQ1722" s="200"/>
      <c r="CR1722" s="200"/>
      <c r="CS1722" s="200"/>
      <c r="CT1722" s="200"/>
      <c r="CU1722" s="200"/>
    </row>
    <row r="1723" spans="1:99" s="17" customFormat="1" x14ac:dyDescent="0.2">
      <c r="A1723" s="25"/>
      <c r="B1723" s="20">
        <v>39095004402</v>
      </c>
      <c r="C1723" s="20">
        <v>44.02</v>
      </c>
      <c r="D1723" s="20" t="s">
        <v>53</v>
      </c>
      <c r="E1723" s="20" t="s">
        <v>2839</v>
      </c>
      <c r="F1723" s="20" t="s">
        <v>8</v>
      </c>
      <c r="G1723" s="861">
        <v>47.661671911195597</v>
      </c>
      <c r="H1723" s="861">
        <v>66.084431577788607</v>
      </c>
      <c r="I1723" s="861">
        <v>34.9695138460226</v>
      </c>
      <c r="J1723" s="861">
        <v>58.1549834242523</v>
      </c>
      <c r="K1723" s="982">
        <v>0</v>
      </c>
      <c r="L1723" s="735" t="s">
        <v>2466</v>
      </c>
      <c r="M1723" s="735">
        <v>1907</v>
      </c>
      <c r="N1723" s="845" t="str">
        <f t="shared" si="143"/>
        <v/>
      </c>
      <c r="O1723" s="735">
        <v>0.17645023088542289</v>
      </c>
      <c r="P1723" s="735">
        <f t="shared" si="144"/>
        <v>10807.580077570436</v>
      </c>
      <c r="Q1723" s="849">
        <v>36</v>
      </c>
      <c r="R1723" s="71">
        <v>60309</v>
      </c>
      <c r="S1723" s="845">
        <v>0.26114315679077083</v>
      </c>
      <c r="T1723" s="845">
        <v>2.2000000000000002E-2</v>
      </c>
      <c r="U1723" s="845">
        <v>0</v>
      </c>
      <c r="V1723" s="845">
        <v>0</v>
      </c>
      <c r="W1723" s="845">
        <v>0.69024390243902434</v>
      </c>
      <c r="X1723" s="845">
        <v>0.22791519434628976</v>
      </c>
      <c r="Y1723" s="845">
        <v>0.50970110120608281</v>
      </c>
      <c r="Z1723" s="845">
        <v>0.43051914001048769</v>
      </c>
      <c r="AA1723" s="845">
        <v>1.4682747771368642E-2</v>
      </c>
      <c r="AB1723" s="845">
        <v>0</v>
      </c>
      <c r="AC1723" s="845">
        <v>0</v>
      </c>
      <c r="AD1723" s="845">
        <v>1.8353434714210803E-2</v>
      </c>
      <c r="AE1723" s="845">
        <v>2.6743576297850027E-2</v>
      </c>
      <c r="AF1723" s="845">
        <v>3.6706869428421607E-2</v>
      </c>
      <c r="AG1723" s="845">
        <v>0.50970110120608281</v>
      </c>
      <c r="AH1723" s="20" t="str">
        <f t="shared" si="145"/>
        <v>No</v>
      </c>
      <c r="AI1723" s="25"/>
      <c r="AJ1723" s="37">
        <v>43450</v>
      </c>
      <c r="AK1723" s="37" t="s">
        <v>934</v>
      </c>
      <c r="AL1723" s="37">
        <v>39173</v>
      </c>
      <c r="AM1723" s="37" t="s">
        <v>92</v>
      </c>
      <c r="AN1723" s="37">
        <f t="shared" si="146"/>
        <v>45780</v>
      </c>
      <c r="AO1723" s="37" t="str">
        <f t="shared" si="147"/>
        <v>Toledo, OH</v>
      </c>
      <c r="AP1723" s="37" t="s">
        <v>8</v>
      </c>
      <c r="AQ1723" s="25"/>
      <c r="AR1723" s="25"/>
      <c r="AS1723" s="25"/>
      <c r="AT1723" s="25"/>
      <c r="AU1723" s="36"/>
      <c r="AV1723" s="36"/>
      <c r="AW1723" s="36"/>
      <c r="AX1723" s="25"/>
      <c r="AY1723" s="25"/>
      <c r="AZ1723" s="25"/>
      <c r="BA1723" s="25"/>
      <c r="BB1723" s="25"/>
      <c r="BC1723" s="25"/>
      <c r="BD1723" s="25"/>
      <c r="BE1723" s="25"/>
      <c r="BF1723" s="25"/>
      <c r="BG1723" s="25"/>
      <c r="BH1723" s="25"/>
      <c r="BI1723" s="25"/>
      <c r="BJ1723" s="25"/>
      <c r="BK1723" s="25"/>
      <c r="BL1723" s="25"/>
      <c r="BM1723" s="25"/>
      <c r="BN1723" s="25"/>
      <c r="BO1723" s="25"/>
      <c r="BP1723" s="25"/>
      <c r="BQ1723" s="25"/>
      <c r="BR1723" s="25"/>
      <c r="BS1723" s="25"/>
      <c r="BT1723" s="25"/>
      <c r="CD1723" s="25"/>
      <c r="CE1723" s="200"/>
      <c r="CF1723" s="200"/>
      <c r="CG1723" s="200"/>
      <c r="CH1723" s="200"/>
      <c r="CI1723" s="200"/>
      <c r="CJ1723" s="200"/>
      <c r="CK1723" s="200"/>
      <c r="CL1723" s="200"/>
      <c r="CM1723" s="200"/>
      <c r="CN1723" s="200"/>
      <c r="CO1723" s="200"/>
      <c r="CP1723" s="200"/>
      <c r="CQ1723" s="200"/>
      <c r="CR1723" s="200"/>
      <c r="CS1723" s="200"/>
      <c r="CT1723" s="200"/>
      <c r="CU1723" s="200"/>
    </row>
    <row r="1724" spans="1:99" s="17" customFormat="1" x14ac:dyDescent="0.2">
      <c r="A1724" s="25"/>
      <c r="B1724" s="20">
        <v>39095000202</v>
      </c>
      <c r="C1724" s="20">
        <v>2.02</v>
      </c>
      <c r="D1724" s="20" t="s">
        <v>53</v>
      </c>
      <c r="E1724" s="20" t="s">
        <v>2839</v>
      </c>
      <c r="F1724" s="20" t="s">
        <v>8</v>
      </c>
      <c r="G1724" s="861">
        <v>47.659448144811797</v>
      </c>
      <c r="H1724" s="861">
        <v>75.260723772694703</v>
      </c>
      <c r="I1724" s="861">
        <v>24.517539540492201</v>
      </c>
      <c r="J1724" s="861">
        <v>41.150756540285897</v>
      </c>
      <c r="K1724" s="982">
        <v>0</v>
      </c>
      <c r="L1724" s="735" t="s">
        <v>2466</v>
      </c>
      <c r="M1724" s="735">
        <v>1948</v>
      </c>
      <c r="N1724" s="845" t="str">
        <f t="shared" si="143"/>
        <v/>
      </c>
      <c r="O1724" s="735">
        <v>0.30811415578274604</v>
      </c>
      <c r="P1724" s="735">
        <f t="shared" si="144"/>
        <v>6322.3320429767973</v>
      </c>
      <c r="Q1724" s="849">
        <v>31.6</v>
      </c>
      <c r="R1724" s="71">
        <v>60635</v>
      </c>
      <c r="S1724" s="845">
        <v>4.3634496919917866E-2</v>
      </c>
      <c r="T1724" s="845">
        <v>2.2000000000000002E-2</v>
      </c>
      <c r="U1724" s="845">
        <v>0</v>
      </c>
      <c r="V1724" s="845">
        <v>0</v>
      </c>
      <c r="W1724" s="845">
        <v>0.37212643678160917</v>
      </c>
      <c r="X1724" s="845">
        <v>0.19691119691119691</v>
      </c>
      <c r="Y1724" s="845">
        <v>0.76129363449691989</v>
      </c>
      <c r="Z1724" s="845">
        <v>0.19404517453798767</v>
      </c>
      <c r="AA1724" s="845">
        <v>5.1334702258726901E-4</v>
      </c>
      <c r="AB1724" s="845">
        <v>0</v>
      </c>
      <c r="AC1724" s="845">
        <v>0</v>
      </c>
      <c r="AD1724" s="845">
        <v>0</v>
      </c>
      <c r="AE1724" s="845">
        <v>4.4147843942505136E-2</v>
      </c>
      <c r="AF1724" s="845">
        <v>2.1047227926078028E-2</v>
      </c>
      <c r="AG1724" s="845">
        <v>0.75667351129363447</v>
      </c>
      <c r="AH1724" s="20" t="str">
        <f t="shared" si="145"/>
        <v>No</v>
      </c>
      <c r="AI1724" s="25"/>
      <c r="AJ1724" s="37">
        <v>43451</v>
      </c>
      <c r="AK1724" s="37" t="s">
        <v>935</v>
      </c>
      <c r="AL1724" s="37">
        <v>39173</v>
      </c>
      <c r="AM1724" s="37" t="s">
        <v>92</v>
      </c>
      <c r="AN1724" s="37">
        <f t="shared" si="146"/>
        <v>45780</v>
      </c>
      <c r="AO1724" s="37" t="str">
        <f t="shared" si="147"/>
        <v>Toledo, OH</v>
      </c>
      <c r="AP1724" s="37" t="s">
        <v>8</v>
      </c>
      <c r="AQ1724" s="25"/>
      <c r="AR1724" s="25"/>
      <c r="AS1724" s="25"/>
      <c r="AT1724" s="25"/>
      <c r="AU1724" s="36"/>
      <c r="AV1724" s="36"/>
      <c r="AW1724" s="36"/>
      <c r="AX1724" s="25"/>
      <c r="AY1724" s="25"/>
      <c r="AZ1724" s="25"/>
      <c r="BA1724" s="25"/>
      <c r="BB1724" s="25"/>
      <c r="BC1724" s="25"/>
      <c r="BD1724" s="25"/>
      <c r="BE1724" s="25"/>
      <c r="BF1724" s="25"/>
      <c r="BG1724" s="25"/>
      <c r="BH1724" s="25"/>
      <c r="BI1724" s="25"/>
      <c r="BJ1724" s="25"/>
      <c r="BK1724" s="25"/>
      <c r="BL1724" s="25"/>
      <c r="BM1724" s="25"/>
      <c r="BN1724" s="25"/>
      <c r="BO1724" s="25"/>
      <c r="BP1724" s="25"/>
      <c r="BQ1724" s="25"/>
      <c r="BR1724" s="25"/>
      <c r="BS1724" s="25"/>
      <c r="BT1724" s="25"/>
      <c r="CD1724" s="25"/>
      <c r="CE1724" s="200"/>
      <c r="CF1724" s="200"/>
      <c r="CG1724" s="200"/>
      <c r="CH1724" s="200"/>
      <c r="CI1724" s="200"/>
      <c r="CJ1724" s="200"/>
      <c r="CK1724" s="200"/>
      <c r="CL1724" s="200"/>
      <c r="CM1724" s="200"/>
      <c r="CN1724" s="200"/>
      <c r="CO1724" s="200"/>
      <c r="CP1724" s="200"/>
      <c r="CQ1724" s="200"/>
      <c r="CR1724" s="200"/>
      <c r="CS1724" s="200"/>
      <c r="CT1724" s="200"/>
      <c r="CU1724" s="200"/>
    </row>
    <row r="1725" spans="1:99" s="17" customFormat="1" x14ac:dyDescent="0.2">
      <c r="A1725" s="25"/>
      <c r="B1725" s="20">
        <v>39049008330</v>
      </c>
      <c r="C1725" s="20">
        <v>83.3</v>
      </c>
      <c r="D1725" s="20" t="s">
        <v>31</v>
      </c>
      <c r="E1725" s="20" t="s">
        <v>2830</v>
      </c>
      <c r="F1725" s="20" t="s">
        <v>6</v>
      </c>
      <c r="G1725" s="861">
        <v>47.643801671546903</v>
      </c>
      <c r="H1725" s="861">
        <v>58.625791224321603</v>
      </c>
      <c r="I1725" s="861">
        <v>49.197767776992499</v>
      </c>
      <c r="J1725" s="861">
        <v>40.431084753539899</v>
      </c>
      <c r="K1725" s="982">
        <v>0</v>
      </c>
      <c r="L1725" s="735">
        <v>1432</v>
      </c>
      <c r="M1725" s="735">
        <v>1701</v>
      </c>
      <c r="N1725" s="845">
        <f t="shared" si="143"/>
        <v>0.18784916201117319</v>
      </c>
      <c r="O1725" s="735">
        <v>0.60870626931179239</v>
      </c>
      <c r="P1725" s="735">
        <f t="shared" si="144"/>
        <v>2794.4512579493598</v>
      </c>
      <c r="Q1725" s="849">
        <v>39</v>
      </c>
      <c r="R1725" s="71">
        <v>48068</v>
      </c>
      <c r="S1725" s="845">
        <v>0.30452674897119342</v>
      </c>
      <c r="T1725" s="845">
        <v>3.6000000000000004E-2</v>
      </c>
      <c r="U1725" s="845">
        <v>0</v>
      </c>
      <c r="V1725" s="845">
        <v>8.8000000000000009E-2</v>
      </c>
      <c r="W1725" s="845">
        <v>0.32711621233859395</v>
      </c>
      <c r="X1725" s="845">
        <v>0.64473684210526316</v>
      </c>
      <c r="Y1725" s="845">
        <v>0.86067019400352729</v>
      </c>
      <c r="Z1725" s="845">
        <v>3.9976484420928868E-2</v>
      </c>
      <c r="AA1725" s="845">
        <v>0</v>
      </c>
      <c r="AB1725" s="845">
        <v>0</v>
      </c>
      <c r="AC1725" s="845">
        <v>0</v>
      </c>
      <c r="AD1725" s="845">
        <v>6.0552616108171663E-2</v>
      </c>
      <c r="AE1725" s="845">
        <v>3.8800705467372132E-2</v>
      </c>
      <c r="AF1725" s="845">
        <v>6.4667842445620224E-2</v>
      </c>
      <c r="AG1725" s="845">
        <v>0.85655496766607875</v>
      </c>
      <c r="AH1725" s="20" t="str">
        <f t="shared" si="145"/>
        <v>No</v>
      </c>
      <c r="AI1725" s="25"/>
      <c r="AJ1725" s="37">
        <v>43457</v>
      </c>
      <c r="AK1725" s="37" t="s">
        <v>938</v>
      </c>
      <c r="AL1725" s="37">
        <v>39173</v>
      </c>
      <c r="AM1725" s="37" t="s">
        <v>92</v>
      </c>
      <c r="AN1725" s="37">
        <f t="shared" si="146"/>
        <v>45780</v>
      </c>
      <c r="AO1725" s="37" t="str">
        <f t="shared" si="147"/>
        <v>Toledo, OH</v>
      </c>
      <c r="AP1725" s="37" t="s">
        <v>8</v>
      </c>
      <c r="AQ1725" s="25"/>
      <c r="AR1725" s="25"/>
      <c r="AS1725" s="25"/>
      <c r="AT1725" s="25"/>
      <c r="AU1725" s="36"/>
      <c r="AV1725" s="36"/>
      <c r="AW1725" s="36"/>
      <c r="AX1725" s="25"/>
      <c r="AY1725" s="25"/>
      <c r="AZ1725" s="25"/>
      <c r="BA1725" s="25"/>
      <c r="BB1725" s="25"/>
      <c r="BC1725" s="25"/>
      <c r="BD1725" s="25"/>
      <c r="BE1725" s="25"/>
      <c r="BF1725" s="25"/>
      <c r="BG1725" s="25"/>
      <c r="BH1725" s="25"/>
      <c r="BI1725" s="25"/>
      <c r="BJ1725" s="25"/>
      <c r="BK1725" s="25"/>
      <c r="BL1725" s="25"/>
      <c r="BM1725" s="25"/>
      <c r="BN1725" s="25"/>
      <c r="BO1725" s="25"/>
      <c r="BP1725" s="25"/>
      <c r="BQ1725" s="25"/>
      <c r="BR1725" s="25"/>
      <c r="BS1725" s="25"/>
      <c r="BT1725" s="25"/>
      <c r="CD1725" s="25"/>
      <c r="CE1725" s="200"/>
      <c r="CF1725" s="200"/>
      <c r="CG1725" s="200"/>
      <c r="CH1725" s="200"/>
      <c r="CI1725" s="200"/>
      <c r="CJ1725" s="200"/>
      <c r="CK1725" s="200"/>
      <c r="CL1725" s="200"/>
      <c r="CM1725" s="200"/>
      <c r="CN1725" s="200"/>
      <c r="CO1725" s="200"/>
      <c r="CP1725" s="200"/>
      <c r="CQ1725" s="200"/>
      <c r="CR1725" s="200"/>
      <c r="CS1725" s="200"/>
      <c r="CT1725" s="200"/>
      <c r="CU1725" s="200"/>
    </row>
    <row r="1726" spans="1:99" s="17" customFormat="1" x14ac:dyDescent="0.2">
      <c r="A1726" s="25"/>
      <c r="B1726" s="20">
        <v>39089753100</v>
      </c>
      <c r="C1726" s="20">
        <v>7531</v>
      </c>
      <c r="D1726" s="20" t="s">
        <v>50</v>
      </c>
      <c r="E1726" s="20" t="s">
        <v>2830</v>
      </c>
      <c r="F1726" s="20" t="s">
        <v>8</v>
      </c>
      <c r="G1726" s="861">
        <v>47.632128222494401</v>
      </c>
      <c r="H1726" s="861">
        <v>45.104571370288099</v>
      </c>
      <c r="I1726" s="861">
        <v>25.153859713388801</v>
      </c>
      <c r="J1726" s="861">
        <v>45.531335554357099</v>
      </c>
      <c r="K1726" s="982">
        <v>0</v>
      </c>
      <c r="L1726" s="735">
        <v>5166</v>
      </c>
      <c r="M1726" s="735">
        <v>5247</v>
      </c>
      <c r="N1726" s="845">
        <f t="shared" si="143"/>
        <v>1.5679442508710801E-2</v>
      </c>
      <c r="O1726" s="735">
        <v>9.477000263140205</v>
      </c>
      <c r="P1726" s="735">
        <f t="shared" si="144"/>
        <v>553.65620494996233</v>
      </c>
      <c r="Q1726" s="849">
        <v>41.4</v>
      </c>
      <c r="R1726" s="71">
        <v>61729</v>
      </c>
      <c r="S1726" s="845">
        <v>7.0749108204518435E-2</v>
      </c>
      <c r="T1726" s="845">
        <v>2.1000000000000001E-2</v>
      </c>
      <c r="U1726" s="845">
        <v>0</v>
      </c>
      <c r="V1726" s="845">
        <v>0</v>
      </c>
      <c r="W1726" s="845">
        <v>0.31222812953117446</v>
      </c>
      <c r="X1726" s="845">
        <v>0.38544891640866874</v>
      </c>
      <c r="Y1726" s="845">
        <v>0.94206213074137601</v>
      </c>
      <c r="Z1726" s="845">
        <v>1.5246807699637889E-2</v>
      </c>
      <c r="AA1726" s="845">
        <v>9.5292548122736804E-4</v>
      </c>
      <c r="AB1726" s="845">
        <v>4.1928721174004195E-3</v>
      </c>
      <c r="AC1726" s="845">
        <v>0</v>
      </c>
      <c r="AD1726" s="845">
        <v>0</v>
      </c>
      <c r="AE1726" s="845">
        <v>3.7545263960358302E-2</v>
      </c>
      <c r="AF1726" s="845">
        <v>8.385744234800839E-3</v>
      </c>
      <c r="AG1726" s="845">
        <v>0.93920335429769397</v>
      </c>
      <c r="AH1726" s="20" t="str">
        <f t="shared" si="145"/>
        <v>Yes</v>
      </c>
      <c r="AI1726" s="25"/>
      <c r="AJ1726" s="37">
        <v>43460</v>
      </c>
      <c r="AK1726" s="37" t="s">
        <v>940</v>
      </c>
      <c r="AL1726" s="37">
        <v>39173</v>
      </c>
      <c r="AM1726" s="37" t="s">
        <v>92</v>
      </c>
      <c r="AN1726" s="37">
        <f t="shared" si="146"/>
        <v>45780</v>
      </c>
      <c r="AO1726" s="37" t="str">
        <f t="shared" si="147"/>
        <v>Toledo, OH</v>
      </c>
      <c r="AP1726" s="37" t="s">
        <v>8</v>
      </c>
      <c r="AQ1726" s="25"/>
      <c r="AR1726" s="25"/>
      <c r="AS1726" s="25"/>
      <c r="AT1726" s="25"/>
      <c r="AU1726" s="36"/>
      <c r="AV1726" s="36"/>
      <c r="AW1726" s="36"/>
      <c r="AX1726" s="25"/>
      <c r="AY1726" s="25"/>
      <c r="AZ1726" s="25"/>
      <c r="BA1726" s="25"/>
      <c r="BB1726" s="25"/>
      <c r="BC1726" s="25"/>
      <c r="BD1726" s="25"/>
      <c r="BE1726" s="25"/>
      <c r="BF1726" s="25"/>
      <c r="BG1726" s="25"/>
      <c r="BH1726" s="25"/>
      <c r="BI1726" s="25"/>
      <c r="BJ1726" s="25"/>
      <c r="BK1726" s="25"/>
      <c r="BL1726" s="25"/>
      <c r="BM1726" s="25"/>
      <c r="BN1726" s="25"/>
      <c r="BO1726" s="25"/>
      <c r="BP1726" s="25"/>
      <c r="BQ1726" s="25"/>
      <c r="BR1726" s="25"/>
      <c r="BS1726" s="25"/>
      <c r="BT1726" s="25"/>
      <c r="CD1726" s="25"/>
      <c r="CE1726" s="200"/>
      <c r="CF1726" s="200"/>
      <c r="CG1726" s="200"/>
      <c r="CH1726" s="200"/>
      <c r="CI1726" s="200"/>
      <c r="CJ1726" s="200"/>
      <c r="CK1726" s="200"/>
      <c r="CL1726" s="200"/>
      <c r="CM1726" s="200"/>
      <c r="CN1726" s="200"/>
      <c r="CO1726" s="200"/>
      <c r="CP1726" s="200"/>
      <c r="CQ1726" s="200"/>
      <c r="CR1726" s="200"/>
      <c r="CS1726" s="200"/>
      <c r="CT1726" s="200"/>
      <c r="CU1726" s="200"/>
    </row>
    <row r="1727" spans="1:99" s="17" customFormat="1" x14ac:dyDescent="0.2">
      <c r="A1727" s="25"/>
      <c r="B1727" s="20">
        <v>39061021604</v>
      </c>
      <c r="C1727" s="20">
        <v>216.04</v>
      </c>
      <c r="D1727" s="20" t="s">
        <v>37</v>
      </c>
      <c r="E1727" s="20" t="s">
        <v>2828</v>
      </c>
      <c r="F1727" s="20" t="s">
        <v>8</v>
      </c>
      <c r="G1727" s="861">
        <v>47.630357298668599</v>
      </c>
      <c r="H1727" s="861">
        <v>48.744930483372002</v>
      </c>
      <c r="I1727" s="861">
        <v>41.838920295860298</v>
      </c>
      <c r="J1727" s="861">
        <v>48.018180144144097</v>
      </c>
      <c r="K1727" s="982">
        <v>0</v>
      </c>
      <c r="L1727" s="735">
        <v>3665</v>
      </c>
      <c r="M1727" s="735">
        <v>3455</v>
      </c>
      <c r="N1727" s="845">
        <f t="shared" si="143"/>
        <v>-5.7298772169167803E-2</v>
      </c>
      <c r="O1727" s="735">
        <v>1.1285279606939973</v>
      </c>
      <c r="P1727" s="735">
        <f t="shared" si="144"/>
        <v>3061.5103217073329</v>
      </c>
      <c r="Q1727" s="849">
        <v>49.4</v>
      </c>
      <c r="R1727" s="71">
        <v>67771</v>
      </c>
      <c r="S1727" s="845">
        <v>8.9725036179450074E-2</v>
      </c>
      <c r="T1727" s="845">
        <v>8.0000000000000002E-3</v>
      </c>
      <c r="U1727" s="845">
        <v>0</v>
      </c>
      <c r="V1727" s="845">
        <v>9.3000000000000013E-2</v>
      </c>
      <c r="W1727" s="845">
        <v>0.18870431893687709</v>
      </c>
      <c r="X1727" s="845">
        <v>0.31690140845070425</v>
      </c>
      <c r="Y1727" s="845">
        <v>0.36903039073806077</v>
      </c>
      <c r="Z1727" s="845">
        <v>0.52706222865412444</v>
      </c>
      <c r="AA1727" s="845">
        <v>0</v>
      </c>
      <c r="AB1727" s="845">
        <v>5.0940665701881334E-2</v>
      </c>
      <c r="AC1727" s="845">
        <v>0</v>
      </c>
      <c r="AD1727" s="845">
        <v>8.9725036179450074E-3</v>
      </c>
      <c r="AE1727" s="845">
        <v>4.3994211287988423E-2</v>
      </c>
      <c r="AF1727" s="845">
        <v>3.6468885672937774E-2</v>
      </c>
      <c r="AG1727" s="845">
        <v>0.36903039073806077</v>
      </c>
      <c r="AH1727" s="20" t="str">
        <f t="shared" si="145"/>
        <v>No</v>
      </c>
      <c r="AI1727" s="25"/>
      <c r="AJ1727" s="37">
        <v>43462</v>
      </c>
      <c r="AK1727" s="37" t="s">
        <v>941</v>
      </c>
      <c r="AL1727" s="37">
        <v>39173</v>
      </c>
      <c r="AM1727" s="37" t="s">
        <v>92</v>
      </c>
      <c r="AN1727" s="37">
        <f t="shared" si="146"/>
        <v>45780</v>
      </c>
      <c r="AO1727" s="37" t="str">
        <f t="shared" si="147"/>
        <v>Toledo, OH</v>
      </c>
      <c r="AP1727" s="37" t="s">
        <v>8</v>
      </c>
      <c r="AQ1727" s="25"/>
      <c r="AR1727" s="25"/>
      <c r="AS1727" s="25"/>
      <c r="AT1727" s="25"/>
      <c r="AU1727" s="36"/>
      <c r="AV1727" s="36"/>
      <c r="AW1727" s="36"/>
      <c r="AX1727" s="25"/>
      <c r="AY1727" s="25"/>
      <c r="AZ1727" s="25"/>
      <c r="BA1727" s="25"/>
      <c r="BB1727" s="25"/>
      <c r="BC1727" s="25"/>
      <c r="BD1727" s="25"/>
      <c r="BE1727" s="25"/>
      <c r="BF1727" s="25"/>
      <c r="BG1727" s="25"/>
      <c r="BH1727" s="25"/>
      <c r="BI1727" s="25"/>
      <c r="BJ1727" s="25"/>
      <c r="BK1727" s="25"/>
      <c r="BL1727" s="25"/>
      <c r="BM1727" s="25"/>
      <c r="BN1727" s="25"/>
      <c r="BO1727" s="25"/>
      <c r="BP1727" s="25"/>
      <c r="BQ1727" s="25"/>
      <c r="BR1727" s="25"/>
      <c r="BS1727" s="25"/>
      <c r="BT1727" s="25"/>
      <c r="CD1727" s="25"/>
      <c r="CE1727" s="200"/>
      <c r="CF1727" s="200"/>
      <c r="CG1727" s="200"/>
      <c r="CH1727" s="200"/>
      <c r="CI1727" s="200"/>
      <c r="CJ1727" s="200"/>
      <c r="CK1727" s="200"/>
      <c r="CL1727" s="200"/>
      <c r="CM1727" s="200"/>
      <c r="CN1727" s="200"/>
      <c r="CO1727" s="200"/>
      <c r="CP1727" s="200"/>
      <c r="CQ1727" s="200"/>
      <c r="CR1727" s="200"/>
      <c r="CS1727" s="200"/>
      <c r="CT1727" s="200"/>
      <c r="CU1727" s="200"/>
    </row>
    <row r="1728" spans="1:99" s="17" customFormat="1" x14ac:dyDescent="0.2">
      <c r="A1728" s="25"/>
      <c r="B1728" s="20">
        <v>39035111202</v>
      </c>
      <c r="C1728" s="20">
        <v>1112.02</v>
      </c>
      <c r="D1728" s="20" t="s">
        <v>24</v>
      </c>
      <c r="E1728" s="20" t="s">
        <v>2829</v>
      </c>
      <c r="F1728" s="20" t="s">
        <v>8</v>
      </c>
      <c r="G1728" s="861">
        <v>47.6267074854592</v>
      </c>
      <c r="H1728" s="861">
        <v>70.766857494511697</v>
      </c>
      <c r="I1728" s="861">
        <v>85.533544140373493</v>
      </c>
      <c r="J1728" s="861">
        <v>34.3580993227459</v>
      </c>
      <c r="K1728" s="982">
        <v>0</v>
      </c>
      <c r="L1728" s="735">
        <v>1340</v>
      </c>
      <c r="M1728" s="735">
        <v>716</v>
      </c>
      <c r="N1728" s="845">
        <f t="shared" si="143"/>
        <v>-0.46567164179104475</v>
      </c>
      <c r="O1728" s="735">
        <v>1.1146657348940494</v>
      </c>
      <c r="P1728" s="735">
        <f t="shared" si="144"/>
        <v>642.34503455698029</v>
      </c>
      <c r="Q1728" s="849">
        <v>40.299999999999997</v>
      </c>
      <c r="R1728" s="71">
        <v>56063</v>
      </c>
      <c r="S1728" s="845">
        <v>0.13268156424581007</v>
      </c>
      <c r="T1728" s="845">
        <v>0.02</v>
      </c>
      <c r="U1728" s="845">
        <v>0</v>
      </c>
      <c r="V1728" s="845">
        <v>6.7000000000000004E-2</v>
      </c>
      <c r="W1728" s="845">
        <v>0.79391100702576112</v>
      </c>
      <c r="X1728" s="845">
        <v>0.38938053097345132</v>
      </c>
      <c r="Y1728" s="845">
        <v>0.24441340782122906</v>
      </c>
      <c r="Z1728" s="845">
        <v>0.66620111731843579</v>
      </c>
      <c r="AA1728" s="845">
        <v>9.7765363128491621E-3</v>
      </c>
      <c r="AB1728" s="845">
        <v>8.3798882681564244E-3</v>
      </c>
      <c r="AC1728" s="845">
        <v>0</v>
      </c>
      <c r="AD1728" s="845">
        <v>7.1229050279329603E-2</v>
      </c>
      <c r="AE1728" s="845">
        <v>0</v>
      </c>
      <c r="AF1728" s="845">
        <v>6.5642458100558659E-2</v>
      </c>
      <c r="AG1728" s="845">
        <v>0.21368715083798884</v>
      </c>
      <c r="AH1728" s="20" t="str">
        <f t="shared" si="145"/>
        <v>No</v>
      </c>
      <c r="AI1728" s="25"/>
      <c r="AJ1728" s="37">
        <v>43463</v>
      </c>
      <c r="AK1728" s="37" t="s">
        <v>942</v>
      </c>
      <c r="AL1728" s="37">
        <v>39173</v>
      </c>
      <c r="AM1728" s="37" t="s">
        <v>92</v>
      </c>
      <c r="AN1728" s="37">
        <f t="shared" si="146"/>
        <v>45780</v>
      </c>
      <c r="AO1728" s="37" t="str">
        <f t="shared" si="147"/>
        <v>Toledo, OH</v>
      </c>
      <c r="AP1728" s="37" t="s">
        <v>8</v>
      </c>
      <c r="AQ1728" s="25"/>
      <c r="AR1728" s="25"/>
      <c r="AS1728" s="25"/>
      <c r="AT1728" s="25"/>
      <c r="AU1728" s="36"/>
      <c r="AV1728" s="36"/>
      <c r="AW1728" s="36"/>
      <c r="AX1728" s="25"/>
      <c r="AY1728" s="25"/>
      <c r="AZ1728" s="25"/>
      <c r="BA1728" s="25"/>
      <c r="BB1728" s="25"/>
      <c r="BC1728" s="25"/>
      <c r="BD1728" s="25"/>
      <c r="BE1728" s="25"/>
      <c r="BF1728" s="25"/>
      <c r="BG1728" s="25"/>
      <c r="BH1728" s="25"/>
      <c r="BI1728" s="25"/>
      <c r="BJ1728" s="25"/>
      <c r="BK1728" s="25"/>
      <c r="BL1728" s="25"/>
      <c r="BM1728" s="25"/>
      <c r="BN1728" s="25"/>
      <c r="BO1728" s="25"/>
      <c r="BP1728" s="25"/>
      <c r="BQ1728" s="25"/>
      <c r="BR1728" s="25"/>
      <c r="BS1728" s="25"/>
      <c r="BT1728" s="25"/>
      <c r="CD1728" s="25"/>
      <c r="CE1728" s="200"/>
      <c r="CF1728" s="200"/>
      <c r="CG1728" s="200"/>
      <c r="CH1728" s="200"/>
      <c r="CI1728" s="200"/>
      <c r="CJ1728" s="200"/>
      <c r="CK1728" s="200"/>
      <c r="CL1728" s="200"/>
      <c r="CM1728" s="200"/>
      <c r="CN1728" s="200"/>
      <c r="CO1728" s="200"/>
      <c r="CP1728" s="200"/>
      <c r="CQ1728" s="200"/>
      <c r="CR1728" s="200"/>
      <c r="CS1728" s="200"/>
      <c r="CT1728" s="200"/>
      <c r="CU1728" s="200"/>
    </row>
    <row r="1729" spans="1:99" s="17" customFormat="1" x14ac:dyDescent="0.2">
      <c r="A1729" s="25"/>
      <c r="B1729" s="20">
        <v>39169002300</v>
      </c>
      <c r="C1729" s="20">
        <v>23</v>
      </c>
      <c r="D1729" s="20" t="s">
        <v>90</v>
      </c>
      <c r="E1729" s="20" t="s">
        <v>265</v>
      </c>
      <c r="F1729" s="20" t="s">
        <v>8</v>
      </c>
      <c r="G1729" s="861">
        <v>47.6194295520501</v>
      </c>
      <c r="H1729" s="861">
        <v>50.483308923695901</v>
      </c>
      <c r="I1729" s="861">
        <v>19.764221897010302</v>
      </c>
      <c r="J1729" s="861">
        <v>43.658349350631298</v>
      </c>
      <c r="K1729" s="982">
        <v>0</v>
      </c>
      <c r="L1729" s="735">
        <v>3023</v>
      </c>
      <c r="M1729" s="735">
        <v>2963</v>
      </c>
      <c r="N1729" s="845">
        <f t="shared" si="143"/>
        <v>-1.9847833278200461E-2</v>
      </c>
      <c r="O1729" s="735">
        <v>35.40232893192703</v>
      </c>
      <c r="P1729" s="735">
        <f t="shared" si="144"/>
        <v>83.695058754393571</v>
      </c>
      <c r="Q1729" s="849">
        <v>39.700000000000003</v>
      </c>
      <c r="R1729" s="71">
        <v>86364</v>
      </c>
      <c r="S1729" s="845">
        <v>9.9439775910364139E-2</v>
      </c>
      <c r="T1729" s="845">
        <v>0.01</v>
      </c>
      <c r="U1729" s="845">
        <v>5.5999999999999994E-2</v>
      </c>
      <c r="V1729" s="845">
        <v>0</v>
      </c>
      <c r="W1729" s="845">
        <v>0.13412228796844181</v>
      </c>
      <c r="X1729" s="845">
        <v>0.11764705882352941</v>
      </c>
      <c r="Y1729" s="845">
        <v>0.96658791765102936</v>
      </c>
      <c r="Z1729" s="845">
        <v>6.0749240634492066E-3</v>
      </c>
      <c r="AA1729" s="845">
        <v>0</v>
      </c>
      <c r="AB1729" s="845">
        <v>0</v>
      </c>
      <c r="AC1729" s="845">
        <v>0</v>
      </c>
      <c r="AD1729" s="845">
        <v>5.0624367195410058E-3</v>
      </c>
      <c r="AE1729" s="845">
        <v>2.2274721565980427E-2</v>
      </c>
      <c r="AF1729" s="845">
        <v>2.6999662504218697E-3</v>
      </c>
      <c r="AG1729" s="845">
        <v>0.96658791765102936</v>
      </c>
      <c r="AH1729" s="20" t="str">
        <f t="shared" si="145"/>
        <v>Yes</v>
      </c>
      <c r="AI1729" s="25"/>
      <c r="AJ1729" s="37">
        <v>43465</v>
      </c>
      <c r="AK1729" s="37" t="s">
        <v>944</v>
      </c>
      <c r="AL1729" s="37">
        <v>39173</v>
      </c>
      <c r="AM1729" s="37" t="s">
        <v>92</v>
      </c>
      <c r="AN1729" s="37">
        <f t="shared" si="146"/>
        <v>45780</v>
      </c>
      <c r="AO1729" s="37" t="str">
        <f t="shared" si="147"/>
        <v>Toledo, OH</v>
      </c>
      <c r="AP1729" s="37" t="s">
        <v>8</v>
      </c>
      <c r="AQ1729" s="25"/>
      <c r="AR1729" s="25"/>
      <c r="AS1729" s="25"/>
      <c r="AT1729" s="25"/>
      <c r="AU1729" s="36"/>
      <c r="AV1729" s="36"/>
      <c r="AW1729" s="36"/>
      <c r="AX1729" s="25"/>
      <c r="AY1729" s="25"/>
      <c r="AZ1729" s="25"/>
      <c r="BA1729" s="25"/>
      <c r="BB1729" s="25"/>
      <c r="BC1729" s="25"/>
      <c r="BD1729" s="25"/>
      <c r="BE1729" s="25"/>
      <c r="BF1729" s="25"/>
      <c r="BG1729" s="25"/>
      <c r="BH1729" s="25"/>
      <c r="BI1729" s="25"/>
      <c r="BJ1729" s="25"/>
      <c r="BK1729" s="25"/>
      <c r="BL1729" s="25"/>
      <c r="BM1729" s="25"/>
      <c r="BN1729" s="25"/>
      <c r="BO1729" s="25"/>
      <c r="BP1729" s="25"/>
      <c r="BQ1729" s="25"/>
      <c r="BR1729" s="25"/>
      <c r="BS1729" s="25"/>
      <c r="BT1729" s="25"/>
      <c r="CD1729" s="25"/>
      <c r="CE1729" s="200"/>
      <c r="CF1729" s="200"/>
      <c r="CG1729" s="200"/>
      <c r="CH1729" s="200"/>
      <c r="CI1729" s="200"/>
      <c r="CJ1729" s="200"/>
      <c r="CK1729" s="200"/>
      <c r="CL1729" s="200"/>
      <c r="CM1729" s="200"/>
      <c r="CN1729" s="200"/>
      <c r="CO1729" s="200"/>
      <c r="CP1729" s="200"/>
      <c r="CQ1729" s="200"/>
      <c r="CR1729" s="200"/>
      <c r="CS1729" s="200"/>
      <c r="CT1729" s="200"/>
      <c r="CU1729" s="200"/>
    </row>
    <row r="1730" spans="1:99" s="17" customFormat="1" x14ac:dyDescent="0.2">
      <c r="A1730" s="25"/>
      <c r="B1730" s="20">
        <v>39035124500</v>
      </c>
      <c r="C1730" s="20">
        <v>1245</v>
      </c>
      <c r="D1730" s="20" t="s">
        <v>24</v>
      </c>
      <c r="E1730" s="20" t="s">
        <v>2829</v>
      </c>
      <c r="F1730" s="20" t="s">
        <v>6</v>
      </c>
      <c r="G1730" s="861">
        <v>47.603991889972697</v>
      </c>
      <c r="H1730" s="861">
        <v>61.664934248078602</v>
      </c>
      <c r="I1730" s="861">
        <v>32.135179459541298</v>
      </c>
      <c r="J1730" s="861">
        <v>39.131015139531399</v>
      </c>
      <c r="K1730" s="982">
        <v>0</v>
      </c>
      <c r="L1730" s="735">
        <v>3776</v>
      </c>
      <c r="M1730" s="735">
        <v>3668</v>
      </c>
      <c r="N1730" s="845">
        <f t="shared" si="143"/>
        <v>-2.8601694915254237E-2</v>
      </c>
      <c r="O1730" s="735">
        <v>1.3733958801841759</v>
      </c>
      <c r="P1730" s="735">
        <f t="shared" si="144"/>
        <v>2670.752150143418</v>
      </c>
      <c r="Q1730" s="849">
        <v>40.799999999999997</v>
      </c>
      <c r="R1730" s="71">
        <v>58811</v>
      </c>
      <c r="S1730" s="845">
        <v>0.26553980370774266</v>
      </c>
      <c r="T1730" s="845">
        <v>0.17800000000000002</v>
      </c>
      <c r="U1730" s="845">
        <v>0</v>
      </c>
      <c r="V1730" s="845">
        <v>0</v>
      </c>
      <c r="W1730" s="845">
        <v>0.35449020931802838</v>
      </c>
      <c r="X1730" s="845">
        <v>0.33714285714285713</v>
      </c>
      <c r="Y1730" s="845">
        <v>0.56243184296619408</v>
      </c>
      <c r="Z1730" s="845">
        <v>0.11068702290076336</v>
      </c>
      <c r="AA1730" s="845">
        <v>8.7241003271537627E-3</v>
      </c>
      <c r="AB1730" s="845">
        <v>2.2082878953107961E-2</v>
      </c>
      <c r="AC1730" s="845">
        <v>0</v>
      </c>
      <c r="AD1730" s="845">
        <v>0.16575790621592149</v>
      </c>
      <c r="AE1730" s="845">
        <v>0.13031624863685931</v>
      </c>
      <c r="AF1730" s="845">
        <v>0.28953107960741548</v>
      </c>
      <c r="AG1730" s="845">
        <v>0.5419847328244275</v>
      </c>
      <c r="AH1730" s="20" t="str">
        <f t="shared" si="145"/>
        <v>No</v>
      </c>
      <c r="AI1730" s="25"/>
      <c r="AJ1730" s="37">
        <v>43466</v>
      </c>
      <c r="AK1730" s="37" t="s">
        <v>945</v>
      </c>
      <c r="AL1730" s="37">
        <v>39173</v>
      </c>
      <c r="AM1730" s="37" t="s">
        <v>92</v>
      </c>
      <c r="AN1730" s="37">
        <f t="shared" si="146"/>
        <v>45780</v>
      </c>
      <c r="AO1730" s="37" t="str">
        <f t="shared" si="147"/>
        <v>Toledo, OH</v>
      </c>
      <c r="AP1730" s="37" t="s">
        <v>8</v>
      </c>
      <c r="AQ1730" s="25"/>
      <c r="AR1730" s="25"/>
      <c r="AS1730" s="25"/>
      <c r="AT1730" s="25"/>
      <c r="AU1730" s="36"/>
      <c r="AV1730" s="36"/>
      <c r="AW1730" s="36"/>
      <c r="AX1730" s="25"/>
      <c r="AY1730" s="25"/>
      <c r="AZ1730" s="25"/>
      <c r="BA1730" s="25"/>
      <c r="BB1730" s="25"/>
      <c r="BC1730" s="25"/>
      <c r="BD1730" s="25"/>
      <c r="BE1730" s="25"/>
      <c r="BF1730" s="25"/>
      <c r="BG1730" s="25"/>
      <c r="BH1730" s="25"/>
      <c r="BI1730" s="25"/>
      <c r="BJ1730" s="25"/>
      <c r="BK1730" s="25"/>
      <c r="BL1730" s="25"/>
      <c r="BM1730" s="25"/>
      <c r="BN1730" s="25"/>
      <c r="BO1730" s="25"/>
      <c r="BP1730" s="25"/>
      <c r="BQ1730" s="25"/>
      <c r="BR1730" s="25"/>
      <c r="BS1730" s="25"/>
      <c r="BT1730" s="25"/>
      <c r="CD1730" s="25"/>
      <c r="CE1730" s="200"/>
      <c r="CF1730" s="200"/>
      <c r="CG1730" s="200"/>
      <c r="CH1730" s="200"/>
      <c r="CI1730" s="200"/>
      <c r="CJ1730" s="200"/>
      <c r="CK1730" s="200"/>
      <c r="CL1730" s="200"/>
      <c r="CM1730" s="200"/>
      <c r="CN1730" s="200"/>
      <c r="CO1730" s="200"/>
      <c r="CP1730" s="200"/>
      <c r="CQ1730" s="200"/>
      <c r="CR1730" s="200"/>
      <c r="CS1730" s="200"/>
      <c r="CT1730" s="200"/>
      <c r="CU1730" s="200"/>
    </row>
    <row r="1731" spans="1:99" s="17" customFormat="1" x14ac:dyDescent="0.2">
      <c r="A1731" s="25"/>
      <c r="B1731" s="20">
        <v>39153531702</v>
      </c>
      <c r="C1731" s="20">
        <v>5317.02</v>
      </c>
      <c r="D1731" s="20" t="s">
        <v>82</v>
      </c>
      <c r="E1731" s="20" t="s">
        <v>2843</v>
      </c>
      <c r="F1731" s="20" t="s">
        <v>8</v>
      </c>
      <c r="G1731" s="861">
        <v>47.596540736397202</v>
      </c>
      <c r="H1731" s="861">
        <v>36.987666342084502</v>
      </c>
      <c r="I1731" s="861">
        <v>20.138062236690502</v>
      </c>
      <c r="J1731" s="861">
        <v>43.9906381510961</v>
      </c>
      <c r="K1731" s="982">
        <v>0</v>
      </c>
      <c r="L1731" s="735">
        <v>4564</v>
      </c>
      <c r="M1731" s="735">
        <v>3746</v>
      </c>
      <c r="N1731" s="845">
        <f t="shared" si="143"/>
        <v>-0.1792287467134093</v>
      </c>
      <c r="O1731" s="735">
        <v>11.068355831177929</v>
      </c>
      <c r="P1731" s="735">
        <f t="shared" si="144"/>
        <v>338.44231764288509</v>
      </c>
      <c r="Q1731" s="849">
        <v>52.5</v>
      </c>
      <c r="R1731" s="71">
        <v>88417</v>
      </c>
      <c r="S1731" s="845">
        <v>0.10891617725573946</v>
      </c>
      <c r="T1731" s="845">
        <v>8.1000000000000003E-2</v>
      </c>
      <c r="U1731" s="845">
        <v>0.02</v>
      </c>
      <c r="V1731" s="845">
        <v>0.22600000000000001</v>
      </c>
      <c r="W1731" s="845">
        <v>4.2932628797886396E-2</v>
      </c>
      <c r="X1731" s="845">
        <v>0.32307692307692309</v>
      </c>
      <c r="Y1731" s="845">
        <v>0.90950347036839296</v>
      </c>
      <c r="Z1731" s="845">
        <v>5.339028296849973E-4</v>
      </c>
      <c r="AA1731" s="845">
        <v>0</v>
      </c>
      <c r="AB1731" s="845">
        <v>1.8686599038974907E-3</v>
      </c>
      <c r="AC1731" s="845">
        <v>0</v>
      </c>
      <c r="AD1731" s="845">
        <v>3.5504538174052323E-2</v>
      </c>
      <c r="AE1731" s="845">
        <v>5.2589428723972237E-2</v>
      </c>
      <c r="AF1731" s="845">
        <v>1.4415376401494928E-2</v>
      </c>
      <c r="AG1731" s="845">
        <v>0.90950347036839296</v>
      </c>
      <c r="AH1731" s="20" t="str">
        <f t="shared" si="145"/>
        <v>Yes</v>
      </c>
      <c r="AI1731" s="25"/>
      <c r="AJ1731" s="37">
        <v>43467</v>
      </c>
      <c r="AK1731" s="37" t="s">
        <v>946</v>
      </c>
      <c r="AL1731" s="37">
        <v>39173</v>
      </c>
      <c r="AM1731" s="37" t="s">
        <v>92</v>
      </c>
      <c r="AN1731" s="37">
        <f t="shared" si="146"/>
        <v>45780</v>
      </c>
      <c r="AO1731" s="37" t="str">
        <f t="shared" si="147"/>
        <v>Toledo, OH</v>
      </c>
      <c r="AP1731" s="37" t="s">
        <v>8</v>
      </c>
      <c r="AQ1731" s="25"/>
      <c r="AR1731" s="25"/>
      <c r="AS1731" s="25"/>
      <c r="AT1731" s="25"/>
      <c r="AU1731" s="36"/>
      <c r="AV1731" s="36"/>
      <c r="AW1731" s="36"/>
      <c r="AX1731" s="25"/>
      <c r="AY1731" s="25"/>
      <c r="AZ1731" s="25"/>
      <c r="BA1731" s="25"/>
      <c r="BB1731" s="25"/>
      <c r="BC1731" s="25"/>
      <c r="BD1731" s="25"/>
      <c r="BE1731" s="25"/>
      <c r="BF1731" s="25"/>
      <c r="BG1731" s="25"/>
      <c r="BH1731" s="25"/>
      <c r="BI1731" s="25"/>
      <c r="BJ1731" s="25"/>
      <c r="BK1731" s="25"/>
      <c r="BL1731" s="25"/>
      <c r="BM1731" s="25"/>
      <c r="BN1731" s="25"/>
      <c r="BO1731" s="25"/>
      <c r="BP1731" s="25"/>
      <c r="BQ1731" s="25"/>
      <c r="BR1731" s="25"/>
      <c r="BS1731" s="25"/>
      <c r="BT1731" s="25"/>
      <c r="CD1731" s="25"/>
      <c r="CE1731" s="200"/>
      <c r="CF1731" s="200"/>
      <c r="CG1731" s="200"/>
      <c r="CH1731" s="200"/>
      <c r="CI1731" s="200"/>
      <c r="CJ1731" s="200"/>
      <c r="CK1731" s="200"/>
      <c r="CL1731" s="200"/>
      <c r="CM1731" s="200"/>
      <c r="CN1731" s="200"/>
      <c r="CO1731" s="200"/>
      <c r="CP1731" s="200"/>
      <c r="CQ1731" s="200"/>
      <c r="CR1731" s="200"/>
      <c r="CS1731" s="200"/>
      <c r="CT1731" s="200"/>
      <c r="CU1731" s="200"/>
    </row>
    <row r="1732" spans="1:99" s="17" customFormat="1" x14ac:dyDescent="0.2">
      <c r="A1732" s="25"/>
      <c r="B1732" s="20">
        <v>39049009600</v>
      </c>
      <c r="C1732" s="20">
        <v>96</v>
      </c>
      <c r="D1732" s="20" t="s">
        <v>31</v>
      </c>
      <c r="E1732" s="20" t="s">
        <v>2830</v>
      </c>
      <c r="F1732" s="20" t="s">
        <v>8</v>
      </c>
      <c r="G1732" s="861">
        <v>47.566896401981602</v>
      </c>
      <c r="H1732" s="861">
        <v>58.899020732895103</v>
      </c>
      <c r="I1732" s="861">
        <v>43.805066532732702</v>
      </c>
      <c r="J1732" s="861">
        <v>50.626419415272402</v>
      </c>
      <c r="K1732" s="982">
        <v>0</v>
      </c>
      <c r="L1732" s="735">
        <v>4082</v>
      </c>
      <c r="M1732" s="735">
        <v>4829</v>
      </c>
      <c r="N1732" s="845">
        <f t="shared" si="143"/>
        <v>0.18299853013228809</v>
      </c>
      <c r="O1732" s="735">
        <v>2.4725352889747438</v>
      </c>
      <c r="P1732" s="735">
        <f t="shared" si="144"/>
        <v>1953.056047989666</v>
      </c>
      <c r="Q1732" s="849">
        <v>36.200000000000003</v>
      </c>
      <c r="R1732" s="71">
        <v>63363</v>
      </c>
      <c r="S1732" s="845">
        <v>0.20041493775933611</v>
      </c>
      <c r="T1732" s="845">
        <v>4.7E-2</v>
      </c>
      <c r="U1732" s="845">
        <v>8.0000000000000002E-3</v>
      </c>
      <c r="V1732" s="845">
        <v>2.6000000000000002E-2</v>
      </c>
      <c r="W1732" s="845">
        <v>0.4868358066060316</v>
      </c>
      <c r="X1732" s="845">
        <v>0.43756145526057033</v>
      </c>
      <c r="Y1732" s="845">
        <v>0.69372540898736801</v>
      </c>
      <c r="Z1732" s="845">
        <v>0.16711534479188236</v>
      </c>
      <c r="AA1732" s="845">
        <v>2.0708221163802029E-4</v>
      </c>
      <c r="AB1732" s="845">
        <v>1.6359494719403605E-2</v>
      </c>
      <c r="AC1732" s="845">
        <v>0</v>
      </c>
      <c r="AD1732" s="845">
        <v>7.1443363015117001E-2</v>
      </c>
      <c r="AE1732" s="845">
        <v>5.1149306274591015E-2</v>
      </c>
      <c r="AF1732" s="845">
        <v>0.10022779043280182</v>
      </c>
      <c r="AG1732" s="845">
        <v>0.68606336715676119</v>
      </c>
      <c r="AH1732" s="20" t="str">
        <f t="shared" si="145"/>
        <v>No</v>
      </c>
      <c r="AI1732" s="25"/>
      <c r="AJ1732" s="37">
        <v>43516</v>
      </c>
      <c r="AK1732" s="37" t="s">
        <v>958</v>
      </c>
      <c r="AL1732" s="37">
        <v>39173</v>
      </c>
      <c r="AM1732" s="37" t="s">
        <v>92</v>
      </c>
      <c r="AN1732" s="37">
        <f t="shared" si="146"/>
        <v>45780</v>
      </c>
      <c r="AO1732" s="37" t="str">
        <f t="shared" si="147"/>
        <v>Toledo, OH</v>
      </c>
      <c r="AP1732" s="37" t="s">
        <v>8</v>
      </c>
      <c r="AQ1732" s="25"/>
      <c r="AR1732" s="25"/>
      <c r="AS1732" s="25"/>
      <c r="AT1732" s="25"/>
      <c r="AU1732" s="36"/>
      <c r="AV1732" s="36"/>
      <c r="AW1732" s="36"/>
      <c r="AX1732" s="25"/>
      <c r="AY1732" s="25"/>
      <c r="AZ1732" s="25"/>
      <c r="BA1732" s="25"/>
      <c r="BB1732" s="25"/>
      <c r="BC1732" s="25"/>
      <c r="BD1732" s="25"/>
      <c r="BE1732" s="25"/>
      <c r="BF1732" s="25"/>
      <c r="BG1732" s="25"/>
      <c r="BH1732" s="25"/>
      <c r="BI1732" s="25"/>
      <c r="BJ1732" s="25"/>
      <c r="BK1732" s="25"/>
      <c r="BL1732" s="25"/>
      <c r="BM1732" s="25"/>
      <c r="BN1732" s="25"/>
      <c r="BO1732" s="25"/>
      <c r="BP1732" s="25"/>
      <c r="BQ1732" s="25"/>
      <c r="BR1732" s="25"/>
      <c r="BS1732" s="25"/>
      <c r="BT1732" s="25"/>
      <c r="CD1732" s="25"/>
      <c r="CE1732" s="200"/>
      <c r="CF1732" s="200"/>
      <c r="CG1732" s="200"/>
      <c r="CH1732" s="200"/>
      <c r="CI1732" s="200"/>
      <c r="CJ1732" s="200"/>
      <c r="CK1732" s="200"/>
      <c r="CL1732" s="200"/>
      <c r="CM1732" s="200"/>
      <c r="CN1732" s="200"/>
      <c r="CO1732" s="200"/>
      <c r="CP1732" s="200"/>
      <c r="CQ1732" s="200"/>
      <c r="CR1732" s="200"/>
      <c r="CS1732" s="200"/>
      <c r="CT1732" s="200"/>
      <c r="CU1732" s="200"/>
    </row>
    <row r="1733" spans="1:99" s="17" customFormat="1" x14ac:dyDescent="0.2">
      <c r="A1733" s="25"/>
      <c r="B1733" s="20">
        <v>39127965801</v>
      </c>
      <c r="C1733" s="20">
        <v>9658.01</v>
      </c>
      <c r="D1733" s="20" t="s">
        <v>69</v>
      </c>
      <c r="E1733" s="20" t="s">
        <v>2830</v>
      </c>
      <c r="F1733" s="20" t="s">
        <v>8</v>
      </c>
      <c r="G1733" s="861">
        <v>47.566270262847198</v>
      </c>
      <c r="H1733" s="861">
        <v>50.533358345711598</v>
      </c>
      <c r="I1733" s="861">
        <v>18.354629364474899</v>
      </c>
      <c r="J1733" s="861">
        <v>54.686312590894801</v>
      </c>
      <c r="K1733" s="982">
        <v>0</v>
      </c>
      <c r="L1733" s="735" t="s">
        <v>2466</v>
      </c>
      <c r="M1733" s="735">
        <v>3381</v>
      </c>
      <c r="N1733" s="845" t="str">
        <f t="shared" si="143"/>
        <v/>
      </c>
      <c r="O1733" s="735">
        <v>59.952302638176981</v>
      </c>
      <c r="P1733" s="735">
        <f t="shared" si="144"/>
        <v>56.394831411312893</v>
      </c>
      <c r="Q1733" s="849">
        <v>41.4</v>
      </c>
      <c r="R1733" s="71">
        <v>94350</v>
      </c>
      <c r="S1733" s="845">
        <v>4.3530471329930952E-2</v>
      </c>
      <c r="T1733" s="845">
        <v>3.4000000000000002E-2</v>
      </c>
      <c r="U1733" s="845">
        <v>0</v>
      </c>
      <c r="V1733" s="845">
        <v>0</v>
      </c>
      <c r="W1733" s="845">
        <v>0.12980358667805295</v>
      </c>
      <c r="X1733" s="845">
        <v>0.375</v>
      </c>
      <c r="Y1733" s="845">
        <v>0.94676131322094059</v>
      </c>
      <c r="Z1733" s="845">
        <v>5.0280981958000593E-3</v>
      </c>
      <c r="AA1733" s="845">
        <v>4.4365572315882874E-3</v>
      </c>
      <c r="AB1733" s="845">
        <v>0</v>
      </c>
      <c r="AC1733" s="845">
        <v>0</v>
      </c>
      <c r="AD1733" s="845">
        <v>0</v>
      </c>
      <c r="AE1733" s="845">
        <v>4.37740313516711E-2</v>
      </c>
      <c r="AF1733" s="845">
        <v>8.8731144631765753E-4</v>
      </c>
      <c r="AG1733" s="845">
        <v>0.94587400177462289</v>
      </c>
      <c r="AH1733" s="20" t="str">
        <f t="shared" si="145"/>
        <v>Yes</v>
      </c>
      <c r="AI1733" s="25"/>
      <c r="AJ1733" s="37">
        <v>43522</v>
      </c>
      <c r="AK1733" s="37" t="s">
        <v>964</v>
      </c>
      <c r="AL1733" s="37">
        <v>39173</v>
      </c>
      <c r="AM1733" s="37" t="s">
        <v>92</v>
      </c>
      <c r="AN1733" s="37">
        <f t="shared" si="146"/>
        <v>45780</v>
      </c>
      <c r="AO1733" s="37" t="str">
        <f t="shared" si="147"/>
        <v>Toledo, OH</v>
      </c>
      <c r="AP1733" s="37" t="s">
        <v>8</v>
      </c>
      <c r="AQ1733" s="25"/>
      <c r="AR1733" s="25"/>
      <c r="AS1733" s="25"/>
      <c r="AT1733" s="25"/>
      <c r="AU1733" s="36"/>
      <c r="AV1733" s="36"/>
      <c r="AW1733" s="36"/>
      <c r="AX1733" s="25"/>
      <c r="AY1733" s="25"/>
      <c r="AZ1733" s="25"/>
      <c r="BA1733" s="25"/>
      <c r="BB1733" s="25"/>
      <c r="BC1733" s="25"/>
      <c r="BD1733" s="25"/>
      <c r="BE1733" s="25"/>
      <c r="BF1733" s="25"/>
      <c r="BG1733" s="25"/>
      <c r="BH1733" s="25"/>
      <c r="BI1733" s="25"/>
      <c r="BJ1733" s="25"/>
      <c r="BK1733" s="25"/>
      <c r="BL1733" s="25"/>
      <c r="BM1733" s="25"/>
      <c r="BN1733" s="25"/>
      <c r="BO1733" s="25"/>
      <c r="BP1733" s="25"/>
      <c r="BQ1733" s="25"/>
      <c r="BR1733" s="25"/>
      <c r="BS1733" s="25"/>
      <c r="BT1733" s="25"/>
      <c r="CD1733" s="25"/>
      <c r="CE1733" s="200"/>
      <c r="CF1733" s="200"/>
      <c r="CG1733" s="200"/>
      <c r="CH1733" s="200"/>
      <c r="CI1733" s="200"/>
      <c r="CJ1733" s="200"/>
      <c r="CK1733" s="200"/>
      <c r="CL1733" s="200"/>
      <c r="CM1733" s="200"/>
      <c r="CN1733" s="200"/>
      <c r="CO1733" s="200"/>
      <c r="CP1733" s="200"/>
      <c r="CQ1733" s="200"/>
      <c r="CR1733" s="200"/>
      <c r="CS1733" s="200"/>
      <c r="CT1733" s="200"/>
      <c r="CU1733" s="200"/>
    </row>
    <row r="1734" spans="1:99" s="17" customFormat="1" x14ac:dyDescent="0.2">
      <c r="A1734" s="25"/>
      <c r="B1734" s="20">
        <v>39119911300</v>
      </c>
      <c r="C1734" s="20">
        <v>9113</v>
      </c>
      <c r="D1734" s="20" t="s">
        <v>65</v>
      </c>
      <c r="E1734" s="20" t="s">
        <v>265</v>
      </c>
      <c r="F1734" s="20" t="s">
        <v>8</v>
      </c>
      <c r="G1734" s="861">
        <v>47.5375877468041</v>
      </c>
      <c r="H1734" s="861">
        <v>56.376417900555097</v>
      </c>
      <c r="I1734" s="861">
        <v>23.3847926319993</v>
      </c>
      <c r="J1734" s="861">
        <v>55.138661343800102</v>
      </c>
      <c r="K1734" s="982">
        <v>0</v>
      </c>
      <c r="L1734" s="735">
        <v>6138</v>
      </c>
      <c r="M1734" s="735">
        <v>5533</v>
      </c>
      <c r="N1734" s="845">
        <f t="shared" si="143"/>
        <v>-9.8566308243727599E-2</v>
      </c>
      <c r="O1734" s="735">
        <v>75.001883309804072</v>
      </c>
      <c r="P1734" s="735">
        <f t="shared" si="144"/>
        <v>73.771480872624153</v>
      </c>
      <c r="Q1734" s="849">
        <v>44.8</v>
      </c>
      <c r="R1734" s="71">
        <v>83604</v>
      </c>
      <c r="S1734" s="845">
        <v>5.782869612656847E-2</v>
      </c>
      <c r="T1734" s="845">
        <v>5.0000000000000001E-3</v>
      </c>
      <c r="U1734" s="845">
        <v>1E-3</v>
      </c>
      <c r="V1734" s="845">
        <v>0</v>
      </c>
      <c r="W1734" s="845">
        <v>0.10126032159930465</v>
      </c>
      <c r="X1734" s="845">
        <v>0.37339055793991416</v>
      </c>
      <c r="Y1734" s="845">
        <v>0.97523947225736485</v>
      </c>
      <c r="Z1734" s="845">
        <v>1.2651364540032532E-3</v>
      </c>
      <c r="AA1734" s="845">
        <v>2.8917404662931502E-3</v>
      </c>
      <c r="AB1734" s="845">
        <v>0</v>
      </c>
      <c r="AC1734" s="845">
        <v>0</v>
      </c>
      <c r="AD1734" s="845">
        <v>1.2470630760889211E-2</v>
      </c>
      <c r="AE1734" s="845">
        <v>8.1330200614494856E-3</v>
      </c>
      <c r="AF1734" s="845">
        <v>0</v>
      </c>
      <c r="AG1734" s="845">
        <v>0.97523947225736485</v>
      </c>
      <c r="AH1734" s="20" t="str">
        <f t="shared" si="145"/>
        <v>Yes</v>
      </c>
      <c r="AI1734" s="25"/>
      <c r="AJ1734" s="37">
        <v>43525</v>
      </c>
      <c r="AK1734" s="37" t="s">
        <v>967</v>
      </c>
      <c r="AL1734" s="37">
        <v>39173</v>
      </c>
      <c r="AM1734" s="37" t="s">
        <v>92</v>
      </c>
      <c r="AN1734" s="37">
        <f t="shared" si="146"/>
        <v>45780</v>
      </c>
      <c r="AO1734" s="37" t="str">
        <f t="shared" si="147"/>
        <v>Toledo, OH</v>
      </c>
      <c r="AP1734" s="37" t="s">
        <v>8</v>
      </c>
      <c r="AQ1734" s="25"/>
      <c r="AR1734" s="25"/>
      <c r="AS1734" s="25"/>
      <c r="AT1734" s="25"/>
      <c r="AU1734" s="36"/>
      <c r="AV1734" s="36"/>
      <c r="AW1734" s="36"/>
      <c r="AX1734" s="25"/>
      <c r="AY1734" s="25"/>
      <c r="AZ1734" s="25"/>
      <c r="BA1734" s="25"/>
      <c r="BB1734" s="25"/>
      <c r="BC1734" s="25"/>
      <c r="BD1734" s="25"/>
      <c r="BE1734" s="25"/>
      <c r="BF1734" s="25"/>
      <c r="BG1734" s="25"/>
      <c r="BH1734" s="25"/>
      <c r="BI1734" s="25"/>
      <c r="BJ1734" s="25"/>
      <c r="BK1734" s="25"/>
      <c r="BL1734" s="25"/>
      <c r="BM1734" s="25"/>
      <c r="BN1734" s="25"/>
      <c r="BO1734" s="25"/>
      <c r="BP1734" s="25"/>
      <c r="BQ1734" s="25"/>
      <c r="BR1734" s="25"/>
      <c r="BS1734" s="25"/>
      <c r="BT1734" s="25"/>
      <c r="CD1734" s="25"/>
      <c r="CE1734" s="200"/>
      <c r="CF1734" s="200"/>
      <c r="CG1734" s="200"/>
      <c r="CH1734" s="200"/>
      <c r="CI1734" s="200"/>
      <c r="CJ1734" s="200"/>
      <c r="CK1734" s="200"/>
      <c r="CL1734" s="200"/>
      <c r="CM1734" s="200"/>
      <c r="CN1734" s="200"/>
      <c r="CO1734" s="200"/>
      <c r="CP1734" s="200"/>
      <c r="CQ1734" s="200"/>
      <c r="CR1734" s="200"/>
      <c r="CS1734" s="200"/>
      <c r="CT1734" s="200"/>
      <c r="CU1734" s="200"/>
    </row>
    <row r="1735" spans="1:99" s="17" customFormat="1" x14ac:dyDescent="0.2">
      <c r="A1735" s="25"/>
      <c r="B1735" s="20">
        <v>39093071300</v>
      </c>
      <c r="C1735" s="20">
        <v>713</v>
      </c>
      <c r="D1735" s="20" t="s">
        <v>52</v>
      </c>
      <c r="E1735" s="20" t="s">
        <v>2829</v>
      </c>
      <c r="F1735" s="20" t="s">
        <v>8</v>
      </c>
      <c r="G1735" s="861">
        <v>47.536810652713001</v>
      </c>
      <c r="H1735" s="861">
        <v>42.756668827035199</v>
      </c>
      <c r="I1735" s="861">
        <v>31.543192840735799</v>
      </c>
      <c r="J1735" s="861">
        <v>45.747599996995</v>
      </c>
      <c r="K1735" s="982">
        <v>0</v>
      </c>
      <c r="L1735" s="735">
        <v>4889</v>
      </c>
      <c r="M1735" s="735">
        <v>4779</v>
      </c>
      <c r="N1735" s="845">
        <f t="shared" si="143"/>
        <v>-2.2499488647985275E-2</v>
      </c>
      <c r="O1735" s="735">
        <v>2.4620684455574589</v>
      </c>
      <c r="P1735" s="735">
        <f t="shared" si="144"/>
        <v>1941.0508300949953</v>
      </c>
      <c r="Q1735" s="849">
        <v>40.299999999999997</v>
      </c>
      <c r="R1735" s="71">
        <v>75772</v>
      </c>
      <c r="S1735" s="845">
        <v>0.21740949989537561</v>
      </c>
      <c r="T1735" s="845">
        <v>8.199999999999999E-2</v>
      </c>
      <c r="U1735" s="845">
        <v>0</v>
      </c>
      <c r="V1735" s="845">
        <v>0.08</v>
      </c>
      <c r="W1735" s="845">
        <v>0.25622022233986236</v>
      </c>
      <c r="X1735" s="845">
        <v>0.41115702479338845</v>
      </c>
      <c r="Y1735" s="845">
        <v>0.80853735091023227</v>
      </c>
      <c r="Z1735" s="845">
        <v>6.2774639045825482E-3</v>
      </c>
      <c r="AA1735" s="845">
        <v>3.9757271395689476E-3</v>
      </c>
      <c r="AB1735" s="845">
        <v>7.909604519774012E-2</v>
      </c>
      <c r="AC1735" s="845">
        <v>0</v>
      </c>
      <c r="AD1735" s="845">
        <v>3.9757271395689476E-3</v>
      </c>
      <c r="AE1735" s="845">
        <v>9.8137685708307179E-2</v>
      </c>
      <c r="AF1735" s="845">
        <v>9.3743460975099391E-2</v>
      </c>
      <c r="AG1735" s="845">
        <v>0.78824021761874874</v>
      </c>
      <c r="AH1735" s="20" t="str">
        <f t="shared" si="145"/>
        <v>No</v>
      </c>
      <c r="AI1735" s="25"/>
      <c r="AJ1735" s="37">
        <v>43529</v>
      </c>
      <c r="AK1735" s="37" t="s">
        <v>971</v>
      </c>
      <c r="AL1735" s="37">
        <v>39173</v>
      </c>
      <c r="AM1735" s="37" t="s">
        <v>92</v>
      </c>
      <c r="AN1735" s="37">
        <f t="shared" si="146"/>
        <v>45780</v>
      </c>
      <c r="AO1735" s="37" t="str">
        <f t="shared" si="147"/>
        <v>Toledo, OH</v>
      </c>
      <c r="AP1735" s="37" t="s">
        <v>8</v>
      </c>
      <c r="AQ1735" s="25"/>
      <c r="AR1735" s="25"/>
      <c r="AS1735" s="25"/>
      <c r="AT1735" s="25"/>
      <c r="AU1735" s="36"/>
      <c r="AV1735" s="36"/>
      <c r="AW1735" s="36"/>
      <c r="AX1735" s="25"/>
      <c r="AY1735" s="25"/>
      <c r="AZ1735" s="25"/>
      <c r="BA1735" s="25"/>
      <c r="BB1735" s="25"/>
      <c r="BC1735" s="25"/>
      <c r="BD1735" s="25"/>
      <c r="BE1735" s="25"/>
      <c r="BF1735" s="25"/>
      <c r="BG1735" s="25"/>
      <c r="BH1735" s="25"/>
      <c r="BI1735" s="25"/>
      <c r="BJ1735" s="25"/>
      <c r="BK1735" s="25"/>
      <c r="BL1735" s="25"/>
      <c r="BM1735" s="25"/>
      <c r="BN1735" s="25"/>
      <c r="BO1735" s="25"/>
      <c r="BP1735" s="25"/>
      <c r="BQ1735" s="25"/>
      <c r="BR1735" s="25"/>
      <c r="BS1735" s="25"/>
      <c r="BT1735" s="25"/>
      <c r="CD1735" s="25"/>
      <c r="CE1735" s="200"/>
      <c r="CF1735" s="200"/>
      <c r="CG1735" s="200"/>
      <c r="CH1735" s="200"/>
      <c r="CI1735" s="200"/>
      <c r="CJ1735" s="200"/>
      <c r="CK1735" s="200"/>
      <c r="CL1735" s="200"/>
      <c r="CM1735" s="200"/>
      <c r="CN1735" s="200"/>
      <c r="CO1735" s="200"/>
      <c r="CP1735" s="200"/>
      <c r="CQ1735" s="200"/>
      <c r="CR1735" s="200"/>
      <c r="CS1735" s="200"/>
      <c r="CT1735" s="200"/>
      <c r="CU1735" s="200"/>
    </row>
    <row r="1736" spans="1:99" s="17" customFormat="1" x14ac:dyDescent="0.2">
      <c r="A1736" s="25"/>
      <c r="B1736" s="20">
        <v>39173021200</v>
      </c>
      <c r="C1736" s="20">
        <v>212</v>
      </c>
      <c r="D1736" s="20" t="s">
        <v>92</v>
      </c>
      <c r="E1736" s="20" t="s">
        <v>2839</v>
      </c>
      <c r="F1736" s="20" t="s">
        <v>8</v>
      </c>
      <c r="G1736" s="861">
        <v>47.534727507933802</v>
      </c>
      <c r="H1736" s="861">
        <v>46.900316930632002</v>
      </c>
      <c r="I1736" s="861">
        <v>36.324580765244797</v>
      </c>
      <c r="J1736" s="861">
        <v>62.387155554980602</v>
      </c>
      <c r="K1736" s="982">
        <v>0</v>
      </c>
      <c r="L1736" s="735">
        <v>5905</v>
      </c>
      <c r="M1736" s="735">
        <v>8311</v>
      </c>
      <c r="N1736" s="845">
        <f t="shared" si="143"/>
        <v>0.40745131244707877</v>
      </c>
      <c r="O1736" s="735">
        <v>33.413224819784986</v>
      </c>
      <c r="P1736" s="735">
        <f t="shared" si="144"/>
        <v>248.7338484933907</v>
      </c>
      <c r="Q1736" s="849">
        <v>42</v>
      </c>
      <c r="R1736" s="71">
        <v>120417</v>
      </c>
      <c r="S1736" s="845">
        <v>4.1916167664670656E-2</v>
      </c>
      <c r="T1736" s="845">
        <v>3.7999999999999999E-2</v>
      </c>
      <c r="U1736" s="845">
        <v>1.6E-2</v>
      </c>
      <c r="V1736" s="845">
        <v>0</v>
      </c>
      <c r="W1736" s="845">
        <v>0.18278560250391238</v>
      </c>
      <c r="X1736" s="845">
        <v>0.3904109589041096</v>
      </c>
      <c r="Y1736" s="845">
        <v>0.91035976416797015</v>
      </c>
      <c r="Z1736" s="845">
        <v>1.3235471062447359E-3</v>
      </c>
      <c r="AA1736" s="845">
        <v>7.580315244856215E-3</v>
      </c>
      <c r="AB1736" s="845">
        <v>3.6938996510648539E-2</v>
      </c>
      <c r="AC1736" s="845">
        <v>0</v>
      </c>
      <c r="AD1736" s="845">
        <v>1.046805438575382E-2</v>
      </c>
      <c r="AE1736" s="845">
        <v>3.3329322584526533E-2</v>
      </c>
      <c r="AF1736" s="845">
        <v>3.140416315726146E-2</v>
      </c>
      <c r="AG1736" s="845">
        <v>0.89772590542654318</v>
      </c>
      <c r="AH1736" s="20" t="str">
        <f t="shared" si="145"/>
        <v>No</v>
      </c>
      <c r="AI1736" s="25"/>
      <c r="AJ1736" s="37">
        <v>43551</v>
      </c>
      <c r="AK1736" s="37" t="s">
        <v>988</v>
      </c>
      <c r="AL1736" s="37">
        <v>39173</v>
      </c>
      <c r="AM1736" s="37" t="s">
        <v>92</v>
      </c>
      <c r="AN1736" s="37">
        <f t="shared" si="146"/>
        <v>45780</v>
      </c>
      <c r="AO1736" s="37" t="str">
        <f t="shared" si="147"/>
        <v>Toledo, OH</v>
      </c>
      <c r="AP1736" s="37" t="s">
        <v>8</v>
      </c>
      <c r="AQ1736" s="25"/>
      <c r="AR1736" s="25"/>
      <c r="AS1736" s="25"/>
      <c r="AT1736" s="25"/>
      <c r="AU1736" s="36"/>
      <c r="AV1736" s="36"/>
      <c r="AW1736" s="36"/>
      <c r="AX1736" s="25"/>
      <c r="AY1736" s="25"/>
      <c r="AZ1736" s="25"/>
      <c r="BA1736" s="25"/>
      <c r="BB1736" s="25"/>
      <c r="BC1736" s="25"/>
      <c r="BD1736" s="25"/>
      <c r="BE1736" s="25"/>
      <c r="BF1736" s="25"/>
      <c r="BG1736" s="25"/>
      <c r="BH1736" s="25"/>
      <c r="BI1736" s="25"/>
      <c r="BJ1736" s="25"/>
      <c r="BK1736" s="25"/>
      <c r="BL1736" s="25"/>
      <c r="BM1736" s="25"/>
      <c r="BN1736" s="25"/>
      <c r="BO1736" s="25"/>
      <c r="BP1736" s="25"/>
      <c r="BQ1736" s="25"/>
      <c r="BR1736" s="25"/>
      <c r="BS1736" s="25"/>
      <c r="BT1736" s="25"/>
      <c r="CD1736" s="25"/>
      <c r="CE1736" s="200"/>
      <c r="CF1736" s="200"/>
      <c r="CG1736" s="200"/>
      <c r="CH1736" s="200"/>
      <c r="CI1736" s="200"/>
      <c r="CJ1736" s="200"/>
      <c r="CK1736" s="200"/>
      <c r="CL1736" s="200"/>
      <c r="CM1736" s="200"/>
      <c r="CN1736" s="200"/>
      <c r="CO1736" s="200"/>
      <c r="CP1736" s="200"/>
      <c r="CQ1736" s="200"/>
      <c r="CR1736" s="200"/>
      <c r="CS1736" s="200"/>
      <c r="CT1736" s="200"/>
      <c r="CU1736" s="200"/>
    </row>
    <row r="1737" spans="1:99" s="17" customFormat="1" x14ac:dyDescent="0.2">
      <c r="A1737" s="25"/>
      <c r="B1737" s="20">
        <v>39099813000</v>
      </c>
      <c r="C1737" s="20">
        <v>8130</v>
      </c>
      <c r="D1737" s="20" t="s">
        <v>55</v>
      </c>
      <c r="E1737" s="20" t="s">
        <v>2842</v>
      </c>
      <c r="F1737" s="20" t="s">
        <v>8</v>
      </c>
      <c r="G1737" s="861">
        <v>47.533441821240501</v>
      </c>
      <c r="H1737" s="861">
        <v>51.0235915446235</v>
      </c>
      <c r="I1737" s="861">
        <v>30.378695753928</v>
      </c>
      <c r="J1737" s="861">
        <v>43.989121175525199</v>
      </c>
      <c r="K1737" s="982">
        <v>0</v>
      </c>
      <c r="L1737" s="735">
        <v>4476</v>
      </c>
      <c r="M1737" s="735">
        <v>4052</v>
      </c>
      <c r="N1737" s="845">
        <f t="shared" si="143"/>
        <v>-9.472743521000894E-2</v>
      </c>
      <c r="O1737" s="735">
        <v>31.752286692930031</v>
      </c>
      <c r="P1737" s="735">
        <f t="shared" si="144"/>
        <v>127.61285633334303</v>
      </c>
      <c r="Q1737" s="849">
        <v>46.1</v>
      </c>
      <c r="R1737" s="71">
        <v>67601</v>
      </c>
      <c r="S1737" s="845">
        <v>9.0190264393377809E-2</v>
      </c>
      <c r="T1737" s="845">
        <v>9.0000000000000011E-3</v>
      </c>
      <c r="U1737" s="845">
        <v>0</v>
      </c>
      <c r="V1737" s="845">
        <v>0</v>
      </c>
      <c r="W1737" s="845">
        <v>0.1877575044143614</v>
      </c>
      <c r="X1737" s="845">
        <v>0.15673981191222572</v>
      </c>
      <c r="Y1737" s="845">
        <v>0.97828232971372164</v>
      </c>
      <c r="Z1737" s="845">
        <v>2.9615004935834156E-3</v>
      </c>
      <c r="AA1737" s="845">
        <v>0</v>
      </c>
      <c r="AB1737" s="845">
        <v>0</v>
      </c>
      <c r="AC1737" s="845">
        <v>0</v>
      </c>
      <c r="AD1737" s="845">
        <v>1.2339585389930898E-3</v>
      </c>
      <c r="AE1737" s="845">
        <v>1.7522211253701875E-2</v>
      </c>
      <c r="AF1737" s="845">
        <v>2.0483711747285291E-2</v>
      </c>
      <c r="AG1737" s="845">
        <v>0.95779861796643628</v>
      </c>
      <c r="AH1737" s="20" t="str">
        <f t="shared" si="145"/>
        <v>Yes</v>
      </c>
      <c r="AI1737" s="25"/>
      <c r="AJ1737" s="37">
        <v>43565</v>
      </c>
      <c r="AK1737" s="37" t="s">
        <v>996</v>
      </c>
      <c r="AL1737" s="37">
        <v>39173</v>
      </c>
      <c r="AM1737" s="37" t="s">
        <v>92</v>
      </c>
      <c r="AN1737" s="37">
        <f t="shared" si="146"/>
        <v>45780</v>
      </c>
      <c r="AO1737" s="37" t="str">
        <f t="shared" si="147"/>
        <v>Toledo, OH</v>
      </c>
      <c r="AP1737" s="37" t="s">
        <v>8</v>
      </c>
      <c r="AQ1737" s="25"/>
      <c r="AR1737" s="25"/>
      <c r="AS1737" s="25"/>
      <c r="AT1737" s="25"/>
      <c r="AU1737" s="36"/>
      <c r="AV1737" s="36"/>
      <c r="AW1737" s="36"/>
      <c r="AX1737" s="25"/>
      <c r="AY1737" s="25"/>
      <c r="AZ1737" s="25"/>
      <c r="BA1737" s="25"/>
      <c r="BB1737" s="25"/>
      <c r="BC1737" s="25"/>
      <c r="BD1737" s="25"/>
      <c r="BE1737" s="25"/>
      <c r="BF1737" s="25"/>
      <c r="BG1737" s="25"/>
      <c r="BH1737" s="25"/>
      <c r="BI1737" s="25"/>
      <c r="BJ1737" s="25"/>
      <c r="BK1737" s="25"/>
      <c r="BL1737" s="25"/>
      <c r="BM1737" s="25"/>
      <c r="BN1737" s="25"/>
      <c r="BO1737" s="25"/>
      <c r="BP1737" s="25"/>
      <c r="BQ1737" s="25"/>
      <c r="BR1737" s="25"/>
      <c r="BS1737" s="25"/>
      <c r="BT1737" s="25"/>
      <c r="CD1737" s="25"/>
      <c r="CE1737" s="200"/>
      <c r="CF1737" s="200"/>
      <c r="CG1737" s="200"/>
      <c r="CH1737" s="200"/>
      <c r="CI1737" s="200"/>
      <c r="CJ1737" s="200"/>
      <c r="CK1737" s="200"/>
      <c r="CL1737" s="200"/>
      <c r="CM1737" s="200"/>
      <c r="CN1737" s="200"/>
      <c r="CO1737" s="200"/>
      <c r="CP1737" s="200"/>
      <c r="CQ1737" s="200"/>
      <c r="CR1737" s="200"/>
      <c r="CS1737" s="200"/>
      <c r="CT1737" s="200"/>
      <c r="CU1737" s="200"/>
    </row>
    <row r="1738" spans="1:99" s="17" customFormat="1" x14ac:dyDescent="0.2">
      <c r="A1738" s="25"/>
      <c r="B1738" s="20">
        <v>39049007550</v>
      </c>
      <c r="C1738" s="20">
        <v>75.5</v>
      </c>
      <c r="D1738" s="20" t="s">
        <v>31</v>
      </c>
      <c r="E1738" s="20" t="s">
        <v>2830</v>
      </c>
      <c r="F1738" s="20" t="s">
        <v>8</v>
      </c>
      <c r="G1738" s="861">
        <v>47.529225183283003</v>
      </c>
      <c r="H1738" s="861">
        <v>51.510433427532497</v>
      </c>
      <c r="I1738" s="861">
        <v>42.410311660678801</v>
      </c>
      <c r="J1738" s="861">
        <v>33.038695431091497</v>
      </c>
      <c r="K1738" s="982">
        <v>0</v>
      </c>
      <c r="L1738" s="735">
        <v>3180</v>
      </c>
      <c r="M1738" s="735">
        <v>2769</v>
      </c>
      <c r="N1738" s="845">
        <f t="shared" si="143"/>
        <v>-0.12924528301886792</v>
      </c>
      <c r="O1738" s="735">
        <v>2.34603702485723</v>
      </c>
      <c r="P1738" s="735">
        <f t="shared" si="144"/>
        <v>1180.2882779177407</v>
      </c>
      <c r="Q1738" s="849">
        <v>31.7</v>
      </c>
      <c r="R1738" s="71">
        <v>61250</v>
      </c>
      <c r="S1738" s="845">
        <v>0.2429701230228471</v>
      </c>
      <c r="T1738" s="845">
        <v>4.5999999999999999E-2</v>
      </c>
      <c r="U1738" s="845">
        <v>0</v>
      </c>
      <c r="V1738" s="845">
        <v>0</v>
      </c>
      <c r="W1738" s="845">
        <v>0.47483380816714149</v>
      </c>
      <c r="X1738" s="845">
        <v>0.57799999999999996</v>
      </c>
      <c r="Y1738" s="845">
        <v>0.40845070422535212</v>
      </c>
      <c r="Z1738" s="845">
        <v>0.49187432286023836</v>
      </c>
      <c r="AA1738" s="845">
        <v>1.8057060310581437E-3</v>
      </c>
      <c r="AB1738" s="845">
        <v>2.9613578909353556E-2</v>
      </c>
      <c r="AC1738" s="845">
        <v>0</v>
      </c>
      <c r="AD1738" s="845">
        <v>1.0834236186348862E-2</v>
      </c>
      <c r="AE1738" s="845">
        <v>5.7421451787648972E-2</v>
      </c>
      <c r="AF1738" s="845">
        <v>7.0783676417479235E-2</v>
      </c>
      <c r="AG1738" s="845">
        <v>0.39544962080173346</v>
      </c>
      <c r="AH1738" s="20" t="str">
        <f t="shared" si="145"/>
        <v>No</v>
      </c>
      <c r="AI1738" s="25"/>
      <c r="AJ1738" s="37">
        <v>43569</v>
      </c>
      <c r="AK1738" s="37" t="s">
        <v>999</v>
      </c>
      <c r="AL1738" s="37">
        <v>39173</v>
      </c>
      <c r="AM1738" s="37" t="s">
        <v>92</v>
      </c>
      <c r="AN1738" s="37">
        <f t="shared" si="146"/>
        <v>45780</v>
      </c>
      <c r="AO1738" s="37" t="str">
        <f t="shared" si="147"/>
        <v>Toledo, OH</v>
      </c>
      <c r="AP1738" s="37" t="s">
        <v>8</v>
      </c>
      <c r="AQ1738" s="25"/>
      <c r="AR1738" s="25"/>
      <c r="AS1738" s="25"/>
      <c r="AT1738" s="25"/>
      <c r="AU1738" s="36"/>
      <c r="AV1738" s="36"/>
      <c r="AW1738" s="36"/>
      <c r="AX1738" s="25"/>
      <c r="AY1738" s="25"/>
      <c r="AZ1738" s="25"/>
      <c r="BA1738" s="25"/>
      <c r="BB1738" s="25"/>
      <c r="BC1738" s="25"/>
      <c r="BD1738" s="25"/>
      <c r="BE1738" s="25"/>
      <c r="BF1738" s="25"/>
      <c r="BG1738" s="25"/>
      <c r="BH1738" s="25"/>
      <c r="BI1738" s="25"/>
      <c r="BJ1738" s="25"/>
      <c r="BK1738" s="25"/>
      <c r="BL1738" s="25"/>
      <c r="BM1738" s="25"/>
      <c r="BN1738" s="25"/>
      <c r="BO1738" s="25"/>
      <c r="BP1738" s="25"/>
      <c r="BQ1738" s="25"/>
      <c r="BR1738" s="25"/>
      <c r="BS1738" s="25"/>
      <c r="BT1738" s="25"/>
      <c r="CD1738" s="25"/>
      <c r="CE1738" s="200"/>
      <c r="CF1738" s="200"/>
      <c r="CG1738" s="200"/>
      <c r="CH1738" s="200"/>
      <c r="CI1738" s="200"/>
      <c r="CJ1738" s="200"/>
      <c r="CK1738" s="200"/>
      <c r="CL1738" s="200"/>
      <c r="CM1738" s="200"/>
      <c r="CN1738" s="200"/>
      <c r="CO1738" s="200"/>
      <c r="CP1738" s="200"/>
      <c r="CQ1738" s="200"/>
      <c r="CR1738" s="200"/>
      <c r="CS1738" s="200"/>
      <c r="CT1738" s="200"/>
      <c r="CU1738" s="200"/>
    </row>
    <row r="1739" spans="1:99" s="17" customFormat="1" x14ac:dyDescent="0.2">
      <c r="A1739" s="25"/>
      <c r="B1739" s="20">
        <v>39049008322</v>
      </c>
      <c r="C1739" s="20">
        <v>83.22</v>
      </c>
      <c r="D1739" s="20" t="s">
        <v>31</v>
      </c>
      <c r="E1739" s="20" t="s">
        <v>2830</v>
      </c>
      <c r="F1739" s="20" t="s">
        <v>8</v>
      </c>
      <c r="G1739" s="861">
        <v>47.515991883915397</v>
      </c>
      <c r="H1739" s="861">
        <v>66.384357131837803</v>
      </c>
      <c r="I1739" s="861">
        <v>39.1178314722303</v>
      </c>
      <c r="J1739" s="861">
        <v>52.531768925662298</v>
      </c>
      <c r="K1739" s="982">
        <v>0</v>
      </c>
      <c r="L1739" s="735">
        <v>4095</v>
      </c>
      <c r="M1739" s="735">
        <v>4951</v>
      </c>
      <c r="N1739" s="845">
        <f t="shared" ref="N1739:N1802" si="148">IF(OR(L1739="",M1739=""),"",(M1739-L1739)/L1739)</f>
        <v>0.20903540903540904</v>
      </c>
      <c r="O1739" s="735">
        <v>0.64715779718386435</v>
      </c>
      <c r="P1739" s="735">
        <f t="shared" ref="P1739:P1802" si="149">M1739/O1739</f>
        <v>7650.3752586223864</v>
      </c>
      <c r="Q1739" s="849">
        <v>37.299999999999997</v>
      </c>
      <c r="R1739" s="71">
        <v>56141</v>
      </c>
      <c r="S1739" s="845">
        <v>0.17269238537669157</v>
      </c>
      <c r="T1739" s="845">
        <v>4.2000000000000003E-2</v>
      </c>
      <c r="U1739" s="845">
        <v>2.1000000000000001E-2</v>
      </c>
      <c r="V1739" s="845">
        <v>2.1000000000000001E-2</v>
      </c>
      <c r="W1739" s="845">
        <v>0.46770276833414282</v>
      </c>
      <c r="X1739" s="845">
        <v>0.32502596053997923</v>
      </c>
      <c r="Y1739" s="845">
        <v>0.71682488386184606</v>
      </c>
      <c r="Z1739" s="845">
        <v>9.8969905069682895E-2</v>
      </c>
      <c r="AA1739" s="845">
        <v>0</v>
      </c>
      <c r="AB1739" s="845">
        <v>0</v>
      </c>
      <c r="AC1739" s="845">
        <v>0</v>
      </c>
      <c r="AD1739" s="845">
        <v>0.10765501918804282</v>
      </c>
      <c r="AE1739" s="845">
        <v>7.6550191880428192E-2</v>
      </c>
      <c r="AF1739" s="845">
        <v>9.7960008079175931E-2</v>
      </c>
      <c r="AG1739" s="845">
        <v>0.71682488386184606</v>
      </c>
      <c r="AH1739" s="20" t="str">
        <f t="shared" ref="AH1739:AH1802" si="150">IF(AG1739&gt;=0.9,"Yes","No")</f>
        <v>No</v>
      </c>
      <c r="AI1739" s="25"/>
      <c r="AJ1739" s="37">
        <v>43605</v>
      </c>
      <c r="AK1739" s="37" t="s">
        <v>1003</v>
      </c>
      <c r="AL1739" s="37">
        <v>39173</v>
      </c>
      <c r="AM1739" s="37" t="s">
        <v>92</v>
      </c>
      <c r="AN1739" s="37">
        <f t="shared" ref="AN1739:AN1802" si="151">VLOOKUP(AM1739,$CY$11:$DA$98,2,FALSE)</f>
        <v>45780</v>
      </c>
      <c r="AO1739" s="37" t="str">
        <f t="shared" ref="AO1739:AO1802" si="152">VLOOKUP(AM1739,$CY$11:$DA$98,3,FALSE)</f>
        <v>Toledo, OH</v>
      </c>
      <c r="AP1739" s="37" t="s">
        <v>8</v>
      </c>
      <c r="AQ1739" s="25"/>
      <c r="AR1739" s="25"/>
      <c r="AS1739" s="25"/>
      <c r="AT1739" s="25"/>
      <c r="AU1739" s="36"/>
      <c r="AV1739" s="36"/>
      <c r="AW1739" s="36"/>
      <c r="AX1739" s="25"/>
      <c r="AY1739" s="25"/>
      <c r="AZ1739" s="25"/>
      <c r="BA1739" s="25"/>
      <c r="BB1739" s="25"/>
      <c r="BC1739" s="25"/>
      <c r="BD1739" s="25"/>
      <c r="BE1739" s="25"/>
      <c r="BF1739" s="25"/>
      <c r="BG1739" s="25"/>
      <c r="BH1739" s="25"/>
      <c r="BI1739" s="25"/>
      <c r="BJ1739" s="25"/>
      <c r="BK1739" s="25"/>
      <c r="BL1739" s="25"/>
      <c r="BM1739" s="25"/>
      <c r="BN1739" s="25"/>
      <c r="BO1739" s="25"/>
      <c r="BP1739" s="25"/>
      <c r="BQ1739" s="25"/>
      <c r="BR1739" s="25"/>
      <c r="BS1739" s="25"/>
      <c r="BT1739" s="25"/>
      <c r="CD1739" s="25"/>
      <c r="CE1739" s="200"/>
      <c r="CF1739" s="200"/>
      <c r="CG1739" s="200"/>
      <c r="CH1739" s="200"/>
      <c r="CI1739" s="200"/>
      <c r="CJ1739" s="200"/>
      <c r="CK1739" s="200"/>
      <c r="CL1739" s="200"/>
      <c r="CM1739" s="200"/>
      <c r="CN1739" s="200"/>
      <c r="CO1739" s="200"/>
      <c r="CP1739" s="200"/>
      <c r="CQ1739" s="200"/>
      <c r="CR1739" s="200"/>
      <c r="CS1739" s="200"/>
      <c r="CT1739" s="200"/>
      <c r="CU1739" s="200"/>
    </row>
    <row r="1740" spans="1:99" s="17" customFormat="1" x14ac:dyDescent="0.2">
      <c r="A1740" s="25"/>
      <c r="B1740" s="20">
        <v>39049009252</v>
      </c>
      <c r="C1740" s="20">
        <v>92.52</v>
      </c>
      <c r="D1740" s="20" t="s">
        <v>31</v>
      </c>
      <c r="E1740" s="20" t="s">
        <v>2830</v>
      </c>
      <c r="F1740" s="20" t="s">
        <v>8</v>
      </c>
      <c r="G1740" s="861">
        <v>47.491444747152599</v>
      </c>
      <c r="H1740" s="861">
        <v>73.684101959344204</v>
      </c>
      <c r="I1740" s="861">
        <v>57.450156077833199</v>
      </c>
      <c r="J1740" s="861">
        <v>38.993941102101502</v>
      </c>
      <c r="K1740" s="982">
        <v>0</v>
      </c>
      <c r="L1740" s="735" t="s">
        <v>2466</v>
      </c>
      <c r="M1740" s="735">
        <v>3035</v>
      </c>
      <c r="N1740" s="845" t="str">
        <f t="shared" si="148"/>
        <v/>
      </c>
      <c r="O1740" s="735">
        <v>0.71990330488428389</v>
      </c>
      <c r="P1740" s="735">
        <f t="shared" si="149"/>
        <v>4215.8439604438836</v>
      </c>
      <c r="Q1740" s="849">
        <v>34.700000000000003</v>
      </c>
      <c r="R1740" s="71">
        <v>41412</v>
      </c>
      <c r="S1740" s="845">
        <v>0.27677100494233936</v>
      </c>
      <c r="T1740" s="845">
        <v>7.400000000000001E-2</v>
      </c>
      <c r="U1740" s="845">
        <v>0</v>
      </c>
      <c r="V1740" s="845">
        <v>0</v>
      </c>
      <c r="W1740" s="845">
        <v>0.95873015873015877</v>
      </c>
      <c r="X1740" s="845">
        <v>0.34216335540838855</v>
      </c>
      <c r="Y1740" s="845">
        <v>0.22668863261943986</v>
      </c>
      <c r="Z1740" s="845">
        <v>0.55914332784184517</v>
      </c>
      <c r="AA1740" s="845">
        <v>0</v>
      </c>
      <c r="AB1740" s="845">
        <v>5.1729818780889621E-2</v>
      </c>
      <c r="AC1740" s="845">
        <v>0</v>
      </c>
      <c r="AD1740" s="845">
        <v>4.3492586490939046E-2</v>
      </c>
      <c r="AE1740" s="845">
        <v>0.11894563426688633</v>
      </c>
      <c r="AF1740" s="845">
        <v>7.1828665568369032E-2</v>
      </c>
      <c r="AG1740" s="845">
        <v>0.20494233937397036</v>
      </c>
      <c r="AH1740" s="20" t="str">
        <f t="shared" si="150"/>
        <v>No</v>
      </c>
      <c r="AI1740" s="25"/>
      <c r="AJ1740" s="37">
        <v>43619</v>
      </c>
      <c r="AK1740" s="37" t="s">
        <v>1016</v>
      </c>
      <c r="AL1740" s="37">
        <v>39173</v>
      </c>
      <c r="AM1740" s="37" t="s">
        <v>92</v>
      </c>
      <c r="AN1740" s="37">
        <f t="shared" si="151"/>
        <v>45780</v>
      </c>
      <c r="AO1740" s="37" t="str">
        <f t="shared" si="152"/>
        <v>Toledo, OH</v>
      </c>
      <c r="AP1740" s="37" t="s">
        <v>8</v>
      </c>
      <c r="AQ1740" s="25"/>
      <c r="AR1740" s="25"/>
      <c r="AS1740" s="25"/>
      <c r="AT1740" s="25"/>
      <c r="AU1740" s="36"/>
      <c r="AV1740" s="36"/>
      <c r="AW1740" s="36"/>
      <c r="AX1740" s="25"/>
      <c r="AY1740" s="25"/>
      <c r="AZ1740" s="25"/>
      <c r="BA1740" s="25"/>
      <c r="BB1740" s="25"/>
      <c r="BC1740" s="25"/>
      <c r="BD1740" s="25"/>
      <c r="BE1740" s="25"/>
      <c r="BF1740" s="25"/>
      <c r="BG1740" s="25"/>
      <c r="BH1740" s="25"/>
      <c r="BI1740" s="25"/>
      <c r="BJ1740" s="25"/>
      <c r="BK1740" s="25"/>
      <c r="BL1740" s="25"/>
      <c r="BM1740" s="25"/>
      <c r="BN1740" s="25"/>
      <c r="BO1740" s="25"/>
      <c r="BP1740" s="25"/>
      <c r="BQ1740" s="25"/>
      <c r="BR1740" s="25"/>
      <c r="BS1740" s="25"/>
      <c r="BT1740" s="25"/>
      <c r="CD1740" s="25"/>
      <c r="CE1740" s="200"/>
      <c r="CF1740" s="200"/>
      <c r="CG1740" s="200"/>
      <c r="CH1740" s="200"/>
      <c r="CI1740" s="200"/>
      <c r="CJ1740" s="200"/>
      <c r="CK1740" s="200"/>
      <c r="CL1740" s="200"/>
      <c r="CM1740" s="200"/>
      <c r="CN1740" s="200"/>
      <c r="CO1740" s="200"/>
      <c r="CP1740" s="200"/>
      <c r="CQ1740" s="200"/>
      <c r="CR1740" s="200"/>
      <c r="CS1740" s="200"/>
      <c r="CT1740" s="200"/>
      <c r="CU1740" s="200"/>
    </row>
    <row r="1741" spans="1:99" s="17" customFormat="1" x14ac:dyDescent="0.2">
      <c r="A1741" s="25"/>
      <c r="B1741" s="20">
        <v>39153503702</v>
      </c>
      <c r="C1741" s="20">
        <v>5037.0200000000004</v>
      </c>
      <c r="D1741" s="20" t="s">
        <v>82</v>
      </c>
      <c r="E1741" s="20" t="s">
        <v>2843</v>
      </c>
      <c r="F1741" s="20" t="s">
        <v>8</v>
      </c>
      <c r="G1741" s="861">
        <v>47.483444725594801</v>
      </c>
      <c r="H1741" s="861">
        <v>47.733911014220098</v>
      </c>
      <c r="I1741" s="861">
        <v>40.599389209792598</v>
      </c>
      <c r="J1741" s="861">
        <v>39.733237020689202</v>
      </c>
      <c r="K1741" s="982">
        <v>0</v>
      </c>
      <c r="L1741" s="735">
        <v>5918</v>
      </c>
      <c r="M1741" s="735">
        <v>5148</v>
      </c>
      <c r="N1741" s="845">
        <f t="shared" si="148"/>
        <v>-0.13011152416356878</v>
      </c>
      <c r="O1741" s="735">
        <v>1.3640707408498489</v>
      </c>
      <c r="P1741" s="735">
        <f t="shared" si="149"/>
        <v>3773.9978183189178</v>
      </c>
      <c r="Q1741" s="849">
        <v>44.2</v>
      </c>
      <c r="R1741" s="71">
        <v>60742</v>
      </c>
      <c r="S1741" s="845">
        <v>0.2364024864024864</v>
      </c>
      <c r="T1741" s="845">
        <v>6.9000000000000006E-2</v>
      </c>
      <c r="U1741" s="845">
        <v>0.03</v>
      </c>
      <c r="V1741" s="845">
        <v>0.06</v>
      </c>
      <c r="W1741" s="845">
        <v>0.28880242109814092</v>
      </c>
      <c r="X1741" s="845">
        <v>0.39970059880239522</v>
      </c>
      <c r="Y1741" s="845">
        <v>0.92171717171717171</v>
      </c>
      <c r="Z1741" s="845">
        <v>4.2152292152292152E-2</v>
      </c>
      <c r="AA1741" s="845">
        <v>2.331002331002331E-3</v>
      </c>
      <c r="AB1741" s="845">
        <v>3.4965034965034965E-3</v>
      </c>
      <c r="AC1741" s="845">
        <v>0</v>
      </c>
      <c r="AD1741" s="845">
        <v>5.439005439005439E-3</v>
      </c>
      <c r="AE1741" s="845">
        <v>2.4864024864024864E-2</v>
      </c>
      <c r="AF1741" s="845">
        <v>7.575757575757576E-3</v>
      </c>
      <c r="AG1741" s="845">
        <v>0.91958041958041958</v>
      </c>
      <c r="AH1741" s="20" t="str">
        <f t="shared" si="150"/>
        <v>Yes</v>
      </c>
      <c r="AI1741" s="25"/>
      <c r="AJ1741" s="37">
        <v>44817</v>
      </c>
      <c r="AK1741" s="37" t="s">
        <v>1474</v>
      </c>
      <c r="AL1741" s="37">
        <v>39173</v>
      </c>
      <c r="AM1741" s="37" t="s">
        <v>92</v>
      </c>
      <c r="AN1741" s="37">
        <f t="shared" si="151"/>
        <v>45780</v>
      </c>
      <c r="AO1741" s="37" t="str">
        <f t="shared" si="152"/>
        <v>Toledo, OH</v>
      </c>
      <c r="AP1741" s="37" t="s">
        <v>8</v>
      </c>
      <c r="AQ1741" s="25"/>
      <c r="AR1741" s="25"/>
      <c r="AS1741" s="25"/>
      <c r="AT1741" s="25"/>
      <c r="AU1741" s="36"/>
      <c r="AV1741" s="36"/>
      <c r="AW1741" s="36"/>
      <c r="AX1741" s="25"/>
      <c r="AY1741" s="25"/>
      <c r="AZ1741" s="25"/>
      <c r="BA1741" s="25"/>
      <c r="BB1741" s="25"/>
      <c r="BC1741" s="25"/>
      <c r="BD1741" s="25"/>
      <c r="BE1741" s="25"/>
      <c r="BF1741" s="25"/>
      <c r="BG1741" s="25"/>
      <c r="BH1741" s="25"/>
      <c r="BI1741" s="25"/>
      <c r="BJ1741" s="25"/>
      <c r="BK1741" s="25"/>
      <c r="BL1741" s="25"/>
      <c r="BM1741" s="25"/>
      <c r="BN1741" s="25"/>
      <c r="BO1741" s="25"/>
      <c r="BP1741" s="25"/>
      <c r="BQ1741" s="25"/>
      <c r="BR1741" s="25"/>
      <c r="BS1741" s="25"/>
      <c r="BT1741" s="25"/>
      <c r="CD1741" s="25"/>
      <c r="CE1741" s="200"/>
      <c r="CF1741" s="200"/>
      <c r="CG1741" s="200"/>
      <c r="CH1741" s="200"/>
      <c r="CI1741" s="200"/>
      <c r="CJ1741" s="200"/>
      <c r="CK1741" s="200"/>
      <c r="CL1741" s="200"/>
      <c r="CM1741" s="200"/>
      <c r="CN1741" s="200"/>
      <c r="CO1741" s="200"/>
      <c r="CP1741" s="200"/>
      <c r="CQ1741" s="200"/>
      <c r="CR1741" s="200"/>
      <c r="CS1741" s="200"/>
      <c r="CT1741" s="200"/>
      <c r="CU1741" s="200"/>
    </row>
    <row r="1742" spans="1:99" s="17" customFormat="1" x14ac:dyDescent="0.2">
      <c r="A1742" s="25"/>
      <c r="B1742" s="20">
        <v>39059977400</v>
      </c>
      <c r="C1742" s="20">
        <v>9774</v>
      </c>
      <c r="D1742" s="20" t="s">
        <v>36</v>
      </c>
      <c r="E1742" s="20" t="s">
        <v>265</v>
      </c>
      <c r="F1742" s="20" t="s">
        <v>8</v>
      </c>
      <c r="G1742" s="861">
        <v>47.450894471536103</v>
      </c>
      <c r="H1742" s="861">
        <v>47.791137165334902</v>
      </c>
      <c r="I1742" s="861">
        <v>42.960606618625803</v>
      </c>
      <c r="J1742" s="861">
        <v>41.8379171336545</v>
      </c>
      <c r="K1742" s="982">
        <v>0</v>
      </c>
      <c r="L1742" s="735">
        <v>3987</v>
      </c>
      <c r="M1742" s="735">
        <v>3502</v>
      </c>
      <c r="N1742" s="845">
        <f t="shared" si="148"/>
        <v>-0.12164534737898169</v>
      </c>
      <c r="O1742" s="735">
        <v>13.965783032108206</v>
      </c>
      <c r="P1742" s="735">
        <f t="shared" si="149"/>
        <v>250.75572146213955</v>
      </c>
      <c r="Q1742" s="849">
        <v>45.3</v>
      </c>
      <c r="R1742" s="71">
        <v>56132</v>
      </c>
      <c r="S1742" s="845">
        <v>0.15288518738845924</v>
      </c>
      <c r="T1742" s="845">
        <v>5.5999999999999994E-2</v>
      </c>
      <c r="U1742" s="845">
        <v>5.9000000000000004E-2</v>
      </c>
      <c r="V1742" s="845">
        <v>2.4E-2</v>
      </c>
      <c r="W1742" s="845">
        <v>0.39913899138991388</v>
      </c>
      <c r="X1742" s="845">
        <v>0.55932203389830504</v>
      </c>
      <c r="Y1742" s="845">
        <v>0.90177041690462589</v>
      </c>
      <c r="Z1742" s="845">
        <v>7.6242147344374636E-2</v>
      </c>
      <c r="AA1742" s="845">
        <v>8.5665334094802965E-4</v>
      </c>
      <c r="AB1742" s="845">
        <v>0</v>
      </c>
      <c r="AC1742" s="845">
        <v>0</v>
      </c>
      <c r="AD1742" s="845">
        <v>0</v>
      </c>
      <c r="AE1742" s="845">
        <v>2.11307824100514E-2</v>
      </c>
      <c r="AF1742" s="845">
        <v>3.4266133637921186E-3</v>
      </c>
      <c r="AG1742" s="845">
        <v>0.89834380354083376</v>
      </c>
      <c r="AH1742" s="20" t="str">
        <f t="shared" si="150"/>
        <v>No</v>
      </c>
      <c r="AI1742" s="25"/>
      <c r="AJ1742" s="37">
        <v>44830</v>
      </c>
      <c r="AK1742" s="37" t="s">
        <v>1483</v>
      </c>
      <c r="AL1742" s="37">
        <v>39173</v>
      </c>
      <c r="AM1742" s="37" t="s">
        <v>92</v>
      </c>
      <c r="AN1742" s="37">
        <f t="shared" si="151"/>
        <v>45780</v>
      </c>
      <c r="AO1742" s="37" t="str">
        <f t="shared" si="152"/>
        <v>Toledo, OH</v>
      </c>
      <c r="AP1742" s="37" t="s">
        <v>8</v>
      </c>
      <c r="AQ1742" s="25"/>
      <c r="AR1742" s="25"/>
      <c r="AS1742" s="25"/>
      <c r="AT1742" s="25"/>
      <c r="AU1742" s="36"/>
      <c r="AV1742" s="36"/>
      <c r="AW1742" s="36"/>
      <c r="AX1742" s="25"/>
      <c r="AY1742" s="25"/>
      <c r="AZ1742" s="25"/>
      <c r="BA1742" s="25"/>
      <c r="BB1742" s="25"/>
      <c r="BC1742" s="25"/>
      <c r="BD1742" s="25"/>
      <c r="BE1742" s="25"/>
      <c r="BF1742" s="25"/>
      <c r="BG1742" s="25"/>
      <c r="BH1742" s="25"/>
      <c r="BI1742" s="25"/>
      <c r="BJ1742" s="25"/>
      <c r="BK1742" s="25"/>
      <c r="BL1742" s="25"/>
      <c r="BM1742" s="25"/>
      <c r="BN1742" s="25"/>
      <c r="BO1742" s="25"/>
      <c r="BP1742" s="25"/>
      <c r="BQ1742" s="25"/>
      <c r="BR1742" s="25"/>
      <c r="BS1742" s="25"/>
      <c r="BT1742" s="25"/>
      <c r="CD1742" s="25"/>
      <c r="CE1742" s="200"/>
      <c r="CF1742" s="200"/>
      <c r="CG1742" s="200"/>
      <c r="CH1742" s="200"/>
      <c r="CI1742" s="200"/>
      <c r="CJ1742" s="200"/>
      <c r="CK1742" s="200"/>
      <c r="CL1742" s="200"/>
      <c r="CM1742" s="200"/>
      <c r="CN1742" s="200"/>
      <c r="CO1742" s="200"/>
      <c r="CP1742" s="200"/>
      <c r="CQ1742" s="200"/>
      <c r="CR1742" s="200"/>
      <c r="CS1742" s="200"/>
      <c r="CT1742" s="200"/>
      <c r="CU1742" s="200"/>
    </row>
    <row r="1743" spans="1:99" s="17" customFormat="1" x14ac:dyDescent="0.2">
      <c r="A1743" s="25"/>
      <c r="B1743" s="20">
        <v>39097040201</v>
      </c>
      <c r="C1743" s="20">
        <v>402.01</v>
      </c>
      <c r="D1743" s="20" t="s">
        <v>54</v>
      </c>
      <c r="E1743" s="20" t="s">
        <v>2830</v>
      </c>
      <c r="F1743" s="20" t="s">
        <v>8</v>
      </c>
      <c r="G1743" s="861">
        <v>47.4493562356963</v>
      </c>
      <c r="H1743" s="861">
        <v>66.943101263382005</v>
      </c>
      <c r="I1743" s="861">
        <v>19.3217642371167</v>
      </c>
      <c r="J1743" s="861">
        <v>51.974599943220497</v>
      </c>
      <c r="K1743" s="982">
        <v>0</v>
      </c>
      <c r="L1743" s="735">
        <v>2341</v>
      </c>
      <c r="M1743" s="735">
        <v>2983</v>
      </c>
      <c r="N1743" s="845">
        <f t="shared" si="148"/>
        <v>0.27424177701836822</v>
      </c>
      <c r="O1743" s="735">
        <v>15.170042228495019</v>
      </c>
      <c r="P1743" s="735">
        <f t="shared" si="149"/>
        <v>196.63755413922377</v>
      </c>
      <c r="Q1743" s="849">
        <v>41.9</v>
      </c>
      <c r="R1743" s="71">
        <v>118750</v>
      </c>
      <c r="S1743" s="845">
        <v>5.1625879986590684E-2</v>
      </c>
      <c r="T1743" s="845">
        <v>8.0000000000000002E-3</v>
      </c>
      <c r="U1743" s="845">
        <v>0</v>
      </c>
      <c r="V1743" s="845">
        <v>0</v>
      </c>
      <c r="W1743" s="845">
        <v>5.2631578947368418E-2</v>
      </c>
      <c r="X1743" s="845">
        <v>0</v>
      </c>
      <c r="Y1743" s="845">
        <v>0.80590010056989603</v>
      </c>
      <c r="Z1743" s="845">
        <v>2.4472008045591687E-2</v>
      </c>
      <c r="AA1743" s="845">
        <v>0</v>
      </c>
      <c r="AB1743" s="845">
        <v>5.4978209855849815E-2</v>
      </c>
      <c r="AC1743" s="845">
        <v>0</v>
      </c>
      <c r="AD1743" s="845">
        <v>4.0227958431109621E-3</v>
      </c>
      <c r="AE1743" s="845">
        <v>0.11062688568555146</v>
      </c>
      <c r="AF1743" s="845">
        <v>5.6989607777405294E-3</v>
      </c>
      <c r="AG1743" s="845">
        <v>0.80590010056989603</v>
      </c>
      <c r="AH1743" s="20" t="str">
        <f t="shared" si="150"/>
        <v>No</v>
      </c>
      <c r="AI1743" s="25"/>
      <c r="AJ1743" s="37">
        <v>45872</v>
      </c>
      <c r="AK1743" s="37" t="s">
        <v>1935</v>
      </c>
      <c r="AL1743" s="37">
        <v>39173</v>
      </c>
      <c r="AM1743" s="37" t="s">
        <v>92</v>
      </c>
      <c r="AN1743" s="37">
        <f t="shared" si="151"/>
        <v>45780</v>
      </c>
      <c r="AO1743" s="37" t="str">
        <f t="shared" si="152"/>
        <v>Toledo, OH</v>
      </c>
      <c r="AP1743" s="37" t="s">
        <v>8</v>
      </c>
      <c r="AQ1743" s="25"/>
      <c r="AR1743" s="25"/>
      <c r="AS1743" s="25"/>
      <c r="AT1743" s="25"/>
      <c r="AU1743" s="36"/>
      <c r="AV1743" s="36"/>
      <c r="AW1743" s="36"/>
      <c r="AX1743" s="25"/>
      <c r="AY1743" s="25"/>
      <c r="AZ1743" s="25"/>
      <c r="BA1743" s="25"/>
      <c r="BB1743" s="25"/>
      <c r="BC1743" s="25"/>
      <c r="BD1743" s="25"/>
      <c r="BE1743" s="25"/>
      <c r="BF1743" s="25"/>
      <c r="BG1743" s="25"/>
      <c r="BH1743" s="25"/>
      <c r="BI1743" s="25"/>
      <c r="BJ1743" s="25"/>
      <c r="BK1743" s="25"/>
      <c r="BL1743" s="25"/>
      <c r="BM1743" s="25"/>
      <c r="BN1743" s="25"/>
      <c r="BO1743" s="25"/>
      <c r="BP1743" s="25"/>
      <c r="BQ1743" s="25"/>
      <c r="BR1743" s="25"/>
      <c r="BS1743" s="25"/>
      <c r="BT1743" s="25"/>
      <c r="CD1743" s="25"/>
      <c r="CE1743" s="200"/>
      <c r="CF1743" s="200"/>
      <c r="CG1743" s="200"/>
      <c r="CH1743" s="200"/>
      <c r="CI1743" s="200"/>
      <c r="CJ1743" s="200"/>
      <c r="CK1743" s="200"/>
      <c r="CL1743" s="200"/>
      <c r="CM1743" s="200"/>
      <c r="CN1743" s="200"/>
      <c r="CO1743" s="200"/>
      <c r="CP1743" s="200"/>
      <c r="CQ1743" s="200"/>
      <c r="CR1743" s="200"/>
      <c r="CS1743" s="200"/>
      <c r="CT1743" s="200"/>
      <c r="CU1743" s="200"/>
    </row>
    <row r="1744" spans="1:99" s="17" customFormat="1" x14ac:dyDescent="0.2">
      <c r="A1744" s="25"/>
      <c r="B1744" s="20">
        <v>39113060100</v>
      </c>
      <c r="C1744" s="20">
        <v>601</v>
      </c>
      <c r="D1744" s="20" t="s">
        <v>62</v>
      </c>
      <c r="E1744" s="20" t="s">
        <v>2833</v>
      </c>
      <c r="F1744" s="20" t="s">
        <v>8</v>
      </c>
      <c r="G1744" s="861">
        <v>47.445954882926699</v>
      </c>
      <c r="H1744" s="861">
        <v>46.705776893974999</v>
      </c>
      <c r="I1744" s="861">
        <v>37.2034505823869</v>
      </c>
      <c r="J1744" s="861">
        <v>42.142698603672599</v>
      </c>
      <c r="K1744" s="982">
        <v>0</v>
      </c>
      <c r="L1744" s="735">
        <v>3189</v>
      </c>
      <c r="M1744" s="735">
        <v>985</v>
      </c>
      <c r="N1744" s="845">
        <f t="shared" si="148"/>
        <v>-0.69112574474756983</v>
      </c>
      <c r="O1744" s="735">
        <v>6.2113204064091248</v>
      </c>
      <c r="P1744" s="735">
        <f t="shared" si="149"/>
        <v>158.5814183701797</v>
      </c>
      <c r="Q1744" s="849">
        <v>55.3</v>
      </c>
      <c r="R1744" s="71">
        <v>73190</v>
      </c>
      <c r="S1744" s="845">
        <v>8.0203045685279181E-2</v>
      </c>
      <c r="T1744" s="845">
        <v>0</v>
      </c>
      <c r="U1744" s="845">
        <v>0</v>
      </c>
      <c r="V1744" s="845">
        <v>0</v>
      </c>
      <c r="W1744" s="845">
        <v>0.14534883720930233</v>
      </c>
      <c r="X1744" s="845">
        <v>0.25333333333333335</v>
      </c>
      <c r="Y1744" s="845">
        <v>0.51370558375634523</v>
      </c>
      <c r="Z1744" s="845">
        <v>0.4720812182741117</v>
      </c>
      <c r="AA1744" s="845">
        <v>0</v>
      </c>
      <c r="AB1744" s="845">
        <v>1.0152284263959391E-3</v>
      </c>
      <c r="AC1744" s="845">
        <v>0</v>
      </c>
      <c r="AD1744" s="845">
        <v>0</v>
      </c>
      <c r="AE1744" s="845">
        <v>1.3197969543147208E-2</v>
      </c>
      <c r="AF1744" s="845">
        <v>7.1065989847715737E-3</v>
      </c>
      <c r="AG1744" s="845">
        <v>0.51370558375634523</v>
      </c>
      <c r="AH1744" s="20" t="str">
        <f t="shared" si="150"/>
        <v>No</v>
      </c>
      <c r="AI1744" s="25"/>
      <c r="AJ1744" s="37">
        <v>45889</v>
      </c>
      <c r="AK1744" s="37" t="s">
        <v>1951</v>
      </c>
      <c r="AL1744" s="37">
        <v>39173</v>
      </c>
      <c r="AM1744" s="37" t="s">
        <v>92</v>
      </c>
      <c r="AN1744" s="37">
        <f t="shared" si="151"/>
        <v>45780</v>
      </c>
      <c r="AO1744" s="37" t="str">
        <f t="shared" si="152"/>
        <v>Toledo, OH</v>
      </c>
      <c r="AP1744" s="37" t="s">
        <v>8</v>
      </c>
      <c r="AQ1744" s="25"/>
      <c r="AR1744" s="25"/>
      <c r="AS1744" s="25"/>
      <c r="AT1744" s="25"/>
      <c r="AU1744" s="36"/>
      <c r="AV1744" s="36"/>
      <c r="AW1744" s="36"/>
      <c r="AX1744" s="25"/>
      <c r="AY1744" s="25"/>
      <c r="AZ1744" s="25"/>
      <c r="BA1744" s="25"/>
      <c r="BB1744" s="25"/>
      <c r="BC1744" s="25"/>
      <c r="BD1744" s="25"/>
      <c r="BE1744" s="25"/>
      <c r="BF1744" s="25"/>
      <c r="BG1744" s="25"/>
      <c r="BH1744" s="25"/>
      <c r="BI1744" s="25"/>
      <c r="BJ1744" s="25"/>
      <c r="BK1744" s="25"/>
      <c r="BL1744" s="25"/>
      <c r="BM1744" s="25"/>
      <c r="BN1744" s="25"/>
      <c r="BO1744" s="25"/>
      <c r="BP1744" s="25"/>
      <c r="BQ1744" s="25"/>
      <c r="BR1744" s="25"/>
      <c r="BS1744" s="25"/>
      <c r="BT1744" s="25"/>
      <c r="CD1744" s="25"/>
      <c r="CE1744" s="200"/>
      <c r="CF1744" s="200"/>
      <c r="CG1744" s="200"/>
      <c r="CH1744" s="200"/>
      <c r="CI1744" s="200"/>
      <c r="CJ1744" s="200"/>
      <c r="CK1744" s="200"/>
      <c r="CL1744" s="200"/>
      <c r="CM1744" s="200"/>
      <c r="CN1744" s="200"/>
      <c r="CO1744" s="200"/>
      <c r="CP1744" s="200"/>
      <c r="CQ1744" s="200"/>
      <c r="CR1744" s="200"/>
      <c r="CS1744" s="200"/>
      <c r="CT1744" s="200"/>
      <c r="CU1744" s="200"/>
    </row>
    <row r="1745" spans="1:99" s="17" customFormat="1" x14ac:dyDescent="0.2">
      <c r="A1745" s="25"/>
      <c r="B1745" s="20">
        <v>39099810700</v>
      </c>
      <c r="C1745" s="20">
        <v>8107</v>
      </c>
      <c r="D1745" s="20" t="s">
        <v>55</v>
      </c>
      <c r="E1745" s="20" t="s">
        <v>2842</v>
      </c>
      <c r="F1745" s="20" t="s">
        <v>8</v>
      </c>
      <c r="G1745" s="861">
        <v>47.437102786123603</v>
      </c>
      <c r="H1745" s="861">
        <v>49.544693797748899</v>
      </c>
      <c r="I1745" s="861">
        <v>27.563869162501099</v>
      </c>
      <c r="J1745" s="861">
        <v>48.556738176083897</v>
      </c>
      <c r="K1745" s="982">
        <v>0</v>
      </c>
      <c r="L1745" s="735">
        <v>5454</v>
      </c>
      <c r="M1745" s="735">
        <v>5323</v>
      </c>
      <c r="N1745" s="845">
        <f t="shared" si="148"/>
        <v>-2.4019068573524018E-2</v>
      </c>
      <c r="O1745" s="735">
        <v>1.3008754700422158</v>
      </c>
      <c r="P1745" s="735">
        <f t="shared" si="149"/>
        <v>4091.8597687350189</v>
      </c>
      <c r="Q1745" s="849">
        <v>42.6</v>
      </c>
      <c r="R1745" s="71">
        <v>53393</v>
      </c>
      <c r="S1745" s="845">
        <v>6.1658129387213052E-2</v>
      </c>
      <c r="T1745" s="845">
        <v>2.6000000000000002E-2</v>
      </c>
      <c r="U1745" s="845">
        <v>0</v>
      </c>
      <c r="V1745" s="845">
        <v>0</v>
      </c>
      <c r="W1745" s="845">
        <v>0.22700170357751279</v>
      </c>
      <c r="X1745" s="845">
        <v>0.32457786116322701</v>
      </c>
      <c r="Y1745" s="845">
        <v>0.89141461581814763</v>
      </c>
      <c r="Z1745" s="845">
        <v>2.0852902498591019E-2</v>
      </c>
      <c r="AA1745" s="845">
        <v>0</v>
      </c>
      <c r="AB1745" s="845">
        <v>0</v>
      </c>
      <c r="AC1745" s="845">
        <v>0</v>
      </c>
      <c r="AD1745" s="845">
        <v>1.2962615066691715E-2</v>
      </c>
      <c r="AE1745" s="845">
        <v>7.4769866616569605E-2</v>
      </c>
      <c r="AF1745" s="845">
        <v>6.387375540108961E-2</v>
      </c>
      <c r="AG1745" s="845">
        <v>0.87751268081908695</v>
      </c>
      <c r="AH1745" s="20" t="str">
        <f t="shared" si="150"/>
        <v>No</v>
      </c>
      <c r="AI1745" s="25"/>
      <c r="AJ1745" s="20">
        <v>43901</v>
      </c>
      <c r="AK1745" s="20" t="s">
        <v>1092</v>
      </c>
      <c r="AL1745" s="20">
        <v>39081</v>
      </c>
      <c r="AM1745" s="20" t="s">
        <v>47</v>
      </c>
      <c r="AN1745" s="37">
        <f t="shared" si="151"/>
        <v>48260</v>
      </c>
      <c r="AO1745" s="37" t="str">
        <f t="shared" si="152"/>
        <v>Weirton-Steubenville, WV-OH</v>
      </c>
      <c r="AP1745" s="20" t="s">
        <v>8</v>
      </c>
      <c r="AQ1745" s="25"/>
      <c r="AR1745" s="25"/>
      <c r="AS1745" s="25"/>
      <c r="AT1745" s="25"/>
      <c r="AU1745" s="36"/>
      <c r="AV1745" s="36"/>
      <c r="AW1745" s="36"/>
      <c r="AX1745" s="25"/>
      <c r="AY1745" s="25"/>
      <c r="AZ1745" s="25"/>
      <c r="BA1745" s="25"/>
      <c r="BB1745" s="25"/>
      <c r="BC1745" s="25"/>
      <c r="BD1745" s="25"/>
      <c r="BE1745" s="25"/>
      <c r="BF1745" s="25"/>
      <c r="BG1745" s="25"/>
      <c r="BH1745" s="25"/>
      <c r="BI1745" s="25"/>
      <c r="BJ1745" s="25"/>
      <c r="BK1745" s="25"/>
      <c r="BL1745" s="25"/>
      <c r="BM1745" s="25"/>
      <c r="BN1745" s="25"/>
      <c r="BO1745" s="25"/>
      <c r="BP1745" s="25"/>
      <c r="BQ1745" s="25"/>
      <c r="BR1745" s="25"/>
      <c r="BS1745" s="25"/>
      <c r="BT1745" s="25"/>
      <c r="CD1745" s="25"/>
      <c r="CE1745" s="200"/>
      <c r="CF1745" s="200"/>
      <c r="CG1745" s="200"/>
      <c r="CH1745" s="200"/>
      <c r="CI1745" s="200"/>
      <c r="CJ1745" s="200"/>
      <c r="CK1745" s="200"/>
      <c r="CL1745" s="200"/>
      <c r="CM1745" s="200"/>
      <c r="CN1745" s="200"/>
      <c r="CO1745" s="200"/>
      <c r="CP1745" s="200"/>
      <c r="CQ1745" s="200"/>
      <c r="CR1745" s="200"/>
      <c r="CS1745" s="200"/>
      <c r="CT1745" s="200"/>
      <c r="CU1745" s="200"/>
    </row>
    <row r="1746" spans="1:99" s="17" customFormat="1" x14ac:dyDescent="0.2">
      <c r="A1746" s="25"/>
      <c r="B1746" s="20">
        <v>39061008300</v>
      </c>
      <c r="C1746" s="20">
        <v>83</v>
      </c>
      <c r="D1746" s="20" t="s">
        <v>37</v>
      </c>
      <c r="E1746" s="20" t="s">
        <v>2828</v>
      </c>
      <c r="F1746" s="20" t="s">
        <v>6</v>
      </c>
      <c r="G1746" s="861">
        <v>47.435195290956401</v>
      </c>
      <c r="H1746" s="861">
        <v>57.839643105607102</v>
      </c>
      <c r="I1746" s="861">
        <v>60.544476179454698</v>
      </c>
      <c r="J1746" s="861">
        <v>39.361330461676097</v>
      </c>
      <c r="K1746" s="982">
        <v>0</v>
      </c>
      <c r="L1746" s="735">
        <v>4480</v>
      </c>
      <c r="M1746" s="735">
        <v>4584</v>
      </c>
      <c r="N1746" s="845">
        <f t="shared" si="148"/>
        <v>2.3214285714285715E-2</v>
      </c>
      <c r="O1746" s="735">
        <v>0.98556707273841504</v>
      </c>
      <c r="P1746" s="735">
        <f t="shared" si="149"/>
        <v>4651.1294124947553</v>
      </c>
      <c r="Q1746" s="849">
        <v>39.1</v>
      </c>
      <c r="R1746" s="71">
        <v>31100</v>
      </c>
      <c r="S1746" s="845">
        <v>0.28446771378708552</v>
      </c>
      <c r="T1746" s="845">
        <v>9.0999999999999998E-2</v>
      </c>
      <c r="U1746" s="845">
        <v>3.7000000000000005E-2</v>
      </c>
      <c r="V1746" s="845">
        <v>0</v>
      </c>
      <c r="W1746" s="845">
        <v>0.55271422162404671</v>
      </c>
      <c r="X1746" s="845">
        <v>0.78977272727272729</v>
      </c>
      <c r="Y1746" s="845">
        <v>0.31980802792321117</v>
      </c>
      <c r="Z1746" s="845">
        <v>0.63438045375218155</v>
      </c>
      <c r="AA1746" s="845">
        <v>5.6719022687609071E-3</v>
      </c>
      <c r="AB1746" s="845">
        <v>0</v>
      </c>
      <c r="AC1746" s="845">
        <v>0</v>
      </c>
      <c r="AD1746" s="845">
        <v>0</v>
      </c>
      <c r="AE1746" s="845">
        <v>4.0139616055846421E-2</v>
      </c>
      <c r="AF1746" s="845">
        <v>0.12303664921465969</v>
      </c>
      <c r="AG1746" s="845">
        <v>0.25741710296684117</v>
      </c>
      <c r="AH1746" s="20" t="str">
        <f t="shared" si="150"/>
        <v>No</v>
      </c>
      <c r="AI1746" s="25"/>
      <c r="AJ1746" s="20">
        <v>43903</v>
      </c>
      <c r="AK1746" s="20" t="s">
        <v>1094</v>
      </c>
      <c r="AL1746" s="20">
        <v>39081</v>
      </c>
      <c r="AM1746" s="20" t="s">
        <v>47</v>
      </c>
      <c r="AN1746" s="37">
        <f t="shared" si="151"/>
        <v>48260</v>
      </c>
      <c r="AO1746" s="37" t="str">
        <f t="shared" si="152"/>
        <v>Weirton-Steubenville, WV-OH</v>
      </c>
      <c r="AP1746" s="20" t="s">
        <v>8</v>
      </c>
      <c r="AQ1746" s="25"/>
      <c r="AR1746" s="25"/>
      <c r="AS1746" s="25"/>
      <c r="AT1746" s="25"/>
      <c r="AU1746" s="36"/>
      <c r="AV1746" s="36"/>
      <c r="AW1746" s="36"/>
      <c r="AX1746" s="25"/>
      <c r="AY1746" s="25"/>
      <c r="AZ1746" s="25"/>
      <c r="BA1746" s="25"/>
      <c r="BB1746" s="25"/>
      <c r="BC1746" s="25"/>
      <c r="BD1746" s="25"/>
      <c r="BE1746" s="25"/>
      <c r="BF1746" s="25"/>
      <c r="BG1746" s="25"/>
      <c r="BH1746" s="25"/>
      <c r="BI1746" s="25"/>
      <c r="BJ1746" s="25"/>
      <c r="BK1746" s="25"/>
      <c r="BL1746" s="25"/>
      <c r="BM1746" s="25"/>
      <c r="BN1746" s="25"/>
      <c r="BO1746" s="25"/>
      <c r="BP1746" s="25"/>
      <c r="BQ1746" s="25"/>
      <c r="BR1746" s="25"/>
      <c r="BS1746" s="25"/>
      <c r="BT1746" s="25"/>
      <c r="CD1746" s="25"/>
      <c r="CE1746" s="200"/>
      <c r="CF1746" s="200"/>
      <c r="CG1746" s="200"/>
      <c r="CH1746" s="200"/>
      <c r="CI1746" s="200"/>
      <c r="CJ1746" s="200"/>
      <c r="CK1746" s="200"/>
      <c r="CL1746" s="200"/>
      <c r="CM1746" s="200"/>
      <c r="CN1746" s="200"/>
      <c r="CO1746" s="200"/>
      <c r="CP1746" s="200"/>
      <c r="CQ1746" s="200"/>
      <c r="CR1746" s="200"/>
      <c r="CS1746" s="200"/>
      <c r="CT1746" s="200"/>
      <c r="CU1746" s="200"/>
    </row>
    <row r="1747" spans="1:99" s="17" customFormat="1" x14ac:dyDescent="0.2">
      <c r="A1747" s="25"/>
      <c r="B1747" s="20">
        <v>39061022301</v>
      </c>
      <c r="C1747" s="20">
        <v>223.01</v>
      </c>
      <c r="D1747" s="20" t="s">
        <v>37</v>
      </c>
      <c r="E1747" s="20" t="s">
        <v>2828</v>
      </c>
      <c r="F1747" s="20" t="s">
        <v>6</v>
      </c>
      <c r="G1747" s="861">
        <v>47.418214697830201</v>
      </c>
      <c r="H1747" s="861">
        <v>50.222433677745698</v>
      </c>
      <c r="I1747" s="861">
        <v>42.238252828207102</v>
      </c>
      <c r="J1747" s="861">
        <v>42.818204602416998</v>
      </c>
      <c r="K1747" s="982">
        <v>0</v>
      </c>
      <c r="L1747" s="735">
        <v>6356</v>
      </c>
      <c r="M1747" s="735">
        <v>5744</v>
      </c>
      <c r="N1747" s="845">
        <f t="shared" si="148"/>
        <v>-9.6286972938955315E-2</v>
      </c>
      <c r="O1747" s="735">
        <v>3.3293762881405664</v>
      </c>
      <c r="P1747" s="735">
        <f t="shared" si="149"/>
        <v>1725.2480653690197</v>
      </c>
      <c r="Q1747" s="849">
        <v>35.5</v>
      </c>
      <c r="R1747" s="71">
        <v>48441</v>
      </c>
      <c r="S1747" s="845">
        <v>0.19182726623840113</v>
      </c>
      <c r="T1747" s="845">
        <v>3.5000000000000003E-2</v>
      </c>
      <c r="U1747" s="845">
        <v>0</v>
      </c>
      <c r="V1747" s="845">
        <v>0.13100000000000001</v>
      </c>
      <c r="W1747" s="845">
        <v>0.48338643604915793</v>
      </c>
      <c r="X1747" s="845">
        <v>0.4736346516007533</v>
      </c>
      <c r="Y1747" s="845">
        <v>0.56493732590529244</v>
      </c>
      <c r="Z1747" s="845">
        <v>0.33408774373259054</v>
      </c>
      <c r="AA1747" s="845">
        <v>5.222841225626741E-3</v>
      </c>
      <c r="AB1747" s="845">
        <v>1.9324512534818941E-2</v>
      </c>
      <c r="AC1747" s="845">
        <v>0</v>
      </c>
      <c r="AD1747" s="845">
        <v>3.4644846796657379E-2</v>
      </c>
      <c r="AE1747" s="845">
        <v>4.1782729805013928E-2</v>
      </c>
      <c r="AF1747" s="845">
        <v>0.24878133704735375</v>
      </c>
      <c r="AG1747" s="845">
        <v>0.39049442896935932</v>
      </c>
      <c r="AH1747" s="20" t="str">
        <f t="shared" si="150"/>
        <v>No</v>
      </c>
      <c r="AI1747" s="25"/>
      <c r="AJ1747" s="37">
        <v>43907</v>
      </c>
      <c r="AK1747" s="37" t="s">
        <v>1097</v>
      </c>
      <c r="AL1747" s="37">
        <v>39081</v>
      </c>
      <c r="AM1747" s="37" t="s">
        <v>47</v>
      </c>
      <c r="AN1747" s="37">
        <f t="shared" si="151"/>
        <v>48260</v>
      </c>
      <c r="AO1747" s="37" t="str">
        <f t="shared" si="152"/>
        <v>Weirton-Steubenville, WV-OH</v>
      </c>
      <c r="AP1747" s="20" t="s">
        <v>8</v>
      </c>
      <c r="AQ1747" s="25"/>
      <c r="AR1747" s="25"/>
      <c r="AS1747" s="25"/>
      <c r="AT1747" s="25"/>
      <c r="AU1747" s="36"/>
      <c r="AV1747" s="36"/>
      <c r="AW1747" s="36"/>
      <c r="AX1747" s="25"/>
      <c r="AY1747" s="25"/>
      <c r="AZ1747" s="25"/>
      <c r="BA1747" s="25"/>
      <c r="BB1747" s="25"/>
      <c r="BC1747" s="25"/>
      <c r="BD1747" s="25"/>
      <c r="BE1747" s="25"/>
      <c r="BF1747" s="25"/>
      <c r="BG1747" s="25"/>
      <c r="BH1747" s="25"/>
      <c r="BI1747" s="25"/>
      <c r="BJ1747" s="25"/>
      <c r="BK1747" s="25"/>
      <c r="BL1747" s="25"/>
      <c r="BM1747" s="25"/>
      <c r="BN1747" s="25"/>
      <c r="BO1747" s="25"/>
      <c r="BP1747" s="25"/>
      <c r="BQ1747" s="25"/>
      <c r="BR1747" s="25"/>
      <c r="BS1747" s="25"/>
      <c r="BT1747" s="25"/>
      <c r="CD1747" s="25"/>
      <c r="CE1747" s="200"/>
      <c r="CF1747" s="200"/>
      <c r="CG1747" s="200"/>
      <c r="CH1747" s="200"/>
      <c r="CI1747" s="200"/>
      <c r="CJ1747" s="200"/>
      <c r="CK1747" s="200"/>
      <c r="CL1747" s="200"/>
      <c r="CM1747" s="200"/>
      <c r="CN1747" s="200"/>
      <c r="CO1747" s="200"/>
      <c r="CP1747" s="200"/>
      <c r="CQ1747" s="200"/>
      <c r="CR1747" s="200"/>
      <c r="CS1747" s="200"/>
      <c r="CT1747" s="200"/>
      <c r="CU1747" s="200"/>
    </row>
    <row r="1748" spans="1:99" s="17" customFormat="1" x14ac:dyDescent="0.2">
      <c r="A1748" s="25"/>
      <c r="B1748" s="20">
        <v>39049008812</v>
      </c>
      <c r="C1748" s="20">
        <v>88.12</v>
      </c>
      <c r="D1748" s="20" t="s">
        <v>31</v>
      </c>
      <c r="E1748" s="20" t="s">
        <v>2830</v>
      </c>
      <c r="F1748" s="20" t="s">
        <v>8</v>
      </c>
      <c r="G1748" s="861">
        <v>47.406922889250097</v>
      </c>
      <c r="H1748" s="861">
        <v>69.324533480179994</v>
      </c>
      <c r="I1748" s="861">
        <v>38.291273394286499</v>
      </c>
      <c r="J1748" s="861">
        <v>46.668952502949203</v>
      </c>
      <c r="K1748" s="982">
        <v>0</v>
      </c>
      <c r="L1748" s="735">
        <v>2992</v>
      </c>
      <c r="M1748" s="735">
        <v>3069</v>
      </c>
      <c r="N1748" s="845">
        <f t="shared" si="148"/>
        <v>2.5735294117647058E-2</v>
      </c>
      <c r="O1748" s="735">
        <v>3.2633111199881149</v>
      </c>
      <c r="P1748" s="735">
        <f t="shared" si="149"/>
        <v>940.45583983766085</v>
      </c>
      <c r="Q1748" s="849">
        <v>49.1</v>
      </c>
      <c r="R1748" s="71">
        <v>76250</v>
      </c>
      <c r="S1748" s="845">
        <v>0.12284131638970348</v>
      </c>
      <c r="T1748" s="845">
        <v>4.2999999999999997E-2</v>
      </c>
      <c r="U1748" s="845">
        <v>0</v>
      </c>
      <c r="V1748" s="845">
        <v>0</v>
      </c>
      <c r="W1748" s="845">
        <v>0.36745213549337263</v>
      </c>
      <c r="X1748" s="845">
        <v>0.41282565130260523</v>
      </c>
      <c r="Y1748" s="845">
        <v>0.27272727272727271</v>
      </c>
      <c r="Z1748" s="845">
        <v>0.67188009123492998</v>
      </c>
      <c r="AA1748" s="845">
        <v>7.1684587813620072E-3</v>
      </c>
      <c r="AB1748" s="845">
        <v>0</v>
      </c>
      <c r="AC1748" s="845">
        <v>0</v>
      </c>
      <c r="AD1748" s="845">
        <v>1.8572825024437929E-2</v>
      </c>
      <c r="AE1748" s="845">
        <v>2.9651352231997392E-2</v>
      </c>
      <c r="AF1748" s="845">
        <v>5.1156728576083416E-2</v>
      </c>
      <c r="AG1748" s="845">
        <v>0.27272727272727271</v>
      </c>
      <c r="AH1748" s="20" t="str">
        <f t="shared" si="150"/>
        <v>No</v>
      </c>
      <c r="AI1748" s="25"/>
      <c r="AJ1748" s="20">
        <v>43908</v>
      </c>
      <c r="AK1748" s="20" t="s">
        <v>1098</v>
      </c>
      <c r="AL1748" s="20">
        <v>39081</v>
      </c>
      <c r="AM1748" s="20" t="s">
        <v>47</v>
      </c>
      <c r="AN1748" s="37">
        <f t="shared" si="151"/>
        <v>48260</v>
      </c>
      <c r="AO1748" s="37" t="str">
        <f t="shared" si="152"/>
        <v>Weirton-Steubenville, WV-OH</v>
      </c>
      <c r="AP1748" s="20" t="s">
        <v>8</v>
      </c>
      <c r="AQ1748" s="25"/>
      <c r="AR1748" s="25"/>
      <c r="AS1748" s="25"/>
      <c r="AT1748" s="25"/>
      <c r="AU1748" s="36"/>
      <c r="AV1748" s="36"/>
      <c r="AW1748" s="36"/>
      <c r="AX1748" s="25"/>
      <c r="AY1748" s="25"/>
      <c r="AZ1748" s="25"/>
      <c r="BA1748" s="25"/>
      <c r="BB1748" s="25"/>
      <c r="BC1748" s="25"/>
      <c r="BD1748" s="25"/>
      <c r="BE1748" s="25"/>
      <c r="BF1748" s="25"/>
      <c r="BG1748" s="25"/>
      <c r="BH1748" s="25"/>
      <c r="BI1748" s="25"/>
      <c r="BJ1748" s="25"/>
      <c r="BK1748" s="25"/>
      <c r="BL1748" s="25"/>
      <c r="BM1748" s="25"/>
      <c r="BN1748" s="25"/>
      <c r="BO1748" s="25"/>
      <c r="BP1748" s="25"/>
      <c r="BQ1748" s="25"/>
      <c r="BR1748" s="25"/>
      <c r="BS1748" s="25"/>
      <c r="BT1748" s="25"/>
      <c r="CD1748" s="25"/>
      <c r="CE1748" s="200"/>
      <c r="CF1748" s="200"/>
      <c r="CG1748" s="200"/>
      <c r="CH1748" s="200"/>
      <c r="CI1748" s="200"/>
      <c r="CJ1748" s="200"/>
      <c r="CK1748" s="200"/>
      <c r="CL1748" s="200"/>
      <c r="CM1748" s="200"/>
      <c r="CN1748" s="200"/>
      <c r="CO1748" s="200"/>
      <c r="CP1748" s="200"/>
      <c r="CQ1748" s="200"/>
      <c r="CR1748" s="200"/>
      <c r="CS1748" s="200"/>
      <c r="CT1748" s="200"/>
      <c r="CU1748" s="200"/>
    </row>
    <row r="1749" spans="1:99" s="17" customFormat="1" x14ac:dyDescent="0.2">
      <c r="A1749" s="25"/>
      <c r="B1749" s="20">
        <v>39169002901</v>
      </c>
      <c r="C1749" s="20">
        <v>29.01</v>
      </c>
      <c r="D1749" s="20" t="s">
        <v>90</v>
      </c>
      <c r="E1749" s="20" t="s">
        <v>265</v>
      </c>
      <c r="F1749" s="20" t="s">
        <v>8</v>
      </c>
      <c r="G1749" s="861">
        <v>47.402735606931799</v>
      </c>
      <c r="H1749" s="861">
        <v>55.685962643504297</v>
      </c>
      <c r="I1749" s="861">
        <v>22.3659684653624</v>
      </c>
      <c r="J1749" s="861">
        <v>36.244234638082297</v>
      </c>
      <c r="K1749" s="982">
        <v>0</v>
      </c>
      <c r="L1749" s="735">
        <v>3588</v>
      </c>
      <c r="M1749" s="735">
        <v>3048</v>
      </c>
      <c r="N1749" s="845">
        <f t="shared" si="148"/>
        <v>-0.15050167224080269</v>
      </c>
      <c r="O1749" s="735">
        <v>3.908274312502539</v>
      </c>
      <c r="P1749" s="735">
        <f t="shared" si="149"/>
        <v>779.88384547355645</v>
      </c>
      <c r="Q1749" s="849">
        <v>48</v>
      </c>
      <c r="R1749" s="71">
        <v>65684</v>
      </c>
      <c r="S1749" s="845">
        <v>3.5714285714285712E-2</v>
      </c>
      <c r="T1749" s="845">
        <v>2.1000000000000001E-2</v>
      </c>
      <c r="U1749" s="845">
        <v>0</v>
      </c>
      <c r="V1749" s="845">
        <v>0</v>
      </c>
      <c r="W1749" s="845">
        <v>0.28497409326424872</v>
      </c>
      <c r="X1749" s="845">
        <v>0.25454545454545452</v>
      </c>
      <c r="Y1749" s="845">
        <v>0.9324146981627297</v>
      </c>
      <c r="Z1749" s="845">
        <v>2.0013123359580054E-2</v>
      </c>
      <c r="AA1749" s="845">
        <v>0</v>
      </c>
      <c r="AB1749" s="845">
        <v>1.2467191601049869E-2</v>
      </c>
      <c r="AC1749" s="845">
        <v>0</v>
      </c>
      <c r="AD1749" s="845">
        <v>5.905511811023622E-3</v>
      </c>
      <c r="AE1749" s="845">
        <v>2.9199475065616799E-2</v>
      </c>
      <c r="AF1749" s="845">
        <v>2.6246719160104987E-2</v>
      </c>
      <c r="AG1749" s="845">
        <v>0.92650918635170598</v>
      </c>
      <c r="AH1749" s="20" t="str">
        <f t="shared" si="150"/>
        <v>Yes</v>
      </c>
      <c r="AI1749" s="25"/>
      <c r="AJ1749" s="20">
        <v>43910</v>
      </c>
      <c r="AK1749" s="20" t="s">
        <v>1100</v>
      </c>
      <c r="AL1749" s="20">
        <v>39081</v>
      </c>
      <c r="AM1749" s="20" t="s">
        <v>47</v>
      </c>
      <c r="AN1749" s="37">
        <f t="shared" si="151"/>
        <v>48260</v>
      </c>
      <c r="AO1749" s="37" t="str">
        <f t="shared" si="152"/>
        <v>Weirton-Steubenville, WV-OH</v>
      </c>
      <c r="AP1749" s="20" t="s">
        <v>8</v>
      </c>
      <c r="AQ1749" s="25"/>
      <c r="AR1749" s="25"/>
      <c r="AS1749" s="25"/>
      <c r="AT1749" s="25"/>
      <c r="AU1749" s="36"/>
      <c r="AV1749" s="36"/>
      <c r="AW1749" s="36"/>
      <c r="AX1749" s="25"/>
      <c r="AY1749" s="25"/>
      <c r="AZ1749" s="25"/>
      <c r="BA1749" s="25"/>
      <c r="BB1749" s="25"/>
      <c r="BC1749" s="25"/>
      <c r="BD1749" s="25"/>
      <c r="BE1749" s="25"/>
      <c r="BF1749" s="25"/>
      <c r="BG1749" s="25"/>
      <c r="BH1749" s="25"/>
      <c r="BI1749" s="25"/>
      <c r="BJ1749" s="25"/>
      <c r="BK1749" s="25"/>
      <c r="BL1749" s="25"/>
      <c r="BM1749" s="25"/>
      <c r="BN1749" s="25"/>
      <c r="BO1749" s="25"/>
      <c r="BP1749" s="25"/>
      <c r="BQ1749" s="25"/>
      <c r="BR1749" s="25"/>
      <c r="BS1749" s="25"/>
      <c r="BT1749" s="25"/>
      <c r="CD1749" s="25"/>
      <c r="CE1749" s="200"/>
      <c r="CF1749" s="200"/>
      <c r="CG1749" s="200"/>
      <c r="CH1749" s="200"/>
      <c r="CI1749" s="200"/>
      <c r="CJ1749" s="200"/>
      <c r="CK1749" s="200"/>
      <c r="CL1749" s="200"/>
      <c r="CM1749" s="200"/>
      <c r="CN1749" s="200"/>
      <c r="CO1749" s="200"/>
      <c r="CP1749" s="200"/>
      <c r="CQ1749" s="200"/>
      <c r="CR1749" s="200"/>
      <c r="CS1749" s="200"/>
      <c r="CT1749" s="200"/>
      <c r="CU1749" s="200"/>
    </row>
    <row r="1750" spans="1:99" s="17" customFormat="1" x14ac:dyDescent="0.2">
      <c r="A1750" s="25"/>
      <c r="B1750" s="20">
        <v>39049009386</v>
      </c>
      <c r="C1750" s="20">
        <v>93.86</v>
      </c>
      <c r="D1750" s="20" t="s">
        <v>31</v>
      </c>
      <c r="E1750" s="20" t="s">
        <v>2830</v>
      </c>
      <c r="F1750" s="20" t="s">
        <v>6</v>
      </c>
      <c r="G1750" s="861">
        <v>47.383394455150899</v>
      </c>
      <c r="H1750" s="861">
        <v>47.134847811541299</v>
      </c>
      <c r="I1750" s="861">
        <v>51.899177738572902</v>
      </c>
      <c r="J1750" s="861">
        <v>40.390116823404902</v>
      </c>
      <c r="K1750" s="982">
        <v>0</v>
      </c>
      <c r="L1750" s="735">
        <v>3173</v>
      </c>
      <c r="M1750" s="735">
        <v>3096</v>
      </c>
      <c r="N1750" s="845">
        <f t="shared" si="148"/>
        <v>-2.4267254963756698E-2</v>
      </c>
      <c r="O1750" s="735">
        <v>1.0117644903010772</v>
      </c>
      <c r="P1750" s="735">
        <f t="shared" si="149"/>
        <v>3060.0006520081602</v>
      </c>
      <c r="Q1750" s="849">
        <v>25.7</v>
      </c>
      <c r="R1750" s="71">
        <v>46250</v>
      </c>
      <c r="S1750" s="845">
        <v>0.24354005167958656</v>
      </c>
      <c r="T1750" s="845">
        <v>6.2E-2</v>
      </c>
      <c r="U1750" s="845">
        <v>0</v>
      </c>
      <c r="V1750" s="845">
        <v>0</v>
      </c>
      <c r="W1750" s="845">
        <v>0.8534684333593141</v>
      </c>
      <c r="X1750" s="845">
        <v>0.50319634703196348</v>
      </c>
      <c r="Y1750" s="845">
        <v>0.11724806201550388</v>
      </c>
      <c r="Z1750" s="845">
        <v>0.64018087855297157</v>
      </c>
      <c r="AA1750" s="845">
        <v>0</v>
      </c>
      <c r="AB1750" s="845">
        <v>3.9082687338501294E-2</v>
      </c>
      <c r="AC1750" s="845">
        <v>0</v>
      </c>
      <c r="AD1750" s="845">
        <v>0.13468992248062014</v>
      </c>
      <c r="AE1750" s="845">
        <v>6.8798449612403098E-2</v>
      </c>
      <c r="AF1750" s="845">
        <v>0.14664082687338501</v>
      </c>
      <c r="AG1750" s="845">
        <v>0.11724806201550388</v>
      </c>
      <c r="AH1750" s="20" t="str">
        <f t="shared" si="150"/>
        <v>No</v>
      </c>
      <c r="AI1750" s="25"/>
      <c r="AJ1750" s="20">
        <v>43913</v>
      </c>
      <c r="AK1750" s="20" t="s">
        <v>1102</v>
      </c>
      <c r="AL1750" s="20">
        <v>39081</v>
      </c>
      <c r="AM1750" s="20" t="s">
        <v>47</v>
      </c>
      <c r="AN1750" s="37">
        <f t="shared" si="151"/>
        <v>48260</v>
      </c>
      <c r="AO1750" s="37" t="str">
        <f t="shared" si="152"/>
        <v>Weirton-Steubenville, WV-OH</v>
      </c>
      <c r="AP1750" s="20" t="s">
        <v>8</v>
      </c>
      <c r="AQ1750" s="25"/>
      <c r="AR1750" s="25"/>
      <c r="AS1750" s="25"/>
      <c r="AT1750" s="25"/>
      <c r="AU1750" s="36"/>
      <c r="AV1750" s="36"/>
      <c r="AW1750" s="36"/>
      <c r="AX1750" s="25"/>
      <c r="AY1750" s="25"/>
      <c r="AZ1750" s="25"/>
      <c r="BA1750" s="25"/>
      <c r="BB1750" s="25"/>
      <c r="BC1750" s="25"/>
      <c r="BD1750" s="25"/>
      <c r="BE1750" s="25"/>
      <c r="BF1750" s="25"/>
      <c r="BG1750" s="25"/>
      <c r="BH1750" s="25"/>
      <c r="BI1750" s="25"/>
      <c r="BJ1750" s="25"/>
      <c r="BK1750" s="25"/>
      <c r="BL1750" s="25"/>
      <c r="BM1750" s="25"/>
      <c r="BN1750" s="25"/>
      <c r="BO1750" s="25"/>
      <c r="BP1750" s="25"/>
      <c r="BQ1750" s="25"/>
      <c r="BR1750" s="25"/>
      <c r="BS1750" s="25"/>
      <c r="BT1750" s="25"/>
      <c r="CD1750" s="25"/>
      <c r="CE1750" s="200"/>
      <c r="CF1750" s="200"/>
      <c r="CG1750" s="200"/>
      <c r="CH1750" s="200"/>
      <c r="CI1750" s="200"/>
      <c r="CJ1750" s="200"/>
      <c r="CK1750" s="200"/>
      <c r="CL1750" s="200"/>
      <c r="CM1750" s="200"/>
      <c r="CN1750" s="200"/>
      <c r="CO1750" s="200"/>
      <c r="CP1750" s="200"/>
      <c r="CQ1750" s="200"/>
      <c r="CR1750" s="200"/>
      <c r="CS1750" s="200"/>
      <c r="CT1750" s="200"/>
      <c r="CU1750" s="200"/>
    </row>
    <row r="1751" spans="1:99" s="17" customFormat="1" x14ac:dyDescent="0.2">
      <c r="A1751" s="25"/>
      <c r="B1751" s="20">
        <v>39035154200</v>
      </c>
      <c r="C1751" s="20">
        <v>1542</v>
      </c>
      <c r="D1751" s="20" t="s">
        <v>24</v>
      </c>
      <c r="E1751" s="20" t="s">
        <v>2829</v>
      </c>
      <c r="F1751" s="20" t="s">
        <v>6</v>
      </c>
      <c r="G1751" s="861">
        <v>47.379829211066202</v>
      </c>
      <c r="H1751" s="861">
        <v>47.0170996450967</v>
      </c>
      <c r="I1751" s="861">
        <v>48.382844135526</v>
      </c>
      <c r="J1751" s="861">
        <v>53.959362518524998</v>
      </c>
      <c r="K1751" s="982">
        <v>0</v>
      </c>
      <c r="L1751" s="735">
        <v>1492</v>
      </c>
      <c r="M1751" s="735">
        <v>1446</v>
      </c>
      <c r="N1751" s="845">
        <f t="shared" si="148"/>
        <v>-3.0831099195710455E-2</v>
      </c>
      <c r="O1751" s="735">
        <v>0.49538258304977317</v>
      </c>
      <c r="P1751" s="735">
        <f t="shared" si="149"/>
        <v>2918.9560745108279</v>
      </c>
      <c r="Q1751" s="849">
        <v>52.1</v>
      </c>
      <c r="R1751" s="71">
        <v>42024</v>
      </c>
      <c r="S1751" s="845">
        <v>0.12378976486860305</v>
      </c>
      <c r="T1751" s="845">
        <v>0.24100000000000002</v>
      </c>
      <c r="U1751" s="845">
        <v>0.10099999999999999</v>
      </c>
      <c r="V1751" s="845">
        <v>0</v>
      </c>
      <c r="W1751" s="845">
        <v>0.49255583126550867</v>
      </c>
      <c r="X1751" s="845">
        <v>0.28967254408060455</v>
      </c>
      <c r="Y1751" s="845">
        <v>0.42531120331950206</v>
      </c>
      <c r="Z1751" s="845">
        <v>0.5456431535269709</v>
      </c>
      <c r="AA1751" s="845">
        <v>0</v>
      </c>
      <c r="AB1751" s="845">
        <v>0</v>
      </c>
      <c r="AC1751" s="845">
        <v>0</v>
      </c>
      <c r="AD1751" s="845">
        <v>1.313969571230982E-2</v>
      </c>
      <c r="AE1751" s="845">
        <v>1.590594744121715E-2</v>
      </c>
      <c r="AF1751" s="845">
        <v>0</v>
      </c>
      <c r="AG1751" s="845">
        <v>0.42531120331950206</v>
      </c>
      <c r="AH1751" s="20" t="str">
        <f t="shared" si="150"/>
        <v>No</v>
      </c>
      <c r="AI1751" s="25"/>
      <c r="AJ1751" s="20">
        <v>43917</v>
      </c>
      <c r="AK1751" s="20" t="s">
        <v>1105</v>
      </c>
      <c r="AL1751" s="20">
        <v>39081</v>
      </c>
      <c r="AM1751" s="20" t="s">
        <v>47</v>
      </c>
      <c r="AN1751" s="37">
        <f t="shared" si="151"/>
        <v>48260</v>
      </c>
      <c r="AO1751" s="37" t="str">
        <f t="shared" si="152"/>
        <v>Weirton-Steubenville, WV-OH</v>
      </c>
      <c r="AP1751" s="20" t="s">
        <v>8</v>
      </c>
      <c r="AQ1751" s="25"/>
      <c r="AR1751" s="25"/>
      <c r="AS1751" s="25"/>
      <c r="AT1751" s="25"/>
      <c r="AU1751" s="36"/>
      <c r="AV1751" s="36"/>
      <c r="AW1751" s="36"/>
      <c r="AX1751" s="25"/>
      <c r="AY1751" s="25"/>
      <c r="AZ1751" s="25"/>
      <c r="BA1751" s="25"/>
      <c r="BB1751" s="25"/>
      <c r="BC1751" s="25"/>
      <c r="BD1751" s="25"/>
      <c r="BE1751" s="25"/>
      <c r="BF1751" s="25"/>
      <c r="BG1751" s="25"/>
      <c r="BH1751" s="25"/>
      <c r="BI1751" s="25"/>
      <c r="BJ1751" s="25"/>
      <c r="BK1751" s="25"/>
      <c r="BL1751" s="25"/>
      <c r="BM1751" s="25"/>
      <c r="BN1751" s="25"/>
      <c r="BO1751" s="25"/>
      <c r="BP1751" s="25"/>
      <c r="BQ1751" s="25"/>
      <c r="BR1751" s="25"/>
      <c r="BS1751" s="25"/>
      <c r="BT1751" s="25"/>
      <c r="CD1751" s="25"/>
      <c r="CE1751" s="200"/>
      <c r="CF1751" s="200"/>
      <c r="CG1751" s="200"/>
      <c r="CH1751" s="200"/>
      <c r="CI1751" s="200"/>
      <c r="CJ1751" s="200"/>
      <c r="CK1751" s="200"/>
      <c r="CL1751" s="200"/>
      <c r="CM1751" s="200"/>
      <c r="CN1751" s="200"/>
      <c r="CO1751" s="200"/>
      <c r="CP1751" s="200"/>
      <c r="CQ1751" s="200"/>
      <c r="CR1751" s="200"/>
      <c r="CS1751" s="200"/>
      <c r="CT1751" s="200"/>
      <c r="CU1751" s="200"/>
    </row>
    <row r="1752" spans="1:99" s="17" customFormat="1" x14ac:dyDescent="0.2">
      <c r="A1752" s="25"/>
      <c r="B1752" s="20">
        <v>39153503300</v>
      </c>
      <c r="C1752" s="20">
        <v>5033</v>
      </c>
      <c r="D1752" s="20" t="s">
        <v>82</v>
      </c>
      <c r="E1752" s="20" t="s">
        <v>2843</v>
      </c>
      <c r="F1752" s="20" t="s">
        <v>6</v>
      </c>
      <c r="G1752" s="861">
        <v>47.376565081989703</v>
      </c>
      <c r="H1752" s="861">
        <v>62.310396926871903</v>
      </c>
      <c r="I1752" s="861">
        <v>40.727054340204802</v>
      </c>
      <c r="J1752" s="861">
        <v>47.524392579847699</v>
      </c>
      <c r="K1752" s="982">
        <v>0</v>
      </c>
      <c r="L1752" s="735">
        <v>5284</v>
      </c>
      <c r="M1752" s="735">
        <v>4942</v>
      </c>
      <c r="N1752" s="845">
        <f t="shared" si="148"/>
        <v>-6.4723694171082508E-2</v>
      </c>
      <c r="O1752" s="735">
        <v>0.98496822829043806</v>
      </c>
      <c r="P1752" s="735">
        <f t="shared" si="149"/>
        <v>5017.4207228771138</v>
      </c>
      <c r="Q1752" s="849">
        <v>40.799999999999997</v>
      </c>
      <c r="R1752" s="71">
        <v>47575</v>
      </c>
      <c r="S1752" s="845">
        <v>0.29947389720760825</v>
      </c>
      <c r="T1752" s="845">
        <v>8.6999999999999994E-2</v>
      </c>
      <c r="U1752" s="845">
        <v>4.9000000000000002E-2</v>
      </c>
      <c r="V1752" s="845">
        <v>0</v>
      </c>
      <c r="W1752" s="845">
        <v>0.47370806890299183</v>
      </c>
      <c r="X1752" s="845">
        <v>0.38277511961722488</v>
      </c>
      <c r="Y1752" s="845">
        <v>0.58195062727640634</v>
      </c>
      <c r="Z1752" s="845">
        <v>0.27438284095507892</v>
      </c>
      <c r="AA1752" s="845">
        <v>1.8211250505868069E-3</v>
      </c>
      <c r="AB1752" s="845">
        <v>2.5091056252529342E-2</v>
      </c>
      <c r="AC1752" s="845">
        <v>0</v>
      </c>
      <c r="AD1752" s="845">
        <v>8.0938891137191417E-3</v>
      </c>
      <c r="AE1752" s="845">
        <v>0.10866046135167948</v>
      </c>
      <c r="AF1752" s="845">
        <v>4.5932820720356128E-2</v>
      </c>
      <c r="AG1752" s="845">
        <v>0.55483609874544715</v>
      </c>
      <c r="AH1752" s="20" t="str">
        <f t="shared" si="150"/>
        <v>No</v>
      </c>
      <c r="AI1752" s="25"/>
      <c r="AJ1752" s="20">
        <v>43925</v>
      </c>
      <c r="AK1752" s="20" t="s">
        <v>1107</v>
      </c>
      <c r="AL1752" s="20">
        <v>39081</v>
      </c>
      <c r="AM1752" s="20" t="s">
        <v>47</v>
      </c>
      <c r="AN1752" s="37">
        <f t="shared" si="151"/>
        <v>48260</v>
      </c>
      <c r="AO1752" s="37" t="str">
        <f t="shared" si="152"/>
        <v>Weirton-Steubenville, WV-OH</v>
      </c>
      <c r="AP1752" s="20" t="s">
        <v>8</v>
      </c>
      <c r="AQ1752" s="25"/>
      <c r="AR1752" s="25"/>
      <c r="AS1752" s="25"/>
      <c r="AT1752" s="25"/>
      <c r="AU1752" s="36"/>
      <c r="AV1752" s="36"/>
      <c r="AW1752" s="36"/>
      <c r="AX1752" s="25"/>
      <c r="AY1752" s="25"/>
      <c r="AZ1752" s="25"/>
      <c r="BA1752" s="25"/>
      <c r="BB1752" s="25"/>
      <c r="BC1752" s="25"/>
      <c r="BD1752" s="25"/>
      <c r="BE1752" s="25"/>
      <c r="BF1752" s="25"/>
      <c r="BG1752" s="25"/>
      <c r="BH1752" s="25"/>
      <c r="BI1752" s="25"/>
      <c r="BJ1752" s="25"/>
      <c r="BK1752" s="25"/>
      <c r="BL1752" s="25"/>
      <c r="BM1752" s="25"/>
      <c r="BN1752" s="25"/>
      <c r="BO1752" s="25"/>
      <c r="BP1752" s="25"/>
      <c r="BQ1752" s="25"/>
      <c r="BR1752" s="25"/>
      <c r="BS1752" s="25"/>
      <c r="BT1752" s="25"/>
      <c r="CD1752" s="25"/>
      <c r="CE1752" s="200"/>
      <c r="CF1752" s="200"/>
      <c r="CG1752" s="200"/>
      <c r="CH1752" s="200"/>
      <c r="CI1752" s="200"/>
      <c r="CJ1752" s="200"/>
      <c r="CK1752" s="200"/>
      <c r="CL1752" s="200"/>
      <c r="CM1752" s="200"/>
      <c r="CN1752" s="200"/>
      <c r="CO1752" s="200"/>
      <c r="CP1752" s="200"/>
      <c r="CQ1752" s="200"/>
      <c r="CR1752" s="200"/>
      <c r="CS1752" s="200"/>
      <c r="CT1752" s="200"/>
      <c r="CU1752" s="200"/>
    </row>
    <row r="1753" spans="1:99" s="17" customFormat="1" x14ac:dyDescent="0.2">
      <c r="A1753" s="25"/>
      <c r="B1753" s="20">
        <v>39099802600</v>
      </c>
      <c r="C1753" s="20">
        <v>8026</v>
      </c>
      <c r="D1753" s="20" t="s">
        <v>55</v>
      </c>
      <c r="E1753" s="20" t="s">
        <v>2842</v>
      </c>
      <c r="F1753" s="20" t="s">
        <v>8</v>
      </c>
      <c r="G1753" s="861">
        <v>47.376328314284002</v>
      </c>
      <c r="H1753" s="861">
        <v>33.486972356544598</v>
      </c>
      <c r="I1753" s="861">
        <v>37.689434469755597</v>
      </c>
      <c r="J1753" s="861">
        <v>45.508283123030601</v>
      </c>
      <c r="K1753" s="982">
        <v>0</v>
      </c>
      <c r="L1753" s="735">
        <v>2010</v>
      </c>
      <c r="M1753" s="735">
        <v>1687</v>
      </c>
      <c r="N1753" s="845">
        <f t="shared" si="148"/>
        <v>-0.16069651741293534</v>
      </c>
      <c r="O1753" s="735">
        <v>0.84461044108808669</v>
      </c>
      <c r="P1753" s="735">
        <f t="shared" si="149"/>
        <v>1997.3705248382767</v>
      </c>
      <c r="Q1753" s="849">
        <v>35.799999999999997</v>
      </c>
      <c r="R1753" s="71">
        <v>48750</v>
      </c>
      <c r="S1753" s="845">
        <v>0.22169531713100177</v>
      </c>
      <c r="T1753" s="845">
        <v>7.400000000000001E-2</v>
      </c>
      <c r="U1753" s="845">
        <v>2.4E-2</v>
      </c>
      <c r="V1753" s="845">
        <v>0.122</v>
      </c>
      <c r="W1753" s="845">
        <v>0.17403708987161198</v>
      </c>
      <c r="X1753" s="845">
        <v>0.46721311475409838</v>
      </c>
      <c r="Y1753" s="845">
        <v>0.78008298755186722</v>
      </c>
      <c r="Z1753" s="845">
        <v>0.14582098399525786</v>
      </c>
      <c r="AA1753" s="845">
        <v>0</v>
      </c>
      <c r="AB1753" s="845">
        <v>0</v>
      </c>
      <c r="AC1753" s="845">
        <v>0</v>
      </c>
      <c r="AD1753" s="845">
        <v>2.0154119739181981E-2</v>
      </c>
      <c r="AE1753" s="845">
        <v>5.3941908713692949E-2</v>
      </c>
      <c r="AF1753" s="845">
        <v>7.2910491997628932E-2</v>
      </c>
      <c r="AG1753" s="845">
        <v>0.74570243034973327</v>
      </c>
      <c r="AH1753" s="20" t="str">
        <f t="shared" si="150"/>
        <v>No</v>
      </c>
      <c r="AI1753" s="25"/>
      <c r="AJ1753" s="20">
        <v>43926</v>
      </c>
      <c r="AK1753" s="20" t="s">
        <v>1108</v>
      </c>
      <c r="AL1753" s="20">
        <v>39081</v>
      </c>
      <c r="AM1753" s="20" t="s">
        <v>47</v>
      </c>
      <c r="AN1753" s="37">
        <f t="shared" si="151"/>
        <v>48260</v>
      </c>
      <c r="AO1753" s="37" t="str">
        <f t="shared" si="152"/>
        <v>Weirton-Steubenville, WV-OH</v>
      </c>
      <c r="AP1753" s="20" t="s">
        <v>8</v>
      </c>
      <c r="AQ1753" s="25"/>
      <c r="AR1753" s="25"/>
      <c r="AS1753" s="25"/>
      <c r="AT1753" s="25"/>
      <c r="AU1753" s="36"/>
      <c r="AV1753" s="36"/>
      <c r="AW1753" s="36"/>
      <c r="AX1753" s="25"/>
      <c r="AY1753" s="25"/>
      <c r="AZ1753" s="25"/>
      <c r="BA1753" s="25"/>
      <c r="BB1753" s="25"/>
      <c r="BC1753" s="25"/>
      <c r="BD1753" s="25"/>
      <c r="BE1753" s="25"/>
      <c r="BF1753" s="25"/>
      <c r="BG1753" s="25"/>
      <c r="BH1753" s="25"/>
      <c r="BI1753" s="25"/>
      <c r="BJ1753" s="25"/>
      <c r="BK1753" s="25"/>
      <c r="BL1753" s="25"/>
      <c r="BM1753" s="25"/>
      <c r="BN1753" s="25"/>
      <c r="BO1753" s="25"/>
      <c r="BP1753" s="25"/>
      <c r="BQ1753" s="25"/>
      <c r="BR1753" s="25"/>
      <c r="BS1753" s="25"/>
      <c r="BT1753" s="25"/>
      <c r="CD1753" s="25"/>
      <c r="CE1753" s="200"/>
      <c r="CF1753" s="200"/>
      <c r="CG1753" s="200"/>
      <c r="CH1753" s="200"/>
      <c r="CI1753" s="200"/>
      <c r="CJ1753" s="200"/>
      <c r="CK1753" s="200"/>
      <c r="CL1753" s="200"/>
      <c r="CM1753" s="200"/>
      <c r="CN1753" s="200"/>
      <c r="CO1753" s="200"/>
      <c r="CP1753" s="200"/>
      <c r="CQ1753" s="200"/>
      <c r="CR1753" s="200"/>
      <c r="CS1753" s="200"/>
      <c r="CT1753" s="200"/>
      <c r="CU1753" s="200"/>
    </row>
    <row r="1754" spans="1:99" s="17" customFormat="1" x14ac:dyDescent="0.2">
      <c r="A1754" s="25"/>
      <c r="B1754" s="20">
        <v>39155931900</v>
      </c>
      <c r="C1754" s="20">
        <v>9319</v>
      </c>
      <c r="D1754" s="20" t="s">
        <v>83</v>
      </c>
      <c r="E1754" s="20" t="s">
        <v>2842</v>
      </c>
      <c r="F1754" s="20" t="s">
        <v>8</v>
      </c>
      <c r="G1754" s="861">
        <v>47.366690455010399</v>
      </c>
      <c r="H1754" s="861">
        <v>47.069764003926998</v>
      </c>
      <c r="I1754" s="861">
        <v>47.0694042055922</v>
      </c>
      <c r="J1754" s="861">
        <v>26.215667082956799</v>
      </c>
      <c r="K1754" s="982">
        <v>0</v>
      </c>
      <c r="L1754" s="735">
        <v>5960</v>
      </c>
      <c r="M1754" s="735">
        <v>6061</v>
      </c>
      <c r="N1754" s="845">
        <f t="shared" si="148"/>
        <v>1.6946308724832215E-2</v>
      </c>
      <c r="O1754" s="735">
        <v>6.2709191356094687</v>
      </c>
      <c r="P1754" s="735">
        <f t="shared" si="149"/>
        <v>966.52498125554814</v>
      </c>
      <c r="Q1754" s="849">
        <v>39.299999999999997</v>
      </c>
      <c r="R1754" s="71">
        <v>43462</v>
      </c>
      <c r="S1754" s="845">
        <v>0.28511424731182794</v>
      </c>
      <c r="T1754" s="845">
        <v>5.5E-2</v>
      </c>
      <c r="U1754" s="845">
        <v>0</v>
      </c>
      <c r="V1754" s="845">
        <v>3.5000000000000003E-2</v>
      </c>
      <c r="W1754" s="845">
        <v>0.5526932084309133</v>
      </c>
      <c r="X1754" s="845">
        <v>0.51483050847457623</v>
      </c>
      <c r="Y1754" s="845">
        <v>0.54099983501072435</v>
      </c>
      <c r="Z1754" s="845">
        <v>0.25754825936314141</v>
      </c>
      <c r="AA1754" s="845">
        <v>0</v>
      </c>
      <c r="AB1754" s="845">
        <v>1.9798713083649562E-3</v>
      </c>
      <c r="AC1754" s="845">
        <v>0</v>
      </c>
      <c r="AD1754" s="845">
        <v>1.6498927569707968E-2</v>
      </c>
      <c r="AE1754" s="845">
        <v>0.18297310674806139</v>
      </c>
      <c r="AF1754" s="845">
        <v>5.6756310839795411E-2</v>
      </c>
      <c r="AG1754" s="845">
        <v>0.53374030688005281</v>
      </c>
      <c r="AH1754" s="20" t="str">
        <f t="shared" si="150"/>
        <v>No</v>
      </c>
      <c r="AI1754" s="25"/>
      <c r="AJ1754" s="20">
        <v>43930</v>
      </c>
      <c r="AK1754" s="20" t="s">
        <v>1110</v>
      </c>
      <c r="AL1754" s="20">
        <v>39081</v>
      </c>
      <c r="AM1754" s="20" t="s">
        <v>47</v>
      </c>
      <c r="AN1754" s="37">
        <f t="shared" si="151"/>
        <v>48260</v>
      </c>
      <c r="AO1754" s="37" t="str">
        <f t="shared" si="152"/>
        <v>Weirton-Steubenville, WV-OH</v>
      </c>
      <c r="AP1754" s="20" t="s">
        <v>8</v>
      </c>
      <c r="AQ1754" s="25"/>
      <c r="AR1754" s="25"/>
      <c r="AS1754" s="25"/>
      <c r="AT1754" s="25"/>
      <c r="AU1754" s="36"/>
      <c r="AV1754" s="36"/>
      <c r="AW1754" s="36"/>
      <c r="AX1754" s="25"/>
      <c r="AY1754" s="25"/>
      <c r="AZ1754" s="25"/>
      <c r="BA1754" s="25"/>
      <c r="BB1754" s="25"/>
      <c r="BC1754" s="25"/>
      <c r="BD1754" s="25"/>
      <c r="BE1754" s="25"/>
      <c r="BF1754" s="25"/>
      <c r="BG1754" s="25"/>
      <c r="BH1754" s="25"/>
      <c r="BI1754" s="25"/>
      <c r="BJ1754" s="25"/>
      <c r="BK1754" s="25"/>
      <c r="BL1754" s="25"/>
      <c r="BM1754" s="25"/>
      <c r="BN1754" s="25"/>
      <c r="BO1754" s="25"/>
      <c r="BP1754" s="25"/>
      <c r="BQ1754" s="25"/>
      <c r="BR1754" s="25"/>
      <c r="BS1754" s="25"/>
      <c r="BT1754" s="25"/>
      <c r="CD1754" s="25"/>
      <c r="CE1754" s="200"/>
      <c r="CF1754" s="200"/>
      <c r="CG1754" s="200"/>
      <c r="CH1754" s="200"/>
      <c r="CI1754" s="200"/>
      <c r="CJ1754" s="200"/>
      <c r="CK1754" s="200"/>
      <c r="CL1754" s="200"/>
      <c r="CM1754" s="200"/>
      <c r="CN1754" s="200"/>
      <c r="CO1754" s="200"/>
      <c r="CP1754" s="200"/>
      <c r="CQ1754" s="200"/>
      <c r="CR1754" s="200"/>
      <c r="CS1754" s="200"/>
      <c r="CT1754" s="200"/>
      <c r="CU1754" s="200"/>
    </row>
    <row r="1755" spans="1:99" s="17" customFormat="1" x14ac:dyDescent="0.2">
      <c r="A1755" s="25"/>
      <c r="B1755" s="20">
        <v>39153532702</v>
      </c>
      <c r="C1755" s="20">
        <v>5327.02</v>
      </c>
      <c r="D1755" s="20" t="s">
        <v>82</v>
      </c>
      <c r="E1755" s="20" t="s">
        <v>2843</v>
      </c>
      <c r="F1755" s="20" t="s">
        <v>8</v>
      </c>
      <c r="G1755" s="861">
        <v>47.359103445200098</v>
      </c>
      <c r="H1755" s="861">
        <v>47.163761546828702</v>
      </c>
      <c r="I1755" s="861">
        <v>32.813941444231901</v>
      </c>
      <c r="J1755" s="861">
        <v>40.524799200992298</v>
      </c>
      <c r="K1755" s="982">
        <v>0</v>
      </c>
      <c r="L1755" s="735">
        <v>3658</v>
      </c>
      <c r="M1755" s="735">
        <v>3525</v>
      </c>
      <c r="N1755" s="845">
        <f t="shared" si="148"/>
        <v>-3.6358665937670856E-2</v>
      </c>
      <c r="O1755" s="735">
        <v>1.0473534567693441</v>
      </c>
      <c r="P1755" s="735">
        <f t="shared" si="149"/>
        <v>3365.625975850769</v>
      </c>
      <c r="Q1755" s="849">
        <v>42.9</v>
      </c>
      <c r="R1755" s="71">
        <v>69444</v>
      </c>
      <c r="S1755" s="845">
        <v>0.11494580718767827</v>
      </c>
      <c r="T1755" s="845">
        <v>0.04</v>
      </c>
      <c r="U1755" s="845">
        <v>0</v>
      </c>
      <c r="V1755" s="845">
        <v>2.6000000000000002E-2</v>
      </c>
      <c r="W1755" s="845">
        <v>0.31225554106910042</v>
      </c>
      <c r="X1755" s="845">
        <v>0.54070981210855951</v>
      </c>
      <c r="Y1755" s="845">
        <v>0.7259574468085106</v>
      </c>
      <c r="Z1755" s="845">
        <v>0.11460992907801418</v>
      </c>
      <c r="AA1755" s="845">
        <v>1.6170212765957447E-2</v>
      </c>
      <c r="AB1755" s="845">
        <v>7.7163120567375884E-2</v>
      </c>
      <c r="AC1755" s="845">
        <v>0</v>
      </c>
      <c r="AD1755" s="845">
        <v>1.475177304964539E-2</v>
      </c>
      <c r="AE1755" s="845">
        <v>5.1347517730496457E-2</v>
      </c>
      <c r="AF1755" s="845">
        <v>2.2695035460992909E-2</v>
      </c>
      <c r="AG1755" s="845">
        <v>0.72453900709219854</v>
      </c>
      <c r="AH1755" s="20" t="str">
        <f t="shared" si="150"/>
        <v>No</v>
      </c>
      <c r="AI1755" s="25"/>
      <c r="AJ1755" s="20">
        <v>43932</v>
      </c>
      <c r="AK1755" s="20" t="s">
        <v>1112</v>
      </c>
      <c r="AL1755" s="20">
        <v>39081</v>
      </c>
      <c r="AM1755" s="20" t="s">
        <v>47</v>
      </c>
      <c r="AN1755" s="37">
        <f t="shared" si="151"/>
        <v>48260</v>
      </c>
      <c r="AO1755" s="37" t="str">
        <f t="shared" si="152"/>
        <v>Weirton-Steubenville, WV-OH</v>
      </c>
      <c r="AP1755" s="20" t="s">
        <v>8</v>
      </c>
      <c r="AQ1755" s="25"/>
      <c r="AR1755" s="25"/>
      <c r="AS1755" s="25"/>
      <c r="AT1755" s="25"/>
      <c r="AU1755" s="36"/>
      <c r="AV1755" s="36"/>
      <c r="AW1755" s="36"/>
      <c r="AX1755" s="25"/>
      <c r="AY1755" s="25"/>
      <c r="AZ1755" s="25"/>
      <c r="BA1755" s="25"/>
      <c r="BB1755" s="25"/>
      <c r="BC1755" s="25"/>
      <c r="BD1755" s="25"/>
      <c r="BE1755" s="25"/>
      <c r="BF1755" s="25"/>
      <c r="BG1755" s="25"/>
      <c r="BH1755" s="25"/>
      <c r="BI1755" s="25"/>
      <c r="BJ1755" s="25"/>
      <c r="BK1755" s="25"/>
      <c r="BL1755" s="25"/>
      <c r="BM1755" s="25"/>
      <c r="BN1755" s="25"/>
      <c r="BO1755" s="25"/>
      <c r="BP1755" s="25"/>
      <c r="BQ1755" s="25"/>
      <c r="BR1755" s="25"/>
      <c r="BS1755" s="25"/>
      <c r="BT1755" s="25"/>
      <c r="CD1755" s="25"/>
      <c r="CE1755" s="200"/>
      <c r="CF1755" s="200"/>
      <c r="CG1755" s="200"/>
      <c r="CH1755" s="200"/>
      <c r="CI1755" s="200"/>
      <c r="CJ1755" s="200"/>
      <c r="CK1755" s="200"/>
      <c r="CL1755" s="200"/>
      <c r="CM1755" s="200"/>
      <c r="CN1755" s="200"/>
      <c r="CO1755" s="200"/>
      <c r="CP1755" s="200"/>
      <c r="CQ1755" s="200"/>
      <c r="CR1755" s="200"/>
      <c r="CS1755" s="200"/>
      <c r="CT1755" s="200"/>
      <c r="CU1755" s="200"/>
    </row>
    <row r="1756" spans="1:99" s="17" customFormat="1" x14ac:dyDescent="0.2">
      <c r="A1756" s="25"/>
      <c r="B1756" s="20">
        <v>39037540100</v>
      </c>
      <c r="C1756" s="20">
        <v>5401</v>
      </c>
      <c r="D1756" s="20" t="s">
        <v>25</v>
      </c>
      <c r="E1756" s="20" t="s">
        <v>265</v>
      </c>
      <c r="F1756" s="20" t="s">
        <v>8</v>
      </c>
      <c r="G1756" s="861">
        <v>47.344569992480601</v>
      </c>
      <c r="H1756" s="861">
        <v>52.667835362455399</v>
      </c>
      <c r="I1756" s="861">
        <v>19.847066066000501</v>
      </c>
      <c r="J1756" s="861">
        <v>46.193888910557902</v>
      </c>
      <c r="K1756" s="982">
        <v>0</v>
      </c>
      <c r="L1756" s="735">
        <v>3409</v>
      </c>
      <c r="M1756" s="735">
        <v>3320</v>
      </c>
      <c r="N1756" s="845">
        <f t="shared" si="148"/>
        <v>-2.610736286300968E-2</v>
      </c>
      <c r="O1756" s="735">
        <v>37.152247003944744</v>
      </c>
      <c r="P1756" s="735">
        <f t="shared" si="149"/>
        <v>89.362024311678638</v>
      </c>
      <c r="Q1756" s="849">
        <v>40</v>
      </c>
      <c r="R1756" s="71">
        <v>69201</v>
      </c>
      <c r="S1756" s="845">
        <v>0.1168125565952309</v>
      </c>
      <c r="T1756" s="845">
        <v>6.0000000000000001E-3</v>
      </c>
      <c r="U1756" s="845">
        <v>1E-3</v>
      </c>
      <c r="V1756" s="845">
        <v>0.03</v>
      </c>
      <c r="W1756" s="845">
        <v>0.18961253091508656</v>
      </c>
      <c r="X1756" s="845">
        <v>0.3</v>
      </c>
      <c r="Y1756" s="845">
        <v>0.97530120481927707</v>
      </c>
      <c r="Z1756" s="845">
        <v>0</v>
      </c>
      <c r="AA1756" s="845">
        <v>0</v>
      </c>
      <c r="AB1756" s="845">
        <v>0</v>
      </c>
      <c r="AC1756" s="845">
        <v>0</v>
      </c>
      <c r="AD1756" s="845">
        <v>4.5180722891566263E-3</v>
      </c>
      <c r="AE1756" s="845">
        <v>2.0180722891566263E-2</v>
      </c>
      <c r="AF1756" s="845">
        <v>1.0240963855421687E-2</v>
      </c>
      <c r="AG1756" s="845">
        <v>0.96656626506024101</v>
      </c>
      <c r="AH1756" s="20" t="str">
        <f t="shared" si="150"/>
        <v>Yes</v>
      </c>
      <c r="AI1756" s="25"/>
      <c r="AJ1756" s="20">
        <v>43938</v>
      </c>
      <c r="AK1756" s="20" t="s">
        <v>1116</v>
      </c>
      <c r="AL1756" s="20">
        <v>39081</v>
      </c>
      <c r="AM1756" s="20" t="s">
        <v>47</v>
      </c>
      <c r="AN1756" s="37">
        <f t="shared" si="151"/>
        <v>48260</v>
      </c>
      <c r="AO1756" s="37" t="str">
        <f t="shared" si="152"/>
        <v>Weirton-Steubenville, WV-OH</v>
      </c>
      <c r="AP1756" s="20" t="s">
        <v>8</v>
      </c>
      <c r="AQ1756" s="25"/>
      <c r="AR1756" s="25"/>
      <c r="AS1756" s="25"/>
      <c r="AT1756" s="25"/>
      <c r="AU1756" s="36"/>
      <c r="AV1756" s="36"/>
      <c r="AW1756" s="36"/>
      <c r="AX1756" s="25"/>
      <c r="AY1756" s="25"/>
      <c r="AZ1756" s="25"/>
      <c r="BA1756" s="25"/>
      <c r="BB1756" s="25"/>
      <c r="BC1756" s="25"/>
      <c r="BD1756" s="25"/>
      <c r="BE1756" s="25"/>
      <c r="BF1756" s="25"/>
      <c r="BG1756" s="25"/>
      <c r="BH1756" s="25"/>
      <c r="BI1756" s="25"/>
      <c r="BJ1756" s="25"/>
      <c r="BK1756" s="25"/>
      <c r="BL1756" s="25"/>
      <c r="BM1756" s="25"/>
      <c r="BN1756" s="25"/>
      <c r="BO1756" s="25"/>
      <c r="BP1756" s="25"/>
      <c r="BQ1756" s="25"/>
      <c r="BR1756" s="25"/>
      <c r="BS1756" s="25"/>
      <c r="BT1756" s="25"/>
      <c r="CD1756" s="25"/>
      <c r="CE1756" s="200"/>
      <c r="CF1756" s="200"/>
      <c r="CG1756" s="200"/>
      <c r="CH1756" s="200"/>
      <c r="CI1756" s="200"/>
      <c r="CJ1756" s="200"/>
      <c r="CK1756" s="200"/>
      <c r="CL1756" s="200"/>
      <c r="CM1756" s="200"/>
      <c r="CN1756" s="200"/>
      <c r="CO1756" s="200"/>
      <c r="CP1756" s="200"/>
      <c r="CQ1756" s="200"/>
      <c r="CR1756" s="200"/>
      <c r="CS1756" s="200"/>
      <c r="CT1756" s="200"/>
      <c r="CU1756" s="200"/>
    </row>
    <row r="1757" spans="1:99" s="17" customFormat="1" x14ac:dyDescent="0.2">
      <c r="A1757" s="25"/>
      <c r="B1757" s="20">
        <v>39099812602</v>
      </c>
      <c r="C1757" s="20">
        <v>8126.02</v>
      </c>
      <c r="D1757" s="20" t="s">
        <v>55</v>
      </c>
      <c r="E1757" s="20" t="s">
        <v>2842</v>
      </c>
      <c r="F1757" s="20" t="s">
        <v>8</v>
      </c>
      <c r="G1757" s="861">
        <v>47.344527560725702</v>
      </c>
      <c r="H1757" s="861">
        <v>45.468673648520998</v>
      </c>
      <c r="I1757" s="861">
        <v>34.211743065838</v>
      </c>
      <c r="J1757" s="861">
        <v>37.926501308678503</v>
      </c>
      <c r="K1757" s="982">
        <v>0</v>
      </c>
      <c r="L1757" s="735">
        <v>5059</v>
      </c>
      <c r="M1757" s="735">
        <v>5170</v>
      </c>
      <c r="N1757" s="845">
        <f t="shared" si="148"/>
        <v>2.1941095078078673E-2</v>
      </c>
      <c r="O1757" s="735">
        <v>1.5433248456109709</v>
      </c>
      <c r="P1757" s="735">
        <f t="shared" si="149"/>
        <v>3349.9104318205295</v>
      </c>
      <c r="Q1757" s="849">
        <v>54.6</v>
      </c>
      <c r="R1757" s="71">
        <v>57450</v>
      </c>
      <c r="S1757" s="845">
        <v>0.11572700296735905</v>
      </c>
      <c r="T1757" s="845">
        <v>1.3000000000000001E-2</v>
      </c>
      <c r="U1757" s="845">
        <v>0</v>
      </c>
      <c r="V1757" s="845">
        <v>0.06</v>
      </c>
      <c r="W1757" s="845">
        <v>0.2564935064935065</v>
      </c>
      <c r="X1757" s="845">
        <v>0.57753164556962022</v>
      </c>
      <c r="Y1757" s="845">
        <v>0.87736943907156673</v>
      </c>
      <c r="Z1757" s="845">
        <v>4.3520309477756286E-2</v>
      </c>
      <c r="AA1757" s="845">
        <v>0</v>
      </c>
      <c r="AB1757" s="845">
        <v>2.7272727272727271E-2</v>
      </c>
      <c r="AC1757" s="845">
        <v>0</v>
      </c>
      <c r="AD1757" s="845">
        <v>6.7698259187620891E-3</v>
      </c>
      <c r="AE1757" s="845">
        <v>4.5067698259187619E-2</v>
      </c>
      <c r="AF1757" s="845">
        <v>2.5725338491295938E-2</v>
      </c>
      <c r="AG1757" s="845">
        <v>0.86885880077369437</v>
      </c>
      <c r="AH1757" s="20" t="str">
        <f t="shared" si="150"/>
        <v>No</v>
      </c>
      <c r="AI1757" s="25"/>
      <c r="AJ1757" s="20">
        <v>43939</v>
      </c>
      <c r="AK1757" s="20" t="s">
        <v>1117</v>
      </c>
      <c r="AL1757" s="20">
        <v>39081</v>
      </c>
      <c r="AM1757" s="20" t="s">
        <v>47</v>
      </c>
      <c r="AN1757" s="37">
        <f t="shared" si="151"/>
        <v>48260</v>
      </c>
      <c r="AO1757" s="37" t="str">
        <f t="shared" si="152"/>
        <v>Weirton-Steubenville, WV-OH</v>
      </c>
      <c r="AP1757" s="20" t="s">
        <v>8</v>
      </c>
      <c r="AQ1757" s="25"/>
      <c r="AR1757" s="25"/>
      <c r="AS1757" s="25"/>
      <c r="AT1757" s="25"/>
      <c r="AU1757" s="36"/>
      <c r="AV1757" s="36"/>
      <c r="AW1757" s="36"/>
      <c r="AX1757" s="25"/>
      <c r="AY1757" s="25"/>
      <c r="AZ1757" s="25"/>
      <c r="BA1757" s="25"/>
      <c r="BB1757" s="25"/>
      <c r="BC1757" s="25"/>
      <c r="BD1757" s="25"/>
      <c r="BE1757" s="25"/>
      <c r="BF1757" s="25"/>
      <c r="BG1757" s="25"/>
      <c r="BH1757" s="25"/>
      <c r="BI1757" s="25"/>
      <c r="BJ1757" s="25"/>
      <c r="BK1757" s="25"/>
      <c r="BL1757" s="25"/>
      <c r="BM1757" s="25"/>
      <c r="BN1757" s="25"/>
      <c r="BO1757" s="25"/>
      <c r="BP1757" s="25"/>
      <c r="BQ1757" s="25"/>
      <c r="BR1757" s="25"/>
      <c r="BS1757" s="25"/>
      <c r="BT1757" s="25"/>
      <c r="CD1757" s="25"/>
      <c r="CE1757" s="200"/>
      <c r="CF1757" s="200"/>
      <c r="CG1757" s="200"/>
      <c r="CH1757" s="200"/>
      <c r="CI1757" s="200"/>
      <c r="CJ1757" s="200"/>
      <c r="CK1757" s="200"/>
      <c r="CL1757" s="200"/>
      <c r="CM1757" s="200"/>
      <c r="CN1757" s="200"/>
      <c r="CO1757" s="200"/>
      <c r="CP1757" s="200"/>
      <c r="CQ1757" s="200"/>
      <c r="CR1757" s="200"/>
      <c r="CS1757" s="200"/>
      <c r="CT1757" s="200"/>
      <c r="CU1757" s="200"/>
    </row>
    <row r="1758" spans="1:99" s="17" customFormat="1" x14ac:dyDescent="0.2">
      <c r="A1758" s="25"/>
      <c r="B1758" s="20">
        <v>39017011006</v>
      </c>
      <c r="C1758" s="20">
        <v>110.06</v>
      </c>
      <c r="D1758" s="20" t="s">
        <v>15</v>
      </c>
      <c r="E1758" s="20" t="s">
        <v>2828</v>
      </c>
      <c r="F1758" s="20" t="s">
        <v>8</v>
      </c>
      <c r="G1758" s="861">
        <v>47.341298052317299</v>
      </c>
      <c r="H1758" s="861">
        <v>56.750111168297103</v>
      </c>
      <c r="I1758" s="861">
        <v>20.255289787144498</v>
      </c>
      <c r="J1758" s="861">
        <v>30.598281827676701</v>
      </c>
      <c r="K1758" s="982">
        <v>0</v>
      </c>
      <c r="L1758" s="735" t="s">
        <v>2466</v>
      </c>
      <c r="M1758" s="735">
        <v>5536</v>
      </c>
      <c r="N1758" s="845" t="str">
        <f t="shared" si="148"/>
        <v/>
      </c>
      <c r="O1758" s="735">
        <v>3.288117411473368</v>
      </c>
      <c r="P1758" s="735">
        <f t="shared" si="149"/>
        <v>1683.6381756572923</v>
      </c>
      <c r="Q1758" s="849">
        <v>42.8</v>
      </c>
      <c r="R1758" s="71">
        <v>107679</v>
      </c>
      <c r="S1758" s="845">
        <v>1.101878612716763E-2</v>
      </c>
      <c r="T1758" s="845">
        <v>2.7000000000000003E-2</v>
      </c>
      <c r="U1758" s="845">
        <v>0</v>
      </c>
      <c r="V1758" s="845">
        <v>0</v>
      </c>
      <c r="W1758" s="845">
        <v>1.8556701030927835E-2</v>
      </c>
      <c r="X1758" s="845">
        <v>0.33333333333333331</v>
      </c>
      <c r="Y1758" s="845">
        <v>0.75090317919075145</v>
      </c>
      <c r="Z1758" s="845">
        <v>0.12463872832369942</v>
      </c>
      <c r="AA1758" s="845">
        <v>0</v>
      </c>
      <c r="AB1758" s="845">
        <v>7.3157514450867059E-2</v>
      </c>
      <c r="AC1758" s="845">
        <v>0</v>
      </c>
      <c r="AD1758" s="845">
        <v>0</v>
      </c>
      <c r="AE1758" s="845">
        <v>5.1300578034682083E-2</v>
      </c>
      <c r="AF1758" s="845">
        <v>0</v>
      </c>
      <c r="AG1758" s="845">
        <v>0.75090317919075145</v>
      </c>
      <c r="AH1758" s="20" t="str">
        <f t="shared" si="150"/>
        <v>No</v>
      </c>
      <c r="AI1758" s="25"/>
      <c r="AJ1758" s="37">
        <v>43943</v>
      </c>
      <c r="AK1758" s="37" t="s">
        <v>1120</v>
      </c>
      <c r="AL1758" s="37">
        <v>39081</v>
      </c>
      <c r="AM1758" s="37" t="s">
        <v>47</v>
      </c>
      <c r="AN1758" s="37">
        <f t="shared" si="151"/>
        <v>48260</v>
      </c>
      <c r="AO1758" s="37" t="str">
        <f t="shared" si="152"/>
        <v>Weirton-Steubenville, WV-OH</v>
      </c>
      <c r="AP1758" s="20" t="s">
        <v>8</v>
      </c>
      <c r="AQ1758" s="25"/>
      <c r="AR1758" s="25"/>
      <c r="AS1758" s="25"/>
      <c r="AT1758" s="25"/>
      <c r="AU1758" s="36"/>
      <c r="AV1758" s="36"/>
      <c r="AW1758" s="36"/>
      <c r="AX1758" s="25"/>
      <c r="AY1758" s="25"/>
      <c r="AZ1758" s="25"/>
      <c r="BA1758" s="25"/>
      <c r="BB1758" s="25"/>
      <c r="BC1758" s="25"/>
      <c r="BD1758" s="25"/>
      <c r="BE1758" s="25"/>
      <c r="BF1758" s="25"/>
      <c r="BG1758" s="25"/>
      <c r="BH1758" s="25"/>
      <c r="BI1758" s="25"/>
      <c r="BJ1758" s="25"/>
      <c r="BK1758" s="25"/>
      <c r="BL1758" s="25"/>
      <c r="BM1758" s="25"/>
      <c r="BN1758" s="25"/>
      <c r="BO1758" s="25"/>
      <c r="BP1758" s="25"/>
      <c r="BQ1758" s="25"/>
      <c r="BR1758" s="25"/>
      <c r="BS1758" s="25"/>
      <c r="BT1758" s="25"/>
      <c r="CD1758" s="25"/>
      <c r="CE1758" s="200"/>
      <c r="CF1758" s="200"/>
      <c r="CG1758" s="200"/>
      <c r="CH1758" s="200"/>
      <c r="CI1758" s="200"/>
      <c r="CJ1758" s="200"/>
      <c r="CK1758" s="200"/>
      <c r="CL1758" s="200"/>
      <c r="CM1758" s="200"/>
      <c r="CN1758" s="200"/>
      <c r="CO1758" s="200"/>
      <c r="CP1758" s="200"/>
      <c r="CQ1758" s="200"/>
      <c r="CR1758" s="200"/>
      <c r="CS1758" s="200"/>
      <c r="CT1758" s="200"/>
      <c r="CU1758" s="200"/>
    </row>
    <row r="1759" spans="1:99" s="17" customFormat="1" x14ac:dyDescent="0.2">
      <c r="A1759" s="25"/>
      <c r="B1759" s="20">
        <v>39173022400</v>
      </c>
      <c r="C1759" s="20">
        <v>224</v>
      </c>
      <c r="D1759" s="20" t="s">
        <v>92</v>
      </c>
      <c r="E1759" s="20" t="s">
        <v>2839</v>
      </c>
      <c r="F1759" s="20" t="s">
        <v>8</v>
      </c>
      <c r="G1759" s="861">
        <v>47.3141991311984</v>
      </c>
      <c r="H1759" s="861">
        <v>43.700444744958403</v>
      </c>
      <c r="I1759" s="861">
        <v>31.477683781031502</v>
      </c>
      <c r="J1759" s="861">
        <v>41.321577453317197</v>
      </c>
      <c r="K1759" s="982">
        <v>0</v>
      </c>
      <c r="L1759" s="735">
        <v>3703</v>
      </c>
      <c r="M1759" s="735">
        <v>3909</v>
      </c>
      <c r="N1759" s="845">
        <f t="shared" si="148"/>
        <v>5.5630569808263572E-2</v>
      </c>
      <c r="O1759" s="735">
        <v>6.0648494637297778</v>
      </c>
      <c r="P1759" s="735">
        <f t="shared" si="149"/>
        <v>644.53372229226488</v>
      </c>
      <c r="Q1759" s="849">
        <v>36.5</v>
      </c>
      <c r="R1759" s="71">
        <v>60505</v>
      </c>
      <c r="S1759" s="845">
        <v>0.11356382978723405</v>
      </c>
      <c r="T1759" s="845">
        <v>5.2999999999999999E-2</v>
      </c>
      <c r="U1759" s="845">
        <v>0</v>
      </c>
      <c r="V1759" s="845">
        <v>6.5000000000000002E-2</v>
      </c>
      <c r="W1759" s="845">
        <v>0.19974635383639822</v>
      </c>
      <c r="X1759" s="845">
        <v>0.26984126984126983</v>
      </c>
      <c r="Y1759" s="845">
        <v>0.93425428498337171</v>
      </c>
      <c r="Z1759" s="845">
        <v>1.8930672806344334E-2</v>
      </c>
      <c r="AA1759" s="845">
        <v>0</v>
      </c>
      <c r="AB1759" s="845">
        <v>0</v>
      </c>
      <c r="AC1759" s="845">
        <v>0</v>
      </c>
      <c r="AD1759" s="845">
        <v>2.2512151445382451E-2</v>
      </c>
      <c r="AE1759" s="845">
        <v>2.4302890764901511E-2</v>
      </c>
      <c r="AF1759" s="845">
        <v>4.6559222307495526E-2</v>
      </c>
      <c r="AG1759" s="845">
        <v>0.93067280634433358</v>
      </c>
      <c r="AH1759" s="20" t="str">
        <f t="shared" si="150"/>
        <v>Yes</v>
      </c>
      <c r="AI1759" s="25"/>
      <c r="AJ1759" s="20">
        <v>43944</v>
      </c>
      <c r="AK1759" s="20" t="s">
        <v>1121</v>
      </c>
      <c r="AL1759" s="20">
        <v>39081</v>
      </c>
      <c r="AM1759" s="20" t="s">
        <v>47</v>
      </c>
      <c r="AN1759" s="37">
        <f t="shared" si="151"/>
        <v>48260</v>
      </c>
      <c r="AO1759" s="37" t="str">
        <f t="shared" si="152"/>
        <v>Weirton-Steubenville, WV-OH</v>
      </c>
      <c r="AP1759" s="20" t="s">
        <v>8</v>
      </c>
      <c r="AQ1759" s="25"/>
      <c r="AR1759" s="25"/>
      <c r="AS1759" s="25"/>
      <c r="AT1759" s="25"/>
      <c r="AU1759" s="36"/>
      <c r="AV1759" s="36"/>
      <c r="AW1759" s="36"/>
      <c r="AX1759" s="25"/>
      <c r="AY1759" s="25"/>
      <c r="AZ1759" s="25"/>
      <c r="BA1759" s="25"/>
      <c r="BB1759" s="25"/>
      <c r="BC1759" s="25"/>
      <c r="BD1759" s="25"/>
      <c r="BE1759" s="25"/>
      <c r="BF1759" s="25"/>
      <c r="BG1759" s="25"/>
      <c r="BH1759" s="25"/>
      <c r="BI1759" s="25"/>
      <c r="BJ1759" s="25"/>
      <c r="BK1759" s="25"/>
      <c r="BL1759" s="25"/>
      <c r="BM1759" s="25"/>
      <c r="BN1759" s="25"/>
      <c r="BO1759" s="25"/>
      <c r="BP1759" s="25"/>
      <c r="BQ1759" s="25"/>
      <c r="BR1759" s="25"/>
      <c r="BS1759" s="25"/>
      <c r="BT1759" s="25"/>
      <c r="CD1759" s="25"/>
      <c r="CE1759" s="200"/>
      <c r="CF1759" s="200"/>
      <c r="CG1759" s="200"/>
      <c r="CH1759" s="200"/>
      <c r="CI1759" s="200"/>
      <c r="CJ1759" s="200"/>
      <c r="CK1759" s="200"/>
      <c r="CL1759" s="200"/>
      <c r="CM1759" s="200"/>
      <c r="CN1759" s="200"/>
      <c r="CO1759" s="200"/>
      <c r="CP1759" s="200"/>
      <c r="CQ1759" s="200"/>
      <c r="CR1759" s="200"/>
      <c r="CS1759" s="200"/>
      <c r="CT1759" s="200"/>
      <c r="CU1759" s="200"/>
    </row>
    <row r="1760" spans="1:99" s="17" customFormat="1" x14ac:dyDescent="0.2">
      <c r="A1760" s="25"/>
      <c r="B1760" s="20">
        <v>39035160602</v>
      </c>
      <c r="C1760" s="20">
        <v>1606.02</v>
      </c>
      <c r="D1760" s="20" t="s">
        <v>24</v>
      </c>
      <c r="E1760" s="20" t="s">
        <v>2829</v>
      </c>
      <c r="F1760" s="20" t="s">
        <v>6</v>
      </c>
      <c r="G1760" s="861">
        <v>47.312632583972501</v>
      </c>
      <c r="H1760" s="861">
        <v>66.793378548684004</v>
      </c>
      <c r="I1760" s="861">
        <v>50.671751293603698</v>
      </c>
      <c r="J1760" s="861">
        <v>47.453977057648501</v>
      </c>
      <c r="K1760" s="982">
        <v>0</v>
      </c>
      <c r="L1760" s="735">
        <v>3031</v>
      </c>
      <c r="M1760" s="735">
        <v>3021</v>
      </c>
      <c r="N1760" s="845">
        <f t="shared" si="148"/>
        <v>-3.2992411745298581E-3</v>
      </c>
      <c r="O1760" s="735">
        <v>0.24872469395235952</v>
      </c>
      <c r="P1760" s="735">
        <f t="shared" si="149"/>
        <v>12145.959261200816</v>
      </c>
      <c r="Q1760" s="849">
        <v>30.2</v>
      </c>
      <c r="R1760" s="71">
        <v>55417</v>
      </c>
      <c r="S1760" s="845">
        <v>0.2356341380482829</v>
      </c>
      <c r="T1760" s="845">
        <v>4.9000000000000002E-2</v>
      </c>
      <c r="U1760" s="845">
        <v>0</v>
      </c>
      <c r="V1760" s="845">
        <v>6.8000000000000005E-2</v>
      </c>
      <c r="W1760" s="845">
        <v>0.71122647631408176</v>
      </c>
      <c r="X1760" s="845">
        <v>0.41149635036496351</v>
      </c>
      <c r="Y1760" s="845">
        <v>0.70440251572327039</v>
      </c>
      <c r="Z1760" s="845">
        <v>0.21516054286660047</v>
      </c>
      <c r="AA1760" s="845">
        <v>0</v>
      </c>
      <c r="AB1760" s="845">
        <v>2.4495200264812975E-2</v>
      </c>
      <c r="AC1760" s="845">
        <v>0</v>
      </c>
      <c r="AD1760" s="845">
        <v>0</v>
      </c>
      <c r="AE1760" s="845">
        <v>5.5941741145316123E-2</v>
      </c>
      <c r="AF1760" s="845">
        <v>6.2893081761006289E-2</v>
      </c>
      <c r="AG1760" s="845">
        <v>0.65739821251241315</v>
      </c>
      <c r="AH1760" s="20" t="str">
        <f t="shared" si="150"/>
        <v>No</v>
      </c>
      <c r="AI1760" s="25"/>
      <c r="AJ1760" s="20">
        <v>43945</v>
      </c>
      <c r="AK1760" s="20" t="s">
        <v>1122</v>
      </c>
      <c r="AL1760" s="20">
        <v>39081</v>
      </c>
      <c r="AM1760" s="20" t="s">
        <v>47</v>
      </c>
      <c r="AN1760" s="37">
        <f t="shared" si="151"/>
        <v>48260</v>
      </c>
      <c r="AO1760" s="37" t="str">
        <f t="shared" si="152"/>
        <v>Weirton-Steubenville, WV-OH</v>
      </c>
      <c r="AP1760" s="20" t="s">
        <v>8</v>
      </c>
      <c r="AQ1760" s="25"/>
      <c r="AR1760" s="25"/>
      <c r="AS1760" s="25"/>
      <c r="AT1760" s="25"/>
      <c r="AU1760" s="36"/>
      <c r="AV1760" s="36"/>
      <c r="AW1760" s="36"/>
      <c r="AX1760" s="25"/>
      <c r="AY1760" s="25"/>
      <c r="AZ1760" s="25"/>
      <c r="BA1760" s="25"/>
      <c r="BB1760" s="25"/>
      <c r="BC1760" s="25"/>
      <c r="BD1760" s="25"/>
      <c r="BE1760" s="25"/>
      <c r="BF1760" s="25"/>
      <c r="BG1760" s="25"/>
      <c r="BH1760" s="25"/>
      <c r="BI1760" s="25"/>
      <c r="BJ1760" s="25"/>
      <c r="BK1760" s="25"/>
      <c r="BL1760" s="25"/>
      <c r="BM1760" s="25"/>
      <c r="BN1760" s="25"/>
      <c r="BO1760" s="25"/>
      <c r="BP1760" s="25"/>
      <c r="BQ1760" s="25"/>
      <c r="BR1760" s="25"/>
      <c r="BS1760" s="25"/>
      <c r="BT1760" s="25"/>
      <c r="CD1760" s="25"/>
      <c r="CE1760" s="200"/>
      <c r="CF1760" s="200"/>
      <c r="CG1760" s="200"/>
      <c r="CH1760" s="200"/>
      <c r="CI1760" s="200"/>
      <c r="CJ1760" s="200"/>
      <c r="CK1760" s="200"/>
      <c r="CL1760" s="200"/>
      <c r="CM1760" s="200"/>
      <c r="CN1760" s="200"/>
      <c r="CO1760" s="200"/>
      <c r="CP1760" s="200"/>
      <c r="CQ1760" s="200"/>
      <c r="CR1760" s="200"/>
      <c r="CS1760" s="200"/>
      <c r="CT1760" s="200"/>
      <c r="CU1760" s="200"/>
    </row>
    <row r="1761" spans="1:99" s="17" customFormat="1" x14ac:dyDescent="0.2">
      <c r="A1761" s="25"/>
      <c r="B1761" s="20">
        <v>39139002200</v>
      </c>
      <c r="C1761" s="20">
        <v>22</v>
      </c>
      <c r="D1761" s="20" t="s">
        <v>75</v>
      </c>
      <c r="E1761" s="20" t="s">
        <v>2836</v>
      </c>
      <c r="F1761" s="20" t="s">
        <v>8</v>
      </c>
      <c r="G1761" s="861">
        <v>47.289956096115802</v>
      </c>
      <c r="H1761" s="861">
        <v>50.329628626568898</v>
      </c>
      <c r="I1761" s="861">
        <v>28.074792467822899</v>
      </c>
      <c r="J1761" s="861">
        <v>36.970751075180601</v>
      </c>
      <c r="K1761" s="982">
        <v>0</v>
      </c>
      <c r="L1761" s="735">
        <v>6930</v>
      </c>
      <c r="M1761" s="735">
        <v>7119</v>
      </c>
      <c r="N1761" s="845">
        <f t="shared" si="148"/>
        <v>2.7272727272727271E-2</v>
      </c>
      <c r="O1761" s="735">
        <v>22.198184145331851</v>
      </c>
      <c r="P1761" s="735">
        <f t="shared" si="149"/>
        <v>320.70190757008766</v>
      </c>
      <c r="Q1761" s="849">
        <v>42.9</v>
      </c>
      <c r="R1761" s="71">
        <v>61084</v>
      </c>
      <c r="S1761" s="845">
        <v>8.8996995278294466E-2</v>
      </c>
      <c r="T1761" s="845">
        <v>4.0999999999999995E-2</v>
      </c>
      <c r="U1761" s="845">
        <v>2.4E-2</v>
      </c>
      <c r="V1761" s="845">
        <v>0</v>
      </c>
      <c r="W1761" s="845">
        <v>0.20543806646525681</v>
      </c>
      <c r="X1761" s="845">
        <v>0.30392156862745096</v>
      </c>
      <c r="Y1761" s="845">
        <v>0.9622137940722012</v>
      </c>
      <c r="Z1761" s="845">
        <v>1.3063632532659082E-2</v>
      </c>
      <c r="AA1761" s="845">
        <v>0</v>
      </c>
      <c r="AB1761" s="845">
        <v>0</v>
      </c>
      <c r="AC1761" s="845">
        <v>0</v>
      </c>
      <c r="AD1761" s="845">
        <v>0</v>
      </c>
      <c r="AE1761" s="845">
        <v>2.4722573395139766E-2</v>
      </c>
      <c r="AF1761" s="845">
        <v>1.6153954207051551E-2</v>
      </c>
      <c r="AG1761" s="845">
        <v>0.95856159572973731</v>
      </c>
      <c r="AH1761" s="20" t="str">
        <f t="shared" si="150"/>
        <v>Yes</v>
      </c>
      <c r="AI1761" s="25"/>
      <c r="AJ1761" s="20">
        <v>43948</v>
      </c>
      <c r="AK1761" s="20" t="s">
        <v>1125</v>
      </c>
      <c r="AL1761" s="20">
        <v>39081</v>
      </c>
      <c r="AM1761" s="20" t="s">
        <v>47</v>
      </c>
      <c r="AN1761" s="37">
        <f t="shared" si="151"/>
        <v>48260</v>
      </c>
      <c r="AO1761" s="37" t="str">
        <f t="shared" si="152"/>
        <v>Weirton-Steubenville, WV-OH</v>
      </c>
      <c r="AP1761" s="20" t="s">
        <v>8</v>
      </c>
      <c r="AQ1761" s="25"/>
      <c r="AR1761" s="25"/>
      <c r="AS1761" s="25"/>
      <c r="AT1761" s="25"/>
      <c r="AU1761" s="36"/>
      <c r="AV1761" s="36"/>
      <c r="AW1761" s="36"/>
      <c r="AX1761" s="25"/>
      <c r="AY1761" s="25"/>
      <c r="AZ1761" s="25"/>
      <c r="BA1761" s="25"/>
      <c r="BB1761" s="25"/>
      <c r="BC1761" s="25"/>
      <c r="BD1761" s="25"/>
      <c r="BE1761" s="25"/>
      <c r="BF1761" s="25"/>
      <c r="BG1761" s="25"/>
      <c r="BH1761" s="25"/>
      <c r="BI1761" s="25"/>
      <c r="BJ1761" s="25"/>
      <c r="BK1761" s="25"/>
      <c r="BL1761" s="25"/>
      <c r="BM1761" s="25"/>
      <c r="BN1761" s="25"/>
      <c r="BO1761" s="25"/>
      <c r="BP1761" s="25"/>
      <c r="BQ1761" s="25"/>
      <c r="BR1761" s="25"/>
      <c r="BS1761" s="25"/>
      <c r="BT1761" s="25"/>
      <c r="CD1761" s="25"/>
      <c r="CE1761" s="200"/>
      <c r="CF1761" s="200"/>
      <c r="CG1761" s="200"/>
      <c r="CH1761" s="200"/>
      <c r="CI1761" s="200"/>
      <c r="CJ1761" s="200"/>
      <c r="CK1761" s="200"/>
      <c r="CL1761" s="200"/>
      <c r="CM1761" s="200"/>
      <c r="CN1761" s="200"/>
      <c r="CO1761" s="200"/>
      <c r="CP1761" s="200"/>
      <c r="CQ1761" s="200"/>
      <c r="CR1761" s="200"/>
      <c r="CS1761" s="200"/>
      <c r="CT1761" s="200"/>
      <c r="CU1761" s="200"/>
    </row>
    <row r="1762" spans="1:99" s="17" customFormat="1" x14ac:dyDescent="0.2">
      <c r="A1762" s="25"/>
      <c r="B1762" s="20">
        <v>39097040700</v>
      </c>
      <c r="C1762" s="20">
        <v>407</v>
      </c>
      <c r="D1762" s="20" t="s">
        <v>54</v>
      </c>
      <c r="E1762" s="20" t="s">
        <v>2830</v>
      </c>
      <c r="F1762" s="20" t="s">
        <v>8</v>
      </c>
      <c r="G1762" s="861">
        <v>47.288549772367801</v>
      </c>
      <c r="H1762" s="861">
        <v>53.770776696193103</v>
      </c>
      <c r="I1762" s="861">
        <v>37.778201290066001</v>
      </c>
      <c r="J1762" s="861">
        <v>45.947580380330699</v>
      </c>
      <c r="K1762" s="982">
        <v>0</v>
      </c>
      <c r="L1762" s="735">
        <v>3056</v>
      </c>
      <c r="M1762" s="735">
        <v>2703</v>
      </c>
      <c r="N1762" s="845">
        <f t="shared" si="148"/>
        <v>-0.11551047120418848</v>
      </c>
      <c r="O1762" s="735">
        <v>0.75753475177150531</v>
      </c>
      <c r="P1762" s="735">
        <f t="shared" si="149"/>
        <v>3568.153135785517</v>
      </c>
      <c r="Q1762" s="849">
        <v>37.5</v>
      </c>
      <c r="R1762" s="71">
        <v>54327</v>
      </c>
      <c r="S1762" s="845">
        <v>0.16833148353681096</v>
      </c>
      <c r="T1762" s="845">
        <v>4.5999999999999999E-2</v>
      </c>
      <c r="U1762" s="845">
        <v>0</v>
      </c>
      <c r="V1762" s="845">
        <v>9.6000000000000002E-2</v>
      </c>
      <c r="W1762" s="845">
        <v>0.38581146744412048</v>
      </c>
      <c r="X1762" s="845">
        <v>0.35516372795969775</v>
      </c>
      <c r="Y1762" s="845">
        <v>0.82463928967813538</v>
      </c>
      <c r="Z1762" s="845">
        <v>3.3296337402885685E-2</v>
      </c>
      <c r="AA1762" s="845">
        <v>0</v>
      </c>
      <c r="AB1762" s="845">
        <v>0</v>
      </c>
      <c r="AC1762" s="845">
        <v>0</v>
      </c>
      <c r="AD1762" s="845">
        <v>0</v>
      </c>
      <c r="AE1762" s="845">
        <v>0.14206437291897892</v>
      </c>
      <c r="AF1762" s="845">
        <v>4.1065482796892344E-2</v>
      </c>
      <c r="AG1762" s="845">
        <v>0.82463928967813538</v>
      </c>
      <c r="AH1762" s="20" t="str">
        <f t="shared" si="150"/>
        <v>No</v>
      </c>
      <c r="AI1762" s="25"/>
      <c r="AJ1762" s="20">
        <v>43952</v>
      </c>
      <c r="AK1762" s="20" t="s">
        <v>1128</v>
      </c>
      <c r="AL1762" s="20">
        <v>39081</v>
      </c>
      <c r="AM1762" s="20" t="s">
        <v>47</v>
      </c>
      <c r="AN1762" s="37">
        <f t="shared" si="151"/>
        <v>48260</v>
      </c>
      <c r="AO1762" s="37" t="str">
        <f t="shared" si="152"/>
        <v>Weirton-Steubenville, WV-OH</v>
      </c>
      <c r="AP1762" s="20" t="s">
        <v>8</v>
      </c>
      <c r="AQ1762" s="25"/>
      <c r="AR1762" s="25"/>
      <c r="AS1762" s="25"/>
      <c r="AT1762" s="25"/>
      <c r="AU1762" s="36"/>
      <c r="AV1762" s="36"/>
      <c r="AW1762" s="36"/>
      <c r="AX1762" s="25"/>
      <c r="AY1762" s="25"/>
      <c r="AZ1762" s="25"/>
      <c r="BA1762" s="25"/>
      <c r="BB1762" s="25"/>
      <c r="BC1762" s="25"/>
      <c r="BD1762" s="25"/>
      <c r="BE1762" s="25"/>
      <c r="BF1762" s="25"/>
      <c r="BG1762" s="25"/>
      <c r="BH1762" s="25"/>
      <c r="BI1762" s="25"/>
      <c r="BJ1762" s="25"/>
      <c r="BK1762" s="25"/>
      <c r="BL1762" s="25"/>
      <c r="BM1762" s="25"/>
      <c r="BN1762" s="25"/>
      <c r="BO1762" s="25"/>
      <c r="BP1762" s="25"/>
      <c r="BQ1762" s="25"/>
      <c r="BR1762" s="25"/>
      <c r="BS1762" s="25"/>
      <c r="BT1762" s="25"/>
      <c r="CD1762" s="25"/>
      <c r="CE1762" s="200"/>
      <c r="CF1762" s="200"/>
      <c r="CG1762" s="200"/>
      <c r="CH1762" s="200"/>
      <c r="CI1762" s="200"/>
      <c r="CJ1762" s="200"/>
      <c r="CK1762" s="200"/>
      <c r="CL1762" s="200"/>
      <c r="CM1762" s="200"/>
      <c r="CN1762" s="200"/>
      <c r="CO1762" s="200"/>
      <c r="CP1762" s="200"/>
      <c r="CQ1762" s="200"/>
      <c r="CR1762" s="200"/>
      <c r="CS1762" s="200"/>
      <c r="CT1762" s="200"/>
      <c r="CU1762" s="200"/>
    </row>
    <row r="1763" spans="1:99" s="17" customFormat="1" x14ac:dyDescent="0.2">
      <c r="A1763" s="25"/>
      <c r="B1763" s="20">
        <v>39141955500</v>
      </c>
      <c r="C1763" s="20">
        <v>9555</v>
      </c>
      <c r="D1763" s="20" t="s">
        <v>76</v>
      </c>
      <c r="E1763" s="20" t="s">
        <v>265</v>
      </c>
      <c r="F1763" s="20" t="s">
        <v>8</v>
      </c>
      <c r="G1763" s="861">
        <v>47.282712590091997</v>
      </c>
      <c r="H1763" s="861">
        <v>48.963070632060401</v>
      </c>
      <c r="I1763" s="861">
        <v>23.2463321246356</v>
      </c>
      <c r="J1763" s="861">
        <v>50.796268489979703</v>
      </c>
      <c r="K1763" s="982">
        <v>0</v>
      </c>
      <c r="L1763" s="735">
        <v>6241</v>
      </c>
      <c r="M1763" s="735">
        <v>6038</v>
      </c>
      <c r="N1763" s="845">
        <f t="shared" si="148"/>
        <v>-3.2526838647652621E-2</v>
      </c>
      <c r="O1763" s="735">
        <v>73.297741509709098</v>
      </c>
      <c r="P1763" s="735">
        <f t="shared" si="149"/>
        <v>82.376344422565865</v>
      </c>
      <c r="Q1763" s="849">
        <v>42.1</v>
      </c>
      <c r="R1763" s="71">
        <v>83867</v>
      </c>
      <c r="S1763" s="845">
        <v>0.14330682571239231</v>
      </c>
      <c r="T1763" s="845">
        <v>4.2999999999999997E-2</v>
      </c>
      <c r="U1763" s="845">
        <v>6.9999999999999993E-3</v>
      </c>
      <c r="V1763" s="845">
        <v>0</v>
      </c>
      <c r="W1763" s="845">
        <v>0.28904623073719282</v>
      </c>
      <c r="X1763" s="845">
        <v>0.51729106628242072</v>
      </c>
      <c r="Y1763" s="845">
        <v>0.97863530970520041</v>
      </c>
      <c r="Z1763" s="845">
        <v>0</v>
      </c>
      <c r="AA1763" s="845">
        <v>0</v>
      </c>
      <c r="AB1763" s="845">
        <v>3.6435905929115601E-3</v>
      </c>
      <c r="AC1763" s="845">
        <v>0</v>
      </c>
      <c r="AD1763" s="845">
        <v>1.987413050679033E-3</v>
      </c>
      <c r="AE1763" s="845">
        <v>1.5733686651209011E-2</v>
      </c>
      <c r="AF1763" s="845">
        <v>1.6561775422325273E-3</v>
      </c>
      <c r="AG1763" s="845">
        <v>0.97863530970520041</v>
      </c>
      <c r="AH1763" s="20" t="str">
        <f t="shared" si="150"/>
        <v>Yes</v>
      </c>
      <c r="AI1763" s="25"/>
      <c r="AJ1763" s="20">
        <v>43953</v>
      </c>
      <c r="AK1763" s="20" t="s">
        <v>1129</v>
      </c>
      <c r="AL1763" s="20">
        <v>39081</v>
      </c>
      <c r="AM1763" s="20" t="s">
        <v>47</v>
      </c>
      <c r="AN1763" s="37">
        <f t="shared" si="151"/>
        <v>48260</v>
      </c>
      <c r="AO1763" s="37" t="str">
        <f t="shared" si="152"/>
        <v>Weirton-Steubenville, WV-OH</v>
      </c>
      <c r="AP1763" s="20" t="s">
        <v>8</v>
      </c>
      <c r="AQ1763" s="25"/>
      <c r="AR1763" s="25"/>
      <c r="AS1763" s="25"/>
      <c r="AT1763" s="25"/>
      <c r="AU1763" s="36"/>
      <c r="AV1763" s="36"/>
      <c r="AW1763" s="36"/>
      <c r="AX1763" s="25"/>
      <c r="AY1763" s="25"/>
      <c r="AZ1763" s="25"/>
      <c r="BA1763" s="25"/>
      <c r="BB1763" s="25"/>
      <c r="BC1763" s="25"/>
      <c r="BD1763" s="25"/>
      <c r="BE1763" s="25"/>
      <c r="BF1763" s="25"/>
      <c r="BG1763" s="25"/>
      <c r="BH1763" s="25"/>
      <c r="BI1763" s="25"/>
      <c r="BJ1763" s="25"/>
      <c r="BK1763" s="25"/>
      <c r="BL1763" s="25"/>
      <c r="BM1763" s="25"/>
      <c r="BN1763" s="25"/>
      <c r="BO1763" s="25"/>
      <c r="BP1763" s="25"/>
      <c r="BQ1763" s="25"/>
      <c r="BR1763" s="25"/>
      <c r="BS1763" s="25"/>
      <c r="BT1763" s="25"/>
      <c r="CD1763" s="25"/>
      <c r="CE1763" s="200"/>
      <c r="CF1763" s="200"/>
      <c r="CG1763" s="200"/>
      <c r="CH1763" s="200"/>
      <c r="CI1763" s="200"/>
      <c r="CJ1763" s="200"/>
      <c r="CK1763" s="200"/>
      <c r="CL1763" s="200"/>
      <c r="CM1763" s="200"/>
      <c r="CN1763" s="200"/>
      <c r="CO1763" s="200"/>
      <c r="CP1763" s="200"/>
      <c r="CQ1763" s="200"/>
      <c r="CR1763" s="200"/>
      <c r="CS1763" s="200"/>
      <c r="CT1763" s="200"/>
      <c r="CU1763" s="200"/>
    </row>
    <row r="1764" spans="1:99" s="17" customFormat="1" x14ac:dyDescent="0.2">
      <c r="A1764" s="25"/>
      <c r="B1764" s="20">
        <v>39049007531</v>
      </c>
      <c r="C1764" s="20">
        <v>75.31</v>
      </c>
      <c r="D1764" s="20" t="s">
        <v>31</v>
      </c>
      <c r="E1764" s="20" t="s">
        <v>2830</v>
      </c>
      <c r="F1764" s="20" t="s">
        <v>6</v>
      </c>
      <c r="G1764" s="861">
        <v>47.277024471800203</v>
      </c>
      <c r="H1764" s="861">
        <v>53.686015411085997</v>
      </c>
      <c r="I1764" s="861">
        <v>39.175356060727701</v>
      </c>
      <c r="J1764" s="861">
        <v>28.029901764511301</v>
      </c>
      <c r="K1764" s="982">
        <v>0</v>
      </c>
      <c r="L1764" s="735">
        <v>2764</v>
      </c>
      <c r="M1764" s="735">
        <v>2754</v>
      </c>
      <c r="N1764" s="845">
        <f t="shared" si="148"/>
        <v>-3.6179450072358899E-3</v>
      </c>
      <c r="O1764" s="735">
        <v>0.74105629774493442</v>
      </c>
      <c r="P1764" s="735">
        <f t="shared" si="149"/>
        <v>3716.3168417575534</v>
      </c>
      <c r="Q1764" s="849">
        <v>32.6</v>
      </c>
      <c r="R1764" s="71">
        <v>40551</v>
      </c>
      <c r="S1764" s="845">
        <v>0.27487291212781406</v>
      </c>
      <c r="T1764" s="845">
        <v>2.2000000000000002E-2</v>
      </c>
      <c r="U1764" s="845">
        <v>0</v>
      </c>
      <c r="V1764" s="845">
        <v>2.8999999999999998E-2</v>
      </c>
      <c r="W1764" s="845">
        <v>0.7800963081861958</v>
      </c>
      <c r="X1764" s="845">
        <v>0.3559670781893004</v>
      </c>
      <c r="Y1764" s="845">
        <v>0.2138707334785766</v>
      </c>
      <c r="Z1764" s="845">
        <v>0.6332607116920842</v>
      </c>
      <c r="AA1764" s="845">
        <v>0</v>
      </c>
      <c r="AB1764" s="845">
        <v>3.6310820624546117E-3</v>
      </c>
      <c r="AC1764" s="845">
        <v>0</v>
      </c>
      <c r="AD1764" s="845">
        <v>0.10384894698620188</v>
      </c>
      <c r="AE1764" s="845">
        <v>4.5388525780682643E-2</v>
      </c>
      <c r="AF1764" s="845">
        <v>0.11982570806100218</v>
      </c>
      <c r="AG1764" s="845">
        <v>0.20915032679738563</v>
      </c>
      <c r="AH1764" s="20" t="str">
        <f t="shared" si="150"/>
        <v>No</v>
      </c>
      <c r="AI1764" s="25"/>
      <c r="AJ1764" s="37">
        <v>43961</v>
      </c>
      <c r="AK1764" s="37" t="s">
        <v>1130</v>
      </c>
      <c r="AL1764" s="37">
        <v>39081</v>
      </c>
      <c r="AM1764" s="37" t="s">
        <v>47</v>
      </c>
      <c r="AN1764" s="37">
        <f t="shared" si="151"/>
        <v>48260</v>
      </c>
      <c r="AO1764" s="37" t="str">
        <f t="shared" si="152"/>
        <v>Weirton-Steubenville, WV-OH</v>
      </c>
      <c r="AP1764" s="20" t="s">
        <v>8</v>
      </c>
      <c r="AQ1764" s="25"/>
      <c r="AR1764" s="25"/>
      <c r="AS1764" s="25"/>
      <c r="AT1764" s="25"/>
      <c r="AU1764" s="36"/>
      <c r="AV1764" s="36"/>
      <c r="AW1764" s="36"/>
      <c r="AX1764" s="25"/>
      <c r="AY1764" s="25"/>
      <c r="AZ1764" s="25"/>
      <c r="BA1764" s="25"/>
      <c r="BB1764" s="25"/>
      <c r="BC1764" s="25"/>
      <c r="BD1764" s="25"/>
      <c r="BE1764" s="25"/>
      <c r="BF1764" s="25"/>
      <c r="BG1764" s="25"/>
      <c r="BH1764" s="25"/>
      <c r="BI1764" s="25"/>
      <c r="BJ1764" s="25"/>
      <c r="BK1764" s="25"/>
      <c r="BL1764" s="25"/>
      <c r="BM1764" s="25"/>
      <c r="BN1764" s="25"/>
      <c r="BO1764" s="25"/>
      <c r="BP1764" s="25"/>
      <c r="BQ1764" s="25"/>
      <c r="BR1764" s="25"/>
      <c r="BS1764" s="25"/>
      <c r="BT1764" s="25"/>
      <c r="CD1764" s="25"/>
      <c r="CE1764" s="200"/>
      <c r="CF1764" s="200"/>
      <c r="CG1764" s="200"/>
      <c r="CH1764" s="200"/>
      <c r="CI1764" s="200"/>
      <c r="CJ1764" s="200"/>
      <c r="CK1764" s="200"/>
      <c r="CL1764" s="200"/>
      <c r="CM1764" s="200"/>
      <c r="CN1764" s="200"/>
      <c r="CO1764" s="200"/>
      <c r="CP1764" s="200"/>
      <c r="CQ1764" s="200"/>
      <c r="CR1764" s="200"/>
      <c r="CS1764" s="200"/>
      <c r="CT1764" s="200"/>
      <c r="CU1764" s="200"/>
    </row>
    <row r="1765" spans="1:99" s="17" customFormat="1" x14ac:dyDescent="0.2">
      <c r="A1765" s="25"/>
      <c r="B1765" s="20">
        <v>39061010201</v>
      </c>
      <c r="C1765" s="20">
        <v>102.01</v>
      </c>
      <c r="D1765" s="20" t="s">
        <v>37</v>
      </c>
      <c r="E1765" s="20" t="s">
        <v>2828</v>
      </c>
      <c r="F1765" s="20" t="s">
        <v>6</v>
      </c>
      <c r="G1765" s="861">
        <v>47.253835525526902</v>
      </c>
      <c r="H1765" s="861">
        <v>59.045334742268501</v>
      </c>
      <c r="I1765" s="861">
        <v>40.830266877136502</v>
      </c>
      <c r="J1765" s="861">
        <v>37.274849920953002</v>
      </c>
      <c r="K1765" s="982">
        <v>0</v>
      </c>
      <c r="L1765" s="735">
        <v>5391</v>
      </c>
      <c r="M1765" s="735">
        <v>6170</v>
      </c>
      <c r="N1765" s="845">
        <f t="shared" si="148"/>
        <v>0.14450009274717121</v>
      </c>
      <c r="O1765" s="735">
        <v>0.91033738374961115</v>
      </c>
      <c r="P1765" s="735">
        <f t="shared" si="149"/>
        <v>6777.7069360660926</v>
      </c>
      <c r="Q1765" s="849">
        <v>31.4</v>
      </c>
      <c r="R1765" s="71">
        <v>45393</v>
      </c>
      <c r="S1765" s="845">
        <v>0.10858915741345526</v>
      </c>
      <c r="T1765" s="845">
        <v>4.4999999999999998E-2</v>
      </c>
      <c r="U1765" s="845">
        <v>0.02</v>
      </c>
      <c r="V1765" s="845">
        <v>0</v>
      </c>
      <c r="W1765" s="845">
        <v>0.62384341637010676</v>
      </c>
      <c r="X1765" s="845">
        <v>0.27952082144894469</v>
      </c>
      <c r="Y1765" s="845">
        <v>0.46628849270664507</v>
      </c>
      <c r="Z1765" s="845">
        <v>0.45170178282009726</v>
      </c>
      <c r="AA1765" s="845">
        <v>0</v>
      </c>
      <c r="AB1765" s="845">
        <v>2.366288492706645E-2</v>
      </c>
      <c r="AC1765" s="845">
        <v>0</v>
      </c>
      <c r="AD1765" s="845">
        <v>2.9173419773095622E-3</v>
      </c>
      <c r="AE1765" s="845">
        <v>5.5429497568881686E-2</v>
      </c>
      <c r="AF1765" s="845">
        <v>3.0794165316045379E-3</v>
      </c>
      <c r="AG1765" s="845">
        <v>0.46628849270664507</v>
      </c>
      <c r="AH1765" s="20" t="str">
        <f t="shared" si="150"/>
        <v>No</v>
      </c>
      <c r="AI1765" s="25"/>
      <c r="AJ1765" s="37">
        <v>43963</v>
      </c>
      <c r="AK1765" s="37" t="s">
        <v>1132</v>
      </c>
      <c r="AL1765" s="37">
        <v>39081</v>
      </c>
      <c r="AM1765" s="37" t="s">
        <v>47</v>
      </c>
      <c r="AN1765" s="37">
        <f t="shared" si="151"/>
        <v>48260</v>
      </c>
      <c r="AO1765" s="37" t="str">
        <f t="shared" si="152"/>
        <v>Weirton-Steubenville, WV-OH</v>
      </c>
      <c r="AP1765" s="20" t="s">
        <v>8</v>
      </c>
      <c r="AQ1765" s="25"/>
      <c r="AR1765" s="25"/>
      <c r="AS1765" s="25"/>
      <c r="AT1765" s="25"/>
      <c r="AU1765" s="36"/>
      <c r="AV1765" s="36"/>
      <c r="AW1765" s="36"/>
      <c r="AX1765" s="25"/>
      <c r="AY1765" s="25"/>
      <c r="AZ1765" s="25"/>
      <c r="BA1765" s="25"/>
      <c r="BB1765" s="25"/>
      <c r="BC1765" s="25"/>
      <c r="BD1765" s="25"/>
      <c r="BE1765" s="25"/>
      <c r="BF1765" s="25"/>
      <c r="BG1765" s="25"/>
      <c r="BH1765" s="25"/>
      <c r="BI1765" s="25"/>
      <c r="BJ1765" s="25"/>
      <c r="BK1765" s="25"/>
      <c r="BL1765" s="25"/>
      <c r="BM1765" s="25"/>
      <c r="BN1765" s="25"/>
      <c r="BO1765" s="25"/>
      <c r="BP1765" s="25"/>
      <c r="BQ1765" s="25"/>
      <c r="BR1765" s="25"/>
      <c r="BS1765" s="25"/>
      <c r="BT1765" s="25"/>
      <c r="CD1765" s="25"/>
      <c r="CE1765" s="200"/>
      <c r="CF1765" s="200"/>
      <c r="CG1765" s="200"/>
      <c r="CH1765" s="200"/>
      <c r="CI1765" s="200"/>
      <c r="CJ1765" s="200"/>
      <c r="CK1765" s="200"/>
      <c r="CL1765" s="200"/>
      <c r="CM1765" s="200"/>
      <c r="CN1765" s="200"/>
      <c r="CO1765" s="200"/>
      <c r="CP1765" s="200"/>
      <c r="CQ1765" s="200"/>
      <c r="CR1765" s="200"/>
      <c r="CS1765" s="200"/>
      <c r="CT1765" s="200"/>
      <c r="CU1765" s="200"/>
    </row>
    <row r="1766" spans="1:99" s="17" customFormat="1" x14ac:dyDescent="0.2">
      <c r="A1766" s="25"/>
      <c r="B1766" s="20">
        <v>39027964501</v>
      </c>
      <c r="C1766" s="20">
        <v>9645.01</v>
      </c>
      <c r="D1766" s="20" t="s">
        <v>20</v>
      </c>
      <c r="E1766" s="20" t="s">
        <v>265</v>
      </c>
      <c r="F1766" s="20" t="s">
        <v>8</v>
      </c>
      <c r="G1766" s="861">
        <v>47.249185235663198</v>
      </c>
      <c r="H1766" s="861">
        <v>56.0081491223916</v>
      </c>
      <c r="I1766" s="861">
        <v>41.781836711649497</v>
      </c>
      <c r="J1766" s="861">
        <v>53.124640742664198</v>
      </c>
      <c r="K1766" s="982">
        <v>0</v>
      </c>
      <c r="L1766" s="735" t="s">
        <v>2466</v>
      </c>
      <c r="M1766" s="735">
        <v>3202</v>
      </c>
      <c r="N1766" s="845" t="str">
        <f t="shared" si="148"/>
        <v/>
      </c>
      <c r="O1766" s="735">
        <v>7.1905403457624368</v>
      </c>
      <c r="P1766" s="735">
        <f t="shared" si="149"/>
        <v>445.30728513150166</v>
      </c>
      <c r="Q1766" s="849">
        <v>50.3</v>
      </c>
      <c r="R1766" s="71">
        <v>65119</v>
      </c>
      <c r="S1766" s="845">
        <v>0.15336266499057197</v>
      </c>
      <c r="T1766" s="845">
        <v>2.6000000000000002E-2</v>
      </c>
      <c r="U1766" s="845">
        <v>0</v>
      </c>
      <c r="V1766" s="845">
        <v>6.0999999999999999E-2</v>
      </c>
      <c r="W1766" s="845">
        <v>0.41764705882352943</v>
      </c>
      <c r="X1766" s="845">
        <v>0.34225352112676055</v>
      </c>
      <c r="Y1766" s="845">
        <v>0.87820112429731423</v>
      </c>
      <c r="Z1766" s="845">
        <v>5.3404122423485322E-2</v>
      </c>
      <c r="AA1766" s="845">
        <v>0</v>
      </c>
      <c r="AB1766" s="845">
        <v>4.1848844472204869E-2</v>
      </c>
      <c r="AC1766" s="845">
        <v>0</v>
      </c>
      <c r="AD1766" s="845">
        <v>0</v>
      </c>
      <c r="AE1766" s="845">
        <v>2.6545908806995627E-2</v>
      </c>
      <c r="AF1766" s="845">
        <v>3.1230480949406619E-3</v>
      </c>
      <c r="AG1766" s="845">
        <v>0.87820112429731423</v>
      </c>
      <c r="AH1766" s="20" t="str">
        <f t="shared" si="150"/>
        <v>No</v>
      </c>
      <c r="AI1766" s="25"/>
      <c r="AJ1766" s="20">
        <v>43964</v>
      </c>
      <c r="AK1766" s="20" t="s">
        <v>1133</v>
      </c>
      <c r="AL1766" s="20">
        <v>39081</v>
      </c>
      <c r="AM1766" s="20" t="s">
        <v>47</v>
      </c>
      <c r="AN1766" s="37">
        <f t="shared" si="151"/>
        <v>48260</v>
      </c>
      <c r="AO1766" s="37" t="str">
        <f t="shared" si="152"/>
        <v>Weirton-Steubenville, WV-OH</v>
      </c>
      <c r="AP1766" s="20" t="s">
        <v>8</v>
      </c>
      <c r="AQ1766" s="25"/>
      <c r="AR1766" s="25"/>
      <c r="AS1766" s="25"/>
      <c r="AT1766" s="25"/>
      <c r="AU1766" s="36"/>
      <c r="AV1766" s="36"/>
      <c r="AW1766" s="36"/>
      <c r="AX1766" s="25"/>
      <c r="AY1766" s="25"/>
      <c r="AZ1766" s="25"/>
      <c r="BA1766" s="25"/>
      <c r="BB1766" s="25"/>
      <c r="BC1766" s="25"/>
      <c r="BD1766" s="25"/>
      <c r="BE1766" s="25"/>
      <c r="BF1766" s="25"/>
      <c r="BG1766" s="25"/>
      <c r="BH1766" s="25"/>
      <c r="BI1766" s="25"/>
      <c r="BJ1766" s="25"/>
      <c r="BK1766" s="25"/>
      <c r="BL1766" s="25"/>
      <c r="BM1766" s="25"/>
      <c r="BN1766" s="25"/>
      <c r="BO1766" s="25"/>
      <c r="BP1766" s="25"/>
      <c r="BQ1766" s="25"/>
      <c r="BR1766" s="25"/>
      <c r="BS1766" s="25"/>
      <c r="BT1766" s="25"/>
      <c r="CD1766" s="25"/>
      <c r="CE1766" s="200"/>
      <c r="CF1766" s="200"/>
      <c r="CG1766" s="200"/>
      <c r="CH1766" s="200"/>
      <c r="CI1766" s="200"/>
      <c r="CJ1766" s="200"/>
      <c r="CK1766" s="200"/>
      <c r="CL1766" s="200"/>
      <c r="CM1766" s="200"/>
      <c r="CN1766" s="200"/>
      <c r="CO1766" s="200"/>
      <c r="CP1766" s="200"/>
      <c r="CQ1766" s="200"/>
      <c r="CR1766" s="200"/>
      <c r="CS1766" s="200"/>
      <c r="CT1766" s="200"/>
      <c r="CU1766" s="200"/>
    </row>
    <row r="1767" spans="1:99" s="17" customFormat="1" x14ac:dyDescent="0.2">
      <c r="A1767" s="25"/>
      <c r="B1767" s="20">
        <v>39027964600</v>
      </c>
      <c r="C1767" s="20">
        <v>9646</v>
      </c>
      <c r="D1767" s="20" t="s">
        <v>20</v>
      </c>
      <c r="E1767" s="20" t="s">
        <v>265</v>
      </c>
      <c r="F1767" s="20" t="s">
        <v>6</v>
      </c>
      <c r="G1767" s="861">
        <v>47.223798719011803</v>
      </c>
      <c r="H1767" s="861">
        <v>50.924741577562301</v>
      </c>
      <c r="I1767" s="861">
        <v>47.682640458148001</v>
      </c>
      <c r="J1767" s="861">
        <v>43.6146311480869</v>
      </c>
      <c r="K1767" s="982">
        <v>0</v>
      </c>
      <c r="L1767" s="735">
        <v>2490</v>
      </c>
      <c r="M1767" s="735">
        <v>2753</v>
      </c>
      <c r="N1767" s="845">
        <f t="shared" si="148"/>
        <v>0.10562248995983936</v>
      </c>
      <c r="O1767" s="735">
        <v>0.66672004915111371</v>
      </c>
      <c r="P1767" s="735">
        <f t="shared" si="149"/>
        <v>4129.169362021129</v>
      </c>
      <c r="Q1767" s="849">
        <v>41.7</v>
      </c>
      <c r="R1767" s="71">
        <v>59153</v>
      </c>
      <c r="S1767" s="845">
        <v>0.23137401722201423</v>
      </c>
      <c r="T1767" s="845">
        <v>5.7999999999999996E-2</v>
      </c>
      <c r="U1767" s="845">
        <v>0</v>
      </c>
      <c r="V1767" s="845">
        <v>0.03</v>
      </c>
      <c r="W1767" s="845">
        <v>0.52429667519181589</v>
      </c>
      <c r="X1767" s="845">
        <v>0.46016260162601624</v>
      </c>
      <c r="Y1767" s="845">
        <v>0.92553577915001817</v>
      </c>
      <c r="Z1767" s="845">
        <v>3.2328369051943334E-2</v>
      </c>
      <c r="AA1767" s="845">
        <v>1.452960406828914E-3</v>
      </c>
      <c r="AB1767" s="845">
        <v>1.452960406828914E-3</v>
      </c>
      <c r="AC1767" s="845">
        <v>0</v>
      </c>
      <c r="AD1767" s="845">
        <v>6.5383218307301129E-3</v>
      </c>
      <c r="AE1767" s="845">
        <v>3.2691609153650561E-2</v>
      </c>
      <c r="AF1767" s="845">
        <v>1.3439883763167454E-2</v>
      </c>
      <c r="AG1767" s="845">
        <v>0.91209589538685076</v>
      </c>
      <c r="AH1767" s="20" t="str">
        <f t="shared" si="150"/>
        <v>Yes</v>
      </c>
      <c r="AI1767" s="25"/>
      <c r="AJ1767" s="20">
        <v>43971</v>
      </c>
      <c r="AK1767" s="20" t="s">
        <v>1136</v>
      </c>
      <c r="AL1767" s="20">
        <v>39081</v>
      </c>
      <c r="AM1767" s="20" t="s">
        <v>47</v>
      </c>
      <c r="AN1767" s="37">
        <f t="shared" si="151"/>
        <v>48260</v>
      </c>
      <c r="AO1767" s="37" t="str">
        <f t="shared" si="152"/>
        <v>Weirton-Steubenville, WV-OH</v>
      </c>
      <c r="AP1767" s="20" t="s">
        <v>8</v>
      </c>
      <c r="AQ1767" s="25"/>
      <c r="AR1767" s="25"/>
      <c r="AS1767" s="25"/>
      <c r="AT1767" s="25"/>
      <c r="AU1767" s="36"/>
      <c r="AV1767" s="36"/>
      <c r="AW1767" s="36"/>
      <c r="AX1767" s="25"/>
      <c r="AY1767" s="25"/>
      <c r="AZ1767" s="25"/>
      <c r="BA1767" s="25"/>
      <c r="BB1767" s="25"/>
      <c r="BC1767" s="25"/>
      <c r="BD1767" s="25"/>
      <c r="BE1767" s="25"/>
      <c r="BF1767" s="25"/>
      <c r="BG1767" s="25"/>
      <c r="BH1767" s="25"/>
      <c r="BI1767" s="25"/>
      <c r="BJ1767" s="25"/>
      <c r="BK1767" s="25"/>
      <c r="BL1767" s="25"/>
      <c r="BM1767" s="25"/>
      <c r="BN1767" s="25"/>
      <c r="BO1767" s="25"/>
      <c r="BP1767" s="25"/>
      <c r="BQ1767" s="25"/>
      <c r="BR1767" s="25"/>
      <c r="BS1767" s="25"/>
      <c r="BT1767" s="25"/>
      <c r="CD1767" s="25"/>
      <c r="CE1767" s="200"/>
      <c r="CF1767" s="200"/>
      <c r="CG1767" s="200"/>
      <c r="CH1767" s="200"/>
      <c r="CI1767" s="200"/>
      <c r="CJ1767" s="200"/>
      <c r="CK1767" s="200"/>
      <c r="CL1767" s="200"/>
      <c r="CM1767" s="200"/>
      <c r="CN1767" s="200"/>
      <c r="CO1767" s="200"/>
      <c r="CP1767" s="200"/>
      <c r="CQ1767" s="200"/>
      <c r="CR1767" s="200"/>
      <c r="CS1767" s="200"/>
      <c r="CT1767" s="200"/>
      <c r="CU1767" s="200"/>
    </row>
    <row r="1768" spans="1:99" s="17" customFormat="1" x14ac:dyDescent="0.2">
      <c r="A1768" s="25"/>
      <c r="B1768" s="20">
        <v>39045031402</v>
      </c>
      <c r="C1768" s="20">
        <v>314.02</v>
      </c>
      <c r="D1768" s="20" t="s">
        <v>29</v>
      </c>
      <c r="E1768" s="20" t="s">
        <v>2830</v>
      </c>
      <c r="F1768" s="20" t="s">
        <v>8</v>
      </c>
      <c r="G1768" s="861">
        <v>47.218619262996398</v>
      </c>
      <c r="H1768" s="861">
        <v>53.749660798226003</v>
      </c>
      <c r="I1768" s="861">
        <v>38.108228180717198</v>
      </c>
      <c r="J1768" s="861">
        <v>50.3307808245888</v>
      </c>
      <c r="K1768" s="982">
        <v>0</v>
      </c>
      <c r="L1768" s="735" t="s">
        <v>2466</v>
      </c>
      <c r="M1768" s="735">
        <v>4584</v>
      </c>
      <c r="N1768" s="845" t="str">
        <f t="shared" si="148"/>
        <v/>
      </c>
      <c r="O1768" s="735">
        <v>1.5502916729606147</v>
      </c>
      <c r="P1768" s="735">
        <f t="shared" si="149"/>
        <v>2956.8629438909829</v>
      </c>
      <c r="Q1768" s="849">
        <v>40.200000000000003</v>
      </c>
      <c r="R1768" s="71">
        <v>52675</v>
      </c>
      <c r="S1768" s="845">
        <v>8.0202811707766761E-2</v>
      </c>
      <c r="T1768" s="845">
        <v>3.4000000000000002E-2</v>
      </c>
      <c r="U1768" s="845">
        <v>1.9E-2</v>
      </c>
      <c r="V1768" s="845">
        <v>4.4000000000000004E-2</v>
      </c>
      <c r="W1768" s="845">
        <v>0.55738522954091818</v>
      </c>
      <c r="X1768" s="845">
        <v>0.43867502238137868</v>
      </c>
      <c r="Y1768" s="845">
        <v>0.93171902268760909</v>
      </c>
      <c r="Z1768" s="845">
        <v>2.8359511343804537E-2</v>
      </c>
      <c r="AA1768" s="845">
        <v>0</v>
      </c>
      <c r="AB1768" s="845">
        <v>2.8359511343804536E-3</v>
      </c>
      <c r="AC1768" s="845">
        <v>9.3804537521815015E-3</v>
      </c>
      <c r="AD1768" s="845">
        <v>1.5706806282722512E-2</v>
      </c>
      <c r="AE1768" s="845">
        <v>1.199825479930192E-2</v>
      </c>
      <c r="AF1768" s="845">
        <v>1.8979057591623036E-2</v>
      </c>
      <c r="AG1768" s="845">
        <v>0.93171902268760909</v>
      </c>
      <c r="AH1768" s="20" t="str">
        <f t="shared" si="150"/>
        <v>Yes</v>
      </c>
      <c r="AI1768" s="25"/>
      <c r="AJ1768" s="20">
        <v>43713</v>
      </c>
      <c r="AK1768" s="20" t="s">
        <v>1021</v>
      </c>
      <c r="AL1768" s="20">
        <v>39013</v>
      </c>
      <c r="AM1768" s="20" t="s">
        <v>13</v>
      </c>
      <c r="AN1768" s="37">
        <f t="shared" si="151"/>
        <v>48540</v>
      </c>
      <c r="AO1768" s="37" t="str">
        <f t="shared" si="152"/>
        <v>Wheeling, WV-OH</v>
      </c>
      <c r="AP1768" s="20" t="s">
        <v>8</v>
      </c>
      <c r="AQ1768" s="25"/>
      <c r="AR1768" s="25"/>
      <c r="AS1768" s="25"/>
      <c r="AT1768" s="25"/>
      <c r="AU1768" s="36"/>
      <c r="AV1768" s="36"/>
      <c r="AW1768" s="36"/>
      <c r="AX1768" s="25"/>
      <c r="AY1768" s="25"/>
      <c r="AZ1768" s="25"/>
      <c r="BA1768" s="25"/>
      <c r="BB1768" s="25"/>
      <c r="BC1768" s="25"/>
      <c r="BD1768" s="25"/>
      <c r="BE1768" s="25"/>
      <c r="BF1768" s="25"/>
      <c r="BG1768" s="25"/>
      <c r="BH1768" s="25"/>
      <c r="BI1768" s="25"/>
      <c r="BJ1768" s="25"/>
      <c r="BK1768" s="25"/>
      <c r="BL1768" s="25"/>
      <c r="BM1768" s="25"/>
      <c r="BN1768" s="25"/>
      <c r="BO1768" s="25"/>
      <c r="BP1768" s="25"/>
      <c r="BQ1768" s="25"/>
      <c r="BR1768" s="25"/>
      <c r="BS1768" s="25"/>
      <c r="BT1768" s="25"/>
      <c r="CD1768" s="25"/>
      <c r="CE1768" s="200"/>
      <c r="CF1768" s="200"/>
      <c r="CG1768" s="200"/>
      <c r="CH1768" s="200"/>
      <c r="CI1768" s="200"/>
      <c r="CJ1768" s="200"/>
      <c r="CK1768" s="200"/>
      <c r="CL1768" s="200"/>
      <c r="CM1768" s="200"/>
      <c r="CN1768" s="200"/>
      <c r="CO1768" s="200"/>
      <c r="CP1768" s="200"/>
      <c r="CQ1768" s="200"/>
      <c r="CR1768" s="200"/>
      <c r="CS1768" s="200"/>
      <c r="CT1768" s="200"/>
      <c r="CU1768" s="200"/>
    </row>
    <row r="1769" spans="1:99" s="17" customFormat="1" x14ac:dyDescent="0.2">
      <c r="A1769" s="25"/>
      <c r="B1769" s="20">
        <v>39133600902</v>
      </c>
      <c r="C1769" s="20">
        <v>6009.02</v>
      </c>
      <c r="D1769" s="20" t="s">
        <v>72</v>
      </c>
      <c r="E1769" s="20" t="s">
        <v>2843</v>
      </c>
      <c r="F1769" s="20" t="s">
        <v>6</v>
      </c>
      <c r="G1769" s="861">
        <v>47.184461499215999</v>
      </c>
      <c r="H1769" s="861">
        <v>53.8310290684351</v>
      </c>
      <c r="I1769" s="861">
        <v>49.643908259887802</v>
      </c>
      <c r="J1769" s="861">
        <v>49.902395630342497</v>
      </c>
      <c r="K1769" s="982">
        <v>0</v>
      </c>
      <c r="L1769" s="735">
        <v>5479</v>
      </c>
      <c r="M1769" s="735">
        <v>5235</v>
      </c>
      <c r="N1769" s="845">
        <f t="shared" si="148"/>
        <v>-4.4533674028107317E-2</v>
      </c>
      <c r="O1769" s="735">
        <v>3.1907721769425423</v>
      </c>
      <c r="P1769" s="735">
        <f t="shared" si="149"/>
        <v>1640.6686876078616</v>
      </c>
      <c r="Q1769" s="849">
        <v>42.3</v>
      </c>
      <c r="R1769" s="71">
        <v>48047</v>
      </c>
      <c r="S1769" s="845">
        <v>0.19121298949379179</v>
      </c>
      <c r="T1769" s="845">
        <v>2.7999999999999997E-2</v>
      </c>
      <c r="U1769" s="845">
        <v>0</v>
      </c>
      <c r="V1769" s="845">
        <v>0</v>
      </c>
      <c r="W1769" s="845">
        <v>0.45454545454545453</v>
      </c>
      <c r="X1769" s="845">
        <v>0.74838709677419357</v>
      </c>
      <c r="Y1769" s="845">
        <v>0.79961795606494745</v>
      </c>
      <c r="Z1769" s="845">
        <v>0.11786055396370583</v>
      </c>
      <c r="AA1769" s="845">
        <v>0</v>
      </c>
      <c r="AB1769" s="845">
        <v>0</v>
      </c>
      <c r="AC1769" s="845">
        <v>0</v>
      </c>
      <c r="AD1769" s="845">
        <v>2.2349570200573064E-2</v>
      </c>
      <c r="AE1769" s="845">
        <v>6.0171919770773637E-2</v>
      </c>
      <c r="AF1769" s="845">
        <v>5.9216809933142316E-3</v>
      </c>
      <c r="AG1769" s="845">
        <v>0.79961795606494745</v>
      </c>
      <c r="AH1769" s="20" t="str">
        <f t="shared" si="150"/>
        <v>No</v>
      </c>
      <c r="AI1769" s="25"/>
      <c r="AJ1769" s="20">
        <v>43716</v>
      </c>
      <c r="AK1769" s="20" t="s">
        <v>1022</v>
      </c>
      <c r="AL1769" s="20">
        <v>39013</v>
      </c>
      <c r="AM1769" s="20" t="s">
        <v>13</v>
      </c>
      <c r="AN1769" s="37">
        <f t="shared" si="151"/>
        <v>48540</v>
      </c>
      <c r="AO1769" s="37" t="str">
        <f t="shared" si="152"/>
        <v>Wheeling, WV-OH</v>
      </c>
      <c r="AP1769" s="20" t="s">
        <v>8</v>
      </c>
      <c r="AQ1769" s="25"/>
      <c r="AR1769" s="25"/>
      <c r="AS1769" s="25"/>
      <c r="AT1769" s="25"/>
      <c r="AU1769" s="36"/>
      <c r="AV1769" s="36"/>
      <c r="AW1769" s="36"/>
      <c r="AX1769" s="25"/>
      <c r="AY1769" s="25"/>
      <c r="AZ1769" s="25"/>
      <c r="BA1769" s="25"/>
      <c r="BB1769" s="25"/>
      <c r="BC1769" s="25"/>
      <c r="BD1769" s="25"/>
      <c r="BE1769" s="25"/>
      <c r="BF1769" s="25"/>
      <c r="BG1769" s="25"/>
      <c r="BH1769" s="25"/>
      <c r="BI1769" s="25"/>
      <c r="BJ1769" s="25"/>
      <c r="BK1769" s="25"/>
      <c r="BL1769" s="25"/>
      <c r="BM1769" s="25"/>
      <c r="BN1769" s="25"/>
      <c r="BO1769" s="25"/>
      <c r="BP1769" s="25"/>
      <c r="BQ1769" s="25"/>
      <c r="BR1769" s="25"/>
      <c r="BS1769" s="25"/>
      <c r="BT1769" s="25"/>
      <c r="CD1769" s="25"/>
      <c r="CE1769" s="200"/>
      <c r="CF1769" s="200"/>
      <c r="CG1769" s="200"/>
      <c r="CH1769" s="200"/>
      <c r="CI1769" s="200"/>
      <c r="CJ1769" s="200"/>
      <c r="CK1769" s="200"/>
      <c r="CL1769" s="200"/>
      <c r="CM1769" s="200"/>
      <c r="CN1769" s="200"/>
      <c r="CO1769" s="200"/>
      <c r="CP1769" s="200"/>
      <c r="CQ1769" s="200"/>
      <c r="CR1769" s="200"/>
      <c r="CS1769" s="200"/>
      <c r="CT1769" s="200"/>
      <c r="CU1769" s="200"/>
    </row>
    <row r="1770" spans="1:99" s="17" customFormat="1" x14ac:dyDescent="0.2">
      <c r="A1770" s="25"/>
      <c r="B1770" s="20">
        <v>39117965300</v>
      </c>
      <c r="C1770" s="20">
        <v>9653</v>
      </c>
      <c r="D1770" s="20" t="s">
        <v>64</v>
      </c>
      <c r="E1770" s="20" t="s">
        <v>2830</v>
      </c>
      <c r="F1770" s="20" t="s">
        <v>8</v>
      </c>
      <c r="G1770" s="861">
        <v>47.1841390512446</v>
      </c>
      <c r="H1770" s="861">
        <v>58.041547080028899</v>
      </c>
      <c r="I1770" s="861">
        <v>32.400751653744599</v>
      </c>
      <c r="J1770" s="861">
        <v>38.5072504808833</v>
      </c>
      <c r="K1770" s="982">
        <v>0</v>
      </c>
      <c r="L1770" s="735">
        <v>5911</v>
      </c>
      <c r="M1770" s="735">
        <v>6056</v>
      </c>
      <c r="N1770" s="845">
        <f t="shared" si="148"/>
        <v>2.4530536288276096E-2</v>
      </c>
      <c r="O1770" s="735">
        <v>72.728412255143525</v>
      </c>
      <c r="P1770" s="735">
        <f t="shared" si="149"/>
        <v>83.268695303762883</v>
      </c>
      <c r="Q1770" s="849">
        <v>47.1</v>
      </c>
      <c r="R1770" s="71">
        <v>64731</v>
      </c>
      <c r="S1770" s="845">
        <v>9.3858632676709158E-2</v>
      </c>
      <c r="T1770" s="845">
        <v>3.5000000000000003E-2</v>
      </c>
      <c r="U1770" s="845">
        <v>1.4999999999999999E-2</v>
      </c>
      <c r="V1770" s="845">
        <v>0</v>
      </c>
      <c r="W1770" s="845">
        <v>0.20063821300358994</v>
      </c>
      <c r="X1770" s="845">
        <v>0.26640159045725648</v>
      </c>
      <c r="Y1770" s="845">
        <v>0.95161822985468958</v>
      </c>
      <c r="Z1770" s="845">
        <v>3.3025099075297227E-3</v>
      </c>
      <c r="AA1770" s="845">
        <v>0</v>
      </c>
      <c r="AB1770" s="845">
        <v>0</v>
      </c>
      <c r="AC1770" s="845">
        <v>0</v>
      </c>
      <c r="AD1770" s="845">
        <v>1.4861294583883751E-2</v>
      </c>
      <c r="AE1770" s="845">
        <v>3.021796565389696E-2</v>
      </c>
      <c r="AF1770" s="845">
        <v>4.7886393659180978E-3</v>
      </c>
      <c r="AG1770" s="845">
        <v>0.94996697490092474</v>
      </c>
      <c r="AH1770" s="20" t="str">
        <f t="shared" si="150"/>
        <v>Yes</v>
      </c>
      <c r="AI1770" s="25"/>
      <c r="AJ1770" s="20">
        <v>43718</v>
      </c>
      <c r="AK1770" s="20" t="s">
        <v>1024</v>
      </c>
      <c r="AL1770" s="20">
        <v>39013</v>
      </c>
      <c r="AM1770" s="20" t="s">
        <v>13</v>
      </c>
      <c r="AN1770" s="37">
        <f t="shared" si="151"/>
        <v>48540</v>
      </c>
      <c r="AO1770" s="37" t="str">
        <f t="shared" si="152"/>
        <v>Wheeling, WV-OH</v>
      </c>
      <c r="AP1770" s="20" t="s">
        <v>8</v>
      </c>
      <c r="AQ1770" s="25"/>
      <c r="AR1770" s="25"/>
      <c r="AS1770" s="25"/>
      <c r="AT1770" s="25"/>
      <c r="AU1770" s="36"/>
      <c r="AV1770" s="36"/>
      <c r="AW1770" s="36"/>
      <c r="AX1770" s="25"/>
      <c r="AY1770" s="25"/>
      <c r="AZ1770" s="25"/>
      <c r="BA1770" s="25"/>
      <c r="BB1770" s="25"/>
      <c r="BC1770" s="25"/>
      <c r="BD1770" s="25"/>
      <c r="BE1770" s="25"/>
      <c r="BF1770" s="25"/>
      <c r="BG1770" s="25"/>
      <c r="BH1770" s="25"/>
      <c r="BI1770" s="25"/>
      <c r="BJ1770" s="25"/>
      <c r="BK1770" s="25"/>
      <c r="BL1770" s="25"/>
      <c r="BM1770" s="25"/>
      <c r="BN1770" s="25"/>
      <c r="BO1770" s="25"/>
      <c r="BP1770" s="25"/>
      <c r="BQ1770" s="25"/>
      <c r="BR1770" s="25"/>
      <c r="BS1770" s="25"/>
      <c r="BT1770" s="25"/>
      <c r="CD1770" s="25"/>
      <c r="CE1770" s="200"/>
      <c r="CF1770" s="200"/>
      <c r="CG1770" s="200"/>
      <c r="CH1770" s="200"/>
      <c r="CI1770" s="200"/>
      <c r="CJ1770" s="200"/>
      <c r="CK1770" s="200"/>
      <c r="CL1770" s="200"/>
      <c r="CM1770" s="200"/>
      <c r="CN1770" s="200"/>
      <c r="CO1770" s="200"/>
      <c r="CP1770" s="200"/>
      <c r="CQ1770" s="200"/>
      <c r="CR1770" s="200"/>
      <c r="CS1770" s="200"/>
      <c r="CT1770" s="200"/>
      <c r="CU1770" s="200"/>
    </row>
    <row r="1771" spans="1:99" s="17" customFormat="1" x14ac:dyDescent="0.2">
      <c r="A1771" s="25"/>
      <c r="B1771" s="20">
        <v>39035177605</v>
      </c>
      <c r="C1771" s="20">
        <v>1776.05</v>
      </c>
      <c r="D1771" s="20" t="s">
        <v>24</v>
      </c>
      <c r="E1771" s="20" t="s">
        <v>2829</v>
      </c>
      <c r="F1771" s="20" t="s">
        <v>8</v>
      </c>
      <c r="G1771" s="861">
        <v>47.183393641847502</v>
      </c>
      <c r="H1771" s="861">
        <v>52.662931775315897</v>
      </c>
      <c r="I1771" s="861">
        <v>24.706846796932499</v>
      </c>
      <c r="J1771" s="861">
        <v>47.55912231317</v>
      </c>
      <c r="K1771" s="982">
        <v>0</v>
      </c>
      <c r="L1771" s="735">
        <v>2896</v>
      </c>
      <c r="M1771" s="735">
        <v>2726</v>
      </c>
      <c r="N1771" s="845">
        <f t="shared" si="148"/>
        <v>-5.8701657458563539E-2</v>
      </c>
      <c r="O1771" s="735">
        <v>0.95169394426293341</v>
      </c>
      <c r="P1771" s="735">
        <f t="shared" si="149"/>
        <v>2864.3662349992451</v>
      </c>
      <c r="Q1771" s="849">
        <v>44</v>
      </c>
      <c r="R1771" s="71">
        <v>74385</v>
      </c>
      <c r="S1771" s="845">
        <v>5.5025678650036686E-2</v>
      </c>
      <c r="T1771" s="845">
        <v>4.7E-2</v>
      </c>
      <c r="U1771" s="845">
        <v>2.3E-2</v>
      </c>
      <c r="V1771" s="845">
        <v>0</v>
      </c>
      <c r="W1771" s="845">
        <v>0.10231660231660232</v>
      </c>
      <c r="X1771" s="845">
        <v>0.25471698113207547</v>
      </c>
      <c r="Y1771" s="845">
        <v>0.92773294203961854</v>
      </c>
      <c r="Z1771" s="845">
        <v>7.3367571533382249E-4</v>
      </c>
      <c r="AA1771" s="845">
        <v>5.8694057226705799E-3</v>
      </c>
      <c r="AB1771" s="845">
        <v>0</v>
      </c>
      <c r="AC1771" s="845">
        <v>0</v>
      </c>
      <c r="AD1771" s="845">
        <v>1.6140865737344093E-2</v>
      </c>
      <c r="AE1771" s="845">
        <v>4.9523110785033013E-2</v>
      </c>
      <c r="AF1771" s="845">
        <v>3.9251650770359504E-2</v>
      </c>
      <c r="AG1771" s="845">
        <v>0.91049156272927367</v>
      </c>
      <c r="AH1771" s="20" t="str">
        <f t="shared" si="150"/>
        <v>Yes</v>
      </c>
      <c r="AI1771" s="25"/>
      <c r="AJ1771" s="37">
        <v>43719</v>
      </c>
      <c r="AK1771" s="37" t="s">
        <v>1025</v>
      </c>
      <c r="AL1771" s="37">
        <v>39013</v>
      </c>
      <c r="AM1771" s="37" t="s">
        <v>13</v>
      </c>
      <c r="AN1771" s="37">
        <f t="shared" si="151"/>
        <v>48540</v>
      </c>
      <c r="AO1771" s="37" t="str">
        <f t="shared" si="152"/>
        <v>Wheeling, WV-OH</v>
      </c>
      <c r="AP1771" s="20" t="s">
        <v>8</v>
      </c>
      <c r="AQ1771" s="25"/>
      <c r="AR1771" s="25"/>
      <c r="AS1771" s="25"/>
      <c r="AT1771" s="25"/>
      <c r="AU1771" s="36"/>
      <c r="AV1771" s="36"/>
      <c r="AW1771" s="36"/>
      <c r="AX1771" s="25"/>
      <c r="AY1771" s="25"/>
      <c r="AZ1771" s="25"/>
      <c r="BA1771" s="25"/>
      <c r="BB1771" s="25"/>
      <c r="BC1771" s="25"/>
      <c r="BD1771" s="25"/>
      <c r="BE1771" s="25"/>
      <c r="BF1771" s="25"/>
      <c r="BG1771" s="25"/>
      <c r="BH1771" s="25"/>
      <c r="BI1771" s="25"/>
      <c r="BJ1771" s="25"/>
      <c r="BK1771" s="25"/>
      <c r="BL1771" s="25"/>
      <c r="BM1771" s="25"/>
      <c r="BN1771" s="25"/>
      <c r="BO1771" s="25"/>
      <c r="BP1771" s="25"/>
      <c r="BQ1771" s="25"/>
      <c r="BR1771" s="25"/>
      <c r="BS1771" s="25"/>
      <c r="BT1771" s="25"/>
      <c r="CD1771" s="25"/>
      <c r="CE1771" s="200"/>
      <c r="CF1771" s="200"/>
      <c r="CG1771" s="200"/>
      <c r="CH1771" s="200"/>
      <c r="CI1771" s="200"/>
      <c r="CJ1771" s="200"/>
      <c r="CK1771" s="200"/>
      <c r="CL1771" s="200"/>
      <c r="CM1771" s="200"/>
      <c r="CN1771" s="200"/>
      <c r="CO1771" s="200"/>
      <c r="CP1771" s="200"/>
      <c r="CQ1771" s="200"/>
      <c r="CR1771" s="200"/>
      <c r="CS1771" s="200"/>
      <c r="CT1771" s="200"/>
      <c r="CU1771" s="200"/>
    </row>
    <row r="1772" spans="1:99" s="17" customFormat="1" x14ac:dyDescent="0.2">
      <c r="A1772" s="25"/>
      <c r="B1772" s="20">
        <v>39101000800</v>
      </c>
      <c r="C1772" s="20">
        <v>8</v>
      </c>
      <c r="D1772" s="20" t="s">
        <v>56</v>
      </c>
      <c r="E1772" s="20" t="s">
        <v>265</v>
      </c>
      <c r="F1772" s="20" t="s">
        <v>8</v>
      </c>
      <c r="G1772" s="861">
        <v>47.173578021815302</v>
      </c>
      <c r="H1772" s="861">
        <v>57.432971558497499</v>
      </c>
      <c r="I1772" s="861">
        <v>50.251045202836103</v>
      </c>
      <c r="J1772" s="861">
        <v>47.166939015103701</v>
      </c>
      <c r="K1772" s="982">
        <v>0</v>
      </c>
      <c r="L1772" s="735">
        <v>2309</v>
      </c>
      <c r="M1772" s="735">
        <v>2345</v>
      </c>
      <c r="N1772" s="845">
        <f t="shared" si="148"/>
        <v>1.5591165006496318E-2</v>
      </c>
      <c r="O1772" s="735">
        <v>0.48705860661267669</v>
      </c>
      <c r="P1772" s="735">
        <f t="shared" si="149"/>
        <v>4814.6156708094331</v>
      </c>
      <c r="Q1772" s="849">
        <v>34.200000000000003</v>
      </c>
      <c r="R1772" s="71">
        <v>40655</v>
      </c>
      <c r="S1772" s="845">
        <v>0.23113006396588487</v>
      </c>
      <c r="T1772" s="845">
        <v>0.152</v>
      </c>
      <c r="U1772" s="845">
        <v>0</v>
      </c>
      <c r="V1772" s="845">
        <v>0</v>
      </c>
      <c r="W1772" s="845">
        <v>0.46836847946725862</v>
      </c>
      <c r="X1772" s="845">
        <v>0.52132701421800953</v>
      </c>
      <c r="Y1772" s="845">
        <v>0.90447761194029852</v>
      </c>
      <c r="Z1772" s="845">
        <v>3.5394456289978678E-2</v>
      </c>
      <c r="AA1772" s="845">
        <v>0</v>
      </c>
      <c r="AB1772" s="845">
        <v>0</v>
      </c>
      <c r="AC1772" s="845">
        <v>0</v>
      </c>
      <c r="AD1772" s="845">
        <v>0</v>
      </c>
      <c r="AE1772" s="845">
        <v>6.0127931769722816E-2</v>
      </c>
      <c r="AF1772" s="845">
        <v>7.0788912579957355E-2</v>
      </c>
      <c r="AG1772" s="845">
        <v>0.84307036247334755</v>
      </c>
      <c r="AH1772" s="20" t="str">
        <f t="shared" si="150"/>
        <v>No</v>
      </c>
      <c r="AI1772" s="25"/>
      <c r="AJ1772" s="20">
        <v>43747</v>
      </c>
      <c r="AK1772" s="20" t="s">
        <v>1045</v>
      </c>
      <c r="AL1772" s="20">
        <v>39013</v>
      </c>
      <c r="AM1772" s="20" t="s">
        <v>13</v>
      </c>
      <c r="AN1772" s="37">
        <f t="shared" si="151"/>
        <v>48540</v>
      </c>
      <c r="AO1772" s="37" t="str">
        <f t="shared" si="152"/>
        <v>Wheeling, WV-OH</v>
      </c>
      <c r="AP1772" s="20" t="s">
        <v>8</v>
      </c>
      <c r="AQ1772" s="25"/>
      <c r="AR1772" s="25"/>
      <c r="AS1772" s="25"/>
      <c r="AT1772" s="25"/>
      <c r="AU1772" s="36"/>
      <c r="AV1772" s="36"/>
      <c r="AW1772" s="36"/>
      <c r="AX1772" s="25"/>
      <c r="AY1772" s="25"/>
      <c r="AZ1772" s="25"/>
      <c r="BA1772" s="25"/>
      <c r="BB1772" s="25"/>
      <c r="BC1772" s="25"/>
      <c r="BD1772" s="25"/>
      <c r="BE1772" s="25"/>
      <c r="BF1772" s="25"/>
      <c r="BG1772" s="25"/>
      <c r="BH1772" s="25"/>
      <c r="BI1772" s="25"/>
      <c r="BJ1772" s="25"/>
      <c r="BK1772" s="25"/>
      <c r="BL1772" s="25"/>
      <c r="BM1772" s="25"/>
      <c r="BN1772" s="25"/>
      <c r="BO1772" s="25"/>
      <c r="BP1772" s="25"/>
      <c r="BQ1772" s="25"/>
      <c r="BR1772" s="25"/>
      <c r="BS1772" s="25"/>
      <c r="BT1772" s="25"/>
      <c r="CD1772" s="25"/>
      <c r="CE1772" s="200"/>
      <c r="CF1772" s="200"/>
      <c r="CG1772" s="200"/>
      <c r="CH1772" s="200"/>
      <c r="CI1772" s="200"/>
      <c r="CJ1772" s="200"/>
      <c r="CK1772" s="200"/>
      <c r="CL1772" s="200"/>
      <c r="CM1772" s="200"/>
      <c r="CN1772" s="200"/>
      <c r="CO1772" s="200"/>
      <c r="CP1772" s="200"/>
      <c r="CQ1772" s="200"/>
      <c r="CR1772" s="200"/>
      <c r="CS1772" s="200"/>
      <c r="CT1772" s="200"/>
      <c r="CU1772" s="200"/>
    </row>
    <row r="1773" spans="1:99" s="17" customFormat="1" x14ac:dyDescent="0.2">
      <c r="A1773" s="25"/>
      <c r="B1773" s="20">
        <v>39035172105</v>
      </c>
      <c r="C1773" s="20">
        <v>1721.05</v>
      </c>
      <c r="D1773" s="20" t="s">
        <v>24</v>
      </c>
      <c r="E1773" s="20" t="s">
        <v>2829</v>
      </c>
      <c r="F1773" s="20" t="s">
        <v>8</v>
      </c>
      <c r="G1773" s="861">
        <v>47.165307777108701</v>
      </c>
      <c r="H1773" s="861">
        <v>53.168014768178502</v>
      </c>
      <c r="I1773" s="861">
        <v>35.612238582366302</v>
      </c>
      <c r="J1773" s="861">
        <v>39.934642340843403</v>
      </c>
      <c r="K1773" s="982">
        <v>1</v>
      </c>
      <c r="L1773" s="735" t="s">
        <v>2466</v>
      </c>
      <c r="M1773" s="735">
        <v>3919</v>
      </c>
      <c r="N1773" s="845" t="str">
        <f t="shared" si="148"/>
        <v/>
      </c>
      <c r="O1773" s="735">
        <v>0.29848013472154511</v>
      </c>
      <c r="P1773" s="735">
        <f t="shared" si="149"/>
        <v>13129.852020658163</v>
      </c>
      <c r="Q1773" s="849">
        <v>42.6</v>
      </c>
      <c r="R1773" s="71">
        <v>42305</v>
      </c>
      <c r="S1773" s="845">
        <v>0.15859722585710548</v>
      </c>
      <c r="T1773" s="845">
        <v>7.400000000000001E-2</v>
      </c>
      <c r="U1773" s="845">
        <v>0</v>
      </c>
      <c r="V1773" s="845">
        <v>0</v>
      </c>
      <c r="W1773" s="845">
        <v>0.91180461329715057</v>
      </c>
      <c r="X1773" s="845">
        <v>0.39186507936507936</v>
      </c>
      <c r="Y1773" s="845">
        <v>0.49553457514672111</v>
      </c>
      <c r="Z1773" s="845">
        <v>0.29114570043378413</v>
      </c>
      <c r="AA1773" s="845">
        <v>0</v>
      </c>
      <c r="AB1773" s="845">
        <v>0.13090073998468998</v>
      </c>
      <c r="AC1773" s="845">
        <v>0</v>
      </c>
      <c r="AD1773" s="845">
        <v>0</v>
      </c>
      <c r="AE1773" s="845">
        <v>8.2418984434804804E-2</v>
      </c>
      <c r="AF1773" s="845">
        <v>1.3013523858127074E-2</v>
      </c>
      <c r="AG1773" s="845">
        <v>0.49553457514672111</v>
      </c>
      <c r="AH1773" s="20" t="str">
        <f t="shared" si="150"/>
        <v>No</v>
      </c>
      <c r="AI1773" s="25"/>
      <c r="AJ1773" s="37">
        <v>43759</v>
      </c>
      <c r="AK1773" s="37" t="s">
        <v>1053</v>
      </c>
      <c r="AL1773" s="37">
        <v>39013</v>
      </c>
      <c r="AM1773" s="37" t="s">
        <v>13</v>
      </c>
      <c r="AN1773" s="37">
        <f t="shared" si="151"/>
        <v>48540</v>
      </c>
      <c r="AO1773" s="37" t="str">
        <f t="shared" si="152"/>
        <v>Wheeling, WV-OH</v>
      </c>
      <c r="AP1773" s="20" t="s">
        <v>8</v>
      </c>
      <c r="AQ1773" s="25"/>
      <c r="AR1773" s="25"/>
      <c r="AS1773" s="25"/>
      <c r="AT1773" s="25"/>
      <c r="AU1773" s="36"/>
      <c r="AV1773" s="36"/>
      <c r="AW1773" s="36"/>
      <c r="AX1773" s="25"/>
      <c r="AY1773" s="25"/>
      <c r="AZ1773" s="25"/>
      <c r="BA1773" s="25"/>
      <c r="BB1773" s="25"/>
      <c r="BC1773" s="25"/>
      <c r="BD1773" s="25"/>
      <c r="BE1773" s="25"/>
      <c r="BF1773" s="25"/>
      <c r="BG1773" s="25"/>
      <c r="BH1773" s="25"/>
      <c r="BI1773" s="25"/>
      <c r="BJ1773" s="25"/>
      <c r="BK1773" s="25"/>
      <c r="BL1773" s="25"/>
      <c r="BM1773" s="25"/>
      <c r="BN1773" s="25"/>
      <c r="BO1773" s="25"/>
      <c r="BP1773" s="25"/>
      <c r="BQ1773" s="25"/>
      <c r="BR1773" s="25"/>
      <c r="BS1773" s="25"/>
      <c r="BT1773" s="25"/>
      <c r="CD1773" s="25"/>
      <c r="CE1773" s="200"/>
      <c r="CF1773" s="200"/>
      <c r="CG1773" s="200"/>
      <c r="CH1773" s="200"/>
      <c r="CI1773" s="200"/>
      <c r="CJ1773" s="200"/>
      <c r="CK1773" s="200"/>
      <c r="CL1773" s="200"/>
      <c r="CM1773" s="200"/>
      <c r="CN1773" s="200"/>
      <c r="CO1773" s="200"/>
      <c r="CP1773" s="200"/>
      <c r="CQ1773" s="200"/>
      <c r="CR1773" s="200"/>
      <c r="CS1773" s="200"/>
      <c r="CT1773" s="200"/>
      <c r="CU1773" s="200"/>
    </row>
    <row r="1774" spans="1:99" s="17" customFormat="1" x14ac:dyDescent="0.2">
      <c r="A1774" s="25"/>
      <c r="B1774" s="20">
        <v>39153501900</v>
      </c>
      <c r="C1774" s="20">
        <v>5019</v>
      </c>
      <c r="D1774" s="20" t="s">
        <v>82</v>
      </c>
      <c r="E1774" s="20" t="s">
        <v>2843</v>
      </c>
      <c r="F1774" s="20" t="s">
        <v>6</v>
      </c>
      <c r="G1774" s="861">
        <v>47.163193406470398</v>
      </c>
      <c r="H1774" s="861">
        <v>30.341241942036</v>
      </c>
      <c r="I1774" s="861">
        <v>58.4695167541866</v>
      </c>
      <c r="J1774" s="861">
        <v>52.885257781759698</v>
      </c>
      <c r="K1774" s="982">
        <v>0</v>
      </c>
      <c r="L1774" s="735">
        <v>2477</v>
      </c>
      <c r="M1774" s="735">
        <v>2241</v>
      </c>
      <c r="N1774" s="845">
        <f t="shared" si="148"/>
        <v>-9.527654420670166E-2</v>
      </c>
      <c r="O1774" s="735">
        <v>0.37198973859381929</v>
      </c>
      <c r="P1774" s="735">
        <f t="shared" si="149"/>
        <v>6024.3597268874637</v>
      </c>
      <c r="Q1774" s="849">
        <v>34.6</v>
      </c>
      <c r="R1774" s="71">
        <v>16393</v>
      </c>
      <c r="S1774" s="845">
        <v>0.51722595078299771</v>
      </c>
      <c r="T1774" s="845">
        <v>0.157</v>
      </c>
      <c r="U1774" s="845">
        <v>0</v>
      </c>
      <c r="V1774" s="845">
        <v>0</v>
      </c>
      <c r="W1774" s="845">
        <v>0.80631399317406138</v>
      </c>
      <c r="X1774" s="845">
        <v>0.44021164021164022</v>
      </c>
      <c r="Y1774" s="845">
        <v>0.23516287371709058</v>
      </c>
      <c r="Z1774" s="845">
        <v>0.68139223560910311</v>
      </c>
      <c r="AA1774" s="845">
        <v>1.0709504685408299E-2</v>
      </c>
      <c r="AB1774" s="845">
        <v>5.042391789379741E-2</v>
      </c>
      <c r="AC1774" s="845">
        <v>0</v>
      </c>
      <c r="AD1774" s="845">
        <v>0</v>
      </c>
      <c r="AE1774" s="845">
        <v>2.2311468094600623E-2</v>
      </c>
      <c r="AF1774" s="845">
        <v>1.7849174475680501E-2</v>
      </c>
      <c r="AG1774" s="845">
        <v>0.23159303882195448</v>
      </c>
      <c r="AH1774" s="20" t="str">
        <f t="shared" si="150"/>
        <v>No</v>
      </c>
      <c r="AI1774" s="25"/>
      <c r="AJ1774" s="20">
        <v>43901</v>
      </c>
      <c r="AK1774" s="20" t="s">
        <v>1092</v>
      </c>
      <c r="AL1774" s="20">
        <v>39013</v>
      </c>
      <c r="AM1774" s="20" t="s">
        <v>13</v>
      </c>
      <c r="AN1774" s="37">
        <f t="shared" si="151"/>
        <v>48540</v>
      </c>
      <c r="AO1774" s="37" t="str">
        <f t="shared" si="152"/>
        <v>Wheeling, WV-OH</v>
      </c>
      <c r="AP1774" s="20" t="s">
        <v>8</v>
      </c>
      <c r="AQ1774" s="25"/>
      <c r="AR1774" s="25"/>
      <c r="AS1774" s="25"/>
      <c r="AT1774" s="25"/>
      <c r="AU1774" s="36"/>
      <c r="AV1774" s="36"/>
      <c r="AW1774" s="36"/>
      <c r="AX1774" s="25"/>
      <c r="AY1774" s="25"/>
      <c r="AZ1774" s="25"/>
      <c r="BA1774" s="25"/>
      <c r="BB1774" s="25"/>
      <c r="BC1774" s="25"/>
      <c r="BD1774" s="25"/>
      <c r="BE1774" s="25"/>
      <c r="BF1774" s="25"/>
      <c r="BG1774" s="25"/>
      <c r="BH1774" s="25"/>
      <c r="BI1774" s="25"/>
      <c r="BJ1774" s="25"/>
      <c r="BK1774" s="25"/>
      <c r="BL1774" s="25"/>
      <c r="BM1774" s="25"/>
      <c r="BN1774" s="25"/>
      <c r="BO1774" s="25"/>
      <c r="BP1774" s="25"/>
      <c r="BQ1774" s="25"/>
      <c r="BR1774" s="25"/>
      <c r="BS1774" s="25"/>
      <c r="BT1774" s="25"/>
      <c r="CD1774" s="25"/>
      <c r="CE1774" s="200"/>
      <c r="CF1774" s="200"/>
      <c r="CG1774" s="200"/>
      <c r="CH1774" s="200"/>
      <c r="CI1774" s="200"/>
      <c r="CJ1774" s="200"/>
      <c r="CK1774" s="200"/>
      <c r="CL1774" s="200"/>
      <c r="CM1774" s="200"/>
      <c r="CN1774" s="200"/>
      <c r="CO1774" s="200"/>
      <c r="CP1774" s="200"/>
      <c r="CQ1774" s="200"/>
      <c r="CR1774" s="200"/>
      <c r="CS1774" s="200"/>
      <c r="CT1774" s="200"/>
      <c r="CU1774" s="200"/>
    </row>
    <row r="1775" spans="1:99" s="17" customFormat="1" x14ac:dyDescent="0.2">
      <c r="A1775" s="25"/>
      <c r="B1775" s="20">
        <v>39135430100</v>
      </c>
      <c r="C1775" s="20">
        <v>4301</v>
      </c>
      <c r="D1775" s="20" t="s">
        <v>73</v>
      </c>
      <c r="E1775" s="20" t="s">
        <v>265</v>
      </c>
      <c r="F1775" s="20" t="s">
        <v>8</v>
      </c>
      <c r="G1775" s="861">
        <v>47.143817200542401</v>
      </c>
      <c r="H1775" s="861">
        <v>54.639375987204602</v>
      </c>
      <c r="I1775" s="861">
        <v>22.086853767233698</v>
      </c>
      <c r="J1775" s="861">
        <v>50.801815357098597</v>
      </c>
      <c r="K1775" s="982">
        <v>0</v>
      </c>
      <c r="L1775" s="735">
        <v>2767</v>
      </c>
      <c r="M1775" s="735">
        <v>2649</v>
      </c>
      <c r="N1775" s="845">
        <f t="shared" si="148"/>
        <v>-4.2645464401879295E-2</v>
      </c>
      <c r="O1775" s="735">
        <v>34.890246272211655</v>
      </c>
      <c r="P1775" s="735">
        <f t="shared" si="149"/>
        <v>75.923797709327047</v>
      </c>
      <c r="Q1775" s="849">
        <v>37.799999999999997</v>
      </c>
      <c r="R1775" s="71">
        <v>90236</v>
      </c>
      <c r="S1775" s="845">
        <v>0.12910532276330691</v>
      </c>
      <c r="T1775" s="845">
        <v>4.4000000000000004E-2</v>
      </c>
      <c r="U1775" s="845">
        <v>0</v>
      </c>
      <c r="V1775" s="845">
        <v>0</v>
      </c>
      <c r="W1775" s="845">
        <v>0.21128205128205127</v>
      </c>
      <c r="X1775" s="845">
        <v>0.13592233009708737</v>
      </c>
      <c r="Y1775" s="845">
        <v>0.92978482446206112</v>
      </c>
      <c r="Z1775" s="845">
        <v>4.4922612306530767E-2</v>
      </c>
      <c r="AA1775" s="845">
        <v>0</v>
      </c>
      <c r="AB1775" s="845">
        <v>0</v>
      </c>
      <c r="AC1775" s="845">
        <v>0</v>
      </c>
      <c r="AD1775" s="845">
        <v>1.0192525481313703E-2</v>
      </c>
      <c r="AE1775" s="845">
        <v>1.5100037750094376E-2</v>
      </c>
      <c r="AF1775" s="845">
        <v>0</v>
      </c>
      <c r="AG1775" s="845">
        <v>0.92978482446206112</v>
      </c>
      <c r="AH1775" s="20" t="str">
        <f t="shared" si="150"/>
        <v>Yes</v>
      </c>
      <c r="AI1775" s="25"/>
      <c r="AJ1775" s="20">
        <v>43902</v>
      </c>
      <c r="AK1775" s="20" t="s">
        <v>1093</v>
      </c>
      <c r="AL1775" s="20">
        <v>39013</v>
      </c>
      <c r="AM1775" s="20" t="s">
        <v>13</v>
      </c>
      <c r="AN1775" s="37">
        <f t="shared" si="151"/>
        <v>48540</v>
      </c>
      <c r="AO1775" s="37" t="str">
        <f t="shared" si="152"/>
        <v>Wheeling, WV-OH</v>
      </c>
      <c r="AP1775" s="20" t="s">
        <v>8</v>
      </c>
      <c r="AQ1775" s="25"/>
      <c r="AR1775" s="25"/>
      <c r="AS1775" s="25"/>
      <c r="AT1775" s="25"/>
      <c r="AU1775" s="36"/>
      <c r="AV1775" s="36"/>
      <c r="AW1775" s="36"/>
      <c r="AX1775" s="25"/>
      <c r="AY1775" s="25"/>
      <c r="AZ1775" s="25"/>
      <c r="BA1775" s="25"/>
      <c r="BB1775" s="25"/>
      <c r="BC1775" s="25"/>
      <c r="BD1775" s="25"/>
      <c r="BE1775" s="25"/>
      <c r="BF1775" s="25"/>
      <c r="BG1775" s="25"/>
      <c r="BH1775" s="25"/>
      <c r="BI1775" s="25"/>
      <c r="BJ1775" s="25"/>
      <c r="BK1775" s="25"/>
      <c r="BL1775" s="25"/>
      <c r="BM1775" s="25"/>
      <c r="BN1775" s="25"/>
      <c r="BO1775" s="25"/>
      <c r="BP1775" s="25"/>
      <c r="BQ1775" s="25"/>
      <c r="BR1775" s="25"/>
      <c r="BS1775" s="25"/>
      <c r="BT1775" s="25"/>
      <c r="CD1775" s="25"/>
      <c r="CE1775" s="200"/>
      <c r="CF1775" s="200"/>
      <c r="CG1775" s="200"/>
      <c r="CH1775" s="200"/>
      <c r="CI1775" s="200"/>
      <c r="CJ1775" s="200"/>
      <c r="CK1775" s="200"/>
      <c r="CL1775" s="200"/>
      <c r="CM1775" s="200"/>
      <c r="CN1775" s="200"/>
      <c r="CO1775" s="200"/>
      <c r="CP1775" s="200"/>
      <c r="CQ1775" s="200"/>
      <c r="CR1775" s="200"/>
      <c r="CS1775" s="200"/>
      <c r="CT1775" s="200"/>
      <c r="CU1775" s="200"/>
    </row>
    <row r="1776" spans="1:99" s="17" customFormat="1" x14ac:dyDescent="0.2">
      <c r="A1776" s="25"/>
      <c r="B1776" s="20">
        <v>39041011764</v>
      </c>
      <c r="C1776" s="20">
        <v>117.64</v>
      </c>
      <c r="D1776" s="20" t="s">
        <v>27</v>
      </c>
      <c r="E1776" s="20" t="s">
        <v>2830</v>
      </c>
      <c r="F1776" s="20" t="s">
        <v>8</v>
      </c>
      <c r="G1776" s="861">
        <v>47.142264251053</v>
      </c>
      <c r="H1776" s="861">
        <v>58.953876899213903</v>
      </c>
      <c r="I1776" s="861">
        <v>15.8938327160933</v>
      </c>
      <c r="J1776" s="861">
        <v>35.894778303576402</v>
      </c>
      <c r="K1776" s="982">
        <v>0</v>
      </c>
      <c r="L1776" s="735" t="s">
        <v>2466</v>
      </c>
      <c r="M1776" s="735">
        <v>2271</v>
      </c>
      <c r="N1776" s="845" t="str">
        <f t="shared" si="148"/>
        <v/>
      </c>
      <c r="O1776" s="735">
        <v>5.4245762541357774</v>
      </c>
      <c r="P1776" s="735">
        <f t="shared" si="149"/>
        <v>418.65021222045795</v>
      </c>
      <c r="Q1776" s="849">
        <v>50</v>
      </c>
      <c r="R1776" s="71">
        <v>192589</v>
      </c>
      <c r="S1776" s="845">
        <v>1.3333333333333334E-2</v>
      </c>
      <c r="T1776" s="845">
        <v>3.6000000000000004E-2</v>
      </c>
      <c r="U1776" s="845">
        <v>6.8000000000000005E-2</v>
      </c>
      <c r="V1776" s="845" t="s">
        <v>2466</v>
      </c>
      <c r="W1776" s="845">
        <v>0</v>
      </c>
      <c r="X1776" s="845"/>
      <c r="Y1776" s="845">
        <v>0.88595332452664022</v>
      </c>
      <c r="Z1776" s="845">
        <v>3.3025099075297229E-2</v>
      </c>
      <c r="AA1776" s="845">
        <v>3.0823425803610744E-3</v>
      </c>
      <c r="AB1776" s="845">
        <v>3.8749449581682076E-2</v>
      </c>
      <c r="AC1776" s="845">
        <v>0</v>
      </c>
      <c r="AD1776" s="845">
        <v>0</v>
      </c>
      <c r="AE1776" s="845">
        <v>3.9189784236019376E-2</v>
      </c>
      <c r="AF1776" s="845">
        <v>8.3663584324086306E-3</v>
      </c>
      <c r="AG1776" s="845">
        <v>0.88595332452664022</v>
      </c>
      <c r="AH1776" s="20" t="str">
        <f t="shared" si="150"/>
        <v>No</v>
      </c>
      <c r="AI1776" s="25"/>
      <c r="AJ1776" s="20">
        <v>43905</v>
      </c>
      <c r="AK1776" s="20" t="s">
        <v>1095</v>
      </c>
      <c r="AL1776" s="20">
        <v>39013</v>
      </c>
      <c r="AM1776" s="20" t="s">
        <v>13</v>
      </c>
      <c r="AN1776" s="37">
        <f t="shared" si="151"/>
        <v>48540</v>
      </c>
      <c r="AO1776" s="37" t="str">
        <f t="shared" si="152"/>
        <v>Wheeling, WV-OH</v>
      </c>
      <c r="AP1776" s="20" t="s">
        <v>8</v>
      </c>
      <c r="AQ1776" s="25"/>
      <c r="AR1776" s="25"/>
      <c r="AS1776" s="25"/>
      <c r="AT1776" s="25"/>
      <c r="AU1776" s="36"/>
      <c r="AV1776" s="36"/>
      <c r="AW1776" s="36"/>
      <c r="AX1776" s="25"/>
      <c r="AY1776" s="25"/>
      <c r="AZ1776" s="25"/>
      <c r="BA1776" s="25"/>
      <c r="BB1776" s="25"/>
      <c r="BC1776" s="25"/>
      <c r="BD1776" s="25"/>
      <c r="BE1776" s="25"/>
      <c r="BF1776" s="25"/>
      <c r="BG1776" s="25"/>
      <c r="BH1776" s="25"/>
      <c r="BI1776" s="25"/>
      <c r="BJ1776" s="25"/>
      <c r="BK1776" s="25"/>
      <c r="BL1776" s="25"/>
      <c r="BM1776" s="25"/>
      <c r="BN1776" s="25"/>
      <c r="BO1776" s="25"/>
      <c r="BP1776" s="25"/>
      <c r="BQ1776" s="25"/>
      <c r="BR1776" s="25"/>
      <c r="BS1776" s="25"/>
      <c r="BT1776" s="25"/>
      <c r="CD1776" s="25"/>
      <c r="CE1776" s="200"/>
      <c r="CF1776" s="200"/>
      <c r="CG1776" s="200"/>
      <c r="CH1776" s="200"/>
      <c r="CI1776" s="200"/>
      <c r="CJ1776" s="200"/>
      <c r="CK1776" s="200"/>
      <c r="CL1776" s="200"/>
      <c r="CM1776" s="200"/>
      <c r="CN1776" s="200"/>
      <c r="CO1776" s="200"/>
      <c r="CP1776" s="200"/>
      <c r="CQ1776" s="200"/>
      <c r="CR1776" s="200"/>
      <c r="CS1776" s="200"/>
      <c r="CT1776" s="200"/>
      <c r="CU1776" s="200"/>
    </row>
    <row r="1777" spans="1:99" s="17" customFormat="1" x14ac:dyDescent="0.2">
      <c r="A1777" s="25"/>
      <c r="B1777" s="20">
        <v>39161020600</v>
      </c>
      <c r="C1777" s="20">
        <v>206</v>
      </c>
      <c r="D1777" s="20" t="s">
        <v>86</v>
      </c>
      <c r="E1777" s="20" t="s">
        <v>265</v>
      </c>
      <c r="F1777" s="20" t="s">
        <v>6</v>
      </c>
      <c r="G1777" s="861">
        <v>47.136401698157499</v>
      </c>
      <c r="H1777" s="861">
        <v>35.778341852744497</v>
      </c>
      <c r="I1777" s="861">
        <v>43.029304774682899</v>
      </c>
      <c r="J1777" s="861">
        <v>34.793053168705001</v>
      </c>
      <c r="K1777" s="982">
        <v>0</v>
      </c>
      <c r="L1777" s="735">
        <v>1892</v>
      </c>
      <c r="M1777" s="735">
        <v>1577</v>
      </c>
      <c r="N1777" s="845">
        <f t="shared" si="148"/>
        <v>-0.16649048625792812</v>
      </c>
      <c r="O1777" s="735">
        <v>1.7769224430918333</v>
      </c>
      <c r="P1777" s="735">
        <f t="shared" si="149"/>
        <v>887.48949405806957</v>
      </c>
      <c r="Q1777" s="849">
        <v>38.200000000000003</v>
      </c>
      <c r="R1777" s="71">
        <v>41875</v>
      </c>
      <c r="S1777" s="845">
        <v>0.26792698826597133</v>
      </c>
      <c r="T1777" s="845">
        <v>0.13600000000000001</v>
      </c>
      <c r="U1777" s="845">
        <v>0</v>
      </c>
      <c r="V1777" s="845">
        <v>0</v>
      </c>
      <c r="W1777" s="845">
        <v>0.47078464106844742</v>
      </c>
      <c r="X1777" s="845">
        <v>0.29078014184397161</v>
      </c>
      <c r="Y1777" s="845">
        <v>0.90298034242232084</v>
      </c>
      <c r="Z1777" s="845">
        <v>1.4584654407102092E-2</v>
      </c>
      <c r="AA1777" s="845">
        <v>1.9023462270133164E-3</v>
      </c>
      <c r="AB1777" s="845">
        <v>0</v>
      </c>
      <c r="AC1777" s="845">
        <v>0</v>
      </c>
      <c r="AD1777" s="845">
        <v>0</v>
      </c>
      <c r="AE1777" s="845">
        <v>8.0532656943563735E-2</v>
      </c>
      <c r="AF1777" s="845">
        <v>4.0583386176284084E-2</v>
      </c>
      <c r="AG1777" s="845">
        <v>0.88332276474318328</v>
      </c>
      <c r="AH1777" s="20" t="str">
        <f t="shared" si="150"/>
        <v>No</v>
      </c>
      <c r="AI1777" s="25"/>
      <c r="AJ1777" s="20">
        <v>43906</v>
      </c>
      <c r="AK1777" s="20" t="s">
        <v>1096</v>
      </c>
      <c r="AL1777" s="20">
        <v>39013</v>
      </c>
      <c r="AM1777" s="20" t="s">
        <v>13</v>
      </c>
      <c r="AN1777" s="37">
        <f t="shared" si="151"/>
        <v>48540</v>
      </c>
      <c r="AO1777" s="37" t="str">
        <f t="shared" si="152"/>
        <v>Wheeling, WV-OH</v>
      </c>
      <c r="AP1777" s="20" t="s">
        <v>8</v>
      </c>
      <c r="AQ1777" s="25"/>
      <c r="AR1777" s="25"/>
      <c r="AS1777" s="25"/>
      <c r="AT1777" s="25"/>
      <c r="AU1777" s="36"/>
      <c r="AV1777" s="36"/>
      <c r="AW1777" s="36"/>
      <c r="AX1777" s="25"/>
      <c r="AY1777" s="25"/>
      <c r="AZ1777" s="25"/>
      <c r="BA1777" s="25"/>
      <c r="BB1777" s="25"/>
      <c r="BC1777" s="25"/>
      <c r="BD1777" s="25"/>
      <c r="BE1777" s="25"/>
      <c r="BF1777" s="25"/>
      <c r="BG1777" s="25"/>
      <c r="BH1777" s="25"/>
      <c r="BI1777" s="25"/>
      <c r="BJ1777" s="25"/>
      <c r="BK1777" s="25"/>
      <c r="BL1777" s="25"/>
      <c r="BM1777" s="25"/>
      <c r="BN1777" s="25"/>
      <c r="BO1777" s="25"/>
      <c r="BP1777" s="25"/>
      <c r="BQ1777" s="25"/>
      <c r="BR1777" s="25"/>
      <c r="BS1777" s="25"/>
      <c r="BT1777" s="25"/>
      <c r="CD1777" s="25"/>
      <c r="CE1777" s="200"/>
      <c r="CF1777" s="200"/>
      <c r="CG1777" s="200"/>
      <c r="CH1777" s="200"/>
      <c r="CI1777" s="200"/>
      <c r="CJ1777" s="200"/>
      <c r="CK1777" s="200"/>
      <c r="CL1777" s="200"/>
      <c r="CM1777" s="200"/>
      <c r="CN1777" s="200"/>
      <c r="CO1777" s="200"/>
      <c r="CP1777" s="200"/>
      <c r="CQ1777" s="200"/>
      <c r="CR1777" s="200"/>
      <c r="CS1777" s="200"/>
      <c r="CT1777" s="200"/>
      <c r="CU1777" s="200"/>
    </row>
    <row r="1778" spans="1:99" s="17" customFormat="1" x14ac:dyDescent="0.2">
      <c r="A1778" s="25"/>
      <c r="B1778" s="20">
        <v>39095005503</v>
      </c>
      <c r="C1778" s="20">
        <v>55.03</v>
      </c>
      <c r="D1778" s="20" t="s">
        <v>53</v>
      </c>
      <c r="E1778" s="20" t="s">
        <v>2839</v>
      </c>
      <c r="F1778" s="20" t="s">
        <v>8</v>
      </c>
      <c r="G1778" s="861">
        <v>47.134187286932701</v>
      </c>
      <c r="H1778" s="861">
        <v>58.478011037968301</v>
      </c>
      <c r="I1778" s="861">
        <v>25.445480836353202</v>
      </c>
      <c r="J1778" s="861">
        <v>40.4801468241401</v>
      </c>
      <c r="K1778" s="982">
        <v>0</v>
      </c>
      <c r="L1778" s="735">
        <v>2312</v>
      </c>
      <c r="M1778" s="735">
        <v>1822</v>
      </c>
      <c r="N1778" s="845">
        <f t="shared" si="148"/>
        <v>-0.21193771626297578</v>
      </c>
      <c r="O1778" s="735">
        <v>0.51438305637627046</v>
      </c>
      <c r="P1778" s="735">
        <f t="shared" si="149"/>
        <v>3542.107340851464</v>
      </c>
      <c r="Q1778" s="849">
        <v>39.6</v>
      </c>
      <c r="R1778" s="71">
        <v>72846</v>
      </c>
      <c r="S1778" s="845">
        <v>0.10153677277716795</v>
      </c>
      <c r="T1778" s="845">
        <v>4.4999999999999998E-2</v>
      </c>
      <c r="U1778" s="845">
        <v>0</v>
      </c>
      <c r="V1778" s="845">
        <v>0</v>
      </c>
      <c r="W1778" s="845">
        <v>0.24225663716814158</v>
      </c>
      <c r="X1778" s="845">
        <v>0.17351598173515981</v>
      </c>
      <c r="Y1778" s="845">
        <v>0.93139407244785954</v>
      </c>
      <c r="Z1778" s="845">
        <v>5.3787047200878159E-2</v>
      </c>
      <c r="AA1778" s="845">
        <v>0</v>
      </c>
      <c r="AB1778" s="845">
        <v>0</v>
      </c>
      <c r="AC1778" s="845">
        <v>0</v>
      </c>
      <c r="AD1778" s="845">
        <v>0</v>
      </c>
      <c r="AE1778" s="845">
        <v>1.4818880351262349E-2</v>
      </c>
      <c r="AF1778" s="845">
        <v>3.0735455543358946E-2</v>
      </c>
      <c r="AG1778" s="845">
        <v>0.90724478594950608</v>
      </c>
      <c r="AH1778" s="20" t="str">
        <f t="shared" si="150"/>
        <v>Yes</v>
      </c>
      <c r="AI1778" s="25"/>
      <c r="AJ1778" s="20">
        <v>43909</v>
      </c>
      <c r="AK1778" s="20" t="s">
        <v>1099</v>
      </c>
      <c r="AL1778" s="20">
        <v>39013</v>
      </c>
      <c r="AM1778" s="20" t="s">
        <v>13</v>
      </c>
      <c r="AN1778" s="37">
        <f t="shared" si="151"/>
        <v>48540</v>
      </c>
      <c r="AO1778" s="37" t="str">
        <f t="shared" si="152"/>
        <v>Wheeling, WV-OH</v>
      </c>
      <c r="AP1778" s="20" t="s">
        <v>8</v>
      </c>
      <c r="AQ1778" s="25"/>
      <c r="AR1778" s="25"/>
      <c r="AS1778" s="25"/>
      <c r="AT1778" s="25"/>
      <c r="AU1778" s="36"/>
      <c r="AV1778" s="36"/>
      <c r="AW1778" s="36"/>
      <c r="AX1778" s="25"/>
      <c r="AY1778" s="25"/>
      <c r="AZ1778" s="25"/>
      <c r="BA1778" s="25"/>
      <c r="BB1778" s="25"/>
      <c r="BC1778" s="25"/>
      <c r="BD1778" s="25"/>
      <c r="BE1778" s="25"/>
      <c r="BF1778" s="25"/>
      <c r="BG1778" s="25"/>
      <c r="BH1778" s="25"/>
      <c r="BI1778" s="25"/>
      <c r="BJ1778" s="25"/>
      <c r="BK1778" s="25"/>
      <c r="BL1778" s="25"/>
      <c r="BM1778" s="25"/>
      <c r="BN1778" s="25"/>
      <c r="BO1778" s="25"/>
      <c r="BP1778" s="25"/>
      <c r="BQ1778" s="25"/>
      <c r="BR1778" s="25"/>
      <c r="BS1778" s="25"/>
      <c r="BT1778" s="25"/>
      <c r="CD1778" s="25"/>
      <c r="CE1778" s="200"/>
      <c r="CF1778" s="200"/>
      <c r="CG1778" s="200"/>
      <c r="CH1778" s="200"/>
      <c r="CI1778" s="200"/>
      <c r="CJ1778" s="200"/>
      <c r="CK1778" s="200"/>
      <c r="CL1778" s="200"/>
      <c r="CM1778" s="200"/>
      <c r="CN1778" s="200"/>
      <c r="CO1778" s="200"/>
      <c r="CP1778" s="200"/>
      <c r="CQ1778" s="200"/>
      <c r="CR1778" s="200"/>
      <c r="CS1778" s="200"/>
      <c r="CT1778" s="200"/>
      <c r="CU1778" s="200"/>
    </row>
    <row r="1779" spans="1:99" s="17" customFormat="1" x14ac:dyDescent="0.2">
      <c r="A1779" s="25"/>
      <c r="B1779" s="20">
        <v>39049008380</v>
      </c>
      <c r="C1779" s="20">
        <v>83.8</v>
      </c>
      <c r="D1779" s="20" t="s">
        <v>31</v>
      </c>
      <c r="E1779" s="20" t="s">
        <v>2830</v>
      </c>
      <c r="F1779" s="20" t="s">
        <v>8</v>
      </c>
      <c r="G1779" s="861">
        <v>47.133014624751297</v>
      </c>
      <c r="H1779" s="861">
        <v>62.760891094766599</v>
      </c>
      <c r="I1779" s="861">
        <v>20.197746188192902</v>
      </c>
      <c r="J1779" s="861">
        <v>40.924420746109099</v>
      </c>
      <c r="K1779" s="982">
        <v>0</v>
      </c>
      <c r="L1779" s="735">
        <v>5385</v>
      </c>
      <c r="M1779" s="735">
        <v>5260</v>
      </c>
      <c r="N1779" s="845">
        <f t="shared" si="148"/>
        <v>-2.3212627669452181E-2</v>
      </c>
      <c r="O1779" s="735">
        <v>3.8799263059165163</v>
      </c>
      <c r="P1779" s="735">
        <f t="shared" si="149"/>
        <v>1355.6958522585862</v>
      </c>
      <c r="Q1779" s="849">
        <v>36.5</v>
      </c>
      <c r="R1779" s="71">
        <v>87773</v>
      </c>
      <c r="S1779" s="845">
        <v>8.9206762028608583E-2</v>
      </c>
      <c r="T1779" s="845">
        <v>4.2999999999999997E-2</v>
      </c>
      <c r="U1779" s="845">
        <v>1.3999999999999999E-2</v>
      </c>
      <c r="V1779" s="845">
        <v>0</v>
      </c>
      <c r="W1779" s="845">
        <v>0.26930693069306932</v>
      </c>
      <c r="X1779" s="845">
        <v>0.25490196078431371</v>
      </c>
      <c r="Y1779" s="845">
        <v>0.71596958174904946</v>
      </c>
      <c r="Z1779" s="845">
        <v>0.16977186311787074</v>
      </c>
      <c r="AA1779" s="845">
        <v>1.9011406844106463E-4</v>
      </c>
      <c r="AB1779" s="845">
        <v>1.6539923954372624E-2</v>
      </c>
      <c r="AC1779" s="845">
        <v>0</v>
      </c>
      <c r="AD1779" s="845">
        <v>4.6577946768060839E-2</v>
      </c>
      <c r="AE1779" s="845">
        <v>5.095057034220532E-2</v>
      </c>
      <c r="AF1779" s="845">
        <v>6.8631178707224336E-2</v>
      </c>
      <c r="AG1779" s="845">
        <v>0.70114068441064636</v>
      </c>
      <c r="AH1779" s="20" t="str">
        <f t="shared" si="150"/>
        <v>No</v>
      </c>
      <c r="AI1779" s="25"/>
      <c r="AJ1779" s="20">
        <v>43912</v>
      </c>
      <c r="AK1779" s="20" t="s">
        <v>1101</v>
      </c>
      <c r="AL1779" s="20">
        <v>39013</v>
      </c>
      <c r="AM1779" s="20" t="s">
        <v>13</v>
      </c>
      <c r="AN1779" s="37">
        <f t="shared" si="151"/>
        <v>48540</v>
      </c>
      <c r="AO1779" s="37" t="str">
        <f t="shared" si="152"/>
        <v>Wheeling, WV-OH</v>
      </c>
      <c r="AP1779" s="20" t="s">
        <v>8</v>
      </c>
      <c r="AQ1779" s="25"/>
      <c r="AR1779" s="25"/>
      <c r="AS1779" s="25"/>
      <c r="AT1779" s="25"/>
      <c r="AU1779" s="36"/>
      <c r="AV1779" s="36"/>
      <c r="AW1779" s="36"/>
      <c r="AX1779" s="25"/>
      <c r="AY1779" s="25"/>
      <c r="AZ1779" s="25"/>
      <c r="BA1779" s="25"/>
      <c r="BB1779" s="25"/>
      <c r="BC1779" s="25"/>
      <c r="BD1779" s="25"/>
      <c r="BE1779" s="25"/>
      <c r="BF1779" s="25"/>
      <c r="BG1779" s="25"/>
      <c r="BH1779" s="25"/>
      <c r="BI1779" s="25"/>
      <c r="BJ1779" s="25"/>
      <c r="BK1779" s="25"/>
      <c r="BL1779" s="25"/>
      <c r="BM1779" s="25"/>
      <c r="BN1779" s="25"/>
      <c r="BO1779" s="25"/>
      <c r="BP1779" s="25"/>
      <c r="BQ1779" s="25"/>
      <c r="BR1779" s="25"/>
      <c r="BS1779" s="25"/>
      <c r="BT1779" s="25"/>
      <c r="CD1779" s="25"/>
      <c r="CE1779" s="200"/>
      <c r="CF1779" s="200"/>
      <c r="CG1779" s="200"/>
      <c r="CH1779" s="200"/>
      <c r="CI1779" s="200"/>
      <c r="CJ1779" s="200"/>
      <c r="CK1779" s="200"/>
      <c r="CL1779" s="200"/>
      <c r="CM1779" s="200"/>
      <c r="CN1779" s="200"/>
      <c r="CO1779" s="200"/>
      <c r="CP1779" s="200"/>
      <c r="CQ1779" s="200"/>
      <c r="CR1779" s="200"/>
      <c r="CS1779" s="200"/>
      <c r="CT1779" s="200"/>
      <c r="CU1779" s="200"/>
    </row>
    <row r="1780" spans="1:99" s="17" customFormat="1" x14ac:dyDescent="0.2">
      <c r="A1780" s="25"/>
      <c r="B1780" s="20">
        <v>39099802702</v>
      </c>
      <c r="C1780" s="20">
        <v>8027.02</v>
      </c>
      <c r="D1780" s="20" t="s">
        <v>55</v>
      </c>
      <c r="E1780" s="20" t="s">
        <v>2842</v>
      </c>
      <c r="F1780" s="20" t="s">
        <v>8</v>
      </c>
      <c r="G1780" s="861">
        <v>47.099298677810097</v>
      </c>
      <c r="H1780" s="861">
        <v>53.939638360503103</v>
      </c>
      <c r="I1780" s="861">
        <v>29.625832602393601</v>
      </c>
      <c r="J1780" s="861">
        <v>44.826313392440497</v>
      </c>
      <c r="K1780" s="982">
        <v>0</v>
      </c>
      <c r="L1780" s="735">
        <v>2960</v>
      </c>
      <c r="M1780" s="735">
        <v>3028</v>
      </c>
      <c r="N1780" s="845">
        <f t="shared" si="148"/>
        <v>2.2972972972972974E-2</v>
      </c>
      <c r="O1780" s="735">
        <v>1.317265506674469</v>
      </c>
      <c r="P1780" s="735">
        <f t="shared" si="149"/>
        <v>2298.7013511379364</v>
      </c>
      <c r="Q1780" s="849">
        <v>46.4</v>
      </c>
      <c r="R1780" s="71">
        <v>57471</v>
      </c>
      <c r="S1780" s="845">
        <v>0.13011889035667107</v>
      </c>
      <c r="T1780" s="845">
        <v>1.9E-2</v>
      </c>
      <c r="U1780" s="845">
        <v>0</v>
      </c>
      <c r="V1780" s="845">
        <v>0.127</v>
      </c>
      <c r="W1780" s="845">
        <v>0.13951734539969834</v>
      </c>
      <c r="X1780" s="845">
        <v>0.32972972972972975</v>
      </c>
      <c r="Y1780" s="845">
        <v>0.75165125495376484</v>
      </c>
      <c r="Z1780" s="845">
        <v>0.17734478203434612</v>
      </c>
      <c r="AA1780" s="845">
        <v>0</v>
      </c>
      <c r="AB1780" s="845">
        <v>0</v>
      </c>
      <c r="AC1780" s="845">
        <v>0</v>
      </c>
      <c r="AD1780" s="845">
        <v>1.3540290620871863E-2</v>
      </c>
      <c r="AE1780" s="845">
        <v>5.746367239101717E-2</v>
      </c>
      <c r="AF1780" s="845">
        <v>9.676354029062087E-2</v>
      </c>
      <c r="AG1780" s="845">
        <v>0.70607661822985468</v>
      </c>
      <c r="AH1780" s="20" t="str">
        <f t="shared" si="150"/>
        <v>No</v>
      </c>
      <c r="AI1780" s="25"/>
      <c r="AJ1780" s="37">
        <v>43917</v>
      </c>
      <c r="AK1780" s="37" t="s">
        <v>1105</v>
      </c>
      <c r="AL1780" s="37">
        <v>39013</v>
      </c>
      <c r="AM1780" s="37" t="s">
        <v>13</v>
      </c>
      <c r="AN1780" s="37">
        <f t="shared" si="151"/>
        <v>48540</v>
      </c>
      <c r="AO1780" s="37" t="str">
        <f t="shared" si="152"/>
        <v>Wheeling, WV-OH</v>
      </c>
      <c r="AP1780" s="20" t="s">
        <v>8</v>
      </c>
      <c r="AQ1780" s="25"/>
      <c r="AR1780" s="25"/>
      <c r="AS1780" s="25"/>
      <c r="AT1780" s="25"/>
      <c r="AU1780" s="36"/>
      <c r="AV1780" s="36"/>
      <c r="AW1780" s="36"/>
      <c r="AX1780" s="25"/>
      <c r="AY1780" s="25"/>
      <c r="AZ1780" s="25"/>
      <c r="BA1780" s="25"/>
      <c r="BB1780" s="25"/>
      <c r="BC1780" s="25"/>
      <c r="BD1780" s="25"/>
      <c r="BE1780" s="25"/>
      <c r="BF1780" s="25"/>
      <c r="BG1780" s="25"/>
      <c r="BH1780" s="25"/>
      <c r="BI1780" s="25"/>
      <c r="BJ1780" s="25"/>
      <c r="BK1780" s="25"/>
      <c r="BL1780" s="25"/>
      <c r="BM1780" s="25"/>
      <c r="BN1780" s="25"/>
      <c r="BO1780" s="25"/>
      <c r="BP1780" s="25"/>
      <c r="BQ1780" s="25"/>
      <c r="BR1780" s="25"/>
      <c r="BS1780" s="25"/>
      <c r="BT1780" s="25"/>
      <c r="CD1780" s="25"/>
      <c r="CE1780" s="200"/>
      <c r="CF1780" s="200"/>
      <c r="CG1780" s="200"/>
      <c r="CH1780" s="200"/>
      <c r="CI1780" s="200"/>
      <c r="CJ1780" s="200"/>
      <c r="CK1780" s="200"/>
      <c r="CL1780" s="200"/>
      <c r="CM1780" s="200"/>
      <c r="CN1780" s="200"/>
      <c r="CO1780" s="200"/>
      <c r="CP1780" s="200"/>
      <c r="CQ1780" s="200"/>
      <c r="CR1780" s="200"/>
      <c r="CS1780" s="200"/>
      <c r="CT1780" s="200"/>
      <c r="CU1780" s="200"/>
    </row>
    <row r="1781" spans="1:99" s="17" customFormat="1" x14ac:dyDescent="0.2">
      <c r="A1781" s="25"/>
      <c r="B1781" s="20">
        <v>39133600402</v>
      </c>
      <c r="C1781" s="20">
        <v>6004.02</v>
      </c>
      <c r="D1781" s="20" t="s">
        <v>72</v>
      </c>
      <c r="E1781" s="20" t="s">
        <v>2843</v>
      </c>
      <c r="F1781" s="20" t="s">
        <v>8</v>
      </c>
      <c r="G1781" s="861">
        <v>47.096631144420897</v>
      </c>
      <c r="H1781" s="861">
        <v>53.740698372589101</v>
      </c>
      <c r="I1781" s="861">
        <v>31.631270775887899</v>
      </c>
      <c r="J1781" s="861">
        <v>45.737577936666398</v>
      </c>
      <c r="K1781" s="982">
        <v>0</v>
      </c>
      <c r="L1781" s="735">
        <v>5383</v>
      </c>
      <c r="M1781" s="735">
        <v>5993</v>
      </c>
      <c r="N1781" s="845">
        <f t="shared" si="148"/>
        <v>0.11331971019877392</v>
      </c>
      <c r="O1781" s="735">
        <v>11.675290663786098</v>
      </c>
      <c r="P1781" s="735">
        <f t="shared" si="149"/>
        <v>513.30627841145088</v>
      </c>
      <c r="Q1781" s="849">
        <v>41.8</v>
      </c>
      <c r="R1781" s="71">
        <v>95883</v>
      </c>
      <c r="S1781" s="845">
        <v>2.5237127371273711E-2</v>
      </c>
      <c r="T1781" s="845">
        <v>3.3000000000000002E-2</v>
      </c>
      <c r="U1781" s="845">
        <v>0</v>
      </c>
      <c r="V1781" s="845">
        <v>0</v>
      </c>
      <c r="W1781" s="845">
        <v>0.25710754017305315</v>
      </c>
      <c r="X1781" s="845">
        <v>0.27564102564102566</v>
      </c>
      <c r="Y1781" s="845">
        <v>0.83163690972801607</v>
      </c>
      <c r="Z1781" s="845">
        <v>8.6934757216752881E-2</v>
      </c>
      <c r="AA1781" s="845">
        <v>3.3372267645586517E-4</v>
      </c>
      <c r="AB1781" s="845">
        <v>1.6686133822793259E-2</v>
      </c>
      <c r="AC1781" s="845">
        <v>0</v>
      </c>
      <c r="AD1781" s="845">
        <v>3.3372267645586516E-3</v>
      </c>
      <c r="AE1781" s="845">
        <v>6.1071249791423324E-2</v>
      </c>
      <c r="AF1781" s="845">
        <v>4.8556649424328385E-2</v>
      </c>
      <c r="AG1781" s="845">
        <v>0.82029033872851664</v>
      </c>
      <c r="AH1781" s="20" t="str">
        <f t="shared" si="150"/>
        <v>No</v>
      </c>
      <c r="AI1781" s="25"/>
      <c r="AJ1781" s="37">
        <v>43928</v>
      </c>
      <c r="AK1781" s="37" t="s">
        <v>1109</v>
      </c>
      <c r="AL1781" s="37">
        <v>39013</v>
      </c>
      <c r="AM1781" s="37" t="s">
        <v>13</v>
      </c>
      <c r="AN1781" s="37">
        <f t="shared" si="151"/>
        <v>48540</v>
      </c>
      <c r="AO1781" s="37" t="str">
        <f t="shared" si="152"/>
        <v>Wheeling, WV-OH</v>
      </c>
      <c r="AP1781" s="20" t="s">
        <v>8</v>
      </c>
      <c r="AQ1781" s="25"/>
      <c r="AR1781" s="25"/>
      <c r="AS1781" s="25"/>
      <c r="AT1781" s="25"/>
      <c r="AU1781" s="36"/>
      <c r="AV1781" s="36"/>
      <c r="AW1781" s="36"/>
      <c r="AX1781" s="25"/>
      <c r="AY1781" s="25"/>
      <c r="AZ1781" s="25"/>
      <c r="BA1781" s="25"/>
      <c r="BB1781" s="25"/>
      <c r="BC1781" s="25"/>
      <c r="BD1781" s="25"/>
      <c r="BE1781" s="25"/>
      <c r="BF1781" s="25"/>
      <c r="BG1781" s="25"/>
      <c r="BH1781" s="25"/>
      <c r="BI1781" s="25"/>
      <c r="BJ1781" s="25"/>
      <c r="BK1781" s="25"/>
      <c r="BL1781" s="25"/>
      <c r="BM1781" s="25"/>
      <c r="BN1781" s="25"/>
      <c r="BO1781" s="25"/>
      <c r="BP1781" s="25"/>
      <c r="BQ1781" s="25"/>
      <c r="BR1781" s="25"/>
      <c r="BS1781" s="25"/>
      <c r="BT1781" s="25"/>
      <c r="CD1781" s="25"/>
      <c r="CE1781" s="200"/>
      <c r="CF1781" s="200"/>
      <c r="CG1781" s="200"/>
      <c r="CH1781" s="200"/>
      <c r="CI1781" s="200"/>
      <c r="CJ1781" s="200"/>
      <c r="CK1781" s="200"/>
      <c r="CL1781" s="200"/>
      <c r="CM1781" s="200"/>
      <c r="CN1781" s="200"/>
      <c r="CO1781" s="200"/>
      <c r="CP1781" s="200"/>
      <c r="CQ1781" s="200"/>
      <c r="CR1781" s="200"/>
      <c r="CS1781" s="200"/>
      <c r="CT1781" s="200"/>
      <c r="CU1781" s="200"/>
    </row>
    <row r="1782" spans="1:99" s="17" customFormat="1" x14ac:dyDescent="0.2">
      <c r="A1782" s="25"/>
      <c r="B1782" s="20">
        <v>39045032501</v>
      </c>
      <c r="C1782" s="20">
        <v>325.01</v>
      </c>
      <c r="D1782" s="20" t="s">
        <v>29</v>
      </c>
      <c r="E1782" s="20" t="s">
        <v>2830</v>
      </c>
      <c r="F1782" s="20" t="s">
        <v>8</v>
      </c>
      <c r="G1782" s="861">
        <v>47.060939115004103</v>
      </c>
      <c r="H1782" s="861">
        <v>57.254940571674801</v>
      </c>
      <c r="I1782" s="861">
        <v>22.746875692931301</v>
      </c>
      <c r="J1782" s="861">
        <v>41.034752815971302</v>
      </c>
      <c r="K1782" s="982">
        <v>0</v>
      </c>
      <c r="L1782" s="735" t="s">
        <v>2466</v>
      </c>
      <c r="M1782" s="735">
        <v>3190</v>
      </c>
      <c r="N1782" s="845" t="str">
        <f t="shared" si="148"/>
        <v/>
      </c>
      <c r="O1782" s="735">
        <v>47.832035028145363</v>
      </c>
      <c r="P1782" s="735">
        <f t="shared" si="149"/>
        <v>66.691705634580202</v>
      </c>
      <c r="Q1782" s="849">
        <v>47.4</v>
      </c>
      <c r="R1782" s="71">
        <v>81898</v>
      </c>
      <c r="S1782" s="845">
        <v>9.2737811114899427E-2</v>
      </c>
      <c r="T1782" s="845">
        <v>6.0999999999999999E-2</v>
      </c>
      <c r="U1782" s="845">
        <v>0</v>
      </c>
      <c r="V1782" s="845">
        <v>0</v>
      </c>
      <c r="W1782" s="845">
        <v>0.18319928507596067</v>
      </c>
      <c r="X1782" s="845">
        <v>0.36585365853658536</v>
      </c>
      <c r="Y1782" s="845">
        <v>0.95235109717868338</v>
      </c>
      <c r="Z1782" s="845">
        <v>7.8369905956112845E-3</v>
      </c>
      <c r="AA1782" s="845">
        <v>0</v>
      </c>
      <c r="AB1782" s="845">
        <v>1.8808777429467086E-2</v>
      </c>
      <c r="AC1782" s="845">
        <v>0</v>
      </c>
      <c r="AD1782" s="845">
        <v>1.567398119122257E-3</v>
      </c>
      <c r="AE1782" s="845">
        <v>1.9435736677115987E-2</v>
      </c>
      <c r="AF1782" s="845">
        <v>1.2539184952978056E-2</v>
      </c>
      <c r="AG1782" s="845">
        <v>0.95141065830721006</v>
      </c>
      <c r="AH1782" s="20" t="str">
        <f t="shared" si="150"/>
        <v>Yes</v>
      </c>
      <c r="AI1782" s="25"/>
      <c r="AJ1782" s="37">
        <v>43933</v>
      </c>
      <c r="AK1782" s="37" t="s">
        <v>1113</v>
      </c>
      <c r="AL1782" s="37">
        <v>39013</v>
      </c>
      <c r="AM1782" s="37" t="s">
        <v>13</v>
      </c>
      <c r="AN1782" s="37">
        <f t="shared" si="151"/>
        <v>48540</v>
      </c>
      <c r="AO1782" s="37" t="str">
        <f t="shared" si="152"/>
        <v>Wheeling, WV-OH</v>
      </c>
      <c r="AP1782" s="20" t="s">
        <v>8</v>
      </c>
      <c r="AQ1782" s="25"/>
      <c r="AR1782" s="25"/>
      <c r="AS1782" s="25"/>
      <c r="AT1782" s="25"/>
      <c r="AU1782" s="36"/>
      <c r="AV1782" s="36"/>
      <c r="AW1782" s="36"/>
      <c r="AX1782" s="25"/>
      <c r="AY1782" s="25"/>
      <c r="AZ1782" s="25"/>
      <c r="BA1782" s="25"/>
      <c r="BB1782" s="25"/>
      <c r="BC1782" s="25"/>
      <c r="BD1782" s="25"/>
      <c r="BE1782" s="25"/>
      <c r="BF1782" s="25"/>
      <c r="BG1782" s="25"/>
      <c r="BH1782" s="25"/>
      <c r="BI1782" s="25"/>
      <c r="BJ1782" s="25"/>
      <c r="BK1782" s="25"/>
      <c r="BL1782" s="25"/>
      <c r="BM1782" s="25"/>
      <c r="BN1782" s="25"/>
      <c r="BO1782" s="25"/>
      <c r="BP1782" s="25"/>
      <c r="BQ1782" s="25"/>
      <c r="BR1782" s="25"/>
      <c r="BS1782" s="25"/>
      <c r="BT1782" s="25"/>
      <c r="CD1782" s="25"/>
      <c r="CE1782" s="200"/>
      <c r="CF1782" s="200"/>
      <c r="CG1782" s="200"/>
      <c r="CH1782" s="200"/>
      <c r="CI1782" s="200"/>
      <c r="CJ1782" s="200"/>
      <c r="CK1782" s="200"/>
      <c r="CL1782" s="200"/>
      <c r="CM1782" s="200"/>
      <c r="CN1782" s="200"/>
      <c r="CO1782" s="200"/>
      <c r="CP1782" s="200"/>
      <c r="CQ1782" s="200"/>
      <c r="CR1782" s="200"/>
      <c r="CS1782" s="200"/>
      <c r="CT1782" s="200"/>
      <c r="CU1782" s="200"/>
    </row>
    <row r="1783" spans="1:99" s="17" customFormat="1" x14ac:dyDescent="0.2">
      <c r="A1783" s="25"/>
      <c r="B1783" s="20">
        <v>39143962100</v>
      </c>
      <c r="C1783" s="20">
        <v>9621</v>
      </c>
      <c r="D1783" s="20" t="s">
        <v>77</v>
      </c>
      <c r="E1783" s="20" t="s">
        <v>265</v>
      </c>
      <c r="F1783" s="20" t="s">
        <v>8</v>
      </c>
      <c r="G1783" s="861">
        <v>47.021158467760699</v>
      </c>
      <c r="H1783" s="861">
        <v>52.193592861303699</v>
      </c>
      <c r="I1783" s="861">
        <v>26.229980155331599</v>
      </c>
      <c r="J1783" s="861">
        <v>38.304936940997202</v>
      </c>
      <c r="K1783" s="982">
        <v>0</v>
      </c>
      <c r="L1783" s="735">
        <v>4891</v>
      </c>
      <c r="M1783" s="735">
        <v>5186</v>
      </c>
      <c r="N1783" s="845">
        <f t="shared" si="148"/>
        <v>6.0314864035984461E-2</v>
      </c>
      <c r="O1783" s="735">
        <v>69.171109051925342</v>
      </c>
      <c r="P1783" s="735">
        <f t="shared" si="149"/>
        <v>74.97349791091213</v>
      </c>
      <c r="Q1783" s="849">
        <v>43.3</v>
      </c>
      <c r="R1783" s="71">
        <v>63550</v>
      </c>
      <c r="S1783" s="845">
        <v>8.241542092840283E-2</v>
      </c>
      <c r="T1783" s="845">
        <v>2.7000000000000003E-2</v>
      </c>
      <c r="U1783" s="845">
        <v>0</v>
      </c>
      <c r="V1783" s="845">
        <v>0</v>
      </c>
      <c r="W1783" s="845">
        <v>0.16470588235294117</v>
      </c>
      <c r="X1783" s="845">
        <v>0.50571428571428567</v>
      </c>
      <c r="Y1783" s="845">
        <v>0.89664481295796372</v>
      </c>
      <c r="Z1783" s="845">
        <v>1.9282684149633629E-4</v>
      </c>
      <c r="AA1783" s="845">
        <v>7.1345931353644426E-3</v>
      </c>
      <c r="AB1783" s="845">
        <v>0</v>
      </c>
      <c r="AC1783" s="845">
        <v>0</v>
      </c>
      <c r="AD1783" s="845">
        <v>5.0327805630543773E-2</v>
      </c>
      <c r="AE1783" s="845">
        <v>4.5699961434631703E-2</v>
      </c>
      <c r="AF1783" s="845">
        <v>6.517547242576166E-2</v>
      </c>
      <c r="AG1783" s="845">
        <v>0.87620516775935209</v>
      </c>
      <c r="AH1783" s="20" t="str">
        <f t="shared" si="150"/>
        <v>No</v>
      </c>
      <c r="AI1783" s="25"/>
      <c r="AJ1783" s="20">
        <v>43934</v>
      </c>
      <c r="AK1783" s="20" t="s">
        <v>1114</v>
      </c>
      <c r="AL1783" s="20">
        <v>39013</v>
      </c>
      <c r="AM1783" s="20" t="s">
        <v>13</v>
      </c>
      <c r="AN1783" s="37">
        <f t="shared" si="151"/>
        <v>48540</v>
      </c>
      <c r="AO1783" s="37" t="str">
        <f t="shared" si="152"/>
        <v>Wheeling, WV-OH</v>
      </c>
      <c r="AP1783" s="20" t="s">
        <v>8</v>
      </c>
      <c r="AQ1783" s="25"/>
      <c r="AR1783" s="25"/>
      <c r="AS1783" s="25"/>
      <c r="AT1783" s="25"/>
      <c r="AU1783" s="36"/>
      <c r="AV1783" s="36"/>
      <c r="AW1783" s="36"/>
      <c r="AX1783" s="25"/>
      <c r="AY1783" s="25"/>
      <c r="AZ1783" s="25"/>
      <c r="BA1783" s="25"/>
      <c r="BB1783" s="25"/>
      <c r="BC1783" s="25"/>
      <c r="BD1783" s="25"/>
      <c r="BE1783" s="25"/>
      <c r="BF1783" s="25"/>
      <c r="BG1783" s="25"/>
      <c r="BH1783" s="25"/>
      <c r="BI1783" s="25"/>
      <c r="BJ1783" s="25"/>
      <c r="BK1783" s="25"/>
      <c r="BL1783" s="25"/>
      <c r="BM1783" s="25"/>
      <c r="BN1783" s="25"/>
      <c r="BO1783" s="25"/>
      <c r="BP1783" s="25"/>
      <c r="BQ1783" s="25"/>
      <c r="BR1783" s="25"/>
      <c r="BS1783" s="25"/>
      <c r="BT1783" s="25"/>
      <c r="CD1783" s="25"/>
      <c r="CE1783" s="200"/>
      <c r="CF1783" s="200"/>
      <c r="CG1783" s="200"/>
      <c r="CH1783" s="200"/>
      <c r="CI1783" s="200"/>
      <c r="CJ1783" s="200"/>
      <c r="CK1783" s="200"/>
      <c r="CL1783" s="200"/>
      <c r="CM1783" s="200"/>
      <c r="CN1783" s="200"/>
      <c r="CO1783" s="200"/>
      <c r="CP1783" s="200"/>
      <c r="CQ1783" s="200"/>
      <c r="CR1783" s="200"/>
      <c r="CS1783" s="200"/>
      <c r="CT1783" s="200"/>
      <c r="CU1783" s="200"/>
    </row>
    <row r="1784" spans="1:99" s="17" customFormat="1" x14ac:dyDescent="0.2">
      <c r="A1784" s="25"/>
      <c r="B1784" s="20">
        <v>39049008120</v>
      </c>
      <c r="C1784" s="20">
        <v>81.2</v>
      </c>
      <c r="D1784" s="20" t="s">
        <v>31</v>
      </c>
      <c r="E1784" s="20" t="s">
        <v>2830</v>
      </c>
      <c r="F1784" s="20" t="s">
        <v>6</v>
      </c>
      <c r="G1784" s="861">
        <v>47.020580841134702</v>
      </c>
      <c r="H1784" s="861">
        <v>63.301756402204802</v>
      </c>
      <c r="I1784" s="861">
        <v>41.673539245785499</v>
      </c>
      <c r="J1784" s="861">
        <v>44.5009612987864</v>
      </c>
      <c r="K1784" s="982">
        <v>0</v>
      </c>
      <c r="L1784" s="735">
        <v>3660</v>
      </c>
      <c r="M1784" s="735">
        <v>4071</v>
      </c>
      <c r="N1784" s="845">
        <f t="shared" si="148"/>
        <v>0.11229508196721312</v>
      </c>
      <c r="O1784" s="735">
        <v>0.77798426649920027</v>
      </c>
      <c r="P1784" s="735">
        <f t="shared" si="149"/>
        <v>5232.7536369325599</v>
      </c>
      <c r="Q1784" s="849">
        <v>40.4</v>
      </c>
      <c r="R1784" s="71">
        <v>47203</v>
      </c>
      <c r="S1784" s="845">
        <v>0.16777204618029967</v>
      </c>
      <c r="T1784" s="845">
        <v>7.400000000000001E-2</v>
      </c>
      <c r="U1784" s="845">
        <v>0</v>
      </c>
      <c r="V1784" s="845">
        <v>3.4000000000000002E-2</v>
      </c>
      <c r="W1784" s="845">
        <v>0.39081183134046571</v>
      </c>
      <c r="X1784" s="845">
        <v>0.50724637681159424</v>
      </c>
      <c r="Y1784" s="845">
        <v>0.60845001228199458</v>
      </c>
      <c r="Z1784" s="845">
        <v>0.10660771309260623</v>
      </c>
      <c r="AA1784" s="845">
        <v>3.6845983787767134E-3</v>
      </c>
      <c r="AB1784" s="845">
        <v>1.0316875460574797E-2</v>
      </c>
      <c r="AC1784" s="845">
        <v>0</v>
      </c>
      <c r="AD1784" s="845">
        <v>0.1161876688774257</v>
      </c>
      <c r="AE1784" s="845">
        <v>0.15475313190862197</v>
      </c>
      <c r="AF1784" s="845">
        <v>0.2257430606730533</v>
      </c>
      <c r="AG1784" s="845">
        <v>0.58707934168508968</v>
      </c>
      <c r="AH1784" s="20" t="str">
        <f t="shared" si="150"/>
        <v>No</v>
      </c>
      <c r="AI1784" s="25"/>
      <c r="AJ1784" s="20">
        <v>43935</v>
      </c>
      <c r="AK1784" s="20" t="s">
        <v>1115</v>
      </c>
      <c r="AL1784" s="20">
        <v>39013</v>
      </c>
      <c r="AM1784" s="20" t="s">
        <v>13</v>
      </c>
      <c r="AN1784" s="37">
        <f t="shared" si="151"/>
        <v>48540</v>
      </c>
      <c r="AO1784" s="37" t="str">
        <f t="shared" si="152"/>
        <v>Wheeling, WV-OH</v>
      </c>
      <c r="AP1784" s="20" t="s">
        <v>8</v>
      </c>
      <c r="AQ1784" s="25"/>
      <c r="AR1784" s="25"/>
      <c r="AS1784" s="25"/>
      <c r="AT1784" s="25"/>
      <c r="AU1784" s="36"/>
      <c r="AV1784" s="36"/>
      <c r="AW1784" s="36"/>
      <c r="AX1784" s="25"/>
      <c r="AY1784" s="25"/>
      <c r="AZ1784" s="25"/>
      <c r="BA1784" s="25"/>
      <c r="BB1784" s="25"/>
      <c r="BC1784" s="25"/>
      <c r="BD1784" s="25"/>
      <c r="BE1784" s="25"/>
      <c r="BF1784" s="25"/>
      <c r="BG1784" s="25"/>
      <c r="BH1784" s="25"/>
      <c r="BI1784" s="25"/>
      <c r="BJ1784" s="25"/>
      <c r="BK1784" s="25"/>
      <c r="BL1784" s="25"/>
      <c r="BM1784" s="25"/>
      <c r="BN1784" s="25"/>
      <c r="BO1784" s="25"/>
      <c r="BP1784" s="25"/>
      <c r="BQ1784" s="25"/>
      <c r="BR1784" s="25"/>
      <c r="BS1784" s="25"/>
      <c r="BT1784" s="25"/>
      <c r="CD1784" s="25"/>
      <c r="CE1784" s="200"/>
      <c r="CF1784" s="200"/>
      <c r="CG1784" s="200"/>
      <c r="CH1784" s="200"/>
      <c r="CI1784" s="200"/>
      <c r="CJ1784" s="200"/>
      <c r="CK1784" s="200"/>
      <c r="CL1784" s="200"/>
      <c r="CM1784" s="200"/>
      <c r="CN1784" s="200"/>
      <c r="CO1784" s="200"/>
      <c r="CP1784" s="200"/>
      <c r="CQ1784" s="200"/>
      <c r="CR1784" s="200"/>
      <c r="CS1784" s="200"/>
      <c r="CT1784" s="200"/>
      <c r="CU1784" s="200"/>
    </row>
    <row r="1785" spans="1:99" s="17" customFormat="1" x14ac:dyDescent="0.2">
      <c r="A1785" s="25"/>
      <c r="B1785" s="20">
        <v>39155931100</v>
      </c>
      <c r="C1785" s="20">
        <v>9311</v>
      </c>
      <c r="D1785" s="20" t="s">
        <v>83</v>
      </c>
      <c r="E1785" s="20" t="s">
        <v>2842</v>
      </c>
      <c r="F1785" s="20" t="s">
        <v>8</v>
      </c>
      <c r="G1785" s="861">
        <v>47.014669160302503</v>
      </c>
      <c r="H1785" s="861">
        <v>50.607800077492001</v>
      </c>
      <c r="I1785" s="861">
        <v>20.274331936467</v>
      </c>
      <c r="J1785" s="861">
        <v>43.513879567740801</v>
      </c>
      <c r="K1785" s="982">
        <v>0</v>
      </c>
      <c r="L1785" s="735">
        <v>2541</v>
      </c>
      <c r="M1785" s="735">
        <v>2312</v>
      </c>
      <c r="N1785" s="845">
        <f t="shared" si="148"/>
        <v>-9.012199921290831E-2</v>
      </c>
      <c r="O1785" s="735">
        <v>25.271521806329837</v>
      </c>
      <c r="P1785" s="735">
        <f t="shared" si="149"/>
        <v>91.486378134177343</v>
      </c>
      <c r="Q1785" s="849">
        <v>51.3</v>
      </c>
      <c r="R1785" s="71">
        <v>73036</v>
      </c>
      <c r="S1785" s="845">
        <v>0.11169744942832015</v>
      </c>
      <c r="T1785" s="845">
        <v>1.3999999999999999E-2</v>
      </c>
      <c r="U1785" s="845">
        <v>1.7000000000000001E-2</v>
      </c>
      <c r="V1785" s="845">
        <v>0</v>
      </c>
      <c r="W1785" s="845">
        <v>0.16839916839916841</v>
      </c>
      <c r="X1785" s="845">
        <v>0.38271604938271603</v>
      </c>
      <c r="Y1785" s="845">
        <v>0.98486159169550169</v>
      </c>
      <c r="Z1785" s="845">
        <v>3.027681660899654E-3</v>
      </c>
      <c r="AA1785" s="845">
        <v>0</v>
      </c>
      <c r="AB1785" s="845">
        <v>0</v>
      </c>
      <c r="AC1785" s="845">
        <v>0</v>
      </c>
      <c r="AD1785" s="845">
        <v>0</v>
      </c>
      <c r="AE1785" s="845">
        <v>1.2110726643598616E-2</v>
      </c>
      <c r="AF1785" s="845">
        <v>2.5519031141868511E-2</v>
      </c>
      <c r="AG1785" s="845">
        <v>0.95934256055363321</v>
      </c>
      <c r="AH1785" s="20" t="str">
        <f t="shared" si="150"/>
        <v>Yes</v>
      </c>
      <c r="AI1785" s="25"/>
      <c r="AJ1785" s="37">
        <v>43940</v>
      </c>
      <c r="AK1785" s="37" t="s">
        <v>1118</v>
      </c>
      <c r="AL1785" s="37">
        <v>39013</v>
      </c>
      <c r="AM1785" s="37" t="s">
        <v>13</v>
      </c>
      <c r="AN1785" s="37">
        <f t="shared" si="151"/>
        <v>48540</v>
      </c>
      <c r="AO1785" s="37" t="str">
        <f t="shared" si="152"/>
        <v>Wheeling, WV-OH</v>
      </c>
      <c r="AP1785" s="20" t="s">
        <v>8</v>
      </c>
      <c r="AQ1785" s="25"/>
      <c r="AR1785" s="25"/>
      <c r="AS1785" s="25"/>
      <c r="AT1785" s="25"/>
      <c r="AU1785" s="36"/>
      <c r="AV1785" s="36"/>
      <c r="AW1785" s="36"/>
      <c r="AX1785" s="25"/>
      <c r="AY1785" s="25"/>
      <c r="AZ1785" s="25"/>
      <c r="BA1785" s="25"/>
      <c r="BB1785" s="25"/>
      <c r="BC1785" s="25"/>
      <c r="BD1785" s="25"/>
      <c r="BE1785" s="25"/>
      <c r="BF1785" s="25"/>
      <c r="BG1785" s="25"/>
      <c r="BH1785" s="25"/>
      <c r="BI1785" s="25"/>
      <c r="BJ1785" s="25"/>
      <c r="BK1785" s="25"/>
      <c r="BL1785" s="25"/>
      <c r="BM1785" s="25"/>
      <c r="BN1785" s="25"/>
      <c r="BO1785" s="25"/>
      <c r="BP1785" s="25"/>
      <c r="BQ1785" s="25"/>
      <c r="BR1785" s="25"/>
      <c r="BS1785" s="25"/>
      <c r="BT1785" s="25"/>
      <c r="CD1785" s="25"/>
      <c r="CE1785" s="200"/>
      <c r="CF1785" s="200"/>
      <c r="CG1785" s="200"/>
      <c r="CH1785" s="200"/>
      <c r="CI1785" s="200"/>
      <c r="CJ1785" s="200"/>
      <c r="CK1785" s="200"/>
      <c r="CL1785" s="200"/>
      <c r="CM1785" s="200"/>
      <c r="CN1785" s="200"/>
      <c r="CO1785" s="200"/>
      <c r="CP1785" s="200"/>
      <c r="CQ1785" s="200"/>
      <c r="CR1785" s="200"/>
      <c r="CS1785" s="200"/>
      <c r="CT1785" s="200"/>
      <c r="CU1785" s="200"/>
    </row>
    <row r="1786" spans="1:99" s="17" customFormat="1" x14ac:dyDescent="0.2">
      <c r="A1786" s="25"/>
      <c r="B1786" s="20">
        <v>39095008703</v>
      </c>
      <c r="C1786" s="20">
        <v>87.03</v>
      </c>
      <c r="D1786" s="20" t="s">
        <v>53</v>
      </c>
      <c r="E1786" s="20" t="s">
        <v>2839</v>
      </c>
      <c r="F1786" s="20" t="s">
        <v>8</v>
      </c>
      <c r="G1786" s="861">
        <v>47.003423143402301</v>
      </c>
      <c r="H1786" s="861">
        <v>54.735715323088399</v>
      </c>
      <c r="I1786" s="861">
        <v>11.9854921469784</v>
      </c>
      <c r="J1786" s="861">
        <v>51.926662740507901</v>
      </c>
      <c r="K1786" s="982">
        <v>0</v>
      </c>
      <c r="L1786" s="735" t="s">
        <v>2466</v>
      </c>
      <c r="M1786" s="735">
        <v>2155</v>
      </c>
      <c r="N1786" s="845" t="str">
        <f t="shared" si="148"/>
        <v/>
      </c>
      <c r="O1786" s="735">
        <v>0.9719017590393495</v>
      </c>
      <c r="P1786" s="735">
        <f t="shared" si="149"/>
        <v>2217.3022941434456</v>
      </c>
      <c r="Q1786" s="849">
        <v>47.4</v>
      </c>
      <c r="R1786" s="71">
        <v>78984</v>
      </c>
      <c r="S1786" s="845">
        <v>4.4642857142857144E-2</v>
      </c>
      <c r="T1786" s="845">
        <v>0</v>
      </c>
      <c r="U1786" s="845">
        <v>0</v>
      </c>
      <c r="V1786" s="845">
        <v>0</v>
      </c>
      <c r="W1786" s="845">
        <v>0.28646379853095488</v>
      </c>
      <c r="X1786" s="845">
        <v>3.6630036630036632E-2</v>
      </c>
      <c r="Y1786" s="845">
        <v>0.74524361948955919</v>
      </c>
      <c r="Z1786" s="845">
        <v>0.17030162412993038</v>
      </c>
      <c r="AA1786" s="845">
        <v>0</v>
      </c>
      <c r="AB1786" s="845">
        <v>3.6194895591647333E-2</v>
      </c>
      <c r="AC1786" s="845">
        <v>0</v>
      </c>
      <c r="AD1786" s="845">
        <v>0</v>
      </c>
      <c r="AE1786" s="845">
        <v>4.8259860788863108E-2</v>
      </c>
      <c r="AF1786" s="845">
        <v>5.1044083526682132E-2</v>
      </c>
      <c r="AG1786" s="845">
        <v>0.72343387470997678</v>
      </c>
      <c r="AH1786" s="20" t="str">
        <f t="shared" si="150"/>
        <v>No</v>
      </c>
      <c r="AI1786" s="25"/>
      <c r="AJ1786" s="37">
        <v>43942</v>
      </c>
      <c r="AK1786" s="37" t="s">
        <v>1119</v>
      </c>
      <c r="AL1786" s="37">
        <v>39013</v>
      </c>
      <c r="AM1786" s="37" t="s">
        <v>13</v>
      </c>
      <c r="AN1786" s="37">
        <f t="shared" si="151"/>
        <v>48540</v>
      </c>
      <c r="AO1786" s="37" t="str">
        <f t="shared" si="152"/>
        <v>Wheeling, WV-OH</v>
      </c>
      <c r="AP1786" s="20" t="s">
        <v>8</v>
      </c>
      <c r="AQ1786" s="25"/>
      <c r="AR1786" s="25"/>
      <c r="AS1786" s="25"/>
      <c r="AT1786" s="25"/>
      <c r="AU1786" s="36"/>
      <c r="AV1786" s="36"/>
      <c r="AW1786" s="36"/>
      <c r="AX1786" s="25"/>
      <c r="AY1786" s="25"/>
      <c r="AZ1786" s="25"/>
      <c r="BA1786" s="25"/>
      <c r="BB1786" s="25"/>
      <c r="BC1786" s="25"/>
      <c r="BD1786" s="25"/>
      <c r="BE1786" s="25"/>
      <c r="BF1786" s="25"/>
      <c r="BG1786" s="25"/>
      <c r="BH1786" s="25"/>
      <c r="BI1786" s="25"/>
      <c r="BJ1786" s="25"/>
      <c r="BK1786" s="25"/>
      <c r="BL1786" s="25"/>
      <c r="BM1786" s="25"/>
      <c r="BN1786" s="25"/>
      <c r="BO1786" s="25"/>
      <c r="BP1786" s="25"/>
      <c r="BQ1786" s="25"/>
      <c r="BR1786" s="25"/>
      <c r="BS1786" s="25"/>
      <c r="BT1786" s="25"/>
      <c r="CD1786" s="25"/>
      <c r="CE1786" s="200"/>
      <c r="CF1786" s="200"/>
      <c r="CG1786" s="200"/>
      <c r="CH1786" s="200"/>
      <c r="CI1786" s="200"/>
      <c r="CJ1786" s="200"/>
      <c r="CK1786" s="200"/>
      <c r="CL1786" s="200"/>
      <c r="CM1786" s="200"/>
      <c r="CN1786" s="200"/>
      <c r="CO1786" s="200"/>
      <c r="CP1786" s="200"/>
      <c r="CQ1786" s="200"/>
      <c r="CR1786" s="200"/>
      <c r="CS1786" s="200"/>
      <c r="CT1786" s="200"/>
      <c r="CU1786" s="200"/>
    </row>
    <row r="1787" spans="1:99" s="17" customFormat="1" x14ac:dyDescent="0.2">
      <c r="A1787" s="25"/>
      <c r="B1787" s="20">
        <v>39153505400</v>
      </c>
      <c r="C1787" s="20">
        <v>5054</v>
      </c>
      <c r="D1787" s="20" t="s">
        <v>82</v>
      </c>
      <c r="E1787" s="20" t="s">
        <v>2843</v>
      </c>
      <c r="F1787" s="20" t="s">
        <v>8</v>
      </c>
      <c r="G1787" s="861">
        <v>46.985320927589797</v>
      </c>
      <c r="H1787" s="861">
        <v>50.788612706714602</v>
      </c>
      <c r="I1787" s="861">
        <v>54.033496332705496</v>
      </c>
      <c r="J1787" s="861">
        <v>41.617266519663097</v>
      </c>
      <c r="K1787" s="982">
        <v>0</v>
      </c>
      <c r="L1787" s="735">
        <v>3550</v>
      </c>
      <c r="M1787" s="735">
        <v>3831</v>
      </c>
      <c r="N1787" s="845">
        <f t="shared" si="148"/>
        <v>7.9154929577464783E-2</v>
      </c>
      <c r="O1787" s="735">
        <v>0.55490640843134997</v>
      </c>
      <c r="P1787" s="735">
        <f t="shared" si="149"/>
        <v>6903.8669256492294</v>
      </c>
      <c r="Q1787" s="849">
        <v>36</v>
      </c>
      <c r="R1787" s="71">
        <v>51895</v>
      </c>
      <c r="S1787" s="845">
        <v>0.24536674497520231</v>
      </c>
      <c r="T1787" s="845">
        <v>0.13800000000000001</v>
      </c>
      <c r="U1787" s="845">
        <v>3.3000000000000002E-2</v>
      </c>
      <c r="V1787" s="845">
        <v>0</v>
      </c>
      <c r="W1787" s="845">
        <v>0.50956521739130434</v>
      </c>
      <c r="X1787" s="845">
        <v>0.41069397042093286</v>
      </c>
      <c r="Y1787" s="845">
        <v>0.65335421560950147</v>
      </c>
      <c r="Z1787" s="845">
        <v>0.16209866875489429</v>
      </c>
      <c r="AA1787" s="845">
        <v>0</v>
      </c>
      <c r="AB1787" s="845">
        <v>3.1062385800052206E-2</v>
      </c>
      <c r="AC1787" s="845">
        <v>0</v>
      </c>
      <c r="AD1787" s="845">
        <v>4.9595405899243014E-3</v>
      </c>
      <c r="AE1787" s="845">
        <v>0.14852518924562777</v>
      </c>
      <c r="AF1787" s="845">
        <v>1.7488906290785696E-2</v>
      </c>
      <c r="AG1787" s="845">
        <v>0.65335421560950147</v>
      </c>
      <c r="AH1787" s="20" t="str">
        <f t="shared" si="150"/>
        <v>No</v>
      </c>
      <c r="AI1787" s="25"/>
      <c r="AJ1787" s="20">
        <v>43943</v>
      </c>
      <c r="AK1787" s="20" t="s">
        <v>1120</v>
      </c>
      <c r="AL1787" s="20">
        <v>39013</v>
      </c>
      <c r="AM1787" s="20" t="s">
        <v>13</v>
      </c>
      <c r="AN1787" s="37">
        <f t="shared" si="151"/>
        <v>48540</v>
      </c>
      <c r="AO1787" s="37" t="str">
        <f t="shared" si="152"/>
        <v>Wheeling, WV-OH</v>
      </c>
      <c r="AP1787" s="20" t="s">
        <v>8</v>
      </c>
      <c r="AQ1787" s="25"/>
      <c r="AR1787" s="25"/>
      <c r="AS1787" s="25"/>
      <c r="AT1787" s="25"/>
      <c r="AU1787" s="36"/>
      <c r="AV1787" s="36"/>
      <c r="AW1787" s="36"/>
      <c r="AX1787" s="25"/>
      <c r="AY1787" s="25"/>
      <c r="AZ1787" s="25"/>
      <c r="BA1787" s="25"/>
      <c r="BB1787" s="25"/>
      <c r="BC1787" s="25"/>
      <c r="BD1787" s="25"/>
      <c r="BE1787" s="25"/>
      <c r="BF1787" s="25"/>
      <c r="BG1787" s="25"/>
      <c r="BH1787" s="25"/>
      <c r="BI1787" s="25"/>
      <c r="BJ1787" s="25"/>
      <c r="BK1787" s="25"/>
      <c r="BL1787" s="25"/>
      <c r="BM1787" s="25"/>
      <c r="BN1787" s="25"/>
      <c r="BO1787" s="25"/>
      <c r="BP1787" s="25"/>
      <c r="BQ1787" s="25"/>
      <c r="BR1787" s="25"/>
      <c r="BS1787" s="25"/>
      <c r="BT1787" s="25"/>
      <c r="CD1787" s="25"/>
      <c r="CE1787" s="200"/>
      <c r="CF1787" s="200"/>
      <c r="CG1787" s="200"/>
      <c r="CH1787" s="200"/>
      <c r="CI1787" s="200"/>
      <c r="CJ1787" s="200"/>
      <c r="CK1787" s="200"/>
      <c r="CL1787" s="200"/>
      <c r="CM1787" s="200"/>
      <c r="CN1787" s="200"/>
      <c r="CO1787" s="200"/>
      <c r="CP1787" s="200"/>
      <c r="CQ1787" s="200"/>
      <c r="CR1787" s="200"/>
      <c r="CS1787" s="200"/>
      <c r="CT1787" s="200"/>
      <c r="CU1787" s="200"/>
    </row>
    <row r="1788" spans="1:99" s="17" customFormat="1" x14ac:dyDescent="0.2">
      <c r="A1788" s="25"/>
      <c r="B1788" s="20">
        <v>39037570101</v>
      </c>
      <c r="C1788" s="20">
        <v>5701.01</v>
      </c>
      <c r="D1788" s="20" t="s">
        <v>25</v>
      </c>
      <c r="E1788" s="20" t="s">
        <v>265</v>
      </c>
      <c r="F1788" s="20" t="s">
        <v>8</v>
      </c>
      <c r="G1788" s="861">
        <v>46.9767555878731</v>
      </c>
      <c r="H1788" s="861">
        <v>45.109038277252701</v>
      </c>
      <c r="I1788" s="861">
        <v>22.433710619517299</v>
      </c>
      <c r="J1788" s="861">
        <v>42.422216482915204</v>
      </c>
      <c r="K1788" s="982">
        <v>0</v>
      </c>
      <c r="L1788" s="735">
        <v>3001</v>
      </c>
      <c r="M1788" s="735">
        <v>3132</v>
      </c>
      <c r="N1788" s="845">
        <f t="shared" si="148"/>
        <v>4.3652115961346216E-2</v>
      </c>
      <c r="O1788" s="735">
        <v>54.222656643778961</v>
      </c>
      <c r="P1788" s="735">
        <f t="shared" si="149"/>
        <v>57.761832301504143</v>
      </c>
      <c r="Q1788" s="849">
        <v>38.700000000000003</v>
      </c>
      <c r="R1788" s="71">
        <v>72115</v>
      </c>
      <c r="S1788" s="845">
        <v>9.3231162196679443E-2</v>
      </c>
      <c r="T1788" s="845">
        <v>4.4999999999999998E-2</v>
      </c>
      <c r="U1788" s="845">
        <v>0</v>
      </c>
      <c r="V1788" s="845">
        <v>0</v>
      </c>
      <c r="W1788" s="845">
        <v>0.18571428571428572</v>
      </c>
      <c r="X1788" s="845">
        <v>0.10683760683760683</v>
      </c>
      <c r="Y1788" s="845">
        <v>0.94763729246487871</v>
      </c>
      <c r="Z1788" s="845">
        <v>1.0855683269476373E-2</v>
      </c>
      <c r="AA1788" s="845">
        <v>0</v>
      </c>
      <c r="AB1788" s="845">
        <v>0</v>
      </c>
      <c r="AC1788" s="845">
        <v>0</v>
      </c>
      <c r="AD1788" s="845">
        <v>0</v>
      </c>
      <c r="AE1788" s="845">
        <v>4.1507024265644954E-2</v>
      </c>
      <c r="AF1788" s="845">
        <v>2.8097062579821201E-2</v>
      </c>
      <c r="AG1788" s="845">
        <v>0.94763729246487871</v>
      </c>
      <c r="AH1788" s="20" t="str">
        <f t="shared" si="150"/>
        <v>Yes</v>
      </c>
      <c r="AI1788" s="25"/>
      <c r="AJ1788" s="20">
        <v>43947</v>
      </c>
      <c r="AK1788" s="20" t="s">
        <v>1124</v>
      </c>
      <c r="AL1788" s="20">
        <v>39013</v>
      </c>
      <c r="AM1788" s="20" t="s">
        <v>13</v>
      </c>
      <c r="AN1788" s="37">
        <f t="shared" si="151"/>
        <v>48540</v>
      </c>
      <c r="AO1788" s="37" t="str">
        <f t="shared" si="152"/>
        <v>Wheeling, WV-OH</v>
      </c>
      <c r="AP1788" s="20" t="s">
        <v>8</v>
      </c>
      <c r="AQ1788" s="25"/>
      <c r="AR1788" s="25"/>
      <c r="AS1788" s="25"/>
      <c r="AT1788" s="25"/>
      <c r="AU1788" s="36"/>
      <c r="AV1788" s="36"/>
      <c r="AW1788" s="36"/>
      <c r="AX1788" s="25"/>
      <c r="AY1788" s="25"/>
      <c r="AZ1788" s="25"/>
      <c r="BA1788" s="25"/>
      <c r="BB1788" s="25"/>
      <c r="BC1788" s="25"/>
      <c r="BD1788" s="25"/>
      <c r="BE1788" s="25"/>
      <c r="BF1788" s="25"/>
      <c r="BG1788" s="25"/>
      <c r="BH1788" s="25"/>
      <c r="BI1788" s="25"/>
      <c r="BJ1788" s="25"/>
      <c r="BK1788" s="25"/>
      <c r="BL1788" s="25"/>
      <c r="BM1788" s="25"/>
      <c r="BN1788" s="25"/>
      <c r="BO1788" s="25"/>
      <c r="BP1788" s="25"/>
      <c r="BQ1788" s="25"/>
      <c r="BR1788" s="25"/>
      <c r="BS1788" s="25"/>
      <c r="BT1788" s="25"/>
      <c r="CD1788" s="25"/>
      <c r="CE1788" s="200"/>
      <c r="CF1788" s="200"/>
      <c r="CG1788" s="200"/>
      <c r="CH1788" s="200"/>
      <c r="CI1788" s="200"/>
      <c r="CJ1788" s="200"/>
      <c r="CK1788" s="200"/>
      <c r="CL1788" s="200"/>
      <c r="CM1788" s="200"/>
      <c r="CN1788" s="200"/>
      <c r="CO1788" s="200"/>
      <c r="CP1788" s="200"/>
      <c r="CQ1788" s="200"/>
      <c r="CR1788" s="200"/>
      <c r="CS1788" s="200"/>
      <c r="CT1788" s="200"/>
      <c r="CU1788" s="200"/>
    </row>
    <row r="1789" spans="1:99" s="17" customFormat="1" x14ac:dyDescent="0.2">
      <c r="A1789" s="25"/>
      <c r="B1789" s="20">
        <v>39153530105</v>
      </c>
      <c r="C1789" s="20">
        <v>5301.05</v>
      </c>
      <c r="D1789" s="20" t="s">
        <v>82</v>
      </c>
      <c r="E1789" s="20" t="s">
        <v>2843</v>
      </c>
      <c r="F1789" s="20" t="s">
        <v>8</v>
      </c>
      <c r="G1789" s="861">
        <v>46.956780500429097</v>
      </c>
      <c r="H1789" s="861">
        <v>33.201419037099797</v>
      </c>
      <c r="I1789" s="861">
        <v>29.359696860479001</v>
      </c>
      <c r="J1789" s="861">
        <v>49.787773643441199</v>
      </c>
      <c r="K1789" s="982">
        <v>0</v>
      </c>
      <c r="L1789" s="735">
        <v>2174</v>
      </c>
      <c r="M1789" s="735">
        <v>2928</v>
      </c>
      <c r="N1789" s="845">
        <f t="shared" si="148"/>
        <v>0.34682612695492182</v>
      </c>
      <c r="O1789" s="735">
        <v>6.1208327323170613</v>
      </c>
      <c r="P1789" s="735">
        <f t="shared" si="149"/>
        <v>478.36628250607265</v>
      </c>
      <c r="Q1789" s="849">
        <v>44.1</v>
      </c>
      <c r="R1789" s="71">
        <v>69561</v>
      </c>
      <c r="S1789" s="845">
        <v>0.1576067128785115</v>
      </c>
      <c r="T1789" s="845">
        <v>0.124</v>
      </c>
      <c r="U1789" s="845">
        <v>0</v>
      </c>
      <c r="V1789" s="845">
        <v>0</v>
      </c>
      <c r="W1789" s="845">
        <v>0.29745762711864404</v>
      </c>
      <c r="X1789" s="845">
        <v>0.55840455840455838</v>
      </c>
      <c r="Y1789" s="845">
        <v>0.46994535519125685</v>
      </c>
      <c r="Z1789" s="845">
        <v>0.43408469945355194</v>
      </c>
      <c r="AA1789" s="845">
        <v>0</v>
      </c>
      <c r="AB1789" s="845">
        <v>7.1379781420765023E-2</v>
      </c>
      <c r="AC1789" s="845">
        <v>0</v>
      </c>
      <c r="AD1789" s="845">
        <v>0</v>
      </c>
      <c r="AE1789" s="845">
        <v>2.4590163934426229E-2</v>
      </c>
      <c r="AF1789" s="845">
        <v>2.0150273224043717E-2</v>
      </c>
      <c r="AG1789" s="845">
        <v>0.46994535519125685</v>
      </c>
      <c r="AH1789" s="20" t="str">
        <f t="shared" si="150"/>
        <v>No</v>
      </c>
      <c r="AI1789" s="25"/>
      <c r="AJ1789" s="20">
        <v>43950</v>
      </c>
      <c r="AK1789" s="20" t="s">
        <v>1126</v>
      </c>
      <c r="AL1789" s="20">
        <v>39013</v>
      </c>
      <c r="AM1789" s="20" t="s">
        <v>13</v>
      </c>
      <c r="AN1789" s="37">
        <f t="shared" si="151"/>
        <v>48540</v>
      </c>
      <c r="AO1789" s="37" t="str">
        <f t="shared" si="152"/>
        <v>Wheeling, WV-OH</v>
      </c>
      <c r="AP1789" s="20" t="s">
        <v>8</v>
      </c>
      <c r="AQ1789" s="25"/>
      <c r="AR1789" s="25"/>
      <c r="AS1789" s="25"/>
      <c r="AT1789" s="25"/>
      <c r="AU1789" s="36"/>
      <c r="AV1789" s="36"/>
      <c r="AW1789" s="36"/>
      <c r="AX1789" s="25"/>
      <c r="AY1789" s="25"/>
      <c r="AZ1789" s="25"/>
      <c r="BA1789" s="25"/>
      <c r="BB1789" s="25"/>
      <c r="BC1789" s="25"/>
      <c r="BD1789" s="25"/>
      <c r="BE1789" s="25"/>
      <c r="BF1789" s="25"/>
      <c r="BG1789" s="25"/>
      <c r="BH1789" s="25"/>
      <c r="BI1789" s="25"/>
      <c r="BJ1789" s="25"/>
      <c r="BK1789" s="25"/>
      <c r="BL1789" s="25"/>
      <c r="BM1789" s="25"/>
      <c r="BN1789" s="25"/>
      <c r="BO1789" s="25"/>
      <c r="BP1789" s="25"/>
      <c r="BQ1789" s="25"/>
      <c r="BR1789" s="25"/>
      <c r="BS1789" s="25"/>
      <c r="BT1789" s="25"/>
      <c r="CD1789" s="25"/>
      <c r="CE1789" s="200"/>
      <c r="CF1789" s="200"/>
      <c r="CG1789" s="200"/>
      <c r="CH1789" s="200"/>
      <c r="CI1789" s="200"/>
      <c r="CJ1789" s="200"/>
      <c r="CK1789" s="200"/>
      <c r="CL1789" s="200"/>
      <c r="CM1789" s="200"/>
      <c r="CN1789" s="200"/>
      <c r="CO1789" s="200"/>
      <c r="CP1789" s="200"/>
      <c r="CQ1789" s="200"/>
      <c r="CR1789" s="200"/>
      <c r="CS1789" s="200"/>
      <c r="CT1789" s="200"/>
      <c r="CU1789" s="200"/>
    </row>
    <row r="1790" spans="1:99" s="17" customFormat="1" x14ac:dyDescent="0.2">
      <c r="A1790" s="25"/>
      <c r="B1790" s="20">
        <v>39151714302</v>
      </c>
      <c r="C1790" s="20">
        <v>7143.02</v>
      </c>
      <c r="D1790" s="20" t="s">
        <v>81</v>
      </c>
      <c r="E1790" s="20" t="s">
        <v>2844</v>
      </c>
      <c r="F1790" s="20" t="s">
        <v>8</v>
      </c>
      <c r="G1790" s="861">
        <v>46.948811693703803</v>
      </c>
      <c r="H1790" s="861">
        <v>54.428812114851098</v>
      </c>
      <c r="I1790" s="861">
        <v>36.364999110031</v>
      </c>
      <c r="J1790" s="861">
        <v>38.313403283463799</v>
      </c>
      <c r="K1790" s="982">
        <v>0</v>
      </c>
      <c r="L1790" s="735">
        <v>4270</v>
      </c>
      <c r="M1790" s="735">
        <v>4094</v>
      </c>
      <c r="N1790" s="845">
        <f t="shared" si="148"/>
        <v>-4.1217798594847775E-2</v>
      </c>
      <c r="O1790" s="735">
        <v>1.3953836259117036</v>
      </c>
      <c r="P1790" s="735">
        <f t="shared" si="149"/>
        <v>2933.9601841214799</v>
      </c>
      <c r="Q1790" s="849">
        <v>48.6</v>
      </c>
      <c r="R1790" s="71">
        <v>65829</v>
      </c>
      <c r="S1790" s="845">
        <v>0.14767932489451477</v>
      </c>
      <c r="T1790" s="845">
        <v>5.2000000000000005E-2</v>
      </c>
      <c r="U1790" s="845">
        <v>0</v>
      </c>
      <c r="V1790" s="845">
        <v>0</v>
      </c>
      <c r="W1790" s="845">
        <v>0.2443338861249309</v>
      </c>
      <c r="X1790" s="845">
        <v>0.71493212669683259</v>
      </c>
      <c r="Y1790" s="845">
        <v>0.8651685393258427</v>
      </c>
      <c r="Z1790" s="845">
        <v>4.6653639472398631E-2</v>
      </c>
      <c r="AA1790" s="845">
        <v>0</v>
      </c>
      <c r="AB1790" s="845">
        <v>2.6868588177821201E-3</v>
      </c>
      <c r="AC1790" s="845">
        <v>0</v>
      </c>
      <c r="AD1790" s="845">
        <v>6.3507572056668293E-3</v>
      </c>
      <c r="AE1790" s="845">
        <v>7.9140205178309719E-2</v>
      </c>
      <c r="AF1790" s="845">
        <v>1.1968734733756717E-2</v>
      </c>
      <c r="AG1790" s="845">
        <v>0.86321446018563752</v>
      </c>
      <c r="AH1790" s="20" t="str">
        <f t="shared" si="150"/>
        <v>No</v>
      </c>
      <c r="AI1790" s="25"/>
      <c r="AJ1790" s="20">
        <v>43951</v>
      </c>
      <c r="AK1790" s="20" t="s">
        <v>1127</v>
      </c>
      <c r="AL1790" s="20">
        <v>39013</v>
      </c>
      <c r="AM1790" s="20" t="s">
        <v>13</v>
      </c>
      <c r="AN1790" s="37">
        <f t="shared" si="151"/>
        <v>48540</v>
      </c>
      <c r="AO1790" s="37" t="str">
        <f t="shared" si="152"/>
        <v>Wheeling, WV-OH</v>
      </c>
      <c r="AP1790" s="20" t="s">
        <v>8</v>
      </c>
      <c r="AQ1790" s="25"/>
      <c r="AR1790" s="25"/>
      <c r="AS1790" s="25"/>
      <c r="AT1790" s="25"/>
      <c r="AU1790" s="36"/>
      <c r="AV1790" s="36"/>
      <c r="AW1790" s="36"/>
      <c r="AX1790" s="25"/>
      <c r="AY1790" s="25"/>
      <c r="AZ1790" s="25"/>
      <c r="BA1790" s="25"/>
      <c r="BB1790" s="25"/>
      <c r="BC1790" s="25"/>
      <c r="BD1790" s="25"/>
      <c r="BE1790" s="25"/>
      <c r="BF1790" s="25"/>
      <c r="BG1790" s="25"/>
      <c r="BH1790" s="25"/>
      <c r="BI1790" s="25"/>
      <c r="BJ1790" s="25"/>
      <c r="BK1790" s="25"/>
      <c r="BL1790" s="25"/>
      <c r="BM1790" s="25"/>
      <c r="BN1790" s="25"/>
      <c r="BO1790" s="25"/>
      <c r="BP1790" s="25"/>
      <c r="BQ1790" s="25"/>
      <c r="BR1790" s="25"/>
      <c r="BS1790" s="25"/>
      <c r="BT1790" s="25"/>
      <c r="CD1790" s="25"/>
      <c r="CE1790" s="200"/>
      <c r="CF1790" s="200"/>
      <c r="CG1790" s="200"/>
      <c r="CH1790" s="200"/>
      <c r="CI1790" s="200"/>
      <c r="CJ1790" s="200"/>
      <c r="CK1790" s="200"/>
      <c r="CL1790" s="200"/>
      <c r="CM1790" s="200"/>
      <c r="CN1790" s="200"/>
      <c r="CO1790" s="200"/>
      <c r="CP1790" s="200"/>
      <c r="CQ1790" s="200"/>
      <c r="CR1790" s="200"/>
      <c r="CS1790" s="200"/>
      <c r="CT1790" s="200"/>
      <c r="CU1790" s="200"/>
    </row>
    <row r="1791" spans="1:99" s="17" customFormat="1" x14ac:dyDescent="0.2">
      <c r="A1791" s="25"/>
      <c r="B1791" s="20">
        <v>39033974600</v>
      </c>
      <c r="C1791" s="20">
        <v>9746</v>
      </c>
      <c r="D1791" s="20" t="s">
        <v>23</v>
      </c>
      <c r="E1791" s="20" t="s">
        <v>265</v>
      </c>
      <c r="F1791" s="20" t="s">
        <v>8</v>
      </c>
      <c r="G1791" s="861">
        <v>46.945015898548803</v>
      </c>
      <c r="H1791" s="861">
        <v>50.955532117323202</v>
      </c>
      <c r="I1791" s="861">
        <v>25.472505607798698</v>
      </c>
      <c r="J1791" s="861">
        <v>41.150964206075699</v>
      </c>
      <c r="K1791" s="982">
        <v>0</v>
      </c>
      <c r="L1791" s="735">
        <v>2605</v>
      </c>
      <c r="M1791" s="735">
        <v>2541</v>
      </c>
      <c r="N1791" s="845">
        <f t="shared" si="148"/>
        <v>-2.4568138195777352E-2</v>
      </c>
      <c r="O1791" s="735">
        <v>7.6894047980783977</v>
      </c>
      <c r="P1791" s="735">
        <f t="shared" si="149"/>
        <v>330.45470575759032</v>
      </c>
      <c r="Q1791" s="849">
        <v>50.5</v>
      </c>
      <c r="R1791" s="71">
        <v>56607</v>
      </c>
      <c r="S1791" s="845">
        <v>7.9583333333333339E-2</v>
      </c>
      <c r="T1791" s="845">
        <v>3.7000000000000005E-2</v>
      </c>
      <c r="U1791" s="845">
        <v>1.2E-2</v>
      </c>
      <c r="V1791" s="845">
        <v>0</v>
      </c>
      <c r="W1791" s="845">
        <v>0.39511754068716093</v>
      </c>
      <c r="X1791" s="845">
        <v>0.23798627002288331</v>
      </c>
      <c r="Y1791" s="845">
        <v>0.94293585202676111</v>
      </c>
      <c r="Z1791" s="845">
        <v>2.5974025974025976E-2</v>
      </c>
      <c r="AA1791" s="845">
        <v>0</v>
      </c>
      <c r="AB1791" s="845">
        <v>0</v>
      </c>
      <c r="AC1791" s="845">
        <v>0</v>
      </c>
      <c r="AD1791" s="845">
        <v>0</v>
      </c>
      <c r="AE1791" s="845">
        <v>3.1090121999212909E-2</v>
      </c>
      <c r="AF1791" s="845">
        <v>8.7760724124360492E-2</v>
      </c>
      <c r="AG1791" s="845">
        <v>0.8807556080283353</v>
      </c>
      <c r="AH1791" s="20" t="str">
        <f t="shared" si="150"/>
        <v>No</v>
      </c>
      <c r="AI1791" s="25"/>
      <c r="AJ1791" s="20">
        <v>43967</v>
      </c>
      <c r="AK1791" s="20" t="s">
        <v>1134</v>
      </c>
      <c r="AL1791" s="20">
        <v>39013</v>
      </c>
      <c r="AM1791" s="20" t="s">
        <v>13</v>
      </c>
      <c r="AN1791" s="37">
        <f t="shared" si="151"/>
        <v>48540</v>
      </c>
      <c r="AO1791" s="37" t="str">
        <f t="shared" si="152"/>
        <v>Wheeling, WV-OH</v>
      </c>
      <c r="AP1791" s="20" t="s">
        <v>8</v>
      </c>
      <c r="AQ1791" s="25"/>
      <c r="AR1791" s="25"/>
      <c r="AS1791" s="25"/>
      <c r="AT1791" s="25"/>
      <c r="AU1791" s="36"/>
      <c r="AV1791" s="36"/>
      <c r="AW1791" s="36"/>
      <c r="AX1791" s="25"/>
      <c r="AY1791" s="25"/>
      <c r="AZ1791" s="25"/>
      <c r="BA1791" s="25"/>
      <c r="BB1791" s="25"/>
      <c r="BC1791" s="25"/>
      <c r="BD1791" s="25"/>
      <c r="BE1791" s="25"/>
      <c r="BF1791" s="25"/>
      <c r="BG1791" s="25"/>
      <c r="BH1791" s="25"/>
      <c r="BI1791" s="25"/>
      <c r="BJ1791" s="25"/>
      <c r="BK1791" s="25"/>
      <c r="BL1791" s="25"/>
      <c r="BM1791" s="25"/>
      <c r="BN1791" s="25"/>
      <c r="BO1791" s="25"/>
      <c r="BP1791" s="25"/>
      <c r="BQ1791" s="25"/>
      <c r="BR1791" s="25"/>
      <c r="BS1791" s="25"/>
      <c r="BT1791" s="25"/>
      <c r="CD1791" s="25"/>
      <c r="CE1791" s="200"/>
      <c r="CF1791" s="200"/>
      <c r="CG1791" s="200"/>
      <c r="CH1791" s="200"/>
      <c r="CI1791" s="200"/>
      <c r="CJ1791" s="200"/>
      <c r="CK1791" s="200"/>
      <c r="CL1791" s="200"/>
      <c r="CM1791" s="200"/>
      <c r="CN1791" s="200"/>
      <c r="CO1791" s="200"/>
      <c r="CP1791" s="200"/>
      <c r="CQ1791" s="200"/>
      <c r="CR1791" s="200"/>
      <c r="CS1791" s="200"/>
      <c r="CT1791" s="200"/>
      <c r="CU1791" s="200"/>
    </row>
    <row r="1792" spans="1:99" s="17" customFormat="1" x14ac:dyDescent="0.2">
      <c r="A1792" s="25"/>
      <c r="B1792" s="20">
        <v>39113080500</v>
      </c>
      <c r="C1792" s="20">
        <v>805</v>
      </c>
      <c r="D1792" s="20" t="s">
        <v>62</v>
      </c>
      <c r="E1792" s="20" t="s">
        <v>2833</v>
      </c>
      <c r="F1792" s="20" t="s">
        <v>6</v>
      </c>
      <c r="G1792" s="861">
        <v>46.900096404431501</v>
      </c>
      <c r="H1792" s="861">
        <v>43.465862165898699</v>
      </c>
      <c r="I1792" s="861">
        <v>29.209757761502999</v>
      </c>
      <c r="J1792" s="861">
        <v>48.329603017752802</v>
      </c>
      <c r="K1792" s="982">
        <v>1</v>
      </c>
      <c r="L1792" s="735">
        <v>6652</v>
      </c>
      <c r="M1792" s="735">
        <v>5847</v>
      </c>
      <c r="N1792" s="845">
        <f t="shared" si="148"/>
        <v>-0.12101623571858088</v>
      </c>
      <c r="O1792" s="735">
        <v>2.6901698788107566</v>
      </c>
      <c r="P1792" s="735">
        <f t="shared" si="149"/>
        <v>2173.4686891166825</v>
      </c>
      <c r="Q1792" s="849">
        <v>39.700000000000003</v>
      </c>
      <c r="R1792" s="71">
        <v>42802</v>
      </c>
      <c r="S1792" s="845">
        <v>0.38382948740531969</v>
      </c>
      <c r="T1792" s="845">
        <v>9.8000000000000004E-2</v>
      </c>
      <c r="U1792" s="845">
        <v>0</v>
      </c>
      <c r="V1792" s="845">
        <v>0</v>
      </c>
      <c r="W1792" s="845">
        <v>0.44512391374316063</v>
      </c>
      <c r="X1792" s="845">
        <v>0.54374548083875629</v>
      </c>
      <c r="Y1792" s="845">
        <v>0.62254147426030448</v>
      </c>
      <c r="Z1792" s="845">
        <v>0.30135112023259791</v>
      </c>
      <c r="AA1792" s="845">
        <v>0</v>
      </c>
      <c r="AB1792" s="845">
        <v>1.1629895672994698E-2</v>
      </c>
      <c r="AC1792" s="845">
        <v>0</v>
      </c>
      <c r="AD1792" s="845">
        <v>1.7957927142124165E-2</v>
      </c>
      <c r="AE1792" s="845">
        <v>4.6519582691978791E-2</v>
      </c>
      <c r="AF1792" s="845">
        <v>2.9758850692662903E-2</v>
      </c>
      <c r="AG1792" s="845">
        <v>0.61091157858730971</v>
      </c>
      <c r="AH1792" s="20" t="str">
        <f t="shared" si="150"/>
        <v>No</v>
      </c>
      <c r="AI1792" s="25"/>
      <c r="AJ1792" s="20">
        <v>43971</v>
      </c>
      <c r="AK1792" s="20" t="s">
        <v>1136</v>
      </c>
      <c r="AL1792" s="20">
        <v>39013</v>
      </c>
      <c r="AM1792" s="20" t="s">
        <v>13</v>
      </c>
      <c r="AN1792" s="37">
        <f t="shared" si="151"/>
        <v>48540</v>
      </c>
      <c r="AO1792" s="37" t="str">
        <f t="shared" si="152"/>
        <v>Wheeling, WV-OH</v>
      </c>
      <c r="AP1792" s="20" t="s">
        <v>8</v>
      </c>
      <c r="AQ1792" s="25"/>
      <c r="AR1792" s="25"/>
      <c r="AS1792" s="25"/>
      <c r="AT1792" s="25"/>
      <c r="AU1792" s="36"/>
      <c r="AV1792" s="36"/>
      <c r="AW1792" s="36"/>
      <c r="AX1792" s="25"/>
      <c r="AY1792" s="25"/>
      <c r="AZ1792" s="25"/>
      <c r="BA1792" s="25"/>
      <c r="BB1792" s="25"/>
      <c r="BC1792" s="25"/>
      <c r="BD1792" s="25"/>
      <c r="BE1792" s="25"/>
      <c r="BF1792" s="25"/>
      <c r="BG1792" s="25"/>
      <c r="BH1792" s="25"/>
      <c r="BI1792" s="25"/>
      <c r="BJ1792" s="25"/>
      <c r="BK1792" s="25"/>
      <c r="BL1792" s="25"/>
      <c r="BM1792" s="25"/>
      <c r="BN1792" s="25"/>
      <c r="BO1792" s="25"/>
      <c r="BP1792" s="25"/>
      <c r="BQ1792" s="25"/>
      <c r="BR1792" s="25"/>
      <c r="BS1792" s="25"/>
      <c r="BT1792" s="25"/>
      <c r="CD1792" s="25"/>
      <c r="CE1792" s="200"/>
      <c r="CF1792" s="200"/>
      <c r="CG1792" s="200"/>
      <c r="CH1792" s="200"/>
      <c r="CI1792" s="200"/>
      <c r="CJ1792" s="200"/>
      <c r="CK1792" s="200"/>
      <c r="CL1792" s="200"/>
      <c r="CM1792" s="200"/>
      <c r="CN1792" s="200"/>
      <c r="CO1792" s="200"/>
      <c r="CP1792" s="200"/>
      <c r="CQ1792" s="200"/>
      <c r="CR1792" s="200"/>
      <c r="CS1792" s="200"/>
      <c r="CT1792" s="200"/>
      <c r="CU1792" s="200"/>
    </row>
    <row r="1793" spans="1:99" s="17" customFormat="1" x14ac:dyDescent="0.2">
      <c r="A1793" s="25"/>
      <c r="B1793" s="20">
        <v>39169002902</v>
      </c>
      <c r="C1793" s="20">
        <v>29.02</v>
      </c>
      <c r="D1793" s="20" t="s">
        <v>90</v>
      </c>
      <c r="E1793" s="20" t="s">
        <v>265</v>
      </c>
      <c r="F1793" s="20" t="s">
        <v>8</v>
      </c>
      <c r="G1793" s="861">
        <v>46.892058876809202</v>
      </c>
      <c r="H1793" s="861">
        <v>53.422529211858901</v>
      </c>
      <c r="I1793" s="861">
        <v>23.5721063247567</v>
      </c>
      <c r="J1793" s="861">
        <v>33.275126758793398</v>
      </c>
      <c r="K1793" s="982">
        <v>0</v>
      </c>
      <c r="L1793" s="735">
        <v>5084</v>
      </c>
      <c r="M1793" s="735">
        <v>5336</v>
      </c>
      <c r="N1793" s="845">
        <f t="shared" si="148"/>
        <v>4.956726986624705E-2</v>
      </c>
      <c r="O1793" s="735">
        <v>14.359153949938404</v>
      </c>
      <c r="P1793" s="735">
        <f t="shared" si="149"/>
        <v>371.60963790787196</v>
      </c>
      <c r="Q1793" s="849">
        <v>45.9</v>
      </c>
      <c r="R1793" s="71">
        <v>72778</v>
      </c>
      <c r="S1793" s="845">
        <v>7.1401799100449775E-2</v>
      </c>
      <c r="T1793" s="845">
        <v>2.2000000000000002E-2</v>
      </c>
      <c r="U1793" s="845">
        <v>0</v>
      </c>
      <c r="V1793" s="845">
        <v>0</v>
      </c>
      <c r="W1793" s="845">
        <v>9.5927601809954757E-2</v>
      </c>
      <c r="X1793" s="845">
        <v>0.18396226415094338</v>
      </c>
      <c r="Y1793" s="845">
        <v>0.85532233883058473</v>
      </c>
      <c r="Z1793" s="845">
        <v>0</v>
      </c>
      <c r="AA1793" s="845">
        <v>0</v>
      </c>
      <c r="AB1793" s="845">
        <v>8.5269865067466269E-2</v>
      </c>
      <c r="AC1793" s="845">
        <v>0</v>
      </c>
      <c r="AD1793" s="845">
        <v>0</v>
      </c>
      <c r="AE1793" s="845">
        <v>5.9407796101949024E-2</v>
      </c>
      <c r="AF1793" s="845">
        <v>5.1161919040479759E-2</v>
      </c>
      <c r="AG1793" s="845">
        <v>0.85532233883058473</v>
      </c>
      <c r="AH1793" s="20" t="str">
        <f t="shared" si="150"/>
        <v>No</v>
      </c>
      <c r="AI1793" s="25"/>
      <c r="AJ1793" s="37">
        <v>43972</v>
      </c>
      <c r="AK1793" s="37" t="s">
        <v>1137</v>
      </c>
      <c r="AL1793" s="37">
        <v>39013</v>
      </c>
      <c r="AM1793" s="37" t="s">
        <v>13</v>
      </c>
      <c r="AN1793" s="37">
        <f t="shared" si="151"/>
        <v>48540</v>
      </c>
      <c r="AO1793" s="37" t="str">
        <f t="shared" si="152"/>
        <v>Wheeling, WV-OH</v>
      </c>
      <c r="AP1793" s="20" t="s">
        <v>8</v>
      </c>
      <c r="AQ1793" s="25"/>
      <c r="AR1793" s="25"/>
      <c r="AS1793" s="25"/>
      <c r="AT1793" s="25"/>
      <c r="AU1793" s="36"/>
      <c r="AV1793" s="36"/>
      <c r="AW1793" s="36"/>
      <c r="AX1793" s="25"/>
      <c r="AY1793" s="25"/>
      <c r="AZ1793" s="25"/>
      <c r="BA1793" s="25"/>
      <c r="BB1793" s="25"/>
      <c r="BC1793" s="25"/>
      <c r="BD1793" s="25"/>
      <c r="BE1793" s="25"/>
      <c r="BF1793" s="25"/>
      <c r="BG1793" s="25"/>
      <c r="BH1793" s="25"/>
      <c r="BI1793" s="25"/>
      <c r="BJ1793" s="25"/>
      <c r="BK1793" s="25"/>
      <c r="BL1793" s="25"/>
      <c r="BM1793" s="25"/>
      <c r="BN1793" s="25"/>
      <c r="BO1793" s="25"/>
      <c r="BP1793" s="25"/>
      <c r="BQ1793" s="25"/>
      <c r="BR1793" s="25"/>
      <c r="BS1793" s="25"/>
      <c r="BT1793" s="25"/>
      <c r="CD1793" s="25"/>
      <c r="CE1793" s="200"/>
      <c r="CF1793" s="200"/>
      <c r="CG1793" s="200"/>
      <c r="CH1793" s="200"/>
      <c r="CI1793" s="200"/>
      <c r="CJ1793" s="200"/>
      <c r="CK1793" s="200"/>
      <c r="CL1793" s="200"/>
      <c r="CM1793" s="200"/>
      <c r="CN1793" s="200"/>
      <c r="CO1793" s="200"/>
      <c r="CP1793" s="200"/>
      <c r="CQ1793" s="200"/>
      <c r="CR1793" s="200"/>
      <c r="CS1793" s="200"/>
      <c r="CT1793" s="200"/>
      <c r="CU1793" s="200"/>
    </row>
    <row r="1794" spans="1:99" s="17" customFormat="1" x14ac:dyDescent="0.2">
      <c r="A1794" s="25"/>
      <c r="B1794" s="20">
        <v>39035175201</v>
      </c>
      <c r="C1794" s="20">
        <v>1752.01</v>
      </c>
      <c r="D1794" s="20" t="s">
        <v>24</v>
      </c>
      <c r="E1794" s="20" t="s">
        <v>2829</v>
      </c>
      <c r="F1794" s="20" t="s">
        <v>8</v>
      </c>
      <c r="G1794" s="861">
        <v>46.887842927445703</v>
      </c>
      <c r="H1794" s="861">
        <v>57.2728435360345</v>
      </c>
      <c r="I1794" s="861">
        <v>21.708735141343201</v>
      </c>
      <c r="J1794" s="861">
        <v>36.965444562086503</v>
      </c>
      <c r="K1794" s="982">
        <v>0</v>
      </c>
      <c r="L1794" s="735">
        <v>6168</v>
      </c>
      <c r="M1794" s="735">
        <v>6105</v>
      </c>
      <c r="N1794" s="845">
        <f t="shared" si="148"/>
        <v>-1.0214007782101167E-2</v>
      </c>
      <c r="O1794" s="735">
        <v>6.0335222928880556</v>
      </c>
      <c r="P1794" s="735">
        <f t="shared" si="149"/>
        <v>1011.8467627435798</v>
      </c>
      <c r="Q1794" s="849">
        <v>48.4</v>
      </c>
      <c r="R1794" s="71">
        <v>90284</v>
      </c>
      <c r="S1794" s="845">
        <v>4.3407043407043405E-2</v>
      </c>
      <c r="T1794" s="845">
        <v>5.2999999999999999E-2</v>
      </c>
      <c r="U1794" s="845">
        <v>0</v>
      </c>
      <c r="V1794" s="845">
        <v>0</v>
      </c>
      <c r="W1794" s="845">
        <v>0.2582496413199426</v>
      </c>
      <c r="X1794" s="845">
        <v>0.16666666666666666</v>
      </c>
      <c r="Y1794" s="845">
        <v>0.86437346437346441</v>
      </c>
      <c r="Z1794" s="845">
        <v>1.2612612612612612E-2</v>
      </c>
      <c r="AA1794" s="845">
        <v>0</v>
      </c>
      <c r="AB1794" s="845">
        <v>1.8837018837018837E-2</v>
      </c>
      <c r="AC1794" s="845">
        <v>0</v>
      </c>
      <c r="AD1794" s="845">
        <v>3.9312039312039311E-3</v>
      </c>
      <c r="AE1794" s="845">
        <v>0.10024570024570024</v>
      </c>
      <c r="AF1794" s="845">
        <v>4.1113841113841115E-2</v>
      </c>
      <c r="AG1794" s="845">
        <v>0.85896805896805895</v>
      </c>
      <c r="AH1794" s="20" t="str">
        <f t="shared" si="150"/>
        <v>No</v>
      </c>
      <c r="AI1794" s="25"/>
      <c r="AJ1794" s="20">
        <v>43977</v>
      </c>
      <c r="AK1794" s="20" t="s">
        <v>1141</v>
      </c>
      <c r="AL1794" s="20">
        <v>39013</v>
      </c>
      <c r="AM1794" s="20" t="s">
        <v>13</v>
      </c>
      <c r="AN1794" s="37">
        <f t="shared" si="151"/>
        <v>48540</v>
      </c>
      <c r="AO1794" s="37" t="str">
        <f t="shared" si="152"/>
        <v>Wheeling, WV-OH</v>
      </c>
      <c r="AP1794" s="20" t="s">
        <v>8</v>
      </c>
      <c r="AQ1794" s="25"/>
      <c r="AR1794" s="25"/>
      <c r="AS1794" s="25"/>
      <c r="AT1794" s="25"/>
      <c r="AU1794" s="36"/>
      <c r="AV1794" s="36"/>
      <c r="AW1794" s="36"/>
      <c r="AX1794" s="25"/>
      <c r="AY1794" s="25"/>
      <c r="AZ1794" s="25"/>
      <c r="BA1794" s="25"/>
      <c r="BB1794" s="25"/>
      <c r="BC1794" s="25"/>
      <c r="BD1794" s="25"/>
      <c r="BE1794" s="25"/>
      <c r="BF1794" s="25"/>
      <c r="BG1794" s="25"/>
      <c r="BH1794" s="25"/>
      <c r="BI1794" s="25"/>
      <c r="BJ1794" s="25"/>
      <c r="BK1794" s="25"/>
      <c r="BL1794" s="25"/>
      <c r="BM1794" s="25"/>
      <c r="BN1794" s="25"/>
      <c r="BO1794" s="25"/>
      <c r="BP1794" s="25"/>
      <c r="BQ1794" s="25"/>
      <c r="BR1794" s="25"/>
      <c r="BS1794" s="25"/>
      <c r="BT1794" s="25"/>
      <c r="CD1794" s="25"/>
      <c r="CE1794" s="200"/>
      <c r="CF1794" s="200"/>
      <c r="CG1794" s="200"/>
      <c r="CH1794" s="200"/>
      <c r="CI1794" s="200"/>
      <c r="CJ1794" s="200"/>
      <c r="CK1794" s="200"/>
      <c r="CL1794" s="200"/>
      <c r="CM1794" s="200"/>
      <c r="CN1794" s="200"/>
      <c r="CO1794" s="200"/>
      <c r="CP1794" s="200"/>
      <c r="CQ1794" s="200"/>
      <c r="CR1794" s="200"/>
      <c r="CS1794" s="200"/>
      <c r="CT1794" s="200"/>
      <c r="CU1794" s="200"/>
    </row>
    <row r="1795" spans="1:99" s="17" customFormat="1" x14ac:dyDescent="0.2">
      <c r="A1795" s="25"/>
      <c r="B1795" s="20">
        <v>39057230100</v>
      </c>
      <c r="C1795" s="20">
        <v>2301</v>
      </c>
      <c r="D1795" s="20" t="s">
        <v>35</v>
      </c>
      <c r="E1795" s="20" t="s">
        <v>2833</v>
      </c>
      <c r="F1795" s="20" t="s">
        <v>8</v>
      </c>
      <c r="G1795" s="861">
        <v>46.8788542706748</v>
      </c>
      <c r="H1795" s="861">
        <v>61.240553275359503</v>
      </c>
      <c r="I1795" s="861">
        <v>25.565772849407299</v>
      </c>
      <c r="J1795" s="861">
        <v>50.719880890529303</v>
      </c>
      <c r="K1795" s="982">
        <v>0</v>
      </c>
      <c r="L1795" s="735">
        <v>2640</v>
      </c>
      <c r="M1795" s="735">
        <v>2502</v>
      </c>
      <c r="N1795" s="845">
        <f t="shared" si="148"/>
        <v>-5.2272727272727269E-2</v>
      </c>
      <c r="O1795" s="735">
        <v>34.111154278619452</v>
      </c>
      <c r="P1795" s="735">
        <f t="shared" si="149"/>
        <v>73.348441379722814</v>
      </c>
      <c r="Q1795" s="849">
        <v>50.9</v>
      </c>
      <c r="R1795" s="71">
        <v>95208</v>
      </c>
      <c r="S1795" s="845">
        <v>0.11606425702811245</v>
      </c>
      <c r="T1795" s="845">
        <v>7.6999999999999999E-2</v>
      </c>
      <c r="U1795" s="845">
        <v>0</v>
      </c>
      <c r="V1795" s="845">
        <v>0</v>
      </c>
      <c r="W1795" s="845">
        <v>0.13963039014373715</v>
      </c>
      <c r="X1795" s="845">
        <v>0.46323529411764708</v>
      </c>
      <c r="Y1795" s="845">
        <v>0.88848920863309355</v>
      </c>
      <c r="Z1795" s="845">
        <v>1.3988808952837729E-2</v>
      </c>
      <c r="AA1795" s="845">
        <v>2.3980815347721821E-3</v>
      </c>
      <c r="AB1795" s="845">
        <v>6.7945643485211827E-3</v>
      </c>
      <c r="AC1795" s="845">
        <v>0</v>
      </c>
      <c r="AD1795" s="845">
        <v>6.83453237410072E-2</v>
      </c>
      <c r="AE1795" s="845">
        <v>1.9984012789768184E-2</v>
      </c>
      <c r="AF1795" s="845">
        <v>3.996802557953637E-4</v>
      </c>
      <c r="AG1795" s="845">
        <v>0.88808952837729815</v>
      </c>
      <c r="AH1795" s="20" t="str">
        <f t="shared" si="150"/>
        <v>No</v>
      </c>
      <c r="AI1795" s="25"/>
      <c r="AJ1795" s="37">
        <v>43983</v>
      </c>
      <c r="AK1795" s="37" t="s">
        <v>1143</v>
      </c>
      <c r="AL1795" s="37">
        <v>39013</v>
      </c>
      <c r="AM1795" s="37" t="s">
        <v>13</v>
      </c>
      <c r="AN1795" s="37">
        <f t="shared" si="151"/>
        <v>48540</v>
      </c>
      <c r="AO1795" s="37" t="str">
        <f t="shared" si="152"/>
        <v>Wheeling, WV-OH</v>
      </c>
      <c r="AP1795" s="20" t="s">
        <v>8</v>
      </c>
      <c r="AQ1795" s="25"/>
      <c r="AR1795" s="25"/>
      <c r="AS1795" s="25"/>
      <c r="AT1795" s="25"/>
      <c r="AU1795" s="36"/>
      <c r="AV1795" s="36"/>
      <c r="AW1795" s="36"/>
      <c r="AX1795" s="25"/>
      <c r="AY1795" s="25"/>
      <c r="AZ1795" s="25"/>
      <c r="BA1795" s="25"/>
      <c r="BB1795" s="25"/>
      <c r="BC1795" s="25"/>
      <c r="BD1795" s="25"/>
      <c r="BE1795" s="25"/>
      <c r="BF1795" s="25"/>
      <c r="BG1795" s="25"/>
      <c r="BH1795" s="25"/>
      <c r="BI1795" s="25"/>
      <c r="BJ1795" s="25"/>
      <c r="BK1795" s="25"/>
      <c r="BL1795" s="25"/>
      <c r="BM1795" s="25"/>
      <c r="BN1795" s="25"/>
      <c r="BO1795" s="25"/>
      <c r="BP1795" s="25"/>
      <c r="BQ1795" s="25"/>
      <c r="BR1795" s="25"/>
      <c r="BS1795" s="25"/>
      <c r="BT1795" s="25"/>
      <c r="CD1795" s="25"/>
      <c r="CE1795" s="200"/>
      <c r="CF1795" s="200"/>
      <c r="CG1795" s="200"/>
      <c r="CH1795" s="200"/>
      <c r="CI1795" s="200"/>
      <c r="CJ1795" s="200"/>
      <c r="CK1795" s="200"/>
      <c r="CL1795" s="200"/>
      <c r="CM1795" s="200"/>
      <c r="CN1795" s="200"/>
      <c r="CO1795" s="200"/>
      <c r="CP1795" s="200"/>
      <c r="CQ1795" s="200"/>
      <c r="CR1795" s="200"/>
      <c r="CS1795" s="200"/>
      <c r="CT1795" s="200"/>
      <c r="CU1795" s="200"/>
    </row>
    <row r="1796" spans="1:99" s="17" customFormat="1" x14ac:dyDescent="0.2">
      <c r="A1796" s="25"/>
      <c r="B1796" s="20">
        <v>39153506200</v>
      </c>
      <c r="C1796" s="20">
        <v>5062</v>
      </c>
      <c r="D1796" s="20" t="s">
        <v>82</v>
      </c>
      <c r="E1796" s="20" t="s">
        <v>2843</v>
      </c>
      <c r="F1796" s="20" t="s">
        <v>6</v>
      </c>
      <c r="G1796" s="861">
        <v>46.867069029867999</v>
      </c>
      <c r="H1796" s="861">
        <v>55.246201438537803</v>
      </c>
      <c r="I1796" s="861">
        <v>54.524846115379802</v>
      </c>
      <c r="J1796" s="861">
        <v>26.726014779154699</v>
      </c>
      <c r="K1796" s="982">
        <v>0</v>
      </c>
      <c r="L1796" s="735">
        <v>4058</v>
      </c>
      <c r="M1796" s="735">
        <v>3167</v>
      </c>
      <c r="N1796" s="845">
        <f t="shared" si="148"/>
        <v>-0.21956628881222276</v>
      </c>
      <c r="O1796" s="735">
        <v>0.84333244294314547</v>
      </c>
      <c r="P1796" s="735">
        <f t="shared" si="149"/>
        <v>3755.3399332622475</v>
      </c>
      <c r="Q1796" s="849">
        <v>55.8</v>
      </c>
      <c r="R1796" s="71">
        <v>42972</v>
      </c>
      <c r="S1796" s="845">
        <v>0.11714556362488159</v>
      </c>
      <c r="T1796" s="845">
        <v>6.7000000000000004E-2</v>
      </c>
      <c r="U1796" s="845">
        <v>6.9999999999999993E-3</v>
      </c>
      <c r="V1796" s="845">
        <v>0</v>
      </c>
      <c r="W1796" s="845">
        <v>0.21810449574726609</v>
      </c>
      <c r="X1796" s="845">
        <v>0.63788300835654599</v>
      </c>
      <c r="Y1796" s="845">
        <v>0.17398168613830123</v>
      </c>
      <c r="Z1796" s="845">
        <v>0.7511840858856963</v>
      </c>
      <c r="AA1796" s="845">
        <v>1.5787811809283233E-2</v>
      </c>
      <c r="AB1796" s="845">
        <v>0</v>
      </c>
      <c r="AC1796" s="845">
        <v>0</v>
      </c>
      <c r="AD1796" s="845">
        <v>0</v>
      </c>
      <c r="AE1796" s="845">
        <v>5.9046416166719295E-2</v>
      </c>
      <c r="AF1796" s="845">
        <v>1.5787811809283233E-2</v>
      </c>
      <c r="AG1796" s="845">
        <v>0.17398168613830123</v>
      </c>
      <c r="AH1796" s="20" t="str">
        <f t="shared" si="150"/>
        <v>No</v>
      </c>
      <c r="AI1796" s="25"/>
      <c r="AJ1796" s="37">
        <v>43985</v>
      </c>
      <c r="AK1796" s="37" t="s">
        <v>1144</v>
      </c>
      <c r="AL1796" s="37">
        <v>39013</v>
      </c>
      <c r="AM1796" s="37" t="s">
        <v>13</v>
      </c>
      <c r="AN1796" s="37">
        <f t="shared" si="151"/>
        <v>48540</v>
      </c>
      <c r="AO1796" s="37" t="str">
        <f t="shared" si="152"/>
        <v>Wheeling, WV-OH</v>
      </c>
      <c r="AP1796" s="20" t="s">
        <v>8</v>
      </c>
      <c r="AQ1796" s="25"/>
      <c r="AR1796" s="25"/>
      <c r="AS1796" s="25"/>
      <c r="AT1796" s="25"/>
      <c r="AU1796" s="36"/>
      <c r="AV1796" s="36"/>
      <c r="AW1796" s="36"/>
      <c r="AX1796" s="25"/>
      <c r="AY1796" s="25"/>
      <c r="AZ1796" s="25"/>
      <c r="BA1796" s="25"/>
      <c r="BB1796" s="25"/>
      <c r="BC1796" s="25"/>
      <c r="BD1796" s="25"/>
      <c r="BE1796" s="25"/>
      <c r="BF1796" s="25"/>
      <c r="BG1796" s="25"/>
      <c r="BH1796" s="25"/>
      <c r="BI1796" s="25"/>
      <c r="BJ1796" s="25"/>
      <c r="BK1796" s="25"/>
      <c r="BL1796" s="25"/>
      <c r="BM1796" s="25"/>
      <c r="BN1796" s="25"/>
      <c r="BO1796" s="25"/>
      <c r="BP1796" s="25"/>
      <c r="BQ1796" s="25"/>
      <c r="BR1796" s="25"/>
      <c r="BS1796" s="25"/>
      <c r="BT1796" s="25"/>
      <c r="CD1796" s="25"/>
      <c r="CE1796" s="200"/>
      <c r="CF1796" s="200"/>
      <c r="CG1796" s="200"/>
      <c r="CH1796" s="200"/>
      <c r="CI1796" s="200"/>
      <c r="CJ1796" s="200"/>
      <c r="CK1796" s="200"/>
      <c r="CL1796" s="200"/>
      <c r="CM1796" s="200"/>
      <c r="CN1796" s="200"/>
      <c r="CO1796" s="200"/>
      <c r="CP1796" s="200"/>
      <c r="CQ1796" s="200"/>
      <c r="CR1796" s="200"/>
      <c r="CS1796" s="200"/>
      <c r="CT1796" s="200"/>
      <c r="CU1796" s="200"/>
    </row>
    <row r="1797" spans="1:99" s="17" customFormat="1" x14ac:dyDescent="0.2">
      <c r="A1797" s="25"/>
      <c r="B1797" s="20">
        <v>39133600602</v>
      </c>
      <c r="C1797" s="20">
        <v>6006.02</v>
      </c>
      <c r="D1797" s="20" t="s">
        <v>72</v>
      </c>
      <c r="E1797" s="20" t="s">
        <v>2843</v>
      </c>
      <c r="F1797" s="20" t="s">
        <v>8</v>
      </c>
      <c r="G1797" s="861">
        <v>46.865208571579601</v>
      </c>
      <c r="H1797" s="861">
        <v>57.747966437899301</v>
      </c>
      <c r="I1797" s="861">
        <v>17.405015657781199</v>
      </c>
      <c r="J1797" s="861">
        <v>49.010615446910897</v>
      </c>
      <c r="K1797" s="982">
        <v>0</v>
      </c>
      <c r="L1797" s="735">
        <v>2828</v>
      </c>
      <c r="M1797" s="735">
        <v>2660</v>
      </c>
      <c r="N1797" s="845">
        <f t="shared" si="148"/>
        <v>-5.9405940594059403E-2</v>
      </c>
      <c r="O1797" s="735">
        <v>23.769332670797475</v>
      </c>
      <c r="P1797" s="735">
        <f t="shared" si="149"/>
        <v>111.90890534625832</v>
      </c>
      <c r="Q1797" s="849">
        <v>40</v>
      </c>
      <c r="R1797" s="71">
        <v>71736</v>
      </c>
      <c r="S1797" s="845">
        <v>9.310214851111949E-2</v>
      </c>
      <c r="T1797" s="845">
        <v>4.4000000000000004E-2</v>
      </c>
      <c r="U1797" s="845">
        <v>3.7000000000000005E-2</v>
      </c>
      <c r="V1797" s="845">
        <v>0</v>
      </c>
      <c r="W1797" s="845">
        <v>0.16049382716049382</v>
      </c>
      <c r="X1797" s="845">
        <v>0.17948717948717949</v>
      </c>
      <c r="Y1797" s="845">
        <v>0.94624060150375944</v>
      </c>
      <c r="Z1797" s="845">
        <v>0</v>
      </c>
      <c r="AA1797" s="845">
        <v>0</v>
      </c>
      <c r="AB1797" s="845">
        <v>0</v>
      </c>
      <c r="AC1797" s="845">
        <v>0</v>
      </c>
      <c r="AD1797" s="845">
        <v>0</v>
      </c>
      <c r="AE1797" s="845">
        <v>5.3759398496240604E-2</v>
      </c>
      <c r="AF1797" s="845">
        <v>3.9473684210526314E-2</v>
      </c>
      <c r="AG1797" s="845">
        <v>0.94624060150375944</v>
      </c>
      <c r="AH1797" s="20" t="str">
        <f t="shared" si="150"/>
        <v>Yes</v>
      </c>
      <c r="AI1797" s="25"/>
      <c r="AJ1797" s="20">
        <v>44401</v>
      </c>
      <c r="AK1797" s="20" t="s">
        <v>1314</v>
      </c>
      <c r="AL1797" s="20">
        <v>39099</v>
      </c>
      <c r="AM1797" s="20" t="s">
        <v>55</v>
      </c>
      <c r="AN1797" s="37">
        <f t="shared" si="151"/>
        <v>49660</v>
      </c>
      <c r="AO1797" s="37" t="str">
        <f t="shared" si="152"/>
        <v>Youngstown-Warren, OH</v>
      </c>
      <c r="AP1797" s="20" t="s">
        <v>8</v>
      </c>
      <c r="AQ1797" s="25"/>
      <c r="AR1797" s="25"/>
      <c r="AS1797" s="25"/>
      <c r="AT1797" s="25"/>
      <c r="AU1797" s="36"/>
      <c r="AV1797" s="36"/>
      <c r="AW1797" s="36"/>
      <c r="AX1797" s="25"/>
      <c r="AY1797" s="25"/>
      <c r="AZ1797" s="25"/>
      <c r="BA1797" s="25"/>
      <c r="BB1797" s="25"/>
      <c r="BC1797" s="25"/>
      <c r="BD1797" s="25"/>
      <c r="BE1797" s="25"/>
      <c r="BF1797" s="25"/>
      <c r="BG1797" s="25"/>
      <c r="BH1797" s="25"/>
      <c r="BI1797" s="25"/>
      <c r="BJ1797" s="25"/>
      <c r="BK1797" s="25"/>
      <c r="BL1797" s="25"/>
      <c r="BM1797" s="25"/>
      <c r="BN1797" s="25"/>
      <c r="BO1797" s="25"/>
      <c r="BP1797" s="25"/>
      <c r="BQ1797" s="25"/>
      <c r="BR1797" s="25"/>
      <c r="BS1797" s="25"/>
      <c r="BT1797" s="25"/>
      <c r="CD1797" s="25"/>
      <c r="CE1797" s="200"/>
      <c r="CF1797" s="200"/>
      <c r="CG1797" s="200"/>
      <c r="CH1797" s="200"/>
      <c r="CI1797" s="200"/>
      <c r="CJ1797" s="200"/>
      <c r="CK1797" s="200"/>
      <c r="CL1797" s="200"/>
      <c r="CM1797" s="200"/>
      <c r="CN1797" s="200"/>
      <c r="CO1797" s="200"/>
      <c r="CP1797" s="200"/>
      <c r="CQ1797" s="200"/>
      <c r="CR1797" s="200"/>
      <c r="CS1797" s="200"/>
      <c r="CT1797" s="200"/>
      <c r="CU1797" s="200"/>
    </row>
    <row r="1798" spans="1:99" s="17" customFormat="1" x14ac:dyDescent="0.2">
      <c r="A1798" s="25"/>
      <c r="B1798" s="20">
        <v>39037555001</v>
      </c>
      <c r="C1798" s="20">
        <v>5550.01</v>
      </c>
      <c r="D1798" s="20" t="s">
        <v>25</v>
      </c>
      <c r="E1798" s="20" t="s">
        <v>265</v>
      </c>
      <c r="F1798" s="20" t="s">
        <v>8</v>
      </c>
      <c r="G1798" s="861">
        <v>46.865039307750997</v>
      </c>
      <c r="H1798" s="861">
        <v>53.078978836601301</v>
      </c>
      <c r="I1798" s="861">
        <v>21.7247602770369</v>
      </c>
      <c r="J1798" s="861">
        <v>39.128084057608099</v>
      </c>
      <c r="K1798" s="982">
        <v>0</v>
      </c>
      <c r="L1798" s="735" t="s">
        <v>2466</v>
      </c>
      <c r="M1798" s="735">
        <v>2343</v>
      </c>
      <c r="N1798" s="845" t="str">
        <f t="shared" si="148"/>
        <v/>
      </c>
      <c r="O1798" s="735">
        <v>0.87666734500954913</v>
      </c>
      <c r="P1798" s="735">
        <f t="shared" si="149"/>
        <v>2672.6215061363769</v>
      </c>
      <c r="Q1798" s="849">
        <v>49.4</v>
      </c>
      <c r="R1798" s="71">
        <v>53553</v>
      </c>
      <c r="S1798" s="845">
        <v>0.10614772224679346</v>
      </c>
      <c r="T1798" s="845">
        <v>2.6000000000000002E-2</v>
      </c>
      <c r="U1798" s="845">
        <v>0</v>
      </c>
      <c r="V1798" s="845">
        <v>0</v>
      </c>
      <c r="W1798" s="845">
        <v>0.34021543985637342</v>
      </c>
      <c r="X1798" s="845">
        <v>0.24802110817941952</v>
      </c>
      <c r="Y1798" s="845">
        <v>0.98292787025181394</v>
      </c>
      <c r="Z1798" s="845">
        <v>0</v>
      </c>
      <c r="AA1798" s="845">
        <v>7.6824583866837385E-3</v>
      </c>
      <c r="AB1798" s="845">
        <v>0</v>
      </c>
      <c r="AC1798" s="845">
        <v>0</v>
      </c>
      <c r="AD1798" s="845">
        <v>0</v>
      </c>
      <c r="AE1798" s="845">
        <v>9.3896713615023476E-3</v>
      </c>
      <c r="AF1798" s="845">
        <v>0</v>
      </c>
      <c r="AG1798" s="845">
        <v>0.98292787025181394</v>
      </c>
      <c r="AH1798" s="20" t="str">
        <f t="shared" si="150"/>
        <v>Yes</v>
      </c>
      <c r="AI1798" s="25"/>
      <c r="AJ1798" s="20">
        <v>44405</v>
      </c>
      <c r="AK1798" s="20" t="s">
        <v>1318</v>
      </c>
      <c r="AL1798" s="20">
        <v>39099</v>
      </c>
      <c r="AM1798" s="20" t="s">
        <v>55</v>
      </c>
      <c r="AN1798" s="37">
        <f t="shared" si="151"/>
        <v>49660</v>
      </c>
      <c r="AO1798" s="37" t="str">
        <f t="shared" si="152"/>
        <v>Youngstown-Warren, OH</v>
      </c>
      <c r="AP1798" s="20" t="s">
        <v>8</v>
      </c>
      <c r="AQ1798" s="25"/>
      <c r="AR1798" s="25"/>
      <c r="AS1798" s="25"/>
      <c r="AT1798" s="25"/>
      <c r="AU1798" s="36"/>
      <c r="AV1798" s="36"/>
      <c r="AW1798" s="36"/>
      <c r="AX1798" s="25"/>
      <c r="AY1798" s="25"/>
      <c r="AZ1798" s="25"/>
      <c r="BA1798" s="25"/>
      <c r="BB1798" s="25"/>
      <c r="BC1798" s="25"/>
      <c r="BD1798" s="25"/>
      <c r="BE1798" s="25"/>
      <c r="BF1798" s="25"/>
      <c r="BG1798" s="25"/>
      <c r="BH1798" s="25"/>
      <c r="BI1798" s="25"/>
      <c r="BJ1798" s="25"/>
      <c r="BK1798" s="25"/>
      <c r="BL1798" s="25"/>
      <c r="BM1798" s="25"/>
      <c r="BN1798" s="25"/>
      <c r="BO1798" s="25"/>
      <c r="BP1798" s="25"/>
      <c r="BQ1798" s="25"/>
      <c r="BR1798" s="25"/>
      <c r="BS1798" s="25"/>
      <c r="BT1798" s="25"/>
      <c r="CD1798" s="25"/>
      <c r="CE1798" s="200"/>
      <c r="CF1798" s="200"/>
      <c r="CG1798" s="200"/>
      <c r="CH1798" s="200"/>
      <c r="CI1798" s="200"/>
      <c r="CJ1798" s="200"/>
      <c r="CK1798" s="200"/>
      <c r="CL1798" s="200"/>
      <c r="CM1798" s="200"/>
      <c r="CN1798" s="200"/>
      <c r="CO1798" s="200"/>
      <c r="CP1798" s="200"/>
      <c r="CQ1798" s="200"/>
      <c r="CR1798" s="200"/>
      <c r="CS1798" s="200"/>
      <c r="CT1798" s="200"/>
      <c r="CU1798" s="200"/>
    </row>
    <row r="1799" spans="1:99" s="17" customFormat="1" x14ac:dyDescent="0.2">
      <c r="A1799" s="25"/>
      <c r="B1799" s="20">
        <v>39007000200</v>
      </c>
      <c r="C1799" s="20">
        <v>2</v>
      </c>
      <c r="D1799" s="20" t="s">
        <v>10</v>
      </c>
      <c r="E1799" s="20" t="s">
        <v>2829</v>
      </c>
      <c r="F1799" s="20" t="s">
        <v>8</v>
      </c>
      <c r="G1799" s="861">
        <v>46.845153095972897</v>
      </c>
      <c r="H1799" s="861">
        <v>39.261185286369802</v>
      </c>
      <c r="I1799" s="861">
        <v>22.612513788097701</v>
      </c>
      <c r="J1799" s="861">
        <v>50.518338916677401</v>
      </c>
      <c r="K1799" s="982">
        <v>0</v>
      </c>
      <c r="L1799" s="735">
        <v>4410</v>
      </c>
      <c r="M1799" s="735">
        <v>4144</v>
      </c>
      <c r="N1799" s="845">
        <f t="shared" si="148"/>
        <v>-6.0317460317460318E-2</v>
      </c>
      <c r="O1799" s="735">
        <v>18.014941002953098</v>
      </c>
      <c r="P1799" s="735">
        <f t="shared" si="149"/>
        <v>230.03128343971235</v>
      </c>
      <c r="Q1799" s="849">
        <v>55.6</v>
      </c>
      <c r="R1799" s="71">
        <v>73732</v>
      </c>
      <c r="S1799" s="845">
        <v>8.0179282868525895E-2</v>
      </c>
      <c r="T1799" s="845">
        <v>6.4000000000000001E-2</v>
      </c>
      <c r="U1799" s="845">
        <v>3.1E-2</v>
      </c>
      <c r="V1799" s="845">
        <v>0</v>
      </c>
      <c r="W1799" s="845">
        <v>0.13137032842582105</v>
      </c>
      <c r="X1799" s="845">
        <v>0.29310344827586204</v>
      </c>
      <c r="Y1799" s="845">
        <v>0.94835907335907332</v>
      </c>
      <c r="Z1799" s="845">
        <v>1.3030888030888031E-2</v>
      </c>
      <c r="AA1799" s="845">
        <v>9.6525096525096527E-4</v>
      </c>
      <c r="AB1799" s="845">
        <v>4.1023166023166019E-3</v>
      </c>
      <c r="AC1799" s="845">
        <v>0</v>
      </c>
      <c r="AD1799" s="845">
        <v>0</v>
      </c>
      <c r="AE1799" s="845">
        <v>3.3542471042471045E-2</v>
      </c>
      <c r="AF1799" s="845">
        <v>2.6544401544401543E-2</v>
      </c>
      <c r="AG1799" s="845">
        <v>0.9218146718146718</v>
      </c>
      <c r="AH1799" s="20" t="str">
        <f t="shared" si="150"/>
        <v>Yes</v>
      </c>
      <c r="AI1799" s="25"/>
      <c r="AJ1799" s="37">
        <v>44406</v>
      </c>
      <c r="AK1799" s="37" t="s">
        <v>1319</v>
      </c>
      <c r="AL1799" s="37">
        <v>39099</v>
      </c>
      <c r="AM1799" s="37" t="s">
        <v>55</v>
      </c>
      <c r="AN1799" s="37">
        <f t="shared" si="151"/>
        <v>49660</v>
      </c>
      <c r="AO1799" s="37" t="str">
        <f t="shared" si="152"/>
        <v>Youngstown-Warren, OH</v>
      </c>
      <c r="AP1799" s="20" t="s">
        <v>8</v>
      </c>
      <c r="AQ1799" s="25"/>
      <c r="AR1799" s="25"/>
      <c r="AS1799" s="25"/>
      <c r="AT1799" s="25"/>
      <c r="AU1799" s="36"/>
      <c r="AV1799" s="36"/>
      <c r="AW1799" s="36"/>
      <c r="AX1799" s="25"/>
      <c r="AY1799" s="25"/>
      <c r="AZ1799" s="25"/>
      <c r="BA1799" s="25"/>
      <c r="BB1799" s="25"/>
      <c r="BC1799" s="25"/>
      <c r="BD1799" s="25"/>
      <c r="BE1799" s="25"/>
      <c r="BF1799" s="25"/>
      <c r="BG1799" s="25"/>
      <c r="BH1799" s="25"/>
      <c r="BI1799" s="25"/>
      <c r="BJ1799" s="25"/>
      <c r="BK1799" s="25"/>
      <c r="BL1799" s="25"/>
      <c r="BM1799" s="25"/>
      <c r="BN1799" s="25"/>
      <c r="BO1799" s="25"/>
      <c r="BP1799" s="25"/>
      <c r="BQ1799" s="25"/>
      <c r="BR1799" s="25"/>
      <c r="BS1799" s="25"/>
      <c r="BT1799" s="25"/>
      <c r="CD1799" s="25"/>
      <c r="CE1799" s="200"/>
      <c r="CF1799" s="200"/>
      <c r="CG1799" s="200"/>
      <c r="CH1799" s="200"/>
      <c r="CI1799" s="200"/>
      <c r="CJ1799" s="200"/>
      <c r="CK1799" s="200"/>
      <c r="CL1799" s="200"/>
      <c r="CM1799" s="200"/>
      <c r="CN1799" s="200"/>
      <c r="CO1799" s="200"/>
      <c r="CP1799" s="200"/>
      <c r="CQ1799" s="200"/>
      <c r="CR1799" s="200"/>
      <c r="CS1799" s="200"/>
      <c r="CT1799" s="200"/>
      <c r="CU1799" s="200"/>
    </row>
    <row r="1800" spans="1:99" s="17" customFormat="1" x14ac:dyDescent="0.2">
      <c r="A1800" s="25"/>
      <c r="B1800" s="20">
        <v>39169000600</v>
      </c>
      <c r="C1800" s="20">
        <v>6</v>
      </c>
      <c r="D1800" s="20" t="s">
        <v>90</v>
      </c>
      <c r="E1800" s="20" t="s">
        <v>265</v>
      </c>
      <c r="F1800" s="20" t="s">
        <v>8</v>
      </c>
      <c r="G1800" s="861">
        <v>46.8386743597624</v>
      </c>
      <c r="H1800" s="861">
        <v>50.685550242636303</v>
      </c>
      <c r="I1800" s="861">
        <v>32.682156471519399</v>
      </c>
      <c r="J1800" s="861">
        <v>18.430779837502499</v>
      </c>
      <c r="K1800" s="982">
        <v>0</v>
      </c>
      <c r="L1800" s="735">
        <v>5523</v>
      </c>
      <c r="M1800" s="735">
        <v>4454</v>
      </c>
      <c r="N1800" s="845">
        <f t="shared" si="148"/>
        <v>-0.19355422777476008</v>
      </c>
      <c r="O1800" s="735">
        <v>12.770901484949288</v>
      </c>
      <c r="P1800" s="735">
        <f t="shared" si="149"/>
        <v>348.76159723329715</v>
      </c>
      <c r="Q1800" s="849">
        <v>45.5</v>
      </c>
      <c r="R1800" s="71">
        <v>60909</v>
      </c>
      <c r="S1800" s="845">
        <v>0.18271661686968513</v>
      </c>
      <c r="T1800" s="845">
        <v>5.5999999999999994E-2</v>
      </c>
      <c r="U1800" s="845">
        <v>6.7000000000000004E-2</v>
      </c>
      <c r="V1800" s="845">
        <v>0.03</v>
      </c>
      <c r="W1800" s="845">
        <v>0.39463414634146343</v>
      </c>
      <c r="X1800" s="845">
        <v>0.46106304079110011</v>
      </c>
      <c r="Y1800" s="845">
        <v>0.95172878311629994</v>
      </c>
      <c r="Z1800" s="845">
        <v>5.6129321957790754E-3</v>
      </c>
      <c r="AA1800" s="845">
        <v>0</v>
      </c>
      <c r="AB1800" s="845">
        <v>0</v>
      </c>
      <c r="AC1800" s="845">
        <v>0</v>
      </c>
      <c r="AD1800" s="845">
        <v>0</v>
      </c>
      <c r="AE1800" s="845">
        <v>4.2658284687920968E-2</v>
      </c>
      <c r="AF1800" s="845">
        <v>0</v>
      </c>
      <c r="AG1800" s="845">
        <v>0.95172878311629994</v>
      </c>
      <c r="AH1800" s="20" t="str">
        <f t="shared" si="150"/>
        <v>Yes</v>
      </c>
      <c r="AI1800" s="25"/>
      <c r="AJ1800" s="20">
        <v>44408</v>
      </c>
      <c r="AK1800" s="20" t="s">
        <v>1320</v>
      </c>
      <c r="AL1800" s="20">
        <v>39099</v>
      </c>
      <c r="AM1800" s="20" t="s">
        <v>55</v>
      </c>
      <c r="AN1800" s="37">
        <f t="shared" si="151"/>
        <v>49660</v>
      </c>
      <c r="AO1800" s="37" t="str">
        <f t="shared" si="152"/>
        <v>Youngstown-Warren, OH</v>
      </c>
      <c r="AP1800" s="20" t="s">
        <v>8</v>
      </c>
      <c r="AQ1800" s="25"/>
      <c r="AR1800" s="25"/>
      <c r="AS1800" s="25"/>
      <c r="AT1800" s="25"/>
      <c r="AU1800" s="36"/>
      <c r="AV1800" s="36"/>
      <c r="AW1800" s="36"/>
      <c r="AX1800" s="25"/>
      <c r="AY1800" s="25"/>
      <c r="AZ1800" s="25"/>
      <c r="BA1800" s="25"/>
      <c r="BB1800" s="25"/>
      <c r="BC1800" s="25"/>
      <c r="BD1800" s="25"/>
      <c r="BE1800" s="25"/>
      <c r="BF1800" s="25"/>
      <c r="BG1800" s="25"/>
      <c r="BH1800" s="25"/>
      <c r="BI1800" s="25"/>
      <c r="BJ1800" s="25"/>
      <c r="BK1800" s="25"/>
      <c r="BL1800" s="25"/>
      <c r="BM1800" s="25"/>
      <c r="BN1800" s="25"/>
      <c r="BO1800" s="25"/>
      <c r="BP1800" s="25"/>
      <c r="BQ1800" s="25"/>
      <c r="BR1800" s="25"/>
      <c r="BS1800" s="25"/>
      <c r="BT1800" s="25"/>
      <c r="CD1800" s="25"/>
      <c r="CE1800" s="200"/>
      <c r="CF1800" s="200"/>
      <c r="CG1800" s="200"/>
      <c r="CH1800" s="200"/>
      <c r="CI1800" s="200"/>
      <c r="CJ1800" s="200"/>
      <c r="CK1800" s="200"/>
      <c r="CL1800" s="200"/>
      <c r="CM1800" s="200"/>
      <c r="CN1800" s="200"/>
      <c r="CO1800" s="200"/>
      <c r="CP1800" s="200"/>
      <c r="CQ1800" s="200"/>
      <c r="CR1800" s="200"/>
      <c r="CS1800" s="200"/>
      <c r="CT1800" s="200"/>
      <c r="CU1800" s="200"/>
    </row>
    <row r="1801" spans="1:99" s="17" customFormat="1" x14ac:dyDescent="0.2">
      <c r="A1801" s="25"/>
      <c r="B1801" s="20">
        <v>39061009700</v>
      </c>
      <c r="C1801" s="20">
        <v>97</v>
      </c>
      <c r="D1801" s="20" t="s">
        <v>37</v>
      </c>
      <c r="E1801" s="20" t="s">
        <v>2828</v>
      </c>
      <c r="F1801" s="20" t="s">
        <v>6</v>
      </c>
      <c r="G1801" s="861">
        <v>46.838603078409598</v>
      </c>
      <c r="H1801" s="861">
        <v>56.3717014345441</v>
      </c>
      <c r="I1801" s="861">
        <v>48.241362570039897</v>
      </c>
      <c r="J1801" s="861">
        <v>45.929358052686297</v>
      </c>
      <c r="K1801" s="982">
        <v>0</v>
      </c>
      <c r="L1801" s="735">
        <v>6160</v>
      </c>
      <c r="M1801" s="735">
        <v>5335</v>
      </c>
      <c r="N1801" s="845">
        <f t="shared" si="148"/>
        <v>-0.13392857142857142</v>
      </c>
      <c r="O1801" s="735">
        <v>0.73413001112194298</v>
      </c>
      <c r="P1801" s="735">
        <f t="shared" si="149"/>
        <v>7267.1051709856165</v>
      </c>
      <c r="Q1801" s="849">
        <v>40.200000000000003</v>
      </c>
      <c r="R1801" s="71">
        <v>55049</v>
      </c>
      <c r="S1801" s="845">
        <v>0.13758200562324274</v>
      </c>
      <c r="T1801" s="845">
        <v>9.5000000000000001E-2</v>
      </c>
      <c r="U1801" s="845">
        <v>0</v>
      </c>
      <c r="V1801" s="845">
        <v>0</v>
      </c>
      <c r="W1801" s="845">
        <v>0.47180722891566262</v>
      </c>
      <c r="X1801" s="845">
        <v>0.23493360572012256</v>
      </c>
      <c r="Y1801" s="845">
        <v>0.38369259606373007</v>
      </c>
      <c r="Z1801" s="845">
        <v>0.45042174320524836</v>
      </c>
      <c r="AA1801" s="845">
        <v>0</v>
      </c>
      <c r="AB1801" s="845">
        <v>1.7619493908153702E-2</v>
      </c>
      <c r="AC1801" s="845">
        <v>0</v>
      </c>
      <c r="AD1801" s="845">
        <v>0.1049671977507029</v>
      </c>
      <c r="AE1801" s="845">
        <v>4.3298969072164947E-2</v>
      </c>
      <c r="AF1801" s="845">
        <v>0.13008434864104967</v>
      </c>
      <c r="AG1801" s="845">
        <v>0.34114339268978444</v>
      </c>
      <c r="AH1801" s="20" t="str">
        <f t="shared" si="150"/>
        <v>No</v>
      </c>
      <c r="AI1801" s="25"/>
      <c r="AJ1801" s="37">
        <v>44412</v>
      </c>
      <c r="AK1801" s="37" t="s">
        <v>1323</v>
      </c>
      <c r="AL1801" s="37">
        <v>39099</v>
      </c>
      <c r="AM1801" s="37" t="s">
        <v>55</v>
      </c>
      <c r="AN1801" s="37">
        <f t="shared" si="151"/>
        <v>49660</v>
      </c>
      <c r="AO1801" s="37" t="str">
        <f t="shared" si="152"/>
        <v>Youngstown-Warren, OH</v>
      </c>
      <c r="AP1801" s="20" t="s">
        <v>8</v>
      </c>
      <c r="AQ1801" s="25"/>
      <c r="AR1801" s="25"/>
      <c r="AS1801" s="25"/>
      <c r="AT1801" s="25"/>
      <c r="AU1801" s="36"/>
      <c r="AV1801" s="36"/>
      <c r="AW1801" s="36"/>
      <c r="AX1801" s="25"/>
      <c r="AY1801" s="25"/>
      <c r="AZ1801" s="25"/>
      <c r="BA1801" s="25"/>
      <c r="BB1801" s="25"/>
      <c r="BC1801" s="25"/>
      <c r="BD1801" s="25"/>
      <c r="BE1801" s="25"/>
      <c r="BF1801" s="25"/>
      <c r="BG1801" s="25"/>
      <c r="BH1801" s="25"/>
      <c r="BI1801" s="25"/>
      <c r="BJ1801" s="25"/>
      <c r="BK1801" s="25"/>
      <c r="BL1801" s="25"/>
      <c r="BM1801" s="25"/>
      <c r="BN1801" s="25"/>
      <c r="BO1801" s="25"/>
      <c r="BP1801" s="25"/>
      <c r="BQ1801" s="25"/>
      <c r="BR1801" s="25"/>
      <c r="BS1801" s="25"/>
      <c r="BT1801" s="25"/>
      <c r="CD1801" s="25"/>
      <c r="CE1801" s="200"/>
      <c r="CF1801" s="200"/>
      <c r="CG1801" s="200"/>
      <c r="CH1801" s="200"/>
      <c r="CI1801" s="200"/>
      <c r="CJ1801" s="200"/>
      <c r="CK1801" s="200"/>
      <c r="CL1801" s="200"/>
      <c r="CM1801" s="200"/>
      <c r="CN1801" s="200"/>
      <c r="CO1801" s="200"/>
      <c r="CP1801" s="200"/>
      <c r="CQ1801" s="200"/>
      <c r="CR1801" s="200"/>
      <c r="CS1801" s="200"/>
      <c r="CT1801" s="200"/>
      <c r="CU1801" s="200"/>
    </row>
    <row r="1802" spans="1:99" s="17" customFormat="1" x14ac:dyDescent="0.2">
      <c r="A1802" s="25"/>
      <c r="B1802" s="20">
        <v>39153505700</v>
      </c>
      <c r="C1802" s="20">
        <v>5057</v>
      </c>
      <c r="D1802" s="20" t="s">
        <v>82</v>
      </c>
      <c r="E1802" s="20" t="s">
        <v>2843</v>
      </c>
      <c r="F1802" s="20" t="s">
        <v>6</v>
      </c>
      <c r="G1802" s="861">
        <v>46.827150059281003</v>
      </c>
      <c r="H1802" s="861">
        <v>53.8477517810039</v>
      </c>
      <c r="I1802" s="861">
        <v>57.199782028817502</v>
      </c>
      <c r="J1802" s="861">
        <v>48.239889128265503</v>
      </c>
      <c r="K1802" s="982">
        <v>0</v>
      </c>
      <c r="L1802" s="735">
        <v>2548</v>
      </c>
      <c r="M1802" s="735">
        <v>2078</v>
      </c>
      <c r="N1802" s="845">
        <f t="shared" si="148"/>
        <v>-0.18445839874411302</v>
      </c>
      <c r="O1802" s="735">
        <v>0.49295863369812926</v>
      </c>
      <c r="P1802" s="735">
        <f t="shared" si="149"/>
        <v>4215.3638418117152</v>
      </c>
      <c r="Q1802" s="849">
        <v>42.3</v>
      </c>
      <c r="R1802" s="71">
        <v>47342</v>
      </c>
      <c r="S1802" s="845">
        <v>0.11934552454282965</v>
      </c>
      <c r="T1802" s="845">
        <v>5.5E-2</v>
      </c>
      <c r="U1802" s="845">
        <v>0</v>
      </c>
      <c r="V1802" s="845">
        <v>0</v>
      </c>
      <c r="W1802" s="845">
        <v>0.59588299024918745</v>
      </c>
      <c r="X1802" s="845">
        <v>0.46909090909090911</v>
      </c>
      <c r="Y1802" s="845">
        <v>0.68575553416746871</v>
      </c>
      <c r="Z1802" s="845">
        <v>0.10923965351299326</v>
      </c>
      <c r="AA1802" s="845">
        <v>8.1809432146294509E-3</v>
      </c>
      <c r="AB1802" s="845">
        <v>0.13859480269489893</v>
      </c>
      <c r="AC1802" s="845">
        <v>0</v>
      </c>
      <c r="AD1802" s="845">
        <v>0</v>
      </c>
      <c r="AE1802" s="845">
        <v>5.8229066410009626E-2</v>
      </c>
      <c r="AF1802" s="845">
        <v>8.6621751684311833E-3</v>
      </c>
      <c r="AG1802" s="845">
        <v>0.68575553416746871</v>
      </c>
      <c r="AH1802" s="20" t="str">
        <f t="shared" si="150"/>
        <v>No</v>
      </c>
      <c r="AI1802" s="25"/>
      <c r="AJ1802" s="20">
        <v>44425</v>
      </c>
      <c r="AK1802" s="20" t="s">
        <v>1331</v>
      </c>
      <c r="AL1802" s="20">
        <v>39099</v>
      </c>
      <c r="AM1802" s="20" t="s">
        <v>55</v>
      </c>
      <c r="AN1802" s="37">
        <f t="shared" si="151"/>
        <v>49660</v>
      </c>
      <c r="AO1802" s="37" t="str">
        <f t="shared" si="152"/>
        <v>Youngstown-Warren, OH</v>
      </c>
      <c r="AP1802" s="20" t="s">
        <v>8</v>
      </c>
      <c r="AQ1802" s="25"/>
      <c r="AR1802" s="25"/>
      <c r="AS1802" s="25"/>
      <c r="AT1802" s="25"/>
      <c r="AU1802" s="36"/>
      <c r="AV1802" s="36"/>
      <c r="AW1802" s="36"/>
      <c r="AX1802" s="25"/>
      <c r="AY1802" s="25"/>
      <c r="AZ1802" s="25"/>
      <c r="BA1802" s="25"/>
      <c r="BB1802" s="25"/>
      <c r="BC1802" s="25"/>
      <c r="BD1802" s="25"/>
      <c r="BE1802" s="25"/>
      <c r="BF1802" s="25"/>
      <c r="BG1802" s="25"/>
      <c r="BH1802" s="25"/>
      <c r="BI1802" s="25"/>
      <c r="BJ1802" s="25"/>
      <c r="BK1802" s="25"/>
      <c r="BL1802" s="25"/>
      <c r="BM1802" s="25"/>
      <c r="BN1802" s="25"/>
      <c r="BO1802" s="25"/>
      <c r="BP1802" s="25"/>
      <c r="BQ1802" s="25"/>
      <c r="BR1802" s="25"/>
      <c r="BS1802" s="25"/>
      <c r="BT1802" s="25"/>
      <c r="CD1802" s="25"/>
      <c r="CE1802" s="200"/>
      <c r="CF1802" s="200"/>
      <c r="CG1802" s="200"/>
      <c r="CH1802" s="200"/>
      <c r="CI1802" s="200"/>
      <c r="CJ1802" s="200"/>
      <c r="CK1802" s="200"/>
      <c r="CL1802" s="200"/>
      <c r="CM1802" s="200"/>
      <c r="CN1802" s="200"/>
      <c r="CO1802" s="200"/>
      <c r="CP1802" s="200"/>
      <c r="CQ1802" s="200"/>
      <c r="CR1802" s="200"/>
      <c r="CS1802" s="200"/>
      <c r="CT1802" s="200"/>
      <c r="CU1802" s="200"/>
    </row>
    <row r="1803" spans="1:99" s="17" customFormat="1" x14ac:dyDescent="0.2">
      <c r="A1803" s="25"/>
      <c r="B1803" s="20">
        <v>39035154400</v>
      </c>
      <c r="C1803" s="20">
        <v>1544</v>
      </c>
      <c r="D1803" s="20" t="s">
        <v>24</v>
      </c>
      <c r="E1803" s="20" t="s">
        <v>2829</v>
      </c>
      <c r="F1803" s="20" t="s">
        <v>8</v>
      </c>
      <c r="G1803" s="861">
        <v>46.811687066834203</v>
      </c>
      <c r="H1803" s="861">
        <v>64.054447749620905</v>
      </c>
      <c r="I1803" s="861">
        <v>56.644357044139198</v>
      </c>
      <c r="J1803" s="861">
        <v>58.723062560058203</v>
      </c>
      <c r="K1803" s="982">
        <v>0</v>
      </c>
      <c r="L1803" s="735">
        <v>2889</v>
      </c>
      <c r="M1803" s="735">
        <v>2518</v>
      </c>
      <c r="N1803" s="845">
        <f t="shared" ref="N1803:N1866" si="153">IF(OR(L1803="",M1803=""),"",(M1803-L1803)/L1803)</f>
        <v>-0.12841813776393216</v>
      </c>
      <c r="O1803" s="735">
        <v>0.86577231429838497</v>
      </c>
      <c r="P1803" s="735">
        <f t="shared" ref="P1803:P1866" si="154">M1803/O1803</f>
        <v>2908.3859097995842</v>
      </c>
      <c r="Q1803" s="849">
        <v>44.6</v>
      </c>
      <c r="R1803" s="71">
        <v>48594</v>
      </c>
      <c r="S1803" s="845">
        <v>0.11358220810166798</v>
      </c>
      <c r="T1803" s="845">
        <v>9.8000000000000004E-2</v>
      </c>
      <c r="U1803" s="845">
        <v>4.0999999999999995E-2</v>
      </c>
      <c r="V1803" s="845">
        <v>4.9000000000000002E-2</v>
      </c>
      <c r="W1803" s="845">
        <v>0.46226415094339623</v>
      </c>
      <c r="X1803" s="845">
        <v>0.66048237476808902</v>
      </c>
      <c r="Y1803" s="845">
        <v>0.38125496425734712</v>
      </c>
      <c r="Z1803" s="845">
        <v>0.54447974583002379</v>
      </c>
      <c r="AA1803" s="845">
        <v>0</v>
      </c>
      <c r="AB1803" s="845">
        <v>0</v>
      </c>
      <c r="AC1803" s="845">
        <v>0</v>
      </c>
      <c r="AD1803" s="845">
        <v>3.971405877680699E-2</v>
      </c>
      <c r="AE1803" s="845">
        <v>3.4551231135822084E-2</v>
      </c>
      <c r="AF1803" s="845">
        <v>4.646544876886418E-2</v>
      </c>
      <c r="AG1803" s="845">
        <v>0.38125496425734712</v>
      </c>
      <c r="AH1803" s="20" t="str">
        <f t="shared" ref="AH1803:AH1866" si="155">IF(AG1803&gt;=0.9,"Yes","No")</f>
        <v>No</v>
      </c>
      <c r="AI1803" s="25"/>
      <c r="AJ1803" s="20">
        <v>44429</v>
      </c>
      <c r="AK1803" s="20" t="s">
        <v>1334</v>
      </c>
      <c r="AL1803" s="20">
        <v>39099</v>
      </c>
      <c r="AM1803" s="20" t="s">
        <v>55</v>
      </c>
      <c r="AN1803" s="37">
        <f t="shared" ref="AN1803:AN1866" si="156">VLOOKUP(AM1803,$CY$11:$DA$98,2,FALSE)</f>
        <v>49660</v>
      </c>
      <c r="AO1803" s="37" t="str">
        <f t="shared" ref="AO1803:AO1866" si="157">VLOOKUP(AM1803,$CY$11:$DA$98,3,FALSE)</f>
        <v>Youngstown-Warren, OH</v>
      </c>
      <c r="AP1803" s="20" t="s">
        <v>8</v>
      </c>
      <c r="AQ1803" s="25"/>
      <c r="AR1803" s="25"/>
      <c r="AS1803" s="25"/>
      <c r="AT1803" s="25"/>
      <c r="AU1803" s="36"/>
      <c r="AV1803" s="36"/>
      <c r="AW1803" s="36"/>
      <c r="AX1803" s="25"/>
      <c r="AY1803" s="25"/>
      <c r="AZ1803" s="25"/>
      <c r="BA1803" s="25"/>
      <c r="BB1803" s="25"/>
      <c r="BC1803" s="25"/>
      <c r="BD1803" s="25"/>
      <c r="BE1803" s="25"/>
      <c r="BF1803" s="25"/>
      <c r="BG1803" s="25"/>
      <c r="BH1803" s="25"/>
      <c r="BI1803" s="25"/>
      <c r="BJ1803" s="25"/>
      <c r="BK1803" s="25"/>
      <c r="BL1803" s="25"/>
      <c r="BM1803" s="25"/>
      <c r="BN1803" s="25"/>
      <c r="BO1803" s="25"/>
      <c r="BP1803" s="25"/>
      <c r="BQ1803" s="25"/>
      <c r="BR1803" s="25"/>
      <c r="BS1803" s="25"/>
      <c r="BT1803" s="25"/>
      <c r="CD1803" s="25"/>
      <c r="CE1803" s="200"/>
      <c r="CF1803" s="200"/>
      <c r="CG1803" s="200"/>
      <c r="CH1803" s="200"/>
      <c r="CI1803" s="200"/>
      <c r="CJ1803" s="200"/>
      <c r="CK1803" s="200"/>
      <c r="CL1803" s="200"/>
      <c r="CM1803" s="200"/>
      <c r="CN1803" s="200"/>
      <c r="CO1803" s="200"/>
      <c r="CP1803" s="200"/>
      <c r="CQ1803" s="200"/>
      <c r="CR1803" s="200"/>
      <c r="CS1803" s="200"/>
      <c r="CT1803" s="200"/>
      <c r="CU1803" s="200"/>
    </row>
    <row r="1804" spans="1:99" s="17" customFormat="1" x14ac:dyDescent="0.2">
      <c r="A1804" s="25"/>
      <c r="B1804" s="20">
        <v>39073965100</v>
      </c>
      <c r="C1804" s="20">
        <v>9651</v>
      </c>
      <c r="D1804" s="20" t="s">
        <v>43</v>
      </c>
      <c r="E1804" s="20" t="s">
        <v>2830</v>
      </c>
      <c r="F1804" s="20" t="s">
        <v>8</v>
      </c>
      <c r="G1804" s="861">
        <v>46.809466846117502</v>
      </c>
      <c r="H1804" s="861">
        <v>45.668500923639499</v>
      </c>
      <c r="I1804" s="861">
        <v>16.7374244954954</v>
      </c>
      <c r="J1804" s="861">
        <v>56.602468764021097</v>
      </c>
      <c r="K1804" s="982">
        <v>0</v>
      </c>
      <c r="L1804" s="735">
        <v>4866</v>
      </c>
      <c r="M1804" s="735">
        <v>3996</v>
      </c>
      <c r="N1804" s="845">
        <f t="shared" si="153"/>
        <v>-0.17879161528976573</v>
      </c>
      <c r="O1804" s="735">
        <v>133.31693287194281</v>
      </c>
      <c r="P1804" s="735">
        <f t="shared" si="154"/>
        <v>29.973686867206478</v>
      </c>
      <c r="Q1804" s="849">
        <v>47.6</v>
      </c>
      <c r="R1804" s="71">
        <v>67721</v>
      </c>
      <c r="S1804" s="845">
        <v>0.11786786786786786</v>
      </c>
      <c r="T1804" s="845">
        <v>6.9999999999999993E-3</v>
      </c>
      <c r="U1804" s="845">
        <v>0</v>
      </c>
      <c r="V1804" s="845">
        <v>9.1999999999999998E-2</v>
      </c>
      <c r="W1804" s="845">
        <v>0.16868932038834952</v>
      </c>
      <c r="X1804" s="845">
        <v>0.15827338129496402</v>
      </c>
      <c r="Y1804" s="845">
        <v>0.95445445445445443</v>
      </c>
      <c r="Z1804" s="845">
        <v>0</v>
      </c>
      <c r="AA1804" s="845">
        <v>0</v>
      </c>
      <c r="AB1804" s="845">
        <v>0</v>
      </c>
      <c r="AC1804" s="845">
        <v>0</v>
      </c>
      <c r="AD1804" s="845">
        <v>0</v>
      </c>
      <c r="AE1804" s="845">
        <v>4.5545545545545546E-2</v>
      </c>
      <c r="AF1804" s="845">
        <v>0</v>
      </c>
      <c r="AG1804" s="845">
        <v>0.95445445445445443</v>
      </c>
      <c r="AH1804" s="20" t="str">
        <f t="shared" si="155"/>
        <v>Yes</v>
      </c>
      <c r="AI1804" s="25"/>
      <c r="AJ1804" s="20">
        <v>44436</v>
      </c>
      <c r="AK1804" s="20" t="s">
        <v>1338</v>
      </c>
      <c r="AL1804" s="20">
        <v>39099</v>
      </c>
      <c r="AM1804" s="20" t="s">
        <v>55</v>
      </c>
      <c r="AN1804" s="37">
        <f t="shared" si="156"/>
        <v>49660</v>
      </c>
      <c r="AO1804" s="37" t="str">
        <f t="shared" si="157"/>
        <v>Youngstown-Warren, OH</v>
      </c>
      <c r="AP1804" s="20" t="s">
        <v>8</v>
      </c>
      <c r="AQ1804" s="25"/>
      <c r="AR1804" s="25"/>
      <c r="AS1804" s="25"/>
      <c r="AT1804" s="25"/>
      <c r="AU1804" s="36"/>
      <c r="AV1804" s="36"/>
      <c r="AW1804" s="36"/>
      <c r="AX1804" s="25"/>
      <c r="AY1804" s="25"/>
      <c r="AZ1804" s="25"/>
      <c r="BA1804" s="25"/>
      <c r="BB1804" s="25"/>
      <c r="BC1804" s="25"/>
      <c r="BD1804" s="25"/>
      <c r="BE1804" s="25"/>
      <c r="BF1804" s="25"/>
      <c r="BG1804" s="25"/>
      <c r="BH1804" s="25"/>
      <c r="BI1804" s="25"/>
      <c r="BJ1804" s="25"/>
      <c r="BK1804" s="25"/>
      <c r="BL1804" s="25"/>
      <c r="BM1804" s="25"/>
      <c r="BN1804" s="25"/>
      <c r="BO1804" s="25"/>
      <c r="BP1804" s="25"/>
      <c r="BQ1804" s="25"/>
      <c r="BR1804" s="25"/>
      <c r="BS1804" s="25"/>
      <c r="BT1804" s="25"/>
      <c r="CD1804" s="25"/>
      <c r="CE1804" s="200"/>
      <c r="CF1804" s="200"/>
      <c r="CG1804" s="200"/>
      <c r="CH1804" s="200"/>
      <c r="CI1804" s="200"/>
      <c r="CJ1804" s="200"/>
      <c r="CK1804" s="200"/>
      <c r="CL1804" s="200"/>
      <c r="CM1804" s="200"/>
      <c r="CN1804" s="200"/>
      <c r="CO1804" s="200"/>
      <c r="CP1804" s="200"/>
      <c r="CQ1804" s="200"/>
      <c r="CR1804" s="200"/>
      <c r="CS1804" s="200"/>
      <c r="CT1804" s="200"/>
      <c r="CU1804" s="200"/>
    </row>
    <row r="1805" spans="1:99" s="17" customFormat="1" x14ac:dyDescent="0.2">
      <c r="A1805" s="25"/>
      <c r="B1805" s="20">
        <v>39011041201</v>
      </c>
      <c r="C1805" s="20">
        <v>412.01</v>
      </c>
      <c r="D1805" s="20" t="s">
        <v>12</v>
      </c>
      <c r="E1805" s="20" t="s">
        <v>265</v>
      </c>
      <c r="F1805" s="20" t="s">
        <v>8</v>
      </c>
      <c r="G1805" s="861">
        <v>46.795428065819898</v>
      </c>
      <c r="H1805" s="861">
        <v>40.204072586775801</v>
      </c>
      <c r="I1805" s="861">
        <v>48.048273870338399</v>
      </c>
      <c r="J1805" s="861">
        <v>29.560519662978599</v>
      </c>
      <c r="K1805" s="982">
        <v>0</v>
      </c>
      <c r="L1805" s="735">
        <v>2000</v>
      </c>
      <c r="M1805" s="735">
        <v>1886</v>
      </c>
      <c r="N1805" s="845">
        <f t="shared" si="153"/>
        <v>-5.7000000000000002E-2</v>
      </c>
      <c r="O1805" s="735">
        <v>8.5583400612599725</v>
      </c>
      <c r="P1805" s="735">
        <f t="shared" si="154"/>
        <v>220.36983649868432</v>
      </c>
      <c r="Q1805" s="849">
        <v>56.3</v>
      </c>
      <c r="R1805" s="71">
        <v>53750</v>
      </c>
      <c r="S1805" s="845">
        <v>0.13535911602209943</v>
      </c>
      <c r="T1805" s="845">
        <v>4.2999999999999997E-2</v>
      </c>
      <c r="U1805" s="845">
        <v>0</v>
      </c>
      <c r="V1805" s="845">
        <v>0</v>
      </c>
      <c r="W1805" s="845">
        <v>0.35454545454545455</v>
      </c>
      <c r="X1805" s="845">
        <v>0.54131054131054135</v>
      </c>
      <c r="Y1805" s="845">
        <v>0.97507953340402964</v>
      </c>
      <c r="Z1805" s="845">
        <v>0</v>
      </c>
      <c r="AA1805" s="845">
        <v>0</v>
      </c>
      <c r="AB1805" s="845">
        <v>8.483563096500531E-3</v>
      </c>
      <c r="AC1805" s="845">
        <v>0</v>
      </c>
      <c r="AD1805" s="845">
        <v>0</v>
      </c>
      <c r="AE1805" s="845">
        <v>1.6436903499469777E-2</v>
      </c>
      <c r="AF1805" s="845">
        <v>7.9533404029692462E-3</v>
      </c>
      <c r="AG1805" s="845">
        <v>0.9671261930010604</v>
      </c>
      <c r="AH1805" s="20" t="str">
        <f t="shared" si="155"/>
        <v>Yes</v>
      </c>
      <c r="AI1805" s="25"/>
      <c r="AJ1805" s="37">
        <v>44437</v>
      </c>
      <c r="AK1805" s="37" t="s">
        <v>1339</v>
      </c>
      <c r="AL1805" s="37">
        <v>39099</v>
      </c>
      <c r="AM1805" s="37" t="s">
        <v>55</v>
      </c>
      <c r="AN1805" s="37">
        <f t="shared" si="156"/>
        <v>49660</v>
      </c>
      <c r="AO1805" s="37" t="str">
        <f t="shared" si="157"/>
        <v>Youngstown-Warren, OH</v>
      </c>
      <c r="AP1805" s="20" t="s">
        <v>8</v>
      </c>
      <c r="AQ1805" s="25"/>
      <c r="AR1805" s="25"/>
      <c r="AS1805" s="25"/>
      <c r="AT1805" s="25"/>
      <c r="AU1805" s="36"/>
      <c r="AV1805" s="36"/>
      <c r="AW1805" s="36"/>
      <c r="AX1805" s="25"/>
      <c r="AY1805" s="25"/>
      <c r="AZ1805" s="25"/>
      <c r="BA1805" s="25"/>
      <c r="BB1805" s="25"/>
      <c r="BC1805" s="25"/>
      <c r="BD1805" s="25"/>
      <c r="BE1805" s="25"/>
      <c r="BF1805" s="25"/>
      <c r="BG1805" s="25"/>
      <c r="BH1805" s="25"/>
      <c r="BI1805" s="25"/>
      <c r="BJ1805" s="25"/>
      <c r="BK1805" s="25"/>
      <c r="BL1805" s="25"/>
      <c r="BM1805" s="25"/>
      <c r="BN1805" s="25"/>
      <c r="BO1805" s="25"/>
      <c r="BP1805" s="25"/>
      <c r="BQ1805" s="25"/>
      <c r="BR1805" s="25"/>
      <c r="BS1805" s="25"/>
      <c r="BT1805" s="25"/>
      <c r="CD1805" s="25"/>
      <c r="CE1805" s="200"/>
      <c r="CF1805" s="200"/>
      <c r="CG1805" s="200"/>
      <c r="CH1805" s="200"/>
      <c r="CI1805" s="200"/>
      <c r="CJ1805" s="200"/>
      <c r="CK1805" s="200"/>
      <c r="CL1805" s="200"/>
      <c r="CM1805" s="200"/>
      <c r="CN1805" s="200"/>
      <c r="CO1805" s="200"/>
      <c r="CP1805" s="200"/>
      <c r="CQ1805" s="200"/>
      <c r="CR1805" s="200"/>
      <c r="CS1805" s="200"/>
      <c r="CT1805" s="200"/>
      <c r="CU1805" s="200"/>
    </row>
    <row r="1806" spans="1:99" s="17" customFormat="1" x14ac:dyDescent="0.2">
      <c r="A1806" s="25"/>
      <c r="B1806" s="20">
        <v>39009973400</v>
      </c>
      <c r="C1806" s="20">
        <v>9734</v>
      </c>
      <c r="D1806" s="20" t="s">
        <v>11</v>
      </c>
      <c r="E1806" s="20" t="s">
        <v>265</v>
      </c>
      <c r="F1806" s="20" t="s">
        <v>8</v>
      </c>
      <c r="G1806" s="861">
        <v>46.768619958292703</v>
      </c>
      <c r="H1806" s="861">
        <v>46.863966820311802</v>
      </c>
      <c r="I1806" s="861">
        <v>30.197938651762001</v>
      </c>
      <c r="J1806" s="861">
        <v>42.914134904292403</v>
      </c>
      <c r="K1806" s="982">
        <v>1</v>
      </c>
      <c r="L1806" s="735">
        <v>3573</v>
      </c>
      <c r="M1806" s="735">
        <v>3385</v>
      </c>
      <c r="N1806" s="845">
        <f t="shared" si="153"/>
        <v>-5.2616848586621884E-2</v>
      </c>
      <c r="O1806" s="735">
        <v>29.109377262739635</v>
      </c>
      <c r="P1806" s="735">
        <f t="shared" si="154"/>
        <v>116.28555188409483</v>
      </c>
      <c r="Q1806" s="849">
        <v>45.8</v>
      </c>
      <c r="R1806" s="71">
        <v>51406</v>
      </c>
      <c r="S1806" s="845">
        <v>0.2087421944692239</v>
      </c>
      <c r="T1806" s="845">
        <v>3.2000000000000001E-2</v>
      </c>
      <c r="U1806" s="845">
        <v>0</v>
      </c>
      <c r="V1806" s="845">
        <v>0</v>
      </c>
      <c r="W1806" s="845">
        <v>0.32872200263504614</v>
      </c>
      <c r="X1806" s="845">
        <v>0.41883767535070138</v>
      </c>
      <c r="Y1806" s="845">
        <v>0.95450516986706058</v>
      </c>
      <c r="Z1806" s="845">
        <v>1.8906942392909895E-2</v>
      </c>
      <c r="AA1806" s="845">
        <v>0</v>
      </c>
      <c r="AB1806" s="845">
        <v>2.9542097488921711E-4</v>
      </c>
      <c r="AC1806" s="845">
        <v>0</v>
      </c>
      <c r="AD1806" s="845">
        <v>5.0221565731166911E-3</v>
      </c>
      <c r="AE1806" s="845">
        <v>2.1270310192023634E-2</v>
      </c>
      <c r="AF1806" s="845">
        <v>7.385524372230428E-3</v>
      </c>
      <c r="AG1806" s="845">
        <v>0.94711964549483019</v>
      </c>
      <c r="AH1806" s="20" t="str">
        <f t="shared" si="155"/>
        <v>Yes</v>
      </c>
      <c r="AI1806" s="25"/>
      <c r="AJ1806" s="37">
        <v>44440</v>
      </c>
      <c r="AK1806" s="37" t="s">
        <v>1342</v>
      </c>
      <c r="AL1806" s="37">
        <v>39099</v>
      </c>
      <c r="AM1806" s="37" t="s">
        <v>55</v>
      </c>
      <c r="AN1806" s="37">
        <f t="shared" si="156"/>
        <v>49660</v>
      </c>
      <c r="AO1806" s="37" t="str">
        <f t="shared" si="157"/>
        <v>Youngstown-Warren, OH</v>
      </c>
      <c r="AP1806" s="20" t="s">
        <v>8</v>
      </c>
      <c r="AQ1806" s="25"/>
      <c r="AR1806" s="25"/>
      <c r="AS1806" s="25"/>
      <c r="AT1806" s="25"/>
      <c r="AU1806" s="36"/>
      <c r="AV1806" s="36"/>
      <c r="AW1806" s="36"/>
      <c r="AX1806" s="25"/>
      <c r="AY1806" s="25"/>
      <c r="AZ1806" s="25"/>
      <c r="BA1806" s="25"/>
      <c r="BB1806" s="25"/>
      <c r="BC1806" s="25"/>
      <c r="BD1806" s="25"/>
      <c r="BE1806" s="25"/>
      <c r="BF1806" s="25"/>
      <c r="BG1806" s="25"/>
      <c r="BH1806" s="25"/>
      <c r="BI1806" s="25"/>
      <c r="BJ1806" s="25"/>
      <c r="BK1806" s="25"/>
      <c r="BL1806" s="25"/>
      <c r="BM1806" s="25"/>
      <c r="BN1806" s="25"/>
      <c r="BO1806" s="25"/>
      <c r="BP1806" s="25"/>
      <c r="BQ1806" s="25"/>
      <c r="BR1806" s="25"/>
      <c r="BS1806" s="25"/>
      <c r="BT1806" s="25"/>
      <c r="CD1806" s="25"/>
      <c r="CE1806" s="200"/>
      <c r="CF1806" s="200"/>
      <c r="CG1806" s="200"/>
      <c r="CH1806" s="200"/>
      <c r="CI1806" s="200"/>
      <c r="CJ1806" s="200"/>
      <c r="CK1806" s="200"/>
      <c r="CL1806" s="200"/>
      <c r="CM1806" s="200"/>
      <c r="CN1806" s="200"/>
      <c r="CO1806" s="200"/>
      <c r="CP1806" s="200"/>
      <c r="CQ1806" s="200"/>
      <c r="CR1806" s="200"/>
      <c r="CS1806" s="200"/>
      <c r="CT1806" s="200"/>
      <c r="CU1806" s="200"/>
    </row>
    <row r="1807" spans="1:99" s="17" customFormat="1" x14ac:dyDescent="0.2">
      <c r="A1807" s="25"/>
      <c r="B1807" s="20">
        <v>39049007302</v>
      </c>
      <c r="C1807" s="20">
        <v>73.02</v>
      </c>
      <c r="D1807" s="20" t="s">
        <v>31</v>
      </c>
      <c r="E1807" s="20" t="s">
        <v>2830</v>
      </c>
      <c r="F1807" s="20" t="s">
        <v>8</v>
      </c>
      <c r="G1807" s="861">
        <v>46.729553788668902</v>
      </c>
      <c r="H1807" s="861">
        <v>58.428243377986497</v>
      </c>
      <c r="I1807" s="861">
        <v>40.453957245109201</v>
      </c>
      <c r="J1807" s="861">
        <v>34.300945271428603</v>
      </c>
      <c r="K1807" s="982">
        <v>0</v>
      </c>
      <c r="L1807" s="735" t="s">
        <v>2466</v>
      </c>
      <c r="M1807" s="735">
        <v>4312</v>
      </c>
      <c r="N1807" s="845" t="str">
        <f t="shared" si="153"/>
        <v/>
      </c>
      <c r="O1807" s="735">
        <v>0.85079193664715325</v>
      </c>
      <c r="P1807" s="735">
        <f t="shared" si="154"/>
        <v>5068.2191664779548</v>
      </c>
      <c r="Q1807" s="849">
        <v>39.799999999999997</v>
      </c>
      <c r="R1807" s="71">
        <v>74120</v>
      </c>
      <c r="S1807" s="845">
        <v>3.8569424964936885E-2</v>
      </c>
      <c r="T1807" s="845">
        <v>0</v>
      </c>
      <c r="U1807" s="845">
        <v>0</v>
      </c>
      <c r="V1807" s="845">
        <v>0</v>
      </c>
      <c r="W1807" s="845">
        <v>0.29847815414825724</v>
      </c>
      <c r="X1807" s="845">
        <v>0.44243421052631576</v>
      </c>
      <c r="Y1807" s="845">
        <v>0.48863636363636365</v>
      </c>
      <c r="Z1807" s="845">
        <v>0.35088126159554733</v>
      </c>
      <c r="AA1807" s="845">
        <v>1.8552875695732839E-3</v>
      </c>
      <c r="AB1807" s="845">
        <v>7.0037105751391465E-2</v>
      </c>
      <c r="AC1807" s="845">
        <v>0</v>
      </c>
      <c r="AD1807" s="845">
        <v>1.1827458256029684E-2</v>
      </c>
      <c r="AE1807" s="845">
        <v>7.6762523191094625E-2</v>
      </c>
      <c r="AF1807" s="845">
        <v>2.2031539888682745E-2</v>
      </c>
      <c r="AG1807" s="845">
        <v>0.47843228200371057</v>
      </c>
      <c r="AH1807" s="20" t="str">
        <f t="shared" si="155"/>
        <v>No</v>
      </c>
      <c r="AI1807" s="25"/>
      <c r="AJ1807" s="20">
        <v>44442</v>
      </c>
      <c r="AK1807" s="20" t="s">
        <v>1344</v>
      </c>
      <c r="AL1807" s="20">
        <v>39099</v>
      </c>
      <c r="AM1807" s="20" t="s">
        <v>55</v>
      </c>
      <c r="AN1807" s="37">
        <f t="shared" si="156"/>
        <v>49660</v>
      </c>
      <c r="AO1807" s="37" t="str">
        <f t="shared" si="157"/>
        <v>Youngstown-Warren, OH</v>
      </c>
      <c r="AP1807" s="20" t="s">
        <v>8</v>
      </c>
      <c r="AQ1807" s="25"/>
      <c r="AR1807" s="25"/>
      <c r="AS1807" s="25"/>
      <c r="AT1807" s="25"/>
      <c r="AU1807" s="36"/>
      <c r="AV1807" s="36"/>
      <c r="AW1807" s="36"/>
      <c r="AX1807" s="25"/>
      <c r="AY1807" s="25"/>
      <c r="AZ1807" s="25"/>
      <c r="BA1807" s="25"/>
      <c r="BB1807" s="25"/>
      <c r="BC1807" s="25"/>
      <c r="BD1807" s="25"/>
      <c r="BE1807" s="25"/>
      <c r="BF1807" s="25"/>
      <c r="BG1807" s="25"/>
      <c r="BH1807" s="25"/>
      <c r="BI1807" s="25"/>
      <c r="BJ1807" s="25"/>
      <c r="BK1807" s="25"/>
      <c r="BL1807" s="25"/>
      <c r="BM1807" s="25"/>
      <c r="BN1807" s="25"/>
      <c r="BO1807" s="25"/>
      <c r="BP1807" s="25"/>
      <c r="BQ1807" s="25"/>
      <c r="BR1807" s="25"/>
      <c r="BS1807" s="25"/>
      <c r="BT1807" s="25"/>
      <c r="CD1807" s="25"/>
      <c r="CE1807" s="200"/>
      <c r="CF1807" s="200"/>
      <c r="CG1807" s="200"/>
      <c r="CH1807" s="200"/>
      <c r="CI1807" s="200"/>
      <c r="CJ1807" s="200"/>
      <c r="CK1807" s="200"/>
      <c r="CL1807" s="200"/>
      <c r="CM1807" s="200"/>
      <c r="CN1807" s="200"/>
      <c r="CO1807" s="200"/>
      <c r="CP1807" s="200"/>
      <c r="CQ1807" s="200"/>
      <c r="CR1807" s="200"/>
      <c r="CS1807" s="200"/>
      <c r="CT1807" s="200"/>
      <c r="CU1807" s="200"/>
    </row>
    <row r="1808" spans="1:99" s="17" customFormat="1" x14ac:dyDescent="0.2">
      <c r="A1808" s="25"/>
      <c r="B1808" s="20">
        <v>39015951301</v>
      </c>
      <c r="C1808" s="20">
        <v>9513.01</v>
      </c>
      <c r="D1808" s="20" t="s">
        <v>14</v>
      </c>
      <c r="E1808" s="20" t="s">
        <v>265</v>
      </c>
      <c r="F1808" s="20" t="s">
        <v>8</v>
      </c>
      <c r="G1808" s="861">
        <v>46.705905425807103</v>
      </c>
      <c r="H1808" s="861">
        <v>55.218942129720901</v>
      </c>
      <c r="I1808" s="861">
        <v>30.822689967538899</v>
      </c>
      <c r="J1808" s="861">
        <v>47.567102943456298</v>
      </c>
      <c r="K1808" s="982">
        <v>0</v>
      </c>
      <c r="L1808" s="735" t="s">
        <v>2466</v>
      </c>
      <c r="M1808" s="735">
        <v>5476</v>
      </c>
      <c r="N1808" s="845" t="str">
        <f t="shared" si="153"/>
        <v/>
      </c>
      <c r="O1808" s="735">
        <v>19.703848370176495</v>
      </c>
      <c r="P1808" s="735">
        <f t="shared" si="154"/>
        <v>277.91525275277735</v>
      </c>
      <c r="Q1808" s="849">
        <v>32.4</v>
      </c>
      <c r="R1808" s="71">
        <v>76123</v>
      </c>
      <c r="S1808" s="845">
        <v>0.26205259313367424</v>
      </c>
      <c r="T1808" s="845">
        <v>5.9000000000000004E-2</v>
      </c>
      <c r="U1808" s="845">
        <v>0</v>
      </c>
      <c r="V1808" s="845">
        <v>0</v>
      </c>
      <c r="W1808" s="845">
        <v>0.34626865671641793</v>
      </c>
      <c r="X1808" s="845">
        <v>0.27586206896551724</v>
      </c>
      <c r="Y1808" s="845">
        <v>0.98009495982468953</v>
      </c>
      <c r="Z1808" s="845">
        <v>7.1219868517165812E-3</v>
      </c>
      <c r="AA1808" s="845">
        <v>0</v>
      </c>
      <c r="AB1808" s="845">
        <v>0</v>
      </c>
      <c r="AC1808" s="845">
        <v>0</v>
      </c>
      <c r="AD1808" s="845">
        <v>0</v>
      </c>
      <c r="AE1808" s="845">
        <v>1.2783053323593864E-2</v>
      </c>
      <c r="AF1808" s="845">
        <v>7.3046018991964939E-4</v>
      </c>
      <c r="AG1808" s="845">
        <v>0.9793644996347699</v>
      </c>
      <c r="AH1808" s="20" t="str">
        <f t="shared" si="155"/>
        <v>Yes</v>
      </c>
      <c r="AI1808" s="25"/>
      <c r="AJ1808" s="20">
        <v>44443</v>
      </c>
      <c r="AK1808" s="20" t="s">
        <v>1345</v>
      </c>
      <c r="AL1808" s="20">
        <v>39099</v>
      </c>
      <c r="AM1808" s="20" t="s">
        <v>55</v>
      </c>
      <c r="AN1808" s="37">
        <f t="shared" si="156"/>
        <v>49660</v>
      </c>
      <c r="AO1808" s="37" t="str">
        <f t="shared" si="157"/>
        <v>Youngstown-Warren, OH</v>
      </c>
      <c r="AP1808" s="20" t="s">
        <v>8</v>
      </c>
      <c r="AQ1808" s="25"/>
      <c r="AR1808" s="25"/>
      <c r="AS1808" s="25"/>
      <c r="AT1808" s="25"/>
      <c r="AU1808" s="36"/>
      <c r="AV1808" s="36"/>
      <c r="AW1808" s="36"/>
      <c r="AX1808" s="25"/>
      <c r="AY1808" s="25"/>
      <c r="AZ1808" s="25"/>
      <c r="BA1808" s="25"/>
      <c r="BB1808" s="25"/>
      <c r="BC1808" s="25"/>
      <c r="BD1808" s="25"/>
      <c r="BE1808" s="25"/>
      <c r="BF1808" s="25"/>
      <c r="BG1808" s="25"/>
      <c r="BH1808" s="25"/>
      <c r="BI1808" s="25"/>
      <c r="BJ1808" s="25"/>
      <c r="BK1808" s="25"/>
      <c r="BL1808" s="25"/>
      <c r="BM1808" s="25"/>
      <c r="BN1808" s="25"/>
      <c r="BO1808" s="25"/>
      <c r="BP1808" s="25"/>
      <c r="BQ1808" s="25"/>
      <c r="BR1808" s="25"/>
      <c r="BS1808" s="25"/>
      <c r="BT1808" s="25"/>
      <c r="CD1808" s="25"/>
      <c r="CE1808" s="200"/>
      <c r="CF1808" s="200"/>
      <c r="CG1808" s="200"/>
      <c r="CH1808" s="200"/>
      <c r="CI1808" s="200"/>
      <c r="CJ1808" s="200"/>
      <c r="CK1808" s="200"/>
      <c r="CL1808" s="200"/>
      <c r="CM1808" s="200"/>
      <c r="CN1808" s="200"/>
      <c r="CO1808" s="200"/>
      <c r="CP1808" s="200"/>
      <c r="CQ1808" s="200"/>
      <c r="CR1808" s="200"/>
      <c r="CS1808" s="200"/>
      <c r="CT1808" s="200"/>
      <c r="CU1808" s="200"/>
    </row>
    <row r="1809" spans="1:99" s="17" customFormat="1" x14ac:dyDescent="0.2">
      <c r="A1809" s="25"/>
      <c r="B1809" s="20">
        <v>39095009600</v>
      </c>
      <c r="C1809" s="20">
        <v>96</v>
      </c>
      <c r="D1809" s="20" t="s">
        <v>53</v>
      </c>
      <c r="E1809" s="20" t="s">
        <v>2839</v>
      </c>
      <c r="F1809" s="20" t="s">
        <v>8</v>
      </c>
      <c r="G1809" s="861">
        <v>46.669802244550098</v>
      </c>
      <c r="H1809" s="861">
        <v>57.897735941008698</v>
      </c>
      <c r="I1809" s="861">
        <v>16.7689066892071</v>
      </c>
      <c r="J1809" s="861">
        <v>50.562819636455501</v>
      </c>
      <c r="K1809" s="982">
        <v>0</v>
      </c>
      <c r="L1809" s="735">
        <v>3347</v>
      </c>
      <c r="M1809" s="735">
        <v>3386</v>
      </c>
      <c r="N1809" s="845">
        <f t="shared" si="153"/>
        <v>1.1652225873916941E-2</v>
      </c>
      <c r="O1809" s="735">
        <v>26.071239377234054</v>
      </c>
      <c r="P1809" s="735">
        <f t="shared" si="154"/>
        <v>129.87491507429928</v>
      </c>
      <c r="Q1809" s="849">
        <v>50.8</v>
      </c>
      <c r="R1809" s="71">
        <v>95880</v>
      </c>
      <c r="S1809" s="845">
        <v>7.9740106320141765E-2</v>
      </c>
      <c r="T1809" s="845">
        <v>5.2999999999999999E-2</v>
      </c>
      <c r="U1809" s="845">
        <v>0</v>
      </c>
      <c r="V1809" s="845">
        <v>0.3</v>
      </c>
      <c r="W1809" s="845">
        <v>5.4432348367029551E-2</v>
      </c>
      <c r="X1809" s="845">
        <v>0.67142857142857137</v>
      </c>
      <c r="Y1809" s="845">
        <v>0.96544595392793853</v>
      </c>
      <c r="Z1809" s="845">
        <v>0</v>
      </c>
      <c r="AA1809" s="845">
        <v>0</v>
      </c>
      <c r="AB1809" s="845">
        <v>0</v>
      </c>
      <c r="AC1809" s="845">
        <v>0</v>
      </c>
      <c r="AD1809" s="845">
        <v>2.9533372711163615E-3</v>
      </c>
      <c r="AE1809" s="845">
        <v>3.1600708800945065E-2</v>
      </c>
      <c r="AF1809" s="845">
        <v>4.1051388068517422E-2</v>
      </c>
      <c r="AG1809" s="845">
        <v>0.95038393384524511</v>
      </c>
      <c r="AH1809" s="20" t="str">
        <f t="shared" si="155"/>
        <v>Yes</v>
      </c>
      <c r="AI1809" s="25"/>
      <c r="AJ1809" s="20">
        <v>44444</v>
      </c>
      <c r="AK1809" s="20" t="s">
        <v>1346</v>
      </c>
      <c r="AL1809" s="20">
        <v>39099</v>
      </c>
      <c r="AM1809" s="20" t="s">
        <v>55</v>
      </c>
      <c r="AN1809" s="37">
        <f t="shared" si="156"/>
        <v>49660</v>
      </c>
      <c r="AO1809" s="37" t="str">
        <f t="shared" si="157"/>
        <v>Youngstown-Warren, OH</v>
      </c>
      <c r="AP1809" s="20" t="s">
        <v>8</v>
      </c>
      <c r="AQ1809" s="25"/>
      <c r="AR1809" s="25"/>
      <c r="AS1809" s="25"/>
      <c r="AT1809" s="25"/>
      <c r="AU1809" s="36"/>
      <c r="AV1809" s="36"/>
      <c r="AW1809" s="36"/>
      <c r="AX1809" s="25"/>
      <c r="AY1809" s="25"/>
      <c r="AZ1809" s="25"/>
      <c r="BA1809" s="25"/>
      <c r="BB1809" s="25"/>
      <c r="BC1809" s="25"/>
      <c r="BD1809" s="25"/>
      <c r="BE1809" s="25"/>
      <c r="BF1809" s="25"/>
      <c r="BG1809" s="25"/>
      <c r="BH1809" s="25"/>
      <c r="BI1809" s="25"/>
      <c r="BJ1809" s="25"/>
      <c r="BK1809" s="25"/>
      <c r="BL1809" s="25"/>
      <c r="BM1809" s="25"/>
      <c r="BN1809" s="25"/>
      <c r="BO1809" s="25"/>
      <c r="BP1809" s="25"/>
      <c r="BQ1809" s="25"/>
      <c r="BR1809" s="25"/>
      <c r="BS1809" s="25"/>
      <c r="BT1809" s="25"/>
      <c r="CD1809" s="25"/>
      <c r="CE1809" s="200"/>
      <c r="CF1809" s="200"/>
      <c r="CG1809" s="200"/>
      <c r="CH1809" s="200"/>
      <c r="CI1809" s="200"/>
      <c r="CJ1809" s="200"/>
      <c r="CK1809" s="200"/>
      <c r="CL1809" s="200"/>
      <c r="CM1809" s="200"/>
      <c r="CN1809" s="200"/>
      <c r="CO1809" s="200"/>
      <c r="CP1809" s="200"/>
      <c r="CQ1809" s="200"/>
      <c r="CR1809" s="200"/>
      <c r="CS1809" s="200"/>
      <c r="CT1809" s="200"/>
      <c r="CU1809" s="200"/>
    </row>
    <row r="1810" spans="1:99" s="17" customFormat="1" x14ac:dyDescent="0.2">
      <c r="A1810" s="25"/>
      <c r="B1810" s="20">
        <v>39095004504</v>
      </c>
      <c r="C1810" s="20">
        <v>45.04</v>
      </c>
      <c r="D1810" s="20" t="s">
        <v>53</v>
      </c>
      <c r="E1810" s="20" t="s">
        <v>2839</v>
      </c>
      <c r="F1810" s="20" t="s">
        <v>8</v>
      </c>
      <c r="G1810" s="861">
        <v>46.656490865363097</v>
      </c>
      <c r="H1810" s="861">
        <v>61.153901090000197</v>
      </c>
      <c r="I1810" s="861">
        <v>25.791174045324802</v>
      </c>
      <c r="J1810" s="861">
        <v>34.118645371519001</v>
      </c>
      <c r="K1810" s="982">
        <v>0</v>
      </c>
      <c r="L1810" s="735">
        <v>3492</v>
      </c>
      <c r="M1810" s="735">
        <v>3071</v>
      </c>
      <c r="N1810" s="845">
        <f t="shared" si="153"/>
        <v>-0.12056128293241695</v>
      </c>
      <c r="O1810" s="735">
        <v>1.2116966822677808</v>
      </c>
      <c r="P1810" s="735">
        <f t="shared" si="154"/>
        <v>2534.4626629268259</v>
      </c>
      <c r="Q1810" s="849">
        <v>41.1</v>
      </c>
      <c r="R1810" s="71">
        <v>81286</v>
      </c>
      <c r="S1810" s="845">
        <v>5.8612829697167045E-2</v>
      </c>
      <c r="T1810" s="845">
        <v>4.4999999999999998E-2</v>
      </c>
      <c r="U1810" s="845">
        <v>6.9999999999999993E-3</v>
      </c>
      <c r="V1810" s="845">
        <v>0</v>
      </c>
      <c r="W1810" s="845">
        <v>0.12878254750175933</v>
      </c>
      <c r="X1810" s="845">
        <v>0.37704918032786883</v>
      </c>
      <c r="Y1810" s="845">
        <v>0.82741777922500814</v>
      </c>
      <c r="Z1810" s="845">
        <v>4.7867144252686421E-2</v>
      </c>
      <c r="AA1810" s="845">
        <v>3.9075219798111365E-3</v>
      </c>
      <c r="AB1810" s="845">
        <v>7.4894171279713444E-3</v>
      </c>
      <c r="AC1810" s="845">
        <v>0</v>
      </c>
      <c r="AD1810" s="845">
        <v>2.963204168023445E-2</v>
      </c>
      <c r="AE1810" s="845">
        <v>8.3686095734288507E-2</v>
      </c>
      <c r="AF1810" s="845">
        <v>5.6007815043959623E-2</v>
      </c>
      <c r="AG1810" s="845">
        <v>0.81862585477043304</v>
      </c>
      <c r="AH1810" s="20" t="str">
        <f t="shared" si="155"/>
        <v>No</v>
      </c>
      <c r="AI1810" s="25"/>
      <c r="AJ1810" s="20">
        <v>44449</v>
      </c>
      <c r="AK1810" s="20" t="s">
        <v>1349</v>
      </c>
      <c r="AL1810" s="20">
        <v>39099</v>
      </c>
      <c r="AM1810" s="20" t="s">
        <v>55</v>
      </c>
      <c r="AN1810" s="37">
        <f t="shared" si="156"/>
        <v>49660</v>
      </c>
      <c r="AO1810" s="37" t="str">
        <f t="shared" si="157"/>
        <v>Youngstown-Warren, OH</v>
      </c>
      <c r="AP1810" s="20" t="s">
        <v>8</v>
      </c>
      <c r="AQ1810" s="25"/>
      <c r="AR1810" s="25"/>
      <c r="AS1810" s="25"/>
      <c r="AT1810" s="25"/>
      <c r="AU1810" s="36"/>
      <c r="AV1810" s="36"/>
      <c r="AW1810" s="36"/>
      <c r="AX1810" s="25"/>
      <c r="AY1810" s="25"/>
      <c r="AZ1810" s="25"/>
      <c r="BA1810" s="25"/>
      <c r="BB1810" s="25"/>
      <c r="BC1810" s="25"/>
      <c r="BD1810" s="25"/>
      <c r="BE1810" s="25"/>
      <c r="BF1810" s="25"/>
      <c r="BG1810" s="25"/>
      <c r="BH1810" s="25"/>
      <c r="BI1810" s="25"/>
      <c r="BJ1810" s="25"/>
      <c r="BK1810" s="25"/>
      <c r="BL1810" s="25"/>
      <c r="BM1810" s="25"/>
      <c r="BN1810" s="25"/>
      <c r="BO1810" s="25"/>
      <c r="BP1810" s="25"/>
      <c r="BQ1810" s="25"/>
      <c r="BR1810" s="25"/>
      <c r="BS1810" s="25"/>
      <c r="BT1810" s="25"/>
      <c r="CD1810" s="25"/>
      <c r="CE1810" s="200"/>
      <c r="CF1810" s="200"/>
      <c r="CG1810" s="200"/>
      <c r="CH1810" s="200"/>
      <c r="CI1810" s="200"/>
      <c r="CJ1810" s="200"/>
      <c r="CK1810" s="200"/>
      <c r="CL1810" s="200"/>
      <c r="CM1810" s="200"/>
      <c r="CN1810" s="200"/>
      <c r="CO1810" s="200"/>
      <c r="CP1810" s="200"/>
      <c r="CQ1810" s="200"/>
      <c r="CR1810" s="200"/>
      <c r="CS1810" s="200"/>
      <c r="CT1810" s="200"/>
      <c r="CU1810" s="200"/>
    </row>
    <row r="1811" spans="1:99" s="17" customFormat="1" x14ac:dyDescent="0.2">
      <c r="A1811" s="25"/>
      <c r="B1811" s="20">
        <v>39077916500</v>
      </c>
      <c r="C1811" s="20">
        <v>9165</v>
      </c>
      <c r="D1811" s="20" t="s">
        <v>45</v>
      </c>
      <c r="E1811" s="20" t="s">
        <v>265</v>
      </c>
      <c r="F1811" s="20" t="s">
        <v>8</v>
      </c>
      <c r="G1811" s="861">
        <v>46.624481149327899</v>
      </c>
      <c r="H1811" s="861">
        <v>50.066196534371102</v>
      </c>
      <c r="I1811" s="861">
        <v>29.962048889385802</v>
      </c>
      <c r="J1811" s="861">
        <v>50.2328652478732</v>
      </c>
      <c r="K1811" s="982">
        <v>0</v>
      </c>
      <c r="L1811" s="735">
        <v>4912</v>
      </c>
      <c r="M1811" s="735">
        <v>4524</v>
      </c>
      <c r="N1811" s="845">
        <f t="shared" si="153"/>
        <v>-7.8990228013029309E-2</v>
      </c>
      <c r="O1811" s="735">
        <v>88.768997476208497</v>
      </c>
      <c r="P1811" s="735">
        <f t="shared" si="154"/>
        <v>50.963738789688414</v>
      </c>
      <c r="Q1811" s="849">
        <v>46</v>
      </c>
      <c r="R1811" s="71">
        <v>66941</v>
      </c>
      <c r="S1811" s="845">
        <v>0.12807991120976692</v>
      </c>
      <c r="T1811" s="845">
        <v>4.8000000000000001E-2</v>
      </c>
      <c r="U1811" s="845">
        <v>0</v>
      </c>
      <c r="V1811" s="845">
        <v>0</v>
      </c>
      <c r="W1811" s="845">
        <v>0.12752808988764044</v>
      </c>
      <c r="X1811" s="845">
        <v>0.29074889867841408</v>
      </c>
      <c r="Y1811" s="845">
        <v>0.94562334217506627</v>
      </c>
      <c r="Z1811" s="845">
        <v>1.1052166224580018E-3</v>
      </c>
      <c r="AA1811" s="845">
        <v>0</v>
      </c>
      <c r="AB1811" s="845">
        <v>5.3050397877984082E-3</v>
      </c>
      <c r="AC1811" s="845">
        <v>0</v>
      </c>
      <c r="AD1811" s="845">
        <v>1.3041556145004421E-2</v>
      </c>
      <c r="AE1811" s="845">
        <v>3.4924845269672856E-2</v>
      </c>
      <c r="AF1811" s="845">
        <v>5.5260831122900091E-3</v>
      </c>
      <c r="AG1811" s="845">
        <v>0.9400972590627763</v>
      </c>
      <c r="AH1811" s="20" t="str">
        <f t="shared" si="155"/>
        <v>Yes</v>
      </c>
      <c r="AI1811" s="25"/>
      <c r="AJ1811" s="20">
        <v>44451</v>
      </c>
      <c r="AK1811" s="20" t="s">
        <v>1351</v>
      </c>
      <c r="AL1811" s="20">
        <v>39099</v>
      </c>
      <c r="AM1811" s="20" t="s">
        <v>55</v>
      </c>
      <c r="AN1811" s="37">
        <f t="shared" si="156"/>
        <v>49660</v>
      </c>
      <c r="AO1811" s="37" t="str">
        <f t="shared" si="157"/>
        <v>Youngstown-Warren, OH</v>
      </c>
      <c r="AP1811" s="20" t="s">
        <v>8</v>
      </c>
      <c r="AQ1811" s="25"/>
      <c r="AR1811" s="25"/>
      <c r="AS1811" s="25"/>
      <c r="AT1811" s="25"/>
      <c r="AU1811" s="36"/>
      <c r="AV1811" s="36"/>
      <c r="AW1811" s="36"/>
      <c r="AX1811" s="25"/>
      <c r="AY1811" s="25"/>
      <c r="AZ1811" s="25"/>
      <c r="BA1811" s="25"/>
      <c r="BB1811" s="25"/>
      <c r="BC1811" s="25"/>
      <c r="BD1811" s="25"/>
      <c r="BE1811" s="25"/>
      <c r="BF1811" s="25"/>
      <c r="BG1811" s="25"/>
      <c r="BH1811" s="25"/>
      <c r="BI1811" s="25"/>
      <c r="BJ1811" s="25"/>
      <c r="BK1811" s="25"/>
      <c r="BL1811" s="25"/>
      <c r="BM1811" s="25"/>
      <c r="BN1811" s="25"/>
      <c r="BO1811" s="25"/>
      <c r="BP1811" s="25"/>
      <c r="BQ1811" s="25"/>
      <c r="BR1811" s="25"/>
      <c r="BS1811" s="25"/>
      <c r="BT1811" s="25"/>
      <c r="CD1811" s="25"/>
      <c r="CE1811" s="200"/>
      <c r="CF1811" s="200"/>
      <c r="CG1811" s="200"/>
      <c r="CH1811" s="200"/>
      <c r="CI1811" s="200"/>
      <c r="CJ1811" s="200"/>
      <c r="CK1811" s="200"/>
      <c r="CL1811" s="200"/>
      <c r="CM1811" s="200"/>
      <c r="CN1811" s="200"/>
      <c r="CO1811" s="200"/>
      <c r="CP1811" s="200"/>
      <c r="CQ1811" s="200"/>
      <c r="CR1811" s="200"/>
      <c r="CS1811" s="200"/>
      <c r="CT1811" s="200"/>
      <c r="CU1811" s="200"/>
    </row>
    <row r="1812" spans="1:99" s="17" customFormat="1" x14ac:dyDescent="0.2">
      <c r="A1812" s="25"/>
      <c r="B1812" s="20">
        <v>39113003201</v>
      </c>
      <c r="C1812" s="20">
        <v>32.01</v>
      </c>
      <c r="D1812" s="20" t="s">
        <v>62</v>
      </c>
      <c r="E1812" s="20" t="s">
        <v>2833</v>
      </c>
      <c r="F1812" s="20" t="s">
        <v>6</v>
      </c>
      <c r="G1812" s="861">
        <v>46.612706619094901</v>
      </c>
      <c r="H1812" s="861">
        <v>66.966288999190994</v>
      </c>
      <c r="I1812" s="861">
        <v>44.871513394130702</v>
      </c>
      <c r="J1812" s="861">
        <v>37.321434632266701</v>
      </c>
      <c r="K1812" s="982">
        <v>0</v>
      </c>
      <c r="L1812" s="735">
        <v>3131</v>
      </c>
      <c r="M1812" s="735">
        <v>3933</v>
      </c>
      <c r="N1812" s="845">
        <f t="shared" si="153"/>
        <v>0.25614819546470774</v>
      </c>
      <c r="O1812" s="735">
        <v>0.53873297511006724</v>
      </c>
      <c r="P1812" s="735">
        <f t="shared" si="154"/>
        <v>7300.4627184672672</v>
      </c>
      <c r="Q1812" s="849">
        <v>30.3</v>
      </c>
      <c r="R1812" s="71">
        <v>47023</v>
      </c>
      <c r="S1812" s="845">
        <v>0.24933687002652519</v>
      </c>
      <c r="T1812" s="845">
        <v>6.2E-2</v>
      </c>
      <c r="U1812" s="845">
        <v>4.9000000000000002E-2</v>
      </c>
      <c r="V1812" s="845">
        <v>1.8000000000000002E-2</v>
      </c>
      <c r="W1812" s="845">
        <v>0.62093862815884482</v>
      </c>
      <c r="X1812" s="845">
        <v>0.53654485049833889</v>
      </c>
      <c r="Y1812" s="845">
        <v>0.72362064581744212</v>
      </c>
      <c r="Z1812" s="845">
        <v>5.8988049834731757E-2</v>
      </c>
      <c r="AA1812" s="845">
        <v>0</v>
      </c>
      <c r="AB1812" s="845">
        <v>6.280193236714976E-2</v>
      </c>
      <c r="AC1812" s="845">
        <v>0</v>
      </c>
      <c r="AD1812" s="845">
        <v>6.6107297228578691E-3</v>
      </c>
      <c r="AE1812" s="845">
        <v>0.14797864225781845</v>
      </c>
      <c r="AF1812" s="845">
        <v>7.0938215102974822E-2</v>
      </c>
      <c r="AG1812" s="845">
        <v>0.72234935163996949</v>
      </c>
      <c r="AH1812" s="20" t="str">
        <f t="shared" si="155"/>
        <v>No</v>
      </c>
      <c r="AI1812" s="25"/>
      <c r="AJ1812" s="20">
        <v>44452</v>
      </c>
      <c r="AK1812" s="20" t="s">
        <v>1352</v>
      </c>
      <c r="AL1812" s="20">
        <v>39099</v>
      </c>
      <c r="AM1812" s="20" t="s">
        <v>55</v>
      </c>
      <c r="AN1812" s="37">
        <f t="shared" si="156"/>
        <v>49660</v>
      </c>
      <c r="AO1812" s="37" t="str">
        <f t="shared" si="157"/>
        <v>Youngstown-Warren, OH</v>
      </c>
      <c r="AP1812" s="20" t="s">
        <v>8</v>
      </c>
      <c r="AQ1812" s="25"/>
      <c r="AR1812" s="25"/>
      <c r="AS1812" s="25"/>
      <c r="AT1812" s="25"/>
      <c r="AU1812" s="36"/>
      <c r="AV1812" s="36"/>
      <c r="AW1812" s="36"/>
      <c r="AX1812" s="25"/>
      <c r="AY1812" s="25"/>
      <c r="AZ1812" s="25"/>
      <c r="BA1812" s="25"/>
      <c r="BB1812" s="25"/>
      <c r="BC1812" s="25"/>
      <c r="BD1812" s="25"/>
      <c r="BE1812" s="25"/>
      <c r="BF1812" s="25"/>
      <c r="BG1812" s="25"/>
      <c r="BH1812" s="25"/>
      <c r="BI1812" s="25"/>
      <c r="BJ1812" s="25"/>
      <c r="BK1812" s="25"/>
      <c r="BL1812" s="25"/>
      <c r="BM1812" s="25"/>
      <c r="BN1812" s="25"/>
      <c r="BO1812" s="25"/>
      <c r="BP1812" s="25"/>
      <c r="BQ1812" s="25"/>
      <c r="BR1812" s="25"/>
      <c r="BS1812" s="25"/>
      <c r="BT1812" s="25"/>
      <c r="CD1812" s="25"/>
      <c r="CE1812" s="200"/>
      <c r="CF1812" s="200"/>
      <c r="CG1812" s="200"/>
      <c r="CH1812" s="200"/>
      <c r="CI1812" s="200"/>
      <c r="CJ1812" s="200"/>
      <c r="CK1812" s="200"/>
      <c r="CL1812" s="200"/>
      <c r="CM1812" s="200"/>
      <c r="CN1812" s="200"/>
      <c r="CO1812" s="200"/>
      <c r="CP1812" s="200"/>
      <c r="CQ1812" s="200"/>
      <c r="CR1812" s="200"/>
      <c r="CS1812" s="200"/>
      <c r="CT1812" s="200"/>
      <c r="CU1812" s="200"/>
    </row>
    <row r="1813" spans="1:99" s="17" customFormat="1" x14ac:dyDescent="0.2">
      <c r="A1813" s="25"/>
      <c r="B1813" s="20">
        <v>39061027000</v>
      </c>
      <c r="C1813" s="20">
        <v>270</v>
      </c>
      <c r="D1813" s="20" t="s">
        <v>37</v>
      </c>
      <c r="E1813" s="20" t="s">
        <v>2828</v>
      </c>
      <c r="F1813" s="20" t="s">
        <v>6</v>
      </c>
      <c r="G1813" s="861">
        <v>46.612164915484499</v>
      </c>
      <c r="H1813" s="861">
        <v>59.480466581184501</v>
      </c>
      <c r="I1813" s="861">
        <v>72.159624540597406</v>
      </c>
      <c r="J1813" s="861">
        <v>72.887271174467699</v>
      </c>
      <c r="K1813" s="982">
        <v>1</v>
      </c>
      <c r="L1813" s="735">
        <v>3551</v>
      </c>
      <c r="M1813" s="735">
        <v>3377</v>
      </c>
      <c r="N1813" s="845">
        <f t="shared" si="153"/>
        <v>-4.9000281610813858E-2</v>
      </c>
      <c r="O1813" s="735">
        <v>0.69741594296353737</v>
      </c>
      <c r="P1813" s="735">
        <f t="shared" si="154"/>
        <v>4842.1605988100528</v>
      </c>
      <c r="Q1813" s="849">
        <v>41.4</v>
      </c>
      <c r="R1813" s="71">
        <v>27663</v>
      </c>
      <c r="S1813" s="845">
        <v>0.46125232486050838</v>
      </c>
      <c r="T1813" s="845">
        <v>8.5999999999999993E-2</v>
      </c>
      <c r="U1813" s="845">
        <v>0</v>
      </c>
      <c r="V1813" s="845">
        <v>0</v>
      </c>
      <c r="W1813" s="845">
        <v>0.75898520084566601</v>
      </c>
      <c r="X1813" s="845">
        <v>0.38161559888579388</v>
      </c>
      <c r="Y1813" s="845">
        <v>7.9064258217352676E-2</v>
      </c>
      <c r="Z1813" s="845">
        <v>0.8800710689961504</v>
      </c>
      <c r="AA1813" s="845">
        <v>1.7767249037607344E-3</v>
      </c>
      <c r="AB1813" s="845">
        <v>1.865561148948771E-2</v>
      </c>
      <c r="AC1813" s="845">
        <v>0</v>
      </c>
      <c r="AD1813" s="845">
        <v>0</v>
      </c>
      <c r="AE1813" s="845">
        <v>2.0432336393248447E-2</v>
      </c>
      <c r="AF1813" s="845">
        <v>5.0340538939887478E-3</v>
      </c>
      <c r="AG1813" s="845">
        <v>7.4030204323363935E-2</v>
      </c>
      <c r="AH1813" s="20" t="str">
        <f t="shared" si="155"/>
        <v>No</v>
      </c>
      <c r="AI1813" s="25"/>
      <c r="AJ1813" s="20">
        <v>44454</v>
      </c>
      <c r="AK1813" s="20" t="s">
        <v>1353</v>
      </c>
      <c r="AL1813" s="20">
        <v>39099</v>
      </c>
      <c r="AM1813" s="20" t="s">
        <v>55</v>
      </c>
      <c r="AN1813" s="37">
        <f t="shared" si="156"/>
        <v>49660</v>
      </c>
      <c r="AO1813" s="37" t="str">
        <f t="shared" si="157"/>
        <v>Youngstown-Warren, OH</v>
      </c>
      <c r="AP1813" s="20" t="s">
        <v>8</v>
      </c>
      <c r="AQ1813" s="25"/>
      <c r="AR1813" s="25"/>
      <c r="AS1813" s="25"/>
      <c r="AT1813" s="25"/>
      <c r="AU1813" s="36"/>
      <c r="AV1813" s="36"/>
      <c r="AW1813" s="36"/>
      <c r="AX1813" s="25"/>
      <c r="AY1813" s="25"/>
      <c r="AZ1813" s="25"/>
      <c r="BA1813" s="25"/>
      <c r="BB1813" s="25"/>
      <c r="BC1813" s="25"/>
      <c r="BD1813" s="25"/>
      <c r="BE1813" s="25"/>
      <c r="BF1813" s="25"/>
      <c r="BG1813" s="25"/>
      <c r="BH1813" s="25"/>
      <c r="BI1813" s="25"/>
      <c r="BJ1813" s="25"/>
      <c r="BK1813" s="25"/>
      <c r="BL1813" s="25"/>
      <c r="BM1813" s="25"/>
      <c r="BN1813" s="25"/>
      <c r="BO1813" s="25"/>
      <c r="BP1813" s="25"/>
      <c r="BQ1813" s="25"/>
      <c r="BR1813" s="25"/>
      <c r="BS1813" s="25"/>
      <c r="BT1813" s="25"/>
      <c r="CD1813" s="25"/>
      <c r="CE1813" s="200"/>
      <c r="CF1813" s="200"/>
      <c r="CG1813" s="200"/>
      <c r="CH1813" s="200"/>
      <c r="CI1813" s="200"/>
      <c r="CJ1813" s="200"/>
      <c r="CK1813" s="200"/>
      <c r="CL1813" s="200"/>
      <c r="CM1813" s="200"/>
      <c r="CN1813" s="200"/>
      <c r="CO1813" s="200"/>
      <c r="CP1813" s="200"/>
      <c r="CQ1813" s="200"/>
      <c r="CR1813" s="200"/>
      <c r="CS1813" s="200"/>
      <c r="CT1813" s="200"/>
      <c r="CU1813" s="200"/>
    </row>
    <row r="1814" spans="1:99" s="17" customFormat="1" x14ac:dyDescent="0.2">
      <c r="A1814" s="25"/>
      <c r="B1814" s="20">
        <v>39061025700</v>
      </c>
      <c r="C1814" s="20">
        <v>257</v>
      </c>
      <c r="D1814" s="20" t="s">
        <v>37</v>
      </c>
      <c r="E1814" s="20" t="s">
        <v>2828</v>
      </c>
      <c r="F1814" s="20" t="s">
        <v>6</v>
      </c>
      <c r="G1814" s="861">
        <v>46.601925005407303</v>
      </c>
      <c r="H1814" s="861">
        <v>52.638611514549098</v>
      </c>
      <c r="I1814" s="861">
        <v>63.112817172474401</v>
      </c>
      <c r="J1814" s="861">
        <v>34.847275503017102</v>
      </c>
      <c r="K1814" s="982">
        <v>0</v>
      </c>
      <c r="L1814" s="735">
        <v>1887</v>
      </c>
      <c r="M1814" s="735">
        <v>2368</v>
      </c>
      <c r="N1814" s="845">
        <f t="shared" si="153"/>
        <v>0.25490196078431371</v>
      </c>
      <c r="O1814" s="735">
        <v>0.32340148465005891</v>
      </c>
      <c r="P1814" s="735">
        <f t="shared" si="154"/>
        <v>7322.1679936390128</v>
      </c>
      <c r="Q1814" s="849">
        <v>30.1</v>
      </c>
      <c r="R1814" s="71">
        <v>39980</v>
      </c>
      <c r="S1814" s="845">
        <v>0.23944256756756757</v>
      </c>
      <c r="T1814" s="845">
        <v>3.7000000000000005E-2</v>
      </c>
      <c r="U1814" s="845">
        <v>7.2999999999999995E-2</v>
      </c>
      <c r="V1814" s="845">
        <v>5.7000000000000002E-2</v>
      </c>
      <c r="W1814" s="845">
        <v>0.58846657929226731</v>
      </c>
      <c r="X1814" s="845">
        <v>0.51447661469933181</v>
      </c>
      <c r="Y1814" s="845">
        <v>0.78125</v>
      </c>
      <c r="Z1814" s="845">
        <v>9.5439189189189186E-2</v>
      </c>
      <c r="AA1814" s="845">
        <v>0</v>
      </c>
      <c r="AB1814" s="845">
        <v>0</v>
      </c>
      <c r="AC1814" s="845">
        <v>0</v>
      </c>
      <c r="AD1814" s="845">
        <v>9.7128378378378375E-3</v>
      </c>
      <c r="AE1814" s="845">
        <v>0.11359797297297297</v>
      </c>
      <c r="AF1814" s="845">
        <v>3.0827702702702704E-2</v>
      </c>
      <c r="AG1814" s="845">
        <v>0.76013513513513509</v>
      </c>
      <c r="AH1814" s="20" t="str">
        <f t="shared" si="155"/>
        <v>No</v>
      </c>
      <c r="AI1814" s="25"/>
      <c r="AJ1814" s="20">
        <v>44460</v>
      </c>
      <c r="AK1814" s="20" t="s">
        <v>1355</v>
      </c>
      <c r="AL1814" s="20">
        <v>39099</v>
      </c>
      <c r="AM1814" s="20" t="s">
        <v>55</v>
      </c>
      <c r="AN1814" s="37">
        <f t="shared" si="156"/>
        <v>49660</v>
      </c>
      <c r="AO1814" s="37" t="str">
        <f t="shared" si="157"/>
        <v>Youngstown-Warren, OH</v>
      </c>
      <c r="AP1814" s="20" t="s">
        <v>8</v>
      </c>
      <c r="AQ1814" s="25"/>
      <c r="AR1814" s="25"/>
      <c r="AS1814" s="25"/>
      <c r="AT1814" s="25"/>
      <c r="AU1814" s="36"/>
      <c r="AV1814" s="36"/>
      <c r="AW1814" s="36"/>
      <c r="AX1814" s="25"/>
      <c r="AY1814" s="25"/>
      <c r="AZ1814" s="25"/>
      <c r="BA1814" s="25"/>
      <c r="BB1814" s="25"/>
      <c r="BC1814" s="25"/>
      <c r="BD1814" s="25"/>
      <c r="BE1814" s="25"/>
      <c r="BF1814" s="25"/>
      <c r="BG1814" s="25"/>
      <c r="BH1814" s="25"/>
      <c r="BI1814" s="25"/>
      <c r="BJ1814" s="25"/>
      <c r="BK1814" s="25"/>
      <c r="BL1814" s="25"/>
      <c r="BM1814" s="25"/>
      <c r="BN1814" s="25"/>
      <c r="BO1814" s="25"/>
      <c r="BP1814" s="25"/>
      <c r="BQ1814" s="25"/>
      <c r="BR1814" s="25"/>
      <c r="BS1814" s="25"/>
      <c r="BT1814" s="25"/>
      <c r="CD1814" s="25"/>
      <c r="CE1814" s="200"/>
      <c r="CF1814" s="200"/>
      <c r="CG1814" s="200"/>
      <c r="CH1814" s="200"/>
      <c r="CI1814" s="200"/>
      <c r="CJ1814" s="200"/>
      <c r="CK1814" s="200"/>
      <c r="CL1814" s="200"/>
      <c r="CM1814" s="200"/>
      <c r="CN1814" s="200"/>
      <c r="CO1814" s="200"/>
      <c r="CP1814" s="200"/>
      <c r="CQ1814" s="200"/>
      <c r="CR1814" s="200"/>
      <c r="CS1814" s="200"/>
      <c r="CT1814" s="200"/>
      <c r="CU1814" s="200"/>
    </row>
    <row r="1815" spans="1:99" s="17" customFormat="1" x14ac:dyDescent="0.2">
      <c r="A1815" s="25"/>
      <c r="B1815" s="20">
        <v>39097041200</v>
      </c>
      <c r="C1815" s="20">
        <v>412</v>
      </c>
      <c r="D1815" s="20" t="s">
        <v>54</v>
      </c>
      <c r="E1815" s="20" t="s">
        <v>2830</v>
      </c>
      <c r="F1815" s="20" t="s">
        <v>8</v>
      </c>
      <c r="G1815" s="861">
        <v>46.600734634733499</v>
      </c>
      <c r="H1815" s="861">
        <v>47.661182068257901</v>
      </c>
      <c r="I1815" s="861">
        <v>42.204933675206199</v>
      </c>
      <c r="J1815" s="861">
        <v>56.625842958659902</v>
      </c>
      <c r="K1815" s="982">
        <v>0</v>
      </c>
      <c r="L1815" s="735">
        <v>3048</v>
      </c>
      <c r="M1815" s="735">
        <v>3294</v>
      </c>
      <c r="N1815" s="845">
        <f t="shared" si="153"/>
        <v>8.070866141732283E-2</v>
      </c>
      <c r="O1815" s="735">
        <v>30.976468459540534</v>
      </c>
      <c r="P1815" s="735">
        <f t="shared" si="154"/>
        <v>106.33878436796016</v>
      </c>
      <c r="Q1815" s="849">
        <v>42.7</v>
      </c>
      <c r="R1815" s="71">
        <v>83417</v>
      </c>
      <c r="S1815" s="845">
        <v>7.900334244910362E-2</v>
      </c>
      <c r="T1815" s="845">
        <v>3.4000000000000002E-2</v>
      </c>
      <c r="U1815" s="845">
        <v>0</v>
      </c>
      <c r="V1815" s="845">
        <v>5.5999999999999994E-2</v>
      </c>
      <c r="W1815" s="845">
        <v>0.23702556158017041</v>
      </c>
      <c r="X1815" s="845">
        <v>0.17647058823529413</v>
      </c>
      <c r="Y1815" s="845">
        <v>0.95537340619307831</v>
      </c>
      <c r="Z1815" s="845">
        <v>4.5537340619307837E-3</v>
      </c>
      <c r="AA1815" s="845">
        <v>0</v>
      </c>
      <c r="AB1815" s="845">
        <v>0</v>
      </c>
      <c r="AC1815" s="845">
        <v>0</v>
      </c>
      <c r="AD1815" s="845">
        <v>1.2143290831815423E-3</v>
      </c>
      <c r="AE1815" s="845">
        <v>3.8858530661809353E-2</v>
      </c>
      <c r="AF1815" s="845">
        <v>1.0625379477838493E-2</v>
      </c>
      <c r="AG1815" s="845">
        <v>0.94596235579842136</v>
      </c>
      <c r="AH1815" s="20" t="str">
        <f t="shared" si="155"/>
        <v>Yes</v>
      </c>
      <c r="AI1815" s="25"/>
      <c r="AJ1815" s="37">
        <v>44471</v>
      </c>
      <c r="AK1815" s="37" t="s">
        <v>1357</v>
      </c>
      <c r="AL1815" s="37">
        <v>39099</v>
      </c>
      <c r="AM1815" s="37" t="s">
        <v>55</v>
      </c>
      <c r="AN1815" s="37">
        <f t="shared" si="156"/>
        <v>49660</v>
      </c>
      <c r="AO1815" s="37" t="str">
        <f t="shared" si="157"/>
        <v>Youngstown-Warren, OH</v>
      </c>
      <c r="AP1815" s="20" t="s">
        <v>8</v>
      </c>
      <c r="AQ1815" s="25"/>
      <c r="AR1815" s="25"/>
      <c r="AS1815" s="25"/>
      <c r="AT1815" s="25"/>
      <c r="AU1815" s="36"/>
      <c r="AV1815" s="36"/>
      <c r="AW1815" s="36"/>
      <c r="AX1815" s="25"/>
      <c r="AY1815" s="25"/>
      <c r="AZ1815" s="25"/>
      <c r="BA1815" s="25"/>
      <c r="BB1815" s="25"/>
      <c r="BC1815" s="25"/>
      <c r="BD1815" s="25"/>
      <c r="BE1815" s="25"/>
      <c r="BF1815" s="25"/>
      <c r="BG1815" s="25"/>
      <c r="BH1815" s="25"/>
      <c r="BI1815" s="25"/>
      <c r="BJ1815" s="25"/>
      <c r="BK1815" s="25"/>
      <c r="BL1815" s="25"/>
      <c r="BM1815" s="25"/>
      <c r="BN1815" s="25"/>
      <c r="BO1815" s="25"/>
      <c r="BP1815" s="25"/>
      <c r="BQ1815" s="25"/>
      <c r="BR1815" s="25"/>
      <c r="BS1815" s="25"/>
      <c r="BT1815" s="25"/>
      <c r="CD1815" s="25"/>
      <c r="CE1815" s="200"/>
      <c r="CF1815" s="200"/>
      <c r="CG1815" s="200"/>
      <c r="CH1815" s="200"/>
      <c r="CI1815" s="200"/>
      <c r="CJ1815" s="200"/>
      <c r="CK1815" s="200"/>
      <c r="CL1815" s="200"/>
      <c r="CM1815" s="200"/>
      <c r="CN1815" s="200"/>
      <c r="CO1815" s="200"/>
      <c r="CP1815" s="200"/>
      <c r="CQ1815" s="200"/>
      <c r="CR1815" s="200"/>
      <c r="CS1815" s="200"/>
      <c r="CT1815" s="200"/>
      <c r="CU1815" s="200"/>
    </row>
    <row r="1816" spans="1:99" s="17" customFormat="1" x14ac:dyDescent="0.2">
      <c r="A1816" s="25"/>
      <c r="B1816" s="20">
        <v>39047926200</v>
      </c>
      <c r="C1816" s="20">
        <v>9262</v>
      </c>
      <c r="D1816" s="20" t="s">
        <v>30</v>
      </c>
      <c r="E1816" s="20" t="s">
        <v>265</v>
      </c>
      <c r="F1816" s="20" t="s">
        <v>8</v>
      </c>
      <c r="G1816" s="861">
        <v>46.599023567769798</v>
      </c>
      <c r="H1816" s="861">
        <v>48.213854482792101</v>
      </c>
      <c r="I1816" s="861">
        <v>33.534695794269098</v>
      </c>
      <c r="J1816" s="861">
        <v>45.267034832504102</v>
      </c>
      <c r="K1816" s="982">
        <v>0</v>
      </c>
      <c r="L1816" s="735">
        <v>4816</v>
      </c>
      <c r="M1816" s="735">
        <v>4330</v>
      </c>
      <c r="N1816" s="845">
        <f t="shared" si="153"/>
        <v>-0.10091362126245847</v>
      </c>
      <c r="O1816" s="735">
        <v>13.87519458535275</v>
      </c>
      <c r="P1816" s="735">
        <f t="shared" si="154"/>
        <v>312.06769558179269</v>
      </c>
      <c r="Q1816" s="849">
        <v>47.1</v>
      </c>
      <c r="R1816" s="71">
        <v>62500</v>
      </c>
      <c r="S1816" s="845">
        <v>9.5034449988120689E-2</v>
      </c>
      <c r="T1816" s="845">
        <v>1.9E-2</v>
      </c>
      <c r="U1816" s="845">
        <v>0</v>
      </c>
      <c r="V1816" s="845">
        <v>0</v>
      </c>
      <c r="W1816" s="845">
        <v>0.50942408376963355</v>
      </c>
      <c r="X1816" s="845">
        <v>0.16546762589928057</v>
      </c>
      <c r="Y1816" s="845">
        <v>0.8842956120092379</v>
      </c>
      <c r="Z1816" s="845">
        <v>4.2956120092378751E-2</v>
      </c>
      <c r="AA1816" s="845">
        <v>0</v>
      </c>
      <c r="AB1816" s="845">
        <v>0</v>
      </c>
      <c r="AC1816" s="845">
        <v>3.9260969976905313E-3</v>
      </c>
      <c r="AD1816" s="845">
        <v>1.2471131639722863E-2</v>
      </c>
      <c r="AE1816" s="845">
        <v>5.635103926096998E-2</v>
      </c>
      <c r="AF1816" s="845">
        <v>7.1593533487297925E-2</v>
      </c>
      <c r="AG1816" s="845">
        <v>0.8644341801385681</v>
      </c>
      <c r="AH1816" s="20" t="str">
        <f t="shared" si="155"/>
        <v>No</v>
      </c>
      <c r="AI1816" s="25"/>
      <c r="AJ1816" s="20">
        <v>44481</v>
      </c>
      <c r="AK1816" s="20" t="s">
        <v>1359</v>
      </c>
      <c r="AL1816" s="20">
        <v>39099</v>
      </c>
      <c r="AM1816" s="20" t="s">
        <v>55</v>
      </c>
      <c r="AN1816" s="37">
        <f t="shared" si="156"/>
        <v>49660</v>
      </c>
      <c r="AO1816" s="37" t="str">
        <f t="shared" si="157"/>
        <v>Youngstown-Warren, OH</v>
      </c>
      <c r="AP1816" s="20" t="s">
        <v>8</v>
      </c>
      <c r="AQ1816" s="25"/>
      <c r="AR1816" s="25"/>
      <c r="AS1816" s="25"/>
      <c r="AT1816" s="25"/>
      <c r="AU1816" s="36"/>
      <c r="AV1816" s="36"/>
      <c r="AW1816" s="36"/>
      <c r="AX1816" s="25"/>
      <c r="AY1816" s="25"/>
      <c r="AZ1816" s="25"/>
      <c r="BA1816" s="25"/>
      <c r="BB1816" s="25"/>
      <c r="BC1816" s="25"/>
      <c r="BD1816" s="25"/>
      <c r="BE1816" s="25"/>
      <c r="BF1816" s="25"/>
      <c r="BG1816" s="25"/>
      <c r="BH1816" s="25"/>
      <c r="BI1816" s="25"/>
      <c r="BJ1816" s="25"/>
      <c r="BK1816" s="25"/>
      <c r="BL1816" s="25"/>
      <c r="BM1816" s="25"/>
      <c r="BN1816" s="25"/>
      <c r="BO1816" s="25"/>
      <c r="BP1816" s="25"/>
      <c r="BQ1816" s="25"/>
      <c r="BR1816" s="25"/>
      <c r="BS1816" s="25"/>
      <c r="BT1816" s="25"/>
      <c r="CD1816" s="25"/>
      <c r="CE1816" s="200"/>
      <c r="CF1816" s="200"/>
      <c r="CG1816" s="200"/>
      <c r="CH1816" s="200"/>
      <c r="CI1816" s="200"/>
      <c r="CJ1816" s="200"/>
      <c r="CK1816" s="200"/>
      <c r="CL1816" s="200"/>
      <c r="CM1816" s="200"/>
      <c r="CN1816" s="200"/>
      <c r="CO1816" s="200"/>
      <c r="CP1816" s="200"/>
      <c r="CQ1816" s="200"/>
      <c r="CR1816" s="200"/>
      <c r="CS1816" s="200"/>
      <c r="CT1816" s="200"/>
      <c r="CU1816" s="200"/>
    </row>
    <row r="1817" spans="1:99" s="17" customFormat="1" x14ac:dyDescent="0.2">
      <c r="A1817" s="25"/>
      <c r="B1817" s="20">
        <v>39005970101</v>
      </c>
      <c r="C1817" s="20">
        <v>9701.01</v>
      </c>
      <c r="D1817" s="20" t="s">
        <v>9</v>
      </c>
      <c r="E1817" s="20" t="s">
        <v>265</v>
      </c>
      <c r="F1817" s="20" t="s">
        <v>8</v>
      </c>
      <c r="G1817" s="861">
        <v>46.5917424824138</v>
      </c>
      <c r="H1817" s="861">
        <v>47.355364409026599</v>
      </c>
      <c r="I1817" s="861">
        <v>35.914698494341799</v>
      </c>
      <c r="J1817" s="861">
        <v>51.6321222965598</v>
      </c>
      <c r="K1817" s="982">
        <v>0</v>
      </c>
      <c r="L1817" s="735" t="s">
        <v>2466</v>
      </c>
      <c r="M1817" s="735">
        <v>2423</v>
      </c>
      <c r="N1817" s="845" t="str">
        <f t="shared" si="153"/>
        <v/>
      </c>
      <c r="O1817" s="735">
        <v>22.534518121783965</v>
      </c>
      <c r="P1817" s="735">
        <f t="shared" si="154"/>
        <v>107.52393225829411</v>
      </c>
      <c r="Q1817" s="849">
        <v>48</v>
      </c>
      <c r="R1817" s="71">
        <v>61843</v>
      </c>
      <c r="S1817" s="845">
        <v>9.0383821708625675E-2</v>
      </c>
      <c r="T1817" s="845">
        <v>0</v>
      </c>
      <c r="U1817" s="845">
        <v>0</v>
      </c>
      <c r="V1817" s="845">
        <v>0</v>
      </c>
      <c r="W1817" s="845">
        <v>6.7393458870168482E-2</v>
      </c>
      <c r="X1817" s="845">
        <v>0.80882352941176472</v>
      </c>
      <c r="Y1817" s="845">
        <v>0.93685513825835742</v>
      </c>
      <c r="Z1817" s="845">
        <v>1.2381345439537762E-2</v>
      </c>
      <c r="AA1817" s="845">
        <v>0</v>
      </c>
      <c r="AB1817" s="845">
        <v>1.981015270326042E-2</v>
      </c>
      <c r="AC1817" s="845">
        <v>0</v>
      </c>
      <c r="AD1817" s="845">
        <v>0</v>
      </c>
      <c r="AE1817" s="845">
        <v>3.0953363598844409E-2</v>
      </c>
      <c r="AF1817" s="845">
        <v>1.2794056954189021E-2</v>
      </c>
      <c r="AG1817" s="845">
        <v>0.93685513825835742</v>
      </c>
      <c r="AH1817" s="20" t="str">
        <f t="shared" si="155"/>
        <v>Yes</v>
      </c>
      <c r="AI1817" s="25"/>
      <c r="AJ1817" s="37">
        <v>44490</v>
      </c>
      <c r="AK1817" s="37" t="s">
        <v>1363</v>
      </c>
      <c r="AL1817" s="37">
        <v>39099</v>
      </c>
      <c r="AM1817" s="37" t="s">
        <v>55</v>
      </c>
      <c r="AN1817" s="37">
        <f t="shared" si="156"/>
        <v>49660</v>
      </c>
      <c r="AO1817" s="37" t="str">
        <f t="shared" si="157"/>
        <v>Youngstown-Warren, OH</v>
      </c>
      <c r="AP1817" s="20" t="s">
        <v>8</v>
      </c>
      <c r="AQ1817" s="25"/>
      <c r="AR1817" s="25"/>
      <c r="AS1817" s="25"/>
      <c r="AT1817" s="25"/>
      <c r="AU1817" s="36"/>
      <c r="AV1817" s="36"/>
      <c r="AW1817" s="36"/>
      <c r="AX1817" s="25"/>
      <c r="AY1817" s="25"/>
      <c r="AZ1817" s="25"/>
      <c r="BA1817" s="25"/>
      <c r="BB1817" s="25"/>
      <c r="BC1817" s="25"/>
      <c r="BD1817" s="25"/>
      <c r="BE1817" s="25"/>
      <c r="BF1817" s="25"/>
      <c r="BG1817" s="25"/>
      <c r="BH1817" s="25"/>
      <c r="BI1817" s="25"/>
      <c r="BJ1817" s="25"/>
      <c r="BK1817" s="25"/>
      <c r="BL1817" s="25"/>
      <c r="BM1817" s="25"/>
      <c r="BN1817" s="25"/>
      <c r="BO1817" s="25"/>
      <c r="BP1817" s="25"/>
      <c r="BQ1817" s="25"/>
      <c r="BR1817" s="25"/>
      <c r="BS1817" s="25"/>
      <c r="BT1817" s="25"/>
      <c r="CD1817" s="25"/>
      <c r="CE1817" s="200"/>
      <c r="CF1817" s="200"/>
      <c r="CG1817" s="200"/>
      <c r="CH1817" s="200"/>
      <c r="CI1817" s="200"/>
      <c r="CJ1817" s="200"/>
      <c r="CK1817" s="200"/>
      <c r="CL1817" s="200"/>
      <c r="CM1817" s="200"/>
      <c r="CN1817" s="200"/>
      <c r="CO1817" s="200"/>
      <c r="CP1817" s="200"/>
      <c r="CQ1817" s="200"/>
      <c r="CR1817" s="200"/>
      <c r="CS1817" s="200"/>
      <c r="CT1817" s="200"/>
      <c r="CU1817" s="200"/>
    </row>
    <row r="1818" spans="1:99" s="17" customFormat="1" x14ac:dyDescent="0.2">
      <c r="A1818" s="25"/>
      <c r="B1818" s="20">
        <v>39061002600</v>
      </c>
      <c r="C1818" s="20">
        <v>26</v>
      </c>
      <c r="D1818" s="20" t="s">
        <v>37</v>
      </c>
      <c r="E1818" s="20" t="s">
        <v>2828</v>
      </c>
      <c r="F1818" s="20" t="s">
        <v>6</v>
      </c>
      <c r="G1818" s="861">
        <v>46.589994814864703</v>
      </c>
      <c r="H1818" s="861">
        <v>81.654929172771006</v>
      </c>
      <c r="I1818" s="861">
        <v>68.3608879589015</v>
      </c>
      <c r="J1818" s="861">
        <v>44.860906140980198</v>
      </c>
      <c r="K1818" s="982">
        <v>0</v>
      </c>
      <c r="L1818" s="735">
        <v>4036</v>
      </c>
      <c r="M1818" s="735">
        <v>3319</v>
      </c>
      <c r="N1818" s="845">
        <f t="shared" si="153"/>
        <v>-0.17765113974231914</v>
      </c>
      <c r="O1818" s="735">
        <v>0.2185446326238154</v>
      </c>
      <c r="P1818" s="735">
        <f t="shared" si="154"/>
        <v>15186.829162320591</v>
      </c>
      <c r="Q1818" s="849">
        <v>21.7</v>
      </c>
      <c r="R1818" s="71">
        <v>36133</v>
      </c>
      <c r="S1818" s="845">
        <v>0.53359445616149448</v>
      </c>
      <c r="T1818" s="845">
        <v>3.5000000000000003E-2</v>
      </c>
      <c r="U1818" s="845">
        <v>0</v>
      </c>
      <c r="V1818" s="845">
        <v>0.06</v>
      </c>
      <c r="W1818" s="845">
        <v>0.82134195634599838</v>
      </c>
      <c r="X1818" s="845">
        <v>0.56594488188976377</v>
      </c>
      <c r="Y1818" s="845">
        <v>0.84362759867429948</v>
      </c>
      <c r="Z1818" s="845">
        <v>5.1521542633323293E-2</v>
      </c>
      <c r="AA1818" s="845">
        <v>0</v>
      </c>
      <c r="AB1818" s="845">
        <v>4.6700813498041581E-2</v>
      </c>
      <c r="AC1818" s="845">
        <v>0</v>
      </c>
      <c r="AD1818" s="845">
        <v>2.9526965953600482E-2</v>
      </c>
      <c r="AE1818" s="845">
        <v>2.862307924073516E-2</v>
      </c>
      <c r="AF1818" s="845">
        <v>5.4835793913829464E-2</v>
      </c>
      <c r="AG1818" s="845">
        <v>0.81831877071407055</v>
      </c>
      <c r="AH1818" s="20" t="str">
        <f t="shared" si="155"/>
        <v>No</v>
      </c>
      <c r="AI1818" s="25"/>
      <c r="AJ1818" s="20">
        <v>44502</v>
      </c>
      <c r="AK1818" s="20" t="s">
        <v>1366</v>
      </c>
      <c r="AL1818" s="20">
        <v>39099</v>
      </c>
      <c r="AM1818" s="20" t="s">
        <v>55</v>
      </c>
      <c r="AN1818" s="37">
        <f t="shared" si="156"/>
        <v>49660</v>
      </c>
      <c r="AO1818" s="37" t="str">
        <f t="shared" si="157"/>
        <v>Youngstown-Warren, OH</v>
      </c>
      <c r="AP1818" s="20" t="s">
        <v>8</v>
      </c>
      <c r="AQ1818" s="25"/>
      <c r="AR1818" s="25"/>
      <c r="AS1818" s="25"/>
      <c r="AT1818" s="25"/>
      <c r="AU1818" s="36"/>
      <c r="AV1818" s="36"/>
      <c r="AW1818" s="36"/>
      <c r="AX1818" s="25"/>
      <c r="AY1818" s="25"/>
      <c r="AZ1818" s="25"/>
      <c r="BA1818" s="25"/>
      <c r="BB1818" s="25"/>
      <c r="BC1818" s="25"/>
      <c r="BD1818" s="25"/>
      <c r="BE1818" s="25"/>
      <c r="BF1818" s="25"/>
      <c r="BG1818" s="25"/>
      <c r="BH1818" s="25"/>
      <c r="BI1818" s="25"/>
      <c r="BJ1818" s="25"/>
      <c r="BK1818" s="25"/>
      <c r="BL1818" s="25"/>
      <c r="BM1818" s="25"/>
      <c r="BN1818" s="25"/>
      <c r="BO1818" s="25"/>
      <c r="BP1818" s="25"/>
      <c r="BQ1818" s="25"/>
      <c r="BR1818" s="25"/>
      <c r="BS1818" s="25"/>
      <c r="BT1818" s="25"/>
      <c r="CD1818" s="25"/>
      <c r="CE1818" s="200"/>
      <c r="CF1818" s="200"/>
      <c r="CG1818" s="200"/>
      <c r="CH1818" s="200"/>
      <c r="CI1818" s="200"/>
      <c r="CJ1818" s="200"/>
      <c r="CK1818" s="200"/>
      <c r="CL1818" s="200"/>
      <c r="CM1818" s="200"/>
      <c r="CN1818" s="200"/>
      <c r="CO1818" s="200"/>
      <c r="CP1818" s="200"/>
      <c r="CQ1818" s="200"/>
      <c r="CR1818" s="200"/>
      <c r="CS1818" s="200"/>
      <c r="CT1818" s="200"/>
      <c r="CU1818" s="200"/>
    </row>
    <row r="1819" spans="1:99" s="17" customFormat="1" x14ac:dyDescent="0.2">
      <c r="A1819" s="25"/>
      <c r="B1819" s="20">
        <v>39095009902</v>
      </c>
      <c r="C1819" s="20">
        <v>99.02</v>
      </c>
      <c r="D1819" s="20" t="s">
        <v>53</v>
      </c>
      <c r="E1819" s="20" t="s">
        <v>2839</v>
      </c>
      <c r="F1819" s="20" t="s">
        <v>8</v>
      </c>
      <c r="G1819" s="861">
        <v>46.573632318471098</v>
      </c>
      <c r="H1819" s="861">
        <v>43.389072806904899</v>
      </c>
      <c r="I1819" s="861">
        <v>30.536610877162499</v>
      </c>
      <c r="J1819" s="861">
        <v>32.356814333445897</v>
      </c>
      <c r="K1819" s="982">
        <v>0</v>
      </c>
      <c r="L1819" s="735" t="s">
        <v>2466</v>
      </c>
      <c r="M1819" s="735">
        <v>1125</v>
      </c>
      <c r="N1819" s="845" t="str">
        <f t="shared" si="153"/>
        <v/>
      </c>
      <c r="O1819" s="735">
        <v>7.7901095074911373</v>
      </c>
      <c r="P1819" s="735">
        <f t="shared" si="154"/>
        <v>144.41388775320499</v>
      </c>
      <c r="Q1819" s="849">
        <v>39.4</v>
      </c>
      <c r="R1819" s="71">
        <v>110000</v>
      </c>
      <c r="S1819" s="845">
        <v>5.422222222222222E-2</v>
      </c>
      <c r="T1819" s="845">
        <v>2.7000000000000003E-2</v>
      </c>
      <c r="U1819" s="845">
        <v>2.1000000000000001E-2</v>
      </c>
      <c r="V1819" s="845">
        <v>0</v>
      </c>
      <c r="W1819" s="845">
        <v>0.10714285714285714</v>
      </c>
      <c r="X1819" s="845">
        <v>2.2222222222222223E-2</v>
      </c>
      <c r="Y1819" s="845">
        <v>0.7573333333333333</v>
      </c>
      <c r="Z1819" s="845">
        <v>5.3333333333333332E-3</v>
      </c>
      <c r="AA1819" s="845">
        <v>0</v>
      </c>
      <c r="AB1819" s="845">
        <v>0</v>
      </c>
      <c r="AC1819" s="845">
        <v>0</v>
      </c>
      <c r="AD1819" s="845">
        <v>2.2222222222222223E-2</v>
      </c>
      <c r="AE1819" s="845">
        <v>0.21511111111111111</v>
      </c>
      <c r="AF1819" s="845">
        <v>0.20088888888888889</v>
      </c>
      <c r="AG1819" s="845">
        <v>0.7573333333333333</v>
      </c>
      <c r="AH1819" s="20" t="str">
        <f t="shared" si="155"/>
        <v>No</v>
      </c>
      <c r="AI1819" s="25"/>
      <c r="AJ1819" s="37">
        <v>44503</v>
      </c>
      <c r="AK1819" s="37" t="s">
        <v>1367</v>
      </c>
      <c r="AL1819" s="37">
        <v>39099</v>
      </c>
      <c r="AM1819" s="37" t="s">
        <v>55</v>
      </c>
      <c r="AN1819" s="37">
        <f t="shared" si="156"/>
        <v>49660</v>
      </c>
      <c r="AO1819" s="37" t="str">
        <f t="shared" si="157"/>
        <v>Youngstown-Warren, OH</v>
      </c>
      <c r="AP1819" s="20" t="s">
        <v>8</v>
      </c>
      <c r="AQ1819" s="25"/>
      <c r="AR1819" s="25"/>
      <c r="AS1819" s="25"/>
      <c r="AT1819" s="25"/>
      <c r="AU1819" s="36"/>
      <c r="AV1819" s="36"/>
      <c r="AW1819" s="36"/>
      <c r="AX1819" s="25"/>
      <c r="AY1819" s="25"/>
      <c r="AZ1819" s="25"/>
      <c r="BA1819" s="25"/>
      <c r="BB1819" s="25"/>
      <c r="BC1819" s="25"/>
      <c r="BD1819" s="25"/>
      <c r="BE1819" s="25"/>
      <c r="BF1819" s="25"/>
      <c r="BG1819" s="25"/>
      <c r="BH1819" s="25"/>
      <c r="BI1819" s="25"/>
      <c r="BJ1819" s="25"/>
      <c r="BK1819" s="25"/>
      <c r="BL1819" s="25"/>
      <c r="BM1819" s="25"/>
      <c r="BN1819" s="25"/>
      <c r="BO1819" s="25"/>
      <c r="BP1819" s="25"/>
      <c r="BQ1819" s="25"/>
      <c r="BR1819" s="25"/>
      <c r="BS1819" s="25"/>
      <c r="BT1819" s="25"/>
      <c r="CD1819" s="25"/>
      <c r="CE1819" s="200"/>
      <c r="CF1819" s="200"/>
      <c r="CG1819" s="200"/>
      <c r="CH1819" s="200"/>
      <c r="CI1819" s="200"/>
      <c r="CJ1819" s="200"/>
      <c r="CK1819" s="200"/>
      <c r="CL1819" s="200"/>
      <c r="CM1819" s="200"/>
      <c r="CN1819" s="200"/>
      <c r="CO1819" s="200"/>
      <c r="CP1819" s="200"/>
      <c r="CQ1819" s="200"/>
      <c r="CR1819" s="200"/>
      <c r="CS1819" s="200"/>
      <c r="CT1819" s="200"/>
      <c r="CU1819" s="200"/>
    </row>
    <row r="1820" spans="1:99" s="17" customFormat="1" x14ac:dyDescent="0.2">
      <c r="A1820" s="25"/>
      <c r="B1820" s="20">
        <v>39165031601</v>
      </c>
      <c r="C1820" s="20">
        <v>316.01</v>
      </c>
      <c r="D1820" s="20" t="s">
        <v>88</v>
      </c>
      <c r="E1820" s="20" t="s">
        <v>2828</v>
      </c>
      <c r="F1820" s="20" t="s">
        <v>8</v>
      </c>
      <c r="G1820" s="861">
        <v>46.573059869655502</v>
      </c>
      <c r="H1820" s="861">
        <v>53.9632133837762</v>
      </c>
      <c r="I1820" s="861">
        <v>42.199619435634801</v>
      </c>
      <c r="J1820" s="861">
        <v>63.924600547979303</v>
      </c>
      <c r="K1820" s="982">
        <v>0</v>
      </c>
      <c r="L1820" s="735" t="s">
        <v>2466</v>
      </c>
      <c r="M1820" s="735">
        <v>1399</v>
      </c>
      <c r="N1820" s="845" t="str">
        <f t="shared" si="153"/>
        <v/>
      </c>
      <c r="O1820" s="735">
        <v>13.131526306504936</v>
      </c>
      <c r="P1820" s="735">
        <f t="shared" si="154"/>
        <v>106.53750122763569</v>
      </c>
      <c r="Q1820" s="849">
        <v>45</v>
      </c>
      <c r="R1820" s="71">
        <v>121192</v>
      </c>
      <c r="S1820" s="845">
        <v>0.1768158473954512</v>
      </c>
      <c r="T1820" s="845">
        <v>2.3E-2</v>
      </c>
      <c r="U1820" s="845">
        <v>0</v>
      </c>
      <c r="V1820" s="845">
        <v>0</v>
      </c>
      <c r="W1820" s="845">
        <v>4.1257367387033402E-2</v>
      </c>
      <c r="X1820" s="845">
        <v>0.33333333333333331</v>
      </c>
      <c r="Y1820" s="845">
        <v>0.82058613295210869</v>
      </c>
      <c r="Z1820" s="845">
        <v>2.5732666190135811E-2</v>
      </c>
      <c r="AA1820" s="845">
        <v>0</v>
      </c>
      <c r="AB1820" s="845">
        <v>2.7162258756254467E-2</v>
      </c>
      <c r="AC1820" s="845">
        <v>0</v>
      </c>
      <c r="AD1820" s="845">
        <v>4.5746962115796999E-2</v>
      </c>
      <c r="AE1820" s="845">
        <v>8.0771979985704068E-2</v>
      </c>
      <c r="AF1820" s="845">
        <v>7.7912794853466763E-2</v>
      </c>
      <c r="AG1820" s="845">
        <v>0.79556826304503214</v>
      </c>
      <c r="AH1820" s="20" t="str">
        <f t="shared" si="155"/>
        <v>No</v>
      </c>
      <c r="AI1820" s="25"/>
      <c r="AJ1820" s="20">
        <v>44504</v>
      </c>
      <c r="AK1820" s="20" t="s">
        <v>1368</v>
      </c>
      <c r="AL1820" s="20">
        <v>39099</v>
      </c>
      <c r="AM1820" s="20" t="s">
        <v>55</v>
      </c>
      <c r="AN1820" s="37">
        <f t="shared" si="156"/>
        <v>49660</v>
      </c>
      <c r="AO1820" s="37" t="str">
        <f t="shared" si="157"/>
        <v>Youngstown-Warren, OH</v>
      </c>
      <c r="AP1820" s="20" t="s">
        <v>8</v>
      </c>
      <c r="AQ1820" s="25"/>
      <c r="AR1820" s="25"/>
      <c r="AS1820" s="25"/>
      <c r="AT1820" s="25"/>
      <c r="AU1820" s="36"/>
      <c r="AV1820" s="36"/>
      <c r="AW1820" s="36"/>
      <c r="AX1820" s="25"/>
      <c r="AY1820" s="25"/>
      <c r="AZ1820" s="25"/>
      <c r="BA1820" s="25"/>
      <c r="BB1820" s="25"/>
      <c r="BC1820" s="25"/>
      <c r="BD1820" s="25"/>
      <c r="BE1820" s="25"/>
      <c r="BF1820" s="25"/>
      <c r="BG1820" s="25"/>
      <c r="BH1820" s="25"/>
      <c r="BI1820" s="25"/>
      <c r="BJ1820" s="25"/>
      <c r="BK1820" s="25"/>
      <c r="BL1820" s="25"/>
      <c r="BM1820" s="25"/>
      <c r="BN1820" s="25"/>
      <c r="BO1820" s="25"/>
      <c r="BP1820" s="25"/>
      <c r="BQ1820" s="25"/>
      <c r="BR1820" s="25"/>
      <c r="BS1820" s="25"/>
      <c r="BT1820" s="25"/>
      <c r="CD1820" s="25"/>
      <c r="CE1820" s="200"/>
      <c r="CF1820" s="200"/>
      <c r="CG1820" s="200"/>
      <c r="CH1820" s="200"/>
      <c r="CI1820" s="200"/>
      <c r="CJ1820" s="200"/>
      <c r="CK1820" s="200"/>
      <c r="CL1820" s="200"/>
      <c r="CM1820" s="200"/>
      <c r="CN1820" s="200"/>
      <c r="CO1820" s="200"/>
      <c r="CP1820" s="200"/>
      <c r="CQ1820" s="200"/>
      <c r="CR1820" s="200"/>
      <c r="CS1820" s="200"/>
      <c r="CT1820" s="200"/>
      <c r="CU1820" s="200"/>
    </row>
    <row r="1821" spans="1:99" s="17" customFormat="1" x14ac:dyDescent="0.2">
      <c r="A1821" s="25"/>
      <c r="B1821" s="20">
        <v>39029950400</v>
      </c>
      <c r="C1821" s="20">
        <v>9504</v>
      </c>
      <c r="D1821" s="20" t="s">
        <v>21</v>
      </c>
      <c r="E1821" s="20" t="s">
        <v>265</v>
      </c>
      <c r="F1821" s="20" t="s">
        <v>8</v>
      </c>
      <c r="G1821" s="861">
        <v>46.570511131987502</v>
      </c>
      <c r="H1821" s="861">
        <v>55.719774420457803</v>
      </c>
      <c r="I1821" s="861">
        <v>24.221844997598101</v>
      </c>
      <c r="J1821" s="861">
        <v>45.171665248512198</v>
      </c>
      <c r="K1821" s="982">
        <v>0</v>
      </c>
      <c r="L1821" s="735">
        <v>4472</v>
      </c>
      <c r="M1821" s="735">
        <v>4037</v>
      </c>
      <c r="N1821" s="845">
        <f t="shared" si="153"/>
        <v>-9.7271914132379247E-2</v>
      </c>
      <c r="O1821" s="735">
        <v>37.008171825159465</v>
      </c>
      <c r="P1821" s="735">
        <f t="shared" si="154"/>
        <v>109.08401579716792</v>
      </c>
      <c r="Q1821" s="849">
        <v>36.700000000000003</v>
      </c>
      <c r="R1821" s="71">
        <v>71607</v>
      </c>
      <c r="S1821" s="845">
        <v>9.9578895219222197E-2</v>
      </c>
      <c r="T1821" s="845">
        <v>6.5000000000000002E-2</v>
      </c>
      <c r="U1821" s="845">
        <v>0</v>
      </c>
      <c r="V1821" s="845">
        <v>0</v>
      </c>
      <c r="W1821" s="845">
        <v>0.16468114926419061</v>
      </c>
      <c r="X1821" s="845">
        <v>0.18297872340425531</v>
      </c>
      <c r="Y1821" s="845">
        <v>0.96383453059202373</v>
      </c>
      <c r="Z1821" s="845">
        <v>0</v>
      </c>
      <c r="AA1821" s="845">
        <v>0</v>
      </c>
      <c r="AB1821" s="845">
        <v>4.9541738915035915E-3</v>
      </c>
      <c r="AC1821" s="845">
        <v>0</v>
      </c>
      <c r="AD1821" s="845">
        <v>1.4119395590785237E-2</v>
      </c>
      <c r="AE1821" s="845">
        <v>1.7091899925687392E-2</v>
      </c>
      <c r="AF1821" s="845">
        <v>1.5357939063661135E-2</v>
      </c>
      <c r="AG1821" s="845">
        <v>0.96259598711914784</v>
      </c>
      <c r="AH1821" s="20" t="str">
        <f t="shared" si="155"/>
        <v>Yes</v>
      </c>
      <c r="AI1821" s="25"/>
      <c r="AJ1821" s="37">
        <v>44505</v>
      </c>
      <c r="AK1821" s="37" t="s">
        <v>1369</v>
      </c>
      <c r="AL1821" s="37">
        <v>39099</v>
      </c>
      <c r="AM1821" s="37" t="s">
        <v>55</v>
      </c>
      <c r="AN1821" s="37">
        <f t="shared" si="156"/>
        <v>49660</v>
      </c>
      <c r="AO1821" s="37" t="str">
        <f t="shared" si="157"/>
        <v>Youngstown-Warren, OH</v>
      </c>
      <c r="AP1821" s="20" t="s">
        <v>8</v>
      </c>
      <c r="AQ1821" s="25"/>
      <c r="AR1821" s="25"/>
      <c r="AS1821" s="25"/>
      <c r="AT1821" s="25"/>
      <c r="AU1821" s="36"/>
      <c r="AV1821" s="36"/>
      <c r="AW1821" s="36"/>
      <c r="AX1821" s="25"/>
      <c r="AY1821" s="25"/>
      <c r="AZ1821" s="25"/>
      <c r="BA1821" s="25"/>
      <c r="BB1821" s="25"/>
      <c r="BC1821" s="25"/>
      <c r="BD1821" s="25"/>
      <c r="BE1821" s="25"/>
      <c r="BF1821" s="25"/>
      <c r="BG1821" s="25"/>
      <c r="BH1821" s="25"/>
      <c r="BI1821" s="25"/>
      <c r="BJ1821" s="25"/>
      <c r="BK1821" s="25"/>
      <c r="BL1821" s="25"/>
      <c r="BM1821" s="25"/>
      <c r="BN1821" s="25"/>
      <c r="BO1821" s="25"/>
      <c r="BP1821" s="25"/>
      <c r="BQ1821" s="25"/>
      <c r="BR1821" s="25"/>
      <c r="BS1821" s="25"/>
      <c r="BT1821" s="25"/>
      <c r="CD1821" s="25"/>
      <c r="CE1821" s="200"/>
      <c r="CF1821" s="200"/>
      <c r="CG1821" s="200"/>
      <c r="CH1821" s="200"/>
      <c r="CI1821" s="200"/>
      <c r="CJ1821" s="200"/>
      <c r="CK1821" s="200"/>
      <c r="CL1821" s="200"/>
      <c r="CM1821" s="200"/>
      <c r="CN1821" s="200"/>
      <c r="CO1821" s="200"/>
      <c r="CP1821" s="200"/>
      <c r="CQ1821" s="200"/>
      <c r="CR1821" s="200"/>
      <c r="CS1821" s="200"/>
      <c r="CT1821" s="200"/>
      <c r="CU1821" s="200"/>
    </row>
    <row r="1822" spans="1:99" s="17" customFormat="1" x14ac:dyDescent="0.2">
      <c r="A1822" s="25"/>
      <c r="B1822" s="20">
        <v>39003011800</v>
      </c>
      <c r="C1822" s="20">
        <v>118</v>
      </c>
      <c r="D1822" s="20" t="s">
        <v>7</v>
      </c>
      <c r="E1822" s="20" t="s">
        <v>2835</v>
      </c>
      <c r="F1822" s="20" t="s">
        <v>8</v>
      </c>
      <c r="G1822" s="861">
        <v>46.558937302761599</v>
      </c>
      <c r="H1822" s="861">
        <v>51.142091059864001</v>
      </c>
      <c r="I1822" s="861">
        <v>22.1688960146104</v>
      </c>
      <c r="J1822" s="861">
        <v>48.686351516941997</v>
      </c>
      <c r="K1822" s="982">
        <v>0</v>
      </c>
      <c r="L1822" s="735">
        <v>2560</v>
      </c>
      <c r="M1822" s="735">
        <v>2339</v>
      </c>
      <c r="N1822" s="845">
        <f t="shared" si="153"/>
        <v>-8.6328125000000006E-2</v>
      </c>
      <c r="O1822" s="735">
        <v>3.762509550671258</v>
      </c>
      <c r="P1822" s="735">
        <f t="shared" si="154"/>
        <v>621.65955155720633</v>
      </c>
      <c r="Q1822" s="849">
        <v>44.3</v>
      </c>
      <c r="R1822" s="71">
        <v>95677</v>
      </c>
      <c r="S1822" s="845">
        <v>1.8695652173913044E-2</v>
      </c>
      <c r="T1822" s="845">
        <v>2.1000000000000001E-2</v>
      </c>
      <c r="U1822" s="845">
        <v>1.8000000000000002E-2</v>
      </c>
      <c r="V1822" s="845">
        <v>0</v>
      </c>
      <c r="W1822" s="845">
        <v>0.19435736677115986</v>
      </c>
      <c r="X1822" s="845">
        <v>0.20967741935483872</v>
      </c>
      <c r="Y1822" s="845">
        <v>0.90508764429243271</v>
      </c>
      <c r="Z1822" s="845">
        <v>2.1376656690893545E-2</v>
      </c>
      <c r="AA1822" s="845">
        <v>0</v>
      </c>
      <c r="AB1822" s="845">
        <v>0</v>
      </c>
      <c r="AC1822" s="845">
        <v>0</v>
      </c>
      <c r="AD1822" s="845">
        <v>2.436938862761864E-2</v>
      </c>
      <c r="AE1822" s="845">
        <v>4.9166310389055154E-2</v>
      </c>
      <c r="AF1822" s="845">
        <v>3.4630183839247541E-2</v>
      </c>
      <c r="AG1822" s="845">
        <v>0.89439931594698585</v>
      </c>
      <c r="AH1822" s="20" t="str">
        <f t="shared" si="155"/>
        <v>No</v>
      </c>
      <c r="AI1822" s="25"/>
      <c r="AJ1822" s="20">
        <v>44506</v>
      </c>
      <c r="AK1822" s="20" t="s">
        <v>1370</v>
      </c>
      <c r="AL1822" s="20">
        <v>39099</v>
      </c>
      <c r="AM1822" s="20" t="s">
        <v>55</v>
      </c>
      <c r="AN1822" s="37">
        <f t="shared" si="156"/>
        <v>49660</v>
      </c>
      <c r="AO1822" s="37" t="str">
        <f t="shared" si="157"/>
        <v>Youngstown-Warren, OH</v>
      </c>
      <c r="AP1822" s="20" t="s">
        <v>8</v>
      </c>
      <c r="AQ1822" s="25"/>
      <c r="AR1822" s="25"/>
      <c r="AS1822" s="25"/>
      <c r="AT1822" s="25"/>
      <c r="AU1822" s="36"/>
      <c r="AV1822" s="36"/>
      <c r="AW1822" s="36"/>
      <c r="AX1822" s="25"/>
      <c r="AY1822" s="25"/>
      <c r="AZ1822" s="25"/>
      <c r="BA1822" s="25"/>
      <c r="BB1822" s="25"/>
      <c r="BC1822" s="25"/>
      <c r="BD1822" s="25"/>
      <c r="BE1822" s="25"/>
      <c r="BF1822" s="25"/>
      <c r="BG1822" s="25"/>
      <c r="BH1822" s="25"/>
      <c r="BI1822" s="25"/>
      <c r="BJ1822" s="25"/>
      <c r="BK1822" s="25"/>
      <c r="BL1822" s="25"/>
      <c r="BM1822" s="25"/>
      <c r="BN1822" s="25"/>
      <c r="BO1822" s="25"/>
      <c r="BP1822" s="25"/>
      <c r="BQ1822" s="25"/>
      <c r="BR1822" s="25"/>
      <c r="BS1822" s="25"/>
      <c r="BT1822" s="25"/>
      <c r="CD1822" s="25"/>
      <c r="CE1822" s="200"/>
      <c r="CF1822" s="200"/>
      <c r="CG1822" s="200"/>
      <c r="CH1822" s="200"/>
      <c r="CI1822" s="200"/>
      <c r="CJ1822" s="200"/>
      <c r="CK1822" s="200"/>
      <c r="CL1822" s="200"/>
      <c r="CM1822" s="200"/>
      <c r="CN1822" s="200"/>
      <c r="CO1822" s="200"/>
      <c r="CP1822" s="200"/>
      <c r="CQ1822" s="200"/>
      <c r="CR1822" s="200"/>
      <c r="CS1822" s="200"/>
      <c r="CT1822" s="200"/>
      <c r="CU1822" s="200"/>
    </row>
    <row r="1823" spans="1:99" s="17" customFormat="1" x14ac:dyDescent="0.2">
      <c r="A1823" s="25"/>
      <c r="B1823" s="20">
        <v>39057270100</v>
      </c>
      <c r="C1823" s="20">
        <v>2701</v>
      </c>
      <c r="D1823" s="20" t="s">
        <v>35</v>
      </c>
      <c r="E1823" s="20" t="s">
        <v>2833</v>
      </c>
      <c r="F1823" s="20" t="s">
        <v>8</v>
      </c>
      <c r="G1823" s="861">
        <v>46.546858550716401</v>
      </c>
      <c r="H1823" s="861">
        <v>48.288110902014502</v>
      </c>
      <c r="I1823" s="861">
        <v>36.820551672757396</v>
      </c>
      <c r="J1823" s="861">
        <v>47.847080404386602</v>
      </c>
      <c r="K1823" s="982">
        <v>0</v>
      </c>
      <c r="L1823" s="735">
        <v>3765</v>
      </c>
      <c r="M1823" s="735">
        <v>3753</v>
      </c>
      <c r="N1823" s="845">
        <f t="shared" si="153"/>
        <v>-3.1872509960159364E-3</v>
      </c>
      <c r="O1823" s="735">
        <v>26.310513062548385</v>
      </c>
      <c r="P1823" s="735">
        <f t="shared" si="154"/>
        <v>142.64260035818899</v>
      </c>
      <c r="Q1823" s="849">
        <v>44.3</v>
      </c>
      <c r="R1823" s="71">
        <v>66821</v>
      </c>
      <c r="S1823" s="845">
        <v>9.5392953929539295E-2</v>
      </c>
      <c r="T1823" s="845">
        <v>5.5E-2</v>
      </c>
      <c r="U1823" s="845">
        <v>2.1000000000000001E-2</v>
      </c>
      <c r="V1823" s="845">
        <v>2.8999999999999998E-2</v>
      </c>
      <c r="W1823" s="845">
        <v>0.18753933291378225</v>
      </c>
      <c r="X1823" s="845">
        <v>0.35570469798657717</v>
      </c>
      <c r="Y1823" s="845">
        <v>0.97895017319477751</v>
      </c>
      <c r="Z1823" s="845">
        <v>4.2632560618172128E-3</v>
      </c>
      <c r="AA1823" s="845">
        <v>5.329070077271516E-4</v>
      </c>
      <c r="AB1823" s="845">
        <v>1.0658140154543032E-3</v>
      </c>
      <c r="AC1823" s="845">
        <v>0</v>
      </c>
      <c r="AD1823" s="845">
        <v>7.993605115907274E-4</v>
      </c>
      <c r="AE1823" s="845">
        <v>1.4388489208633094E-2</v>
      </c>
      <c r="AF1823" s="845">
        <v>5.8619770849986678E-3</v>
      </c>
      <c r="AG1823" s="845">
        <v>0.97388755662136961</v>
      </c>
      <c r="AH1823" s="20" t="str">
        <f t="shared" si="155"/>
        <v>Yes</v>
      </c>
      <c r="AI1823" s="25"/>
      <c r="AJ1823" s="20">
        <v>44507</v>
      </c>
      <c r="AK1823" s="20" t="s">
        <v>1371</v>
      </c>
      <c r="AL1823" s="20">
        <v>39099</v>
      </c>
      <c r="AM1823" s="20" t="s">
        <v>55</v>
      </c>
      <c r="AN1823" s="37">
        <f t="shared" si="156"/>
        <v>49660</v>
      </c>
      <c r="AO1823" s="37" t="str">
        <f t="shared" si="157"/>
        <v>Youngstown-Warren, OH</v>
      </c>
      <c r="AP1823" s="20" t="s">
        <v>8</v>
      </c>
      <c r="AQ1823" s="25"/>
      <c r="AR1823" s="25"/>
      <c r="AS1823" s="25"/>
      <c r="AT1823" s="25"/>
      <c r="AU1823" s="36"/>
      <c r="AV1823" s="36"/>
      <c r="AW1823" s="36"/>
      <c r="AX1823" s="25"/>
      <c r="AY1823" s="25"/>
      <c r="AZ1823" s="25"/>
      <c r="BA1823" s="25"/>
      <c r="BB1823" s="25"/>
      <c r="BC1823" s="25"/>
      <c r="BD1823" s="25"/>
      <c r="BE1823" s="25"/>
      <c r="BF1823" s="25"/>
      <c r="BG1823" s="25"/>
      <c r="BH1823" s="25"/>
      <c r="BI1823" s="25"/>
      <c r="BJ1823" s="25"/>
      <c r="BK1823" s="25"/>
      <c r="BL1823" s="25"/>
      <c r="BM1823" s="25"/>
      <c r="BN1823" s="25"/>
      <c r="BO1823" s="25"/>
      <c r="BP1823" s="25"/>
      <c r="BQ1823" s="25"/>
      <c r="BR1823" s="25"/>
      <c r="BS1823" s="25"/>
      <c r="BT1823" s="25"/>
      <c r="CD1823" s="25"/>
      <c r="CE1823" s="200"/>
      <c r="CF1823" s="200"/>
      <c r="CG1823" s="200"/>
      <c r="CH1823" s="200"/>
      <c r="CI1823" s="200"/>
      <c r="CJ1823" s="200"/>
      <c r="CK1823" s="200"/>
      <c r="CL1823" s="200"/>
      <c r="CM1823" s="200"/>
      <c r="CN1823" s="200"/>
      <c r="CO1823" s="200"/>
      <c r="CP1823" s="200"/>
      <c r="CQ1823" s="200"/>
      <c r="CR1823" s="200"/>
      <c r="CS1823" s="200"/>
      <c r="CT1823" s="200"/>
      <c r="CU1823" s="200"/>
    </row>
    <row r="1824" spans="1:99" s="17" customFormat="1" x14ac:dyDescent="0.2">
      <c r="A1824" s="25"/>
      <c r="B1824" s="20">
        <v>39095005804</v>
      </c>
      <c r="C1824" s="20">
        <v>58.04</v>
      </c>
      <c r="D1824" s="20" t="s">
        <v>53</v>
      </c>
      <c r="E1824" s="20" t="s">
        <v>2839</v>
      </c>
      <c r="F1824" s="20" t="s">
        <v>6</v>
      </c>
      <c r="G1824" s="861">
        <v>46.540561596368001</v>
      </c>
      <c r="H1824" s="861">
        <v>46.173943615026197</v>
      </c>
      <c r="I1824" s="861">
        <v>45.143836354870999</v>
      </c>
      <c r="J1824" s="861">
        <v>46.738139811565802</v>
      </c>
      <c r="K1824" s="982">
        <v>0</v>
      </c>
      <c r="L1824" s="735" t="s">
        <v>2466</v>
      </c>
      <c r="M1824" s="735">
        <v>2848</v>
      </c>
      <c r="N1824" s="845" t="str">
        <f t="shared" si="153"/>
        <v/>
      </c>
      <c r="O1824" s="735">
        <v>0.53158931297178813</v>
      </c>
      <c r="P1824" s="735">
        <f t="shared" si="154"/>
        <v>5357.5192926257068</v>
      </c>
      <c r="Q1824" s="849">
        <v>36.4</v>
      </c>
      <c r="R1824" s="71">
        <v>40462</v>
      </c>
      <c r="S1824" s="845">
        <v>0.21822033898305085</v>
      </c>
      <c r="T1824" s="845">
        <v>0.03</v>
      </c>
      <c r="U1824" s="845">
        <v>0</v>
      </c>
      <c r="V1824" s="845">
        <v>0</v>
      </c>
      <c r="W1824" s="845">
        <v>0.55851851851851853</v>
      </c>
      <c r="X1824" s="845">
        <v>0.53183023872679047</v>
      </c>
      <c r="Y1824" s="845">
        <v>0.6790730337078652</v>
      </c>
      <c r="Z1824" s="845">
        <v>0.2478932584269663</v>
      </c>
      <c r="AA1824" s="845">
        <v>7.0224719101123594E-4</v>
      </c>
      <c r="AB1824" s="845">
        <v>0</v>
      </c>
      <c r="AC1824" s="845">
        <v>0</v>
      </c>
      <c r="AD1824" s="845">
        <v>2.247191011235955E-2</v>
      </c>
      <c r="AE1824" s="845">
        <v>4.985955056179775E-2</v>
      </c>
      <c r="AF1824" s="845">
        <v>8.110955056179775E-2</v>
      </c>
      <c r="AG1824" s="845">
        <v>0.6713483146067416</v>
      </c>
      <c r="AH1824" s="20" t="str">
        <f t="shared" si="155"/>
        <v>No</v>
      </c>
      <c r="AI1824" s="25"/>
      <c r="AJ1824" s="20">
        <v>44509</v>
      </c>
      <c r="AK1824" s="20" t="s">
        <v>1372</v>
      </c>
      <c r="AL1824" s="20">
        <v>39099</v>
      </c>
      <c r="AM1824" s="20" t="s">
        <v>55</v>
      </c>
      <c r="AN1824" s="37">
        <f t="shared" si="156"/>
        <v>49660</v>
      </c>
      <c r="AO1824" s="37" t="str">
        <f t="shared" si="157"/>
        <v>Youngstown-Warren, OH</v>
      </c>
      <c r="AP1824" s="20" t="s">
        <v>8</v>
      </c>
      <c r="AQ1824" s="25"/>
      <c r="AR1824" s="25"/>
      <c r="AS1824" s="25"/>
      <c r="AT1824" s="25"/>
      <c r="AU1824" s="36"/>
      <c r="AV1824" s="36"/>
      <c r="AW1824" s="36"/>
      <c r="AX1824" s="25"/>
      <c r="AY1824" s="25"/>
      <c r="AZ1824" s="25"/>
      <c r="BA1824" s="25"/>
      <c r="BB1824" s="25"/>
      <c r="BC1824" s="25"/>
      <c r="BD1824" s="25"/>
      <c r="BE1824" s="25"/>
      <c r="BF1824" s="25"/>
      <c r="BG1824" s="25"/>
      <c r="BH1824" s="25"/>
      <c r="BI1824" s="25"/>
      <c r="BJ1824" s="25"/>
      <c r="BK1824" s="25"/>
      <c r="BL1824" s="25"/>
      <c r="BM1824" s="25"/>
      <c r="BN1824" s="25"/>
      <c r="BO1824" s="25"/>
      <c r="BP1824" s="25"/>
      <c r="BQ1824" s="25"/>
      <c r="BR1824" s="25"/>
      <c r="BS1824" s="25"/>
      <c r="BT1824" s="25"/>
      <c r="CD1824" s="25"/>
      <c r="CE1824" s="200"/>
      <c r="CF1824" s="200"/>
      <c r="CG1824" s="200"/>
      <c r="CH1824" s="200"/>
      <c r="CI1824" s="200"/>
      <c r="CJ1824" s="200"/>
      <c r="CK1824" s="200"/>
      <c r="CL1824" s="200"/>
      <c r="CM1824" s="200"/>
      <c r="CN1824" s="200"/>
      <c r="CO1824" s="200"/>
      <c r="CP1824" s="200"/>
      <c r="CQ1824" s="200"/>
      <c r="CR1824" s="200"/>
      <c r="CS1824" s="200"/>
      <c r="CT1824" s="200"/>
      <c r="CU1824" s="200"/>
    </row>
    <row r="1825" spans="1:99" s="17" customFormat="1" x14ac:dyDescent="0.2">
      <c r="A1825" s="25"/>
      <c r="B1825" s="20">
        <v>39139002900</v>
      </c>
      <c r="C1825" s="20">
        <v>29</v>
      </c>
      <c r="D1825" s="20" t="s">
        <v>75</v>
      </c>
      <c r="E1825" s="20" t="s">
        <v>2836</v>
      </c>
      <c r="F1825" s="20" t="s">
        <v>8</v>
      </c>
      <c r="G1825" s="861">
        <v>46.525301265246704</v>
      </c>
      <c r="H1825" s="861">
        <v>56.379314116956401</v>
      </c>
      <c r="I1825" s="861">
        <v>20.038291818364701</v>
      </c>
      <c r="J1825" s="861">
        <v>54.065550134094103</v>
      </c>
      <c r="K1825" s="982">
        <v>0</v>
      </c>
      <c r="L1825" s="735">
        <v>4393</v>
      </c>
      <c r="M1825" s="735">
        <v>4511</v>
      </c>
      <c r="N1825" s="845">
        <f t="shared" si="153"/>
        <v>2.6860915092192125E-2</v>
      </c>
      <c r="O1825" s="735">
        <v>75.164255483782895</v>
      </c>
      <c r="P1825" s="735">
        <f t="shared" si="154"/>
        <v>60.015228927176338</v>
      </c>
      <c r="Q1825" s="849">
        <v>30.8</v>
      </c>
      <c r="R1825" s="71">
        <v>93525</v>
      </c>
      <c r="S1825" s="845">
        <v>5.5939380432360152E-2</v>
      </c>
      <c r="T1825" s="845">
        <v>8.0000000000000002E-3</v>
      </c>
      <c r="U1825" s="845">
        <v>0</v>
      </c>
      <c r="V1825" s="845">
        <v>0</v>
      </c>
      <c r="W1825" s="845">
        <v>0.16043956043956045</v>
      </c>
      <c r="X1825" s="845">
        <v>0.15525114155251141</v>
      </c>
      <c r="Y1825" s="845">
        <v>0.89957880735978724</v>
      </c>
      <c r="Z1825" s="845">
        <v>7.0937707825315891E-3</v>
      </c>
      <c r="AA1825" s="845">
        <v>0</v>
      </c>
      <c r="AB1825" s="845">
        <v>5.9853690977610284E-3</v>
      </c>
      <c r="AC1825" s="845">
        <v>0</v>
      </c>
      <c r="AD1825" s="845">
        <v>0</v>
      </c>
      <c r="AE1825" s="845">
        <v>8.73420527599202E-2</v>
      </c>
      <c r="AF1825" s="845">
        <v>5.741520727111505E-2</v>
      </c>
      <c r="AG1825" s="845">
        <v>0.89957880735978724</v>
      </c>
      <c r="AH1825" s="20" t="str">
        <f t="shared" si="155"/>
        <v>No</v>
      </c>
      <c r="AI1825" s="25"/>
      <c r="AJ1825" s="20">
        <v>44510</v>
      </c>
      <c r="AK1825" s="20" t="s">
        <v>1373</v>
      </c>
      <c r="AL1825" s="20">
        <v>39099</v>
      </c>
      <c r="AM1825" s="20" t="s">
        <v>55</v>
      </c>
      <c r="AN1825" s="37">
        <f t="shared" si="156"/>
        <v>49660</v>
      </c>
      <c r="AO1825" s="37" t="str">
        <f t="shared" si="157"/>
        <v>Youngstown-Warren, OH</v>
      </c>
      <c r="AP1825" s="20" t="s">
        <v>8</v>
      </c>
      <c r="AQ1825" s="25"/>
      <c r="AR1825" s="25"/>
      <c r="AS1825" s="25"/>
      <c r="AT1825" s="25"/>
      <c r="AU1825" s="36"/>
      <c r="AV1825" s="36"/>
      <c r="AW1825" s="36"/>
      <c r="AX1825" s="25"/>
      <c r="AY1825" s="25"/>
      <c r="AZ1825" s="25"/>
      <c r="BA1825" s="25"/>
      <c r="BB1825" s="25"/>
      <c r="BC1825" s="25"/>
      <c r="BD1825" s="25"/>
      <c r="BE1825" s="25"/>
      <c r="BF1825" s="25"/>
      <c r="BG1825" s="25"/>
      <c r="BH1825" s="25"/>
      <c r="BI1825" s="25"/>
      <c r="BJ1825" s="25"/>
      <c r="BK1825" s="25"/>
      <c r="BL1825" s="25"/>
      <c r="BM1825" s="25"/>
      <c r="BN1825" s="25"/>
      <c r="BO1825" s="25"/>
      <c r="BP1825" s="25"/>
      <c r="BQ1825" s="25"/>
      <c r="BR1825" s="25"/>
      <c r="BS1825" s="25"/>
      <c r="BT1825" s="25"/>
      <c r="CD1825" s="25"/>
      <c r="CE1825" s="200"/>
      <c r="CF1825" s="200"/>
      <c r="CG1825" s="200"/>
      <c r="CH1825" s="200"/>
      <c r="CI1825" s="200"/>
      <c r="CJ1825" s="200"/>
      <c r="CK1825" s="200"/>
      <c r="CL1825" s="200"/>
      <c r="CM1825" s="200"/>
      <c r="CN1825" s="200"/>
      <c r="CO1825" s="200"/>
      <c r="CP1825" s="200"/>
      <c r="CQ1825" s="200"/>
      <c r="CR1825" s="200"/>
      <c r="CS1825" s="200"/>
      <c r="CT1825" s="200"/>
      <c r="CU1825" s="200"/>
    </row>
    <row r="1826" spans="1:99" s="17" customFormat="1" x14ac:dyDescent="0.2">
      <c r="A1826" s="25"/>
      <c r="B1826" s="20">
        <v>39049009520</v>
      </c>
      <c r="C1826" s="20">
        <v>95.2</v>
      </c>
      <c r="D1826" s="20" t="s">
        <v>31</v>
      </c>
      <c r="E1826" s="20" t="s">
        <v>2830</v>
      </c>
      <c r="F1826" s="20" t="s">
        <v>8</v>
      </c>
      <c r="G1826" s="861">
        <v>46.524564538630997</v>
      </c>
      <c r="H1826" s="861">
        <v>55.553821977348797</v>
      </c>
      <c r="I1826" s="861">
        <v>29.931955814779201</v>
      </c>
      <c r="J1826" s="861">
        <v>50.011085303825098</v>
      </c>
      <c r="K1826" s="982">
        <v>0</v>
      </c>
      <c r="L1826" s="735">
        <v>4279</v>
      </c>
      <c r="M1826" s="735">
        <v>4472</v>
      </c>
      <c r="N1826" s="845">
        <f t="shared" si="153"/>
        <v>4.5103996260808597E-2</v>
      </c>
      <c r="O1826" s="735">
        <v>2.444250217040572</v>
      </c>
      <c r="P1826" s="735">
        <f t="shared" si="154"/>
        <v>1829.5999193628259</v>
      </c>
      <c r="Q1826" s="849">
        <v>35.4</v>
      </c>
      <c r="R1826" s="71">
        <v>80309</v>
      </c>
      <c r="S1826" s="845">
        <v>0.12978819287967552</v>
      </c>
      <c r="T1826" s="845">
        <v>8.5000000000000006E-2</v>
      </c>
      <c r="U1826" s="845">
        <v>0</v>
      </c>
      <c r="V1826" s="845">
        <v>2.5000000000000001E-2</v>
      </c>
      <c r="W1826" s="845">
        <v>0.32305998899284533</v>
      </c>
      <c r="X1826" s="845">
        <v>0.17887563884156729</v>
      </c>
      <c r="Y1826" s="845">
        <v>0.84928443649373886</v>
      </c>
      <c r="Z1826" s="845">
        <v>9.1905187835420399E-2</v>
      </c>
      <c r="AA1826" s="845">
        <v>4.6958855098389986E-3</v>
      </c>
      <c r="AB1826" s="845">
        <v>1.3416815742397137E-3</v>
      </c>
      <c r="AC1826" s="845">
        <v>0</v>
      </c>
      <c r="AD1826" s="845">
        <v>8.0500894454382833E-3</v>
      </c>
      <c r="AE1826" s="845">
        <v>4.4722719141323794E-2</v>
      </c>
      <c r="AF1826" s="845">
        <v>2.2808586762075134E-2</v>
      </c>
      <c r="AG1826" s="845">
        <v>0.83363148479427551</v>
      </c>
      <c r="AH1826" s="20" t="str">
        <f t="shared" si="155"/>
        <v>No</v>
      </c>
      <c r="AI1826" s="25"/>
      <c r="AJ1826" s="20">
        <v>44511</v>
      </c>
      <c r="AK1826" s="20" t="s">
        <v>1374</v>
      </c>
      <c r="AL1826" s="20">
        <v>39099</v>
      </c>
      <c r="AM1826" s="20" t="s">
        <v>55</v>
      </c>
      <c r="AN1826" s="37">
        <f t="shared" si="156"/>
        <v>49660</v>
      </c>
      <c r="AO1826" s="37" t="str">
        <f t="shared" si="157"/>
        <v>Youngstown-Warren, OH</v>
      </c>
      <c r="AP1826" s="20" t="s">
        <v>8</v>
      </c>
      <c r="AQ1826" s="25"/>
      <c r="AR1826" s="25"/>
      <c r="AS1826" s="25"/>
      <c r="AT1826" s="25"/>
      <c r="AU1826" s="36"/>
      <c r="AV1826" s="36"/>
      <c r="AW1826" s="36"/>
      <c r="AX1826" s="25"/>
      <c r="AY1826" s="25"/>
      <c r="AZ1826" s="25"/>
      <c r="BA1826" s="25"/>
      <c r="BB1826" s="25"/>
      <c r="BC1826" s="25"/>
      <c r="BD1826" s="25"/>
      <c r="BE1826" s="25"/>
      <c r="BF1826" s="25"/>
      <c r="BG1826" s="25"/>
      <c r="BH1826" s="25"/>
      <c r="BI1826" s="25"/>
      <c r="BJ1826" s="25"/>
      <c r="BK1826" s="25"/>
      <c r="BL1826" s="25"/>
      <c r="BM1826" s="25"/>
      <c r="BN1826" s="25"/>
      <c r="BO1826" s="25"/>
      <c r="BP1826" s="25"/>
      <c r="BQ1826" s="25"/>
      <c r="BR1826" s="25"/>
      <c r="BS1826" s="25"/>
      <c r="BT1826" s="25"/>
      <c r="CD1826" s="25"/>
      <c r="CE1826" s="200"/>
      <c r="CF1826" s="200"/>
      <c r="CG1826" s="200"/>
      <c r="CH1826" s="200"/>
      <c r="CI1826" s="200"/>
      <c r="CJ1826" s="200"/>
      <c r="CK1826" s="200"/>
      <c r="CL1826" s="200"/>
      <c r="CM1826" s="200"/>
      <c r="CN1826" s="200"/>
      <c r="CO1826" s="200"/>
      <c r="CP1826" s="200"/>
      <c r="CQ1826" s="200"/>
      <c r="CR1826" s="200"/>
      <c r="CS1826" s="200"/>
      <c r="CT1826" s="200"/>
      <c r="CU1826" s="200"/>
    </row>
    <row r="1827" spans="1:99" s="17" customFormat="1" x14ac:dyDescent="0.2">
      <c r="A1827" s="25"/>
      <c r="B1827" s="20">
        <v>39025041900</v>
      </c>
      <c r="C1827" s="20">
        <v>419</v>
      </c>
      <c r="D1827" s="20" t="s">
        <v>19</v>
      </c>
      <c r="E1827" s="20" t="s">
        <v>2828</v>
      </c>
      <c r="F1827" s="20" t="s">
        <v>8</v>
      </c>
      <c r="G1827" s="861">
        <v>46.515395666786802</v>
      </c>
      <c r="H1827" s="861">
        <v>64.025373157035801</v>
      </c>
      <c r="I1827" s="861">
        <v>20.708487682873798</v>
      </c>
      <c r="J1827" s="861">
        <v>49.370355614922602</v>
      </c>
      <c r="K1827" s="982">
        <v>0</v>
      </c>
      <c r="L1827" s="735">
        <v>5665</v>
      </c>
      <c r="M1827" s="735">
        <v>5623</v>
      </c>
      <c r="N1827" s="845">
        <f t="shared" si="153"/>
        <v>-7.4139452780229483E-3</v>
      </c>
      <c r="O1827" s="735">
        <v>42.178748843754349</v>
      </c>
      <c r="P1827" s="735">
        <f t="shared" si="154"/>
        <v>133.31357980365107</v>
      </c>
      <c r="Q1827" s="849">
        <v>47.3</v>
      </c>
      <c r="R1827" s="71">
        <v>100523</v>
      </c>
      <c r="S1827" s="845">
        <v>5.5842077182998398E-2</v>
      </c>
      <c r="T1827" s="845">
        <v>0.01</v>
      </c>
      <c r="U1827" s="845">
        <v>0</v>
      </c>
      <c r="V1827" s="845">
        <v>0</v>
      </c>
      <c r="W1827" s="845">
        <v>0.18126463700234191</v>
      </c>
      <c r="X1827" s="845">
        <v>0.33333333333333331</v>
      </c>
      <c r="Y1827" s="845">
        <v>0.9839943090876756</v>
      </c>
      <c r="Z1827" s="845">
        <v>0</v>
      </c>
      <c r="AA1827" s="845">
        <v>3.5568202027387515E-4</v>
      </c>
      <c r="AB1827" s="845">
        <v>0</v>
      </c>
      <c r="AC1827" s="845">
        <v>0</v>
      </c>
      <c r="AD1827" s="845">
        <v>0</v>
      </c>
      <c r="AE1827" s="845">
        <v>1.5650008892050506E-2</v>
      </c>
      <c r="AF1827" s="845">
        <v>1.2448870709585631E-3</v>
      </c>
      <c r="AG1827" s="845">
        <v>0.982749422016717</v>
      </c>
      <c r="AH1827" s="20" t="str">
        <f t="shared" si="155"/>
        <v>Yes</v>
      </c>
      <c r="AI1827" s="25"/>
      <c r="AJ1827" s="20">
        <v>44512</v>
      </c>
      <c r="AK1827" s="20" t="s">
        <v>1375</v>
      </c>
      <c r="AL1827" s="20">
        <v>39099</v>
      </c>
      <c r="AM1827" s="20" t="s">
        <v>55</v>
      </c>
      <c r="AN1827" s="37">
        <f t="shared" si="156"/>
        <v>49660</v>
      </c>
      <c r="AO1827" s="37" t="str">
        <f t="shared" si="157"/>
        <v>Youngstown-Warren, OH</v>
      </c>
      <c r="AP1827" s="20" t="s">
        <v>8</v>
      </c>
      <c r="AQ1827" s="25"/>
      <c r="AR1827" s="25"/>
      <c r="AS1827" s="25"/>
      <c r="AT1827" s="25"/>
      <c r="AU1827" s="36"/>
      <c r="AV1827" s="36"/>
      <c r="AW1827" s="36"/>
      <c r="AX1827" s="25"/>
      <c r="AY1827" s="25"/>
      <c r="AZ1827" s="25"/>
      <c r="BA1827" s="25"/>
      <c r="BB1827" s="25"/>
      <c r="BC1827" s="25"/>
      <c r="BD1827" s="25"/>
      <c r="BE1827" s="25"/>
      <c r="BF1827" s="25"/>
      <c r="BG1827" s="25"/>
      <c r="BH1827" s="25"/>
      <c r="BI1827" s="25"/>
      <c r="BJ1827" s="25"/>
      <c r="BK1827" s="25"/>
      <c r="BL1827" s="25"/>
      <c r="BM1827" s="25"/>
      <c r="BN1827" s="25"/>
      <c r="BO1827" s="25"/>
      <c r="BP1827" s="25"/>
      <c r="BQ1827" s="25"/>
      <c r="BR1827" s="25"/>
      <c r="BS1827" s="25"/>
      <c r="BT1827" s="25"/>
      <c r="CD1827" s="25"/>
      <c r="CE1827" s="200"/>
      <c r="CF1827" s="200"/>
      <c r="CG1827" s="200"/>
      <c r="CH1827" s="200"/>
      <c r="CI1827" s="200"/>
      <c r="CJ1827" s="200"/>
      <c r="CK1827" s="200"/>
      <c r="CL1827" s="200"/>
      <c r="CM1827" s="200"/>
      <c r="CN1827" s="200"/>
      <c r="CO1827" s="200"/>
      <c r="CP1827" s="200"/>
      <c r="CQ1827" s="200"/>
      <c r="CR1827" s="200"/>
      <c r="CS1827" s="200"/>
      <c r="CT1827" s="200"/>
      <c r="CU1827" s="200"/>
    </row>
    <row r="1828" spans="1:99" s="17" customFormat="1" x14ac:dyDescent="0.2">
      <c r="A1828" s="25"/>
      <c r="B1828" s="20">
        <v>39033975000</v>
      </c>
      <c r="C1828" s="20">
        <v>9750</v>
      </c>
      <c r="D1828" s="20" t="s">
        <v>23</v>
      </c>
      <c r="E1828" s="20" t="s">
        <v>265</v>
      </c>
      <c r="F1828" s="20" t="s">
        <v>8</v>
      </c>
      <c r="G1828" s="861">
        <v>46.504543885032</v>
      </c>
      <c r="H1828" s="861">
        <v>55.976047067678202</v>
      </c>
      <c r="I1828" s="861">
        <v>30.649717257759601</v>
      </c>
      <c r="J1828" s="861">
        <v>37.559773941251599</v>
      </c>
      <c r="K1828" s="982">
        <v>0</v>
      </c>
      <c r="L1828" s="735">
        <v>3864</v>
      </c>
      <c r="M1828" s="735">
        <v>3964</v>
      </c>
      <c r="N1828" s="845">
        <f t="shared" si="153"/>
        <v>2.5879917184265012E-2</v>
      </c>
      <c r="O1828" s="735">
        <v>7.4017015468074874</v>
      </c>
      <c r="P1828" s="735">
        <f t="shared" si="154"/>
        <v>535.55253139188767</v>
      </c>
      <c r="Q1828" s="849">
        <v>44.7</v>
      </c>
      <c r="R1828" s="71">
        <v>54826</v>
      </c>
      <c r="S1828" s="845">
        <v>0.16611210647555669</v>
      </c>
      <c r="T1828" s="845">
        <v>8.6999999999999994E-2</v>
      </c>
      <c r="U1828" s="845">
        <v>0</v>
      </c>
      <c r="V1828" s="845">
        <v>4.2000000000000003E-2</v>
      </c>
      <c r="W1828" s="845">
        <v>0.38997695852534564</v>
      </c>
      <c r="X1828" s="845">
        <v>0.29098966026587886</v>
      </c>
      <c r="Y1828" s="845">
        <v>0.96417759838546924</v>
      </c>
      <c r="Z1828" s="845">
        <v>4.0363269424823411E-3</v>
      </c>
      <c r="AA1828" s="845">
        <v>0</v>
      </c>
      <c r="AB1828" s="845">
        <v>0</v>
      </c>
      <c r="AC1828" s="845">
        <v>0</v>
      </c>
      <c r="AD1828" s="845">
        <v>2.7749747729566097E-3</v>
      </c>
      <c r="AE1828" s="845">
        <v>2.9011099899091827E-2</v>
      </c>
      <c r="AF1828" s="845">
        <v>2.1695257315842584E-2</v>
      </c>
      <c r="AG1828" s="845">
        <v>0.94525731584258321</v>
      </c>
      <c r="AH1828" s="20" t="str">
        <f t="shared" si="155"/>
        <v>Yes</v>
      </c>
      <c r="AI1828" s="25"/>
      <c r="AJ1828" s="20">
        <v>44514</v>
      </c>
      <c r="AK1828" s="20" t="s">
        <v>1376</v>
      </c>
      <c r="AL1828" s="20">
        <v>39099</v>
      </c>
      <c r="AM1828" s="20" t="s">
        <v>55</v>
      </c>
      <c r="AN1828" s="37">
        <f t="shared" si="156"/>
        <v>49660</v>
      </c>
      <c r="AO1828" s="37" t="str">
        <f t="shared" si="157"/>
        <v>Youngstown-Warren, OH</v>
      </c>
      <c r="AP1828" s="20" t="s">
        <v>8</v>
      </c>
      <c r="AQ1828" s="25"/>
      <c r="AR1828" s="25"/>
      <c r="AS1828" s="25"/>
      <c r="AT1828" s="25"/>
      <c r="AU1828" s="36"/>
      <c r="AV1828" s="36"/>
      <c r="AW1828" s="36"/>
      <c r="AX1828" s="25"/>
      <c r="AY1828" s="25"/>
      <c r="AZ1828" s="25"/>
      <c r="BA1828" s="25"/>
      <c r="BB1828" s="25"/>
      <c r="BC1828" s="25"/>
      <c r="BD1828" s="25"/>
      <c r="BE1828" s="25"/>
      <c r="BF1828" s="25"/>
      <c r="BG1828" s="25"/>
      <c r="BH1828" s="25"/>
      <c r="BI1828" s="25"/>
      <c r="BJ1828" s="25"/>
      <c r="BK1828" s="25"/>
      <c r="BL1828" s="25"/>
      <c r="BM1828" s="25"/>
      <c r="BN1828" s="25"/>
      <c r="BO1828" s="25"/>
      <c r="BP1828" s="25"/>
      <c r="BQ1828" s="25"/>
      <c r="BR1828" s="25"/>
      <c r="BS1828" s="25"/>
      <c r="BT1828" s="25"/>
      <c r="CD1828" s="25"/>
      <c r="CE1828" s="200"/>
      <c r="CF1828" s="200"/>
      <c r="CG1828" s="200"/>
      <c r="CH1828" s="200"/>
      <c r="CI1828" s="200"/>
      <c r="CJ1828" s="200"/>
      <c r="CK1828" s="200"/>
      <c r="CL1828" s="200"/>
      <c r="CM1828" s="200"/>
      <c r="CN1828" s="200"/>
      <c r="CO1828" s="200"/>
      <c r="CP1828" s="200"/>
      <c r="CQ1828" s="200"/>
      <c r="CR1828" s="200"/>
      <c r="CS1828" s="200"/>
      <c r="CT1828" s="200"/>
      <c r="CU1828" s="200"/>
    </row>
    <row r="1829" spans="1:99" s="17" customFormat="1" x14ac:dyDescent="0.2">
      <c r="A1829" s="25"/>
      <c r="B1829" s="20">
        <v>39077916100</v>
      </c>
      <c r="C1829" s="20">
        <v>9161</v>
      </c>
      <c r="D1829" s="20" t="s">
        <v>45</v>
      </c>
      <c r="E1829" s="20" t="s">
        <v>265</v>
      </c>
      <c r="F1829" s="20" t="s">
        <v>8</v>
      </c>
      <c r="G1829" s="861">
        <v>46.483797305318099</v>
      </c>
      <c r="H1829" s="861">
        <v>52.443955938554197</v>
      </c>
      <c r="I1829" s="861">
        <v>17.6477022865101</v>
      </c>
      <c r="J1829" s="861">
        <v>54.8815772517993</v>
      </c>
      <c r="K1829" s="982">
        <v>0</v>
      </c>
      <c r="L1829" s="735">
        <v>3653</v>
      </c>
      <c r="M1829" s="735">
        <v>3319</v>
      </c>
      <c r="N1829" s="845">
        <f t="shared" si="153"/>
        <v>-9.1431699972625236E-2</v>
      </c>
      <c r="O1829" s="735">
        <v>77.541491493565204</v>
      </c>
      <c r="P1829" s="735">
        <f t="shared" si="154"/>
        <v>42.802890891973981</v>
      </c>
      <c r="Q1829" s="849">
        <v>39.799999999999997</v>
      </c>
      <c r="R1829" s="71">
        <v>81734</v>
      </c>
      <c r="S1829" s="845">
        <v>9.7046413502109699E-2</v>
      </c>
      <c r="T1829" s="845">
        <v>2.8999999999999998E-2</v>
      </c>
      <c r="U1829" s="845">
        <v>5.0000000000000001E-3</v>
      </c>
      <c r="V1829" s="845">
        <v>0</v>
      </c>
      <c r="W1829" s="845">
        <v>0.14554374488961569</v>
      </c>
      <c r="X1829" s="845">
        <v>0.2808988764044944</v>
      </c>
      <c r="Y1829" s="845">
        <v>0.97228080747213019</v>
      </c>
      <c r="Z1829" s="845">
        <v>3.0129557095510696E-4</v>
      </c>
      <c r="AA1829" s="845">
        <v>0</v>
      </c>
      <c r="AB1829" s="845">
        <v>0</v>
      </c>
      <c r="AC1829" s="845">
        <v>0</v>
      </c>
      <c r="AD1829" s="845">
        <v>0</v>
      </c>
      <c r="AE1829" s="845">
        <v>2.7417896956914732E-2</v>
      </c>
      <c r="AF1829" s="845">
        <v>6.0259114191021392E-4</v>
      </c>
      <c r="AG1829" s="845">
        <v>0.97197951190117504</v>
      </c>
      <c r="AH1829" s="20" t="str">
        <f t="shared" si="155"/>
        <v>Yes</v>
      </c>
      <c r="AI1829" s="25"/>
      <c r="AJ1829" s="20">
        <v>44515</v>
      </c>
      <c r="AK1829" s="20" t="s">
        <v>1377</v>
      </c>
      <c r="AL1829" s="20">
        <v>39099</v>
      </c>
      <c r="AM1829" s="20" t="s">
        <v>55</v>
      </c>
      <c r="AN1829" s="37">
        <f t="shared" si="156"/>
        <v>49660</v>
      </c>
      <c r="AO1829" s="37" t="str">
        <f t="shared" si="157"/>
        <v>Youngstown-Warren, OH</v>
      </c>
      <c r="AP1829" s="20" t="s">
        <v>8</v>
      </c>
      <c r="AQ1829" s="25"/>
      <c r="AR1829" s="25"/>
      <c r="AS1829" s="25"/>
      <c r="AT1829" s="25"/>
      <c r="AU1829" s="36"/>
      <c r="AV1829" s="36"/>
      <c r="AW1829" s="36"/>
      <c r="AX1829" s="25"/>
      <c r="AY1829" s="25"/>
      <c r="AZ1829" s="25"/>
      <c r="BA1829" s="25"/>
      <c r="BB1829" s="25"/>
      <c r="BC1829" s="25"/>
      <c r="BD1829" s="25"/>
      <c r="BE1829" s="25"/>
      <c r="BF1829" s="25"/>
      <c r="BG1829" s="25"/>
      <c r="BH1829" s="25"/>
      <c r="BI1829" s="25"/>
      <c r="BJ1829" s="25"/>
      <c r="BK1829" s="25"/>
      <c r="BL1829" s="25"/>
      <c r="BM1829" s="25"/>
      <c r="BN1829" s="25"/>
      <c r="BO1829" s="25"/>
      <c r="BP1829" s="25"/>
      <c r="BQ1829" s="25"/>
      <c r="BR1829" s="25"/>
      <c r="BS1829" s="25"/>
      <c r="BT1829" s="25"/>
      <c r="CD1829" s="25"/>
      <c r="CE1829" s="200"/>
      <c r="CF1829" s="200"/>
      <c r="CG1829" s="200"/>
      <c r="CH1829" s="200"/>
      <c r="CI1829" s="200"/>
      <c r="CJ1829" s="200"/>
      <c r="CK1829" s="200"/>
      <c r="CL1829" s="200"/>
      <c r="CM1829" s="200"/>
      <c r="CN1829" s="200"/>
      <c r="CO1829" s="200"/>
      <c r="CP1829" s="200"/>
      <c r="CQ1829" s="200"/>
      <c r="CR1829" s="200"/>
      <c r="CS1829" s="200"/>
      <c r="CT1829" s="200"/>
      <c r="CU1829" s="200"/>
    </row>
    <row r="1830" spans="1:99" s="17" customFormat="1" x14ac:dyDescent="0.2">
      <c r="A1830" s="25"/>
      <c r="B1830" s="20">
        <v>39055310700</v>
      </c>
      <c r="C1830" s="20">
        <v>3107</v>
      </c>
      <c r="D1830" s="20" t="s">
        <v>34</v>
      </c>
      <c r="E1830" s="20" t="s">
        <v>2829</v>
      </c>
      <c r="F1830" s="20" t="s">
        <v>8</v>
      </c>
      <c r="G1830" s="861">
        <v>46.479557555422602</v>
      </c>
      <c r="H1830" s="861">
        <v>49.544850697991201</v>
      </c>
      <c r="I1830" s="861">
        <v>16.5524888374797</v>
      </c>
      <c r="J1830" s="861">
        <v>39.5000025929983</v>
      </c>
      <c r="K1830" s="982">
        <v>0</v>
      </c>
      <c r="L1830" s="735">
        <v>4023</v>
      </c>
      <c r="M1830" s="735">
        <v>4284</v>
      </c>
      <c r="N1830" s="845">
        <f t="shared" si="153"/>
        <v>6.4876957494407153E-2</v>
      </c>
      <c r="O1830" s="735">
        <v>10.758018885268164</v>
      </c>
      <c r="P1830" s="735">
        <f t="shared" si="154"/>
        <v>398.2145826000019</v>
      </c>
      <c r="Q1830" s="849">
        <v>47</v>
      </c>
      <c r="R1830" s="71">
        <v>98777</v>
      </c>
      <c r="S1830" s="845">
        <v>7.7731092436974791E-2</v>
      </c>
      <c r="T1830" s="845">
        <v>6.9000000000000006E-2</v>
      </c>
      <c r="U1830" s="845">
        <v>0</v>
      </c>
      <c r="V1830" s="845">
        <v>0</v>
      </c>
      <c r="W1830" s="845">
        <v>0.12004466778336124</v>
      </c>
      <c r="X1830" s="845">
        <v>0.14418604651162792</v>
      </c>
      <c r="Y1830" s="845">
        <v>0.90873015873015872</v>
      </c>
      <c r="Z1830" s="845">
        <v>3.968253968253968E-3</v>
      </c>
      <c r="AA1830" s="845">
        <v>0</v>
      </c>
      <c r="AB1830" s="845">
        <v>0</v>
      </c>
      <c r="AC1830" s="845">
        <v>0</v>
      </c>
      <c r="AD1830" s="845">
        <v>0</v>
      </c>
      <c r="AE1830" s="845">
        <v>8.7301587301587297E-2</v>
      </c>
      <c r="AF1830" s="845">
        <v>3.0345471521942111E-3</v>
      </c>
      <c r="AG1830" s="845">
        <v>0.90873015873015872</v>
      </c>
      <c r="AH1830" s="20" t="str">
        <f t="shared" si="155"/>
        <v>Yes</v>
      </c>
      <c r="AI1830" s="25"/>
      <c r="AJ1830" s="37">
        <v>44555</v>
      </c>
      <c r="AK1830" s="37" t="s">
        <v>1378</v>
      </c>
      <c r="AL1830" s="37">
        <v>39099</v>
      </c>
      <c r="AM1830" s="37" t="s">
        <v>55</v>
      </c>
      <c r="AN1830" s="37">
        <f t="shared" si="156"/>
        <v>49660</v>
      </c>
      <c r="AO1830" s="37" t="str">
        <f t="shared" si="157"/>
        <v>Youngstown-Warren, OH</v>
      </c>
      <c r="AP1830" s="20" t="s">
        <v>8</v>
      </c>
      <c r="AQ1830" s="25"/>
      <c r="AR1830" s="25"/>
      <c r="AS1830" s="25"/>
      <c r="AT1830" s="25"/>
      <c r="AU1830" s="36"/>
      <c r="AV1830" s="36"/>
      <c r="AW1830" s="36"/>
      <c r="AX1830" s="25"/>
      <c r="AY1830" s="25"/>
      <c r="AZ1830" s="25"/>
      <c r="BA1830" s="25"/>
      <c r="BB1830" s="25"/>
      <c r="BC1830" s="25"/>
      <c r="BD1830" s="25"/>
      <c r="BE1830" s="25"/>
      <c r="BF1830" s="25"/>
      <c r="BG1830" s="25"/>
      <c r="BH1830" s="25"/>
      <c r="BI1830" s="25"/>
      <c r="BJ1830" s="25"/>
      <c r="BK1830" s="25"/>
      <c r="BL1830" s="25"/>
      <c r="BM1830" s="25"/>
      <c r="BN1830" s="25"/>
      <c r="BO1830" s="25"/>
      <c r="BP1830" s="25"/>
      <c r="BQ1830" s="25"/>
      <c r="BR1830" s="25"/>
      <c r="BS1830" s="25"/>
      <c r="BT1830" s="25"/>
      <c r="CD1830" s="25"/>
      <c r="CE1830" s="200"/>
      <c r="CF1830" s="200"/>
      <c r="CG1830" s="200"/>
      <c r="CH1830" s="200"/>
      <c r="CI1830" s="200"/>
      <c r="CJ1830" s="200"/>
      <c r="CK1830" s="200"/>
      <c r="CL1830" s="200"/>
      <c r="CM1830" s="200"/>
      <c r="CN1830" s="200"/>
      <c r="CO1830" s="200"/>
      <c r="CP1830" s="200"/>
      <c r="CQ1830" s="200"/>
      <c r="CR1830" s="200"/>
      <c r="CS1830" s="200"/>
      <c r="CT1830" s="200"/>
      <c r="CU1830" s="200"/>
    </row>
    <row r="1831" spans="1:99" s="17" customFormat="1" x14ac:dyDescent="0.2">
      <c r="A1831" s="25"/>
      <c r="B1831" s="20">
        <v>39135450100</v>
      </c>
      <c r="C1831" s="20">
        <v>4501</v>
      </c>
      <c r="D1831" s="20" t="s">
        <v>73</v>
      </c>
      <c r="E1831" s="20" t="s">
        <v>265</v>
      </c>
      <c r="F1831" s="20" t="s">
        <v>8</v>
      </c>
      <c r="G1831" s="861">
        <v>46.462219777630203</v>
      </c>
      <c r="H1831" s="861">
        <v>54.698403549174103</v>
      </c>
      <c r="I1831" s="861">
        <v>23.142728367350401</v>
      </c>
      <c r="J1831" s="861">
        <v>41.9514489666158</v>
      </c>
      <c r="K1831" s="982">
        <v>0</v>
      </c>
      <c r="L1831" s="735">
        <v>2066</v>
      </c>
      <c r="M1831" s="735">
        <v>2309</v>
      </c>
      <c r="N1831" s="845">
        <f t="shared" si="153"/>
        <v>0.11761858664085188</v>
      </c>
      <c r="O1831" s="735">
        <v>36.69551324697008</v>
      </c>
      <c r="P1831" s="735">
        <f t="shared" si="154"/>
        <v>62.923224004521927</v>
      </c>
      <c r="Q1831" s="849">
        <v>49.5</v>
      </c>
      <c r="R1831" s="71">
        <v>73188</v>
      </c>
      <c r="S1831" s="845">
        <v>0.11779991338241663</v>
      </c>
      <c r="T1831" s="845">
        <v>2.7999999999999997E-2</v>
      </c>
      <c r="U1831" s="845">
        <v>6.9999999999999993E-3</v>
      </c>
      <c r="V1831" s="845">
        <v>0</v>
      </c>
      <c r="W1831" s="845">
        <v>0.19675262655205347</v>
      </c>
      <c r="X1831" s="845">
        <v>0.43203883495145629</v>
      </c>
      <c r="Y1831" s="845">
        <v>0.91771329579904726</v>
      </c>
      <c r="Z1831" s="845">
        <v>2.2087483759203119E-2</v>
      </c>
      <c r="AA1831" s="845">
        <v>0</v>
      </c>
      <c r="AB1831" s="845">
        <v>0</v>
      </c>
      <c r="AC1831" s="845">
        <v>0</v>
      </c>
      <c r="AD1831" s="845">
        <v>0</v>
      </c>
      <c r="AE1831" s="845">
        <v>6.0199220441749676E-2</v>
      </c>
      <c r="AF1831" s="845">
        <v>0</v>
      </c>
      <c r="AG1831" s="845">
        <v>0.91771329579904726</v>
      </c>
      <c r="AH1831" s="20" t="str">
        <f t="shared" si="155"/>
        <v>Yes</v>
      </c>
      <c r="AI1831" s="25"/>
      <c r="AJ1831" s="20">
        <v>44601</v>
      </c>
      <c r="AK1831" s="20" t="s">
        <v>1379</v>
      </c>
      <c r="AL1831" s="20">
        <v>39099</v>
      </c>
      <c r="AM1831" s="20" t="s">
        <v>55</v>
      </c>
      <c r="AN1831" s="37">
        <f t="shared" si="156"/>
        <v>49660</v>
      </c>
      <c r="AO1831" s="37" t="str">
        <f t="shared" si="157"/>
        <v>Youngstown-Warren, OH</v>
      </c>
      <c r="AP1831" s="20" t="s">
        <v>8</v>
      </c>
      <c r="AQ1831" s="25"/>
      <c r="AR1831" s="25"/>
      <c r="AS1831" s="25"/>
      <c r="AT1831" s="25"/>
      <c r="AU1831" s="36"/>
      <c r="AV1831" s="36"/>
      <c r="AW1831" s="36"/>
      <c r="AX1831" s="25"/>
      <c r="AY1831" s="25"/>
      <c r="AZ1831" s="25"/>
      <c r="BA1831" s="25"/>
      <c r="BB1831" s="25"/>
      <c r="BC1831" s="25"/>
      <c r="BD1831" s="25"/>
      <c r="BE1831" s="25"/>
      <c r="BF1831" s="25"/>
      <c r="BG1831" s="25"/>
      <c r="BH1831" s="25"/>
      <c r="BI1831" s="25"/>
      <c r="BJ1831" s="25"/>
      <c r="BK1831" s="25"/>
      <c r="BL1831" s="25"/>
      <c r="BM1831" s="25"/>
      <c r="BN1831" s="25"/>
      <c r="BO1831" s="25"/>
      <c r="BP1831" s="25"/>
      <c r="BQ1831" s="25"/>
      <c r="BR1831" s="25"/>
      <c r="BS1831" s="25"/>
      <c r="BT1831" s="25"/>
      <c r="CD1831" s="25"/>
      <c r="CE1831" s="200"/>
      <c r="CF1831" s="200"/>
      <c r="CG1831" s="200"/>
      <c r="CH1831" s="200"/>
      <c r="CI1831" s="200"/>
      <c r="CJ1831" s="200"/>
      <c r="CK1831" s="200"/>
      <c r="CL1831" s="200"/>
      <c r="CM1831" s="200"/>
      <c r="CN1831" s="200"/>
      <c r="CO1831" s="200"/>
      <c r="CP1831" s="200"/>
      <c r="CQ1831" s="200"/>
      <c r="CR1831" s="200"/>
      <c r="CS1831" s="200"/>
      <c r="CT1831" s="200"/>
      <c r="CU1831" s="200"/>
    </row>
    <row r="1832" spans="1:99" s="17" customFormat="1" x14ac:dyDescent="0.2">
      <c r="A1832" s="25"/>
      <c r="B1832" s="20">
        <v>39099804100</v>
      </c>
      <c r="C1832" s="20">
        <v>8041</v>
      </c>
      <c r="D1832" s="20" t="s">
        <v>55</v>
      </c>
      <c r="E1832" s="20" t="s">
        <v>2842</v>
      </c>
      <c r="F1832" s="20" t="s">
        <v>8</v>
      </c>
      <c r="G1832" s="861">
        <v>46.445931550549098</v>
      </c>
      <c r="H1832" s="861">
        <v>49.693887330788002</v>
      </c>
      <c r="I1832" s="861">
        <v>56.304470724040499</v>
      </c>
      <c r="J1832" s="861">
        <v>62.092662062420203</v>
      </c>
      <c r="K1832" s="982">
        <v>0</v>
      </c>
      <c r="L1832" s="735">
        <v>1335</v>
      </c>
      <c r="M1832" s="735">
        <v>1501</v>
      </c>
      <c r="N1832" s="845">
        <f t="shared" si="153"/>
        <v>0.12434456928838951</v>
      </c>
      <c r="O1832" s="735">
        <v>0.44528930289181912</v>
      </c>
      <c r="P1832" s="735">
        <f t="shared" si="154"/>
        <v>3370.8422597446961</v>
      </c>
      <c r="Q1832" s="849">
        <v>48.3</v>
      </c>
      <c r="R1832" s="71">
        <v>39720</v>
      </c>
      <c r="S1832" s="845">
        <v>0.20421511627906977</v>
      </c>
      <c r="T1832" s="845">
        <v>6.4000000000000001E-2</v>
      </c>
      <c r="U1832" s="845">
        <v>0</v>
      </c>
      <c r="V1832" s="845">
        <v>6.8000000000000005E-2</v>
      </c>
      <c r="W1832" s="845">
        <v>0.51705565529622977</v>
      </c>
      <c r="X1832" s="845">
        <v>0.4826388888888889</v>
      </c>
      <c r="Y1832" s="845">
        <v>0.33044636908727515</v>
      </c>
      <c r="Z1832" s="845">
        <v>0.52365089940039977</v>
      </c>
      <c r="AA1832" s="845">
        <v>0</v>
      </c>
      <c r="AB1832" s="845">
        <v>0</v>
      </c>
      <c r="AC1832" s="845">
        <v>0</v>
      </c>
      <c r="AD1832" s="845">
        <v>0</v>
      </c>
      <c r="AE1832" s="845">
        <v>0.14590273151232511</v>
      </c>
      <c r="AF1832" s="845">
        <v>1.0659560293137908E-2</v>
      </c>
      <c r="AG1832" s="845">
        <v>0.32978014656895405</v>
      </c>
      <c r="AH1832" s="20" t="str">
        <f t="shared" si="155"/>
        <v>No</v>
      </c>
      <c r="AI1832" s="25"/>
      <c r="AJ1832" s="37">
        <v>44609</v>
      </c>
      <c r="AK1832" s="37" t="s">
        <v>1383</v>
      </c>
      <c r="AL1832" s="37">
        <v>39099</v>
      </c>
      <c r="AM1832" s="37" t="s">
        <v>55</v>
      </c>
      <c r="AN1832" s="37">
        <f t="shared" si="156"/>
        <v>49660</v>
      </c>
      <c r="AO1832" s="37" t="str">
        <f t="shared" si="157"/>
        <v>Youngstown-Warren, OH</v>
      </c>
      <c r="AP1832" s="20" t="s">
        <v>8</v>
      </c>
      <c r="AQ1832" s="25"/>
      <c r="AR1832" s="25"/>
      <c r="AS1832" s="25"/>
      <c r="AT1832" s="25"/>
      <c r="AU1832" s="36"/>
      <c r="AV1832" s="36"/>
      <c r="AW1832" s="36"/>
      <c r="AX1832" s="25"/>
      <c r="AY1832" s="25"/>
      <c r="AZ1832" s="25"/>
      <c r="BA1832" s="25"/>
      <c r="BB1832" s="25"/>
      <c r="BC1832" s="25"/>
      <c r="BD1832" s="25"/>
      <c r="BE1832" s="25"/>
      <c r="BF1832" s="25"/>
      <c r="BG1832" s="25"/>
      <c r="BH1832" s="25"/>
      <c r="BI1832" s="25"/>
      <c r="BJ1832" s="25"/>
      <c r="BK1832" s="25"/>
      <c r="BL1832" s="25"/>
      <c r="BM1832" s="25"/>
      <c r="BN1832" s="25"/>
      <c r="BO1832" s="25"/>
      <c r="BP1832" s="25"/>
      <c r="BQ1832" s="25"/>
      <c r="BR1832" s="25"/>
      <c r="BS1832" s="25"/>
      <c r="BT1832" s="25"/>
      <c r="CD1832" s="25"/>
      <c r="CE1832" s="200"/>
      <c r="CF1832" s="200"/>
      <c r="CG1832" s="200"/>
      <c r="CH1832" s="200"/>
      <c r="CI1832" s="200"/>
      <c r="CJ1832" s="200"/>
      <c r="CK1832" s="200"/>
      <c r="CL1832" s="200"/>
      <c r="CM1832" s="200"/>
      <c r="CN1832" s="200"/>
      <c r="CO1832" s="200"/>
      <c r="CP1832" s="200"/>
      <c r="CQ1832" s="200"/>
      <c r="CR1832" s="200"/>
      <c r="CS1832" s="200"/>
      <c r="CT1832" s="200"/>
      <c r="CU1832" s="200"/>
    </row>
    <row r="1833" spans="1:99" s="17" customFormat="1" x14ac:dyDescent="0.2">
      <c r="A1833" s="25"/>
      <c r="B1833" s="20">
        <v>39125960200</v>
      </c>
      <c r="C1833" s="20">
        <v>9602</v>
      </c>
      <c r="D1833" s="20" t="s">
        <v>68</v>
      </c>
      <c r="E1833" s="20" t="s">
        <v>265</v>
      </c>
      <c r="F1833" s="20" t="s">
        <v>8</v>
      </c>
      <c r="G1833" s="861">
        <v>46.425176914804503</v>
      </c>
      <c r="H1833" s="861">
        <v>50.059088713025901</v>
      </c>
      <c r="I1833" s="861">
        <v>20.956415576982099</v>
      </c>
      <c r="J1833" s="861">
        <v>50.618995232785601</v>
      </c>
      <c r="K1833" s="982">
        <v>0</v>
      </c>
      <c r="L1833" s="735">
        <v>4400</v>
      </c>
      <c r="M1833" s="735">
        <v>4250</v>
      </c>
      <c r="N1833" s="845">
        <f t="shared" si="153"/>
        <v>-3.4090909090909088E-2</v>
      </c>
      <c r="O1833" s="735">
        <v>69.454015756080054</v>
      </c>
      <c r="P1833" s="735">
        <f t="shared" si="154"/>
        <v>61.191566156892115</v>
      </c>
      <c r="Q1833" s="849">
        <v>41.3</v>
      </c>
      <c r="R1833" s="71">
        <v>71875</v>
      </c>
      <c r="S1833" s="845">
        <v>7.0369498705577779E-2</v>
      </c>
      <c r="T1833" s="845">
        <v>1.6E-2</v>
      </c>
      <c r="U1833" s="845">
        <v>3.3000000000000002E-2</v>
      </c>
      <c r="V1833" s="845">
        <v>0</v>
      </c>
      <c r="W1833" s="845">
        <v>0.19064966605950212</v>
      </c>
      <c r="X1833" s="845">
        <v>0.4140127388535032</v>
      </c>
      <c r="Y1833" s="845">
        <v>0.9303529411764706</v>
      </c>
      <c r="Z1833" s="845">
        <v>6.1176470588235297E-3</v>
      </c>
      <c r="AA1833" s="845">
        <v>0</v>
      </c>
      <c r="AB1833" s="845">
        <v>7.0588235294117652E-4</v>
      </c>
      <c r="AC1833" s="845">
        <v>0</v>
      </c>
      <c r="AD1833" s="845">
        <v>2.2352941176470589E-2</v>
      </c>
      <c r="AE1833" s="845">
        <v>4.0470588235294119E-2</v>
      </c>
      <c r="AF1833" s="845">
        <v>6.0705882352941179E-2</v>
      </c>
      <c r="AG1833" s="845">
        <v>0.90282352941176469</v>
      </c>
      <c r="AH1833" s="20" t="str">
        <f t="shared" si="155"/>
        <v>Yes</v>
      </c>
      <c r="AI1833" s="25"/>
      <c r="AJ1833" s="20">
        <v>44619</v>
      </c>
      <c r="AK1833" s="20" t="s">
        <v>1391</v>
      </c>
      <c r="AL1833" s="20">
        <v>39099</v>
      </c>
      <c r="AM1833" s="20" t="s">
        <v>55</v>
      </c>
      <c r="AN1833" s="37">
        <f t="shared" si="156"/>
        <v>49660</v>
      </c>
      <c r="AO1833" s="37" t="str">
        <f t="shared" si="157"/>
        <v>Youngstown-Warren, OH</v>
      </c>
      <c r="AP1833" s="20" t="s">
        <v>8</v>
      </c>
      <c r="AQ1833" s="25"/>
      <c r="AR1833" s="25"/>
      <c r="AS1833" s="25"/>
      <c r="AT1833" s="25"/>
      <c r="AU1833" s="36"/>
      <c r="AV1833" s="36"/>
      <c r="AW1833" s="36"/>
      <c r="AX1833" s="25"/>
      <c r="AY1833" s="25"/>
      <c r="AZ1833" s="25"/>
      <c r="BA1833" s="25"/>
      <c r="BB1833" s="25"/>
      <c r="BC1833" s="25"/>
      <c r="BD1833" s="25"/>
      <c r="BE1833" s="25"/>
      <c r="BF1833" s="25"/>
      <c r="BG1833" s="25"/>
      <c r="BH1833" s="25"/>
      <c r="BI1833" s="25"/>
      <c r="BJ1833" s="25"/>
      <c r="BK1833" s="25"/>
      <c r="BL1833" s="25"/>
      <c r="BM1833" s="25"/>
      <c r="BN1833" s="25"/>
      <c r="BO1833" s="25"/>
      <c r="BP1833" s="25"/>
      <c r="BQ1833" s="25"/>
      <c r="BR1833" s="25"/>
      <c r="BS1833" s="25"/>
      <c r="BT1833" s="25"/>
      <c r="CD1833" s="25"/>
      <c r="CE1833" s="200"/>
      <c r="CF1833" s="200"/>
      <c r="CG1833" s="200"/>
      <c r="CH1833" s="200"/>
      <c r="CI1833" s="200"/>
      <c r="CJ1833" s="200"/>
      <c r="CK1833" s="200"/>
      <c r="CL1833" s="200"/>
      <c r="CM1833" s="200"/>
      <c r="CN1833" s="200"/>
      <c r="CO1833" s="200"/>
      <c r="CP1833" s="200"/>
      <c r="CQ1833" s="200"/>
      <c r="CR1833" s="200"/>
      <c r="CS1833" s="200"/>
      <c r="CT1833" s="200"/>
      <c r="CU1833" s="200"/>
    </row>
    <row r="1834" spans="1:99" s="17" customFormat="1" x14ac:dyDescent="0.2">
      <c r="A1834" s="25"/>
      <c r="B1834" s="20">
        <v>39089758300</v>
      </c>
      <c r="C1834" s="20">
        <v>7583</v>
      </c>
      <c r="D1834" s="20" t="s">
        <v>50</v>
      </c>
      <c r="E1834" s="20" t="s">
        <v>2830</v>
      </c>
      <c r="F1834" s="20" t="s">
        <v>8</v>
      </c>
      <c r="G1834" s="861">
        <v>46.418076646552798</v>
      </c>
      <c r="H1834" s="861">
        <v>54.471255877496397</v>
      </c>
      <c r="I1834" s="861">
        <v>22.321809027099501</v>
      </c>
      <c r="J1834" s="861">
        <v>74.753576579415196</v>
      </c>
      <c r="K1834" s="982">
        <v>0</v>
      </c>
      <c r="L1834" s="735">
        <v>2776</v>
      </c>
      <c r="M1834" s="735">
        <v>2513</v>
      </c>
      <c r="N1834" s="845">
        <f t="shared" si="153"/>
        <v>-9.4740634005763685E-2</v>
      </c>
      <c r="O1834" s="735">
        <v>4.3184043806286043</v>
      </c>
      <c r="P1834" s="735">
        <f t="shared" si="154"/>
        <v>581.92790172054185</v>
      </c>
      <c r="Q1834" s="849">
        <v>49.2</v>
      </c>
      <c r="R1834" s="71">
        <v>75179</v>
      </c>
      <c r="S1834" s="845">
        <v>0.11480730223123732</v>
      </c>
      <c r="T1834" s="845">
        <v>2.7999999999999997E-2</v>
      </c>
      <c r="U1834" s="845">
        <v>1.2E-2</v>
      </c>
      <c r="V1834" s="845">
        <v>0</v>
      </c>
      <c r="W1834" s="845">
        <v>0.25114995400183993</v>
      </c>
      <c r="X1834" s="845">
        <v>0.38827838827838829</v>
      </c>
      <c r="Y1834" s="845">
        <v>0.93752487067250301</v>
      </c>
      <c r="Z1834" s="845">
        <v>6.366892160764027E-3</v>
      </c>
      <c r="AA1834" s="845">
        <v>1.5917230401910067E-3</v>
      </c>
      <c r="AB1834" s="845">
        <v>0</v>
      </c>
      <c r="AC1834" s="845">
        <v>0</v>
      </c>
      <c r="AD1834" s="845">
        <v>0</v>
      </c>
      <c r="AE1834" s="845">
        <v>5.451651412654198E-2</v>
      </c>
      <c r="AF1834" s="845">
        <v>5.1730998806207719E-2</v>
      </c>
      <c r="AG1834" s="845">
        <v>0.91165937126939911</v>
      </c>
      <c r="AH1834" s="20" t="str">
        <f t="shared" si="155"/>
        <v>Yes</v>
      </c>
      <c r="AI1834" s="25"/>
      <c r="AJ1834" s="37">
        <v>44672</v>
      </c>
      <c r="AK1834" s="37" t="s">
        <v>1432</v>
      </c>
      <c r="AL1834" s="37">
        <v>39099</v>
      </c>
      <c r="AM1834" s="37" t="s">
        <v>55</v>
      </c>
      <c r="AN1834" s="37">
        <f t="shared" si="156"/>
        <v>49660</v>
      </c>
      <c r="AO1834" s="37" t="str">
        <f t="shared" si="157"/>
        <v>Youngstown-Warren, OH</v>
      </c>
      <c r="AP1834" s="20" t="s">
        <v>8</v>
      </c>
      <c r="AQ1834" s="25"/>
      <c r="AR1834" s="25"/>
      <c r="AS1834" s="25"/>
      <c r="AT1834" s="25"/>
      <c r="AU1834" s="36"/>
      <c r="AV1834" s="36"/>
      <c r="AW1834" s="36"/>
      <c r="AX1834" s="25"/>
      <c r="AY1834" s="25"/>
      <c r="AZ1834" s="25"/>
      <c r="BA1834" s="25"/>
      <c r="BB1834" s="25"/>
      <c r="BC1834" s="25"/>
      <c r="BD1834" s="25"/>
      <c r="BE1834" s="25"/>
      <c r="BF1834" s="25"/>
      <c r="BG1834" s="25"/>
      <c r="BH1834" s="25"/>
      <c r="BI1834" s="25"/>
      <c r="BJ1834" s="25"/>
      <c r="BK1834" s="25"/>
      <c r="BL1834" s="25"/>
      <c r="BM1834" s="25"/>
      <c r="BN1834" s="25"/>
      <c r="BO1834" s="25"/>
      <c r="BP1834" s="25"/>
      <c r="BQ1834" s="25"/>
      <c r="BR1834" s="25"/>
      <c r="BS1834" s="25"/>
      <c r="BT1834" s="25"/>
      <c r="CD1834" s="25"/>
      <c r="CE1834" s="200"/>
      <c r="CF1834" s="200"/>
      <c r="CG1834" s="200"/>
      <c r="CH1834" s="200"/>
      <c r="CI1834" s="200"/>
      <c r="CJ1834" s="200"/>
      <c r="CK1834" s="200"/>
      <c r="CL1834" s="200"/>
      <c r="CM1834" s="200"/>
      <c r="CN1834" s="200"/>
      <c r="CO1834" s="200"/>
      <c r="CP1834" s="200"/>
      <c r="CQ1834" s="200"/>
      <c r="CR1834" s="200"/>
      <c r="CS1834" s="200"/>
      <c r="CT1834" s="200"/>
      <c r="CU1834" s="200"/>
    </row>
    <row r="1835" spans="1:99" s="17" customFormat="1" x14ac:dyDescent="0.2">
      <c r="A1835" s="25"/>
      <c r="B1835" s="20">
        <v>39161020700</v>
      </c>
      <c r="C1835" s="20">
        <v>207</v>
      </c>
      <c r="D1835" s="20" t="s">
        <v>86</v>
      </c>
      <c r="E1835" s="20" t="s">
        <v>265</v>
      </c>
      <c r="F1835" s="20" t="s">
        <v>8</v>
      </c>
      <c r="G1835" s="861">
        <v>46.4049021876842</v>
      </c>
      <c r="H1835" s="861">
        <v>49.255128170870897</v>
      </c>
      <c r="I1835" s="861">
        <v>38.380851215379501</v>
      </c>
      <c r="J1835" s="861">
        <v>31.538877624624899</v>
      </c>
      <c r="K1835" s="982">
        <v>0</v>
      </c>
      <c r="L1835" s="735">
        <v>1812</v>
      </c>
      <c r="M1835" s="735">
        <v>1566</v>
      </c>
      <c r="N1835" s="845">
        <f t="shared" si="153"/>
        <v>-0.13576158940397351</v>
      </c>
      <c r="O1835" s="735">
        <v>2.3493934109218748</v>
      </c>
      <c r="P1835" s="735">
        <f t="shared" si="154"/>
        <v>666.55503191588491</v>
      </c>
      <c r="Q1835" s="849">
        <v>39</v>
      </c>
      <c r="R1835" s="71">
        <v>53732</v>
      </c>
      <c r="S1835" s="845">
        <v>0.20051085568326948</v>
      </c>
      <c r="T1835" s="845">
        <v>2.6000000000000002E-2</v>
      </c>
      <c r="U1835" s="845">
        <v>0</v>
      </c>
      <c r="V1835" s="845">
        <v>8.1000000000000003E-2</v>
      </c>
      <c r="W1835" s="845">
        <v>0.26438356164383564</v>
      </c>
      <c r="X1835" s="845">
        <v>0.43523316062176165</v>
      </c>
      <c r="Y1835" s="845">
        <v>0.84482758620689657</v>
      </c>
      <c r="Z1835" s="845">
        <v>7.6628352490421452E-3</v>
      </c>
      <c r="AA1835" s="845">
        <v>0</v>
      </c>
      <c r="AB1835" s="845">
        <v>0</v>
      </c>
      <c r="AC1835" s="845">
        <v>0</v>
      </c>
      <c r="AD1835" s="845">
        <v>6.3218390804597707E-2</v>
      </c>
      <c r="AE1835" s="845">
        <v>8.4291187739463605E-2</v>
      </c>
      <c r="AF1835" s="845">
        <v>0.12196679438058748</v>
      </c>
      <c r="AG1835" s="845">
        <v>0.82375478927203061</v>
      </c>
      <c r="AH1835" s="20" t="str">
        <f t="shared" si="155"/>
        <v>No</v>
      </c>
      <c r="AI1835" s="25"/>
      <c r="AJ1835" s="37">
        <v>44062</v>
      </c>
      <c r="AK1835" s="37" t="s">
        <v>1180</v>
      </c>
      <c r="AL1835" s="37">
        <v>39155</v>
      </c>
      <c r="AM1835" s="37" t="s">
        <v>83</v>
      </c>
      <c r="AN1835" s="37">
        <f t="shared" si="156"/>
        <v>49660</v>
      </c>
      <c r="AO1835" s="37" t="str">
        <f t="shared" si="157"/>
        <v>Youngstown-Warren, OH</v>
      </c>
      <c r="AP1835" s="37" t="s">
        <v>8</v>
      </c>
      <c r="AQ1835" s="25"/>
      <c r="AR1835" s="25"/>
      <c r="AS1835" s="25"/>
      <c r="AT1835" s="25"/>
      <c r="AU1835" s="36"/>
      <c r="AV1835" s="36"/>
      <c r="AW1835" s="36"/>
      <c r="AX1835" s="25"/>
      <c r="AY1835" s="25"/>
      <c r="AZ1835" s="25"/>
      <c r="BA1835" s="25"/>
      <c r="BB1835" s="25"/>
      <c r="BC1835" s="25"/>
      <c r="BD1835" s="25"/>
      <c r="BE1835" s="25"/>
      <c r="BF1835" s="25"/>
      <c r="BG1835" s="25"/>
      <c r="BH1835" s="25"/>
      <c r="BI1835" s="25"/>
      <c r="BJ1835" s="25"/>
      <c r="BK1835" s="25"/>
      <c r="BL1835" s="25"/>
      <c r="BM1835" s="25"/>
      <c r="BN1835" s="25"/>
      <c r="BO1835" s="25"/>
      <c r="BP1835" s="25"/>
      <c r="BQ1835" s="25"/>
      <c r="BR1835" s="25"/>
      <c r="BS1835" s="25"/>
      <c r="BT1835" s="25"/>
      <c r="CD1835" s="25"/>
      <c r="CE1835" s="200"/>
      <c r="CF1835" s="200"/>
      <c r="CG1835" s="200"/>
      <c r="CH1835" s="200"/>
      <c r="CI1835" s="200"/>
      <c r="CJ1835" s="200"/>
      <c r="CK1835" s="200"/>
      <c r="CL1835" s="200"/>
      <c r="CM1835" s="200"/>
      <c r="CN1835" s="200"/>
      <c r="CO1835" s="200"/>
      <c r="CP1835" s="200"/>
      <c r="CQ1835" s="200"/>
      <c r="CR1835" s="200"/>
      <c r="CS1835" s="200"/>
      <c r="CT1835" s="200"/>
      <c r="CU1835" s="200"/>
    </row>
    <row r="1836" spans="1:99" s="17" customFormat="1" x14ac:dyDescent="0.2">
      <c r="A1836" s="25"/>
      <c r="B1836" s="20">
        <v>39061025200</v>
      </c>
      <c r="C1836" s="20">
        <v>252</v>
      </c>
      <c r="D1836" s="20" t="s">
        <v>37</v>
      </c>
      <c r="E1836" s="20" t="s">
        <v>2828</v>
      </c>
      <c r="F1836" s="20" t="s">
        <v>6</v>
      </c>
      <c r="G1836" s="861">
        <v>46.399229700698299</v>
      </c>
      <c r="H1836" s="861">
        <v>61.556697914107403</v>
      </c>
      <c r="I1836" s="861">
        <v>41.665044281021302</v>
      </c>
      <c r="J1836" s="861">
        <v>38.167751423097101</v>
      </c>
      <c r="K1836" s="982">
        <v>0</v>
      </c>
      <c r="L1836" s="735">
        <v>3962</v>
      </c>
      <c r="M1836" s="735">
        <v>3872</v>
      </c>
      <c r="N1836" s="845">
        <f t="shared" si="153"/>
        <v>-2.271580010095911E-2</v>
      </c>
      <c r="O1836" s="735">
        <v>0.58860154381172047</v>
      </c>
      <c r="P1836" s="735">
        <f t="shared" si="154"/>
        <v>6578.3041867769207</v>
      </c>
      <c r="Q1836" s="849">
        <v>38</v>
      </c>
      <c r="R1836" s="71">
        <v>51950</v>
      </c>
      <c r="S1836" s="845">
        <v>0.11182851239669421</v>
      </c>
      <c r="T1836" s="845">
        <v>1.8000000000000002E-2</v>
      </c>
      <c r="U1836" s="845">
        <v>4.2000000000000003E-2</v>
      </c>
      <c r="V1836" s="845">
        <v>2.1000000000000001E-2</v>
      </c>
      <c r="W1836" s="845">
        <v>0.48656716417910445</v>
      </c>
      <c r="X1836" s="845">
        <v>0.40593047034764829</v>
      </c>
      <c r="Y1836" s="845">
        <v>0.77221074380165289</v>
      </c>
      <c r="Z1836" s="845">
        <v>0.14462809917355371</v>
      </c>
      <c r="AA1836" s="845">
        <v>0</v>
      </c>
      <c r="AB1836" s="845">
        <v>2.5826446280991736E-3</v>
      </c>
      <c r="AC1836" s="845">
        <v>0</v>
      </c>
      <c r="AD1836" s="845">
        <v>8.0061983471074374E-3</v>
      </c>
      <c r="AE1836" s="845">
        <v>7.2572314049586778E-2</v>
      </c>
      <c r="AF1836" s="845">
        <v>5.6043388429752067E-2</v>
      </c>
      <c r="AG1836" s="845">
        <v>0.75568181818181823</v>
      </c>
      <c r="AH1836" s="20" t="str">
        <f t="shared" si="155"/>
        <v>No</v>
      </c>
      <c r="AI1836" s="25"/>
      <c r="AJ1836" s="37">
        <v>44076</v>
      </c>
      <c r="AK1836" s="37" t="s">
        <v>1188</v>
      </c>
      <c r="AL1836" s="37">
        <v>39155</v>
      </c>
      <c r="AM1836" s="37" t="s">
        <v>83</v>
      </c>
      <c r="AN1836" s="37">
        <f t="shared" si="156"/>
        <v>49660</v>
      </c>
      <c r="AO1836" s="37" t="str">
        <f t="shared" si="157"/>
        <v>Youngstown-Warren, OH</v>
      </c>
      <c r="AP1836" s="37" t="s">
        <v>8</v>
      </c>
      <c r="AQ1836" s="25"/>
      <c r="AR1836" s="25"/>
      <c r="AS1836" s="25"/>
      <c r="AT1836" s="25"/>
      <c r="AU1836" s="36"/>
      <c r="AV1836" s="36"/>
      <c r="AW1836" s="36"/>
      <c r="AX1836" s="25"/>
      <c r="AY1836" s="25"/>
      <c r="AZ1836" s="25"/>
      <c r="BA1836" s="25"/>
      <c r="BB1836" s="25"/>
      <c r="BC1836" s="25"/>
      <c r="BD1836" s="25"/>
      <c r="BE1836" s="25"/>
      <c r="BF1836" s="25"/>
      <c r="BG1836" s="25"/>
      <c r="BH1836" s="25"/>
      <c r="BI1836" s="25"/>
      <c r="BJ1836" s="25"/>
      <c r="BK1836" s="25"/>
      <c r="BL1836" s="25"/>
      <c r="BM1836" s="25"/>
      <c r="BN1836" s="25"/>
      <c r="BO1836" s="25"/>
      <c r="BP1836" s="25"/>
      <c r="BQ1836" s="25"/>
      <c r="BR1836" s="25"/>
      <c r="BS1836" s="25"/>
      <c r="BT1836" s="25"/>
      <c r="CD1836" s="25"/>
      <c r="CE1836" s="200"/>
      <c r="CF1836" s="200"/>
      <c r="CG1836" s="200"/>
      <c r="CH1836" s="200"/>
      <c r="CI1836" s="200"/>
      <c r="CJ1836" s="200"/>
      <c r="CK1836" s="200"/>
      <c r="CL1836" s="200"/>
      <c r="CM1836" s="200"/>
      <c r="CN1836" s="200"/>
      <c r="CO1836" s="200"/>
      <c r="CP1836" s="200"/>
      <c r="CQ1836" s="200"/>
      <c r="CR1836" s="200"/>
      <c r="CS1836" s="200"/>
      <c r="CT1836" s="200"/>
      <c r="CU1836" s="200"/>
    </row>
    <row r="1837" spans="1:99" s="17" customFormat="1" x14ac:dyDescent="0.2">
      <c r="A1837" s="25"/>
      <c r="B1837" s="20">
        <v>39073965200</v>
      </c>
      <c r="C1837" s="20">
        <v>9652</v>
      </c>
      <c r="D1837" s="20" t="s">
        <v>43</v>
      </c>
      <c r="E1837" s="20" t="s">
        <v>2830</v>
      </c>
      <c r="F1837" s="20" t="s">
        <v>8</v>
      </c>
      <c r="G1837" s="861">
        <v>46.349486312977</v>
      </c>
      <c r="H1837" s="861">
        <v>44.395051323803202</v>
      </c>
      <c r="I1837" s="861">
        <v>30.844689174710499</v>
      </c>
      <c r="J1837" s="861">
        <v>48.718575918935798</v>
      </c>
      <c r="K1837" s="982">
        <v>0</v>
      </c>
      <c r="L1837" s="735">
        <v>4691</v>
      </c>
      <c r="M1837" s="735">
        <v>3774</v>
      </c>
      <c r="N1837" s="845">
        <f t="shared" si="153"/>
        <v>-0.19548070773822213</v>
      </c>
      <c r="O1837" s="735">
        <v>19.796783931954035</v>
      </c>
      <c r="P1837" s="735">
        <f t="shared" si="154"/>
        <v>190.63702533563432</v>
      </c>
      <c r="Q1837" s="849">
        <v>44.2</v>
      </c>
      <c r="R1837" s="71">
        <v>57823</v>
      </c>
      <c r="S1837" s="845">
        <v>0.14654255319148937</v>
      </c>
      <c r="T1837" s="845">
        <v>5.4000000000000006E-2</v>
      </c>
      <c r="U1837" s="845">
        <v>0</v>
      </c>
      <c r="V1837" s="845">
        <v>0</v>
      </c>
      <c r="W1837" s="845">
        <v>0.33143831722569644</v>
      </c>
      <c r="X1837" s="845">
        <v>0.32418524871355059</v>
      </c>
      <c r="Y1837" s="845">
        <v>0.83227344992050878</v>
      </c>
      <c r="Z1837" s="845">
        <v>1.8547959724430313E-3</v>
      </c>
      <c r="AA1837" s="845">
        <v>0</v>
      </c>
      <c r="AB1837" s="845">
        <v>0</v>
      </c>
      <c r="AC1837" s="845">
        <v>0</v>
      </c>
      <c r="AD1837" s="845">
        <v>6.8097509273979867E-2</v>
      </c>
      <c r="AE1837" s="845">
        <v>9.7774244833068361E-2</v>
      </c>
      <c r="AF1837" s="845">
        <v>1.0598834128245893E-2</v>
      </c>
      <c r="AG1837" s="845">
        <v>0.82167461579226286</v>
      </c>
      <c r="AH1837" s="20" t="str">
        <f t="shared" si="155"/>
        <v>No</v>
      </c>
      <c r="AI1837" s="25"/>
      <c r="AJ1837" s="37">
        <v>44288</v>
      </c>
      <c r="AK1837" s="37" t="s">
        <v>1295</v>
      </c>
      <c r="AL1837" s="37">
        <v>39155</v>
      </c>
      <c r="AM1837" s="37" t="s">
        <v>83</v>
      </c>
      <c r="AN1837" s="37">
        <f t="shared" si="156"/>
        <v>49660</v>
      </c>
      <c r="AO1837" s="37" t="str">
        <f t="shared" si="157"/>
        <v>Youngstown-Warren, OH</v>
      </c>
      <c r="AP1837" s="37" t="s">
        <v>8</v>
      </c>
      <c r="AQ1837" s="25"/>
      <c r="AR1837" s="25"/>
      <c r="AS1837" s="25"/>
      <c r="AT1837" s="25"/>
      <c r="AU1837" s="36"/>
      <c r="AV1837" s="36"/>
      <c r="AW1837" s="36"/>
      <c r="AX1837" s="25"/>
      <c r="AY1837" s="25"/>
      <c r="AZ1837" s="25"/>
      <c r="BA1837" s="25"/>
      <c r="BB1837" s="25"/>
      <c r="BC1837" s="25"/>
      <c r="BD1837" s="25"/>
      <c r="BE1837" s="25"/>
      <c r="BF1837" s="25"/>
      <c r="BG1837" s="25"/>
      <c r="BH1837" s="25"/>
      <c r="BI1837" s="25"/>
      <c r="BJ1837" s="25"/>
      <c r="BK1837" s="25"/>
      <c r="BL1837" s="25"/>
      <c r="BM1837" s="25"/>
      <c r="BN1837" s="25"/>
      <c r="BO1837" s="25"/>
      <c r="BP1837" s="25"/>
      <c r="BQ1837" s="25"/>
      <c r="BR1837" s="25"/>
      <c r="BS1837" s="25"/>
      <c r="BT1837" s="25"/>
      <c r="CD1837" s="25"/>
      <c r="CE1837" s="200"/>
      <c r="CF1837" s="200"/>
      <c r="CG1837" s="200"/>
      <c r="CH1837" s="200"/>
      <c r="CI1837" s="200"/>
      <c r="CJ1837" s="200"/>
      <c r="CK1837" s="200"/>
      <c r="CL1837" s="200"/>
      <c r="CM1837" s="200"/>
      <c r="CN1837" s="200"/>
      <c r="CO1837" s="200"/>
      <c r="CP1837" s="200"/>
      <c r="CQ1837" s="200"/>
      <c r="CR1837" s="200"/>
      <c r="CS1837" s="200"/>
      <c r="CT1837" s="200"/>
      <c r="CU1837" s="200"/>
    </row>
    <row r="1838" spans="1:99" s="17" customFormat="1" x14ac:dyDescent="0.2">
      <c r="A1838" s="25"/>
      <c r="B1838" s="20">
        <v>39029951700</v>
      </c>
      <c r="C1838" s="20">
        <v>9517</v>
      </c>
      <c r="D1838" s="20" t="s">
        <v>21</v>
      </c>
      <c r="E1838" s="20" t="s">
        <v>265</v>
      </c>
      <c r="F1838" s="20" t="s">
        <v>8</v>
      </c>
      <c r="G1838" s="861">
        <v>46.347690647598697</v>
      </c>
      <c r="H1838" s="861">
        <v>54.051115404120601</v>
      </c>
      <c r="I1838" s="861">
        <v>24.415545572333301</v>
      </c>
      <c r="J1838" s="861">
        <v>48.756327219344698</v>
      </c>
      <c r="K1838" s="982">
        <v>0</v>
      </c>
      <c r="L1838" s="735">
        <v>4912</v>
      </c>
      <c r="M1838" s="735">
        <v>5056</v>
      </c>
      <c r="N1838" s="845">
        <f t="shared" si="153"/>
        <v>2.9315960912052116E-2</v>
      </c>
      <c r="O1838" s="735">
        <v>25.865352717777537</v>
      </c>
      <c r="P1838" s="735">
        <f t="shared" si="154"/>
        <v>195.47384700943809</v>
      </c>
      <c r="Q1838" s="849">
        <v>48.5</v>
      </c>
      <c r="R1838" s="71">
        <v>85595</v>
      </c>
      <c r="S1838" s="845">
        <v>0.10600281068058623</v>
      </c>
      <c r="T1838" s="845">
        <v>7.6999999999999999E-2</v>
      </c>
      <c r="U1838" s="845">
        <v>0</v>
      </c>
      <c r="V1838" s="845">
        <v>0</v>
      </c>
      <c r="W1838" s="845">
        <v>0.19544131910766246</v>
      </c>
      <c r="X1838" s="845">
        <v>0.22332506203473945</v>
      </c>
      <c r="Y1838" s="845">
        <v>0.93868670886075944</v>
      </c>
      <c r="Z1838" s="845">
        <v>2.946993670886076E-2</v>
      </c>
      <c r="AA1838" s="845">
        <v>0</v>
      </c>
      <c r="AB1838" s="845">
        <v>0</v>
      </c>
      <c r="AC1838" s="845">
        <v>0</v>
      </c>
      <c r="AD1838" s="845">
        <v>2.1954113924050632E-2</v>
      </c>
      <c r="AE1838" s="845">
        <v>9.8892405063291146E-3</v>
      </c>
      <c r="AF1838" s="845">
        <v>0</v>
      </c>
      <c r="AG1838" s="845">
        <v>0.93868670886075944</v>
      </c>
      <c r="AH1838" s="20" t="str">
        <f t="shared" si="155"/>
        <v>Yes</v>
      </c>
      <c r="AI1838" s="25"/>
      <c r="AJ1838" s="37">
        <v>44402</v>
      </c>
      <c r="AK1838" s="37" t="s">
        <v>1315</v>
      </c>
      <c r="AL1838" s="37">
        <v>39155</v>
      </c>
      <c r="AM1838" s="37" t="s">
        <v>83</v>
      </c>
      <c r="AN1838" s="37">
        <f t="shared" si="156"/>
        <v>49660</v>
      </c>
      <c r="AO1838" s="37" t="str">
        <f t="shared" si="157"/>
        <v>Youngstown-Warren, OH</v>
      </c>
      <c r="AP1838" s="37" t="s">
        <v>8</v>
      </c>
      <c r="AQ1838" s="25"/>
      <c r="AR1838" s="25"/>
      <c r="AS1838" s="25"/>
      <c r="AT1838" s="25"/>
      <c r="AU1838" s="36"/>
      <c r="AV1838" s="36"/>
      <c r="AW1838" s="36"/>
      <c r="AX1838" s="25"/>
      <c r="AY1838" s="25"/>
      <c r="AZ1838" s="25"/>
      <c r="BA1838" s="25"/>
      <c r="BB1838" s="25"/>
      <c r="BC1838" s="25"/>
      <c r="BD1838" s="25"/>
      <c r="BE1838" s="25"/>
      <c r="BF1838" s="25"/>
      <c r="BG1838" s="25"/>
      <c r="BH1838" s="25"/>
      <c r="BI1838" s="25"/>
      <c r="BJ1838" s="25"/>
      <c r="BK1838" s="25"/>
      <c r="BL1838" s="25"/>
      <c r="BM1838" s="25"/>
      <c r="BN1838" s="25"/>
      <c r="BO1838" s="25"/>
      <c r="BP1838" s="25"/>
      <c r="BQ1838" s="25"/>
      <c r="BR1838" s="25"/>
      <c r="BS1838" s="25"/>
      <c r="BT1838" s="25"/>
      <c r="CD1838" s="25"/>
      <c r="CE1838" s="200"/>
      <c r="CF1838" s="200"/>
      <c r="CG1838" s="200"/>
      <c r="CH1838" s="200"/>
      <c r="CI1838" s="200"/>
      <c r="CJ1838" s="200"/>
      <c r="CK1838" s="200"/>
      <c r="CL1838" s="200"/>
      <c r="CM1838" s="200"/>
      <c r="CN1838" s="200"/>
      <c r="CO1838" s="200"/>
      <c r="CP1838" s="200"/>
      <c r="CQ1838" s="200"/>
      <c r="CR1838" s="200"/>
      <c r="CS1838" s="200"/>
      <c r="CT1838" s="200"/>
      <c r="CU1838" s="200"/>
    </row>
    <row r="1839" spans="1:99" s="17" customFormat="1" x14ac:dyDescent="0.2">
      <c r="A1839" s="25"/>
      <c r="B1839" s="20">
        <v>39119912800</v>
      </c>
      <c r="C1839" s="20">
        <v>9128</v>
      </c>
      <c r="D1839" s="20" t="s">
        <v>65</v>
      </c>
      <c r="E1839" s="20" t="s">
        <v>265</v>
      </c>
      <c r="F1839" s="20" t="s">
        <v>8</v>
      </c>
      <c r="G1839" s="861">
        <v>46.333435780905397</v>
      </c>
      <c r="H1839" s="861">
        <v>49.872191724319599</v>
      </c>
      <c r="I1839" s="861">
        <v>27.401639147523301</v>
      </c>
      <c r="J1839" s="861">
        <v>49.8870555066352</v>
      </c>
      <c r="K1839" s="982">
        <v>0</v>
      </c>
      <c r="L1839" s="735">
        <v>5800</v>
      </c>
      <c r="M1839" s="735">
        <v>5820</v>
      </c>
      <c r="N1839" s="845">
        <f t="shared" si="153"/>
        <v>3.4482758620689655E-3</v>
      </c>
      <c r="O1839" s="735">
        <v>65.292003213095839</v>
      </c>
      <c r="P1839" s="735">
        <f t="shared" si="154"/>
        <v>89.138021711557215</v>
      </c>
      <c r="Q1839" s="849">
        <v>35.9</v>
      </c>
      <c r="R1839" s="71">
        <v>78673</v>
      </c>
      <c r="S1839" s="845">
        <v>9.6242171189979117E-2</v>
      </c>
      <c r="T1839" s="845">
        <v>4.2000000000000003E-2</v>
      </c>
      <c r="U1839" s="845">
        <v>0</v>
      </c>
      <c r="V1839" s="845">
        <v>0.03</v>
      </c>
      <c r="W1839" s="845">
        <v>0.21195097037793667</v>
      </c>
      <c r="X1839" s="845">
        <v>0.35903614457831323</v>
      </c>
      <c r="Y1839" s="845">
        <v>0.93608247422680413</v>
      </c>
      <c r="Z1839" s="845">
        <v>2.027491408934708E-2</v>
      </c>
      <c r="AA1839" s="845">
        <v>0</v>
      </c>
      <c r="AB1839" s="845">
        <v>1.718213058419244E-3</v>
      </c>
      <c r="AC1839" s="845">
        <v>0</v>
      </c>
      <c r="AD1839" s="845">
        <v>1.1855670103092783E-2</v>
      </c>
      <c r="AE1839" s="845">
        <v>3.006872852233677E-2</v>
      </c>
      <c r="AF1839" s="845">
        <v>1.9415807560137457E-2</v>
      </c>
      <c r="AG1839" s="845">
        <v>0.92920962199312718</v>
      </c>
      <c r="AH1839" s="20" t="str">
        <f t="shared" si="155"/>
        <v>Yes</v>
      </c>
      <c r="AI1839" s="25"/>
      <c r="AJ1839" s="37">
        <v>44403</v>
      </c>
      <c r="AK1839" s="37" t="s">
        <v>1316</v>
      </c>
      <c r="AL1839" s="37">
        <v>39155</v>
      </c>
      <c r="AM1839" s="37" t="s">
        <v>83</v>
      </c>
      <c r="AN1839" s="37">
        <f t="shared" si="156"/>
        <v>49660</v>
      </c>
      <c r="AO1839" s="37" t="str">
        <f t="shared" si="157"/>
        <v>Youngstown-Warren, OH</v>
      </c>
      <c r="AP1839" s="37" t="s">
        <v>8</v>
      </c>
      <c r="AQ1839" s="25"/>
      <c r="AR1839" s="25"/>
      <c r="AS1839" s="25"/>
      <c r="AT1839" s="25"/>
      <c r="AU1839" s="36"/>
      <c r="AV1839" s="36"/>
      <c r="AW1839" s="36"/>
      <c r="AX1839" s="25"/>
      <c r="AY1839" s="25"/>
      <c r="AZ1839" s="25"/>
      <c r="BA1839" s="25"/>
      <c r="BB1839" s="25"/>
      <c r="BC1839" s="25"/>
      <c r="BD1839" s="25"/>
      <c r="BE1839" s="25"/>
      <c r="BF1839" s="25"/>
      <c r="BG1839" s="25"/>
      <c r="BH1839" s="25"/>
      <c r="BI1839" s="25"/>
      <c r="BJ1839" s="25"/>
      <c r="BK1839" s="25"/>
      <c r="BL1839" s="25"/>
      <c r="BM1839" s="25"/>
      <c r="BN1839" s="25"/>
      <c r="BO1839" s="25"/>
      <c r="BP1839" s="25"/>
      <c r="BQ1839" s="25"/>
      <c r="BR1839" s="25"/>
      <c r="BS1839" s="25"/>
      <c r="BT1839" s="25"/>
      <c r="CD1839" s="25"/>
      <c r="CE1839" s="200"/>
      <c r="CF1839" s="200"/>
      <c r="CG1839" s="200"/>
      <c r="CH1839" s="200"/>
      <c r="CI1839" s="200"/>
      <c r="CJ1839" s="200"/>
      <c r="CK1839" s="200"/>
      <c r="CL1839" s="200"/>
      <c r="CM1839" s="200"/>
      <c r="CN1839" s="200"/>
      <c r="CO1839" s="200"/>
      <c r="CP1839" s="200"/>
      <c r="CQ1839" s="200"/>
      <c r="CR1839" s="200"/>
      <c r="CS1839" s="200"/>
      <c r="CT1839" s="200"/>
      <c r="CU1839" s="200"/>
    </row>
    <row r="1840" spans="1:99" s="17" customFormat="1" x14ac:dyDescent="0.2">
      <c r="A1840" s="25"/>
      <c r="B1840" s="20">
        <v>39017001300</v>
      </c>
      <c r="C1840" s="20">
        <v>13</v>
      </c>
      <c r="D1840" s="20" t="s">
        <v>15</v>
      </c>
      <c r="E1840" s="20" t="s">
        <v>2828</v>
      </c>
      <c r="F1840" s="20" t="s">
        <v>8</v>
      </c>
      <c r="G1840" s="861">
        <v>46.317606232403499</v>
      </c>
      <c r="H1840" s="861">
        <v>49.245437128137702</v>
      </c>
      <c r="I1840" s="861">
        <v>26.730413221915299</v>
      </c>
      <c r="J1840" s="861">
        <v>37.286490885356301</v>
      </c>
      <c r="K1840" s="982">
        <v>0</v>
      </c>
      <c r="L1840" s="735">
        <v>4507</v>
      </c>
      <c r="M1840" s="735">
        <v>4514</v>
      </c>
      <c r="N1840" s="845">
        <f t="shared" si="153"/>
        <v>1.5531395606833815E-3</v>
      </c>
      <c r="O1840" s="735">
        <v>1.7333392314299081</v>
      </c>
      <c r="P1840" s="735">
        <f t="shared" si="154"/>
        <v>2604.2219077198188</v>
      </c>
      <c r="Q1840" s="849">
        <v>39.200000000000003</v>
      </c>
      <c r="R1840" s="71">
        <v>75800</v>
      </c>
      <c r="S1840" s="845">
        <v>0.139555958314454</v>
      </c>
      <c r="T1840" s="845">
        <v>7.5999999999999998E-2</v>
      </c>
      <c r="U1840" s="845">
        <v>0</v>
      </c>
      <c r="V1840" s="845">
        <v>0</v>
      </c>
      <c r="W1840" s="845">
        <v>0.1805210918114144</v>
      </c>
      <c r="X1840" s="845">
        <v>0.30927835051546393</v>
      </c>
      <c r="Y1840" s="845">
        <v>0.80261408949933544</v>
      </c>
      <c r="Z1840" s="845">
        <v>8.3961010190518381E-2</v>
      </c>
      <c r="AA1840" s="845">
        <v>0</v>
      </c>
      <c r="AB1840" s="845">
        <v>0</v>
      </c>
      <c r="AC1840" s="845">
        <v>0</v>
      </c>
      <c r="AD1840" s="845">
        <v>0</v>
      </c>
      <c r="AE1840" s="845">
        <v>0.11342490031014621</v>
      </c>
      <c r="AF1840" s="845">
        <v>4.6743464776251659E-2</v>
      </c>
      <c r="AG1840" s="845">
        <v>0.7959680992467878</v>
      </c>
      <c r="AH1840" s="20" t="str">
        <f t="shared" si="155"/>
        <v>No</v>
      </c>
      <c r="AI1840" s="25"/>
      <c r="AJ1840" s="37">
        <v>44404</v>
      </c>
      <c r="AK1840" s="37" t="s">
        <v>1317</v>
      </c>
      <c r="AL1840" s="37">
        <v>39155</v>
      </c>
      <c r="AM1840" s="37" t="s">
        <v>83</v>
      </c>
      <c r="AN1840" s="37">
        <f t="shared" si="156"/>
        <v>49660</v>
      </c>
      <c r="AO1840" s="37" t="str">
        <f t="shared" si="157"/>
        <v>Youngstown-Warren, OH</v>
      </c>
      <c r="AP1840" s="37" t="s">
        <v>8</v>
      </c>
      <c r="AQ1840" s="25"/>
      <c r="AR1840" s="25"/>
      <c r="AS1840" s="25"/>
      <c r="AT1840" s="25"/>
      <c r="AU1840" s="36"/>
      <c r="AV1840" s="36"/>
      <c r="AW1840" s="36"/>
      <c r="AX1840" s="25"/>
      <c r="AY1840" s="25"/>
      <c r="AZ1840" s="25"/>
      <c r="BA1840" s="25"/>
      <c r="BB1840" s="25"/>
      <c r="BC1840" s="25"/>
      <c r="BD1840" s="25"/>
      <c r="BE1840" s="25"/>
      <c r="BF1840" s="25"/>
      <c r="BG1840" s="25"/>
      <c r="BH1840" s="25"/>
      <c r="BI1840" s="25"/>
      <c r="BJ1840" s="25"/>
      <c r="BK1840" s="25"/>
      <c r="BL1840" s="25"/>
      <c r="BM1840" s="25"/>
      <c r="BN1840" s="25"/>
      <c r="BO1840" s="25"/>
      <c r="BP1840" s="25"/>
      <c r="BQ1840" s="25"/>
      <c r="BR1840" s="25"/>
      <c r="BS1840" s="25"/>
      <c r="BT1840" s="25"/>
      <c r="CD1840" s="25"/>
      <c r="CE1840" s="200"/>
      <c r="CF1840" s="200"/>
      <c r="CG1840" s="200"/>
      <c r="CH1840" s="200"/>
      <c r="CI1840" s="200"/>
      <c r="CJ1840" s="200"/>
      <c r="CK1840" s="200"/>
      <c r="CL1840" s="200"/>
      <c r="CM1840" s="200"/>
      <c r="CN1840" s="200"/>
      <c r="CO1840" s="200"/>
      <c r="CP1840" s="200"/>
      <c r="CQ1840" s="200"/>
      <c r="CR1840" s="200"/>
      <c r="CS1840" s="200"/>
      <c r="CT1840" s="200"/>
      <c r="CU1840" s="200"/>
    </row>
    <row r="1841" spans="1:99" s="17" customFormat="1" x14ac:dyDescent="0.2">
      <c r="A1841" s="25"/>
      <c r="B1841" s="20">
        <v>39003013900</v>
      </c>
      <c r="C1841" s="20">
        <v>139</v>
      </c>
      <c r="D1841" s="20" t="s">
        <v>7</v>
      </c>
      <c r="E1841" s="20" t="s">
        <v>2835</v>
      </c>
      <c r="F1841" s="20" t="s">
        <v>8</v>
      </c>
      <c r="G1841" s="861">
        <v>46.306052895075098</v>
      </c>
      <c r="H1841" s="861">
        <v>42.8912484458669</v>
      </c>
      <c r="I1841" s="861">
        <v>27.161953264046399</v>
      </c>
      <c r="J1841" s="861">
        <v>34.515699939644897</v>
      </c>
      <c r="K1841" s="982">
        <v>0</v>
      </c>
      <c r="L1841" s="735">
        <v>3395</v>
      </c>
      <c r="M1841" s="735">
        <v>3330</v>
      </c>
      <c r="N1841" s="845">
        <f t="shared" si="153"/>
        <v>-1.9145802650957292E-2</v>
      </c>
      <c r="O1841" s="735">
        <v>26.846328649748127</v>
      </c>
      <c r="P1841" s="735">
        <f t="shared" si="154"/>
        <v>124.03930695496578</v>
      </c>
      <c r="Q1841" s="849">
        <v>38.799999999999997</v>
      </c>
      <c r="R1841" s="71">
        <v>53836</v>
      </c>
      <c r="S1841" s="845">
        <v>0.12989752863170584</v>
      </c>
      <c r="T1841" s="845">
        <v>5.7999999999999996E-2</v>
      </c>
      <c r="U1841" s="845">
        <v>0</v>
      </c>
      <c r="V1841" s="845">
        <v>0</v>
      </c>
      <c r="W1841" s="845">
        <v>0.30676020408163263</v>
      </c>
      <c r="X1841" s="845">
        <v>0.3180873180873181</v>
      </c>
      <c r="Y1841" s="845">
        <v>0.942042042042042</v>
      </c>
      <c r="Z1841" s="845">
        <v>2.2822822822822823E-2</v>
      </c>
      <c r="AA1841" s="845">
        <v>6.0060060060060057E-4</v>
      </c>
      <c r="AB1841" s="845">
        <v>0</v>
      </c>
      <c r="AC1841" s="845">
        <v>0</v>
      </c>
      <c r="AD1841" s="845">
        <v>0</v>
      </c>
      <c r="AE1841" s="845">
        <v>3.4534534534534533E-2</v>
      </c>
      <c r="AF1841" s="845">
        <v>0</v>
      </c>
      <c r="AG1841" s="845">
        <v>0.942042042042042</v>
      </c>
      <c r="AH1841" s="20" t="str">
        <f t="shared" si="155"/>
        <v>Yes</v>
      </c>
      <c r="AI1841" s="25"/>
      <c r="AJ1841" s="37">
        <v>44410</v>
      </c>
      <c r="AK1841" s="37" t="s">
        <v>1321</v>
      </c>
      <c r="AL1841" s="37">
        <v>39155</v>
      </c>
      <c r="AM1841" s="37" t="s">
        <v>83</v>
      </c>
      <c r="AN1841" s="37">
        <f t="shared" si="156"/>
        <v>49660</v>
      </c>
      <c r="AO1841" s="37" t="str">
        <f t="shared" si="157"/>
        <v>Youngstown-Warren, OH</v>
      </c>
      <c r="AP1841" s="37" t="s">
        <v>8</v>
      </c>
      <c r="AQ1841" s="25"/>
      <c r="AR1841" s="25"/>
      <c r="AS1841" s="25"/>
      <c r="AT1841" s="25"/>
      <c r="AU1841" s="36"/>
      <c r="AV1841" s="36"/>
      <c r="AW1841" s="36"/>
      <c r="AX1841" s="25"/>
      <c r="AY1841" s="25"/>
      <c r="AZ1841" s="25"/>
      <c r="BA1841" s="25"/>
      <c r="BB1841" s="25"/>
      <c r="BC1841" s="25"/>
      <c r="BD1841" s="25"/>
      <c r="BE1841" s="25"/>
      <c r="BF1841" s="25"/>
      <c r="BG1841" s="25"/>
      <c r="BH1841" s="25"/>
      <c r="BI1841" s="25"/>
      <c r="BJ1841" s="25"/>
      <c r="BK1841" s="25"/>
      <c r="BL1841" s="25"/>
      <c r="BM1841" s="25"/>
      <c r="BN1841" s="25"/>
      <c r="BO1841" s="25"/>
      <c r="BP1841" s="25"/>
      <c r="BQ1841" s="25"/>
      <c r="BR1841" s="25"/>
      <c r="BS1841" s="25"/>
      <c r="BT1841" s="25"/>
      <c r="CD1841" s="25"/>
      <c r="CE1841" s="200"/>
      <c r="CF1841" s="200"/>
      <c r="CG1841" s="200"/>
      <c r="CH1841" s="200"/>
      <c r="CI1841" s="200"/>
      <c r="CJ1841" s="200"/>
      <c r="CK1841" s="200"/>
      <c r="CL1841" s="200"/>
      <c r="CM1841" s="200"/>
      <c r="CN1841" s="200"/>
      <c r="CO1841" s="200"/>
      <c r="CP1841" s="200"/>
      <c r="CQ1841" s="200"/>
      <c r="CR1841" s="200"/>
      <c r="CS1841" s="200"/>
      <c r="CT1841" s="200"/>
      <c r="CU1841" s="200"/>
    </row>
    <row r="1842" spans="1:99" s="17" customFormat="1" x14ac:dyDescent="0.2">
      <c r="A1842" s="25"/>
      <c r="B1842" s="20">
        <v>39171950400</v>
      </c>
      <c r="C1842" s="20">
        <v>9504</v>
      </c>
      <c r="D1842" s="20" t="s">
        <v>91</v>
      </c>
      <c r="E1842" s="20" t="s">
        <v>265</v>
      </c>
      <c r="F1842" s="20" t="s">
        <v>8</v>
      </c>
      <c r="G1842" s="861">
        <v>46.300467548068703</v>
      </c>
      <c r="H1842" s="861">
        <v>53.989384672766398</v>
      </c>
      <c r="I1842" s="861">
        <v>21.158026609514501</v>
      </c>
      <c r="J1842" s="861">
        <v>34.867756944906098</v>
      </c>
      <c r="K1842" s="982">
        <v>0</v>
      </c>
      <c r="L1842" s="735">
        <v>4644</v>
      </c>
      <c r="M1842" s="735">
        <v>4765</v>
      </c>
      <c r="N1842" s="845">
        <f t="shared" si="153"/>
        <v>2.6055124892334195E-2</v>
      </c>
      <c r="O1842" s="735">
        <v>72.874244584852562</v>
      </c>
      <c r="P1842" s="735">
        <f t="shared" si="154"/>
        <v>65.386612611150682</v>
      </c>
      <c r="Q1842" s="849">
        <v>38.200000000000003</v>
      </c>
      <c r="R1842" s="71">
        <v>65458</v>
      </c>
      <c r="S1842" s="845">
        <v>0.11681944148369218</v>
      </c>
      <c r="T1842" s="845">
        <v>5.5E-2</v>
      </c>
      <c r="U1842" s="845">
        <v>0</v>
      </c>
      <c r="V1842" s="845">
        <v>2.7999999999999997E-2</v>
      </c>
      <c r="W1842" s="845">
        <v>0.21577847439916406</v>
      </c>
      <c r="X1842" s="845">
        <v>0.26634382566585957</v>
      </c>
      <c r="Y1842" s="845">
        <v>0.91500524658971671</v>
      </c>
      <c r="Z1842" s="845">
        <v>0</v>
      </c>
      <c r="AA1842" s="845">
        <v>0</v>
      </c>
      <c r="AB1842" s="845">
        <v>2.7282266526757609E-3</v>
      </c>
      <c r="AC1842" s="845">
        <v>0</v>
      </c>
      <c r="AD1842" s="845">
        <v>2.5183630640083946E-2</v>
      </c>
      <c r="AE1842" s="845">
        <v>5.708289611752361E-2</v>
      </c>
      <c r="AF1842" s="845">
        <v>7.9328436516264422E-2</v>
      </c>
      <c r="AG1842" s="845">
        <v>0.90052465897166845</v>
      </c>
      <c r="AH1842" s="20" t="str">
        <f t="shared" si="155"/>
        <v>Yes</v>
      </c>
      <c r="AI1842" s="25"/>
      <c r="AJ1842" s="37">
        <v>44417</v>
      </c>
      <c r="AK1842" s="37" t="s">
        <v>1326</v>
      </c>
      <c r="AL1842" s="37">
        <v>39155</v>
      </c>
      <c r="AM1842" s="37" t="s">
        <v>83</v>
      </c>
      <c r="AN1842" s="37">
        <f t="shared" si="156"/>
        <v>49660</v>
      </c>
      <c r="AO1842" s="37" t="str">
        <f t="shared" si="157"/>
        <v>Youngstown-Warren, OH</v>
      </c>
      <c r="AP1842" s="37" t="s">
        <v>8</v>
      </c>
      <c r="AQ1842" s="25"/>
      <c r="AR1842" s="25"/>
      <c r="AS1842" s="25"/>
      <c r="AT1842" s="25"/>
      <c r="AU1842" s="36"/>
      <c r="AV1842" s="36"/>
      <c r="AW1842" s="36"/>
      <c r="AX1842" s="25"/>
      <c r="AY1842" s="25"/>
      <c r="AZ1842" s="25"/>
      <c r="BA1842" s="25"/>
      <c r="BB1842" s="25"/>
      <c r="BC1842" s="25"/>
      <c r="BD1842" s="25"/>
      <c r="BE1842" s="25"/>
      <c r="BF1842" s="25"/>
      <c r="BG1842" s="25"/>
      <c r="BH1842" s="25"/>
      <c r="BI1842" s="25"/>
      <c r="BJ1842" s="25"/>
      <c r="BK1842" s="25"/>
      <c r="BL1842" s="25"/>
      <c r="BM1842" s="25"/>
      <c r="BN1842" s="25"/>
      <c r="BO1842" s="25"/>
      <c r="BP1842" s="25"/>
      <c r="BQ1842" s="25"/>
      <c r="BR1842" s="25"/>
      <c r="BS1842" s="25"/>
      <c r="BT1842" s="25"/>
      <c r="CD1842" s="25"/>
      <c r="CE1842" s="200"/>
      <c r="CF1842" s="200"/>
      <c r="CG1842" s="200"/>
      <c r="CH1842" s="200"/>
      <c r="CI1842" s="200"/>
      <c r="CJ1842" s="200"/>
      <c r="CK1842" s="200"/>
      <c r="CL1842" s="200"/>
      <c r="CM1842" s="200"/>
      <c r="CN1842" s="200"/>
      <c r="CO1842" s="200"/>
      <c r="CP1842" s="200"/>
      <c r="CQ1842" s="200"/>
      <c r="CR1842" s="200"/>
      <c r="CS1842" s="200"/>
      <c r="CT1842" s="200"/>
      <c r="CU1842" s="200"/>
    </row>
    <row r="1843" spans="1:99" s="17" customFormat="1" x14ac:dyDescent="0.2">
      <c r="A1843" s="25"/>
      <c r="B1843" s="20">
        <v>39123051000</v>
      </c>
      <c r="C1843" s="20">
        <v>510</v>
      </c>
      <c r="D1843" s="20" t="s">
        <v>67</v>
      </c>
      <c r="E1843" s="20" t="s">
        <v>2837</v>
      </c>
      <c r="F1843" s="20" t="s">
        <v>8</v>
      </c>
      <c r="G1843" s="861">
        <v>46.281192889899799</v>
      </c>
      <c r="H1843" s="861">
        <v>41.227286887029202</v>
      </c>
      <c r="I1843" s="861">
        <v>23.931111855790899</v>
      </c>
      <c r="J1843" s="861">
        <v>44.636722175922202</v>
      </c>
      <c r="K1843" s="982">
        <v>0</v>
      </c>
      <c r="L1843" s="735">
        <v>5055</v>
      </c>
      <c r="M1843" s="735">
        <v>4790</v>
      </c>
      <c r="N1843" s="845">
        <f t="shared" si="153"/>
        <v>-5.2423343224530169E-2</v>
      </c>
      <c r="O1843" s="735">
        <v>26.035128014545212</v>
      </c>
      <c r="P1843" s="735">
        <f t="shared" si="154"/>
        <v>183.98219502988195</v>
      </c>
      <c r="Q1843" s="849">
        <v>38</v>
      </c>
      <c r="R1843" s="71">
        <v>89923</v>
      </c>
      <c r="S1843" s="845">
        <v>6.6810810810810806E-2</v>
      </c>
      <c r="T1843" s="845">
        <v>2.8999999999999998E-2</v>
      </c>
      <c r="U1843" s="845">
        <v>0</v>
      </c>
      <c r="V1843" s="845">
        <v>7.4999999999999997E-2</v>
      </c>
      <c r="W1843" s="845">
        <v>0.11805187930121758</v>
      </c>
      <c r="X1843" s="845">
        <v>0.20179372197309417</v>
      </c>
      <c r="Y1843" s="845">
        <v>0.91085594989561591</v>
      </c>
      <c r="Z1843" s="845">
        <v>1.0438413361169101E-3</v>
      </c>
      <c r="AA1843" s="845">
        <v>0</v>
      </c>
      <c r="AB1843" s="845">
        <v>3.7578288100208767E-3</v>
      </c>
      <c r="AC1843" s="845">
        <v>0</v>
      </c>
      <c r="AD1843" s="845">
        <v>6.471816283924843E-2</v>
      </c>
      <c r="AE1843" s="845">
        <v>1.9624217118997912E-2</v>
      </c>
      <c r="AF1843" s="845">
        <v>0.10709812108559499</v>
      </c>
      <c r="AG1843" s="845">
        <v>0.87682672233820458</v>
      </c>
      <c r="AH1843" s="20" t="str">
        <f t="shared" si="155"/>
        <v>No</v>
      </c>
      <c r="AI1843" s="25"/>
      <c r="AJ1843" s="37">
        <v>44418</v>
      </c>
      <c r="AK1843" s="37" t="s">
        <v>1327</v>
      </c>
      <c r="AL1843" s="37">
        <v>39155</v>
      </c>
      <c r="AM1843" s="37" t="s">
        <v>83</v>
      </c>
      <c r="AN1843" s="37">
        <f t="shared" si="156"/>
        <v>49660</v>
      </c>
      <c r="AO1843" s="37" t="str">
        <f t="shared" si="157"/>
        <v>Youngstown-Warren, OH</v>
      </c>
      <c r="AP1843" s="37" t="s">
        <v>8</v>
      </c>
      <c r="AQ1843" s="25"/>
      <c r="AR1843" s="25"/>
      <c r="AS1843" s="25"/>
      <c r="AT1843" s="25"/>
      <c r="AU1843" s="36"/>
      <c r="AV1843" s="36"/>
      <c r="AW1843" s="36"/>
      <c r="AX1843" s="25"/>
      <c r="AY1843" s="25"/>
      <c r="AZ1843" s="25"/>
      <c r="BA1843" s="25"/>
      <c r="BB1843" s="25"/>
      <c r="BC1843" s="25"/>
      <c r="BD1843" s="25"/>
      <c r="BE1843" s="25"/>
      <c r="BF1843" s="25"/>
      <c r="BG1843" s="25"/>
      <c r="BH1843" s="25"/>
      <c r="BI1843" s="25"/>
      <c r="BJ1843" s="25"/>
      <c r="BK1843" s="25"/>
      <c r="BL1843" s="25"/>
      <c r="BM1843" s="25"/>
      <c r="BN1843" s="25"/>
      <c r="BO1843" s="25"/>
      <c r="BP1843" s="25"/>
      <c r="BQ1843" s="25"/>
      <c r="BR1843" s="25"/>
      <c r="BS1843" s="25"/>
      <c r="BT1843" s="25"/>
      <c r="CD1843" s="25"/>
      <c r="CE1843" s="200"/>
      <c r="CF1843" s="200"/>
      <c r="CG1843" s="200"/>
      <c r="CH1843" s="200"/>
      <c r="CI1843" s="200"/>
      <c r="CJ1843" s="200"/>
      <c r="CK1843" s="200"/>
      <c r="CL1843" s="200"/>
      <c r="CM1843" s="200"/>
      <c r="CN1843" s="200"/>
      <c r="CO1843" s="200"/>
      <c r="CP1843" s="200"/>
      <c r="CQ1843" s="200"/>
      <c r="CR1843" s="200"/>
      <c r="CS1843" s="200"/>
      <c r="CT1843" s="200"/>
      <c r="CU1843" s="200"/>
    </row>
    <row r="1844" spans="1:99" s="17" customFormat="1" x14ac:dyDescent="0.2">
      <c r="A1844" s="25"/>
      <c r="B1844" s="20">
        <v>39027964502</v>
      </c>
      <c r="C1844" s="20">
        <v>9645.02</v>
      </c>
      <c r="D1844" s="20" t="s">
        <v>20</v>
      </c>
      <c r="E1844" s="20" t="s">
        <v>265</v>
      </c>
      <c r="F1844" s="20" t="s">
        <v>8</v>
      </c>
      <c r="G1844" s="861">
        <v>46.2722616213442</v>
      </c>
      <c r="H1844" s="861">
        <v>53.762263900947602</v>
      </c>
      <c r="I1844" s="861">
        <v>34.871668996740702</v>
      </c>
      <c r="J1844" s="861">
        <v>43.126231150176501</v>
      </c>
      <c r="K1844" s="982">
        <v>0</v>
      </c>
      <c r="L1844" s="735" t="s">
        <v>2466</v>
      </c>
      <c r="M1844" s="735">
        <v>2740</v>
      </c>
      <c r="N1844" s="845" t="str">
        <f t="shared" si="153"/>
        <v/>
      </c>
      <c r="O1844" s="735">
        <v>7.6624896166029117</v>
      </c>
      <c r="P1844" s="735">
        <f t="shared" si="154"/>
        <v>357.58612893426033</v>
      </c>
      <c r="Q1844" s="849">
        <v>55.2</v>
      </c>
      <c r="R1844" s="71">
        <v>74211</v>
      </c>
      <c r="S1844" s="845">
        <v>0.11386861313868613</v>
      </c>
      <c r="T1844" s="845">
        <v>0.04</v>
      </c>
      <c r="U1844" s="845">
        <v>0</v>
      </c>
      <c r="V1844" s="845">
        <v>0</v>
      </c>
      <c r="W1844" s="845">
        <v>0.21451355661881977</v>
      </c>
      <c r="X1844" s="845">
        <v>0.39405204460966542</v>
      </c>
      <c r="Y1844" s="845">
        <v>0.92664233576642341</v>
      </c>
      <c r="Z1844" s="845">
        <v>1.7883211678832115E-2</v>
      </c>
      <c r="AA1844" s="845">
        <v>0</v>
      </c>
      <c r="AB1844" s="845">
        <v>0</v>
      </c>
      <c r="AC1844" s="845">
        <v>0</v>
      </c>
      <c r="AD1844" s="845">
        <v>2.0072992700729927E-2</v>
      </c>
      <c r="AE1844" s="845">
        <v>3.5401459854014598E-2</v>
      </c>
      <c r="AF1844" s="845">
        <v>1.0948905109489052E-2</v>
      </c>
      <c r="AG1844" s="845">
        <v>0.92664233576642341</v>
      </c>
      <c r="AH1844" s="20" t="str">
        <f t="shared" si="155"/>
        <v>Yes</v>
      </c>
      <c r="AI1844" s="25"/>
      <c r="AJ1844" s="37">
        <v>44420</v>
      </c>
      <c r="AK1844" s="37" t="s">
        <v>1328</v>
      </c>
      <c r="AL1844" s="37">
        <v>39155</v>
      </c>
      <c r="AM1844" s="37" t="s">
        <v>83</v>
      </c>
      <c r="AN1844" s="37">
        <f t="shared" si="156"/>
        <v>49660</v>
      </c>
      <c r="AO1844" s="37" t="str">
        <f t="shared" si="157"/>
        <v>Youngstown-Warren, OH</v>
      </c>
      <c r="AP1844" s="37" t="s">
        <v>8</v>
      </c>
      <c r="AQ1844" s="25"/>
      <c r="AR1844" s="25"/>
      <c r="AS1844" s="25"/>
      <c r="AT1844" s="25"/>
      <c r="AU1844" s="36"/>
      <c r="AV1844" s="36"/>
      <c r="AW1844" s="36"/>
      <c r="AX1844" s="25"/>
      <c r="AY1844" s="25"/>
      <c r="AZ1844" s="25"/>
      <c r="BA1844" s="25"/>
      <c r="BB1844" s="25"/>
      <c r="BC1844" s="25"/>
      <c r="BD1844" s="25"/>
      <c r="BE1844" s="25"/>
      <c r="BF1844" s="25"/>
      <c r="BG1844" s="25"/>
      <c r="BH1844" s="25"/>
      <c r="BI1844" s="25"/>
      <c r="BJ1844" s="25"/>
      <c r="BK1844" s="25"/>
      <c r="BL1844" s="25"/>
      <c r="BM1844" s="25"/>
      <c r="BN1844" s="25"/>
      <c r="BO1844" s="25"/>
      <c r="BP1844" s="25"/>
      <c r="BQ1844" s="25"/>
      <c r="BR1844" s="25"/>
      <c r="BS1844" s="25"/>
      <c r="BT1844" s="25"/>
      <c r="CD1844" s="25"/>
      <c r="CE1844" s="200"/>
      <c r="CF1844" s="200"/>
      <c r="CG1844" s="200"/>
      <c r="CH1844" s="200"/>
      <c r="CI1844" s="200"/>
      <c r="CJ1844" s="200"/>
      <c r="CK1844" s="200"/>
      <c r="CL1844" s="200"/>
      <c r="CM1844" s="200"/>
      <c r="CN1844" s="200"/>
      <c r="CO1844" s="200"/>
      <c r="CP1844" s="200"/>
      <c r="CQ1844" s="200"/>
      <c r="CR1844" s="200"/>
      <c r="CS1844" s="200"/>
      <c r="CT1844" s="200"/>
      <c r="CU1844" s="200"/>
    </row>
    <row r="1845" spans="1:99" s="17" customFormat="1" x14ac:dyDescent="0.2">
      <c r="A1845" s="25"/>
      <c r="B1845" s="20">
        <v>39061003700</v>
      </c>
      <c r="C1845" s="20">
        <v>37</v>
      </c>
      <c r="D1845" s="20" t="s">
        <v>37</v>
      </c>
      <c r="E1845" s="20" t="s">
        <v>2828</v>
      </c>
      <c r="F1845" s="20" t="s">
        <v>6</v>
      </c>
      <c r="G1845" s="861">
        <v>46.271652684488402</v>
      </c>
      <c r="H1845" s="861">
        <v>43.481291552210102</v>
      </c>
      <c r="I1845" s="861">
        <v>29.797871560754899</v>
      </c>
      <c r="J1845" s="861">
        <v>73.262813676380006</v>
      </c>
      <c r="K1845" s="982">
        <v>1</v>
      </c>
      <c r="L1845" s="735">
        <v>1715</v>
      </c>
      <c r="M1845" s="735">
        <v>1524</v>
      </c>
      <c r="N1845" s="845">
        <f t="shared" si="153"/>
        <v>-0.11137026239067055</v>
      </c>
      <c r="O1845" s="735">
        <v>0.25774210986628815</v>
      </c>
      <c r="P1845" s="735">
        <f t="shared" si="154"/>
        <v>5912.8871133654611</v>
      </c>
      <c r="Q1845" s="849">
        <v>50.8</v>
      </c>
      <c r="R1845" s="71">
        <v>19644</v>
      </c>
      <c r="S1845" s="845">
        <v>0.35198921105866487</v>
      </c>
      <c r="T1845" s="845">
        <v>0.02</v>
      </c>
      <c r="U1845" s="845">
        <v>0</v>
      </c>
      <c r="V1845" s="845">
        <v>2.4E-2</v>
      </c>
      <c r="W1845" s="845">
        <v>0.87607244995233557</v>
      </c>
      <c r="X1845" s="845">
        <v>0.40805223068552776</v>
      </c>
      <c r="Y1845" s="845">
        <v>0.28215223097112863</v>
      </c>
      <c r="Z1845" s="845">
        <v>0.54133858267716539</v>
      </c>
      <c r="AA1845" s="845">
        <v>0</v>
      </c>
      <c r="AB1845" s="845">
        <v>4.5931758530183726E-3</v>
      </c>
      <c r="AC1845" s="845">
        <v>0</v>
      </c>
      <c r="AD1845" s="845">
        <v>0</v>
      </c>
      <c r="AE1845" s="845">
        <v>0.17191601049868765</v>
      </c>
      <c r="AF1845" s="845">
        <v>3.0839895013123359E-2</v>
      </c>
      <c r="AG1845" s="845">
        <v>0.28215223097112863</v>
      </c>
      <c r="AH1845" s="20" t="str">
        <f t="shared" si="155"/>
        <v>No</v>
      </c>
      <c r="AI1845" s="25"/>
      <c r="AJ1845" s="37">
        <v>44424</v>
      </c>
      <c r="AK1845" s="37" t="s">
        <v>1330</v>
      </c>
      <c r="AL1845" s="37">
        <v>39155</v>
      </c>
      <c r="AM1845" s="37" t="s">
        <v>83</v>
      </c>
      <c r="AN1845" s="37">
        <f t="shared" si="156"/>
        <v>49660</v>
      </c>
      <c r="AO1845" s="37" t="str">
        <f t="shared" si="157"/>
        <v>Youngstown-Warren, OH</v>
      </c>
      <c r="AP1845" s="37" t="s">
        <v>8</v>
      </c>
      <c r="AQ1845" s="25"/>
      <c r="AR1845" s="25"/>
      <c r="AS1845" s="25"/>
      <c r="AT1845" s="25"/>
      <c r="AU1845" s="36"/>
      <c r="AV1845" s="36"/>
      <c r="AW1845" s="36"/>
      <c r="AX1845" s="25"/>
      <c r="AY1845" s="25"/>
      <c r="AZ1845" s="25"/>
      <c r="BA1845" s="25"/>
      <c r="BB1845" s="25"/>
      <c r="BC1845" s="25"/>
      <c r="BD1845" s="25"/>
      <c r="BE1845" s="25"/>
      <c r="BF1845" s="25"/>
      <c r="BG1845" s="25"/>
      <c r="BH1845" s="25"/>
      <c r="BI1845" s="25"/>
      <c r="BJ1845" s="25"/>
      <c r="BK1845" s="25"/>
      <c r="BL1845" s="25"/>
      <c r="BM1845" s="25"/>
      <c r="BN1845" s="25"/>
      <c r="BO1845" s="25"/>
      <c r="BP1845" s="25"/>
      <c r="BQ1845" s="25"/>
      <c r="BR1845" s="25"/>
      <c r="BS1845" s="25"/>
      <c r="BT1845" s="25"/>
      <c r="CD1845" s="25"/>
      <c r="CE1845" s="200"/>
      <c r="CF1845" s="200"/>
      <c r="CG1845" s="200"/>
      <c r="CH1845" s="200"/>
      <c r="CI1845" s="200"/>
      <c r="CJ1845" s="200"/>
      <c r="CK1845" s="200"/>
      <c r="CL1845" s="200"/>
      <c r="CM1845" s="200"/>
      <c r="CN1845" s="200"/>
      <c r="CO1845" s="200"/>
      <c r="CP1845" s="200"/>
      <c r="CQ1845" s="200"/>
      <c r="CR1845" s="200"/>
      <c r="CS1845" s="200"/>
      <c r="CT1845" s="200"/>
      <c r="CU1845" s="200"/>
    </row>
    <row r="1846" spans="1:99" s="17" customFormat="1" x14ac:dyDescent="0.2">
      <c r="A1846" s="25"/>
      <c r="B1846" s="20">
        <v>39087051200</v>
      </c>
      <c r="C1846" s="20">
        <v>512</v>
      </c>
      <c r="D1846" s="20" t="s">
        <v>49</v>
      </c>
      <c r="E1846" s="20" t="s">
        <v>2834</v>
      </c>
      <c r="F1846" s="20" t="s">
        <v>8</v>
      </c>
      <c r="G1846" s="861">
        <v>46.263678914262897</v>
      </c>
      <c r="H1846" s="861">
        <v>32.548834759761</v>
      </c>
      <c r="I1846" s="861">
        <v>23.452430487859701</v>
      </c>
      <c r="J1846" s="861">
        <v>41.529005389096497</v>
      </c>
      <c r="K1846" s="982">
        <v>1</v>
      </c>
      <c r="L1846" s="735">
        <v>5280</v>
      </c>
      <c r="M1846" s="735">
        <v>4995</v>
      </c>
      <c r="N1846" s="845">
        <f t="shared" si="153"/>
        <v>-5.3977272727272728E-2</v>
      </c>
      <c r="O1846" s="735">
        <v>13.305341004055807</v>
      </c>
      <c r="P1846" s="735">
        <f t="shared" si="154"/>
        <v>375.41315164169009</v>
      </c>
      <c r="Q1846" s="849">
        <v>37.4</v>
      </c>
      <c r="R1846" s="71">
        <v>67016</v>
      </c>
      <c r="S1846" s="845">
        <v>9.1891891891891897E-2</v>
      </c>
      <c r="T1846" s="845">
        <v>3.3000000000000002E-2</v>
      </c>
      <c r="U1846" s="845">
        <v>3.0000000000000001E-3</v>
      </c>
      <c r="V1846" s="845">
        <v>1.1000000000000001E-2</v>
      </c>
      <c r="W1846" s="845">
        <v>0.20289855072463769</v>
      </c>
      <c r="X1846" s="845">
        <v>0.35459183673469385</v>
      </c>
      <c r="Y1846" s="845">
        <v>0.94714714714714709</v>
      </c>
      <c r="Z1846" s="845">
        <v>2.2822822822822823E-2</v>
      </c>
      <c r="AA1846" s="845">
        <v>2.002002002002002E-3</v>
      </c>
      <c r="AB1846" s="845">
        <v>0</v>
      </c>
      <c r="AC1846" s="845">
        <v>0</v>
      </c>
      <c r="AD1846" s="845">
        <v>0</v>
      </c>
      <c r="AE1846" s="845">
        <v>2.8028028028028028E-2</v>
      </c>
      <c r="AF1846" s="845">
        <v>2.6026026026026027E-3</v>
      </c>
      <c r="AG1846" s="845">
        <v>0.94714714714714709</v>
      </c>
      <c r="AH1846" s="20" t="str">
        <f t="shared" si="155"/>
        <v>Yes</v>
      </c>
      <c r="AI1846" s="25"/>
      <c r="AJ1846" s="37">
        <v>44425</v>
      </c>
      <c r="AK1846" s="37" t="s">
        <v>1331</v>
      </c>
      <c r="AL1846" s="37">
        <v>39155</v>
      </c>
      <c r="AM1846" s="37" t="s">
        <v>83</v>
      </c>
      <c r="AN1846" s="37">
        <f t="shared" si="156"/>
        <v>49660</v>
      </c>
      <c r="AO1846" s="37" t="str">
        <f t="shared" si="157"/>
        <v>Youngstown-Warren, OH</v>
      </c>
      <c r="AP1846" s="37" t="s">
        <v>8</v>
      </c>
      <c r="AQ1846" s="25"/>
      <c r="AR1846" s="25"/>
      <c r="AS1846" s="25"/>
      <c r="AT1846" s="25"/>
      <c r="AU1846" s="36"/>
      <c r="AV1846" s="36"/>
      <c r="AW1846" s="36"/>
      <c r="AX1846" s="25"/>
      <c r="AY1846" s="25"/>
      <c r="AZ1846" s="25"/>
      <c r="BA1846" s="25"/>
      <c r="BB1846" s="25"/>
      <c r="BC1846" s="25"/>
      <c r="BD1846" s="25"/>
      <c r="BE1846" s="25"/>
      <c r="BF1846" s="25"/>
      <c r="BG1846" s="25"/>
      <c r="BH1846" s="25"/>
      <c r="BI1846" s="25"/>
      <c r="BJ1846" s="25"/>
      <c r="BK1846" s="25"/>
      <c r="BL1846" s="25"/>
      <c r="BM1846" s="25"/>
      <c r="BN1846" s="25"/>
      <c r="BO1846" s="25"/>
      <c r="BP1846" s="25"/>
      <c r="BQ1846" s="25"/>
      <c r="BR1846" s="25"/>
      <c r="BS1846" s="25"/>
      <c r="BT1846" s="25"/>
      <c r="CD1846" s="25"/>
      <c r="CE1846" s="200"/>
      <c r="CF1846" s="200"/>
      <c r="CG1846" s="200"/>
      <c r="CH1846" s="200"/>
      <c r="CI1846" s="200"/>
      <c r="CJ1846" s="200"/>
      <c r="CK1846" s="200"/>
      <c r="CL1846" s="200"/>
      <c r="CM1846" s="200"/>
      <c r="CN1846" s="200"/>
      <c r="CO1846" s="200"/>
      <c r="CP1846" s="200"/>
      <c r="CQ1846" s="200"/>
      <c r="CR1846" s="200"/>
      <c r="CS1846" s="200"/>
      <c r="CT1846" s="200"/>
      <c r="CU1846" s="200"/>
    </row>
    <row r="1847" spans="1:99" s="17" customFormat="1" x14ac:dyDescent="0.2">
      <c r="A1847" s="25"/>
      <c r="B1847" s="20">
        <v>39051040500</v>
      </c>
      <c r="C1847" s="20">
        <v>405</v>
      </c>
      <c r="D1847" s="20" t="s">
        <v>32</v>
      </c>
      <c r="E1847" s="20" t="s">
        <v>2839</v>
      </c>
      <c r="F1847" s="20" t="s">
        <v>8</v>
      </c>
      <c r="G1847" s="861">
        <v>46.259724339966603</v>
      </c>
      <c r="H1847" s="861">
        <v>50.381277944860599</v>
      </c>
      <c r="I1847" s="861">
        <v>20.5715924956667</v>
      </c>
      <c r="J1847" s="861">
        <v>45.685456328734602</v>
      </c>
      <c r="K1847" s="982">
        <v>0</v>
      </c>
      <c r="L1847" s="735">
        <v>5086</v>
      </c>
      <c r="M1847" s="735">
        <v>4783</v>
      </c>
      <c r="N1847" s="845">
        <f t="shared" si="153"/>
        <v>-5.9575304758159656E-2</v>
      </c>
      <c r="O1847" s="735">
        <v>90.753807360142673</v>
      </c>
      <c r="P1847" s="735">
        <f t="shared" si="154"/>
        <v>52.703023037032402</v>
      </c>
      <c r="Q1847" s="849">
        <v>38.6</v>
      </c>
      <c r="R1847" s="71">
        <v>70625</v>
      </c>
      <c r="S1847" s="845">
        <v>8.4031852472757754E-2</v>
      </c>
      <c r="T1847" s="845">
        <v>1.2E-2</v>
      </c>
      <c r="U1847" s="845">
        <v>0</v>
      </c>
      <c r="V1847" s="845">
        <v>0</v>
      </c>
      <c r="W1847" s="845">
        <v>0.18134445023449713</v>
      </c>
      <c r="X1847" s="845">
        <v>0.12643678160919541</v>
      </c>
      <c r="Y1847" s="845">
        <v>0.93435082584152207</v>
      </c>
      <c r="Z1847" s="845">
        <v>0</v>
      </c>
      <c r="AA1847" s="845">
        <v>0</v>
      </c>
      <c r="AB1847" s="845">
        <v>0</v>
      </c>
      <c r="AC1847" s="845">
        <v>0</v>
      </c>
      <c r="AD1847" s="845">
        <v>8.5720259251515791E-3</v>
      </c>
      <c r="AE1847" s="845">
        <v>5.7077148233326366E-2</v>
      </c>
      <c r="AF1847" s="845">
        <v>5.7495295839431318E-2</v>
      </c>
      <c r="AG1847" s="845">
        <v>0.90298975538365045</v>
      </c>
      <c r="AH1847" s="20" t="str">
        <f t="shared" si="155"/>
        <v>Yes</v>
      </c>
      <c r="AI1847" s="25"/>
      <c r="AJ1847" s="37">
        <v>44428</v>
      </c>
      <c r="AK1847" s="37" t="s">
        <v>1333</v>
      </c>
      <c r="AL1847" s="37">
        <v>39155</v>
      </c>
      <c r="AM1847" s="37" t="s">
        <v>83</v>
      </c>
      <c r="AN1847" s="37">
        <f t="shared" si="156"/>
        <v>49660</v>
      </c>
      <c r="AO1847" s="37" t="str">
        <f t="shared" si="157"/>
        <v>Youngstown-Warren, OH</v>
      </c>
      <c r="AP1847" s="37" t="s">
        <v>8</v>
      </c>
      <c r="AQ1847" s="25"/>
      <c r="AR1847" s="25"/>
      <c r="AS1847" s="25"/>
      <c r="AT1847" s="25"/>
      <c r="AU1847" s="36"/>
      <c r="AV1847" s="36"/>
      <c r="AW1847" s="36"/>
      <c r="AX1847" s="25"/>
      <c r="AY1847" s="25"/>
      <c r="AZ1847" s="25"/>
      <c r="BA1847" s="25"/>
      <c r="BB1847" s="25"/>
      <c r="BC1847" s="25"/>
      <c r="BD1847" s="25"/>
      <c r="BE1847" s="25"/>
      <c r="BF1847" s="25"/>
      <c r="BG1847" s="25"/>
      <c r="BH1847" s="25"/>
      <c r="BI1847" s="25"/>
      <c r="BJ1847" s="25"/>
      <c r="BK1847" s="25"/>
      <c r="BL1847" s="25"/>
      <c r="BM1847" s="25"/>
      <c r="BN1847" s="25"/>
      <c r="BO1847" s="25"/>
      <c r="BP1847" s="25"/>
      <c r="BQ1847" s="25"/>
      <c r="BR1847" s="25"/>
      <c r="BS1847" s="25"/>
      <c r="BT1847" s="25"/>
      <c r="CD1847" s="25"/>
      <c r="CE1847" s="200"/>
      <c r="CF1847" s="200"/>
      <c r="CG1847" s="200"/>
      <c r="CH1847" s="200"/>
      <c r="CI1847" s="200"/>
      <c r="CJ1847" s="200"/>
      <c r="CK1847" s="200"/>
      <c r="CL1847" s="200"/>
      <c r="CM1847" s="200"/>
      <c r="CN1847" s="200"/>
      <c r="CO1847" s="200"/>
      <c r="CP1847" s="200"/>
      <c r="CQ1847" s="200"/>
      <c r="CR1847" s="200"/>
      <c r="CS1847" s="200"/>
      <c r="CT1847" s="200"/>
      <c r="CU1847" s="200"/>
    </row>
    <row r="1848" spans="1:99" s="17" customFormat="1" x14ac:dyDescent="0.2">
      <c r="A1848" s="25"/>
      <c r="B1848" s="20">
        <v>39043041000</v>
      </c>
      <c r="C1848" s="20">
        <v>410</v>
      </c>
      <c r="D1848" s="20" t="s">
        <v>28</v>
      </c>
      <c r="E1848" s="20" t="s">
        <v>2837</v>
      </c>
      <c r="F1848" s="20" t="s">
        <v>6</v>
      </c>
      <c r="G1848" s="861">
        <v>46.223975920256102</v>
      </c>
      <c r="H1848" s="861">
        <v>41.721008259418397</v>
      </c>
      <c r="I1848" s="861">
        <v>36.367881028825799</v>
      </c>
      <c r="J1848" s="861">
        <v>47.7683174751865</v>
      </c>
      <c r="K1848" s="982">
        <v>0</v>
      </c>
      <c r="L1848" s="735">
        <v>3321</v>
      </c>
      <c r="M1848" s="735">
        <v>3291</v>
      </c>
      <c r="N1848" s="845">
        <f t="shared" si="153"/>
        <v>-9.0334236675700084E-3</v>
      </c>
      <c r="O1848" s="735">
        <v>0.83006558667174735</v>
      </c>
      <c r="P1848" s="735">
        <f t="shared" si="154"/>
        <v>3964.7469463174343</v>
      </c>
      <c r="Q1848" s="849">
        <v>33.1</v>
      </c>
      <c r="R1848" s="71">
        <v>54375</v>
      </c>
      <c r="S1848" s="845">
        <v>0.29582403570290083</v>
      </c>
      <c r="T1848" s="845">
        <v>0.12300000000000001</v>
      </c>
      <c r="U1848" s="845">
        <v>0</v>
      </c>
      <c r="V1848" s="845">
        <v>2.2000000000000002E-2</v>
      </c>
      <c r="W1848" s="845">
        <v>0.65278934221482099</v>
      </c>
      <c r="X1848" s="845">
        <v>0.29591836734693877</v>
      </c>
      <c r="Y1848" s="845">
        <v>0.43421452446065023</v>
      </c>
      <c r="Z1848" s="845">
        <v>0.38073533880279548</v>
      </c>
      <c r="AA1848" s="845">
        <v>0</v>
      </c>
      <c r="AB1848" s="845">
        <v>6.3810391978122152E-3</v>
      </c>
      <c r="AC1848" s="845">
        <v>0</v>
      </c>
      <c r="AD1848" s="845">
        <v>7.7180188392585836E-2</v>
      </c>
      <c r="AE1848" s="845">
        <v>0.10148890914615619</v>
      </c>
      <c r="AF1848" s="845">
        <v>7.1103008204193255E-2</v>
      </c>
      <c r="AG1848" s="845">
        <v>0.42449103615922212</v>
      </c>
      <c r="AH1848" s="20" t="str">
        <f t="shared" si="155"/>
        <v>No</v>
      </c>
      <c r="AI1848" s="25"/>
      <c r="AJ1848" s="37">
        <v>44430</v>
      </c>
      <c r="AK1848" s="37" t="s">
        <v>1335</v>
      </c>
      <c r="AL1848" s="37">
        <v>39155</v>
      </c>
      <c r="AM1848" s="37" t="s">
        <v>83</v>
      </c>
      <c r="AN1848" s="37">
        <f t="shared" si="156"/>
        <v>49660</v>
      </c>
      <c r="AO1848" s="37" t="str">
        <f t="shared" si="157"/>
        <v>Youngstown-Warren, OH</v>
      </c>
      <c r="AP1848" s="37" t="s">
        <v>8</v>
      </c>
      <c r="AQ1848" s="25"/>
      <c r="AR1848" s="25"/>
      <c r="AS1848" s="25"/>
      <c r="AT1848" s="25"/>
      <c r="AU1848" s="36"/>
      <c r="AV1848" s="36"/>
      <c r="AW1848" s="36"/>
      <c r="AX1848" s="25"/>
      <c r="AY1848" s="25"/>
      <c r="AZ1848" s="25"/>
      <c r="BA1848" s="25"/>
      <c r="BB1848" s="25"/>
      <c r="BC1848" s="25"/>
      <c r="BD1848" s="25"/>
      <c r="BE1848" s="25"/>
      <c r="BF1848" s="25"/>
      <c r="BG1848" s="25"/>
      <c r="BH1848" s="25"/>
      <c r="BI1848" s="25"/>
      <c r="BJ1848" s="25"/>
      <c r="BK1848" s="25"/>
      <c r="BL1848" s="25"/>
      <c r="BM1848" s="25"/>
      <c r="BN1848" s="25"/>
      <c r="BO1848" s="25"/>
      <c r="BP1848" s="25"/>
      <c r="BQ1848" s="25"/>
      <c r="BR1848" s="25"/>
      <c r="BS1848" s="25"/>
      <c r="BT1848" s="25"/>
      <c r="CD1848" s="25"/>
      <c r="CE1848" s="200"/>
      <c r="CF1848" s="200"/>
      <c r="CG1848" s="200"/>
      <c r="CH1848" s="200"/>
      <c r="CI1848" s="200"/>
      <c r="CJ1848" s="200"/>
      <c r="CK1848" s="200"/>
      <c r="CL1848" s="200"/>
      <c r="CM1848" s="200"/>
      <c r="CN1848" s="200"/>
      <c r="CO1848" s="200"/>
      <c r="CP1848" s="200"/>
      <c r="CQ1848" s="200"/>
      <c r="CR1848" s="200"/>
      <c r="CS1848" s="200"/>
      <c r="CT1848" s="200"/>
      <c r="CU1848" s="200"/>
    </row>
    <row r="1849" spans="1:99" s="17" customFormat="1" x14ac:dyDescent="0.2">
      <c r="A1849" s="25"/>
      <c r="B1849" s="20">
        <v>39061009902</v>
      </c>
      <c r="C1849" s="20">
        <v>99.02</v>
      </c>
      <c r="D1849" s="20" t="s">
        <v>37</v>
      </c>
      <c r="E1849" s="20" t="s">
        <v>2828</v>
      </c>
      <c r="F1849" s="20" t="s">
        <v>6</v>
      </c>
      <c r="G1849" s="861">
        <v>46.177975453319597</v>
      </c>
      <c r="H1849" s="861">
        <v>54.225453817960002</v>
      </c>
      <c r="I1849" s="861">
        <v>64.030060204426505</v>
      </c>
      <c r="J1849" s="861">
        <v>49.845747260970001</v>
      </c>
      <c r="K1849" s="982">
        <v>0</v>
      </c>
      <c r="L1849" s="735">
        <v>3438</v>
      </c>
      <c r="M1849" s="735">
        <v>4232</v>
      </c>
      <c r="N1849" s="845">
        <f t="shared" si="153"/>
        <v>0.23094822571262361</v>
      </c>
      <c r="O1849" s="735">
        <v>0.62441290512333669</v>
      </c>
      <c r="P1849" s="735">
        <f t="shared" si="154"/>
        <v>6777.5665193275872</v>
      </c>
      <c r="Q1849" s="849">
        <v>29.1</v>
      </c>
      <c r="R1849" s="71">
        <v>46711</v>
      </c>
      <c r="S1849" s="845">
        <v>0.24574669187145556</v>
      </c>
      <c r="T1849" s="845">
        <v>5.2000000000000005E-2</v>
      </c>
      <c r="U1849" s="845">
        <v>0</v>
      </c>
      <c r="V1849" s="845">
        <v>3.3000000000000002E-2</v>
      </c>
      <c r="W1849" s="845">
        <v>0.62007168458781359</v>
      </c>
      <c r="X1849" s="845">
        <v>0.56165703275529866</v>
      </c>
      <c r="Y1849" s="845">
        <v>0.59050094517958407</v>
      </c>
      <c r="Z1849" s="845">
        <v>0.29867674858223064</v>
      </c>
      <c r="AA1849" s="845">
        <v>0</v>
      </c>
      <c r="AB1849" s="845">
        <v>0</v>
      </c>
      <c r="AC1849" s="845">
        <v>0</v>
      </c>
      <c r="AD1849" s="845">
        <v>4.2533081285444233E-3</v>
      </c>
      <c r="AE1849" s="845">
        <v>0.10656899810964084</v>
      </c>
      <c r="AF1849" s="845">
        <v>0.13610586011342155</v>
      </c>
      <c r="AG1849" s="845">
        <v>0.54607750472589789</v>
      </c>
      <c r="AH1849" s="20" t="str">
        <f t="shared" si="155"/>
        <v>No</v>
      </c>
      <c r="AI1849" s="25"/>
      <c r="AJ1849" s="37">
        <v>44437</v>
      </c>
      <c r="AK1849" s="37" t="s">
        <v>1339</v>
      </c>
      <c r="AL1849" s="37">
        <v>39155</v>
      </c>
      <c r="AM1849" s="37" t="s">
        <v>83</v>
      </c>
      <c r="AN1849" s="37">
        <f t="shared" si="156"/>
        <v>49660</v>
      </c>
      <c r="AO1849" s="37" t="str">
        <f t="shared" si="157"/>
        <v>Youngstown-Warren, OH</v>
      </c>
      <c r="AP1849" s="37" t="s">
        <v>8</v>
      </c>
      <c r="AQ1849" s="25"/>
      <c r="AR1849" s="25"/>
      <c r="AS1849" s="25"/>
      <c r="AT1849" s="25"/>
      <c r="AU1849" s="36"/>
      <c r="AV1849" s="36"/>
      <c r="AW1849" s="36"/>
      <c r="AX1849" s="25"/>
      <c r="AY1849" s="25"/>
      <c r="AZ1849" s="25"/>
      <c r="BA1849" s="25"/>
      <c r="BB1849" s="25"/>
      <c r="BC1849" s="25"/>
      <c r="BD1849" s="25"/>
      <c r="BE1849" s="25"/>
      <c r="BF1849" s="25"/>
      <c r="BG1849" s="25"/>
      <c r="BH1849" s="25"/>
      <c r="BI1849" s="25"/>
      <c r="BJ1849" s="25"/>
      <c r="BK1849" s="25"/>
      <c r="BL1849" s="25"/>
      <c r="BM1849" s="25"/>
      <c r="BN1849" s="25"/>
      <c r="BO1849" s="25"/>
      <c r="BP1849" s="25"/>
      <c r="BQ1849" s="25"/>
      <c r="BR1849" s="25"/>
      <c r="BS1849" s="25"/>
      <c r="BT1849" s="25"/>
      <c r="CD1849" s="25"/>
      <c r="CE1849" s="200"/>
      <c r="CF1849" s="200"/>
      <c r="CG1849" s="200"/>
      <c r="CH1849" s="200"/>
      <c r="CI1849" s="200"/>
      <c r="CJ1849" s="200"/>
      <c r="CK1849" s="200"/>
      <c r="CL1849" s="200"/>
      <c r="CM1849" s="200"/>
      <c r="CN1849" s="200"/>
      <c r="CO1849" s="200"/>
      <c r="CP1849" s="200"/>
      <c r="CQ1849" s="200"/>
      <c r="CR1849" s="200"/>
      <c r="CS1849" s="200"/>
      <c r="CT1849" s="200"/>
      <c r="CU1849" s="200"/>
    </row>
    <row r="1850" spans="1:99" s="17" customFormat="1" x14ac:dyDescent="0.2">
      <c r="A1850" s="25"/>
      <c r="B1850" s="20">
        <v>39035152400</v>
      </c>
      <c r="C1850" s="20">
        <v>1524</v>
      </c>
      <c r="D1850" s="20" t="s">
        <v>24</v>
      </c>
      <c r="E1850" s="20" t="s">
        <v>2829</v>
      </c>
      <c r="F1850" s="20" t="s">
        <v>6</v>
      </c>
      <c r="G1850" s="861">
        <v>46.172655223994099</v>
      </c>
      <c r="H1850" s="861">
        <v>47.281628698924798</v>
      </c>
      <c r="I1850" s="861">
        <v>54.201220118034101</v>
      </c>
      <c r="J1850" s="861">
        <v>52.661352454138303</v>
      </c>
      <c r="K1850" s="982">
        <v>0</v>
      </c>
      <c r="L1850" s="735">
        <v>1907</v>
      </c>
      <c r="M1850" s="735">
        <v>1936</v>
      </c>
      <c r="N1850" s="845">
        <f t="shared" si="153"/>
        <v>1.5207131620346093E-2</v>
      </c>
      <c r="O1850" s="735">
        <v>0.23703969822471502</v>
      </c>
      <c r="P1850" s="735">
        <f t="shared" si="154"/>
        <v>8167.4083054419889</v>
      </c>
      <c r="Q1850" s="849">
        <v>29.7</v>
      </c>
      <c r="R1850" s="71">
        <v>58348</v>
      </c>
      <c r="S1850" s="845">
        <v>0.28099173553719009</v>
      </c>
      <c r="T1850" s="845">
        <v>0.28000000000000003</v>
      </c>
      <c r="U1850" s="845">
        <v>4.7E-2</v>
      </c>
      <c r="V1850" s="845">
        <v>6.9000000000000006E-2</v>
      </c>
      <c r="W1850" s="845">
        <v>0.41321044546850999</v>
      </c>
      <c r="X1850" s="845">
        <v>0.60223048327137552</v>
      </c>
      <c r="Y1850" s="845">
        <v>0.22675619834710745</v>
      </c>
      <c r="Z1850" s="845">
        <v>0.71694214876033058</v>
      </c>
      <c r="AA1850" s="845">
        <v>0</v>
      </c>
      <c r="AB1850" s="845">
        <v>2.8925619834710745E-2</v>
      </c>
      <c r="AC1850" s="845">
        <v>0</v>
      </c>
      <c r="AD1850" s="845">
        <v>0</v>
      </c>
      <c r="AE1850" s="845">
        <v>2.7376033057851239E-2</v>
      </c>
      <c r="AF1850" s="845">
        <v>1.0330578512396695E-2</v>
      </c>
      <c r="AG1850" s="845">
        <v>0.22675619834710745</v>
      </c>
      <c r="AH1850" s="20" t="str">
        <f t="shared" si="155"/>
        <v>No</v>
      </c>
      <c r="AI1850" s="25"/>
      <c r="AJ1850" s="37">
        <v>44438</v>
      </c>
      <c r="AK1850" s="37" t="s">
        <v>1340</v>
      </c>
      <c r="AL1850" s="37">
        <v>39155</v>
      </c>
      <c r="AM1850" s="37" t="s">
        <v>83</v>
      </c>
      <c r="AN1850" s="37">
        <f t="shared" si="156"/>
        <v>49660</v>
      </c>
      <c r="AO1850" s="37" t="str">
        <f t="shared" si="157"/>
        <v>Youngstown-Warren, OH</v>
      </c>
      <c r="AP1850" s="37" t="s">
        <v>8</v>
      </c>
      <c r="AQ1850" s="25"/>
      <c r="AR1850" s="25"/>
      <c r="AS1850" s="25"/>
      <c r="AT1850" s="25"/>
      <c r="AU1850" s="36"/>
      <c r="AV1850" s="36"/>
      <c r="AW1850" s="36"/>
      <c r="AX1850" s="25"/>
      <c r="AY1850" s="25"/>
      <c r="AZ1850" s="25"/>
      <c r="BA1850" s="25"/>
      <c r="BB1850" s="25"/>
      <c r="BC1850" s="25"/>
      <c r="BD1850" s="25"/>
      <c r="BE1850" s="25"/>
      <c r="BF1850" s="25"/>
      <c r="BG1850" s="25"/>
      <c r="BH1850" s="25"/>
      <c r="BI1850" s="25"/>
      <c r="BJ1850" s="25"/>
      <c r="BK1850" s="25"/>
      <c r="BL1850" s="25"/>
      <c r="BM1850" s="25"/>
      <c r="BN1850" s="25"/>
      <c r="BO1850" s="25"/>
      <c r="BP1850" s="25"/>
      <c r="BQ1850" s="25"/>
      <c r="BR1850" s="25"/>
      <c r="BS1850" s="25"/>
      <c r="BT1850" s="25"/>
      <c r="CD1850" s="25"/>
      <c r="CE1850" s="200"/>
      <c r="CF1850" s="200"/>
      <c r="CG1850" s="200"/>
      <c r="CH1850" s="200"/>
      <c r="CI1850" s="200"/>
      <c r="CJ1850" s="200"/>
      <c r="CK1850" s="200"/>
      <c r="CL1850" s="200"/>
      <c r="CM1850" s="200"/>
      <c r="CN1850" s="200"/>
      <c r="CO1850" s="200"/>
      <c r="CP1850" s="200"/>
      <c r="CQ1850" s="200"/>
      <c r="CR1850" s="200"/>
      <c r="CS1850" s="200"/>
      <c r="CT1850" s="200"/>
      <c r="CU1850" s="200"/>
    </row>
    <row r="1851" spans="1:99" s="17" customFormat="1" x14ac:dyDescent="0.2">
      <c r="A1851" s="25"/>
      <c r="B1851" s="20">
        <v>39049007553</v>
      </c>
      <c r="C1851" s="20">
        <v>75.53</v>
      </c>
      <c r="D1851" s="20" t="s">
        <v>31</v>
      </c>
      <c r="E1851" s="20" t="s">
        <v>2830</v>
      </c>
      <c r="F1851" s="20" t="s">
        <v>8</v>
      </c>
      <c r="G1851" s="861">
        <v>46.160159159135603</v>
      </c>
      <c r="H1851" s="861">
        <v>65.912885547666306</v>
      </c>
      <c r="I1851" s="861">
        <v>54.184395001650401</v>
      </c>
      <c r="J1851" s="861">
        <v>51.157038766269302</v>
      </c>
      <c r="K1851" s="982">
        <v>0</v>
      </c>
      <c r="L1851" s="735" t="s">
        <v>2466</v>
      </c>
      <c r="M1851" s="735">
        <v>6480</v>
      </c>
      <c r="N1851" s="845" t="str">
        <f t="shared" si="153"/>
        <v/>
      </c>
      <c r="O1851" s="735">
        <v>0.5194151258092069</v>
      </c>
      <c r="P1851" s="735">
        <f t="shared" si="154"/>
        <v>12475.570459956634</v>
      </c>
      <c r="Q1851" s="849">
        <v>29.1</v>
      </c>
      <c r="R1851" s="71">
        <v>43732</v>
      </c>
      <c r="S1851" s="845">
        <v>0.32296983758700698</v>
      </c>
      <c r="T1851" s="845">
        <v>1.4999999999999999E-2</v>
      </c>
      <c r="U1851" s="845">
        <v>0</v>
      </c>
      <c r="V1851" s="845">
        <v>2.2000000000000002E-2</v>
      </c>
      <c r="W1851" s="845">
        <v>0.89119390347163419</v>
      </c>
      <c r="X1851" s="845">
        <v>0.54156769596199528</v>
      </c>
      <c r="Y1851" s="845">
        <v>0.10524691358024692</v>
      </c>
      <c r="Z1851" s="845">
        <v>0.71620370370370368</v>
      </c>
      <c r="AA1851" s="845">
        <v>0</v>
      </c>
      <c r="AB1851" s="845">
        <v>6.6820987654320985E-2</v>
      </c>
      <c r="AC1851" s="845">
        <v>1.6975308641975309E-3</v>
      </c>
      <c r="AD1851" s="845">
        <v>8.1635802469135807E-2</v>
      </c>
      <c r="AE1851" s="845">
        <v>2.8395061728395062E-2</v>
      </c>
      <c r="AF1851" s="845">
        <v>7.9783950617283952E-2</v>
      </c>
      <c r="AG1851" s="845">
        <v>0.10524691358024692</v>
      </c>
      <c r="AH1851" s="20" t="str">
        <f t="shared" si="155"/>
        <v>No</v>
      </c>
      <c r="AI1851" s="25"/>
      <c r="AJ1851" s="37">
        <v>44439</v>
      </c>
      <c r="AK1851" s="37" t="s">
        <v>1341</v>
      </c>
      <c r="AL1851" s="37">
        <v>39155</v>
      </c>
      <c r="AM1851" s="37" t="s">
        <v>83</v>
      </c>
      <c r="AN1851" s="37">
        <f t="shared" si="156"/>
        <v>49660</v>
      </c>
      <c r="AO1851" s="37" t="str">
        <f t="shared" si="157"/>
        <v>Youngstown-Warren, OH</v>
      </c>
      <c r="AP1851" s="37" t="s">
        <v>8</v>
      </c>
      <c r="AQ1851" s="25"/>
      <c r="AR1851" s="25"/>
      <c r="AS1851" s="25"/>
      <c r="AT1851" s="25"/>
      <c r="AU1851" s="36"/>
      <c r="AV1851" s="36"/>
      <c r="AW1851" s="36"/>
      <c r="AX1851" s="25"/>
      <c r="AY1851" s="25"/>
      <c r="AZ1851" s="25"/>
      <c r="BA1851" s="25"/>
      <c r="BB1851" s="25"/>
      <c r="BC1851" s="25"/>
      <c r="BD1851" s="25"/>
      <c r="BE1851" s="25"/>
      <c r="BF1851" s="25"/>
      <c r="BG1851" s="25"/>
      <c r="BH1851" s="25"/>
      <c r="BI1851" s="25"/>
      <c r="BJ1851" s="25"/>
      <c r="BK1851" s="25"/>
      <c r="BL1851" s="25"/>
      <c r="BM1851" s="25"/>
      <c r="BN1851" s="25"/>
      <c r="BO1851" s="25"/>
      <c r="BP1851" s="25"/>
      <c r="BQ1851" s="25"/>
      <c r="BR1851" s="25"/>
      <c r="BS1851" s="25"/>
      <c r="BT1851" s="25"/>
      <c r="CD1851" s="25"/>
      <c r="CE1851" s="200"/>
      <c r="CF1851" s="200"/>
      <c r="CG1851" s="200"/>
      <c r="CH1851" s="200"/>
      <c r="CI1851" s="200"/>
      <c r="CJ1851" s="200"/>
      <c r="CK1851" s="200"/>
      <c r="CL1851" s="200"/>
      <c r="CM1851" s="200"/>
      <c r="CN1851" s="200"/>
      <c r="CO1851" s="200"/>
      <c r="CP1851" s="200"/>
      <c r="CQ1851" s="200"/>
      <c r="CR1851" s="200"/>
      <c r="CS1851" s="200"/>
      <c r="CT1851" s="200"/>
      <c r="CU1851" s="200"/>
    </row>
    <row r="1852" spans="1:99" s="17" customFormat="1" x14ac:dyDescent="0.2">
      <c r="A1852" s="25"/>
      <c r="B1852" s="20">
        <v>39087051401</v>
      </c>
      <c r="C1852" s="20">
        <v>514.01</v>
      </c>
      <c r="D1852" s="20" t="s">
        <v>49</v>
      </c>
      <c r="E1852" s="20" t="s">
        <v>2834</v>
      </c>
      <c r="F1852" s="20" t="s">
        <v>8</v>
      </c>
      <c r="G1852" s="861">
        <v>46.122683639356403</v>
      </c>
      <c r="H1852" s="861">
        <v>41.242011230007499</v>
      </c>
      <c r="I1852" s="861">
        <v>23.8893355084783</v>
      </c>
      <c r="J1852" s="861">
        <v>45.8905371237935</v>
      </c>
      <c r="K1852" s="982">
        <v>0</v>
      </c>
      <c r="L1852" s="735">
        <v>5172</v>
      </c>
      <c r="M1852" s="735">
        <v>5475</v>
      </c>
      <c r="N1852" s="845">
        <f t="shared" si="153"/>
        <v>5.8584686774941996E-2</v>
      </c>
      <c r="O1852" s="735">
        <v>4.6237934273760048</v>
      </c>
      <c r="P1852" s="735">
        <f t="shared" si="154"/>
        <v>1184.0926905566917</v>
      </c>
      <c r="Q1852" s="849">
        <v>44</v>
      </c>
      <c r="R1852" s="71">
        <v>71540</v>
      </c>
      <c r="S1852" s="845">
        <v>0.13993301079270562</v>
      </c>
      <c r="T1852" s="845">
        <v>1.6E-2</v>
      </c>
      <c r="U1852" s="845">
        <v>5.5E-2</v>
      </c>
      <c r="V1852" s="845">
        <v>0</v>
      </c>
      <c r="W1852" s="845">
        <v>0.21614349775784752</v>
      </c>
      <c r="X1852" s="845">
        <v>0.31950207468879666</v>
      </c>
      <c r="Y1852" s="845">
        <v>0.93315068493150688</v>
      </c>
      <c r="Z1852" s="845">
        <v>1.7351598173515982E-2</v>
      </c>
      <c r="AA1852" s="845">
        <v>0</v>
      </c>
      <c r="AB1852" s="845">
        <v>1.771689497716895E-2</v>
      </c>
      <c r="AC1852" s="845">
        <v>0</v>
      </c>
      <c r="AD1852" s="845">
        <v>4.018264840182648E-3</v>
      </c>
      <c r="AE1852" s="845">
        <v>2.7762557077625569E-2</v>
      </c>
      <c r="AF1852" s="845">
        <v>6.392694063926941E-3</v>
      </c>
      <c r="AG1852" s="845">
        <v>0.93315068493150688</v>
      </c>
      <c r="AH1852" s="20" t="str">
        <f t="shared" si="155"/>
        <v>Yes</v>
      </c>
      <c r="AI1852" s="25"/>
      <c r="AJ1852" s="37">
        <v>44440</v>
      </c>
      <c r="AK1852" s="37" t="s">
        <v>1342</v>
      </c>
      <c r="AL1852" s="37">
        <v>39155</v>
      </c>
      <c r="AM1852" s="37" t="s">
        <v>83</v>
      </c>
      <c r="AN1852" s="37">
        <f t="shared" si="156"/>
        <v>49660</v>
      </c>
      <c r="AO1852" s="37" t="str">
        <f t="shared" si="157"/>
        <v>Youngstown-Warren, OH</v>
      </c>
      <c r="AP1852" s="37" t="s">
        <v>8</v>
      </c>
      <c r="AQ1852" s="25"/>
      <c r="AR1852" s="25"/>
      <c r="AS1852" s="25"/>
      <c r="AT1852" s="25"/>
      <c r="AU1852" s="36"/>
      <c r="AV1852" s="36"/>
      <c r="AW1852" s="36"/>
      <c r="AX1852" s="25"/>
      <c r="AY1852" s="25"/>
      <c r="AZ1852" s="25"/>
      <c r="BA1852" s="25"/>
      <c r="BB1852" s="25"/>
      <c r="BC1852" s="25"/>
      <c r="BD1852" s="25"/>
      <c r="BE1852" s="25"/>
      <c r="BF1852" s="25"/>
      <c r="BG1852" s="25"/>
      <c r="BH1852" s="25"/>
      <c r="BI1852" s="25"/>
      <c r="BJ1852" s="25"/>
      <c r="BK1852" s="25"/>
      <c r="BL1852" s="25"/>
      <c r="BM1852" s="25"/>
      <c r="BN1852" s="25"/>
      <c r="BO1852" s="25"/>
      <c r="BP1852" s="25"/>
      <c r="BQ1852" s="25"/>
      <c r="BR1852" s="25"/>
      <c r="BS1852" s="25"/>
      <c r="BT1852" s="25"/>
      <c r="CD1852" s="25"/>
      <c r="CE1852" s="200"/>
      <c r="CF1852" s="200"/>
      <c r="CG1852" s="200"/>
      <c r="CH1852" s="200"/>
      <c r="CI1852" s="200"/>
      <c r="CJ1852" s="200"/>
      <c r="CK1852" s="200"/>
      <c r="CL1852" s="200"/>
      <c r="CM1852" s="200"/>
      <c r="CN1852" s="200"/>
      <c r="CO1852" s="200"/>
      <c r="CP1852" s="200"/>
      <c r="CQ1852" s="200"/>
      <c r="CR1852" s="200"/>
      <c r="CS1852" s="200"/>
      <c r="CT1852" s="200"/>
      <c r="CU1852" s="200"/>
    </row>
    <row r="1853" spans="1:99" s="17" customFormat="1" x14ac:dyDescent="0.2">
      <c r="A1853" s="25"/>
      <c r="B1853" s="20">
        <v>39113090800</v>
      </c>
      <c r="C1853" s="20">
        <v>908</v>
      </c>
      <c r="D1853" s="20" t="s">
        <v>62</v>
      </c>
      <c r="E1853" s="20" t="s">
        <v>2833</v>
      </c>
      <c r="F1853" s="20" t="s">
        <v>8</v>
      </c>
      <c r="G1853" s="861">
        <v>46.108502103289403</v>
      </c>
      <c r="H1853" s="861">
        <v>41.736874962925299</v>
      </c>
      <c r="I1853" s="861">
        <v>46.9914763559958</v>
      </c>
      <c r="J1853" s="861">
        <v>45.505416422259898</v>
      </c>
      <c r="K1853" s="982">
        <v>0</v>
      </c>
      <c r="L1853" s="735">
        <v>1344</v>
      </c>
      <c r="M1853" s="735">
        <v>1382</v>
      </c>
      <c r="N1853" s="845">
        <f t="shared" si="153"/>
        <v>2.8273809523809524E-2</v>
      </c>
      <c r="O1853" s="735">
        <v>0.27802907558521572</v>
      </c>
      <c r="P1853" s="735">
        <f t="shared" si="154"/>
        <v>4970.7031435149956</v>
      </c>
      <c r="Q1853" s="849">
        <v>40.299999999999997</v>
      </c>
      <c r="R1853" s="71">
        <v>57857</v>
      </c>
      <c r="S1853" s="845">
        <v>0.12735166425470332</v>
      </c>
      <c r="T1853" s="845">
        <v>0.18100000000000002</v>
      </c>
      <c r="U1853" s="845">
        <v>0</v>
      </c>
      <c r="V1853" s="845">
        <v>0</v>
      </c>
      <c r="W1853" s="845">
        <v>0.2226027397260274</v>
      </c>
      <c r="X1853" s="845">
        <v>0.43076923076923079</v>
      </c>
      <c r="Y1853" s="845">
        <v>0.97973950795947906</v>
      </c>
      <c r="Z1853" s="845">
        <v>0</v>
      </c>
      <c r="AA1853" s="845">
        <v>0</v>
      </c>
      <c r="AB1853" s="845">
        <v>2.1707670043415342E-3</v>
      </c>
      <c r="AC1853" s="845">
        <v>0</v>
      </c>
      <c r="AD1853" s="845">
        <v>0</v>
      </c>
      <c r="AE1853" s="845">
        <v>1.8089725036179449E-2</v>
      </c>
      <c r="AF1853" s="845">
        <v>0</v>
      </c>
      <c r="AG1853" s="845">
        <v>0.97973950795947906</v>
      </c>
      <c r="AH1853" s="20" t="str">
        <f t="shared" si="155"/>
        <v>Yes</v>
      </c>
      <c r="AI1853" s="25"/>
      <c r="AJ1853" s="37">
        <v>44444</v>
      </c>
      <c r="AK1853" s="37" t="s">
        <v>1346</v>
      </c>
      <c r="AL1853" s="37">
        <v>39155</v>
      </c>
      <c r="AM1853" s="37" t="s">
        <v>83</v>
      </c>
      <c r="AN1853" s="37">
        <f t="shared" si="156"/>
        <v>49660</v>
      </c>
      <c r="AO1853" s="37" t="str">
        <f t="shared" si="157"/>
        <v>Youngstown-Warren, OH</v>
      </c>
      <c r="AP1853" s="37" t="s">
        <v>8</v>
      </c>
      <c r="AQ1853" s="25"/>
      <c r="AR1853" s="25"/>
      <c r="AS1853" s="25"/>
      <c r="AT1853" s="25"/>
      <c r="AU1853" s="36"/>
      <c r="AV1853" s="36"/>
      <c r="AW1853" s="36"/>
      <c r="AX1853" s="25"/>
      <c r="AY1853" s="25"/>
      <c r="AZ1853" s="25"/>
      <c r="BA1853" s="25"/>
      <c r="BB1853" s="25"/>
      <c r="BC1853" s="25"/>
      <c r="BD1853" s="25"/>
      <c r="BE1853" s="25"/>
      <c r="BF1853" s="25"/>
      <c r="BG1853" s="25"/>
      <c r="BH1853" s="25"/>
      <c r="BI1853" s="25"/>
      <c r="BJ1853" s="25"/>
      <c r="BK1853" s="25"/>
      <c r="BL1853" s="25"/>
      <c r="BM1853" s="25"/>
      <c r="BN1853" s="25"/>
      <c r="BO1853" s="25"/>
      <c r="BP1853" s="25"/>
      <c r="BQ1853" s="25"/>
      <c r="BR1853" s="25"/>
      <c r="BS1853" s="25"/>
      <c r="BT1853" s="25"/>
      <c r="CD1853" s="25"/>
      <c r="CE1853" s="200"/>
      <c r="CF1853" s="200"/>
      <c r="CG1853" s="200"/>
      <c r="CH1853" s="200"/>
      <c r="CI1853" s="200"/>
      <c r="CJ1853" s="200"/>
      <c r="CK1853" s="200"/>
      <c r="CL1853" s="200"/>
      <c r="CM1853" s="200"/>
      <c r="CN1853" s="200"/>
      <c r="CO1853" s="200"/>
      <c r="CP1853" s="200"/>
      <c r="CQ1853" s="200"/>
      <c r="CR1853" s="200"/>
      <c r="CS1853" s="200"/>
      <c r="CT1853" s="200"/>
      <c r="CU1853" s="200"/>
    </row>
    <row r="1854" spans="1:99" s="17" customFormat="1" x14ac:dyDescent="0.2">
      <c r="A1854" s="25"/>
      <c r="B1854" s="20">
        <v>39153520105</v>
      </c>
      <c r="C1854" s="20">
        <v>5201.05</v>
      </c>
      <c r="D1854" s="20" t="s">
        <v>82</v>
      </c>
      <c r="E1854" s="20" t="s">
        <v>2843</v>
      </c>
      <c r="F1854" s="20" t="s">
        <v>8</v>
      </c>
      <c r="G1854" s="861">
        <v>46.107709123381298</v>
      </c>
      <c r="H1854" s="861">
        <v>52.443988622142903</v>
      </c>
      <c r="I1854" s="861">
        <v>24.9583935599413</v>
      </c>
      <c r="J1854" s="861">
        <v>43.633070218967802</v>
      </c>
      <c r="K1854" s="982">
        <v>0</v>
      </c>
      <c r="L1854" s="735">
        <v>4164</v>
      </c>
      <c r="M1854" s="735">
        <v>4327</v>
      </c>
      <c r="N1854" s="845">
        <f t="shared" si="153"/>
        <v>3.9145052833813643E-2</v>
      </c>
      <c r="O1854" s="735">
        <v>1.0081370605211002</v>
      </c>
      <c r="P1854" s="735">
        <f t="shared" si="154"/>
        <v>4292.0751249471959</v>
      </c>
      <c r="Q1854" s="849">
        <v>36.299999999999997</v>
      </c>
      <c r="R1854" s="71">
        <v>67035</v>
      </c>
      <c r="S1854" s="845">
        <v>0.10284261613126877</v>
      </c>
      <c r="T1854" s="845">
        <v>4.4999999999999998E-2</v>
      </c>
      <c r="U1854" s="845">
        <v>2.1000000000000001E-2</v>
      </c>
      <c r="V1854" s="845">
        <v>1.1000000000000001E-2</v>
      </c>
      <c r="W1854" s="845">
        <v>0.3742004264392324</v>
      </c>
      <c r="X1854" s="845">
        <v>0.26923076923076922</v>
      </c>
      <c r="Y1854" s="845">
        <v>0.75571989831291886</v>
      </c>
      <c r="Z1854" s="845">
        <v>6.0087820660966025E-2</v>
      </c>
      <c r="AA1854" s="845">
        <v>0</v>
      </c>
      <c r="AB1854" s="845">
        <v>0.15669054772359603</v>
      </c>
      <c r="AC1854" s="845">
        <v>0</v>
      </c>
      <c r="AD1854" s="845">
        <v>3.2354980355904783E-3</v>
      </c>
      <c r="AE1854" s="845">
        <v>2.4266235266928587E-2</v>
      </c>
      <c r="AF1854" s="845">
        <v>3.2354980355904783E-3</v>
      </c>
      <c r="AG1854" s="845">
        <v>0.75571989831291886</v>
      </c>
      <c r="AH1854" s="20" t="str">
        <f t="shared" si="155"/>
        <v>No</v>
      </c>
      <c r="AI1854" s="25"/>
      <c r="AJ1854" s="37">
        <v>44446</v>
      </c>
      <c r="AK1854" s="37" t="s">
        <v>1348</v>
      </c>
      <c r="AL1854" s="37">
        <v>39155</v>
      </c>
      <c r="AM1854" s="37" t="s">
        <v>83</v>
      </c>
      <c r="AN1854" s="37">
        <f t="shared" si="156"/>
        <v>49660</v>
      </c>
      <c r="AO1854" s="37" t="str">
        <f t="shared" si="157"/>
        <v>Youngstown-Warren, OH</v>
      </c>
      <c r="AP1854" s="37" t="s">
        <v>8</v>
      </c>
      <c r="AQ1854" s="25"/>
      <c r="AR1854" s="25"/>
      <c r="AS1854" s="25"/>
      <c r="AT1854" s="25"/>
      <c r="AU1854" s="36"/>
      <c r="AV1854" s="36"/>
      <c r="AW1854" s="36"/>
      <c r="AX1854" s="25"/>
      <c r="AY1854" s="25"/>
      <c r="AZ1854" s="25"/>
      <c r="BA1854" s="25"/>
      <c r="BB1854" s="25"/>
      <c r="BC1854" s="25"/>
      <c r="BD1854" s="25"/>
      <c r="BE1854" s="25"/>
      <c r="BF1854" s="25"/>
      <c r="BG1854" s="25"/>
      <c r="BH1854" s="25"/>
      <c r="BI1854" s="25"/>
      <c r="BJ1854" s="25"/>
      <c r="BK1854" s="25"/>
      <c r="BL1854" s="25"/>
      <c r="BM1854" s="25"/>
      <c r="BN1854" s="25"/>
      <c r="BO1854" s="25"/>
      <c r="BP1854" s="25"/>
      <c r="BQ1854" s="25"/>
      <c r="BR1854" s="25"/>
      <c r="BS1854" s="25"/>
      <c r="BT1854" s="25"/>
      <c r="CD1854" s="25"/>
      <c r="CE1854" s="200"/>
      <c r="CF1854" s="200"/>
      <c r="CG1854" s="200"/>
      <c r="CH1854" s="200"/>
      <c r="CI1854" s="200"/>
      <c r="CJ1854" s="200"/>
      <c r="CK1854" s="200"/>
      <c r="CL1854" s="200"/>
      <c r="CM1854" s="200"/>
      <c r="CN1854" s="200"/>
      <c r="CO1854" s="200"/>
      <c r="CP1854" s="200"/>
      <c r="CQ1854" s="200"/>
      <c r="CR1854" s="200"/>
      <c r="CS1854" s="200"/>
      <c r="CT1854" s="200"/>
      <c r="CU1854" s="200"/>
    </row>
    <row r="1855" spans="1:99" s="17" customFormat="1" x14ac:dyDescent="0.2">
      <c r="A1855" s="25"/>
      <c r="B1855" s="20">
        <v>39107967800</v>
      </c>
      <c r="C1855" s="20">
        <v>9678</v>
      </c>
      <c r="D1855" s="20" t="s">
        <v>59</v>
      </c>
      <c r="E1855" s="20" t="s">
        <v>265</v>
      </c>
      <c r="F1855" s="20" t="s">
        <v>8</v>
      </c>
      <c r="G1855" s="861">
        <v>46.067265730601903</v>
      </c>
      <c r="H1855" s="861">
        <v>57.278081776110596</v>
      </c>
      <c r="I1855" s="861">
        <v>18.592641281759398</v>
      </c>
      <c r="J1855" s="861">
        <v>46.5457254399372</v>
      </c>
      <c r="K1855" s="982">
        <v>0</v>
      </c>
      <c r="L1855" s="735">
        <v>1971</v>
      </c>
      <c r="M1855" s="735">
        <v>2423</v>
      </c>
      <c r="N1855" s="845">
        <f t="shared" si="153"/>
        <v>0.22932521562658548</v>
      </c>
      <c r="O1855" s="735">
        <v>14.761504445670989</v>
      </c>
      <c r="P1855" s="735">
        <f t="shared" si="154"/>
        <v>164.14316094390892</v>
      </c>
      <c r="Q1855" s="849">
        <v>54.4</v>
      </c>
      <c r="R1855" s="71">
        <v>63011</v>
      </c>
      <c r="S1855" s="845">
        <v>4.8699958728848532E-2</v>
      </c>
      <c r="T1855" s="845">
        <v>7.2999999999999995E-2</v>
      </c>
      <c r="U1855" s="845">
        <v>3.7999999999999999E-2</v>
      </c>
      <c r="V1855" s="845">
        <v>0.33799999999999997</v>
      </c>
      <c r="W1855" s="845">
        <v>7.0898598516075842E-2</v>
      </c>
      <c r="X1855" s="845">
        <v>0.18604651162790697</v>
      </c>
      <c r="Y1855" s="845">
        <v>0.95542715641766407</v>
      </c>
      <c r="Z1855" s="845">
        <v>1.6921172100701608E-2</v>
      </c>
      <c r="AA1855" s="845">
        <v>0</v>
      </c>
      <c r="AB1855" s="845">
        <v>2.0635575732562937E-3</v>
      </c>
      <c r="AC1855" s="845">
        <v>0</v>
      </c>
      <c r="AD1855" s="845">
        <v>0</v>
      </c>
      <c r="AE1855" s="845">
        <v>2.5588113908378042E-2</v>
      </c>
      <c r="AF1855" s="845">
        <v>1.6921172100701608E-2</v>
      </c>
      <c r="AG1855" s="845">
        <v>0.95542715641766407</v>
      </c>
      <c r="AH1855" s="20" t="str">
        <f t="shared" si="155"/>
        <v>Yes</v>
      </c>
      <c r="AI1855" s="25"/>
      <c r="AJ1855" s="37">
        <v>44450</v>
      </c>
      <c r="AK1855" s="37" t="s">
        <v>1350</v>
      </c>
      <c r="AL1855" s="37">
        <v>39155</v>
      </c>
      <c r="AM1855" s="37" t="s">
        <v>83</v>
      </c>
      <c r="AN1855" s="37">
        <f t="shared" si="156"/>
        <v>49660</v>
      </c>
      <c r="AO1855" s="37" t="str">
        <f t="shared" si="157"/>
        <v>Youngstown-Warren, OH</v>
      </c>
      <c r="AP1855" s="37" t="s">
        <v>8</v>
      </c>
      <c r="AQ1855" s="25"/>
      <c r="AR1855" s="25"/>
      <c r="AS1855" s="25"/>
      <c r="AT1855" s="25"/>
      <c r="AU1855" s="36"/>
      <c r="AV1855" s="36"/>
      <c r="AW1855" s="36"/>
      <c r="AX1855" s="25"/>
      <c r="AY1855" s="25"/>
      <c r="AZ1855" s="25"/>
      <c r="BA1855" s="25"/>
      <c r="BB1855" s="25"/>
      <c r="BC1855" s="25"/>
      <c r="BD1855" s="25"/>
      <c r="BE1855" s="25"/>
      <c r="BF1855" s="25"/>
      <c r="BG1855" s="25"/>
      <c r="BH1855" s="25"/>
      <c r="BI1855" s="25"/>
      <c r="BJ1855" s="25"/>
      <c r="BK1855" s="25"/>
      <c r="BL1855" s="25"/>
      <c r="BM1855" s="25"/>
      <c r="BN1855" s="25"/>
      <c r="BO1855" s="25"/>
      <c r="BP1855" s="25"/>
      <c r="BQ1855" s="25"/>
      <c r="BR1855" s="25"/>
      <c r="BS1855" s="25"/>
      <c r="BT1855" s="25"/>
      <c r="CD1855" s="25"/>
      <c r="CE1855" s="200"/>
      <c r="CF1855" s="200"/>
      <c r="CG1855" s="200"/>
      <c r="CH1855" s="200"/>
      <c r="CI1855" s="200"/>
      <c r="CJ1855" s="200"/>
      <c r="CK1855" s="200"/>
      <c r="CL1855" s="200"/>
      <c r="CM1855" s="200"/>
      <c r="CN1855" s="200"/>
      <c r="CO1855" s="200"/>
      <c r="CP1855" s="200"/>
      <c r="CQ1855" s="200"/>
      <c r="CR1855" s="200"/>
      <c r="CS1855" s="200"/>
      <c r="CT1855" s="200"/>
      <c r="CU1855" s="200"/>
    </row>
    <row r="1856" spans="1:99" s="17" customFormat="1" x14ac:dyDescent="0.2">
      <c r="A1856" s="25"/>
      <c r="B1856" s="20">
        <v>39025041101</v>
      </c>
      <c r="C1856" s="20">
        <v>411.01</v>
      </c>
      <c r="D1856" s="20" t="s">
        <v>19</v>
      </c>
      <c r="E1856" s="20" t="s">
        <v>2828</v>
      </c>
      <c r="F1856" s="20" t="s">
        <v>8</v>
      </c>
      <c r="G1856" s="861">
        <v>46.065542302239301</v>
      </c>
      <c r="H1856" s="861">
        <v>49.134687643729698</v>
      </c>
      <c r="I1856" s="861">
        <v>27.569487073082399</v>
      </c>
      <c r="J1856" s="861">
        <v>51.416849032649402</v>
      </c>
      <c r="K1856" s="982">
        <v>0</v>
      </c>
      <c r="L1856" s="735">
        <v>2815</v>
      </c>
      <c r="M1856" s="735">
        <v>4025</v>
      </c>
      <c r="N1856" s="845">
        <f t="shared" si="153"/>
        <v>0.42984014209591476</v>
      </c>
      <c r="O1856" s="735">
        <v>3.3966603808076945</v>
      </c>
      <c r="P1856" s="735">
        <f t="shared" si="154"/>
        <v>1184.987472619471</v>
      </c>
      <c r="Q1856" s="849">
        <v>39.1</v>
      </c>
      <c r="R1856" s="71">
        <v>93962</v>
      </c>
      <c r="S1856" s="845">
        <v>0.15091994032819492</v>
      </c>
      <c r="T1856" s="845">
        <v>7.2999999999999995E-2</v>
      </c>
      <c r="U1856" s="845">
        <v>0</v>
      </c>
      <c r="V1856" s="845">
        <v>1.8000000000000002E-2</v>
      </c>
      <c r="W1856" s="845">
        <v>0.24840357598978288</v>
      </c>
      <c r="X1856" s="845">
        <v>0.40616966580976865</v>
      </c>
      <c r="Y1856" s="845">
        <v>0.88099378881987578</v>
      </c>
      <c r="Z1856" s="845">
        <v>2.782608695652174E-2</v>
      </c>
      <c r="AA1856" s="845">
        <v>2.4844720496894411E-4</v>
      </c>
      <c r="AB1856" s="845">
        <v>3.2546583850931676E-2</v>
      </c>
      <c r="AC1856" s="845">
        <v>0</v>
      </c>
      <c r="AD1856" s="845">
        <v>5.46583850931677E-3</v>
      </c>
      <c r="AE1856" s="845">
        <v>5.2919254658385095E-2</v>
      </c>
      <c r="AF1856" s="845">
        <v>3.4285714285714287E-2</v>
      </c>
      <c r="AG1856" s="845">
        <v>0.87552795031055897</v>
      </c>
      <c r="AH1856" s="20" t="str">
        <f t="shared" si="155"/>
        <v>No</v>
      </c>
      <c r="AI1856" s="25"/>
      <c r="AJ1856" s="37">
        <v>44470</v>
      </c>
      <c r="AK1856" s="37" t="s">
        <v>1356</v>
      </c>
      <c r="AL1856" s="37">
        <v>39155</v>
      </c>
      <c r="AM1856" s="37" t="s">
        <v>83</v>
      </c>
      <c r="AN1856" s="37">
        <f t="shared" si="156"/>
        <v>49660</v>
      </c>
      <c r="AO1856" s="37" t="str">
        <f t="shared" si="157"/>
        <v>Youngstown-Warren, OH</v>
      </c>
      <c r="AP1856" s="37" t="s">
        <v>8</v>
      </c>
      <c r="AQ1856" s="25"/>
      <c r="AR1856" s="25"/>
      <c r="AS1856" s="25"/>
      <c r="AT1856" s="25"/>
      <c r="AU1856" s="36"/>
      <c r="AV1856" s="36"/>
      <c r="AW1856" s="36"/>
      <c r="AX1856" s="25"/>
      <c r="AY1856" s="25"/>
      <c r="AZ1856" s="25"/>
      <c r="BA1856" s="25"/>
      <c r="BB1856" s="25"/>
      <c r="BC1856" s="25"/>
      <c r="BD1856" s="25"/>
      <c r="BE1856" s="25"/>
      <c r="BF1856" s="25"/>
      <c r="BG1856" s="25"/>
      <c r="BH1856" s="25"/>
      <c r="BI1856" s="25"/>
      <c r="BJ1856" s="25"/>
      <c r="BK1856" s="25"/>
      <c r="BL1856" s="25"/>
      <c r="BM1856" s="25"/>
      <c r="BN1856" s="25"/>
      <c r="BO1856" s="25"/>
      <c r="BP1856" s="25"/>
      <c r="BQ1856" s="25"/>
      <c r="BR1856" s="25"/>
      <c r="BS1856" s="25"/>
      <c r="BT1856" s="25"/>
      <c r="CD1856" s="25"/>
      <c r="CE1856" s="200"/>
      <c r="CF1856" s="200"/>
      <c r="CG1856" s="200"/>
      <c r="CH1856" s="200"/>
      <c r="CI1856" s="200"/>
      <c r="CJ1856" s="200"/>
      <c r="CK1856" s="200"/>
      <c r="CL1856" s="200"/>
      <c r="CM1856" s="200"/>
      <c r="CN1856" s="200"/>
      <c r="CO1856" s="200"/>
      <c r="CP1856" s="200"/>
      <c r="CQ1856" s="200"/>
      <c r="CR1856" s="200"/>
      <c r="CS1856" s="200"/>
      <c r="CT1856" s="200"/>
      <c r="CU1856" s="200"/>
    </row>
    <row r="1857" spans="1:99" s="17" customFormat="1" x14ac:dyDescent="0.2">
      <c r="A1857" s="25"/>
      <c r="B1857" s="20">
        <v>39095007204</v>
      </c>
      <c r="C1857" s="20">
        <v>72.040000000000006</v>
      </c>
      <c r="D1857" s="20" t="s">
        <v>53</v>
      </c>
      <c r="E1857" s="20" t="s">
        <v>2839</v>
      </c>
      <c r="F1857" s="20" t="s">
        <v>8</v>
      </c>
      <c r="G1857" s="861">
        <v>46.010172090379001</v>
      </c>
      <c r="H1857" s="861">
        <v>48.1348245608133</v>
      </c>
      <c r="I1857" s="861">
        <v>20.8222384833328</v>
      </c>
      <c r="J1857" s="861">
        <v>44.943466997804997</v>
      </c>
      <c r="K1857" s="982">
        <v>0</v>
      </c>
      <c r="L1857" s="735">
        <v>4624</v>
      </c>
      <c r="M1857" s="735">
        <v>5262</v>
      </c>
      <c r="N1857" s="845">
        <f t="shared" si="153"/>
        <v>0.13797577854671281</v>
      </c>
      <c r="O1857" s="735">
        <v>1.69412399348814</v>
      </c>
      <c r="P1857" s="735">
        <f t="shared" si="154"/>
        <v>3106.030030993028</v>
      </c>
      <c r="Q1857" s="849">
        <v>32.299999999999997</v>
      </c>
      <c r="R1857" s="71">
        <v>60522</v>
      </c>
      <c r="S1857" s="845">
        <v>6.0535051747705529E-2</v>
      </c>
      <c r="T1857" s="845">
        <v>0.19399999999999998</v>
      </c>
      <c r="U1857" s="845">
        <v>0</v>
      </c>
      <c r="V1857" s="845">
        <v>0</v>
      </c>
      <c r="W1857" s="845">
        <v>0.63314097279472381</v>
      </c>
      <c r="X1857" s="845">
        <v>0.12174479166666667</v>
      </c>
      <c r="Y1857" s="845">
        <v>0.48099581908019762</v>
      </c>
      <c r="Z1857" s="845">
        <v>0.36754085898897759</v>
      </c>
      <c r="AA1857" s="845">
        <v>7.98175598631699E-3</v>
      </c>
      <c r="AB1857" s="845">
        <v>2.3755226149752947E-2</v>
      </c>
      <c r="AC1857" s="845">
        <v>0</v>
      </c>
      <c r="AD1857" s="845">
        <v>5.4732041049030788E-2</v>
      </c>
      <c r="AE1857" s="845">
        <v>6.4994298745724058E-2</v>
      </c>
      <c r="AF1857" s="845">
        <v>0.10680349676928924</v>
      </c>
      <c r="AG1857" s="845">
        <v>0.45210946408209807</v>
      </c>
      <c r="AH1857" s="20" t="str">
        <f t="shared" si="155"/>
        <v>No</v>
      </c>
      <c r="AI1857" s="25"/>
      <c r="AJ1857" s="37">
        <v>44473</v>
      </c>
      <c r="AK1857" s="37" t="s">
        <v>1358</v>
      </c>
      <c r="AL1857" s="37">
        <v>39155</v>
      </c>
      <c r="AM1857" s="37" t="s">
        <v>83</v>
      </c>
      <c r="AN1857" s="37">
        <f t="shared" si="156"/>
        <v>49660</v>
      </c>
      <c r="AO1857" s="37" t="str">
        <f t="shared" si="157"/>
        <v>Youngstown-Warren, OH</v>
      </c>
      <c r="AP1857" s="37" t="s">
        <v>8</v>
      </c>
      <c r="AQ1857" s="25"/>
      <c r="AR1857" s="25"/>
      <c r="AS1857" s="25"/>
      <c r="AT1857" s="25"/>
      <c r="AU1857" s="36"/>
      <c r="AV1857" s="36"/>
      <c r="AW1857" s="36"/>
      <c r="AX1857" s="25"/>
      <c r="AY1857" s="25"/>
      <c r="AZ1857" s="25"/>
      <c r="BA1857" s="25"/>
      <c r="BB1857" s="25"/>
      <c r="BC1857" s="25"/>
      <c r="BD1857" s="25"/>
      <c r="BE1857" s="25"/>
      <c r="BF1857" s="25"/>
      <c r="BG1857" s="25"/>
      <c r="BH1857" s="25"/>
      <c r="BI1857" s="25"/>
      <c r="BJ1857" s="25"/>
      <c r="BK1857" s="25"/>
      <c r="BL1857" s="25"/>
      <c r="BM1857" s="25"/>
      <c r="BN1857" s="25"/>
      <c r="BO1857" s="25"/>
      <c r="BP1857" s="25"/>
      <c r="BQ1857" s="25"/>
      <c r="BR1857" s="25"/>
      <c r="BS1857" s="25"/>
      <c r="BT1857" s="25"/>
      <c r="CD1857" s="25"/>
      <c r="CE1857" s="200"/>
      <c r="CF1857" s="200"/>
      <c r="CG1857" s="200"/>
      <c r="CH1857" s="200"/>
      <c r="CI1857" s="200"/>
      <c r="CJ1857" s="200"/>
      <c r="CK1857" s="200"/>
      <c r="CL1857" s="200"/>
      <c r="CM1857" s="200"/>
      <c r="CN1857" s="200"/>
      <c r="CO1857" s="200"/>
      <c r="CP1857" s="200"/>
      <c r="CQ1857" s="200"/>
      <c r="CR1857" s="200"/>
      <c r="CS1857" s="200"/>
      <c r="CT1857" s="200"/>
      <c r="CU1857" s="200"/>
    </row>
    <row r="1858" spans="1:99" s="17" customFormat="1" x14ac:dyDescent="0.2">
      <c r="A1858" s="25"/>
      <c r="B1858" s="20">
        <v>39143962200</v>
      </c>
      <c r="C1858" s="20">
        <v>9622</v>
      </c>
      <c r="D1858" s="20" t="s">
        <v>77</v>
      </c>
      <c r="E1858" s="20" t="s">
        <v>265</v>
      </c>
      <c r="F1858" s="20" t="s">
        <v>8</v>
      </c>
      <c r="G1858" s="861">
        <v>46.009907183331002</v>
      </c>
      <c r="H1858" s="861">
        <v>46.339676772463598</v>
      </c>
      <c r="I1858" s="861">
        <v>35.735953546972702</v>
      </c>
      <c r="J1858" s="861">
        <v>24.974634012994301</v>
      </c>
      <c r="K1858" s="982">
        <v>1</v>
      </c>
      <c r="L1858" s="735">
        <v>4437</v>
      </c>
      <c r="M1858" s="735">
        <v>4451</v>
      </c>
      <c r="N1858" s="845">
        <f t="shared" si="153"/>
        <v>3.1552851025467656E-3</v>
      </c>
      <c r="O1858" s="735">
        <v>2.8554605990063795</v>
      </c>
      <c r="P1858" s="735">
        <f t="shared" si="154"/>
        <v>1558.7677874276478</v>
      </c>
      <c r="Q1858" s="849">
        <v>45.2</v>
      </c>
      <c r="R1858" s="71">
        <v>49158</v>
      </c>
      <c r="S1858" s="845">
        <v>0.16536875858909758</v>
      </c>
      <c r="T1858" s="845">
        <v>0.05</v>
      </c>
      <c r="U1858" s="845">
        <v>0</v>
      </c>
      <c r="V1858" s="845">
        <v>0</v>
      </c>
      <c r="W1858" s="845">
        <v>0.34473820632452046</v>
      </c>
      <c r="X1858" s="845">
        <v>0.39849624060150374</v>
      </c>
      <c r="Y1858" s="845">
        <v>0.89957312963379021</v>
      </c>
      <c r="Z1858" s="845">
        <v>9.6607503931700738E-3</v>
      </c>
      <c r="AA1858" s="845">
        <v>0</v>
      </c>
      <c r="AB1858" s="845">
        <v>4.4933722758930573E-3</v>
      </c>
      <c r="AC1858" s="845">
        <v>0</v>
      </c>
      <c r="AD1858" s="845">
        <v>2.5836890586385081E-2</v>
      </c>
      <c r="AE1858" s="845">
        <v>6.0435857110761625E-2</v>
      </c>
      <c r="AF1858" s="845">
        <v>8.2902718490226915E-2</v>
      </c>
      <c r="AG1858" s="845">
        <v>0.8753089193439676</v>
      </c>
      <c r="AH1858" s="20" t="str">
        <f t="shared" si="155"/>
        <v>No</v>
      </c>
      <c r="AI1858" s="25"/>
      <c r="AJ1858" s="37">
        <v>44481</v>
      </c>
      <c r="AK1858" s="37" t="s">
        <v>1359</v>
      </c>
      <c r="AL1858" s="37">
        <v>39155</v>
      </c>
      <c r="AM1858" s="37" t="s">
        <v>83</v>
      </c>
      <c r="AN1858" s="37">
        <f t="shared" si="156"/>
        <v>49660</v>
      </c>
      <c r="AO1858" s="37" t="str">
        <f t="shared" si="157"/>
        <v>Youngstown-Warren, OH</v>
      </c>
      <c r="AP1858" s="37" t="s">
        <v>8</v>
      </c>
      <c r="AQ1858" s="25"/>
      <c r="AR1858" s="25"/>
      <c r="AS1858" s="25"/>
      <c r="AT1858" s="25"/>
      <c r="AU1858" s="36"/>
      <c r="AV1858" s="36"/>
      <c r="AW1858" s="36"/>
      <c r="AX1858" s="25"/>
      <c r="AY1858" s="25"/>
      <c r="AZ1858" s="25"/>
      <c r="BA1858" s="25"/>
      <c r="BB1858" s="25"/>
      <c r="BC1858" s="25"/>
      <c r="BD1858" s="25"/>
      <c r="BE1858" s="25"/>
      <c r="BF1858" s="25"/>
      <c r="BG1858" s="25"/>
      <c r="BH1858" s="25"/>
      <c r="BI1858" s="25"/>
      <c r="BJ1858" s="25"/>
      <c r="BK1858" s="25"/>
      <c r="BL1858" s="25"/>
      <c r="BM1858" s="25"/>
      <c r="BN1858" s="25"/>
      <c r="BO1858" s="25"/>
      <c r="BP1858" s="25"/>
      <c r="BQ1858" s="25"/>
      <c r="BR1858" s="25"/>
      <c r="BS1858" s="25"/>
      <c r="BT1858" s="25"/>
      <c r="CD1858" s="25"/>
      <c r="CE1858" s="200"/>
      <c r="CF1858" s="200"/>
      <c r="CG1858" s="200"/>
      <c r="CH1858" s="200"/>
      <c r="CI1858" s="200"/>
      <c r="CJ1858" s="200"/>
      <c r="CK1858" s="200"/>
      <c r="CL1858" s="200"/>
      <c r="CM1858" s="200"/>
      <c r="CN1858" s="200"/>
      <c r="CO1858" s="200"/>
      <c r="CP1858" s="200"/>
      <c r="CQ1858" s="200"/>
      <c r="CR1858" s="200"/>
      <c r="CS1858" s="200"/>
      <c r="CT1858" s="200"/>
      <c r="CU1858" s="200"/>
    </row>
    <row r="1859" spans="1:99" s="17" customFormat="1" x14ac:dyDescent="0.2">
      <c r="A1859" s="25"/>
      <c r="B1859" s="20">
        <v>39059977600</v>
      </c>
      <c r="C1859" s="20">
        <v>9776</v>
      </c>
      <c r="D1859" s="20" t="s">
        <v>36</v>
      </c>
      <c r="E1859" s="20" t="s">
        <v>265</v>
      </c>
      <c r="F1859" s="20" t="s">
        <v>6</v>
      </c>
      <c r="G1859" s="861">
        <v>46.004816607725601</v>
      </c>
      <c r="H1859" s="861">
        <v>22.2469553387491</v>
      </c>
      <c r="I1859" s="861">
        <v>49.279200633460803</v>
      </c>
      <c r="J1859" s="861">
        <v>39.9810251656749</v>
      </c>
      <c r="K1859" s="982">
        <v>0</v>
      </c>
      <c r="L1859" s="735">
        <v>3045</v>
      </c>
      <c r="M1859" s="735">
        <v>2855</v>
      </c>
      <c r="N1859" s="845">
        <f t="shared" si="153"/>
        <v>-6.2397372742200329E-2</v>
      </c>
      <c r="O1859" s="735">
        <v>2.9062226081030156</v>
      </c>
      <c r="P1859" s="735">
        <f t="shared" si="154"/>
        <v>982.3748504466937</v>
      </c>
      <c r="Q1859" s="849">
        <v>38.4</v>
      </c>
      <c r="R1859" s="71">
        <v>30469</v>
      </c>
      <c r="S1859" s="845">
        <v>0.34214285714285714</v>
      </c>
      <c r="T1859" s="845">
        <v>1.8000000000000002E-2</v>
      </c>
      <c r="U1859" s="845">
        <v>0.05</v>
      </c>
      <c r="V1859" s="845">
        <v>0.107</v>
      </c>
      <c r="W1859" s="845">
        <v>0.60695780903034791</v>
      </c>
      <c r="X1859" s="845">
        <v>0.48292682926829267</v>
      </c>
      <c r="Y1859" s="845">
        <v>0.91348511383537656</v>
      </c>
      <c r="Z1859" s="845">
        <v>2.9422066549912435E-2</v>
      </c>
      <c r="AA1859" s="845">
        <v>7.0052539404553418E-4</v>
      </c>
      <c r="AB1859" s="845">
        <v>1.1208406304728547E-2</v>
      </c>
      <c r="AC1859" s="845">
        <v>0</v>
      </c>
      <c r="AD1859" s="845">
        <v>0</v>
      </c>
      <c r="AE1859" s="845">
        <v>4.518388791593695E-2</v>
      </c>
      <c r="AF1859" s="845">
        <v>3.5026269702276709E-4</v>
      </c>
      <c r="AG1859" s="845">
        <v>0.91348511383537656</v>
      </c>
      <c r="AH1859" s="20" t="str">
        <f t="shared" si="155"/>
        <v>Yes</v>
      </c>
      <c r="AI1859" s="25"/>
      <c r="AJ1859" s="37">
        <v>44483</v>
      </c>
      <c r="AK1859" s="37" t="s">
        <v>1360</v>
      </c>
      <c r="AL1859" s="37">
        <v>39155</v>
      </c>
      <c r="AM1859" s="37" t="s">
        <v>83</v>
      </c>
      <c r="AN1859" s="37">
        <f t="shared" si="156"/>
        <v>49660</v>
      </c>
      <c r="AO1859" s="37" t="str">
        <f t="shared" si="157"/>
        <v>Youngstown-Warren, OH</v>
      </c>
      <c r="AP1859" s="37" t="s">
        <v>8</v>
      </c>
      <c r="AQ1859" s="25"/>
      <c r="AR1859" s="25"/>
      <c r="AS1859" s="25"/>
      <c r="AT1859" s="25"/>
      <c r="AU1859" s="36"/>
      <c r="AV1859" s="36"/>
      <c r="AW1859" s="36"/>
      <c r="AX1859" s="25"/>
      <c r="AY1859" s="25"/>
      <c r="AZ1859" s="25"/>
      <c r="BA1859" s="25"/>
      <c r="BB1859" s="25"/>
      <c r="BC1859" s="25"/>
      <c r="BD1859" s="25"/>
      <c r="BE1859" s="25"/>
      <c r="BF1859" s="25"/>
      <c r="BG1859" s="25"/>
      <c r="BH1859" s="25"/>
      <c r="BI1859" s="25"/>
      <c r="BJ1859" s="25"/>
      <c r="BK1859" s="25"/>
      <c r="BL1859" s="25"/>
      <c r="BM1859" s="25"/>
      <c r="BN1859" s="25"/>
      <c r="BO1859" s="25"/>
      <c r="BP1859" s="25"/>
      <c r="BQ1859" s="25"/>
      <c r="BR1859" s="25"/>
      <c r="BS1859" s="25"/>
      <c r="BT1859" s="25"/>
      <c r="CD1859" s="25"/>
      <c r="CE1859" s="200"/>
      <c r="CF1859" s="200"/>
      <c r="CG1859" s="200"/>
      <c r="CH1859" s="200"/>
      <c r="CI1859" s="200"/>
      <c r="CJ1859" s="200"/>
      <c r="CK1859" s="200"/>
      <c r="CL1859" s="200"/>
      <c r="CM1859" s="200"/>
      <c r="CN1859" s="200"/>
      <c r="CO1859" s="200"/>
      <c r="CP1859" s="200"/>
      <c r="CQ1859" s="200"/>
      <c r="CR1859" s="200"/>
      <c r="CS1859" s="200"/>
      <c r="CT1859" s="200"/>
      <c r="CU1859" s="200"/>
    </row>
    <row r="1860" spans="1:99" s="17" customFormat="1" x14ac:dyDescent="0.2">
      <c r="A1860" s="25"/>
      <c r="B1860" s="20">
        <v>39061021801</v>
      </c>
      <c r="C1860" s="20">
        <v>218.01</v>
      </c>
      <c r="D1860" s="20" t="s">
        <v>37</v>
      </c>
      <c r="E1860" s="20" t="s">
        <v>2828</v>
      </c>
      <c r="F1860" s="20" t="s">
        <v>6</v>
      </c>
      <c r="G1860" s="861">
        <v>45.989227936633597</v>
      </c>
      <c r="H1860" s="861">
        <v>61.448615928992702</v>
      </c>
      <c r="I1860" s="861">
        <v>38.6296091192863</v>
      </c>
      <c r="J1860" s="861">
        <v>39.863815278376499</v>
      </c>
      <c r="K1860" s="982">
        <v>0</v>
      </c>
      <c r="L1860" s="735">
        <v>6253</v>
      </c>
      <c r="M1860" s="735">
        <v>5639</v>
      </c>
      <c r="N1860" s="845">
        <f t="shared" si="153"/>
        <v>-9.8192867423636657E-2</v>
      </c>
      <c r="O1860" s="735">
        <v>1.1250283307285145</v>
      </c>
      <c r="P1860" s="735">
        <f t="shared" si="154"/>
        <v>5012.3182198873637</v>
      </c>
      <c r="Q1860" s="849">
        <v>30.6</v>
      </c>
      <c r="R1860" s="71">
        <v>69375</v>
      </c>
      <c r="S1860" s="845">
        <v>0.26653379235368724</v>
      </c>
      <c r="T1860" s="845">
        <v>8.6999999999999994E-2</v>
      </c>
      <c r="U1860" s="845">
        <v>2.7999999999999997E-2</v>
      </c>
      <c r="V1860" s="845">
        <v>0</v>
      </c>
      <c r="W1860" s="845">
        <v>0.37275514673674986</v>
      </c>
      <c r="X1860" s="845">
        <v>0.57344300822561689</v>
      </c>
      <c r="Y1860" s="845">
        <v>0.31672282319560208</v>
      </c>
      <c r="Z1860" s="845">
        <v>0.62564284447597096</v>
      </c>
      <c r="AA1860" s="845">
        <v>0</v>
      </c>
      <c r="AB1860" s="845">
        <v>7.8028019152331972E-3</v>
      </c>
      <c r="AC1860" s="845">
        <v>0</v>
      </c>
      <c r="AD1860" s="845">
        <v>0</v>
      </c>
      <c r="AE1860" s="845">
        <v>4.9831530413193825E-2</v>
      </c>
      <c r="AF1860" s="845">
        <v>7.2707926937400245E-3</v>
      </c>
      <c r="AG1860" s="845">
        <v>0.31672282319560208</v>
      </c>
      <c r="AH1860" s="20" t="str">
        <f t="shared" si="155"/>
        <v>No</v>
      </c>
      <c r="AI1860" s="25"/>
      <c r="AJ1860" s="37">
        <v>44484</v>
      </c>
      <c r="AK1860" s="37" t="s">
        <v>1361</v>
      </c>
      <c r="AL1860" s="37">
        <v>39155</v>
      </c>
      <c r="AM1860" s="37" t="s">
        <v>83</v>
      </c>
      <c r="AN1860" s="37">
        <f t="shared" si="156"/>
        <v>49660</v>
      </c>
      <c r="AO1860" s="37" t="str">
        <f t="shared" si="157"/>
        <v>Youngstown-Warren, OH</v>
      </c>
      <c r="AP1860" s="37" t="s">
        <v>8</v>
      </c>
      <c r="AQ1860" s="25"/>
      <c r="AR1860" s="25"/>
      <c r="AS1860" s="25"/>
      <c r="AT1860" s="25"/>
      <c r="AU1860" s="36"/>
      <c r="AV1860" s="36"/>
      <c r="AW1860" s="36"/>
      <c r="AX1860" s="25"/>
      <c r="AY1860" s="25"/>
      <c r="AZ1860" s="25"/>
      <c r="BA1860" s="25"/>
      <c r="BB1860" s="25"/>
      <c r="BC1860" s="25"/>
      <c r="BD1860" s="25"/>
      <c r="BE1860" s="25"/>
      <c r="BF1860" s="25"/>
      <c r="BG1860" s="25"/>
      <c r="BH1860" s="25"/>
      <c r="BI1860" s="25"/>
      <c r="BJ1860" s="25"/>
      <c r="BK1860" s="25"/>
      <c r="BL1860" s="25"/>
      <c r="BM1860" s="25"/>
      <c r="BN1860" s="25"/>
      <c r="BO1860" s="25"/>
      <c r="BP1860" s="25"/>
      <c r="BQ1860" s="25"/>
      <c r="BR1860" s="25"/>
      <c r="BS1860" s="25"/>
      <c r="BT1860" s="25"/>
      <c r="CD1860" s="25"/>
      <c r="CE1860" s="200"/>
      <c r="CF1860" s="200"/>
      <c r="CG1860" s="200"/>
      <c r="CH1860" s="200"/>
      <c r="CI1860" s="200"/>
      <c r="CJ1860" s="200"/>
      <c r="CK1860" s="200"/>
      <c r="CL1860" s="200"/>
      <c r="CM1860" s="200"/>
      <c r="CN1860" s="200"/>
      <c r="CO1860" s="200"/>
      <c r="CP1860" s="200"/>
      <c r="CQ1860" s="200"/>
      <c r="CR1860" s="200"/>
      <c r="CS1860" s="200"/>
      <c r="CT1860" s="200"/>
      <c r="CU1860" s="200"/>
    </row>
    <row r="1861" spans="1:99" s="17" customFormat="1" x14ac:dyDescent="0.2">
      <c r="A1861" s="25"/>
      <c r="B1861" s="20">
        <v>39091004300</v>
      </c>
      <c r="C1861" s="20">
        <v>43</v>
      </c>
      <c r="D1861" s="20" t="s">
        <v>51</v>
      </c>
      <c r="E1861" s="20" t="s">
        <v>265</v>
      </c>
      <c r="F1861" s="20" t="s">
        <v>8</v>
      </c>
      <c r="G1861" s="861">
        <v>45.979231044605797</v>
      </c>
      <c r="H1861" s="861">
        <v>56.041802776527099</v>
      </c>
      <c r="I1861" s="861">
        <v>16.214875276563099</v>
      </c>
      <c r="J1861" s="861">
        <v>58.883780279394102</v>
      </c>
      <c r="K1861" s="982">
        <v>0</v>
      </c>
      <c r="L1861" s="735">
        <v>6626</v>
      </c>
      <c r="M1861" s="735">
        <v>5860</v>
      </c>
      <c r="N1861" s="845">
        <f t="shared" si="153"/>
        <v>-0.11560519166918201</v>
      </c>
      <c r="O1861" s="735">
        <v>120.22678590597855</v>
      </c>
      <c r="P1861" s="735">
        <f t="shared" si="154"/>
        <v>48.741218155683875</v>
      </c>
      <c r="Q1861" s="849">
        <v>43.5</v>
      </c>
      <c r="R1861" s="71">
        <v>80393</v>
      </c>
      <c r="S1861" s="845">
        <v>3.6724137931034483E-2</v>
      </c>
      <c r="T1861" s="845">
        <v>2.3E-2</v>
      </c>
      <c r="U1861" s="845">
        <v>9.0000000000000011E-3</v>
      </c>
      <c r="V1861" s="845">
        <v>0</v>
      </c>
      <c r="W1861" s="845">
        <v>7.59104870557262E-2</v>
      </c>
      <c r="X1861" s="845">
        <v>0.18497109826589594</v>
      </c>
      <c r="Y1861" s="845">
        <v>0.96177474402730379</v>
      </c>
      <c r="Z1861" s="845">
        <v>8.5324232081911264E-4</v>
      </c>
      <c r="AA1861" s="845">
        <v>0</v>
      </c>
      <c r="AB1861" s="845">
        <v>3.4129692832764505E-4</v>
      </c>
      <c r="AC1861" s="845">
        <v>0</v>
      </c>
      <c r="AD1861" s="845">
        <v>1.7064846416382253E-4</v>
      </c>
      <c r="AE1861" s="845">
        <v>3.6860068259385668E-2</v>
      </c>
      <c r="AF1861" s="845">
        <v>1.1262798634812287E-2</v>
      </c>
      <c r="AG1861" s="845">
        <v>0.95597269624573378</v>
      </c>
      <c r="AH1861" s="20" t="str">
        <f t="shared" si="155"/>
        <v>Yes</v>
      </c>
      <c r="AI1861" s="25"/>
      <c r="AJ1861" s="37">
        <v>44485</v>
      </c>
      <c r="AK1861" s="37" t="s">
        <v>1362</v>
      </c>
      <c r="AL1861" s="37">
        <v>39155</v>
      </c>
      <c r="AM1861" s="37" t="s">
        <v>83</v>
      </c>
      <c r="AN1861" s="37">
        <f t="shared" si="156"/>
        <v>49660</v>
      </c>
      <c r="AO1861" s="37" t="str">
        <f t="shared" si="157"/>
        <v>Youngstown-Warren, OH</v>
      </c>
      <c r="AP1861" s="37" t="s">
        <v>8</v>
      </c>
      <c r="AQ1861" s="25"/>
      <c r="AR1861" s="25"/>
      <c r="AS1861" s="25"/>
      <c r="AT1861" s="25"/>
      <c r="AU1861" s="36"/>
      <c r="AV1861" s="36"/>
      <c r="AW1861" s="36"/>
      <c r="AX1861" s="25"/>
      <c r="AY1861" s="25"/>
      <c r="AZ1861" s="25"/>
      <c r="BA1861" s="25"/>
      <c r="BB1861" s="25"/>
      <c r="BC1861" s="25"/>
      <c r="BD1861" s="25"/>
      <c r="BE1861" s="25"/>
      <c r="BF1861" s="25"/>
      <c r="BG1861" s="25"/>
      <c r="BH1861" s="25"/>
      <c r="BI1861" s="25"/>
      <c r="BJ1861" s="25"/>
      <c r="BK1861" s="25"/>
      <c r="BL1861" s="25"/>
      <c r="BM1861" s="25"/>
      <c r="BN1861" s="25"/>
      <c r="BO1861" s="25"/>
      <c r="BP1861" s="25"/>
      <c r="BQ1861" s="25"/>
      <c r="BR1861" s="25"/>
      <c r="BS1861" s="25"/>
      <c r="BT1861" s="25"/>
      <c r="CD1861" s="25"/>
      <c r="CE1861" s="200"/>
      <c r="CF1861" s="200"/>
      <c r="CG1861" s="200"/>
      <c r="CH1861" s="200"/>
      <c r="CI1861" s="200"/>
      <c r="CJ1861" s="200"/>
      <c r="CK1861" s="200"/>
      <c r="CP1861" s="200"/>
      <c r="CQ1861" s="200"/>
      <c r="CR1861" s="200"/>
      <c r="CS1861" s="200"/>
      <c r="CT1861" s="200"/>
      <c r="CU1861" s="200"/>
    </row>
    <row r="1862" spans="1:99" s="17" customFormat="1" x14ac:dyDescent="0.2">
      <c r="A1862" s="25"/>
      <c r="B1862" s="20">
        <v>39103403001</v>
      </c>
      <c r="C1862" s="20">
        <v>4030.01</v>
      </c>
      <c r="D1862" s="20" t="s">
        <v>57</v>
      </c>
      <c r="E1862" s="20" t="s">
        <v>2829</v>
      </c>
      <c r="F1862" s="20" t="s">
        <v>8</v>
      </c>
      <c r="G1862" s="861">
        <v>45.9788968156493</v>
      </c>
      <c r="H1862" s="861">
        <v>61.925793191719599</v>
      </c>
      <c r="I1862" s="861">
        <v>17.2440877511876</v>
      </c>
      <c r="J1862" s="861">
        <v>42.866894463935097</v>
      </c>
      <c r="K1862" s="982">
        <v>0</v>
      </c>
      <c r="L1862" s="735">
        <v>3300</v>
      </c>
      <c r="M1862" s="735">
        <v>3243</v>
      </c>
      <c r="N1862" s="845">
        <f t="shared" si="153"/>
        <v>-1.7272727272727273E-2</v>
      </c>
      <c r="O1862" s="735">
        <v>22.629015852895172</v>
      </c>
      <c r="P1862" s="735">
        <f t="shared" si="154"/>
        <v>143.311579305164</v>
      </c>
      <c r="Q1862" s="849">
        <v>49.7</v>
      </c>
      <c r="R1862" s="71">
        <v>97708</v>
      </c>
      <c r="S1862" s="845">
        <v>5.0570459451125503E-2</v>
      </c>
      <c r="T1862" s="845">
        <v>2.1000000000000001E-2</v>
      </c>
      <c r="U1862" s="845">
        <v>0</v>
      </c>
      <c r="V1862" s="845">
        <v>0</v>
      </c>
      <c r="W1862" s="845">
        <v>4.9342105263157895E-2</v>
      </c>
      <c r="X1862" s="845">
        <v>0.55000000000000004</v>
      </c>
      <c r="Y1862" s="845">
        <v>0.99383287079864324</v>
      </c>
      <c r="Z1862" s="845">
        <v>0</v>
      </c>
      <c r="AA1862" s="845">
        <v>0</v>
      </c>
      <c r="AB1862" s="845">
        <v>0</v>
      </c>
      <c r="AC1862" s="845">
        <v>0</v>
      </c>
      <c r="AD1862" s="845">
        <v>3.083564600678384E-4</v>
      </c>
      <c r="AE1862" s="845">
        <v>5.8587727412889304E-3</v>
      </c>
      <c r="AF1862" s="845">
        <v>4.6253469010175763E-3</v>
      </c>
      <c r="AG1862" s="845">
        <v>0.99383287079864324</v>
      </c>
      <c r="AH1862" s="20" t="str">
        <f t="shared" si="155"/>
        <v>Yes</v>
      </c>
      <c r="AI1862" s="25"/>
      <c r="AJ1862" s="37">
        <v>44491</v>
      </c>
      <c r="AK1862" s="37" t="s">
        <v>1364</v>
      </c>
      <c r="AL1862" s="37">
        <v>39155</v>
      </c>
      <c r="AM1862" s="37" t="s">
        <v>83</v>
      </c>
      <c r="AN1862" s="37">
        <f t="shared" si="156"/>
        <v>49660</v>
      </c>
      <c r="AO1862" s="37" t="str">
        <f t="shared" si="157"/>
        <v>Youngstown-Warren, OH</v>
      </c>
      <c r="AP1862" s="37" t="s">
        <v>8</v>
      </c>
      <c r="AQ1862" s="25"/>
      <c r="AR1862" s="25"/>
      <c r="AS1862" s="25"/>
      <c r="AT1862" s="25"/>
      <c r="AU1862" s="36"/>
      <c r="AV1862" s="36"/>
      <c r="AW1862" s="36"/>
      <c r="AX1862" s="25"/>
      <c r="AY1862" s="25"/>
      <c r="AZ1862" s="25"/>
      <c r="BA1862" s="25"/>
      <c r="BB1862" s="25"/>
      <c r="BC1862" s="25"/>
      <c r="BD1862" s="25"/>
      <c r="BE1862" s="25"/>
      <c r="BF1862" s="25"/>
      <c r="BG1862" s="25"/>
      <c r="BH1862" s="25"/>
      <c r="BI1862" s="25"/>
      <c r="BJ1862" s="25"/>
      <c r="BK1862" s="25"/>
      <c r="BL1862" s="25"/>
      <c r="BM1862" s="25"/>
      <c r="BN1862" s="25"/>
      <c r="BO1862" s="25"/>
      <c r="BP1862" s="25"/>
      <c r="BQ1862" s="25"/>
      <c r="BR1862" s="25"/>
      <c r="BS1862" s="25"/>
      <c r="BT1862" s="25"/>
      <c r="CD1862" s="25"/>
      <c r="CE1862" s="200"/>
      <c r="CF1862" s="200"/>
      <c r="CG1862" s="200"/>
      <c r="CH1862" s="200"/>
      <c r="CI1862" s="200"/>
      <c r="CJ1862" s="200"/>
      <c r="CK1862" s="200"/>
      <c r="CP1862" s="200"/>
      <c r="CQ1862" s="200"/>
      <c r="CR1862" s="200"/>
      <c r="CS1862" s="200"/>
      <c r="CT1862" s="200"/>
      <c r="CU1862" s="200"/>
    </row>
    <row r="1863" spans="1:99" s="17" customFormat="1" x14ac:dyDescent="0.2">
      <c r="A1863" s="25"/>
      <c r="B1863" s="20">
        <v>39021010600</v>
      </c>
      <c r="C1863" s="20">
        <v>106</v>
      </c>
      <c r="D1863" s="20" t="s">
        <v>17</v>
      </c>
      <c r="E1863" s="20" t="s">
        <v>265</v>
      </c>
      <c r="F1863" s="20" t="s">
        <v>8</v>
      </c>
      <c r="G1863" s="861">
        <v>45.978103415738701</v>
      </c>
      <c r="H1863" s="861">
        <v>58.147848522285898</v>
      </c>
      <c r="I1863" s="861">
        <v>37.449023892442597</v>
      </c>
      <c r="J1863" s="861">
        <v>53.405624050907399</v>
      </c>
      <c r="K1863" s="982">
        <v>0</v>
      </c>
      <c r="L1863" s="735">
        <v>3883</v>
      </c>
      <c r="M1863" s="735">
        <v>3842</v>
      </c>
      <c r="N1863" s="845">
        <f t="shared" si="153"/>
        <v>-1.0558846252897245E-2</v>
      </c>
      <c r="O1863" s="735">
        <v>3.2220387297453659</v>
      </c>
      <c r="P1863" s="735">
        <f t="shared" si="154"/>
        <v>1192.4127306513255</v>
      </c>
      <c r="Q1863" s="849">
        <v>35.700000000000003</v>
      </c>
      <c r="R1863" s="71">
        <v>87733</v>
      </c>
      <c r="S1863" s="845">
        <v>8.1007115489874104E-2</v>
      </c>
      <c r="T1863" s="845">
        <v>1.4999999999999999E-2</v>
      </c>
      <c r="U1863" s="845">
        <v>1.8000000000000002E-2</v>
      </c>
      <c r="V1863" s="845">
        <v>6.5000000000000002E-2</v>
      </c>
      <c r="W1863" s="845">
        <v>0.25708502024291496</v>
      </c>
      <c r="X1863" s="845">
        <v>0.32283464566929132</v>
      </c>
      <c r="Y1863" s="845">
        <v>0.84955752212389379</v>
      </c>
      <c r="Z1863" s="845">
        <v>6.0124934929724101E-2</v>
      </c>
      <c r="AA1863" s="845">
        <v>0</v>
      </c>
      <c r="AB1863" s="845">
        <v>1.353461738677772E-2</v>
      </c>
      <c r="AC1863" s="845">
        <v>0</v>
      </c>
      <c r="AD1863" s="845">
        <v>4.6850598646538261E-3</v>
      </c>
      <c r="AE1863" s="845">
        <v>7.2097865694950553E-2</v>
      </c>
      <c r="AF1863" s="845">
        <v>4.9453409682457053E-3</v>
      </c>
      <c r="AG1863" s="845">
        <v>0.84955752212389379</v>
      </c>
      <c r="AH1863" s="20" t="str">
        <f t="shared" si="155"/>
        <v>No</v>
      </c>
      <c r="AI1863" s="25"/>
      <c r="AJ1863" s="37">
        <v>44504</v>
      </c>
      <c r="AK1863" s="37" t="s">
        <v>1368</v>
      </c>
      <c r="AL1863" s="37">
        <v>39155</v>
      </c>
      <c r="AM1863" s="37" t="s">
        <v>83</v>
      </c>
      <c r="AN1863" s="37">
        <f t="shared" si="156"/>
        <v>49660</v>
      </c>
      <c r="AO1863" s="37" t="str">
        <f t="shared" si="157"/>
        <v>Youngstown-Warren, OH</v>
      </c>
      <c r="AP1863" s="37" t="s">
        <v>8</v>
      </c>
      <c r="AQ1863" s="25"/>
      <c r="AR1863" s="25"/>
      <c r="AS1863" s="25"/>
      <c r="AT1863" s="25"/>
      <c r="AU1863" s="36"/>
      <c r="AV1863" s="36"/>
      <c r="AW1863" s="36"/>
      <c r="AX1863" s="25"/>
      <c r="AY1863" s="25"/>
      <c r="AZ1863" s="25"/>
      <c r="BA1863" s="25"/>
      <c r="BB1863" s="25"/>
      <c r="BC1863" s="25"/>
      <c r="BD1863" s="25"/>
      <c r="BE1863" s="25"/>
      <c r="BF1863" s="25"/>
      <c r="BG1863" s="25"/>
      <c r="BH1863" s="25"/>
      <c r="BI1863" s="25"/>
      <c r="BJ1863" s="25"/>
      <c r="BK1863" s="25"/>
      <c r="BL1863" s="25"/>
      <c r="BM1863" s="25"/>
      <c r="BN1863" s="25"/>
      <c r="BO1863" s="25"/>
      <c r="BP1863" s="25"/>
      <c r="BQ1863" s="25"/>
      <c r="BR1863" s="25"/>
      <c r="BS1863" s="25"/>
      <c r="BT1863" s="25"/>
      <c r="CD1863" s="25"/>
    </row>
    <row r="1864" spans="1:99" s="17" customFormat="1" x14ac:dyDescent="0.2">
      <c r="A1864" s="25"/>
      <c r="B1864" s="20">
        <v>39133600800</v>
      </c>
      <c r="C1864" s="20">
        <v>6008</v>
      </c>
      <c r="D1864" s="20" t="s">
        <v>72</v>
      </c>
      <c r="E1864" s="20" t="s">
        <v>2843</v>
      </c>
      <c r="F1864" s="20" t="s">
        <v>8</v>
      </c>
      <c r="G1864" s="861">
        <v>45.969053840478502</v>
      </c>
      <c r="H1864" s="861">
        <v>56.070423111617899</v>
      </c>
      <c r="I1864" s="861">
        <v>36.5366095833024</v>
      </c>
      <c r="J1864" s="861">
        <v>70.079312312173798</v>
      </c>
      <c r="K1864" s="982">
        <v>0</v>
      </c>
      <c r="L1864" s="735">
        <v>3303</v>
      </c>
      <c r="M1864" s="735">
        <v>3172</v>
      </c>
      <c r="N1864" s="845">
        <f t="shared" si="153"/>
        <v>-3.9660914320314863E-2</v>
      </c>
      <c r="O1864" s="735">
        <v>1.6662829390363496</v>
      </c>
      <c r="P1864" s="735">
        <f t="shared" si="154"/>
        <v>1903.6382871653489</v>
      </c>
      <c r="Q1864" s="849">
        <v>37.299999999999997</v>
      </c>
      <c r="R1864" s="71">
        <v>58033</v>
      </c>
      <c r="S1864" s="845">
        <v>0.1371280724450194</v>
      </c>
      <c r="T1864" s="845">
        <v>0.05</v>
      </c>
      <c r="U1864" s="845">
        <v>0</v>
      </c>
      <c r="V1864" s="845">
        <v>0</v>
      </c>
      <c r="W1864" s="845">
        <v>0.56941649899396374</v>
      </c>
      <c r="X1864" s="845">
        <v>0.40636042402826855</v>
      </c>
      <c r="Y1864" s="845">
        <v>0.84110970996216894</v>
      </c>
      <c r="Z1864" s="845">
        <v>0.11002522068095838</v>
      </c>
      <c r="AA1864" s="845">
        <v>0</v>
      </c>
      <c r="AB1864" s="845">
        <v>3.1525851197982345E-3</v>
      </c>
      <c r="AC1864" s="845">
        <v>0</v>
      </c>
      <c r="AD1864" s="845">
        <v>0</v>
      </c>
      <c r="AE1864" s="845">
        <v>4.5712484237074399E-2</v>
      </c>
      <c r="AF1864" s="845">
        <v>5.1387137452711222E-2</v>
      </c>
      <c r="AG1864" s="845">
        <v>0.82250945775535944</v>
      </c>
      <c r="AH1864" s="20" t="str">
        <f t="shared" si="155"/>
        <v>No</v>
      </c>
      <c r="AI1864" s="25"/>
      <c r="AJ1864" s="37">
        <v>44505</v>
      </c>
      <c r="AK1864" s="37" t="s">
        <v>1369</v>
      </c>
      <c r="AL1864" s="37">
        <v>39155</v>
      </c>
      <c r="AM1864" s="37" t="s">
        <v>83</v>
      </c>
      <c r="AN1864" s="37">
        <f t="shared" si="156"/>
        <v>49660</v>
      </c>
      <c r="AO1864" s="37" t="str">
        <f t="shared" si="157"/>
        <v>Youngstown-Warren, OH</v>
      </c>
      <c r="AP1864" s="37" t="s">
        <v>8</v>
      </c>
      <c r="AQ1864" s="25"/>
      <c r="AR1864" s="25"/>
      <c r="AS1864" s="25"/>
      <c r="AT1864" s="25"/>
      <c r="AU1864" s="36"/>
      <c r="AV1864" s="36"/>
      <c r="AW1864" s="36"/>
      <c r="AX1864" s="25"/>
      <c r="AY1864" s="25"/>
      <c r="AZ1864" s="25"/>
      <c r="BA1864" s="25"/>
      <c r="BB1864" s="25"/>
      <c r="BC1864" s="25"/>
      <c r="BD1864" s="25"/>
      <c r="BE1864" s="25"/>
      <c r="BF1864" s="25"/>
      <c r="BG1864" s="25"/>
      <c r="BH1864" s="25"/>
      <c r="BI1864" s="25"/>
      <c r="BJ1864" s="25"/>
      <c r="BK1864" s="25"/>
      <c r="BL1864" s="25"/>
      <c r="BM1864" s="25"/>
      <c r="BN1864" s="25"/>
      <c r="BO1864" s="25"/>
      <c r="BP1864" s="25"/>
      <c r="BQ1864" s="25"/>
      <c r="BR1864" s="25"/>
      <c r="BS1864" s="25"/>
      <c r="BT1864" s="25"/>
      <c r="CD1864" s="25"/>
    </row>
    <row r="1865" spans="1:99" s="17" customFormat="1" x14ac:dyDescent="0.2">
      <c r="A1865" s="25"/>
      <c r="B1865" s="20">
        <v>39035196000</v>
      </c>
      <c r="C1865" s="20">
        <v>1960</v>
      </c>
      <c r="D1865" s="20" t="s">
        <v>24</v>
      </c>
      <c r="E1865" s="20" t="s">
        <v>2829</v>
      </c>
      <c r="F1865" s="20" t="s">
        <v>8</v>
      </c>
      <c r="G1865" s="861">
        <v>45.9423826904561</v>
      </c>
      <c r="H1865" s="861">
        <v>52.029386851370703</v>
      </c>
      <c r="I1865" s="861">
        <v>42.323565317929898</v>
      </c>
      <c r="J1865" s="861">
        <v>43.982404834161798</v>
      </c>
      <c r="K1865" s="982">
        <v>0</v>
      </c>
      <c r="L1865" s="735">
        <v>1590</v>
      </c>
      <c r="M1865" s="735">
        <v>1818</v>
      </c>
      <c r="N1865" s="845">
        <f t="shared" si="153"/>
        <v>0.14339622641509434</v>
      </c>
      <c r="O1865" s="735">
        <v>0.608567272534699</v>
      </c>
      <c r="P1865" s="735">
        <f t="shared" si="154"/>
        <v>2987.3443447393765</v>
      </c>
      <c r="Q1865" s="849">
        <v>60.5</v>
      </c>
      <c r="R1865" s="71">
        <v>68789</v>
      </c>
      <c r="S1865" s="845">
        <v>8.0858085808580851E-2</v>
      </c>
      <c r="T1865" s="845">
        <v>0.11900000000000001</v>
      </c>
      <c r="U1865" s="845">
        <v>3.4000000000000002E-2</v>
      </c>
      <c r="V1865" s="845">
        <v>6.6000000000000003E-2</v>
      </c>
      <c r="W1865" s="845">
        <v>0.27883396704689478</v>
      </c>
      <c r="X1865" s="845">
        <v>0.82727272727272727</v>
      </c>
      <c r="Y1865" s="845">
        <v>0.32233223322332233</v>
      </c>
      <c r="Z1865" s="845">
        <v>0.58580858085808585</v>
      </c>
      <c r="AA1865" s="845">
        <v>0</v>
      </c>
      <c r="AB1865" s="845">
        <v>3.3003300330033004E-3</v>
      </c>
      <c r="AC1865" s="845">
        <v>0</v>
      </c>
      <c r="AD1865" s="845">
        <v>5.0605060506050605E-2</v>
      </c>
      <c r="AE1865" s="845">
        <v>3.7953795379537955E-2</v>
      </c>
      <c r="AF1865" s="845">
        <v>4.6754675467546754E-2</v>
      </c>
      <c r="AG1865" s="845">
        <v>0.31408140814081409</v>
      </c>
      <c r="AH1865" s="20" t="str">
        <f t="shared" si="155"/>
        <v>No</v>
      </c>
      <c r="AI1865" s="25"/>
      <c r="AJ1865" s="37">
        <v>44509</v>
      </c>
      <c r="AK1865" s="37" t="s">
        <v>1372</v>
      </c>
      <c r="AL1865" s="37">
        <v>39155</v>
      </c>
      <c r="AM1865" s="37" t="s">
        <v>83</v>
      </c>
      <c r="AN1865" s="37">
        <f t="shared" si="156"/>
        <v>49660</v>
      </c>
      <c r="AO1865" s="37" t="str">
        <f t="shared" si="157"/>
        <v>Youngstown-Warren, OH</v>
      </c>
      <c r="AP1865" s="37" t="s">
        <v>8</v>
      </c>
      <c r="AQ1865" s="25"/>
      <c r="AR1865" s="25"/>
      <c r="AS1865" s="25"/>
      <c r="AT1865" s="25"/>
      <c r="AU1865" s="36"/>
      <c r="AV1865" s="36"/>
      <c r="AW1865" s="36"/>
      <c r="AX1865" s="25"/>
      <c r="AY1865" s="25"/>
      <c r="AZ1865" s="25"/>
      <c r="BA1865" s="25"/>
      <c r="BB1865" s="25"/>
      <c r="BC1865" s="25"/>
      <c r="BD1865" s="25"/>
      <c r="BE1865" s="25"/>
      <c r="BF1865" s="25"/>
      <c r="BG1865" s="25"/>
      <c r="BH1865" s="25"/>
      <c r="BI1865" s="25"/>
      <c r="BJ1865" s="25"/>
      <c r="BK1865" s="25"/>
      <c r="BL1865" s="25"/>
      <c r="BM1865" s="25"/>
      <c r="BN1865" s="25"/>
      <c r="BO1865" s="25"/>
      <c r="BP1865" s="25"/>
      <c r="BQ1865" s="25"/>
      <c r="BR1865" s="25"/>
      <c r="BS1865" s="25"/>
      <c r="BT1865" s="25"/>
      <c r="CD1865" s="25"/>
    </row>
    <row r="1866" spans="1:99" s="17" customFormat="1" x14ac:dyDescent="0.2">
      <c r="A1866" s="25"/>
      <c r="B1866" s="20">
        <v>39045031700</v>
      </c>
      <c r="C1866" s="20">
        <v>317</v>
      </c>
      <c r="D1866" s="20" t="s">
        <v>29</v>
      </c>
      <c r="E1866" s="20" t="s">
        <v>2830</v>
      </c>
      <c r="F1866" s="20" t="s">
        <v>6</v>
      </c>
      <c r="G1866" s="861">
        <v>45.935551764819799</v>
      </c>
      <c r="H1866" s="861">
        <v>41.145006784245801</v>
      </c>
      <c r="I1866" s="861">
        <v>42.2335972988473</v>
      </c>
      <c r="J1866" s="861">
        <v>49.502912381962503</v>
      </c>
      <c r="K1866" s="982">
        <v>0</v>
      </c>
      <c r="L1866" s="735">
        <v>4312</v>
      </c>
      <c r="M1866" s="735">
        <v>4126</v>
      </c>
      <c r="N1866" s="845">
        <f t="shared" si="153"/>
        <v>-4.3135435992578852E-2</v>
      </c>
      <c r="O1866" s="735">
        <v>0.69395646762254826</v>
      </c>
      <c r="P1866" s="735">
        <f t="shared" si="154"/>
        <v>5945.6179061712901</v>
      </c>
      <c r="Q1866" s="849">
        <v>30.4</v>
      </c>
      <c r="R1866" s="71">
        <v>46307</v>
      </c>
      <c r="S1866" s="845">
        <v>0.1114939699729264</v>
      </c>
      <c r="T1866" s="845">
        <v>6.7000000000000004E-2</v>
      </c>
      <c r="U1866" s="845">
        <v>2.5000000000000001E-2</v>
      </c>
      <c r="V1866" s="845">
        <v>1.2E-2</v>
      </c>
      <c r="W1866" s="845">
        <v>0.50702341137123741</v>
      </c>
      <c r="X1866" s="845">
        <v>0.27044854881266489</v>
      </c>
      <c r="Y1866" s="845">
        <v>0.85506543868153173</v>
      </c>
      <c r="Z1866" s="845">
        <v>5.2350945225399903E-2</v>
      </c>
      <c r="AA1866" s="845">
        <v>0</v>
      </c>
      <c r="AB1866" s="845">
        <v>1.2118274357731458E-3</v>
      </c>
      <c r="AC1866" s="845">
        <v>0</v>
      </c>
      <c r="AD1866" s="845">
        <v>0</v>
      </c>
      <c r="AE1866" s="845">
        <v>9.13717886572952E-2</v>
      </c>
      <c r="AF1866" s="845">
        <v>2.6175472612699952E-2</v>
      </c>
      <c r="AG1866" s="845">
        <v>0.85506543868153173</v>
      </c>
      <c r="AH1866" s="20" t="str">
        <f t="shared" si="155"/>
        <v>No</v>
      </c>
      <c r="AI1866" s="25"/>
      <c r="AJ1866" s="37">
        <v>44515</v>
      </c>
      <c r="AK1866" s="37" t="s">
        <v>1377</v>
      </c>
      <c r="AL1866" s="37">
        <v>39155</v>
      </c>
      <c r="AM1866" s="37" t="s">
        <v>83</v>
      </c>
      <c r="AN1866" s="37">
        <f t="shared" si="156"/>
        <v>49660</v>
      </c>
      <c r="AO1866" s="37" t="str">
        <f t="shared" si="157"/>
        <v>Youngstown-Warren, OH</v>
      </c>
      <c r="AP1866" s="37" t="s">
        <v>8</v>
      </c>
      <c r="AQ1866" s="25"/>
      <c r="AR1866" s="25"/>
      <c r="AS1866" s="25"/>
      <c r="AT1866" s="25"/>
      <c r="AU1866" s="36"/>
      <c r="AV1866" s="36"/>
      <c r="AW1866" s="36"/>
      <c r="AX1866" s="25"/>
      <c r="AY1866" s="25"/>
      <c r="AZ1866" s="25"/>
      <c r="BA1866" s="25"/>
      <c r="BB1866" s="25"/>
      <c r="BC1866" s="25"/>
      <c r="BD1866" s="25"/>
      <c r="BE1866" s="25"/>
      <c r="BF1866" s="25"/>
      <c r="BG1866" s="25"/>
      <c r="BH1866" s="25"/>
      <c r="BI1866" s="25"/>
      <c r="BJ1866" s="25"/>
      <c r="BK1866" s="25"/>
      <c r="BL1866" s="25"/>
      <c r="BM1866" s="25"/>
      <c r="BN1866" s="25"/>
      <c r="BO1866" s="25"/>
      <c r="BP1866" s="25"/>
      <c r="BQ1866" s="25"/>
      <c r="BR1866" s="25"/>
      <c r="BS1866" s="25"/>
      <c r="BT1866" s="25"/>
      <c r="CD1866" s="25"/>
    </row>
    <row r="1867" spans="1:99" s="17" customFormat="1" x14ac:dyDescent="0.2">
      <c r="A1867" s="25"/>
      <c r="B1867" s="20">
        <v>39059977800</v>
      </c>
      <c r="C1867" s="20">
        <v>9778</v>
      </c>
      <c r="D1867" s="20" t="s">
        <v>36</v>
      </c>
      <c r="E1867" s="20" t="s">
        <v>265</v>
      </c>
      <c r="F1867" s="20" t="s">
        <v>8</v>
      </c>
      <c r="G1867" s="861">
        <v>45.921851042719297</v>
      </c>
      <c r="H1867" s="861">
        <v>46.5407788784959</v>
      </c>
      <c r="I1867" s="861">
        <v>15.499028163410101</v>
      </c>
      <c r="J1867" s="861">
        <v>49.994277606197798</v>
      </c>
      <c r="K1867" s="982">
        <v>0</v>
      </c>
      <c r="L1867" s="735">
        <v>3671</v>
      </c>
      <c r="M1867" s="735">
        <v>3846</v>
      </c>
      <c r="N1867" s="845">
        <f t="shared" ref="N1867:N1930" si="158">IF(OR(L1867="",M1867=""),"",(M1867-L1867)/L1867)</f>
        <v>4.767093435031327E-2</v>
      </c>
      <c r="O1867" s="735">
        <v>45.328682995382557</v>
      </c>
      <c r="P1867" s="735">
        <f t="shared" ref="P1867:P1930" si="159">M1867/O1867</f>
        <v>84.846938976624926</v>
      </c>
      <c r="Q1867" s="849">
        <v>39.700000000000003</v>
      </c>
      <c r="R1867" s="71">
        <v>64410</v>
      </c>
      <c r="S1867" s="845">
        <v>0.10062402496099844</v>
      </c>
      <c r="T1867" s="845">
        <v>4.2999999999999997E-2</v>
      </c>
      <c r="U1867" s="845">
        <v>4.8000000000000001E-2</v>
      </c>
      <c r="V1867" s="845">
        <v>0.251</v>
      </c>
      <c r="W1867" s="845">
        <v>0.1389090909090909</v>
      </c>
      <c r="X1867" s="845">
        <v>0.1099476439790576</v>
      </c>
      <c r="Y1867" s="845">
        <v>0.9817992719708788</v>
      </c>
      <c r="Z1867" s="845">
        <v>0</v>
      </c>
      <c r="AA1867" s="845">
        <v>1.0400416016640667E-3</v>
      </c>
      <c r="AB1867" s="845">
        <v>0</v>
      </c>
      <c r="AC1867" s="845">
        <v>0</v>
      </c>
      <c r="AD1867" s="845">
        <v>0</v>
      </c>
      <c r="AE1867" s="845">
        <v>1.7160686427457099E-2</v>
      </c>
      <c r="AF1867" s="845">
        <v>1.3000520020800831E-2</v>
      </c>
      <c r="AG1867" s="845">
        <v>0.96983879355174207</v>
      </c>
      <c r="AH1867" s="20" t="str">
        <f t="shared" ref="AH1867:AH1930" si="160">IF(AG1867&gt;=0.9,"Yes","No")</f>
        <v>Yes</v>
      </c>
      <c r="AI1867" s="25"/>
      <c r="AJ1867" s="25"/>
      <c r="AK1867" s="25"/>
      <c r="AL1867" s="25"/>
      <c r="AM1867" s="25"/>
      <c r="AN1867" s="25"/>
      <c r="AO1867" s="25"/>
      <c r="AP1867" s="25"/>
      <c r="AQ1867" s="25"/>
      <c r="AR1867" s="25"/>
      <c r="AS1867" s="25"/>
      <c r="AT1867" s="25"/>
      <c r="AU1867" s="36"/>
      <c r="AV1867" s="36"/>
      <c r="AW1867" s="36"/>
      <c r="AX1867" s="25"/>
      <c r="AY1867" s="25"/>
      <c r="AZ1867" s="25"/>
      <c r="BA1867" s="25"/>
      <c r="BB1867" s="25"/>
      <c r="BC1867" s="25"/>
      <c r="BD1867" s="25"/>
      <c r="BE1867" s="25"/>
      <c r="BF1867" s="25"/>
      <c r="BG1867" s="25"/>
      <c r="BH1867" s="25"/>
      <c r="BI1867" s="25"/>
      <c r="BJ1867" s="25"/>
      <c r="BK1867" s="25"/>
      <c r="BL1867" s="25"/>
      <c r="BM1867" s="25"/>
      <c r="BN1867" s="25"/>
      <c r="BO1867" s="25"/>
      <c r="BP1867" s="25"/>
      <c r="BQ1867" s="25"/>
      <c r="BR1867" s="25"/>
      <c r="BS1867" s="25"/>
      <c r="BT1867" s="25"/>
      <c r="CD1867" s="25"/>
    </row>
    <row r="1868" spans="1:99" s="17" customFormat="1" x14ac:dyDescent="0.2">
      <c r="A1868" s="25"/>
      <c r="B1868" s="20">
        <v>39133600103</v>
      </c>
      <c r="C1868" s="20">
        <v>6001.03</v>
      </c>
      <c r="D1868" s="20" t="s">
        <v>72</v>
      </c>
      <c r="E1868" s="20" t="s">
        <v>2843</v>
      </c>
      <c r="F1868" s="20" t="s">
        <v>8</v>
      </c>
      <c r="G1868" s="861">
        <v>45.913378725229101</v>
      </c>
      <c r="H1868" s="861">
        <v>42.397873326968998</v>
      </c>
      <c r="I1868" s="861">
        <v>27.360856907719899</v>
      </c>
      <c r="J1868" s="861">
        <v>40.080249578977401</v>
      </c>
      <c r="K1868" s="982">
        <v>0</v>
      </c>
      <c r="L1868" s="735">
        <v>5913</v>
      </c>
      <c r="M1868" s="735">
        <v>5920</v>
      </c>
      <c r="N1868" s="845">
        <f t="shared" si="158"/>
        <v>1.1838322340605445E-3</v>
      </c>
      <c r="O1868" s="735">
        <v>26.589383840839332</v>
      </c>
      <c r="P1868" s="735">
        <f t="shared" si="159"/>
        <v>222.64524952651655</v>
      </c>
      <c r="Q1868" s="849">
        <v>37.4</v>
      </c>
      <c r="R1868" s="71">
        <v>84012</v>
      </c>
      <c r="S1868" s="845">
        <v>6.2838753387533877E-2</v>
      </c>
      <c r="T1868" s="845">
        <v>5.5999999999999994E-2</v>
      </c>
      <c r="U1868" s="845">
        <v>1.7000000000000001E-2</v>
      </c>
      <c r="V1868" s="845">
        <v>3.1E-2</v>
      </c>
      <c r="W1868" s="845">
        <v>0.18215962441314554</v>
      </c>
      <c r="X1868" s="845">
        <v>0.57216494845360821</v>
      </c>
      <c r="Y1868" s="845">
        <v>0.93344594594594599</v>
      </c>
      <c r="Z1868" s="845">
        <v>0</v>
      </c>
      <c r="AA1868" s="845">
        <v>0</v>
      </c>
      <c r="AB1868" s="845">
        <v>7.094594594594595E-3</v>
      </c>
      <c r="AC1868" s="845">
        <v>0</v>
      </c>
      <c r="AD1868" s="845">
        <v>1.2162162162162163E-2</v>
      </c>
      <c r="AE1868" s="845">
        <v>4.72972972972973E-2</v>
      </c>
      <c r="AF1868" s="845">
        <v>5.5743243243243246E-3</v>
      </c>
      <c r="AG1868" s="845">
        <v>0.92905405405405406</v>
      </c>
      <c r="AH1868" s="20" t="str">
        <f t="shared" si="160"/>
        <v>Yes</v>
      </c>
      <c r="AI1868" s="25"/>
      <c r="AJ1868" s="25"/>
      <c r="AK1868" s="25"/>
      <c r="AL1868" s="25"/>
      <c r="AM1868" s="25"/>
      <c r="AN1868" s="25"/>
      <c r="AO1868" s="25"/>
      <c r="AP1868" s="25"/>
      <c r="AQ1868" s="25"/>
      <c r="AR1868" s="25"/>
      <c r="AS1868" s="25"/>
      <c r="AT1868" s="25"/>
      <c r="AU1868" s="36"/>
      <c r="AV1868" s="36"/>
      <c r="AW1868" s="36"/>
      <c r="AX1868" s="25"/>
      <c r="AY1868" s="25"/>
      <c r="AZ1868" s="25"/>
      <c r="BA1868" s="25"/>
      <c r="BB1868" s="25"/>
      <c r="BC1868" s="25"/>
      <c r="BD1868" s="25"/>
      <c r="BE1868" s="25"/>
      <c r="BF1868" s="25"/>
      <c r="BG1868" s="25"/>
      <c r="BH1868" s="25"/>
      <c r="BI1868" s="25"/>
      <c r="BJ1868" s="25"/>
      <c r="BK1868" s="25"/>
      <c r="BL1868" s="25"/>
      <c r="BM1868" s="25"/>
      <c r="BN1868" s="25"/>
      <c r="BO1868" s="25"/>
      <c r="BP1868" s="25"/>
      <c r="BQ1868" s="25"/>
      <c r="BR1868" s="25"/>
      <c r="BS1868" s="25"/>
      <c r="BT1868" s="25"/>
      <c r="CD1868" s="25"/>
    </row>
    <row r="1869" spans="1:99" s="17" customFormat="1" x14ac:dyDescent="0.2">
      <c r="A1869" s="25"/>
      <c r="B1869" s="20">
        <v>39151711412</v>
      </c>
      <c r="C1869" s="20">
        <v>7114.12</v>
      </c>
      <c r="D1869" s="20" t="s">
        <v>81</v>
      </c>
      <c r="E1869" s="20" t="s">
        <v>2844</v>
      </c>
      <c r="F1869" s="20" t="s">
        <v>8</v>
      </c>
      <c r="G1869" s="861">
        <v>45.898514464511202</v>
      </c>
      <c r="H1869" s="861">
        <v>46.305616873612202</v>
      </c>
      <c r="I1869" s="861">
        <v>27.8403057112039</v>
      </c>
      <c r="J1869" s="861">
        <v>37.769719388096703</v>
      </c>
      <c r="K1869" s="982">
        <v>0</v>
      </c>
      <c r="L1869" s="735">
        <v>4305</v>
      </c>
      <c r="M1869" s="735">
        <v>4965</v>
      </c>
      <c r="N1869" s="845">
        <f t="shared" si="158"/>
        <v>0.15331010452961671</v>
      </c>
      <c r="O1869" s="735">
        <v>3.6250374910022272</v>
      </c>
      <c r="P1869" s="735">
        <f t="shared" si="159"/>
        <v>1369.641007113366</v>
      </c>
      <c r="Q1869" s="849">
        <v>46.2</v>
      </c>
      <c r="R1869" s="71">
        <v>69347</v>
      </c>
      <c r="S1869" s="845">
        <v>4.2025420254202542E-2</v>
      </c>
      <c r="T1869" s="845">
        <v>1.3999999999999999E-2</v>
      </c>
      <c r="U1869" s="845">
        <v>0</v>
      </c>
      <c r="V1869" s="845">
        <v>0</v>
      </c>
      <c r="W1869" s="845">
        <v>0.26906474820143883</v>
      </c>
      <c r="X1869" s="845">
        <v>0.36898395721925131</v>
      </c>
      <c r="Y1869" s="845">
        <v>0.93333333333333335</v>
      </c>
      <c r="Z1869" s="845">
        <v>1.9133937562940583E-2</v>
      </c>
      <c r="AA1869" s="845">
        <v>0</v>
      </c>
      <c r="AB1869" s="845">
        <v>1.6717019133937562E-2</v>
      </c>
      <c r="AC1869" s="845">
        <v>0</v>
      </c>
      <c r="AD1869" s="845">
        <v>4.8338368580060423E-3</v>
      </c>
      <c r="AE1869" s="845">
        <v>2.5981873111782478E-2</v>
      </c>
      <c r="AF1869" s="845">
        <v>4.8338368580060423E-3</v>
      </c>
      <c r="AG1869" s="845">
        <v>0.93333333333333335</v>
      </c>
      <c r="AH1869" s="20" t="str">
        <f t="shared" si="160"/>
        <v>Yes</v>
      </c>
      <c r="AI1869" s="25"/>
      <c r="AJ1869" s="25"/>
      <c r="AK1869" s="25"/>
      <c r="AL1869" s="25"/>
      <c r="AM1869" s="25"/>
      <c r="AN1869" s="25"/>
      <c r="AO1869" s="25"/>
      <c r="AP1869" s="25"/>
      <c r="AQ1869" s="25"/>
      <c r="AR1869" s="25"/>
      <c r="AS1869" s="25"/>
      <c r="AT1869" s="25"/>
      <c r="AU1869" s="36"/>
      <c r="AV1869" s="36"/>
      <c r="AW1869" s="36"/>
      <c r="AX1869" s="25"/>
      <c r="AY1869" s="25"/>
      <c r="AZ1869" s="25"/>
      <c r="BA1869" s="25"/>
      <c r="BB1869" s="25"/>
      <c r="BC1869" s="25"/>
      <c r="BD1869" s="25"/>
      <c r="BE1869" s="25"/>
      <c r="BF1869" s="25"/>
      <c r="BG1869" s="25"/>
      <c r="BH1869" s="25"/>
      <c r="BI1869" s="25"/>
      <c r="BJ1869" s="25"/>
      <c r="BK1869" s="25"/>
      <c r="BL1869" s="25"/>
      <c r="BM1869" s="25"/>
      <c r="BN1869" s="25"/>
      <c r="BO1869" s="25"/>
      <c r="BP1869" s="25"/>
      <c r="BQ1869" s="25"/>
      <c r="BR1869" s="25"/>
      <c r="BS1869" s="25"/>
      <c r="BT1869" s="25"/>
      <c r="CD1869" s="25"/>
    </row>
    <row r="1870" spans="1:99" s="17" customFormat="1" x14ac:dyDescent="0.2">
      <c r="A1870" s="25"/>
      <c r="B1870" s="20">
        <v>39003011500</v>
      </c>
      <c r="C1870" s="20">
        <v>115</v>
      </c>
      <c r="D1870" s="20" t="s">
        <v>7</v>
      </c>
      <c r="E1870" s="20" t="s">
        <v>2835</v>
      </c>
      <c r="F1870" s="20" t="s">
        <v>8</v>
      </c>
      <c r="G1870" s="861">
        <v>45.8879201794661</v>
      </c>
      <c r="H1870" s="861">
        <v>36.035882424241102</v>
      </c>
      <c r="I1870" s="861">
        <v>21.944362198524001</v>
      </c>
      <c r="J1870" s="861">
        <v>46.396183701512399</v>
      </c>
      <c r="K1870" s="982">
        <v>0</v>
      </c>
      <c r="L1870" s="735">
        <v>2747</v>
      </c>
      <c r="M1870" s="735">
        <v>2779</v>
      </c>
      <c r="N1870" s="845">
        <f t="shared" si="158"/>
        <v>1.1649071714597743E-2</v>
      </c>
      <c r="O1870" s="735">
        <v>35.990183754164029</v>
      </c>
      <c r="P1870" s="735">
        <f t="shared" si="159"/>
        <v>77.215499064476774</v>
      </c>
      <c r="Q1870" s="849">
        <v>40.1</v>
      </c>
      <c r="R1870" s="71">
        <v>77875</v>
      </c>
      <c r="S1870" s="845">
        <v>2.1230658510255487E-2</v>
      </c>
      <c r="T1870" s="845">
        <v>9.0999999999999998E-2</v>
      </c>
      <c r="U1870" s="845">
        <v>0</v>
      </c>
      <c r="V1870" s="845">
        <v>0</v>
      </c>
      <c r="W1870" s="845">
        <v>0.13682277318640956</v>
      </c>
      <c r="X1870" s="845">
        <v>0.16778523489932887</v>
      </c>
      <c r="Y1870" s="845">
        <v>0.96401583303346527</v>
      </c>
      <c r="Z1870" s="845">
        <v>5.7574667146455556E-3</v>
      </c>
      <c r="AA1870" s="845">
        <v>0</v>
      </c>
      <c r="AB1870" s="845">
        <v>3.2385750269881253E-3</v>
      </c>
      <c r="AC1870" s="845">
        <v>0</v>
      </c>
      <c r="AD1870" s="845">
        <v>0</v>
      </c>
      <c r="AE1870" s="845">
        <v>2.6988125224901044E-2</v>
      </c>
      <c r="AF1870" s="845">
        <v>6.1173083843109035E-3</v>
      </c>
      <c r="AG1870" s="845">
        <v>0.95897804965815037</v>
      </c>
      <c r="AH1870" s="20" t="str">
        <f t="shared" si="160"/>
        <v>Yes</v>
      </c>
      <c r="AI1870" s="25"/>
      <c r="AJ1870" s="25"/>
      <c r="AK1870" s="25"/>
      <c r="AL1870" s="25"/>
      <c r="AM1870" s="25"/>
      <c r="AN1870" s="25"/>
      <c r="AO1870" s="25"/>
      <c r="AP1870" s="25"/>
      <c r="AQ1870" s="25"/>
      <c r="AR1870" s="25"/>
      <c r="AS1870" s="25"/>
      <c r="AT1870" s="25"/>
      <c r="AU1870" s="36"/>
      <c r="AV1870" s="36"/>
      <c r="AW1870" s="36"/>
      <c r="AX1870" s="25"/>
      <c r="AY1870" s="25"/>
      <c r="AZ1870" s="25"/>
      <c r="BA1870" s="25"/>
      <c r="BB1870" s="25"/>
      <c r="BC1870" s="25"/>
      <c r="BD1870" s="25"/>
      <c r="BE1870" s="25"/>
      <c r="BF1870" s="25"/>
      <c r="BG1870" s="25"/>
      <c r="BH1870" s="25"/>
      <c r="BI1870" s="25"/>
      <c r="BJ1870" s="25"/>
      <c r="BK1870" s="25"/>
      <c r="BL1870" s="25"/>
      <c r="BM1870" s="25"/>
      <c r="BN1870" s="25"/>
      <c r="BO1870" s="25"/>
      <c r="BP1870" s="25"/>
      <c r="BQ1870" s="25"/>
      <c r="BR1870" s="25"/>
      <c r="BS1870" s="25"/>
      <c r="BT1870" s="25"/>
      <c r="CD1870" s="25"/>
    </row>
    <row r="1871" spans="1:99" s="17" customFormat="1" x14ac:dyDescent="0.2">
      <c r="A1871" s="25"/>
      <c r="B1871" s="20">
        <v>39113050600</v>
      </c>
      <c r="C1871" s="20">
        <v>506</v>
      </c>
      <c r="D1871" s="20" t="s">
        <v>62</v>
      </c>
      <c r="E1871" s="20" t="s">
        <v>2833</v>
      </c>
      <c r="F1871" s="20" t="s">
        <v>8</v>
      </c>
      <c r="G1871" s="861">
        <v>45.878851711320301</v>
      </c>
      <c r="H1871" s="861">
        <v>53.368648983392099</v>
      </c>
      <c r="I1871" s="861">
        <v>30.643258593404799</v>
      </c>
      <c r="J1871" s="861">
        <v>43.280679613523297</v>
      </c>
      <c r="K1871" s="982">
        <v>0</v>
      </c>
      <c r="L1871" s="735">
        <v>3917</v>
      </c>
      <c r="M1871" s="735">
        <v>4616</v>
      </c>
      <c r="N1871" s="845">
        <f t="shared" si="158"/>
        <v>0.17845289762573399</v>
      </c>
      <c r="O1871" s="735">
        <v>29.397538431170638</v>
      </c>
      <c r="P1871" s="735">
        <f t="shared" si="159"/>
        <v>157.0199495038533</v>
      </c>
      <c r="Q1871" s="849">
        <v>45.2</v>
      </c>
      <c r="R1871" s="71">
        <v>79429</v>
      </c>
      <c r="S1871" s="845">
        <v>9.5878524945770066E-2</v>
      </c>
      <c r="T1871" s="845">
        <v>0.05</v>
      </c>
      <c r="U1871" s="845">
        <v>0.114</v>
      </c>
      <c r="V1871" s="845">
        <v>0</v>
      </c>
      <c r="W1871" s="845">
        <v>0.15097402597402598</v>
      </c>
      <c r="X1871" s="845">
        <v>0.40143369175627241</v>
      </c>
      <c r="Y1871" s="845">
        <v>0.8981802426343154</v>
      </c>
      <c r="Z1871" s="845">
        <v>6.8457538994800698E-2</v>
      </c>
      <c r="AA1871" s="845">
        <v>3.6828422876949742E-3</v>
      </c>
      <c r="AB1871" s="845">
        <v>7.5823223570190643E-3</v>
      </c>
      <c r="AC1871" s="845">
        <v>0</v>
      </c>
      <c r="AD1871" s="845">
        <v>1.9497400346620451E-3</v>
      </c>
      <c r="AE1871" s="845">
        <v>2.0147313691507799E-2</v>
      </c>
      <c r="AF1871" s="845">
        <v>1.7980935875216639E-2</v>
      </c>
      <c r="AG1871" s="845">
        <v>0.89536395147313697</v>
      </c>
      <c r="AH1871" s="20" t="str">
        <f t="shared" si="160"/>
        <v>No</v>
      </c>
      <c r="AI1871" s="25"/>
      <c r="AJ1871" s="25"/>
      <c r="AK1871" s="25"/>
      <c r="AL1871" s="25"/>
      <c r="AM1871" s="25"/>
      <c r="AN1871" s="25"/>
      <c r="AO1871" s="25"/>
      <c r="AP1871" s="25"/>
      <c r="AQ1871" s="25"/>
      <c r="AR1871" s="25"/>
      <c r="AS1871" s="25"/>
      <c r="AT1871" s="25"/>
      <c r="AU1871" s="36"/>
      <c r="AV1871" s="36"/>
      <c r="AW1871" s="36"/>
      <c r="AX1871" s="25"/>
      <c r="AY1871" s="25"/>
      <c r="AZ1871" s="25"/>
      <c r="BA1871" s="25"/>
      <c r="BB1871" s="25"/>
      <c r="BC1871" s="25"/>
      <c r="BD1871" s="25"/>
      <c r="BE1871" s="25"/>
      <c r="BF1871" s="25"/>
      <c r="BG1871" s="25"/>
      <c r="BH1871" s="25"/>
      <c r="BI1871" s="25"/>
      <c r="BJ1871" s="25"/>
      <c r="BK1871" s="25"/>
      <c r="BL1871" s="25"/>
      <c r="BM1871" s="25"/>
      <c r="BN1871" s="25"/>
      <c r="BO1871" s="25"/>
      <c r="BP1871" s="25"/>
      <c r="BQ1871" s="25"/>
      <c r="BR1871" s="25"/>
      <c r="BS1871" s="25"/>
      <c r="BT1871" s="25"/>
      <c r="CD1871" s="25"/>
    </row>
    <row r="1872" spans="1:99" s="17" customFormat="1" x14ac:dyDescent="0.2">
      <c r="A1872" s="25"/>
      <c r="B1872" s="20">
        <v>39049008321</v>
      </c>
      <c r="C1872" s="20">
        <v>83.21</v>
      </c>
      <c r="D1872" s="20" t="s">
        <v>31</v>
      </c>
      <c r="E1872" s="20" t="s">
        <v>2830</v>
      </c>
      <c r="F1872" s="20" t="s">
        <v>6</v>
      </c>
      <c r="G1872" s="861">
        <v>45.871596472640199</v>
      </c>
      <c r="H1872" s="861">
        <v>58.429568590298501</v>
      </c>
      <c r="I1872" s="861">
        <v>29.064815816670801</v>
      </c>
      <c r="J1872" s="861">
        <v>48.922362754688102</v>
      </c>
      <c r="K1872" s="982">
        <v>0</v>
      </c>
      <c r="L1872" s="735">
        <v>2664</v>
      </c>
      <c r="M1872" s="735">
        <v>3410</v>
      </c>
      <c r="N1872" s="845">
        <f t="shared" si="158"/>
        <v>0.28003003003003002</v>
      </c>
      <c r="O1872" s="735">
        <v>0.42593786270316125</v>
      </c>
      <c r="P1872" s="735">
        <f t="shared" si="159"/>
        <v>8005.8625884040048</v>
      </c>
      <c r="Q1872" s="849">
        <v>34.1</v>
      </c>
      <c r="R1872" s="71">
        <v>54231</v>
      </c>
      <c r="S1872" s="845">
        <v>0.17401528512639625</v>
      </c>
      <c r="T1872" s="845">
        <v>7.8E-2</v>
      </c>
      <c r="U1872" s="845">
        <v>0</v>
      </c>
      <c r="V1872" s="845">
        <v>0</v>
      </c>
      <c r="W1872" s="845">
        <v>0.3525535420098847</v>
      </c>
      <c r="X1872" s="845">
        <v>0.3644859813084112</v>
      </c>
      <c r="Y1872" s="845">
        <v>0.45395894428152495</v>
      </c>
      <c r="Z1872" s="845">
        <v>0.12903225806451613</v>
      </c>
      <c r="AA1872" s="845">
        <v>2.5513196480938416E-2</v>
      </c>
      <c r="AB1872" s="845">
        <v>6.6568914956011735E-2</v>
      </c>
      <c r="AC1872" s="845">
        <v>0</v>
      </c>
      <c r="AD1872" s="845">
        <v>6.4222873900293256E-2</v>
      </c>
      <c r="AE1872" s="845">
        <v>0.26070381231671552</v>
      </c>
      <c r="AF1872" s="845">
        <v>0.30645161290322581</v>
      </c>
      <c r="AG1872" s="845">
        <v>0.43782991202346039</v>
      </c>
      <c r="AH1872" s="20" t="str">
        <f t="shared" si="160"/>
        <v>No</v>
      </c>
      <c r="AI1872" s="25"/>
      <c r="AJ1872" s="25"/>
      <c r="AK1872" s="25"/>
      <c r="AL1872" s="25"/>
      <c r="AM1872" s="25"/>
      <c r="AN1872" s="25"/>
      <c r="AO1872" s="25"/>
      <c r="AP1872" s="25"/>
      <c r="AQ1872" s="25"/>
      <c r="AR1872" s="25"/>
      <c r="AS1872" s="25"/>
      <c r="AT1872" s="25"/>
      <c r="AU1872" s="36"/>
      <c r="AV1872" s="36"/>
      <c r="AW1872" s="36"/>
      <c r="AX1872" s="25"/>
      <c r="AY1872" s="25"/>
      <c r="AZ1872" s="25"/>
      <c r="BA1872" s="25"/>
      <c r="BB1872" s="25"/>
      <c r="BC1872" s="25"/>
      <c r="BD1872" s="25"/>
      <c r="BE1872" s="25"/>
      <c r="BF1872" s="25"/>
      <c r="BG1872" s="25"/>
      <c r="BH1872" s="25"/>
      <c r="BI1872" s="25"/>
      <c r="BJ1872" s="25"/>
      <c r="BK1872" s="25"/>
      <c r="BL1872" s="25"/>
      <c r="BM1872" s="25"/>
      <c r="BN1872" s="25"/>
      <c r="BO1872" s="25"/>
      <c r="BP1872" s="25"/>
      <c r="BQ1872" s="25"/>
      <c r="BR1872" s="25"/>
      <c r="BS1872" s="25"/>
      <c r="BT1872" s="25"/>
      <c r="CD1872" s="25"/>
    </row>
    <row r="1873" spans="1:82" s="17" customFormat="1" x14ac:dyDescent="0.2">
      <c r="A1873" s="25"/>
      <c r="B1873" s="20">
        <v>39093090100</v>
      </c>
      <c r="C1873" s="20">
        <v>901</v>
      </c>
      <c r="D1873" s="20" t="s">
        <v>52</v>
      </c>
      <c r="E1873" s="20" t="s">
        <v>2829</v>
      </c>
      <c r="F1873" s="20" t="s">
        <v>8</v>
      </c>
      <c r="G1873" s="861">
        <v>45.866377314234697</v>
      </c>
      <c r="H1873" s="861">
        <v>56.185993354237503</v>
      </c>
      <c r="I1873" s="861">
        <v>26.9389054524244</v>
      </c>
      <c r="J1873" s="861">
        <v>57.841482164587198</v>
      </c>
      <c r="K1873" s="982">
        <v>0</v>
      </c>
      <c r="L1873" s="735">
        <v>3414</v>
      </c>
      <c r="M1873" s="735">
        <v>4097</v>
      </c>
      <c r="N1873" s="845">
        <f t="shared" si="158"/>
        <v>0.20005858230814294</v>
      </c>
      <c r="O1873" s="735">
        <v>10.535388905704282</v>
      </c>
      <c r="P1873" s="735">
        <f t="shared" si="159"/>
        <v>388.87980658993229</v>
      </c>
      <c r="Q1873" s="849">
        <v>44.7</v>
      </c>
      <c r="R1873" s="71">
        <v>99932</v>
      </c>
      <c r="S1873" s="845">
        <v>8.7342709104367131E-2</v>
      </c>
      <c r="T1873" s="845">
        <v>3.4000000000000002E-2</v>
      </c>
      <c r="U1873" s="845">
        <v>0</v>
      </c>
      <c r="V1873" s="845">
        <v>0</v>
      </c>
      <c r="W1873" s="845">
        <v>8.8709677419354843E-2</v>
      </c>
      <c r="X1873" s="845">
        <v>0.62937062937062938</v>
      </c>
      <c r="Y1873" s="845">
        <v>0.89431291188674644</v>
      </c>
      <c r="Z1873" s="845">
        <v>2.9289724188430559E-3</v>
      </c>
      <c r="AA1873" s="845">
        <v>0</v>
      </c>
      <c r="AB1873" s="845">
        <v>1.9770563827190626E-2</v>
      </c>
      <c r="AC1873" s="845">
        <v>0</v>
      </c>
      <c r="AD1873" s="845">
        <v>1.0983646570661459E-2</v>
      </c>
      <c r="AE1873" s="845">
        <v>7.2003905296558451E-2</v>
      </c>
      <c r="AF1873" s="845">
        <v>1.2448132780082987E-2</v>
      </c>
      <c r="AG1873" s="845">
        <v>0.89431291188674644</v>
      </c>
      <c r="AH1873" s="20" t="str">
        <f t="shared" si="160"/>
        <v>No</v>
      </c>
      <c r="AI1873" s="25"/>
      <c r="AJ1873" s="25"/>
      <c r="AK1873" s="25"/>
      <c r="AL1873" s="25"/>
      <c r="AM1873" s="25"/>
      <c r="AN1873" s="25"/>
      <c r="AO1873" s="25"/>
      <c r="AP1873" s="25"/>
      <c r="AQ1873" s="25"/>
      <c r="AR1873" s="25"/>
      <c r="AS1873" s="25"/>
      <c r="AT1873" s="25"/>
      <c r="AU1873" s="36"/>
      <c r="AV1873" s="36"/>
      <c r="AW1873" s="36"/>
      <c r="AX1873" s="25"/>
      <c r="AY1873" s="25"/>
      <c r="AZ1873" s="25"/>
      <c r="BA1873" s="25"/>
      <c r="BB1873" s="25"/>
      <c r="BC1873" s="25"/>
      <c r="BD1873" s="25"/>
      <c r="BE1873" s="25"/>
      <c r="BF1873" s="25"/>
      <c r="BG1873" s="25"/>
      <c r="BH1873" s="25"/>
      <c r="BI1873" s="25"/>
      <c r="BJ1873" s="25"/>
      <c r="BK1873" s="25"/>
      <c r="BL1873" s="25"/>
      <c r="BM1873" s="25"/>
      <c r="BN1873" s="25"/>
      <c r="BO1873" s="25"/>
      <c r="BP1873" s="25"/>
      <c r="BQ1873" s="25"/>
      <c r="BR1873" s="25"/>
      <c r="BS1873" s="25"/>
      <c r="BT1873" s="25"/>
      <c r="CD1873" s="25"/>
    </row>
    <row r="1874" spans="1:82" s="17" customFormat="1" x14ac:dyDescent="0.2">
      <c r="A1874" s="25"/>
      <c r="B1874" s="20">
        <v>39035115900</v>
      </c>
      <c r="C1874" s="20">
        <v>1159</v>
      </c>
      <c r="D1874" s="20" t="s">
        <v>24</v>
      </c>
      <c r="E1874" s="20" t="s">
        <v>2829</v>
      </c>
      <c r="F1874" s="20" t="s">
        <v>8</v>
      </c>
      <c r="G1874" s="861">
        <v>45.863627313028303</v>
      </c>
      <c r="H1874" s="861">
        <v>58.073363695829798</v>
      </c>
      <c r="I1874" s="861">
        <v>63.333572315647203</v>
      </c>
      <c r="J1874" s="861">
        <v>53.373129610867103</v>
      </c>
      <c r="K1874" s="982">
        <v>0</v>
      </c>
      <c r="L1874" s="735">
        <v>3786</v>
      </c>
      <c r="M1874" s="735">
        <v>3848</v>
      </c>
      <c r="N1874" s="845">
        <f t="shared" si="158"/>
        <v>1.6376122556788168E-2</v>
      </c>
      <c r="O1874" s="735">
        <v>0.49510111457615924</v>
      </c>
      <c r="P1874" s="735">
        <f t="shared" si="159"/>
        <v>7772.1497421676258</v>
      </c>
      <c r="Q1874" s="849">
        <v>38.1</v>
      </c>
      <c r="R1874" s="71">
        <v>51439</v>
      </c>
      <c r="S1874" s="845">
        <v>0.13257775434897207</v>
      </c>
      <c r="T1874" s="845">
        <v>6.4000000000000001E-2</v>
      </c>
      <c r="U1874" s="845">
        <v>0.03</v>
      </c>
      <c r="V1874" s="845">
        <v>6.7000000000000004E-2</v>
      </c>
      <c r="W1874" s="845">
        <v>0.40915208613728127</v>
      </c>
      <c r="X1874" s="845">
        <v>0.41940789473684209</v>
      </c>
      <c r="Y1874" s="845">
        <v>0.336018711018711</v>
      </c>
      <c r="Z1874" s="845">
        <v>0.56107068607068611</v>
      </c>
      <c r="AA1874" s="845">
        <v>0</v>
      </c>
      <c r="AB1874" s="845">
        <v>0</v>
      </c>
      <c r="AC1874" s="845">
        <v>0</v>
      </c>
      <c r="AD1874" s="845">
        <v>7.2765072765072769E-3</v>
      </c>
      <c r="AE1874" s="845">
        <v>9.5634095634095639E-2</v>
      </c>
      <c r="AF1874" s="845">
        <v>5.5613305613305616E-2</v>
      </c>
      <c r="AG1874" s="845">
        <v>0.33186070686070684</v>
      </c>
      <c r="AH1874" s="20" t="str">
        <f t="shared" si="160"/>
        <v>No</v>
      </c>
      <c r="AI1874" s="25"/>
      <c r="AJ1874" s="25"/>
      <c r="AK1874" s="25"/>
      <c r="AL1874" s="25"/>
      <c r="AM1874" s="25"/>
      <c r="AN1874" s="25"/>
      <c r="AO1874" s="25"/>
      <c r="AP1874" s="25"/>
      <c r="AQ1874" s="25"/>
      <c r="AR1874" s="25"/>
      <c r="AS1874" s="25"/>
      <c r="AT1874" s="25"/>
      <c r="AU1874" s="36"/>
      <c r="AV1874" s="36"/>
      <c r="AW1874" s="36"/>
      <c r="AX1874" s="25"/>
      <c r="AY1874" s="25"/>
      <c r="AZ1874" s="25"/>
      <c r="BA1874" s="25"/>
      <c r="BB1874" s="25"/>
      <c r="BC1874" s="25"/>
      <c r="BD1874" s="25"/>
      <c r="BE1874" s="25"/>
      <c r="BF1874" s="25"/>
      <c r="BG1874" s="25"/>
      <c r="BH1874" s="25"/>
      <c r="BI1874" s="25"/>
      <c r="BJ1874" s="25"/>
      <c r="BK1874" s="25"/>
      <c r="BL1874" s="25"/>
      <c r="BM1874" s="25"/>
      <c r="BN1874" s="25"/>
      <c r="BO1874" s="25"/>
      <c r="BP1874" s="25"/>
      <c r="BQ1874" s="25"/>
      <c r="BR1874" s="25"/>
      <c r="BS1874" s="25"/>
      <c r="BT1874" s="25"/>
      <c r="CD1874" s="25"/>
    </row>
    <row r="1875" spans="1:82" s="17" customFormat="1" x14ac:dyDescent="0.2">
      <c r="A1875" s="25"/>
      <c r="B1875" s="20">
        <v>39095007901</v>
      </c>
      <c r="C1875" s="20">
        <v>79.010000000000005</v>
      </c>
      <c r="D1875" s="20" t="s">
        <v>53</v>
      </c>
      <c r="E1875" s="20" t="s">
        <v>2839</v>
      </c>
      <c r="F1875" s="20" t="s">
        <v>8</v>
      </c>
      <c r="G1875" s="861">
        <v>45.832247630819602</v>
      </c>
      <c r="H1875" s="861">
        <v>66.550608036707601</v>
      </c>
      <c r="I1875" s="861">
        <v>29.750704020947801</v>
      </c>
      <c r="J1875" s="861">
        <v>34.398456450248098</v>
      </c>
      <c r="K1875" s="982">
        <v>0</v>
      </c>
      <c r="L1875" s="735">
        <v>2113</v>
      </c>
      <c r="M1875" s="735">
        <v>2329</v>
      </c>
      <c r="N1875" s="845">
        <f t="shared" si="158"/>
        <v>0.10222432560340748</v>
      </c>
      <c r="O1875" s="735">
        <v>0.4828597456379829</v>
      </c>
      <c r="P1875" s="735">
        <f t="shared" si="159"/>
        <v>4823.3467814194937</v>
      </c>
      <c r="Q1875" s="849">
        <v>36.4</v>
      </c>
      <c r="R1875" s="71">
        <v>71536</v>
      </c>
      <c r="S1875" s="845">
        <v>0.17672983693256941</v>
      </c>
      <c r="T1875" s="845">
        <v>9.5000000000000001E-2</v>
      </c>
      <c r="U1875" s="845">
        <v>3.5000000000000003E-2</v>
      </c>
      <c r="V1875" s="845">
        <v>0.11199999999999999</v>
      </c>
      <c r="W1875" s="845">
        <v>0.19832735961768219</v>
      </c>
      <c r="X1875" s="845">
        <v>0.39759036144578314</v>
      </c>
      <c r="Y1875" s="845">
        <v>0.82009446114212103</v>
      </c>
      <c r="Z1875" s="845">
        <v>2.1039072563331901E-2</v>
      </c>
      <c r="AA1875" s="845">
        <v>9.446114212108201E-3</v>
      </c>
      <c r="AB1875" s="845">
        <v>3.0055817947617004E-2</v>
      </c>
      <c r="AC1875" s="845">
        <v>0</v>
      </c>
      <c r="AD1875" s="845">
        <v>1.24516960068699E-2</v>
      </c>
      <c r="AE1875" s="845">
        <v>0.10691283812795191</v>
      </c>
      <c r="AF1875" s="845">
        <v>0.10905968226706741</v>
      </c>
      <c r="AG1875" s="845">
        <v>0.79261485616144267</v>
      </c>
      <c r="AH1875" s="20" t="str">
        <f t="shared" si="160"/>
        <v>No</v>
      </c>
      <c r="AI1875" s="25"/>
      <c r="AJ1875" s="25"/>
      <c r="AK1875" s="25"/>
      <c r="AL1875" s="25"/>
      <c r="AM1875" s="25"/>
      <c r="AN1875" s="25"/>
      <c r="AO1875" s="25"/>
      <c r="AP1875" s="25"/>
      <c r="AQ1875" s="25"/>
      <c r="AR1875" s="25"/>
      <c r="AS1875" s="25"/>
      <c r="AT1875" s="25"/>
      <c r="AU1875" s="36"/>
      <c r="AV1875" s="36"/>
      <c r="AW1875" s="36"/>
      <c r="AX1875" s="25"/>
      <c r="AY1875" s="25"/>
      <c r="AZ1875" s="25"/>
      <c r="BA1875" s="25"/>
      <c r="BB1875" s="25"/>
      <c r="BC1875" s="25"/>
      <c r="BD1875" s="25"/>
      <c r="BE1875" s="25"/>
      <c r="BF1875" s="25"/>
      <c r="BG1875" s="25"/>
      <c r="BH1875" s="25"/>
      <c r="BI1875" s="25"/>
      <c r="BJ1875" s="25"/>
      <c r="BK1875" s="25"/>
      <c r="BL1875" s="25"/>
      <c r="BM1875" s="25"/>
      <c r="BN1875" s="25"/>
      <c r="BO1875" s="25"/>
      <c r="BP1875" s="25"/>
      <c r="BQ1875" s="25"/>
      <c r="BR1875" s="25"/>
      <c r="BS1875" s="25"/>
      <c r="BT1875" s="25"/>
      <c r="CD1875" s="25"/>
    </row>
    <row r="1876" spans="1:82" s="17" customFormat="1" x14ac:dyDescent="0.2">
      <c r="A1876" s="25"/>
      <c r="B1876" s="20">
        <v>39045032300</v>
      </c>
      <c r="C1876" s="20">
        <v>323</v>
      </c>
      <c r="D1876" s="20" t="s">
        <v>29</v>
      </c>
      <c r="E1876" s="20" t="s">
        <v>2830</v>
      </c>
      <c r="F1876" s="20" t="s">
        <v>6</v>
      </c>
      <c r="G1876" s="861">
        <v>45.828825290331302</v>
      </c>
      <c r="H1876" s="861">
        <v>38.970376272690899</v>
      </c>
      <c r="I1876" s="861">
        <v>27.173398111299999</v>
      </c>
      <c r="J1876" s="861">
        <v>46.5995489423875</v>
      </c>
      <c r="K1876" s="982">
        <v>0</v>
      </c>
      <c r="L1876" s="735">
        <v>4210</v>
      </c>
      <c r="M1876" s="735">
        <v>3934</v>
      </c>
      <c r="N1876" s="845">
        <f t="shared" si="158"/>
        <v>-6.5558194774346795E-2</v>
      </c>
      <c r="O1876" s="735">
        <v>2.6499418949070002</v>
      </c>
      <c r="P1876" s="735">
        <f t="shared" si="159"/>
        <v>1484.5608530363886</v>
      </c>
      <c r="Q1876" s="849">
        <v>41.9</v>
      </c>
      <c r="R1876" s="71">
        <v>54464</v>
      </c>
      <c r="S1876" s="845">
        <v>0.20233160621761659</v>
      </c>
      <c r="T1876" s="845">
        <v>3.7999999999999999E-2</v>
      </c>
      <c r="U1876" s="845">
        <v>0</v>
      </c>
      <c r="V1876" s="845">
        <v>0</v>
      </c>
      <c r="W1876" s="845">
        <v>0.40140845070422537</v>
      </c>
      <c r="X1876" s="845">
        <v>0.36707152496626183</v>
      </c>
      <c r="Y1876" s="845">
        <v>0.97737671581087948</v>
      </c>
      <c r="Z1876" s="845">
        <v>1.5251652262328419E-3</v>
      </c>
      <c r="AA1876" s="845">
        <v>0</v>
      </c>
      <c r="AB1876" s="845">
        <v>0</v>
      </c>
      <c r="AC1876" s="845">
        <v>0</v>
      </c>
      <c r="AD1876" s="845">
        <v>5.3380782918149468E-3</v>
      </c>
      <c r="AE1876" s="845">
        <v>1.57600406710727E-2</v>
      </c>
      <c r="AF1876" s="845">
        <v>5.5922724961870868E-3</v>
      </c>
      <c r="AG1876" s="845">
        <v>0.97305541433655318</v>
      </c>
      <c r="AH1876" s="20" t="str">
        <f t="shared" si="160"/>
        <v>Yes</v>
      </c>
      <c r="AI1876" s="25"/>
      <c r="AJ1876" s="25"/>
      <c r="AK1876" s="25"/>
      <c r="AL1876" s="25"/>
      <c r="AM1876" s="25"/>
      <c r="AN1876" s="25"/>
      <c r="AO1876" s="25"/>
      <c r="AP1876" s="25"/>
      <c r="AQ1876" s="25"/>
      <c r="AR1876" s="25"/>
      <c r="AS1876" s="25"/>
      <c r="AT1876" s="25"/>
      <c r="AU1876" s="36"/>
      <c r="AV1876" s="36"/>
      <c r="AW1876" s="36"/>
      <c r="AX1876" s="25"/>
      <c r="AY1876" s="25"/>
      <c r="AZ1876" s="25"/>
      <c r="BA1876" s="25"/>
      <c r="BB1876" s="25"/>
      <c r="BC1876" s="25"/>
      <c r="BD1876" s="25"/>
      <c r="BE1876" s="25"/>
      <c r="BF1876" s="25"/>
      <c r="BG1876" s="25"/>
      <c r="BH1876" s="25"/>
      <c r="BI1876" s="25"/>
      <c r="BJ1876" s="25"/>
      <c r="BK1876" s="25"/>
      <c r="BL1876" s="25"/>
      <c r="BM1876" s="25"/>
      <c r="BN1876" s="25"/>
      <c r="BO1876" s="25"/>
      <c r="BP1876" s="25"/>
      <c r="BQ1876" s="25"/>
      <c r="BR1876" s="25"/>
      <c r="BS1876" s="25"/>
      <c r="BT1876" s="25"/>
      <c r="CD1876" s="25"/>
    </row>
    <row r="1877" spans="1:82" s="17" customFormat="1" x14ac:dyDescent="0.2">
      <c r="A1877" s="25"/>
      <c r="B1877" s="20">
        <v>39169000100</v>
      </c>
      <c r="C1877" s="20">
        <v>1</v>
      </c>
      <c r="D1877" s="20" t="s">
        <v>90</v>
      </c>
      <c r="E1877" s="20" t="s">
        <v>265</v>
      </c>
      <c r="F1877" s="20" t="s">
        <v>8</v>
      </c>
      <c r="G1877" s="861">
        <v>45.8045053791312</v>
      </c>
      <c r="H1877" s="861">
        <v>52.932564444177501</v>
      </c>
      <c r="I1877" s="861">
        <v>38.793466002546097</v>
      </c>
      <c r="J1877" s="861">
        <v>28.568318423613398</v>
      </c>
      <c r="K1877" s="982">
        <v>0</v>
      </c>
      <c r="L1877" s="735">
        <v>3517</v>
      </c>
      <c r="M1877" s="735">
        <v>3703</v>
      </c>
      <c r="N1877" s="845">
        <f t="shared" si="158"/>
        <v>5.2885982371339207E-2</v>
      </c>
      <c r="O1877" s="735">
        <v>0.81417246351760286</v>
      </c>
      <c r="P1877" s="735">
        <f t="shared" si="159"/>
        <v>4548.1764195282676</v>
      </c>
      <c r="Q1877" s="849">
        <v>33.9</v>
      </c>
      <c r="R1877" s="71">
        <v>55909</v>
      </c>
      <c r="S1877" s="845">
        <v>0.12247474747474747</v>
      </c>
      <c r="T1877" s="845">
        <v>0.105</v>
      </c>
      <c r="U1877" s="845">
        <v>1.3999999999999999E-2</v>
      </c>
      <c r="V1877" s="845">
        <v>1.2E-2</v>
      </c>
      <c r="W1877" s="845">
        <v>0.55068493150684927</v>
      </c>
      <c r="X1877" s="845">
        <v>0.22885572139303484</v>
      </c>
      <c r="Y1877" s="845">
        <v>0.81960572508776663</v>
      </c>
      <c r="Z1877" s="845">
        <v>5.2930056710775046E-2</v>
      </c>
      <c r="AA1877" s="845">
        <v>1.3502565487442614E-3</v>
      </c>
      <c r="AB1877" s="845">
        <v>1.6743181204428841E-2</v>
      </c>
      <c r="AC1877" s="845">
        <v>0</v>
      </c>
      <c r="AD1877" s="845">
        <v>2.6465028355387523E-2</v>
      </c>
      <c r="AE1877" s="845">
        <v>8.2905752092897647E-2</v>
      </c>
      <c r="AF1877" s="845">
        <v>1.9713745611666215E-2</v>
      </c>
      <c r="AG1877" s="845">
        <v>0.81366459627329191</v>
      </c>
      <c r="AH1877" s="20" t="str">
        <f t="shared" si="160"/>
        <v>No</v>
      </c>
      <c r="AI1877" s="25"/>
      <c r="AJ1877" s="25"/>
      <c r="AK1877" s="25"/>
      <c r="AL1877" s="25"/>
      <c r="AM1877" s="25"/>
      <c r="AN1877" s="25"/>
      <c r="AO1877" s="25"/>
      <c r="AP1877" s="25"/>
      <c r="AQ1877" s="25"/>
      <c r="AR1877" s="25"/>
      <c r="AS1877" s="25"/>
      <c r="AT1877" s="25"/>
      <c r="AU1877" s="36"/>
      <c r="AV1877" s="36"/>
      <c r="AW1877" s="36"/>
      <c r="AX1877" s="25"/>
      <c r="AY1877" s="25"/>
      <c r="AZ1877" s="25"/>
      <c r="BA1877" s="25"/>
      <c r="BB1877" s="25"/>
      <c r="BC1877" s="25"/>
      <c r="BD1877" s="25"/>
      <c r="BE1877" s="25"/>
      <c r="BF1877" s="25"/>
      <c r="BG1877" s="25"/>
      <c r="BH1877" s="25"/>
      <c r="BI1877" s="25"/>
      <c r="BJ1877" s="25"/>
      <c r="BK1877" s="25"/>
      <c r="BL1877" s="25"/>
      <c r="BM1877" s="25"/>
      <c r="BN1877" s="25"/>
      <c r="BO1877" s="25"/>
      <c r="BP1877" s="25"/>
      <c r="BQ1877" s="25"/>
      <c r="BR1877" s="25"/>
      <c r="BS1877" s="25"/>
      <c r="BT1877" s="25"/>
      <c r="CD1877" s="25"/>
    </row>
    <row r="1878" spans="1:82" s="17" customFormat="1" x14ac:dyDescent="0.2">
      <c r="A1878" s="25"/>
      <c r="B1878" s="20">
        <v>39029950600</v>
      </c>
      <c r="C1878" s="20">
        <v>9506</v>
      </c>
      <c r="D1878" s="20" t="s">
        <v>21</v>
      </c>
      <c r="E1878" s="20" t="s">
        <v>265</v>
      </c>
      <c r="F1878" s="20" t="s">
        <v>8</v>
      </c>
      <c r="G1878" s="861">
        <v>45.802993540263202</v>
      </c>
      <c r="H1878" s="861">
        <v>56.251785034970197</v>
      </c>
      <c r="I1878" s="861">
        <v>40.314352632787497</v>
      </c>
      <c r="J1878" s="861">
        <v>23.103352174744298</v>
      </c>
      <c r="K1878" s="982">
        <v>0</v>
      </c>
      <c r="L1878" s="735">
        <v>5241</v>
      </c>
      <c r="M1878" s="735">
        <v>4666</v>
      </c>
      <c r="N1878" s="845">
        <f t="shared" si="158"/>
        <v>-0.10971188704445717</v>
      </c>
      <c r="O1878" s="735">
        <v>3.6160046310019549</v>
      </c>
      <c r="P1878" s="735">
        <f t="shared" si="159"/>
        <v>1290.3744536154265</v>
      </c>
      <c r="Q1878" s="849">
        <v>46</v>
      </c>
      <c r="R1878" s="71">
        <v>68341</v>
      </c>
      <c r="S1878" s="845">
        <v>0.1707920792079208</v>
      </c>
      <c r="T1878" s="845">
        <v>5.5E-2</v>
      </c>
      <c r="U1878" s="845">
        <v>3.1E-2</v>
      </c>
      <c r="V1878" s="845">
        <v>0</v>
      </c>
      <c r="W1878" s="845">
        <v>0.39631106679960121</v>
      </c>
      <c r="X1878" s="845">
        <v>0.38616352201257864</v>
      </c>
      <c r="Y1878" s="845">
        <v>0.94942134590655813</v>
      </c>
      <c r="Z1878" s="845">
        <v>0</v>
      </c>
      <c r="AA1878" s="845">
        <v>2.1431633090441493E-2</v>
      </c>
      <c r="AB1878" s="845">
        <v>0</v>
      </c>
      <c r="AC1878" s="845">
        <v>0</v>
      </c>
      <c r="AD1878" s="845">
        <v>1.1787398199742821E-2</v>
      </c>
      <c r="AE1878" s="845">
        <v>1.7359622803257608E-2</v>
      </c>
      <c r="AF1878" s="845">
        <v>2.1431633090441493E-2</v>
      </c>
      <c r="AG1878" s="845">
        <v>0.94942134590655813</v>
      </c>
      <c r="AH1878" s="20" t="str">
        <f t="shared" si="160"/>
        <v>Yes</v>
      </c>
      <c r="AI1878" s="25"/>
      <c r="AJ1878" s="25"/>
      <c r="AK1878" s="25"/>
      <c r="AL1878" s="25"/>
      <c r="AM1878" s="25"/>
      <c r="AN1878" s="25"/>
      <c r="AO1878" s="25"/>
      <c r="AP1878" s="25"/>
      <c r="AQ1878" s="25"/>
      <c r="AR1878" s="25"/>
      <c r="AS1878" s="25"/>
      <c r="AT1878" s="25"/>
      <c r="AU1878" s="36"/>
      <c r="AV1878" s="36"/>
      <c r="AW1878" s="36"/>
      <c r="AX1878" s="25"/>
      <c r="AY1878" s="25"/>
      <c r="AZ1878" s="25"/>
      <c r="BA1878" s="25"/>
      <c r="BB1878" s="25"/>
      <c r="BC1878" s="25"/>
      <c r="BD1878" s="25"/>
      <c r="BE1878" s="25"/>
      <c r="BF1878" s="25"/>
      <c r="BG1878" s="25"/>
      <c r="BH1878" s="25"/>
      <c r="BI1878" s="25"/>
      <c r="BJ1878" s="25"/>
      <c r="BK1878" s="25"/>
      <c r="BL1878" s="25"/>
      <c r="BM1878" s="25"/>
      <c r="BN1878" s="25"/>
      <c r="BO1878" s="25"/>
      <c r="BP1878" s="25"/>
      <c r="BQ1878" s="25"/>
      <c r="BR1878" s="25"/>
      <c r="BS1878" s="25"/>
      <c r="BT1878" s="25"/>
      <c r="CD1878" s="25"/>
    </row>
    <row r="1879" spans="1:82" s="17" customFormat="1" x14ac:dyDescent="0.2">
      <c r="A1879" s="25"/>
      <c r="B1879" s="20">
        <v>39069000600</v>
      </c>
      <c r="C1879" s="20">
        <v>6</v>
      </c>
      <c r="D1879" s="20" t="s">
        <v>41</v>
      </c>
      <c r="E1879" s="20" t="s">
        <v>265</v>
      </c>
      <c r="F1879" s="20" t="s">
        <v>8</v>
      </c>
      <c r="G1879" s="861">
        <v>45.802060740085203</v>
      </c>
      <c r="H1879" s="861">
        <v>47.804561084801598</v>
      </c>
      <c r="I1879" s="861">
        <v>29.790801500148198</v>
      </c>
      <c r="J1879" s="861">
        <v>48.131301797427597</v>
      </c>
      <c r="K1879" s="982">
        <v>0</v>
      </c>
      <c r="L1879" s="735">
        <v>3543</v>
      </c>
      <c r="M1879" s="735">
        <v>3620</v>
      </c>
      <c r="N1879" s="845">
        <f t="shared" si="158"/>
        <v>2.173299463731301E-2</v>
      </c>
      <c r="O1879" s="735">
        <v>66.493158920331879</v>
      </c>
      <c r="P1879" s="735">
        <f t="shared" si="159"/>
        <v>54.441690826228715</v>
      </c>
      <c r="Q1879" s="849">
        <v>35.9</v>
      </c>
      <c r="R1879" s="71">
        <v>66181</v>
      </c>
      <c r="S1879" s="845">
        <v>0.12046848856664807</v>
      </c>
      <c r="T1879" s="845">
        <v>3.4000000000000002E-2</v>
      </c>
      <c r="U1879" s="845">
        <v>0</v>
      </c>
      <c r="V1879" s="845">
        <v>0</v>
      </c>
      <c r="W1879" s="845">
        <v>0.18096611391492429</v>
      </c>
      <c r="X1879" s="845">
        <v>0.43426294820717132</v>
      </c>
      <c r="Y1879" s="845">
        <v>0.90994475138121544</v>
      </c>
      <c r="Z1879" s="845">
        <v>0</v>
      </c>
      <c r="AA1879" s="845">
        <v>5.5248618784530391E-4</v>
      </c>
      <c r="AB1879" s="845">
        <v>0</v>
      </c>
      <c r="AC1879" s="845">
        <v>0</v>
      </c>
      <c r="AD1879" s="845">
        <v>3.6187845303867407E-2</v>
      </c>
      <c r="AE1879" s="845">
        <v>5.3314917127071822E-2</v>
      </c>
      <c r="AF1879" s="845">
        <v>0.13149171270718232</v>
      </c>
      <c r="AG1879" s="845">
        <v>0.85607734806629832</v>
      </c>
      <c r="AH1879" s="20" t="str">
        <f t="shared" si="160"/>
        <v>No</v>
      </c>
      <c r="AI1879" s="25"/>
      <c r="AJ1879" s="25"/>
      <c r="AK1879" s="25"/>
      <c r="AL1879" s="25"/>
      <c r="AM1879" s="25"/>
      <c r="AN1879" s="25"/>
      <c r="AO1879" s="25"/>
      <c r="AP1879" s="25"/>
      <c r="AQ1879" s="25"/>
      <c r="AR1879" s="25"/>
      <c r="AS1879" s="25"/>
      <c r="AT1879" s="25"/>
      <c r="AU1879" s="36"/>
      <c r="AV1879" s="36"/>
      <c r="AW1879" s="36"/>
      <c r="AX1879" s="25"/>
      <c r="AY1879" s="25"/>
      <c r="AZ1879" s="25"/>
      <c r="BA1879" s="25"/>
      <c r="BB1879" s="25"/>
      <c r="BC1879" s="25"/>
      <c r="BD1879" s="25"/>
      <c r="BE1879" s="25"/>
      <c r="BF1879" s="25"/>
      <c r="BG1879" s="25"/>
      <c r="BH1879" s="25"/>
      <c r="BI1879" s="25"/>
      <c r="BJ1879" s="25"/>
      <c r="BK1879" s="25"/>
      <c r="BL1879" s="25"/>
      <c r="BM1879" s="25"/>
      <c r="BN1879" s="25"/>
      <c r="BO1879" s="25"/>
      <c r="BP1879" s="25"/>
      <c r="BQ1879" s="25"/>
      <c r="BR1879" s="25"/>
      <c r="BS1879" s="25"/>
      <c r="BT1879" s="25"/>
      <c r="CD1879" s="25"/>
    </row>
    <row r="1880" spans="1:82" s="17" customFormat="1" x14ac:dyDescent="0.2">
      <c r="A1880" s="25"/>
      <c r="B1880" s="20">
        <v>39153533400</v>
      </c>
      <c r="C1880" s="20">
        <v>5334</v>
      </c>
      <c r="D1880" s="20" t="s">
        <v>82</v>
      </c>
      <c r="E1880" s="20" t="s">
        <v>2843</v>
      </c>
      <c r="F1880" s="20" t="s">
        <v>8</v>
      </c>
      <c r="G1880" s="861">
        <v>45.763721930040703</v>
      </c>
      <c r="H1880" s="861">
        <v>52.431918323739602</v>
      </c>
      <c r="I1880" s="861">
        <v>29.690051781115301</v>
      </c>
      <c r="J1880" s="861">
        <v>43.1248866442062</v>
      </c>
      <c r="K1880" s="982">
        <v>0</v>
      </c>
      <c r="L1880" s="735">
        <v>5951</v>
      </c>
      <c r="M1880" s="735">
        <v>6092</v>
      </c>
      <c r="N1880" s="845">
        <f t="shared" si="158"/>
        <v>2.3693496891278778E-2</v>
      </c>
      <c r="O1880" s="735">
        <v>8.7200253594986581</v>
      </c>
      <c r="P1880" s="735">
        <f t="shared" si="159"/>
        <v>698.62182147945589</v>
      </c>
      <c r="Q1880" s="849">
        <v>40.9</v>
      </c>
      <c r="R1880" s="71">
        <v>97712</v>
      </c>
      <c r="S1880" s="845">
        <v>8.1236277655801381E-2</v>
      </c>
      <c r="T1880" s="845">
        <v>3.2000000000000001E-2</v>
      </c>
      <c r="U1880" s="845">
        <v>0</v>
      </c>
      <c r="V1880" s="845">
        <v>0</v>
      </c>
      <c r="W1880" s="845">
        <v>0.21739130434782608</v>
      </c>
      <c r="X1880" s="845">
        <v>0.31932773109243695</v>
      </c>
      <c r="Y1880" s="845">
        <v>0.72422849638870646</v>
      </c>
      <c r="Z1880" s="845">
        <v>0.14576493762311227</v>
      </c>
      <c r="AA1880" s="845">
        <v>4.43204202232436E-3</v>
      </c>
      <c r="AB1880" s="845">
        <v>2.1667760998030205E-2</v>
      </c>
      <c r="AC1880" s="845">
        <v>0</v>
      </c>
      <c r="AD1880" s="845">
        <v>3.1188443860801049E-3</v>
      </c>
      <c r="AE1880" s="845">
        <v>0.10078791858174656</v>
      </c>
      <c r="AF1880" s="845">
        <v>1.3952724885095207E-2</v>
      </c>
      <c r="AG1880" s="845">
        <v>0.72422849638870646</v>
      </c>
      <c r="AH1880" s="20" t="str">
        <f t="shared" si="160"/>
        <v>No</v>
      </c>
      <c r="AI1880" s="25"/>
      <c r="AJ1880" s="25"/>
      <c r="AK1880" s="25"/>
      <c r="AL1880" s="25"/>
      <c r="AM1880" s="25"/>
      <c r="AN1880" s="25"/>
      <c r="AO1880" s="25"/>
      <c r="AP1880" s="25"/>
      <c r="AQ1880" s="25"/>
      <c r="AR1880" s="25"/>
      <c r="AS1880" s="25"/>
      <c r="AT1880" s="25"/>
      <c r="AU1880" s="36"/>
      <c r="AV1880" s="36"/>
      <c r="AW1880" s="36"/>
      <c r="AX1880" s="25"/>
      <c r="AY1880" s="25"/>
      <c r="AZ1880" s="25"/>
      <c r="BA1880" s="25"/>
      <c r="BB1880" s="25"/>
      <c r="BC1880" s="25"/>
      <c r="BD1880" s="25"/>
      <c r="BE1880" s="25"/>
      <c r="BF1880" s="25"/>
      <c r="BG1880" s="25"/>
      <c r="BH1880" s="25"/>
      <c r="BI1880" s="25"/>
      <c r="BJ1880" s="25"/>
      <c r="BK1880" s="25"/>
      <c r="BL1880" s="25"/>
      <c r="BM1880" s="25"/>
      <c r="BN1880" s="25"/>
      <c r="BO1880" s="25"/>
      <c r="BP1880" s="25"/>
      <c r="BQ1880" s="25"/>
      <c r="BR1880" s="25"/>
      <c r="BS1880" s="25"/>
      <c r="BT1880" s="25"/>
      <c r="CD1880" s="25"/>
    </row>
    <row r="1881" spans="1:82" s="17" customFormat="1" x14ac:dyDescent="0.2">
      <c r="A1881" s="25"/>
      <c r="B1881" s="20">
        <v>39153504800</v>
      </c>
      <c r="C1881" s="20">
        <v>5048</v>
      </c>
      <c r="D1881" s="20" t="s">
        <v>82</v>
      </c>
      <c r="E1881" s="20" t="s">
        <v>2843</v>
      </c>
      <c r="F1881" s="20" t="s">
        <v>8</v>
      </c>
      <c r="G1881" s="861">
        <v>45.743858448400601</v>
      </c>
      <c r="H1881" s="861">
        <v>51.029482187485399</v>
      </c>
      <c r="I1881" s="861">
        <v>37.3054811335954</v>
      </c>
      <c r="J1881" s="861">
        <v>25.792297805205301</v>
      </c>
      <c r="K1881" s="982">
        <v>0</v>
      </c>
      <c r="L1881" s="735">
        <v>4746</v>
      </c>
      <c r="M1881" s="735">
        <v>4328</v>
      </c>
      <c r="N1881" s="845">
        <f t="shared" si="158"/>
        <v>-8.807416772018542E-2</v>
      </c>
      <c r="O1881" s="735">
        <v>0.86554412792265678</v>
      </c>
      <c r="P1881" s="735">
        <f t="shared" si="159"/>
        <v>5000.3227569545024</v>
      </c>
      <c r="Q1881" s="849">
        <v>45.5</v>
      </c>
      <c r="R1881" s="71">
        <v>55144</v>
      </c>
      <c r="S1881" s="845">
        <v>0.14856746765249537</v>
      </c>
      <c r="T1881" s="845">
        <v>2.1000000000000001E-2</v>
      </c>
      <c r="U1881" s="845">
        <v>3.2000000000000001E-2</v>
      </c>
      <c r="V1881" s="845">
        <v>0</v>
      </c>
      <c r="W1881" s="845">
        <v>0.14257907542579076</v>
      </c>
      <c r="X1881" s="845">
        <v>0.26279863481228671</v>
      </c>
      <c r="Y1881" s="845">
        <v>0.79020332717190389</v>
      </c>
      <c r="Z1881" s="845">
        <v>7.9944547134935304E-2</v>
      </c>
      <c r="AA1881" s="845">
        <v>0</v>
      </c>
      <c r="AB1881" s="845">
        <v>2.0101663585951942E-2</v>
      </c>
      <c r="AC1881" s="845">
        <v>0</v>
      </c>
      <c r="AD1881" s="845">
        <v>2.9574861367837338E-2</v>
      </c>
      <c r="AE1881" s="845">
        <v>8.0175600739371536E-2</v>
      </c>
      <c r="AF1881" s="845">
        <v>7.5092421441774498E-2</v>
      </c>
      <c r="AG1881" s="845">
        <v>0.75115526802218113</v>
      </c>
      <c r="AH1881" s="20" t="str">
        <f t="shared" si="160"/>
        <v>No</v>
      </c>
      <c r="AI1881" s="25"/>
      <c r="AJ1881" s="25"/>
      <c r="AK1881" s="25"/>
      <c r="AL1881" s="25"/>
      <c r="AM1881" s="25"/>
      <c r="AN1881" s="25"/>
      <c r="AO1881" s="25"/>
      <c r="AP1881" s="25"/>
      <c r="AQ1881" s="25"/>
      <c r="AR1881" s="25"/>
      <c r="AS1881" s="25"/>
      <c r="AT1881" s="25"/>
      <c r="AU1881" s="36"/>
      <c r="AV1881" s="36"/>
      <c r="AW1881" s="36"/>
      <c r="AX1881" s="25"/>
      <c r="AY1881" s="25"/>
      <c r="AZ1881" s="25"/>
      <c r="BA1881" s="25"/>
      <c r="BB1881" s="25"/>
      <c r="BC1881" s="25"/>
      <c r="BD1881" s="25"/>
      <c r="BE1881" s="25"/>
      <c r="BF1881" s="25"/>
      <c r="BG1881" s="25"/>
      <c r="BH1881" s="25"/>
      <c r="BI1881" s="25"/>
      <c r="BJ1881" s="25"/>
      <c r="BK1881" s="25"/>
      <c r="BL1881" s="25"/>
      <c r="BM1881" s="25"/>
      <c r="BN1881" s="25"/>
      <c r="BO1881" s="25"/>
      <c r="BP1881" s="25"/>
      <c r="BQ1881" s="25"/>
      <c r="BR1881" s="25"/>
      <c r="BS1881" s="25"/>
      <c r="BT1881" s="25"/>
      <c r="CD1881" s="25"/>
    </row>
    <row r="1882" spans="1:82" s="17" customFormat="1" x14ac:dyDescent="0.2">
      <c r="A1882" s="25"/>
      <c r="B1882" s="20">
        <v>39085204800</v>
      </c>
      <c r="C1882" s="20">
        <v>2048</v>
      </c>
      <c r="D1882" s="20" t="s">
        <v>48</v>
      </c>
      <c r="E1882" s="20" t="s">
        <v>2829</v>
      </c>
      <c r="F1882" s="20" t="s">
        <v>8</v>
      </c>
      <c r="G1882" s="861">
        <v>45.7429851912812</v>
      </c>
      <c r="H1882" s="861">
        <v>37.851923417999998</v>
      </c>
      <c r="I1882" s="861">
        <v>35.266744517717697</v>
      </c>
      <c r="J1882" s="861">
        <v>45.6742724943078</v>
      </c>
      <c r="K1882" s="982">
        <v>0</v>
      </c>
      <c r="L1882" s="735">
        <v>4907</v>
      </c>
      <c r="M1882" s="735">
        <v>5277</v>
      </c>
      <c r="N1882" s="845">
        <f t="shared" si="158"/>
        <v>7.5402486244141018E-2</v>
      </c>
      <c r="O1882" s="735">
        <v>6.2804797972605364</v>
      </c>
      <c r="P1882" s="735">
        <f t="shared" si="159"/>
        <v>840.22243050630607</v>
      </c>
      <c r="Q1882" s="849">
        <v>45.6</v>
      </c>
      <c r="R1882" s="71">
        <v>87970</v>
      </c>
      <c r="S1882" s="845">
        <v>0.10140195890147878</v>
      </c>
      <c r="T1882" s="845">
        <v>0.11</v>
      </c>
      <c r="U1882" s="845">
        <v>0</v>
      </c>
      <c r="V1882" s="845">
        <v>0</v>
      </c>
      <c r="W1882" s="845">
        <v>7.4692442882249563E-2</v>
      </c>
      <c r="X1882" s="845">
        <v>0.27058823529411763</v>
      </c>
      <c r="Y1882" s="845">
        <v>0.93651696039416332</v>
      </c>
      <c r="Z1882" s="845">
        <v>1.6107636914913778E-2</v>
      </c>
      <c r="AA1882" s="845">
        <v>0</v>
      </c>
      <c r="AB1882" s="845">
        <v>0</v>
      </c>
      <c r="AC1882" s="845">
        <v>0</v>
      </c>
      <c r="AD1882" s="845">
        <v>0</v>
      </c>
      <c r="AE1882" s="845">
        <v>4.7375402690922871E-2</v>
      </c>
      <c r="AF1882" s="845">
        <v>4.8891415577032402E-2</v>
      </c>
      <c r="AG1882" s="845">
        <v>0.9308319120712526</v>
      </c>
      <c r="AH1882" s="20" t="str">
        <f t="shared" si="160"/>
        <v>Yes</v>
      </c>
      <c r="AI1882" s="25"/>
      <c r="AJ1882" s="25"/>
      <c r="AK1882" s="25"/>
      <c r="AL1882" s="25"/>
      <c r="AM1882" s="25"/>
      <c r="AN1882" s="25"/>
      <c r="AO1882" s="25"/>
      <c r="AP1882" s="25"/>
      <c r="AQ1882" s="25"/>
      <c r="AR1882" s="25"/>
      <c r="AS1882" s="25"/>
      <c r="AT1882" s="25"/>
      <c r="AU1882" s="36"/>
      <c r="AV1882" s="36"/>
      <c r="AW1882" s="36"/>
      <c r="AX1882" s="25"/>
      <c r="AY1882" s="25"/>
      <c r="AZ1882" s="25"/>
      <c r="BA1882" s="25"/>
      <c r="BB1882" s="25"/>
      <c r="BC1882" s="25"/>
      <c r="BD1882" s="25"/>
      <c r="BE1882" s="25"/>
      <c r="BF1882" s="25"/>
      <c r="BG1882" s="25"/>
      <c r="BH1882" s="25"/>
      <c r="BI1882" s="25"/>
      <c r="BJ1882" s="25"/>
      <c r="BK1882" s="25"/>
      <c r="BL1882" s="25"/>
      <c r="BM1882" s="25"/>
      <c r="BN1882" s="25"/>
      <c r="BO1882" s="25"/>
      <c r="BP1882" s="25"/>
      <c r="BQ1882" s="25"/>
      <c r="BR1882" s="25"/>
      <c r="BS1882" s="25"/>
      <c r="BT1882" s="25"/>
      <c r="CD1882" s="25"/>
    </row>
    <row r="1883" spans="1:82" s="17" customFormat="1" x14ac:dyDescent="0.2">
      <c r="A1883" s="25"/>
      <c r="B1883" s="20">
        <v>39049008169</v>
      </c>
      <c r="C1883" s="20">
        <v>81.69</v>
      </c>
      <c r="D1883" s="20" t="s">
        <v>31</v>
      </c>
      <c r="E1883" s="20" t="s">
        <v>2830</v>
      </c>
      <c r="F1883" s="20" t="s">
        <v>8</v>
      </c>
      <c r="G1883" s="861">
        <v>45.728701642170599</v>
      </c>
      <c r="H1883" s="861">
        <v>65.104438609726301</v>
      </c>
      <c r="I1883" s="861">
        <v>33.734003560104</v>
      </c>
      <c r="J1883" s="861">
        <v>39.862427234499897</v>
      </c>
      <c r="K1883" s="982">
        <v>1</v>
      </c>
      <c r="L1883" s="735" t="s">
        <v>2466</v>
      </c>
      <c r="M1883" s="735">
        <v>4477</v>
      </c>
      <c r="N1883" s="845" t="str">
        <f t="shared" si="158"/>
        <v/>
      </c>
      <c r="O1883" s="735">
        <v>0.90956479333026752</v>
      </c>
      <c r="P1883" s="735">
        <f t="shared" si="159"/>
        <v>4922.1342259829298</v>
      </c>
      <c r="Q1883" s="849">
        <v>37.299999999999997</v>
      </c>
      <c r="R1883" s="71">
        <v>66014</v>
      </c>
      <c r="S1883" s="845">
        <v>0.1420875420875421</v>
      </c>
      <c r="T1883" s="845">
        <v>1.6E-2</v>
      </c>
      <c r="U1883" s="845">
        <v>0</v>
      </c>
      <c r="V1883" s="845">
        <v>5.9000000000000004E-2</v>
      </c>
      <c r="W1883" s="845">
        <v>0.42894190871369292</v>
      </c>
      <c r="X1883" s="845">
        <v>0.45828295042321643</v>
      </c>
      <c r="Y1883" s="845">
        <v>0.70292606656243017</v>
      </c>
      <c r="Z1883" s="845">
        <v>5.4947509492964036E-2</v>
      </c>
      <c r="AA1883" s="845">
        <v>0</v>
      </c>
      <c r="AB1883" s="845">
        <v>4.4002680366316729E-2</v>
      </c>
      <c r="AC1883" s="845">
        <v>0</v>
      </c>
      <c r="AD1883" s="845">
        <v>3.1941031941031942E-2</v>
      </c>
      <c r="AE1883" s="845">
        <v>0.16618271163725709</v>
      </c>
      <c r="AF1883" s="845">
        <v>0.10944829126647308</v>
      </c>
      <c r="AG1883" s="845">
        <v>0.6955550591914228</v>
      </c>
      <c r="AH1883" s="20" t="str">
        <f t="shared" si="160"/>
        <v>No</v>
      </c>
      <c r="AI1883" s="25"/>
      <c r="AJ1883" s="25"/>
      <c r="AK1883" s="25"/>
      <c r="AL1883" s="25"/>
      <c r="AM1883" s="25"/>
      <c r="AN1883" s="25"/>
      <c r="AO1883" s="25"/>
      <c r="AP1883" s="25"/>
      <c r="AQ1883" s="25"/>
      <c r="AR1883" s="25"/>
      <c r="AS1883" s="25"/>
      <c r="AT1883" s="25"/>
      <c r="AU1883" s="36"/>
      <c r="AV1883" s="36"/>
      <c r="AW1883" s="36"/>
      <c r="AX1883" s="25"/>
      <c r="AY1883" s="25"/>
      <c r="AZ1883" s="25"/>
      <c r="BA1883" s="25"/>
      <c r="BB1883" s="25"/>
      <c r="BC1883" s="25"/>
      <c r="BD1883" s="25"/>
      <c r="BE1883" s="25"/>
      <c r="BF1883" s="25"/>
      <c r="BG1883" s="25"/>
      <c r="BH1883" s="25"/>
      <c r="BI1883" s="25"/>
      <c r="BJ1883" s="25"/>
      <c r="BK1883" s="25"/>
      <c r="BL1883" s="25"/>
      <c r="BM1883" s="25"/>
      <c r="BN1883" s="25"/>
      <c r="BO1883" s="25"/>
      <c r="BP1883" s="25"/>
      <c r="BQ1883" s="25"/>
      <c r="BR1883" s="25"/>
      <c r="BS1883" s="25"/>
      <c r="BT1883" s="25"/>
      <c r="CD1883" s="25"/>
    </row>
    <row r="1884" spans="1:82" s="17" customFormat="1" x14ac:dyDescent="0.2">
      <c r="A1884" s="25"/>
      <c r="B1884" s="20">
        <v>39081000400</v>
      </c>
      <c r="C1884" s="20">
        <v>4</v>
      </c>
      <c r="D1884" s="20" t="s">
        <v>47</v>
      </c>
      <c r="E1884" s="20" t="s">
        <v>2840</v>
      </c>
      <c r="F1884" s="20" t="s">
        <v>6</v>
      </c>
      <c r="G1884" s="861">
        <v>45.681338764678301</v>
      </c>
      <c r="H1884" s="861">
        <v>54.667167300250597</v>
      </c>
      <c r="I1884" s="861">
        <v>73.858718266663899</v>
      </c>
      <c r="J1884" s="861">
        <v>30.166914100414299</v>
      </c>
      <c r="K1884" s="982">
        <v>2</v>
      </c>
      <c r="L1884" s="735">
        <v>3390</v>
      </c>
      <c r="M1884" s="735">
        <v>2570</v>
      </c>
      <c r="N1884" s="845">
        <f t="shared" si="158"/>
        <v>-0.24188790560471976</v>
      </c>
      <c r="O1884" s="735">
        <v>0.4408190120996347</v>
      </c>
      <c r="P1884" s="735">
        <f t="shared" si="159"/>
        <v>5830.0570743512399</v>
      </c>
      <c r="Q1884" s="849">
        <v>29.9</v>
      </c>
      <c r="R1884" s="71">
        <v>38299</v>
      </c>
      <c r="S1884" s="845">
        <v>0.31284046692607004</v>
      </c>
      <c r="T1884" s="845">
        <v>0.05</v>
      </c>
      <c r="U1884" s="845">
        <v>0</v>
      </c>
      <c r="V1884" s="845">
        <v>4.7E-2</v>
      </c>
      <c r="W1884" s="845">
        <v>0.55964125560538114</v>
      </c>
      <c r="X1884" s="845">
        <v>0.51923076923076927</v>
      </c>
      <c r="Y1884" s="845">
        <v>0.79727626459143974</v>
      </c>
      <c r="Z1884" s="845">
        <v>0.17509727626459143</v>
      </c>
      <c r="AA1884" s="845">
        <v>0</v>
      </c>
      <c r="AB1884" s="845">
        <v>9.727626459143969E-3</v>
      </c>
      <c r="AC1884" s="845">
        <v>0</v>
      </c>
      <c r="AD1884" s="845">
        <v>0</v>
      </c>
      <c r="AE1884" s="845">
        <v>1.7898832684824902E-2</v>
      </c>
      <c r="AF1884" s="845">
        <v>7.2762645914396892E-2</v>
      </c>
      <c r="AG1884" s="845">
        <v>0.72451361867704278</v>
      </c>
      <c r="AH1884" s="20" t="str">
        <f t="shared" si="160"/>
        <v>No</v>
      </c>
      <c r="AI1884" s="25"/>
      <c r="AJ1884" s="25"/>
      <c r="AK1884" s="25"/>
      <c r="AL1884" s="25"/>
      <c r="AM1884" s="25"/>
      <c r="AN1884" s="25"/>
      <c r="AO1884" s="25"/>
      <c r="AP1884" s="25"/>
      <c r="AQ1884" s="25"/>
      <c r="AR1884" s="25"/>
      <c r="AS1884" s="25"/>
      <c r="AT1884" s="25"/>
      <c r="AU1884" s="36"/>
      <c r="AV1884" s="36"/>
      <c r="AW1884" s="36"/>
      <c r="AX1884" s="25"/>
      <c r="AY1884" s="25"/>
      <c r="AZ1884" s="25"/>
      <c r="BA1884" s="25"/>
      <c r="BB1884" s="25"/>
      <c r="BC1884" s="25"/>
      <c r="BD1884" s="25"/>
      <c r="BE1884" s="25"/>
      <c r="BF1884" s="25"/>
      <c r="BG1884" s="25"/>
      <c r="BH1884" s="25"/>
      <c r="BI1884" s="25"/>
      <c r="BJ1884" s="25"/>
      <c r="BK1884" s="25"/>
      <c r="BL1884" s="25"/>
      <c r="BM1884" s="25"/>
      <c r="BN1884" s="25"/>
      <c r="BO1884" s="25"/>
      <c r="BP1884" s="25"/>
      <c r="BQ1884" s="25"/>
      <c r="BR1884" s="25"/>
      <c r="BS1884" s="25"/>
      <c r="BT1884" s="25"/>
      <c r="CD1884" s="25"/>
    </row>
    <row r="1885" spans="1:82" s="17" customFormat="1" x14ac:dyDescent="0.2">
      <c r="A1885" s="25"/>
      <c r="B1885" s="20">
        <v>39157020600</v>
      </c>
      <c r="C1885" s="20">
        <v>206</v>
      </c>
      <c r="D1885" s="20" t="s">
        <v>84</v>
      </c>
      <c r="E1885" s="20" t="s">
        <v>265</v>
      </c>
      <c r="F1885" s="20" t="s">
        <v>8</v>
      </c>
      <c r="G1885" s="861">
        <v>45.671569675339903</v>
      </c>
      <c r="H1885" s="861">
        <v>50.282764778076398</v>
      </c>
      <c r="I1885" s="861">
        <v>22.988521152173401</v>
      </c>
      <c r="J1885" s="861">
        <v>32.789671631138503</v>
      </c>
      <c r="K1885" s="982">
        <v>0</v>
      </c>
      <c r="L1885" s="735">
        <v>5106</v>
      </c>
      <c r="M1885" s="735">
        <v>5292</v>
      </c>
      <c r="N1885" s="845">
        <f t="shared" si="158"/>
        <v>3.6427732079905996E-2</v>
      </c>
      <c r="O1885" s="735">
        <v>2.9381887780172087</v>
      </c>
      <c r="P1885" s="735">
        <f t="shared" si="159"/>
        <v>1801.1095949972366</v>
      </c>
      <c r="Q1885" s="849">
        <v>40.799999999999997</v>
      </c>
      <c r="R1885" s="71">
        <v>70983</v>
      </c>
      <c r="S1885" s="845">
        <v>9.3671376040255466E-2</v>
      </c>
      <c r="T1885" s="845">
        <v>1.6E-2</v>
      </c>
      <c r="U1885" s="845">
        <v>1E-3</v>
      </c>
      <c r="V1885" s="845">
        <v>7.400000000000001E-2</v>
      </c>
      <c r="W1885" s="845">
        <v>0.29791943337760068</v>
      </c>
      <c r="X1885" s="845">
        <v>0.33878157503714712</v>
      </c>
      <c r="Y1885" s="845">
        <v>0.9605064247921391</v>
      </c>
      <c r="Z1885" s="845">
        <v>2.7210884353741496E-2</v>
      </c>
      <c r="AA1885" s="845">
        <v>0</v>
      </c>
      <c r="AB1885" s="845">
        <v>3.779289493575208E-3</v>
      </c>
      <c r="AC1885" s="845">
        <v>0</v>
      </c>
      <c r="AD1885" s="845">
        <v>0</v>
      </c>
      <c r="AE1885" s="845">
        <v>8.5034013605442185E-3</v>
      </c>
      <c r="AF1885" s="845">
        <v>1.889644746787604E-2</v>
      </c>
      <c r="AG1885" s="845">
        <v>0.95691609977324266</v>
      </c>
      <c r="AH1885" s="20" t="str">
        <f t="shared" si="160"/>
        <v>Yes</v>
      </c>
      <c r="AI1885" s="25"/>
      <c r="AJ1885" s="25"/>
      <c r="AK1885" s="25"/>
      <c r="AL1885" s="25"/>
      <c r="AM1885" s="25"/>
      <c r="AN1885" s="25"/>
      <c r="AO1885" s="25"/>
      <c r="AP1885" s="25"/>
      <c r="AQ1885" s="25"/>
      <c r="AR1885" s="25"/>
      <c r="AS1885" s="25"/>
      <c r="AT1885" s="25"/>
      <c r="AU1885" s="36"/>
      <c r="AV1885" s="36"/>
      <c r="AW1885" s="36"/>
      <c r="AX1885" s="25"/>
      <c r="AY1885" s="25"/>
      <c r="AZ1885" s="25"/>
      <c r="BA1885" s="25"/>
      <c r="BB1885" s="25"/>
      <c r="BC1885" s="25"/>
      <c r="BD1885" s="25"/>
      <c r="BE1885" s="25"/>
      <c r="BF1885" s="25"/>
      <c r="BG1885" s="25"/>
      <c r="BH1885" s="25"/>
      <c r="BI1885" s="25"/>
      <c r="BJ1885" s="25"/>
      <c r="BK1885" s="25"/>
      <c r="BL1885" s="25"/>
      <c r="BM1885" s="25"/>
      <c r="BN1885" s="25"/>
      <c r="BO1885" s="25"/>
      <c r="BP1885" s="25"/>
      <c r="BQ1885" s="25"/>
      <c r="BR1885" s="25"/>
      <c r="BS1885" s="25"/>
      <c r="BT1885" s="25"/>
      <c r="CD1885" s="25"/>
    </row>
    <row r="1886" spans="1:82" s="17" customFormat="1" x14ac:dyDescent="0.2">
      <c r="A1886" s="25"/>
      <c r="B1886" s="20">
        <v>39035108201</v>
      </c>
      <c r="C1886" s="20">
        <v>1082.01</v>
      </c>
      <c r="D1886" s="20" t="s">
        <v>24</v>
      </c>
      <c r="E1886" s="20" t="s">
        <v>2829</v>
      </c>
      <c r="F1886" s="20" t="s">
        <v>6</v>
      </c>
      <c r="G1886" s="861">
        <v>45.666765765459097</v>
      </c>
      <c r="H1886" s="861">
        <v>58.177200449818002</v>
      </c>
      <c r="I1886" s="861">
        <v>84.429621101608305</v>
      </c>
      <c r="J1886" s="861">
        <v>33.013776604555801</v>
      </c>
      <c r="K1886" s="982">
        <v>0</v>
      </c>
      <c r="L1886" s="735">
        <v>1551</v>
      </c>
      <c r="M1886" s="735">
        <v>1342</v>
      </c>
      <c r="N1886" s="845">
        <f t="shared" si="158"/>
        <v>-0.13475177304964539</v>
      </c>
      <c r="O1886" s="735">
        <v>0.82019334057869486</v>
      </c>
      <c r="P1886" s="735">
        <f t="shared" si="159"/>
        <v>1636.1995807636522</v>
      </c>
      <c r="Q1886" s="849">
        <v>34.6</v>
      </c>
      <c r="R1886" s="71">
        <v>38643</v>
      </c>
      <c r="S1886" s="845">
        <v>0.3509687034277198</v>
      </c>
      <c r="T1886" s="845">
        <v>8.6999999999999994E-2</v>
      </c>
      <c r="U1886" s="845">
        <v>0</v>
      </c>
      <c r="V1886" s="845">
        <v>0.09</v>
      </c>
      <c r="W1886" s="845">
        <v>0.91498881431767343</v>
      </c>
      <c r="X1886" s="845">
        <v>0.49266503667481665</v>
      </c>
      <c r="Y1886" s="845">
        <v>0.47242921013412814</v>
      </c>
      <c r="Z1886" s="845">
        <v>0.37928464977645304</v>
      </c>
      <c r="AA1886" s="845">
        <v>0</v>
      </c>
      <c r="AB1886" s="845">
        <v>5.737704918032787E-2</v>
      </c>
      <c r="AC1886" s="845">
        <v>0</v>
      </c>
      <c r="AD1886" s="845">
        <v>1.6393442622950821E-2</v>
      </c>
      <c r="AE1886" s="845">
        <v>7.4515648286140088E-2</v>
      </c>
      <c r="AF1886" s="845">
        <v>6.8554396423248884E-2</v>
      </c>
      <c r="AG1886" s="845">
        <v>0.42026825633383008</v>
      </c>
      <c r="AH1886" s="20" t="str">
        <f t="shared" si="160"/>
        <v>No</v>
      </c>
      <c r="AI1886" s="25"/>
      <c r="AJ1886" s="25"/>
      <c r="AK1886" s="25"/>
      <c r="AL1886" s="25"/>
      <c r="AM1886" s="25"/>
      <c r="AN1886" s="25"/>
      <c r="AO1886" s="25"/>
      <c r="AP1886" s="25"/>
      <c r="AQ1886" s="25"/>
      <c r="AR1886" s="25"/>
      <c r="AS1886" s="25"/>
      <c r="AT1886" s="25"/>
      <c r="AU1886" s="36"/>
      <c r="AV1886" s="36"/>
      <c r="AW1886" s="36"/>
      <c r="AX1886" s="25"/>
      <c r="AY1886" s="25"/>
      <c r="AZ1886" s="25"/>
      <c r="BA1886" s="25"/>
      <c r="BB1886" s="25"/>
      <c r="BC1886" s="25"/>
      <c r="BD1886" s="25"/>
      <c r="BE1886" s="25"/>
      <c r="BF1886" s="25"/>
      <c r="BG1886" s="25"/>
      <c r="BH1886" s="25"/>
      <c r="BI1886" s="25"/>
      <c r="BJ1886" s="25"/>
      <c r="BK1886" s="25"/>
      <c r="BL1886" s="25"/>
      <c r="BM1886" s="25"/>
      <c r="BN1886" s="25"/>
      <c r="BO1886" s="25"/>
      <c r="BP1886" s="25"/>
      <c r="BQ1886" s="25"/>
      <c r="BR1886" s="25"/>
      <c r="BS1886" s="25"/>
      <c r="BT1886" s="25"/>
      <c r="CD1886" s="25"/>
    </row>
    <row r="1887" spans="1:82" s="17" customFormat="1" x14ac:dyDescent="0.2">
      <c r="A1887" s="25"/>
      <c r="B1887" s="20">
        <v>39147962800</v>
      </c>
      <c r="C1887" s="20">
        <v>9628</v>
      </c>
      <c r="D1887" s="20" t="s">
        <v>79</v>
      </c>
      <c r="E1887" s="20" t="s">
        <v>265</v>
      </c>
      <c r="F1887" s="20" t="s">
        <v>8</v>
      </c>
      <c r="G1887" s="861">
        <v>45.649735683250803</v>
      </c>
      <c r="H1887" s="861">
        <v>55.991469758147403</v>
      </c>
      <c r="I1887" s="861">
        <v>28.932016515122701</v>
      </c>
      <c r="J1887" s="861">
        <v>44.0090409465734</v>
      </c>
      <c r="K1887" s="982">
        <v>0</v>
      </c>
      <c r="L1887" s="735">
        <v>3640</v>
      </c>
      <c r="M1887" s="735">
        <v>3427</v>
      </c>
      <c r="N1887" s="845">
        <f t="shared" si="158"/>
        <v>-5.8516483516483517E-2</v>
      </c>
      <c r="O1887" s="735">
        <v>6.069917054561305</v>
      </c>
      <c r="P1887" s="735">
        <f t="shared" si="159"/>
        <v>564.58761613962145</v>
      </c>
      <c r="Q1887" s="849">
        <v>41.5</v>
      </c>
      <c r="R1887" s="71">
        <v>58142</v>
      </c>
      <c r="S1887" s="845">
        <v>0.17280701754385966</v>
      </c>
      <c r="T1887" s="845">
        <v>6.9000000000000006E-2</v>
      </c>
      <c r="U1887" s="845">
        <v>8.0000000000000002E-3</v>
      </c>
      <c r="V1887" s="845">
        <v>0.16699999999999998</v>
      </c>
      <c r="W1887" s="845">
        <v>0.19533927347498287</v>
      </c>
      <c r="X1887" s="845">
        <v>0.25964912280701752</v>
      </c>
      <c r="Y1887" s="845">
        <v>0.8252115552961774</v>
      </c>
      <c r="Z1887" s="845">
        <v>6.0402684563758392E-2</v>
      </c>
      <c r="AA1887" s="845">
        <v>0</v>
      </c>
      <c r="AB1887" s="845">
        <v>0</v>
      </c>
      <c r="AC1887" s="845">
        <v>0</v>
      </c>
      <c r="AD1887" s="845">
        <v>2.0717829004960608E-2</v>
      </c>
      <c r="AE1887" s="845">
        <v>9.3667931135103591E-2</v>
      </c>
      <c r="AF1887" s="845">
        <v>7.7910709074992701E-2</v>
      </c>
      <c r="AG1887" s="845">
        <v>0.80099212138896991</v>
      </c>
      <c r="AH1887" s="20" t="str">
        <f t="shared" si="160"/>
        <v>No</v>
      </c>
      <c r="AI1887" s="25"/>
      <c r="AJ1887" s="25"/>
      <c r="AK1887" s="25"/>
      <c r="AL1887" s="25"/>
      <c r="AM1887" s="25"/>
      <c r="AN1887" s="25"/>
      <c r="AO1887" s="25"/>
      <c r="AP1887" s="25"/>
      <c r="AQ1887" s="25"/>
      <c r="AR1887" s="25"/>
      <c r="AS1887" s="25"/>
      <c r="AT1887" s="25"/>
      <c r="AU1887" s="36"/>
      <c r="AV1887" s="36"/>
      <c r="AW1887" s="36"/>
      <c r="AX1887" s="25"/>
      <c r="AY1887" s="25"/>
      <c r="AZ1887" s="25"/>
      <c r="BA1887" s="25"/>
      <c r="BB1887" s="25"/>
      <c r="BC1887" s="25"/>
      <c r="BD1887" s="25"/>
      <c r="BE1887" s="25"/>
      <c r="BF1887" s="25"/>
      <c r="BG1887" s="25"/>
      <c r="BH1887" s="25"/>
      <c r="BI1887" s="25"/>
      <c r="BJ1887" s="25"/>
      <c r="BK1887" s="25"/>
      <c r="BL1887" s="25"/>
      <c r="BM1887" s="25"/>
      <c r="BN1887" s="25"/>
      <c r="BO1887" s="25"/>
      <c r="BP1887" s="25"/>
      <c r="BQ1887" s="25"/>
      <c r="BR1887" s="25"/>
      <c r="BS1887" s="25"/>
      <c r="BT1887" s="25"/>
      <c r="CD1887" s="25"/>
    </row>
    <row r="1888" spans="1:82" s="17" customFormat="1" x14ac:dyDescent="0.2">
      <c r="A1888" s="25"/>
      <c r="B1888" s="20">
        <v>39113080400</v>
      </c>
      <c r="C1888" s="20">
        <v>804</v>
      </c>
      <c r="D1888" s="20" t="s">
        <v>62</v>
      </c>
      <c r="E1888" s="20" t="s">
        <v>2833</v>
      </c>
      <c r="F1888" s="20" t="s">
        <v>8</v>
      </c>
      <c r="G1888" s="861">
        <v>45.629527123697201</v>
      </c>
      <c r="H1888" s="861">
        <v>55.487927985484397</v>
      </c>
      <c r="I1888" s="861">
        <v>43.101381116517601</v>
      </c>
      <c r="J1888" s="861">
        <v>53.374997049467403</v>
      </c>
      <c r="K1888" s="982">
        <v>2</v>
      </c>
      <c r="L1888" s="735">
        <v>3274</v>
      </c>
      <c r="M1888" s="735">
        <v>3428</v>
      </c>
      <c r="N1888" s="845">
        <f t="shared" si="158"/>
        <v>4.7037263286499695E-2</v>
      </c>
      <c r="O1888" s="735">
        <v>0.72322764446976562</v>
      </c>
      <c r="P1888" s="735">
        <f t="shared" si="159"/>
        <v>4739.863065540364</v>
      </c>
      <c r="Q1888" s="849">
        <v>33.9</v>
      </c>
      <c r="R1888" s="71">
        <v>55320</v>
      </c>
      <c r="S1888" s="845">
        <v>0.20080570189030059</v>
      </c>
      <c r="T1888" s="845">
        <v>8.1000000000000003E-2</v>
      </c>
      <c r="U1888" s="845">
        <v>0</v>
      </c>
      <c r="V1888" s="845">
        <v>7.5999999999999998E-2</v>
      </c>
      <c r="W1888" s="845">
        <v>0.7344124700239808</v>
      </c>
      <c r="X1888" s="845">
        <v>0.22040816326530613</v>
      </c>
      <c r="Y1888" s="845">
        <v>0.33138856476079348</v>
      </c>
      <c r="Z1888" s="845">
        <v>0.60560093348891486</v>
      </c>
      <c r="AA1888" s="845">
        <v>1.4585764294049008E-3</v>
      </c>
      <c r="AB1888" s="845">
        <v>0</v>
      </c>
      <c r="AC1888" s="845">
        <v>0</v>
      </c>
      <c r="AD1888" s="845">
        <v>0</v>
      </c>
      <c r="AE1888" s="845">
        <v>6.1551925320886818E-2</v>
      </c>
      <c r="AF1888" s="845">
        <v>3.0630105017502917E-2</v>
      </c>
      <c r="AG1888" s="845">
        <v>0.30075845974329057</v>
      </c>
      <c r="AH1888" s="20" t="str">
        <f t="shared" si="160"/>
        <v>No</v>
      </c>
      <c r="AI1888" s="25"/>
      <c r="AJ1888" s="25"/>
      <c r="AK1888" s="25"/>
      <c r="AL1888" s="25"/>
      <c r="AM1888" s="25"/>
      <c r="AN1888" s="25"/>
      <c r="AO1888" s="25"/>
      <c r="AP1888" s="25"/>
      <c r="AQ1888" s="25"/>
      <c r="AR1888" s="25"/>
      <c r="AS1888" s="25"/>
      <c r="AT1888" s="25"/>
      <c r="AU1888" s="36"/>
      <c r="AV1888" s="36"/>
      <c r="AW1888" s="36"/>
      <c r="AX1888" s="25"/>
      <c r="AY1888" s="25"/>
      <c r="AZ1888" s="25"/>
      <c r="BA1888" s="25"/>
      <c r="BB1888" s="25"/>
      <c r="BC1888" s="25"/>
      <c r="BD1888" s="25"/>
      <c r="BE1888" s="25"/>
      <c r="BF1888" s="25"/>
      <c r="BG1888" s="25"/>
      <c r="BH1888" s="25"/>
      <c r="BI1888" s="25"/>
      <c r="BJ1888" s="25"/>
      <c r="BK1888" s="25"/>
      <c r="BL1888" s="25"/>
      <c r="BM1888" s="25"/>
      <c r="BN1888" s="25"/>
      <c r="BO1888" s="25"/>
      <c r="BP1888" s="25"/>
      <c r="BQ1888" s="25"/>
      <c r="BR1888" s="25"/>
      <c r="BS1888" s="25"/>
      <c r="BT1888" s="25"/>
      <c r="CD1888" s="25"/>
    </row>
    <row r="1889" spans="1:82" s="17" customFormat="1" x14ac:dyDescent="0.2">
      <c r="A1889" s="25"/>
      <c r="B1889" s="20">
        <v>39017010901</v>
      </c>
      <c r="C1889" s="20">
        <v>109.01</v>
      </c>
      <c r="D1889" s="20" t="s">
        <v>15</v>
      </c>
      <c r="E1889" s="20" t="s">
        <v>2828</v>
      </c>
      <c r="F1889" s="20" t="s">
        <v>8</v>
      </c>
      <c r="G1889" s="861">
        <v>45.627807515541598</v>
      </c>
      <c r="H1889" s="861">
        <v>44.489061041760699</v>
      </c>
      <c r="I1889" s="861">
        <v>24.530799180466399</v>
      </c>
      <c r="J1889" s="861">
        <v>43.8083958743388</v>
      </c>
      <c r="K1889" s="982">
        <v>0</v>
      </c>
      <c r="L1889" s="735">
        <v>4512</v>
      </c>
      <c r="M1889" s="735">
        <v>4734</v>
      </c>
      <c r="N1889" s="845">
        <f t="shared" si="158"/>
        <v>4.920212765957447E-2</v>
      </c>
      <c r="O1889" s="735">
        <v>2.1108533197088692</v>
      </c>
      <c r="P1889" s="735">
        <f t="shared" si="159"/>
        <v>2242.694911957652</v>
      </c>
      <c r="Q1889" s="849">
        <v>42.5</v>
      </c>
      <c r="R1889" s="71">
        <v>63705</v>
      </c>
      <c r="S1889" s="845">
        <v>0.10999786825836709</v>
      </c>
      <c r="T1889" s="845">
        <v>6.0999999999999999E-2</v>
      </c>
      <c r="U1889" s="845">
        <v>1.2E-2</v>
      </c>
      <c r="V1889" s="845">
        <v>3.3000000000000002E-2</v>
      </c>
      <c r="W1889" s="845">
        <v>0.34155421126105168</v>
      </c>
      <c r="X1889" s="845">
        <v>0.36376021798365121</v>
      </c>
      <c r="Y1889" s="845">
        <v>0.66307562315166879</v>
      </c>
      <c r="Z1889" s="845">
        <v>0.24228981833544572</v>
      </c>
      <c r="AA1889" s="845">
        <v>0</v>
      </c>
      <c r="AB1889" s="845">
        <v>2.957329953527672E-3</v>
      </c>
      <c r="AC1889" s="845">
        <v>0</v>
      </c>
      <c r="AD1889" s="845">
        <v>3.5910435149978876E-3</v>
      </c>
      <c r="AE1889" s="845">
        <v>8.8086185044359944E-2</v>
      </c>
      <c r="AF1889" s="845">
        <v>6.1681453316434307E-2</v>
      </c>
      <c r="AG1889" s="845">
        <v>0.64850021123785384</v>
      </c>
      <c r="AH1889" s="20" t="str">
        <f t="shared" si="160"/>
        <v>No</v>
      </c>
      <c r="AI1889" s="25"/>
      <c r="AJ1889" s="25"/>
      <c r="AK1889" s="25"/>
      <c r="AL1889" s="25"/>
      <c r="AM1889" s="25"/>
      <c r="AN1889" s="25"/>
      <c r="AO1889" s="25"/>
      <c r="AP1889" s="25"/>
      <c r="AQ1889" s="25"/>
      <c r="AR1889" s="25"/>
      <c r="AS1889" s="25"/>
      <c r="AT1889" s="25"/>
      <c r="AU1889" s="36"/>
      <c r="AV1889" s="36"/>
      <c r="AW1889" s="36"/>
      <c r="AX1889" s="25"/>
      <c r="AY1889" s="25"/>
      <c r="AZ1889" s="25"/>
      <c r="BA1889" s="25"/>
      <c r="BB1889" s="25"/>
      <c r="BC1889" s="25"/>
      <c r="BD1889" s="25"/>
      <c r="BE1889" s="25"/>
      <c r="BF1889" s="25"/>
      <c r="BG1889" s="25"/>
      <c r="BH1889" s="25"/>
      <c r="BI1889" s="25"/>
      <c r="BJ1889" s="25"/>
      <c r="BK1889" s="25"/>
      <c r="BL1889" s="25"/>
      <c r="BM1889" s="25"/>
      <c r="BN1889" s="25"/>
      <c r="BO1889" s="25"/>
      <c r="BP1889" s="25"/>
      <c r="BQ1889" s="25"/>
      <c r="BR1889" s="25"/>
      <c r="BS1889" s="25"/>
      <c r="BT1889" s="25"/>
      <c r="CD1889" s="25"/>
    </row>
    <row r="1890" spans="1:82" s="17" customFormat="1" x14ac:dyDescent="0.2">
      <c r="A1890" s="25"/>
      <c r="B1890" s="20">
        <v>39061020404</v>
      </c>
      <c r="C1890" s="20">
        <v>204.04</v>
      </c>
      <c r="D1890" s="20" t="s">
        <v>37</v>
      </c>
      <c r="E1890" s="20" t="s">
        <v>2828</v>
      </c>
      <c r="F1890" s="20" t="s">
        <v>8</v>
      </c>
      <c r="G1890" s="861">
        <v>45.589221482436201</v>
      </c>
      <c r="H1890" s="861">
        <v>52.943559355133402</v>
      </c>
      <c r="I1890" s="861">
        <v>17.582713294437699</v>
      </c>
      <c r="J1890" s="861">
        <v>23.765764706146701</v>
      </c>
      <c r="K1890" s="982">
        <v>0</v>
      </c>
      <c r="L1890" s="735">
        <v>5126</v>
      </c>
      <c r="M1890" s="735">
        <v>4749</v>
      </c>
      <c r="N1890" s="845">
        <f t="shared" si="158"/>
        <v>-7.3546625048770978E-2</v>
      </c>
      <c r="O1890" s="735">
        <v>4.165876653387417</v>
      </c>
      <c r="P1890" s="735">
        <f t="shared" si="159"/>
        <v>1139.9761431098602</v>
      </c>
      <c r="Q1890" s="849">
        <v>51.8</v>
      </c>
      <c r="R1890" s="71">
        <v>114583</v>
      </c>
      <c r="S1890" s="845">
        <v>1.3135228251507321E-2</v>
      </c>
      <c r="T1890" s="845">
        <v>3.2000000000000001E-2</v>
      </c>
      <c r="U1890" s="845">
        <v>0</v>
      </c>
      <c r="V1890" s="845">
        <v>0</v>
      </c>
      <c r="W1890" s="845">
        <v>1.3043478260869565E-2</v>
      </c>
      <c r="X1890" s="845">
        <v>0</v>
      </c>
      <c r="Y1890" s="845">
        <v>0.97325752790061071</v>
      </c>
      <c r="Z1890" s="845">
        <v>6.5276900400084228E-3</v>
      </c>
      <c r="AA1890" s="845">
        <v>0</v>
      </c>
      <c r="AB1890" s="845">
        <v>0</v>
      </c>
      <c r="AC1890" s="845">
        <v>0</v>
      </c>
      <c r="AD1890" s="845">
        <v>1.1370814908401769E-2</v>
      </c>
      <c r="AE1890" s="845">
        <v>8.843967150979154E-3</v>
      </c>
      <c r="AF1890" s="845">
        <v>1.0739102969046115E-2</v>
      </c>
      <c r="AG1890" s="845">
        <v>0.96251842493156459</v>
      </c>
      <c r="AH1890" s="20" t="str">
        <f t="shared" si="160"/>
        <v>Yes</v>
      </c>
      <c r="AI1890" s="25"/>
      <c r="AJ1890" s="25"/>
      <c r="AK1890" s="25"/>
      <c r="AL1890" s="25"/>
      <c r="AM1890" s="25"/>
      <c r="AN1890" s="25"/>
      <c r="AO1890" s="25"/>
      <c r="AP1890" s="25"/>
      <c r="AQ1890" s="25"/>
      <c r="AR1890" s="25"/>
      <c r="AS1890" s="25"/>
      <c r="AT1890" s="25"/>
      <c r="AU1890" s="36"/>
      <c r="AV1890" s="36"/>
      <c r="AW1890" s="36"/>
      <c r="AX1890" s="25"/>
      <c r="AY1890" s="25"/>
      <c r="AZ1890" s="25"/>
      <c r="BA1890" s="25"/>
      <c r="BB1890" s="25"/>
      <c r="BC1890" s="25"/>
      <c r="BD1890" s="25"/>
      <c r="BE1890" s="25"/>
      <c r="BF1890" s="25"/>
      <c r="BG1890" s="25"/>
      <c r="BH1890" s="25"/>
      <c r="BI1890" s="25"/>
      <c r="BJ1890" s="25"/>
      <c r="BK1890" s="25"/>
      <c r="BL1890" s="25"/>
      <c r="BM1890" s="25"/>
      <c r="BN1890" s="25"/>
      <c r="BO1890" s="25"/>
      <c r="BP1890" s="25"/>
      <c r="BQ1890" s="25"/>
      <c r="BR1890" s="25"/>
      <c r="BS1890" s="25"/>
      <c r="BT1890" s="25"/>
      <c r="CD1890" s="25"/>
    </row>
    <row r="1891" spans="1:82" s="17" customFormat="1" x14ac:dyDescent="0.2">
      <c r="A1891" s="25"/>
      <c r="B1891" s="20">
        <v>39089758901</v>
      </c>
      <c r="C1891" s="20">
        <v>7589.01</v>
      </c>
      <c r="D1891" s="20" t="s">
        <v>50</v>
      </c>
      <c r="E1891" s="20" t="s">
        <v>2830</v>
      </c>
      <c r="F1891" s="20" t="s">
        <v>8</v>
      </c>
      <c r="G1891" s="861">
        <v>45.588424132881002</v>
      </c>
      <c r="H1891" s="861">
        <v>48.247557640975302</v>
      </c>
      <c r="I1891" s="861">
        <v>27.0814967864195</v>
      </c>
      <c r="J1891" s="861">
        <v>56.740992313065199</v>
      </c>
      <c r="K1891" s="982">
        <v>0</v>
      </c>
      <c r="L1891" s="735" t="s">
        <v>2466</v>
      </c>
      <c r="M1891" s="735">
        <v>2998</v>
      </c>
      <c r="N1891" s="845" t="str">
        <f t="shared" si="158"/>
        <v/>
      </c>
      <c r="O1891" s="735">
        <v>12.240777429669359</v>
      </c>
      <c r="P1891" s="735">
        <f t="shared" si="159"/>
        <v>244.91908436578609</v>
      </c>
      <c r="Q1891" s="849">
        <v>39.5</v>
      </c>
      <c r="R1891" s="71">
        <v>84775</v>
      </c>
      <c r="S1891" s="845">
        <v>7.9530201342281878E-2</v>
      </c>
      <c r="T1891" s="845">
        <v>0.03</v>
      </c>
      <c r="U1891" s="845">
        <v>6.9999999999999993E-3</v>
      </c>
      <c r="V1891" s="845">
        <v>0</v>
      </c>
      <c r="W1891" s="845">
        <v>0.14244465832531281</v>
      </c>
      <c r="X1891" s="845">
        <v>0.56756756756756754</v>
      </c>
      <c r="Y1891" s="845">
        <v>0.96264176117411604</v>
      </c>
      <c r="Z1891" s="845">
        <v>0</v>
      </c>
      <c r="AA1891" s="845">
        <v>0</v>
      </c>
      <c r="AB1891" s="845">
        <v>0</v>
      </c>
      <c r="AC1891" s="845">
        <v>0</v>
      </c>
      <c r="AD1891" s="845">
        <v>3.002001334222815E-3</v>
      </c>
      <c r="AE1891" s="845">
        <v>3.4356237491661105E-2</v>
      </c>
      <c r="AF1891" s="845">
        <v>2.66844563042028E-3</v>
      </c>
      <c r="AG1891" s="845">
        <v>0.9599733155436958</v>
      </c>
      <c r="AH1891" s="20" t="str">
        <f t="shared" si="160"/>
        <v>Yes</v>
      </c>
      <c r="AI1891" s="25"/>
      <c r="AJ1891" s="25"/>
      <c r="AK1891" s="25"/>
      <c r="AL1891" s="25"/>
      <c r="AM1891" s="25"/>
      <c r="AN1891" s="25"/>
      <c r="AO1891" s="25"/>
      <c r="AP1891" s="25"/>
      <c r="AQ1891" s="25"/>
      <c r="AR1891" s="25"/>
      <c r="AS1891" s="25"/>
      <c r="AT1891" s="25"/>
      <c r="AU1891" s="36"/>
      <c r="AV1891" s="36"/>
      <c r="AW1891" s="36"/>
      <c r="AX1891" s="25"/>
      <c r="AY1891" s="25"/>
      <c r="AZ1891" s="25"/>
      <c r="BA1891" s="25"/>
      <c r="BB1891" s="25"/>
      <c r="BC1891" s="25"/>
      <c r="BD1891" s="25"/>
      <c r="BE1891" s="25"/>
      <c r="BF1891" s="25"/>
      <c r="BG1891" s="25"/>
      <c r="BH1891" s="25"/>
      <c r="BI1891" s="25"/>
      <c r="BJ1891" s="25"/>
      <c r="BK1891" s="25"/>
      <c r="BL1891" s="25"/>
      <c r="BM1891" s="25"/>
      <c r="BN1891" s="25"/>
      <c r="BO1891" s="25"/>
      <c r="BP1891" s="25"/>
      <c r="BQ1891" s="25"/>
      <c r="BR1891" s="25"/>
      <c r="BS1891" s="25"/>
      <c r="BT1891" s="25"/>
      <c r="CD1891" s="25"/>
    </row>
    <row r="1892" spans="1:82" s="17" customFormat="1" x14ac:dyDescent="0.2">
      <c r="A1892" s="25"/>
      <c r="B1892" s="20">
        <v>39113050302</v>
      </c>
      <c r="C1892" s="20">
        <v>503.02</v>
      </c>
      <c r="D1892" s="20" t="s">
        <v>62</v>
      </c>
      <c r="E1892" s="20" t="s">
        <v>2833</v>
      </c>
      <c r="F1892" s="20" t="s">
        <v>8</v>
      </c>
      <c r="G1892" s="861">
        <v>45.558696870377197</v>
      </c>
      <c r="H1892" s="861">
        <v>52.613852451049297</v>
      </c>
      <c r="I1892" s="861">
        <v>37.933209636148298</v>
      </c>
      <c r="J1892" s="861">
        <v>44.370084207430502</v>
      </c>
      <c r="K1892" s="982">
        <v>0</v>
      </c>
      <c r="L1892" s="735">
        <v>5329</v>
      </c>
      <c r="M1892" s="735">
        <v>5797</v>
      </c>
      <c r="N1892" s="845">
        <f t="shared" si="158"/>
        <v>8.7821354850816283E-2</v>
      </c>
      <c r="O1892" s="735">
        <v>2.2357728120998983</v>
      </c>
      <c r="P1892" s="735">
        <f t="shared" si="159"/>
        <v>2592.8394730568803</v>
      </c>
      <c r="Q1892" s="849">
        <v>36.700000000000003</v>
      </c>
      <c r="R1892" s="71">
        <v>85362</v>
      </c>
      <c r="S1892" s="845">
        <v>0.12093425605536332</v>
      </c>
      <c r="T1892" s="845">
        <v>5.4000000000000006E-2</v>
      </c>
      <c r="U1892" s="845">
        <v>2.4E-2</v>
      </c>
      <c r="V1892" s="845">
        <v>0</v>
      </c>
      <c r="W1892" s="845">
        <v>0.20514040932889099</v>
      </c>
      <c r="X1892" s="845">
        <v>0.33178654292343385</v>
      </c>
      <c r="Y1892" s="845">
        <v>0.79489391064343629</v>
      </c>
      <c r="Z1892" s="845">
        <v>8.3318958081766425E-2</v>
      </c>
      <c r="AA1892" s="845">
        <v>1.0350181128169743E-3</v>
      </c>
      <c r="AB1892" s="845">
        <v>4.0538209418664824E-2</v>
      </c>
      <c r="AC1892" s="845">
        <v>0</v>
      </c>
      <c r="AD1892" s="845">
        <v>3.105054338450923E-3</v>
      </c>
      <c r="AE1892" s="845">
        <v>7.710884940486458E-2</v>
      </c>
      <c r="AF1892" s="845">
        <v>8.0041400724512685E-2</v>
      </c>
      <c r="AG1892" s="845">
        <v>0.78713127479730893</v>
      </c>
      <c r="AH1892" s="20" t="str">
        <f t="shared" si="160"/>
        <v>No</v>
      </c>
      <c r="AI1892" s="25"/>
      <c r="AJ1892" s="25"/>
      <c r="AK1892" s="25"/>
      <c r="AL1892" s="25"/>
      <c r="AM1892" s="25"/>
      <c r="AN1892" s="25"/>
      <c r="AO1892" s="25"/>
      <c r="AP1892" s="25"/>
      <c r="AQ1892" s="25"/>
      <c r="AR1892" s="25"/>
      <c r="AS1892" s="25"/>
      <c r="AT1892" s="25"/>
      <c r="AU1892" s="36"/>
      <c r="AV1892" s="36"/>
      <c r="AW1892" s="36"/>
      <c r="AX1892" s="25"/>
      <c r="AY1892" s="25"/>
      <c r="AZ1892" s="25"/>
      <c r="BA1892" s="25"/>
      <c r="BB1892" s="25"/>
      <c r="BC1892" s="25"/>
      <c r="BD1892" s="25"/>
      <c r="BE1892" s="25"/>
      <c r="BF1892" s="25"/>
      <c r="BG1892" s="25"/>
      <c r="BH1892" s="25"/>
      <c r="BI1892" s="25"/>
      <c r="BJ1892" s="25"/>
      <c r="BK1892" s="25"/>
      <c r="BL1892" s="25"/>
      <c r="BM1892" s="25"/>
      <c r="BN1892" s="25"/>
      <c r="BO1892" s="25"/>
      <c r="BP1892" s="25"/>
      <c r="BQ1892" s="25"/>
      <c r="BR1892" s="25"/>
      <c r="BS1892" s="25"/>
      <c r="BT1892" s="25"/>
      <c r="CD1892" s="25"/>
    </row>
    <row r="1893" spans="1:82" s="17" customFormat="1" x14ac:dyDescent="0.2">
      <c r="A1893" s="25"/>
      <c r="B1893" s="20">
        <v>39123050600</v>
      </c>
      <c r="C1893" s="20">
        <v>506</v>
      </c>
      <c r="D1893" s="20" t="s">
        <v>67</v>
      </c>
      <c r="E1893" s="20" t="s">
        <v>2837</v>
      </c>
      <c r="F1893" s="20" t="s">
        <v>8</v>
      </c>
      <c r="G1893" s="861">
        <v>45.547212325468998</v>
      </c>
      <c r="H1893" s="861">
        <v>49.615163499353102</v>
      </c>
      <c r="I1893" s="861">
        <v>37.271149152500001</v>
      </c>
      <c r="J1893" s="861">
        <v>38.423181883697403</v>
      </c>
      <c r="K1893" s="982">
        <v>0</v>
      </c>
      <c r="L1893" s="735">
        <v>3489</v>
      </c>
      <c r="M1893" s="735">
        <v>2876</v>
      </c>
      <c r="N1893" s="845">
        <f t="shared" si="158"/>
        <v>-0.17569504155918603</v>
      </c>
      <c r="O1893" s="735">
        <v>1.9761503847212643</v>
      </c>
      <c r="P1893" s="735">
        <f t="shared" si="159"/>
        <v>1455.3548263512644</v>
      </c>
      <c r="Q1893" s="849">
        <v>43.6</v>
      </c>
      <c r="R1893" s="71">
        <v>58415</v>
      </c>
      <c r="S1893" s="845">
        <v>0.14986091794158554</v>
      </c>
      <c r="T1893" s="845">
        <v>4.4999999999999998E-2</v>
      </c>
      <c r="U1893" s="845">
        <v>0</v>
      </c>
      <c r="V1893" s="845">
        <v>0</v>
      </c>
      <c r="W1893" s="845">
        <v>0.27219796215429404</v>
      </c>
      <c r="X1893" s="845">
        <v>0.55614973262032086</v>
      </c>
      <c r="Y1893" s="845">
        <v>0.94054242002781641</v>
      </c>
      <c r="Z1893" s="845">
        <v>1.8776077885952713E-2</v>
      </c>
      <c r="AA1893" s="845">
        <v>0</v>
      </c>
      <c r="AB1893" s="845">
        <v>0</v>
      </c>
      <c r="AC1893" s="845">
        <v>0</v>
      </c>
      <c r="AD1893" s="845">
        <v>6.6063977746870653E-3</v>
      </c>
      <c r="AE1893" s="845">
        <v>3.4075104311543813E-2</v>
      </c>
      <c r="AF1893" s="845">
        <v>4.0681502086230878E-2</v>
      </c>
      <c r="AG1893" s="845">
        <v>0.94054242002781641</v>
      </c>
      <c r="AH1893" s="20" t="str">
        <f t="shared" si="160"/>
        <v>Yes</v>
      </c>
      <c r="AI1893" s="25"/>
      <c r="AJ1893" s="25"/>
      <c r="AK1893" s="25"/>
      <c r="AL1893" s="25"/>
      <c r="AM1893" s="25"/>
      <c r="AN1893" s="25"/>
      <c r="AO1893" s="25"/>
      <c r="AP1893" s="25"/>
      <c r="AQ1893" s="25"/>
      <c r="AR1893" s="25"/>
      <c r="AS1893" s="25"/>
      <c r="AT1893" s="25"/>
      <c r="AU1893" s="36"/>
      <c r="AV1893" s="36"/>
      <c r="AW1893" s="36"/>
      <c r="AX1893" s="25"/>
      <c r="AY1893" s="25"/>
      <c r="AZ1893" s="25"/>
      <c r="BA1893" s="25"/>
      <c r="BB1893" s="25"/>
      <c r="BC1893" s="25"/>
      <c r="BD1893" s="25"/>
      <c r="BE1893" s="25"/>
      <c r="BF1893" s="25"/>
      <c r="BG1893" s="25"/>
      <c r="BH1893" s="25"/>
      <c r="BI1893" s="25"/>
      <c r="BJ1893" s="25"/>
      <c r="BK1893" s="25"/>
      <c r="BL1893" s="25"/>
      <c r="BM1893" s="25"/>
      <c r="BN1893" s="25"/>
      <c r="BO1893" s="25"/>
      <c r="BP1893" s="25"/>
      <c r="BQ1893" s="25"/>
      <c r="BR1893" s="25"/>
      <c r="BS1893" s="25"/>
      <c r="BT1893" s="25"/>
      <c r="BU1893"/>
      <c r="BV1893"/>
      <c r="BW1893"/>
      <c r="BX1893"/>
      <c r="BY1893"/>
      <c r="BZ1893"/>
      <c r="CA1893"/>
      <c r="CB1893"/>
      <c r="CC1893"/>
      <c r="CD1893" s="25"/>
    </row>
    <row r="1894" spans="1:82" s="17" customFormat="1" x14ac:dyDescent="0.2">
      <c r="A1894" s="25"/>
      <c r="B1894" s="20">
        <v>39113100202</v>
      </c>
      <c r="C1894" s="20">
        <v>1002.02</v>
      </c>
      <c r="D1894" s="20" t="s">
        <v>62</v>
      </c>
      <c r="E1894" s="20" t="s">
        <v>2833</v>
      </c>
      <c r="F1894" s="20" t="s">
        <v>8</v>
      </c>
      <c r="G1894" s="861">
        <v>45.540416219235702</v>
      </c>
      <c r="H1894" s="861">
        <v>55.160184403826399</v>
      </c>
      <c r="I1894" s="861">
        <v>32.966146389070097</v>
      </c>
      <c r="J1894" s="861">
        <v>40.0948289305881</v>
      </c>
      <c r="K1894" s="982">
        <v>0</v>
      </c>
      <c r="L1894" s="735">
        <v>2490</v>
      </c>
      <c r="M1894" s="735">
        <v>2304</v>
      </c>
      <c r="N1894" s="845">
        <f t="shared" si="158"/>
        <v>-7.4698795180722893E-2</v>
      </c>
      <c r="O1894" s="735">
        <v>0.63753420088094537</v>
      </c>
      <c r="P1894" s="735">
        <f t="shared" si="159"/>
        <v>3613.923765683991</v>
      </c>
      <c r="Q1894" s="849">
        <v>40.4</v>
      </c>
      <c r="R1894" s="71">
        <v>76411</v>
      </c>
      <c r="S1894" s="845">
        <v>8.2899305555555552E-2</v>
      </c>
      <c r="T1894" s="845">
        <v>9.0000000000000011E-3</v>
      </c>
      <c r="U1894" s="845">
        <v>0</v>
      </c>
      <c r="V1894" s="845">
        <v>0</v>
      </c>
      <c r="W1894" s="845">
        <v>0.2</v>
      </c>
      <c r="X1894" s="845">
        <v>0.52216748768472909</v>
      </c>
      <c r="Y1894" s="845">
        <v>0.71050347222222221</v>
      </c>
      <c r="Z1894" s="845">
        <v>0.1657986111111111</v>
      </c>
      <c r="AA1894" s="845">
        <v>0</v>
      </c>
      <c r="AB1894" s="845">
        <v>3.515625E-2</v>
      </c>
      <c r="AC1894" s="845">
        <v>0</v>
      </c>
      <c r="AD1894" s="845">
        <v>1.2152777777777778E-2</v>
      </c>
      <c r="AE1894" s="845">
        <v>7.6388888888888895E-2</v>
      </c>
      <c r="AF1894" s="845">
        <v>4.340277777777778E-3</v>
      </c>
      <c r="AG1894" s="845">
        <v>0.71050347222222221</v>
      </c>
      <c r="AH1894" s="20" t="str">
        <f t="shared" si="160"/>
        <v>No</v>
      </c>
      <c r="AI1894" s="25"/>
      <c r="AJ1894" s="25"/>
      <c r="AK1894" s="25"/>
      <c r="AL1894" s="25"/>
      <c r="AM1894" s="25"/>
      <c r="AN1894" s="25"/>
      <c r="AO1894" s="25"/>
      <c r="AP1894" s="25"/>
      <c r="AQ1894" s="25"/>
      <c r="AR1894" s="25"/>
      <c r="AS1894" s="25"/>
      <c r="AT1894" s="25"/>
      <c r="AU1894" s="36"/>
      <c r="AV1894" s="36"/>
      <c r="AW1894" s="36"/>
      <c r="AX1894" s="25"/>
      <c r="AY1894" s="25"/>
      <c r="AZ1894" s="25"/>
      <c r="BA1894" s="25"/>
      <c r="BB1894" s="25"/>
      <c r="BC1894" s="25"/>
      <c r="BD1894" s="25"/>
      <c r="BE1894" s="25"/>
      <c r="BF1894" s="25"/>
      <c r="BG1894" s="25"/>
      <c r="BH1894" s="25"/>
      <c r="BI1894" s="25"/>
      <c r="BJ1894" s="25"/>
      <c r="BK1894" s="25"/>
      <c r="BL1894" s="25"/>
      <c r="BM1894" s="25"/>
      <c r="BN1894" s="25"/>
      <c r="BO1894" s="25"/>
      <c r="BP1894" s="25"/>
      <c r="BQ1894" s="25"/>
      <c r="BR1894" s="25"/>
      <c r="BS1894" s="25"/>
      <c r="BT1894" s="25"/>
      <c r="BU1894"/>
      <c r="BV1894"/>
      <c r="BW1894"/>
      <c r="BX1894"/>
      <c r="BY1894"/>
      <c r="BZ1894"/>
      <c r="CA1894"/>
      <c r="CB1894"/>
      <c r="CC1894"/>
      <c r="CD1894" s="25"/>
    </row>
    <row r="1895" spans="1:82" s="17" customFormat="1" x14ac:dyDescent="0.2">
      <c r="A1895" s="25"/>
      <c r="B1895" s="20">
        <v>39119911602</v>
      </c>
      <c r="C1895" s="20">
        <v>9116.02</v>
      </c>
      <c r="D1895" s="20" t="s">
        <v>65</v>
      </c>
      <c r="E1895" s="20" t="s">
        <v>265</v>
      </c>
      <c r="F1895" s="20" t="s">
        <v>8</v>
      </c>
      <c r="G1895" s="861">
        <v>45.534826135128696</v>
      </c>
      <c r="H1895" s="861">
        <v>44.229525215417503</v>
      </c>
      <c r="I1895" s="861">
        <v>42.818539593950298</v>
      </c>
      <c r="J1895" s="861">
        <v>40.914972918666102</v>
      </c>
      <c r="K1895" s="982">
        <v>0</v>
      </c>
      <c r="L1895" s="735" t="s">
        <v>2466</v>
      </c>
      <c r="M1895" s="735">
        <v>4147</v>
      </c>
      <c r="N1895" s="845" t="str">
        <f t="shared" si="158"/>
        <v/>
      </c>
      <c r="O1895" s="735">
        <v>2.8498829672233517</v>
      </c>
      <c r="P1895" s="735">
        <f t="shared" si="159"/>
        <v>1455.1474736664127</v>
      </c>
      <c r="Q1895" s="849">
        <v>50.3</v>
      </c>
      <c r="R1895" s="71">
        <v>58438</v>
      </c>
      <c r="S1895" s="845">
        <v>0.11419527635743852</v>
      </c>
      <c r="T1895" s="845">
        <v>0.03</v>
      </c>
      <c r="U1895" s="845">
        <v>0</v>
      </c>
      <c r="V1895" s="845">
        <v>2.7999999999999997E-2</v>
      </c>
      <c r="W1895" s="845">
        <v>0.55946076071256623</v>
      </c>
      <c r="X1895" s="845">
        <v>0.54216867469879515</v>
      </c>
      <c r="Y1895" s="845">
        <v>0.79937304075235105</v>
      </c>
      <c r="Z1895" s="845">
        <v>3.0624547865927176E-2</v>
      </c>
      <c r="AA1895" s="845">
        <v>0</v>
      </c>
      <c r="AB1895" s="845">
        <v>5.8837714010127801E-2</v>
      </c>
      <c r="AC1895" s="845">
        <v>0</v>
      </c>
      <c r="AD1895" s="845">
        <v>0</v>
      </c>
      <c r="AE1895" s="845">
        <v>0.11116469737159393</v>
      </c>
      <c r="AF1895" s="845">
        <v>5.0639016156257537E-2</v>
      </c>
      <c r="AG1895" s="845">
        <v>0.79937304075235105</v>
      </c>
      <c r="AH1895" s="20" t="str">
        <f t="shared" si="160"/>
        <v>No</v>
      </c>
      <c r="AI1895" s="25"/>
      <c r="AJ1895" s="25"/>
      <c r="AK1895" s="25"/>
      <c r="AL1895" s="25"/>
      <c r="AM1895" s="25"/>
      <c r="AN1895" s="25"/>
      <c r="AO1895" s="25"/>
      <c r="AP1895" s="25"/>
      <c r="AQ1895" s="25"/>
      <c r="AR1895" s="25"/>
      <c r="AS1895" s="25"/>
      <c r="AT1895" s="25"/>
      <c r="AU1895" s="36"/>
      <c r="AV1895" s="36"/>
      <c r="AW1895" s="36"/>
      <c r="AX1895" s="25"/>
      <c r="AY1895" s="25"/>
      <c r="AZ1895" s="25"/>
      <c r="BA1895" s="25"/>
      <c r="BB1895" s="25"/>
      <c r="BC1895" s="25"/>
      <c r="BD1895" s="25"/>
      <c r="BE1895" s="25"/>
      <c r="BF1895" s="25"/>
      <c r="BG1895" s="25"/>
      <c r="BH1895" s="25"/>
      <c r="BI1895" s="25"/>
      <c r="BJ1895" s="25"/>
      <c r="BK1895" s="25"/>
      <c r="BL1895" s="25"/>
      <c r="BM1895" s="25"/>
      <c r="BN1895" s="25"/>
      <c r="BO1895" s="25"/>
      <c r="BP1895" s="25"/>
      <c r="BQ1895" s="25"/>
      <c r="BR1895" s="25"/>
      <c r="BS1895" s="25"/>
      <c r="BT1895" s="25"/>
      <c r="BU1895"/>
      <c r="BV1895"/>
      <c r="BW1895"/>
      <c r="BX1895"/>
      <c r="BY1895"/>
      <c r="BZ1895"/>
      <c r="CA1895"/>
      <c r="CB1895"/>
      <c r="CC1895"/>
      <c r="CD1895" s="25"/>
    </row>
    <row r="1896" spans="1:82" s="17" customFormat="1" x14ac:dyDescent="0.2">
      <c r="A1896" s="25"/>
      <c r="B1896" s="20">
        <v>39167020500</v>
      </c>
      <c r="C1896" s="20">
        <v>205</v>
      </c>
      <c r="D1896" s="20" t="s">
        <v>89</v>
      </c>
      <c r="E1896" s="20" t="s">
        <v>265</v>
      </c>
      <c r="F1896" s="20" t="s">
        <v>6</v>
      </c>
      <c r="G1896" s="861">
        <v>45.531872762482401</v>
      </c>
      <c r="H1896" s="861">
        <v>56.153131663699398</v>
      </c>
      <c r="I1896" s="861">
        <v>63.199015065596498</v>
      </c>
      <c r="J1896" s="861">
        <v>39.942633168716903</v>
      </c>
      <c r="K1896" s="982">
        <v>0</v>
      </c>
      <c r="L1896" s="735">
        <v>2679</v>
      </c>
      <c r="M1896" s="735">
        <v>2271</v>
      </c>
      <c r="N1896" s="845">
        <f t="shared" si="158"/>
        <v>-0.1522956326987682</v>
      </c>
      <c r="O1896" s="735">
        <v>0.62166964928653667</v>
      </c>
      <c r="P1896" s="735">
        <f t="shared" si="159"/>
        <v>3653.065583314753</v>
      </c>
      <c r="Q1896" s="849">
        <v>24.3</v>
      </c>
      <c r="R1896" s="71">
        <v>35125</v>
      </c>
      <c r="S1896" s="845">
        <v>0.22629757785467128</v>
      </c>
      <c r="T1896" s="845">
        <v>3.7000000000000005E-2</v>
      </c>
      <c r="U1896" s="845">
        <v>3.7000000000000005E-2</v>
      </c>
      <c r="V1896" s="845">
        <v>0</v>
      </c>
      <c r="W1896" s="845">
        <v>0.57343550446998726</v>
      </c>
      <c r="X1896" s="845">
        <v>0.54342984409799555</v>
      </c>
      <c r="Y1896" s="845">
        <v>0.90929106120651693</v>
      </c>
      <c r="Z1896" s="845">
        <v>6.7811536767943631E-2</v>
      </c>
      <c r="AA1896" s="845">
        <v>0</v>
      </c>
      <c r="AB1896" s="845">
        <v>1.4531043593130779E-2</v>
      </c>
      <c r="AC1896" s="845">
        <v>0</v>
      </c>
      <c r="AD1896" s="845">
        <v>0</v>
      </c>
      <c r="AE1896" s="845">
        <v>8.3663584324086306E-3</v>
      </c>
      <c r="AF1896" s="845">
        <v>1.3650374284456186E-2</v>
      </c>
      <c r="AG1896" s="845">
        <v>0.89564068692206078</v>
      </c>
      <c r="AH1896" s="20" t="str">
        <f t="shared" si="160"/>
        <v>No</v>
      </c>
      <c r="AI1896" s="25"/>
      <c r="AJ1896" s="25"/>
      <c r="AK1896" s="25"/>
      <c r="AL1896" s="25"/>
      <c r="AM1896" s="25"/>
      <c r="AN1896" s="25"/>
      <c r="AO1896" s="25"/>
      <c r="AP1896" s="25"/>
      <c r="AQ1896" s="25"/>
      <c r="AR1896" s="25"/>
      <c r="AS1896" s="25"/>
      <c r="AT1896" s="25"/>
      <c r="AU1896" s="36"/>
      <c r="AV1896" s="36"/>
      <c r="AW1896" s="36"/>
      <c r="AX1896" s="25"/>
      <c r="AY1896" s="25"/>
      <c r="AZ1896" s="25"/>
      <c r="BA1896" s="25"/>
      <c r="BB1896" s="25"/>
      <c r="BC1896" s="25"/>
      <c r="BD1896" s="25"/>
      <c r="BE1896" s="25"/>
      <c r="BF1896" s="25"/>
      <c r="BG1896" s="25"/>
      <c r="BH1896" s="25"/>
      <c r="BI1896" s="25"/>
      <c r="BJ1896" s="25"/>
      <c r="BK1896" s="25"/>
      <c r="BL1896" s="25"/>
      <c r="BM1896" s="25"/>
      <c r="BN1896" s="25"/>
      <c r="BO1896" s="25"/>
      <c r="BP1896" s="25"/>
      <c r="BQ1896" s="25"/>
      <c r="BR1896" s="25"/>
      <c r="BS1896" s="25"/>
      <c r="BT1896" s="25"/>
      <c r="BU1896"/>
      <c r="BV1896"/>
      <c r="BW1896"/>
      <c r="BX1896"/>
      <c r="BY1896"/>
      <c r="BZ1896"/>
      <c r="CA1896"/>
      <c r="CB1896"/>
      <c r="CC1896"/>
      <c r="CD1896" s="25"/>
    </row>
    <row r="1897" spans="1:82" s="17" customFormat="1" x14ac:dyDescent="0.2">
      <c r="A1897" s="25"/>
      <c r="B1897" s="20">
        <v>39113002700</v>
      </c>
      <c r="C1897" s="20">
        <v>27</v>
      </c>
      <c r="D1897" s="20" t="s">
        <v>62</v>
      </c>
      <c r="E1897" s="20" t="s">
        <v>2833</v>
      </c>
      <c r="F1897" s="20" t="s">
        <v>8</v>
      </c>
      <c r="G1897" s="861">
        <v>45.518990674690897</v>
      </c>
      <c r="H1897" s="861">
        <v>69.232584121550104</v>
      </c>
      <c r="I1897" s="861">
        <v>31.860884869896999</v>
      </c>
      <c r="J1897" s="861">
        <v>39.707916771040701</v>
      </c>
      <c r="K1897" s="982">
        <v>0</v>
      </c>
      <c r="L1897" s="735">
        <v>2172</v>
      </c>
      <c r="M1897" s="735">
        <v>1846</v>
      </c>
      <c r="N1897" s="845">
        <f t="shared" si="158"/>
        <v>-0.15009208103130756</v>
      </c>
      <c r="O1897" s="735">
        <v>0.3736584721232562</v>
      </c>
      <c r="P1897" s="735">
        <f t="shared" si="159"/>
        <v>4940.3402778756545</v>
      </c>
      <c r="Q1897" s="849">
        <v>41.3</v>
      </c>
      <c r="R1897" s="71">
        <v>46409</v>
      </c>
      <c r="S1897" s="845">
        <v>0.16630552546045504</v>
      </c>
      <c r="T1897" s="845">
        <v>6.5000000000000002E-2</v>
      </c>
      <c r="U1897" s="845">
        <v>0</v>
      </c>
      <c r="V1897" s="845">
        <v>0</v>
      </c>
      <c r="W1897" s="845">
        <v>0.23262839879154079</v>
      </c>
      <c r="X1897" s="845">
        <v>0.61038961038961037</v>
      </c>
      <c r="Y1897" s="845">
        <v>0.89328277356446373</v>
      </c>
      <c r="Z1897" s="845">
        <v>1.5167930660888408E-2</v>
      </c>
      <c r="AA1897" s="845">
        <v>0</v>
      </c>
      <c r="AB1897" s="845">
        <v>0</v>
      </c>
      <c r="AC1897" s="845">
        <v>0</v>
      </c>
      <c r="AD1897" s="845">
        <v>5.9588299024918745E-2</v>
      </c>
      <c r="AE1897" s="845">
        <v>3.1960996749729145E-2</v>
      </c>
      <c r="AF1897" s="845">
        <v>7.2047670639219935E-2</v>
      </c>
      <c r="AG1897" s="845">
        <v>0.87486457204767065</v>
      </c>
      <c r="AH1897" s="20" t="str">
        <f t="shared" si="160"/>
        <v>No</v>
      </c>
      <c r="AI1897" s="25"/>
      <c r="AJ1897" s="25"/>
      <c r="AK1897" s="25"/>
      <c r="AL1897" s="25"/>
      <c r="AM1897" s="25"/>
      <c r="AN1897" s="25"/>
      <c r="AO1897" s="25"/>
      <c r="AP1897" s="25"/>
      <c r="AQ1897" s="25"/>
      <c r="AR1897" s="25"/>
      <c r="AS1897" s="25"/>
      <c r="AT1897" s="25"/>
      <c r="AU1897" s="36"/>
      <c r="AV1897" s="36"/>
      <c r="AW1897" s="36"/>
      <c r="AX1897" s="25"/>
      <c r="AY1897" s="25"/>
      <c r="AZ1897" s="25"/>
      <c r="BA1897" s="25"/>
      <c r="BB1897" s="25"/>
      <c r="BC1897" s="25"/>
      <c r="BD1897" s="25"/>
      <c r="BE1897" s="25"/>
      <c r="BF1897" s="25"/>
      <c r="BG1897" s="25"/>
      <c r="BH1897" s="25"/>
      <c r="BI1897" s="25"/>
      <c r="BJ1897" s="25"/>
      <c r="BK1897" s="25"/>
      <c r="BL1897" s="25"/>
      <c r="BM1897" s="25"/>
      <c r="BN1897" s="25"/>
      <c r="BO1897" s="25"/>
      <c r="BP1897" s="25"/>
      <c r="BQ1897" s="25"/>
      <c r="BR1897" s="25"/>
      <c r="BS1897" s="25"/>
      <c r="BT1897" s="25"/>
      <c r="BU1897"/>
      <c r="BV1897"/>
      <c r="BW1897"/>
      <c r="BX1897"/>
      <c r="BY1897"/>
      <c r="BZ1897"/>
      <c r="CA1897"/>
      <c r="CB1897"/>
      <c r="CC1897"/>
      <c r="CD1897" s="25"/>
    </row>
    <row r="1898" spans="1:82" s="17" customFormat="1" x14ac:dyDescent="0.2">
      <c r="A1898" s="25"/>
      <c r="B1898" s="20">
        <v>39017001002</v>
      </c>
      <c r="C1898" s="20">
        <v>10.02</v>
      </c>
      <c r="D1898" s="20" t="s">
        <v>15</v>
      </c>
      <c r="E1898" s="20" t="s">
        <v>2828</v>
      </c>
      <c r="F1898" s="20" t="s">
        <v>8</v>
      </c>
      <c r="G1898" s="861">
        <v>45.481425611850703</v>
      </c>
      <c r="H1898" s="861">
        <v>52.244393745890001</v>
      </c>
      <c r="I1898" s="861">
        <v>35.849475883189399</v>
      </c>
      <c r="J1898" s="861">
        <v>35.892249412707798</v>
      </c>
      <c r="K1898" s="982">
        <v>0</v>
      </c>
      <c r="L1898" s="735">
        <v>5882</v>
      </c>
      <c r="M1898" s="735">
        <v>4967</v>
      </c>
      <c r="N1898" s="845">
        <f t="shared" si="158"/>
        <v>-0.15555933356001361</v>
      </c>
      <c r="O1898" s="735">
        <v>1.871893149347315</v>
      </c>
      <c r="P1898" s="735">
        <f t="shared" si="159"/>
        <v>2653.4634210995837</v>
      </c>
      <c r="Q1898" s="849">
        <v>43.3</v>
      </c>
      <c r="R1898" s="71">
        <v>55561</v>
      </c>
      <c r="S1898" s="845">
        <v>9.4624521844171527E-2</v>
      </c>
      <c r="T1898" s="845">
        <v>3.7999999999999999E-2</v>
      </c>
      <c r="U1898" s="845">
        <v>3.7000000000000005E-2</v>
      </c>
      <c r="V1898" s="845">
        <v>0</v>
      </c>
      <c r="W1898" s="845">
        <v>0.41881918819188191</v>
      </c>
      <c r="X1898" s="845">
        <v>0.47246696035242292</v>
      </c>
      <c r="Y1898" s="845">
        <v>0.90557680692570963</v>
      </c>
      <c r="Z1898" s="845">
        <v>5.4962754177571974E-2</v>
      </c>
      <c r="AA1898" s="845">
        <v>0</v>
      </c>
      <c r="AB1898" s="845">
        <v>0</v>
      </c>
      <c r="AC1898" s="845">
        <v>2.4159452385745924E-3</v>
      </c>
      <c r="AD1898" s="845">
        <v>0</v>
      </c>
      <c r="AE1898" s="845">
        <v>3.7044493658143746E-2</v>
      </c>
      <c r="AF1898" s="845">
        <v>2.4964767465270786E-2</v>
      </c>
      <c r="AG1898" s="845">
        <v>0.90557680692570963</v>
      </c>
      <c r="AH1898" s="20" t="str">
        <f t="shared" si="160"/>
        <v>Yes</v>
      </c>
      <c r="AI1898" s="25"/>
      <c r="AJ1898" s="25"/>
      <c r="AK1898" s="25"/>
      <c r="AL1898" s="25"/>
      <c r="AM1898" s="25"/>
      <c r="AN1898" s="25"/>
      <c r="AO1898" s="25"/>
      <c r="AP1898" s="25"/>
      <c r="AQ1898" s="25"/>
      <c r="AR1898" s="25"/>
      <c r="AS1898" s="25"/>
      <c r="AT1898" s="25"/>
      <c r="AU1898" s="36"/>
      <c r="AV1898" s="36"/>
      <c r="AW1898" s="36"/>
      <c r="AX1898" s="25"/>
      <c r="AY1898" s="25"/>
      <c r="AZ1898" s="25"/>
      <c r="BA1898" s="25"/>
      <c r="BB1898" s="25"/>
      <c r="BC1898" s="25"/>
      <c r="BD1898" s="25"/>
      <c r="BE1898" s="25"/>
      <c r="BF1898" s="25"/>
      <c r="BG1898" s="25"/>
      <c r="BH1898" s="25"/>
      <c r="BI1898" s="25"/>
      <c r="BJ1898" s="25"/>
      <c r="BK1898" s="25"/>
      <c r="BL1898" s="25"/>
      <c r="BM1898" s="25"/>
      <c r="BN1898" s="25"/>
      <c r="BO1898" s="25"/>
      <c r="BP1898" s="25"/>
      <c r="BQ1898" s="25"/>
      <c r="BR1898" s="25"/>
      <c r="BS1898" s="25"/>
      <c r="BT1898" s="25"/>
      <c r="BU1898"/>
      <c r="BV1898"/>
      <c r="BW1898"/>
      <c r="BX1898"/>
      <c r="BY1898"/>
      <c r="BZ1898"/>
      <c r="CA1898"/>
      <c r="CB1898"/>
      <c r="CC1898"/>
      <c r="CD1898" s="25"/>
    </row>
    <row r="1899" spans="1:82" s="17" customFormat="1" x14ac:dyDescent="0.2">
      <c r="A1899" s="25"/>
      <c r="B1899" s="20">
        <v>39091004100</v>
      </c>
      <c r="C1899" s="20">
        <v>41</v>
      </c>
      <c r="D1899" s="20" t="s">
        <v>51</v>
      </c>
      <c r="E1899" s="20" t="s">
        <v>265</v>
      </c>
      <c r="F1899" s="20" t="s">
        <v>8</v>
      </c>
      <c r="G1899" s="861">
        <v>45.4393096177388</v>
      </c>
      <c r="H1899" s="861">
        <v>54.485179637831799</v>
      </c>
      <c r="I1899" s="861">
        <v>30.932792863667402</v>
      </c>
      <c r="J1899" s="861">
        <v>48.262227079850703</v>
      </c>
      <c r="K1899" s="982">
        <v>0</v>
      </c>
      <c r="L1899" s="735">
        <v>2862</v>
      </c>
      <c r="M1899" s="735">
        <v>2615</v>
      </c>
      <c r="N1899" s="845">
        <f t="shared" si="158"/>
        <v>-8.630328441649196E-2</v>
      </c>
      <c r="O1899" s="735">
        <v>6.2770183914087543</v>
      </c>
      <c r="P1899" s="735">
        <f t="shared" si="159"/>
        <v>416.59906613928439</v>
      </c>
      <c r="Q1899" s="849">
        <v>48.6</v>
      </c>
      <c r="R1899" s="71">
        <v>56612</v>
      </c>
      <c r="S1899" s="845">
        <v>0.12084130019120459</v>
      </c>
      <c r="T1899" s="845">
        <v>9.5000000000000001E-2</v>
      </c>
      <c r="U1899" s="845">
        <v>2.2000000000000002E-2</v>
      </c>
      <c r="V1899" s="845">
        <v>0.248</v>
      </c>
      <c r="W1899" s="845">
        <v>0.12397921306607275</v>
      </c>
      <c r="X1899" s="845">
        <v>0.25748502994011974</v>
      </c>
      <c r="Y1899" s="845">
        <v>0.94875717017208416</v>
      </c>
      <c r="Z1899" s="845">
        <v>1.9502868068833654E-2</v>
      </c>
      <c r="AA1899" s="845">
        <v>0</v>
      </c>
      <c r="AB1899" s="845">
        <v>0</v>
      </c>
      <c r="AC1899" s="845">
        <v>0</v>
      </c>
      <c r="AD1899" s="845">
        <v>6.5009560229445503E-3</v>
      </c>
      <c r="AE1899" s="845">
        <v>2.5239005736137667E-2</v>
      </c>
      <c r="AF1899" s="845">
        <v>3.5564053537284895E-2</v>
      </c>
      <c r="AG1899" s="845">
        <v>0.93269598470363291</v>
      </c>
      <c r="AH1899" s="20" t="str">
        <f t="shared" si="160"/>
        <v>Yes</v>
      </c>
      <c r="AI1899" s="25"/>
      <c r="AJ1899" s="25"/>
      <c r="AK1899" s="25"/>
      <c r="AL1899" s="25"/>
      <c r="AM1899" s="25"/>
      <c r="AN1899" s="25"/>
      <c r="AO1899" s="25"/>
      <c r="AP1899" s="25"/>
      <c r="AQ1899" s="25"/>
      <c r="AR1899" s="25"/>
      <c r="AS1899" s="25"/>
      <c r="AT1899" s="25"/>
      <c r="AU1899" s="36"/>
      <c r="AV1899" s="36"/>
      <c r="AW1899" s="36"/>
      <c r="AX1899" s="25"/>
      <c r="AY1899" s="25"/>
      <c r="AZ1899" s="25"/>
      <c r="BA1899" s="25"/>
      <c r="BB1899" s="25"/>
      <c r="BC1899" s="25"/>
      <c r="BD1899" s="25"/>
      <c r="BE1899" s="25"/>
      <c r="BF1899" s="25"/>
      <c r="BG1899" s="25"/>
      <c r="BH1899" s="25"/>
      <c r="BI1899" s="25"/>
      <c r="BJ1899" s="25"/>
      <c r="BK1899" s="25"/>
      <c r="BL1899" s="25"/>
      <c r="BM1899" s="25"/>
      <c r="BN1899" s="25"/>
      <c r="BO1899" s="25"/>
      <c r="BP1899" s="25"/>
      <c r="BQ1899" s="25"/>
      <c r="BR1899" s="25"/>
      <c r="BS1899" s="25"/>
      <c r="BT1899" s="25"/>
      <c r="BU1899"/>
      <c r="BV1899"/>
      <c r="BW1899"/>
      <c r="BX1899"/>
      <c r="BY1899"/>
      <c r="BZ1899"/>
      <c r="CA1899"/>
      <c r="CB1899"/>
      <c r="CC1899"/>
      <c r="CD1899" s="25"/>
    </row>
    <row r="1900" spans="1:82" s="17" customFormat="1" x14ac:dyDescent="0.2">
      <c r="A1900" s="25"/>
      <c r="B1900" s="20">
        <v>39099811400</v>
      </c>
      <c r="C1900" s="20">
        <v>8114</v>
      </c>
      <c r="D1900" s="20" t="s">
        <v>55</v>
      </c>
      <c r="E1900" s="20" t="s">
        <v>2842</v>
      </c>
      <c r="F1900" s="20" t="s">
        <v>8</v>
      </c>
      <c r="G1900" s="861">
        <v>45.434364364378901</v>
      </c>
      <c r="H1900" s="861">
        <v>48.7301447753293</v>
      </c>
      <c r="I1900" s="861">
        <v>49.406667985953803</v>
      </c>
      <c r="J1900" s="861">
        <v>24.037668487946199</v>
      </c>
      <c r="K1900" s="982">
        <v>0</v>
      </c>
      <c r="L1900" s="735">
        <v>3360</v>
      </c>
      <c r="M1900" s="735">
        <v>2979</v>
      </c>
      <c r="N1900" s="845">
        <f t="shared" si="158"/>
        <v>-0.11339285714285714</v>
      </c>
      <c r="O1900" s="735">
        <v>0.88180211761667127</v>
      </c>
      <c r="P1900" s="735">
        <f t="shared" si="159"/>
        <v>3378.3089657933924</v>
      </c>
      <c r="Q1900" s="849">
        <v>34.700000000000003</v>
      </c>
      <c r="R1900" s="71">
        <v>51714</v>
      </c>
      <c r="S1900" s="845">
        <v>0.1803776129467296</v>
      </c>
      <c r="T1900" s="845">
        <v>3.5000000000000003E-2</v>
      </c>
      <c r="U1900" s="845">
        <v>0</v>
      </c>
      <c r="V1900" s="845">
        <v>5.4000000000000006E-2</v>
      </c>
      <c r="W1900" s="845">
        <v>0.48579545454545453</v>
      </c>
      <c r="X1900" s="845">
        <v>0.31140350877192985</v>
      </c>
      <c r="Y1900" s="845">
        <v>0.74555219872440415</v>
      </c>
      <c r="Z1900" s="845">
        <v>0.16381336018798254</v>
      </c>
      <c r="AA1900" s="845">
        <v>1.342732460557234E-3</v>
      </c>
      <c r="AB1900" s="845">
        <v>2.3497818059751596E-2</v>
      </c>
      <c r="AC1900" s="845">
        <v>0</v>
      </c>
      <c r="AD1900" s="845">
        <v>1.5105740181268883E-2</v>
      </c>
      <c r="AE1900" s="845">
        <v>5.068815038603558E-2</v>
      </c>
      <c r="AF1900" s="845">
        <v>7.1164820409533397E-2</v>
      </c>
      <c r="AG1900" s="845">
        <v>0.70694864048338368</v>
      </c>
      <c r="AH1900" s="20" t="str">
        <f t="shared" si="160"/>
        <v>No</v>
      </c>
      <c r="AI1900" s="25"/>
      <c r="AJ1900" s="25"/>
      <c r="AK1900" s="25"/>
      <c r="AL1900" s="25"/>
      <c r="AM1900" s="25"/>
      <c r="AN1900" s="25"/>
      <c r="AO1900" s="25"/>
      <c r="AP1900" s="25"/>
      <c r="AQ1900" s="25"/>
      <c r="AR1900" s="25"/>
      <c r="AS1900" s="25"/>
      <c r="AT1900" s="25"/>
      <c r="AU1900" s="36"/>
      <c r="AV1900" s="36"/>
      <c r="AW1900" s="36"/>
      <c r="AX1900" s="25"/>
      <c r="AY1900" s="25"/>
      <c r="AZ1900" s="25"/>
      <c r="BA1900" s="25"/>
      <c r="BB1900" s="25"/>
      <c r="BC1900" s="25"/>
      <c r="BD1900" s="25"/>
      <c r="BE1900" s="25"/>
      <c r="BF1900" s="25"/>
      <c r="BG1900" s="25"/>
      <c r="BH1900" s="25"/>
      <c r="BI1900" s="25"/>
      <c r="BJ1900" s="25"/>
      <c r="BK1900" s="25"/>
      <c r="BL1900" s="25"/>
      <c r="BM1900" s="25"/>
      <c r="BN1900" s="25"/>
      <c r="BO1900" s="25"/>
      <c r="BP1900" s="25"/>
      <c r="BQ1900" s="25"/>
      <c r="BR1900" s="25"/>
      <c r="BS1900" s="25"/>
      <c r="BT1900" s="25"/>
      <c r="BU1900"/>
      <c r="BV1900"/>
      <c r="BW1900"/>
      <c r="BX1900"/>
      <c r="BY1900"/>
      <c r="BZ1900"/>
      <c r="CA1900"/>
      <c r="CB1900"/>
      <c r="CC1900"/>
      <c r="CD1900" s="25"/>
    </row>
    <row r="1901" spans="1:82" s="17" customFormat="1" x14ac:dyDescent="0.2">
      <c r="A1901" s="25"/>
      <c r="B1901" s="20">
        <v>39175938000</v>
      </c>
      <c r="C1901" s="20">
        <v>9380</v>
      </c>
      <c r="D1901" s="20" t="s">
        <v>93</v>
      </c>
      <c r="E1901" s="20" t="s">
        <v>265</v>
      </c>
      <c r="F1901" s="20" t="s">
        <v>8</v>
      </c>
      <c r="G1901" s="861">
        <v>45.415002362105497</v>
      </c>
      <c r="H1901" s="861">
        <v>55.374130491105497</v>
      </c>
      <c r="I1901" s="861">
        <v>21.729990207096002</v>
      </c>
      <c r="J1901" s="861">
        <v>39.951388219168102</v>
      </c>
      <c r="K1901" s="982">
        <v>0</v>
      </c>
      <c r="L1901" s="735">
        <v>4065</v>
      </c>
      <c r="M1901" s="735">
        <v>3974</v>
      </c>
      <c r="N1901" s="845">
        <f t="shared" si="158"/>
        <v>-2.2386223862238621E-2</v>
      </c>
      <c r="O1901" s="735">
        <v>119.77005369341252</v>
      </c>
      <c r="P1901" s="735">
        <f t="shared" si="159"/>
        <v>33.180247294308209</v>
      </c>
      <c r="Q1901" s="849">
        <v>47.7</v>
      </c>
      <c r="R1901" s="71">
        <v>76081</v>
      </c>
      <c r="S1901" s="845">
        <v>6.9419354838709674E-2</v>
      </c>
      <c r="T1901" s="845">
        <v>2.7000000000000003E-2</v>
      </c>
      <c r="U1901" s="845">
        <v>6.0000000000000001E-3</v>
      </c>
      <c r="V1901" s="845">
        <v>0</v>
      </c>
      <c r="W1901" s="845">
        <v>0.11918419375398343</v>
      </c>
      <c r="X1901" s="845">
        <v>0.13903743315508021</v>
      </c>
      <c r="Y1901" s="845">
        <v>0.94464016104680426</v>
      </c>
      <c r="Z1901" s="845">
        <v>0</v>
      </c>
      <c r="AA1901" s="845">
        <v>0</v>
      </c>
      <c r="AB1901" s="845">
        <v>2.5163563160543532E-3</v>
      </c>
      <c r="AC1901" s="845">
        <v>0</v>
      </c>
      <c r="AD1901" s="845">
        <v>2.4157020634121791E-2</v>
      </c>
      <c r="AE1901" s="845">
        <v>2.8686462003019629E-2</v>
      </c>
      <c r="AF1901" s="845">
        <v>3.2712632108706591E-2</v>
      </c>
      <c r="AG1901" s="845">
        <v>0.94464016104680426</v>
      </c>
      <c r="AH1901" s="20" t="str">
        <f t="shared" si="160"/>
        <v>Yes</v>
      </c>
      <c r="AI1901" s="25"/>
      <c r="AJ1901" s="25"/>
      <c r="AK1901" s="25"/>
      <c r="AL1901" s="25"/>
      <c r="AM1901" s="25"/>
      <c r="AN1901" s="25"/>
      <c r="AO1901" s="25"/>
      <c r="AP1901" s="25"/>
      <c r="AQ1901" s="25"/>
      <c r="AR1901" s="25"/>
      <c r="AS1901" s="25"/>
      <c r="AT1901" s="25"/>
      <c r="AU1901" s="36"/>
      <c r="AV1901" s="36"/>
      <c r="AW1901" s="36"/>
      <c r="AX1901" s="25"/>
      <c r="AY1901" s="25"/>
      <c r="AZ1901" s="25"/>
      <c r="BA1901" s="25"/>
      <c r="BB1901" s="25"/>
      <c r="BC1901" s="25"/>
      <c r="BD1901" s="25"/>
      <c r="BE1901" s="25"/>
      <c r="BF1901" s="25"/>
      <c r="BG1901" s="25"/>
      <c r="BH1901" s="25"/>
      <c r="BI1901" s="25"/>
      <c r="BJ1901" s="25"/>
      <c r="BK1901" s="25"/>
      <c r="BL1901" s="25"/>
      <c r="BM1901" s="25"/>
      <c r="BN1901" s="25"/>
      <c r="BO1901" s="25"/>
      <c r="BP1901" s="25"/>
      <c r="BQ1901" s="25"/>
      <c r="BR1901" s="25"/>
      <c r="BS1901" s="25"/>
      <c r="BT1901" s="25"/>
      <c r="BU1901"/>
      <c r="BV1901"/>
      <c r="BW1901"/>
      <c r="BX1901"/>
      <c r="BY1901"/>
      <c r="BZ1901"/>
      <c r="CA1901"/>
      <c r="CB1901"/>
      <c r="CC1901"/>
      <c r="CD1901" s="25"/>
    </row>
    <row r="1902" spans="1:82" s="17" customFormat="1" x14ac:dyDescent="0.2">
      <c r="A1902" s="25"/>
      <c r="B1902" s="20">
        <v>39049008710</v>
      </c>
      <c r="C1902" s="20">
        <v>87.1</v>
      </c>
      <c r="D1902" s="20" t="s">
        <v>31</v>
      </c>
      <c r="E1902" s="20" t="s">
        <v>2830</v>
      </c>
      <c r="F1902" s="20" t="s">
        <v>6</v>
      </c>
      <c r="G1902" s="861">
        <v>45.408210717350201</v>
      </c>
      <c r="H1902" s="861">
        <v>40.324456218904103</v>
      </c>
      <c r="I1902" s="861">
        <v>37.884139145937098</v>
      </c>
      <c r="J1902" s="861">
        <v>50.487546562466697</v>
      </c>
      <c r="K1902" s="982">
        <v>0</v>
      </c>
      <c r="L1902" s="735">
        <v>2896</v>
      </c>
      <c r="M1902" s="735">
        <v>2079</v>
      </c>
      <c r="N1902" s="845">
        <f t="shared" si="158"/>
        <v>-0.28211325966850831</v>
      </c>
      <c r="O1902" s="735">
        <v>0.60811707741778009</v>
      </c>
      <c r="P1902" s="735">
        <f t="shared" si="159"/>
        <v>3418.7495750455869</v>
      </c>
      <c r="Q1902" s="849">
        <v>51.4</v>
      </c>
      <c r="R1902" s="71">
        <v>48500</v>
      </c>
      <c r="S1902" s="845">
        <v>0.17171717171717171</v>
      </c>
      <c r="T1902" s="845">
        <v>0.14899999999999999</v>
      </c>
      <c r="U1902" s="845">
        <v>6.0999999999999999E-2</v>
      </c>
      <c r="V1902" s="845">
        <v>0</v>
      </c>
      <c r="W1902" s="845">
        <v>0.22183708838821489</v>
      </c>
      <c r="X1902" s="845">
        <v>0.2734375</v>
      </c>
      <c r="Y1902" s="845">
        <v>0.34247234247234248</v>
      </c>
      <c r="Z1902" s="845">
        <v>0.5714285714285714</v>
      </c>
      <c r="AA1902" s="845">
        <v>0</v>
      </c>
      <c r="AB1902" s="845">
        <v>2.7417027417027416E-2</v>
      </c>
      <c r="AC1902" s="845">
        <v>0</v>
      </c>
      <c r="AD1902" s="845">
        <v>0</v>
      </c>
      <c r="AE1902" s="845">
        <v>5.8682058682058683E-2</v>
      </c>
      <c r="AF1902" s="845">
        <v>0</v>
      </c>
      <c r="AG1902" s="845">
        <v>0.34247234247234248</v>
      </c>
      <c r="AH1902" s="20" t="str">
        <f t="shared" si="160"/>
        <v>No</v>
      </c>
      <c r="AI1902" s="25"/>
      <c r="AJ1902" s="25"/>
      <c r="AK1902" s="25"/>
      <c r="AL1902" s="25"/>
      <c r="AM1902" s="25"/>
      <c r="AN1902" s="25"/>
      <c r="AO1902" s="25"/>
      <c r="AP1902" s="25"/>
      <c r="AQ1902" s="25"/>
      <c r="AR1902" s="25"/>
      <c r="AS1902" s="25"/>
      <c r="AT1902" s="25"/>
      <c r="AU1902" s="36"/>
      <c r="AV1902" s="36"/>
      <c r="AW1902" s="36"/>
      <c r="AX1902" s="25"/>
      <c r="AY1902" s="25"/>
      <c r="AZ1902" s="25"/>
      <c r="BA1902" s="25"/>
      <c r="BB1902" s="25"/>
      <c r="BC1902" s="25"/>
      <c r="BD1902" s="25"/>
      <c r="BE1902" s="25"/>
      <c r="BF1902" s="25"/>
      <c r="BG1902" s="25"/>
      <c r="BH1902" s="25"/>
      <c r="BI1902" s="25"/>
      <c r="BJ1902" s="25"/>
      <c r="BK1902" s="25"/>
      <c r="BL1902" s="25"/>
      <c r="BM1902" s="25"/>
      <c r="BN1902" s="25"/>
      <c r="BO1902" s="25"/>
      <c r="BP1902" s="25"/>
      <c r="BQ1902" s="25"/>
      <c r="BR1902" s="25"/>
      <c r="BS1902" s="25"/>
      <c r="BT1902" s="25"/>
      <c r="BU1902"/>
      <c r="BV1902"/>
      <c r="BW1902"/>
      <c r="BX1902"/>
      <c r="BY1902"/>
      <c r="BZ1902"/>
      <c r="CA1902"/>
      <c r="CB1902"/>
      <c r="CC1902"/>
      <c r="CD1902" s="25"/>
    </row>
    <row r="1903" spans="1:82" s="17" customFormat="1" x14ac:dyDescent="0.2">
      <c r="A1903" s="25"/>
      <c r="B1903" s="20">
        <v>39139002800</v>
      </c>
      <c r="C1903" s="20">
        <v>28</v>
      </c>
      <c r="D1903" s="20" t="s">
        <v>75</v>
      </c>
      <c r="E1903" s="20" t="s">
        <v>2836</v>
      </c>
      <c r="F1903" s="20" t="s">
        <v>8</v>
      </c>
      <c r="G1903" s="861">
        <v>45.403508276380798</v>
      </c>
      <c r="H1903" s="861">
        <v>50.965940095495597</v>
      </c>
      <c r="I1903" s="861">
        <v>25.097372205785799</v>
      </c>
      <c r="J1903" s="861">
        <v>40.719942706954797</v>
      </c>
      <c r="K1903" s="982">
        <v>0</v>
      </c>
      <c r="L1903" s="735">
        <v>4047</v>
      </c>
      <c r="M1903" s="735">
        <v>3590</v>
      </c>
      <c r="N1903" s="845">
        <f t="shared" si="158"/>
        <v>-0.11292315295280454</v>
      </c>
      <c r="O1903" s="735">
        <v>51.336564243918481</v>
      </c>
      <c r="P1903" s="735">
        <f t="shared" si="159"/>
        <v>69.930663511929211</v>
      </c>
      <c r="Q1903" s="849">
        <v>40.200000000000003</v>
      </c>
      <c r="R1903" s="71">
        <v>65682</v>
      </c>
      <c r="S1903" s="845">
        <v>7.2869955156950675E-2</v>
      </c>
      <c r="T1903" s="845">
        <v>4.2000000000000003E-2</v>
      </c>
      <c r="U1903" s="845">
        <v>4.7E-2</v>
      </c>
      <c r="V1903" s="845">
        <v>3.5000000000000003E-2</v>
      </c>
      <c r="W1903" s="845">
        <v>0.16515151515151516</v>
      </c>
      <c r="X1903" s="845">
        <v>0.21559633027522937</v>
      </c>
      <c r="Y1903" s="845">
        <v>0.97855153203342615</v>
      </c>
      <c r="Z1903" s="845">
        <v>1.3927576601671309E-3</v>
      </c>
      <c r="AA1903" s="845">
        <v>5.8495821727019498E-3</v>
      </c>
      <c r="AB1903" s="845">
        <v>0</v>
      </c>
      <c r="AC1903" s="845">
        <v>0</v>
      </c>
      <c r="AD1903" s="845">
        <v>3.064066852367688E-3</v>
      </c>
      <c r="AE1903" s="845">
        <v>1.1142061281337047E-2</v>
      </c>
      <c r="AF1903" s="845">
        <v>1.1420612813370474E-2</v>
      </c>
      <c r="AG1903" s="845">
        <v>0.97409470752089133</v>
      </c>
      <c r="AH1903" s="20" t="str">
        <f t="shared" si="160"/>
        <v>Yes</v>
      </c>
      <c r="AI1903" s="25"/>
      <c r="AJ1903" s="25"/>
      <c r="AK1903" s="25"/>
      <c r="AL1903" s="25"/>
      <c r="AM1903" s="25"/>
      <c r="AN1903" s="25"/>
      <c r="AO1903" s="25"/>
      <c r="AP1903" s="25"/>
      <c r="AQ1903" s="25"/>
      <c r="AR1903" s="25"/>
      <c r="AS1903" s="25"/>
      <c r="AT1903" s="25"/>
      <c r="AU1903" s="36"/>
      <c r="AV1903" s="36"/>
      <c r="AW1903" s="36"/>
      <c r="AX1903" s="25"/>
      <c r="AY1903" s="25"/>
      <c r="AZ1903" s="25"/>
      <c r="BA1903" s="25"/>
      <c r="BB1903" s="25"/>
      <c r="BC1903" s="25"/>
      <c r="BD1903" s="25"/>
      <c r="BE1903" s="25"/>
      <c r="BF1903" s="25"/>
      <c r="BG1903" s="25"/>
      <c r="BH1903" s="25"/>
      <c r="BI1903" s="25"/>
      <c r="BJ1903" s="25"/>
      <c r="BK1903" s="25"/>
      <c r="BL1903" s="25"/>
      <c r="BM1903" s="25"/>
      <c r="BN1903" s="25"/>
      <c r="BO1903" s="25"/>
      <c r="BP1903" s="25"/>
      <c r="BQ1903" s="25"/>
      <c r="BR1903" s="25"/>
      <c r="BS1903" s="25"/>
      <c r="BT1903" s="25"/>
      <c r="BU1903"/>
      <c r="BV1903"/>
      <c r="BW1903"/>
      <c r="BX1903"/>
      <c r="BY1903"/>
      <c r="BZ1903"/>
      <c r="CA1903"/>
      <c r="CB1903"/>
      <c r="CC1903"/>
      <c r="CD1903" s="25"/>
    </row>
    <row r="1904" spans="1:82" s="17" customFormat="1" x14ac:dyDescent="0.2">
      <c r="A1904" s="25"/>
      <c r="B1904" s="20">
        <v>39049009381</v>
      </c>
      <c r="C1904" s="20">
        <v>93.81</v>
      </c>
      <c r="D1904" s="20" t="s">
        <v>31</v>
      </c>
      <c r="E1904" s="20" t="s">
        <v>2830</v>
      </c>
      <c r="F1904" s="20" t="s">
        <v>8</v>
      </c>
      <c r="G1904" s="861">
        <v>45.394228666863398</v>
      </c>
      <c r="H1904" s="861">
        <v>61.528415792601599</v>
      </c>
      <c r="I1904" s="861">
        <v>47.387050544535697</v>
      </c>
      <c r="J1904" s="861">
        <v>37.511666831183</v>
      </c>
      <c r="K1904" s="982">
        <v>0</v>
      </c>
      <c r="L1904" s="735">
        <v>5915</v>
      </c>
      <c r="M1904" s="735">
        <v>6921</v>
      </c>
      <c r="N1904" s="845">
        <f t="shared" si="158"/>
        <v>0.17007607776838546</v>
      </c>
      <c r="O1904" s="735">
        <v>1.2001232700639697</v>
      </c>
      <c r="P1904" s="735">
        <f t="shared" si="159"/>
        <v>5766.9075941099727</v>
      </c>
      <c r="Q1904" s="849">
        <v>31.4</v>
      </c>
      <c r="R1904" s="71">
        <v>56157</v>
      </c>
      <c r="S1904" s="845">
        <v>0.20616319444444445</v>
      </c>
      <c r="T1904" s="845">
        <v>8.5999999999999993E-2</v>
      </c>
      <c r="U1904" s="845">
        <v>0</v>
      </c>
      <c r="V1904" s="845">
        <v>0.03</v>
      </c>
      <c r="W1904" s="845">
        <v>0.59501673484566753</v>
      </c>
      <c r="X1904" s="845">
        <v>0.52500000000000002</v>
      </c>
      <c r="Y1904" s="845">
        <v>0.35428406299667681</v>
      </c>
      <c r="Z1904" s="845">
        <v>0.50223956075711607</v>
      </c>
      <c r="AA1904" s="845">
        <v>0</v>
      </c>
      <c r="AB1904" s="845">
        <v>4.7536483167172371E-2</v>
      </c>
      <c r="AC1904" s="845">
        <v>0</v>
      </c>
      <c r="AD1904" s="845">
        <v>1.9794827337090017E-2</v>
      </c>
      <c r="AE1904" s="845">
        <v>7.6145065741944809E-2</v>
      </c>
      <c r="AF1904" s="845">
        <v>3.6121947695419737E-2</v>
      </c>
      <c r="AG1904" s="845">
        <v>0.33535616240427685</v>
      </c>
      <c r="AH1904" s="20" t="str">
        <f t="shared" si="160"/>
        <v>No</v>
      </c>
      <c r="AI1904" s="25"/>
      <c r="AJ1904" s="25"/>
      <c r="AK1904" s="25"/>
      <c r="AL1904" s="25"/>
      <c r="AM1904" s="25"/>
      <c r="AN1904" s="25"/>
      <c r="AO1904" s="25"/>
      <c r="AP1904" s="25"/>
      <c r="AQ1904" s="25"/>
      <c r="AR1904" s="25"/>
      <c r="AS1904" s="25"/>
      <c r="AT1904" s="25"/>
      <c r="AU1904" s="36"/>
      <c r="AV1904" s="36"/>
      <c r="AW1904" s="36"/>
      <c r="AX1904" s="25"/>
      <c r="AY1904" s="25"/>
      <c r="AZ1904" s="25"/>
      <c r="BA1904" s="25"/>
      <c r="BB1904" s="25"/>
      <c r="BC1904" s="25"/>
      <c r="BD1904" s="25"/>
      <c r="BE1904" s="25"/>
      <c r="BF1904" s="25"/>
      <c r="BG1904" s="25"/>
      <c r="BH1904" s="25"/>
      <c r="BI1904" s="25"/>
      <c r="BJ1904" s="25"/>
      <c r="BK1904" s="25"/>
      <c r="BL1904" s="25"/>
      <c r="BM1904" s="25"/>
      <c r="BN1904" s="25"/>
      <c r="BO1904" s="25"/>
      <c r="BP1904" s="25"/>
      <c r="BQ1904" s="25"/>
      <c r="BR1904" s="25"/>
      <c r="BS1904" s="25"/>
      <c r="BT1904" s="25"/>
      <c r="BU1904"/>
      <c r="BV1904"/>
      <c r="BW1904"/>
      <c r="BX1904"/>
      <c r="BY1904"/>
      <c r="BZ1904"/>
      <c r="CA1904"/>
      <c r="CB1904"/>
      <c r="CC1904"/>
      <c r="CD1904" s="25"/>
    </row>
    <row r="1905" spans="1:82" s="17" customFormat="1" x14ac:dyDescent="0.2">
      <c r="A1905" s="25"/>
      <c r="B1905" s="20">
        <v>39023003200</v>
      </c>
      <c r="C1905" s="20">
        <v>32</v>
      </c>
      <c r="D1905" s="20" t="s">
        <v>18</v>
      </c>
      <c r="E1905" s="20" t="s">
        <v>2838</v>
      </c>
      <c r="F1905" s="20" t="s">
        <v>8</v>
      </c>
      <c r="G1905" s="861">
        <v>45.389292489948801</v>
      </c>
      <c r="H1905" s="861">
        <v>50.955516992370598</v>
      </c>
      <c r="I1905" s="861">
        <v>20.680921711457099</v>
      </c>
      <c r="J1905" s="861">
        <v>47.922545444657899</v>
      </c>
      <c r="K1905" s="982">
        <v>0</v>
      </c>
      <c r="L1905" s="735">
        <v>2773</v>
      </c>
      <c r="M1905" s="735">
        <v>2693</v>
      </c>
      <c r="N1905" s="845">
        <f t="shared" si="158"/>
        <v>-2.8849621348719798E-2</v>
      </c>
      <c r="O1905" s="735">
        <v>35.555523457596109</v>
      </c>
      <c r="P1905" s="735">
        <f t="shared" si="159"/>
        <v>75.740693375297937</v>
      </c>
      <c r="Q1905" s="849">
        <v>44.1</v>
      </c>
      <c r="R1905" s="71">
        <v>80278</v>
      </c>
      <c r="S1905" s="845">
        <v>7.3797987327618345E-2</v>
      </c>
      <c r="T1905" s="845">
        <v>6.5000000000000002E-2</v>
      </c>
      <c r="U1905" s="845">
        <v>0</v>
      </c>
      <c r="V1905" s="845">
        <v>0</v>
      </c>
      <c r="W1905" s="845">
        <v>0.17162698412698413</v>
      </c>
      <c r="X1905" s="845">
        <v>0.27167630057803466</v>
      </c>
      <c r="Y1905" s="845">
        <v>0.95061269959153361</v>
      </c>
      <c r="Z1905" s="845">
        <v>1.5967322688451541E-2</v>
      </c>
      <c r="AA1905" s="845">
        <v>0</v>
      </c>
      <c r="AB1905" s="845">
        <v>0</v>
      </c>
      <c r="AC1905" s="845">
        <v>0</v>
      </c>
      <c r="AD1905" s="845">
        <v>3.3419977720014855E-3</v>
      </c>
      <c r="AE1905" s="845">
        <v>3.0077979948013367E-2</v>
      </c>
      <c r="AF1905" s="845">
        <v>1.968065354623097E-2</v>
      </c>
      <c r="AG1905" s="845">
        <v>0.94578536947642033</v>
      </c>
      <c r="AH1905" s="20" t="str">
        <f t="shared" si="160"/>
        <v>Yes</v>
      </c>
      <c r="AI1905" s="25"/>
      <c r="AJ1905" s="25"/>
      <c r="AK1905" s="25"/>
      <c r="AL1905" s="25"/>
      <c r="AM1905" s="25"/>
      <c r="AN1905" s="25"/>
      <c r="AO1905" s="25"/>
      <c r="AP1905" s="25"/>
      <c r="AQ1905" s="25"/>
      <c r="AR1905" s="25"/>
      <c r="AS1905" s="25"/>
      <c r="AT1905" s="25"/>
      <c r="AU1905" s="36"/>
      <c r="AV1905" s="36"/>
      <c r="AW1905" s="36"/>
      <c r="AX1905" s="25"/>
      <c r="AY1905" s="25"/>
      <c r="AZ1905" s="25"/>
      <c r="BA1905" s="25"/>
      <c r="BB1905" s="25"/>
      <c r="BC1905" s="25"/>
      <c r="BD1905" s="25"/>
      <c r="BE1905" s="25"/>
      <c r="BF1905" s="25"/>
      <c r="BG1905" s="25"/>
      <c r="BH1905" s="25"/>
      <c r="BI1905" s="25"/>
      <c r="BJ1905" s="25"/>
      <c r="BK1905" s="25"/>
      <c r="BL1905" s="25"/>
      <c r="BM1905" s="25"/>
      <c r="BN1905" s="25"/>
      <c r="BO1905" s="25"/>
      <c r="BP1905" s="25"/>
      <c r="BQ1905" s="25"/>
      <c r="BR1905" s="25"/>
      <c r="BS1905" s="25"/>
      <c r="BT1905" s="25"/>
      <c r="BU1905"/>
      <c r="BV1905"/>
      <c r="BW1905"/>
      <c r="BX1905"/>
      <c r="BY1905"/>
      <c r="BZ1905"/>
      <c r="CA1905"/>
      <c r="CB1905"/>
      <c r="CC1905"/>
      <c r="CD1905" s="25"/>
    </row>
    <row r="1906" spans="1:82" s="17" customFormat="1" x14ac:dyDescent="0.2">
      <c r="A1906" s="25"/>
      <c r="B1906" s="20">
        <v>39025041105</v>
      </c>
      <c r="C1906" s="20">
        <v>411.05</v>
      </c>
      <c r="D1906" s="20" t="s">
        <v>19</v>
      </c>
      <c r="E1906" s="20" t="s">
        <v>2828</v>
      </c>
      <c r="F1906" s="20" t="s">
        <v>8</v>
      </c>
      <c r="G1906" s="861">
        <v>45.381082826123702</v>
      </c>
      <c r="H1906" s="861">
        <v>53.550502965851301</v>
      </c>
      <c r="I1906" s="861">
        <v>33.283352710964202</v>
      </c>
      <c r="J1906" s="861">
        <v>42.094889767339801</v>
      </c>
      <c r="K1906" s="982">
        <v>0</v>
      </c>
      <c r="L1906" s="735" t="s">
        <v>2466</v>
      </c>
      <c r="M1906" s="735">
        <v>5566</v>
      </c>
      <c r="N1906" s="845" t="str">
        <f t="shared" si="158"/>
        <v/>
      </c>
      <c r="O1906" s="735">
        <v>2.9937465620257231</v>
      </c>
      <c r="P1906" s="735">
        <f t="shared" si="159"/>
        <v>1859.208815670007</v>
      </c>
      <c r="Q1906" s="849">
        <v>39.799999999999997</v>
      </c>
      <c r="R1906" s="71">
        <v>58362</v>
      </c>
      <c r="S1906" s="845">
        <v>5.7242775630406771E-2</v>
      </c>
      <c r="T1906" s="845">
        <v>3.6000000000000004E-2</v>
      </c>
      <c r="U1906" s="845">
        <v>0</v>
      </c>
      <c r="V1906" s="845">
        <v>0</v>
      </c>
      <c r="W1906" s="845">
        <v>0.36749521988527722</v>
      </c>
      <c r="X1906" s="845">
        <v>0.37460978147762747</v>
      </c>
      <c r="Y1906" s="845">
        <v>0.88357887172116423</v>
      </c>
      <c r="Z1906" s="845">
        <v>1.8864534674811355E-2</v>
      </c>
      <c r="AA1906" s="845">
        <v>0</v>
      </c>
      <c r="AB1906" s="845">
        <v>0</v>
      </c>
      <c r="AC1906" s="845">
        <v>0</v>
      </c>
      <c r="AD1906" s="845">
        <v>4.4196909809558031E-2</v>
      </c>
      <c r="AE1906" s="845">
        <v>5.33596837944664E-2</v>
      </c>
      <c r="AF1906" s="845">
        <v>5.4617319439453825E-2</v>
      </c>
      <c r="AG1906" s="845">
        <v>0.88142292490118579</v>
      </c>
      <c r="AH1906" s="20" t="str">
        <f t="shared" si="160"/>
        <v>No</v>
      </c>
      <c r="AI1906" s="25"/>
      <c r="AJ1906" s="25"/>
      <c r="AK1906" s="25"/>
      <c r="AL1906" s="25"/>
      <c r="AM1906" s="25"/>
      <c r="AN1906" s="25"/>
      <c r="AO1906" s="25"/>
      <c r="AP1906" s="25"/>
      <c r="AQ1906" s="25"/>
      <c r="AR1906" s="25"/>
      <c r="AS1906" s="25"/>
      <c r="AT1906" s="25"/>
      <c r="AU1906" s="36"/>
      <c r="AV1906" s="36"/>
      <c r="AW1906" s="36"/>
      <c r="AX1906" s="25"/>
      <c r="AY1906" s="25"/>
      <c r="AZ1906" s="25"/>
      <c r="BA1906" s="25"/>
      <c r="BB1906" s="25"/>
      <c r="BC1906" s="25"/>
      <c r="BD1906" s="25"/>
      <c r="BE1906" s="25"/>
      <c r="BF1906" s="25"/>
      <c r="BG1906" s="25"/>
      <c r="BH1906" s="25"/>
      <c r="BI1906" s="25"/>
      <c r="BJ1906" s="25"/>
      <c r="BK1906" s="25"/>
      <c r="BL1906" s="25"/>
      <c r="BM1906" s="25"/>
      <c r="BN1906" s="25"/>
      <c r="BO1906" s="25"/>
      <c r="BP1906" s="25"/>
      <c r="BQ1906" s="25"/>
      <c r="BR1906" s="25"/>
      <c r="BS1906" s="25"/>
      <c r="BT1906" s="25"/>
      <c r="BU1906"/>
      <c r="BV1906"/>
      <c r="BW1906"/>
      <c r="BX1906"/>
      <c r="BY1906"/>
      <c r="BZ1906"/>
      <c r="CA1906"/>
      <c r="CB1906"/>
      <c r="CC1906"/>
      <c r="CD1906" s="25"/>
    </row>
    <row r="1907" spans="1:82" s="17" customFormat="1" x14ac:dyDescent="0.2">
      <c r="A1907" s="25"/>
      <c r="B1907" s="20">
        <v>39151701300</v>
      </c>
      <c r="C1907" s="20">
        <v>7013</v>
      </c>
      <c r="D1907" s="20" t="s">
        <v>81</v>
      </c>
      <c r="E1907" s="20" t="s">
        <v>2844</v>
      </c>
      <c r="F1907" s="20" t="s">
        <v>6</v>
      </c>
      <c r="G1907" s="861">
        <v>45.352731494882299</v>
      </c>
      <c r="H1907" s="861">
        <v>50.138422023009298</v>
      </c>
      <c r="I1907" s="861">
        <v>55.016986608530402</v>
      </c>
      <c r="J1907" s="861">
        <v>36.640981293385003</v>
      </c>
      <c r="K1907" s="982">
        <v>0</v>
      </c>
      <c r="L1907" s="735">
        <v>4644</v>
      </c>
      <c r="M1907" s="735">
        <v>3401</v>
      </c>
      <c r="N1907" s="845">
        <f t="shared" si="158"/>
        <v>-0.26765719207579675</v>
      </c>
      <c r="O1907" s="735">
        <v>0.61821635158008503</v>
      </c>
      <c r="P1907" s="735">
        <f t="shared" si="159"/>
        <v>5501.3103281843996</v>
      </c>
      <c r="Q1907" s="849">
        <v>35.5</v>
      </c>
      <c r="R1907" s="71">
        <v>37078</v>
      </c>
      <c r="S1907" s="845">
        <v>0.28988965105875336</v>
      </c>
      <c r="T1907" s="845">
        <v>0.06</v>
      </c>
      <c r="U1907" s="845">
        <v>0</v>
      </c>
      <c r="V1907" s="845">
        <v>2.8999999999999998E-2</v>
      </c>
      <c r="W1907" s="845">
        <v>0.60084925690021229</v>
      </c>
      <c r="X1907" s="845">
        <v>0.46760895170789163</v>
      </c>
      <c r="Y1907" s="845">
        <v>0.61305498382828583</v>
      </c>
      <c r="Z1907" s="845">
        <v>0.30755660099970594</v>
      </c>
      <c r="AA1907" s="845">
        <v>0</v>
      </c>
      <c r="AB1907" s="845">
        <v>2.1464275213172596E-2</v>
      </c>
      <c r="AC1907" s="845">
        <v>0</v>
      </c>
      <c r="AD1907" s="845">
        <v>1.8817994707438987E-2</v>
      </c>
      <c r="AE1907" s="845">
        <v>3.9106145251396648E-2</v>
      </c>
      <c r="AF1907" s="845">
        <v>8.2328726845045577E-3</v>
      </c>
      <c r="AG1907" s="845">
        <v>0.61305498382828583</v>
      </c>
      <c r="AH1907" s="20" t="str">
        <f t="shared" si="160"/>
        <v>No</v>
      </c>
      <c r="AI1907" s="25"/>
      <c r="AJ1907" s="25"/>
      <c r="AK1907" s="25"/>
      <c r="AL1907" s="25"/>
      <c r="AM1907" s="25"/>
      <c r="AN1907" s="25"/>
      <c r="AO1907" s="25"/>
      <c r="AP1907" s="25"/>
      <c r="AQ1907" s="25"/>
      <c r="AR1907" s="25"/>
      <c r="AS1907" s="25"/>
      <c r="AT1907" s="25"/>
      <c r="AU1907" s="36"/>
      <c r="AV1907" s="36"/>
      <c r="AW1907" s="36"/>
      <c r="AX1907" s="25"/>
      <c r="AY1907" s="25"/>
      <c r="AZ1907" s="25"/>
      <c r="BA1907" s="25"/>
      <c r="BB1907" s="25"/>
      <c r="BC1907" s="25"/>
      <c r="BD1907" s="25"/>
      <c r="BE1907" s="25"/>
      <c r="BF1907" s="25"/>
      <c r="BG1907" s="25"/>
      <c r="BH1907" s="25"/>
      <c r="BI1907" s="25"/>
      <c r="BJ1907" s="25"/>
      <c r="BK1907" s="25"/>
      <c r="BL1907" s="25"/>
      <c r="BM1907" s="25"/>
      <c r="BN1907" s="25"/>
      <c r="BO1907" s="25"/>
      <c r="BP1907" s="25"/>
      <c r="BQ1907" s="25"/>
      <c r="BR1907" s="25"/>
      <c r="BS1907" s="25"/>
      <c r="BT1907" s="25"/>
      <c r="BU1907"/>
      <c r="BV1907"/>
      <c r="BW1907"/>
      <c r="BX1907"/>
      <c r="BY1907"/>
      <c r="BZ1907"/>
      <c r="CA1907"/>
      <c r="CB1907"/>
      <c r="CC1907"/>
      <c r="CD1907" s="25"/>
    </row>
    <row r="1908" spans="1:82" s="17" customFormat="1" x14ac:dyDescent="0.2">
      <c r="A1908" s="25"/>
      <c r="B1908" s="20">
        <v>39123050201</v>
      </c>
      <c r="C1908" s="20">
        <v>502.01</v>
      </c>
      <c r="D1908" s="20" t="s">
        <v>67</v>
      </c>
      <c r="E1908" s="20" t="s">
        <v>2837</v>
      </c>
      <c r="F1908" s="20" t="s">
        <v>8</v>
      </c>
      <c r="G1908" s="861">
        <v>45.339036105944501</v>
      </c>
      <c r="H1908" s="861">
        <v>46.915536243545603</v>
      </c>
      <c r="I1908" s="861">
        <v>40.823071756256901</v>
      </c>
      <c r="J1908" s="861">
        <v>37.077486316957199</v>
      </c>
      <c r="K1908" s="982">
        <v>0</v>
      </c>
      <c r="L1908" s="735">
        <v>1809</v>
      </c>
      <c r="M1908" s="735">
        <v>1892</v>
      </c>
      <c r="N1908" s="845">
        <f t="shared" si="158"/>
        <v>4.5881702598120508E-2</v>
      </c>
      <c r="O1908" s="735">
        <v>2.4648773387612195</v>
      </c>
      <c r="P1908" s="735">
        <f t="shared" si="159"/>
        <v>767.58383480082944</v>
      </c>
      <c r="Q1908" s="849">
        <v>63.5</v>
      </c>
      <c r="R1908" s="71">
        <v>94350</v>
      </c>
      <c r="S1908" s="845">
        <v>7.0026525198938996E-2</v>
      </c>
      <c r="T1908" s="845">
        <v>3.3000000000000002E-2</v>
      </c>
      <c r="U1908" s="845">
        <v>2.7999999999999997E-2</v>
      </c>
      <c r="V1908" s="845">
        <v>0</v>
      </c>
      <c r="W1908" s="845">
        <v>0.11484593837535013</v>
      </c>
      <c r="X1908" s="845">
        <v>0.34959349593495936</v>
      </c>
      <c r="Y1908" s="845">
        <v>0.95824524312896409</v>
      </c>
      <c r="Z1908" s="845">
        <v>2.1141649048625794E-3</v>
      </c>
      <c r="AA1908" s="845">
        <v>0</v>
      </c>
      <c r="AB1908" s="845">
        <v>1.2156448202959831E-2</v>
      </c>
      <c r="AC1908" s="845">
        <v>0</v>
      </c>
      <c r="AD1908" s="845">
        <v>1.7970401691331923E-2</v>
      </c>
      <c r="AE1908" s="845">
        <v>9.5137420718816069E-3</v>
      </c>
      <c r="AF1908" s="845">
        <v>2.1670190274841437E-2</v>
      </c>
      <c r="AG1908" s="845">
        <v>0.94556025369978858</v>
      </c>
      <c r="AH1908" s="20" t="str">
        <f t="shared" si="160"/>
        <v>Yes</v>
      </c>
      <c r="AI1908" s="25"/>
      <c r="AJ1908" s="25"/>
      <c r="AK1908" s="25"/>
      <c r="AL1908" s="25"/>
      <c r="AM1908" s="25"/>
      <c r="AN1908" s="25"/>
      <c r="AO1908" s="25"/>
      <c r="AP1908" s="25"/>
      <c r="AQ1908" s="25"/>
      <c r="AR1908" s="25"/>
      <c r="AS1908" s="25"/>
      <c r="AT1908" s="25"/>
      <c r="AU1908" s="36"/>
      <c r="AV1908" s="36"/>
      <c r="AW1908" s="36"/>
      <c r="AX1908" s="25"/>
      <c r="AY1908" s="25"/>
      <c r="AZ1908" s="25"/>
      <c r="BA1908" s="25"/>
      <c r="BB1908" s="25"/>
      <c r="BC1908" s="25"/>
      <c r="BD1908" s="25"/>
      <c r="BE1908" s="25"/>
      <c r="BF1908" s="25"/>
      <c r="BG1908" s="25"/>
      <c r="BH1908" s="25"/>
      <c r="BI1908" s="25"/>
      <c r="BJ1908" s="25"/>
      <c r="BK1908" s="25"/>
      <c r="BL1908" s="25"/>
      <c r="BM1908" s="25"/>
      <c r="BN1908" s="25"/>
      <c r="BO1908" s="25"/>
      <c r="BP1908" s="25"/>
      <c r="BQ1908" s="25"/>
      <c r="BR1908" s="25"/>
      <c r="BS1908" s="25"/>
      <c r="BT1908" s="25"/>
      <c r="BU1908"/>
      <c r="BV1908"/>
      <c r="BW1908"/>
      <c r="BX1908"/>
      <c r="BY1908"/>
      <c r="BZ1908"/>
      <c r="CA1908"/>
      <c r="CB1908"/>
      <c r="CC1908"/>
      <c r="CD1908" s="25"/>
    </row>
    <row r="1909" spans="1:82" s="17" customFormat="1" x14ac:dyDescent="0.2">
      <c r="A1909" s="25"/>
      <c r="B1909" s="20">
        <v>39017014800</v>
      </c>
      <c r="C1909" s="20">
        <v>148</v>
      </c>
      <c r="D1909" s="20" t="s">
        <v>15</v>
      </c>
      <c r="E1909" s="20" t="s">
        <v>2828</v>
      </c>
      <c r="F1909" s="20" t="s">
        <v>8</v>
      </c>
      <c r="G1909" s="861">
        <v>45.333881642139097</v>
      </c>
      <c r="H1909" s="861">
        <v>54.486059540492398</v>
      </c>
      <c r="I1909" s="861">
        <v>27.577688003693002</v>
      </c>
      <c r="J1909" s="861">
        <v>47.586501425652003</v>
      </c>
      <c r="K1909" s="982">
        <v>0</v>
      </c>
      <c r="L1909" s="735">
        <v>7192</v>
      </c>
      <c r="M1909" s="735">
        <v>7045</v>
      </c>
      <c r="N1909" s="845">
        <f t="shared" si="158"/>
        <v>-2.0439377085650724E-2</v>
      </c>
      <c r="O1909" s="735">
        <v>3.2680536128021069</v>
      </c>
      <c r="P1909" s="735">
        <f t="shared" si="159"/>
        <v>2155.7173886016667</v>
      </c>
      <c r="Q1909" s="849">
        <v>33.299999999999997</v>
      </c>
      <c r="R1909" s="71">
        <v>69266</v>
      </c>
      <c r="S1909" s="845">
        <v>0.11885245901639344</v>
      </c>
      <c r="T1909" s="845">
        <v>8.5000000000000006E-2</v>
      </c>
      <c r="U1909" s="845">
        <v>0</v>
      </c>
      <c r="V1909" s="845">
        <v>6.3E-2</v>
      </c>
      <c r="W1909" s="845">
        <v>0.2850956333453627</v>
      </c>
      <c r="X1909" s="845">
        <v>0.41898734177215191</v>
      </c>
      <c r="Y1909" s="845">
        <v>0.74989354151880772</v>
      </c>
      <c r="Z1909" s="845">
        <v>1.8452803406671398E-2</v>
      </c>
      <c r="AA1909" s="845">
        <v>1.13555713271824E-3</v>
      </c>
      <c r="AB1909" s="845">
        <v>2.0014194464158978E-2</v>
      </c>
      <c r="AC1909" s="845">
        <v>0</v>
      </c>
      <c r="AD1909" s="845">
        <v>5.5642299503193757E-2</v>
      </c>
      <c r="AE1909" s="845">
        <v>0.15486160397444995</v>
      </c>
      <c r="AF1909" s="845">
        <v>6.8843151171043296E-2</v>
      </c>
      <c r="AG1909" s="845">
        <v>0.74989354151880772</v>
      </c>
      <c r="AH1909" s="20" t="str">
        <f t="shared" si="160"/>
        <v>No</v>
      </c>
      <c r="AI1909" s="25"/>
      <c r="AJ1909" s="25"/>
      <c r="AK1909" s="25"/>
      <c r="AL1909" s="25"/>
      <c r="AM1909" s="25"/>
      <c r="AN1909" s="25"/>
      <c r="AO1909" s="25"/>
      <c r="AP1909" s="25"/>
      <c r="AQ1909" s="25"/>
      <c r="AR1909" s="25"/>
      <c r="AS1909" s="25"/>
      <c r="AT1909" s="25"/>
      <c r="AU1909" s="36"/>
      <c r="AV1909" s="36"/>
      <c r="AW1909" s="36"/>
      <c r="AX1909" s="25"/>
      <c r="AY1909" s="25"/>
      <c r="AZ1909" s="25"/>
      <c r="BA1909" s="25"/>
      <c r="BB1909" s="25"/>
      <c r="BC1909" s="25"/>
      <c r="BD1909" s="25"/>
      <c r="BE1909" s="25"/>
      <c r="BF1909" s="25"/>
      <c r="BG1909" s="25"/>
      <c r="BH1909" s="25"/>
      <c r="BI1909" s="25"/>
      <c r="BJ1909" s="25"/>
      <c r="BK1909" s="25"/>
      <c r="BL1909" s="25"/>
      <c r="BM1909" s="25"/>
      <c r="BN1909" s="25"/>
      <c r="BO1909" s="25"/>
      <c r="BP1909" s="25"/>
      <c r="BQ1909" s="25"/>
      <c r="BR1909" s="25"/>
      <c r="BS1909" s="25"/>
      <c r="BT1909" s="25"/>
      <c r="BU1909"/>
      <c r="BV1909"/>
      <c r="BW1909"/>
      <c r="BX1909"/>
      <c r="BY1909"/>
      <c r="BZ1909"/>
      <c r="CA1909"/>
      <c r="CB1909"/>
      <c r="CC1909"/>
      <c r="CD1909" s="25"/>
    </row>
    <row r="1910" spans="1:82" s="17" customFormat="1" x14ac:dyDescent="0.2">
      <c r="A1910" s="25"/>
      <c r="B1910" s="20">
        <v>39049007710</v>
      </c>
      <c r="C1910" s="20">
        <v>77.099999999999994</v>
      </c>
      <c r="D1910" s="20" t="s">
        <v>31</v>
      </c>
      <c r="E1910" s="20" t="s">
        <v>2830</v>
      </c>
      <c r="F1910" s="20" t="s">
        <v>6</v>
      </c>
      <c r="G1910" s="861">
        <v>45.3253047892102</v>
      </c>
      <c r="H1910" s="861">
        <v>46.887703782552101</v>
      </c>
      <c r="I1910" s="861">
        <v>49.200381992247799</v>
      </c>
      <c r="J1910" s="861">
        <v>32.600898157387697</v>
      </c>
      <c r="K1910" s="982">
        <v>0</v>
      </c>
      <c r="L1910" s="735">
        <v>4227</v>
      </c>
      <c r="M1910" s="735">
        <v>4185</v>
      </c>
      <c r="N1910" s="845">
        <f t="shared" si="158"/>
        <v>-9.9361249112845992E-3</v>
      </c>
      <c r="O1910" s="735">
        <v>0.78587078919061137</v>
      </c>
      <c r="P1910" s="735">
        <f t="shared" si="159"/>
        <v>5325.3029092864481</v>
      </c>
      <c r="Q1910" s="849">
        <v>36.6</v>
      </c>
      <c r="R1910" s="71">
        <v>39495</v>
      </c>
      <c r="S1910" s="845">
        <v>0.26294343240651963</v>
      </c>
      <c r="T1910" s="845">
        <v>0.11199999999999999</v>
      </c>
      <c r="U1910" s="845">
        <v>0.03</v>
      </c>
      <c r="V1910" s="845">
        <v>3.6000000000000004E-2</v>
      </c>
      <c r="W1910" s="845">
        <v>0.45782431646305993</v>
      </c>
      <c r="X1910" s="845">
        <v>0.56670902160101655</v>
      </c>
      <c r="Y1910" s="845">
        <v>0.45902031063321386</v>
      </c>
      <c r="Z1910" s="845">
        <v>0.42508960573476701</v>
      </c>
      <c r="AA1910" s="845">
        <v>7.8853046594982087E-3</v>
      </c>
      <c r="AB1910" s="845">
        <v>0</v>
      </c>
      <c r="AC1910" s="845">
        <v>0</v>
      </c>
      <c r="AD1910" s="845">
        <v>6.308243727598567E-2</v>
      </c>
      <c r="AE1910" s="845">
        <v>4.4922341696535244E-2</v>
      </c>
      <c r="AF1910" s="845">
        <v>8.4587813620071686E-2</v>
      </c>
      <c r="AG1910" s="845">
        <v>0.44014336917562724</v>
      </c>
      <c r="AH1910" s="20" t="str">
        <f t="shared" si="160"/>
        <v>No</v>
      </c>
      <c r="AI1910" s="25"/>
      <c r="AJ1910" s="25"/>
      <c r="AK1910" s="25"/>
      <c r="AL1910" s="25"/>
      <c r="AM1910" s="25"/>
      <c r="AN1910" s="25"/>
      <c r="AO1910" s="25"/>
      <c r="AP1910" s="25"/>
      <c r="AQ1910" s="25"/>
      <c r="AR1910" s="25"/>
      <c r="AS1910" s="25"/>
      <c r="AT1910" s="25"/>
      <c r="AU1910" s="36"/>
      <c r="AV1910" s="36"/>
      <c r="AW1910" s="36"/>
      <c r="AX1910" s="25"/>
      <c r="AY1910" s="25"/>
      <c r="AZ1910" s="25"/>
      <c r="BA1910" s="25"/>
      <c r="BB1910" s="25"/>
      <c r="BC1910" s="25"/>
      <c r="BD1910" s="25"/>
      <c r="BE1910" s="25"/>
      <c r="BF1910" s="25"/>
      <c r="BG1910" s="25"/>
      <c r="BH1910" s="25"/>
      <c r="BI1910" s="25"/>
      <c r="BJ1910" s="25"/>
      <c r="BK1910" s="25"/>
      <c r="BL1910" s="25"/>
      <c r="BM1910" s="25"/>
      <c r="BN1910" s="25"/>
      <c r="BO1910" s="25"/>
      <c r="BP1910" s="25"/>
      <c r="BQ1910" s="25"/>
      <c r="BR1910" s="25"/>
      <c r="BS1910" s="25"/>
      <c r="BT1910" s="25"/>
      <c r="BU1910"/>
      <c r="BV1910"/>
      <c r="BW1910"/>
      <c r="BX1910"/>
      <c r="BY1910"/>
      <c r="BZ1910"/>
      <c r="CA1910"/>
      <c r="CB1910"/>
      <c r="CC1910"/>
      <c r="CD1910" s="25"/>
    </row>
    <row r="1911" spans="1:82" s="17" customFormat="1" x14ac:dyDescent="0.2">
      <c r="A1911" s="25"/>
      <c r="B1911" s="20">
        <v>39153505600</v>
      </c>
      <c r="C1911" s="20">
        <v>5056</v>
      </c>
      <c r="D1911" s="20" t="s">
        <v>82</v>
      </c>
      <c r="E1911" s="20" t="s">
        <v>2843</v>
      </c>
      <c r="F1911" s="20" t="s">
        <v>6</v>
      </c>
      <c r="G1911" s="861">
        <v>45.3242009365689</v>
      </c>
      <c r="H1911" s="861">
        <v>42.851165278169802</v>
      </c>
      <c r="I1911" s="861">
        <v>67.700254434147496</v>
      </c>
      <c r="J1911" s="861">
        <v>47.329318108810703</v>
      </c>
      <c r="K1911" s="982">
        <v>0</v>
      </c>
      <c r="L1911" s="735">
        <v>1270</v>
      </c>
      <c r="M1911" s="735">
        <v>1014</v>
      </c>
      <c r="N1911" s="845">
        <f t="shared" si="158"/>
        <v>-0.2015748031496063</v>
      </c>
      <c r="O1911" s="735">
        <v>0.46672337812392506</v>
      </c>
      <c r="P1911" s="735">
        <f t="shared" si="159"/>
        <v>2172.5931194532136</v>
      </c>
      <c r="Q1911" s="849">
        <v>39.200000000000003</v>
      </c>
      <c r="R1911" s="71">
        <v>35227</v>
      </c>
      <c r="S1911" s="845">
        <v>0.35798816568047337</v>
      </c>
      <c r="T1911" s="845">
        <v>0.21299999999999999</v>
      </c>
      <c r="U1911" s="845">
        <v>0.1</v>
      </c>
      <c r="V1911" s="845">
        <v>5.5E-2</v>
      </c>
      <c r="W1911" s="845">
        <v>0.5252525252525253</v>
      </c>
      <c r="X1911" s="845">
        <v>0.38942307692307693</v>
      </c>
      <c r="Y1911" s="845">
        <v>0.52465483234714005</v>
      </c>
      <c r="Z1911" s="845">
        <v>0.26035502958579881</v>
      </c>
      <c r="AA1911" s="845">
        <v>0</v>
      </c>
      <c r="AB1911" s="845">
        <v>0</v>
      </c>
      <c r="AC1911" s="845">
        <v>0</v>
      </c>
      <c r="AD1911" s="845">
        <v>0</v>
      </c>
      <c r="AE1911" s="845">
        <v>0.21499013806706113</v>
      </c>
      <c r="AF1911" s="845">
        <v>2.1696252465483234E-2</v>
      </c>
      <c r="AG1911" s="845">
        <v>0.51873767258382641</v>
      </c>
      <c r="AH1911" s="20" t="str">
        <f t="shared" si="160"/>
        <v>No</v>
      </c>
      <c r="AI1911" s="25"/>
      <c r="AJ1911" s="25"/>
      <c r="AK1911" s="25"/>
      <c r="AL1911" s="25"/>
      <c r="AM1911" s="25"/>
      <c r="AN1911" s="25"/>
      <c r="AO1911" s="25"/>
      <c r="AP1911" s="25"/>
      <c r="AQ1911" s="25"/>
      <c r="AR1911" s="25"/>
      <c r="AS1911" s="25"/>
      <c r="AT1911" s="25"/>
      <c r="AU1911" s="36"/>
      <c r="AV1911" s="36"/>
      <c r="AW1911" s="36"/>
      <c r="AX1911" s="25"/>
      <c r="AY1911" s="25"/>
      <c r="AZ1911" s="25"/>
      <c r="BA1911" s="25"/>
      <c r="BB1911" s="25"/>
      <c r="BC1911" s="25"/>
      <c r="BD1911" s="25"/>
      <c r="BE1911" s="25"/>
      <c r="BF1911" s="25"/>
      <c r="BG1911" s="25"/>
      <c r="BH1911" s="25"/>
      <c r="BI1911" s="25"/>
      <c r="BJ1911" s="25"/>
      <c r="BK1911" s="25"/>
      <c r="BL1911" s="25"/>
      <c r="BM1911" s="25"/>
      <c r="BN1911" s="25"/>
      <c r="BO1911" s="25"/>
      <c r="BP1911" s="25"/>
      <c r="BQ1911" s="25"/>
      <c r="BR1911" s="25"/>
      <c r="BS1911" s="25"/>
      <c r="BT1911" s="25"/>
      <c r="BU1911"/>
      <c r="BV1911"/>
      <c r="BW1911"/>
      <c r="BX1911"/>
      <c r="BY1911"/>
      <c r="BZ1911"/>
      <c r="CA1911"/>
      <c r="CB1911"/>
      <c r="CC1911"/>
      <c r="CD1911" s="25"/>
    </row>
    <row r="1912" spans="1:82" s="17" customFormat="1" x14ac:dyDescent="0.2">
      <c r="A1912" s="25"/>
      <c r="B1912" s="20">
        <v>39103409001</v>
      </c>
      <c r="C1912" s="20">
        <v>4090.01</v>
      </c>
      <c r="D1912" s="20" t="s">
        <v>57</v>
      </c>
      <c r="E1912" s="20" t="s">
        <v>2829</v>
      </c>
      <c r="F1912" s="20" t="s">
        <v>8</v>
      </c>
      <c r="G1912" s="861">
        <v>45.323813393779403</v>
      </c>
      <c r="H1912" s="861">
        <v>54.850360479594102</v>
      </c>
      <c r="I1912" s="861">
        <v>21.059581416997901</v>
      </c>
      <c r="J1912" s="861">
        <v>51.707954252938599</v>
      </c>
      <c r="K1912" s="982">
        <v>0</v>
      </c>
      <c r="L1912" s="735">
        <v>2158</v>
      </c>
      <c r="M1912" s="735">
        <v>2496</v>
      </c>
      <c r="N1912" s="845">
        <f t="shared" si="158"/>
        <v>0.15662650602409639</v>
      </c>
      <c r="O1912" s="735">
        <v>26.335322442850906</v>
      </c>
      <c r="P1912" s="735">
        <f t="shared" si="159"/>
        <v>94.777651020467161</v>
      </c>
      <c r="Q1912" s="849">
        <v>48</v>
      </c>
      <c r="R1912" s="71">
        <v>76250</v>
      </c>
      <c r="S1912" s="845">
        <v>1.2082158679017317E-2</v>
      </c>
      <c r="T1912" s="845">
        <v>1.8000000000000002E-2</v>
      </c>
      <c r="U1912" s="845">
        <v>1.8000000000000002E-2</v>
      </c>
      <c r="V1912" s="845">
        <v>0</v>
      </c>
      <c r="W1912" s="845">
        <v>3.5564853556485358E-2</v>
      </c>
      <c r="X1912" s="845">
        <v>0</v>
      </c>
      <c r="Y1912" s="845">
        <v>0.95552884615384615</v>
      </c>
      <c r="Z1912" s="845">
        <v>4.0064102564102563E-4</v>
      </c>
      <c r="AA1912" s="845">
        <v>1.201923076923077E-3</v>
      </c>
      <c r="AB1912" s="845">
        <v>0</v>
      </c>
      <c r="AC1912" s="845">
        <v>0</v>
      </c>
      <c r="AD1912" s="845">
        <v>4.807692307692308E-3</v>
      </c>
      <c r="AE1912" s="845">
        <v>3.8060897435897433E-2</v>
      </c>
      <c r="AF1912" s="845">
        <v>2.403846153846154E-3</v>
      </c>
      <c r="AG1912" s="845">
        <v>0.95552884615384615</v>
      </c>
      <c r="AH1912" s="20" t="str">
        <f t="shared" si="160"/>
        <v>Yes</v>
      </c>
      <c r="AI1912" s="25"/>
      <c r="AJ1912" s="25"/>
      <c r="AK1912" s="25"/>
      <c r="AL1912" s="25"/>
      <c r="AM1912" s="25"/>
      <c r="AN1912" s="25"/>
      <c r="AO1912" s="25"/>
      <c r="AP1912" s="25"/>
      <c r="AQ1912" s="25"/>
      <c r="AR1912" s="25"/>
      <c r="AS1912" s="25"/>
      <c r="AT1912" s="25"/>
      <c r="AU1912" s="36"/>
      <c r="AV1912" s="36"/>
      <c r="AW1912" s="36"/>
      <c r="AX1912" s="25"/>
      <c r="AY1912" s="25"/>
      <c r="AZ1912" s="25"/>
      <c r="BA1912" s="25"/>
      <c r="BB1912" s="25"/>
      <c r="BC1912" s="25"/>
      <c r="BD1912" s="25"/>
      <c r="BE1912" s="25"/>
      <c r="BF1912" s="25"/>
      <c r="BG1912" s="25"/>
      <c r="BH1912" s="25"/>
      <c r="BI1912" s="25"/>
      <c r="BJ1912" s="25"/>
      <c r="BK1912" s="25"/>
      <c r="BL1912" s="25"/>
      <c r="BM1912" s="25"/>
      <c r="BN1912" s="25"/>
      <c r="BO1912" s="25"/>
      <c r="BP1912" s="25"/>
      <c r="BQ1912" s="25"/>
      <c r="BR1912" s="25"/>
      <c r="BS1912" s="25"/>
      <c r="BT1912" s="25"/>
      <c r="BU1912"/>
      <c r="BV1912"/>
      <c r="BW1912"/>
      <c r="BX1912"/>
      <c r="BY1912"/>
      <c r="BZ1912"/>
      <c r="CA1912"/>
      <c r="CB1912"/>
      <c r="CC1912"/>
      <c r="CD1912" s="25"/>
    </row>
    <row r="1913" spans="1:82" s="17" customFormat="1" x14ac:dyDescent="0.2">
      <c r="A1913" s="25"/>
      <c r="B1913" s="20">
        <v>39145002500</v>
      </c>
      <c r="C1913" s="20">
        <v>25</v>
      </c>
      <c r="D1913" s="20" t="s">
        <v>78</v>
      </c>
      <c r="E1913" s="20" t="s">
        <v>265</v>
      </c>
      <c r="F1913" s="20" t="s">
        <v>8</v>
      </c>
      <c r="G1913" s="861">
        <v>45.3177659161679</v>
      </c>
      <c r="H1913" s="861">
        <v>47.471228091214897</v>
      </c>
      <c r="I1913" s="861">
        <v>18.299125938123002</v>
      </c>
      <c r="J1913" s="861">
        <v>38.347898115035001</v>
      </c>
      <c r="K1913" s="982">
        <v>0</v>
      </c>
      <c r="L1913" s="735">
        <v>2835</v>
      </c>
      <c r="M1913" s="735">
        <v>2442</v>
      </c>
      <c r="N1913" s="845">
        <f t="shared" si="158"/>
        <v>-0.13862433862433862</v>
      </c>
      <c r="O1913" s="735">
        <v>31.493648439953649</v>
      </c>
      <c r="P1913" s="735">
        <f t="shared" si="159"/>
        <v>77.539444331321619</v>
      </c>
      <c r="Q1913" s="849">
        <v>42.9</v>
      </c>
      <c r="R1913" s="71">
        <v>59114</v>
      </c>
      <c r="S1913" s="845">
        <v>0.19942669942669944</v>
      </c>
      <c r="T1913" s="845">
        <v>0.02</v>
      </c>
      <c r="U1913" s="845">
        <v>0</v>
      </c>
      <c r="V1913" s="845">
        <v>0</v>
      </c>
      <c r="W1913" s="845">
        <v>0.11811811811811812</v>
      </c>
      <c r="X1913" s="845">
        <v>0.30508474576271188</v>
      </c>
      <c r="Y1913" s="845">
        <v>0.97133497133497138</v>
      </c>
      <c r="Z1913" s="845">
        <v>0</v>
      </c>
      <c r="AA1913" s="845">
        <v>5.3235053235053233E-3</v>
      </c>
      <c r="AB1913" s="845">
        <v>4.0950040950040953E-4</v>
      </c>
      <c r="AC1913" s="845">
        <v>0</v>
      </c>
      <c r="AD1913" s="845">
        <v>0</v>
      </c>
      <c r="AE1913" s="845">
        <v>2.2932022932022931E-2</v>
      </c>
      <c r="AF1913" s="845">
        <v>0</v>
      </c>
      <c r="AG1913" s="845">
        <v>0.97133497133497138</v>
      </c>
      <c r="AH1913" s="20" t="str">
        <f t="shared" si="160"/>
        <v>Yes</v>
      </c>
      <c r="AI1913" s="25"/>
      <c r="AJ1913" s="25"/>
      <c r="AK1913" s="25"/>
      <c r="AL1913" s="25"/>
      <c r="AM1913" s="25"/>
      <c r="AN1913" s="25"/>
      <c r="AO1913" s="25"/>
      <c r="AP1913" s="25"/>
      <c r="AQ1913" s="25"/>
      <c r="AR1913" s="25"/>
      <c r="AS1913" s="25"/>
      <c r="AT1913" s="25"/>
      <c r="AU1913" s="36"/>
      <c r="AV1913" s="36"/>
      <c r="AW1913" s="36"/>
      <c r="AX1913" s="25"/>
      <c r="AY1913" s="25"/>
      <c r="AZ1913" s="25"/>
      <c r="BA1913" s="25"/>
      <c r="BB1913" s="25"/>
      <c r="BC1913" s="25"/>
      <c r="BD1913" s="25"/>
      <c r="BE1913" s="25"/>
      <c r="BF1913" s="25"/>
      <c r="BG1913" s="25"/>
      <c r="BH1913" s="25"/>
      <c r="BI1913" s="25"/>
      <c r="BJ1913" s="25"/>
      <c r="BK1913" s="25"/>
      <c r="BL1913" s="25"/>
      <c r="BM1913" s="25"/>
      <c r="BN1913" s="25"/>
      <c r="BO1913" s="25"/>
      <c r="BP1913" s="25"/>
      <c r="BQ1913" s="25"/>
      <c r="BR1913" s="25"/>
      <c r="BS1913" s="25"/>
      <c r="BT1913" s="25"/>
      <c r="BU1913"/>
      <c r="BV1913"/>
      <c r="BW1913"/>
      <c r="BX1913"/>
      <c r="BY1913"/>
      <c r="BZ1913"/>
      <c r="CA1913"/>
      <c r="CB1913"/>
      <c r="CC1913"/>
      <c r="CD1913" s="25"/>
    </row>
    <row r="1914" spans="1:82" s="17" customFormat="1" x14ac:dyDescent="0.2">
      <c r="A1914" s="25"/>
      <c r="B1914" s="20">
        <v>39035102200</v>
      </c>
      <c r="C1914" s="20">
        <v>1022</v>
      </c>
      <c r="D1914" s="20" t="s">
        <v>24</v>
      </c>
      <c r="E1914" s="20" t="s">
        <v>2829</v>
      </c>
      <c r="F1914" s="20" t="s">
        <v>8</v>
      </c>
      <c r="G1914" s="861">
        <v>45.310462498923499</v>
      </c>
      <c r="H1914" s="861">
        <v>63.998221972417397</v>
      </c>
      <c r="I1914" s="861">
        <v>43.462201623999498</v>
      </c>
      <c r="J1914" s="861">
        <v>34.047179284519899</v>
      </c>
      <c r="K1914" s="982">
        <v>0</v>
      </c>
      <c r="L1914" s="735">
        <v>2922</v>
      </c>
      <c r="M1914" s="735">
        <v>3153</v>
      </c>
      <c r="N1914" s="845">
        <f t="shared" si="158"/>
        <v>7.9055441478439431E-2</v>
      </c>
      <c r="O1914" s="735">
        <v>0.34333748350682586</v>
      </c>
      <c r="P1914" s="735">
        <f t="shared" si="159"/>
        <v>9183.3841379492587</v>
      </c>
      <c r="Q1914" s="849">
        <v>35</v>
      </c>
      <c r="R1914" s="71">
        <v>51313</v>
      </c>
      <c r="S1914" s="845">
        <v>0.19949093223035316</v>
      </c>
      <c r="T1914" s="845">
        <v>4.0999999999999995E-2</v>
      </c>
      <c r="U1914" s="845">
        <v>0</v>
      </c>
      <c r="V1914" s="845">
        <v>2.4E-2</v>
      </c>
      <c r="W1914" s="845">
        <v>0.62722351121423048</v>
      </c>
      <c r="X1914" s="845">
        <v>0.28360049321824909</v>
      </c>
      <c r="Y1914" s="845">
        <v>0.4770060260069775</v>
      </c>
      <c r="Z1914" s="845">
        <v>0.26450999048525214</v>
      </c>
      <c r="AA1914" s="845">
        <v>0</v>
      </c>
      <c r="AB1914" s="845">
        <v>4.0596257532508721E-2</v>
      </c>
      <c r="AC1914" s="845">
        <v>0</v>
      </c>
      <c r="AD1914" s="845">
        <v>8.3729781160799238E-2</v>
      </c>
      <c r="AE1914" s="845">
        <v>0.13415794481446242</v>
      </c>
      <c r="AF1914" s="845">
        <v>0.21281319378369806</v>
      </c>
      <c r="AG1914" s="845">
        <v>0.44497304154773232</v>
      </c>
      <c r="AH1914" s="20" t="str">
        <f t="shared" si="160"/>
        <v>No</v>
      </c>
      <c r="AI1914" s="25"/>
      <c r="AJ1914" s="25"/>
      <c r="AK1914" s="25"/>
      <c r="AL1914" s="25"/>
      <c r="AM1914" s="25"/>
      <c r="AN1914" s="25"/>
      <c r="AO1914" s="25"/>
      <c r="AP1914" s="25"/>
      <c r="AQ1914" s="25"/>
      <c r="AR1914" s="25"/>
      <c r="AS1914" s="25"/>
      <c r="AT1914" s="25"/>
      <c r="AU1914" s="36"/>
      <c r="AV1914" s="36"/>
      <c r="AW1914" s="36"/>
      <c r="AX1914" s="25"/>
      <c r="AY1914" s="25"/>
      <c r="AZ1914" s="25"/>
      <c r="BA1914" s="25"/>
      <c r="BB1914" s="25"/>
      <c r="BC1914" s="25"/>
      <c r="BD1914" s="25"/>
      <c r="BE1914" s="25"/>
      <c r="BF1914" s="25"/>
      <c r="BG1914" s="25"/>
      <c r="BH1914" s="25"/>
      <c r="BI1914" s="25"/>
      <c r="BJ1914" s="25"/>
      <c r="BK1914" s="25"/>
      <c r="BL1914" s="25"/>
      <c r="BM1914" s="25"/>
      <c r="BN1914" s="25"/>
      <c r="BO1914" s="25"/>
      <c r="BP1914" s="25"/>
      <c r="BQ1914" s="25"/>
      <c r="BR1914" s="25"/>
      <c r="BS1914" s="25"/>
      <c r="BT1914" s="25"/>
      <c r="BU1914"/>
      <c r="BV1914"/>
      <c r="BW1914"/>
      <c r="BX1914"/>
      <c r="BY1914"/>
      <c r="BZ1914"/>
      <c r="CA1914"/>
      <c r="CB1914"/>
      <c r="CC1914"/>
      <c r="CD1914" s="25"/>
    </row>
    <row r="1915" spans="1:82" s="17" customFormat="1" x14ac:dyDescent="0.2">
      <c r="A1915" s="25"/>
      <c r="B1915" s="20">
        <v>39017010105</v>
      </c>
      <c r="C1915" s="20">
        <v>101.05</v>
      </c>
      <c r="D1915" s="20" t="s">
        <v>15</v>
      </c>
      <c r="E1915" s="20" t="s">
        <v>2828</v>
      </c>
      <c r="F1915" s="20" t="s">
        <v>6</v>
      </c>
      <c r="G1915" s="861">
        <v>45.308886311898803</v>
      </c>
      <c r="H1915" s="861">
        <v>52.635091404507399</v>
      </c>
      <c r="I1915" s="861">
        <v>46.525716339261102</v>
      </c>
      <c r="J1915" s="861">
        <v>32.358295592005199</v>
      </c>
      <c r="K1915" s="982">
        <v>0</v>
      </c>
      <c r="L1915" s="735" t="s">
        <v>2466</v>
      </c>
      <c r="M1915" s="735">
        <v>4291</v>
      </c>
      <c r="N1915" s="845" t="str">
        <f t="shared" si="158"/>
        <v/>
      </c>
      <c r="O1915" s="735">
        <v>0.62700403670965121</v>
      </c>
      <c r="P1915" s="735">
        <f t="shared" si="159"/>
        <v>6843.6560991186207</v>
      </c>
      <c r="Q1915" s="849">
        <v>21.9</v>
      </c>
      <c r="R1915" s="71">
        <v>33083</v>
      </c>
      <c r="S1915" s="845">
        <v>0.6116937598321972</v>
      </c>
      <c r="T1915" s="845">
        <v>0.36899999999999999</v>
      </c>
      <c r="U1915" s="845">
        <v>0</v>
      </c>
      <c r="V1915" s="845">
        <v>0.113</v>
      </c>
      <c r="W1915" s="845">
        <v>0.61270801815431164</v>
      </c>
      <c r="X1915" s="845">
        <v>0.60864197530864195</v>
      </c>
      <c r="Y1915" s="845">
        <v>0.74295036122116054</v>
      </c>
      <c r="Z1915" s="845">
        <v>3.5189932416686089E-2</v>
      </c>
      <c r="AA1915" s="845">
        <v>0</v>
      </c>
      <c r="AB1915" s="845">
        <v>6.9214635283150777E-2</v>
      </c>
      <c r="AC1915" s="845">
        <v>0</v>
      </c>
      <c r="AD1915" s="845">
        <v>3.7287345607084597E-3</v>
      </c>
      <c r="AE1915" s="845">
        <v>0.14891633651829411</v>
      </c>
      <c r="AF1915" s="845">
        <v>9.0887904917268704E-3</v>
      </c>
      <c r="AG1915" s="845">
        <v>0.7387555348403636</v>
      </c>
      <c r="AH1915" s="20" t="str">
        <f t="shared" si="160"/>
        <v>No</v>
      </c>
      <c r="AI1915" s="25"/>
      <c r="AJ1915" s="25"/>
      <c r="AK1915" s="25"/>
      <c r="AL1915" s="25"/>
      <c r="AM1915" s="25"/>
      <c r="AN1915" s="25"/>
      <c r="AO1915" s="25"/>
      <c r="AP1915" s="25"/>
      <c r="AQ1915" s="25"/>
      <c r="AR1915" s="25"/>
      <c r="AS1915" s="25"/>
      <c r="AT1915" s="25"/>
      <c r="AU1915" s="36"/>
      <c r="AV1915" s="36"/>
      <c r="AW1915" s="36"/>
      <c r="AX1915" s="25"/>
      <c r="AY1915" s="25"/>
      <c r="AZ1915" s="25"/>
      <c r="BA1915" s="25"/>
      <c r="BB1915" s="25"/>
      <c r="BC1915" s="25"/>
      <c r="BD1915" s="25"/>
      <c r="BE1915" s="25"/>
      <c r="BF1915" s="25"/>
      <c r="BG1915" s="25"/>
      <c r="BH1915" s="25"/>
      <c r="BI1915" s="25"/>
      <c r="BJ1915" s="25"/>
      <c r="BK1915" s="25"/>
      <c r="BL1915" s="25"/>
      <c r="BM1915" s="25"/>
      <c r="BN1915" s="25"/>
      <c r="BO1915" s="25"/>
      <c r="BP1915" s="25"/>
      <c r="BQ1915" s="25"/>
      <c r="BR1915" s="25"/>
      <c r="BS1915" s="25"/>
      <c r="BT1915" s="25"/>
      <c r="BU1915"/>
      <c r="BV1915"/>
      <c r="BW1915"/>
      <c r="BX1915"/>
      <c r="BY1915"/>
      <c r="BZ1915"/>
      <c r="CA1915"/>
      <c r="CB1915"/>
      <c r="CC1915"/>
      <c r="CD1915" s="25"/>
    </row>
    <row r="1916" spans="1:82" s="17" customFormat="1" x14ac:dyDescent="0.2">
      <c r="A1916" s="25"/>
      <c r="B1916" s="20">
        <v>39045031100</v>
      </c>
      <c r="C1916" s="20">
        <v>311</v>
      </c>
      <c r="D1916" s="20" t="s">
        <v>29</v>
      </c>
      <c r="E1916" s="20" t="s">
        <v>2830</v>
      </c>
      <c r="F1916" s="20" t="s">
        <v>8</v>
      </c>
      <c r="G1916" s="861">
        <v>45.2670104307063</v>
      </c>
      <c r="H1916" s="861">
        <v>55.378745873034902</v>
      </c>
      <c r="I1916" s="861">
        <v>25.853898213325301</v>
      </c>
      <c r="J1916" s="861">
        <v>51.7184621329734</v>
      </c>
      <c r="K1916" s="982">
        <v>0</v>
      </c>
      <c r="L1916" s="735">
        <v>6064</v>
      </c>
      <c r="M1916" s="735">
        <v>6447</v>
      </c>
      <c r="N1916" s="845">
        <f t="shared" si="158"/>
        <v>6.3159630606860154E-2</v>
      </c>
      <c r="O1916" s="735">
        <v>61.908319339736281</v>
      </c>
      <c r="P1916" s="735">
        <f t="shared" si="159"/>
        <v>104.13786174069094</v>
      </c>
      <c r="Q1916" s="849">
        <v>39.4</v>
      </c>
      <c r="R1916" s="71">
        <v>76216</v>
      </c>
      <c r="S1916" s="845">
        <v>0.12895109293914137</v>
      </c>
      <c r="T1916" s="845">
        <v>4.7E-2</v>
      </c>
      <c r="U1916" s="845">
        <v>4.0000000000000001E-3</v>
      </c>
      <c r="V1916" s="845">
        <v>6.9999999999999993E-3</v>
      </c>
      <c r="W1916" s="845">
        <v>0.16859504132231404</v>
      </c>
      <c r="X1916" s="845">
        <v>0.29901960784313725</v>
      </c>
      <c r="Y1916" s="845">
        <v>0.95455250504110434</v>
      </c>
      <c r="Z1916" s="845">
        <v>4.6533271288971617E-4</v>
      </c>
      <c r="AA1916" s="845">
        <v>0</v>
      </c>
      <c r="AB1916" s="845">
        <v>1.2408872343725764E-3</v>
      </c>
      <c r="AC1916" s="845">
        <v>1.2408872343725764E-2</v>
      </c>
      <c r="AD1916" s="845">
        <v>2.1715526601520088E-3</v>
      </c>
      <c r="AE1916" s="845">
        <v>2.9160850007755545E-2</v>
      </c>
      <c r="AF1916" s="845">
        <v>3.4124398945245852E-3</v>
      </c>
      <c r="AG1916" s="845">
        <v>0.95300139599813871</v>
      </c>
      <c r="AH1916" s="20" t="str">
        <f t="shared" si="160"/>
        <v>Yes</v>
      </c>
      <c r="AI1916" s="25"/>
      <c r="AJ1916" s="25"/>
      <c r="AK1916" s="25"/>
      <c r="AL1916" s="25"/>
      <c r="AM1916" s="25"/>
      <c r="AN1916" s="25"/>
      <c r="AO1916" s="25"/>
      <c r="AP1916" s="25"/>
      <c r="AQ1916" s="25"/>
      <c r="AR1916" s="25"/>
      <c r="AS1916" s="25"/>
      <c r="AT1916" s="25"/>
      <c r="AU1916" s="36"/>
      <c r="AV1916" s="36"/>
      <c r="AW1916" s="36"/>
      <c r="AX1916" s="25"/>
      <c r="AY1916" s="25"/>
      <c r="AZ1916" s="25"/>
      <c r="BA1916" s="25"/>
      <c r="BB1916" s="25"/>
      <c r="BC1916" s="25"/>
      <c r="BD1916" s="25"/>
      <c r="BE1916" s="25"/>
      <c r="BF1916" s="25"/>
      <c r="BG1916" s="25"/>
      <c r="BH1916" s="25"/>
      <c r="BI1916" s="25"/>
      <c r="BJ1916" s="25"/>
      <c r="BK1916" s="25"/>
      <c r="BL1916" s="25"/>
      <c r="BM1916" s="25"/>
      <c r="BN1916" s="25"/>
      <c r="BO1916" s="25"/>
      <c r="BP1916" s="25"/>
      <c r="BQ1916" s="25"/>
      <c r="BR1916" s="25"/>
      <c r="BS1916" s="25"/>
      <c r="BT1916" s="25"/>
      <c r="BU1916"/>
      <c r="BV1916"/>
      <c r="BW1916"/>
      <c r="BX1916"/>
      <c r="BY1916"/>
      <c r="BZ1916"/>
      <c r="CA1916"/>
      <c r="CB1916"/>
      <c r="CC1916"/>
      <c r="CD1916" s="25"/>
    </row>
    <row r="1917" spans="1:82" s="17" customFormat="1" x14ac:dyDescent="0.2">
      <c r="A1917" s="25"/>
      <c r="B1917" s="20">
        <v>39017010911</v>
      </c>
      <c r="C1917" s="20">
        <v>109.11</v>
      </c>
      <c r="D1917" s="20" t="s">
        <v>15</v>
      </c>
      <c r="E1917" s="20" t="s">
        <v>2828</v>
      </c>
      <c r="F1917" s="20" t="s">
        <v>8</v>
      </c>
      <c r="G1917" s="861">
        <v>45.244670566274898</v>
      </c>
      <c r="H1917" s="861">
        <v>58.610349289079501</v>
      </c>
      <c r="I1917" s="861">
        <v>27.693617643244998</v>
      </c>
      <c r="J1917" s="861">
        <v>41.758117154997798</v>
      </c>
      <c r="K1917" s="982">
        <v>0</v>
      </c>
      <c r="L1917" s="735">
        <v>4154</v>
      </c>
      <c r="M1917" s="735">
        <v>3888</v>
      </c>
      <c r="N1917" s="845">
        <f t="shared" si="158"/>
        <v>-6.4034665382763603E-2</v>
      </c>
      <c r="O1917" s="735">
        <v>3.6943057626623625</v>
      </c>
      <c r="P1917" s="735">
        <f t="shared" si="159"/>
        <v>1052.4304835011947</v>
      </c>
      <c r="Q1917" s="849">
        <v>46.2</v>
      </c>
      <c r="R1917" s="71">
        <v>86786</v>
      </c>
      <c r="S1917" s="845">
        <v>0.11687306501547988</v>
      </c>
      <c r="T1917" s="845">
        <v>3.7999999999999999E-2</v>
      </c>
      <c r="U1917" s="845">
        <v>0</v>
      </c>
      <c r="V1917" s="845">
        <v>0.2</v>
      </c>
      <c r="W1917" s="845">
        <v>0.19918144611186903</v>
      </c>
      <c r="X1917" s="845">
        <v>0.55136986301369861</v>
      </c>
      <c r="Y1917" s="845">
        <v>0.70730452674897115</v>
      </c>
      <c r="Z1917" s="845">
        <v>9.5679012345679007E-2</v>
      </c>
      <c r="AA1917" s="845">
        <v>1.2860082304526749E-3</v>
      </c>
      <c r="AB1917" s="845">
        <v>0.147119341563786</v>
      </c>
      <c r="AC1917" s="845">
        <v>0</v>
      </c>
      <c r="AD1917" s="845">
        <v>8.4876543209876538E-3</v>
      </c>
      <c r="AE1917" s="845">
        <v>4.0123456790123455E-2</v>
      </c>
      <c r="AF1917" s="845">
        <v>1.131687242798354E-2</v>
      </c>
      <c r="AG1917" s="845">
        <v>0.70447530864197527</v>
      </c>
      <c r="AH1917" s="20" t="str">
        <f t="shared" si="160"/>
        <v>No</v>
      </c>
      <c r="AI1917" s="25"/>
      <c r="AJ1917" s="25"/>
      <c r="AK1917" s="25"/>
      <c r="AL1917" s="25"/>
      <c r="AM1917" s="25"/>
      <c r="AN1917" s="25"/>
      <c r="AO1917" s="25"/>
      <c r="AP1917" s="25"/>
      <c r="AQ1917" s="25"/>
      <c r="AR1917" s="25"/>
      <c r="AS1917" s="25"/>
      <c r="AT1917" s="25"/>
      <c r="AU1917" s="36"/>
      <c r="AV1917" s="36"/>
      <c r="AW1917" s="36"/>
      <c r="AX1917" s="25"/>
      <c r="AY1917" s="25"/>
      <c r="AZ1917" s="25"/>
      <c r="BA1917" s="25"/>
      <c r="BB1917" s="25"/>
      <c r="BC1917" s="25"/>
      <c r="BD1917" s="25"/>
      <c r="BE1917" s="25"/>
      <c r="BF1917" s="25"/>
      <c r="BG1917" s="25"/>
      <c r="BH1917" s="25"/>
      <c r="BI1917" s="25"/>
      <c r="BJ1917" s="25"/>
      <c r="BK1917" s="25"/>
      <c r="BL1917" s="25"/>
      <c r="BM1917" s="25"/>
      <c r="BN1917" s="25"/>
      <c r="BO1917" s="25"/>
      <c r="BP1917" s="25"/>
      <c r="BQ1917" s="25"/>
      <c r="BR1917" s="25"/>
      <c r="BS1917" s="25"/>
      <c r="BT1917" s="25"/>
      <c r="BU1917"/>
      <c r="BV1917"/>
      <c r="BW1917"/>
      <c r="BX1917"/>
      <c r="BY1917"/>
      <c r="BZ1917"/>
      <c r="CA1917"/>
      <c r="CB1917"/>
      <c r="CC1917"/>
      <c r="CD1917" s="25"/>
    </row>
    <row r="1918" spans="1:82" s="17" customFormat="1" x14ac:dyDescent="0.2">
      <c r="A1918" s="25"/>
      <c r="B1918" s="20">
        <v>39023002601</v>
      </c>
      <c r="C1918" s="20">
        <v>26.01</v>
      </c>
      <c r="D1918" s="20" t="s">
        <v>18</v>
      </c>
      <c r="E1918" s="20" t="s">
        <v>2838</v>
      </c>
      <c r="F1918" s="20" t="s">
        <v>8</v>
      </c>
      <c r="G1918" s="861">
        <v>45.2329077035279</v>
      </c>
      <c r="H1918" s="861">
        <v>52.8252799455569</v>
      </c>
      <c r="I1918" s="861">
        <v>21.9899394485122</v>
      </c>
      <c r="J1918" s="861">
        <v>54.960031987252499</v>
      </c>
      <c r="K1918" s="982">
        <v>0</v>
      </c>
      <c r="L1918" s="735">
        <v>3819</v>
      </c>
      <c r="M1918" s="735">
        <v>4004</v>
      </c>
      <c r="N1918" s="845">
        <f t="shared" si="158"/>
        <v>4.84420005236973E-2</v>
      </c>
      <c r="O1918" s="735">
        <v>36.07637063631153</v>
      </c>
      <c r="P1918" s="735">
        <f t="shared" si="159"/>
        <v>110.98677415099789</v>
      </c>
      <c r="Q1918" s="849">
        <v>44.8</v>
      </c>
      <c r="R1918" s="71">
        <v>102396</v>
      </c>
      <c r="S1918" s="845">
        <v>8.4065244667503133E-2</v>
      </c>
      <c r="T1918" s="845">
        <v>2.2000000000000002E-2</v>
      </c>
      <c r="U1918" s="845">
        <v>0</v>
      </c>
      <c r="V1918" s="845">
        <v>0</v>
      </c>
      <c r="W1918" s="845">
        <v>0.12875816993464051</v>
      </c>
      <c r="X1918" s="845">
        <v>0.34010152284263961</v>
      </c>
      <c r="Y1918" s="845">
        <v>0.98676323676323674</v>
      </c>
      <c r="Z1918" s="845">
        <v>9.99000999000999E-4</v>
      </c>
      <c r="AA1918" s="845">
        <v>0</v>
      </c>
      <c r="AB1918" s="845">
        <v>0</v>
      </c>
      <c r="AC1918" s="845">
        <v>0</v>
      </c>
      <c r="AD1918" s="845">
        <v>0</v>
      </c>
      <c r="AE1918" s="845">
        <v>1.2237762237762238E-2</v>
      </c>
      <c r="AF1918" s="845">
        <v>1.7482517482517483E-3</v>
      </c>
      <c r="AG1918" s="845">
        <v>0.98576423576423577</v>
      </c>
      <c r="AH1918" s="20" t="str">
        <f t="shared" si="160"/>
        <v>Yes</v>
      </c>
      <c r="AI1918" s="25"/>
      <c r="AJ1918" s="25"/>
      <c r="AK1918" s="25"/>
      <c r="AL1918" s="25"/>
      <c r="AM1918" s="25"/>
      <c r="AN1918" s="25"/>
      <c r="AO1918" s="25"/>
      <c r="AP1918" s="25"/>
      <c r="AQ1918" s="25"/>
      <c r="AR1918" s="25"/>
      <c r="AS1918" s="25"/>
      <c r="AT1918" s="25"/>
      <c r="AU1918" s="36"/>
      <c r="AV1918" s="36"/>
      <c r="AW1918" s="36"/>
      <c r="AX1918" s="25"/>
      <c r="AY1918" s="25"/>
      <c r="AZ1918" s="25"/>
      <c r="BA1918" s="25"/>
      <c r="BB1918" s="25"/>
      <c r="BC1918" s="25"/>
      <c r="BD1918" s="25"/>
      <c r="BE1918" s="25"/>
      <c r="BF1918" s="25"/>
      <c r="BG1918" s="25"/>
      <c r="BH1918" s="25"/>
      <c r="BI1918" s="25"/>
      <c r="BJ1918" s="25"/>
      <c r="BK1918" s="25"/>
      <c r="BL1918" s="25"/>
      <c r="BM1918" s="25"/>
      <c r="BN1918" s="25"/>
      <c r="BO1918" s="25"/>
      <c r="BP1918" s="25"/>
      <c r="BQ1918" s="25"/>
      <c r="BR1918" s="25"/>
      <c r="BS1918" s="25"/>
      <c r="BT1918" s="25"/>
      <c r="BU1918"/>
      <c r="BV1918"/>
      <c r="BW1918"/>
      <c r="BX1918"/>
      <c r="BY1918"/>
      <c r="BZ1918"/>
      <c r="CA1918"/>
      <c r="CB1918"/>
      <c r="CC1918"/>
      <c r="CD1918" s="25"/>
    </row>
    <row r="1919" spans="1:82" s="17" customFormat="1" x14ac:dyDescent="0.2">
      <c r="A1919" s="25"/>
      <c r="B1919" s="20">
        <v>39175938500</v>
      </c>
      <c r="C1919" s="20">
        <v>9385</v>
      </c>
      <c r="D1919" s="20" t="s">
        <v>93</v>
      </c>
      <c r="E1919" s="20" t="s">
        <v>265</v>
      </c>
      <c r="F1919" s="20" t="s">
        <v>8</v>
      </c>
      <c r="G1919" s="861">
        <v>45.232000949661803</v>
      </c>
      <c r="H1919" s="861">
        <v>44.2441585995876</v>
      </c>
      <c r="I1919" s="861">
        <v>25.953112860924499</v>
      </c>
      <c r="J1919" s="861">
        <v>38.787256196616703</v>
      </c>
      <c r="K1919" s="982">
        <v>0</v>
      </c>
      <c r="L1919" s="735">
        <v>3190</v>
      </c>
      <c r="M1919" s="735">
        <v>3193</v>
      </c>
      <c r="N1919" s="845">
        <f t="shared" si="158"/>
        <v>9.4043887147335424E-4</v>
      </c>
      <c r="O1919" s="735">
        <v>90.447931438573292</v>
      </c>
      <c r="P1919" s="735">
        <f t="shared" si="159"/>
        <v>35.302078767478399</v>
      </c>
      <c r="Q1919" s="849">
        <v>48.7</v>
      </c>
      <c r="R1919" s="71">
        <v>57986</v>
      </c>
      <c r="S1919" s="845">
        <v>0.1128725428027901</v>
      </c>
      <c r="T1919" s="845">
        <v>2.4E-2</v>
      </c>
      <c r="U1919" s="845">
        <v>0</v>
      </c>
      <c r="V1919" s="845">
        <v>0</v>
      </c>
      <c r="W1919" s="845">
        <v>0.22132943754565376</v>
      </c>
      <c r="X1919" s="845">
        <v>0.46864686468646866</v>
      </c>
      <c r="Y1919" s="845">
        <v>0.96022549326652051</v>
      </c>
      <c r="Z1919" s="845">
        <v>0</v>
      </c>
      <c r="AA1919" s="845">
        <v>0</v>
      </c>
      <c r="AB1919" s="845">
        <v>0</v>
      </c>
      <c r="AC1919" s="845">
        <v>0</v>
      </c>
      <c r="AD1919" s="845">
        <v>0</v>
      </c>
      <c r="AE1919" s="845">
        <v>3.9774506733479487E-2</v>
      </c>
      <c r="AF1919" s="845">
        <v>1.9417475728155338E-2</v>
      </c>
      <c r="AG1919" s="845">
        <v>0.95928593798935169</v>
      </c>
      <c r="AH1919" s="20" t="str">
        <f t="shared" si="160"/>
        <v>Yes</v>
      </c>
      <c r="AI1919" s="25"/>
      <c r="AJ1919" s="25"/>
      <c r="AK1919" s="25"/>
      <c r="AL1919" s="25"/>
      <c r="AM1919" s="25"/>
      <c r="AN1919" s="25"/>
      <c r="AO1919" s="25"/>
      <c r="AP1919" s="25"/>
      <c r="AQ1919" s="25"/>
      <c r="AR1919" s="25"/>
      <c r="AS1919" s="25"/>
      <c r="AT1919" s="25"/>
      <c r="AU1919" s="36"/>
      <c r="AV1919" s="36"/>
      <c r="AW1919" s="36"/>
      <c r="AX1919" s="25"/>
      <c r="AY1919" s="25"/>
      <c r="AZ1919" s="25"/>
      <c r="BA1919" s="25"/>
      <c r="BB1919" s="25"/>
      <c r="BC1919" s="25"/>
      <c r="BD1919" s="25"/>
      <c r="BE1919" s="25"/>
      <c r="BF1919" s="25"/>
      <c r="BG1919" s="25"/>
      <c r="BH1919" s="25"/>
      <c r="BI1919" s="25"/>
      <c r="BJ1919" s="25"/>
      <c r="BK1919" s="25"/>
      <c r="BL1919" s="25"/>
      <c r="BM1919" s="25"/>
      <c r="BN1919" s="25"/>
      <c r="BO1919" s="25"/>
      <c r="BP1919" s="25"/>
      <c r="BQ1919" s="25"/>
      <c r="BR1919" s="25"/>
      <c r="BS1919" s="25"/>
      <c r="BT1919" s="25"/>
      <c r="BU1919"/>
      <c r="BV1919"/>
      <c r="BW1919"/>
      <c r="BX1919"/>
      <c r="BY1919"/>
      <c r="BZ1919"/>
      <c r="CA1919"/>
      <c r="CB1919"/>
      <c r="CC1919"/>
      <c r="CD1919" s="25"/>
    </row>
    <row r="1920" spans="1:82" s="17" customFormat="1" x14ac:dyDescent="0.2">
      <c r="A1920" s="25"/>
      <c r="B1920" s="20">
        <v>39009972700</v>
      </c>
      <c r="C1920" s="20">
        <v>9727</v>
      </c>
      <c r="D1920" s="20" t="s">
        <v>11</v>
      </c>
      <c r="E1920" s="20" t="s">
        <v>265</v>
      </c>
      <c r="F1920" s="20" t="s">
        <v>8</v>
      </c>
      <c r="G1920" s="861">
        <v>45.229113542423903</v>
      </c>
      <c r="H1920" s="861">
        <v>59.973295042610602</v>
      </c>
      <c r="I1920" s="861">
        <v>35.7100190421693</v>
      </c>
      <c r="J1920" s="861">
        <v>39.410103353394703</v>
      </c>
      <c r="K1920" s="982">
        <v>0</v>
      </c>
      <c r="L1920" s="735">
        <v>3890</v>
      </c>
      <c r="M1920" s="735">
        <v>3604</v>
      </c>
      <c r="N1920" s="845">
        <f t="shared" si="158"/>
        <v>-7.3521850899742933E-2</v>
      </c>
      <c r="O1920" s="735">
        <v>24.100143455870924</v>
      </c>
      <c r="P1920" s="735">
        <f t="shared" si="159"/>
        <v>149.54267830808476</v>
      </c>
      <c r="Q1920" s="849">
        <v>40.299999999999997</v>
      </c>
      <c r="R1920" s="71">
        <v>59943</v>
      </c>
      <c r="S1920" s="845">
        <v>0.15801166342682588</v>
      </c>
      <c r="T1920" s="845">
        <v>2.7000000000000003E-2</v>
      </c>
      <c r="U1920" s="845">
        <v>0.01</v>
      </c>
      <c r="V1920" s="845">
        <v>4.8000000000000001E-2</v>
      </c>
      <c r="W1920" s="845">
        <v>0.38190954773869346</v>
      </c>
      <c r="X1920" s="845">
        <v>0.33646616541353386</v>
      </c>
      <c r="Y1920" s="845">
        <v>0.9544950055493896</v>
      </c>
      <c r="Z1920" s="845">
        <v>1.1376248612652608E-2</v>
      </c>
      <c r="AA1920" s="845">
        <v>0</v>
      </c>
      <c r="AB1920" s="845">
        <v>0</v>
      </c>
      <c r="AC1920" s="845">
        <v>0</v>
      </c>
      <c r="AD1920" s="845">
        <v>2.7746947835738068E-3</v>
      </c>
      <c r="AE1920" s="845">
        <v>3.1354051054384019E-2</v>
      </c>
      <c r="AF1920" s="845">
        <v>4.1897891231964482E-2</v>
      </c>
      <c r="AG1920" s="845">
        <v>0.91537180910099891</v>
      </c>
      <c r="AH1920" s="20" t="str">
        <f t="shared" si="160"/>
        <v>Yes</v>
      </c>
      <c r="AI1920" s="25"/>
      <c r="AJ1920" s="25"/>
      <c r="AK1920" s="25"/>
      <c r="AL1920" s="25"/>
      <c r="AM1920" s="25"/>
      <c r="AN1920" s="25"/>
      <c r="AO1920" s="25"/>
      <c r="AP1920" s="25"/>
      <c r="AQ1920" s="25"/>
      <c r="AR1920" s="25"/>
      <c r="AS1920" s="25"/>
      <c r="AT1920" s="25"/>
      <c r="AU1920" s="36"/>
      <c r="AV1920" s="36"/>
      <c r="AW1920" s="36"/>
      <c r="AX1920" s="25"/>
      <c r="AY1920" s="25"/>
      <c r="AZ1920" s="25"/>
      <c r="BA1920" s="25"/>
      <c r="BB1920" s="25"/>
      <c r="BC1920" s="25"/>
      <c r="BD1920" s="25"/>
      <c r="BE1920" s="25"/>
      <c r="BF1920" s="25"/>
      <c r="BG1920" s="25"/>
      <c r="BH1920" s="25"/>
      <c r="BI1920" s="25"/>
      <c r="BJ1920" s="25"/>
      <c r="BK1920" s="25"/>
      <c r="BL1920" s="25"/>
      <c r="BM1920" s="25"/>
      <c r="BN1920" s="25"/>
      <c r="BO1920" s="25"/>
      <c r="BP1920" s="25"/>
      <c r="BQ1920" s="25"/>
      <c r="BR1920" s="25"/>
      <c r="BS1920" s="25"/>
      <c r="BT1920" s="25"/>
      <c r="BU1920"/>
      <c r="BV1920"/>
      <c r="BW1920"/>
      <c r="BX1920"/>
      <c r="BY1920"/>
      <c r="BZ1920"/>
      <c r="CA1920"/>
      <c r="CB1920"/>
      <c r="CC1920"/>
      <c r="CD1920" s="25"/>
    </row>
    <row r="1921" spans="1:82" s="17" customFormat="1" x14ac:dyDescent="0.2">
      <c r="A1921" s="25"/>
      <c r="B1921" s="20">
        <v>39155920300</v>
      </c>
      <c r="C1921" s="20">
        <v>9203</v>
      </c>
      <c r="D1921" s="20" t="s">
        <v>83</v>
      </c>
      <c r="E1921" s="20" t="s">
        <v>2842</v>
      </c>
      <c r="F1921" s="20" t="s">
        <v>8</v>
      </c>
      <c r="G1921" s="861">
        <v>45.202951171635299</v>
      </c>
      <c r="H1921" s="861">
        <v>46.693972627572101</v>
      </c>
      <c r="I1921" s="861">
        <v>35.486743595414303</v>
      </c>
      <c r="J1921" s="861">
        <v>42.324143986084302</v>
      </c>
      <c r="K1921" s="982">
        <v>0</v>
      </c>
      <c r="L1921" s="735">
        <v>2837</v>
      </c>
      <c r="M1921" s="735">
        <v>2869</v>
      </c>
      <c r="N1921" s="845">
        <f t="shared" si="158"/>
        <v>1.1279520620373634E-2</v>
      </c>
      <c r="O1921" s="735">
        <v>0.71987280281375499</v>
      </c>
      <c r="P1921" s="735">
        <f t="shared" si="159"/>
        <v>3985.4262986266281</v>
      </c>
      <c r="Q1921" s="849">
        <v>39.299999999999997</v>
      </c>
      <c r="R1921" s="71">
        <v>51365</v>
      </c>
      <c r="S1921" s="845">
        <v>0.21470895782502614</v>
      </c>
      <c r="T1921" s="845">
        <v>2.1000000000000001E-2</v>
      </c>
      <c r="U1921" s="845">
        <v>0</v>
      </c>
      <c r="V1921" s="845">
        <v>0.16399999999999998</v>
      </c>
      <c r="W1921" s="845">
        <v>0.20845481049562684</v>
      </c>
      <c r="X1921" s="845">
        <v>0.45454545454545453</v>
      </c>
      <c r="Y1921" s="845">
        <v>0.80446148483792257</v>
      </c>
      <c r="Z1921" s="845">
        <v>0.17950505402579295</v>
      </c>
      <c r="AA1921" s="845">
        <v>3.1369815266643428E-3</v>
      </c>
      <c r="AB1921" s="845">
        <v>0</v>
      </c>
      <c r="AC1921" s="845">
        <v>0</v>
      </c>
      <c r="AD1921" s="845">
        <v>0</v>
      </c>
      <c r="AE1921" s="845">
        <v>1.2896479609620077E-2</v>
      </c>
      <c r="AF1921" s="845">
        <v>3.1369815266643428E-3</v>
      </c>
      <c r="AG1921" s="845">
        <v>0.80446148483792257</v>
      </c>
      <c r="AH1921" s="20" t="str">
        <f t="shared" si="160"/>
        <v>No</v>
      </c>
      <c r="AI1921" s="25"/>
      <c r="AJ1921" s="25"/>
      <c r="AK1921" s="25"/>
      <c r="AL1921" s="25"/>
      <c r="AM1921" s="25"/>
      <c r="AN1921" s="25"/>
      <c r="AO1921" s="25"/>
      <c r="AP1921" s="25"/>
      <c r="AQ1921" s="25"/>
      <c r="AR1921" s="25"/>
      <c r="AS1921" s="25"/>
      <c r="AT1921" s="25"/>
      <c r="AU1921" s="36"/>
      <c r="AV1921" s="36"/>
      <c r="AW1921" s="36"/>
      <c r="AX1921" s="25"/>
      <c r="AY1921" s="25"/>
      <c r="AZ1921" s="25"/>
      <c r="BA1921" s="25"/>
      <c r="BB1921" s="25"/>
      <c r="BC1921" s="25"/>
      <c r="BD1921" s="25"/>
      <c r="BE1921" s="25"/>
      <c r="BF1921" s="25"/>
      <c r="BG1921" s="25"/>
      <c r="BH1921" s="25"/>
      <c r="BI1921" s="25"/>
      <c r="BJ1921" s="25"/>
      <c r="BK1921" s="25"/>
      <c r="BL1921" s="25"/>
      <c r="BM1921" s="25"/>
      <c r="BN1921" s="25"/>
      <c r="BO1921" s="25"/>
      <c r="BP1921" s="25"/>
      <c r="BQ1921" s="25"/>
      <c r="BR1921" s="25"/>
      <c r="BS1921" s="25"/>
      <c r="BT1921" s="25"/>
      <c r="BU1921"/>
      <c r="BV1921"/>
      <c r="BW1921"/>
      <c r="BX1921"/>
      <c r="BY1921"/>
      <c r="BZ1921"/>
      <c r="CA1921"/>
      <c r="CB1921"/>
      <c r="CC1921"/>
      <c r="CD1921" s="25"/>
    </row>
    <row r="1922" spans="1:82" s="17" customFormat="1" x14ac:dyDescent="0.2">
      <c r="A1922" s="25"/>
      <c r="B1922" s="20">
        <v>39061020742</v>
      </c>
      <c r="C1922" s="20">
        <v>207.42</v>
      </c>
      <c r="D1922" s="20" t="s">
        <v>37</v>
      </c>
      <c r="E1922" s="20" t="s">
        <v>2828</v>
      </c>
      <c r="F1922" s="20" t="s">
        <v>6</v>
      </c>
      <c r="G1922" s="861">
        <v>45.192949700265899</v>
      </c>
      <c r="H1922" s="861">
        <v>54.126106978610999</v>
      </c>
      <c r="I1922" s="861">
        <v>43.217061492097699</v>
      </c>
      <c r="J1922" s="861">
        <v>38.7570204314164</v>
      </c>
      <c r="K1922" s="982">
        <v>0</v>
      </c>
      <c r="L1922" s="735">
        <v>4247</v>
      </c>
      <c r="M1922" s="735">
        <v>4473</v>
      </c>
      <c r="N1922" s="845">
        <f t="shared" si="158"/>
        <v>5.321403343536614E-2</v>
      </c>
      <c r="O1922" s="735">
        <v>0.76368806187299454</v>
      </c>
      <c r="P1922" s="735">
        <f t="shared" si="159"/>
        <v>5857.1034736744177</v>
      </c>
      <c r="Q1922" s="849">
        <v>29.4</v>
      </c>
      <c r="R1922" s="71">
        <v>48814</v>
      </c>
      <c r="S1922" s="845">
        <v>0.1303375810418064</v>
      </c>
      <c r="T1922" s="845">
        <v>7.5999999999999998E-2</v>
      </c>
      <c r="U1922" s="845">
        <v>2.3E-2</v>
      </c>
      <c r="V1922" s="845">
        <v>0.14800000000000002</v>
      </c>
      <c r="W1922" s="845">
        <v>0.33486238532110091</v>
      </c>
      <c r="X1922" s="845">
        <v>0.69275929549902149</v>
      </c>
      <c r="Y1922" s="845">
        <v>0.40442655935613681</v>
      </c>
      <c r="Z1922" s="845">
        <v>0.46232953275206795</v>
      </c>
      <c r="AA1922" s="845">
        <v>0</v>
      </c>
      <c r="AB1922" s="845">
        <v>1.7661524703778225E-2</v>
      </c>
      <c r="AC1922" s="845">
        <v>0</v>
      </c>
      <c r="AD1922" s="845">
        <v>3.2863849765258218E-2</v>
      </c>
      <c r="AE1922" s="845">
        <v>8.2718533422758769E-2</v>
      </c>
      <c r="AF1922" s="845">
        <v>4.1582830315224681E-2</v>
      </c>
      <c r="AG1922" s="845">
        <v>0.40442655935613681</v>
      </c>
      <c r="AH1922" s="20" t="str">
        <f t="shared" si="160"/>
        <v>No</v>
      </c>
      <c r="AI1922" s="25"/>
      <c r="AJ1922" s="25"/>
      <c r="AK1922" s="25"/>
      <c r="AL1922" s="25"/>
      <c r="AM1922" s="25"/>
      <c r="AN1922" s="25"/>
      <c r="AO1922" s="25"/>
      <c r="AP1922" s="25"/>
      <c r="AQ1922" s="25"/>
      <c r="AR1922" s="25"/>
      <c r="AS1922" s="25"/>
      <c r="AT1922" s="25"/>
      <c r="AU1922" s="36"/>
      <c r="AV1922" s="36"/>
      <c r="AW1922" s="36"/>
      <c r="AX1922" s="25"/>
      <c r="AY1922" s="25"/>
      <c r="AZ1922" s="25"/>
      <c r="BA1922" s="25"/>
      <c r="BB1922" s="25"/>
      <c r="BC1922" s="25"/>
      <c r="BD1922" s="25"/>
      <c r="BE1922" s="25"/>
      <c r="BF1922" s="25"/>
      <c r="BG1922" s="25"/>
      <c r="BH1922" s="25"/>
      <c r="BI1922" s="25"/>
      <c r="BJ1922" s="25"/>
      <c r="BK1922" s="25"/>
      <c r="BL1922" s="25"/>
      <c r="BM1922" s="25"/>
      <c r="BN1922" s="25"/>
      <c r="BO1922" s="25"/>
      <c r="BP1922" s="25"/>
      <c r="BQ1922" s="25"/>
      <c r="BR1922" s="25"/>
      <c r="BS1922" s="25"/>
      <c r="BT1922" s="25"/>
      <c r="BU1922"/>
      <c r="BV1922"/>
      <c r="BW1922"/>
      <c r="BX1922"/>
      <c r="BY1922"/>
      <c r="BZ1922"/>
      <c r="CA1922"/>
      <c r="CB1922"/>
      <c r="CC1922"/>
      <c r="CD1922" s="25"/>
    </row>
    <row r="1923" spans="1:82" s="17" customFormat="1" x14ac:dyDescent="0.2">
      <c r="A1923" s="25"/>
      <c r="B1923" s="20">
        <v>39169002400</v>
      </c>
      <c r="C1923" s="20">
        <v>24</v>
      </c>
      <c r="D1923" s="20" t="s">
        <v>90</v>
      </c>
      <c r="E1923" s="20" t="s">
        <v>265</v>
      </c>
      <c r="F1923" s="20" t="s">
        <v>8</v>
      </c>
      <c r="G1923" s="861">
        <v>45.169929567363297</v>
      </c>
      <c r="H1923" s="861">
        <v>48.743934276824398</v>
      </c>
      <c r="I1923" s="861">
        <v>27.021845860421699</v>
      </c>
      <c r="J1923" s="861">
        <v>34.867463497036702</v>
      </c>
      <c r="K1923" s="982">
        <v>0</v>
      </c>
      <c r="L1923" s="735">
        <v>3620</v>
      </c>
      <c r="M1923" s="735">
        <v>3555</v>
      </c>
      <c r="N1923" s="845">
        <f t="shared" si="158"/>
        <v>-1.7955801104972375E-2</v>
      </c>
      <c r="O1923" s="735">
        <v>21.628865701626715</v>
      </c>
      <c r="P1923" s="735">
        <f t="shared" si="159"/>
        <v>164.36368180568189</v>
      </c>
      <c r="Q1923" s="849">
        <v>39.6</v>
      </c>
      <c r="R1923" s="71">
        <v>62159</v>
      </c>
      <c r="S1923" s="845">
        <v>9.2827004219409287E-2</v>
      </c>
      <c r="T1923" s="845">
        <v>3.2000000000000001E-2</v>
      </c>
      <c r="U1923" s="845">
        <v>0</v>
      </c>
      <c r="V1923" s="845">
        <v>0</v>
      </c>
      <c r="W1923" s="845">
        <v>0.10989010989010989</v>
      </c>
      <c r="X1923" s="845">
        <v>0.32666666666666666</v>
      </c>
      <c r="Y1923" s="845">
        <v>0.97383966244725739</v>
      </c>
      <c r="Z1923" s="845">
        <v>0</v>
      </c>
      <c r="AA1923" s="845">
        <v>0</v>
      </c>
      <c r="AB1923" s="845">
        <v>0</v>
      </c>
      <c r="AC1923" s="845">
        <v>0</v>
      </c>
      <c r="AD1923" s="845">
        <v>5.6258790436005627E-3</v>
      </c>
      <c r="AE1923" s="845">
        <v>2.0534458509142053E-2</v>
      </c>
      <c r="AF1923" s="845">
        <v>1.8846694796061884E-2</v>
      </c>
      <c r="AG1923" s="845">
        <v>0.96624472573839659</v>
      </c>
      <c r="AH1923" s="20" t="str">
        <f t="shared" si="160"/>
        <v>Yes</v>
      </c>
      <c r="AI1923" s="25"/>
      <c r="AJ1923" s="25"/>
      <c r="AK1923" s="25"/>
      <c r="AL1923" s="25"/>
      <c r="AM1923" s="25"/>
      <c r="AN1923" s="25"/>
      <c r="AO1923" s="25"/>
      <c r="AP1923" s="25"/>
      <c r="AQ1923" s="25"/>
      <c r="AR1923" s="25"/>
      <c r="AS1923" s="25"/>
      <c r="AT1923" s="25"/>
      <c r="AU1923" s="36"/>
      <c r="AV1923" s="36"/>
      <c r="AW1923" s="36"/>
      <c r="AX1923" s="25"/>
      <c r="AY1923" s="25"/>
      <c r="AZ1923" s="25"/>
      <c r="BA1923" s="25"/>
      <c r="BB1923" s="25"/>
      <c r="BC1923" s="25"/>
      <c r="BD1923" s="25"/>
      <c r="BE1923" s="25"/>
      <c r="BF1923" s="25"/>
      <c r="BG1923" s="25"/>
      <c r="BH1923" s="25"/>
      <c r="BI1923" s="25"/>
      <c r="BJ1923" s="25"/>
      <c r="BK1923" s="25"/>
      <c r="BL1923" s="25"/>
      <c r="BM1923" s="25"/>
      <c r="BN1923" s="25"/>
      <c r="BO1923" s="25"/>
      <c r="BP1923" s="25"/>
      <c r="BQ1923" s="25"/>
      <c r="BR1923" s="25"/>
      <c r="BS1923" s="25"/>
      <c r="BT1923" s="25"/>
      <c r="BU1923"/>
      <c r="BV1923"/>
      <c r="BW1923"/>
      <c r="BX1923"/>
      <c r="BY1923"/>
      <c r="BZ1923"/>
      <c r="CA1923"/>
      <c r="CB1923"/>
      <c r="CC1923"/>
      <c r="CD1923" s="25"/>
    </row>
    <row r="1924" spans="1:82" s="17" customFormat="1" x14ac:dyDescent="0.2">
      <c r="A1924" s="25"/>
      <c r="B1924" s="20">
        <v>39095010200</v>
      </c>
      <c r="C1924" s="20">
        <v>102</v>
      </c>
      <c r="D1924" s="20" t="s">
        <v>53</v>
      </c>
      <c r="E1924" s="20" t="s">
        <v>2839</v>
      </c>
      <c r="F1924" s="20" t="s">
        <v>8</v>
      </c>
      <c r="G1924" s="861">
        <v>45.156079169695097</v>
      </c>
      <c r="H1924" s="861">
        <v>45.7830225725479</v>
      </c>
      <c r="I1924" s="861">
        <v>25.553073450911501</v>
      </c>
      <c r="J1924" s="861">
        <v>37.014118098477802</v>
      </c>
      <c r="K1924" s="982">
        <v>1</v>
      </c>
      <c r="L1924" s="735">
        <v>2645</v>
      </c>
      <c r="M1924" s="735">
        <v>2744</v>
      </c>
      <c r="N1924" s="845">
        <f t="shared" si="158"/>
        <v>3.7429111531190926E-2</v>
      </c>
      <c r="O1924" s="735">
        <v>1.1224927978530372</v>
      </c>
      <c r="P1924" s="735">
        <f t="shared" si="159"/>
        <v>2444.559114542541</v>
      </c>
      <c r="Q1924" s="849">
        <v>52.4</v>
      </c>
      <c r="R1924" s="71">
        <v>44375</v>
      </c>
      <c r="S1924" s="845">
        <v>0.12704450361354128</v>
      </c>
      <c r="T1924" s="845">
        <v>6.8000000000000005E-2</v>
      </c>
      <c r="U1924" s="845">
        <v>0</v>
      </c>
      <c r="V1924" s="845">
        <v>6.7000000000000004E-2</v>
      </c>
      <c r="W1924" s="845">
        <v>0.528052805280528</v>
      </c>
      <c r="X1924" s="845">
        <v>0.40875</v>
      </c>
      <c r="Y1924" s="845">
        <v>0.68403790087463556</v>
      </c>
      <c r="Z1924" s="845">
        <v>0.19023323615160351</v>
      </c>
      <c r="AA1924" s="845">
        <v>0</v>
      </c>
      <c r="AB1924" s="845">
        <v>1.5306122448979591E-2</v>
      </c>
      <c r="AC1924" s="845">
        <v>0</v>
      </c>
      <c r="AD1924" s="845">
        <v>2.5874635568513119E-2</v>
      </c>
      <c r="AE1924" s="845">
        <v>8.4548104956268216E-2</v>
      </c>
      <c r="AF1924" s="845">
        <v>0.11260932944606414</v>
      </c>
      <c r="AG1924" s="845">
        <v>0.63192419825072887</v>
      </c>
      <c r="AH1924" s="20" t="str">
        <f t="shared" si="160"/>
        <v>No</v>
      </c>
      <c r="AI1924" s="25"/>
      <c r="AJ1924" s="25"/>
      <c r="AK1924" s="25"/>
      <c r="AL1924" s="25"/>
      <c r="AM1924" s="25"/>
      <c r="AN1924" s="25"/>
      <c r="AO1924" s="25"/>
      <c r="AP1924" s="25"/>
      <c r="AQ1924" s="25"/>
      <c r="AR1924" s="25"/>
      <c r="AS1924" s="25"/>
      <c r="AT1924" s="25"/>
      <c r="AU1924" s="36"/>
      <c r="AV1924" s="36"/>
      <c r="AW1924" s="36"/>
      <c r="AX1924" s="25"/>
      <c r="AY1924" s="25"/>
      <c r="AZ1924" s="25"/>
      <c r="BA1924" s="25"/>
      <c r="BB1924" s="25"/>
      <c r="BC1924" s="25"/>
      <c r="BD1924" s="25"/>
      <c r="BE1924" s="25"/>
      <c r="BF1924" s="25"/>
      <c r="BG1924" s="25"/>
      <c r="BH1924" s="25"/>
      <c r="BI1924" s="25"/>
      <c r="BJ1924" s="25"/>
      <c r="BK1924" s="25"/>
      <c r="BL1924" s="25"/>
      <c r="BM1924" s="25"/>
      <c r="BN1924" s="25"/>
      <c r="BO1924" s="25"/>
      <c r="BP1924" s="25"/>
      <c r="BQ1924" s="25"/>
      <c r="BR1924" s="25"/>
      <c r="BS1924" s="25"/>
      <c r="BT1924" s="25"/>
      <c r="BU1924"/>
      <c r="BV1924"/>
      <c r="BW1924"/>
      <c r="BX1924"/>
      <c r="BY1924"/>
      <c r="BZ1924"/>
      <c r="CA1924"/>
      <c r="CB1924"/>
      <c r="CC1924"/>
      <c r="CD1924" s="25"/>
    </row>
    <row r="1925" spans="1:82" s="17" customFormat="1" x14ac:dyDescent="0.2">
      <c r="A1925" s="25"/>
      <c r="B1925" s="20">
        <v>39095005701</v>
      </c>
      <c r="C1925" s="20">
        <v>57.01</v>
      </c>
      <c r="D1925" s="20" t="s">
        <v>53</v>
      </c>
      <c r="E1925" s="20" t="s">
        <v>2839</v>
      </c>
      <c r="F1925" s="20" t="s">
        <v>8</v>
      </c>
      <c r="G1925" s="861">
        <v>45.155858157750799</v>
      </c>
      <c r="H1925" s="861">
        <v>40.5442565493762</v>
      </c>
      <c r="I1925" s="861">
        <v>40.257943814208502</v>
      </c>
      <c r="J1925" s="861">
        <v>47.469919878022402</v>
      </c>
      <c r="K1925" s="982">
        <v>0</v>
      </c>
      <c r="L1925" s="735">
        <v>3928</v>
      </c>
      <c r="M1925" s="735">
        <v>2672</v>
      </c>
      <c r="N1925" s="845">
        <f t="shared" si="158"/>
        <v>-0.31975560081466398</v>
      </c>
      <c r="O1925" s="735">
        <v>0.98440181642378277</v>
      </c>
      <c r="P1925" s="735">
        <f t="shared" si="159"/>
        <v>2714.3387541756729</v>
      </c>
      <c r="Q1925" s="849">
        <v>45.6</v>
      </c>
      <c r="R1925" s="71">
        <v>48472</v>
      </c>
      <c r="S1925" s="845">
        <v>0.18933132982719761</v>
      </c>
      <c r="T1925" s="845">
        <v>0.11699999999999999</v>
      </c>
      <c r="U1925" s="845">
        <v>0</v>
      </c>
      <c r="V1925" s="845">
        <v>9.1999999999999998E-2</v>
      </c>
      <c r="W1925" s="845">
        <v>0.58243340532757382</v>
      </c>
      <c r="X1925" s="845">
        <v>0.37948084054388131</v>
      </c>
      <c r="Y1925" s="845">
        <v>0.72642215568862278</v>
      </c>
      <c r="Z1925" s="845">
        <v>0.15868263473053892</v>
      </c>
      <c r="AA1925" s="845">
        <v>0</v>
      </c>
      <c r="AB1925" s="845">
        <v>6.3622754491017963E-3</v>
      </c>
      <c r="AC1925" s="845">
        <v>0</v>
      </c>
      <c r="AD1925" s="845">
        <v>1.7589820359281437E-2</v>
      </c>
      <c r="AE1925" s="845">
        <v>9.0943113772455092E-2</v>
      </c>
      <c r="AF1925" s="845">
        <v>7.9341317365269462E-2</v>
      </c>
      <c r="AG1925" s="845">
        <v>0.71818862275449102</v>
      </c>
      <c r="AH1925" s="20" t="str">
        <f t="shared" si="160"/>
        <v>No</v>
      </c>
      <c r="AI1925" s="25"/>
      <c r="AJ1925" s="25"/>
      <c r="AK1925" s="25"/>
      <c r="AL1925" s="25"/>
      <c r="AM1925" s="25"/>
      <c r="AN1925" s="25"/>
      <c r="AO1925" s="25"/>
      <c r="AP1925" s="25"/>
      <c r="AQ1925" s="25"/>
      <c r="AR1925" s="25"/>
      <c r="AS1925" s="25"/>
      <c r="AT1925" s="25"/>
      <c r="AU1925" s="36"/>
      <c r="AV1925" s="36"/>
      <c r="AW1925" s="36"/>
      <c r="AX1925" s="25"/>
      <c r="AY1925" s="25"/>
      <c r="AZ1925" s="25"/>
      <c r="BA1925" s="25"/>
      <c r="BB1925" s="25"/>
      <c r="BC1925" s="25"/>
      <c r="BD1925" s="25"/>
      <c r="BE1925" s="25"/>
      <c r="BF1925" s="25"/>
      <c r="BG1925" s="25"/>
      <c r="BH1925" s="25"/>
      <c r="BI1925" s="25"/>
      <c r="BJ1925" s="25"/>
      <c r="BK1925" s="25"/>
      <c r="BL1925" s="25"/>
      <c r="BM1925" s="25"/>
      <c r="BN1925" s="25"/>
      <c r="BO1925" s="25"/>
      <c r="BP1925" s="25"/>
      <c r="BQ1925" s="25"/>
      <c r="BR1925" s="25"/>
      <c r="BS1925" s="25"/>
      <c r="BT1925" s="25"/>
      <c r="BU1925"/>
      <c r="BV1925"/>
      <c r="BW1925"/>
      <c r="BX1925"/>
      <c r="BY1925"/>
      <c r="BZ1925"/>
      <c r="CA1925"/>
      <c r="CB1925"/>
      <c r="CC1925"/>
      <c r="CD1925" s="25"/>
    </row>
    <row r="1926" spans="1:82" s="17" customFormat="1" x14ac:dyDescent="0.2">
      <c r="A1926" s="25"/>
      <c r="B1926" s="20">
        <v>39109365200</v>
      </c>
      <c r="C1926" s="20">
        <v>3652</v>
      </c>
      <c r="D1926" s="20" t="s">
        <v>60</v>
      </c>
      <c r="E1926" s="20" t="s">
        <v>2833</v>
      </c>
      <c r="F1926" s="20" t="s">
        <v>8</v>
      </c>
      <c r="G1926" s="861">
        <v>45.144270620671897</v>
      </c>
      <c r="H1926" s="861">
        <v>48.902824718668498</v>
      </c>
      <c r="I1926" s="861">
        <v>39.2963009499097</v>
      </c>
      <c r="J1926" s="861">
        <v>50.688249159720698</v>
      </c>
      <c r="K1926" s="982">
        <v>0</v>
      </c>
      <c r="L1926" s="735">
        <v>3476</v>
      </c>
      <c r="M1926" s="735">
        <v>3648</v>
      </c>
      <c r="N1926" s="845">
        <f t="shared" si="158"/>
        <v>4.9482163406214037E-2</v>
      </c>
      <c r="O1926" s="735">
        <v>2.348591862840637</v>
      </c>
      <c r="P1926" s="735">
        <f t="shared" si="159"/>
        <v>1553.2711569509231</v>
      </c>
      <c r="Q1926" s="849">
        <v>33.4</v>
      </c>
      <c r="R1926" s="71">
        <v>56176</v>
      </c>
      <c r="S1926" s="845">
        <v>0.20202850877192982</v>
      </c>
      <c r="T1926" s="845">
        <v>4.4999999999999998E-2</v>
      </c>
      <c r="U1926" s="845">
        <v>2.3E-2</v>
      </c>
      <c r="V1926" s="845">
        <v>0</v>
      </c>
      <c r="W1926" s="845">
        <v>0.39831606217616583</v>
      </c>
      <c r="X1926" s="845">
        <v>0.47642276422764229</v>
      </c>
      <c r="Y1926" s="845">
        <v>0.90460526315789469</v>
      </c>
      <c r="Z1926" s="845">
        <v>2.4122807017543858E-2</v>
      </c>
      <c r="AA1926" s="845">
        <v>0</v>
      </c>
      <c r="AB1926" s="845">
        <v>3.8377192982456138E-3</v>
      </c>
      <c r="AC1926" s="845">
        <v>0</v>
      </c>
      <c r="AD1926" s="845">
        <v>0</v>
      </c>
      <c r="AE1926" s="845">
        <v>6.7434210526315791E-2</v>
      </c>
      <c r="AF1926" s="845">
        <v>5.4824561403508769E-4</v>
      </c>
      <c r="AG1926" s="845">
        <v>0.90460526315789469</v>
      </c>
      <c r="AH1926" s="20" t="str">
        <f t="shared" si="160"/>
        <v>Yes</v>
      </c>
      <c r="AI1926" s="25"/>
      <c r="AJ1926" s="25"/>
      <c r="AK1926" s="25"/>
      <c r="AL1926" s="25"/>
      <c r="AM1926" s="25"/>
      <c r="AN1926" s="25"/>
      <c r="AO1926" s="25"/>
      <c r="AP1926" s="25"/>
      <c r="AQ1926" s="25"/>
      <c r="AR1926" s="25"/>
      <c r="AS1926" s="25"/>
      <c r="AT1926" s="25"/>
      <c r="AU1926" s="36"/>
      <c r="AV1926" s="36"/>
      <c r="AW1926" s="36"/>
      <c r="AX1926" s="25"/>
      <c r="AY1926" s="25"/>
      <c r="AZ1926" s="25"/>
      <c r="BA1926" s="25"/>
      <c r="BB1926" s="25"/>
      <c r="BC1926" s="25"/>
      <c r="BD1926" s="25"/>
      <c r="BE1926" s="25"/>
      <c r="BF1926" s="25"/>
      <c r="BG1926" s="25"/>
      <c r="BH1926" s="25"/>
      <c r="BI1926" s="25"/>
      <c r="BJ1926" s="25"/>
      <c r="BK1926" s="25"/>
      <c r="BL1926" s="25"/>
      <c r="BM1926" s="25"/>
      <c r="BN1926" s="25"/>
      <c r="BO1926" s="25"/>
      <c r="BP1926" s="25"/>
      <c r="BQ1926" s="25"/>
      <c r="BR1926" s="25"/>
      <c r="BS1926" s="25"/>
      <c r="BT1926" s="25"/>
      <c r="BU1926"/>
      <c r="BV1926"/>
      <c r="BW1926"/>
      <c r="BX1926"/>
      <c r="BY1926"/>
      <c r="BZ1926"/>
      <c r="CA1926"/>
      <c r="CB1926"/>
      <c r="CC1926"/>
      <c r="CD1926" s="25"/>
    </row>
    <row r="1927" spans="1:82" s="17" customFormat="1" x14ac:dyDescent="0.2">
      <c r="A1927" s="25"/>
      <c r="B1927" s="20">
        <v>39101000501</v>
      </c>
      <c r="C1927" s="20">
        <v>5.01</v>
      </c>
      <c r="D1927" s="20" t="s">
        <v>56</v>
      </c>
      <c r="E1927" s="20" t="s">
        <v>265</v>
      </c>
      <c r="F1927" s="20" t="s">
        <v>8</v>
      </c>
      <c r="G1927" s="861">
        <v>45.120266938936403</v>
      </c>
      <c r="H1927" s="861">
        <v>45.188302140254997</v>
      </c>
      <c r="I1927" s="861">
        <v>34.3127937216858</v>
      </c>
      <c r="J1927" s="861">
        <v>47.059246189468098</v>
      </c>
      <c r="K1927" s="982">
        <v>0</v>
      </c>
      <c r="L1927" s="735">
        <v>2451</v>
      </c>
      <c r="M1927" s="735">
        <v>3192</v>
      </c>
      <c r="N1927" s="845">
        <f t="shared" si="158"/>
        <v>0.30232558139534882</v>
      </c>
      <c r="O1927" s="735">
        <v>0.38896394779202287</v>
      </c>
      <c r="P1927" s="735">
        <f t="shared" si="159"/>
        <v>8206.4160910531136</v>
      </c>
      <c r="Q1927" s="849">
        <v>28.8</v>
      </c>
      <c r="R1927" s="71">
        <v>42173</v>
      </c>
      <c r="S1927" s="845">
        <v>0.11360718870346598</v>
      </c>
      <c r="T1927" s="845">
        <v>0.126</v>
      </c>
      <c r="U1927" s="845">
        <v>0</v>
      </c>
      <c r="V1927" s="845">
        <v>6.8000000000000005E-2</v>
      </c>
      <c r="W1927" s="845">
        <v>0.34689922480620156</v>
      </c>
      <c r="X1927" s="845">
        <v>0.54748603351955305</v>
      </c>
      <c r="Y1927" s="845">
        <v>0.89254385964912286</v>
      </c>
      <c r="Z1927" s="845">
        <v>5.0438596491228067E-2</v>
      </c>
      <c r="AA1927" s="845">
        <v>3.1328320802005011E-4</v>
      </c>
      <c r="AB1927" s="845">
        <v>1.5977443609022556E-2</v>
      </c>
      <c r="AC1927" s="845">
        <v>0</v>
      </c>
      <c r="AD1927" s="845">
        <v>3.1328320802005011E-4</v>
      </c>
      <c r="AE1927" s="845">
        <v>4.0413533834586464E-2</v>
      </c>
      <c r="AF1927" s="845">
        <v>6.5789473684210523E-3</v>
      </c>
      <c r="AG1927" s="845">
        <v>0.88627819548872178</v>
      </c>
      <c r="AH1927" s="20" t="str">
        <f t="shared" si="160"/>
        <v>No</v>
      </c>
      <c r="AI1927" s="25"/>
      <c r="AJ1927" s="25"/>
      <c r="AK1927" s="25"/>
      <c r="AL1927" s="25"/>
      <c r="AM1927" s="25"/>
      <c r="AN1927" s="25"/>
      <c r="AO1927" s="25"/>
      <c r="AP1927" s="25"/>
      <c r="AQ1927" s="25"/>
      <c r="AR1927" s="25"/>
      <c r="AS1927" s="25"/>
      <c r="AT1927" s="25"/>
      <c r="AU1927" s="36"/>
      <c r="AV1927" s="36"/>
      <c r="AW1927" s="36"/>
      <c r="AX1927" s="25"/>
      <c r="AY1927" s="25"/>
      <c r="AZ1927" s="25"/>
      <c r="BA1927" s="25"/>
      <c r="BB1927" s="25"/>
      <c r="BC1927" s="25"/>
      <c r="BD1927" s="25"/>
      <c r="BE1927" s="25"/>
      <c r="BF1927" s="25"/>
      <c r="BG1927" s="25"/>
      <c r="BH1927" s="25"/>
      <c r="BI1927" s="25"/>
      <c r="BJ1927" s="25"/>
      <c r="BK1927" s="25"/>
      <c r="BL1927" s="25"/>
      <c r="BM1927" s="25"/>
      <c r="BN1927" s="25"/>
      <c r="BO1927" s="25"/>
      <c r="BP1927" s="25"/>
      <c r="BQ1927" s="25"/>
      <c r="BR1927" s="25"/>
      <c r="BS1927" s="25"/>
      <c r="BT1927" s="25"/>
      <c r="BU1927"/>
      <c r="BV1927"/>
      <c r="BW1927"/>
      <c r="BX1927"/>
      <c r="BY1927"/>
      <c r="BZ1927"/>
      <c r="CA1927"/>
      <c r="CB1927"/>
      <c r="CC1927"/>
      <c r="CD1927" s="25"/>
    </row>
    <row r="1928" spans="1:82" s="17" customFormat="1" x14ac:dyDescent="0.2">
      <c r="A1928" s="25"/>
      <c r="B1928" s="20">
        <v>39087051102</v>
      </c>
      <c r="C1928" s="20">
        <v>511.02</v>
      </c>
      <c r="D1928" s="20" t="s">
        <v>49</v>
      </c>
      <c r="E1928" s="20" t="s">
        <v>2834</v>
      </c>
      <c r="F1928" s="20" t="s">
        <v>8</v>
      </c>
      <c r="G1928" s="861">
        <v>45.073426081651398</v>
      </c>
      <c r="H1928" s="861">
        <v>37.091305787965197</v>
      </c>
      <c r="I1928" s="861">
        <v>30.976311826644402</v>
      </c>
      <c r="J1928" s="861">
        <v>41.194547030579898</v>
      </c>
      <c r="K1928" s="982">
        <v>0</v>
      </c>
      <c r="L1928" s="735" t="s">
        <v>2466</v>
      </c>
      <c r="M1928" s="735">
        <v>2656</v>
      </c>
      <c r="N1928" s="845" t="str">
        <f t="shared" si="158"/>
        <v/>
      </c>
      <c r="O1928" s="735">
        <v>1.6487098853901689</v>
      </c>
      <c r="P1928" s="735">
        <f t="shared" si="159"/>
        <v>1610.9565567209872</v>
      </c>
      <c r="Q1928" s="849">
        <v>52.6</v>
      </c>
      <c r="R1928" s="71">
        <v>38380</v>
      </c>
      <c r="S1928" s="845">
        <v>0.10205728116175877</v>
      </c>
      <c r="T1928" s="845">
        <v>8.0000000000000002E-3</v>
      </c>
      <c r="U1928" s="845">
        <v>0</v>
      </c>
      <c r="V1928" s="845">
        <v>8.3000000000000004E-2</v>
      </c>
      <c r="W1928" s="845">
        <v>0.58228840125391845</v>
      </c>
      <c r="X1928" s="845">
        <v>0.24629878869448182</v>
      </c>
      <c r="Y1928" s="845">
        <v>0.84149096385542166</v>
      </c>
      <c r="Z1928" s="845">
        <v>2.5978915662650603E-2</v>
      </c>
      <c r="AA1928" s="845">
        <v>0</v>
      </c>
      <c r="AB1928" s="845">
        <v>0</v>
      </c>
      <c r="AC1928" s="845">
        <v>0</v>
      </c>
      <c r="AD1928" s="845">
        <v>3.614457831325301E-2</v>
      </c>
      <c r="AE1928" s="845">
        <v>9.6385542168674704E-2</v>
      </c>
      <c r="AF1928" s="845">
        <v>3.1626506024096383E-2</v>
      </c>
      <c r="AG1928" s="845">
        <v>0.82304216867469882</v>
      </c>
      <c r="AH1928" s="20" t="str">
        <f t="shared" si="160"/>
        <v>No</v>
      </c>
      <c r="AI1928" s="25"/>
      <c r="AJ1928" s="25"/>
      <c r="AK1928" s="25"/>
      <c r="AL1928" s="25"/>
      <c r="AM1928" s="25"/>
      <c r="AN1928" s="25"/>
      <c r="AO1928" s="25"/>
      <c r="AP1928" s="25"/>
      <c r="AQ1928" s="25"/>
      <c r="AR1928" s="25"/>
      <c r="AS1928" s="25"/>
      <c r="AT1928" s="25"/>
      <c r="AU1928" s="36"/>
      <c r="AV1928" s="36"/>
      <c r="AW1928" s="36"/>
      <c r="AX1928" s="25"/>
      <c r="AY1928" s="25"/>
      <c r="AZ1928" s="25"/>
      <c r="BA1928" s="25"/>
      <c r="BB1928" s="25"/>
      <c r="BC1928" s="25"/>
      <c r="BD1928" s="25"/>
      <c r="BE1928" s="25"/>
      <c r="BF1928" s="25"/>
      <c r="BG1928" s="25"/>
      <c r="BH1928" s="25"/>
      <c r="BI1928" s="25"/>
      <c r="BJ1928" s="25"/>
      <c r="BK1928" s="25"/>
      <c r="BL1928" s="25"/>
      <c r="BM1928" s="25"/>
      <c r="BN1928" s="25"/>
      <c r="BO1928" s="25"/>
      <c r="BP1928" s="25"/>
      <c r="BQ1928" s="25"/>
      <c r="BR1928" s="25"/>
      <c r="BS1928" s="25"/>
      <c r="BT1928" s="25"/>
      <c r="BU1928"/>
      <c r="BV1928"/>
      <c r="BW1928"/>
      <c r="BX1928"/>
      <c r="BY1928"/>
      <c r="BZ1928"/>
      <c r="CA1928"/>
      <c r="CB1928"/>
      <c r="CC1928"/>
      <c r="CD1928" s="25"/>
    </row>
    <row r="1929" spans="1:82" s="17" customFormat="1" x14ac:dyDescent="0.2">
      <c r="A1929" s="25"/>
      <c r="B1929" s="20">
        <v>39153520104</v>
      </c>
      <c r="C1929" s="20">
        <v>5201.04</v>
      </c>
      <c r="D1929" s="20" t="s">
        <v>82</v>
      </c>
      <c r="E1929" s="20" t="s">
        <v>2843</v>
      </c>
      <c r="F1929" s="20" t="s">
        <v>8</v>
      </c>
      <c r="G1929" s="861">
        <v>45.0549030724221</v>
      </c>
      <c r="H1929" s="861">
        <v>58.176924716817801</v>
      </c>
      <c r="I1929" s="861">
        <v>35.838000805918398</v>
      </c>
      <c r="J1929" s="861">
        <v>34.949535025821298</v>
      </c>
      <c r="K1929" s="982">
        <v>0</v>
      </c>
      <c r="L1929" s="735">
        <v>4623</v>
      </c>
      <c r="M1929" s="735">
        <v>3714</v>
      </c>
      <c r="N1929" s="845">
        <f t="shared" si="158"/>
        <v>-0.19662556781310836</v>
      </c>
      <c r="O1929" s="735">
        <v>0.74422079103675887</v>
      </c>
      <c r="P1929" s="735">
        <f t="shared" si="159"/>
        <v>4990.4545058813828</v>
      </c>
      <c r="Q1929" s="849">
        <v>34.5</v>
      </c>
      <c r="R1929" s="71">
        <v>57660</v>
      </c>
      <c r="S1929" s="845">
        <v>8.9502762430939228E-2</v>
      </c>
      <c r="T1929" s="845">
        <v>3.9E-2</v>
      </c>
      <c r="U1929" s="845">
        <v>0</v>
      </c>
      <c r="V1929" s="845">
        <v>0.107</v>
      </c>
      <c r="W1929" s="845">
        <v>0.50127097102186069</v>
      </c>
      <c r="X1929" s="845">
        <v>0.41582150101419879</v>
      </c>
      <c r="Y1929" s="845">
        <v>0.79456112008616042</v>
      </c>
      <c r="Z1929" s="845">
        <v>1.6693591814754979E-2</v>
      </c>
      <c r="AA1929" s="845">
        <v>0</v>
      </c>
      <c r="AB1929" s="845">
        <v>0.11550888529886914</v>
      </c>
      <c r="AC1929" s="845">
        <v>0</v>
      </c>
      <c r="AD1929" s="845">
        <v>4.3080236941303177E-3</v>
      </c>
      <c r="AE1929" s="845">
        <v>6.8928379106085083E-2</v>
      </c>
      <c r="AF1929" s="845">
        <v>2.4771136241249325E-2</v>
      </c>
      <c r="AG1929" s="845">
        <v>0.78432956381260099</v>
      </c>
      <c r="AH1929" s="20" t="str">
        <f t="shared" si="160"/>
        <v>No</v>
      </c>
      <c r="AI1929" s="25"/>
      <c r="AJ1929" s="25"/>
      <c r="AK1929" s="25"/>
      <c r="AL1929" s="25"/>
      <c r="AM1929" s="25"/>
      <c r="AN1929" s="25"/>
      <c r="AO1929" s="25"/>
      <c r="AP1929" s="25"/>
      <c r="AQ1929" s="25"/>
      <c r="AR1929" s="25"/>
      <c r="AS1929" s="25"/>
      <c r="AT1929" s="25"/>
      <c r="AU1929" s="36"/>
      <c r="AV1929" s="36"/>
      <c r="AW1929" s="36"/>
      <c r="AX1929" s="25"/>
      <c r="AY1929" s="25"/>
      <c r="AZ1929" s="25"/>
      <c r="BA1929" s="25"/>
      <c r="BB1929" s="25"/>
      <c r="BC1929" s="25"/>
      <c r="BD1929" s="25"/>
      <c r="BE1929" s="25"/>
      <c r="BF1929" s="25"/>
      <c r="BG1929" s="25"/>
      <c r="BH1929" s="25"/>
      <c r="BI1929" s="25"/>
      <c r="BJ1929" s="25"/>
      <c r="BK1929" s="25"/>
      <c r="BL1929" s="25"/>
      <c r="BM1929" s="25"/>
      <c r="BN1929" s="25"/>
      <c r="BO1929" s="25"/>
      <c r="BP1929" s="25"/>
      <c r="BQ1929" s="25"/>
      <c r="BR1929" s="25"/>
      <c r="BS1929" s="25"/>
      <c r="BT1929" s="25"/>
      <c r="BU1929"/>
      <c r="BV1929"/>
      <c r="BW1929"/>
      <c r="BX1929"/>
      <c r="BY1929"/>
      <c r="BZ1929"/>
      <c r="CA1929"/>
      <c r="CB1929"/>
      <c r="CC1929"/>
      <c r="CD1929" s="25"/>
    </row>
    <row r="1930" spans="1:82" s="17" customFormat="1" x14ac:dyDescent="0.2">
      <c r="A1930" s="25"/>
      <c r="B1930" s="20">
        <v>39135470102</v>
      </c>
      <c r="C1930" s="20">
        <v>4701.0200000000004</v>
      </c>
      <c r="D1930" s="20" t="s">
        <v>73</v>
      </c>
      <c r="E1930" s="20" t="s">
        <v>265</v>
      </c>
      <c r="F1930" s="20" t="s">
        <v>8</v>
      </c>
      <c r="G1930" s="861">
        <v>45.036411972933202</v>
      </c>
      <c r="H1930" s="861">
        <v>56.114627003311497</v>
      </c>
      <c r="I1930" s="861">
        <v>36.949567366001098</v>
      </c>
      <c r="J1930" s="861">
        <v>38.898318821329298</v>
      </c>
      <c r="K1930" s="982">
        <v>0</v>
      </c>
      <c r="L1930" s="735">
        <v>4312</v>
      </c>
      <c r="M1930" s="735">
        <v>4219</v>
      </c>
      <c r="N1930" s="845">
        <f t="shared" si="158"/>
        <v>-2.1567717996289426E-2</v>
      </c>
      <c r="O1930" s="735">
        <v>47.809154614227168</v>
      </c>
      <c r="P1930" s="735">
        <f t="shared" si="159"/>
        <v>88.246697395994104</v>
      </c>
      <c r="Q1930" s="849">
        <v>44.7</v>
      </c>
      <c r="R1930" s="71">
        <v>56754</v>
      </c>
      <c r="S1930" s="845">
        <v>0.20170859041290934</v>
      </c>
      <c r="T1930" s="845">
        <v>0.02</v>
      </c>
      <c r="U1930" s="845">
        <v>0.01</v>
      </c>
      <c r="V1930" s="845">
        <v>0</v>
      </c>
      <c r="W1930" s="845">
        <v>0.27626918536009443</v>
      </c>
      <c r="X1930" s="845">
        <v>0.44871794871794873</v>
      </c>
      <c r="Y1930" s="845">
        <v>0.97629770087698509</v>
      </c>
      <c r="Z1930" s="845">
        <v>3.7923678596823891E-3</v>
      </c>
      <c r="AA1930" s="845">
        <v>0</v>
      </c>
      <c r="AB1930" s="845">
        <v>1.4221379473808959E-3</v>
      </c>
      <c r="AC1930" s="845">
        <v>0</v>
      </c>
      <c r="AD1930" s="845">
        <v>0</v>
      </c>
      <c r="AE1930" s="845">
        <v>1.8487793315951646E-2</v>
      </c>
      <c r="AF1930" s="845">
        <v>7.3477127281346291E-3</v>
      </c>
      <c r="AG1930" s="845">
        <v>0.97629770087698509</v>
      </c>
      <c r="AH1930" s="20" t="str">
        <f t="shared" si="160"/>
        <v>Yes</v>
      </c>
      <c r="AI1930" s="25"/>
      <c r="AJ1930" s="25"/>
      <c r="AK1930" s="25"/>
      <c r="AL1930" s="25"/>
      <c r="AM1930" s="25"/>
      <c r="AN1930" s="25"/>
      <c r="AO1930" s="25"/>
      <c r="AP1930" s="25"/>
      <c r="AQ1930" s="25"/>
      <c r="AR1930" s="25"/>
      <c r="AS1930" s="25"/>
      <c r="AT1930" s="25"/>
      <c r="AU1930" s="36"/>
      <c r="AV1930" s="36"/>
      <c r="AW1930" s="36"/>
      <c r="AX1930" s="25"/>
      <c r="AY1930" s="25"/>
      <c r="AZ1930" s="25"/>
      <c r="BA1930" s="25"/>
      <c r="BB1930" s="25"/>
      <c r="BC1930" s="25"/>
      <c r="BD1930" s="25"/>
      <c r="BE1930" s="25"/>
      <c r="BF1930" s="25"/>
      <c r="BG1930" s="25"/>
      <c r="BH1930" s="25"/>
      <c r="BI1930" s="25"/>
      <c r="BJ1930" s="25"/>
      <c r="BK1930" s="25"/>
      <c r="BL1930" s="25"/>
      <c r="BM1930" s="25"/>
      <c r="BN1930" s="25"/>
      <c r="BO1930" s="25"/>
      <c r="BP1930" s="25"/>
      <c r="BQ1930" s="25"/>
      <c r="BR1930" s="25"/>
      <c r="BS1930" s="25"/>
      <c r="BT1930" s="25"/>
      <c r="BU1930"/>
      <c r="BV1930"/>
      <c r="BW1930"/>
      <c r="BX1930"/>
      <c r="BY1930"/>
      <c r="BZ1930"/>
      <c r="CA1930"/>
      <c r="CB1930"/>
      <c r="CC1930"/>
      <c r="CD1930" s="25"/>
    </row>
    <row r="1931" spans="1:82" s="17" customFormat="1" x14ac:dyDescent="0.2">
      <c r="A1931" s="25"/>
      <c r="B1931" s="20">
        <v>39035152102</v>
      </c>
      <c r="C1931" s="20">
        <v>1521.02</v>
      </c>
      <c r="D1931" s="20" t="s">
        <v>24</v>
      </c>
      <c r="E1931" s="20" t="s">
        <v>2829</v>
      </c>
      <c r="F1931" s="20" t="s">
        <v>8</v>
      </c>
      <c r="G1931" s="861">
        <v>45.030272352911197</v>
      </c>
      <c r="H1931" s="861">
        <v>47.487865143193503</v>
      </c>
      <c r="I1931" s="861">
        <v>35.4359414370604</v>
      </c>
      <c r="J1931" s="861">
        <v>49.102180541585298</v>
      </c>
      <c r="K1931" s="982">
        <v>0</v>
      </c>
      <c r="L1931" s="735">
        <v>4189</v>
      </c>
      <c r="M1931" s="735">
        <v>5657</v>
      </c>
      <c r="N1931" s="845">
        <f t="shared" ref="N1931:N1994" si="161">IF(OR(L1931="",M1931=""),"",(M1931-L1931)/L1931)</f>
        <v>0.35044163284793506</v>
      </c>
      <c r="O1931" s="735">
        <v>0.55079364823802224</v>
      </c>
      <c r="P1931" s="735">
        <f t="shared" ref="P1931:P1994" si="162">M1931/O1931</f>
        <v>10270.634053418424</v>
      </c>
      <c r="Q1931" s="849">
        <v>36.1</v>
      </c>
      <c r="R1931" s="71">
        <v>66434</v>
      </c>
      <c r="S1931" s="845">
        <v>7.7566269347091266E-2</v>
      </c>
      <c r="T1931" s="845">
        <v>3.4000000000000002E-2</v>
      </c>
      <c r="U1931" s="845">
        <v>1.8000000000000002E-2</v>
      </c>
      <c r="V1931" s="845">
        <v>0</v>
      </c>
      <c r="W1931" s="845">
        <v>0.44310511089681776</v>
      </c>
      <c r="X1931" s="845">
        <v>0.27747551686615884</v>
      </c>
      <c r="Y1931" s="845">
        <v>0.3489482057627718</v>
      </c>
      <c r="Z1931" s="845">
        <v>0.54622591479582816</v>
      </c>
      <c r="AA1931" s="845">
        <v>0</v>
      </c>
      <c r="AB1931" s="845">
        <v>8.308290613399329E-3</v>
      </c>
      <c r="AC1931" s="845">
        <v>0</v>
      </c>
      <c r="AD1931" s="845">
        <v>0</v>
      </c>
      <c r="AE1931" s="845">
        <v>9.6517588828000711E-2</v>
      </c>
      <c r="AF1931" s="845">
        <v>1.7146897648930529E-2</v>
      </c>
      <c r="AG1931" s="845">
        <v>0.33922573802368744</v>
      </c>
      <c r="AH1931" s="20" t="str">
        <f t="shared" ref="AH1931:AH1994" si="163">IF(AG1931&gt;=0.9,"Yes","No")</f>
        <v>No</v>
      </c>
      <c r="AI1931" s="25"/>
      <c r="AJ1931" s="25"/>
      <c r="AK1931" s="25"/>
      <c r="AL1931" s="25"/>
      <c r="AM1931" s="25"/>
      <c r="AN1931" s="25"/>
      <c r="AO1931" s="25"/>
      <c r="AP1931" s="25"/>
      <c r="AQ1931" s="25"/>
      <c r="AR1931" s="25"/>
      <c r="AS1931" s="25"/>
      <c r="AT1931" s="25"/>
      <c r="AU1931" s="36"/>
      <c r="AV1931" s="36"/>
      <c r="AW1931" s="36"/>
      <c r="AX1931" s="25"/>
      <c r="AY1931" s="25"/>
      <c r="AZ1931" s="25"/>
      <c r="BA1931" s="25"/>
      <c r="BB1931" s="25"/>
      <c r="BC1931" s="25"/>
      <c r="BD1931" s="25"/>
      <c r="BE1931" s="25"/>
      <c r="BF1931" s="25"/>
      <c r="BG1931" s="25"/>
      <c r="BH1931" s="25"/>
      <c r="BI1931" s="25"/>
      <c r="BJ1931" s="25"/>
      <c r="BK1931" s="25"/>
      <c r="BL1931" s="25"/>
      <c r="BM1931" s="25"/>
      <c r="BN1931" s="25"/>
      <c r="BO1931" s="25"/>
      <c r="BP1931" s="25"/>
      <c r="BQ1931" s="25"/>
      <c r="BR1931" s="25"/>
      <c r="BS1931" s="25"/>
      <c r="BT1931" s="25"/>
      <c r="BU1931"/>
      <c r="BV1931"/>
      <c r="BW1931"/>
      <c r="BX1931"/>
      <c r="BY1931"/>
      <c r="BZ1931"/>
      <c r="CA1931"/>
      <c r="CB1931"/>
      <c r="CC1931"/>
      <c r="CD1931" s="25"/>
    </row>
    <row r="1932" spans="1:82" s="17" customFormat="1" x14ac:dyDescent="0.2">
      <c r="A1932" s="25"/>
      <c r="B1932" s="20">
        <v>39061003300</v>
      </c>
      <c r="C1932" s="20">
        <v>33</v>
      </c>
      <c r="D1932" s="20" t="s">
        <v>37</v>
      </c>
      <c r="E1932" s="20" t="s">
        <v>2828</v>
      </c>
      <c r="F1932" s="20" t="s">
        <v>6</v>
      </c>
      <c r="G1932" s="861">
        <v>45.029908350764202</v>
      </c>
      <c r="H1932" s="861">
        <v>81.172900844152693</v>
      </c>
      <c r="I1932" s="861">
        <v>64.879762668379499</v>
      </c>
      <c r="J1932" s="861">
        <v>48.5517030425897</v>
      </c>
      <c r="K1932" s="982">
        <v>0</v>
      </c>
      <c r="L1932" s="735">
        <v>1667</v>
      </c>
      <c r="M1932" s="735">
        <v>2839</v>
      </c>
      <c r="N1932" s="845">
        <f t="shared" si="161"/>
        <v>0.70305938812237556</v>
      </c>
      <c r="O1932" s="735">
        <v>0.20397815648659484</v>
      </c>
      <c r="P1932" s="735">
        <f t="shared" si="162"/>
        <v>13918.156967883839</v>
      </c>
      <c r="Q1932" s="849">
        <v>22.3</v>
      </c>
      <c r="R1932" s="71">
        <v>26787</v>
      </c>
      <c r="S1932" s="845">
        <v>0.55724637681159417</v>
      </c>
      <c r="T1932" s="845">
        <v>9.3000000000000013E-2</v>
      </c>
      <c r="U1932" s="845">
        <v>0</v>
      </c>
      <c r="V1932" s="845">
        <v>9.1999999999999998E-2</v>
      </c>
      <c r="W1932" s="845">
        <v>0.93754940711462453</v>
      </c>
      <c r="X1932" s="845">
        <v>0.62900505902192239</v>
      </c>
      <c r="Y1932" s="845">
        <v>0.69249735822472702</v>
      </c>
      <c r="Z1932" s="845">
        <v>0.10954561465304685</v>
      </c>
      <c r="AA1932" s="845">
        <v>0</v>
      </c>
      <c r="AB1932" s="845">
        <v>9.4399436421275101E-2</v>
      </c>
      <c r="AC1932" s="845">
        <v>0</v>
      </c>
      <c r="AD1932" s="845">
        <v>1.8668545262416344E-2</v>
      </c>
      <c r="AE1932" s="845">
        <v>8.4889045438534691E-2</v>
      </c>
      <c r="AF1932" s="845">
        <v>4.1211694258541737E-2</v>
      </c>
      <c r="AG1932" s="845">
        <v>0.6699542092286016</v>
      </c>
      <c r="AH1932" s="20" t="str">
        <f t="shared" si="163"/>
        <v>No</v>
      </c>
      <c r="AI1932" s="25"/>
      <c r="AJ1932" s="25"/>
      <c r="AK1932" s="25"/>
      <c r="AL1932" s="25"/>
      <c r="AM1932" s="25"/>
      <c r="AN1932" s="25"/>
      <c r="AO1932" s="25"/>
      <c r="AP1932" s="25"/>
      <c r="AQ1932" s="25"/>
      <c r="AR1932" s="25"/>
      <c r="AS1932" s="25"/>
      <c r="AT1932" s="25"/>
      <c r="AU1932" s="36"/>
      <c r="AV1932" s="36"/>
      <c r="AW1932" s="36"/>
      <c r="AX1932" s="25"/>
      <c r="AY1932" s="25"/>
      <c r="AZ1932" s="25"/>
      <c r="BA1932" s="25"/>
      <c r="BB1932" s="25"/>
      <c r="BC1932" s="25"/>
      <c r="BD1932" s="25"/>
      <c r="BE1932" s="25"/>
      <c r="BF1932" s="25"/>
      <c r="BG1932" s="25"/>
      <c r="BH1932" s="25"/>
      <c r="BI1932" s="25"/>
      <c r="BJ1932" s="25"/>
      <c r="BK1932" s="25"/>
      <c r="BL1932" s="25"/>
      <c r="BM1932" s="25"/>
      <c r="BN1932" s="25"/>
      <c r="BO1932" s="25"/>
      <c r="BP1932" s="25"/>
      <c r="BQ1932" s="25"/>
      <c r="BR1932" s="25"/>
      <c r="BS1932" s="25"/>
      <c r="BT1932" s="25"/>
      <c r="BU1932"/>
      <c r="BV1932"/>
      <c r="BW1932"/>
      <c r="BX1932"/>
      <c r="BY1932"/>
      <c r="BZ1932"/>
      <c r="CA1932"/>
      <c r="CB1932"/>
      <c r="CC1932"/>
      <c r="CD1932" s="25"/>
    </row>
    <row r="1933" spans="1:82" s="17" customFormat="1" x14ac:dyDescent="0.2">
      <c r="A1933" s="25"/>
      <c r="B1933" s="20">
        <v>39153502102</v>
      </c>
      <c r="C1933" s="20">
        <v>5021.0200000000004</v>
      </c>
      <c r="D1933" s="20" t="s">
        <v>82</v>
      </c>
      <c r="E1933" s="20" t="s">
        <v>2843</v>
      </c>
      <c r="F1933" s="20" t="s">
        <v>6</v>
      </c>
      <c r="G1933" s="861">
        <v>45.0158399354629</v>
      </c>
      <c r="H1933" s="861">
        <v>50.929858220118497</v>
      </c>
      <c r="I1933" s="861">
        <v>52.897543911712098</v>
      </c>
      <c r="J1933" s="861">
        <v>33.929859701444101</v>
      </c>
      <c r="K1933" s="982">
        <v>0</v>
      </c>
      <c r="L1933" s="735">
        <v>4366</v>
      </c>
      <c r="M1933" s="735">
        <v>3938</v>
      </c>
      <c r="N1933" s="845">
        <f t="shared" si="161"/>
        <v>-9.8030233623453963E-2</v>
      </c>
      <c r="O1933" s="735">
        <v>1.4152980030475895</v>
      </c>
      <c r="P1933" s="735">
        <f t="shared" si="162"/>
        <v>2782.4528767229417</v>
      </c>
      <c r="Q1933" s="849">
        <v>33.1</v>
      </c>
      <c r="R1933" s="71">
        <v>37739</v>
      </c>
      <c r="S1933" s="845">
        <v>0.28593311207556804</v>
      </c>
      <c r="T1933" s="845">
        <v>7.4999999999999997E-2</v>
      </c>
      <c r="U1933" s="845">
        <v>0.09</v>
      </c>
      <c r="V1933" s="845">
        <v>3.1E-2</v>
      </c>
      <c r="W1933" s="845">
        <v>0.71407766990291266</v>
      </c>
      <c r="X1933" s="845">
        <v>0.50305914343983682</v>
      </c>
      <c r="Y1933" s="845">
        <v>0.49390553580497715</v>
      </c>
      <c r="Z1933" s="845">
        <v>0.16226510919248349</v>
      </c>
      <c r="AA1933" s="845">
        <v>4.3169121381411886E-3</v>
      </c>
      <c r="AB1933" s="845">
        <v>0.16632808532249874</v>
      </c>
      <c r="AC1933" s="845">
        <v>0</v>
      </c>
      <c r="AD1933" s="845">
        <v>5.7897409852717116E-2</v>
      </c>
      <c r="AE1933" s="845">
        <v>0.11528694768918232</v>
      </c>
      <c r="AF1933" s="845">
        <v>8.6846114779075667E-2</v>
      </c>
      <c r="AG1933" s="845">
        <v>0.44692737430167595</v>
      </c>
      <c r="AH1933" s="20" t="str">
        <f t="shared" si="163"/>
        <v>No</v>
      </c>
      <c r="AI1933" s="25"/>
      <c r="AJ1933" s="25"/>
      <c r="AK1933" s="25"/>
      <c r="AL1933" s="25"/>
      <c r="AM1933" s="25"/>
      <c r="AN1933" s="25"/>
      <c r="AO1933" s="25"/>
      <c r="AP1933" s="25"/>
      <c r="AQ1933" s="25"/>
      <c r="AR1933" s="25"/>
      <c r="AS1933" s="25"/>
      <c r="AT1933" s="25"/>
      <c r="AU1933" s="36"/>
      <c r="AV1933" s="36"/>
      <c r="AW1933" s="36"/>
      <c r="AX1933" s="25"/>
      <c r="AY1933" s="25"/>
      <c r="AZ1933" s="25"/>
      <c r="BA1933" s="25"/>
      <c r="BB1933" s="25"/>
      <c r="BC1933" s="25"/>
      <c r="BD1933" s="25"/>
      <c r="BE1933" s="25"/>
      <c r="BF1933" s="25"/>
      <c r="BG1933" s="25"/>
      <c r="BH1933" s="25"/>
      <c r="BI1933" s="25"/>
      <c r="BJ1933" s="25"/>
      <c r="BK1933" s="25"/>
      <c r="BL1933" s="25"/>
      <c r="BM1933" s="25"/>
      <c r="BN1933" s="25"/>
      <c r="BO1933" s="25"/>
      <c r="BP1933" s="25"/>
      <c r="BQ1933" s="25"/>
      <c r="BR1933" s="25"/>
      <c r="BS1933" s="25"/>
      <c r="BT1933" s="25"/>
      <c r="BU1933"/>
      <c r="BV1933"/>
      <c r="BW1933"/>
      <c r="BX1933"/>
      <c r="BY1933"/>
      <c r="BZ1933"/>
      <c r="CA1933"/>
      <c r="CB1933"/>
      <c r="CC1933"/>
      <c r="CD1933" s="25"/>
    </row>
    <row r="1934" spans="1:82" s="17" customFormat="1" x14ac:dyDescent="0.2">
      <c r="A1934" s="25"/>
      <c r="B1934" s="20">
        <v>39065000200</v>
      </c>
      <c r="C1934" s="20">
        <v>2</v>
      </c>
      <c r="D1934" s="20" t="s">
        <v>39</v>
      </c>
      <c r="E1934" s="20" t="s">
        <v>265</v>
      </c>
      <c r="F1934" s="20" t="s">
        <v>8</v>
      </c>
      <c r="G1934" s="861">
        <v>45.012334022341001</v>
      </c>
      <c r="H1934" s="861">
        <v>46.7273341123135</v>
      </c>
      <c r="I1934" s="861">
        <v>26.722130690180101</v>
      </c>
      <c r="J1934" s="861">
        <v>41.298896170225497</v>
      </c>
      <c r="K1934" s="982">
        <v>0</v>
      </c>
      <c r="L1934" s="735">
        <v>4764</v>
      </c>
      <c r="M1934" s="735">
        <v>4556</v>
      </c>
      <c r="N1934" s="845">
        <f t="shared" si="161"/>
        <v>-4.3660789252728802E-2</v>
      </c>
      <c r="O1934" s="735">
        <v>5.9069942989043298</v>
      </c>
      <c r="P1934" s="735">
        <f t="shared" si="162"/>
        <v>771.28904641825682</v>
      </c>
      <c r="Q1934" s="849">
        <v>41.5</v>
      </c>
      <c r="R1934" s="71">
        <v>51875</v>
      </c>
      <c r="S1934" s="845">
        <v>0.12576821773485514</v>
      </c>
      <c r="T1934" s="845">
        <v>8.3000000000000004E-2</v>
      </c>
      <c r="U1934" s="845">
        <v>0</v>
      </c>
      <c r="V1934" s="845">
        <v>0</v>
      </c>
      <c r="W1934" s="845">
        <v>0.30305927342256211</v>
      </c>
      <c r="X1934" s="845">
        <v>0.25709779179810727</v>
      </c>
      <c r="Y1934" s="845">
        <v>0.95807726075504829</v>
      </c>
      <c r="Z1934" s="845">
        <v>1.9754170324846358E-3</v>
      </c>
      <c r="AA1934" s="845">
        <v>0</v>
      </c>
      <c r="AB1934" s="845">
        <v>3.7313432835820895E-3</v>
      </c>
      <c r="AC1934" s="845">
        <v>0</v>
      </c>
      <c r="AD1934" s="845">
        <v>8.3406496927129065E-3</v>
      </c>
      <c r="AE1934" s="845">
        <v>2.7875329236172079E-2</v>
      </c>
      <c r="AF1934" s="845">
        <v>1.624231782265145E-2</v>
      </c>
      <c r="AG1934" s="845">
        <v>0.9539069359086918</v>
      </c>
      <c r="AH1934" s="20" t="str">
        <f t="shared" si="163"/>
        <v>Yes</v>
      </c>
      <c r="AI1934" s="25"/>
      <c r="AJ1934" s="25"/>
      <c r="AK1934" s="25"/>
      <c r="AL1934" s="25"/>
      <c r="AM1934" s="25"/>
      <c r="AN1934" s="25"/>
      <c r="AO1934" s="25"/>
      <c r="AP1934" s="25"/>
      <c r="AQ1934" s="25"/>
      <c r="AR1934" s="25"/>
      <c r="AS1934" s="25"/>
      <c r="AT1934" s="25"/>
      <c r="AU1934" s="36"/>
      <c r="AV1934" s="36"/>
      <c r="AW1934" s="36"/>
      <c r="AX1934" s="25"/>
      <c r="AY1934" s="25"/>
      <c r="AZ1934" s="25"/>
      <c r="BA1934" s="25"/>
      <c r="BB1934" s="25"/>
      <c r="BC1934" s="25"/>
      <c r="BD1934" s="25"/>
      <c r="BE1934" s="25"/>
      <c r="BF1934" s="25"/>
      <c r="BG1934" s="25"/>
      <c r="BH1934" s="25"/>
      <c r="BI1934" s="25"/>
      <c r="BJ1934" s="25"/>
      <c r="BK1934" s="25"/>
      <c r="BL1934" s="25"/>
      <c r="BM1934" s="25"/>
      <c r="BN1934" s="25"/>
      <c r="BO1934" s="25"/>
      <c r="BP1934" s="25"/>
      <c r="BQ1934" s="25"/>
      <c r="BR1934" s="25"/>
      <c r="BS1934" s="25"/>
      <c r="BT1934" s="25"/>
      <c r="BU1934"/>
      <c r="BV1934"/>
      <c r="BW1934"/>
      <c r="BX1934"/>
      <c r="BY1934"/>
      <c r="BZ1934"/>
      <c r="CA1934"/>
      <c r="CB1934"/>
      <c r="CC1934"/>
      <c r="CD1934" s="25"/>
    </row>
    <row r="1935" spans="1:82" s="17" customFormat="1" x14ac:dyDescent="0.2">
      <c r="A1935" s="25"/>
      <c r="B1935" s="20">
        <v>39129021101</v>
      </c>
      <c r="C1935" s="20">
        <v>211.01</v>
      </c>
      <c r="D1935" s="20" t="s">
        <v>70</v>
      </c>
      <c r="E1935" s="20" t="s">
        <v>2830</v>
      </c>
      <c r="F1935" s="20" t="s">
        <v>8</v>
      </c>
      <c r="G1935" s="861">
        <v>45.0079353587235</v>
      </c>
      <c r="H1935" s="861">
        <v>46.2566724671725</v>
      </c>
      <c r="I1935" s="861">
        <v>27.934080892946898</v>
      </c>
      <c r="J1935" s="861">
        <v>40.480115248597102</v>
      </c>
      <c r="K1935" s="982">
        <v>0</v>
      </c>
      <c r="L1935" s="735" t="s">
        <v>2466</v>
      </c>
      <c r="M1935" s="735">
        <v>4550</v>
      </c>
      <c r="N1935" s="845" t="str">
        <f t="shared" si="161"/>
        <v/>
      </c>
      <c r="O1935" s="735">
        <v>64.980255449898578</v>
      </c>
      <c r="P1935" s="735">
        <f t="shared" si="162"/>
        <v>70.021269822618123</v>
      </c>
      <c r="Q1935" s="849">
        <v>42.8</v>
      </c>
      <c r="R1935" s="71">
        <v>91458</v>
      </c>
      <c r="S1935" s="845">
        <v>0.18806430301695662</v>
      </c>
      <c r="T1935" s="845">
        <v>4.2999999999999997E-2</v>
      </c>
      <c r="U1935" s="845">
        <v>0</v>
      </c>
      <c r="V1935" s="845">
        <v>0</v>
      </c>
      <c r="W1935" s="845">
        <v>0.1206126356094448</v>
      </c>
      <c r="X1935" s="845">
        <v>0.14814814814814814</v>
      </c>
      <c r="Y1935" s="845">
        <v>0.96681318681318684</v>
      </c>
      <c r="Z1935" s="845">
        <v>2.1978021978021978E-4</v>
      </c>
      <c r="AA1935" s="845">
        <v>0</v>
      </c>
      <c r="AB1935" s="845">
        <v>6.3736263736263741E-3</v>
      </c>
      <c r="AC1935" s="845">
        <v>0</v>
      </c>
      <c r="AD1935" s="845">
        <v>9.6703296703296703E-3</v>
      </c>
      <c r="AE1935" s="845">
        <v>1.6923076923076923E-2</v>
      </c>
      <c r="AF1935" s="845">
        <v>1.2747252747252748E-2</v>
      </c>
      <c r="AG1935" s="845">
        <v>0.96681318681318684</v>
      </c>
      <c r="AH1935" s="20" t="str">
        <f t="shared" si="163"/>
        <v>Yes</v>
      </c>
      <c r="AI1935" s="25"/>
      <c r="AJ1935" s="25"/>
      <c r="AK1935" s="25"/>
      <c r="AL1935" s="25"/>
      <c r="AM1935" s="25"/>
      <c r="AN1935" s="25"/>
      <c r="AO1935" s="25"/>
      <c r="AP1935" s="25"/>
      <c r="AQ1935" s="25"/>
      <c r="AR1935" s="25"/>
      <c r="AS1935" s="25"/>
      <c r="AT1935" s="25"/>
      <c r="AU1935" s="36"/>
      <c r="AV1935" s="36"/>
      <c r="AW1935" s="36"/>
      <c r="AX1935" s="25"/>
      <c r="AY1935" s="25"/>
      <c r="AZ1935" s="25"/>
      <c r="BA1935" s="25"/>
      <c r="BB1935" s="25"/>
      <c r="BC1935" s="25"/>
      <c r="BD1935" s="25"/>
      <c r="BE1935" s="25"/>
      <c r="BF1935" s="25"/>
      <c r="BG1935" s="25"/>
      <c r="BH1935" s="25"/>
      <c r="BI1935" s="25"/>
      <c r="BJ1935" s="25"/>
      <c r="BK1935" s="25"/>
      <c r="BL1935" s="25"/>
      <c r="BM1935" s="25"/>
      <c r="BN1935" s="25"/>
      <c r="BO1935" s="25"/>
      <c r="BP1935" s="25"/>
      <c r="BQ1935" s="25"/>
      <c r="BR1935" s="25"/>
      <c r="BS1935" s="25"/>
      <c r="BT1935" s="25"/>
      <c r="BU1935"/>
      <c r="BV1935"/>
      <c r="BW1935"/>
      <c r="BX1935"/>
      <c r="BY1935"/>
      <c r="BZ1935"/>
      <c r="CA1935"/>
      <c r="CB1935"/>
      <c r="CC1935"/>
      <c r="CD1935" s="25"/>
    </row>
    <row r="1936" spans="1:82" s="17" customFormat="1" x14ac:dyDescent="0.2">
      <c r="A1936" s="25"/>
      <c r="B1936" s="20">
        <v>39059977900</v>
      </c>
      <c r="C1936" s="20">
        <v>9779</v>
      </c>
      <c r="D1936" s="20" t="s">
        <v>36</v>
      </c>
      <c r="E1936" s="20" t="s">
        <v>265</v>
      </c>
      <c r="F1936" s="20" t="s">
        <v>8</v>
      </c>
      <c r="G1936" s="861">
        <v>44.969322403513601</v>
      </c>
      <c r="H1936" s="861">
        <v>30.499815570511501</v>
      </c>
      <c r="I1936" s="861">
        <v>33.3771382616222</v>
      </c>
      <c r="J1936" s="861">
        <v>48.183907813784103</v>
      </c>
      <c r="K1936" s="982">
        <v>0</v>
      </c>
      <c r="L1936" s="735">
        <v>4556</v>
      </c>
      <c r="M1936" s="735">
        <v>4269</v>
      </c>
      <c r="N1936" s="845">
        <f t="shared" si="161"/>
        <v>-6.2993854258121165E-2</v>
      </c>
      <c r="O1936" s="735">
        <v>12.661491330166763</v>
      </c>
      <c r="P1936" s="735">
        <f t="shared" si="162"/>
        <v>337.1640740162141</v>
      </c>
      <c r="Q1936" s="849">
        <v>42.2</v>
      </c>
      <c r="R1936" s="71">
        <v>48450</v>
      </c>
      <c r="S1936" s="845">
        <v>0.16352052855120339</v>
      </c>
      <c r="T1936" s="845">
        <v>0.114</v>
      </c>
      <c r="U1936" s="845">
        <v>1.8000000000000002E-2</v>
      </c>
      <c r="V1936" s="845">
        <v>9.9000000000000005E-2</v>
      </c>
      <c r="W1936" s="845">
        <v>0.40866703236423479</v>
      </c>
      <c r="X1936" s="845">
        <v>0.44161073825503355</v>
      </c>
      <c r="Y1936" s="845">
        <v>0.95877254626376196</v>
      </c>
      <c r="Z1936" s="845">
        <v>1.8739751698289998E-3</v>
      </c>
      <c r="AA1936" s="845">
        <v>0</v>
      </c>
      <c r="AB1936" s="845">
        <v>7.2616537830873743E-3</v>
      </c>
      <c r="AC1936" s="845">
        <v>0</v>
      </c>
      <c r="AD1936" s="845">
        <v>0</v>
      </c>
      <c r="AE1936" s="845">
        <v>3.2091824783321621E-2</v>
      </c>
      <c r="AF1936" s="845">
        <v>0</v>
      </c>
      <c r="AG1936" s="845">
        <v>0.95877254626376196</v>
      </c>
      <c r="AH1936" s="20" t="str">
        <f t="shared" si="163"/>
        <v>Yes</v>
      </c>
      <c r="AI1936" s="25"/>
      <c r="AJ1936" s="25"/>
      <c r="AK1936" s="25"/>
      <c r="AL1936" s="25"/>
      <c r="AM1936" s="25"/>
      <c r="AN1936" s="25"/>
      <c r="AO1936" s="25"/>
      <c r="AP1936" s="25"/>
      <c r="AQ1936" s="25"/>
      <c r="AR1936" s="25"/>
      <c r="AS1936" s="25"/>
      <c r="AT1936" s="25"/>
      <c r="AU1936" s="36"/>
      <c r="AV1936" s="36"/>
      <c r="AW1936" s="36"/>
      <c r="AX1936" s="25"/>
      <c r="AY1936" s="25"/>
      <c r="AZ1936" s="25"/>
      <c r="BA1936" s="25"/>
      <c r="BB1936" s="25"/>
      <c r="BC1936" s="25"/>
      <c r="BD1936" s="25"/>
      <c r="BE1936" s="25"/>
      <c r="BF1936" s="25"/>
      <c r="BG1936" s="25"/>
      <c r="BH1936" s="25"/>
      <c r="BI1936" s="25"/>
      <c r="BJ1936" s="25"/>
      <c r="BK1936" s="25"/>
      <c r="BL1936" s="25"/>
      <c r="BM1936" s="25"/>
      <c r="BN1936" s="25"/>
      <c r="BO1936" s="25"/>
      <c r="BP1936" s="25"/>
      <c r="BQ1936" s="25"/>
      <c r="BR1936" s="25"/>
      <c r="BS1936" s="25"/>
      <c r="BT1936" s="25"/>
      <c r="BU1936"/>
      <c r="BV1936"/>
      <c r="BW1936"/>
      <c r="BX1936"/>
      <c r="BY1936"/>
      <c r="BZ1936"/>
      <c r="CA1936"/>
      <c r="CB1936"/>
      <c r="CC1936"/>
      <c r="CD1936" s="25"/>
    </row>
    <row r="1937" spans="1:82" s="17" customFormat="1" x14ac:dyDescent="0.2">
      <c r="A1937" s="25"/>
      <c r="B1937" s="20">
        <v>39035134204</v>
      </c>
      <c r="C1937" s="20">
        <v>1342.04</v>
      </c>
      <c r="D1937" s="20" t="s">
        <v>24</v>
      </c>
      <c r="E1937" s="20" t="s">
        <v>2829</v>
      </c>
      <c r="F1937" s="20" t="s">
        <v>8</v>
      </c>
      <c r="G1937" s="861">
        <v>44.896628559136701</v>
      </c>
      <c r="H1937" s="861">
        <v>57.936011588552702</v>
      </c>
      <c r="I1937" s="861">
        <v>35.470986361727498</v>
      </c>
      <c r="J1937" s="861">
        <v>35.447122991417203</v>
      </c>
      <c r="K1937" s="982">
        <v>0</v>
      </c>
      <c r="L1937" s="735">
        <v>4324</v>
      </c>
      <c r="M1937" s="735">
        <v>3768</v>
      </c>
      <c r="N1937" s="845">
        <f t="shared" si="161"/>
        <v>-0.12858464384828863</v>
      </c>
      <c r="O1937" s="735">
        <v>0.89488480315842067</v>
      </c>
      <c r="P1937" s="735">
        <f t="shared" si="162"/>
        <v>4210.5978185138028</v>
      </c>
      <c r="Q1937" s="849">
        <v>37.6</v>
      </c>
      <c r="R1937" s="71">
        <v>53750</v>
      </c>
      <c r="S1937" s="845">
        <v>0.17998244073748904</v>
      </c>
      <c r="T1937" s="845">
        <v>0.1</v>
      </c>
      <c r="U1937" s="845">
        <v>0</v>
      </c>
      <c r="V1937" s="845">
        <v>5.7000000000000002E-2</v>
      </c>
      <c r="W1937" s="845">
        <v>0.44677033492822965</v>
      </c>
      <c r="X1937" s="845">
        <v>0.44846050870147258</v>
      </c>
      <c r="Y1937" s="845">
        <v>0.78954352441613584</v>
      </c>
      <c r="Z1937" s="845">
        <v>7.7229299363057322E-2</v>
      </c>
      <c r="AA1937" s="845">
        <v>7.1656050955414014E-3</v>
      </c>
      <c r="AB1937" s="845">
        <v>2.521231422505308E-2</v>
      </c>
      <c r="AC1937" s="845">
        <v>1.194267515923567E-2</v>
      </c>
      <c r="AD1937" s="845">
        <v>9.2887473460721865E-3</v>
      </c>
      <c r="AE1937" s="845">
        <v>7.9617834394904455E-2</v>
      </c>
      <c r="AF1937" s="845">
        <v>2.2027600849256899E-2</v>
      </c>
      <c r="AG1937" s="845">
        <v>0.78635881104033967</v>
      </c>
      <c r="AH1937" s="20" t="str">
        <f t="shared" si="163"/>
        <v>No</v>
      </c>
      <c r="AI1937" s="25"/>
      <c r="AJ1937" s="25"/>
      <c r="AK1937" s="25"/>
      <c r="AL1937" s="25"/>
      <c r="AM1937" s="25"/>
      <c r="AN1937" s="25"/>
      <c r="AO1937" s="25"/>
      <c r="AP1937" s="25"/>
      <c r="AQ1937" s="25"/>
      <c r="AR1937" s="25"/>
      <c r="AS1937" s="25"/>
      <c r="AT1937" s="25"/>
      <c r="AU1937" s="36"/>
      <c r="AV1937" s="36"/>
      <c r="AW1937" s="36"/>
      <c r="AX1937" s="25"/>
      <c r="AY1937" s="25"/>
      <c r="AZ1937" s="25"/>
      <c r="BA1937" s="25"/>
      <c r="BB1937" s="25"/>
      <c r="BC1937" s="25"/>
      <c r="BD1937" s="25"/>
      <c r="BE1937" s="25"/>
      <c r="BF1937" s="25"/>
      <c r="BG1937" s="25"/>
      <c r="BH1937" s="25"/>
      <c r="BI1937" s="25"/>
      <c r="BJ1937" s="25"/>
      <c r="BK1937" s="25"/>
      <c r="BL1937" s="25"/>
      <c r="BM1937" s="25"/>
      <c r="BN1937" s="25"/>
      <c r="BO1937" s="25"/>
      <c r="BP1937" s="25"/>
      <c r="BQ1937" s="25"/>
      <c r="BR1937" s="25"/>
      <c r="BS1937" s="25"/>
      <c r="BT1937" s="25"/>
      <c r="BU1937"/>
      <c r="BV1937"/>
      <c r="BW1937"/>
      <c r="BX1937"/>
      <c r="BY1937"/>
      <c r="BZ1937"/>
      <c r="CA1937"/>
      <c r="CB1937"/>
      <c r="CC1937"/>
      <c r="CD1937" s="25"/>
    </row>
    <row r="1938" spans="1:82" s="17" customFormat="1" x14ac:dyDescent="0.2">
      <c r="A1938" s="25"/>
      <c r="B1938" s="20">
        <v>39085206200</v>
      </c>
      <c r="C1938" s="20">
        <v>2062</v>
      </c>
      <c r="D1938" s="20" t="s">
        <v>48</v>
      </c>
      <c r="E1938" s="20" t="s">
        <v>2829</v>
      </c>
      <c r="F1938" s="20" t="s">
        <v>8</v>
      </c>
      <c r="G1938" s="861">
        <v>44.891178968529601</v>
      </c>
      <c r="H1938" s="861">
        <v>50.727544644060401</v>
      </c>
      <c r="I1938" s="861">
        <v>24.401216357441999</v>
      </c>
      <c r="J1938" s="861">
        <v>48.4579340923354</v>
      </c>
      <c r="K1938" s="982">
        <v>0</v>
      </c>
      <c r="L1938" s="735">
        <v>1696</v>
      </c>
      <c r="M1938" s="735">
        <v>1496</v>
      </c>
      <c r="N1938" s="845">
        <f t="shared" si="161"/>
        <v>-0.11792452830188679</v>
      </c>
      <c r="O1938" s="735">
        <v>2.6215012238029156</v>
      </c>
      <c r="P1938" s="735">
        <f t="shared" si="162"/>
        <v>570.66538303186735</v>
      </c>
      <c r="Q1938" s="849">
        <v>54.9</v>
      </c>
      <c r="R1938" s="71">
        <v>70625</v>
      </c>
      <c r="S1938" s="845">
        <v>9.1397849462365593E-2</v>
      </c>
      <c r="T1938" s="845">
        <v>7.2999999999999995E-2</v>
      </c>
      <c r="U1938" s="845">
        <v>0</v>
      </c>
      <c r="V1938" s="845">
        <v>6.0000000000000001E-3</v>
      </c>
      <c r="W1938" s="845">
        <v>0.22013422818791947</v>
      </c>
      <c r="X1938" s="845">
        <v>0.25609756097560976</v>
      </c>
      <c r="Y1938" s="845">
        <v>0.89171122994652408</v>
      </c>
      <c r="Z1938" s="845">
        <v>7.6871657754010697E-2</v>
      </c>
      <c r="AA1938" s="845">
        <v>0</v>
      </c>
      <c r="AB1938" s="845">
        <v>1.0026737967914439E-2</v>
      </c>
      <c r="AC1938" s="845">
        <v>6.6844919786096253E-4</v>
      </c>
      <c r="AD1938" s="845">
        <v>0</v>
      </c>
      <c r="AE1938" s="845">
        <v>2.0721925133689839E-2</v>
      </c>
      <c r="AF1938" s="845">
        <v>3.3422459893048127E-3</v>
      </c>
      <c r="AG1938" s="845">
        <v>0.8883689839572193</v>
      </c>
      <c r="AH1938" s="20" t="str">
        <f t="shared" si="163"/>
        <v>No</v>
      </c>
      <c r="AI1938" s="25"/>
      <c r="AJ1938" s="25"/>
      <c r="AK1938" s="25"/>
      <c r="AL1938" s="25"/>
      <c r="AM1938" s="25"/>
      <c r="AN1938" s="25"/>
      <c r="AO1938" s="25"/>
      <c r="AP1938" s="25"/>
      <c r="AQ1938" s="25"/>
      <c r="AR1938" s="25"/>
      <c r="AS1938" s="25"/>
      <c r="AT1938" s="25"/>
      <c r="AU1938" s="36"/>
      <c r="AV1938" s="36"/>
      <c r="AW1938" s="36"/>
      <c r="AX1938" s="25"/>
      <c r="AY1938" s="25"/>
      <c r="AZ1938" s="25"/>
      <c r="BA1938" s="25"/>
      <c r="BB1938" s="25"/>
      <c r="BC1938" s="25"/>
      <c r="BD1938" s="25"/>
      <c r="BE1938" s="25"/>
      <c r="BF1938" s="25"/>
      <c r="BG1938" s="25"/>
      <c r="BH1938" s="25"/>
      <c r="BI1938" s="25"/>
      <c r="BJ1938" s="25"/>
      <c r="BK1938" s="25"/>
      <c r="BL1938" s="25"/>
      <c r="BM1938" s="25"/>
      <c r="BN1938" s="25"/>
      <c r="BO1938" s="25"/>
      <c r="BP1938" s="25"/>
      <c r="BQ1938" s="25"/>
      <c r="BR1938" s="25"/>
      <c r="BS1938" s="25"/>
      <c r="BT1938" s="25"/>
      <c r="BU1938"/>
      <c r="BV1938"/>
      <c r="BW1938"/>
      <c r="BX1938"/>
      <c r="BY1938"/>
      <c r="BZ1938"/>
      <c r="CA1938"/>
      <c r="CB1938"/>
      <c r="CC1938"/>
      <c r="CD1938" s="25"/>
    </row>
    <row r="1939" spans="1:82" s="17" customFormat="1" x14ac:dyDescent="0.2">
      <c r="A1939" s="25"/>
      <c r="B1939" s="20">
        <v>39049009340</v>
      </c>
      <c r="C1939" s="20">
        <v>93.4</v>
      </c>
      <c r="D1939" s="20" t="s">
        <v>31</v>
      </c>
      <c r="E1939" s="20" t="s">
        <v>2830</v>
      </c>
      <c r="F1939" s="20" t="s">
        <v>6</v>
      </c>
      <c r="G1939" s="861">
        <v>44.856948963858102</v>
      </c>
      <c r="H1939" s="861">
        <v>65.233767029304005</v>
      </c>
      <c r="I1939" s="861">
        <v>58.309914387951999</v>
      </c>
      <c r="J1939" s="861">
        <v>42.263836593411597</v>
      </c>
      <c r="K1939" s="982">
        <v>0</v>
      </c>
      <c r="L1939" s="735">
        <v>3061</v>
      </c>
      <c r="M1939" s="735">
        <v>3225</v>
      </c>
      <c r="N1939" s="845">
        <f t="shared" si="161"/>
        <v>5.3577262332571055E-2</v>
      </c>
      <c r="O1939" s="735">
        <v>0.59831201310032267</v>
      </c>
      <c r="P1939" s="735">
        <f t="shared" si="162"/>
        <v>5390.1642109586801</v>
      </c>
      <c r="Q1939" s="849">
        <v>37.700000000000003</v>
      </c>
      <c r="R1939" s="71">
        <v>33902</v>
      </c>
      <c r="S1939" s="845">
        <v>0.23758642363293525</v>
      </c>
      <c r="T1939" s="845">
        <v>0.14699999999999999</v>
      </c>
      <c r="U1939" s="845">
        <v>0</v>
      </c>
      <c r="V1939" s="845">
        <v>0</v>
      </c>
      <c r="W1939" s="845">
        <v>0.80121703853955373</v>
      </c>
      <c r="X1939" s="845">
        <v>0.63459915611814344</v>
      </c>
      <c r="Y1939" s="845">
        <v>0.2930232558139535</v>
      </c>
      <c r="Z1939" s="845">
        <v>0.63038759689922486</v>
      </c>
      <c r="AA1939" s="845">
        <v>1.5503875968992248E-3</v>
      </c>
      <c r="AB1939" s="845">
        <v>0</v>
      </c>
      <c r="AC1939" s="845">
        <v>0</v>
      </c>
      <c r="AD1939" s="845">
        <v>3.4418604651162789E-2</v>
      </c>
      <c r="AE1939" s="845">
        <v>4.0620155038759688E-2</v>
      </c>
      <c r="AF1939" s="845">
        <v>6.1705426356589148E-2</v>
      </c>
      <c r="AG1939" s="845">
        <v>0.2930232558139535</v>
      </c>
      <c r="AH1939" s="20" t="str">
        <f t="shared" si="163"/>
        <v>No</v>
      </c>
      <c r="AI1939" s="25"/>
      <c r="AJ1939" s="25"/>
      <c r="AK1939" s="25"/>
      <c r="AL1939" s="25"/>
      <c r="AM1939" s="25"/>
      <c r="AN1939" s="25"/>
      <c r="AO1939" s="25"/>
      <c r="AP1939" s="25"/>
      <c r="AQ1939" s="25"/>
      <c r="AR1939" s="25"/>
      <c r="AS1939" s="25"/>
      <c r="AT1939" s="25"/>
      <c r="AU1939" s="36"/>
      <c r="AV1939" s="36"/>
      <c r="AW1939" s="36"/>
      <c r="AX1939" s="25"/>
      <c r="AY1939" s="25"/>
      <c r="AZ1939" s="25"/>
      <c r="BA1939" s="25"/>
      <c r="BB1939" s="25"/>
      <c r="BC1939" s="25"/>
      <c r="BD1939" s="25"/>
      <c r="BE1939" s="25"/>
      <c r="BF1939" s="25"/>
      <c r="BG1939" s="25"/>
      <c r="BH1939" s="25"/>
      <c r="BI1939" s="25"/>
      <c r="BJ1939" s="25"/>
      <c r="BK1939" s="25"/>
      <c r="BL1939" s="25"/>
      <c r="BM1939" s="25"/>
      <c r="BN1939" s="25"/>
      <c r="BO1939" s="25"/>
      <c r="BP1939" s="25"/>
      <c r="BQ1939" s="25"/>
      <c r="BR1939" s="25"/>
      <c r="BS1939" s="25"/>
      <c r="BT1939" s="25"/>
      <c r="BU1939"/>
      <c r="BV1939"/>
      <c r="BW1939"/>
      <c r="BX1939"/>
      <c r="BY1939"/>
      <c r="BZ1939"/>
      <c r="CA1939"/>
      <c r="CB1939"/>
      <c r="CC1939"/>
      <c r="CD1939" s="25"/>
    </row>
    <row r="1940" spans="1:82" s="17" customFormat="1" x14ac:dyDescent="0.2">
      <c r="A1940" s="25"/>
      <c r="B1940" s="20">
        <v>39151714600</v>
      </c>
      <c r="C1940" s="20">
        <v>7146</v>
      </c>
      <c r="D1940" s="20" t="s">
        <v>81</v>
      </c>
      <c r="E1940" s="20" t="s">
        <v>2844</v>
      </c>
      <c r="F1940" s="20" t="s">
        <v>8</v>
      </c>
      <c r="G1940" s="861">
        <v>44.841721037350503</v>
      </c>
      <c r="H1940" s="861">
        <v>45.986331880199998</v>
      </c>
      <c r="I1940" s="861">
        <v>27.8015821917637</v>
      </c>
      <c r="J1940" s="861">
        <v>45.9633556979608</v>
      </c>
      <c r="K1940" s="982">
        <v>0</v>
      </c>
      <c r="L1940" s="735">
        <v>4247</v>
      </c>
      <c r="M1940" s="735">
        <v>4419</v>
      </c>
      <c r="N1940" s="845">
        <f t="shared" si="161"/>
        <v>4.0499175888862725E-2</v>
      </c>
      <c r="O1940" s="735">
        <v>11.472398612671624</v>
      </c>
      <c r="P1940" s="735">
        <f t="shared" si="162"/>
        <v>385.18536089907792</v>
      </c>
      <c r="Q1940" s="849">
        <v>49.6</v>
      </c>
      <c r="R1940" s="71">
        <v>68478</v>
      </c>
      <c r="S1940" s="845">
        <v>7.5722273998136067E-2</v>
      </c>
      <c r="T1940" s="845">
        <v>5.5999999999999994E-2</v>
      </c>
      <c r="U1940" s="845">
        <v>0</v>
      </c>
      <c r="V1940" s="845">
        <v>8.6999999999999994E-2</v>
      </c>
      <c r="W1940" s="845">
        <v>0.21602972399150744</v>
      </c>
      <c r="X1940" s="845">
        <v>0.28255528255528256</v>
      </c>
      <c r="Y1940" s="845">
        <v>0.93618465716225385</v>
      </c>
      <c r="Z1940" s="845">
        <v>2.0140303236026249E-2</v>
      </c>
      <c r="AA1940" s="845">
        <v>0</v>
      </c>
      <c r="AB1940" s="845">
        <v>1.267255035075809E-2</v>
      </c>
      <c r="AC1940" s="845">
        <v>0</v>
      </c>
      <c r="AD1940" s="845">
        <v>1.1314777098891152E-3</v>
      </c>
      <c r="AE1940" s="845">
        <v>2.9871011541072641E-2</v>
      </c>
      <c r="AF1940" s="845">
        <v>9.0518216791129211E-4</v>
      </c>
      <c r="AG1940" s="845">
        <v>0.93618465716225385</v>
      </c>
      <c r="AH1940" s="20" t="str">
        <f t="shared" si="163"/>
        <v>Yes</v>
      </c>
      <c r="AI1940" s="25"/>
      <c r="AJ1940" s="25"/>
      <c r="AK1940" s="25"/>
      <c r="AL1940" s="25"/>
      <c r="AM1940" s="25"/>
      <c r="AN1940" s="25"/>
      <c r="AO1940" s="25"/>
      <c r="AP1940" s="25"/>
      <c r="AQ1940" s="25"/>
      <c r="AR1940" s="25"/>
      <c r="AS1940" s="25"/>
      <c r="AT1940" s="25"/>
      <c r="AU1940" s="36"/>
      <c r="AV1940" s="36"/>
      <c r="AW1940" s="36"/>
      <c r="AX1940" s="25"/>
      <c r="AY1940" s="25"/>
      <c r="AZ1940" s="25"/>
      <c r="BA1940" s="25"/>
      <c r="BB1940" s="25"/>
      <c r="BC1940" s="25"/>
      <c r="BD1940" s="25"/>
      <c r="BE1940" s="25"/>
      <c r="BF1940" s="25"/>
      <c r="BG1940" s="25"/>
      <c r="BH1940" s="25"/>
      <c r="BI1940" s="25"/>
      <c r="BJ1940" s="25"/>
      <c r="BK1940" s="25"/>
      <c r="BL1940" s="25"/>
      <c r="BM1940" s="25"/>
      <c r="BN1940" s="25"/>
      <c r="BO1940" s="25"/>
      <c r="BP1940" s="25"/>
      <c r="BQ1940" s="25"/>
      <c r="BR1940" s="25"/>
      <c r="BS1940" s="25"/>
      <c r="BT1940" s="25"/>
      <c r="BU1940"/>
      <c r="BV1940"/>
      <c r="BW1940"/>
      <c r="BX1940"/>
      <c r="BY1940"/>
      <c r="BZ1940"/>
      <c r="CA1940"/>
      <c r="CB1940"/>
      <c r="CC1940"/>
      <c r="CD1940" s="25"/>
    </row>
    <row r="1941" spans="1:82" s="17" customFormat="1" x14ac:dyDescent="0.2">
      <c r="A1941" s="25"/>
      <c r="B1941" s="20">
        <v>39169003500</v>
      </c>
      <c r="C1941" s="20">
        <v>35</v>
      </c>
      <c r="D1941" s="20" t="s">
        <v>90</v>
      </c>
      <c r="E1941" s="20" t="s">
        <v>265</v>
      </c>
      <c r="F1941" s="20" t="s">
        <v>8</v>
      </c>
      <c r="G1941" s="861">
        <v>44.826948381013203</v>
      </c>
      <c r="H1941" s="861">
        <v>44.841877591234201</v>
      </c>
      <c r="I1941" s="861">
        <v>27.253680205661599</v>
      </c>
      <c r="J1941" s="861">
        <v>31.0466553652439</v>
      </c>
      <c r="K1941" s="982">
        <v>0</v>
      </c>
      <c r="L1941" s="735">
        <v>3456</v>
      </c>
      <c r="M1941" s="735">
        <v>3626</v>
      </c>
      <c r="N1941" s="845">
        <f t="shared" si="161"/>
        <v>4.9189814814814818E-2</v>
      </c>
      <c r="O1941" s="735">
        <v>3.0365475307143401</v>
      </c>
      <c r="P1941" s="735">
        <f t="shared" si="162"/>
        <v>1194.1192961162023</v>
      </c>
      <c r="Q1941" s="849">
        <v>38.799999999999997</v>
      </c>
      <c r="R1941" s="71">
        <v>71250</v>
      </c>
      <c r="S1941" s="845">
        <v>0.14471499723298284</v>
      </c>
      <c r="T1941" s="845">
        <v>4.0999999999999995E-2</v>
      </c>
      <c r="U1941" s="845">
        <v>0</v>
      </c>
      <c r="V1941" s="845">
        <v>3.3000000000000002E-2</v>
      </c>
      <c r="W1941" s="845">
        <v>0.21242774566473988</v>
      </c>
      <c r="X1941" s="845">
        <v>0.28911564625850339</v>
      </c>
      <c r="Y1941" s="845">
        <v>0.9285714285714286</v>
      </c>
      <c r="Z1941" s="845">
        <v>1.3789299503585218E-3</v>
      </c>
      <c r="AA1941" s="845">
        <v>2.7578599007170438E-4</v>
      </c>
      <c r="AB1941" s="845">
        <v>1.2961941533370104E-2</v>
      </c>
      <c r="AC1941" s="845">
        <v>0</v>
      </c>
      <c r="AD1941" s="845">
        <v>3.9161610590182021E-2</v>
      </c>
      <c r="AE1941" s="845">
        <v>1.765030336458908E-2</v>
      </c>
      <c r="AF1941" s="845">
        <v>4.4677330391616109E-2</v>
      </c>
      <c r="AG1941" s="845">
        <v>0.9285714285714286</v>
      </c>
      <c r="AH1941" s="20" t="str">
        <f t="shared" si="163"/>
        <v>Yes</v>
      </c>
      <c r="AI1941" s="25"/>
      <c r="AJ1941" s="25"/>
      <c r="AK1941" s="25"/>
      <c r="AL1941" s="25"/>
      <c r="AM1941" s="25"/>
      <c r="AN1941" s="25"/>
      <c r="AO1941" s="25"/>
      <c r="AP1941" s="25"/>
      <c r="AQ1941" s="25"/>
      <c r="AR1941" s="25"/>
      <c r="AS1941" s="25"/>
      <c r="AT1941" s="25"/>
      <c r="AU1941" s="36"/>
      <c r="AV1941" s="36"/>
      <c r="AW1941" s="36"/>
      <c r="AX1941" s="25"/>
      <c r="AY1941" s="25"/>
      <c r="AZ1941" s="25"/>
      <c r="BA1941" s="25"/>
      <c r="BB1941" s="25"/>
      <c r="BC1941" s="25"/>
      <c r="BD1941" s="25"/>
      <c r="BE1941" s="25"/>
      <c r="BF1941" s="25"/>
      <c r="BG1941" s="25"/>
      <c r="BH1941" s="25"/>
      <c r="BI1941" s="25"/>
      <c r="BJ1941" s="25"/>
      <c r="BK1941" s="25"/>
      <c r="BL1941" s="25"/>
      <c r="BM1941" s="25"/>
      <c r="BN1941" s="25"/>
      <c r="BO1941" s="25"/>
      <c r="BP1941" s="25"/>
      <c r="BQ1941" s="25"/>
      <c r="BR1941" s="25"/>
      <c r="BS1941" s="25"/>
      <c r="BT1941" s="25"/>
      <c r="BU1941"/>
      <c r="BV1941"/>
      <c r="BW1941"/>
      <c r="BX1941"/>
      <c r="BY1941"/>
      <c r="BZ1941"/>
      <c r="CA1941"/>
      <c r="CB1941"/>
      <c r="CC1941"/>
      <c r="CD1941" s="25"/>
    </row>
    <row r="1942" spans="1:82" s="17" customFormat="1" x14ac:dyDescent="0.2">
      <c r="A1942" s="25"/>
      <c r="B1942" s="20">
        <v>39035106900</v>
      </c>
      <c r="C1942" s="20">
        <v>1069</v>
      </c>
      <c r="D1942" s="20" t="s">
        <v>24</v>
      </c>
      <c r="E1942" s="20" t="s">
        <v>2829</v>
      </c>
      <c r="F1942" s="20" t="s">
        <v>8</v>
      </c>
      <c r="G1942" s="861">
        <v>44.812943157995697</v>
      </c>
      <c r="H1942" s="861">
        <v>61.656018060309002</v>
      </c>
      <c r="I1942" s="861">
        <v>42.234017292409</v>
      </c>
      <c r="J1942" s="861">
        <v>42.158334290069703</v>
      </c>
      <c r="K1942" s="982">
        <v>0</v>
      </c>
      <c r="L1942" s="735">
        <v>3780</v>
      </c>
      <c r="M1942" s="735">
        <v>3370</v>
      </c>
      <c r="N1942" s="845">
        <f t="shared" si="161"/>
        <v>-0.10846560846560846</v>
      </c>
      <c r="O1942" s="735">
        <v>0.49026788775489788</v>
      </c>
      <c r="P1942" s="735">
        <f t="shared" si="162"/>
        <v>6873.7930510447404</v>
      </c>
      <c r="Q1942" s="849">
        <v>38.6</v>
      </c>
      <c r="R1942" s="71">
        <v>58382</v>
      </c>
      <c r="S1942" s="845">
        <v>0.17151335311572699</v>
      </c>
      <c r="T1942" s="845">
        <v>0.04</v>
      </c>
      <c r="U1942" s="845">
        <v>0</v>
      </c>
      <c r="V1942" s="845">
        <v>0</v>
      </c>
      <c r="W1942" s="845">
        <v>0.42350061199510403</v>
      </c>
      <c r="X1942" s="845">
        <v>0.55057803468208089</v>
      </c>
      <c r="Y1942" s="845">
        <v>0.7474777448071217</v>
      </c>
      <c r="Z1942" s="845">
        <v>9.050445103857567E-2</v>
      </c>
      <c r="AA1942" s="845">
        <v>0</v>
      </c>
      <c r="AB1942" s="845">
        <v>0</v>
      </c>
      <c r="AC1942" s="845">
        <v>0</v>
      </c>
      <c r="AD1942" s="845">
        <v>5.9347181008902079E-3</v>
      </c>
      <c r="AE1942" s="845">
        <v>0.15608308605341245</v>
      </c>
      <c r="AF1942" s="845">
        <v>0.14391691394658754</v>
      </c>
      <c r="AG1942" s="845">
        <v>0.71661721068249262</v>
      </c>
      <c r="AH1942" s="20" t="str">
        <f t="shared" si="163"/>
        <v>No</v>
      </c>
      <c r="AI1942" s="25"/>
      <c r="AJ1942" s="25"/>
      <c r="AK1942" s="25"/>
      <c r="AL1942" s="25"/>
      <c r="AM1942" s="25"/>
      <c r="AN1942" s="25"/>
      <c r="AO1942" s="25"/>
      <c r="AP1942" s="25"/>
      <c r="AQ1942" s="25"/>
      <c r="AR1942" s="25"/>
      <c r="AS1942" s="25"/>
      <c r="AT1942" s="25"/>
      <c r="AU1942" s="36"/>
      <c r="AV1942" s="36"/>
      <c r="AW1942" s="36"/>
      <c r="AX1942" s="25"/>
      <c r="AY1942" s="25"/>
      <c r="AZ1942" s="25"/>
      <c r="BA1942" s="25"/>
      <c r="BB1942" s="25"/>
      <c r="BC1942" s="25"/>
      <c r="BD1942" s="25"/>
      <c r="BE1942" s="25"/>
      <c r="BF1942" s="25"/>
      <c r="BG1942" s="25"/>
      <c r="BH1942" s="25"/>
      <c r="BI1942" s="25"/>
      <c r="BJ1942" s="25"/>
      <c r="BK1942" s="25"/>
      <c r="BL1942" s="25"/>
      <c r="BM1942" s="25"/>
      <c r="BN1942" s="25"/>
      <c r="BO1942" s="25"/>
      <c r="BP1942" s="25"/>
      <c r="BQ1942" s="25"/>
      <c r="BR1942" s="25"/>
      <c r="BS1942" s="25"/>
      <c r="BT1942" s="25"/>
      <c r="BU1942"/>
      <c r="BV1942"/>
      <c r="BW1942"/>
      <c r="BX1942"/>
      <c r="BY1942"/>
      <c r="BZ1942"/>
      <c r="CA1942"/>
      <c r="CB1942"/>
      <c r="CC1942"/>
      <c r="CD1942" s="25"/>
    </row>
    <row r="1943" spans="1:82" s="17" customFormat="1" x14ac:dyDescent="0.2">
      <c r="A1943" s="25"/>
      <c r="B1943" s="20">
        <v>39095008601</v>
      </c>
      <c r="C1943" s="20">
        <v>86.01</v>
      </c>
      <c r="D1943" s="20" t="s">
        <v>53</v>
      </c>
      <c r="E1943" s="20" t="s">
        <v>2839</v>
      </c>
      <c r="F1943" s="20" t="s">
        <v>8</v>
      </c>
      <c r="G1943" s="861">
        <v>44.801305206430797</v>
      </c>
      <c r="H1943" s="861">
        <v>49.484948157602197</v>
      </c>
      <c r="I1943" s="861">
        <v>31.274195634879099</v>
      </c>
      <c r="J1943" s="861">
        <v>39.363954924179197</v>
      </c>
      <c r="K1943" s="982">
        <v>0</v>
      </c>
      <c r="L1943" s="735" t="s">
        <v>2466</v>
      </c>
      <c r="M1943" s="735">
        <v>2349</v>
      </c>
      <c r="N1943" s="845" t="str">
        <f t="shared" si="161"/>
        <v/>
      </c>
      <c r="O1943" s="735">
        <v>0.99989300723083252</v>
      </c>
      <c r="P1943" s="735">
        <f t="shared" si="162"/>
        <v>2349.2513529077182</v>
      </c>
      <c r="Q1943" s="849">
        <v>42.3</v>
      </c>
      <c r="R1943" s="71">
        <v>55567</v>
      </c>
      <c r="S1943" s="845">
        <v>0.16687952320136229</v>
      </c>
      <c r="T1943" s="845">
        <v>0</v>
      </c>
      <c r="U1943" s="845">
        <v>0</v>
      </c>
      <c r="V1943" s="845">
        <v>0</v>
      </c>
      <c r="W1943" s="845">
        <v>0.50278810408921937</v>
      </c>
      <c r="X1943" s="845">
        <v>0.43068391866913125</v>
      </c>
      <c r="Y1943" s="845">
        <v>0.6164325244785015</v>
      </c>
      <c r="Z1943" s="845">
        <v>0.24052788420604512</v>
      </c>
      <c r="AA1943" s="845">
        <v>0</v>
      </c>
      <c r="AB1943" s="845">
        <v>0</v>
      </c>
      <c r="AC1943" s="845">
        <v>0</v>
      </c>
      <c r="AD1943" s="845">
        <v>0</v>
      </c>
      <c r="AE1943" s="845">
        <v>0.14303959131545338</v>
      </c>
      <c r="AF1943" s="845">
        <v>9.3656875266070663E-3</v>
      </c>
      <c r="AG1943" s="845">
        <v>0.60706683695189445</v>
      </c>
      <c r="AH1943" s="20" t="str">
        <f t="shared" si="163"/>
        <v>No</v>
      </c>
      <c r="AI1943" s="25"/>
      <c r="AJ1943" s="25"/>
      <c r="AK1943" s="25"/>
      <c r="AL1943" s="25"/>
      <c r="AM1943" s="25"/>
      <c r="AN1943" s="25"/>
      <c r="AO1943" s="25"/>
      <c r="AP1943" s="25"/>
      <c r="AQ1943" s="25"/>
      <c r="AR1943" s="25"/>
      <c r="AS1943" s="25"/>
      <c r="AT1943" s="25"/>
      <c r="AU1943" s="36"/>
      <c r="AV1943" s="36"/>
      <c r="AW1943" s="36"/>
      <c r="AX1943" s="25"/>
      <c r="AY1943" s="25"/>
      <c r="AZ1943" s="25"/>
      <c r="BA1943" s="25"/>
      <c r="BB1943" s="25"/>
      <c r="BC1943" s="25"/>
      <c r="BD1943" s="25"/>
      <c r="BE1943" s="25"/>
      <c r="BF1943" s="25"/>
      <c r="BG1943" s="25"/>
      <c r="BH1943" s="25"/>
      <c r="BI1943" s="25"/>
      <c r="BJ1943" s="25"/>
      <c r="BK1943" s="25"/>
      <c r="BL1943" s="25"/>
      <c r="BM1943" s="25"/>
      <c r="BN1943" s="25"/>
      <c r="BO1943" s="25"/>
      <c r="BP1943" s="25"/>
      <c r="BQ1943" s="25"/>
      <c r="BR1943" s="25"/>
      <c r="BS1943" s="25"/>
      <c r="BT1943" s="25"/>
      <c r="BU1943"/>
      <c r="BV1943"/>
      <c r="BW1943"/>
      <c r="BX1943"/>
      <c r="BY1943"/>
      <c r="BZ1943"/>
      <c r="CA1943"/>
      <c r="CB1943"/>
      <c r="CC1943"/>
      <c r="CD1943" s="25"/>
    </row>
    <row r="1944" spans="1:82" s="17" customFormat="1" x14ac:dyDescent="0.2">
      <c r="A1944" s="25"/>
      <c r="B1944" s="20">
        <v>39057200600</v>
      </c>
      <c r="C1944" s="20">
        <v>2006</v>
      </c>
      <c r="D1944" s="20" t="s">
        <v>35</v>
      </c>
      <c r="E1944" s="20" t="s">
        <v>2833</v>
      </c>
      <c r="F1944" s="20" t="s">
        <v>8</v>
      </c>
      <c r="G1944" s="861">
        <v>44.799298448334604</v>
      </c>
      <c r="H1944" s="861">
        <v>54.040908351837402</v>
      </c>
      <c r="I1944" s="861">
        <v>23.187076990532699</v>
      </c>
      <c r="J1944" s="861">
        <v>26.947546593654099</v>
      </c>
      <c r="K1944" s="982">
        <v>0</v>
      </c>
      <c r="L1944" s="735">
        <v>3307</v>
      </c>
      <c r="M1944" s="735">
        <v>3798</v>
      </c>
      <c r="N1944" s="845">
        <f t="shared" si="161"/>
        <v>0.14847293619594798</v>
      </c>
      <c r="O1944" s="735">
        <v>1.6175645686651434</v>
      </c>
      <c r="P1944" s="735">
        <f t="shared" si="162"/>
        <v>2347.9742778578593</v>
      </c>
      <c r="Q1944" s="849">
        <v>41.2</v>
      </c>
      <c r="R1944" s="71">
        <v>76344</v>
      </c>
      <c r="S1944" s="845">
        <v>0.10799364743250398</v>
      </c>
      <c r="T1944" s="845">
        <v>0.02</v>
      </c>
      <c r="U1944" s="845">
        <v>0</v>
      </c>
      <c r="V1944" s="845">
        <v>0</v>
      </c>
      <c r="W1944" s="845">
        <v>0.13605015673981191</v>
      </c>
      <c r="X1944" s="845">
        <v>0.2304147465437788</v>
      </c>
      <c r="Y1944" s="845">
        <v>0.88599262769878884</v>
      </c>
      <c r="Z1944" s="845">
        <v>9.4786729857819912E-3</v>
      </c>
      <c r="AA1944" s="845">
        <v>0</v>
      </c>
      <c r="AB1944" s="845">
        <v>2.7646129541864139E-2</v>
      </c>
      <c r="AC1944" s="845">
        <v>0</v>
      </c>
      <c r="AD1944" s="845">
        <v>2.1063717746182199E-3</v>
      </c>
      <c r="AE1944" s="845">
        <v>7.4776197998946817E-2</v>
      </c>
      <c r="AF1944" s="845">
        <v>1.2374934175882044E-2</v>
      </c>
      <c r="AG1944" s="845">
        <v>0.875724065297525</v>
      </c>
      <c r="AH1944" s="20" t="str">
        <f t="shared" si="163"/>
        <v>No</v>
      </c>
      <c r="AI1944" s="25"/>
      <c r="AJ1944" s="25"/>
      <c r="AK1944" s="25"/>
      <c r="AL1944" s="25"/>
      <c r="AM1944" s="25"/>
      <c r="AN1944" s="25"/>
      <c r="AO1944" s="25"/>
      <c r="AP1944" s="25"/>
      <c r="AQ1944" s="25"/>
      <c r="AR1944" s="25"/>
      <c r="AS1944" s="25"/>
      <c r="AT1944" s="25"/>
      <c r="AU1944" s="36"/>
      <c r="AV1944" s="36"/>
      <c r="AW1944" s="36"/>
      <c r="AX1944" s="25"/>
      <c r="AY1944" s="25"/>
      <c r="AZ1944" s="25"/>
      <c r="BA1944" s="25"/>
      <c r="BB1944" s="25"/>
      <c r="BC1944" s="25"/>
      <c r="BD1944" s="25"/>
      <c r="BE1944" s="25"/>
      <c r="BF1944" s="25"/>
      <c r="BG1944" s="25"/>
      <c r="BH1944" s="25"/>
      <c r="BI1944" s="25"/>
      <c r="BJ1944" s="25"/>
      <c r="BK1944" s="25"/>
      <c r="BL1944" s="25"/>
      <c r="BM1944" s="25"/>
      <c r="BN1944" s="25"/>
      <c r="BO1944" s="25"/>
      <c r="BP1944" s="25"/>
      <c r="BQ1944" s="25"/>
      <c r="BR1944" s="25"/>
      <c r="BS1944" s="25"/>
      <c r="BT1944" s="25"/>
      <c r="BU1944"/>
      <c r="BV1944"/>
      <c r="BW1944"/>
      <c r="BX1944"/>
      <c r="BY1944"/>
      <c r="BZ1944"/>
      <c r="CA1944"/>
      <c r="CB1944"/>
      <c r="CC1944"/>
      <c r="CD1944" s="25"/>
    </row>
    <row r="1945" spans="1:82" s="17" customFormat="1" x14ac:dyDescent="0.2">
      <c r="A1945" s="25"/>
      <c r="B1945" s="20">
        <v>39021010500</v>
      </c>
      <c r="C1945" s="20">
        <v>105</v>
      </c>
      <c r="D1945" s="20" t="s">
        <v>17</v>
      </c>
      <c r="E1945" s="20" t="s">
        <v>265</v>
      </c>
      <c r="F1945" s="20" t="s">
        <v>8</v>
      </c>
      <c r="G1945" s="861">
        <v>44.798438159897401</v>
      </c>
      <c r="H1945" s="861">
        <v>59.331049971607897</v>
      </c>
      <c r="I1945" s="861">
        <v>35.889889301391698</v>
      </c>
      <c r="J1945" s="861">
        <v>42.595847690169997</v>
      </c>
      <c r="K1945" s="982">
        <v>0</v>
      </c>
      <c r="L1945" s="735">
        <v>4143</v>
      </c>
      <c r="M1945" s="735">
        <v>3820</v>
      </c>
      <c r="N1945" s="845">
        <f t="shared" si="161"/>
        <v>-7.7962828867970069E-2</v>
      </c>
      <c r="O1945" s="735">
        <v>2.6898416919759529</v>
      </c>
      <c r="P1945" s="735">
        <f t="shared" si="162"/>
        <v>1420.1579265409612</v>
      </c>
      <c r="Q1945" s="849">
        <v>40.1</v>
      </c>
      <c r="R1945" s="71">
        <v>62306</v>
      </c>
      <c r="S1945" s="845">
        <v>0.13966630785791173</v>
      </c>
      <c r="T1945" s="845">
        <v>0.109</v>
      </c>
      <c r="U1945" s="845">
        <v>3.3000000000000002E-2</v>
      </c>
      <c r="V1945" s="845">
        <v>9.0999999999999998E-2</v>
      </c>
      <c r="W1945" s="845">
        <v>0.41557632398753896</v>
      </c>
      <c r="X1945" s="845">
        <v>0.35232383808095952</v>
      </c>
      <c r="Y1945" s="845">
        <v>0.92905759162303669</v>
      </c>
      <c r="Z1945" s="845">
        <v>1.6753926701570682E-2</v>
      </c>
      <c r="AA1945" s="845">
        <v>0</v>
      </c>
      <c r="AB1945" s="845">
        <v>0</v>
      </c>
      <c r="AC1945" s="845">
        <v>0</v>
      </c>
      <c r="AD1945" s="845">
        <v>1.7015706806282723E-2</v>
      </c>
      <c r="AE1945" s="845">
        <v>3.7172774869109949E-2</v>
      </c>
      <c r="AF1945" s="845">
        <v>6.0209424083769629E-3</v>
      </c>
      <c r="AG1945" s="845">
        <v>0.92905759162303669</v>
      </c>
      <c r="AH1945" s="20" t="str">
        <f t="shared" si="163"/>
        <v>Yes</v>
      </c>
      <c r="AI1945" s="25"/>
      <c r="AJ1945" s="25"/>
      <c r="AK1945" s="25"/>
      <c r="AL1945" s="25"/>
      <c r="AM1945" s="25"/>
      <c r="AN1945" s="25"/>
      <c r="AO1945" s="25"/>
      <c r="AP1945" s="25"/>
      <c r="AQ1945" s="25"/>
      <c r="AR1945" s="25"/>
      <c r="AS1945" s="25"/>
      <c r="AT1945" s="25"/>
      <c r="AU1945" s="36"/>
      <c r="AV1945" s="36"/>
      <c r="AW1945" s="36"/>
      <c r="AX1945" s="25"/>
      <c r="AY1945" s="25"/>
      <c r="AZ1945" s="25"/>
      <c r="BA1945" s="25"/>
      <c r="BB1945" s="25"/>
      <c r="BC1945" s="25"/>
      <c r="BD1945" s="25"/>
      <c r="BE1945" s="25"/>
      <c r="BF1945" s="25"/>
      <c r="BG1945" s="25"/>
      <c r="BH1945" s="25"/>
      <c r="BI1945" s="25"/>
      <c r="BJ1945" s="25"/>
      <c r="BK1945" s="25"/>
      <c r="BL1945" s="25"/>
      <c r="BM1945" s="25"/>
      <c r="BN1945" s="25"/>
      <c r="BO1945" s="25"/>
      <c r="BP1945" s="25"/>
      <c r="BQ1945" s="25"/>
      <c r="BR1945" s="25"/>
      <c r="BS1945" s="25"/>
      <c r="BT1945" s="25"/>
      <c r="BU1945"/>
      <c r="BV1945"/>
      <c r="BW1945"/>
      <c r="BX1945"/>
      <c r="BY1945"/>
      <c r="BZ1945"/>
      <c r="CA1945"/>
      <c r="CB1945"/>
      <c r="CC1945"/>
      <c r="CD1945" s="25"/>
    </row>
    <row r="1946" spans="1:82" s="17" customFormat="1" x14ac:dyDescent="0.2">
      <c r="A1946" s="25"/>
      <c r="B1946" s="20">
        <v>39027964900</v>
      </c>
      <c r="C1946" s="20">
        <v>9649</v>
      </c>
      <c r="D1946" s="20" t="s">
        <v>20</v>
      </c>
      <c r="E1946" s="20" t="s">
        <v>265</v>
      </c>
      <c r="F1946" s="20" t="s">
        <v>8</v>
      </c>
      <c r="G1946" s="861">
        <v>44.7636227085938</v>
      </c>
      <c r="H1946" s="861">
        <v>54.491726096282399</v>
      </c>
      <c r="I1946" s="861">
        <v>36.923913068514302</v>
      </c>
      <c r="J1946" s="861">
        <v>42.931781995177502</v>
      </c>
      <c r="K1946" s="982">
        <v>0</v>
      </c>
      <c r="L1946" s="735">
        <v>5031</v>
      </c>
      <c r="M1946" s="735">
        <v>5137</v>
      </c>
      <c r="N1946" s="845">
        <f t="shared" si="161"/>
        <v>2.1069369906579209E-2</v>
      </c>
      <c r="O1946" s="735">
        <v>14.40051514367763</v>
      </c>
      <c r="P1946" s="735">
        <f t="shared" si="162"/>
        <v>356.7233497376194</v>
      </c>
      <c r="Q1946" s="849">
        <v>38</v>
      </c>
      <c r="R1946" s="71">
        <v>56638</v>
      </c>
      <c r="S1946" s="845">
        <v>0.17521452803831569</v>
      </c>
      <c r="T1946" s="845">
        <v>9.6999999999999989E-2</v>
      </c>
      <c r="U1946" s="845">
        <v>0</v>
      </c>
      <c r="V1946" s="845">
        <v>6.8000000000000005E-2</v>
      </c>
      <c r="W1946" s="845">
        <v>0.40390707497360084</v>
      </c>
      <c r="X1946" s="845">
        <v>0.34771241830065358</v>
      </c>
      <c r="Y1946" s="845">
        <v>0.92446953474790738</v>
      </c>
      <c r="Z1946" s="845">
        <v>4.0879890986957367E-3</v>
      </c>
      <c r="AA1946" s="845">
        <v>4.1463889429628191E-2</v>
      </c>
      <c r="AB1946" s="845">
        <v>0</v>
      </c>
      <c r="AC1946" s="845">
        <v>0</v>
      </c>
      <c r="AD1946" s="845">
        <v>2.3359937706832782E-3</v>
      </c>
      <c r="AE1946" s="845">
        <v>2.7642592953085458E-2</v>
      </c>
      <c r="AF1946" s="845">
        <v>4.1463889429628191E-2</v>
      </c>
      <c r="AG1946" s="845">
        <v>0.92446953474790738</v>
      </c>
      <c r="AH1946" s="20" t="str">
        <f t="shared" si="163"/>
        <v>Yes</v>
      </c>
      <c r="AI1946" s="25"/>
      <c r="AJ1946" s="25"/>
      <c r="AK1946" s="25"/>
      <c r="AL1946" s="25"/>
      <c r="AM1946" s="25"/>
      <c r="AN1946" s="25"/>
      <c r="AO1946" s="25"/>
      <c r="AP1946" s="25"/>
      <c r="AQ1946" s="25"/>
      <c r="AR1946" s="25"/>
      <c r="AS1946" s="25"/>
      <c r="AT1946" s="25"/>
      <c r="AU1946" s="36"/>
      <c r="AV1946" s="36"/>
      <c r="AW1946" s="36"/>
      <c r="AX1946" s="25"/>
      <c r="AY1946" s="25"/>
      <c r="AZ1946" s="25"/>
      <c r="BA1946" s="25"/>
      <c r="BB1946" s="25"/>
      <c r="BC1946" s="25"/>
      <c r="BD1946" s="25"/>
      <c r="BE1946" s="25"/>
      <c r="BF1946" s="25"/>
      <c r="BG1946" s="25"/>
      <c r="BH1946" s="25"/>
      <c r="BI1946" s="25"/>
      <c r="BJ1946" s="25"/>
      <c r="BK1946" s="25"/>
      <c r="BL1946" s="25"/>
      <c r="BM1946" s="25"/>
      <c r="BN1946" s="25"/>
      <c r="BO1946" s="25"/>
      <c r="BP1946" s="25"/>
      <c r="BQ1946" s="25"/>
      <c r="BR1946" s="25"/>
      <c r="BS1946" s="25"/>
      <c r="BT1946" s="25"/>
      <c r="BU1946"/>
      <c r="BV1946"/>
      <c r="BW1946"/>
      <c r="BX1946"/>
      <c r="BY1946"/>
      <c r="BZ1946"/>
      <c r="CA1946"/>
      <c r="CB1946"/>
      <c r="CC1946"/>
      <c r="CD1946" s="25"/>
    </row>
    <row r="1947" spans="1:82" s="17" customFormat="1" x14ac:dyDescent="0.2">
      <c r="A1947" s="25"/>
      <c r="B1947" s="20">
        <v>39095008701</v>
      </c>
      <c r="C1947" s="20">
        <v>87.01</v>
      </c>
      <c r="D1947" s="20" t="s">
        <v>53</v>
      </c>
      <c r="E1947" s="20" t="s">
        <v>2839</v>
      </c>
      <c r="F1947" s="20" t="s">
        <v>8</v>
      </c>
      <c r="G1947" s="861">
        <v>44.754047289304403</v>
      </c>
      <c r="H1947" s="861">
        <v>45.964017484076898</v>
      </c>
      <c r="I1947" s="861">
        <v>30.309405971377501</v>
      </c>
      <c r="J1947" s="861">
        <v>54.340423535616502</v>
      </c>
      <c r="K1947" s="982">
        <v>0</v>
      </c>
      <c r="L1947" s="735" t="s">
        <v>2466</v>
      </c>
      <c r="M1947" s="735">
        <v>3647</v>
      </c>
      <c r="N1947" s="845" t="str">
        <f t="shared" si="161"/>
        <v/>
      </c>
      <c r="O1947" s="735">
        <v>1.3323053440581238</v>
      </c>
      <c r="P1947" s="735">
        <f t="shared" si="162"/>
        <v>2737.3604829141136</v>
      </c>
      <c r="Q1947" s="849">
        <v>41.6</v>
      </c>
      <c r="R1947" s="71">
        <v>69571</v>
      </c>
      <c r="S1947" s="845">
        <v>7.0074196207749379E-2</v>
      </c>
      <c r="T1947" s="845">
        <v>2.5000000000000001E-2</v>
      </c>
      <c r="U1947" s="845">
        <v>4.9000000000000002E-2</v>
      </c>
      <c r="V1947" s="845">
        <v>2.2000000000000002E-2</v>
      </c>
      <c r="W1947" s="845">
        <v>0.60943499725726824</v>
      </c>
      <c r="X1947" s="845">
        <v>0.27452745274527451</v>
      </c>
      <c r="Y1947" s="845">
        <v>0.76199616122840697</v>
      </c>
      <c r="Z1947" s="845">
        <v>0.19659994516040583</v>
      </c>
      <c r="AA1947" s="845">
        <v>0</v>
      </c>
      <c r="AB1947" s="845">
        <v>0</v>
      </c>
      <c r="AC1947" s="845">
        <v>0</v>
      </c>
      <c r="AD1947" s="845">
        <v>6.3065533315053469E-3</v>
      </c>
      <c r="AE1947" s="845">
        <v>3.5097340279681928E-2</v>
      </c>
      <c r="AF1947" s="845">
        <v>4.5516863175212502E-2</v>
      </c>
      <c r="AG1947" s="845">
        <v>0.72936660268714015</v>
      </c>
      <c r="AH1947" s="20" t="str">
        <f t="shared" si="163"/>
        <v>No</v>
      </c>
      <c r="AI1947" s="25"/>
      <c r="AJ1947" s="25"/>
      <c r="AK1947" s="25"/>
      <c r="AL1947" s="25"/>
      <c r="AM1947" s="25"/>
      <c r="AN1947" s="25"/>
      <c r="AO1947" s="25"/>
      <c r="AP1947" s="25"/>
      <c r="AQ1947" s="25"/>
      <c r="AR1947" s="25"/>
      <c r="AS1947" s="25"/>
      <c r="AT1947" s="25"/>
      <c r="AU1947" s="36"/>
      <c r="AV1947" s="36"/>
      <c r="AW1947" s="36"/>
      <c r="AX1947" s="25"/>
      <c r="AY1947" s="25"/>
      <c r="AZ1947" s="25"/>
      <c r="BA1947" s="25"/>
      <c r="BB1947" s="25"/>
      <c r="BC1947" s="25"/>
      <c r="BD1947" s="25"/>
      <c r="BE1947" s="25"/>
      <c r="BF1947" s="25"/>
      <c r="BG1947" s="25"/>
      <c r="BH1947" s="25"/>
      <c r="BI1947" s="25"/>
      <c r="BJ1947" s="25"/>
      <c r="BK1947" s="25"/>
      <c r="BL1947" s="25"/>
      <c r="BM1947" s="25"/>
      <c r="BN1947" s="25"/>
      <c r="BO1947" s="25"/>
      <c r="BP1947" s="25"/>
      <c r="BQ1947" s="25"/>
      <c r="BR1947" s="25"/>
      <c r="BS1947" s="25"/>
      <c r="BT1947" s="25"/>
      <c r="BU1947"/>
      <c r="BV1947"/>
      <c r="BW1947"/>
      <c r="BX1947"/>
      <c r="BY1947"/>
      <c r="BZ1947"/>
      <c r="CA1947"/>
      <c r="CB1947"/>
      <c r="CC1947"/>
      <c r="CD1947" s="25"/>
    </row>
    <row r="1948" spans="1:82" s="17" customFormat="1" x14ac:dyDescent="0.2">
      <c r="A1948" s="25"/>
      <c r="B1948" s="20">
        <v>39049008822</v>
      </c>
      <c r="C1948" s="20">
        <v>88.22</v>
      </c>
      <c r="D1948" s="20" t="s">
        <v>31</v>
      </c>
      <c r="E1948" s="20" t="s">
        <v>2830</v>
      </c>
      <c r="F1948" s="20" t="s">
        <v>6</v>
      </c>
      <c r="G1948" s="861">
        <v>44.732390407674799</v>
      </c>
      <c r="H1948" s="861">
        <v>50.069187387026702</v>
      </c>
      <c r="I1948" s="861">
        <v>36.328672675168697</v>
      </c>
      <c r="J1948" s="861">
        <v>33.996366679218298</v>
      </c>
      <c r="K1948" s="982">
        <v>3</v>
      </c>
      <c r="L1948" s="735">
        <v>4530</v>
      </c>
      <c r="M1948" s="735">
        <v>4265</v>
      </c>
      <c r="N1948" s="845">
        <f t="shared" si="161"/>
        <v>-5.8498896247240618E-2</v>
      </c>
      <c r="O1948" s="735">
        <v>1.9717642641996531</v>
      </c>
      <c r="P1948" s="735">
        <f t="shared" si="162"/>
        <v>2163.0374773686144</v>
      </c>
      <c r="Q1948" s="849">
        <v>40.9</v>
      </c>
      <c r="R1948" s="71">
        <v>36135</v>
      </c>
      <c r="S1948" s="845">
        <v>0.20452334630350194</v>
      </c>
      <c r="T1948" s="845">
        <v>7.4999999999999997E-2</v>
      </c>
      <c r="U1948" s="845">
        <v>0</v>
      </c>
      <c r="V1948" s="845">
        <v>0</v>
      </c>
      <c r="W1948" s="845">
        <v>0.50519978106185004</v>
      </c>
      <c r="X1948" s="845">
        <v>0.56229685807150598</v>
      </c>
      <c r="Y1948" s="845">
        <v>0.56951934349355215</v>
      </c>
      <c r="Z1948" s="845">
        <v>0.3526377491207503</v>
      </c>
      <c r="AA1948" s="845">
        <v>4.6893317702227429E-3</v>
      </c>
      <c r="AB1948" s="845">
        <v>1.1488862837045722E-2</v>
      </c>
      <c r="AC1948" s="845">
        <v>0</v>
      </c>
      <c r="AD1948" s="845">
        <v>2.1336459554513482E-2</v>
      </c>
      <c r="AE1948" s="845">
        <v>4.0328253223915589E-2</v>
      </c>
      <c r="AF1948" s="845">
        <v>4.2907385697538103E-2</v>
      </c>
      <c r="AG1948" s="845">
        <v>0.55990621336459556</v>
      </c>
      <c r="AH1948" s="20" t="str">
        <f t="shared" si="163"/>
        <v>No</v>
      </c>
      <c r="AI1948" s="25"/>
      <c r="AJ1948" s="25"/>
      <c r="AK1948" s="25"/>
      <c r="AL1948" s="25"/>
      <c r="AM1948" s="25"/>
      <c r="AN1948" s="25"/>
      <c r="AO1948" s="25"/>
      <c r="AP1948" s="25"/>
      <c r="AQ1948" s="25"/>
      <c r="AR1948" s="25"/>
      <c r="AS1948" s="25"/>
      <c r="AT1948" s="25"/>
      <c r="AU1948" s="36"/>
      <c r="AV1948" s="36"/>
      <c r="AW1948" s="36"/>
      <c r="AX1948" s="25"/>
      <c r="AY1948" s="25"/>
      <c r="AZ1948" s="25"/>
      <c r="BA1948" s="25"/>
      <c r="BB1948" s="25"/>
      <c r="BC1948" s="25"/>
      <c r="BD1948" s="25"/>
      <c r="BE1948" s="25"/>
      <c r="BF1948" s="25"/>
      <c r="BG1948" s="25"/>
      <c r="BH1948" s="25"/>
      <c r="BI1948" s="25"/>
      <c r="BJ1948" s="25"/>
      <c r="BK1948" s="25"/>
      <c r="BL1948" s="25"/>
      <c r="BM1948" s="25"/>
      <c r="BN1948" s="25"/>
      <c r="BO1948" s="25"/>
      <c r="BP1948" s="25"/>
      <c r="BQ1948" s="25"/>
      <c r="BR1948" s="25"/>
      <c r="BS1948" s="25"/>
      <c r="BT1948" s="25"/>
      <c r="BU1948"/>
      <c r="BV1948"/>
      <c r="BW1948"/>
      <c r="BX1948"/>
      <c r="BY1948"/>
      <c r="BZ1948"/>
      <c r="CA1948"/>
      <c r="CB1948"/>
      <c r="CC1948"/>
      <c r="CD1948" s="25"/>
    </row>
    <row r="1949" spans="1:82" s="17" customFormat="1" x14ac:dyDescent="0.2">
      <c r="A1949" s="25"/>
      <c r="B1949" s="20">
        <v>39153531701</v>
      </c>
      <c r="C1949" s="20">
        <v>5317.01</v>
      </c>
      <c r="D1949" s="20" t="s">
        <v>82</v>
      </c>
      <c r="E1949" s="20" t="s">
        <v>2843</v>
      </c>
      <c r="F1949" s="20" t="s">
        <v>8</v>
      </c>
      <c r="G1949" s="861">
        <v>44.7114157151914</v>
      </c>
      <c r="H1949" s="861">
        <v>52.306358372861503</v>
      </c>
      <c r="I1949" s="861">
        <v>13.286180795492401</v>
      </c>
      <c r="J1949" s="861">
        <v>47.511225392118803</v>
      </c>
      <c r="K1949" s="982">
        <v>0</v>
      </c>
      <c r="L1949" s="735">
        <v>3632</v>
      </c>
      <c r="M1949" s="735">
        <v>4111</v>
      </c>
      <c r="N1949" s="845">
        <f t="shared" si="161"/>
        <v>0.13188325991189428</v>
      </c>
      <c r="O1949" s="735">
        <v>10.304028770232463</v>
      </c>
      <c r="P1949" s="735">
        <f t="shared" si="162"/>
        <v>398.97015931053676</v>
      </c>
      <c r="Q1949" s="849">
        <v>47.6</v>
      </c>
      <c r="R1949" s="71">
        <v>91909</v>
      </c>
      <c r="S1949" s="845">
        <v>2.172321210641933E-2</v>
      </c>
      <c r="T1949" s="845">
        <v>3.3000000000000002E-2</v>
      </c>
      <c r="U1949" s="845">
        <v>0</v>
      </c>
      <c r="V1949" s="845">
        <v>0</v>
      </c>
      <c r="W1949" s="845">
        <v>8.8042831647828668E-2</v>
      </c>
      <c r="X1949" s="845">
        <v>3.3783783783783786E-2</v>
      </c>
      <c r="Y1949" s="845">
        <v>0.96886402335198252</v>
      </c>
      <c r="Z1949" s="845">
        <v>0</v>
      </c>
      <c r="AA1949" s="845">
        <v>0</v>
      </c>
      <c r="AB1949" s="845">
        <v>5.35149598637801E-3</v>
      </c>
      <c r="AC1949" s="845">
        <v>0</v>
      </c>
      <c r="AD1949" s="845">
        <v>0</v>
      </c>
      <c r="AE1949" s="845">
        <v>2.5784480661639502E-2</v>
      </c>
      <c r="AF1949" s="845">
        <v>8.5137436146922891E-3</v>
      </c>
      <c r="AG1949" s="845">
        <v>0.96035027973729015</v>
      </c>
      <c r="AH1949" s="20" t="str">
        <f t="shared" si="163"/>
        <v>Yes</v>
      </c>
      <c r="AI1949" s="25"/>
      <c r="AJ1949" s="25"/>
      <c r="AK1949" s="25"/>
      <c r="AL1949" s="25"/>
      <c r="AM1949" s="25"/>
      <c r="AN1949" s="25"/>
      <c r="AO1949" s="25"/>
      <c r="AP1949" s="25"/>
      <c r="AQ1949" s="25"/>
      <c r="AR1949" s="25"/>
      <c r="AS1949" s="25"/>
      <c r="AT1949" s="25"/>
      <c r="AU1949" s="36"/>
      <c r="AV1949" s="36"/>
      <c r="AW1949" s="36"/>
      <c r="AX1949" s="25"/>
      <c r="AY1949" s="25"/>
      <c r="AZ1949" s="25"/>
      <c r="BA1949" s="25"/>
      <c r="BB1949" s="25"/>
      <c r="BC1949" s="25"/>
      <c r="BD1949" s="25"/>
      <c r="BE1949" s="25"/>
      <c r="BF1949" s="25"/>
      <c r="BG1949" s="25"/>
      <c r="BH1949" s="25"/>
      <c r="BI1949" s="25"/>
      <c r="BJ1949" s="25"/>
      <c r="BK1949" s="25"/>
      <c r="BL1949" s="25"/>
      <c r="BM1949" s="25"/>
      <c r="BN1949" s="25"/>
      <c r="BO1949" s="25"/>
      <c r="BP1949" s="25"/>
      <c r="BQ1949" s="25"/>
      <c r="BR1949" s="25"/>
      <c r="BS1949" s="25"/>
      <c r="BT1949" s="25"/>
      <c r="BU1949"/>
      <c r="BV1949"/>
      <c r="BW1949"/>
      <c r="BX1949"/>
      <c r="BY1949"/>
      <c r="BZ1949"/>
      <c r="CA1949"/>
      <c r="CB1949"/>
      <c r="CC1949"/>
      <c r="CD1949" s="25"/>
    </row>
    <row r="1950" spans="1:82" s="17" customFormat="1" x14ac:dyDescent="0.2">
      <c r="A1950" s="25"/>
      <c r="B1950" s="20">
        <v>39133601100</v>
      </c>
      <c r="C1950" s="20">
        <v>6011</v>
      </c>
      <c r="D1950" s="20" t="s">
        <v>72</v>
      </c>
      <c r="E1950" s="20" t="s">
        <v>2843</v>
      </c>
      <c r="F1950" s="20" t="s">
        <v>8</v>
      </c>
      <c r="G1950" s="861">
        <v>44.684311931283801</v>
      </c>
      <c r="H1950" s="861">
        <v>57.2912589421462</v>
      </c>
      <c r="I1950" s="861">
        <v>31.0142994239221</v>
      </c>
      <c r="J1950" s="861">
        <v>42.0661696545544</v>
      </c>
      <c r="K1950" s="982">
        <v>0</v>
      </c>
      <c r="L1950" s="735">
        <v>5699</v>
      </c>
      <c r="M1950" s="735">
        <v>5753</v>
      </c>
      <c r="N1950" s="845">
        <f t="shared" si="161"/>
        <v>9.4753465520266717E-3</v>
      </c>
      <c r="O1950" s="735">
        <v>17.229802649557339</v>
      </c>
      <c r="P1950" s="735">
        <f t="shared" si="162"/>
        <v>333.89819471599134</v>
      </c>
      <c r="Q1950" s="849">
        <v>43.8</v>
      </c>
      <c r="R1950" s="71">
        <v>64712</v>
      </c>
      <c r="S1950" s="845">
        <v>0.13001912045889102</v>
      </c>
      <c r="T1950" s="845">
        <v>1.1000000000000001E-2</v>
      </c>
      <c r="U1950" s="845">
        <v>1.9E-2</v>
      </c>
      <c r="V1950" s="845">
        <v>0</v>
      </c>
      <c r="W1950" s="845">
        <v>0.11412829594647776</v>
      </c>
      <c r="X1950" s="845">
        <v>0.17241379310344829</v>
      </c>
      <c r="Y1950" s="845">
        <v>0.9447244915696158</v>
      </c>
      <c r="Z1950" s="845">
        <v>4.8670258995306796E-3</v>
      </c>
      <c r="AA1950" s="845">
        <v>0</v>
      </c>
      <c r="AB1950" s="845">
        <v>0</v>
      </c>
      <c r="AC1950" s="845">
        <v>0</v>
      </c>
      <c r="AD1950" s="845">
        <v>0</v>
      </c>
      <c r="AE1950" s="845">
        <v>5.040848253085347E-2</v>
      </c>
      <c r="AF1950" s="845">
        <v>8.6911176777333572E-3</v>
      </c>
      <c r="AG1950" s="845">
        <v>0.9447244915696158</v>
      </c>
      <c r="AH1950" s="20" t="str">
        <f t="shared" si="163"/>
        <v>Yes</v>
      </c>
      <c r="AI1950" s="25"/>
      <c r="AJ1950" s="25"/>
      <c r="AK1950" s="25"/>
      <c r="AL1950" s="25"/>
      <c r="AM1950" s="25"/>
      <c r="AN1950" s="25"/>
      <c r="AO1950" s="25"/>
      <c r="AP1950" s="25"/>
      <c r="AQ1950" s="25"/>
      <c r="AR1950" s="25"/>
      <c r="AS1950" s="25"/>
      <c r="AT1950" s="25"/>
      <c r="AU1950" s="36"/>
      <c r="AV1950" s="36"/>
      <c r="AW1950" s="36"/>
      <c r="AX1950" s="25"/>
      <c r="AY1950" s="25"/>
      <c r="AZ1950" s="25"/>
      <c r="BA1950" s="25"/>
      <c r="BB1950" s="25"/>
      <c r="BC1950" s="25"/>
      <c r="BD1950" s="25"/>
      <c r="BE1950" s="25"/>
      <c r="BF1950" s="25"/>
      <c r="BG1950" s="25"/>
      <c r="BH1950" s="25"/>
      <c r="BI1950" s="25"/>
      <c r="BJ1950" s="25"/>
      <c r="BK1950" s="25"/>
      <c r="BL1950" s="25"/>
      <c r="BM1950" s="25"/>
      <c r="BN1950" s="25"/>
      <c r="BO1950" s="25"/>
      <c r="BP1950" s="25"/>
      <c r="BQ1950" s="25"/>
      <c r="BR1950" s="25"/>
      <c r="BS1950" s="25"/>
      <c r="BT1950" s="25"/>
      <c r="BU1950"/>
      <c r="BV1950"/>
      <c r="BW1950"/>
      <c r="BX1950"/>
      <c r="BY1950"/>
      <c r="BZ1950"/>
      <c r="CA1950"/>
      <c r="CB1950"/>
      <c r="CC1950"/>
      <c r="CD1950" s="25"/>
    </row>
    <row r="1951" spans="1:82" s="17" customFormat="1" x14ac:dyDescent="0.2">
      <c r="A1951" s="25"/>
      <c r="B1951" s="20">
        <v>39025041506</v>
      </c>
      <c r="C1951" s="20">
        <v>415.06</v>
      </c>
      <c r="D1951" s="20" t="s">
        <v>19</v>
      </c>
      <c r="E1951" s="20" t="s">
        <v>2828</v>
      </c>
      <c r="F1951" s="20" t="s">
        <v>8</v>
      </c>
      <c r="G1951" s="861">
        <v>44.683163483010098</v>
      </c>
      <c r="H1951" s="861">
        <v>50.725563180002197</v>
      </c>
      <c r="I1951" s="861">
        <v>24.888545626276201</v>
      </c>
      <c r="J1951" s="861">
        <v>34.600598178052003</v>
      </c>
      <c r="K1951" s="982">
        <v>0</v>
      </c>
      <c r="L1951" s="735" t="s">
        <v>2466</v>
      </c>
      <c r="M1951" s="735">
        <v>2792</v>
      </c>
      <c r="N1951" s="845" t="str">
        <f t="shared" si="161"/>
        <v/>
      </c>
      <c r="O1951" s="735">
        <v>12.614850961613103</v>
      </c>
      <c r="P1951" s="735">
        <f t="shared" si="162"/>
        <v>221.326435682517</v>
      </c>
      <c r="Q1951" s="849">
        <v>56.9</v>
      </c>
      <c r="R1951" s="71">
        <v>91250</v>
      </c>
      <c r="S1951" s="845">
        <v>7.5931232091690545E-2</v>
      </c>
      <c r="T1951" s="845">
        <v>1.3000000000000001E-2</v>
      </c>
      <c r="U1951" s="845">
        <v>0</v>
      </c>
      <c r="V1951" s="845" t="s">
        <v>2466</v>
      </c>
      <c r="W1951" s="845">
        <v>0</v>
      </c>
      <c r="X1951" s="845"/>
      <c r="Y1951" s="845">
        <v>0.94520057306590255</v>
      </c>
      <c r="Z1951" s="845">
        <v>0</v>
      </c>
      <c r="AA1951" s="845">
        <v>3.5816618911174784E-4</v>
      </c>
      <c r="AB1951" s="845">
        <v>0</v>
      </c>
      <c r="AC1951" s="845">
        <v>0</v>
      </c>
      <c r="AD1951" s="845">
        <v>0</v>
      </c>
      <c r="AE1951" s="845">
        <v>5.4441260744985676E-2</v>
      </c>
      <c r="AF1951" s="845">
        <v>1.9699140401146131E-2</v>
      </c>
      <c r="AG1951" s="845">
        <v>0.92550143266475648</v>
      </c>
      <c r="AH1951" s="20" t="str">
        <f t="shared" si="163"/>
        <v>Yes</v>
      </c>
      <c r="AI1951" s="25"/>
      <c r="AJ1951" s="25"/>
      <c r="AK1951" s="25"/>
      <c r="AL1951" s="25"/>
      <c r="AM1951" s="25"/>
      <c r="AN1951" s="25"/>
      <c r="AO1951" s="25"/>
      <c r="AP1951" s="25"/>
      <c r="AQ1951" s="25"/>
      <c r="AR1951" s="25"/>
      <c r="AS1951" s="25"/>
      <c r="AT1951" s="25"/>
      <c r="AU1951" s="36"/>
      <c r="AV1951" s="36"/>
      <c r="AW1951" s="36"/>
      <c r="AX1951" s="25"/>
      <c r="AY1951" s="25"/>
      <c r="AZ1951" s="25"/>
      <c r="BA1951" s="25"/>
      <c r="BB1951" s="25"/>
      <c r="BC1951" s="25"/>
      <c r="BD1951" s="25"/>
      <c r="BE1951" s="25"/>
      <c r="BF1951" s="25"/>
      <c r="BG1951" s="25"/>
      <c r="BH1951" s="25"/>
      <c r="BI1951" s="25"/>
      <c r="BJ1951" s="25"/>
      <c r="BK1951" s="25"/>
      <c r="BL1951" s="25"/>
      <c r="BM1951" s="25"/>
      <c r="BN1951" s="25"/>
      <c r="BO1951" s="25"/>
      <c r="BP1951" s="25"/>
      <c r="BQ1951" s="25"/>
      <c r="BR1951" s="25"/>
      <c r="BS1951" s="25"/>
      <c r="BT1951" s="25"/>
      <c r="BU1951"/>
      <c r="BV1951"/>
      <c r="BW1951"/>
      <c r="BX1951"/>
      <c r="BY1951"/>
      <c r="BZ1951"/>
      <c r="CA1951"/>
      <c r="CB1951"/>
      <c r="CC1951"/>
      <c r="CD1951" s="25"/>
    </row>
    <row r="1952" spans="1:82" s="17" customFormat="1" x14ac:dyDescent="0.2">
      <c r="A1952" s="25"/>
      <c r="B1952" s="20">
        <v>39049002710</v>
      </c>
      <c r="C1952" s="20">
        <v>27.1</v>
      </c>
      <c r="D1952" s="20" t="s">
        <v>31</v>
      </c>
      <c r="E1952" s="20" t="s">
        <v>2830</v>
      </c>
      <c r="F1952" s="20" t="s">
        <v>6</v>
      </c>
      <c r="G1952" s="861">
        <v>44.653205797163501</v>
      </c>
      <c r="H1952" s="861">
        <v>62.402838547275699</v>
      </c>
      <c r="I1952" s="861">
        <v>48.576310311275897</v>
      </c>
      <c r="J1952" s="861">
        <v>59.664028486601303</v>
      </c>
      <c r="K1952" s="982">
        <v>1</v>
      </c>
      <c r="L1952" s="735">
        <v>1875</v>
      </c>
      <c r="M1952" s="735">
        <v>2422</v>
      </c>
      <c r="N1952" s="845">
        <f t="shared" si="161"/>
        <v>0.29173333333333334</v>
      </c>
      <c r="O1952" s="735">
        <v>0.32524821127460701</v>
      </c>
      <c r="P1952" s="735">
        <f t="shared" si="162"/>
        <v>7446.6205071766126</v>
      </c>
      <c r="Q1952" s="849">
        <v>29.8</v>
      </c>
      <c r="R1952" s="71">
        <v>40414</v>
      </c>
      <c r="S1952" s="845">
        <v>0.25928984310487202</v>
      </c>
      <c r="T1952" s="845">
        <v>6.7000000000000004E-2</v>
      </c>
      <c r="U1952" s="845">
        <v>0</v>
      </c>
      <c r="V1952" s="845">
        <v>0</v>
      </c>
      <c r="W1952" s="845">
        <v>0.98128559804719284</v>
      </c>
      <c r="X1952" s="845">
        <v>0.40464344941956881</v>
      </c>
      <c r="Y1952" s="845">
        <v>0.20313790255986788</v>
      </c>
      <c r="Z1952" s="845">
        <v>0.75433526011560692</v>
      </c>
      <c r="AA1952" s="845">
        <v>7.8447563996696945E-3</v>
      </c>
      <c r="AB1952" s="845">
        <v>0</v>
      </c>
      <c r="AC1952" s="845">
        <v>0</v>
      </c>
      <c r="AD1952" s="845">
        <v>6.1932287365813379E-3</v>
      </c>
      <c r="AE1952" s="845">
        <v>2.8488852188274155E-2</v>
      </c>
      <c r="AF1952" s="845">
        <v>4.3352601156069363E-2</v>
      </c>
      <c r="AG1952" s="845">
        <v>0.20148637489677951</v>
      </c>
      <c r="AH1952" s="20" t="str">
        <f t="shared" si="163"/>
        <v>No</v>
      </c>
      <c r="AI1952" s="25"/>
      <c r="AJ1952" s="25"/>
      <c r="AK1952" s="25"/>
      <c r="AL1952" s="25"/>
      <c r="AM1952" s="25"/>
      <c r="AN1952" s="25"/>
      <c r="AO1952" s="25"/>
      <c r="AP1952" s="25"/>
      <c r="AQ1952" s="25"/>
      <c r="AR1952" s="25"/>
      <c r="AS1952" s="25"/>
      <c r="AT1952" s="25"/>
      <c r="AU1952" s="36"/>
      <c r="AV1952" s="36"/>
      <c r="AW1952" s="36"/>
      <c r="AX1952" s="25"/>
      <c r="AY1952" s="25"/>
      <c r="AZ1952" s="25"/>
      <c r="BA1952" s="25"/>
      <c r="BB1952" s="25"/>
      <c r="BC1952" s="25"/>
      <c r="BD1952" s="25"/>
      <c r="BE1952" s="25"/>
      <c r="BF1952" s="25"/>
      <c r="BG1952" s="25"/>
      <c r="BH1952" s="25"/>
      <c r="BI1952" s="25"/>
      <c r="BJ1952" s="25"/>
      <c r="BK1952" s="25"/>
      <c r="BL1952" s="25"/>
      <c r="BM1952" s="25"/>
      <c r="BN1952" s="25"/>
      <c r="BO1952" s="25"/>
      <c r="BP1952" s="25"/>
      <c r="BQ1952" s="25"/>
      <c r="BR1952" s="25"/>
      <c r="BS1952" s="25"/>
      <c r="BT1952" s="25"/>
      <c r="BU1952"/>
      <c r="BV1952"/>
      <c r="BW1952"/>
      <c r="BX1952"/>
      <c r="BY1952"/>
      <c r="BZ1952"/>
      <c r="CA1952"/>
      <c r="CB1952"/>
      <c r="CC1952"/>
      <c r="CD1952" s="25"/>
    </row>
    <row r="1953" spans="1:82" s="17" customFormat="1" x14ac:dyDescent="0.2">
      <c r="A1953" s="25"/>
      <c r="B1953" s="20">
        <v>39141955603</v>
      </c>
      <c r="C1953" s="20">
        <v>9556.0300000000007</v>
      </c>
      <c r="D1953" s="20" t="s">
        <v>76</v>
      </c>
      <c r="E1953" s="20" t="s">
        <v>265</v>
      </c>
      <c r="F1953" s="20" t="s">
        <v>8</v>
      </c>
      <c r="G1953" s="861">
        <v>44.644135273126402</v>
      </c>
      <c r="H1953" s="861">
        <v>49.176111312178001</v>
      </c>
      <c r="I1953" s="861">
        <v>32.349868781415601</v>
      </c>
      <c r="J1953" s="861">
        <v>49.053012342855403</v>
      </c>
      <c r="K1953" s="982">
        <v>0</v>
      </c>
      <c r="L1953" s="735">
        <v>4089</v>
      </c>
      <c r="M1953" s="735">
        <v>4427</v>
      </c>
      <c r="N1953" s="845">
        <f t="shared" si="161"/>
        <v>8.2660797260943997E-2</v>
      </c>
      <c r="O1953" s="735">
        <v>84.25313002691739</v>
      </c>
      <c r="P1953" s="735">
        <f t="shared" si="162"/>
        <v>52.544041967172632</v>
      </c>
      <c r="Q1953" s="849">
        <v>37.700000000000003</v>
      </c>
      <c r="R1953" s="71">
        <v>78375</v>
      </c>
      <c r="S1953" s="845">
        <v>0.13912846118928734</v>
      </c>
      <c r="T1953" s="845">
        <v>7.0000000000000007E-2</v>
      </c>
      <c r="U1953" s="845">
        <v>0</v>
      </c>
      <c r="V1953" s="845">
        <v>0</v>
      </c>
      <c r="W1953" s="845">
        <v>0.23705552089831566</v>
      </c>
      <c r="X1953" s="845">
        <v>0.54473684210526319</v>
      </c>
      <c r="Y1953" s="845">
        <v>0.9753783600632483</v>
      </c>
      <c r="Z1953" s="845">
        <v>2.9365258640162636E-3</v>
      </c>
      <c r="AA1953" s="845">
        <v>1.3553196295459679E-3</v>
      </c>
      <c r="AB1953" s="845">
        <v>1.3553196295459679E-3</v>
      </c>
      <c r="AC1953" s="845">
        <v>2.4847526541676079E-3</v>
      </c>
      <c r="AD1953" s="845">
        <v>0</v>
      </c>
      <c r="AE1953" s="845">
        <v>1.6489722159475945E-2</v>
      </c>
      <c r="AF1953" s="845">
        <v>5.4212785181838715E-3</v>
      </c>
      <c r="AG1953" s="845">
        <v>0.9753783600632483</v>
      </c>
      <c r="AH1953" s="20" t="str">
        <f t="shared" si="163"/>
        <v>Yes</v>
      </c>
      <c r="AI1953" s="25"/>
      <c r="AJ1953" s="25"/>
      <c r="AK1953" s="25"/>
      <c r="AL1953" s="25"/>
      <c r="AM1953" s="25"/>
      <c r="AN1953" s="25"/>
      <c r="AO1953" s="25"/>
      <c r="AP1953" s="25"/>
      <c r="AQ1953" s="25"/>
      <c r="AR1953" s="25"/>
      <c r="AS1953" s="25"/>
      <c r="AT1953" s="25"/>
      <c r="AU1953" s="36"/>
      <c r="AV1953" s="36"/>
      <c r="AW1953" s="36"/>
      <c r="AX1953" s="25"/>
      <c r="AY1953" s="25"/>
      <c r="AZ1953" s="25"/>
      <c r="BA1953" s="25"/>
      <c r="BB1953" s="25"/>
      <c r="BC1953" s="25"/>
      <c r="BD1953" s="25"/>
      <c r="BE1953" s="25"/>
      <c r="BF1953" s="25"/>
      <c r="BG1953" s="25"/>
      <c r="BH1953" s="25"/>
      <c r="BI1953" s="25"/>
      <c r="BJ1953" s="25"/>
      <c r="BK1953" s="25"/>
      <c r="BL1953" s="25"/>
      <c r="BM1953" s="25"/>
      <c r="BN1953" s="25"/>
      <c r="BO1953" s="25"/>
      <c r="BP1953" s="25"/>
      <c r="BQ1953" s="25"/>
      <c r="BR1953" s="25"/>
      <c r="BS1953" s="25"/>
      <c r="BT1953" s="25"/>
      <c r="BU1953"/>
      <c r="BV1953"/>
      <c r="BW1953"/>
      <c r="BX1953"/>
      <c r="BY1953"/>
      <c r="BZ1953"/>
      <c r="CA1953"/>
      <c r="CB1953"/>
      <c r="CC1953"/>
      <c r="CD1953" s="25"/>
    </row>
    <row r="1954" spans="1:82" s="17" customFormat="1" x14ac:dyDescent="0.2">
      <c r="A1954" s="25"/>
      <c r="B1954" s="20">
        <v>39045032000</v>
      </c>
      <c r="C1954" s="20">
        <v>320</v>
      </c>
      <c r="D1954" s="20" t="s">
        <v>29</v>
      </c>
      <c r="E1954" s="20" t="s">
        <v>2830</v>
      </c>
      <c r="F1954" s="20" t="s">
        <v>6</v>
      </c>
      <c r="G1954" s="861">
        <v>44.608814854437199</v>
      </c>
      <c r="H1954" s="861">
        <v>51.486574115295397</v>
      </c>
      <c r="I1954" s="861">
        <v>48.293366251181098</v>
      </c>
      <c r="J1954" s="861">
        <v>36.819479537577898</v>
      </c>
      <c r="K1954" s="982">
        <v>0</v>
      </c>
      <c r="L1954" s="735">
        <v>2969</v>
      </c>
      <c r="M1954" s="735">
        <v>3356</v>
      </c>
      <c r="N1954" s="845">
        <f t="shared" si="161"/>
        <v>0.13034691815426069</v>
      </c>
      <c r="O1954" s="735">
        <v>0.81695548787673777</v>
      </c>
      <c r="P1954" s="735">
        <f t="shared" si="162"/>
        <v>4107.9349484783106</v>
      </c>
      <c r="Q1954" s="849">
        <v>32.5</v>
      </c>
      <c r="R1954" s="71">
        <v>47168</v>
      </c>
      <c r="S1954" s="845">
        <v>0.26137463697967084</v>
      </c>
      <c r="T1954" s="845">
        <v>0.18899999999999997</v>
      </c>
      <c r="U1954" s="845">
        <v>0</v>
      </c>
      <c r="V1954" s="845">
        <v>3.2000000000000001E-2</v>
      </c>
      <c r="W1954" s="845">
        <v>0.68552036199095023</v>
      </c>
      <c r="X1954" s="845">
        <v>0.39163916391639164</v>
      </c>
      <c r="Y1954" s="845">
        <v>0.74582836710369482</v>
      </c>
      <c r="Z1954" s="845">
        <v>4.0524433849821219E-2</v>
      </c>
      <c r="AA1954" s="845">
        <v>1.1918951132300357E-3</v>
      </c>
      <c r="AB1954" s="845">
        <v>5.959475566150179E-2</v>
      </c>
      <c r="AC1954" s="845">
        <v>0</v>
      </c>
      <c r="AD1954" s="845">
        <v>0</v>
      </c>
      <c r="AE1954" s="845">
        <v>0.15286054827175208</v>
      </c>
      <c r="AF1954" s="845">
        <v>2.6221692491060787E-2</v>
      </c>
      <c r="AG1954" s="845">
        <v>0.74165673420738976</v>
      </c>
      <c r="AH1954" s="20" t="str">
        <f t="shared" si="163"/>
        <v>No</v>
      </c>
      <c r="AI1954" s="25"/>
      <c r="AJ1954" s="25"/>
      <c r="AK1954" s="25"/>
      <c r="AL1954" s="25"/>
      <c r="AM1954" s="25"/>
      <c r="AN1954" s="25"/>
      <c r="AO1954" s="25"/>
      <c r="AP1954" s="25"/>
      <c r="AQ1954" s="25"/>
      <c r="AR1954" s="25"/>
      <c r="AS1954" s="25"/>
      <c r="AT1954" s="25"/>
      <c r="AU1954" s="36"/>
      <c r="AV1954" s="36"/>
      <c r="AW1954" s="36"/>
      <c r="AX1954" s="25"/>
      <c r="AY1954" s="25"/>
      <c r="AZ1954" s="25"/>
      <c r="BA1954" s="25"/>
      <c r="BB1954" s="25"/>
      <c r="BC1954" s="25"/>
      <c r="BD1954" s="25"/>
      <c r="BE1954" s="25"/>
      <c r="BF1954" s="25"/>
      <c r="BG1954" s="25"/>
      <c r="BH1954" s="25"/>
      <c r="BI1954" s="25"/>
      <c r="BJ1954" s="25"/>
      <c r="BK1954" s="25"/>
      <c r="BL1954" s="25"/>
      <c r="BM1954" s="25"/>
      <c r="BN1954" s="25"/>
      <c r="BO1954" s="25"/>
      <c r="BP1954" s="25"/>
      <c r="BQ1954" s="25"/>
      <c r="BR1954" s="25"/>
      <c r="BS1954" s="25"/>
      <c r="BT1954" s="25"/>
      <c r="BU1954"/>
      <c r="BV1954"/>
      <c r="BW1954"/>
      <c r="BX1954"/>
      <c r="BY1954"/>
      <c r="BZ1954"/>
      <c r="CA1954"/>
      <c r="CB1954"/>
      <c r="CC1954"/>
      <c r="CD1954" s="25"/>
    </row>
    <row r="1955" spans="1:82" s="17" customFormat="1" x14ac:dyDescent="0.2">
      <c r="A1955" s="25"/>
      <c r="B1955" s="20">
        <v>39049009590</v>
      </c>
      <c r="C1955" s="20">
        <v>95.9</v>
      </c>
      <c r="D1955" s="20" t="s">
        <v>31</v>
      </c>
      <c r="E1955" s="20" t="s">
        <v>2830</v>
      </c>
      <c r="F1955" s="20" t="s">
        <v>8</v>
      </c>
      <c r="G1955" s="861">
        <v>44.6049348760559</v>
      </c>
      <c r="H1955" s="861">
        <v>48.873324311639102</v>
      </c>
      <c r="I1955" s="861">
        <v>28.541594240809999</v>
      </c>
      <c r="J1955" s="861">
        <v>59.232960138799697</v>
      </c>
      <c r="K1955" s="982">
        <v>0</v>
      </c>
      <c r="L1955" s="735">
        <v>5194</v>
      </c>
      <c r="M1955" s="735">
        <v>5520</v>
      </c>
      <c r="N1955" s="845">
        <f t="shared" si="161"/>
        <v>6.2764728532922601E-2</v>
      </c>
      <c r="O1955" s="735">
        <v>16.835307016139161</v>
      </c>
      <c r="P1955" s="735">
        <f t="shared" si="162"/>
        <v>327.88234837109025</v>
      </c>
      <c r="Q1955" s="849">
        <v>39.700000000000003</v>
      </c>
      <c r="R1955" s="71">
        <v>67781</v>
      </c>
      <c r="S1955" s="845">
        <v>0.22681159420289856</v>
      </c>
      <c r="T1955" s="845">
        <v>5.5999999999999994E-2</v>
      </c>
      <c r="U1955" s="845">
        <v>0</v>
      </c>
      <c r="V1955" s="845">
        <v>0</v>
      </c>
      <c r="W1955" s="845">
        <v>0.19344560764679108</v>
      </c>
      <c r="X1955" s="845">
        <v>0.23764705882352941</v>
      </c>
      <c r="Y1955" s="845">
        <v>0.81666666666666665</v>
      </c>
      <c r="Z1955" s="845">
        <v>9.5108695652173919E-2</v>
      </c>
      <c r="AA1955" s="845">
        <v>0</v>
      </c>
      <c r="AB1955" s="845">
        <v>4.4565217391304347E-2</v>
      </c>
      <c r="AC1955" s="845">
        <v>0</v>
      </c>
      <c r="AD1955" s="845">
        <v>7.246376811594203E-4</v>
      </c>
      <c r="AE1955" s="845">
        <v>4.2934782608695654E-2</v>
      </c>
      <c r="AF1955" s="845">
        <v>1.394927536231884E-2</v>
      </c>
      <c r="AG1955" s="845">
        <v>0.80344202898550721</v>
      </c>
      <c r="AH1955" s="20" t="str">
        <f t="shared" si="163"/>
        <v>No</v>
      </c>
      <c r="AI1955" s="25"/>
      <c r="AJ1955" s="25"/>
      <c r="AK1955" s="25"/>
      <c r="AL1955" s="25"/>
      <c r="AM1955" s="25"/>
      <c r="AN1955" s="25"/>
      <c r="AO1955" s="25"/>
      <c r="AP1955" s="25"/>
      <c r="AQ1955" s="25"/>
      <c r="AR1955" s="25"/>
      <c r="AS1955" s="25"/>
      <c r="AT1955" s="25"/>
      <c r="AU1955" s="36"/>
      <c r="AV1955" s="36"/>
      <c r="AW1955" s="36"/>
      <c r="AX1955" s="25"/>
      <c r="AY1955" s="25"/>
      <c r="AZ1955" s="25"/>
      <c r="BA1955" s="25"/>
      <c r="BB1955" s="25"/>
      <c r="BC1955" s="25"/>
      <c r="BD1955" s="25"/>
      <c r="BE1955" s="25"/>
      <c r="BF1955" s="25"/>
      <c r="BG1955" s="25"/>
      <c r="BH1955" s="25"/>
      <c r="BI1955" s="25"/>
      <c r="BJ1955" s="25"/>
      <c r="BK1955" s="25"/>
      <c r="BL1955" s="25"/>
      <c r="BM1955" s="25"/>
      <c r="BN1955" s="25"/>
      <c r="BO1955" s="25"/>
      <c r="BP1955" s="25"/>
      <c r="BQ1955" s="25"/>
      <c r="BR1955" s="25"/>
      <c r="BS1955" s="25"/>
      <c r="BT1955" s="25"/>
      <c r="BU1955"/>
      <c r="BV1955"/>
      <c r="BW1955"/>
      <c r="BX1955"/>
      <c r="BY1955"/>
      <c r="BZ1955"/>
      <c r="CA1955"/>
      <c r="CB1955"/>
      <c r="CC1955"/>
      <c r="CD1955" s="25"/>
    </row>
    <row r="1956" spans="1:82" s="17" customFormat="1" x14ac:dyDescent="0.2">
      <c r="A1956" s="25"/>
      <c r="B1956" s="20">
        <v>39027965000</v>
      </c>
      <c r="C1956" s="20">
        <v>9650</v>
      </c>
      <c r="D1956" s="20" t="s">
        <v>20</v>
      </c>
      <c r="E1956" s="20" t="s">
        <v>265</v>
      </c>
      <c r="F1956" s="20" t="s">
        <v>8</v>
      </c>
      <c r="G1956" s="861">
        <v>44.585108902847601</v>
      </c>
      <c r="H1956" s="861">
        <v>57.232684874070898</v>
      </c>
      <c r="I1956" s="861">
        <v>21.475445416098701</v>
      </c>
      <c r="J1956" s="861">
        <v>54.6316281383016</v>
      </c>
      <c r="K1956" s="982">
        <v>0</v>
      </c>
      <c r="L1956" s="735">
        <v>4035</v>
      </c>
      <c r="M1956" s="735">
        <v>3767</v>
      </c>
      <c r="N1956" s="845">
        <f t="shared" si="161"/>
        <v>-6.6418835192069398E-2</v>
      </c>
      <c r="O1956" s="735">
        <v>68.416727982585215</v>
      </c>
      <c r="P1956" s="735">
        <f t="shared" si="162"/>
        <v>55.059633967863121</v>
      </c>
      <c r="Q1956" s="849">
        <v>44.4</v>
      </c>
      <c r="R1956" s="71">
        <v>75028</v>
      </c>
      <c r="S1956" s="845">
        <v>0.12348734873487349</v>
      </c>
      <c r="T1956" s="845">
        <v>2.4E-2</v>
      </c>
      <c r="U1956" s="845">
        <v>4.0000000000000001E-3</v>
      </c>
      <c r="V1956" s="845">
        <v>0</v>
      </c>
      <c r="W1956" s="845">
        <v>0.16900369003690036</v>
      </c>
      <c r="X1956" s="845">
        <v>0.17467248908296942</v>
      </c>
      <c r="Y1956" s="845">
        <v>0.96310061056543672</v>
      </c>
      <c r="Z1956" s="845">
        <v>0</v>
      </c>
      <c r="AA1956" s="845">
        <v>0</v>
      </c>
      <c r="AB1956" s="845">
        <v>0</v>
      </c>
      <c r="AC1956" s="845">
        <v>0</v>
      </c>
      <c r="AD1956" s="845">
        <v>1.3273161667109106E-2</v>
      </c>
      <c r="AE1956" s="845">
        <v>2.3626227767454207E-2</v>
      </c>
      <c r="AF1956" s="845">
        <v>3.318290416777276E-2</v>
      </c>
      <c r="AG1956" s="845">
        <v>0.94743827979824791</v>
      </c>
      <c r="AH1956" s="20" t="str">
        <f t="shared" si="163"/>
        <v>Yes</v>
      </c>
      <c r="AI1956" s="25"/>
      <c r="AJ1956" s="25"/>
      <c r="AK1956" s="25"/>
      <c r="AL1956" s="25"/>
      <c r="AM1956" s="25"/>
      <c r="AN1956" s="25"/>
      <c r="AO1956" s="25"/>
      <c r="AP1956" s="25"/>
      <c r="AQ1956" s="25"/>
      <c r="AR1956" s="25"/>
      <c r="AS1956" s="25"/>
      <c r="AT1956" s="25"/>
      <c r="AU1956" s="36"/>
      <c r="AV1956" s="36"/>
      <c r="AW1956" s="36"/>
      <c r="AX1956" s="25"/>
      <c r="AY1956" s="25"/>
      <c r="AZ1956" s="25"/>
      <c r="BA1956" s="25"/>
      <c r="BB1956" s="25"/>
      <c r="BC1956" s="25"/>
      <c r="BD1956" s="25"/>
      <c r="BE1956" s="25"/>
      <c r="BF1956" s="25"/>
      <c r="BG1956" s="25"/>
      <c r="BH1956" s="25"/>
      <c r="BI1956" s="25"/>
      <c r="BJ1956" s="25"/>
      <c r="BK1956" s="25"/>
      <c r="BL1956" s="25"/>
      <c r="BM1956" s="25"/>
      <c r="BN1956" s="25"/>
      <c r="BO1956" s="25"/>
      <c r="BP1956" s="25"/>
      <c r="BQ1956" s="25"/>
      <c r="BR1956" s="25"/>
      <c r="BS1956" s="25"/>
      <c r="BT1956" s="25"/>
      <c r="BU1956"/>
      <c r="BV1956"/>
      <c r="BW1956"/>
      <c r="BX1956"/>
      <c r="BY1956"/>
      <c r="BZ1956"/>
      <c r="CA1956"/>
      <c r="CB1956"/>
      <c r="CC1956"/>
      <c r="CD1956" s="25"/>
    </row>
    <row r="1957" spans="1:82" s="17" customFormat="1" x14ac:dyDescent="0.2">
      <c r="A1957" s="25"/>
      <c r="B1957" s="20">
        <v>39153506700</v>
      </c>
      <c r="C1957" s="20">
        <v>5067</v>
      </c>
      <c r="D1957" s="20" t="s">
        <v>82</v>
      </c>
      <c r="E1957" s="20" t="s">
        <v>2843</v>
      </c>
      <c r="F1957" s="20" t="s">
        <v>6</v>
      </c>
      <c r="G1957" s="861">
        <v>44.573728525609802</v>
      </c>
      <c r="H1957" s="861">
        <v>47.519346102298698</v>
      </c>
      <c r="I1957" s="861">
        <v>60.9245742275073</v>
      </c>
      <c r="J1957" s="861">
        <v>43.177165444346102</v>
      </c>
      <c r="K1957" s="982">
        <v>0</v>
      </c>
      <c r="L1957" s="735">
        <v>1322</v>
      </c>
      <c r="M1957" s="735">
        <v>1312</v>
      </c>
      <c r="N1957" s="845">
        <f t="shared" si="161"/>
        <v>-7.5642965204236008E-3</v>
      </c>
      <c r="O1957" s="735">
        <v>0.3354054007607008</v>
      </c>
      <c r="P1957" s="735">
        <f t="shared" si="162"/>
        <v>3911.6841798742021</v>
      </c>
      <c r="Q1957" s="849">
        <v>36.1</v>
      </c>
      <c r="R1957" s="71">
        <v>33321</v>
      </c>
      <c r="S1957" s="845">
        <v>0.32475884244372988</v>
      </c>
      <c r="T1957" s="845">
        <v>0.126</v>
      </c>
      <c r="U1957" s="845">
        <v>0</v>
      </c>
      <c r="V1957" s="845">
        <v>0</v>
      </c>
      <c r="W1957" s="845">
        <v>0.62206148282097651</v>
      </c>
      <c r="X1957" s="845">
        <v>0.47383720930232559</v>
      </c>
      <c r="Y1957" s="845">
        <v>4.1920731707317076E-2</v>
      </c>
      <c r="Z1957" s="845">
        <v>0.91768292682926833</v>
      </c>
      <c r="AA1957" s="845">
        <v>0</v>
      </c>
      <c r="AB1957" s="845">
        <v>0</v>
      </c>
      <c r="AC1957" s="845">
        <v>0</v>
      </c>
      <c r="AD1957" s="845">
        <v>0</v>
      </c>
      <c r="AE1957" s="845">
        <v>4.0396341463414635E-2</v>
      </c>
      <c r="AF1957" s="845">
        <v>3.9634146341463415E-2</v>
      </c>
      <c r="AG1957" s="845">
        <v>4.1920731707317076E-2</v>
      </c>
      <c r="AH1957" s="20" t="str">
        <f t="shared" si="163"/>
        <v>No</v>
      </c>
      <c r="AI1957" s="25"/>
      <c r="AJ1957" s="25"/>
      <c r="AK1957" s="25"/>
      <c r="AL1957" s="25"/>
      <c r="AM1957" s="25"/>
      <c r="AN1957" s="25"/>
      <c r="AO1957" s="25"/>
      <c r="AP1957" s="25"/>
      <c r="AQ1957" s="25"/>
      <c r="AR1957" s="25"/>
      <c r="AS1957" s="25"/>
      <c r="AT1957" s="25"/>
      <c r="AU1957" s="36"/>
      <c r="AV1957" s="36"/>
      <c r="AW1957" s="36"/>
      <c r="AX1957" s="25"/>
      <c r="AY1957" s="25"/>
      <c r="AZ1957" s="25"/>
      <c r="BA1957" s="25"/>
      <c r="BB1957" s="25"/>
      <c r="BC1957" s="25"/>
      <c r="BD1957" s="25"/>
      <c r="BE1957" s="25"/>
      <c r="BF1957" s="25"/>
      <c r="BG1957" s="25"/>
      <c r="BH1957" s="25"/>
      <c r="BI1957" s="25"/>
      <c r="BJ1957" s="25"/>
      <c r="BK1957" s="25"/>
      <c r="BL1957" s="25"/>
      <c r="BM1957" s="25"/>
      <c r="BN1957" s="25"/>
      <c r="BO1957" s="25"/>
      <c r="BP1957" s="25"/>
      <c r="BQ1957" s="25"/>
      <c r="BR1957" s="25"/>
      <c r="BS1957" s="25"/>
      <c r="BT1957" s="25"/>
      <c r="BU1957"/>
      <c r="BV1957"/>
      <c r="BW1957"/>
      <c r="BX1957"/>
      <c r="BY1957"/>
      <c r="BZ1957"/>
      <c r="CA1957"/>
      <c r="CB1957"/>
      <c r="CC1957"/>
      <c r="CD1957" s="25"/>
    </row>
    <row r="1958" spans="1:82" s="17" customFormat="1" x14ac:dyDescent="0.2">
      <c r="A1958" s="25"/>
      <c r="B1958" s="20">
        <v>39113125000</v>
      </c>
      <c r="C1958" s="20">
        <v>1250</v>
      </c>
      <c r="D1958" s="20" t="s">
        <v>62</v>
      </c>
      <c r="E1958" s="20" t="s">
        <v>2833</v>
      </c>
      <c r="F1958" s="20" t="s">
        <v>8</v>
      </c>
      <c r="G1958" s="861">
        <v>44.569607592441301</v>
      </c>
      <c r="H1958" s="861">
        <v>43.469696131320198</v>
      </c>
      <c r="I1958" s="861">
        <v>24.206460242054199</v>
      </c>
      <c r="J1958" s="861">
        <v>42.776670560990802</v>
      </c>
      <c r="K1958" s="982">
        <v>0</v>
      </c>
      <c r="L1958" s="735">
        <v>6251</v>
      </c>
      <c r="M1958" s="735">
        <v>6511</v>
      </c>
      <c r="N1958" s="845">
        <f t="shared" si="161"/>
        <v>4.1593345064789636E-2</v>
      </c>
      <c r="O1958" s="735">
        <v>4.6225513367318127</v>
      </c>
      <c r="P1958" s="735">
        <f t="shared" si="162"/>
        <v>1408.5295166463934</v>
      </c>
      <c r="Q1958" s="849">
        <v>37.6</v>
      </c>
      <c r="R1958" s="71">
        <v>64643</v>
      </c>
      <c r="S1958" s="845">
        <v>8.7236983566272464E-2</v>
      </c>
      <c r="T1958" s="845">
        <v>2.7000000000000003E-2</v>
      </c>
      <c r="U1958" s="845">
        <v>3.6000000000000004E-2</v>
      </c>
      <c r="V1958" s="845">
        <v>1.9E-2</v>
      </c>
      <c r="W1958" s="845">
        <v>0.2212936046511628</v>
      </c>
      <c r="X1958" s="845">
        <v>0.16748768472906403</v>
      </c>
      <c r="Y1958" s="845">
        <v>0.90969129166026719</v>
      </c>
      <c r="Z1958" s="845">
        <v>2.1962832130241132E-2</v>
      </c>
      <c r="AA1958" s="845">
        <v>9.8295192750729541E-3</v>
      </c>
      <c r="AB1958" s="845">
        <v>0</v>
      </c>
      <c r="AC1958" s="845">
        <v>0</v>
      </c>
      <c r="AD1958" s="845">
        <v>0</v>
      </c>
      <c r="AE1958" s="845">
        <v>5.8516356934418673E-2</v>
      </c>
      <c r="AF1958" s="845">
        <v>1.3669175241898326E-2</v>
      </c>
      <c r="AG1958" s="845">
        <v>0.90585163569344185</v>
      </c>
      <c r="AH1958" s="20" t="str">
        <f t="shared" si="163"/>
        <v>Yes</v>
      </c>
      <c r="AI1958" s="25"/>
      <c r="AJ1958" s="25"/>
      <c r="AK1958" s="25"/>
      <c r="AL1958" s="25"/>
      <c r="AM1958" s="25"/>
      <c r="AN1958" s="25"/>
      <c r="AO1958" s="25"/>
      <c r="AP1958" s="25"/>
      <c r="AQ1958" s="25"/>
      <c r="AR1958" s="25"/>
      <c r="AS1958" s="25"/>
      <c r="AT1958" s="25"/>
      <c r="AU1958" s="36"/>
      <c r="AV1958" s="36"/>
      <c r="AW1958" s="36"/>
      <c r="AX1958" s="25"/>
      <c r="AY1958" s="25"/>
      <c r="AZ1958" s="25"/>
      <c r="BA1958" s="25"/>
      <c r="BB1958" s="25"/>
      <c r="BC1958" s="25"/>
      <c r="BD1958" s="25"/>
      <c r="BE1958" s="25"/>
      <c r="BF1958" s="25"/>
      <c r="BG1958" s="25"/>
      <c r="BH1958" s="25"/>
      <c r="BI1958" s="25"/>
      <c r="BJ1958" s="25"/>
      <c r="BK1958" s="25"/>
      <c r="BL1958" s="25"/>
      <c r="BM1958" s="25"/>
      <c r="BN1958" s="25"/>
      <c r="BO1958" s="25"/>
      <c r="BP1958" s="25"/>
      <c r="BQ1958" s="25"/>
      <c r="BR1958" s="25"/>
      <c r="BS1958" s="25"/>
      <c r="BT1958" s="25"/>
      <c r="BU1958"/>
      <c r="BV1958"/>
      <c r="BW1958"/>
      <c r="BX1958"/>
      <c r="BY1958"/>
      <c r="BZ1958"/>
      <c r="CA1958"/>
      <c r="CB1958"/>
      <c r="CC1958"/>
      <c r="CD1958" s="25"/>
    </row>
    <row r="1959" spans="1:82" s="17" customFormat="1" x14ac:dyDescent="0.2">
      <c r="A1959" s="25"/>
      <c r="B1959" s="20">
        <v>39093021100</v>
      </c>
      <c r="C1959" s="20">
        <v>211</v>
      </c>
      <c r="D1959" s="20" t="s">
        <v>52</v>
      </c>
      <c r="E1959" s="20" t="s">
        <v>2829</v>
      </c>
      <c r="F1959" s="20" t="s">
        <v>8</v>
      </c>
      <c r="G1959" s="861">
        <v>44.561789836496501</v>
      </c>
      <c r="H1959" s="861">
        <v>50.846273472325599</v>
      </c>
      <c r="I1959" s="861">
        <v>24.827057122817799</v>
      </c>
      <c r="J1959" s="861">
        <v>34.473842368949903</v>
      </c>
      <c r="K1959" s="982">
        <v>0</v>
      </c>
      <c r="L1959" s="735">
        <v>3316</v>
      </c>
      <c r="M1959" s="735">
        <v>3343</v>
      </c>
      <c r="N1959" s="845">
        <f t="shared" si="161"/>
        <v>8.1423401688781663E-3</v>
      </c>
      <c r="O1959" s="735">
        <v>1.1090618481642374</v>
      </c>
      <c r="P1959" s="735">
        <f t="shared" si="162"/>
        <v>3014.2593089226398</v>
      </c>
      <c r="Q1959" s="849">
        <v>43</v>
      </c>
      <c r="R1959" s="71">
        <v>63929</v>
      </c>
      <c r="S1959" s="845">
        <v>0.12623392162728089</v>
      </c>
      <c r="T1959" s="845">
        <v>1.9E-2</v>
      </c>
      <c r="U1959" s="845">
        <v>0</v>
      </c>
      <c r="V1959" s="845">
        <v>0.187</v>
      </c>
      <c r="W1959" s="845">
        <v>0.41626506024096388</v>
      </c>
      <c r="X1959" s="845">
        <v>0.13748191027496381</v>
      </c>
      <c r="Y1959" s="845">
        <v>0.90038887227041575</v>
      </c>
      <c r="Z1959" s="845">
        <v>1.9144481005085253E-2</v>
      </c>
      <c r="AA1959" s="845">
        <v>0</v>
      </c>
      <c r="AB1959" s="845">
        <v>0</v>
      </c>
      <c r="AC1959" s="845">
        <v>0</v>
      </c>
      <c r="AD1959" s="845">
        <v>1.5554890816631767E-2</v>
      </c>
      <c r="AE1959" s="845">
        <v>6.4911755907867186E-2</v>
      </c>
      <c r="AF1959" s="845">
        <v>7.4184863894705355E-2</v>
      </c>
      <c r="AG1959" s="845">
        <v>0.86150164522883632</v>
      </c>
      <c r="AH1959" s="20" t="str">
        <f t="shared" si="163"/>
        <v>No</v>
      </c>
      <c r="AI1959" s="25"/>
      <c r="AJ1959" s="25"/>
      <c r="AK1959" s="25"/>
      <c r="AL1959" s="25"/>
      <c r="AM1959" s="25"/>
      <c r="AN1959" s="25"/>
      <c r="AO1959" s="25"/>
      <c r="AP1959" s="25"/>
      <c r="AQ1959" s="25"/>
      <c r="AR1959" s="25"/>
      <c r="AS1959" s="25"/>
      <c r="AT1959" s="25"/>
      <c r="AU1959" s="36"/>
      <c r="AV1959" s="36"/>
      <c r="AW1959" s="36"/>
      <c r="AX1959" s="25"/>
      <c r="AY1959" s="25"/>
      <c r="AZ1959" s="25"/>
      <c r="BA1959" s="25"/>
      <c r="BB1959" s="25"/>
      <c r="BC1959" s="25"/>
      <c r="BD1959" s="25"/>
      <c r="BE1959" s="25"/>
      <c r="BF1959" s="25"/>
      <c r="BG1959" s="25"/>
      <c r="BH1959" s="25"/>
      <c r="BI1959" s="25"/>
      <c r="BJ1959" s="25"/>
      <c r="BK1959" s="25"/>
      <c r="BL1959" s="25"/>
      <c r="BM1959" s="25"/>
      <c r="BN1959" s="25"/>
      <c r="BO1959" s="25"/>
      <c r="BP1959" s="25"/>
      <c r="BQ1959" s="25"/>
      <c r="BR1959" s="25"/>
      <c r="BS1959" s="25"/>
      <c r="BT1959" s="25"/>
      <c r="BU1959"/>
      <c r="BV1959"/>
      <c r="BW1959"/>
      <c r="BX1959"/>
      <c r="BY1959"/>
      <c r="BZ1959"/>
      <c r="CA1959"/>
      <c r="CB1959"/>
      <c r="CC1959"/>
      <c r="CD1959" s="25"/>
    </row>
    <row r="1960" spans="1:82" s="17" customFormat="1" x14ac:dyDescent="0.2">
      <c r="A1960" s="25"/>
      <c r="B1960" s="20">
        <v>39015951201</v>
      </c>
      <c r="C1960" s="20">
        <v>9512.01</v>
      </c>
      <c r="D1960" s="20" t="s">
        <v>14</v>
      </c>
      <c r="E1960" s="20" t="s">
        <v>265</v>
      </c>
      <c r="F1960" s="20" t="s">
        <v>8</v>
      </c>
      <c r="G1960" s="861">
        <v>44.558192973220599</v>
      </c>
      <c r="H1960" s="861">
        <v>59.818563709525002</v>
      </c>
      <c r="I1960" s="861">
        <v>16.7764687683711</v>
      </c>
      <c r="J1960" s="861">
        <v>55.953428269868098</v>
      </c>
      <c r="K1960" s="982">
        <v>0</v>
      </c>
      <c r="L1960" s="735">
        <v>4308</v>
      </c>
      <c r="M1960" s="735">
        <v>4295</v>
      </c>
      <c r="N1960" s="845">
        <f t="shared" si="161"/>
        <v>-3.0176415970287838E-3</v>
      </c>
      <c r="O1960" s="735">
        <v>49.968185761285213</v>
      </c>
      <c r="P1960" s="735">
        <f t="shared" si="162"/>
        <v>85.954691661583553</v>
      </c>
      <c r="Q1960" s="849">
        <v>42.4</v>
      </c>
      <c r="R1960" s="71">
        <v>96939</v>
      </c>
      <c r="S1960" s="845">
        <v>3.3858452856806963E-2</v>
      </c>
      <c r="T1960" s="845">
        <v>1.3999999999999999E-2</v>
      </c>
      <c r="U1960" s="845">
        <v>3.0000000000000001E-3</v>
      </c>
      <c r="V1960" s="845">
        <v>0</v>
      </c>
      <c r="W1960" s="845">
        <v>0.15477707006369426</v>
      </c>
      <c r="X1960" s="845">
        <v>0.1440329218106996</v>
      </c>
      <c r="Y1960" s="845">
        <v>0.97532013969732245</v>
      </c>
      <c r="Z1960" s="845">
        <v>5.8207217694994182E-3</v>
      </c>
      <c r="AA1960" s="845">
        <v>0</v>
      </c>
      <c r="AB1960" s="845">
        <v>0</v>
      </c>
      <c r="AC1960" s="845">
        <v>0</v>
      </c>
      <c r="AD1960" s="845">
        <v>0</v>
      </c>
      <c r="AE1960" s="845">
        <v>1.8859138533178114E-2</v>
      </c>
      <c r="AF1960" s="845">
        <v>0</v>
      </c>
      <c r="AG1960" s="845">
        <v>0.97532013969732245</v>
      </c>
      <c r="AH1960" s="20" t="str">
        <f t="shared" si="163"/>
        <v>Yes</v>
      </c>
      <c r="AI1960" s="25"/>
      <c r="AJ1960" s="25"/>
      <c r="AK1960" s="25"/>
      <c r="AL1960" s="25"/>
      <c r="AM1960" s="25"/>
      <c r="AN1960" s="25"/>
      <c r="AO1960" s="25"/>
      <c r="AP1960" s="25"/>
      <c r="AQ1960" s="25"/>
      <c r="AR1960" s="25"/>
      <c r="AS1960" s="25"/>
      <c r="AT1960" s="25"/>
      <c r="AU1960" s="36"/>
      <c r="AV1960" s="36"/>
      <c r="AW1960" s="36"/>
      <c r="AX1960" s="25"/>
      <c r="AY1960" s="25"/>
      <c r="AZ1960" s="25"/>
      <c r="BA1960" s="25"/>
      <c r="BB1960" s="25"/>
      <c r="BC1960" s="25"/>
      <c r="BD1960" s="25"/>
      <c r="BE1960" s="25"/>
      <c r="BF1960" s="25"/>
      <c r="BG1960" s="25"/>
      <c r="BH1960" s="25"/>
      <c r="BI1960" s="25"/>
      <c r="BJ1960" s="25"/>
      <c r="BK1960" s="25"/>
      <c r="BL1960" s="25"/>
      <c r="BM1960" s="25"/>
      <c r="BN1960" s="25"/>
      <c r="BO1960" s="25"/>
      <c r="BP1960" s="25"/>
      <c r="BQ1960" s="25"/>
      <c r="BR1960" s="25"/>
      <c r="BS1960" s="25"/>
      <c r="BT1960" s="25"/>
      <c r="BU1960"/>
      <c r="BV1960"/>
      <c r="BW1960"/>
      <c r="BX1960"/>
      <c r="BY1960"/>
      <c r="BZ1960"/>
      <c r="CA1960"/>
      <c r="CB1960"/>
      <c r="CC1960"/>
      <c r="CD1960" s="25"/>
    </row>
    <row r="1961" spans="1:82" s="17" customFormat="1" x14ac:dyDescent="0.2">
      <c r="A1961" s="25"/>
      <c r="B1961" s="20">
        <v>39173022200</v>
      </c>
      <c r="C1961" s="20">
        <v>222</v>
      </c>
      <c r="D1961" s="20" t="s">
        <v>92</v>
      </c>
      <c r="E1961" s="20" t="s">
        <v>2839</v>
      </c>
      <c r="F1961" s="20" t="s">
        <v>8</v>
      </c>
      <c r="G1961" s="861">
        <v>44.516797754289001</v>
      </c>
      <c r="H1961" s="861">
        <v>48.526295517715397</v>
      </c>
      <c r="I1961" s="861">
        <v>31.477473556055301</v>
      </c>
      <c r="J1961" s="861">
        <v>39.316011856438202</v>
      </c>
      <c r="K1961" s="982">
        <v>0</v>
      </c>
      <c r="L1961" s="735">
        <v>2461</v>
      </c>
      <c r="M1961" s="735">
        <v>2226</v>
      </c>
      <c r="N1961" s="845">
        <f t="shared" si="161"/>
        <v>-9.5489638358390902E-2</v>
      </c>
      <c r="O1961" s="735">
        <v>35.996084939555956</v>
      </c>
      <c r="P1961" s="735">
        <f t="shared" si="162"/>
        <v>61.840058543529473</v>
      </c>
      <c r="Q1961" s="849">
        <v>43.9</v>
      </c>
      <c r="R1961" s="71">
        <v>50569</v>
      </c>
      <c r="S1961" s="845">
        <v>0.11592241768155165</v>
      </c>
      <c r="T1961" s="845">
        <v>9.6000000000000002E-2</v>
      </c>
      <c r="U1961" s="845">
        <v>0</v>
      </c>
      <c r="V1961" s="845">
        <v>8.5000000000000006E-2</v>
      </c>
      <c r="W1961" s="845">
        <v>0.22153024911032029</v>
      </c>
      <c r="X1961" s="845">
        <v>0.20481927710843373</v>
      </c>
      <c r="Y1961" s="845">
        <v>0.80997304582210239</v>
      </c>
      <c r="Z1961" s="845">
        <v>1.3926325247079964E-2</v>
      </c>
      <c r="AA1961" s="845">
        <v>5.8400718778077272E-3</v>
      </c>
      <c r="AB1961" s="845">
        <v>4.9865229110512131E-2</v>
      </c>
      <c r="AC1961" s="845">
        <v>5.8400718778077272E-3</v>
      </c>
      <c r="AD1961" s="845">
        <v>2.1114106019766397E-2</v>
      </c>
      <c r="AE1961" s="845">
        <v>9.3441150044923635E-2</v>
      </c>
      <c r="AF1961" s="845">
        <v>7.3225516621743036E-2</v>
      </c>
      <c r="AG1961" s="845">
        <v>0.77672955974842772</v>
      </c>
      <c r="AH1961" s="20" t="str">
        <f t="shared" si="163"/>
        <v>No</v>
      </c>
      <c r="AI1961" s="25"/>
      <c r="AJ1961" s="25"/>
      <c r="AK1961" s="25"/>
      <c r="AL1961" s="25"/>
      <c r="AM1961" s="25"/>
      <c r="AN1961" s="25"/>
      <c r="AO1961" s="25"/>
      <c r="AP1961" s="25"/>
      <c r="AQ1961" s="25"/>
      <c r="AR1961" s="25"/>
      <c r="AS1961" s="25"/>
      <c r="AT1961" s="25"/>
      <c r="AU1961" s="36"/>
      <c r="AV1961" s="36"/>
      <c r="AW1961" s="36"/>
      <c r="AX1961" s="25"/>
      <c r="AY1961" s="25"/>
      <c r="AZ1961" s="25"/>
      <c r="BA1961" s="25"/>
      <c r="BB1961" s="25"/>
      <c r="BC1961" s="25"/>
      <c r="BD1961" s="25"/>
      <c r="BE1961" s="25"/>
      <c r="BF1961" s="25"/>
      <c r="BG1961" s="25"/>
      <c r="BH1961" s="25"/>
      <c r="BI1961" s="25"/>
      <c r="BJ1961" s="25"/>
      <c r="BK1961" s="25"/>
      <c r="BL1961" s="25"/>
      <c r="BM1961" s="25"/>
      <c r="BN1961" s="25"/>
      <c r="BO1961" s="25"/>
      <c r="BP1961" s="25"/>
      <c r="BQ1961" s="25"/>
      <c r="BR1961" s="25"/>
      <c r="BS1961" s="25"/>
      <c r="BT1961" s="25"/>
      <c r="BU1961"/>
      <c r="BV1961"/>
      <c r="BW1961"/>
      <c r="BX1961"/>
      <c r="BY1961"/>
      <c r="BZ1961"/>
      <c r="CA1961"/>
      <c r="CB1961"/>
      <c r="CC1961"/>
      <c r="CD1961" s="25"/>
    </row>
    <row r="1962" spans="1:82" s="17" customFormat="1" x14ac:dyDescent="0.2">
      <c r="A1962" s="25"/>
      <c r="B1962" s="20">
        <v>39077915700</v>
      </c>
      <c r="C1962" s="20">
        <v>9157</v>
      </c>
      <c r="D1962" s="20" t="s">
        <v>45</v>
      </c>
      <c r="E1962" s="20" t="s">
        <v>265</v>
      </c>
      <c r="F1962" s="20" t="s">
        <v>8</v>
      </c>
      <c r="G1962" s="861">
        <v>44.511831747312499</v>
      </c>
      <c r="H1962" s="861">
        <v>48.212009315194301</v>
      </c>
      <c r="I1962" s="861">
        <v>37.582235389672903</v>
      </c>
      <c r="J1962" s="861">
        <v>43.142586424149002</v>
      </c>
      <c r="K1962" s="982">
        <v>0</v>
      </c>
      <c r="L1962" s="735">
        <v>4178</v>
      </c>
      <c r="M1962" s="735">
        <v>4378</v>
      </c>
      <c r="N1962" s="845">
        <f t="shared" si="161"/>
        <v>4.7869794159885112E-2</v>
      </c>
      <c r="O1962" s="735">
        <v>3.8394234172758424</v>
      </c>
      <c r="P1962" s="735">
        <f t="shared" si="162"/>
        <v>1140.275381011842</v>
      </c>
      <c r="Q1962" s="849">
        <v>37.1</v>
      </c>
      <c r="R1962" s="71">
        <v>59893</v>
      </c>
      <c r="S1962" s="845">
        <v>8.2996432818073715E-2</v>
      </c>
      <c r="T1962" s="845">
        <v>4.2000000000000003E-2</v>
      </c>
      <c r="U1962" s="845">
        <v>0</v>
      </c>
      <c r="V1962" s="845">
        <v>0.24299999999999999</v>
      </c>
      <c r="W1962" s="845">
        <v>0.33953209358128372</v>
      </c>
      <c r="X1962" s="845">
        <v>0.40989399293286222</v>
      </c>
      <c r="Y1962" s="845">
        <v>0.88419369575148465</v>
      </c>
      <c r="Z1962" s="845">
        <v>6.6240292370945636E-3</v>
      </c>
      <c r="AA1962" s="845">
        <v>0</v>
      </c>
      <c r="AB1962" s="845">
        <v>0</v>
      </c>
      <c r="AC1962" s="845">
        <v>0</v>
      </c>
      <c r="AD1962" s="845">
        <v>5.9387848332571949E-3</v>
      </c>
      <c r="AE1962" s="845">
        <v>0.10324349017816355</v>
      </c>
      <c r="AF1962" s="845">
        <v>0.120831429876656</v>
      </c>
      <c r="AG1962" s="845">
        <v>0.84582000913659205</v>
      </c>
      <c r="AH1962" s="20" t="str">
        <f t="shared" si="163"/>
        <v>No</v>
      </c>
      <c r="AI1962" s="25"/>
      <c r="AJ1962" s="25"/>
      <c r="AK1962" s="25"/>
      <c r="AL1962" s="25"/>
      <c r="AM1962" s="25"/>
      <c r="AN1962" s="25"/>
      <c r="AO1962" s="25"/>
      <c r="AP1962" s="25"/>
      <c r="AQ1962" s="25"/>
      <c r="AR1962" s="25"/>
      <c r="AS1962" s="25"/>
      <c r="AT1962" s="25"/>
      <c r="AU1962" s="36"/>
      <c r="AV1962" s="36"/>
      <c r="AW1962" s="36"/>
      <c r="AX1962" s="25"/>
      <c r="AY1962" s="25"/>
      <c r="AZ1962" s="25"/>
      <c r="BA1962" s="25"/>
      <c r="BB1962" s="25"/>
      <c r="BC1962" s="25"/>
      <c r="BD1962" s="25"/>
      <c r="BE1962" s="25"/>
      <c r="BF1962" s="25"/>
      <c r="BG1962" s="25"/>
      <c r="BH1962" s="25"/>
      <c r="BI1962" s="25"/>
      <c r="BJ1962" s="25"/>
      <c r="BK1962" s="25"/>
      <c r="BL1962" s="25"/>
      <c r="BM1962" s="25"/>
      <c r="BN1962" s="25"/>
      <c r="BO1962" s="25"/>
      <c r="BP1962" s="25"/>
      <c r="BQ1962" s="25"/>
      <c r="BR1962" s="25"/>
      <c r="BS1962" s="25"/>
      <c r="BT1962" s="25"/>
      <c r="BU1962"/>
      <c r="BV1962"/>
      <c r="BW1962"/>
      <c r="BX1962"/>
      <c r="BY1962"/>
      <c r="BZ1962"/>
      <c r="CA1962"/>
      <c r="CB1962"/>
      <c r="CC1962"/>
      <c r="CD1962" s="25"/>
    </row>
    <row r="1963" spans="1:82" s="17" customFormat="1" x14ac:dyDescent="0.2">
      <c r="A1963" s="25"/>
      <c r="B1963" s="20">
        <v>39033975100</v>
      </c>
      <c r="C1963" s="20">
        <v>9751</v>
      </c>
      <c r="D1963" s="20" t="s">
        <v>23</v>
      </c>
      <c r="E1963" s="20" t="s">
        <v>265</v>
      </c>
      <c r="F1963" s="20" t="s">
        <v>8</v>
      </c>
      <c r="G1963" s="861">
        <v>44.506596354726398</v>
      </c>
      <c r="H1963" s="861">
        <v>53.9257021294803</v>
      </c>
      <c r="I1963" s="861">
        <v>58.616543754118801</v>
      </c>
      <c r="J1963" s="861">
        <v>35.983616129953703</v>
      </c>
      <c r="K1963" s="982">
        <v>0</v>
      </c>
      <c r="L1963" s="735">
        <v>2890</v>
      </c>
      <c r="M1963" s="735">
        <v>3118</v>
      </c>
      <c r="N1963" s="845">
        <f t="shared" si="161"/>
        <v>7.8892733564013842E-2</v>
      </c>
      <c r="O1963" s="735">
        <v>0.81427014736372672</v>
      </c>
      <c r="P1963" s="735">
        <f t="shared" si="162"/>
        <v>3829.1960108015837</v>
      </c>
      <c r="Q1963" s="849">
        <v>38.200000000000003</v>
      </c>
      <c r="R1963" s="71">
        <v>45455</v>
      </c>
      <c r="S1963" s="845">
        <v>0.18834513844172568</v>
      </c>
      <c r="T1963" s="845">
        <v>5.7999999999999996E-2</v>
      </c>
      <c r="U1963" s="845">
        <v>3.6000000000000004E-2</v>
      </c>
      <c r="V1963" s="845">
        <v>3.7999999999999999E-2</v>
      </c>
      <c r="W1963" s="845">
        <v>0.37821482602118001</v>
      </c>
      <c r="X1963" s="845">
        <v>0.53800000000000003</v>
      </c>
      <c r="Y1963" s="845">
        <v>0.96568313021167418</v>
      </c>
      <c r="Z1963" s="845">
        <v>3.2071840923669016E-4</v>
      </c>
      <c r="AA1963" s="845">
        <v>3.2071840923669016E-4</v>
      </c>
      <c r="AB1963" s="845">
        <v>1.4111610006414367E-2</v>
      </c>
      <c r="AC1963" s="845">
        <v>0</v>
      </c>
      <c r="AD1963" s="845">
        <v>0</v>
      </c>
      <c r="AE1963" s="845">
        <v>1.9563822963438102E-2</v>
      </c>
      <c r="AF1963" s="845">
        <v>7.6972418216805644E-3</v>
      </c>
      <c r="AG1963" s="845">
        <v>0.96568313021167418</v>
      </c>
      <c r="AH1963" s="20" t="str">
        <f t="shared" si="163"/>
        <v>Yes</v>
      </c>
      <c r="AI1963" s="25"/>
      <c r="AJ1963" s="25"/>
      <c r="AK1963" s="25"/>
      <c r="AL1963" s="25"/>
      <c r="AM1963" s="25"/>
      <c r="AN1963" s="25"/>
      <c r="AO1963" s="25"/>
      <c r="AP1963" s="25"/>
      <c r="AQ1963" s="25"/>
      <c r="AR1963" s="25"/>
      <c r="AS1963" s="25"/>
      <c r="AT1963" s="25"/>
      <c r="AU1963" s="36"/>
      <c r="AV1963" s="36"/>
      <c r="AW1963" s="36"/>
      <c r="AX1963" s="25"/>
      <c r="AY1963" s="25"/>
      <c r="AZ1963" s="25"/>
      <c r="BA1963" s="25"/>
      <c r="BB1963" s="25"/>
      <c r="BC1963" s="25"/>
      <c r="BD1963" s="25"/>
      <c r="BE1963" s="25"/>
      <c r="BF1963" s="25"/>
      <c r="BG1963" s="25"/>
      <c r="BH1963" s="25"/>
      <c r="BI1963" s="25"/>
      <c r="BJ1963" s="25"/>
      <c r="BK1963" s="25"/>
      <c r="BL1963" s="25"/>
      <c r="BM1963" s="25"/>
      <c r="BN1963" s="25"/>
      <c r="BO1963" s="25"/>
      <c r="BP1963" s="25"/>
      <c r="BQ1963" s="25"/>
      <c r="BR1963" s="25"/>
      <c r="BS1963" s="25"/>
      <c r="BT1963" s="25"/>
      <c r="BU1963"/>
      <c r="BV1963"/>
      <c r="BW1963"/>
      <c r="BX1963"/>
      <c r="BY1963"/>
      <c r="BZ1963"/>
      <c r="CA1963"/>
      <c r="CB1963"/>
      <c r="CC1963"/>
      <c r="CD1963" s="25"/>
    </row>
    <row r="1964" spans="1:82" s="17" customFormat="1" x14ac:dyDescent="0.2">
      <c r="A1964" s="25"/>
      <c r="B1964" s="20">
        <v>39085204304</v>
      </c>
      <c r="C1964" s="20">
        <v>2043.04</v>
      </c>
      <c r="D1964" s="20" t="s">
        <v>48</v>
      </c>
      <c r="E1964" s="20" t="s">
        <v>2829</v>
      </c>
      <c r="F1964" s="20" t="s">
        <v>8</v>
      </c>
      <c r="G1964" s="861">
        <v>44.506122607580899</v>
      </c>
      <c r="H1964" s="861">
        <v>51.836791199376002</v>
      </c>
      <c r="I1964" s="861">
        <v>40.669294776885202</v>
      </c>
      <c r="J1964" s="861">
        <v>37.988286410139303</v>
      </c>
      <c r="K1964" s="982">
        <v>0</v>
      </c>
      <c r="L1964" s="735" t="s">
        <v>2466</v>
      </c>
      <c r="M1964" s="735">
        <v>5263</v>
      </c>
      <c r="N1964" s="845" t="str">
        <f t="shared" si="161"/>
        <v/>
      </c>
      <c r="O1964" s="735">
        <v>1.594452879553953</v>
      </c>
      <c r="P1964" s="735">
        <f t="shared" si="162"/>
        <v>3300.8187745706982</v>
      </c>
      <c r="Q1964" s="849">
        <v>37.9</v>
      </c>
      <c r="R1964" s="71">
        <v>50854</v>
      </c>
      <c r="S1964" s="845">
        <v>0.25932721712538226</v>
      </c>
      <c r="T1964" s="845">
        <v>5.7000000000000002E-2</v>
      </c>
      <c r="U1964" s="845">
        <v>7.5999999999999998E-2</v>
      </c>
      <c r="V1964" s="845">
        <v>1.3999999999999999E-2</v>
      </c>
      <c r="W1964" s="845">
        <v>0.39583333333333331</v>
      </c>
      <c r="X1964" s="845">
        <v>0.51393188854489169</v>
      </c>
      <c r="Y1964" s="845">
        <v>0.72620178605358165</v>
      </c>
      <c r="Z1964" s="845">
        <v>0.13357400722021662</v>
      </c>
      <c r="AA1964" s="845">
        <v>0</v>
      </c>
      <c r="AB1964" s="845">
        <v>1.9760592817784535E-2</v>
      </c>
      <c r="AC1964" s="845">
        <v>0</v>
      </c>
      <c r="AD1964" s="845">
        <v>8.4362530875926281E-2</v>
      </c>
      <c r="AE1964" s="845">
        <v>3.6101083032490974E-2</v>
      </c>
      <c r="AF1964" s="845">
        <v>0.12312369371081132</v>
      </c>
      <c r="AG1964" s="845">
        <v>0.7127113813414403</v>
      </c>
      <c r="AH1964" s="20" t="str">
        <f t="shared" si="163"/>
        <v>No</v>
      </c>
      <c r="AI1964" s="25"/>
      <c r="AJ1964" s="25"/>
      <c r="AK1964" s="25"/>
      <c r="AL1964" s="25"/>
      <c r="AM1964" s="25"/>
      <c r="AN1964" s="25"/>
      <c r="AO1964" s="25"/>
      <c r="AP1964" s="25"/>
      <c r="AQ1964" s="25"/>
      <c r="AR1964" s="25"/>
      <c r="AS1964" s="25"/>
      <c r="AT1964" s="25"/>
      <c r="AU1964" s="36"/>
      <c r="AV1964" s="36"/>
      <c r="AW1964" s="36"/>
      <c r="AX1964" s="25"/>
      <c r="AY1964" s="25"/>
      <c r="AZ1964" s="25"/>
      <c r="BA1964" s="25"/>
      <c r="BB1964" s="25"/>
      <c r="BC1964" s="25"/>
      <c r="BD1964" s="25"/>
      <c r="BE1964" s="25"/>
      <c r="BF1964" s="25"/>
      <c r="BG1964" s="25"/>
      <c r="BH1964" s="25"/>
      <c r="BI1964" s="25"/>
      <c r="BJ1964" s="25"/>
      <c r="BK1964" s="25"/>
      <c r="BL1964" s="25"/>
      <c r="BM1964" s="25"/>
      <c r="BN1964" s="25"/>
      <c r="BO1964" s="25"/>
      <c r="BP1964" s="25"/>
      <c r="BQ1964" s="25"/>
      <c r="BR1964" s="25"/>
      <c r="BS1964" s="25"/>
      <c r="BT1964" s="25"/>
      <c r="BU1964"/>
      <c r="BV1964"/>
      <c r="BW1964"/>
      <c r="BX1964"/>
      <c r="BY1964"/>
      <c r="BZ1964"/>
      <c r="CA1964"/>
      <c r="CB1964"/>
      <c r="CC1964"/>
      <c r="CD1964" s="25"/>
    </row>
    <row r="1965" spans="1:82" s="17" customFormat="1" x14ac:dyDescent="0.2">
      <c r="A1965" s="25"/>
      <c r="B1965" s="20">
        <v>39161020300</v>
      </c>
      <c r="C1965" s="20">
        <v>203</v>
      </c>
      <c r="D1965" s="20" t="s">
        <v>86</v>
      </c>
      <c r="E1965" s="20" t="s">
        <v>265</v>
      </c>
      <c r="F1965" s="20" t="s">
        <v>8</v>
      </c>
      <c r="G1965" s="861">
        <v>44.502088466474703</v>
      </c>
      <c r="H1965" s="861">
        <v>45.377532118658699</v>
      </c>
      <c r="I1965" s="861">
        <v>14.8522153895626</v>
      </c>
      <c r="J1965" s="861">
        <v>49.159029868252503</v>
      </c>
      <c r="K1965" s="982">
        <v>0</v>
      </c>
      <c r="L1965" s="735">
        <v>2797</v>
      </c>
      <c r="M1965" s="735">
        <v>2756</v>
      </c>
      <c r="N1965" s="845">
        <f t="shared" si="161"/>
        <v>-1.465856274579907E-2</v>
      </c>
      <c r="O1965" s="735">
        <v>71.591582325835475</v>
      </c>
      <c r="P1965" s="735">
        <f t="shared" si="162"/>
        <v>38.496145921968733</v>
      </c>
      <c r="Q1965" s="849">
        <v>46.9</v>
      </c>
      <c r="R1965" s="71">
        <v>73140</v>
      </c>
      <c r="S1965" s="845">
        <v>6.1628760088041086E-2</v>
      </c>
      <c r="T1965" s="845">
        <v>1.2E-2</v>
      </c>
      <c r="U1965" s="845">
        <v>0</v>
      </c>
      <c r="V1965" s="845">
        <v>0</v>
      </c>
      <c r="W1965" s="845">
        <v>6.9316081330868765E-2</v>
      </c>
      <c r="X1965" s="845">
        <v>0.22666666666666666</v>
      </c>
      <c r="Y1965" s="845">
        <v>0.97169811320754718</v>
      </c>
      <c r="Z1965" s="845">
        <v>3.6284470246734399E-3</v>
      </c>
      <c r="AA1965" s="845">
        <v>0</v>
      </c>
      <c r="AB1965" s="845">
        <v>2.9027576197387518E-3</v>
      </c>
      <c r="AC1965" s="845">
        <v>0</v>
      </c>
      <c r="AD1965" s="845">
        <v>1.8142235123367199E-3</v>
      </c>
      <c r="AE1965" s="845">
        <v>1.995645863570392E-2</v>
      </c>
      <c r="AF1965" s="845">
        <v>3.0116110304789549E-2</v>
      </c>
      <c r="AG1965" s="845">
        <v>0.95355587808417996</v>
      </c>
      <c r="AH1965" s="20" t="str">
        <f t="shared" si="163"/>
        <v>Yes</v>
      </c>
      <c r="AI1965" s="25"/>
      <c r="AJ1965" s="25"/>
      <c r="AK1965" s="25"/>
      <c r="AL1965" s="25"/>
      <c r="AM1965" s="25"/>
      <c r="AN1965" s="25"/>
      <c r="AO1965" s="25"/>
      <c r="AP1965" s="25"/>
      <c r="AQ1965" s="25"/>
      <c r="AR1965" s="25"/>
      <c r="AS1965" s="25"/>
      <c r="AT1965" s="25"/>
      <c r="AU1965" s="36"/>
      <c r="AV1965" s="36"/>
      <c r="AW1965" s="36"/>
      <c r="AX1965" s="25"/>
      <c r="AY1965" s="25"/>
      <c r="AZ1965" s="25"/>
      <c r="BA1965" s="25"/>
      <c r="BB1965" s="25"/>
      <c r="BC1965" s="25"/>
      <c r="BD1965" s="25"/>
      <c r="BE1965" s="25"/>
      <c r="BF1965" s="25"/>
      <c r="BG1965" s="25"/>
      <c r="BH1965" s="25"/>
      <c r="BI1965" s="25"/>
      <c r="BJ1965" s="25"/>
      <c r="BK1965" s="25"/>
      <c r="BL1965" s="25"/>
      <c r="BM1965" s="25"/>
      <c r="BN1965" s="25"/>
      <c r="BO1965" s="25"/>
      <c r="BP1965" s="25"/>
      <c r="BQ1965" s="25"/>
      <c r="BR1965" s="25"/>
      <c r="BS1965" s="25"/>
      <c r="BT1965" s="25"/>
      <c r="BU1965"/>
      <c r="BV1965"/>
      <c r="BW1965"/>
      <c r="BX1965"/>
      <c r="BY1965"/>
      <c r="BZ1965"/>
      <c r="CA1965"/>
      <c r="CB1965"/>
      <c r="CC1965"/>
      <c r="CD1965" s="25"/>
    </row>
    <row r="1966" spans="1:82" s="17" customFormat="1" x14ac:dyDescent="0.2">
      <c r="A1966" s="25"/>
      <c r="B1966" s="20">
        <v>39085206100</v>
      </c>
      <c r="C1966" s="20">
        <v>2061</v>
      </c>
      <c r="D1966" s="20" t="s">
        <v>48</v>
      </c>
      <c r="E1966" s="20" t="s">
        <v>2829</v>
      </c>
      <c r="F1966" s="20" t="s">
        <v>8</v>
      </c>
      <c r="G1966" s="861">
        <v>44.500411181686403</v>
      </c>
      <c r="H1966" s="861">
        <v>47.710964231950697</v>
      </c>
      <c r="I1966" s="861">
        <v>28.826466117339201</v>
      </c>
      <c r="J1966" s="861">
        <v>48.951903802391897</v>
      </c>
      <c r="K1966" s="982">
        <v>0</v>
      </c>
      <c r="L1966" s="735">
        <v>3173</v>
      </c>
      <c r="M1966" s="735">
        <v>3427</v>
      </c>
      <c r="N1966" s="845">
        <f t="shared" si="161"/>
        <v>8.0050425464859756E-2</v>
      </c>
      <c r="O1966" s="735">
        <v>5.0925137258641699</v>
      </c>
      <c r="P1966" s="735">
        <f t="shared" si="162"/>
        <v>672.94860347547876</v>
      </c>
      <c r="Q1966" s="849">
        <v>44.7</v>
      </c>
      <c r="R1966" s="71">
        <v>95313</v>
      </c>
      <c r="S1966" s="845">
        <v>5.7737397420867524E-2</v>
      </c>
      <c r="T1966" s="845">
        <v>0.02</v>
      </c>
      <c r="U1966" s="845">
        <v>0</v>
      </c>
      <c r="V1966" s="845">
        <v>0</v>
      </c>
      <c r="W1966" s="845">
        <v>8.5154483798040692E-2</v>
      </c>
      <c r="X1966" s="845">
        <v>0.40707964601769914</v>
      </c>
      <c r="Y1966" s="845">
        <v>0.96936095710533998</v>
      </c>
      <c r="Z1966" s="845">
        <v>6.7114093959731542E-3</v>
      </c>
      <c r="AA1966" s="845">
        <v>0</v>
      </c>
      <c r="AB1966" s="845">
        <v>0</v>
      </c>
      <c r="AC1966" s="845">
        <v>0</v>
      </c>
      <c r="AD1966" s="845">
        <v>2.3344032681645753E-3</v>
      </c>
      <c r="AE1966" s="845">
        <v>2.1593230230522321E-2</v>
      </c>
      <c r="AF1966" s="845">
        <v>0</v>
      </c>
      <c r="AG1966" s="845">
        <v>0.96936095710533998</v>
      </c>
      <c r="AH1966" s="20" t="str">
        <f t="shared" si="163"/>
        <v>Yes</v>
      </c>
      <c r="AI1966" s="25"/>
      <c r="AJ1966" s="25"/>
      <c r="AK1966" s="25"/>
      <c r="AL1966" s="25"/>
      <c r="AM1966" s="25"/>
      <c r="AN1966" s="25"/>
      <c r="AO1966" s="25"/>
      <c r="AP1966" s="25"/>
      <c r="AQ1966" s="25"/>
      <c r="AR1966" s="25"/>
      <c r="AS1966" s="25"/>
      <c r="AT1966" s="25"/>
      <c r="AU1966" s="36"/>
      <c r="AV1966" s="36"/>
      <c r="AW1966" s="36"/>
      <c r="AX1966" s="25"/>
      <c r="AY1966" s="25"/>
      <c r="AZ1966" s="25"/>
      <c r="BA1966" s="25"/>
      <c r="BB1966" s="25"/>
      <c r="BC1966" s="25"/>
      <c r="BD1966" s="25"/>
      <c r="BE1966" s="25"/>
      <c r="BF1966" s="25"/>
      <c r="BG1966" s="25"/>
      <c r="BH1966" s="25"/>
      <c r="BI1966" s="25"/>
      <c r="BJ1966" s="25"/>
      <c r="BK1966" s="25"/>
      <c r="BL1966" s="25"/>
      <c r="BM1966" s="25"/>
      <c r="BN1966" s="25"/>
      <c r="BO1966" s="25"/>
      <c r="BP1966" s="25"/>
      <c r="BQ1966" s="25"/>
      <c r="BR1966" s="25"/>
      <c r="BS1966" s="25"/>
      <c r="BT1966" s="25"/>
      <c r="BU1966"/>
      <c r="BV1966"/>
      <c r="BW1966"/>
      <c r="BX1966"/>
      <c r="BY1966"/>
      <c r="BZ1966"/>
      <c r="CA1966"/>
      <c r="CB1966"/>
      <c r="CC1966"/>
      <c r="CD1966" s="25"/>
    </row>
    <row r="1967" spans="1:82" s="17" customFormat="1" x14ac:dyDescent="0.2">
      <c r="A1967" s="25"/>
      <c r="B1967" s="20">
        <v>39089756801</v>
      </c>
      <c r="C1967" s="20">
        <v>7568.01</v>
      </c>
      <c r="D1967" s="20" t="s">
        <v>50</v>
      </c>
      <c r="E1967" s="20" t="s">
        <v>2830</v>
      </c>
      <c r="F1967" s="20" t="s">
        <v>8</v>
      </c>
      <c r="G1967" s="861">
        <v>44.496257026074097</v>
      </c>
      <c r="H1967" s="861">
        <v>53.740933214294699</v>
      </c>
      <c r="I1967" s="861">
        <v>24.366440660671302</v>
      </c>
      <c r="J1967" s="861">
        <v>50.470571696209099</v>
      </c>
      <c r="K1967" s="982">
        <v>1</v>
      </c>
      <c r="L1967" s="735" t="s">
        <v>2466</v>
      </c>
      <c r="M1967" s="735">
        <v>4441</v>
      </c>
      <c r="N1967" s="845" t="str">
        <f t="shared" si="161"/>
        <v/>
      </c>
      <c r="O1967" s="735">
        <v>4.2132324692409497</v>
      </c>
      <c r="P1967" s="735">
        <f t="shared" si="162"/>
        <v>1054.0600435465847</v>
      </c>
      <c r="Q1967" s="849">
        <v>34.9</v>
      </c>
      <c r="R1967" s="71">
        <v>87749</v>
      </c>
      <c r="S1967" s="845">
        <v>0.10087818058995722</v>
      </c>
      <c r="T1967" s="845">
        <v>4.4000000000000004E-2</v>
      </c>
      <c r="U1967" s="845">
        <v>0</v>
      </c>
      <c r="V1967" s="845">
        <v>1.6E-2</v>
      </c>
      <c r="W1967" s="845">
        <v>0.5917092561044861</v>
      </c>
      <c r="X1967" s="845">
        <v>0.21401151631477927</v>
      </c>
      <c r="Y1967" s="845">
        <v>0.79689259175861293</v>
      </c>
      <c r="Z1967" s="845">
        <v>7.6784507993695114E-2</v>
      </c>
      <c r="AA1967" s="845">
        <v>0</v>
      </c>
      <c r="AB1967" s="845">
        <v>3.6027921639270433E-2</v>
      </c>
      <c r="AC1967" s="845">
        <v>0</v>
      </c>
      <c r="AD1967" s="845">
        <v>8.3314568790812879E-3</v>
      </c>
      <c r="AE1967" s="845">
        <v>8.1963521729340238E-2</v>
      </c>
      <c r="AF1967" s="845">
        <v>2.5219545147489305E-2</v>
      </c>
      <c r="AG1967" s="845">
        <v>0.79171357802296782</v>
      </c>
      <c r="AH1967" s="20" t="str">
        <f t="shared" si="163"/>
        <v>No</v>
      </c>
      <c r="AI1967" s="25"/>
      <c r="AJ1967" s="25"/>
      <c r="AK1967" s="25"/>
      <c r="AL1967" s="25"/>
      <c r="AM1967" s="25"/>
      <c r="AN1967" s="25"/>
      <c r="AO1967" s="25"/>
      <c r="AP1967" s="25"/>
      <c r="AQ1967" s="25"/>
      <c r="AR1967" s="25"/>
      <c r="AS1967" s="25"/>
      <c r="AT1967" s="25"/>
      <c r="AU1967" s="36"/>
      <c r="AV1967" s="36"/>
      <c r="AW1967" s="36"/>
      <c r="AX1967" s="25"/>
      <c r="AY1967" s="25"/>
      <c r="AZ1967" s="25"/>
      <c r="BA1967" s="25"/>
      <c r="BB1967" s="25"/>
      <c r="BC1967" s="25"/>
      <c r="BD1967" s="25"/>
      <c r="BE1967" s="25"/>
      <c r="BF1967" s="25"/>
      <c r="BG1967" s="25"/>
      <c r="BH1967" s="25"/>
      <c r="BI1967" s="25"/>
      <c r="BJ1967" s="25"/>
      <c r="BK1967" s="25"/>
      <c r="BL1967" s="25"/>
      <c r="BM1967" s="25"/>
      <c r="BN1967" s="25"/>
      <c r="BO1967" s="25"/>
      <c r="BP1967" s="25"/>
      <c r="BQ1967" s="25"/>
      <c r="BR1967" s="25"/>
      <c r="BS1967" s="25"/>
      <c r="BT1967" s="25"/>
      <c r="BU1967"/>
      <c r="BV1967"/>
      <c r="BW1967"/>
      <c r="BX1967"/>
      <c r="BY1967"/>
      <c r="BZ1967"/>
      <c r="CA1967"/>
      <c r="CB1967"/>
      <c r="CC1967"/>
      <c r="CD1967" s="25"/>
    </row>
    <row r="1968" spans="1:82" s="17" customFormat="1" x14ac:dyDescent="0.2">
      <c r="A1968" s="25"/>
      <c r="B1968" s="20">
        <v>39173022100</v>
      </c>
      <c r="C1968" s="20">
        <v>221</v>
      </c>
      <c r="D1968" s="20" t="s">
        <v>92</v>
      </c>
      <c r="E1968" s="20" t="s">
        <v>2839</v>
      </c>
      <c r="F1968" s="20" t="s">
        <v>8</v>
      </c>
      <c r="G1968" s="861">
        <v>44.469831483734303</v>
      </c>
      <c r="H1968" s="861">
        <v>56.742255077876301</v>
      </c>
      <c r="I1968" s="861">
        <v>20.770194710495399</v>
      </c>
      <c r="J1968" s="861">
        <v>49.216247230205902</v>
      </c>
      <c r="K1968" s="982">
        <v>0</v>
      </c>
      <c r="L1968" s="735">
        <v>4290</v>
      </c>
      <c r="M1968" s="735">
        <v>4185</v>
      </c>
      <c r="N1968" s="845">
        <f t="shared" si="161"/>
        <v>-2.4475524475524476E-2</v>
      </c>
      <c r="O1968" s="735">
        <v>36.388322647550687</v>
      </c>
      <c r="P1968" s="735">
        <f t="shared" si="162"/>
        <v>115.00942322994638</v>
      </c>
      <c r="Q1968" s="849">
        <v>35.200000000000003</v>
      </c>
      <c r="R1968" s="71">
        <v>73697</v>
      </c>
      <c r="S1968" s="845">
        <v>0.11153846153846154</v>
      </c>
      <c r="T1968" s="845">
        <v>3.6000000000000004E-2</v>
      </c>
      <c r="U1968" s="845">
        <v>5.0000000000000001E-3</v>
      </c>
      <c r="V1968" s="845">
        <v>7.0000000000000007E-2</v>
      </c>
      <c r="W1968" s="845">
        <v>0.21032504780114722</v>
      </c>
      <c r="X1968" s="845">
        <v>0.28484848484848485</v>
      </c>
      <c r="Y1968" s="845">
        <v>0.93070489844683391</v>
      </c>
      <c r="Z1968" s="845">
        <v>2.8673835125448029E-3</v>
      </c>
      <c r="AA1968" s="845">
        <v>5.7347670250896057E-3</v>
      </c>
      <c r="AB1968" s="845">
        <v>6.9295101553166066E-3</v>
      </c>
      <c r="AC1968" s="845">
        <v>0</v>
      </c>
      <c r="AD1968" s="845">
        <v>1.935483870967742E-2</v>
      </c>
      <c r="AE1968" s="845">
        <v>3.4408602150537634E-2</v>
      </c>
      <c r="AF1968" s="845">
        <v>6.2843488649940257E-2</v>
      </c>
      <c r="AG1968" s="845">
        <v>0.91612903225806452</v>
      </c>
      <c r="AH1968" s="20" t="str">
        <f t="shared" si="163"/>
        <v>Yes</v>
      </c>
      <c r="AI1968" s="25"/>
      <c r="AJ1968" s="25"/>
      <c r="AK1968" s="25"/>
      <c r="AL1968" s="25"/>
      <c r="AM1968" s="25"/>
      <c r="AN1968" s="25"/>
      <c r="AO1968" s="25"/>
      <c r="AP1968" s="25"/>
      <c r="AQ1968" s="25"/>
      <c r="AR1968" s="25"/>
      <c r="AS1968" s="25"/>
      <c r="AT1968" s="25"/>
      <c r="AU1968" s="36"/>
      <c r="AV1968" s="36"/>
      <c r="AW1968" s="36"/>
      <c r="AX1968" s="25"/>
      <c r="AY1968" s="25"/>
      <c r="AZ1968" s="25"/>
      <c r="BA1968" s="25"/>
      <c r="BB1968" s="25"/>
      <c r="BC1968" s="25"/>
      <c r="BD1968" s="25"/>
      <c r="BE1968" s="25"/>
      <c r="BF1968" s="25"/>
      <c r="BG1968" s="25"/>
      <c r="BH1968" s="25"/>
      <c r="BI1968" s="25"/>
      <c r="BJ1968" s="25"/>
      <c r="BK1968" s="25"/>
      <c r="BL1968" s="25"/>
      <c r="BM1968" s="25"/>
      <c r="BN1968" s="25"/>
      <c r="BO1968" s="25"/>
      <c r="BP1968" s="25"/>
      <c r="BQ1968" s="25"/>
      <c r="BR1968" s="25"/>
      <c r="BS1968" s="25"/>
      <c r="BT1968" s="25"/>
      <c r="BU1968"/>
      <c r="BV1968"/>
      <c r="BW1968"/>
      <c r="BX1968"/>
      <c r="BY1968"/>
      <c r="BZ1968"/>
      <c r="CA1968"/>
      <c r="CB1968"/>
      <c r="CC1968"/>
      <c r="CD1968" s="25"/>
    </row>
    <row r="1969" spans="1:82" s="17" customFormat="1" x14ac:dyDescent="0.2">
      <c r="A1969" s="25"/>
      <c r="B1969" s="20">
        <v>39117965502</v>
      </c>
      <c r="C1969" s="20">
        <v>9655.02</v>
      </c>
      <c r="D1969" s="20" t="s">
        <v>64</v>
      </c>
      <c r="E1969" s="20" t="s">
        <v>2830</v>
      </c>
      <c r="F1969" s="20" t="s">
        <v>8</v>
      </c>
      <c r="G1969" s="861">
        <v>44.452955806988903</v>
      </c>
      <c r="H1969" s="861">
        <v>42.9872708443703</v>
      </c>
      <c r="I1969" s="861">
        <v>22.244244839208601</v>
      </c>
      <c r="J1969" s="861">
        <v>49.354175254982401</v>
      </c>
      <c r="K1969" s="982">
        <v>0</v>
      </c>
      <c r="L1969" s="735" t="s">
        <v>2466</v>
      </c>
      <c r="M1969" s="735">
        <v>2200</v>
      </c>
      <c r="N1969" s="845" t="str">
        <f t="shared" si="161"/>
        <v/>
      </c>
      <c r="O1969" s="735">
        <v>38.504308037151567</v>
      </c>
      <c r="P1969" s="735">
        <f t="shared" si="162"/>
        <v>57.136463740038927</v>
      </c>
      <c r="Q1969" s="849">
        <v>47.5</v>
      </c>
      <c r="R1969" s="71">
        <v>81724</v>
      </c>
      <c r="S1969" s="845">
        <v>0.10818181818181818</v>
      </c>
      <c r="T1969" s="845">
        <v>2.8999999999999998E-2</v>
      </c>
      <c r="U1969" s="845">
        <v>0</v>
      </c>
      <c r="V1969" s="845">
        <v>0</v>
      </c>
      <c r="W1969" s="845">
        <v>0.10310421286031042</v>
      </c>
      <c r="X1969" s="845">
        <v>2.1505376344086023E-2</v>
      </c>
      <c r="Y1969" s="845">
        <v>0.87909090909090915</v>
      </c>
      <c r="Z1969" s="845">
        <v>4.5454545454545455E-4</v>
      </c>
      <c r="AA1969" s="845">
        <v>0</v>
      </c>
      <c r="AB1969" s="845">
        <v>1.3636363636363637E-3</v>
      </c>
      <c r="AC1969" s="845">
        <v>0</v>
      </c>
      <c r="AD1969" s="845">
        <v>4.2272727272727274E-2</v>
      </c>
      <c r="AE1969" s="845">
        <v>7.6818181818181813E-2</v>
      </c>
      <c r="AF1969" s="845">
        <v>5.6363636363636366E-2</v>
      </c>
      <c r="AG1969" s="845">
        <v>0.87909090909090915</v>
      </c>
      <c r="AH1969" s="20" t="str">
        <f t="shared" si="163"/>
        <v>No</v>
      </c>
      <c r="AI1969" s="25"/>
      <c r="AJ1969" s="25"/>
      <c r="AK1969" s="25"/>
      <c r="AL1969" s="25"/>
      <c r="AM1969" s="25"/>
      <c r="AN1969" s="25"/>
      <c r="AO1969" s="25"/>
      <c r="AP1969" s="25"/>
      <c r="AQ1969" s="25"/>
      <c r="AR1969" s="25"/>
      <c r="AS1969" s="25"/>
      <c r="AT1969" s="25"/>
      <c r="AU1969" s="36"/>
      <c r="AV1969" s="36"/>
      <c r="AW1969" s="36"/>
      <c r="AX1969" s="25"/>
      <c r="AY1969" s="25"/>
      <c r="AZ1969" s="25"/>
      <c r="BA1969" s="25"/>
      <c r="BB1969" s="25"/>
      <c r="BC1969" s="25"/>
      <c r="BD1969" s="25"/>
      <c r="BE1969" s="25"/>
      <c r="BF1969" s="25"/>
      <c r="BG1969" s="25"/>
      <c r="BH1969" s="25"/>
      <c r="BI1969" s="25"/>
      <c r="BJ1969" s="25"/>
      <c r="BK1969" s="25"/>
      <c r="BL1969" s="25"/>
      <c r="BM1969" s="25"/>
      <c r="BN1969" s="25"/>
      <c r="BO1969" s="25"/>
      <c r="BP1969" s="25"/>
      <c r="BQ1969" s="25"/>
      <c r="BR1969" s="25"/>
      <c r="BS1969" s="25"/>
      <c r="BT1969" s="25"/>
      <c r="BU1969"/>
      <c r="BV1969"/>
      <c r="BW1969"/>
      <c r="BX1969"/>
      <c r="BY1969"/>
      <c r="BZ1969"/>
      <c r="CA1969"/>
      <c r="CB1969"/>
      <c r="CC1969"/>
      <c r="CD1969" s="25"/>
    </row>
    <row r="1970" spans="1:82" s="17" customFormat="1" x14ac:dyDescent="0.2">
      <c r="A1970" s="25"/>
      <c r="B1970" s="20">
        <v>39049001301</v>
      </c>
      <c r="C1970" s="20">
        <v>13.01</v>
      </c>
      <c r="D1970" s="20" t="s">
        <v>31</v>
      </c>
      <c r="E1970" s="20" t="s">
        <v>2830</v>
      </c>
      <c r="F1970" s="20" t="s">
        <v>6</v>
      </c>
      <c r="G1970" s="861">
        <v>44.452629472514801</v>
      </c>
      <c r="H1970" s="861">
        <v>66.072890952409793</v>
      </c>
      <c r="I1970" s="861">
        <v>60.364649417015301</v>
      </c>
      <c r="J1970" s="861">
        <v>48.501876423730799</v>
      </c>
      <c r="K1970" s="982">
        <v>0</v>
      </c>
      <c r="L1970" s="735" t="s">
        <v>2466</v>
      </c>
      <c r="M1970" s="735">
        <v>2987</v>
      </c>
      <c r="N1970" s="845" t="str">
        <f t="shared" si="161"/>
        <v/>
      </c>
      <c r="O1970" s="735">
        <v>0.14127130490958123</v>
      </c>
      <c r="P1970" s="735">
        <f t="shared" si="162"/>
        <v>21143.713522797774</v>
      </c>
      <c r="Q1970" s="849">
        <v>23.4</v>
      </c>
      <c r="R1970" s="71">
        <v>47500</v>
      </c>
      <c r="S1970" s="845">
        <v>0.44020270270270268</v>
      </c>
      <c r="T1970" s="845">
        <v>8.199999999999999E-2</v>
      </c>
      <c r="U1970" s="845">
        <v>0</v>
      </c>
      <c r="V1970" s="845">
        <v>1.9E-2</v>
      </c>
      <c r="W1970" s="845">
        <v>0.90110905730129387</v>
      </c>
      <c r="X1970" s="845">
        <v>0.59794871794871796</v>
      </c>
      <c r="Y1970" s="845">
        <v>0.74757281553398058</v>
      </c>
      <c r="Z1970" s="845">
        <v>6.3943756277201211E-2</v>
      </c>
      <c r="AA1970" s="845">
        <v>4.6869768998995644E-3</v>
      </c>
      <c r="AB1970" s="845">
        <v>4.7874121191831272E-2</v>
      </c>
      <c r="AC1970" s="845">
        <v>0</v>
      </c>
      <c r="AD1970" s="845">
        <v>3.1134917977904252E-2</v>
      </c>
      <c r="AE1970" s="845">
        <v>0.10478741211918313</v>
      </c>
      <c r="AF1970" s="845">
        <v>2.2095748242383664E-2</v>
      </c>
      <c r="AG1970" s="845">
        <v>0.74221627050552397</v>
      </c>
      <c r="AH1970" s="20" t="str">
        <f t="shared" si="163"/>
        <v>No</v>
      </c>
      <c r="AI1970" s="25"/>
      <c r="AJ1970" s="25"/>
      <c r="AK1970" s="25"/>
      <c r="AL1970" s="25"/>
      <c r="AM1970" s="25"/>
      <c r="AN1970" s="25"/>
      <c r="AO1970" s="25"/>
      <c r="AP1970" s="25"/>
      <c r="AQ1970" s="25"/>
      <c r="AR1970" s="25"/>
      <c r="AS1970" s="25"/>
      <c r="AT1970" s="25"/>
      <c r="AU1970" s="36"/>
      <c r="AV1970" s="36"/>
      <c r="AW1970" s="36"/>
      <c r="AX1970" s="25"/>
      <c r="AY1970" s="25"/>
      <c r="AZ1970" s="25"/>
      <c r="BA1970" s="25"/>
      <c r="BB1970" s="25"/>
      <c r="BC1970" s="25"/>
      <c r="BD1970" s="25"/>
      <c r="BE1970" s="25"/>
      <c r="BF1970" s="25"/>
      <c r="BG1970" s="25"/>
      <c r="BH1970" s="25"/>
      <c r="BI1970" s="25"/>
      <c r="BJ1970" s="25"/>
      <c r="BK1970" s="25"/>
      <c r="BL1970" s="25"/>
      <c r="BM1970" s="25"/>
      <c r="BN1970" s="25"/>
      <c r="BO1970" s="25"/>
      <c r="BP1970" s="25"/>
      <c r="BQ1970" s="25"/>
      <c r="BR1970" s="25"/>
      <c r="BS1970" s="25"/>
      <c r="BT1970" s="25"/>
      <c r="BU1970"/>
      <c r="BV1970"/>
      <c r="BW1970"/>
      <c r="BX1970"/>
      <c r="BY1970"/>
      <c r="BZ1970"/>
      <c r="CA1970"/>
      <c r="CB1970"/>
      <c r="CC1970"/>
      <c r="CD1970" s="25"/>
    </row>
    <row r="1971" spans="1:82" s="17" customFormat="1" x14ac:dyDescent="0.2">
      <c r="A1971" s="25"/>
      <c r="B1971" s="20">
        <v>39061007300</v>
      </c>
      <c r="C1971" s="20">
        <v>73</v>
      </c>
      <c r="D1971" s="20" t="s">
        <v>37</v>
      </c>
      <c r="E1971" s="20" t="s">
        <v>2828</v>
      </c>
      <c r="F1971" s="20" t="s">
        <v>6</v>
      </c>
      <c r="G1971" s="861">
        <v>44.452498721578799</v>
      </c>
      <c r="H1971" s="861">
        <v>60.306204882832901</v>
      </c>
      <c r="I1971" s="861">
        <v>55.938707397908502</v>
      </c>
      <c r="J1971" s="861">
        <v>45.063424527118599</v>
      </c>
      <c r="K1971" s="982">
        <v>0</v>
      </c>
      <c r="L1971" s="735">
        <v>1996</v>
      </c>
      <c r="M1971" s="735">
        <v>2163</v>
      </c>
      <c r="N1971" s="845">
        <f t="shared" si="161"/>
        <v>8.3667334669338678E-2</v>
      </c>
      <c r="O1971" s="735">
        <v>1.9252725449770502</v>
      </c>
      <c r="P1971" s="735">
        <f t="shared" si="162"/>
        <v>1123.4772996909815</v>
      </c>
      <c r="Q1971" s="849">
        <v>39.5</v>
      </c>
      <c r="R1971" s="71">
        <v>48750</v>
      </c>
      <c r="S1971" s="845">
        <v>0.12343966712898752</v>
      </c>
      <c r="T1971" s="845">
        <v>6.5000000000000002E-2</v>
      </c>
      <c r="U1971" s="845">
        <v>8.0000000000000002E-3</v>
      </c>
      <c r="V1971" s="845">
        <v>6.2E-2</v>
      </c>
      <c r="W1971" s="845">
        <v>0.4563106796116505</v>
      </c>
      <c r="X1971" s="845">
        <v>0.640661938534279</v>
      </c>
      <c r="Y1971" s="845">
        <v>0.39019879796578827</v>
      </c>
      <c r="Z1971" s="845">
        <v>0.43411927877947293</v>
      </c>
      <c r="AA1971" s="845">
        <v>0</v>
      </c>
      <c r="AB1971" s="845">
        <v>0</v>
      </c>
      <c r="AC1971" s="845">
        <v>0</v>
      </c>
      <c r="AD1971" s="845">
        <v>7.5820619509939902E-2</v>
      </c>
      <c r="AE1971" s="845">
        <v>9.9861303744798888E-2</v>
      </c>
      <c r="AF1971" s="845">
        <v>8.6453999075358293E-2</v>
      </c>
      <c r="AG1971" s="845">
        <v>0.39019879796578827</v>
      </c>
      <c r="AH1971" s="20" t="str">
        <f t="shared" si="163"/>
        <v>No</v>
      </c>
      <c r="AI1971" s="25"/>
      <c r="AJ1971" s="25"/>
      <c r="AK1971" s="25"/>
      <c r="AL1971" s="25"/>
      <c r="AM1971" s="25"/>
      <c r="AN1971" s="25"/>
      <c r="AO1971" s="25"/>
      <c r="AP1971" s="25"/>
      <c r="AQ1971" s="25"/>
      <c r="AR1971" s="25"/>
      <c r="AS1971" s="25"/>
      <c r="AT1971" s="25"/>
      <c r="AU1971" s="36"/>
      <c r="AV1971" s="36"/>
      <c r="AW1971" s="36"/>
      <c r="AX1971" s="25"/>
      <c r="AY1971" s="25"/>
      <c r="AZ1971" s="25"/>
      <c r="BA1971" s="25"/>
      <c r="BB1971" s="25"/>
      <c r="BC1971" s="25"/>
      <c r="BD1971" s="25"/>
      <c r="BE1971" s="25"/>
      <c r="BF1971" s="25"/>
      <c r="BG1971" s="25"/>
      <c r="BH1971" s="25"/>
      <c r="BI1971" s="25"/>
      <c r="BJ1971" s="25"/>
      <c r="BK1971" s="25"/>
      <c r="BL1971" s="25"/>
      <c r="BM1971" s="25"/>
      <c r="BN1971" s="25"/>
      <c r="BO1971" s="25"/>
      <c r="BP1971" s="25"/>
      <c r="BQ1971" s="25"/>
      <c r="BR1971" s="25"/>
      <c r="BS1971" s="25"/>
      <c r="BT1971" s="25"/>
      <c r="BU1971"/>
      <c r="BV1971"/>
      <c r="BW1971"/>
      <c r="BX1971"/>
      <c r="BY1971"/>
      <c r="BZ1971"/>
      <c r="CA1971"/>
      <c r="CB1971"/>
      <c r="CC1971"/>
      <c r="CD1971" s="25"/>
    </row>
    <row r="1972" spans="1:82" s="17" customFormat="1" x14ac:dyDescent="0.2">
      <c r="A1972" s="25"/>
      <c r="B1972" s="20">
        <v>39169001900</v>
      </c>
      <c r="C1972" s="20">
        <v>19</v>
      </c>
      <c r="D1972" s="20" t="s">
        <v>90</v>
      </c>
      <c r="E1972" s="20" t="s">
        <v>265</v>
      </c>
      <c r="F1972" s="20" t="s">
        <v>8</v>
      </c>
      <c r="G1972" s="861">
        <v>44.448840488000798</v>
      </c>
      <c r="H1972" s="861">
        <v>47.733394720719097</v>
      </c>
      <c r="I1972" s="861">
        <v>19.057053686322899</v>
      </c>
      <c r="J1972" s="861">
        <v>37.706886646903399</v>
      </c>
      <c r="K1972" s="982">
        <v>0</v>
      </c>
      <c r="L1972" s="735">
        <v>3066</v>
      </c>
      <c r="M1972" s="735">
        <v>3172</v>
      </c>
      <c r="N1972" s="845">
        <f t="shared" si="161"/>
        <v>3.4572733202870187E-2</v>
      </c>
      <c r="O1972" s="735">
        <v>27.670864095202354</v>
      </c>
      <c r="P1972" s="735">
        <f t="shared" si="162"/>
        <v>114.63321091407367</v>
      </c>
      <c r="Q1972" s="849">
        <v>44.4</v>
      </c>
      <c r="R1972" s="71">
        <v>66027</v>
      </c>
      <c r="S1972" s="845">
        <v>8.2832753714827692E-2</v>
      </c>
      <c r="T1972" s="845">
        <v>3.3000000000000002E-2</v>
      </c>
      <c r="U1972" s="845">
        <v>0</v>
      </c>
      <c r="V1972" s="845">
        <v>6.6000000000000003E-2</v>
      </c>
      <c r="W1972" s="845">
        <v>0.24818577648766327</v>
      </c>
      <c r="X1972" s="845">
        <v>0.13157894736842105</v>
      </c>
      <c r="Y1972" s="845">
        <v>0.97036569987389665</v>
      </c>
      <c r="Z1972" s="845">
        <v>1.8915510718789407E-3</v>
      </c>
      <c r="AA1972" s="845">
        <v>0</v>
      </c>
      <c r="AB1972" s="845">
        <v>0</v>
      </c>
      <c r="AC1972" s="845">
        <v>0</v>
      </c>
      <c r="AD1972" s="845">
        <v>0</v>
      </c>
      <c r="AE1972" s="845">
        <v>2.7742749054224466E-2</v>
      </c>
      <c r="AF1972" s="845">
        <v>0</v>
      </c>
      <c r="AG1972" s="845">
        <v>0.97036569987389665</v>
      </c>
      <c r="AH1972" s="20" t="str">
        <f t="shared" si="163"/>
        <v>Yes</v>
      </c>
      <c r="AI1972" s="25"/>
      <c r="AJ1972" s="25"/>
      <c r="AK1972" s="25"/>
      <c r="AL1972" s="25"/>
      <c r="AM1972" s="25"/>
      <c r="AN1972" s="25"/>
      <c r="AO1972" s="25"/>
      <c r="AP1972" s="25"/>
      <c r="AQ1972" s="25"/>
      <c r="AR1972" s="25"/>
      <c r="AS1972" s="25"/>
      <c r="AT1972" s="25"/>
      <c r="AU1972" s="36"/>
      <c r="AV1972" s="36"/>
      <c r="AW1972" s="36"/>
      <c r="AX1972" s="25"/>
      <c r="AY1972" s="25"/>
      <c r="AZ1972" s="25"/>
      <c r="BA1972" s="25"/>
      <c r="BB1972" s="25"/>
      <c r="BC1972" s="25"/>
      <c r="BD1972" s="25"/>
      <c r="BE1972" s="25"/>
      <c r="BF1972" s="25"/>
      <c r="BG1972" s="25"/>
      <c r="BH1972" s="25"/>
      <c r="BI1972" s="25"/>
      <c r="BJ1972" s="25"/>
      <c r="BK1972" s="25"/>
      <c r="BL1972" s="25"/>
      <c r="BM1972" s="25"/>
      <c r="BN1972" s="25"/>
      <c r="BO1972" s="25"/>
      <c r="BP1972" s="25"/>
      <c r="BQ1972" s="25"/>
      <c r="BR1972" s="25"/>
      <c r="BS1972" s="25"/>
      <c r="BT1972" s="25"/>
      <c r="BU1972"/>
      <c r="BV1972"/>
      <c r="BW1972"/>
      <c r="BX1972"/>
      <c r="BY1972"/>
      <c r="BZ1972"/>
      <c r="CA1972"/>
      <c r="CB1972"/>
      <c r="CC1972"/>
      <c r="CD1972" s="25"/>
    </row>
    <row r="1973" spans="1:82" s="17" customFormat="1" x14ac:dyDescent="0.2">
      <c r="A1973" s="25"/>
      <c r="B1973" s="20">
        <v>39035154603</v>
      </c>
      <c r="C1973" s="20">
        <v>1546.03</v>
      </c>
      <c r="D1973" s="20" t="s">
        <v>24</v>
      </c>
      <c r="E1973" s="20" t="s">
        <v>2829</v>
      </c>
      <c r="F1973" s="20" t="s">
        <v>6</v>
      </c>
      <c r="G1973" s="861">
        <v>44.436555408524001</v>
      </c>
      <c r="H1973" s="861">
        <v>50.852982635474099</v>
      </c>
      <c r="I1973" s="861">
        <v>39.510902854191102</v>
      </c>
      <c r="J1973" s="861">
        <v>44.0834058447074</v>
      </c>
      <c r="K1973" s="982">
        <v>0</v>
      </c>
      <c r="L1973" s="735">
        <v>3240</v>
      </c>
      <c r="M1973" s="735">
        <v>3057</v>
      </c>
      <c r="N1973" s="845">
        <f t="shared" si="161"/>
        <v>-5.648148148148148E-2</v>
      </c>
      <c r="O1973" s="735">
        <v>0.48784934383347422</v>
      </c>
      <c r="P1973" s="735">
        <f t="shared" si="162"/>
        <v>6266.2787982420596</v>
      </c>
      <c r="Q1973" s="849">
        <v>32.9</v>
      </c>
      <c r="R1973" s="71">
        <v>55781</v>
      </c>
      <c r="S1973" s="845">
        <v>0.30377668308702793</v>
      </c>
      <c r="T1973" s="845">
        <v>0.04</v>
      </c>
      <c r="U1973" s="845">
        <v>3.5000000000000003E-2</v>
      </c>
      <c r="V1973" s="845">
        <v>0</v>
      </c>
      <c r="W1973" s="845">
        <v>0.30788381742738591</v>
      </c>
      <c r="X1973" s="845">
        <v>0.68194070080862534</v>
      </c>
      <c r="Y1973" s="845">
        <v>0.42230945371279033</v>
      </c>
      <c r="Z1973" s="845">
        <v>0.5158652273470723</v>
      </c>
      <c r="AA1973" s="845">
        <v>1.0794896957801767E-2</v>
      </c>
      <c r="AB1973" s="845">
        <v>0</v>
      </c>
      <c r="AC1973" s="845">
        <v>0</v>
      </c>
      <c r="AD1973" s="845">
        <v>1.9627085377821395E-2</v>
      </c>
      <c r="AE1973" s="845">
        <v>3.1403336604514227E-2</v>
      </c>
      <c r="AF1973" s="845">
        <v>6.2152437029767749E-2</v>
      </c>
      <c r="AG1973" s="845">
        <v>0.42230945371279033</v>
      </c>
      <c r="AH1973" s="20" t="str">
        <f t="shared" si="163"/>
        <v>No</v>
      </c>
      <c r="AI1973" s="25"/>
      <c r="AJ1973" s="25"/>
      <c r="AK1973" s="25"/>
      <c r="AL1973" s="25"/>
      <c r="AM1973" s="25"/>
      <c r="AN1973" s="25"/>
      <c r="AO1973" s="25"/>
      <c r="AP1973" s="25"/>
      <c r="AQ1973" s="25"/>
      <c r="AR1973" s="25"/>
      <c r="AS1973" s="25"/>
      <c r="AT1973" s="25"/>
      <c r="AU1973" s="36"/>
      <c r="AV1973" s="36"/>
      <c r="AW1973" s="36"/>
      <c r="AX1973" s="25"/>
      <c r="AY1973" s="25"/>
      <c r="AZ1973" s="25"/>
      <c r="BA1973" s="25"/>
      <c r="BB1973" s="25"/>
      <c r="BC1973" s="25"/>
      <c r="BD1973" s="25"/>
      <c r="BE1973" s="25"/>
      <c r="BF1973" s="25"/>
      <c r="BG1973" s="25"/>
      <c r="BH1973" s="25"/>
      <c r="BI1973" s="25"/>
      <c r="BJ1973" s="25"/>
      <c r="BK1973" s="25"/>
      <c r="BL1973" s="25"/>
      <c r="BM1973" s="25"/>
      <c r="BN1973" s="25"/>
      <c r="BO1973" s="25"/>
      <c r="BP1973" s="25"/>
      <c r="BQ1973" s="25"/>
      <c r="BR1973" s="25"/>
      <c r="BS1973" s="25"/>
      <c r="BT1973" s="25"/>
      <c r="BU1973"/>
      <c r="BV1973"/>
      <c r="BW1973"/>
      <c r="BX1973"/>
      <c r="BY1973"/>
      <c r="BZ1973"/>
      <c r="CA1973"/>
      <c r="CB1973"/>
      <c r="CC1973"/>
      <c r="CD1973" s="25"/>
    </row>
    <row r="1974" spans="1:82" s="17" customFormat="1" x14ac:dyDescent="0.2">
      <c r="A1974" s="25"/>
      <c r="B1974" s="20">
        <v>39003010600</v>
      </c>
      <c r="C1974" s="20">
        <v>106</v>
      </c>
      <c r="D1974" s="20" t="s">
        <v>7</v>
      </c>
      <c r="E1974" s="20" t="s">
        <v>2835</v>
      </c>
      <c r="F1974" s="20" t="s">
        <v>8</v>
      </c>
      <c r="G1974" s="861">
        <v>44.403235371284602</v>
      </c>
      <c r="H1974" s="861">
        <v>46.023548273235001</v>
      </c>
      <c r="I1974" s="861">
        <v>24.235839791224301</v>
      </c>
      <c r="J1974" s="861">
        <v>43.982906885535002</v>
      </c>
      <c r="K1974" s="982">
        <v>0</v>
      </c>
      <c r="L1974" s="735">
        <v>5016</v>
      </c>
      <c r="M1974" s="735">
        <v>4847</v>
      </c>
      <c r="N1974" s="845">
        <f t="shared" si="161"/>
        <v>-3.3692185007974482E-2</v>
      </c>
      <c r="O1974" s="735">
        <v>56.622965346354434</v>
      </c>
      <c r="P1974" s="735">
        <f t="shared" si="162"/>
        <v>85.601309828116683</v>
      </c>
      <c r="Q1974" s="849">
        <v>39.9</v>
      </c>
      <c r="R1974" s="71">
        <v>68370</v>
      </c>
      <c r="S1974" s="845">
        <v>9.2349385032311868E-2</v>
      </c>
      <c r="T1974" s="845">
        <v>3.9E-2</v>
      </c>
      <c r="U1974" s="845">
        <v>1.2E-2</v>
      </c>
      <c r="V1974" s="845">
        <v>8.4000000000000005E-2</v>
      </c>
      <c r="W1974" s="845">
        <v>0.20667384284176535</v>
      </c>
      <c r="X1974" s="845">
        <v>0.29427083333333331</v>
      </c>
      <c r="Y1974" s="845">
        <v>0.9546110996492676</v>
      </c>
      <c r="Z1974" s="845">
        <v>8.8714668867340626E-3</v>
      </c>
      <c r="AA1974" s="845">
        <v>2.0631318341242006E-4</v>
      </c>
      <c r="AB1974" s="845">
        <v>1.8568186507117806E-3</v>
      </c>
      <c r="AC1974" s="845">
        <v>0</v>
      </c>
      <c r="AD1974" s="845">
        <v>1.6917681039818444E-2</v>
      </c>
      <c r="AE1974" s="845">
        <v>1.7536620590055705E-2</v>
      </c>
      <c r="AF1974" s="845">
        <v>9.9030328037961624E-3</v>
      </c>
      <c r="AG1974" s="845">
        <v>0.94904064369713226</v>
      </c>
      <c r="AH1974" s="20" t="str">
        <f t="shared" si="163"/>
        <v>Yes</v>
      </c>
      <c r="AI1974" s="25"/>
      <c r="AJ1974" s="25"/>
      <c r="AK1974" s="25"/>
      <c r="AL1974" s="25"/>
      <c r="AM1974" s="25"/>
      <c r="AN1974" s="25"/>
      <c r="AO1974" s="25"/>
      <c r="AP1974" s="25"/>
      <c r="AQ1974" s="25"/>
      <c r="AR1974" s="25"/>
      <c r="AS1974" s="25"/>
      <c r="AT1974" s="25"/>
      <c r="AU1974" s="36"/>
      <c r="AV1974" s="36"/>
      <c r="AW1974" s="36"/>
      <c r="AX1974" s="25"/>
      <c r="AY1974" s="25"/>
      <c r="AZ1974" s="25"/>
      <c r="BA1974" s="25"/>
      <c r="BB1974" s="25"/>
      <c r="BC1974" s="25"/>
      <c r="BD1974" s="25"/>
      <c r="BE1974" s="25"/>
      <c r="BF1974" s="25"/>
      <c r="BG1974" s="25"/>
      <c r="BH1974" s="25"/>
      <c r="BI1974" s="25"/>
      <c r="BJ1974" s="25"/>
      <c r="BK1974" s="25"/>
      <c r="BL1974" s="25"/>
      <c r="BM1974" s="25"/>
      <c r="BN1974" s="25"/>
      <c r="BO1974" s="25"/>
      <c r="BP1974" s="25"/>
      <c r="BQ1974" s="25"/>
      <c r="BR1974" s="25"/>
      <c r="BS1974" s="25"/>
      <c r="BT1974" s="25"/>
      <c r="BU1974"/>
      <c r="BV1974"/>
      <c r="BW1974"/>
      <c r="BX1974"/>
      <c r="BY1974"/>
      <c r="BZ1974"/>
      <c r="CA1974"/>
      <c r="CB1974"/>
      <c r="CC1974"/>
      <c r="CD1974" s="25"/>
    </row>
    <row r="1975" spans="1:82" s="17" customFormat="1" x14ac:dyDescent="0.2">
      <c r="A1975" s="25"/>
      <c r="B1975" s="20">
        <v>39173021602</v>
      </c>
      <c r="C1975" s="20">
        <v>216.02</v>
      </c>
      <c r="D1975" s="20" t="s">
        <v>92</v>
      </c>
      <c r="E1975" s="20" t="s">
        <v>2839</v>
      </c>
      <c r="F1975" s="20" t="s">
        <v>8</v>
      </c>
      <c r="G1975" s="861">
        <v>44.3916554347852</v>
      </c>
      <c r="H1975" s="861">
        <v>46.046484553054498</v>
      </c>
      <c r="I1975" s="861">
        <v>29.539969146400001</v>
      </c>
      <c r="J1975" s="861">
        <v>31.2741518210739</v>
      </c>
      <c r="K1975" s="982">
        <v>0</v>
      </c>
      <c r="L1975" s="735" t="s">
        <v>2466</v>
      </c>
      <c r="M1975" s="735">
        <v>2626</v>
      </c>
      <c r="N1975" s="845" t="str">
        <f t="shared" si="161"/>
        <v/>
      </c>
      <c r="O1975" s="735">
        <v>6.9898957953131298</v>
      </c>
      <c r="P1975" s="735">
        <f t="shared" si="162"/>
        <v>375.68514279723416</v>
      </c>
      <c r="Q1975" s="849">
        <v>30.1</v>
      </c>
      <c r="R1975" s="71">
        <v>55737</v>
      </c>
      <c r="S1975" s="845">
        <v>0.31037151702786375</v>
      </c>
      <c r="T1975" s="845">
        <v>0.17199999999999999</v>
      </c>
      <c r="U1975" s="845">
        <v>0</v>
      </c>
      <c r="V1975" s="845">
        <v>0</v>
      </c>
      <c r="W1975" s="845">
        <v>0.49444918872758326</v>
      </c>
      <c r="X1975" s="845">
        <v>0.33506044905008636</v>
      </c>
      <c r="Y1975" s="845">
        <v>0.65575019040365579</v>
      </c>
      <c r="Z1975" s="845">
        <v>0.10281797410510282</v>
      </c>
      <c r="AA1975" s="845">
        <v>0</v>
      </c>
      <c r="AB1975" s="845">
        <v>0</v>
      </c>
      <c r="AC1975" s="845">
        <v>0</v>
      </c>
      <c r="AD1975" s="845">
        <v>4.3412033511043412E-2</v>
      </c>
      <c r="AE1975" s="845">
        <v>0.19801980198019803</v>
      </c>
      <c r="AF1975" s="845">
        <v>6.4737242955064736E-2</v>
      </c>
      <c r="AG1975" s="845">
        <v>0.64356435643564358</v>
      </c>
      <c r="AH1975" s="20" t="str">
        <f t="shared" si="163"/>
        <v>No</v>
      </c>
      <c r="AI1975" s="25"/>
      <c r="AJ1975" s="25"/>
      <c r="AK1975" s="25"/>
      <c r="AL1975" s="25"/>
      <c r="AM1975" s="25"/>
      <c r="AN1975" s="25"/>
      <c r="AO1975" s="25"/>
      <c r="AP1975" s="25"/>
      <c r="AQ1975" s="25"/>
      <c r="AR1975" s="25"/>
      <c r="AS1975" s="25"/>
      <c r="AT1975" s="25"/>
      <c r="AU1975" s="36"/>
      <c r="AV1975" s="36"/>
      <c r="AW1975" s="36"/>
      <c r="AX1975" s="25"/>
      <c r="AY1975" s="25"/>
      <c r="AZ1975" s="25"/>
      <c r="BA1975" s="25"/>
      <c r="BB1975" s="25"/>
      <c r="BC1975" s="25"/>
      <c r="BD1975" s="25"/>
      <c r="BE1975" s="25"/>
      <c r="BF1975" s="25"/>
      <c r="BG1975" s="25"/>
      <c r="BH1975" s="25"/>
      <c r="BI1975" s="25"/>
      <c r="BJ1975" s="25"/>
      <c r="BK1975" s="25"/>
      <c r="BL1975" s="25"/>
      <c r="BM1975" s="25"/>
      <c r="BN1975" s="25"/>
      <c r="BO1975" s="25"/>
      <c r="BP1975" s="25"/>
      <c r="BQ1975" s="25"/>
      <c r="BR1975" s="25"/>
      <c r="BS1975" s="25"/>
      <c r="BT1975" s="25"/>
      <c r="BU1975"/>
      <c r="BV1975"/>
      <c r="BW1975"/>
      <c r="BX1975"/>
      <c r="BY1975"/>
      <c r="BZ1975"/>
      <c r="CA1975"/>
      <c r="CB1975"/>
      <c r="CC1975"/>
      <c r="CD1975" s="25"/>
    </row>
    <row r="1976" spans="1:82" s="17" customFormat="1" x14ac:dyDescent="0.2">
      <c r="A1976" s="25"/>
      <c r="B1976" s="20">
        <v>39153533000</v>
      </c>
      <c r="C1976" s="20">
        <v>5330</v>
      </c>
      <c r="D1976" s="20" t="s">
        <v>82</v>
      </c>
      <c r="E1976" s="20" t="s">
        <v>2843</v>
      </c>
      <c r="F1976" s="20" t="s">
        <v>8</v>
      </c>
      <c r="G1976" s="861">
        <v>44.366238496685497</v>
      </c>
      <c r="H1976" s="861">
        <v>46.752226377276699</v>
      </c>
      <c r="I1976" s="861">
        <v>36.912239706272999</v>
      </c>
      <c r="J1976" s="861">
        <v>26.601483648519199</v>
      </c>
      <c r="K1976" s="982">
        <v>0</v>
      </c>
      <c r="L1976" s="735">
        <v>1593</v>
      </c>
      <c r="M1976" s="735">
        <v>1698</v>
      </c>
      <c r="N1976" s="845">
        <f t="shared" si="161"/>
        <v>6.5913370998116755E-2</v>
      </c>
      <c r="O1976" s="735">
        <v>1.6894305356482893</v>
      </c>
      <c r="P1976" s="735">
        <f t="shared" si="162"/>
        <v>1005.0723981666534</v>
      </c>
      <c r="Q1976" s="849">
        <v>47.9</v>
      </c>
      <c r="R1976" s="71">
        <v>65481</v>
      </c>
      <c r="S1976" s="845">
        <v>0.10083036773428232</v>
      </c>
      <c r="T1976" s="845">
        <v>4.2000000000000003E-2</v>
      </c>
      <c r="U1976" s="845">
        <v>0</v>
      </c>
      <c r="V1976" s="845">
        <v>0</v>
      </c>
      <c r="W1976" s="845">
        <v>6.7096774193548384E-2</v>
      </c>
      <c r="X1976" s="845">
        <v>0.61538461538461542</v>
      </c>
      <c r="Y1976" s="845">
        <v>0.94405182567726742</v>
      </c>
      <c r="Z1976" s="845">
        <v>2.9446407538280331E-2</v>
      </c>
      <c r="AA1976" s="845">
        <v>0</v>
      </c>
      <c r="AB1976" s="845">
        <v>0</v>
      </c>
      <c r="AC1976" s="845">
        <v>0</v>
      </c>
      <c r="AD1976" s="845">
        <v>1.1189634864546525E-2</v>
      </c>
      <c r="AE1976" s="845">
        <v>1.5312131919905771E-2</v>
      </c>
      <c r="AF1976" s="845">
        <v>3.0035335689045935E-2</v>
      </c>
      <c r="AG1976" s="845">
        <v>0.93168433451118959</v>
      </c>
      <c r="AH1976" s="20" t="str">
        <f t="shared" si="163"/>
        <v>Yes</v>
      </c>
      <c r="AI1976" s="25"/>
      <c r="AJ1976" s="25"/>
      <c r="AK1976" s="25"/>
      <c r="AL1976" s="25"/>
      <c r="AM1976" s="25"/>
      <c r="AN1976" s="25"/>
      <c r="AO1976" s="25"/>
      <c r="AP1976" s="25"/>
      <c r="AQ1976" s="25"/>
      <c r="AR1976" s="25"/>
      <c r="AS1976" s="25"/>
      <c r="AT1976" s="25"/>
      <c r="AU1976" s="36"/>
      <c r="AV1976" s="36"/>
      <c r="AW1976" s="36"/>
      <c r="AX1976" s="25"/>
      <c r="AY1976" s="25"/>
      <c r="AZ1976" s="25"/>
      <c r="BA1976" s="25"/>
      <c r="BB1976" s="25"/>
      <c r="BC1976" s="25"/>
      <c r="BD1976" s="25"/>
      <c r="BE1976" s="25"/>
      <c r="BF1976" s="25"/>
      <c r="BG1976" s="25"/>
      <c r="BH1976" s="25"/>
      <c r="BI1976" s="25"/>
      <c r="BJ1976" s="25"/>
      <c r="BK1976" s="25"/>
      <c r="BL1976" s="25"/>
      <c r="BM1976" s="25"/>
      <c r="BN1976" s="25"/>
      <c r="BO1976" s="25"/>
      <c r="BP1976" s="25"/>
      <c r="BQ1976" s="25"/>
      <c r="BR1976" s="25"/>
      <c r="BS1976" s="25"/>
      <c r="BT1976" s="25"/>
      <c r="BU1976"/>
      <c r="BV1976"/>
      <c r="BW1976"/>
      <c r="BX1976"/>
      <c r="BY1976"/>
      <c r="BZ1976"/>
      <c r="CA1976"/>
      <c r="CB1976"/>
      <c r="CC1976"/>
      <c r="CD1976" s="25"/>
    </row>
    <row r="1977" spans="1:82" s="17" customFormat="1" x14ac:dyDescent="0.2">
      <c r="A1977" s="25"/>
      <c r="B1977" s="20">
        <v>39049005410</v>
      </c>
      <c r="C1977" s="20">
        <v>54.1</v>
      </c>
      <c r="D1977" s="20" t="s">
        <v>31</v>
      </c>
      <c r="E1977" s="20" t="s">
        <v>2830</v>
      </c>
      <c r="F1977" s="20" t="s">
        <v>6</v>
      </c>
      <c r="G1977" s="861">
        <v>44.356579964148601</v>
      </c>
      <c r="H1977" s="861">
        <v>55.494134213006497</v>
      </c>
      <c r="I1977" s="861">
        <v>71.310790503166601</v>
      </c>
      <c r="J1977" s="861">
        <v>60.008963685618902</v>
      </c>
      <c r="K1977" s="982">
        <v>0</v>
      </c>
      <c r="L1977" s="735">
        <v>1437</v>
      </c>
      <c r="M1977" s="735">
        <v>1623</v>
      </c>
      <c r="N1977" s="845">
        <f t="shared" si="161"/>
        <v>0.12943632567849686</v>
      </c>
      <c r="O1977" s="735">
        <v>0.38619752582570738</v>
      </c>
      <c r="P1977" s="735">
        <f t="shared" si="162"/>
        <v>4202.5126818975714</v>
      </c>
      <c r="Q1977" s="849">
        <v>33</v>
      </c>
      <c r="R1977" s="71">
        <v>42083</v>
      </c>
      <c r="S1977" s="845">
        <v>0.27849661121380159</v>
      </c>
      <c r="T1977" s="845">
        <v>5.2999999999999999E-2</v>
      </c>
      <c r="U1977" s="845">
        <v>0</v>
      </c>
      <c r="V1977" s="845">
        <v>5.2999999999999999E-2</v>
      </c>
      <c r="W1977" s="845">
        <v>0.61239193083573484</v>
      </c>
      <c r="X1977" s="845">
        <v>0.56705882352941173</v>
      </c>
      <c r="Y1977" s="845">
        <v>0.16204559457794207</v>
      </c>
      <c r="Z1977" s="845">
        <v>0.74430067775723963</v>
      </c>
      <c r="AA1977" s="845">
        <v>0</v>
      </c>
      <c r="AB1977" s="845">
        <v>0</v>
      </c>
      <c r="AC1977" s="845">
        <v>0</v>
      </c>
      <c r="AD1977" s="845">
        <v>0</v>
      </c>
      <c r="AE1977" s="845">
        <v>9.3653727664818234E-2</v>
      </c>
      <c r="AF1977" s="845">
        <v>4.004929143561306E-2</v>
      </c>
      <c r="AG1977" s="845">
        <v>0.15465187923598275</v>
      </c>
      <c r="AH1977" s="20" t="str">
        <f t="shared" si="163"/>
        <v>No</v>
      </c>
      <c r="AI1977" s="25"/>
      <c r="AJ1977" s="25"/>
      <c r="AK1977" s="25"/>
      <c r="AL1977" s="25"/>
      <c r="AM1977" s="25"/>
      <c r="AN1977" s="25"/>
      <c r="AO1977" s="25"/>
      <c r="AP1977" s="25"/>
      <c r="AQ1977" s="25"/>
      <c r="AR1977" s="25"/>
      <c r="AS1977" s="25"/>
      <c r="AT1977" s="25"/>
      <c r="AU1977" s="36"/>
      <c r="AV1977" s="36"/>
      <c r="AW1977" s="36"/>
      <c r="AX1977" s="25"/>
      <c r="AY1977" s="25"/>
      <c r="AZ1977" s="25"/>
      <c r="BA1977" s="25"/>
      <c r="BB1977" s="25"/>
      <c r="BC1977" s="25"/>
      <c r="BD1977" s="25"/>
      <c r="BE1977" s="25"/>
      <c r="BF1977" s="25"/>
      <c r="BG1977" s="25"/>
      <c r="BH1977" s="25"/>
      <c r="BI1977" s="25"/>
      <c r="BJ1977" s="25"/>
      <c r="BK1977" s="25"/>
      <c r="BL1977" s="25"/>
      <c r="BM1977" s="25"/>
      <c r="BN1977" s="25"/>
      <c r="BO1977" s="25"/>
      <c r="BP1977" s="25"/>
      <c r="BQ1977" s="25"/>
      <c r="BR1977" s="25"/>
      <c r="BS1977" s="25"/>
      <c r="BT1977" s="25"/>
      <c r="BU1977"/>
      <c r="BV1977"/>
      <c r="BW1977"/>
      <c r="BX1977"/>
      <c r="BY1977"/>
      <c r="BZ1977"/>
      <c r="CA1977"/>
      <c r="CB1977"/>
      <c r="CC1977"/>
      <c r="CD1977" s="25"/>
    </row>
    <row r="1978" spans="1:82" s="17" customFormat="1" x14ac:dyDescent="0.2">
      <c r="A1978" s="25"/>
      <c r="B1978" s="20">
        <v>39133602101</v>
      </c>
      <c r="C1978" s="20">
        <v>6021.01</v>
      </c>
      <c r="D1978" s="20" t="s">
        <v>72</v>
      </c>
      <c r="E1978" s="20" t="s">
        <v>2843</v>
      </c>
      <c r="F1978" s="20" t="s">
        <v>8</v>
      </c>
      <c r="G1978" s="861">
        <v>44.356299569254602</v>
      </c>
      <c r="H1978" s="861">
        <v>53.689204253697298</v>
      </c>
      <c r="I1978" s="861">
        <v>20.3878558058267</v>
      </c>
      <c r="J1978" s="861">
        <v>49.139079019163802</v>
      </c>
      <c r="K1978" s="982">
        <v>0</v>
      </c>
      <c r="L1978" s="735" t="s">
        <v>2466</v>
      </c>
      <c r="M1978" s="735">
        <v>3660</v>
      </c>
      <c r="N1978" s="845" t="str">
        <f t="shared" si="161"/>
        <v/>
      </c>
      <c r="O1978" s="735">
        <v>11.175712694681058</v>
      </c>
      <c r="P1978" s="735">
        <f t="shared" si="162"/>
        <v>327.49589220756644</v>
      </c>
      <c r="Q1978" s="849">
        <v>49.8</v>
      </c>
      <c r="R1978" s="71">
        <v>71306</v>
      </c>
      <c r="S1978" s="845">
        <v>2.8961748633879781E-2</v>
      </c>
      <c r="T1978" s="845">
        <v>1.2E-2</v>
      </c>
      <c r="U1978" s="845">
        <v>0</v>
      </c>
      <c r="V1978" s="845">
        <v>0</v>
      </c>
      <c r="W1978" s="845">
        <v>6.9885641677255403E-2</v>
      </c>
      <c r="X1978" s="845">
        <v>0.16363636363636364</v>
      </c>
      <c r="Y1978" s="845">
        <v>0.92377049180327864</v>
      </c>
      <c r="Z1978" s="845">
        <v>4.6448087431693987E-3</v>
      </c>
      <c r="AA1978" s="845">
        <v>0</v>
      </c>
      <c r="AB1978" s="845">
        <v>0</v>
      </c>
      <c r="AC1978" s="845">
        <v>0</v>
      </c>
      <c r="AD1978" s="845">
        <v>0</v>
      </c>
      <c r="AE1978" s="845">
        <v>7.1584699453551906E-2</v>
      </c>
      <c r="AF1978" s="845">
        <v>3.8251366120218579E-3</v>
      </c>
      <c r="AG1978" s="845">
        <v>0.92377049180327864</v>
      </c>
      <c r="AH1978" s="20" t="str">
        <f t="shared" si="163"/>
        <v>Yes</v>
      </c>
      <c r="AI1978" s="25"/>
      <c r="AJ1978" s="25"/>
      <c r="AK1978" s="25"/>
      <c r="AL1978" s="25"/>
      <c r="AM1978" s="25"/>
      <c r="AN1978" s="25"/>
      <c r="AO1978" s="25"/>
      <c r="AP1978" s="25"/>
      <c r="AQ1978" s="25"/>
      <c r="AR1978" s="25"/>
      <c r="AS1978" s="25"/>
      <c r="AT1978" s="25"/>
      <c r="AU1978" s="36"/>
      <c r="AV1978" s="36"/>
      <c r="AW1978" s="36"/>
      <c r="AX1978" s="25"/>
      <c r="AY1978" s="25"/>
      <c r="AZ1978" s="25"/>
      <c r="BA1978" s="25"/>
      <c r="BB1978" s="25"/>
      <c r="BC1978" s="25"/>
      <c r="BD1978" s="25"/>
      <c r="BE1978" s="25"/>
      <c r="BF1978" s="25"/>
      <c r="BG1978" s="25"/>
      <c r="BH1978" s="25"/>
      <c r="BI1978" s="25"/>
      <c r="BJ1978" s="25"/>
      <c r="BK1978" s="25"/>
      <c r="BL1978" s="25"/>
      <c r="BM1978" s="25"/>
      <c r="BN1978" s="25"/>
      <c r="BO1978" s="25"/>
      <c r="BP1978" s="25"/>
      <c r="BQ1978" s="25"/>
      <c r="BR1978" s="25"/>
      <c r="BS1978" s="25"/>
      <c r="BT1978" s="25"/>
      <c r="BU1978"/>
      <c r="BV1978"/>
      <c r="BW1978"/>
      <c r="BX1978"/>
      <c r="BY1978"/>
      <c r="BZ1978"/>
      <c r="CA1978"/>
      <c r="CB1978"/>
      <c r="CC1978"/>
      <c r="CD1978" s="25"/>
    </row>
    <row r="1979" spans="1:82" s="17" customFormat="1" x14ac:dyDescent="0.2">
      <c r="A1979" s="25"/>
      <c r="B1979" s="20">
        <v>39047926300</v>
      </c>
      <c r="C1979" s="20">
        <v>9263</v>
      </c>
      <c r="D1979" s="20" t="s">
        <v>30</v>
      </c>
      <c r="E1979" s="20" t="s">
        <v>265</v>
      </c>
      <c r="F1979" s="20" t="s">
        <v>8</v>
      </c>
      <c r="G1979" s="861">
        <v>44.353857514474001</v>
      </c>
      <c r="H1979" s="861">
        <v>50.001963050679898</v>
      </c>
      <c r="I1979" s="861">
        <v>28.7837947693261</v>
      </c>
      <c r="J1979" s="861">
        <v>47.950752999929101</v>
      </c>
      <c r="K1979" s="982">
        <v>0</v>
      </c>
      <c r="L1979" s="735">
        <v>3415</v>
      </c>
      <c r="M1979" s="735">
        <v>3585</v>
      </c>
      <c r="N1979" s="845">
        <f t="shared" si="161"/>
        <v>4.9780380673499269E-2</v>
      </c>
      <c r="O1979" s="735">
        <v>6.3891710298237623</v>
      </c>
      <c r="P1979" s="735">
        <f t="shared" si="162"/>
        <v>561.10565568924642</v>
      </c>
      <c r="Q1979" s="849">
        <v>38.700000000000003</v>
      </c>
      <c r="R1979" s="71">
        <v>70948</v>
      </c>
      <c r="S1979" s="845">
        <v>0.14609929078014183</v>
      </c>
      <c r="T1979" s="845">
        <v>3.1E-2</v>
      </c>
      <c r="U1979" s="845">
        <v>0</v>
      </c>
      <c r="V1979" s="845">
        <v>0</v>
      </c>
      <c r="W1979" s="845">
        <v>0.26104690686607751</v>
      </c>
      <c r="X1979" s="845">
        <v>0.42708333333333331</v>
      </c>
      <c r="Y1979" s="845">
        <v>0.92775453277545328</v>
      </c>
      <c r="Z1979" s="845">
        <v>4.8256624825662481E-2</v>
      </c>
      <c r="AA1979" s="845">
        <v>0</v>
      </c>
      <c r="AB1979" s="845">
        <v>6.4156206415620642E-3</v>
      </c>
      <c r="AC1979" s="845">
        <v>0</v>
      </c>
      <c r="AD1979" s="845">
        <v>0</v>
      </c>
      <c r="AE1979" s="845">
        <v>1.7573221757322177E-2</v>
      </c>
      <c r="AF1979" s="845">
        <v>1.2273361227336122E-2</v>
      </c>
      <c r="AG1979" s="845">
        <v>0.92468619246861927</v>
      </c>
      <c r="AH1979" s="20" t="str">
        <f t="shared" si="163"/>
        <v>Yes</v>
      </c>
      <c r="AI1979" s="25"/>
      <c r="AJ1979" s="25"/>
      <c r="AK1979" s="25"/>
      <c r="AL1979" s="25"/>
      <c r="AM1979" s="25"/>
      <c r="AN1979" s="25"/>
      <c r="AO1979" s="25"/>
      <c r="AP1979" s="25"/>
      <c r="AQ1979" s="25"/>
      <c r="AR1979" s="25"/>
      <c r="AS1979" s="25"/>
      <c r="AT1979" s="25"/>
      <c r="AU1979" s="36"/>
      <c r="AV1979" s="36"/>
      <c r="AW1979" s="36"/>
      <c r="AX1979" s="25"/>
      <c r="AY1979" s="25"/>
      <c r="AZ1979" s="25"/>
      <c r="BA1979" s="25"/>
      <c r="BB1979" s="25"/>
      <c r="BC1979" s="25"/>
      <c r="BD1979" s="25"/>
      <c r="BE1979" s="25"/>
      <c r="BF1979" s="25"/>
      <c r="BG1979" s="25"/>
      <c r="BH1979" s="25"/>
      <c r="BI1979" s="25"/>
      <c r="BJ1979" s="25"/>
      <c r="BK1979" s="25"/>
      <c r="BL1979" s="25"/>
      <c r="BM1979" s="25"/>
      <c r="BN1979" s="25"/>
      <c r="BO1979" s="25"/>
      <c r="BP1979" s="25"/>
      <c r="BQ1979" s="25"/>
      <c r="BR1979" s="25"/>
      <c r="BS1979" s="25"/>
      <c r="BT1979" s="25"/>
      <c r="BU1979"/>
      <c r="BV1979"/>
      <c r="BW1979"/>
      <c r="BX1979"/>
      <c r="BY1979"/>
      <c r="BZ1979"/>
      <c r="CA1979"/>
      <c r="CB1979"/>
      <c r="CC1979"/>
      <c r="CD1979" s="25"/>
    </row>
    <row r="1980" spans="1:82" s="17" customFormat="1" x14ac:dyDescent="0.2">
      <c r="A1980" s="25"/>
      <c r="B1980" s="20">
        <v>39007000603</v>
      </c>
      <c r="C1980" s="20">
        <v>6.03</v>
      </c>
      <c r="D1980" s="20" t="s">
        <v>10</v>
      </c>
      <c r="E1980" s="20" t="s">
        <v>2829</v>
      </c>
      <c r="F1980" s="20" t="s">
        <v>8</v>
      </c>
      <c r="G1980" s="861">
        <v>44.3351372674516</v>
      </c>
      <c r="H1980" s="861">
        <v>56.425737920192603</v>
      </c>
      <c r="I1980" s="861">
        <v>35.522198279085501</v>
      </c>
      <c r="J1980" s="861">
        <v>46.329578441843097</v>
      </c>
      <c r="K1980" s="982">
        <v>0</v>
      </c>
      <c r="L1980" s="735">
        <v>4204</v>
      </c>
      <c r="M1980" s="735">
        <v>3854</v>
      </c>
      <c r="N1980" s="845">
        <f t="shared" si="161"/>
        <v>-8.3254043767840152E-2</v>
      </c>
      <c r="O1980" s="735">
        <v>13.757758138897403</v>
      </c>
      <c r="P1980" s="735">
        <f t="shared" si="162"/>
        <v>280.13285021369575</v>
      </c>
      <c r="Q1980" s="849">
        <v>45.5</v>
      </c>
      <c r="R1980" s="71">
        <v>68689</v>
      </c>
      <c r="S1980" s="845">
        <v>0.16974564926372154</v>
      </c>
      <c r="T1980" s="845">
        <v>5.2000000000000005E-2</v>
      </c>
      <c r="U1980" s="845">
        <v>0</v>
      </c>
      <c r="V1980" s="845">
        <v>0</v>
      </c>
      <c r="W1980" s="845">
        <v>0.14525891055817081</v>
      </c>
      <c r="X1980" s="845">
        <v>0.55555555555555558</v>
      </c>
      <c r="Y1980" s="845">
        <v>0.8326414115204982</v>
      </c>
      <c r="Z1980" s="845">
        <v>2.6984950700570835E-2</v>
      </c>
      <c r="AA1980" s="845">
        <v>0</v>
      </c>
      <c r="AB1980" s="845">
        <v>0</v>
      </c>
      <c r="AC1980" s="845">
        <v>0</v>
      </c>
      <c r="AD1980" s="845">
        <v>2.3352361183186301E-2</v>
      </c>
      <c r="AE1980" s="845">
        <v>0.11702127659574468</v>
      </c>
      <c r="AF1980" s="845">
        <v>0.1554229372080955</v>
      </c>
      <c r="AG1980" s="845">
        <v>0.74987026466009343</v>
      </c>
      <c r="AH1980" s="20" t="str">
        <f t="shared" si="163"/>
        <v>No</v>
      </c>
      <c r="AI1980" s="25"/>
      <c r="AJ1980" s="25"/>
      <c r="AK1980" s="25"/>
      <c r="AL1980" s="25"/>
      <c r="AM1980" s="25"/>
      <c r="AN1980" s="25"/>
      <c r="AO1980" s="25"/>
      <c r="AP1980" s="25"/>
      <c r="AQ1980" s="25"/>
      <c r="AR1980" s="25"/>
      <c r="AS1980" s="25"/>
      <c r="AT1980" s="25"/>
      <c r="AU1980" s="36"/>
      <c r="AV1980" s="36"/>
      <c r="AW1980" s="36"/>
      <c r="AX1980" s="25"/>
      <c r="AY1980" s="25"/>
      <c r="AZ1980" s="25"/>
      <c r="BA1980" s="25"/>
      <c r="BB1980" s="25"/>
      <c r="BC1980" s="25"/>
      <c r="BD1980" s="25"/>
      <c r="BE1980" s="25"/>
      <c r="BF1980" s="25"/>
      <c r="BG1980" s="25"/>
      <c r="BH1980" s="25"/>
      <c r="BI1980" s="25"/>
      <c r="BJ1980" s="25"/>
      <c r="BK1980" s="25"/>
      <c r="BL1980" s="25"/>
      <c r="BM1980" s="25"/>
      <c r="BN1980" s="25"/>
      <c r="BO1980" s="25"/>
      <c r="BP1980" s="25"/>
      <c r="BQ1980" s="25"/>
      <c r="BR1980" s="25"/>
      <c r="BS1980" s="25"/>
      <c r="BT1980" s="25"/>
      <c r="BU1980"/>
      <c r="BV1980"/>
      <c r="BW1980"/>
      <c r="BX1980"/>
      <c r="BY1980"/>
      <c r="BZ1980"/>
      <c r="CA1980"/>
      <c r="CB1980"/>
      <c r="CC1980"/>
      <c r="CD1980" s="25"/>
    </row>
    <row r="1981" spans="1:82" s="17" customFormat="1" x14ac:dyDescent="0.2">
      <c r="A1981" s="25"/>
      <c r="B1981" s="20">
        <v>39035154604</v>
      </c>
      <c r="C1981" s="20">
        <v>1546.04</v>
      </c>
      <c r="D1981" s="20" t="s">
        <v>24</v>
      </c>
      <c r="E1981" s="20" t="s">
        <v>2829</v>
      </c>
      <c r="F1981" s="20" t="s">
        <v>8</v>
      </c>
      <c r="G1981" s="861">
        <v>44.303915152745802</v>
      </c>
      <c r="H1981" s="861">
        <v>64.749922602589393</v>
      </c>
      <c r="I1981" s="861">
        <v>25.6471748885876</v>
      </c>
      <c r="J1981" s="861">
        <v>48.288594377415798</v>
      </c>
      <c r="K1981" s="982">
        <v>0</v>
      </c>
      <c r="L1981" s="735">
        <v>3655</v>
      </c>
      <c r="M1981" s="735">
        <v>3924</v>
      </c>
      <c r="N1981" s="845">
        <f t="shared" si="161"/>
        <v>7.3597811217510259E-2</v>
      </c>
      <c r="O1981" s="735">
        <v>0.55344578396539434</v>
      </c>
      <c r="P1981" s="735">
        <f t="shared" si="162"/>
        <v>7090.1253811798097</v>
      </c>
      <c r="Q1981" s="849">
        <v>34.6</v>
      </c>
      <c r="R1981" s="71">
        <v>75411</v>
      </c>
      <c r="S1981" s="845">
        <v>0.18596938775510205</v>
      </c>
      <c r="T1981" s="845">
        <v>2.7999999999999997E-2</v>
      </c>
      <c r="U1981" s="845">
        <v>9.0000000000000011E-3</v>
      </c>
      <c r="V1981" s="845">
        <v>0</v>
      </c>
      <c r="W1981" s="845">
        <v>0.25764785859959211</v>
      </c>
      <c r="X1981" s="845">
        <v>0.44327176781002636</v>
      </c>
      <c r="Y1981" s="845">
        <v>0.42023445463812437</v>
      </c>
      <c r="Z1981" s="845">
        <v>0.50560652395514782</v>
      </c>
      <c r="AA1981" s="845">
        <v>0</v>
      </c>
      <c r="AB1981" s="845">
        <v>4.0774719673802246E-3</v>
      </c>
      <c r="AC1981" s="845">
        <v>0</v>
      </c>
      <c r="AD1981" s="845">
        <v>0</v>
      </c>
      <c r="AE1981" s="845">
        <v>7.0081549439347607E-2</v>
      </c>
      <c r="AF1981" s="845">
        <v>6.8552497451580027E-2</v>
      </c>
      <c r="AG1981" s="845">
        <v>0.39653414882772681</v>
      </c>
      <c r="AH1981" s="20" t="str">
        <f t="shared" si="163"/>
        <v>No</v>
      </c>
      <c r="AI1981" s="25"/>
      <c r="AJ1981" s="25"/>
      <c r="AK1981" s="25"/>
      <c r="AL1981" s="25"/>
      <c r="AM1981" s="25"/>
      <c r="AN1981" s="25"/>
      <c r="AO1981" s="25"/>
      <c r="AP1981" s="25"/>
      <c r="AQ1981" s="25"/>
      <c r="AR1981" s="25"/>
      <c r="AS1981" s="25"/>
      <c r="AT1981" s="25"/>
      <c r="AU1981" s="36"/>
      <c r="AV1981" s="36"/>
      <c r="AW1981" s="36"/>
      <c r="AX1981" s="25"/>
      <c r="AY1981" s="25"/>
      <c r="AZ1981" s="25"/>
      <c r="BA1981" s="25"/>
      <c r="BB1981" s="25"/>
      <c r="BC1981" s="25"/>
      <c r="BD1981" s="25"/>
      <c r="BE1981" s="25"/>
      <c r="BF1981" s="25"/>
      <c r="BG1981" s="25"/>
      <c r="BH1981" s="25"/>
      <c r="BI1981" s="25"/>
      <c r="BJ1981" s="25"/>
      <c r="BK1981" s="25"/>
      <c r="BL1981" s="25"/>
      <c r="BM1981" s="25"/>
      <c r="BN1981" s="25"/>
      <c r="BO1981" s="25"/>
      <c r="BP1981" s="25"/>
      <c r="BQ1981" s="25"/>
      <c r="BR1981" s="25"/>
      <c r="BS1981" s="25"/>
      <c r="BT1981" s="25"/>
      <c r="BU1981"/>
      <c r="BV1981"/>
      <c r="BW1981"/>
      <c r="BX1981"/>
      <c r="BY1981"/>
      <c r="BZ1981"/>
      <c r="CA1981"/>
      <c r="CB1981"/>
      <c r="CC1981"/>
      <c r="CD1981" s="25"/>
    </row>
    <row r="1982" spans="1:82" s="17" customFormat="1" x14ac:dyDescent="0.2">
      <c r="A1982" s="25"/>
      <c r="B1982" s="20">
        <v>39139000500</v>
      </c>
      <c r="C1982" s="20">
        <v>5</v>
      </c>
      <c r="D1982" s="20" t="s">
        <v>75</v>
      </c>
      <c r="E1982" s="20" t="s">
        <v>2836</v>
      </c>
      <c r="F1982" s="20" t="s">
        <v>6</v>
      </c>
      <c r="G1982" s="861">
        <v>44.282465392884497</v>
      </c>
      <c r="H1982" s="861">
        <v>43.513252849271602</v>
      </c>
      <c r="I1982" s="861">
        <v>59.844815922295297</v>
      </c>
      <c r="J1982" s="861">
        <v>40.708471646705199</v>
      </c>
      <c r="K1982" s="982">
        <v>0</v>
      </c>
      <c r="L1982" s="735">
        <v>3649</v>
      </c>
      <c r="M1982" s="735">
        <v>3364</v>
      </c>
      <c r="N1982" s="845">
        <f t="shared" si="161"/>
        <v>-7.8103590024664285E-2</v>
      </c>
      <c r="O1982" s="735">
        <v>0.70253102436057135</v>
      </c>
      <c r="P1982" s="735">
        <f t="shared" si="162"/>
        <v>4788.4006305085823</v>
      </c>
      <c r="Q1982" s="849">
        <v>37.700000000000003</v>
      </c>
      <c r="R1982" s="71">
        <v>31078</v>
      </c>
      <c r="S1982" s="845">
        <v>0.36908420405654579</v>
      </c>
      <c r="T1982" s="845">
        <v>8.199999999999999E-2</v>
      </c>
      <c r="U1982" s="845">
        <v>0.20199999999999999</v>
      </c>
      <c r="V1982" s="845">
        <v>0</v>
      </c>
      <c r="W1982" s="845">
        <v>0.55976095617529875</v>
      </c>
      <c r="X1982" s="845">
        <v>0.49347568208778175</v>
      </c>
      <c r="Y1982" s="845">
        <v>0.74643281807372175</v>
      </c>
      <c r="Z1982" s="845">
        <v>0.10969084423305589</v>
      </c>
      <c r="AA1982" s="845">
        <v>4.7562425683709865E-3</v>
      </c>
      <c r="AB1982" s="845">
        <v>4.1617122473246136E-3</v>
      </c>
      <c r="AC1982" s="845">
        <v>0</v>
      </c>
      <c r="AD1982" s="845">
        <v>6.5992865636147438E-2</v>
      </c>
      <c r="AE1982" s="845">
        <v>6.8965517241379309E-2</v>
      </c>
      <c r="AF1982" s="845">
        <v>1.3674197384066587E-2</v>
      </c>
      <c r="AG1982" s="845">
        <v>0.74643281807372175</v>
      </c>
      <c r="AH1982" s="20" t="str">
        <f t="shared" si="163"/>
        <v>No</v>
      </c>
      <c r="AI1982" s="25"/>
      <c r="AJ1982" s="25"/>
      <c r="AK1982" s="25"/>
      <c r="AL1982" s="25"/>
      <c r="AM1982" s="25"/>
      <c r="AN1982" s="25"/>
      <c r="AO1982" s="25"/>
      <c r="AP1982" s="25"/>
      <c r="AQ1982" s="25"/>
      <c r="AR1982" s="25"/>
      <c r="AS1982" s="25"/>
      <c r="AT1982" s="25"/>
      <c r="AU1982" s="36"/>
      <c r="AV1982" s="36"/>
      <c r="AW1982" s="36"/>
      <c r="AX1982" s="25"/>
      <c r="AY1982" s="25"/>
      <c r="AZ1982" s="25"/>
      <c r="BA1982" s="25"/>
      <c r="BB1982" s="25"/>
      <c r="BC1982" s="25"/>
      <c r="BD1982" s="25"/>
      <c r="BE1982" s="25"/>
      <c r="BF1982" s="25"/>
      <c r="BG1982" s="25"/>
      <c r="BH1982" s="25"/>
      <c r="BI1982" s="25"/>
      <c r="BJ1982" s="25"/>
      <c r="BK1982" s="25"/>
      <c r="BL1982" s="25"/>
      <c r="BM1982" s="25"/>
      <c r="BN1982" s="25"/>
      <c r="BO1982" s="25"/>
      <c r="BP1982" s="25"/>
      <c r="BQ1982" s="25"/>
      <c r="BR1982" s="25"/>
      <c r="BS1982" s="25"/>
      <c r="BT1982" s="25"/>
      <c r="BU1982"/>
      <c r="BV1982"/>
      <c r="BW1982"/>
      <c r="BX1982"/>
      <c r="BY1982"/>
      <c r="BZ1982"/>
      <c r="CA1982"/>
      <c r="CB1982"/>
      <c r="CC1982"/>
      <c r="CD1982" s="25"/>
    </row>
    <row r="1983" spans="1:82" s="17" customFormat="1" x14ac:dyDescent="0.2">
      <c r="A1983" s="25"/>
      <c r="B1983" s="20">
        <v>39023003302</v>
      </c>
      <c r="C1983" s="20">
        <v>33.020000000000003</v>
      </c>
      <c r="D1983" s="20" t="s">
        <v>18</v>
      </c>
      <c r="E1983" s="20" t="s">
        <v>2838</v>
      </c>
      <c r="F1983" s="20" t="s">
        <v>8</v>
      </c>
      <c r="G1983" s="861">
        <v>44.2657536001919</v>
      </c>
      <c r="H1983" s="861">
        <v>52.666793098510901</v>
      </c>
      <c r="I1983" s="861">
        <v>24.177127261751298</v>
      </c>
      <c r="J1983" s="861">
        <v>51.142886723728303</v>
      </c>
      <c r="K1983" s="982">
        <v>0</v>
      </c>
      <c r="L1983" s="735">
        <v>2519</v>
      </c>
      <c r="M1983" s="735">
        <v>2525</v>
      </c>
      <c r="N1983" s="845">
        <f t="shared" si="161"/>
        <v>2.3818975784041284E-3</v>
      </c>
      <c r="O1983" s="735">
        <v>41.029256694155251</v>
      </c>
      <c r="P1983" s="735">
        <f t="shared" si="162"/>
        <v>61.541451233741078</v>
      </c>
      <c r="Q1983" s="849">
        <v>44.9</v>
      </c>
      <c r="R1983" s="71">
        <v>59557</v>
      </c>
      <c r="S1983" s="845">
        <v>0.14115781126090404</v>
      </c>
      <c r="T1983" s="845">
        <v>3.2000000000000001E-2</v>
      </c>
      <c r="U1983" s="845">
        <v>0</v>
      </c>
      <c r="V1983" s="845">
        <v>4.4000000000000004E-2</v>
      </c>
      <c r="W1983" s="845">
        <v>0.33276010318142735</v>
      </c>
      <c r="X1983" s="845">
        <v>0.27648578811369506</v>
      </c>
      <c r="Y1983" s="845">
        <v>0.92316831683168321</v>
      </c>
      <c r="Z1983" s="845">
        <v>1.0297029702970298E-2</v>
      </c>
      <c r="AA1983" s="845">
        <v>7.9207920792079213E-4</v>
      </c>
      <c r="AB1983" s="845">
        <v>0</v>
      </c>
      <c r="AC1983" s="845">
        <v>0</v>
      </c>
      <c r="AD1983" s="845">
        <v>2.0594059405940595E-2</v>
      </c>
      <c r="AE1983" s="845">
        <v>4.5148514851485147E-2</v>
      </c>
      <c r="AF1983" s="845">
        <v>4.5544554455445543E-2</v>
      </c>
      <c r="AG1983" s="845">
        <v>0.90930693069306934</v>
      </c>
      <c r="AH1983" s="20" t="str">
        <f t="shared" si="163"/>
        <v>Yes</v>
      </c>
      <c r="AI1983" s="25"/>
      <c r="AJ1983" s="25"/>
      <c r="AK1983" s="25"/>
      <c r="AL1983" s="25"/>
      <c r="AM1983" s="25"/>
      <c r="AN1983" s="25"/>
      <c r="AO1983" s="25"/>
      <c r="AP1983" s="25"/>
      <c r="AQ1983" s="25"/>
      <c r="AR1983" s="25"/>
      <c r="AS1983" s="25"/>
      <c r="AT1983" s="25"/>
      <c r="AU1983" s="36"/>
      <c r="AV1983" s="36"/>
      <c r="AW1983" s="36"/>
      <c r="AX1983" s="25"/>
      <c r="AY1983" s="25"/>
      <c r="AZ1983" s="25"/>
      <c r="BA1983" s="25"/>
      <c r="BB1983" s="25"/>
      <c r="BC1983" s="25"/>
      <c r="BD1983" s="25"/>
      <c r="BE1983" s="25"/>
      <c r="BF1983" s="25"/>
      <c r="BG1983" s="25"/>
      <c r="BH1983" s="25"/>
      <c r="BI1983" s="25"/>
      <c r="BJ1983" s="25"/>
      <c r="BK1983" s="25"/>
      <c r="BL1983" s="25"/>
      <c r="BM1983" s="25"/>
      <c r="BN1983" s="25"/>
      <c r="BO1983" s="25"/>
      <c r="BP1983" s="25"/>
      <c r="BQ1983" s="25"/>
      <c r="BR1983" s="25"/>
      <c r="BS1983" s="25"/>
      <c r="BT1983" s="25"/>
      <c r="BU1983"/>
      <c r="BV1983"/>
      <c r="BW1983"/>
      <c r="BX1983"/>
      <c r="BY1983"/>
      <c r="BZ1983"/>
      <c r="CA1983"/>
      <c r="CB1983"/>
      <c r="CC1983"/>
      <c r="CD1983" s="25"/>
    </row>
    <row r="1984" spans="1:82" s="17" customFormat="1" x14ac:dyDescent="0.2">
      <c r="A1984" s="25"/>
      <c r="B1984" s="20">
        <v>39139001200</v>
      </c>
      <c r="C1984" s="20">
        <v>12</v>
      </c>
      <c r="D1984" s="20" t="s">
        <v>75</v>
      </c>
      <c r="E1984" s="20" t="s">
        <v>2836</v>
      </c>
      <c r="F1984" s="20" t="s">
        <v>8</v>
      </c>
      <c r="G1984" s="861">
        <v>44.263639893219398</v>
      </c>
      <c r="H1984" s="861">
        <v>54.044070344144799</v>
      </c>
      <c r="I1984" s="861">
        <v>28.6074304074913</v>
      </c>
      <c r="J1984" s="861">
        <v>46.929642243542403</v>
      </c>
      <c r="K1984" s="982">
        <v>0</v>
      </c>
      <c r="L1984" s="735">
        <v>3966</v>
      </c>
      <c r="M1984" s="735">
        <v>4404</v>
      </c>
      <c r="N1984" s="845">
        <f t="shared" si="161"/>
        <v>0.11043872919818457</v>
      </c>
      <c r="O1984" s="735">
        <v>3.369633229706217</v>
      </c>
      <c r="P1984" s="735">
        <f t="shared" si="162"/>
        <v>1306.9671681698026</v>
      </c>
      <c r="Q1984" s="849">
        <v>42.9</v>
      </c>
      <c r="R1984" s="71">
        <v>67662</v>
      </c>
      <c r="S1984" s="845">
        <v>5.2831082681828949E-2</v>
      </c>
      <c r="T1984" s="845">
        <v>5.4000000000000006E-2</v>
      </c>
      <c r="U1984" s="845">
        <v>0</v>
      </c>
      <c r="V1984" s="845">
        <v>0</v>
      </c>
      <c r="W1984" s="845">
        <v>0.3849016480595428</v>
      </c>
      <c r="X1984" s="845">
        <v>0.40469613259668508</v>
      </c>
      <c r="Y1984" s="845">
        <v>0.8571752951861944</v>
      </c>
      <c r="Z1984" s="845">
        <v>7.5158946412352406E-2</v>
      </c>
      <c r="AA1984" s="845">
        <v>0</v>
      </c>
      <c r="AB1984" s="845">
        <v>0</v>
      </c>
      <c r="AC1984" s="845">
        <v>0</v>
      </c>
      <c r="AD1984" s="845">
        <v>1.067211625794732E-2</v>
      </c>
      <c r="AE1984" s="845">
        <v>5.6993642143505906E-2</v>
      </c>
      <c r="AF1984" s="845">
        <v>3.4514078110808359E-2</v>
      </c>
      <c r="AG1984" s="845">
        <v>0.84831970935513168</v>
      </c>
      <c r="AH1984" s="20" t="str">
        <f t="shared" si="163"/>
        <v>No</v>
      </c>
      <c r="AI1984" s="25"/>
      <c r="AJ1984" s="25"/>
      <c r="AK1984" s="25"/>
      <c r="AL1984" s="25"/>
      <c r="AM1984" s="25"/>
      <c r="AN1984" s="25"/>
      <c r="AO1984" s="25"/>
      <c r="AP1984" s="25"/>
      <c r="AQ1984" s="25"/>
      <c r="AR1984" s="25"/>
      <c r="AS1984" s="25"/>
      <c r="AT1984" s="25"/>
      <c r="AU1984" s="36"/>
      <c r="AV1984" s="36"/>
      <c r="AW1984" s="36"/>
      <c r="AX1984" s="25"/>
      <c r="AY1984" s="25"/>
      <c r="AZ1984" s="25"/>
      <c r="BA1984" s="25"/>
      <c r="BB1984" s="25"/>
      <c r="BC1984" s="25"/>
      <c r="BD1984" s="25"/>
      <c r="BE1984" s="25"/>
      <c r="BF1984" s="25"/>
      <c r="BG1984" s="25"/>
      <c r="BH1984" s="25"/>
      <c r="BI1984" s="25"/>
      <c r="BJ1984" s="25"/>
      <c r="BK1984" s="25"/>
      <c r="BL1984" s="25"/>
      <c r="BM1984" s="25"/>
      <c r="BN1984" s="25"/>
      <c r="BO1984" s="25"/>
      <c r="BP1984" s="25"/>
      <c r="BQ1984" s="25"/>
      <c r="BR1984" s="25"/>
      <c r="BS1984" s="25"/>
      <c r="BT1984" s="25"/>
      <c r="BU1984"/>
      <c r="BV1984"/>
      <c r="BW1984"/>
      <c r="BX1984"/>
      <c r="BY1984"/>
      <c r="BZ1984"/>
      <c r="CA1984"/>
      <c r="CB1984"/>
      <c r="CC1984"/>
      <c r="CD1984" s="25"/>
    </row>
    <row r="1985" spans="1:82" s="17" customFormat="1" x14ac:dyDescent="0.2">
      <c r="A1985" s="25"/>
      <c r="B1985" s="20">
        <v>39035133104</v>
      </c>
      <c r="C1985" s="20">
        <v>1331.04</v>
      </c>
      <c r="D1985" s="20" t="s">
        <v>24</v>
      </c>
      <c r="E1985" s="20" t="s">
        <v>2829</v>
      </c>
      <c r="F1985" s="20" t="s">
        <v>6</v>
      </c>
      <c r="G1985" s="861">
        <v>44.262795109513</v>
      </c>
      <c r="H1985" s="861">
        <v>45.8526908641552</v>
      </c>
      <c r="I1985" s="861">
        <v>49.594226889890301</v>
      </c>
      <c r="J1985" s="861">
        <v>46.488190077654203</v>
      </c>
      <c r="K1985" s="982">
        <v>0</v>
      </c>
      <c r="L1985" s="735">
        <v>2619</v>
      </c>
      <c r="M1985" s="735">
        <v>3207</v>
      </c>
      <c r="N1985" s="845">
        <f t="shared" si="161"/>
        <v>0.22451317296678122</v>
      </c>
      <c r="O1985" s="735">
        <v>1.519569138099248</v>
      </c>
      <c r="P1985" s="735">
        <f t="shared" si="162"/>
        <v>2110.4666576813174</v>
      </c>
      <c r="Q1985" s="849">
        <v>40.200000000000003</v>
      </c>
      <c r="R1985" s="71">
        <v>38416</v>
      </c>
      <c r="S1985" s="845">
        <v>0.25182366000634315</v>
      </c>
      <c r="T1985" s="845">
        <v>9.0999999999999998E-2</v>
      </c>
      <c r="U1985" s="845">
        <v>0</v>
      </c>
      <c r="V1985" s="845">
        <v>2.6000000000000002E-2</v>
      </c>
      <c r="W1985" s="845">
        <v>0.81602530311017396</v>
      </c>
      <c r="X1985" s="845">
        <v>0.51033591731266148</v>
      </c>
      <c r="Y1985" s="845">
        <v>0.18521983161833488</v>
      </c>
      <c r="Z1985" s="845">
        <v>0.77736202057998127</v>
      </c>
      <c r="AA1985" s="845">
        <v>0</v>
      </c>
      <c r="AB1985" s="845">
        <v>0</v>
      </c>
      <c r="AC1985" s="845">
        <v>0</v>
      </c>
      <c r="AD1985" s="845">
        <v>1.9956345494231368E-2</v>
      </c>
      <c r="AE1985" s="845">
        <v>1.7461802307452447E-2</v>
      </c>
      <c r="AF1985" s="845">
        <v>2.9310882444652322E-2</v>
      </c>
      <c r="AG1985" s="845">
        <v>0.18521983161833488</v>
      </c>
      <c r="AH1985" s="20" t="str">
        <f t="shared" si="163"/>
        <v>No</v>
      </c>
      <c r="AI1985" s="25"/>
      <c r="AJ1985" s="25"/>
      <c r="AK1985" s="25"/>
      <c r="AL1985" s="25"/>
      <c r="AM1985" s="25"/>
      <c r="AN1985" s="25"/>
      <c r="AO1985" s="25"/>
      <c r="AP1985" s="25"/>
      <c r="AQ1985" s="25"/>
      <c r="AR1985" s="25"/>
      <c r="AS1985" s="25"/>
      <c r="AT1985" s="25"/>
      <c r="AU1985" s="36"/>
      <c r="AV1985" s="36"/>
      <c r="AW1985" s="36"/>
      <c r="AX1985" s="25"/>
      <c r="AY1985" s="25"/>
      <c r="AZ1985" s="25"/>
      <c r="BA1985" s="25"/>
      <c r="BB1985" s="25"/>
      <c r="BC1985" s="25"/>
      <c r="BD1985" s="25"/>
      <c r="BE1985" s="25"/>
      <c r="BF1985" s="25"/>
      <c r="BG1985" s="25"/>
      <c r="BH1985" s="25"/>
      <c r="BI1985" s="25"/>
      <c r="BJ1985" s="25"/>
      <c r="BK1985" s="25"/>
      <c r="BL1985" s="25"/>
      <c r="BM1985" s="25"/>
      <c r="BN1985" s="25"/>
      <c r="BO1985" s="25"/>
      <c r="BP1985" s="25"/>
      <c r="BQ1985" s="25"/>
      <c r="BR1985" s="25"/>
      <c r="BS1985" s="25"/>
      <c r="BT1985" s="25"/>
      <c r="BU1985"/>
      <c r="BV1985"/>
      <c r="BW1985"/>
      <c r="BX1985"/>
      <c r="BY1985"/>
      <c r="BZ1985"/>
      <c r="CA1985"/>
      <c r="CB1985"/>
      <c r="CC1985"/>
      <c r="CD1985" s="25"/>
    </row>
    <row r="1986" spans="1:82" s="17" customFormat="1" x14ac:dyDescent="0.2">
      <c r="A1986" s="25"/>
      <c r="B1986" s="20">
        <v>39049002750</v>
      </c>
      <c r="C1986" s="20">
        <v>27.5</v>
      </c>
      <c r="D1986" s="20" t="s">
        <v>31</v>
      </c>
      <c r="E1986" s="20" t="s">
        <v>2830</v>
      </c>
      <c r="F1986" s="20" t="s">
        <v>6</v>
      </c>
      <c r="G1986" s="861">
        <v>44.260997988355797</v>
      </c>
      <c r="H1986" s="861">
        <v>46.361066563519799</v>
      </c>
      <c r="I1986" s="861">
        <v>63.951088427324798</v>
      </c>
      <c r="J1986" s="861">
        <v>50.242348750047498</v>
      </c>
      <c r="K1986" s="982">
        <v>0</v>
      </c>
      <c r="L1986" s="735">
        <v>2373</v>
      </c>
      <c r="M1986" s="735">
        <v>2723</v>
      </c>
      <c r="N1986" s="845">
        <f t="shared" si="161"/>
        <v>0.14749262536873156</v>
      </c>
      <c r="O1986" s="735">
        <v>0.3611788781532283</v>
      </c>
      <c r="P1986" s="735">
        <f t="shared" si="162"/>
        <v>7539.2005588011743</v>
      </c>
      <c r="Q1986" s="849">
        <v>21.9</v>
      </c>
      <c r="R1986" s="71">
        <v>34297</v>
      </c>
      <c r="S1986" s="845">
        <v>0.38589364844903989</v>
      </c>
      <c r="T1986" s="845">
        <v>0.14899999999999999</v>
      </c>
      <c r="U1986" s="845">
        <v>0</v>
      </c>
      <c r="V1986" s="845">
        <v>3.9E-2</v>
      </c>
      <c r="W1986" s="845">
        <v>0.68762475049900196</v>
      </c>
      <c r="X1986" s="845">
        <v>0.55297532656023218</v>
      </c>
      <c r="Y1986" s="845">
        <v>0.16672787366874769</v>
      </c>
      <c r="Z1986" s="845">
        <v>0.59419757620271763</v>
      </c>
      <c r="AA1986" s="845">
        <v>0</v>
      </c>
      <c r="AB1986" s="845">
        <v>9.1810503121557106E-3</v>
      </c>
      <c r="AC1986" s="845">
        <v>0</v>
      </c>
      <c r="AD1986" s="845">
        <v>9.0341535071612189E-2</v>
      </c>
      <c r="AE1986" s="845">
        <v>0.1395519647447668</v>
      </c>
      <c r="AF1986" s="845">
        <v>0.14910025706940874</v>
      </c>
      <c r="AG1986" s="845">
        <v>0.1641571795813441</v>
      </c>
      <c r="AH1986" s="20" t="str">
        <f t="shared" si="163"/>
        <v>No</v>
      </c>
      <c r="AI1986" s="25"/>
      <c r="AJ1986" s="25"/>
      <c r="AK1986" s="25"/>
      <c r="AL1986" s="25"/>
      <c r="AM1986" s="25"/>
      <c r="AN1986" s="25"/>
      <c r="AO1986" s="25"/>
      <c r="AP1986" s="25"/>
      <c r="AQ1986" s="25"/>
      <c r="AR1986" s="25"/>
      <c r="AS1986" s="25"/>
      <c r="AT1986" s="25"/>
      <c r="AU1986" s="36"/>
      <c r="AV1986" s="36"/>
      <c r="AW1986" s="36"/>
      <c r="AX1986" s="25"/>
      <c r="AY1986" s="25"/>
      <c r="AZ1986" s="25"/>
      <c r="BA1986" s="25"/>
      <c r="BB1986" s="25"/>
      <c r="BC1986" s="25"/>
      <c r="BD1986" s="25"/>
      <c r="BE1986" s="25"/>
      <c r="BF1986" s="25"/>
      <c r="BG1986" s="25"/>
      <c r="BH1986" s="25"/>
      <c r="BI1986" s="25"/>
      <c r="BJ1986" s="25"/>
      <c r="BK1986" s="25"/>
      <c r="BL1986" s="25"/>
      <c r="BM1986" s="25"/>
      <c r="BN1986" s="25"/>
      <c r="BO1986" s="25"/>
      <c r="BP1986" s="25"/>
      <c r="BQ1986" s="25"/>
      <c r="BR1986" s="25"/>
      <c r="BS1986" s="25"/>
      <c r="BT1986" s="25"/>
      <c r="BU1986"/>
      <c r="BV1986"/>
      <c r="BW1986"/>
      <c r="BX1986"/>
      <c r="BY1986"/>
      <c r="BZ1986"/>
      <c r="CA1986"/>
      <c r="CB1986"/>
      <c r="CC1986"/>
      <c r="CD1986" s="25"/>
    </row>
    <row r="1987" spans="1:82" s="17" customFormat="1" x14ac:dyDescent="0.2">
      <c r="A1987" s="25"/>
      <c r="B1987" s="20">
        <v>39169003400</v>
      </c>
      <c r="C1987" s="20">
        <v>34</v>
      </c>
      <c r="D1987" s="20" t="s">
        <v>90</v>
      </c>
      <c r="E1987" s="20" t="s">
        <v>265</v>
      </c>
      <c r="F1987" s="20" t="s">
        <v>8</v>
      </c>
      <c r="G1987" s="861">
        <v>44.255961749917198</v>
      </c>
      <c r="H1987" s="861">
        <v>37.433496845895597</v>
      </c>
      <c r="I1987" s="861">
        <v>34.8376532492751</v>
      </c>
      <c r="J1987" s="861">
        <v>35.294663445830203</v>
      </c>
      <c r="K1987" s="982">
        <v>0</v>
      </c>
      <c r="L1987" s="735">
        <v>3384</v>
      </c>
      <c r="M1987" s="735">
        <v>2767</v>
      </c>
      <c r="N1987" s="845">
        <f t="shared" si="161"/>
        <v>-0.18232860520094563</v>
      </c>
      <c r="O1987" s="735">
        <v>5.9062081949094356</v>
      </c>
      <c r="P1987" s="735">
        <f t="shared" si="162"/>
        <v>468.49008851142077</v>
      </c>
      <c r="Q1987" s="849">
        <v>32.5</v>
      </c>
      <c r="R1987" s="71">
        <v>56633</v>
      </c>
      <c r="S1987" s="845">
        <v>7.8177102630603929E-2</v>
      </c>
      <c r="T1987" s="845">
        <v>0.121</v>
      </c>
      <c r="U1987" s="845">
        <v>2.6000000000000002E-2</v>
      </c>
      <c r="V1987" s="845">
        <v>7.9000000000000001E-2</v>
      </c>
      <c r="W1987" s="845">
        <v>0.3266199649737303</v>
      </c>
      <c r="X1987" s="845">
        <v>0.4128686327077748</v>
      </c>
      <c r="Y1987" s="845">
        <v>0.97506324539212141</v>
      </c>
      <c r="Z1987" s="845">
        <v>0</v>
      </c>
      <c r="AA1987" s="845">
        <v>4.6982291290205997E-3</v>
      </c>
      <c r="AB1987" s="845">
        <v>0</v>
      </c>
      <c r="AC1987" s="845">
        <v>0</v>
      </c>
      <c r="AD1987" s="845">
        <v>0</v>
      </c>
      <c r="AE1987" s="845">
        <v>2.0238525478857967E-2</v>
      </c>
      <c r="AF1987" s="845">
        <v>3.9754246476328154E-3</v>
      </c>
      <c r="AG1987" s="845">
        <v>0.97108782074448863</v>
      </c>
      <c r="AH1987" s="20" t="str">
        <f t="shared" si="163"/>
        <v>Yes</v>
      </c>
      <c r="AI1987" s="25"/>
      <c r="AJ1987" s="25"/>
      <c r="AK1987" s="25"/>
      <c r="AL1987" s="25"/>
      <c r="AM1987" s="25"/>
      <c r="AN1987" s="25"/>
      <c r="AO1987" s="25"/>
      <c r="AP1987" s="25"/>
      <c r="AQ1987" s="25"/>
      <c r="AR1987" s="25"/>
      <c r="AS1987" s="25"/>
      <c r="AT1987" s="25"/>
      <c r="AU1987" s="36"/>
      <c r="AV1987" s="36"/>
      <c r="AW1987" s="36"/>
      <c r="AX1987" s="25"/>
      <c r="AY1987" s="25"/>
      <c r="AZ1987" s="25"/>
      <c r="BA1987" s="25"/>
      <c r="BB1987" s="25"/>
      <c r="BC1987" s="25"/>
      <c r="BD1987" s="25"/>
      <c r="BE1987" s="25"/>
      <c r="BF1987" s="25"/>
      <c r="BG1987" s="25"/>
      <c r="BH1987" s="25"/>
      <c r="BI1987" s="25"/>
      <c r="BJ1987" s="25"/>
      <c r="BK1987" s="25"/>
      <c r="BL1987" s="25"/>
      <c r="BM1987" s="25"/>
      <c r="BN1987" s="25"/>
      <c r="BO1987" s="25"/>
      <c r="BP1987" s="25"/>
      <c r="BQ1987" s="25"/>
      <c r="BR1987" s="25"/>
      <c r="BS1987" s="25"/>
      <c r="BT1987" s="25"/>
      <c r="BU1987"/>
      <c r="BV1987"/>
      <c r="BW1987"/>
      <c r="BX1987"/>
      <c r="BY1987"/>
      <c r="BZ1987"/>
      <c r="CA1987"/>
      <c r="CB1987"/>
      <c r="CC1987"/>
      <c r="CD1987" s="25"/>
    </row>
    <row r="1988" spans="1:82" s="17" customFormat="1" x14ac:dyDescent="0.2">
      <c r="A1988" s="25"/>
      <c r="B1988" s="20">
        <v>39035117203</v>
      </c>
      <c r="C1988" s="20">
        <v>1172.03</v>
      </c>
      <c r="D1988" s="20" t="s">
        <v>24</v>
      </c>
      <c r="E1988" s="20" t="s">
        <v>2829</v>
      </c>
      <c r="F1988" s="20" t="s">
        <v>6</v>
      </c>
      <c r="G1988" s="861">
        <v>44.2514260624353</v>
      </c>
      <c r="H1988" s="861">
        <v>49.1092988572506</v>
      </c>
      <c r="I1988" s="861">
        <v>68.165428391788595</v>
      </c>
      <c r="J1988" s="861">
        <v>51.663398022441299</v>
      </c>
      <c r="K1988" s="982">
        <v>0</v>
      </c>
      <c r="L1988" s="735" t="s">
        <v>2466</v>
      </c>
      <c r="M1988" s="735">
        <v>1957</v>
      </c>
      <c r="N1988" s="845" t="str">
        <f t="shared" si="161"/>
        <v/>
      </c>
      <c r="O1988" s="735">
        <v>0.21059054205465061</v>
      </c>
      <c r="P1988" s="735">
        <f t="shared" si="162"/>
        <v>9292.9149662007931</v>
      </c>
      <c r="Q1988" s="849">
        <v>32.299999999999997</v>
      </c>
      <c r="R1988" s="71">
        <v>38508</v>
      </c>
      <c r="S1988" s="845">
        <v>0.30721649484536084</v>
      </c>
      <c r="T1988" s="845">
        <v>0.114</v>
      </c>
      <c r="U1988" s="845">
        <v>0</v>
      </c>
      <c r="V1988" s="845">
        <v>3.7999999999999999E-2</v>
      </c>
      <c r="W1988" s="845">
        <v>0.69434416365824303</v>
      </c>
      <c r="X1988" s="845">
        <v>0.52166377816291165</v>
      </c>
      <c r="Y1988" s="845">
        <v>0.16811446090955545</v>
      </c>
      <c r="Z1988" s="845">
        <v>0.75728155339805825</v>
      </c>
      <c r="AA1988" s="845">
        <v>0</v>
      </c>
      <c r="AB1988" s="845">
        <v>2.6060296371997957E-2</v>
      </c>
      <c r="AC1988" s="845">
        <v>0</v>
      </c>
      <c r="AD1988" s="845">
        <v>3.0659172202350538E-3</v>
      </c>
      <c r="AE1988" s="845">
        <v>4.5477772100153295E-2</v>
      </c>
      <c r="AF1988" s="845">
        <v>3.7812979049565661E-2</v>
      </c>
      <c r="AG1988" s="845">
        <v>0.14205416453755748</v>
      </c>
      <c r="AH1988" s="20" t="str">
        <f t="shared" si="163"/>
        <v>No</v>
      </c>
      <c r="AI1988" s="25"/>
      <c r="AJ1988" s="25"/>
      <c r="AK1988" s="25"/>
      <c r="AL1988" s="25"/>
      <c r="AM1988" s="25"/>
      <c r="AN1988" s="25"/>
      <c r="AO1988" s="25"/>
      <c r="AP1988" s="25"/>
      <c r="AQ1988" s="25"/>
      <c r="AR1988" s="25"/>
      <c r="AS1988" s="25"/>
      <c r="AT1988" s="25"/>
      <c r="AU1988" s="36"/>
      <c r="AV1988" s="36"/>
      <c r="AW1988" s="36"/>
      <c r="AX1988" s="25"/>
      <c r="AY1988" s="25"/>
      <c r="AZ1988" s="25"/>
      <c r="BA1988" s="25"/>
      <c r="BB1988" s="25"/>
      <c r="BC1988" s="25"/>
      <c r="BD1988" s="25"/>
      <c r="BE1988" s="25"/>
      <c r="BF1988" s="25"/>
      <c r="BG1988" s="25"/>
      <c r="BH1988" s="25"/>
      <c r="BI1988" s="25"/>
      <c r="BJ1988" s="25"/>
      <c r="BK1988" s="25"/>
      <c r="BL1988" s="25"/>
      <c r="BM1988" s="25"/>
      <c r="BN1988" s="25"/>
      <c r="BO1988" s="25"/>
      <c r="BP1988" s="25"/>
      <c r="BQ1988" s="25"/>
      <c r="BR1988" s="25"/>
      <c r="BS1988" s="25"/>
      <c r="BT1988" s="25"/>
      <c r="BU1988"/>
      <c r="BV1988"/>
      <c r="BW1988"/>
      <c r="BX1988"/>
      <c r="BY1988"/>
      <c r="BZ1988"/>
      <c r="CA1988"/>
      <c r="CB1988"/>
      <c r="CC1988"/>
      <c r="CD1988" s="25"/>
    </row>
    <row r="1989" spans="1:82" s="17" customFormat="1" x14ac:dyDescent="0.2">
      <c r="A1989" s="25"/>
      <c r="B1989" s="20">
        <v>39147963400</v>
      </c>
      <c r="C1989" s="20">
        <v>9634</v>
      </c>
      <c r="D1989" s="20" t="s">
        <v>79</v>
      </c>
      <c r="E1989" s="20" t="s">
        <v>265</v>
      </c>
      <c r="F1989" s="20" t="s">
        <v>8</v>
      </c>
      <c r="G1989" s="861">
        <v>44.247116127631898</v>
      </c>
      <c r="H1989" s="861">
        <v>40.021222064978801</v>
      </c>
      <c r="I1989" s="861">
        <v>33.279107018604499</v>
      </c>
      <c r="J1989" s="861">
        <v>38.5297802819899</v>
      </c>
      <c r="K1989" s="982">
        <v>0</v>
      </c>
      <c r="L1989" s="735">
        <v>4317</v>
      </c>
      <c r="M1989" s="735">
        <v>4283</v>
      </c>
      <c r="N1989" s="845">
        <f t="shared" si="161"/>
        <v>-7.875839703497799E-3</v>
      </c>
      <c r="O1989" s="735">
        <v>17.792489402586487</v>
      </c>
      <c r="P1989" s="735">
        <f t="shared" si="162"/>
        <v>240.71954761863634</v>
      </c>
      <c r="Q1989" s="849">
        <v>48.1</v>
      </c>
      <c r="R1989" s="71">
        <v>61104</v>
      </c>
      <c r="S1989" s="845">
        <v>0.16445224367009276</v>
      </c>
      <c r="T1989" s="845">
        <v>7.8E-2</v>
      </c>
      <c r="U1989" s="845">
        <v>0</v>
      </c>
      <c r="V1989" s="845">
        <v>0.05</v>
      </c>
      <c r="W1989" s="845">
        <v>0.32283029297954668</v>
      </c>
      <c r="X1989" s="845">
        <v>0.48972602739726029</v>
      </c>
      <c r="Y1989" s="845">
        <v>0.86528134485173946</v>
      </c>
      <c r="Z1989" s="845">
        <v>4.4828391314499186E-2</v>
      </c>
      <c r="AA1989" s="845">
        <v>1.2841466261965912E-2</v>
      </c>
      <c r="AB1989" s="845">
        <v>1.4008872285780996E-3</v>
      </c>
      <c r="AC1989" s="845">
        <v>0</v>
      </c>
      <c r="AD1989" s="845">
        <v>3.9925286014475835E-2</v>
      </c>
      <c r="AE1989" s="845">
        <v>3.5722624328741535E-2</v>
      </c>
      <c r="AF1989" s="845">
        <v>6.070511323838431E-2</v>
      </c>
      <c r="AG1989" s="845">
        <v>0.85710950268503383</v>
      </c>
      <c r="AH1989" s="20" t="str">
        <f t="shared" si="163"/>
        <v>No</v>
      </c>
      <c r="AI1989" s="25"/>
      <c r="AJ1989" s="25"/>
      <c r="AK1989" s="25"/>
      <c r="AL1989" s="25"/>
      <c r="AM1989" s="25"/>
      <c r="AN1989" s="25"/>
      <c r="AO1989" s="25"/>
      <c r="AP1989" s="25"/>
      <c r="AQ1989" s="25"/>
      <c r="AR1989" s="25"/>
      <c r="AS1989" s="25"/>
      <c r="AT1989" s="25"/>
      <c r="AU1989" s="36"/>
      <c r="AV1989" s="36"/>
      <c r="AW1989" s="36"/>
      <c r="AX1989" s="25"/>
      <c r="AY1989" s="25"/>
      <c r="AZ1989" s="25"/>
      <c r="BA1989" s="25"/>
      <c r="BB1989" s="25"/>
      <c r="BC1989" s="25"/>
      <c r="BD1989" s="25"/>
      <c r="BE1989" s="25"/>
      <c r="BF1989" s="25"/>
      <c r="BG1989" s="25"/>
      <c r="BH1989" s="25"/>
      <c r="BI1989" s="25"/>
      <c r="BJ1989" s="25"/>
      <c r="BK1989" s="25"/>
      <c r="BL1989" s="25"/>
      <c r="BM1989" s="25"/>
      <c r="BN1989" s="25"/>
      <c r="BO1989" s="25"/>
      <c r="BP1989" s="25"/>
      <c r="BQ1989" s="25"/>
      <c r="BR1989" s="25"/>
      <c r="BS1989" s="25"/>
      <c r="BT1989" s="25"/>
      <c r="BU1989"/>
      <c r="BV1989"/>
      <c r="BW1989"/>
      <c r="BX1989"/>
      <c r="BY1989"/>
      <c r="BZ1989"/>
      <c r="CA1989"/>
      <c r="CB1989"/>
      <c r="CC1989"/>
      <c r="CD1989" s="25"/>
    </row>
    <row r="1990" spans="1:82" s="17" customFormat="1" x14ac:dyDescent="0.2">
      <c r="A1990" s="25"/>
      <c r="B1990" s="20">
        <v>39023003002</v>
      </c>
      <c r="C1990" s="20">
        <v>30.02</v>
      </c>
      <c r="D1990" s="20" t="s">
        <v>18</v>
      </c>
      <c r="E1990" s="20" t="s">
        <v>2838</v>
      </c>
      <c r="F1990" s="20" t="s">
        <v>8</v>
      </c>
      <c r="G1990" s="861">
        <v>44.240140522520697</v>
      </c>
      <c r="H1990" s="861">
        <v>49.956531239011703</v>
      </c>
      <c r="I1990" s="861">
        <v>17.2745086316197</v>
      </c>
      <c r="J1990" s="861">
        <v>38.6763878520958</v>
      </c>
      <c r="K1990" s="982">
        <v>0</v>
      </c>
      <c r="L1990" s="735">
        <v>3411</v>
      </c>
      <c r="M1990" s="735">
        <v>3400</v>
      </c>
      <c r="N1990" s="845">
        <f t="shared" si="161"/>
        <v>-3.2248607446496626E-3</v>
      </c>
      <c r="O1990" s="735">
        <v>17.708478206102654</v>
      </c>
      <c r="P1990" s="735">
        <f t="shared" si="162"/>
        <v>191.99842925115382</v>
      </c>
      <c r="Q1990" s="849">
        <v>51.2</v>
      </c>
      <c r="R1990" s="71">
        <v>75234</v>
      </c>
      <c r="S1990" s="845">
        <v>6.0750446694460988E-2</v>
      </c>
      <c r="T1990" s="845">
        <v>3.3000000000000002E-2</v>
      </c>
      <c r="U1990" s="845">
        <v>0</v>
      </c>
      <c r="V1990" s="845">
        <v>0.25</v>
      </c>
      <c r="W1990" s="845">
        <v>5.6524773203070484E-2</v>
      </c>
      <c r="X1990" s="845">
        <v>0.37037037037037035</v>
      </c>
      <c r="Y1990" s="845">
        <v>0.93941176470588239</v>
      </c>
      <c r="Z1990" s="845">
        <v>0</v>
      </c>
      <c r="AA1990" s="845">
        <v>3.2352941176470589E-3</v>
      </c>
      <c r="AB1990" s="845">
        <v>0</v>
      </c>
      <c r="AC1990" s="845">
        <v>0</v>
      </c>
      <c r="AD1990" s="845">
        <v>0</v>
      </c>
      <c r="AE1990" s="845">
        <v>5.7352941176470586E-2</v>
      </c>
      <c r="AF1990" s="845">
        <v>1.6764705882352942E-2</v>
      </c>
      <c r="AG1990" s="845">
        <v>0.93500000000000005</v>
      </c>
      <c r="AH1990" s="20" t="str">
        <f t="shared" si="163"/>
        <v>Yes</v>
      </c>
      <c r="AI1990" s="25"/>
      <c r="AJ1990" s="25"/>
      <c r="AK1990" s="25"/>
      <c r="AL1990" s="25"/>
      <c r="AM1990" s="25"/>
      <c r="AN1990" s="25"/>
      <c r="AO1990" s="25"/>
      <c r="AP1990" s="25"/>
      <c r="AQ1990" s="25"/>
      <c r="AR1990" s="25"/>
      <c r="AS1990" s="25"/>
      <c r="AT1990" s="25"/>
      <c r="AU1990" s="36"/>
      <c r="AV1990" s="36"/>
      <c r="AW1990" s="36"/>
      <c r="AX1990" s="25"/>
      <c r="AY1990" s="25"/>
      <c r="AZ1990" s="25"/>
      <c r="BA1990" s="25"/>
      <c r="BB1990" s="25"/>
      <c r="BC1990" s="25"/>
      <c r="BD1990" s="25"/>
      <c r="BE1990" s="25"/>
      <c r="BF1990" s="25"/>
      <c r="BG1990" s="25"/>
      <c r="BH1990" s="25"/>
      <c r="BI1990" s="25"/>
      <c r="BJ1990" s="25"/>
      <c r="BK1990" s="25"/>
      <c r="BL1990" s="25"/>
      <c r="BM1990" s="25"/>
      <c r="BN1990" s="25"/>
      <c r="BO1990" s="25"/>
      <c r="BP1990" s="25"/>
      <c r="BQ1990" s="25"/>
      <c r="BR1990" s="25"/>
      <c r="BS1990" s="25"/>
      <c r="BT1990" s="25"/>
      <c r="BU1990"/>
      <c r="BV1990"/>
      <c r="BW1990"/>
      <c r="BX1990"/>
      <c r="BY1990"/>
      <c r="BZ1990"/>
      <c r="CA1990"/>
      <c r="CB1990"/>
      <c r="CC1990"/>
      <c r="CD1990" s="25"/>
    </row>
    <row r="1991" spans="1:82" s="17" customFormat="1" x14ac:dyDescent="0.2">
      <c r="A1991" s="25"/>
      <c r="B1991" s="20">
        <v>39017010301</v>
      </c>
      <c r="C1991" s="20">
        <v>103.01</v>
      </c>
      <c r="D1991" s="20" t="s">
        <v>15</v>
      </c>
      <c r="E1991" s="20" t="s">
        <v>2828</v>
      </c>
      <c r="F1991" s="20" t="s">
        <v>8</v>
      </c>
      <c r="G1991" s="861">
        <v>44.239987641428897</v>
      </c>
      <c r="H1991" s="861">
        <v>54.851173436145899</v>
      </c>
      <c r="I1991" s="861">
        <v>24.938398005960899</v>
      </c>
      <c r="J1991" s="861">
        <v>41.088966018671201</v>
      </c>
      <c r="K1991" s="982">
        <v>0</v>
      </c>
      <c r="L1991" s="735">
        <v>4490</v>
      </c>
      <c r="M1991" s="735">
        <v>4712</v>
      </c>
      <c r="N1991" s="845">
        <f t="shared" si="161"/>
        <v>4.9443207126948774E-2</v>
      </c>
      <c r="O1991" s="735">
        <v>36.659366748984809</v>
      </c>
      <c r="P1991" s="735">
        <f t="shared" si="162"/>
        <v>128.53468070695703</v>
      </c>
      <c r="Q1991" s="849">
        <v>48.2</v>
      </c>
      <c r="R1991" s="71">
        <v>86250</v>
      </c>
      <c r="S1991" s="845">
        <v>4.6264855687606112E-2</v>
      </c>
      <c r="T1991" s="845">
        <v>2.8999999999999998E-2</v>
      </c>
      <c r="U1991" s="845">
        <v>0</v>
      </c>
      <c r="V1991" s="845">
        <v>0</v>
      </c>
      <c r="W1991" s="845">
        <v>0.10927505330490406</v>
      </c>
      <c r="X1991" s="845">
        <v>0.2780487804878049</v>
      </c>
      <c r="Y1991" s="845">
        <v>0.97686757215619691</v>
      </c>
      <c r="Z1991" s="845">
        <v>0</v>
      </c>
      <c r="AA1991" s="845">
        <v>0</v>
      </c>
      <c r="AB1991" s="845">
        <v>1.4855687606112054E-3</v>
      </c>
      <c r="AC1991" s="845">
        <v>0</v>
      </c>
      <c r="AD1991" s="845">
        <v>0</v>
      </c>
      <c r="AE1991" s="845">
        <v>2.164685908319185E-2</v>
      </c>
      <c r="AF1991" s="845">
        <v>2.1222410865874362E-2</v>
      </c>
      <c r="AG1991" s="845">
        <v>0.95564516129032262</v>
      </c>
      <c r="AH1991" s="20" t="str">
        <f t="shared" si="163"/>
        <v>Yes</v>
      </c>
      <c r="AI1991" s="25"/>
      <c r="AJ1991" s="25"/>
      <c r="AK1991" s="25"/>
      <c r="AL1991" s="25"/>
      <c r="AM1991" s="25"/>
      <c r="AN1991" s="25"/>
      <c r="AO1991" s="25"/>
      <c r="AP1991" s="25"/>
      <c r="AQ1991" s="25"/>
      <c r="AR1991" s="25"/>
      <c r="AS1991" s="25"/>
      <c r="AT1991" s="25"/>
      <c r="AU1991" s="36"/>
      <c r="AV1991" s="36"/>
      <c r="AW1991" s="36"/>
      <c r="AX1991" s="25"/>
      <c r="AY1991" s="25"/>
      <c r="AZ1991" s="25"/>
      <c r="BA1991" s="25"/>
      <c r="BB1991" s="25"/>
      <c r="BC1991" s="25"/>
      <c r="BD1991" s="25"/>
      <c r="BE1991" s="25"/>
      <c r="BF1991" s="25"/>
      <c r="BG1991" s="25"/>
      <c r="BH1991" s="25"/>
      <c r="BI1991" s="25"/>
      <c r="BJ1991" s="25"/>
      <c r="BK1991" s="25"/>
      <c r="BL1991" s="25"/>
      <c r="BM1991" s="25"/>
      <c r="BN1991" s="25"/>
      <c r="BO1991" s="25"/>
      <c r="BP1991" s="25"/>
      <c r="BQ1991" s="25"/>
      <c r="BR1991" s="25"/>
      <c r="BS1991" s="25"/>
      <c r="BT1991" s="25"/>
      <c r="BU1991"/>
      <c r="BV1991"/>
      <c r="BW1991"/>
      <c r="BX1991"/>
      <c r="BY1991"/>
      <c r="BZ1991"/>
      <c r="CA1991"/>
      <c r="CB1991"/>
      <c r="CC1991"/>
      <c r="CD1991" s="25"/>
    </row>
    <row r="1992" spans="1:82" s="17" customFormat="1" x14ac:dyDescent="0.2">
      <c r="A1992" s="25"/>
      <c r="B1992" s="20">
        <v>39017010202</v>
      </c>
      <c r="C1992" s="20">
        <v>102.02</v>
      </c>
      <c r="D1992" s="20" t="s">
        <v>15</v>
      </c>
      <c r="E1992" s="20" t="s">
        <v>2828</v>
      </c>
      <c r="F1992" s="20" t="s">
        <v>8</v>
      </c>
      <c r="G1992" s="861">
        <v>44.222436911856498</v>
      </c>
      <c r="H1992" s="861">
        <v>52.446957593569699</v>
      </c>
      <c r="I1992" s="861">
        <v>25.9820732621614</v>
      </c>
      <c r="J1992" s="861">
        <v>39.005419926508701</v>
      </c>
      <c r="K1992" s="982">
        <v>0</v>
      </c>
      <c r="L1992" s="735">
        <v>4236</v>
      </c>
      <c r="M1992" s="735">
        <v>5447</v>
      </c>
      <c r="N1992" s="845">
        <f t="shared" si="161"/>
        <v>0.28588290840415487</v>
      </c>
      <c r="O1992" s="735">
        <v>61.499778081992822</v>
      </c>
      <c r="P1992" s="735">
        <f t="shared" si="162"/>
        <v>88.569425286997671</v>
      </c>
      <c r="Q1992" s="849">
        <v>36.5</v>
      </c>
      <c r="R1992" s="71">
        <v>73840</v>
      </c>
      <c r="S1992" s="845">
        <v>0.1944649446494465</v>
      </c>
      <c r="T1992" s="845">
        <v>0.02</v>
      </c>
      <c r="U1992" s="845">
        <v>3.9E-2</v>
      </c>
      <c r="V1992" s="845">
        <v>7.8E-2</v>
      </c>
      <c r="W1992" s="845">
        <v>0.26641651031894936</v>
      </c>
      <c r="X1992" s="845">
        <v>0.26760563380281688</v>
      </c>
      <c r="Y1992" s="845">
        <v>0.83550578299981637</v>
      </c>
      <c r="Z1992" s="845">
        <v>9.1793647879566728E-3</v>
      </c>
      <c r="AA1992" s="845">
        <v>1.8358729575913347E-4</v>
      </c>
      <c r="AB1992" s="845">
        <v>0.12061685331375069</v>
      </c>
      <c r="AC1992" s="845">
        <v>0</v>
      </c>
      <c r="AD1992" s="845">
        <v>3.6717459151826694E-3</v>
      </c>
      <c r="AE1992" s="845">
        <v>3.0842665687534424E-2</v>
      </c>
      <c r="AF1992" s="845">
        <v>1.7440793097117678E-2</v>
      </c>
      <c r="AG1992" s="845">
        <v>0.83330273545070677</v>
      </c>
      <c r="AH1992" s="20" t="str">
        <f t="shared" si="163"/>
        <v>No</v>
      </c>
      <c r="AI1992" s="25"/>
      <c r="AJ1992" s="25"/>
      <c r="AK1992" s="25"/>
      <c r="AL1992" s="25"/>
      <c r="AM1992" s="25"/>
      <c r="AN1992" s="25"/>
      <c r="AO1992" s="25"/>
      <c r="AP1992" s="25"/>
      <c r="AQ1992" s="25"/>
      <c r="AR1992" s="25"/>
      <c r="AS1992" s="25"/>
      <c r="AT1992" s="25"/>
      <c r="AU1992" s="36"/>
      <c r="AV1992" s="36"/>
      <c r="AW1992" s="36"/>
      <c r="AX1992" s="25"/>
      <c r="AY1992" s="25"/>
      <c r="AZ1992" s="25"/>
      <c r="BA1992" s="25"/>
      <c r="BB1992" s="25"/>
      <c r="BC1992" s="25"/>
      <c r="BD1992" s="25"/>
      <c r="BE1992" s="25"/>
      <c r="BF1992" s="25"/>
      <c r="BG1992" s="25"/>
      <c r="BH1992" s="25"/>
      <c r="BI1992" s="25"/>
      <c r="BJ1992" s="25"/>
      <c r="BK1992" s="25"/>
      <c r="BL1992" s="25"/>
      <c r="BM1992" s="25"/>
      <c r="BN1992" s="25"/>
      <c r="BO1992" s="25"/>
      <c r="BP1992" s="25"/>
      <c r="BQ1992" s="25"/>
      <c r="BR1992" s="25"/>
      <c r="BS1992" s="25"/>
      <c r="BT1992" s="25"/>
      <c r="BU1992"/>
      <c r="BV1992"/>
      <c r="BW1992"/>
      <c r="BX1992"/>
      <c r="BY1992"/>
      <c r="BZ1992"/>
      <c r="CA1992"/>
      <c r="CB1992"/>
      <c r="CC1992"/>
      <c r="CD1992" s="25"/>
    </row>
    <row r="1993" spans="1:82" s="17" customFormat="1" x14ac:dyDescent="0.2">
      <c r="A1993" s="25"/>
      <c r="B1993" s="20">
        <v>39091004000</v>
      </c>
      <c r="C1993" s="20">
        <v>40</v>
      </c>
      <c r="D1993" s="20" t="s">
        <v>51</v>
      </c>
      <c r="E1993" s="20" t="s">
        <v>265</v>
      </c>
      <c r="F1993" s="20" t="s">
        <v>8</v>
      </c>
      <c r="G1993" s="861">
        <v>44.197833666762499</v>
      </c>
      <c r="H1993" s="861">
        <v>62.408600736385601</v>
      </c>
      <c r="I1993" s="861">
        <v>20.824248675211301</v>
      </c>
      <c r="J1993" s="861">
        <v>52.643024111219901</v>
      </c>
      <c r="K1993" s="982">
        <v>0</v>
      </c>
      <c r="L1993" s="735">
        <v>2534</v>
      </c>
      <c r="M1993" s="735">
        <v>2984</v>
      </c>
      <c r="N1993" s="845">
        <f t="shared" si="161"/>
        <v>0.17758484609313338</v>
      </c>
      <c r="O1993" s="735">
        <v>7.0189912956781875</v>
      </c>
      <c r="P1993" s="735">
        <f t="shared" si="162"/>
        <v>425.13231236478981</v>
      </c>
      <c r="Q1993" s="849">
        <v>56.3</v>
      </c>
      <c r="R1993" s="71">
        <v>70603</v>
      </c>
      <c r="S1993" s="845">
        <v>0.15650134048257372</v>
      </c>
      <c r="T1993" s="845">
        <v>1.2E-2</v>
      </c>
      <c r="U1993" s="845">
        <v>0</v>
      </c>
      <c r="V1993" s="845">
        <v>0.36599999999999999</v>
      </c>
      <c r="W1993" s="845">
        <v>8.9364844903988189E-2</v>
      </c>
      <c r="X1993" s="845">
        <v>0.4462809917355372</v>
      </c>
      <c r="Y1993" s="845">
        <v>0.97218498659517427</v>
      </c>
      <c r="Z1993" s="845">
        <v>0</v>
      </c>
      <c r="AA1993" s="845">
        <v>0</v>
      </c>
      <c r="AB1993" s="845">
        <v>0</v>
      </c>
      <c r="AC1993" s="845">
        <v>0</v>
      </c>
      <c r="AD1993" s="845">
        <v>1.876675603217158E-2</v>
      </c>
      <c r="AE1993" s="845">
        <v>9.0482573726541563E-3</v>
      </c>
      <c r="AF1993" s="845">
        <v>2.4463806970509382E-2</v>
      </c>
      <c r="AG1993" s="845">
        <v>0.96380697050938335</v>
      </c>
      <c r="AH1993" s="20" t="str">
        <f t="shared" si="163"/>
        <v>Yes</v>
      </c>
      <c r="AI1993" s="25"/>
      <c r="AJ1993" s="25"/>
      <c r="AK1993" s="25"/>
      <c r="AL1993" s="25"/>
      <c r="AM1993" s="25"/>
      <c r="AN1993" s="25"/>
      <c r="AO1993" s="25"/>
      <c r="AP1993" s="25"/>
      <c r="AQ1993" s="25"/>
      <c r="AR1993" s="25"/>
      <c r="AS1993" s="25"/>
      <c r="AT1993" s="25"/>
      <c r="AU1993" s="36"/>
      <c r="AV1993" s="36"/>
      <c r="AW1993" s="36"/>
      <c r="AX1993" s="25"/>
      <c r="AY1993" s="25"/>
      <c r="AZ1993" s="25"/>
      <c r="BA1993" s="25"/>
      <c r="BB1993" s="25"/>
      <c r="BC1993" s="25"/>
      <c r="BD1993" s="25"/>
      <c r="BE1993" s="25"/>
      <c r="BF1993" s="25"/>
      <c r="BG1993" s="25"/>
      <c r="BH1993" s="25"/>
      <c r="BI1993" s="25"/>
      <c r="BJ1993" s="25"/>
      <c r="BK1993" s="25"/>
      <c r="BL1993" s="25"/>
      <c r="BM1993" s="25"/>
      <c r="BN1993" s="25"/>
      <c r="BO1993" s="25"/>
      <c r="BP1993" s="25"/>
      <c r="BQ1993" s="25"/>
      <c r="BR1993" s="25"/>
      <c r="BS1993" s="25"/>
      <c r="BT1993" s="25"/>
      <c r="BU1993"/>
      <c r="BV1993"/>
      <c r="BW1993"/>
      <c r="BX1993"/>
      <c r="BY1993"/>
      <c r="BZ1993"/>
      <c r="CA1993"/>
      <c r="CB1993"/>
      <c r="CC1993"/>
      <c r="CD1993" s="25"/>
    </row>
    <row r="1994" spans="1:82" s="17" customFormat="1" x14ac:dyDescent="0.2">
      <c r="A1994" s="25"/>
      <c r="B1994" s="20">
        <v>39101010100</v>
      </c>
      <c r="C1994" s="20">
        <v>101</v>
      </c>
      <c r="D1994" s="20" t="s">
        <v>56</v>
      </c>
      <c r="E1994" s="20" t="s">
        <v>265</v>
      </c>
      <c r="F1994" s="20" t="s">
        <v>8</v>
      </c>
      <c r="G1994" s="861">
        <v>44.166289873170697</v>
      </c>
      <c r="H1994" s="861">
        <v>47.616465021697401</v>
      </c>
      <c r="I1994" s="861">
        <v>32.993958084228602</v>
      </c>
      <c r="J1994" s="861">
        <v>29.013278704801099</v>
      </c>
      <c r="K1994" s="982">
        <v>0</v>
      </c>
      <c r="L1994" s="735">
        <v>5087</v>
      </c>
      <c r="M1994" s="735">
        <v>4657</v>
      </c>
      <c r="N1994" s="845">
        <f t="shared" si="161"/>
        <v>-8.4529192058187541E-2</v>
      </c>
      <c r="O1994" s="735">
        <v>95.269645851771884</v>
      </c>
      <c r="P1994" s="735">
        <f t="shared" si="162"/>
        <v>48.882306199035654</v>
      </c>
      <c r="Q1994" s="849">
        <v>42.4</v>
      </c>
      <c r="R1994" s="71">
        <v>73699</v>
      </c>
      <c r="S1994" s="845">
        <v>0.12567480025912331</v>
      </c>
      <c r="T1994" s="845">
        <v>3.2000000000000001E-2</v>
      </c>
      <c r="U1994" s="845">
        <v>0</v>
      </c>
      <c r="V1994" s="845">
        <v>0.153</v>
      </c>
      <c r="W1994" s="845">
        <v>0.27554842161583737</v>
      </c>
      <c r="X1994" s="845">
        <v>0.45825242718446602</v>
      </c>
      <c r="Y1994" s="845">
        <v>0.98045952329826069</v>
      </c>
      <c r="Z1994" s="845">
        <v>1.0736525660296329E-3</v>
      </c>
      <c r="AA1994" s="845">
        <v>4.2946102641185313E-4</v>
      </c>
      <c r="AB1994" s="845">
        <v>3.006227184882972E-3</v>
      </c>
      <c r="AC1994" s="845">
        <v>0</v>
      </c>
      <c r="AD1994" s="845">
        <v>0</v>
      </c>
      <c r="AE1994" s="845">
        <v>1.503113592441486E-2</v>
      </c>
      <c r="AF1994" s="845">
        <v>1.4172213871591153E-2</v>
      </c>
      <c r="AG1994" s="845">
        <v>0.96929353661155249</v>
      </c>
      <c r="AH1994" s="20" t="str">
        <f t="shared" si="163"/>
        <v>Yes</v>
      </c>
      <c r="AI1994" s="25"/>
      <c r="AJ1994" s="25"/>
      <c r="AK1994" s="25"/>
      <c r="AL1994" s="25"/>
      <c r="AM1994" s="25"/>
      <c r="AN1994" s="25"/>
      <c r="AO1994" s="25"/>
      <c r="AP1994" s="25"/>
      <c r="AQ1994" s="25"/>
      <c r="AR1994" s="25"/>
      <c r="AS1994" s="25"/>
      <c r="AT1994" s="25"/>
      <c r="AU1994" s="36"/>
      <c r="AV1994" s="36"/>
      <c r="AW1994" s="36"/>
      <c r="AX1994" s="25"/>
      <c r="AY1994" s="25"/>
      <c r="AZ1994" s="25"/>
      <c r="BA1994" s="25"/>
      <c r="BB1994" s="25"/>
      <c r="BC1994" s="25"/>
      <c r="BD1994" s="25"/>
      <c r="BE1994" s="25"/>
      <c r="BF1994" s="25"/>
      <c r="BG1994" s="25"/>
      <c r="BH1994" s="25"/>
      <c r="BI1994" s="25"/>
      <c r="BJ1994" s="25"/>
      <c r="BK1994" s="25"/>
      <c r="BL1994" s="25"/>
      <c r="BM1994" s="25"/>
      <c r="BN1994" s="25"/>
      <c r="BO1994" s="25"/>
      <c r="BP1994" s="25"/>
      <c r="BQ1994" s="25"/>
      <c r="BR1994" s="25"/>
      <c r="BS1994" s="25"/>
      <c r="BT1994" s="25"/>
      <c r="BU1994"/>
      <c r="BV1994"/>
      <c r="BW1994"/>
      <c r="BX1994"/>
      <c r="BY1994"/>
      <c r="BZ1994"/>
      <c r="CA1994"/>
      <c r="CB1994"/>
      <c r="CC1994"/>
      <c r="CD1994" s="25"/>
    </row>
    <row r="1995" spans="1:82" s="17" customFormat="1" x14ac:dyDescent="0.2">
      <c r="A1995" s="25"/>
      <c r="B1995" s="20">
        <v>39095000302</v>
      </c>
      <c r="C1995" s="20">
        <v>3.02</v>
      </c>
      <c r="D1995" s="20" t="s">
        <v>53</v>
      </c>
      <c r="E1995" s="20" t="s">
        <v>2839</v>
      </c>
      <c r="F1995" s="20" t="s">
        <v>8</v>
      </c>
      <c r="G1995" s="861">
        <v>44.162754256658403</v>
      </c>
      <c r="H1995" s="861">
        <v>62.218525865386397</v>
      </c>
      <c r="I1995" s="861">
        <v>50.451868238634901</v>
      </c>
      <c r="J1995" s="861">
        <v>33.461413133536801</v>
      </c>
      <c r="K1995" s="982">
        <v>0</v>
      </c>
      <c r="L1995" s="735" t="s">
        <v>2466</v>
      </c>
      <c r="M1995" s="735">
        <v>2747</v>
      </c>
      <c r="N1995" s="845" t="str">
        <f t="shared" ref="N1995:N2058" si="164">IF(OR(L1995="",M1995=""),"",(M1995-L1995)/L1995)</f>
        <v/>
      </c>
      <c r="O1995" s="735">
        <v>0.25737415450914947</v>
      </c>
      <c r="P1995" s="735">
        <f t="shared" ref="P1995:P2058" si="165">M1995/O1995</f>
        <v>10673.177364055589</v>
      </c>
      <c r="Q1995" s="849">
        <v>32.299999999999997</v>
      </c>
      <c r="R1995" s="71">
        <v>49491</v>
      </c>
      <c r="S1995" s="845">
        <v>0.12291125139249907</v>
      </c>
      <c r="T1995" s="845">
        <v>0.20899999999999999</v>
      </c>
      <c r="U1995" s="845">
        <v>0</v>
      </c>
      <c r="V1995" s="845">
        <v>0</v>
      </c>
      <c r="W1995" s="845">
        <v>0.41938674579624136</v>
      </c>
      <c r="X1995" s="845">
        <v>0.56367924528301883</v>
      </c>
      <c r="Y1995" s="845">
        <v>0.77502730251183105</v>
      </c>
      <c r="Z1995" s="845">
        <v>5.3876956680014562E-2</v>
      </c>
      <c r="AA1995" s="845">
        <v>0</v>
      </c>
      <c r="AB1995" s="845">
        <v>0</v>
      </c>
      <c r="AC1995" s="845">
        <v>0</v>
      </c>
      <c r="AD1995" s="845">
        <v>5.4969057153258102E-2</v>
      </c>
      <c r="AE1995" s="845">
        <v>0.11612668365489626</v>
      </c>
      <c r="AF1995" s="845">
        <v>0.11103021477975973</v>
      </c>
      <c r="AG1995" s="845">
        <v>0.76738259919912633</v>
      </c>
      <c r="AH1995" s="20" t="str">
        <f t="shared" ref="AH1995:AH2058" si="166">IF(AG1995&gt;=0.9,"Yes","No")</f>
        <v>No</v>
      </c>
      <c r="AI1995" s="25"/>
      <c r="AJ1995" s="25"/>
      <c r="AK1995" s="25"/>
      <c r="AL1995" s="25"/>
      <c r="AM1995" s="25"/>
      <c r="AN1995" s="25"/>
      <c r="AO1995" s="25"/>
      <c r="AP1995" s="25"/>
      <c r="AQ1995" s="25"/>
      <c r="AR1995" s="25"/>
      <c r="AS1995" s="25"/>
      <c r="AT1995" s="25"/>
      <c r="AU1995" s="36"/>
      <c r="AV1995" s="36"/>
      <c r="AW1995" s="36"/>
      <c r="AX1995" s="25"/>
      <c r="AY1995" s="25"/>
      <c r="AZ1995" s="25"/>
      <c r="BA1995" s="25"/>
      <c r="BB1995" s="25"/>
      <c r="BC1995" s="25"/>
      <c r="BD1995" s="25"/>
      <c r="BE1995" s="25"/>
      <c r="BF1995" s="25"/>
      <c r="BG1995" s="25"/>
      <c r="BH1995" s="25"/>
      <c r="BI1995" s="25"/>
      <c r="BJ1995" s="25"/>
      <c r="BK1995" s="25"/>
      <c r="BL1995" s="25"/>
      <c r="BM1995" s="25"/>
      <c r="BN1995" s="25"/>
      <c r="BO1995" s="25"/>
      <c r="BP1995" s="25"/>
      <c r="BQ1995" s="25"/>
      <c r="BR1995" s="25"/>
      <c r="BS1995" s="25"/>
      <c r="BT1995" s="25"/>
      <c r="BU1995"/>
      <c r="BV1995"/>
      <c r="BW1995"/>
      <c r="BX1995"/>
      <c r="BY1995"/>
      <c r="BZ1995"/>
      <c r="CA1995"/>
      <c r="CB1995"/>
      <c r="CC1995"/>
      <c r="CD1995" s="25"/>
    </row>
    <row r="1996" spans="1:82" s="17" customFormat="1" x14ac:dyDescent="0.2">
      <c r="A1996" s="25"/>
      <c r="B1996" s="20">
        <v>39031961800</v>
      </c>
      <c r="C1996" s="20">
        <v>9618</v>
      </c>
      <c r="D1996" s="20" t="s">
        <v>22</v>
      </c>
      <c r="E1996" s="20" t="s">
        <v>265</v>
      </c>
      <c r="F1996" s="20" t="s">
        <v>6</v>
      </c>
      <c r="G1996" s="861">
        <v>44.152292210187497</v>
      </c>
      <c r="H1996" s="861">
        <v>35.999503764065899</v>
      </c>
      <c r="I1996" s="861">
        <v>25.463332763884601</v>
      </c>
      <c r="J1996" s="861">
        <v>42.856234740479302</v>
      </c>
      <c r="K1996" s="982">
        <v>0</v>
      </c>
      <c r="L1996" s="735">
        <v>5111</v>
      </c>
      <c r="M1996" s="735">
        <v>5298</v>
      </c>
      <c r="N1996" s="845">
        <f t="shared" si="164"/>
        <v>3.6587751907650165E-2</v>
      </c>
      <c r="O1996" s="735">
        <v>38.619823239265763</v>
      </c>
      <c r="P1996" s="735">
        <f t="shared" si="165"/>
        <v>137.18343471374016</v>
      </c>
      <c r="Q1996" s="849">
        <v>40.9</v>
      </c>
      <c r="R1996" s="71">
        <v>53455</v>
      </c>
      <c r="S1996" s="845">
        <v>0.2695635454720246</v>
      </c>
      <c r="T1996" s="845">
        <v>6.4000000000000001E-2</v>
      </c>
      <c r="U1996" s="845">
        <v>3.1E-2</v>
      </c>
      <c r="V1996" s="845">
        <v>0</v>
      </c>
      <c r="W1996" s="845">
        <v>0.18525519848771266</v>
      </c>
      <c r="X1996" s="845">
        <v>0.375</v>
      </c>
      <c r="Y1996" s="845">
        <v>0.90260475651189132</v>
      </c>
      <c r="Z1996" s="845">
        <v>6.6062665156662896E-3</v>
      </c>
      <c r="AA1996" s="845">
        <v>7.5500188750471874E-4</v>
      </c>
      <c r="AB1996" s="845">
        <v>0</v>
      </c>
      <c r="AC1996" s="845">
        <v>0</v>
      </c>
      <c r="AD1996" s="845">
        <v>2.0762551906379767E-3</v>
      </c>
      <c r="AE1996" s="845">
        <v>8.7957719894299735E-2</v>
      </c>
      <c r="AF1996" s="845">
        <v>7.3612684031710077E-3</v>
      </c>
      <c r="AG1996" s="845">
        <v>0.90033975084937712</v>
      </c>
      <c r="AH1996" s="20" t="str">
        <f t="shared" si="166"/>
        <v>Yes</v>
      </c>
      <c r="AI1996" s="25"/>
      <c r="AJ1996" s="25"/>
      <c r="AK1996" s="25"/>
      <c r="AL1996" s="25"/>
      <c r="AM1996" s="25"/>
      <c r="AN1996" s="25"/>
      <c r="AO1996" s="25"/>
      <c r="AP1996" s="25"/>
      <c r="AQ1996" s="25"/>
      <c r="AR1996" s="25"/>
      <c r="AS1996" s="25"/>
      <c r="AT1996" s="25"/>
      <c r="AU1996" s="36"/>
      <c r="AV1996" s="36"/>
      <c r="AW1996" s="36"/>
      <c r="AX1996" s="25"/>
      <c r="AY1996" s="25"/>
      <c r="AZ1996" s="25"/>
      <c r="BA1996" s="25"/>
      <c r="BB1996" s="25"/>
      <c r="BC1996" s="25"/>
      <c r="BD1996" s="25"/>
      <c r="BE1996" s="25"/>
      <c r="BF1996" s="25"/>
      <c r="BG1996" s="25"/>
      <c r="BH1996" s="25"/>
      <c r="BI1996" s="25"/>
      <c r="BJ1996" s="25"/>
      <c r="BK1996" s="25"/>
      <c r="BL1996" s="25"/>
      <c r="BM1996" s="25"/>
      <c r="BN1996" s="25"/>
      <c r="BO1996" s="25"/>
      <c r="BP1996" s="25"/>
      <c r="BQ1996" s="25"/>
      <c r="BR1996" s="25"/>
      <c r="BS1996" s="25"/>
      <c r="BT1996" s="25"/>
      <c r="BU1996"/>
      <c r="BV1996"/>
      <c r="BW1996"/>
      <c r="BX1996"/>
      <c r="BY1996"/>
      <c r="BZ1996"/>
      <c r="CA1996"/>
      <c r="CB1996"/>
      <c r="CC1996"/>
      <c r="CD1996" s="25"/>
    </row>
    <row r="1997" spans="1:82" s="17" customFormat="1" x14ac:dyDescent="0.2">
      <c r="A1997" s="25"/>
      <c r="B1997" s="20">
        <v>39169002000</v>
      </c>
      <c r="C1997" s="20">
        <v>20</v>
      </c>
      <c r="D1997" s="20" t="s">
        <v>90</v>
      </c>
      <c r="E1997" s="20" t="s">
        <v>265</v>
      </c>
      <c r="F1997" s="20" t="s">
        <v>8</v>
      </c>
      <c r="G1997" s="861">
        <v>44.148462251569399</v>
      </c>
      <c r="H1997" s="861">
        <v>50.529820798419799</v>
      </c>
      <c r="I1997" s="861">
        <v>21.1822301229994</v>
      </c>
      <c r="J1997" s="861">
        <v>32.447598769349703</v>
      </c>
      <c r="K1997" s="982">
        <v>0</v>
      </c>
      <c r="L1997" s="735">
        <v>3101</v>
      </c>
      <c r="M1997" s="735">
        <v>3072</v>
      </c>
      <c r="N1997" s="845">
        <f t="shared" si="164"/>
        <v>-9.3518219929055145E-3</v>
      </c>
      <c r="O1997" s="735">
        <v>41.737556470867354</v>
      </c>
      <c r="P1997" s="735">
        <f t="shared" si="165"/>
        <v>73.602775527701141</v>
      </c>
      <c r="Q1997" s="849">
        <v>47.9</v>
      </c>
      <c r="R1997" s="71">
        <v>82414</v>
      </c>
      <c r="S1997" s="845">
        <v>0.1064453125</v>
      </c>
      <c r="T1997" s="845">
        <v>1.2E-2</v>
      </c>
      <c r="U1997" s="845">
        <v>0</v>
      </c>
      <c r="V1997" s="845">
        <v>0</v>
      </c>
      <c r="W1997" s="845">
        <v>7.7123050259965339E-2</v>
      </c>
      <c r="X1997" s="845">
        <v>0</v>
      </c>
      <c r="Y1997" s="845">
        <v>0.94889322916666663</v>
      </c>
      <c r="Z1997" s="845">
        <v>2.9296875E-3</v>
      </c>
      <c r="AA1997" s="845">
        <v>0</v>
      </c>
      <c r="AB1997" s="845">
        <v>1.26953125E-2</v>
      </c>
      <c r="AC1997" s="845">
        <v>0</v>
      </c>
      <c r="AD1997" s="845">
        <v>0</v>
      </c>
      <c r="AE1997" s="845">
        <v>3.5481770833333336E-2</v>
      </c>
      <c r="AF1997" s="845">
        <v>7.8125E-3</v>
      </c>
      <c r="AG1997" s="845">
        <v>0.94889322916666663</v>
      </c>
      <c r="AH1997" s="20" t="str">
        <f t="shared" si="166"/>
        <v>Yes</v>
      </c>
      <c r="AI1997" s="25"/>
      <c r="AJ1997" s="25"/>
      <c r="AK1997" s="25"/>
      <c r="AL1997" s="25"/>
      <c r="AM1997" s="25"/>
      <c r="AN1997" s="25"/>
      <c r="AO1997" s="25"/>
      <c r="AP1997" s="25"/>
      <c r="AQ1997" s="25"/>
      <c r="AR1997" s="25"/>
      <c r="AS1997" s="25"/>
      <c r="AT1997" s="25"/>
      <c r="AU1997" s="36"/>
      <c r="AV1997" s="36"/>
      <c r="AW1997" s="36"/>
      <c r="AX1997" s="25"/>
      <c r="AY1997" s="25"/>
      <c r="AZ1997" s="25"/>
      <c r="BA1997" s="25"/>
      <c r="BB1997" s="25"/>
      <c r="BC1997" s="25"/>
      <c r="BD1997" s="25"/>
      <c r="BE1997" s="25"/>
      <c r="BF1997" s="25"/>
      <c r="BG1997" s="25"/>
      <c r="BH1997" s="25"/>
      <c r="BI1997" s="25"/>
      <c r="BJ1997" s="25"/>
      <c r="BK1997" s="25"/>
      <c r="BL1997" s="25"/>
      <c r="BM1997" s="25"/>
      <c r="BN1997" s="25"/>
      <c r="BO1997" s="25"/>
      <c r="BP1997" s="25"/>
      <c r="BQ1997" s="25"/>
      <c r="BR1997" s="25"/>
      <c r="BS1997" s="25"/>
      <c r="BT1997" s="25"/>
      <c r="BU1997"/>
      <c r="BV1997"/>
      <c r="BW1997"/>
      <c r="BX1997"/>
      <c r="BY1997"/>
      <c r="BZ1997"/>
      <c r="CA1997"/>
      <c r="CB1997"/>
      <c r="CC1997"/>
      <c r="CD1997" s="25"/>
    </row>
    <row r="1998" spans="1:82" s="17" customFormat="1" x14ac:dyDescent="0.2">
      <c r="A1998" s="25"/>
      <c r="B1998" s="20">
        <v>39017011003</v>
      </c>
      <c r="C1998" s="20">
        <v>110.03</v>
      </c>
      <c r="D1998" s="20" t="s">
        <v>15</v>
      </c>
      <c r="E1998" s="20" t="s">
        <v>2828</v>
      </c>
      <c r="F1998" s="20" t="s">
        <v>8</v>
      </c>
      <c r="G1998" s="861">
        <v>44.137944179214102</v>
      </c>
      <c r="H1998" s="861">
        <v>56.529408216163702</v>
      </c>
      <c r="I1998" s="861">
        <v>23.295542154144499</v>
      </c>
      <c r="J1998" s="861">
        <v>37.6182079197593</v>
      </c>
      <c r="K1998" s="982">
        <v>0</v>
      </c>
      <c r="L1998" s="735">
        <v>6195</v>
      </c>
      <c r="M1998" s="735">
        <v>7354</v>
      </c>
      <c r="N1998" s="845">
        <f t="shared" si="164"/>
        <v>0.18708635996771589</v>
      </c>
      <c r="O1998" s="735">
        <v>2.3477026695693981</v>
      </c>
      <c r="P1998" s="735">
        <f t="shared" si="165"/>
        <v>3132.4239203377606</v>
      </c>
      <c r="Q1998" s="849">
        <v>40.9</v>
      </c>
      <c r="R1998" s="71">
        <v>110660</v>
      </c>
      <c r="S1998" s="845">
        <v>7.7547091984050603E-2</v>
      </c>
      <c r="T1998" s="845">
        <v>0.05</v>
      </c>
      <c r="U1998" s="845">
        <v>0</v>
      </c>
      <c r="V1998" s="845" t="s">
        <v>2466</v>
      </c>
      <c r="W1998" s="845">
        <v>0</v>
      </c>
      <c r="X1998" s="845"/>
      <c r="Y1998" s="845">
        <v>0.73878161544737553</v>
      </c>
      <c r="Z1998" s="845">
        <v>7.1525700299156919E-2</v>
      </c>
      <c r="AA1998" s="845">
        <v>0</v>
      </c>
      <c r="AB1998" s="845">
        <v>0.14808267609464237</v>
      </c>
      <c r="AC1998" s="845">
        <v>0</v>
      </c>
      <c r="AD1998" s="845">
        <v>1.4685885232526516E-2</v>
      </c>
      <c r="AE1998" s="845">
        <v>2.6924122926298612E-2</v>
      </c>
      <c r="AF1998" s="845">
        <v>3.3859124286102799E-2</v>
      </c>
      <c r="AG1998" s="845">
        <v>0.72518357356540664</v>
      </c>
      <c r="AH1998" s="20" t="str">
        <f t="shared" si="166"/>
        <v>No</v>
      </c>
      <c r="AI1998" s="25"/>
      <c r="AJ1998" s="25"/>
      <c r="AK1998" s="25"/>
      <c r="AL1998" s="25"/>
      <c r="AM1998" s="25"/>
      <c r="AN1998" s="25"/>
      <c r="AO1998" s="25"/>
      <c r="AP1998" s="25"/>
      <c r="AQ1998" s="25"/>
      <c r="AR1998" s="25"/>
      <c r="AS1998" s="25"/>
      <c r="AT1998" s="25"/>
      <c r="AU1998" s="36"/>
      <c r="AV1998" s="36"/>
      <c r="AW1998" s="36"/>
      <c r="AX1998" s="25"/>
      <c r="AY1998" s="25"/>
      <c r="AZ1998" s="25"/>
      <c r="BA1998" s="25"/>
      <c r="BB1998" s="25"/>
      <c r="BC1998" s="25"/>
      <c r="BD1998" s="25"/>
      <c r="BE1998" s="25"/>
      <c r="BF1998" s="25"/>
      <c r="BG1998" s="25"/>
      <c r="BH1998" s="25"/>
      <c r="BI1998" s="25"/>
      <c r="BJ1998" s="25"/>
      <c r="BK1998" s="25"/>
      <c r="BL1998" s="25"/>
      <c r="BM1998" s="25"/>
      <c r="BN1998" s="25"/>
      <c r="BO1998" s="25"/>
      <c r="BP1998" s="25"/>
      <c r="BQ1998" s="25"/>
      <c r="BR1998" s="25"/>
      <c r="BS1998" s="25"/>
      <c r="BT1998" s="25"/>
      <c r="BU1998"/>
      <c r="BV1998"/>
      <c r="BW1998"/>
      <c r="BX1998"/>
      <c r="BY1998"/>
      <c r="BZ1998"/>
      <c r="CA1998"/>
      <c r="CB1998"/>
      <c r="CC1998"/>
      <c r="CD1998" s="25"/>
    </row>
    <row r="1999" spans="1:82" s="17" customFormat="1" x14ac:dyDescent="0.2">
      <c r="A1999" s="25"/>
      <c r="B1999" s="20">
        <v>39049000730</v>
      </c>
      <c r="C1999" s="20">
        <v>7.3</v>
      </c>
      <c r="D1999" s="20" t="s">
        <v>31</v>
      </c>
      <c r="E1999" s="20" t="s">
        <v>2830</v>
      </c>
      <c r="F1999" s="20" t="s">
        <v>6</v>
      </c>
      <c r="G1999" s="861">
        <v>44.136581711896604</v>
      </c>
      <c r="H1999" s="861">
        <v>43.784039097783797</v>
      </c>
      <c r="I1999" s="861">
        <v>73.862888048540796</v>
      </c>
      <c r="J1999" s="861">
        <v>60.971093606699597</v>
      </c>
      <c r="K1999" s="982">
        <v>0</v>
      </c>
      <c r="L1999" s="735">
        <v>3351</v>
      </c>
      <c r="M1999" s="735">
        <v>3404</v>
      </c>
      <c r="N1999" s="845">
        <f t="shared" si="164"/>
        <v>1.5816174276335422E-2</v>
      </c>
      <c r="O1999" s="735">
        <v>0.40274895316025217</v>
      </c>
      <c r="P1999" s="735">
        <f t="shared" si="165"/>
        <v>8451.9152024848645</v>
      </c>
      <c r="Q1999" s="849">
        <v>34.299999999999997</v>
      </c>
      <c r="R1999" s="71">
        <v>33974</v>
      </c>
      <c r="S1999" s="845">
        <v>0.49348287359806003</v>
      </c>
      <c r="T1999" s="845">
        <v>0.13400000000000001</v>
      </c>
      <c r="U1999" s="845">
        <v>4.9000000000000002E-2</v>
      </c>
      <c r="V1999" s="845">
        <v>0</v>
      </c>
      <c r="W1999" s="845">
        <v>0.65578635014836795</v>
      </c>
      <c r="X1999" s="845">
        <v>0.47171945701357465</v>
      </c>
      <c r="Y1999" s="845">
        <v>0.14365452408930671</v>
      </c>
      <c r="Z1999" s="845">
        <v>0.66745005875440655</v>
      </c>
      <c r="AA1999" s="845">
        <v>0</v>
      </c>
      <c r="AB1999" s="845">
        <v>0</v>
      </c>
      <c r="AC1999" s="845">
        <v>0</v>
      </c>
      <c r="AD1999" s="845">
        <v>6.7273795534665101E-2</v>
      </c>
      <c r="AE1999" s="845">
        <v>0.12162162162162163</v>
      </c>
      <c r="AF1999" s="845">
        <v>0.19388954171562867</v>
      </c>
      <c r="AG1999" s="845">
        <v>0.14365452408930671</v>
      </c>
      <c r="AH1999" s="20" t="str">
        <f t="shared" si="166"/>
        <v>No</v>
      </c>
      <c r="AI1999" s="25"/>
      <c r="AJ1999" s="25"/>
      <c r="AK1999" s="25"/>
      <c r="AL1999" s="25"/>
      <c r="AM1999" s="25"/>
      <c r="AN1999" s="25"/>
      <c r="AO1999" s="25"/>
      <c r="AP1999" s="25"/>
      <c r="AQ1999" s="25"/>
      <c r="AR1999" s="25"/>
      <c r="AS1999" s="25"/>
      <c r="AT1999" s="25"/>
      <c r="AU1999" s="36"/>
      <c r="AV1999" s="36"/>
      <c r="AW1999" s="36"/>
      <c r="AX1999" s="25"/>
      <c r="AY1999" s="25"/>
      <c r="AZ1999" s="25"/>
      <c r="BA1999" s="25"/>
      <c r="BB1999" s="25"/>
      <c r="BC1999" s="25"/>
      <c r="BD1999" s="25"/>
      <c r="BE1999" s="25"/>
      <c r="BF1999" s="25"/>
      <c r="BG1999" s="25"/>
      <c r="BH1999" s="25"/>
      <c r="BI1999" s="25"/>
      <c r="BJ1999" s="25"/>
      <c r="BK1999" s="25"/>
      <c r="BL1999" s="25"/>
      <c r="BM1999" s="25"/>
      <c r="BN1999" s="25"/>
      <c r="BO1999" s="25"/>
      <c r="BP1999" s="25"/>
      <c r="BQ1999" s="25"/>
      <c r="BR1999" s="25"/>
      <c r="BS1999" s="25"/>
      <c r="BT1999" s="25"/>
      <c r="BU1999"/>
      <c r="BV1999"/>
      <c r="BW1999"/>
      <c r="BX1999"/>
      <c r="BY1999"/>
      <c r="BZ1999"/>
      <c r="CA1999"/>
      <c r="CB1999"/>
      <c r="CC1999"/>
      <c r="CD1999" s="25"/>
    </row>
    <row r="2000" spans="1:82" s="17" customFormat="1" x14ac:dyDescent="0.2">
      <c r="A2000" s="25"/>
      <c r="B2000" s="20">
        <v>39085204400</v>
      </c>
      <c r="C2000" s="20">
        <v>2044</v>
      </c>
      <c r="D2000" s="20" t="s">
        <v>48</v>
      </c>
      <c r="E2000" s="20" t="s">
        <v>2829</v>
      </c>
      <c r="F2000" s="20" t="s">
        <v>6</v>
      </c>
      <c r="G2000" s="861">
        <v>44.130451464771497</v>
      </c>
      <c r="H2000" s="861">
        <v>47.570819577442698</v>
      </c>
      <c r="I2000" s="861">
        <v>54.026802771699401</v>
      </c>
      <c r="J2000" s="861">
        <v>29.780275323243799</v>
      </c>
      <c r="K2000" s="982">
        <v>0</v>
      </c>
      <c r="L2000" s="735">
        <v>3240</v>
      </c>
      <c r="M2000" s="735">
        <v>3229</v>
      </c>
      <c r="N2000" s="845">
        <f t="shared" si="164"/>
        <v>-3.3950617283950617E-3</v>
      </c>
      <c r="O2000" s="735">
        <v>1.3356810352306985</v>
      </c>
      <c r="P2000" s="735">
        <f t="shared" si="165"/>
        <v>2417.493334733384</v>
      </c>
      <c r="Q2000" s="849">
        <v>43.2</v>
      </c>
      <c r="R2000" s="71">
        <v>43929</v>
      </c>
      <c r="S2000" s="845">
        <v>0.27991320520768753</v>
      </c>
      <c r="T2000" s="845">
        <v>6.0999999999999999E-2</v>
      </c>
      <c r="U2000" s="845">
        <v>0</v>
      </c>
      <c r="V2000" s="845">
        <v>0</v>
      </c>
      <c r="W2000" s="845">
        <v>0.50214592274678116</v>
      </c>
      <c r="X2000" s="845">
        <v>0.68660968660968658</v>
      </c>
      <c r="Y2000" s="845">
        <v>0.86868999690306592</v>
      </c>
      <c r="Z2000" s="845">
        <v>3.3756580984825021E-2</v>
      </c>
      <c r="AA2000" s="845">
        <v>2.136884484360483E-2</v>
      </c>
      <c r="AB2000" s="845">
        <v>9.9101889129761533E-3</v>
      </c>
      <c r="AC2000" s="845">
        <v>0</v>
      </c>
      <c r="AD2000" s="845">
        <v>2.3846392071848868E-2</v>
      </c>
      <c r="AE2000" s="845">
        <v>4.2427996283679159E-2</v>
      </c>
      <c r="AF2000" s="845">
        <v>0.13192938990399505</v>
      </c>
      <c r="AG2000" s="845">
        <v>0.76772994735212141</v>
      </c>
      <c r="AH2000" s="20" t="str">
        <f t="shared" si="166"/>
        <v>No</v>
      </c>
      <c r="AI2000" s="25"/>
      <c r="AJ2000" s="25"/>
      <c r="AK2000" s="25"/>
      <c r="AL2000" s="25"/>
      <c r="AM2000" s="25"/>
      <c r="AN2000" s="25"/>
      <c r="AO2000" s="25"/>
      <c r="AP2000" s="25"/>
      <c r="AQ2000" s="25"/>
      <c r="AR2000" s="25"/>
      <c r="AS2000" s="25"/>
      <c r="AT2000" s="25"/>
      <c r="AU2000" s="36"/>
      <c r="AV2000" s="36"/>
      <c r="AW2000" s="36"/>
      <c r="AX2000" s="25"/>
      <c r="AY2000" s="25"/>
      <c r="AZ2000" s="25"/>
      <c r="BA2000" s="25"/>
      <c r="BB2000" s="25"/>
      <c r="BC2000" s="25"/>
      <c r="BD2000" s="25"/>
      <c r="BE2000" s="25"/>
      <c r="BF2000" s="25"/>
      <c r="BG2000" s="25"/>
      <c r="BH2000" s="25"/>
      <c r="BI2000" s="25"/>
      <c r="BJ2000" s="25"/>
      <c r="BK2000" s="25"/>
      <c r="BL2000" s="25"/>
      <c r="BM2000" s="25"/>
      <c r="BN2000" s="25"/>
      <c r="BO2000" s="25"/>
      <c r="BP2000" s="25"/>
      <c r="BQ2000" s="25"/>
      <c r="BR2000" s="25"/>
      <c r="BS2000" s="25"/>
      <c r="BT2000" s="25"/>
      <c r="BU2000"/>
      <c r="BV2000"/>
      <c r="BW2000"/>
      <c r="BX2000"/>
      <c r="BY2000"/>
      <c r="BZ2000"/>
      <c r="CA2000"/>
      <c r="CB2000"/>
      <c r="CC2000"/>
      <c r="CD2000" s="25"/>
    </row>
    <row r="2001" spans="1:82" s="17" customFormat="1" x14ac:dyDescent="0.2">
      <c r="A2001" s="25"/>
      <c r="B2001" s="20">
        <v>39003013100</v>
      </c>
      <c r="C2001" s="20">
        <v>131</v>
      </c>
      <c r="D2001" s="20" t="s">
        <v>7</v>
      </c>
      <c r="E2001" s="20" t="s">
        <v>2835</v>
      </c>
      <c r="F2001" s="20" t="s">
        <v>8</v>
      </c>
      <c r="G2001" s="861">
        <v>44.124029959769203</v>
      </c>
      <c r="H2001" s="861">
        <v>54.781199943279702</v>
      </c>
      <c r="I2001" s="861">
        <v>25.316830625739801</v>
      </c>
      <c r="J2001" s="861">
        <v>50.4375196521936</v>
      </c>
      <c r="K2001" s="982">
        <v>0</v>
      </c>
      <c r="L2001" s="735">
        <v>2253</v>
      </c>
      <c r="M2001" s="735">
        <v>2658</v>
      </c>
      <c r="N2001" s="845">
        <f t="shared" si="164"/>
        <v>0.17976031957390146</v>
      </c>
      <c r="O2001" s="735">
        <v>0.583321210690809</v>
      </c>
      <c r="P2001" s="735">
        <f t="shared" si="165"/>
        <v>4556.6661237163207</v>
      </c>
      <c r="Q2001" s="849">
        <v>33.4</v>
      </c>
      <c r="R2001" s="71">
        <v>68142</v>
      </c>
      <c r="S2001" s="845">
        <v>6.5126845891707683E-2</v>
      </c>
      <c r="T2001" s="845">
        <v>2.1000000000000001E-2</v>
      </c>
      <c r="U2001" s="845">
        <v>0</v>
      </c>
      <c r="V2001" s="845">
        <v>0</v>
      </c>
      <c r="W2001" s="845">
        <v>0.30652368185880252</v>
      </c>
      <c r="X2001" s="845">
        <v>0.35860058309037901</v>
      </c>
      <c r="Y2001" s="845">
        <v>0.85214446952595935</v>
      </c>
      <c r="Z2001" s="845">
        <v>0.12189616252821671</v>
      </c>
      <c r="AA2001" s="845">
        <v>2.257336343115124E-3</v>
      </c>
      <c r="AB2001" s="845">
        <v>0</v>
      </c>
      <c r="AC2001" s="845">
        <v>0</v>
      </c>
      <c r="AD2001" s="845">
        <v>0</v>
      </c>
      <c r="AE2001" s="845">
        <v>2.3702031602708805E-2</v>
      </c>
      <c r="AF2001" s="845">
        <v>2.257336343115124E-3</v>
      </c>
      <c r="AG2001" s="845">
        <v>0.85214446952595935</v>
      </c>
      <c r="AH2001" s="20" t="str">
        <f t="shared" si="166"/>
        <v>No</v>
      </c>
      <c r="AI2001" s="25"/>
      <c r="AJ2001" s="25"/>
      <c r="AK2001" s="25"/>
      <c r="AL2001" s="25"/>
      <c r="AM2001" s="25"/>
      <c r="AN2001" s="25"/>
      <c r="AO2001" s="25"/>
      <c r="AP2001" s="25"/>
      <c r="AQ2001" s="25"/>
      <c r="AR2001" s="25"/>
      <c r="AS2001" s="25"/>
      <c r="AT2001" s="25"/>
      <c r="AU2001" s="36"/>
      <c r="AV2001" s="36"/>
      <c r="AW2001" s="36"/>
      <c r="AX2001" s="25"/>
      <c r="AY2001" s="25"/>
      <c r="AZ2001" s="25"/>
      <c r="BA2001" s="25"/>
      <c r="BB2001" s="25"/>
      <c r="BC2001" s="25"/>
      <c r="BD2001" s="25"/>
      <c r="BE2001" s="25"/>
      <c r="BF2001" s="25"/>
      <c r="BG2001" s="25"/>
      <c r="BH2001" s="25"/>
      <c r="BI2001" s="25"/>
      <c r="BJ2001" s="25"/>
      <c r="BK2001" s="25"/>
      <c r="BL2001" s="25"/>
      <c r="BM2001" s="25"/>
      <c r="BN2001" s="25"/>
      <c r="BO2001" s="25"/>
      <c r="BP2001" s="25"/>
      <c r="BQ2001" s="25"/>
      <c r="BR2001" s="25"/>
      <c r="BS2001" s="25"/>
      <c r="BT2001" s="25"/>
      <c r="BU2001"/>
      <c r="BV2001"/>
      <c r="BW2001"/>
      <c r="BX2001"/>
      <c r="BY2001"/>
      <c r="BZ2001"/>
      <c r="CA2001"/>
      <c r="CB2001"/>
      <c r="CC2001"/>
      <c r="CD2001" s="25"/>
    </row>
    <row r="2002" spans="1:82" s="17" customFormat="1" x14ac:dyDescent="0.2">
      <c r="A2002" s="25"/>
      <c r="B2002" s="20">
        <v>39131952300</v>
      </c>
      <c r="C2002" s="20">
        <v>9523</v>
      </c>
      <c r="D2002" s="20" t="s">
        <v>71</v>
      </c>
      <c r="E2002" s="20" t="s">
        <v>265</v>
      </c>
      <c r="F2002" s="20" t="s">
        <v>8</v>
      </c>
      <c r="G2002" s="861">
        <v>44.104730440503403</v>
      </c>
      <c r="H2002" s="861">
        <v>49.465062681155501</v>
      </c>
      <c r="I2002" s="861">
        <v>28.2499937859935</v>
      </c>
      <c r="J2002" s="861">
        <v>42.389879968846898</v>
      </c>
      <c r="K2002" s="982">
        <v>0</v>
      </c>
      <c r="L2002" s="735">
        <v>5273</v>
      </c>
      <c r="M2002" s="735">
        <v>5379</v>
      </c>
      <c r="N2002" s="845">
        <f t="shared" si="164"/>
        <v>2.0102408496112271E-2</v>
      </c>
      <c r="O2002" s="735">
        <v>58.550202379114403</v>
      </c>
      <c r="P2002" s="735">
        <f t="shared" si="165"/>
        <v>91.869878863454744</v>
      </c>
      <c r="Q2002" s="849">
        <v>43.4</v>
      </c>
      <c r="R2002" s="71">
        <v>50159</v>
      </c>
      <c r="S2002" s="845">
        <v>0.22682215743440234</v>
      </c>
      <c r="T2002" s="845">
        <v>8.5000000000000006E-2</v>
      </c>
      <c r="U2002" s="845">
        <v>0</v>
      </c>
      <c r="V2002" s="845">
        <v>0</v>
      </c>
      <c r="W2002" s="845">
        <v>0.33530751708428247</v>
      </c>
      <c r="X2002" s="845">
        <v>0.40625</v>
      </c>
      <c r="Y2002" s="845">
        <v>0.94404164342814645</v>
      </c>
      <c r="Z2002" s="845">
        <v>3.5880275144078828E-2</v>
      </c>
      <c r="AA2002" s="845">
        <v>0</v>
      </c>
      <c r="AB2002" s="845">
        <v>0</v>
      </c>
      <c r="AC2002" s="845">
        <v>0</v>
      </c>
      <c r="AD2002" s="845">
        <v>0</v>
      </c>
      <c r="AE2002" s="845">
        <v>2.0078081427774678E-2</v>
      </c>
      <c r="AF2002" s="845">
        <v>0</v>
      </c>
      <c r="AG2002" s="845">
        <v>0.94404164342814645</v>
      </c>
      <c r="AH2002" s="20" t="str">
        <f t="shared" si="166"/>
        <v>Yes</v>
      </c>
      <c r="AI2002" s="25"/>
      <c r="AJ2002" s="25"/>
      <c r="AK2002" s="25"/>
      <c r="AL2002" s="25"/>
      <c r="AM2002" s="25"/>
      <c r="AN2002" s="25"/>
      <c r="AO2002" s="25"/>
      <c r="AP2002" s="25"/>
      <c r="AQ2002" s="25"/>
      <c r="AR2002" s="25"/>
      <c r="AS2002" s="25"/>
      <c r="AT2002" s="25"/>
      <c r="AU2002" s="36"/>
      <c r="AV2002" s="36"/>
      <c r="AW2002" s="36"/>
      <c r="AX2002" s="25"/>
      <c r="AY2002" s="25"/>
      <c r="AZ2002" s="25"/>
      <c r="BA2002" s="25"/>
      <c r="BB2002" s="25"/>
      <c r="BC2002" s="25"/>
      <c r="BD2002" s="25"/>
      <c r="BE2002" s="25"/>
      <c r="BF2002" s="25"/>
      <c r="BG2002" s="25"/>
      <c r="BH2002" s="25"/>
      <c r="BI2002" s="25"/>
      <c r="BJ2002" s="25"/>
      <c r="BK2002" s="25"/>
      <c r="BL2002" s="25"/>
      <c r="BM2002" s="25"/>
      <c r="BN2002" s="25"/>
      <c r="BO2002" s="25"/>
      <c r="BP2002" s="25"/>
      <c r="BQ2002" s="25"/>
      <c r="BR2002" s="25"/>
      <c r="BS2002" s="25"/>
      <c r="BT2002" s="25"/>
      <c r="BU2002"/>
      <c r="BV2002"/>
      <c r="BW2002"/>
      <c r="BX2002"/>
      <c r="BY2002"/>
      <c r="BZ2002"/>
      <c r="CA2002"/>
      <c r="CB2002"/>
      <c r="CC2002"/>
      <c r="CD2002" s="25"/>
    </row>
    <row r="2003" spans="1:82" s="17" customFormat="1" x14ac:dyDescent="0.2">
      <c r="A2003" s="25"/>
      <c r="B2003" s="20">
        <v>39157020200</v>
      </c>
      <c r="C2003" s="20">
        <v>202</v>
      </c>
      <c r="D2003" s="20" t="s">
        <v>84</v>
      </c>
      <c r="E2003" s="20" t="s">
        <v>265</v>
      </c>
      <c r="F2003" s="20" t="s">
        <v>8</v>
      </c>
      <c r="G2003" s="861">
        <v>44.099846858866201</v>
      </c>
      <c r="H2003" s="861">
        <v>46.6745213527063</v>
      </c>
      <c r="I2003" s="861">
        <v>26.340869357192499</v>
      </c>
      <c r="J2003" s="861">
        <v>46.338019168420601</v>
      </c>
      <c r="K2003" s="982">
        <v>0</v>
      </c>
      <c r="L2003" s="735">
        <v>3877</v>
      </c>
      <c r="M2003" s="735">
        <v>3889</v>
      </c>
      <c r="N2003" s="845">
        <f t="shared" si="164"/>
        <v>3.0951766830023212E-3</v>
      </c>
      <c r="O2003" s="735">
        <v>32.780413806610099</v>
      </c>
      <c r="P2003" s="735">
        <f t="shared" si="165"/>
        <v>118.63791662129023</v>
      </c>
      <c r="Q2003" s="849">
        <v>50.8</v>
      </c>
      <c r="R2003" s="71">
        <v>83081</v>
      </c>
      <c r="S2003" s="845">
        <v>5.8979106056598785E-2</v>
      </c>
      <c r="T2003" s="845">
        <v>1.4999999999999999E-2</v>
      </c>
      <c r="U2003" s="845">
        <v>0</v>
      </c>
      <c r="V2003" s="845">
        <v>0</v>
      </c>
      <c r="W2003" s="845">
        <v>0.18072289156626506</v>
      </c>
      <c r="X2003" s="845">
        <v>0.526984126984127</v>
      </c>
      <c r="Y2003" s="845">
        <v>0.9917716636667524</v>
      </c>
      <c r="Z2003" s="845">
        <v>0</v>
      </c>
      <c r="AA2003" s="845">
        <v>0</v>
      </c>
      <c r="AB2003" s="845">
        <v>2.5713551041398817E-4</v>
      </c>
      <c r="AC2003" s="845">
        <v>0</v>
      </c>
      <c r="AD2003" s="845">
        <v>0</v>
      </c>
      <c r="AE2003" s="845">
        <v>7.971200822833634E-3</v>
      </c>
      <c r="AF2003" s="845">
        <v>2.3142195937258937E-3</v>
      </c>
      <c r="AG2003" s="845">
        <v>0.98971457958344045</v>
      </c>
      <c r="AH2003" s="20" t="str">
        <f t="shared" si="166"/>
        <v>Yes</v>
      </c>
      <c r="AI2003" s="25"/>
      <c r="AJ2003" s="25"/>
      <c r="AK2003" s="25"/>
      <c r="AL2003" s="25"/>
      <c r="AM2003" s="25"/>
      <c r="AN2003" s="25"/>
      <c r="AO2003" s="25"/>
      <c r="AP2003" s="25"/>
      <c r="AQ2003" s="25"/>
      <c r="AR2003" s="25"/>
      <c r="AS2003" s="25"/>
      <c r="AT2003" s="25"/>
      <c r="AU2003" s="36"/>
      <c r="AV2003" s="36"/>
      <c r="AW2003" s="36"/>
      <c r="AX2003" s="25"/>
      <c r="AY2003" s="25"/>
      <c r="AZ2003" s="25"/>
      <c r="BA2003" s="25"/>
      <c r="BB2003" s="25"/>
      <c r="BC2003" s="25"/>
      <c r="BD2003" s="25"/>
      <c r="BE2003" s="25"/>
      <c r="BF2003" s="25"/>
      <c r="BG2003" s="25"/>
      <c r="BH2003" s="25"/>
      <c r="BI2003" s="25"/>
      <c r="BJ2003" s="25"/>
      <c r="BK2003" s="25"/>
      <c r="BL2003" s="25"/>
      <c r="BM2003" s="25"/>
      <c r="BN2003" s="25"/>
      <c r="BO2003" s="25"/>
      <c r="BP2003" s="25"/>
      <c r="BQ2003" s="25"/>
      <c r="BR2003" s="25"/>
      <c r="BS2003" s="25"/>
      <c r="BT2003" s="25"/>
      <c r="BU2003"/>
      <c r="BV2003"/>
      <c r="BW2003"/>
      <c r="BX2003"/>
      <c r="BY2003"/>
      <c r="BZ2003"/>
      <c r="CA2003"/>
      <c r="CB2003"/>
      <c r="CC2003"/>
      <c r="CD2003" s="25"/>
    </row>
    <row r="2004" spans="1:82" s="17" customFormat="1" x14ac:dyDescent="0.2">
      <c r="A2004" s="25"/>
      <c r="B2004" s="20">
        <v>39083006700</v>
      </c>
      <c r="C2004" s="20">
        <v>67</v>
      </c>
      <c r="D2004" s="20" t="s">
        <v>114</v>
      </c>
      <c r="E2004" s="20" t="s">
        <v>265</v>
      </c>
      <c r="F2004" s="20" t="s">
        <v>8</v>
      </c>
      <c r="G2004" s="861">
        <v>44.087164046871003</v>
      </c>
      <c r="H2004" s="861">
        <v>49.635710696954703</v>
      </c>
      <c r="I2004" s="861">
        <v>22.7807581901987</v>
      </c>
      <c r="J2004" s="861">
        <v>66.127812908453606</v>
      </c>
      <c r="K2004" s="982">
        <v>0</v>
      </c>
      <c r="L2004" s="735">
        <v>5126</v>
      </c>
      <c r="M2004" s="735">
        <v>5443</v>
      </c>
      <c r="N2004" s="845">
        <f t="shared" si="164"/>
        <v>6.1841591884510341E-2</v>
      </c>
      <c r="O2004" s="735">
        <v>102.82159828139135</v>
      </c>
      <c r="P2004" s="735">
        <f t="shared" si="165"/>
        <v>52.936348889502469</v>
      </c>
      <c r="Q2004" s="849">
        <v>32.200000000000003</v>
      </c>
      <c r="R2004" s="71">
        <v>68125</v>
      </c>
      <c r="S2004" s="845">
        <v>0.13111438028687017</v>
      </c>
      <c r="T2004" s="845">
        <v>3.6000000000000004E-2</v>
      </c>
      <c r="U2004" s="845">
        <v>1.3000000000000001E-2</v>
      </c>
      <c r="V2004" s="845">
        <v>0</v>
      </c>
      <c r="W2004" s="845">
        <v>0.23791417707767518</v>
      </c>
      <c r="X2004" s="845">
        <v>0.30365296803652969</v>
      </c>
      <c r="Y2004" s="845">
        <v>0.94653683630350904</v>
      </c>
      <c r="Z2004" s="845">
        <v>0</v>
      </c>
      <c r="AA2004" s="845">
        <v>0</v>
      </c>
      <c r="AB2004" s="845">
        <v>2.2414109865882784E-2</v>
      </c>
      <c r="AC2004" s="845">
        <v>0</v>
      </c>
      <c r="AD2004" s="845">
        <v>1.4697776961234614E-3</v>
      </c>
      <c r="AE2004" s="845">
        <v>2.9579276134484658E-2</v>
      </c>
      <c r="AF2004" s="845">
        <v>0</v>
      </c>
      <c r="AG2004" s="845">
        <v>0.94653683630350904</v>
      </c>
      <c r="AH2004" s="20" t="str">
        <f t="shared" si="166"/>
        <v>Yes</v>
      </c>
      <c r="AI2004" s="25"/>
      <c r="AJ2004" s="25"/>
      <c r="AK2004" s="25"/>
      <c r="AL2004" s="25"/>
      <c r="AM2004" s="25"/>
      <c r="AN2004" s="25"/>
      <c r="AO2004" s="25"/>
      <c r="AP2004" s="25"/>
      <c r="AQ2004" s="25"/>
      <c r="AR2004" s="25"/>
      <c r="AS2004" s="25"/>
      <c r="AT2004" s="25"/>
      <c r="AU2004" s="36"/>
      <c r="AV2004" s="36"/>
      <c r="AW2004" s="36"/>
      <c r="AX2004" s="25"/>
      <c r="AY2004" s="25"/>
      <c r="AZ2004" s="25"/>
      <c r="BA2004" s="25"/>
      <c r="BB2004" s="25"/>
      <c r="BC2004" s="25"/>
      <c r="BD2004" s="25"/>
      <c r="BE2004" s="25"/>
      <c r="BF2004" s="25"/>
      <c r="BG2004" s="25"/>
      <c r="BH2004" s="25"/>
      <c r="BI2004" s="25"/>
      <c r="BJ2004" s="25"/>
      <c r="BK2004" s="25"/>
      <c r="BL2004" s="25"/>
      <c r="BM2004" s="25"/>
      <c r="BN2004" s="25"/>
      <c r="BO2004" s="25"/>
      <c r="BP2004" s="25"/>
      <c r="BQ2004" s="25"/>
      <c r="BR2004" s="25"/>
      <c r="BS2004" s="25"/>
      <c r="BT2004" s="25"/>
      <c r="BU2004"/>
      <c r="BV2004"/>
      <c r="BW2004"/>
      <c r="BX2004"/>
      <c r="BY2004"/>
      <c r="BZ2004"/>
      <c r="CA2004"/>
      <c r="CB2004"/>
      <c r="CC2004"/>
      <c r="CD2004" s="25"/>
    </row>
    <row r="2005" spans="1:82" s="17" customFormat="1" x14ac:dyDescent="0.2">
      <c r="A2005" s="25"/>
      <c r="B2005" s="20">
        <v>39103408101</v>
      </c>
      <c r="C2005" s="20">
        <v>4081.01</v>
      </c>
      <c r="D2005" s="20" t="s">
        <v>57</v>
      </c>
      <c r="E2005" s="20" t="s">
        <v>2829</v>
      </c>
      <c r="F2005" s="20" t="s">
        <v>8</v>
      </c>
      <c r="G2005" s="861">
        <v>44.080419882308497</v>
      </c>
      <c r="H2005" s="861">
        <v>30.605018918353501</v>
      </c>
      <c r="I2005" s="861">
        <v>43.733533025163503</v>
      </c>
      <c r="J2005" s="861">
        <v>32.9935127668776</v>
      </c>
      <c r="K2005" s="982">
        <v>1</v>
      </c>
      <c r="L2005" s="735" t="s">
        <v>2466</v>
      </c>
      <c r="M2005" s="735">
        <v>3784</v>
      </c>
      <c r="N2005" s="845" t="str">
        <f t="shared" si="164"/>
        <v/>
      </c>
      <c r="O2005" s="735">
        <v>0.90736285271981432</v>
      </c>
      <c r="P2005" s="735">
        <f t="shared" si="165"/>
        <v>4170.3272165677536</v>
      </c>
      <c r="Q2005" s="849">
        <v>44.4</v>
      </c>
      <c r="R2005" s="71">
        <v>39625</v>
      </c>
      <c r="S2005" s="845">
        <v>0.16706891928130865</v>
      </c>
      <c r="T2005" s="845">
        <v>0.121</v>
      </c>
      <c r="U2005" s="845">
        <v>0</v>
      </c>
      <c r="V2005" s="845">
        <v>6.7000000000000004E-2</v>
      </c>
      <c r="W2005" s="845">
        <v>0.56637649619151254</v>
      </c>
      <c r="X2005" s="845">
        <v>0.49471661863592697</v>
      </c>
      <c r="Y2005" s="845">
        <v>0.82214587737843547</v>
      </c>
      <c r="Z2005" s="845">
        <v>8.9059196617336148E-2</v>
      </c>
      <c r="AA2005" s="845">
        <v>1.0570824524312897E-3</v>
      </c>
      <c r="AB2005" s="845">
        <v>8.9852008456659613E-3</v>
      </c>
      <c r="AC2005" s="845">
        <v>0</v>
      </c>
      <c r="AD2005" s="845">
        <v>0</v>
      </c>
      <c r="AE2005" s="845">
        <v>7.8752642706131082E-2</v>
      </c>
      <c r="AF2005" s="845">
        <v>2.8012684989429177E-2</v>
      </c>
      <c r="AG2005" s="845">
        <v>0.79413319238900637</v>
      </c>
      <c r="AH2005" s="20" t="str">
        <f t="shared" si="166"/>
        <v>No</v>
      </c>
      <c r="AI2005" s="25"/>
      <c r="AJ2005" s="25"/>
      <c r="AK2005" s="25"/>
      <c r="AL2005" s="25"/>
      <c r="AM2005" s="25"/>
      <c r="AN2005" s="25"/>
      <c r="AO2005" s="25"/>
      <c r="AP2005" s="25"/>
      <c r="AQ2005" s="25"/>
      <c r="AR2005" s="25"/>
      <c r="AS2005" s="25"/>
      <c r="AT2005" s="25"/>
      <c r="AU2005" s="36"/>
      <c r="AV2005" s="36"/>
      <c r="AW2005" s="36"/>
      <c r="AX2005" s="25"/>
      <c r="AY2005" s="25"/>
      <c r="AZ2005" s="25"/>
      <c r="BA2005" s="25"/>
      <c r="BB2005" s="25"/>
      <c r="BC2005" s="25"/>
      <c r="BD2005" s="25"/>
      <c r="BE2005" s="25"/>
      <c r="BF2005" s="25"/>
      <c r="BG2005" s="25"/>
      <c r="BH2005" s="25"/>
      <c r="BI2005" s="25"/>
      <c r="BJ2005" s="25"/>
      <c r="BK2005" s="25"/>
      <c r="BL2005" s="25"/>
      <c r="BM2005" s="25"/>
      <c r="BN2005" s="25"/>
      <c r="BO2005" s="25"/>
      <c r="BP2005" s="25"/>
      <c r="BQ2005" s="25"/>
      <c r="BR2005" s="25"/>
      <c r="BS2005" s="25"/>
      <c r="BT2005" s="25"/>
      <c r="BU2005"/>
      <c r="BV2005"/>
      <c r="BW2005"/>
      <c r="BX2005"/>
      <c r="BY2005"/>
      <c r="BZ2005"/>
      <c r="CA2005"/>
      <c r="CB2005"/>
      <c r="CC2005"/>
      <c r="CD2005" s="25"/>
    </row>
    <row r="2006" spans="1:82" s="17" customFormat="1" x14ac:dyDescent="0.2">
      <c r="A2006" s="25"/>
      <c r="B2006" s="20">
        <v>39073964900</v>
      </c>
      <c r="C2006" s="20">
        <v>9649</v>
      </c>
      <c r="D2006" s="20" t="s">
        <v>43</v>
      </c>
      <c r="E2006" s="20" t="s">
        <v>2830</v>
      </c>
      <c r="F2006" s="20" t="s">
        <v>8</v>
      </c>
      <c r="G2006" s="861">
        <v>44.075003589289501</v>
      </c>
      <c r="H2006" s="861">
        <v>44.320424443859302</v>
      </c>
      <c r="I2006" s="861">
        <v>22.554683086678299</v>
      </c>
      <c r="J2006" s="861">
        <v>62.1324657119237</v>
      </c>
      <c r="K2006" s="982">
        <v>0</v>
      </c>
      <c r="L2006" s="735">
        <v>4487</v>
      </c>
      <c r="M2006" s="735">
        <v>4415</v>
      </c>
      <c r="N2006" s="845">
        <f t="shared" si="164"/>
        <v>-1.6046356139959885E-2</v>
      </c>
      <c r="O2006" s="735">
        <v>72.476894112073751</v>
      </c>
      <c r="P2006" s="735">
        <f t="shared" si="165"/>
        <v>60.915965758313526</v>
      </c>
      <c r="Q2006" s="849">
        <v>44.7</v>
      </c>
      <c r="R2006" s="71">
        <v>95851</v>
      </c>
      <c r="S2006" s="845">
        <v>8.357870894677237E-2</v>
      </c>
      <c r="T2006" s="845">
        <v>5.9000000000000004E-2</v>
      </c>
      <c r="U2006" s="845">
        <v>1.1000000000000001E-2</v>
      </c>
      <c r="V2006" s="845">
        <v>0</v>
      </c>
      <c r="W2006" s="845">
        <v>0.10215053763440861</v>
      </c>
      <c r="X2006" s="845">
        <v>0.55789473684210522</v>
      </c>
      <c r="Y2006" s="845">
        <v>0.96511891279728201</v>
      </c>
      <c r="Z2006" s="845">
        <v>0</v>
      </c>
      <c r="AA2006" s="845">
        <v>6.7950169875424684E-4</v>
      </c>
      <c r="AB2006" s="845">
        <v>8.8335220838052092E-3</v>
      </c>
      <c r="AC2006" s="845">
        <v>0</v>
      </c>
      <c r="AD2006" s="845">
        <v>0</v>
      </c>
      <c r="AE2006" s="845">
        <v>2.536806342015855E-2</v>
      </c>
      <c r="AF2006" s="845">
        <v>5.2095130237825591E-3</v>
      </c>
      <c r="AG2006" s="845">
        <v>0.96511891279728201</v>
      </c>
      <c r="AH2006" s="20" t="str">
        <f t="shared" si="166"/>
        <v>Yes</v>
      </c>
      <c r="AI2006" s="25"/>
      <c r="AJ2006" s="25"/>
      <c r="AK2006" s="25"/>
      <c r="AL2006" s="25"/>
      <c r="AM2006" s="25"/>
      <c r="AN2006" s="25"/>
      <c r="AO2006" s="25"/>
      <c r="AP2006" s="25"/>
      <c r="AQ2006" s="25"/>
      <c r="AR2006" s="25"/>
      <c r="AS2006" s="25"/>
      <c r="AT2006" s="25"/>
      <c r="AU2006" s="36"/>
      <c r="AV2006" s="36"/>
      <c r="AW2006" s="36"/>
      <c r="AX2006" s="25"/>
      <c r="AY2006" s="25"/>
      <c r="AZ2006" s="25"/>
      <c r="BA2006" s="25"/>
      <c r="BB2006" s="25"/>
      <c r="BC2006" s="25"/>
      <c r="BD2006" s="25"/>
      <c r="BE2006" s="25"/>
      <c r="BF2006" s="25"/>
      <c r="BG2006" s="25"/>
      <c r="BH2006" s="25"/>
      <c r="BI2006" s="25"/>
      <c r="BJ2006" s="25"/>
      <c r="BK2006" s="25"/>
      <c r="BL2006" s="25"/>
      <c r="BM2006" s="25"/>
      <c r="BN2006" s="25"/>
      <c r="BO2006" s="25"/>
      <c r="BP2006" s="25"/>
      <c r="BQ2006" s="25"/>
      <c r="BR2006" s="25"/>
      <c r="BS2006" s="25"/>
      <c r="BT2006" s="25"/>
      <c r="BU2006"/>
      <c r="BV2006"/>
      <c r="BW2006"/>
      <c r="BX2006"/>
      <c r="BY2006"/>
      <c r="BZ2006"/>
      <c r="CA2006"/>
      <c r="CB2006"/>
      <c r="CC2006"/>
      <c r="CD2006" s="25"/>
    </row>
    <row r="2007" spans="1:82" s="17" customFormat="1" x14ac:dyDescent="0.2">
      <c r="A2007" s="25"/>
      <c r="B2007" s="20">
        <v>39035178204</v>
      </c>
      <c r="C2007" s="20">
        <v>1782.04</v>
      </c>
      <c r="D2007" s="20" t="s">
        <v>24</v>
      </c>
      <c r="E2007" s="20" t="s">
        <v>2829</v>
      </c>
      <c r="F2007" s="20" t="s">
        <v>6</v>
      </c>
      <c r="G2007" s="861">
        <v>44.071923972241002</v>
      </c>
      <c r="H2007" s="861">
        <v>48.604910545375198</v>
      </c>
      <c r="I2007" s="861">
        <v>42.405073246703601</v>
      </c>
      <c r="J2007" s="861">
        <v>53.111245960181499</v>
      </c>
      <c r="K2007" s="982">
        <v>0</v>
      </c>
      <c r="L2007" s="735">
        <v>4434</v>
      </c>
      <c r="M2007" s="735">
        <v>5756</v>
      </c>
      <c r="N2007" s="845">
        <f t="shared" si="164"/>
        <v>0.29815065403698693</v>
      </c>
      <c r="O2007" s="735">
        <v>0.61475301521751002</v>
      </c>
      <c r="P2007" s="735">
        <f t="shared" si="165"/>
        <v>9363.1098303168619</v>
      </c>
      <c r="Q2007" s="849">
        <v>35.1</v>
      </c>
      <c r="R2007" s="71">
        <v>46013</v>
      </c>
      <c r="S2007" s="845">
        <v>0.27484364141765116</v>
      </c>
      <c r="T2007" s="845">
        <v>7.0000000000000007E-2</v>
      </c>
      <c r="U2007" s="845">
        <v>0</v>
      </c>
      <c r="V2007" s="845">
        <v>0</v>
      </c>
      <c r="W2007" s="845">
        <v>0.69529564091497631</v>
      </c>
      <c r="X2007" s="845">
        <v>0.54189944134078216</v>
      </c>
      <c r="Y2007" s="845">
        <v>0.57817929117442668</v>
      </c>
      <c r="Z2007" s="845">
        <v>0.28283530229325921</v>
      </c>
      <c r="AA2007" s="845">
        <v>0</v>
      </c>
      <c r="AB2007" s="845">
        <v>5.3683113273106327E-2</v>
      </c>
      <c r="AC2007" s="845">
        <v>4.6907574704656008E-3</v>
      </c>
      <c r="AD2007" s="845">
        <v>4.291174426685198E-2</v>
      </c>
      <c r="AE2007" s="845">
        <v>3.7699791521890201E-2</v>
      </c>
      <c r="AF2007" s="845">
        <v>5.055594162612926E-2</v>
      </c>
      <c r="AG2007" s="845">
        <v>0.56097984711605287</v>
      </c>
      <c r="AH2007" s="20" t="str">
        <f t="shared" si="166"/>
        <v>No</v>
      </c>
      <c r="AI2007" s="25"/>
      <c r="AJ2007" s="25"/>
      <c r="AK2007" s="25"/>
      <c r="AL2007" s="25"/>
      <c r="AM2007" s="25"/>
      <c r="AN2007" s="25"/>
      <c r="AO2007" s="25"/>
      <c r="AP2007" s="25"/>
      <c r="AQ2007" s="25"/>
      <c r="AR2007" s="25"/>
      <c r="AS2007" s="25"/>
      <c r="AT2007" s="25"/>
      <c r="AU2007" s="36"/>
      <c r="AV2007" s="36"/>
      <c r="AW2007" s="36"/>
      <c r="AX2007" s="25"/>
      <c r="AY2007" s="25"/>
      <c r="AZ2007" s="25"/>
      <c r="BA2007" s="25"/>
      <c r="BB2007" s="25"/>
      <c r="BC2007" s="25"/>
      <c r="BD2007" s="25"/>
      <c r="BE2007" s="25"/>
      <c r="BF2007" s="25"/>
      <c r="BG2007" s="25"/>
      <c r="BH2007" s="25"/>
      <c r="BI2007" s="25"/>
      <c r="BJ2007" s="25"/>
      <c r="BK2007" s="25"/>
      <c r="BL2007" s="25"/>
      <c r="BM2007" s="25"/>
      <c r="BN2007" s="25"/>
      <c r="BO2007" s="25"/>
      <c r="BP2007" s="25"/>
      <c r="BQ2007" s="25"/>
      <c r="BR2007" s="25"/>
      <c r="BS2007" s="25"/>
      <c r="BT2007" s="25"/>
      <c r="BU2007"/>
      <c r="BV2007"/>
      <c r="BW2007"/>
      <c r="BX2007"/>
      <c r="BY2007"/>
      <c r="BZ2007"/>
      <c r="CA2007"/>
      <c r="CB2007"/>
      <c r="CC2007"/>
      <c r="CD2007" s="25"/>
    </row>
    <row r="2008" spans="1:82" s="17" customFormat="1" x14ac:dyDescent="0.2">
      <c r="A2008" s="25"/>
      <c r="B2008" s="20">
        <v>39135410100</v>
      </c>
      <c r="C2008" s="20">
        <v>4101</v>
      </c>
      <c r="D2008" s="20" t="s">
        <v>73</v>
      </c>
      <c r="E2008" s="20" t="s">
        <v>265</v>
      </c>
      <c r="F2008" s="20" t="s">
        <v>8</v>
      </c>
      <c r="G2008" s="861">
        <v>44.066130354686301</v>
      </c>
      <c r="H2008" s="861">
        <v>60.250228055376702</v>
      </c>
      <c r="I2008" s="861">
        <v>17.0459375137644</v>
      </c>
      <c r="J2008" s="861">
        <v>43.881622023387202</v>
      </c>
      <c r="K2008" s="982">
        <v>0</v>
      </c>
      <c r="L2008" s="735">
        <v>2275</v>
      </c>
      <c r="M2008" s="735">
        <v>2330</v>
      </c>
      <c r="N2008" s="845">
        <f t="shared" si="164"/>
        <v>2.4175824175824177E-2</v>
      </c>
      <c r="O2008" s="735">
        <v>35.12078053516624</v>
      </c>
      <c r="P2008" s="735">
        <f t="shared" si="165"/>
        <v>66.342489104619531</v>
      </c>
      <c r="Q2008" s="849">
        <v>36.700000000000003</v>
      </c>
      <c r="R2008" s="71">
        <v>72877</v>
      </c>
      <c r="S2008" s="845">
        <v>9.5094664371772802E-2</v>
      </c>
      <c r="T2008" s="845">
        <v>0.02</v>
      </c>
      <c r="U2008" s="845">
        <v>8.0000000000000002E-3</v>
      </c>
      <c r="V2008" s="845">
        <v>0.13300000000000001</v>
      </c>
      <c r="W2008" s="845">
        <v>0.17275747508305647</v>
      </c>
      <c r="X2008" s="845">
        <v>0.17307692307692307</v>
      </c>
      <c r="Y2008" s="845">
        <v>0.96695278969957077</v>
      </c>
      <c r="Z2008" s="845">
        <v>0</v>
      </c>
      <c r="AA2008" s="845">
        <v>0</v>
      </c>
      <c r="AB2008" s="845">
        <v>0</v>
      </c>
      <c r="AC2008" s="845">
        <v>0</v>
      </c>
      <c r="AD2008" s="845">
        <v>1.0729613733905579E-2</v>
      </c>
      <c r="AE2008" s="845">
        <v>2.2317596566523604E-2</v>
      </c>
      <c r="AF2008" s="845">
        <v>5.1502145922746783E-3</v>
      </c>
      <c r="AG2008" s="845">
        <v>0.96609442060085837</v>
      </c>
      <c r="AH2008" s="20" t="str">
        <f t="shared" si="166"/>
        <v>Yes</v>
      </c>
      <c r="AI2008" s="25"/>
      <c r="AJ2008" s="25"/>
      <c r="AK2008" s="25"/>
      <c r="AL2008" s="25"/>
      <c r="AM2008" s="25"/>
      <c r="AN2008" s="25"/>
      <c r="AO2008" s="25"/>
      <c r="AP2008" s="25"/>
      <c r="AQ2008" s="25"/>
      <c r="AR2008" s="25"/>
      <c r="AS2008" s="25"/>
      <c r="AT2008" s="25"/>
      <c r="AU2008" s="36"/>
      <c r="AV2008" s="36"/>
      <c r="AW2008" s="36"/>
      <c r="AX2008" s="25"/>
      <c r="AY2008" s="25"/>
      <c r="AZ2008" s="25"/>
      <c r="BA2008" s="25"/>
      <c r="BB2008" s="25"/>
      <c r="BC2008" s="25"/>
      <c r="BD2008" s="25"/>
      <c r="BE2008" s="25"/>
      <c r="BF2008" s="25"/>
      <c r="BG2008" s="25"/>
      <c r="BH2008" s="25"/>
      <c r="BI2008" s="25"/>
      <c r="BJ2008" s="25"/>
      <c r="BK2008" s="25"/>
      <c r="BL2008" s="25"/>
      <c r="BM2008" s="25"/>
      <c r="BN2008" s="25"/>
      <c r="BO2008" s="25"/>
      <c r="BP2008" s="25"/>
      <c r="BQ2008" s="25"/>
      <c r="BR2008" s="25"/>
      <c r="BS2008" s="25"/>
      <c r="BT2008" s="25"/>
      <c r="BU2008"/>
      <c r="BV2008"/>
      <c r="BW2008"/>
      <c r="BX2008"/>
      <c r="BY2008"/>
      <c r="BZ2008"/>
      <c r="CA2008"/>
      <c r="CB2008"/>
      <c r="CC2008"/>
      <c r="CD2008" s="25"/>
    </row>
    <row r="2009" spans="1:82" s="17" customFormat="1" x14ac:dyDescent="0.2">
      <c r="A2009" s="25"/>
      <c r="B2009" s="20">
        <v>39129021202</v>
      </c>
      <c r="C2009" s="20">
        <v>212.02</v>
      </c>
      <c r="D2009" s="20" t="s">
        <v>70</v>
      </c>
      <c r="E2009" s="20" t="s">
        <v>2830</v>
      </c>
      <c r="F2009" s="20" t="s">
        <v>8</v>
      </c>
      <c r="G2009" s="861">
        <v>44.058512485296099</v>
      </c>
      <c r="H2009" s="861">
        <v>53.526076641392699</v>
      </c>
      <c r="I2009" s="861">
        <v>28.414370485649702</v>
      </c>
      <c r="J2009" s="861">
        <v>66.689877869978304</v>
      </c>
      <c r="K2009" s="982">
        <v>0</v>
      </c>
      <c r="L2009" s="735" t="s">
        <v>2466</v>
      </c>
      <c r="M2009" s="735">
        <v>3609</v>
      </c>
      <c r="N2009" s="845" t="str">
        <f t="shared" si="164"/>
        <v/>
      </c>
      <c r="O2009" s="735">
        <v>18.757990746142848</v>
      </c>
      <c r="P2009" s="735">
        <f t="shared" si="165"/>
        <v>192.39800514040175</v>
      </c>
      <c r="Q2009" s="849">
        <v>34.700000000000003</v>
      </c>
      <c r="R2009" s="71">
        <v>66810</v>
      </c>
      <c r="S2009" s="845">
        <v>0.16375242853177907</v>
      </c>
      <c r="T2009" s="845">
        <v>5.4000000000000006E-2</v>
      </c>
      <c r="U2009" s="845">
        <v>0</v>
      </c>
      <c r="V2009" s="845">
        <v>4.5999999999999999E-2</v>
      </c>
      <c r="W2009" s="845">
        <v>0.27035830618892509</v>
      </c>
      <c r="X2009" s="845">
        <v>0.54216867469879515</v>
      </c>
      <c r="Y2009" s="845">
        <v>0.90080354668883345</v>
      </c>
      <c r="Z2009" s="845">
        <v>5.8187863674147968E-3</v>
      </c>
      <c r="AA2009" s="845">
        <v>0</v>
      </c>
      <c r="AB2009" s="845">
        <v>0</v>
      </c>
      <c r="AC2009" s="845">
        <v>0</v>
      </c>
      <c r="AD2009" s="845">
        <v>8.3125519534497094E-3</v>
      </c>
      <c r="AE2009" s="845">
        <v>8.5065114990302018E-2</v>
      </c>
      <c r="AF2009" s="845">
        <v>3.4635633139373789E-2</v>
      </c>
      <c r="AG2009" s="845">
        <v>0.88999722914934887</v>
      </c>
      <c r="AH2009" s="20" t="str">
        <f t="shared" si="166"/>
        <v>No</v>
      </c>
      <c r="AI2009" s="25"/>
      <c r="AJ2009" s="25"/>
      <c r="AK2009" s="25"/>
      <c r="AL2009" s="25"/>
      <c r="AM2009" s="25"/>
      <c r="AN2009" s="25"/>
      <c r="AO2009" s="25"/>
      <c r="AP2009" s="25"/>
      <c r="AQ2009" s="25"/>
      <c r="AR2009" s="25"/>
      <c r="AS2009" s="25"/>
      <c r="AT2009" s="25"/>
      <c r="AU2009" s="36"/>
      <c r="AV2009" s="36"/>
      <c r="AW2009" s="36"/>
      <c r="AX2009" s="25"/>
      <c r="AY2009" s="25"/>
      <c r="AZ2009" s="25"/>
      <c r="BA2009" s="25"/>
      <c r="BB2009" s="25"/>
      <c r="BC2009" s="25"/>
      <c r="BD2009" s="25"/>
      <c r="BE2009" s="25"/>
      <c r="BF2009" s="25"/>
      <c r="BG2009" s="25"/>
      <c r="BH2009" s="25"/>
      <c r="BI2009" s="25"/>
      <c r="BJ2009" s="25"/>
      <c r="BK2009" s="25"/>
      <c r="BL2009" s="25"/>
      <c r="BM2009" s="25"/>
      <c r="BN2009" s="25"/>
      <c r="BO2009" s="25"/>
      <c r="BP2009" s="25"/>
      <c r="BQ2009" s="25"/>
      <c r="BR2009" s="25"/>
      <c r="BS2009" s="25"/>
      <c r="BT2009" s="25"/>
      <c r="BU2009"/>
      <c r="BV2009"/>
      <c r="BW2009"/>
      <c r="BX2009"/>
      <c r="BY2009"/>
      <c r="BZ2009"/>
      <c r="CA2009"/>
      <c r="CB2009"/>
      <c r="CC2009"/>
      <c r="CD2009" s="25"/>
    </row>
    <row r="2010" spans="1:82" s="17" customFormat="1" x14ac:dyDescent="0.2">
      <c r="A2010" s="25"/>
      <c r="B2010" s="20">
        <v>39035133103</v>
      </c>
      <c r="C2010" s="20">
        <v>1331.03</v>
      </c>
      <c r="D2010" s="20" t="s">
        <v>24</v>
      </c>
      <c r="E2010" s="20" t="s">
        <v>2829</v>
      </c>
      <c r="F2010" s="20" t="s">
        <v>8</v>
      </c>
      <c r="G2010" s="861">
        <v>44.050139213190597</v>
      </c>
      <c r="H2010" s="861">
        <v>42.894270183126601</v>
      </c>
      <c r="I2010" s="861">
        <v>44.924562226521203</v>
      </c>
      <c r="J2010" s="861">
        <v>45.387960554026598</v>
      </c>
      <c r="K2010" s="982">
        <v>0</v>
      </c>
      <c r="L2010" s="735">
        <v>3257</v>
      </c>
      <c r="M2010" s="735">
        <v>3091</v>
      </c>
      <c r="N2010" s="845">
        <f t="shared" si="164"/>
        <v>-5.0967147681915875E-2</v>
      </c>
      <c r="O2010" s="735">
        <v>1.2917881696375819</v>
      </c>
      <c r="P2010" s="735">
        <f t="shared" si="165"/>
        <v>2392.8071743118662</v>
      </c>
      <c r="Q2010" s="849">
        <v>42.8</v>
      </c>
      <c r="R2010" s="71">
        <v>46410</v>
      </c>
      <c r="S2010" s="845">
        <v>9.1232610805564537E-2</v>
      </c>
      <c r="T2010" s="845">
        <v>0.11199999999999999</v>
      </c>
      <c r="U2010" s="845">
        <v>0</v>
      </c>
      <c r="V2010" s="845">
        <v>0.04</v>
      </c>
      <c r="W2010" s="845">
        <v>0.56463022508038585</v>
      </c>
      <c r="X2010" s="845">
        <v>0.53644646924829154</v>
      </c>
      <c r="Y2010" s="845">
        <v>0.1552895503073439</v>
      </c>
      <c r="Z2010" s="845">
        <v>0.79780006470397935</v>
      </c>
      <c r="AA2010" s="845">
        <v>0</v>
      </c>
      <c r="AB2010" s="845">
        <v>0</v>
      </c>
      <c r="AC2010" s="845">
        <v>0</v>
      </c>
      <c r="AD2010" s="845">
        <v>0</v>
      </c>
      <c r="AE2010" s="845">
        <v>4.6910384988676807E-2</v>
      </c>
      <c r="AF2010" s="845">
        <v>2.2969912649627951E-2</v>
      </c>
      <c r="AG2010" s="845">
        <v>0.1552895503073439</v>
      </c>
      <c r="AH2010" s="20" t="str">
        <f t="shared" si="166"/>
        <v>No</v>
      </c>
      <c r="AI2010" s="25"/>
      <c r="AJ2010" s="25"/>
      <c r="AK2010" s="25"/>
      <c r="AL2010" s="25"/>
      <c r="AM2010" s="25"/>
      <c r="AN2010" s="25"/>
      <c r="AO2010" s="25"/>
      <c r="AP2010" s="25"/>
      <c r="AQ2010" s="25"/>
      <c r="AR2010" s="25"/>
      <c r="AS2010" s="25"/>
      <c r="AT2010" s="25"/>
      <c r="AU2010" s="36"/>
      <c r="AV2010" s="36"/>
      <c r="AW2010" s="36"/>
      <c r="AX2010" s="25"/>
      <c r="AY2010" s="25"/>
      <c r="AZ2010" s="25"/>
      <c r="BA2010" s="25"/>
      <c r="BB2010" s="25"/>
      <c r="BC2010" s="25"/>
      <c r="BD2010" s="25"/>
      <c r="BE2010" s="25"/>
      <c r="BF2010" s="25"/>
      <c r="BG2010" s="25"/>
      <c r="BH2010" s="25"/>
      <c r="BI2010" s="25"/>
      <c r="BJ2010" s="25"/>
      <c r="BK2010" s="25"/>
      <c r="BL2010" s="25"/>
      <c r="BM2010" s="25"/>
      <c r="BN2010" s="25"/>
      <c r="BO2010" s="25"/>
      <c r="BP2010" s="25"/>
      <c r="BQ2010" s="25"/>
      <c r="BR2010" s="25"/>
      <c r="BS2010" s="25"/>
      <c r="BT2010" s="25"/>
      <c r="BU2010"/>
      <c r="BV2010"/>
      <c r="BW2010"/>
      <c r="BX2010"/>
      <c r="BY2010"/>
      <c r="BZ2010"/>
      <c r="CA2010"/>
      <c r="CB2010"/>
      <c r="CC2010"/>
      <c r="CD2010" s="25"/>
    </row>
    <row r="2011" spans="1:82" s="17" customFormat="1" x14ac:dyDescent="0.2">
      <c r="A2011" s="25"/>
      <c r="B2011" s="20">
        <v>39061002800</v>
      </c>
      <c r="C2011" s="20">
        <v>28</v>
      </c>
      <c r="D2011" s="20" t="s">
        <v>37</v>
      </c>
      <c r="E2011" s="20" t="s">
        <v>2828</v>
      </c>
      <c r="F2011" s="20" t="s">
        <v>6</v>
      </c>
      <c r="G2011" s="861">
        <v>44.048463001520602</v>
      </c>
      <c r="H2011" s="861">
        <v>68.841037440192096</v>
      </c>
      <c r="I2011" s="861">
        <v>71.915898675674697</v>
      </c>
      <c r="J2011" s="861">
        <v>49.440154963177299</v>
      </c>
      <c r="K2011" s="982">
        <v>0</v>
      </c>
      <c r="L2011" s="735">
        <v>1687</v>
      </c>
      <c r="M2011" s="735">
        <v>1128</v>
      </c>
      <c r="N2011" s="845">
        <f t="shared" si="164"/>
        <v>-0.33135743924125666</v>
      </c>
      <c r="O2011" s="735">
        <v>1.1998275158104876</v>
      </c>
      <c r="P2011" s="735">
        <f t="shared" si="165"/>
        <v>940.13513203856814</v>
      </c>
      <c r="Q2011" s="849">
        <v>42</v>
      </c>
      <c r="R2011" s="71">
        <v>46111</v>
      </c>
      <c r="S2011" s="845">
        <v>0.2978723404255319</v>
      </c>
      <c r="T2011" s="845">
        <v>0.13100000000000001</v>
      </c>
      <c r="U2011" s="845">
        <v>0</v>
      </c>
      <c r="V2011" s="845">
        <v>0.03</v>
      </c>
      <c r="W2011" s="845">
        <v>0.75769230769230766</v>
      </c>
      <c r="X2011" s="845">
        <v>0.36548223350253806</v>
      </c>
      <c r="Y2011" s="845">
        <v>0.60106382978723405</v>
      </c>
      <c r="Z2011" s="845">
        <v>0.32092198581560283</v>
      </c>
      <c r="AA2011" s="845">
        <v>0</v>
      </c>
      <c r="AB2011" s="845">
        <v>1.152482269503546E-2</v>
      </c>
      <c r="AC2011" s="845">
        <v>0</v>
      </c>
      <c r="AD2011" s="845">
        <v>1.5957446808510637E-2</v>
      </c>
      <c r="AE2011" s="845">
        <v>5.0531914893617018E-2</v>
      </c>
      <c r="AF2011" s="845">
        <v>3.1914893617021274E-2</v>
      </c>
      <c r="AG2011" s="845">
        <v>0.58953900709219853</v>
      </c>
      <c r="AH2011" s="20" t="str">
        <f t="shared" si="166"/>
        <v>No</v>
      </c>
      <c r="AI2011" s="25"/>
      <c r="AJ2011" s="25"/>
      <c r="AK2011" s="25"/>
      <c r="AL2011" s="25"/>
      <c r="AM2011" s="25"/>
      <c r="AN2011" s="25"/>
      <c r="AO2011" s="25"/>
      <c r="AP2011" s="25"/>
      <c r="AQ2011" s="25"/>
      <c r="AR2011" s="25"/>
      <c r="AS2011" s="25"/>
      <c r="AT2011" s="25"/>
      <c r="AU2011" s="36"/>
      <c r="AV2011" s="36"/>
      <c r="AW2011" s="36"/>
      <c r="AX2011" s="25"/>
      <c r="AY2011" s="25"/>
      <c r="AZ2011" s="25"/>
      <c r="BA2011" s="25"/>
      <c r="BB2011" s="25"/>
      <c r="BC2011" s="25"/>
      <c r="BD2011" s="25"/>
      <c r="BE2011" s="25"/>
      <c r="BF2011" s="25"/>
      <c r="BG2011" s="25"/>
      <c r="BH2011" s="25"/>
      <c r="BI2011" s="25"/>
      <c r="BJ2011" s="25"/>
      <c r="BK2011" s="25"/>
      <c r="BL2011" s="25"/>
      <c r="BM2011" s="25"/>
      <c r="BN2011" s="25"/>
      <c r="BO2011" s="25"/>
      <c r="BP2011" s="25"/>
      <c r="BQ2011" s="25"/>
      <c r="BR2011" s="25"/>
      <c r="BS2011" s="25"/>
      <c r="BT2011" s="25"/>
      <c r="BU2011"/>
      <c r="BV2011"/>
      <c r="BW2011"/>
      <c r="BX2011"/>
      <c r="BY2011"/>
      <c r="BZ2011"/>
      <c r="CA2011"/>
      <c r="CB2011"/>
      <c r="CC2011"/>
      <c r="CD2011" s="25"/>
    </row>
    <row r="2012" spans="1:82" s="17" customFormat="1" x14ac:dyDescent="0.2">
      <c r="A2012" s="25"/>
      <c r="B2012" s="20">
        <v>39157021900</v>
      </c>
      <c r="C2012" s="20">
        <v>219</v>
      </c>
      <c r="D2012" s="20" t="s">
        <v>84</v>
      </c>
      <c r="E2012" s="20" t="s">
        <v>265</v>
      </c>
      <c r="F2012" s="20" t="s">
        <v>8</v>
      </c>
      <c r="G2012" s="861">
        <v>44.039186889540296</v>
      </c>
      <c r="H2012" s="861">
        <v>41.929630380607897</v>
      </c>
      <c r="I2012" s="861">
        <v>15.218222152763399</v>
      </c>
      <c r="J2012" s="861">
        <v>57.107066432480202</v>
      </c>
      <c r="K2012" s="982">
        <v>0</v>
      </c>
      <c r="L2012" s="735">
        <v>2669</v>
      </c>
      <c r="M2012" s="735">
        <v>2437</v>
      </c>
      <c r="N2012" s="845">
        <f t="shared" si="164"/>
        <v>-8.6923941551142747E-2</v>
      </c>
      <c r="O2012" s="735">
        <v>48.630349117703098</v>
      </c>
      <c r="P2012" s="735">
        <f t="shared" si="165"/>
        <v>50.112739147760905</v>
      </c>
      <c r="Q2012" s="849">
        <v>40.799999999999997</v>
      </c>
      <c r="R2012" s="71">
        <v>71898</v>
      </c>
      <c r="S2012" s="845">
        <v>9.8481739844070576E-2</v>
      </c>
      <c r="T2012" s="845">
        <v>2.8999999999999998E-2</v>
      </c>
      <c r="U2012" s="845">
        <v>0</v>
      </c>
      <c r="V2012" s="845">
        <v>0</v>
      </c>
      <c r="W2012" s="845">
        <v>0.17931793179317931</v>
      </c>
      <c r="X2012" s="845">
        <v>0.17177914110429449</v>
      </c>
      <c r="Y2012" s="845">
        <v>0.93598686910135409</v>
      </c>
      <c r="Z2012" s="845">
        <v>4.103405826836274E-4</v>
      </c>
      <c r="AA2012" s="845">
        <v>0</v>
      </c>
      <c r="AB2012" s="845">
        <v>0</v>
      </c>
      <c r="AC2012" s="845">
        <v>0</v>
      </c>
      <c r="AD2012" s="845">
        <v>1.107919573245794E-2</v>
      </c>
      <c r="AE2012" s="845">
        <v>5.2523594583504307E-2</v>
      </c>
      <c r="AF2012" s="845">
        <v>8.6171522363561754E-3</v>
      </c>
      <c r="AG2012" s="845">
        <v>0.93598686910135409</v>
      </c>
      <c r="AH2012" s="20" t="str">
        <f t="shared" si="166"/>
        <v>Yes</v>
      </c>
      <c r="AI2012" s="25"/>
      <c r="AJ2012" s="25"/>
      <c r="AK2012" s="25"/>
      <c r="AL2012" s="25"/>
      <c r="AM2012" s="25"/>
      <c r="AN2012" s="25"/>
      <c r="AO2012" s="25"/>
      <c r="AP2012" s="25"/>
      <c r="AQ2012" s="25"/>
      <c r="AR2012" s="25"/>
      <c r="AS2012" s="25"/>
      <c r="AT2012" s="25"/>
      <c r="AU2012" s="36"/>
      <c r="AV2012" s="36"/>
      <c r="AW2012" s="36"/>
      <c r="AX2012" s="25"/>
      <c r="AY2012" s="25"/>
      <c r="AZ2012" s="25"/>
      <c r="BA2012" s="25"/>
      <c r="BB2012" s="25"/>
      <c r="BC2012" s="25"/>
      <c r="BD2012" s="25"/>
      <c r="BE2012" s="25"/>
      <c r="BF2012" s="25"/>
      <c r="BG2012" s="25"/>
      <c r="BH2012" s="25"/>
      <c r="BI2012" s="25"/>
      <c r="BJ2012" s="25"/>
      <c r="BK2012" s="25"/>
      <c r="BL2012" s="25"/>
      <c r="BM2012" s="25"/>
      <c r="BN2012" s="25"/>
      <c r="BO2012" s="25"/>
      <c r="BP2012" s="25"/>
      <c r="BQ2012" s="25"/>
      <c r="BR2012" s="25"/>
      <c r="BS2012" s="25"/>
      <c r="BT2012" s="25"/>
      <c r="BU2012"/>
      <c r="BV2012"/>
      <c r="BW2012"/>
      <c r="BX2012"/>
      <c r="BY2012"/>
      <c r="BZ2012"/>
      <c r="CA2012"/>
      <c r="CB2012"/>
      <c r="CC2012"/>
      <c r="CD2012" s="25"/>
    </row>
    <row r="2013" spans="1:82" s="17" customFormat="1" x14ac:dyDescent="0.2">
      <c r="A2013" s="25"/>
      <c r="B2013" s="20">
        <v>39147962700</v>
      </c>
      <c r="C2013" s="20">
        <v>9627</v>
      </c>
      <c r="D2013" s="20" t="s">
        <v>79</v>
      </c>
      <c r="E2013" s="20" t="s">
        <v>265</v>
      </c>
      <c r="F2013" s="20" t="s">
        <v>8</v>
      </c>
      <c r="G2013" s="861">
        <v>44.033832328071902</v>
      </c>
      <c r="H2013" s="861">
        <v>55.566888453512298</v>
      </c>
      <c r="I2013" s="861">
        <v>15.292180286304999</v>
      </c>
      <c r="J2013" s="861">
        <v>47.612353002715601</v>
      </c>
      <c r="K2013" s="982">
        <v>0</v>
      </c>
      <c r="L2013" s="735">
        <v>3401</v>
      </c>
      <c r="M2013" s="735">
        <v>3383</v>
      </c>
      <c r="N2013" s="845">
        <f t="shared" si="164"/>
        <v>-5.2925610114672155E-3</v>
      </c>
      <c r="O2013" s="735">
        <v>76.383685792287295</v>
      </c>
      <c r="P2013" s="735">
        <f t="shared" si="165"/>
        <v>44.289562161212075</v>
      </c>
      <c r="Q2013" s="849">
        <v>43.5</v>
      </c>
      <c r="R2013" s="71">
        <v>72955</v>
      </c>
      <c r="S2013" s="845">
        <v>0.1052163604030824</v>
      </c>
      <c r="T2013" s="845">
        <v>0</v>
      </c>
      <c r="U2013" s="845">
        <v>2.4E-2</v>
      </c>
      <c r="V2013" s="845">
        <v>0</v>
      </c>
      <c r="W2013" s="845">
        <v>0.11556603773584906</v>
      </c>
      <c r="X2013" s="845">
        <v>8.1632653061224483E-2</v>
      </c>
      <c r="Y2013" s="845">
        <v>0.93969849246231152</v>
      </c>
      <c r="Z2013" s="845">
        <v>1.4779781259237363E-3</v>
      </c>
      <c r="AA2013" s="845">
        <v>4.4339343777712089E-3</v>
      </c>
      <c r="AB2013" s="845">
        <v>0</v>
      </c>
      <c r="AC2013" s="845">
        <v>0</v>
      </c>
      <c r="AD2013" s="845">
        <v>1.8326928761454329E-2</v>
      </c>
      <c r="AE2013" s="845">
        <v>3.6062666272539165E-2</v>
      </c>
      <c r="AF2013" s="845">
        <v>4.6112917528820574E-2</v>
      </c>
      <c r="AG2013" s="845">
        <v>0.9346733668341709</v>
      </c>
      <c r="AH2013" s="20" t="str">
        <f t="shared" si="166"/>
        <v>Yes</v>
      </c>
      <c r="AI2013" s="25"/>
      <c r="AJ2013" s="25"/>
      <c r="AK2013" s="25"/>
      <c r="AL2013" s="25"/>
      <c r="AM2013" s="25"/>
      <c r="AN2013" s="25"/>
      <c r="AO2013" s="25"/>
      <c r="AP2013" s="25"/>
      <c r="AQ2013" s="25"/>
      <c r="AR2013" s="25"/>
      <c r="AS2013" s="25"/>
      <c r="AT2013" s="25"/>
      <c r="AU2013" s="36"/>
      <c r="AV2013" s="36"/>
      <c r="AW2013" s="36"/>
      <c r="AX2013" s="25"/>
      <c r="AY2013" s="25"/>
      <c r="AZ2013" s="25"/>
      <c r="BA2013" s="25"/>
      <c r="BB2013" s="25"/>
      <c r="BC2013" s="25"/>
      <c r="BD2013" s="25"/>
      <c r="BE2013" s="25"/>
      <c r="BF2013" s="25"/>
      <c r="BG2013" s="25"/>
      <c r="BH2013" s="25"/>
      <c r="BI2013" s="25"/>
      <c r="BJ2013" s="25"/>
      <c r="BK2013" s="25"/>
      <c r="BL2013" s="25"/>
      <c r="BM2013" s="25"/>
      <c r="BN2013" s="25"/>
      <c r="BO2013" s="25"/>
      <c r="BP2013" s="25"/>
      <c r="BQ2013" s="25"/>
      <c r="BR2013" s="25"/>
      <c r="BS2013" s="25"/>
      <c r="BT2013" s="25"/>
      <c r="BU2013"/>
      <c r="BV2013"/>
      <c r="BW2013"/>
      <c r="BX2013"/>
      <c r="BY2013"/>
      <c r="BZ2013"/>
      <c r="CA2013"/>
      <c r="CB2013"/>
      <c r="CC2013"/>
      <c r="CD2013" s="25"/>
    </row>
    <row r="2014" spans="1:82" s="17" customFormat="1" x14ac:dyDescent="0.2">
      <c r="A2014" s="25"/>
      <c r="B2014" s="20">
        <v>39049000320</v>
      </c>
      <c r="C2014" s="20">
        <v>3.2</v>
      </c>
      <c r="D2014" s="20" t="s">
        <v>31</v>
      </c>
      <c r="E2014" s="20" t="s">
        <v>2830</v>
      </c>
      <c r="F2014" s="20" t="s">
        <v>6</v>
      </c>
      <c r="G2014" s="861">
        <v>44.0163000237348</v>
      </c>
      <c r="H2014" s="861">
        <v>57.818472396276697</v>
      </c>
      <c r="I2014" s="861">
        <v>29.356520222757101</v>
      </c>
      <c r="J2014" s="861">
        <v>37.3229230195927</v>
      </c>
      <c r="K2014" s="982">
        <v>0</v>
      </c>
      <c r="L2014" s="735">
        <v>2398</v>
      </c>
      <c r="M2014" s="735">
        <v>3011</v>
      </c>
      <c r="N2014" s="845">
        <f t="shared" si="164"/>
        <v>0.25562969140950792</v>
      </c>
      <c r="O2014" s="735">
        <v>0.49254434608195946</v>
      </c>
      <c r="P2014" s="735">
        <f t="shared" si="165"/>
        <v>6113.1551381141408</v>
      </c>
      <c r="Q2014" s="849">
        <v>35.6</v>
      </c>
      <c r="R2014" s="71">
        <v>53084</v>
      </c>
      <c r="S2014" s="845">
        <v>8.2301773168283701E-2</v>
      </c>
      <c r="T2014" s="845">
        <v>4.8000000000000001E-2</v>
      </c>
      <c r="U2014" s="845">
        <v>0</v>
      </c>
      <c r="V2014" s="845">
        <v>0</v>
      </c>
      <c r="W2014" s="845">
        <v>0.23845007451564829</v>
      </c>
      <c r="X2014" s="845">
        <v>0.26250000000000001</v>
      </c>
      <c r="Y2014" s="845">
        <v>0.6874792427764862</v>
      </c>
      <c r="Z2014" s="845">
        <v>0.10760544669545001</v>
      </c>
      <c r="AA2014" s="845">
        <v>0</v>
      </c>
      <c r="AB2014" s="845">
        <v>4.6496180670873464E-3</v>
      </c>
      <c r="AC2014" s="845">
        <v>0</v>
      </c>
      <c r="AD2014" s="845">
        <v>8.5353703088674862E-2</v>
      </c>
      <c r="AE2014" s="845">
        <v>0.11491198937230156</v>
      </c>
      <c r="AF2014" s="845">
        <v>4.5167718365991365E-2</v>
      </c>
      <c r="AG2014" s="845">
        <v>0.66489538359349054</v>
      </c>
      <c r="AH2014" s="20" t="str">
        <f t="shared" si="166"/>
        <v>No</v>
      </c>
      <c r="AI2014" s="25"/>
      <c r="AJ2014" s="25"/>
      <c r="AK2014" s="25"/>
      <c r="AL2014" s="25"/>
      <c r="AM2014" s="25"/>
      <c r="AN2014" s="25"/>
      <c r="AO2014" s="25"/>
      <c r="AP2014" s="25"/>
      <c r="AQ2014" s="25"/>
      <c r="AR2014" s="25"/>
      <c r="AS2014" s="25"/>
      <c r="AT2014" s="25"/>
      <c r="AU2014" s="36"/>
      <c r="AV2014" s="36"/>
      <c r="AW2014" s="36"/>
      <c r="AX2014" s="25"/>
      <c r="AY2014" s="25"/>
      <c r="AZ2014" s="25"/>
      <c r="BA2014" s="25"/>
      <c r="BB2014" s="25"/>
      <c r="BC2014" s="25"/>
      <c r="BD2014" s="25"/>
      <c r="BE2014" s="25"/>
      <c r="BF2014" s="25"/>
      <c r="BG2014" s="25"/>
      <c r="BH2014" s="25"/>
      <c r="BI2014" s="25"/>
      <c r="BJ2014" s="25"/>
      <c r="BK2014" s="25"/>
      <c r="BL2014" s="25"/>
      <c r="BM2014" s="25"/>
      <c r="BN2014" s="25"/>
      <c r="BO2014" s="25"/>
      <c r="BP2014" s="25"/>
      <c r="BQ2014" s="25"/>
      <c r="BR2014" s="25"/>
      <c r="BS2014" s="25"/>
      <c r="BT2014" s="25"/>
      <c r="BU2014"/>
      <c r="BV2014"/>
      <c r="BW2014"/>
      <c r="BX2014"/>
      <c r="BY2014"/>
      <c r="BZ2014"/>
      <c r="CA2014"/>
      <c r="CB2014"/>
      <c r="CC2014"/>
      <c r="CD2014" s="25"/>
    </row>
    <row r="2015" spans="1:82" s="17" customFormat="1" x14ac:dyDescent="0.2">
      <c r="A2015" s="25"/>
      <c r="B2015" s="20">
        <v>39149972000</v>
      </c>
      <c r="C2015" s="20">
        <v>9720</v>
      </c>
      <c r="D2015" s="20" t="s">
        <v>80</v>
      </c>
      <c r="E2015" s="20" t="s">
        <v>265</v>
      </c>
      <c r="F2015" s="20" t="s">
        <v>8</v>
      </c>
      <c r="G2015" s="861">
        <v>44.008235747084903</v>
      </c>
      <c r="H2015" s="861">
        <v>47.404883883884203</v>
      </c>
      <c r="I2015" s="861">
        <v>40.182668130462098</v>
      </c>
      <c r="J2015" s="861">
        <v>52.617186754945202</v>
      </c>
      <c r="K2015" s="982">
        <v>0</v>
      </c>
      <c r="L2015" s="735">
        <v>3462</v>
      </c>
      <c r="M2015" s="735">
        <v>3704</v>
      </c>
      <c r="N2015" s="845">
        <f t="shared" si="164"/>
        <v>6.9901790872328132E-2</v>
      </c>
      <c r="O2015" s="735">
        <v>0.75475558843395618</v>
      </c>
      <c r="P2015" s="735">
        <f t="shared" si="165"/>
        <v>4907.5489559281523</v>
      </c>
      <c r="Q2015" s="849">
        <v>31.9</v>
      </c>
      <c r="R2015" s="71">
        <v>52396</v>
      </c>
      <c r="S2015" s="845">
        <v>0.23837999456374015</v>
      </c>
      <c r="T2015" s="845">
        <v>8.6999999999999994E-2</v>
      </c>
      <c r="U2015" s="845">
        <v>0</v>
      </c>
      <c r="V2015" s="845">
        <v>0.08</v>
      </c>
      <c r="W2015" s="845">
        <v>0.60378634212305615</v>
      </c>
      <c r="X2015" s="845">
        <v>0.23628219484882418</v>
      </c>
      <c r="Y2015" s="845">
        <v>0.89308855291576672</v>
      </c>
      <c r="Z2015" s="845">
        <v>4.6706263498920084E-2</v>
      </c>
      <c r="AA2015" s="845">
        <v>5.3995680345572358E-4</v>
      </c>
      <c r="AB2015" s="845">
        <v>3.5097192224622029E-3</v>
      </c>
      <c r="AC2015" s="845">
        <v>0</v>
      </c>
      <c r="AD2015" s="845">
        <v>5.9395248380129592E-3</v>
      </c>
      <c r="AE2015" s="845">
        <v>5.0215982721382287E-2</v>
      </c>
      <c r="AF2015" s="845">
        <v>4.913606911447084E-2</v>
      </c>
      <c r="AG2015" s="845">
        <v>0.86042116630669552</v>
      </c>
      <c r="AH2015" s="20" t="str">
        <f t="shared" si="166"/>
        <v>No</v>
      </c>
      <c r="AI2015" s="25"/>
      <c r="AJ2015" s="25"/>
      <c r="AK2015" s="25"/>
      <c r="AL2015" s="25"/>
      <c r="AM2015" s="25"/>
      <c r="AN2015" s="25"/>
      <c r="AO2015" s="25"/>
      <c r="AP2015" s="25"/>
      <c r="AQ2015" s="25"/>
      <c r="AR2015" s="25"/>
      <c r="AS2015" s="25"/>
      <c r="AT2015" s="25"/>
      <c r="AU2015" s="36"/>
      <c r="AV2015" s="36"/>
      <c r="AW2015" s="36"/>
      <c r="AX2015" s="25"/>
      <c r="AY2015" s="25"/>
      <c r="AZ2015" s="25"/>
      <c r="BA2015" s="25"/>
      <c r="BB2015" s="25"/>
      <c r="BC2015" s="25"/>
      <c r="BD2015" s="25"/>
      <c r="BE2015" s="25"/>
      <c r="BF2015" s="25"/>
      <c r="BG2015" s="25"/>
      <c r="BH2015" s="25"/>
      <c r="BI2015" s="25"/>
      <c r="BJ2015" s="25"/>
      <c r="BK2015" s="25"/>
      <c r="BL2015" s="25"/>
      <c r="BM2015" s="25"/>
      <c r="BN2015" s="25"/>
      <c r="BO2015" s="25"/>
      <c r="BP2015" s="25"/>
      <c r="BQ2015" s="25"/>
      <c r="BR2015" s="25"/>
      <c r="BS2015" s="25"/>
      <c r="BT2015" s="25"/>
      <c r="BU2015"/>
      <c r="BV2015"/>
      <c r="BW2015"/>
      <c r="BX2015"/>
      <c r="BY2015"/>
      <c r="BZ2015"/>
      <c r="CA2015"/>
      <c r="CB2015"/>
      <c r="CC2015"/>
      <c r="CD2015" s="25"/>
    </row>
    <row r="2016" spans="1:82" s="17" customFormat="1" x14ac:dyDescent="0.2">
      <c r="A2016" s="25"/>
      <c r="B2016" s="20">
        <v>39063000902</v>
      </c>
      <c r="C2016" s="20">
        <v>9.02</v>
      </c>
      <c r="D2016" s="20" t="s">
        <v>38</v>
      </c>
      <c r="E2016" s="20" t="s">
        <v>265</v>
      </c>
      <c r="F2016" s="20" t="s">
        <v>8</v>
      </c>
      <c r="G2016" s="861">
        <v>43.989687279501197</v>
      </c>
      <c r="H2016" s="861">
        <v>41.179665381990901</v>
      </c>
      <c r="I2016" s="861">
        <v>30.778142280242999</v>
      </c>
      <c r="J2016" s="861">
        <v>39.769652368654498</v>
      </c>
      <c r="K2016" s="982">
        <v>0</v>
      </c>
      <c r="L2016" s="735" t="s">
        <v>2466</v>
      </c>
      <c r="M2016" s="735">
        <v>3556</v>
      </c>
      <c r="N2016" s="845" t="str">
        <f t="shared" si="164"/>
        <v/>
      </c>
      <c r="O2016" s="735">
        <v>1.2686127736702235</v>
      </c>
      <c r="P2016" s="735">
        <f t="shared" si="165"/>
        <v>2803.0617961634871</v>
      </c>
      <c r="Q2016" s="849">
        <v>26.5</v>
      </c>
      <c r="R2016" s="71">
        <v>51130</v>
      </c>
      <c r="S2016" s="845">
        <v>0.2271993543179984</v>
      </c>
      <c r="T2016" s="845">
        <v>2.6000000000000002E-2</v>
      </c>
      <c r="U2016" s="845">
        <v>3.5000000000000003E-2</v>
      </c>
      <c r="V2016" s="845">
        <v>0.09</v>
      </c>
      <c r="W2016" s="845">
        <v>0.69276659209545111</v>
      </c>
      <c r="X2016" s="845">
        <v>0.30247578040904199</v>
      </c>
      <c r="Y2016" s="845">
        <v>0.76687289088863897</v>
      </c>
      <c r="Z2016" s="845">
        <v>4.4431946006749157E-2</v>
      </c>
      <c r="AA2016" s="845">
        <v>4.4994375703037125E-3</v>
      </c>
      <c r="AB2016" s="845">
        <v>7.874015748031496E-2</v>
      </c>
      <c r="AC2016" s="845">
        <v>0</v>
      </c>
      <c r="AD2016" s="845">
        <v>5.8211473565804271E-2</v>
      </c>
      <c r="AE2016" s="845">
        <v>4.7244094488188976E-2</v>
      </c>
      <c r="AF2016" s="845">
        <v>9.392575928008999E-2</v>
      </c>
      <c r="AG2016" s="845">
        <v>0.75421822272215977</v>
      </c>
      <c r="AH2016" s="20" t="str">
        <f t="shared" si="166"/>
        <v>No</v>
      </c>
      <c r="AI2016" s="25"/>
      <c r="AJ2016" s="25"/>
      <c r="AK2016" s="25"/>
      <c r="AL2016" s="25"/>
      <c r="AM2016" s="25"/>
      <c r="AN2016" s="25"/>
      <c r="AO2016" s="25"/>
      <c r="AP2016" s="25"/>
      <c r="AQ2016" s="25"/>
      <c r="AR2016" s="25"/>
      <c r="AS2016" s="25"/>
      <c r="AT2016" s="25"/>
      <c r="AU2016" s="36"/>
      <c r="AV2016" s="36"/>
      <c r="AW2016" s="36"/>
      <c r="AX2016" s="25"/>
      <c r="AY2016" s="25"/>
      <c r="AZ2016" s="25"/>
      <c r="BA2016" s="25"/>
      <c r="BB2016" s="25"/>
      <c r="BC2016" s="25"/>
      <c r="BD2016" s="25"/>
      <c r="BE2016" s="25"/>
      <c r="BF2016" s="25"/>
      <c r="BG2016" s="25"/>
      <c r="BH2016" s="25"/>
      <c r="BI2016" s="25"/>
      <c r="BJ2016" s="25"/>
      <c r="BK2016" s="25"/>
      <c r="BL2016" s="25"/>
      <c r="BM2016" s="25"/>
      <c r="BN2016" s="25"/>
      <c r="BO2016" s="25"/>
      <c r="BP2016" s="25"/>
      <c r="BQ2016" s="25"/>
      <c r="BR2016" s="25"/>
      <c r="BS2016" s="25"/>
      <c r="BT2016" s="25"/>
      <c r="BU2016"/>
      <c r="BV2016"/>
      <c r="BW2016"/>
      <c r="BX2016"/>
      <c r="BY2016"/>
      <c r="BZ2016"/>
      <c r="CA2016"/>
      <c r="CB2016"/>
      <c r="CC2016"/>
      <c r="CD2016" s="25"/>
    </row>
    <row r="2017" spans="1:82" s="17" customFormat="1" x14ac:dyDescent="0.2">
      <c r="A2017" s="25"/>
      <c r="B2017" s="20">
        <v>39029950700</v>
      </c>
      <c r="C2017" s="20">
        <v>9507</v>
      </c>
      <c r="D2017" s="20" t="s">
        <v>21</v>
      </c>
      <c r="E2017" s="20" t="s">
        <v>265</v>
      </c>
      <c r="F2017" s="20" t="s">
        <v>8</v>
      </c>
      <c r="G2017" s="861">
        <v>43.9860074444357</v>
      </c>
      <c r="H2017" s="861">
        <v>43.719719848558803</v>
      </c>
      <c r="I2017" s="861">
        <v>47.345790417052399</v>
      </c>
      <c r="J2017" s="861">
        <v>31.104449940442301</v>
      </c>
      <c r="K2017" s="982">
        <v>0</v>
      </c>
      <c r="L2017" s="735">
        <v>5188</v>
      </c>
      <c r="M2017" s="735">
        <v>5449</v>
      </c>
      <c r="N2017" s="845">
        <f t="shared" si="164"/>
        <v>5.0308404009252121E-2</v>
      </c>
      <c r="O2017" s="735">
        <v>5.6968775041982722</v>
      </c>
      <c r="P2017" s="735">
        <f t="shared" si="165"/>
        <v>956.48888289846491</v>
      </c>
      <c r="Q2017" s="849">
        <v>38.799999999999997</v>
      </c>
      <c r="R2017" s="71">
        <v>50776</v>
      </c>
      <c r="S2017" s="845">
        <v>0.20090978013646701</v>
      </c>
      <c r="T2017" s="845">
        <v>6.8000000000000005E-2</v>
      </c>
      <c r="U2017" s="845">
        <v>0</v>
      </c>
      <c r="V2017" s="845">
        <v>0</v>
      </c>
      <c r="W2017" s="845">
        <v>0.39140070921985815</v>
      </c>
      <c r="X2017" s="845">
        <v>0.55379388448471123</v>
      </c>
      <c r="Y2017" s="845">
        <v>0.97779409065883649</v>
      </c>
      <c r="Z2017" s="845">
        <v>0</v>
      </c>
      <c r="AA2017" s="845">
        <v>0</v>
      </c>
      <c r="AB2017" s="845">
        <v>0</v>
      </c>
      <c r="AC2017" s="845">
        <v>0</v>
      </c>
      <c r="AD2017" s="845">
        <v>0</v>
      </c>
      <c r="AE2017" s="845">
        <v>2.2205909341163517E-2</v>
      </c>
      <c r="AF2017" s="845">
        <v>0</v>
      </c>
      <c r="AG2017" s="845">
        <v>0.97779409065883649</v>
      </c>
      <c r="AH2017" s="20" t="str">
        <f t="shared" si="166"/>
        <v>Yes</v>
      </c>
      <c r="AI2017" s="25"/>
      <c r="AJ2017" s="25"/>
      <c r="AK2017" s="25"/>
      <c r="AL2017" s="25"/>
      <c r="AM2017" s="25"/>
      <c r="AN2017" s="25"/>
      <c r="AO2017" s="25"/>
      <c r="AP2017" s="25"/>
      <c r="AQ2017" s="25"/>
      <c r="AR2017" s="25"/>
      <c r="AS2017" s="25"/>
      <c r="AT2017" s="25"/>
      <c r="AU2017" s="36"/>
      <c r="AV2017" s="36"/>
      <c r="AW2017" s="36"/>
      <c r="AX2017" s="25"/>
      <c r="AY2017" s="25"/>
      <c r="AZ2017" s="25"/>
      <c r="BA2017" s="25"/>
      <c r="BB2017" s="25"/>
      <c r="BC2017" s="25"/>
      <c r="BD2017" s="25"/>
      <c r="BE2017" s="25"/>
      <c r="BF2017" s="25"/>
      <c r="BG2017" s="25"/>
      <c r="BH2017" s="25"/>
      <c r="BI2017" s="25"/>
      <c r="BJ2017" s="25"/>
      <c r="BK2017" s="25"/>
      <c r="BL2017" s="25"/>
      <c r="BM2017" s="25"/>
      <c r="BN2017" s="25"/>
      <c r="BO2017" s="25"/>
      <c r="BP2017" s="25"/>
      <c r="BQ2017" s="25"/>
      <c r="BR2017" s="25"/>
      <c r="BS2017" s="25"/>
      <c r="BT2017" s="25"/>
      <c r="BU2017"/>
      <c r="BV2017"/>
      <c r="BW2017"/>
      <c r="BX2017"/>
      <c r="BY2017"/>
      <c r="BZ2017"/>
      <c r="CA2017"/>
      <c r="CB2017"/>
      <c r="CC2017"/>
      <c r="CD2017" s="25"/>
    </row>
    <row r="2018" spans="1:82" s="17" customFormat="1" x14ac:dyDescent="0.2">
      <c r="A2018" s="25"/>
      <c r="B2018" s="20">
        <v>39165031001</v>
      </c>
      <c r="C2018" s="20">
        <v>310.01</v>
      </c>
      <c r="D2018" s="20" t="s">
        <v>88</v>
      </c>
      <c r="E2018" s="20" t="s">
        <v>2828</v>
      </c>
      <c r="F2018" s="20" t="s">
        <v>8</v>
      </c>
      <c r="G2018" s="861">
        <v>43.977996371752198</v>
      </c>
      <c r="H2018" s="861">
        <v>50.0702719993686</v>
      </c>
      <c r="I2018" s="861">
        <v>31.207317130093301</v>
      </c>
      <c r="J2018" s="861">
        <v>34.003013509333897</v>
      </c>
      <c r="K2018" s="982">
        <v>0</v>
      </c>
      <c r="L2018" s="735" t="s">
        <v>2466</v>
      </c>
      <c r="M2018" s="735">
        <v>6831</v>
      </c>
      <c r="N2018" s="845" t="str">
        <f t="shared" si="164"/>
        <v/>
      </c>
      <c r="O2018" s="735">
        <v>22.707786870882586</v>
      </c>
      <c r="P2018" s="735">
        <f t="shared" si="165"/>
        <v>300.8219179984975</v>
      </c>
      <c r="Q2018" s="849">
        <v>41.3</v>
      </c>
      <c r="R2018" s="71">
        <v>81078</v>
      </c>
      <c r="S2018" s="845">
        <v>9.3195266272189353E-2</v>
      </c>
      <c r="T2018" s="845">
        <v>7.0000000000000007E-2</v>
      </c>
      <c r="U2018" s="845">
        <v>0</v>
      </c>
      <c r="V2018" s="845">
        <v>0</v>
      </c>
      <c r="W2018" s="845">
        <v>0.2779017857142857</v>
      </c>
      <c r="X2018" s="845">
        <v>0.63989290495314588</v>
      </c>
      <c r="Y2018" s="845">
        <v>0.96647635778070562</v>
      </c>
      <c r="Z2018" s="845">
        <v>1.6103059581320451E-3</v>
      </c>
      <c r="AA2018" s="845">
        <v>0</v>
      </c>
      <c r="AB2018" s="845">
        <v>0</v>
      </c>
      <c r="AC2018" s="845">
        <v>0</v>
      </c>
      <c r="AD2018" s="845">
        <v>9.9546186502708234E-3</v>
      </c>
      <c r="AE2018" s="845">
        <v>2.1958717610891524E-2</v>
      </c>
      <c r="AF2018" s="845">
        <v>5.5921534182403747E-2</v>
      </c>
      <c r="AG2018" s="845">
        <v>0.92504757722149022</v>
      </c>
      <c r="AH2018" s="20" t="str">
        <f t="shared" si="166"/>
        <v>Yes</v>
      </c>
      <c r="AI2018" s="25"/>
      <c r="AJ2018" s="25"/>
      <c r="AK2018" s="25"/>
      <c r="AL2018" s="25"/>
      <c r="AM2018" s="25"/>
      <c r="AN2018" s="25"/>
      <c r="AO2018" s="25"/>
      <c r="AP2018" s="25"/>
      <c r="AQ2018" s="25"/>
      <c r="AR2018" s="25"/>
      <c r="AS2018" s="25"/>
      <c r="AT2018" s="25"/>
      <c r="AU2018" s="36"/>
      <c r="AV2018" s="36"/>
      <c r="AW2018" s="36"/>
      <c r="AX2018" s="25"/>
      <c r="AY2018" s="25"/>
      <c r="AZ2018" s="25"/>
      <c r="BA2018" s="25"/>
      <c r="BB2018" s="25"/>
      <c r="BC2018" s="25"/>
      <c r="BD2018" s="25"/>
      <c r="BE2018" s="25"/>
      <c r="BF2018" s="25"/>
      <c r="BG2018" s="25"/>
      <c r="BH2018" s="25"/>
      <c r="BI2018" s="25"/>
      <c r="BJ2018" s="25"/>
      <c r="BK2018" s="25"/>
      <c r="BL2018" s="25"/>
      <c r="BM2018" s="25"/>
      <c r="BN2018" s="25"/>
      <c r="BO2018" s="25"/>
      <c r="BP2018" s="25"/>
      <c r="BQ2018" s="25"/>
      <c r="BR2018" s="25"/>
      <c r="BS2018" s="25"/>
      <c r="BT2018" s="25"/>
      <c r="BU2018"/>
      <c r="BV2018"/>
      <c r="BW2018"/>
      <c r="BX2018"/>
      <c r="BY2018"/>
      <c r="BZ2018"/>
      <c r="CA2018"/>
      <c r="CB2018"/>
      <c r="CC2018"/>
      <c r="CD2018" s="25"/>
    </row>
    <row r="2019" spans="1:82" s="17" customFormat="1" x14ac:dyDescent="0.2">
      <c r="A2019" s="25"/>
      <c r="B2019" s="20">
        <v>39089756201</v>
      </c>
      <c r="C2019" s="20">
        <v>7562.01</v>
      </c>
      <c r="D2019" s="20" t="s">
        <v>50</v>
      </c>
      <c r="E2019" s="20" t="s">
        <v>2830</v>
      </c>
      <c r="F2019" s="20" t="s">
        <v>8</v>
      </c>
      <c r="G2019" s="861">
        <v>43.9739085261009</v>
      </c>
      <c r="H2019" s="861">
        <v>45.741315049588401</v>
      </c>
      <c r="I2019" s="861">
        <v>41.238948847113903</v>
      </c>
      <c r="J2019" s="861">
        <v>35.434547872151903</v>
      </c>
      <c r="K2019" s="982">
        <v>0</v>
      </c>
      <c r="L2019" s="735">
        <v>2252</v>
      </c>
      <c r="M2019" s="735">
        <v>2634</v>
      </c>
      <c r="N2019" s="845">
        <f t="shared" si="164"/>
        <v>0.16962699822380106</v>
      </c>
      <c r="O2019" s="735">
        <v>3.3374346262925512</v>
      </c>
      <c r="P2019" s="735">
        <f t="shared" si="165"/>
        <v>789.22894226875871</v>
      </c>
      <c r="Q2019" s="849">
        <v>46.6</v>
      </c>
      <c r="R2019" s="71">
        <v>75469</v>
      </c>
      <c r="S2019" s="845">
        <v>0.22741078208048596</v>
      </c>
      <c r="T2019" s="845">
        <v>5.0999999999999997E-2</v>
      </c>
      <c r="U2019" s="845">
        <v>0</v>
      </c>
      <c r="V2019" s="845">
        <v>0</v>
      </c>
      <c r="W2019" s="845">
        <v>0.39058629232039638</v>
      </c>
      <c r="X2019" s="845">
        <v>0.68921775898520088</v>
      </c>
      <c r="Y2019" s="845">
        <v>0.76689445709946846</v>
      </c>
      <c r="Z2019" s="845">
        <v>0.19893697798025817</v>
      </c>
      <c r="AA2019" s="845">
        <v>0</v>
      </c>
      <c r="AB2019" s="845">
        <v>1.8982536066818527E-3</v>
      </c>
      <c r="AC2019" s="845">
        <v>0</v>
      </c>
      <c r="AD2019" s="845">
        <v>5.6947608200455585E-3</v>
      </c>
      <c r="AE2019" s="845">
        <v>2.6575550493545937E-2</v>
      </c>
      <c r="AF2019" s="845">
        <v>2.4297646165527716E-2</v>
      </c>
      <c r="AG2019" s="845">
        <v>0.74259681093394081</v>
      </c>
      <c r="AH2019" s="20" t="str">
        <f t="shared" si="166"/>
        <v>No</v>
      </c>
      <c r="AI2019" s="25"/>
      <c r="AJ2019" s="25"/>
      <c r="AK2019" s="25"/>
      <c r="AL2019" s="25"/>
      <c r="AM2019" s="25"/>
      <c r="AN2019" s="25"/>
      <c r="AO2019" s="25"/>
      <c r="AP2019" s="25"/>
      <c r="AQ2019" s="25"/>
      <c r="AR2019" s="25"/>
      <c r="AS2019" s="25"/>
      <c r="AT2019" s="25"/>
      <c r="AU2019" s="36"/>
      <c r="AV2019" s="36"/>
      <c r="AW2019" s="36"/>
      <c r="AX2019" s="25"/>
      <c r="AY2019" s="25"/>
      <c r="AZ2019" s="25"/>
      <c r="BA2019" s="25"/>
      <c r="BB2019" s="25"/>
      <c r="BC2019" s="25"/>
      <c r="BD2019" s="25"/>
      <c r="BE2019" s="25"/>
      <c r="BF2019" s="25"/>
      <c r="BG2019" s="25"/>
      <c r="BH2019" s="25"/>
      <c r="BI2019" s="25"/>
      <c r="BJ2019" s="25"/>
      <c r="BK2019" s="25"/>
      <c r="BL2019" s="25"/>
      <c r="BM2019" s="25"/>
      <c r="BN2019" s="25"/>
      <c r="BO2019" s="25"/>
      <c r="BP2019" s="25"/>
      <c r="BQ2019" s="25"/>
      <c r="BR2019" s="25"/>
      <c r="BS2019" s="25"/>
      <c r="BT2019" s="25"/>
      <c r="BU2019"/>
      <c r="BV2019"/>
      <c r="BW2019"/>
      <c r="BX2019"/>
      <c r="BY2019"/>
      <c r="BZ2019"/>
      <c r="CA2019"/>
      <c r="CB2019"/>
      <c r="CC2019"/>
      <c r="CD2019" s="25"/>
    </row>
    <row r="2020" spans="1:82" s="17" customFormat="1" x14ac:dyDescent="0.2">
      <c r="A2020" s="25"/>
      <c r="B2020" s="20">
        <v>39003010200</v>
      </c>
      <c r="C2020" s="20">
        <v>102</v>
      </c>
      <c r="D2020" s="20" t="s">
        <v>7</v>
      </c>
      <c r="E2020" s="20" t="s">
        <v>2835</v>
      </c>
      <c r="F2020" s="20" t="s">
        <v>8</v>
      </c>
      <c r="G2020" s="861">
        <v>43.956491173183501</v>
      </c>
      <c r="H2020" s="861">
        <v>48.687737472642503</v>
      </c>
      <c r="I2020" s="861">
        <v>14.0457884645511</v>
      </c>
      <c r="J2020" s="861">
        <v>49.160876906737201</v>
      </c>
      <c r="K2020" s="982">
        <v>0</v>
      </c>
      <c r="L2020" s="735">
        <v>4225</v>
      </c>
      <c r="M2020" s="735">
        <v>3875</v>
      </c>
      <c r="N2020" s="845">
        <f t="shared" si="164"/>
        <v>-8.2840236686390539E-2</v>
      </c>
      <c r="O2020" s="735">
        <v>69.831012467466508</v>
      </c>
      <c r="P2020" s="735">
        <f t="shared" si="165"/>
        <v>55.49110435431993</v>
      </c>
      <c r="Q2020" s="849">
        <v>43.4</v>
      </c>
      <c r="R2020" s="71">
        <v>88191</v>
      </c>
      <c r="S2020" s="845">
        <v>4.6426708398539386E-2</v>
      </c>
      <c r="T2020" s="845">
        <v>0.01</v>
      </c>
      <c r="U2020" s="845">
        <v>0.01</v>
      </c>
      <c r="V2020" s="845">
        <v>0</v>
      </c>
      <c r="W2020" s="845">
        <v>0.12242182302062542</v>
      </c>
      <c r="X2020" s="845">
        <v>0.15760869565217392</v>
      </c>
      <c r="Y2020" s="845">
        <v>0.9339354838709677</v>
      </c>
      <c r="Z2020" s="845">
        <v>0</v>
      </c>
      <c r="AA2020" s="845">
        <v>0</v>
      </c>
      <c r="AB2020" s="845">
        <v>1.2903225806451613E-3</v>
      </c>
      <c r="AC2020" s="845">
        <v>0</v>
      </c>
      <c r="AD2020" s="845">
        <v>6.4516129032258064E-3</v>
      </c>
      <c r="AE2020" s="845">
        <v>5.8322580645161291E-2</v>
      </c>
      <c r="AF2020" s="845">
        <v>6.0129032258064513E-2</v>
      </c>
      <c r="AG2020" s="845">
        <v>0.92541935483870963</v>
      </c>
      <c r="AH2020" s="20" t="str">
        <f t="shared" si="166"/>
        <v>Yes</v>
      </c>
      <c r="AI2020" s="25"/>
      <c r="AJ2020" s="25"/>
      <c r="AK2020" s="25"/>
      <c r="AL2020" s="25"/>
      <c r="AM2020" s="25"/>
      <c r="AN2020" s="25"/>
      <c r="AO2020" s="25"/>
      <c r="AP2020" s="25"/>
      <c r="AQ2020" s="25"/>
      <c r="AR2020" s="25"/>
      <c r="AS2020" s="25"/>
      <c r="AT2020" s="25"/>
      <c r="AU2020" s="36"/>
      <c r="AV2020" s="36"/>
      <c r="AW2020" s="36"/>
      <c r="AX2020" s="25"/>
      <c r="AY2020" s="25"/>
      <c r="AZ2020" s="25"/>
      <c r="BA2020" s="25"/>
      <c r="BB2020" s="25"/>
      <c r="BC2020" s="25"/>
      <c r="BD2020" s="25"/>
      <c r="BE2020" s="25"/>
      <c r="BF2020" s="25"/>
      <c r="BG2020" s="25"/>
      <c r="BH2020" s="25"/>
      <c r="BI2020" s="25"/>
      <c r="BJ2020" s="25"/>
      <c r="BK2020" s="25"/>
      <c r="BL2020" s="25"/>
      <c r="BM2020" s="25"/>
      <c r="BN2020" s="25"/>
      <c r="BO2020" s="25"/>
      <c r="BP2020" s="25"/>
      <c r="BQ2020" s="25"/>
      <c r="BR2020" s="25"/>
      <c r="BS2020" s="25"/>
      <c r="BT2020" s="25"/>
      <c r="BU2020"/>
      <c r="BV2020"/>
      <c r="BW2020"/>
      <c r="BX2020"/>
      <c r="BY2020"/>
      <c r="BZ2020"/>
      <c r="CA2020"/>
      <c r="CB2020"/>
      <c r="CC2020"/>
      <c r="CD2020" s="25"/>
    </row>
    <row r="2021" spans="1:82" s="17" customFormat="1" x14ac:dyDescent="0.2">
      <c r="A2021" s="25"/>
      <c r="B2021" s="20">
        <v>39035103800</v>
      </c>
      <c r="C2021" s="20">
        <v>1038</v>
      </c>
      <c r="D2021" s="20" t="s">
        <v>24</v>
      </c>
      <c r="E2021" s="20" t="s">
        <v>2829</v>
      </c>
      <c r="F2021" s="20" t="s">
        <v>6</v>
      </c>
      <c r="G2021" s="861">
        <v>43.913685406998397</v>
      </c>
      <c r="H2021" s="861">
        <v>46.262401840886298</v>
      </c>
      <c r="I2021" s="861">
        <v>63.331899674130497</v>
      </c>
      <c r="J2021" s="861">
        <v>62.118277374487199</v>
      </c>
      <c r="K2021" s="982">
        <v>1</v>
      </c>
      <c r="L2021" s="735">
        <v>1880</v>
      </c>
      <c r="M2021" s="735">
        <v>1412</v>
      </c>
      <c r="N2021" s="845">
        <f t="shared" si="164"/>
        <v>-0.24893617021276596</v>
      </c>
      <c r="O2021" s="735">
        <v>0.33827877302494647</v>
      </c>
      <c r="P2021" s="735">
        <f t="shared" si="165"/>
        <v>4174.0721339788934</v>
      </c>
      <c r="Q2021" s="849">
        <v>34.299999999999997</v>
      </c>
      <c r="R2021" s="71">
        <v>49063</v>
      </c>
      <c r="S2021" s="845">
        <v>0.34844192634560905</v>
      </c>
      <c r="T2021" s="845">
        <v>0.1</v>
      </c>
      <c r="U2021" s="845">
        <v>0.04</v>
      </c>
      <c r="V2021" s="845">
        <v>7.5999999999999998E-2</v>
      </c>
      <c r="W2021" s="845">
        <v>0.50238473767885528</v>
      </c>
      <c r="X2021" s="845">
        <v>0.50316455696202533</v>
      </c>
      <c r="Y2021" s="845">
        <v>0.59206798866855526</v>
      </c>
      <c r="Z2021" s="845">
        <v>0.13668555240793201</v>
      </c>
      <c r="AA2021" s="845">
        <v>0</v>
      </c>
      <c r="AB2021" s="845">
        <v>1.4164305949008499E-2</v>
      </c>
      <c r="AC2021" s="845">
        <v>0</v>
      </c>
      <c r="AD2021" s="845">
        <v>0.11968838526912182</v>
      </c>
      <c r="AE2021" s="845">
        <v>0.13739376770538245</v>
      </c>
      <c r="AF2021" s="845">
        <v>0.30169971671388102</v>
      </c>
      <c r="AG2021" s="845">
        <v>0.48229461756373937</v>
      </c>
      <c r="AH2021" s="20" t="str">
        <f t="shared" si="166"/>
        <v>No</v>
      </c>
      <c r="AI2021" s="25"/>
      <c r="AJ2021" s="25"/>
      <c r="AK2021" s="25"/>
      <c r="AL2021" s="25"/>
      <c r="AM2021" s="25"/>
      <c r="AN2021" s="25"/>
      <c r="AO2021" s="25"/>
      <c r="AP2021" s="25"/>
      <c r="AQ2021" s="25"/>
      <c r="AR2021" s="25"/>
      <c r="AS2021" s="25"/>
      <c r="AT2021" s="25"/>
      <c r="AU2021" s="36"/>
      <c r="AV2021" s="36"/>
      <c r="AW2021" s="36"/>
      <c r="AX2021" s="25"/>
      <c r="AY2021" s="25"/>
      <c r="AZ2021" s="25"/>
      <c r="BA2021" s="25"/>
      <c r="BB2021" s="25"/>
      <c r="BC2021" s="25"/>
      <c r="BD2021" s="25"/>
      <c r="BE2021" s="25"/>
      <c r="BF2021" s="25"/>
      <c r="BG2021" s="25"/>
      <c r="BH2021" s="25"/>
      <c r="BI2021" s="25"/>
      <c r="BJ2021" s="25"/>
      <c r="BK2021" s="25"/>
      <c r="BL2021" s="25"/>
      <c r="BM2021" s="25"/>
      <c r="BN2021" s="25"/>
      <c r="BO2021" s="25"/>
      <c r="BP2021" s="25"/>
      <c r="BQ2021" s="25"/>
      <c r="BR2021" s="25"/>
      <c r="BS2021" s="25"/>
      <c r="BT2021" s="25"/>
      <c r="BU2021"/>
      <c r="BV2021"/>
      <c r="BW2021"/>
      <c r="BX2021"/>
      <c r="BY2021"/>
      <c r="BZ2021"/>
      <c r="CA2021"/>
      <c r="CB2021"/>
      <c r="CC2021"/>
      <c r="CD2021" s="25"/>
    </row>
    <row r="2022" spans="1:82" s="17" customFormat="1" x14ac:dyDescent="0.2">
      <c r="A2022" s="25"/>
      <c r="B2022" s="20">
        <v>39153507600</v>
      </c>
      <c r="C2022" s="20">
        <v>5076</v>
      </c>
      <c r="D2022" s="20" t="s">
        <v>82</v>
      </c>
      <c r="E2022" s="20" t="s">
        <v>2843</v>
      </c>
      <c r="F2022" s="20" t="s">
        <v>8</v>
      </c>
      <c r="G2022" s="861">
        <v>43.912931105167701</v>
      </c>
      <c r="H2022" s="861">
        <v>58.183016543318502</v>
      </c>
      <c r="I2022" s="861">
        <v>39.493581055968598</v>
      </c>
      <c r="J2022" s="861">
        <v>38.393522728137498</v>
      </c>
      <c r="K2022" s="982">
        <v>0</v>
      </c>
      <c r="L2022" s="735">
        <v>4477</v>
      </c>
      <c r="M2022" s="735">
        <v>4519</v>
      </c>
      <c r="N2022" s="845">
        <f t="shared" si="164"/>
        <v>9.3812821085548365E-3</v>
      </c>
      <c r="O2022" s="735">
        <v>0.62518047621461859</v>
      </c>
      <c r="P2022" s="735">
        <f t="shared" si="165"/>
        <v>7228.3127383662404</v>
      </c>
      <c r="Q2022" s="849">
        <v>36.299999999999997</v>
      </c>
      <c r="R2022" s="71">
        <v>47458</v>
      </c>
      <c r="S2022" s="845">
        <v>0.3162204027439699</v>
      </c>
      <c r="T2022" s="845">
        <v>4.4000000000000004E-2</v>
      </c>
      <c r="U2022" s="845">
        <v>4.2999999999999997E-2</v>
      </c>
      <c r="V2022" s="845">
        <v>2.7999999999999997E-2</v>
      </c>
      <c r="W2022" s="845">
        <v>0.45196280991735538</v>
      </c>
      <c r="X2022" s="845">
        <v>0.44685714285714284</v>
      </c>
      <c r="Y2022" s="845">
        <v>0.58552777163089176</v>
      </c>
      <c r="Z2022" s="845">
        <v>0.15932728479752156</v>
      </c>
      <c r="AA2022" s="845">
        <v>6.6386368665633986E-4</v>
      </c>
      <c r="AB2022" s="845">
        <v>0.15910599690196947</v>
      </c>
      <c r="AC2022" s="845">
        <v>0</v>
      </c>
      <c r="AD2022" s="845">
        <v>7.5680460278822748E-2</v>
      </c>
      <c r="AE2022" s="845">
        <v>1.9694622704138083E-2</v>
      </c>
      <c r="AF2022" s="845">
        <v>7.6565611861031196E-2</v>
      </c>
      <c r="AG2022" s="845">
        <v>0.58287231688426644</v>
      </c>
      <c r="AH2022" s="20" t="str">
        <f t="shared" si="166"/>
        <v>No</v>
      </c>
      <c r="AI2022" s="25"/>
      <c r="AJ2022" s="25"/>
      <c r="AK2022" s="25"/>
      <c r="AL2022" s="25"/>
      <c r="AM2022" s="25"/>
      <c r="AN2022" s="25"/>
      <c r="AO2022" s="25"/>
      <c r="AP2022" s="25"/>
      <c r="AQ2022" s="25"/>
      <c r="AR2022" s="25"/>
      <c r="AS2022" s="25"/>
      <c r="AT2022" s="25"/>
      <c r="AU2022" s="36"/>
      <c r="AV2022" s="36"/>
      <c r="AW2022" s="36"/>
      <c r="AX2022" s="25"/>
      <c r="AY2022" s="25"/>
      <c r="AZ2022" s="25"/>
      <c r="BA2022" s="25"/>
      <c r="BB2022" s="25"/>
      <c r="BC2022" s="25"/>
      <c r="BD2022" s="25"/>
      <c r="BE2022" s="25"/>
      <c r="BF2022" s="25"/>
      <c r="BG2022" s="25"/>
      <c r="BH2022" s="25"/>
      <c r="BI2022" s="25"/>
      <c r="BJ2022" s="25"/>
      <c r="BK2022" s="25"/>
      <c r="BL2022" s="25"/>
      <c r="BM2022" s="25"/>
      <c r="BN2022" s="25"/>
      <c r="BO2022" s="25"/>
      <c r="BP2022" s="25"/>
      <c r="BQ2022" s="25"/>
      <c r="BR2022" s="25"/>
      <c r="BS2022" s="25"/>
      <c r="BT2022" s="25"/>
      <c r="BU2022"/>
      <c r="BV2022"/>
      <c r="BW2022"/>
      <c r="BX2022"/>
      <c r="BY2022"/>
      <c r="BZ2022"/>
      <c r="CA2022"/>
      <c r="CB2022"/>
      <c r="CC2022"/>
      <c r="CD2022" s="25"/>
    </row>
    <row r="2023" spans="1:82" s="17" customFormat="1" x14ac:dyDescent="0.2">
      <c r="A2023" s="25"/>
      <c r="B2023" s="20">
        <v>39095006200</v>
      </c>
      <c r="C2023" s="20">
        <v>62</v>
      </c>
      <c r="D2023" s="20" t="s">
        <v>53</v>
      </c>
      <c r="E2023" s="20" t="s">
        <v>2839</v>
      </c>
      <c r="F2023" s="20" t="s">
        <v>8</v>
      </c>
      <c r="G2023" s="861">
        <v>43.899401765676799</v>
      </c>
      <c r="H2023" s="861">
        <v>51.880468334230102</v>
      </c>
      <c r="I2023" s="861">
        <v>34.096176318488403</v>
      </c>
      <c r="J2023" s="861">
        <v>33.051591994931201</v>
      </c>
      <c r="K2023" s="982">
        <v>0</v>
      </c>
      <c r="L2023" s="735">
        <v>2777</v>
      </c>
      <c r="M2023" s="735">
        <v>2205</v>
      </c>
      <c r="N2023" s="845">
        <f t="shared" si="164"/>
        <v>-0.20597767374864961</v>
      </c>
      <c r="O2023" s="735">
        <v>0.83358568005163547</v>
      </c>
      <c r="P2023" s="735">
        <f t="shared" si="165"/>
        <v>2645.1989912583599</v>
      </c>
      <c r="Q2023" s="849">
        <v>47.2</v>
      </c>
      <c r="R2023" s="71">
        <v>59961</v>
      </c>
      <c r="S2023" s="845">
        <v>0.20045351473922904</v>
      </c>
      <c r="T2023" s="845">
        <v>0.13400000000000001</v>
      </c>
      <c r="U2023" s="845">
        <v>0</v>
      </c>
      <c r="V2023" s="845">
        <v>0</v>
      </c>
      <c r="W2023" s="845">
        <v>0.30084348641049674</v>
      </c>
      <c r="X2023" s="845">
        <v>0.56386292834890961</v>
      </c>
      <c r="Y2023" s="845">
        <v>0.67664399092970517</v>
      </c>
      <c r="Z2023" s="845">
        <v>6.8934240362811788E-2</v>
      </c>
      <c r="AA2023" s="845">
        <v>0</v>
      </c>
      <c r="AB2023" s="845">
        <v>4.1269841269841269E-2</v>
      </c>
      <c r="AC2023" s="845">
        <v>0</v>
      </c>
      <c r="AD2023" s="845">
        <v>6.9841269841269843E-2</v>
      </c>
      <c r="AE2023" s="845">
        <v>0.14331065759637188</v>
      </c>
      <c r="AF2023" s="845">
        <v>0.14784580498866212</v>
      </c>
      <c r="AG2023" s="845">
        <v>0.67664399092970517</v>
      </c>
      <c r="AH2023" s="20" t="str">
        <f t="shared" si="166"/>
        <v>No</v>
      </c>
      <c r="AI2023" s="25"/>
      <c r="AJ2023" s="25"/>
      <c r="AK2023" s="25"/>
      <c r="AL2023" s="25"/>
      <c r="AM2023" s="25"/>
      <c r="AN2023" s="25"/>
      <c r="AO2023" s="25"/>
      <c r="AP2023" s="25"/>
      <c r="AQ2023" s="25"/>
      <c r="AR2023" s="25"/>
      <c r="AS2023" s="25"/>
      <c r="AT2023" s="25"/>
      <c r="AU2023" s="36"/>
      <c r="AV2023" s="36"/>
      <c r="AW2023" s="36"/>
      <c r="AX2023" s="25"/>
      <c r="AY2023" s="25"/>
      <c r="AZ2023" s="25"/>
      <c r="BA2023" s="25"/>
      <c r="BB2023" s="25"/>
      <c r="BC2023" s="25"/>
      <c r="BD2023" s="25"/>
      <c r="BE2023" s="25"/>
      <c r="BF2023" s="25"/>
      <c r="BG2023" s="25"/>
      <c r="BH2023" s="25"/>
      <c r="BI2023" s="25"/>
      <c r="BJ2023" s="25"/>
      <c r="BK2023" s="25"/>
      <c r="BL2023" s="25"/>
      <c r="BM2023" s="25"/>
      <c r="BN2023" s="25"/>
      <c r="BO2023" s="25"/>
      <c r="BP2023" s="25"/>
      <c r="BQ2023" s="25"/>
      <c r="BR2023" s="25"/>
      <c r="BS2023" s="25"/>
      <c r="BT2023" s="25"/>
      <c r="BU2023"/>
      <c r="BV2023"/>
      <c r="BW2023"/>
      <c r="BX2023"/>
      <c r="BY2023"/>
      <c r="BZ2023"/>
      <c r="CA2023"/>
      <c r="CB2023"/>
      <c r="CC2023"/>
      <c r="CD2023" s="25"/>
    </row>
    <row r="2024" spans="1:82" s="17" customFormat="1" x14ac:dyDescent="0.2">
      <c r="A2024" s="25"/>
      <c r="B2024" s="20">
        <v>39145002902</v>
      </c>
      <c r="C2024" s="20">
        <v>29.02</v>
      </c>
      <c r="D2024" s="20" t="s">
        <v>78</v>
      </c>
      <c r="E2024" s="20" t="s">
        <v>265</v>
      </c>
      <c r="F2024" s="20" t="s">
        <v>8</v>
      </c>
      <c r="G2024" s="861">
        <v>43.892677721537702</v>
      </c>
      <c r="H2024" s="861">
        <v>55.051337787397301</v>
      </c>
      <c r="I2024" s="861">
        <v>36.309752229209799</v>
      </c>
      <c r="J2024" s="861">
        <v>25.234079183747099</v>
      </c>
      <c r="K2024" s="982">
        <v>0</v>
      </c>
      <c r="L2024" s="735" t="s">
        <v>2466</v>
      </c>
      <c r="M2024" s="735">
        <v>2239</v>
      </c>
      <c r="N2024" s="845" t="str">
        <f t="shared" si="164"/>
        <v/>
      </c>
      <c r="O2024" s="735">
        <v>6.9196340827989369</v>
      </c>
      <c r="P2024" s="735">
        <f t="shared" si="165"/>
        <v>323.57202320362325</v>
      </c>
      <c r="Q2024" s="849">
        <v>42.8</v>
      </c>
      <c r="R2024" s="71">
        <v>65300</v>
      </c>
      <c r="S2024" s="845">
        <v>9.4238499330058068E-2</v>
      </c>
      <c r="T2024" s="845">
        <v>0</v>
      </c>
      <c r="U2024" s="845">
        <v>0</v>
      </c>
      <c r="V2024" s="845">
        <v>0.17199999999999999</v>
      </c>
      <c r="W2024" s="845">
        <v>0.29956427015250547</v>
      </c>
      <c r="X2024" s="845">
        <v>0.82545454545454544</v>
      </c>
      <c r="Y2024" s="845">
        <v>0.99910674408217959</v>
      </c>
      <c r="Z2024" s="845">
        <v>0</v>
      </c>
      <c r="AA2024" s="845">
        <v>0</v>
      </c>
      <c r="AB2024" s="845">
        <v>0</v>
      </c>
      <c r="AC2024" s="845">
        <v>0</v>
      </c>
      <c r="AD2024" s="845">
        <v>0</v>
      </c>
      <c r="AE2024" s="845">
        <v>8.9325591782045551E-4</v>
      </c>
      <c r="AF2024" s="845">
        <v>3.3497096918267084E-2</v>
      </c>
      <c r="AG2024" s="845">
        <v>0.96560964716391251</v>
      </c>
      <c r="AH2024" s="20" t="str">
        <f t="shared" si="166"/>
        <v>Yes</v>
      </c>
      <c r="AI2024" s="25"/>
      <c r="AJ2024" s="25"/>
      <c r="AK2024" s="25"/>
      <c r="AL2024" s="25"/>
      <c r="AM2024" s="25"/>
      <c r="AN2024" s="25"/>
      <c r="AO2024" s="25"/>
      <c r="AP2024" s="25"/>
      <c r="AQ2024" s="25"/>
      <c r="AR2024" s="25"/>
      <c r="AS2024" s="25"/>
      <c r="AT2024" s="25"/>
      <c r="AU2024" s="36"/>
      <c r="AV2024" s="36"/>
      <c r="AW2024" s="36"/>
      <c r="AX2024" s="25"/>
      <c r="AY2024" s="25"/>
      <c r="AZ2024" s="25"/>
      <c r="BA2024" s="25"/>
      <c r="BB2024" s="25"/>
      <c r="BC2024" s="25"/>
      <c r="BD2024" s="25"/>
      <c r="BE2024" s="25"/>
      <c r="BF2024" s="25"/>
      <c r="BG2024" s="25"/>
      <c r="BH2024" s="25"/>
      <c r="BI2024" s="25"/>
      <c r="BJ2024" s="25"/>
      <c r="BK2024" s="25"/>
      <c r="BL2024" s="25"/>
      <c r="BM2024" s="25"/>
      <c r="BN2024" s="25"/>
      <c r="BO2024" s="25"/>
      <c r="BP2024" s="25"/>
      <c r="BQ2024" s="25"/>
      <c r="BR2024" s="25"/>
      <c r="BS2024" s="25"/>
      <c r="BT2024" s="25"/>
      <c r="BU2024"/>
      <c r="BV2024"/>
      <c r="BW2024"/>
      <c r="BX2024"/>
      <c r="BY2024"/>
      <c r="BZ2024"/>
      <c r="CA2024"/>
      <c r="CB2024"/>
      <c r="CC2024"/>
      <c r="CD2024" s="25"/>
    </row>
    <row r="2025" spans="1:82" s="17" customFormat="1" x14ac:dyDescent="0.2">
      <c r="A2025" s="25"/>
      <c r="B2025" s="20">
        <v>39093097100</v>
      </c>
      <c r="C2025" s="20">
        <v>971</v>
      </c>
      <c r="D2025" s="20" t="s">
        <v>52</v>
      </c>
      <c r="E2025" s="20" t="s">
        <v>2829</v>
      </c>
      <c r="F2025" s="20" t="s">
        <v>8</v>
      </c>
      <c r="G2025" s="861">
        <v>43.887443715484501</v>
      </c>
      <c r="H2025" s="861">
        <v>61.293184356400999</v>
      </c>
      <c r="I2025" s="861">
        <v>24.244491226218202</v>
      </c>
      <c r="J2025" s="861">
        <v>46.785287244607296</v>
      </c>
      <c r="K2025" s="982">
        <v>0</v>
      </c>
      <c r="L2025" s="735">
        <v>3260</v>
      </c>
      <c r="M2025" s="735">
        <v>2979</v>
      </c>
      <c r="N2025" s="845">
        <f t="shared" si="164"/>
        <v>-8.619631901840491E-2</v>
      </c>
      <c r="O2025" s="735">
        <v>59.640541361404168</v>
      </c>
      <c r="P2025" s="735">
        <f t="shared" si="165"/>
        <v>49.949244792198229</v>
      </c>
      <c r="Q2025" s="849">
        <v>46.7</v>
      </c>
      <c r="R2025" s="71">
        <v>89972</v>
      </c>
      <c r="S2025" s="845">
        <v>2.8311425682507583E-2</v>
      </c>
      <c r="T2025" s="845">
        <v>1.2E-2</v>
      </c>
      <c r="U2025" s="845">
        <v>4.4000000000000004E-2</v>
      </c>
      <c r="V2025" s="845">
        <v>0</v>
      </c>
      <c r="W2025" s="845">
        <v>1.2488849241748439E-2</v>
      </c>
      <c r="X2025" s="845">
        <v>0</v>
      </c>
      <c r="Y2025" s="845">
        <v>0.98355152735817386</v>
      </c>
      <c r="Z2025" s="845">
        <v>7.0493454179254783E-3</v>
      </c>
      <c r="AA2025" s="845">
        <v>0</v>
      </c>
      <c r="AB2025" s="845">
        <v>0</v>
      </c>
      <c r="AC2025" s="845">
        <v>0</v>
      </c>
      <c r="AD2025" s="845">
        <v>8.3920778784827132E-3</v>
      </c>
      <c r="AE2025" s="845">
        <v>1.0070493454179255E-3</v>
      </c>
      <c r="AF2025" s="845">
        <v>4.8338368580060423E-2</v>
      </c>
      <c r="AG2025" s="845">
        <v>0.94159113796576033</v>
      </c>
      <c r="AH2025" s="20" t="str">
        <f t="shared" si="166"/>
        <v>Yes</v>
      </c>
      <c r="AI2025" s="25"/>
      <c r="AJ2025" s="25"/>
      <c r="AK2025" s="25"/>
      <c r="AL2025" s="25"/>
      <c r="AM2025" s="25"/>
      <c r="AN2025" s="25"/>
      <c r="AO2025" s="25"/>
      <c r="AP2025" s="25"/>
      <c r="AQ2025" s="25"/>
      <c r="AR2025" s="25"/>
      <c r="AS2025" s="25"/>
      <c r="AT2025" s="25"/>
      <c r="AU2025" s="36"/>
      <c r="AV2025" s="36"/>
      <c r="AW2025" s="36"/>
      <c r="AX2025" s="25"/>
      <c r="AY2025" s="25"/>
      <c r="AZ2025" s="25"/>
      <c r="BA2025" s="25"/>
      <c r="BB2025" s="25"/>
      <c r="BC2025" s="25"/>
      <c r="BD2025" s="25"/>
      <c r="BE2025" s="25"/>
      <c r="BF2025" s="25"/>
      <c r="BG2025" s="25"/>
      <c r="BH2025" s="25"/>
      <c r="BI2025" s="25"/>
      <c r="BJ2025" s="25"/>
      <c r="BK2025" s="25"/>
      <c r="BL2025" s="25"/>
      <c r="BM2025" s="25"/>
      <c r="BN2025" s="25"/>
      <c r="BO2025" s="25"/>
      <c r="BP2025" s="25"/>
      <c r="BQ2025" s="25"/>
      <c r="BR2025" s="25"/>
      <c r="BS2025" s="25"/>
      <c r="BT2025" s="25"/>
      <c r="BU2025"/>
      <c r="BV2025"/>
      <c r="BW2025"/>
      <c r="BX2025"/>
      <c r="BY2025"/>
      <c r="BZ2025"/>
      <c r="CA2025"/>
      <c r="CB2025"/>
      <c r="CC2025"/>
      <c r="CD2025" s="25"/>
    </row>
    <row r="2026" spans="1:82" s="17" customFormat="1" x14ac:dyDescent="0.2">
      <c r="A2026" s="25"/>
      <c r="B2026" s="20">
        <v>39057240200</v>
      </c>
      <c r="C2026" s="20">
        <v>2402</v>
      </c>
      <c r="D2026" s="20" t="s">
        <v>35</v>
      </c>
      <c r="E2026" s="20" t="s">
        <v>2833</v>
      </c>
      <c r="F2026" s="20" t="s">
        <v>8</v>
      </c>
      <c r="G2026" s="861">
        <v>43.882691780930799</v>
      </c>
      <c r="H2026" s="861">
        <v>51.455731319240897</v>
      </c>
      <c r="I2026" s="861">
        <v>39.579483561271097</v>
      </c>
      <c r="J2026" s="861">
        <v>50.794472241393102</v>
      </c>
      <c r="K2026" s="982">
        <v>0</v>
      </c>
      <c r="L2026" s="735">
        <v>4555</v>
      </c>
      <c r="M2026" s="735">
        <v>4756</v>
      </c>
      <c r="N2026" s="845">
        <f t="shared" si="164"/>
        <v>4.412733260153677E-2</v>
      </c>
      <c r="O2026" s="735">
        <v>2.6550731925946951</v>
      </c>
      <c r="P2026" s="735">
        <f t="shared" si="165"/>
        <v>1791.2877178923095</v>
      </c>
      <c r="Q2026" s="849">
        <v>34.4</v>
      </c>
      <c r="R2026" s="71">
        <v>47908</v>
      </c>
      <c r="S2026" s="845">
        <v>0.21096859796550199</v>
      </c>
      <c r="T2026" s="845">
        <v>7.0999999999999994E-2</v>
      </c>
      <c r="U2026" s="845">
        <v>0</v>
      </c>
      <c r="V2026" s="845">
        <v>0</v>
      </c>
      <c r="W2026" s="845">
        <v>0.48962025316455698</v>
      </c>
      <c r="X2026" s="845">
        <v>0.52016546018614274</v>
      </c>
      <c r="Y2026" s="845">
        <v>0.83284272497897394</v>
      </c>
      <c r="Z2026" s="845">
        <v>2.6703111858704793E-2</v>
      </c>
      <c r="AA2026" s="845">
        <v>0</v>
      </c>
      <c r="AB2026" s="845">
        <v>9.0412111017661896E-3</v>
      </c>
      <c r="AC2026" s="845">
        <v>0</v>
      </c>
      <c r="AD2026" s="845">
        <v>1.5138772077375946E-2</v>
      </c>
      <c r="AE2026" s="845">
        <v>0.11627417998317914</v>
      </c>
      <c r="AF2026" s="845">
        <v>1.9764507989907486E-2</v>
      </c>
      <c r="AG2026" s="845">
        <v>0.82169890664423884</v>
      </c>
      <c r="AH2026" s="20" t="str">
        <f t="shared" si="166"/>
        <v>No</v>
      </c>
      <c r="AI2026" s="25"/>
      <c r="AJ2026" s="25"/>
      <c r="AK2026" s="25"/>
      <c r="AL2026" s="25"/>
      <c r="AM2026" s="25"/>
      <c r="AN2026" s="25"/>
      <c r="AO2026" s="25"/>
      <c r="AP2026" s="25"/>
      <c r="AQ2026" s="25"/>
      <c r="AR2026" s="25"/>
      <c r="AS2026" s="25"/>
      <c r="AT2026" s="25"/>
      <c r="AU2026" s="36"/>
      <c r="AV2026" s="36"/>
      <c r="AW2026" s="36"/>
      <c r="AX2026" s="25"/>
      <c r="AY2026" s="25"/>
      <c r="AZ2026" s="25"/>
      <c r="BA2026" s="25"/>
      <c r="BB2026" s="25"/>
      <c r="BC2026" s="25"/>
      <c r="BD2026" s="25"/>
      <c r="BE2026" s="25"/>
      <c r="BF2026" s="25"/>
      <c r="BG2026" s="25"/>
      <c r="BH2026" s="25"/>
      <c r="BI2026" s="25"/>
      <c r="BJ2026" s="25"/>
      <c r="BK2026" s="25"/>
      <c r="BL2026" s="25"/>
      <c r="BM2026" s="25"/>
      <c r="BN2026" s="25"/>
      <c r="BO2026" s="25"/>
      <c r="BP2026" s="25"/>
      <c r="BQ2026" s="25"/>
      <c r="BR2026" s="25"/>
      <c r="BS2026" s="25"/>
      <c r="BT2026" s="25"/>
      <c r="BU2026"/>
      <c r="BV2026"/>
      <c r="BW2026"/>
      <c r="BX2026"/>
      <c r="BY2026"/>
      <c r="BZ2026"/>
      <c r="CA2026"/>
      <c r="CB2026"/>
      <c r="CC2026"/>
      <c r="CD2026" s="25"/>
    </row>
    <row r="2027" spans="1:82" s="17" customFormat="1" x14ac:dyDescent="0.2">
      <c r="A2027" s="25"/>
      <c r="B2027" s="20">
        <v>39129021403</v>
      </c>
      <c r="C2027" s="20">
        <v>214.03</v>
      </c>
      <c r="D2027" s="20" t="s">
        <v>70</v>
      </c>
      <c r="E2027" s="20" t="s">
        <v>2830</v>
      </c>
      <c r="F2027" s="20" t="s">
        <v>8</v>
      </c>
      <c r="G2027" s="861">
        <v>43.8550786774898</v>
      </c>
      <c r="H2027" s="861">
        <v>33.467785431508602</v>
      </c>
      <c r="I2027" s="861">
        <v>21.196090000258099</v>
      </c>
      <c r="J2027" s="861">
        <v>75.944777022911794</v>
      </c>
      <c r="K2027" s="982">
        <v>0</v>
      </c>
      <c r="L2027" s="735" t="s">
        <v>2466</v>
      </c>
      <c r="M2027" s="735">
        <v>6602</v>
      </c>
      <c r="N2027" s="845" t="str">
        <f t="shared" si="164"/>
        <v/>
      </c>
      <c r="O2027" s="735">
        <v>17.659709256348673</v>
      </c>
      <c r="P2027" s="735">
        <f t="shared" si="165"/>
        <v>373.84533936347668</v>
      </c>
      <c r="Q2027" s="849">
        <v>33.200000000000003</v>
      </c>
      <c r="R2027" s="71">
        <v>91738</v>
      </c>
      <c r="S2027" s="845">
        <v>4.7501160451802568E-2</v>
      </c>
      <c r="T2027" s="845">
        <v>6.9999999999999993E-3</v>
      </c>
      <c r="U2027" s="845">
        <v>0</v>
      </c>
      <c r="V2027" s="845">
        <v>0.12</v>
      </c>
      <c r="W2027" s="845">
        <v>9.5581605049594232E-2</v>
      </c>
      <c r="X2027" s="845">
        <v>0.10849056603773585</v>
      </c>
      <c r="Y2027" s="845">
        <v>0.92138745834595581</v>
      </c>
      <c r="Z2027" s="845">
        <v>1.8933656467737051E-2</v>
      </c>
      <c r="AA2027" s="845">
        <v>1.8176310209027568E-3</v>
      </c>
      <c r="AB2027" s="845">
        <v>1.6661617691608604E-3</v>
      </c>
      <c r="AC2027" s="845">
        <v>0</v>
      </c>
      <c r="AD2027" s="845">
        <v>3.9382005452893061E-3</v>
      </c>
      <c r="AE2027" s="845">
        <v>5.2256891850954258E-2</v>
      </c>
      <c r="AF2027" s="845">
        <v>2.4083611026961528E-2</v>
      </c>
      <c r="AG2027" s="845">
        <v>0.90442290215086341</v>
      </c>
      <c r="AH2027" s="20" t="str">
        <f t="shared" si="166"/>
        <v>Yes</v>
      </c>
      <c r="AI2027" s="25"/>
      <c r="AJ2027" s="25"/>
      <c r="AK2027" s="25"/>
      <c r="AL2027" s="25"/>
      <c r="AM2027" s="25"/>
      <c r="AN2027" s="25"/>
      <c r="AO2027" s="25"/>
      <c r="AP2027" s="25"/>
      <c r="AQ2027" s="25"/>
      <c r="AR2027" s="25"/>
      <c r="AS2027" s="25"/>
      <c r="AT2027" s="25"/>
      <c r="AU2027" s="36"/>
      <c r="AV2027" s="36"/>
      <c r="AW2027" s="36"/>
      <c r="AX2027" s="25"/>
      <c r="AY2027" s="25"/>
      <c r="AZ2027" s="25"/>
      <c r="BA2027" s="25"/>
      <c r="BB2027" s="25"/>
      <c r="BC2027" s="25"/>
      <c r="BD2027" s="25"/>
      <c r="BE2027" s="25"/>
      <c r="BF2027" s="25"/>
      <c r="BG2027" s="25"/>
      <c r="BH2027" s="25"/>
      <c r="BI2027" s="25"/>
      <c r="BJ2027" s="25"/>
      <c r="BK2027" s="25"/>
      <c r="BL2027" s="25"/>
      <c r="BM2027" s="25"/>
      <c r="BN2027" s="25"/>
      <c r="BO2027" s="25"/>
      <c r="BP2027" s="25"/>
      <c r="BQ2027" s="25"/>
      <c r="BR2027" s="25"/>
      <c r="BS2027" s="25"/>
      <c r="BT2027" s="25"/>
      <c r="BU2027"/>
      <c r="BV2027"/>
      <c r="BW2027"/>
      <c r="BX2027"/>
      <c r="BY2027"/>
      <c r="BZ2027"/>
      <c r="CA2027"/>
      <c r="CB2027"/>
      <c r="CC2027"/>
      <c r="CD2027" s="25"/>
    </row>
    <row r="2028" spans="1:82" s="17" customFormat="1" x14ac:dyDescent="0.2">
      <c r="A2028" s="25"/>
      <c r="B2028" s="20">
        <v>39089758902</v>
      </c>
      <c r="C2028" s="20">
        <v>7589.02</v>
      </c>
      <c r="D2028" s="20" t="s">
        <v>50</v>
      </c>
      <c r="E2028" s="20" t="s">
        <v>2830</v>
      </c>
      <c r="F2028" s="20" t="s">
        <v>8</v>
      </c>
      <c r="G2028" s="861">
        <v>43.836990008819001</v>
      </c>
      <c r="H2028" s="861">
        <v>48.018768743403903</v>
      </c>
      <c r="I2028" s="861">
        <v>17.235951744768201</v>
      </c>
      <c r="J2028" s="861">
        <v>48.958447880616603</v>
      </c>
      <c r="K2028" s="982">
        <v>0</v>
      </c>
      <c r="L2028" s="735" t="s">
        <v>2466</v>
      </c>
      <c r="M2028" s="735">
        <v>2889</v>
      </c>
      <c r="N2028" s="845" t="str">
        <f t="shared" si="164"/>
        <v/>
      </c>
      <c r="O2028" s="735">
        <v>49.603130803561875</v>
      </c>
      <c r="P2028" s="735">
        <f t="shared" si="165"/>
        <v>58.242291427954548</v>
      </c>
      <c r="Q2028" s="849">
        <v>40.1</v>
      </c>
      <c r="R2028" s="71">
        <v>85139</v>
      </c>
      <c r="S2028" s="845">
        <v>7.0796460176991149E-2</v>
      </c>
      <c r="T2028" s="845">
        <v>3.3000000000000002E-2</v>
      </c>
      <c r="U2028" s="845">
        <v>0</v>
      </c>
      <c r="V2028" s="845">
        <v>0</v>
      </c>
      <c r="W2028" s="845">
        <v>0.17913204062788551</v>
      </c>
      <c r="X2028" s="845">
        <v>0.13917525773195877</v>
      </c>
      <c r="Y2028" s="845">
        <v>0.96365524402907576</v>
      </c>
      <c r="Z2028" s="845">
        <v>5.1921079958463139E-3</v>
      </c>
      <c r="AA2028" s="845">
        <v>0</v>
      </c>
      <c r="AB2028" s="845">
        <v>0</v>
      </c>
      <c r="AC2028" s="845">
        <v>0</v>
      </c>
      <c r="AD2028" s="845">
        <v>1.5576323987538941E-2</v>
      </c>
      <c r="AE2028" s="845">
        <v>1.5576323987538941E-2</v>
      </c>
      <c r="AF2028" s="845">
        <v>6.9228106611284187E-4</v>
      </c>
      <c r="AG2028" s="845">
        <v>0.96296296296296291</v>
      </c>
      <c r="AH2028" s="20" t="str">
        <f t="shared" si="166"/>
        <v>Yes</v>
      </c>
      <c r="AI2028" s="25"/>
      <c r="AJ2028" s="25"/>
      <c r="AK2028" s="25"/>
      <c r="AL2028" s="25"/>
      <c r="AM2028" s="25"/>
      <c r="AN2028" s="25"/>
      <c r="AO2028" s="25"/>
      <c r="AP2028" s="25"/>
      <c r="AQ2028" s="25"/>
      <c r="AR2028" s="25"/>
      <c r="AS2028" s="25"/>
      <c r="AT2028" s="25"/>
      <c r="AU2028" s="36"/>
      <c r="AV2028" s="36"/>
      <c r="AW2028" s="36"/>
      <c r="AX2028" s="25"/>
      <c r="AY2028" s="25"/>
      <c r="AZ2028" s="25"/>
      <c r="BA2028" s="25"/>
      <c r="BB2028" s="25"/>
      <c r="BC2028" s="25"/>
      <c r="BD2028" s="25"/>
      <c r="BE2028" s="25"/>
      <c r="BF2028" s="25"/>
      <c r="BG2028" s="25"/>
      <c r="BH2028" s="25"/>
      <c r="BI2028" s="25"/>
      <c r="BJ2028" s="25"/>
      <c r="BK2028" s="25"/>
      <c r="BL2028" s="25"/>
      <c r="BM2028" s="25"/>
      <c r="BN2028" s="25"/>
      <c r="BO2028" s="25"/>
      <c r="BP2028" s="25"/>
      <c r="BQ2028" s="25"/>
      <c r="BR2028" s="25"/>
      <c r="BS2028" s="25"/>
      <c r="BT2028" s="25"/>
      <c r="BU2028"/>
      <c r="BV2028"/>
      <c r="BW2028"/>
      <c r="BX2028"/>
      <c r="BY2028"/>
      <c r="BZ2028"/>
      <c r="CA2028"/>
      <c r="CB2028"/>
      <c r="CC2028"/>
      <c r="CD2028" s="25"/>
    </row>
    <row r="2029" spans="1:82" s="17" customFormat="1" x14ac:dyDescent="0.2">
      <c r="A2029" s="25"/>
      <c r="B2029" s="20">
        <v>39061008201</v>
      </c>
      <c r="C2029" s="20">
        <v>82.01</v>
      </c>
      <c r="D2029" s="20" t="s">
        <v>37</v>
      </c>
      <c r="E2029" s="20" t="s">
        <v>2828</v>
      </c>
      <c r="F2029" s="20" t="s">
        <v>8</v>
      </c>
      <c r="G2029" s="861">
        <v>43.830349490904403</v>
      </c>
      <c r="H2029" s="861">
        <v>37.6768970862095</v>
      </c>
      <c r="I2029" s="861">
        <v>48.914107969966999</v>
      </c>
      <c r="J2029" s="861">
        <v>57.980130745325297</v>
      </c>
      <c r="K2029" s="982">
        <v>0</v>
      </c>
      <c r="L2029" s="735">
        <v>3975</v>
      </c>
      <c r="M2029" s="735">
        <v>4124</v>
      </c>
      <c r="N2029" s="845">
        <f t="shared" si="164"/>
        <v>3.748427672955975E-2</v>
      </c>
      <c r="O2029" s="735">
        <v>0.65388562729733923</v>
      </c>
      <c r="P2029" s="735">
        <f t="shared" si="165"/>
        <v>6306.913361967363</v>
      </c>
      <c r="Q2029" s="849">
        <v>39.200000000000003</v>
      </c>
      <c r="R2029" s="71">
        <v>54384</v>
      </c>
      <c r="S2029" s="845">
        <v>0.2227891156462585</v>
      </c>
      <c r="T2029" s="845">
        <v>0.11800000000000001</v>
      </c>
      <c r="U2029" s="845">
        <v>0</v>
      </c>
      <c r="V2029" s="845">
        <v>0.05</v>
      </c>
      <c r="W2029" s="845">
        <v>0.37721808815111618</v>
      </c>
      <c r="X2029" s="845">
        <v>0.63581183611532621</v>
      </c>
      <c r="Y2029" s="845">
        <v>0.3375363724539282</v>
      </c>
      <c r="Z2029" s="845">
        <v>0.55383123181377303</v>
      </c>
      <c r="AA2029" s="845">
        <v>0</v>
      </c>
      <c r="AB2029" s="845">
        <v>4.1222114451988359E-3</v>
      </c>
      <c r="AC2029" s="845">
        <v>3.8797284190106693E-3</v>
      </c>
      <c r="AD2029" s="845">
        <v>1.1639185257032008E-2</v>
      </c>
      <c r="AE2029" s="845">
        <v>8.899127061105723E-2</v>
      </c>
      <c r="AF2029" s="845">
        <v>5.1163918525703199E-2</v>
      </c>
      <c r="AG2029" s="845">
        <v>0.33511154219204653</v>
      </c>
      <c r="AH2029" s="20" t="str">
        <f t="shared" si="166"/>
        <v>No</v>
      </c>
      <c r="AI2029" s="25"/>
      <c r="AJ2029" s="25"/>
      <c r="AK2029" s="25"/>
      <c r="AL2029" s="25"/>
      <c r="AM2029" s="25"/>
      <c r="AN2029" s="25"/>
      <c r="AO2029" s="25"/>
      <c r="AP2029" s="25"/>
      <c r="AQ2029" s="25"/>
      <c r="AR2029" s="25"/>
      <c r="AS2029" s="25"/>
      <c r="AT2029" s="25"/>
      <c r="AU2029" s="36"/>
      <c r="AV2029" s="36"/>
      <c r="AW2029" s="36"/>
      <c r="AX2029" s="25"/>
      <c r="AY2029" s="25"/>
      <c r="AZ2029" s="25"/>
      <c r="BA2029" s="25"/>
      <c r="BB2029" s="25"/>
      <c r="BC2029" s="25"/>
      <c r="BD2029" s="25"/>
      <c r="BE2029" s="25"/>
      <c r="BF2029" s="25"/>
      <c r="BG2029" s="25"/>
      <c r="BH2029" s="25"/>
      <c r="BI2029" s="25"/>
      <c r="BJ2029" s="25"/>
      <c r="BK2029" s="25"/>
      <c r="BL2029" s="25"/>
      <c r="BM2029" s="25"/>
      <c r="BN2029" s="25"/>
      <c r="BO2029" s="25"/>
      <c r="BP2029" s="25"/>
      <c r="BQ2029" s="25"/>
      <c r="BR2029" s="25"/>
      <c r="BS2029" s="25"/>
      <c r="BT2029" s="25"/>
      <c r="BU2029"/>
      <c r="BV2029"/>
      <c r="BW2029"/>
      <c r="BX2029"/>
      <c r="BY2029"/>
      <c r="BZ2029"/>
      <c r="CA2029"/>
      <c r="CB2029"/>
      <c r="CC2029"/>
      <c r="CD2029" s="25"/>
    </row>
    <row r="2030" spans="1:82" s="17" customFormat="1" x14ac:dyDescent="0.2">
      <c r="A2030" s="25"/>
      <c r="B2030" s="20">
        <v>39157021000</v>
      </c>
      <c r="C2030" s="20">
        <v>210</v>
      </c>
      <c r="D2030" s="20" t="s">
        <v>84</v>
      </c>
      <c r="E2030" s="20" t="s">
        <v>265</v>
      </c>
      <c r="F2030" s="20" t="s">
        <v>8</v>
      </c>
      <c r="G2030" s="861">
        <v>43.822367047748699</v>
      </c>
      <c r="H2030" s="861">
        <v>46.2846480662039</v>
      </c>
      <c r="I2030" s="861">
        <v>45.809829989692901</v>
      </c>
      <c r="J2030" s="861">
        <v>26.385192841734401</v>
      </c>
      <c r="K2030" s="982">
        <v>0</v>
      </c>
      <c r="L2030" s="735">
        <v>4997</v>
      </c>
      <c r="M2030" s="735">
        <v>5098</v>
      </c>
      <c r="N2030" s="845">
        <f t="shared" si="164"/>
        <v>2.0212127276365819E-2</v>
      </c>
      <c r="O2030" s="735">
        <v>8.9824010813702149</v>
      </c>
      <c r="P2030" s="735">
        <f t="shared" si="165"/>
        <v>567.55426013801741</v>
      </c>
      <c r="Q2030" s="849">
        <v>38</v>
      </c>
      <c r="R2030" s="71">
        <v>44917</v>
      </c>
      <c r="S2030" s="845">
        <v>0.24430558355170329</v>
      </c>
      <c r="T2030" s="845">
        <v>0.08</v>
      </c>
      <c r="U2030" s="845">
        <v>0</v>
      </c>
      <c r="V2030" s="845">
        <v>5.2999999999999999E-2</v>
      </c>
      <c r="W2030" s="845">
        <v>0.32839277443260767</v>
      </c>
      <c r="X2030" s="845">
        <v>0.61918194640338509</v>
      </c>
      <c r="Y2030" s="845">
        <v>0.9515496273048254</v>
      </c>
      <c r="Z2030" s="845">
        <v>9.2193016869360541E-3</v>
      </c>
      <c r="AA2030" s="845">
        <v>0</v>
      </c>
      <c r="AB2030" s="845">
        <v>7.0615927814829341E-3</v>
      </c>
      <c r="AC2030" s="845">
        <v>0</v>
      </c>
      <c r="AD2030" s="845">
        <v>2.3538642604943117E-3</v>
      </c>
      <c r="AE2030" s="845">
        <v>2.9815613966261281E-2</v>
      </c>
      <c r="AF2030" s="845">
        <v>0.20282463711259319</v>
      </c>
      <c r="AG2030" s="845">
        <v>0.77952138093369949</v>
      </c>
      <c r="AH2030" s="20" t="str">
        <f t="shared" si="166"/>
        <v>No</v>
      </c>
      <c r="AI2030" s="25"/>
      <c r="AJ2030" s="25"/>
      <c r="AK2030" s="25"/>
      <c r="AL2030" s="25"/>
      <c r="AM2030" s="25"/>
      <c r="AN2030" s="25"/>
      <c r="AO2030" s="25"/>
      <c r="AP2030" s="25"/>
      <c r="AQ2030" s="25"/>
      <c r="AR2030" s="25"/>
      <c r="AS2030" s="25"/>
      <c r="AT2030" s="25"/>
      <c r="AU2030" s="36"/>
      <c r="AV2030" s="36"/>
      <c r="AW2030" s="36"/>
      <c r="AX2030" s="25"/>
      <c r="AY2030" s="25"/>
      <c r="AZ2030" s="25"/>
      <c r="BA2030" s="25"/>
      <c r="BB2030" s="25"/>
      <c r="BC2030" s="25"/>
      <c r="BD2030" s="25"/>
      <c r="BE2030" s="25"/>
      <c r="BF2030" s="25"/>
      <c r="BG2030" s="25"/>
      <c r="BH2030" s="25"/>
      <c r="BI2030" s="25"/>
      <c r="BJ2030" s="25"/>
      <c r="BK2030" s="25"/>
      <c r="BL2030" s="25"/>
      <c r="BM2030" s="25"/>
      <c r="BN2030" s="25"/>
      <c r="BO2030" s="25"/>
      <c r="BP2030" s="25"/>
      <c r="BQ2030" s="25"/>
      <c r="BR2030" s="25"/>
      <c r="BS2030" s="25"/>
      <c r="BT2030" s="25"/>
      <c r="BU2030"/>
      <c r="BV2030"/>
      <c r="BW2030"/>
      <c r="BX2030"/>
      <c r="BY2030"/>
      <c r="BZ2030"/>
      <c r="CA2030"/>
      <c r="CB2030"/>
      <c r="CC2030"/>
      <c r="CD2030" s="25"/>
    </row>
    <row r="2031" spans="1:82" s="17" customFormat="1" x14ac:dyDescent="0.2">
      <c r="A2031" s="25"/>
      <c r="B2031" s="20">
        <v>39155933302</v>
      </c>
      <c r="C2031" s="20">
        <v>9333.02</v>
      </c>
      <c r="D2031" s="20" t="s">
        <v>83</v>
      </c>
      <c r="E2031" s="20" t="s">
        <v>2842</v>
      </c>
      <c r="F2031" s="20" t="s">
        <v>8</v>
      </c>
      <c r="G2031" s="861">
        <v>43.807615202964499</v>
      </c>
      <c r="H2031" s="861">
        <v>38.7529614324203</v>
      </c>
      <c r="I2031" s="861">
        <v>22.237450384036599</v>
      </c>
      <c r="J2031" s="861">
        <v>45.718041041778797</v>
      </c>
      <c r="K2031" s="982">
        <v>0</v>
      </c>
      <c r="L2031" s="735">
        <v>4471</v>
      </c>
      <c r="M2031" s="735">
        <v>4821</v>
      </c>
      <c r="N2031" s="845">
        <f t="shared" si="164"/>
        <v>7.82822634757325E-2</v>
      </c>
      <c r="O2031" s="735">
        <v>5.7043632528490642</v>
      </c>
      <c r="P2031" s="735">
        <f t="shared" si="165"/>
        <v>845.14253148099124</v>
      </c>
      <c r="Q2031" s="849">
        <v>47.1</v>
      </c>
      <c r="R2031" s="71">
        <v>76458</v>
      </c>
      <c r="S2031" s="845">
        <v>9.5053763440860209E-2</v>
      </c>
      <c r="T2031" s="845">
        <v>1.3999999999999999E-2</v>
      </c>
      <c r="U2031" s="845">
        <v>0</v>
      </c>
      <c r="V2031" s="845">
        <v>0</v>
      </c>
      <c r="W2031" s="845">
        <v>0.11610486891385768</v>
      </c>
      <c r="X2031" s="845">
        <v>0.31797235023041476</v>
      </c>
      <c r="Y2031" s="845">
        <v>0.96204107031736152</v>
      </c>
      <c r="Z2031" s="845">
        <v>4.9782202862476664E-3</v>
      </c>
      <c r="AA2031" s="845">
        <v>0</v>
      </c>
      <c r="AB2031" s="845">
        <v>0</v>
      </c>
      <c r="AC2031" s="845">
        <v>0</v>
      </c>
      <c r="AD2031" s="845">
        <v>1.451980916822236E-3</v>
      </c>
      <c r="AE2031" s="845">
        <v>3.1528728479568557E-2</v>
      </c>
      <c r="AF2031" s="845">
        <v>0</v>
      </c>
      <c r="AG2031" s="845">
        <v>0.96204107031736152</v>
      </c>
      <c r="AH2031" s="20" t="str">
        <f t="shared" si="166"/>
        <v>Yes</v>
      </c>
      <c r="AI2031" s="25"/>
      <c r="AJ2031" s="25"/>
      <c r="AK2031" s="25"/>
      <c r="AL2031" s="25"/>
      <c r="AM2031" s="25"/>
      <c r="AN2031" s="25"/>
      <c r="AO2031" s="25"/>
      <c r="AP2031" s="25"/>
      <c r="AQ2031" s="25"/>
      <c r="AR2031" s="25"/>
      <c r="AS2031" s="25"/>
      <c r="AT2031" s="25"/>
      <c r="AU2031" s="36"/>
      <c r="AV2031" s="36"/>
      <c r="AW2031" s="36"/>
      <c r="AX2031" s="25"/>
      <c r="AY2031" s="25"/>
      <c r="AZ2031" s="25"/>
      <c r="BA2031" s="25"/>
      <c r="BB2031" s="25"/>
      <c r="BC2031" s="25"/>
      <c r="BD2031" s="25"/>
      <c r="BE2031" s="25"/>
      <c r="BF2031" s="25"/>
      <c r="BG2031" s="25"/>
      <c r="BH2031" s="25"/>
      <c r="BI2031" s="25"/>
      <c r="BJ2031" s="25"/>
      <c r="BK2031" s="25"/>
      <c r="BL2031" s="25"/>
      <c r="BM2031" s="25"/>
      <c r="BN2031" s="25"/>
      <c r="BO2031" s="25"/>
      <c r="BP2031" s="25"/>
      <c r="BQ2031" s="25"/>
      <c r="BR2031" s="25"/>
      <c r="BS2031" s="25"/>
      <c r="BT2031" s="25"/>
      <c r="BU2031"/>
      <c r="BV2031"/>
      <c r="BW2031"/>
      <c r="BX2031"/>
      <c r="BY2031"/>
      <c r="BZ2031"/>
      <c r="CA2031"/>
      <c r="CB2031"/>
      <c r="CC2031"/>
      <c r="CD2031" s="25"/>
    </row>
    <row r="2032" spans="1:82" s="17" customFormat="1" x14ac:dyDescent="0.2">
      <c r="A2032" s="25"/>
      <c r="B2032" s="20">
        <v>39147963500</v>
      </c>
      <c r="C2032" s="20">
        <v>9635</v>
      </c>
      <c r="D2032" s="20" t="s">
        <v>79</v>
      </c>
      <c r="E2032" s="20" t="s">
        <v>265</v>
      </c>
      <c r="F2032" s="20" t="s">
        <v>8</v>
      </c>
      <c r="G2032" s="861">
        <v>43.800864093375601</v>
      </c>
      <c r="H2032" s="861">
        <v>53.450367305301697</v>
      </c>
      <c r="I2032" s="861">
        <v>41.021137495160502</v>
      </c>
      <c r="J2032" s="861">
        <v>28.184050127898601</v>
      </c>
      <c r="K2032" s="982">
        <v>0</v>
      </c>
      <c r="L2032" s="735">
        <v>3627</v>
      </c>
      <c r="M2032" s="735">
        <v>3933</v>
      </c>
      <c r="N2032" s="845">
        <f t="shared" si="164"/>
        <v>8.4367245657568243E-2</v>
      </c>
      <c r="O2032" s="735">
        <v>0.92466293213986994</v>
      </c>
      <c r="P2032" s="735">
        <f t="shared" si="165"/>
        <v>4253.4418362572269</v>
      </c>
      <c r="Q2032" s="849">
        <v>30.1</v>
      </c>
      <c r="R2032" s="71">
        <v>52518</v>
      </c>
      <c r="S2032" s="845">
        <v>0.14994232987312572</v>
      </c>
      <c r="T2032" s="845">
        <v>5.5999999999999994E-2</v>
      </c>
      <c r="U2032" s="845">
        <v>0</v>
      </c>
      <c r="V2032" s="845">
        <v>9.1999999999999998E-2</v>
      </c>
      <c r="W2032" s="845">
        <v>0.48686621869273061</v>
      </c>
      <c r="X2032" s="845">
        <v>0.3588456712672522</v>
      </c>
      <c r="Y2032" s="845">
        <v>0.89982201881515378</v>
      </c>
      <c r="Z2032" s="845">
        <v>5.186880244088482E-2</v>
      </c>
      <c r="AA2032" s="845">
        <v>0</v>
      </c>
      <c r="AB2032" s="845">
        <v>1.8306636155606407E-2</v>
      </c>
      <c r="AC2032" s="845">
        <v>0</v>
      </c>
      <c r="AD2032" s="845">
        <v>4.3224002034070686E-3</v>
      </c>
      <c r="AE2032" s="845">
        <v>2.5680142384947875E-2</v>
      </c>
      <c r="AF2032" s="845">
        <v>5.3648614289346558E-2</v>
      </c>
      <c r="AG2032" s="845">
        <v>0.86193745232646835</v>
      </c>
      <c r="AH2032" s="20" t="str">
        <f t="shared" si="166"/>
        <v>No</v>
      </c>
      <c r="AI2032" s="25"/>
      <c r="AJ2032" s="25"/>
      <c r="AK2032" s="25"/>
      <c r="AL2032" s="25"/>
      <c r="AM2032" s="25"/>
      <c r="AN2032" s="25"/>
      <c r="AO2032" s="25"/>
      <c r="AP2032" s="25"/>
      <c r="AQ2032" s="25"/>
      <c r="AR2032" s="25"/>
      <c r="AS2032" s="25"/>
      <c r="AT2032" s="25"/>
      <c r="AU2032" s="36"/>
      <c r="AV2032" s="36"/>
      <c r="AW2032" s="36"/>
      <c r="AX2032" s="25"/>
      <c r="AY2032" s="25"/>
      <c r="AZ2032" s="25"/>
      <c r="BA2032" s="25"/>
      <c r="BB2032" s="25"/>
      <c r="BC2032" s="25"/>
      <c r="BD2032" s="25"/>
      <c r="BE2032" s="25"/>
      <c r="BF2032" s="25"/>
      <c r="BG2032" s="25"/>
      <c r="BH2032" s="25"/>
      <c r="BI2032" s="25"/>
      <c r="BJ2032" s="25"/>
      <c r="BK2032" s="25"/>
      <c r="BL2032" s="25"/>
      <c r="BM2032" s="25"/>
      <c r="BN2032" s="25"/>
      <c r="BO2032" s="25"/>
      <c r="BP2032" s="25"/>
      <c r="BQ2032" s="25"/>
      <c r="BR2032" s="25"/>
      <c r="BS2032" s="25"/>
      <c r="BT2032" s="25"/>
      <c r="BU2032"/>
      <c r="BV2032"/>
      <c r="BW2032"/>
      <c r="BX2032"/>
      <c r="BY2032"/>
      <c r="BZ2032"/>
      <c r="CA2032"/>
      <c r="CB2032"/>
      <c r="CC2032"/>
      <c r="CD2032" s="25"/>
    </row>
    <row r="2033" spans="1:82" s="17" customFormat="1" x14ac:dyDescent="0.2">
      <c r="A2033" s="25"/>
      <c r="B2033" s="20">
        <v>39035196100</v>
      </c>
      <c r="C2033" s="20">
        <v>1961</v>
      </c>
      <c r="D2033" s="20" t="s">
        <v>24</v>
      </c>
      <c r="E2033" s="20" t="s">
        <v>2829</v>
      </c>
      <c r="F2033" s="20" t="s">
        <v>8</v>
      </c>
      <c r="G2033" s="861">
        <v>43.798780745982498</v>
      </c>
      <c r="H2033" s="861">
        <v>51.7366435230146</v>
      </c>
      <c r="I2033" s="861">
        <v>53.647398443175199</v>
      </c>
      <c r="J2033" s="861">
        <v>35.165979708925697</v>
      </c>
      <c r="K2033" s="982">
        <v>0</v>
      </c>
      <c r="L2033" s="735">
        <v>2577</v>
      </c>
      <c r="M2033" s="735">
        <v>2339</v>
      </c>
      <c r="N2033" s="845">
        <f t="shared" si="164"/>
        <v>-9.2355452076057429E-2</v>
      </c>
      <c r="O2033" s="735">
        <v>3.6512283448281933</v>
      </c>
      <c r="P2033" s="735">
        <f t="shared" si="165"/>
        <v>640.60633274637348</v>
      </c>
      <c r="Q2033" s="849">
        <v>42.5</v>
      </c>
      <c r="R2033" s="71">
        <v>63981</v>
      </c>
      <c r="S2033" s="845">
        <v>0.11757161179991449</v>
      </c>
      <c r="T2033" s="845">
        <v>3.3000000000000002E-2</v>
      </c>
      <c r="U2033" s="845">
        <v>2.2000000000000002E-2</v>
      </c>
      <c r="V2033" s="845">
        <v>0</v>
      </c>
      <c r="W2033" s="845">
        <v>0.44787985865724383</v>
      </c>
      <c r="X2033" s="845">
        <v>0.28994082840236685</v>
      </c>
      <c r="Y2033" s="845">
        <v>0.82556648140230871</v>
      </c>
      <c r="Z2033" s="845">
        <v>9.4484822573749461E-2</v>
      </c>
      <c r="AA2033" s="845">
        <v>1.0688328345446772E-2</v>
      </c>
      <c r="AB2033" s="845">
        <v>7.6955964087216762E-3</v>
      </c>
      <c r="AC2033" s="845">
        <v>0</v>
      </c>
      <c r="AD2033" s="845">
        <v>0</v>
      </c>
      <c r="AE2033" s="845">
        <v>6.1564771269773409E-2</v>
      </c>
      <c r="AF2033" s="845">
        <v>0.10474561778537837</v>
      </c>
      <c r="AG2033" s="845">
        <v>0.78024796921761441</v>
      </c>
      <c r="AH2033" s="20" t="str">
        <f t="shared" si="166"/>
        <v>No</v>
      </c>
      <c r="AI2033" s="25"/>
      <c r="AJ2033" s="25"/>
      <c r="AK2033" s="25"/>
      <c r="AL2033" s="25"/>
      <c r="AM2033" s="25"/>
      <c r="AN2033" s="25"/>
      <c r="AO2033" s="25"/>
      <c r="AP2033" s="25"/>
      <c r="AQ2033" s="25"/>
      <c r="AR2033" s="25"/>
      <c r="AS2033" s="25"/>
      <c r="AT2033" s="25"/>
      <c r="AU2033" s="36"/>
      <c r="AV2033" s="36"/>
      <c r="AW2033" s="36"/>
      <c r="AX2033" s="25"/>
      <c r="AY2033" s="25"/>
      <c r="AZ2033" s="25"/>
      <c r="BA2033" s="25"/>
      <c r="BB2033" s="25"/>
      <c r="BC2033" s="25"/>
      <c r="BD2033" s="25"/>
      <c r="BE2033" s="25"/>
      <c r="BF2033" s="25"/>
      <c r="BG2033" s="25"/>
      <c r="BH2033" s="25"/>
      <c r="BI2033" s="25"/>
      <c r="BJ2033" s="25"/>
      <c r="BK2033" s="25"/>
      <c r="BL2033" s="25"/>
      <c r="BM2033" s="25"/>
      <c r="BN2033" s="25"/>
      <c r="BO2033" s="25"/>
      <c r="BP2033" s="25"/>
      <c r="BQ2033" s="25"/>
      <c r="BR2033" s="25"/>
      <c r="BS2033" s="25"/>
      <c r="BT2033" s="25"/>
      <c r="BU2033"/>
      <c r="BV2033"/>
      <c r="BW2033"/>
      <c r="BX2033"/>
      <c r="BY2033"/>
      <c r="BZ2033"/>
      <c r="CA2033"/>
      <c r="CB2033"/>
      <c r="CC2033"/>
      <c r="CD2033" s="25"/>
    </row>
    <row r="2034" spans="1:82" s="17" customFormat="1" x14ac:dyDescent="0.2">
      <c r="A2034" s="25"/>
      <c r="B2034" s="20">
        <v>39169002200</v>
      </c>
      <c r="C2034" s="20">
        <v>22</v>
      </c>
      <c r="D2034" s="20" t="s">
        <v>90</v>
      </c>
      <c r="E2034" s="20" t="s">
        <v>265</v>
      </c>
      <c r="F2034" s="20" t="s">
        <v>8</v>
      </c>
      <c r="G2034" s="861">
        <v>43.797035640095899</v>
      </c>
      <c r="H2034" s="861">
        <v>51.408737107485997</v>
      </c>
      <c r="I2034" s="861">
        <v>20.6248083153884</v>
      </c>
      <c r="J2034" s="861">
        <v>41.068599834523297</v>
      </c>
      <c r="K2034" s="982">
        <v>0</v>
      </c>
      <c r="L2034" s="735">
        <v>3996</v>
      </c>
      <c r="M2034" s="735">
        <v>4144</v>
      </c>
      <c r="N2034" s="845">
        <f t="shared" si="164"/>
        <v>3.7037037037037035E-2</v>
      </c>
      <c r="O2034" s="735">
        <v>34.868278989898528</v>
      </c>
      <c r="P2034" s="735">
        <f t="shared" si="165"/>
        <v>118.8472766665809</v>
      </c>
      <c r="Q2034" s="849">
        <v>39</v>
      </c>
      <c r="R2034" s="71">
        <v>81583</v>
      </c>
      <c r="S2034" s="845">
        <v>7.62732319575187E-2</v>
      </c>
      <c r="T2034" s="845">
        <v>3.7000000000000005E-2</v>
      </c>
      <c r="U2034" s="845">
        <v>9.0000000000000011E-3</v>
      </c>
      <c r="V2034" s="845">
        <v>0</v>
      </c>
      <c r="W2034" s="845">
        <v>0.10879785090664876</v>
      </c>
      <c r="X2034" s="845">
        <v>0.35185185185185186</v>
      </c>
      <c r="Y2034" s="845">
        <v>0.96959459459459463</v>
      </c>
      <c r="Z2034" s="845">
        <v>0</v>
      </c>
      <c r="AA2034" s="845">
        <v>1.2065637065637065E-3</v>
      </c>
      <c r="AB2034" s="845">
        <v>0</v>
      </c>
      <c r="AC2034" s="845">
        <v>0</v>
      </c>
      <c r="AD2034" s="845">
        <v>1.6891891891891893E-3</v>
      </c>
      <c r="AE2034" s="845">
        <v>2.750965250965251E-2</v>
      </c>
      <c r="AF2034" s="845">
        <v>6.5154440154440154E-3</v>
      </c>
      <c r="AG2034" s="845">
        <v>0.9642857142857143</v>
      </c>
      <c r="AH2034" s="20" t="str">
        <f t="shared" si="166"/>
        <v>Yes</v>
      </c>
      <c r="AI2034" s="25"/>
      <c r="AJ2034" s="25"/>
      <c r="AK2034" s="25"/>
      <c r="AL2034" s="25"/>
      <c r="AM2034" s="25"/>
      <c r="AN2034" s="25"/>
      <c r="AO2034" s="25"/>
      <c r="AP2034" s="25"/>
      <c r="AQ2034" s="25"/>
      <c r="AR2034" s="25"/>
      <c r="AS2034" s="25"/>
      <c r="AT2034" s="25"/>
      <c r="AU2034" s="36"/>
      <c r="AV2034" s="36"/>
      <c r="AW2034" s="36"/>
      <c r="AX2034" s="25"/>
      <c r="AY2034" s="25"/>
      <c r="AZ2034" s="25"/>
      <c r="BA2034" s="25"/>
      <c r="BB2034" s="25"/>
      <c r="BC2034" s="25"/>
      <c r="BD2034" s="25"/>
      <c r="BE2034" s="25"/>
      <c r="BF2034" s="25"/>
      <c r="BG2034" s="25"/>
      <c r="BH2034" s="25"/>
      <c r="BI2034" s="25"/>
      <c r="BJ2034" s="25"/>
      <c r="BK2034" s="25"/>
      <c r="BL2034" s="25"/>
      <c r="BM2034" s="25"/>
      <c r="BN2034" s="25"/>
      <c r="BO2034" s="25"/>
      <c r="BP2034" s="25"/>
      <c r="BQ2034" s="25"/>
      <c r="BR2034" s="25"/>
      <c r="BS2034" s="25"/>
      <c r="BT2034" s="25"/>
      <c r="BU2034"/>
      <c r="BV2034"/>
      <c r="BW2034"/>
      <c r="BX2034"/>
      <c r="BY2034"/>
      <c r="BZ2034"/>
      <c r="CA2034"/>
      <c r="CB2034"/>
      <c r="CC2034"/>
      <c r="CD2034" s="25"/>
    </row>
    <row r="2035" spans="1:82" s="17" customFormat="1" x14ac:dyDescent="0.2">
      <c r="A2035" s="25"/>
      <c r="B2035" s="20">
        <v>39035118900</v>
      </c>
      <c r="C2035" s="20">
        <v>1189</v>
      </c>
      <c r="D2035" s="20" t="s">
        <v>24</v>
      </c>
      <c r="E2035" s="20" t="s">
        <v>2829</v>
      </c>
      <c r="F2035" s="20" t="s">
        <v>8</v>
      </c>
      <c r="G2035" s="861">
        <v>43.775675132782901</v>
      </c>
      <c r="H2035" s="861">
        <v>47.396499425205199</v>
      </c>
      <c r="I2035" s="861">
        <v>55.0576204416937</v>
      </c>
      <c r="J2035" s="861">
        <v>46.085982098036503</v>
      </c>
      <c r="K2035" s="982">
        <v>1</v>
      </c>
      <c r="L2035" s="735">
        <v>1561</v>
      </c>
      <c r="M2035" s="735">
        <v>1376</v>
      </c>
      <c r="N2035" s="845">
        <f t="shared" si="164"/>
        <v>-0.11851377322229339</v>
      </c>
      <c r="O2035" s="735">
        <v>0.33387527790619859</v>
      </c>
      <c r="P2035" s="735">
        <f t="shared" si="165"/>
        <v>4121.2994523858806</v>
      </c>
      <c r="Q2035" s="849">
        <v>31.8</v>
      </c>
      <c r="R2035" s="71">
        <v>41688</v>
      </c>
      <c r="S2035" s="845">
        <v>0.35683139534883723</v>
      </c>
      <c r="T2035" s="845">
        <v>0.12</v>
      </c>
      <c r="U2035" s="845">
        <v>0</v>
      </c>
      <c r="V2035" s="845">
        <v>0.159</v>
      </c>
      <c r="W2035" s="845">
        <v>0.83508245877061471</v>
      </c>
      <c r="X2035" s="845">
        <v>0.42549371633752242</v>
      </c>
      <c r="Y2035" s="845">
        <v>0.27761627906976744</v>
      </c>
      <c r="Z2035" s="845">
        <v>0.60319767441860461</v>
      </c>
      <c r="AA2035" s="845">
        <v>0</v>
      </c>
      <c r="AB2035" s="845">
        <v>9.5203488372093026E-2</v>
      </c>
      <c r="AC2035" s="845">
        <v>0</v>
      </c>
      <c r="AD2035" s="845">
        <v>0</v>
      </c>
      <c r="AE2035" s="845">
        <v>2.3982558139534885E-2</v>
      </c>
      <c r="AF2035" s="845">
        <v>1.5261627906976744E-2</v>
      </c>
      <c r="AG2035" s="845">
        <v>0.27252906976744184</v>
      </c>
      <c r="AH2035" s="20" t="str">
        <f t="shared" si="166"/>
        <v>No</v>
      </c>
      <c r="AI2035" s="25"/>
      <c r="AJ2035" s="25"/>
      <c r="AK2035" s="25"/>
      <c r="AL2035" s="25"/>
      <c r="AM2035" s="25"/>
      <c r="AN2035" s="25"/>
      <c r="AO2035" s="25"/>
      <c r="AP2035" s="25"/>
      <c r="AQ2035" s="25"/>
      <c r="AR2035" s="25"/>
      <c r="AS2035" s="25"/>
      <c r="AT2035" s="25"/>
      <c r="AU2035" s="36"/>
      <c r="AV2035" s="36"/>
      <c r="AW2035" s="36"/>
      <c r="AX2035" s="25"/>
      <c r="AY2035" s="25"/>
      <c r="AZ2035" s="25"/>
      <c r="BA2035" s="25"/>
      <c r="BB2035" s="25"/>
      <c r="BC2035" s="25"/>
      <c r="BD2035" s="25"/>
      <c r="BE2035" s="25"/>
      <c r="BF2035" s="25"/>
      <c r="BG2035" s="25"/>
      <c r="BH2035" s="25"/>
      <c r="BI2035" s="25"/>
      <c r="BJ2035" s="25"/>
      <c r="BK2035" s="25"/>
      <c r="BL2035" s="25"/>
      <c r="BM2035" s="25"/>
      <c r="BN2035" s="25"/>
      <c r="BO2035" s="25"/>
      <c r="BP2035" s="25"/>
      <c r="BQ2035" s="25"/>
      <c r="BR2035" s="25"/>
      <c r="BS2035" s="25"/>
      <c r="BT2035" s="25"/>
      <c r="BU2035"/>
      <c r="BV2035"/>
      <c r="BW2035"/>
      <c r="BX2035"/>
      <c r="BY2035"/>
      <c r="BZ2035"/>
      <c r="CA2035"/>
      <c r="CB2035"/>
      <c r="CC2035"/>
      <c r="CD2035" s="25"/>
    </row>
    <row r="2036" spans="1:82" s="17" customFormat="1" x14ac:dyDescent="0.2">
      <c r="A2036" s="25"/>
      <c r="B2036" s="20">
        <v>39063000301</v>
      </c>
      <c r="C2036" s="20">
        <v>3.01</v>
      </c>
      <c r="D2036" s="20" t="s">
        <v>38</v>
      </c>
      <c r="E2036" s="20" t="s">
        <v>265</v>
      </c>
      <c r="F2036" s="20" t="s">
        <v>8</v>
      </c>
      <c r="G2036" s="861">
        <v>43.767115093231503</v>
      </c>
      <c r="H2036" s="861">
        <v>38.370802364552603</v>
      </c>
      <c r="I2036" s="861">
        <v>31.459772269801999</v>
      </c>
      <c r="J2036" s="861">
        <v>23.459867419516598</v>
      </c>
      <c r="K2036" s="982">
        <v>0</v>
      </c>
      <c r="L2036" s="735" t="s">
        <v>2466</v>
      </c>
      <c r="M2036" s="735">
        <v>1145</v>
      </c>
      <c r="N2036" s="845" t="str">
        <f t="shared" si="164"/>
        <v/>
      </c>
      <c r="O2036" s="735">
        <v>42.597435321816981</v>
      </c>
      <c r="P2036" s="735">
        <f t="shared" si="165"/>
        <v>26.879552521171838</v>
      </c>
      <c r="Q2036" s="849">
        <v>56.8</v>
      </c>
      <c r="R2036" s="71">
        <v>76875</v>
      </c>
      <c r="S2036" s="845">
        <v>6.0262008733624452E-2</v>
      </c>
      <c r="T2036" s="845">
        <v>1.8000000000000002E-2</v>
      </c>
      <c r="U2036" s="845">
        <v>2E-3</v>
      </c>
      <c r="V2036" s="845">
        <v>0</v>
      </c>
      <c r="W2036" s="845">
        <v>3.6630036630036632E-2</v>
      </c>
      <c r="X2036" s="845">
        <v>0</v>
      </c>
      <c r="Y2036" s="845">
        <v>0.98253275109170302</v>
      </c>
      <c r="Z2036" s="845">
        <v>0</v>
      </c>
      <c r="AA2036" s="845">
        <v>0</v>
      </c>
      <c r="AB2036" s="845">
        <v>1.7467248908296942E-2</v>
      </c>
      <c r="AC2036" s="845">
        <v>0</v>
      </c>
      <c r="AD2036" s="845">
        <v>0</v>
      </c>
      <c r="AE2036" s="845">
        <v>0</v>
      </c>
      <c r="AF2036" s="845">
        <v>1.8340611353711789E-2</v>
      </c>
      <c r="AG2036" s="845">
        <v>0.96419213973799123</v>
      </c>
      <c r="AH2036" s="20" t="str">
        <f t="shared" si="166"/>
        <v>Yes</v>
      </c>
      <c r="AI2036" s="25"/>
      <c r="AJ2036" s="25"/>
      <c r="AK2036" s="25"/>
      <c r="AL2036" s="25"/>
      <c r="AM2036" s="25"/>
      <c r="AN2036" s="25"/>
      <c r="AO2036" s="25"/>
      <c r="AP2036" s="25"/>
      <c r="AQ2036" s="25"/>
      <c r="AR2036" s="25"/>
      <c r="AS2036" s="25"/>
      <c r="AT2036" s="25"/>
      <c r="AU2036" s="36"/>
      <c r="AV2036" s="36"/>
      <c r="AW2036" s="36"/>
      <c r="AX2036" s="25"/>
      <c r="AY2036" s="25"/>
      <c r="AZ2036" s="25"/>
      <c r="BA2036" s="25"/>
      <c r="BB2036" s="25"/>
      <c r="BC2036" s="25"/>
      <c r="BD2036" s="25"/>
      <c r="BE2036" s="25"/>
      <c r="BF2036" s="25"/>
      <c r="BG2036" s="25"/>
      <c r="BH2036" s="25"/>
      <c r="BI2036" s="25"/>
      <c r="BJ2036" s="25"/>
      <c r="BK2036" s="25"/>
      <c r="BL2036" s="25"/>
      <c r="BM2036" s="25"/>
      <c r="BN2036" s="25"/>
      <c r="BO2036" s="25"/>
      <c r="BP2036" s="25"/>
      <c r="BQ2036" s="25"/>
      <c r="BR2036" s="25"/>
      <c r="BS2036" s="25"/>
      <c r="BT2036" s="25"/>
      <c r="BU2036"/>
      <c r="BV2036"/>
      <c r="BW2036"/>
      <c r="BX2036"/>
      <c r="BY2036"/>
      <c r="BZ2036"/>
      <c r="CA2036"/>
      <c r="CB2036"/>
      <c r="CC2036"/>
      <c r="CD2036" s="25"/>
    </row>
    <row r="2037" spans="1:82" s="17" customFormat="1" x14ac:dyDescent="0.2">
      <c r="A2037" s="25"/>
      <c r="B2037" s="20">
        <v>39095005801</v>
      </c>
      <c r="C2037" s="20">
        <v>58.01</v>
      </c>
      <c r="D2037" s="20" t="s">
        <v>53</v>
      </c>
      <c r="E2037" s="20" t="s">
        <v>2839</v>
      </c>
      <c r="F2037" s="20" t="s">
        <v>8</v>
      </c>
      <c r="G2037" s="861">
        <v>43.756652166143702</v>
      </c>
      <c r="H2037" s="861">
        <v>52.788983834867103</v>
      </c>
      <c r="I2037" s="861">
        <v>30.681492203169199</v>
      </c>
      <c r="J2037" s="861">
        <v>42.211210588105999</v>
      </c>
      <c r="K2037" s="982">
        <v>0</v>
      </c>
      <c r="L2037" s="735">
        <v>3890</v>
      </c>
      <c r="M2037" s="735">
        <v>3900</v>
      </c>
      <c r="N2037" s="845">
        <f t="shared" si="164"/>
        <v>2.5706940874035988E-3</v>
      </c>
      <c r="O2037" s="735">
        <v>0.66765055535332174</v>
      </c>
      <c r="P2037" s="735">
        <f t="shared" si="165"/>
        <v>5841.3790997838887</v>
      </c>
      <c r="Q2037" s="849">
        <v>37.4</v>
      </c>
      <c r="R2037" s="71">
        <v>63980</v>
      </c>
      <c r="S2037" s="845">
        <v>0.16384615384615384</v>
      </c>
      <c r="T2037" s="845">
        <v>7.2999999999999995E-2</v>
      </c>
      <c r="U2037" s="845">
        <v>3.7999999999999999E-2</v>
      </c>
      <c r="V2037" s="845">
        <v>0</v>
      </c>
      <c r="W2037" s="845">
        <v>0.48573059360730592</v>
      </c>
      <c r="X2037" s="845">
        <v>0.22796709753231492</v>
      </c>
      <c r="Y2037" s="845">
        <v>0.64333333333333331</v>
      </c>
      <c r="Z2037" s="845">
        <v>0.21282051282051281</v>
      </c>
      <c r="AA2037" s="845">
        <v>0</v>
      </c>
      <c r="AB2037" s="845">
        <v>4.3589743589743588E-3</v>
      </c>
      <c r="AC2037" s="845">
        <v>0</v>
      </c>
      <c r="AD2037" s="845">
        <v>1.9230769230769232E-2</v>
      </c>
      <c r="AE2037" s="845">
        <v>0.12025641025641026</v>
      </c>
      <c r="AF2037" s="845">
        <v>0.1335897435897436</v>
      </c>
      <c r="AG2037" s="845">
        <v>0.60615384615384615</v>
      </c>
      <c r="AH2037" s="20" t="str">
        <f t="shared" si="166"/>
        <v>No</v>
      </c>
      <c r="AI2037" s="25"/>
      <c r="AJ2037" s="25"/>
      <c r="AK2037" s="25"/>
      <c r="AL2037" s="25"/>
      <c r="AM2037" s="25"/>
      <c r="AN2037" s="25"/>
      <c r="AO2037" s="25"/>
      <c r="AP2037" s="25"/>
      <c r="AQ2037" s="25"/>
      <c r="AR2037" s="25"/>
      <c r="AS2037" s="25"/>
      <c r="AT2037" s="25"/>
      <c r="AU2037" s="36"/>
      <c r="AV2037" s="36"/>
      <c r="AW2037" s="36"/>
      <c r="AX2037" s="25"/>
      <c r="AY2037" s="25"/>
      <c r="AZ2037" s="25"/>
      <c r="BA2037" s="25"/>
      <c r="BB2037" s="25"/>
      <c r="BC2037" s="25"/>
      <c r="BD2037" s="25"/>
      <c r="BE2037" s="25"/>
      <c r="BF2037" s="25"/>
      <c r="BG2037" s="25"/>
      <c r="BH2037" s="25"/>
      <c r="BI2037" s="25"/>
      <c r="BJ2037" s="25"/>
      <c r="BK2037" s="25"/>
      <c r="BL2037" s="25"/>
      <c r="BM2037" s="25"/>
      <c r="BN2037" s="25"/>
      <c r="BO2037" s="25"/>
      <c r="BP2037" s="25"/>
      <c r="BQ2037" s="25"/>
      <c r="BR2037" s="25"/>
      <c r="BS2037" s="25"/>
      <c r="BT2037" s="25"/>
      <c r="BU2037"/>
      <c r="BV2037"/>
      <c r="BW2037"/>
      <c r="BX2037"/>
      <c r="BY2037"/>
      <c r="BZ2037"/>
      <c r="CA2037"/>
      <c r="CB2037"/>
      <c r="CC2037"/>
      <c r="CD2037" s="25"/>
    </row>
    <row r="2038" spans="1:82" s="17" customFormat="1" x14ac:dyDescent="0.2">
      <c r="A2038" s="25"/>
      <c r="B2038" s="20">
        <v>39151712102</v>
      </c>
      <c r="C2038" s="20">
        <v>7121.02</v>
      </c>
      <c r="D2038" s="20" t="s">
        <v>81</v>
      </c>
      <c r="E2038" s="20" t="s">
        <v>2844</v>
      </c>
      <c r="F2038" s="20" t="s">
        <v>8</v>
      </c>
      <c r="G2038" s="861">
        <v>43.755483280327603</v>
      </c>
      <c r="H2038" s="861">
        <v>42.242902795000198</v>
      </c>
      <c r="I2038" s="861">
        <v>22.890521998087799</v>
      </c>
      <c r="J2038" s="861">
        <v>49.611419381282403</v>
      </c>
      <c r="K2038" s="982">
        <v>0</v>
      </c>
      <c r="L2038" s="735">
        <v>7283</v>
      </c>
      <c r="M2038" s="735">
        <v>8966</v>
      </c>
      <c r="N2038" s="845">
        <f t="shared" si="164"/>
        <v>0.23108609089660853</v>
      </c>
      <c r="O2038" s="735">
        <v>6.3113810974213314</v>
      </c>
      <c r="P2038" s="735">
        <f t="shared" si="165"/>
        <v>1420.6082411444427</v>
      </c>
      <c r="Q2038" s="849">
        <v>38.799999999999997</v>
      </c>
      <c r="R2038" s="71">
        <v>90967</v>
      </c>
      <c r="S2038" s="845">
        <v>5.9679767103347887E-2</v>
      </c>
      <c r="T2038" s="845">
        <v>2.3E-2</v>
      </c>
      <c r="U2038" s="845">
        <v>0</v>
      </c>
      <c r="V2038" s="845">
        <v>0</v>
      </c>
      <c r="W2038" s="845">
        <v>0.13029120384268988</v>
      </c>
      <c r="X2038" s="845">
        <v>0.33410138248847926</v>
      </c>
      <c r="Y2038" s="845">
        <v>0.87140307829578412</v>
      </c>
      <c r="Z2038" s="845">
        <v>1.8179790318982824E-2</v>
      </c>
      <c r="AA2038" s="845">
        <v>4.4612982377871963E-4</v>
      </c>
      <c r="AB2038" s="845">
        <v>0</v>
      </c>
      <c r="AC2038" s="845">
        <v>0</v>
      </c>
      <c r="AD2038" s="845">
        <v>2.1191166629489183E-3</v>
      </c>
      <c r="AE2038" s="845">
        <v>0.10785188489850546</v>
      </c>
      <c r="AF2038" s="845">
        <v>2.21949587329913E-2</v>
      </c>
      <c r="AG2038" s="845">
        <v>0.85333482043274589</v>
      </c>
      <c r="AH2038" s="20" t="str">
        <f t="shared" si="166"/>
        <v>No</v>
      </c>
      <c r="AI2038" s="25"/>
      <c r="AJ2038" s="25"/>
      <c r="AK2038" s="25"/>
      <c r="AL2038" s="25"/>
      <c r="AM2038" s="25"/>
      <c r="AN2038" s="25"/>
      <c r="AO2038" s="25"/>
      <c r="AP2038" s="25"/>
      <c r="AQ2038" s="25"/>
      <c r="AR2038" s="25"/>
      <c r="AS2038" s="25"/>
      <c r="AT2038" s="25"/>
      <c r="AU2038" s="36"/>
      <c r="AV2038" s="36"/>
      <c r="AW2038" s="36"/>
      <c r="AX2038" s="25"/>
      <c r="AY2038" s="25"/>
      <c r="AZ2038" s="25"/>
      <c r="BA2038" s="25"/>
      <c r="BB2038" s="25"/>
      <c r="BC2038" s="25"/>
      <c r="BD2038" s="25"/>
      <c r="BE2038" s="25"/>
      <c r="BF2038" s="25"/>
      <c r="BG2038" s="25"/>
      <c r="BH2038" s="25"/>
      <c r="BI2038" s="25"/>
      <c r="BJ2038" s="25"/>
      <c r="BK2038" s="25"/>
      <c r="BL2038" s="25"/>
      <c r="BM2038" s="25"/>
      <c r="BN2038" s="25"/>
      <c r="BO2038" s="25"/>
      <c r="BP2038" s="25"/>
      <c r="BQ2038" s="25"/>
      <c r="BR2038" s="25"/>
      <c r="BS2038" s="25"/>
      <c r="BT2038" s="25"/>
      <c r="BU2038"/>
      <c r="BV2038"/>
      <c r="BW2038"/>
      <c r="BX2038"/>
      <c r="BY2038"/>
      <c r="BZ2038"/>
      <c r="CA2038"/>
      <c r="CB2038"/>
      <c r="CC2038"/>
      <c r="CD2038" s="25"/>
    </row>
    <row r="2039" spans="1:82" s="17" customFormat="1" x14ac:dyDescent="0.2">
      <c r="A2039" s="25"/>
      <c r="B2039" s="20">
        <v>39061025500</v>
      </c>
      <c r="C2039" s="20">
        <v>255</v>
      </c>
      <c r="D2039" s="20" t="s">
        <v>37</v>
      </c>
      <c r="E2039" s="20" t="s">
        <v>2828</v>
      </c>
      <c r="F2039" s="20" t="s">
        <v>6</v>
      </c>
      <c r="G2039" s="861">
        <v>43.751527119972501</v>
      </c>
      <c r="H2039" s="861">
        <v>54.3647235678824</v>
      </c>
      <c r="I2039" s="861">
        <v>47.184147319306902</v>
      </c>
      <c r="J2039" s="861">
        <v>38.285338794473098</v>
      </c>
      <c r="K2039" s="982">
        <v>0</v>
      </c>
      <c r="L2039" s="735">
        <v>4434</v>
      </c>
      <c r="M2039" s="735">
        <v>3848</v>
      </c>
      <c r="N2039" s="845">
        <f t="shared" si="164"/>
        <v>-0.13216057735678846</v>
      </c>
      <c r="O2039" s="735">
        <v>0.52934644553252408</v>
      </c>
      <c r="P2039" s="735">
        <f t="shared" si="165"/>
        <v>7269.3413405825377</v>
      </c>
      <c r="Q2039" s="849">
        <v>40.799999999999997</v>
      </c>
      <c r="R2039" s="71">
        <v>50500</v>
      </c>
      <c r="S2039" s="845">
        <v>0.16348773841961853</v>
      </c>
      <c r="T2039" s="845">
        <v>0.115</v>
      </c>
      <c r="U2039" s="845">
        <v>0</v>
      </c>
      <c r="V2039" s="845">
        <v>6.0000000000000001E-3</v>
      </c>
      <c r="W2039" s="845">
        <v>0.58548009367681497</v>
      </c>
      <c r="X2039" s="845">
        <v>0.46700000000000003</v>
      </c>
      <c r="Y2039" s="845">
        <v>0.72739085239085244</v>
      </c>
      <c r="Z2039" s="845">
        <v>0.17073804573804574</v>
      </c>
      <c r="AA2039" s="845">
        <v>0</v>
      </c>
      <c r="AB2039" s="845">
        <v>0</v>
      </c>
      <c r="AC2039" s="845">
        <v>0</v>
      </c>
      <c r="AD2039" s="845">
        <v>2.8326403326403328E-2</v>
      </c>
      <c r="AE2039" s="845">
        <v>7.3544698544698542E-2</v>
      </c>
      <c r="AF2039" s="845">
        <v>0.13773388773388773</v>
      </c>
      <c r="AG2039" s="845">
        <v>0.64241164241164239</v>
      </c>
      <c r="AH2039" s="20" t="str">
        <f t="shared" si="166"/>
        <v>No</v>
      </c>
      <c r="AI2039" s="25"/>
      <c r="AJ2039" s="25"/>
      <c r="AK2039" s="25"/>
      <c r="AL2039" s="25"/>
      <c r="AM2039" s="25"/>
      <c r="AN2039" s="25"/>
      <c r="AO2039" s="25"/>
      <c r="AP2039" s="25"/>
      <c r="AQ2039" s="25"/>
      <c r="AR2039" s="25"/>
      <c r="AS2039" s="25"/>
      <c r="AT2039" s="25"/>
      <c r="AU2039" s="36"/>
      <c r="AV2039" s="36"/>
      <c r="AW2039" s="36"/>
      <c r="AX2039" s="25"/>
      <c r="AY2039" s="25"/>
      <c r="AZ2039" s="25"/>
      <c r="BA2039" s="25"/>
      <c r="BB2039" s="25"/>
      <c r="BC2039" s="25"/>
      <c r="BD2039" s="25"/>
      <c r="BE2039" s="25"/>
      <c r="BF2039" s="25"/>
      <c r="BG2039" s="25"/>
      <c r="BH2039" s="25"/>
      <c r="BI2039" s="25"/>
      <c r="BJ2039" s="25"/>
      <c r="BK2039" s="25"/>
      <c r="BL2039" s="25"/>
      <c r="BM2039" s="25"/>
      <c r="BN2039" s="25"/>
      <c r="BO2039" s="25"/>
      <c r="BP2039" s="25"/>
      <c r="BQ2039" s="25"/>
      <c r="BR2039" s="25"/>
      <c r="BS2039" s="25"/>
      <c r="BT2039" s="25"/>
      <c r="BU2039"/>
      <c r="BV2039"/>
      <c r="BW2039"/>
      <c r="BX2039"/>
      <c r="BY2039"/>
      <c r="BZ2039"/>
      <c r="CA2039"/>
      <c r="CB2039"/>
      <c r="CC2039"/>
      <c r="CD2039" s="25"/>
    </row>
    <row r="2040" spans="1:82" s="17" customFormat="1" x14ac:dyDescent="0.2">
      <c r="A2040" s="25"/>
      <c r="B2040" s="20">
        <v>39151710500</v>
      </c>
      <c r="C2040" s="20">
        <v>7105</v>
      </c>
      <c r="D2040" s="20" t="s">
        <v>81</v>
      </c>
      <c r="E2040" s="20" t="s">
        <v>2844</v>
      </c>
      <c r="F2040" s="20" t="s">
        <v>6</v>
      </c>
      <c r="G2040" s="861">
        <v>43.721483075876002</v>
      </c>
      <c r="H2040" s="861">
        <v>47.905706151083102</v>
      </c>
      <c r="I2040" s="861">
        <v>46.404691153242197</v>
      </c>
      <c r="J2040" s="861">
        <v>38.578423234720198</v>
      </c>
      <c r="K2040" s="982">
        <v>0</v>
      </c>
      <c r="L2040" s="735">
        <v>4477</v>
      </c>
      <c r="M2040" s="735">
        <v>4262</v>
      </c>
      <c r="N2040" s="845">
        <f t="shared" si="164"/>
        <v>-4.8023229841411656E-2</v>
      </c>
      <c r="O2040" s="735">
        <v>1.1914073999359016</v>
      </c>
      <c r="P2040" s="735">
        <f t="shared" si="165"/>
        <v>3577.2817931375093</v>
      </c>
      <c r="Q2040" s="849">
        <v>35.799999999999997</v>
      </c>
      <c r="R2040" s="71">
        <v>52943</v>
      </c>
      <c r="S2040" s="845">
        <v>0.3218703612073231</v>
      </c>
      <c r="T2040" s="845">
        <v>3.7999999999999999E-2</v>
      </c>
      <c r="U2040" s="845">
        <v>0</v>
      </c>
      <c r="V2040" s="845">
        <v>0</v>
      </c>
      <c r="W2040" s="845">
        <v>0.58122001370801923</v>
      </c>
      <c r="X2040" s="845">
        <v>0.39504716981132076</v>
      </c>
      <c r="Y2040" s="845">
        <v>0.62060065696855937</v>
      </c>
      <c r="Z2040" s="845">
        <v>0.21445330830595966</v>
      </c>
      <c r="AA2040" s="845">
        <v>0</v>
      </c>
      <c r="AB2040" s="845">
        <v>0</v>
      </c>
      <c r="AC2040" s="845">
        <v>0</v>
      </c>
      <c r="AD2040" s="845">
        <v>1.9005161895823557E-2</v>
      </c>
      <c r="AE2040" s="845">
        <v>0.14594087282965743</v>
      </c>
      <c r="AF2040" s="845">
        <v>7.9774753636790239E-3</v>
      </c>
      <c r="AG2040" s="845">
        <v>0.62060065696855937</v>
      </c>
      <c r="AH2040" s="20" t="str">
        <f t="shared" si="166"/>
        <v>No</v>
      </c>
      <c r="AI2040" s="25"/>
      <c r="AJ2040" s="25"/>
      <c r="AK2040" s="25"/>
      <c r="AL2040" s="25"/>
      <c r="AM2040" s="25"/>
      <c r="AN2040" s="25"/>
      <c r="AO2040" s="25"/>
      <c r="AP2040" s="25"/>
      <c r="AQ2040" s="25"/>
      <c r="AR2040" s="25"/>
      <c r="AS2040" s="25"/>
      <c r="AT2040" s="25"/>
      <c r="AU2040" s="36"/>
      <c r="AV2040" s="36"/>
      <c r="AW2040" s="36"/>
      <c r="AX2040" s="25"/>
      <c r="AY2040" s="25"/>
      <c r="AZ2040" s="25"/>
      <c r="BA2040" s="25"/>
      <c r="BB2040" s="25"/>
      <c r="BC2040" s="25"/>
      <c r="BD2040" s="25"/>
      <c r="BE2040" s="25"/>
      <c r="BF2040" s="25"/>
      <c r="BG2040" s="25"/>
      <c r="BH2040" s="25"/>
      <c r="BI2040" s="25"/>
      <c r="BJ2040" s="25"/>
      <c r="BK2040" s="25"/>
      <c r="BL2040" s="25"/>
      <c r="BM2040" s="25"/>
      <c r="BN2040" s="25"/>
      <c r="BO2040" s="25"/>
      <c r="BP2040" s="25"/>
      <c r="BQ2040" s="25"/>
      <c r="BR2040" s="25"/>
      <c r="BS2040" s="25"/>
      <c r="BT2040" s="25"/>
      <c r="BU2040"/>
      <c r="BV2040"/>
      <c r="BW2040"/>
      <c r="BX2040"/>
      <c r="BY2040"/>
      <c r="BZ2040"/>
      <c r="CA2040"/>
      <c r="CB2040"/>
      <c r="CC2040"/>
      <c r="CD2040" s="25"/>
    </row>
    <row r="2041" spans="1:82" s="17" customFormat="1" x14ac:dyDescent="0.2">
      <c r="A2041" s="25"/>
      <c r="B2041" s="20">
        <v>39093070700</v>
      </c>
      <c r="C2041" s="20">
        <v>707</v>
      </c>
      <c r="D2041" s="20" t="s">
        <v>52</v>
      </c>
      <c r="E2041" s="20" t="s">
        <v>2829</v>
      </c>
      <c r="F2041" s="20" t="s">
        <v>8</v>
      </c>
      <c r="G2041" s="861">
        <v>43.706378285744599</v>
      </c>
      <c r="H2041" s="861">
        <v>49.006890894673703</v>
      </c>
      <c r="I2041" s="861">
        <v>37.4155634059059</v>
      </c>
      <c r="J2041" s="861">
        <v>34.344156283751502</v>
      </c>
      <c r="K2041" s="982">
        <v>0</v>
      </c>
      <c r="L2041" s="735">
        <v>2595</v>
      </c>
      <c r="M2041" s="735">
        <v>2240</v>
      </c>
      <c r="N2041" s="845">
        <f t="shared" si="164"/>
        <v>-0.13680154142581888</v>
      </c>
      <c r="O2041" s="735">
        <v>0.91565748539285774</v>
      </c>
      <c r="P2041" s="735">
        <f t="shared" si="165"/>
        <v>2446.329589102786</v>
      </c>
      <c r="Q2041" s="849">
        <v>31.2</v>
      </c>
      <c r="R2041" s="71">
        <v>50938</v>
      </c>
      <c r="S2041" s="845">
        <v>0.25</v>
      </c>
      <c r="T2041" s="845">
        <v>5.4000000000000006E-2</v>
      </c>
      <c r="U2041" s="845">
        <v>0</v>
      </c>
      <c r="V2041" s="845">
        <v>0</v>
      </c>
      <c r="W2041" s="845">
        <v>0.37528344671201813</v>
      </c>
      <c r="X2041" s="845">
        <v>0.46827794561933533</v>
      </c>
      <c r="Y2041" s="845">
        <v>0.72723214285714288</v>
      </c>
      <c r="Z2041" s="845">
        <v>0.16339285714285715</v>
      </c>
      <c r="AA2041" s="845">
        <v>8.4821428571428565E-3</v>
      </c>
      <c r="AB2041" s="845">
        <v>4.0178571428571425E-3</v>
      </c>
      <c r="AC2041" s="845">
        <v>0</v>
      </c>
      <c r="AD2041" s="845">
        <v>0</v>
      </c>
      <c r="AE2041" s="845">
        <v>9.6875000000000003E-2</v>
      </c>
      <c r="AF2041" s="845">
        <v>5.6696428571428571E-2</v>
      </c>
      <c r="AG2041" s="845">
        <v>0.70357142857142863</v>
      </c>
      <c r="AH2041" s="20" t="str">
        <f t="shared" si="166"/>
        <v>No</v>
      </c>
      <c r="AI2041" s="25"/>
      <c r="AJ2041" s="25"/>
      <c r="AK2041" s="25"/>
      <c r="AL2041" s="25"/>
      <c r="AM2041" s="25"/>
      <c r="AN2041" s="25"/>
      <c r="AO2041" s="25"/>
      <c r="AP2041" s="25"/>
      <c r="AQ2041" s="25"/>
      <c r="AR2041" s="25"/>
      <c r="AS2041" s="25"/>
      <c r="AT2041" s="25"/>
      <c r="AU2041" s="36"/>
      <c r="AV2041" s="36"/>
      <c r="AW2041" s="36"/>
      <c r="AX2041" s="25"/>
      <c r="AY2041" s="25"/>
      <c r="AZ2041" s="25"/>
      <c r="BA2041" s="25"/>
      <c r="BB2041" s="25"/>
      <c r="BC2041" s="25"/>
      <c r="BD2041" s="25"/>
      <c r="BE2041" s="25"/>
      <c r="BF2041" s="25"/>
      <c r="BG2041" s="25"/>
      <c r="BH2041" s="25"/>
      <c r="BI2041" s="25"/>
      <c r="BJ2041" s="25"/>
      <c r="BK2041" s="25"/>
      <c r="BL2041" s="25"/>
      <c r="BM2041" s="25"/>
      <c r="BN2041" s="25"/>
      <c r="BO2041" s="25"/>
      <c r="BP2041" s="25"/>
      <c r="BQ2041" s="25"/>
      <c r="BR2041" s="25"/>
      <c r="BS2041" s="25"/>
      <c r="BT2041" s="25"/>
      <c r="BU2041"/>
      <c r="BV2041"/>
      <c r="BW2041"/>
      <c r="BX2041"/>
      <c r="BY2041"/>
      <c r="BZ2041"/>
      <c r="CA2041"/>
      <c r="CB2041"/>
      <c r="CC2041"/>
      <c r="CD2041" s="25"/>
    </row>
    <row r="2042" spans="1:82" s="17" customFormat="1" x14ac:dyDescent="0.2">
      <c r="A2042" s="25"/>
      <c r="B2042" s="20">
        <v>39035152501</v>
      </c>
      <c r="C2042" s="20">
        <v>1525.01</v>
      </c>
      <c r="D2042" s="20" t="s">
        <v>24</v>
      </c>
      <c r="E2042" s="20" t="s">
        <v>2829</v>
      </c>
      <c r="F2042" s="20" t="s">
        <v>6</v>
      </c>
      <c r="G2042" s="861">
        <v>43.701475205155198</v>
      </c>
      <c r="H2042" s="861">
        <v>57.008248579300798</v>
      </c>
      <c r="I2042" s="861">
        <v>45.577354619591297</v>
      </c>
      <c r="J2042" s="861">
        <v>44.110575744419997</v>
      </c>
      <c r="K2042" s="982">
        <v>0</v>
      </c>
      <c r="L2042" s="735">
        <v>3530</v>
      </c>
      <c r="M2042" s="735">
        <v>3921</v>
      </c>
      <c r="N2042" s="845">
        <f t="shared" si="164"/>
        <v>0.11076487252124646</v>
      </c>
      <c r="O2042" s="735">
        <v>0.53915575697372609</v>
      </c>
      <c r="P2042" s="735">
        <f t="shared" si="165"/>
        <v>7272.4810025372253</v>
      </c>
      <c r="Q2042" s="849">
        <v>38.299999999999997</v>
      </c>
      <c r="R2042" s="71">
        <v>55000</v>
      </c>
      <c r="S2042" s="845">
        <v>0.23569553805774279</v>
      </c>
      <c r="T2042" s="845">
        <v>0.113</v>
      </c>
      <c r="U2042" s="845">
        <v>0.04</v>
      </c>
      <c r="V2042" s="845">
        <v>3.1E-2</v>
      </c>
      <c r="W2042" s="845">
        <v>0.43930288461538464</v>
      </c>
      <c r="X2042" s="845">
        <v>0.42270861833105333</v>
      </c>
      <c r="Y2042" s="845">
        <v>0.27033919918388166</v>
      </c>
      <c r="Z2042" s="845">
        <v>0.68808977301708751</v>
      </c>
      <c r="AA2042" s="845">
        <v>0</v>
      </c>
      <c r="AB2042" s="845">
        <v>0</v>
      </c>
      <c r="AC2042" s="845">
        <v>0</v>
      </c>
      <c r="AD2042" s="845">
        <v>1.3516959959194084E-2</v>
      </c>
      <c r="AE2042" s="845">
        <v>2.8054067839836775E-2</v>
      </c>
      <c r="AF2042" s="845">
        <v>3.6470288191787811E-2</v>
      </c>
      <c r="AG2042" s="845">
        <v>0.27033919918388166</v>
      </c>
      <c r="AH2042" s="20" t="str">
        <f t="shared" si="166"/>
        <v>No</v>
      </c>
      <c r="AI2042" s="25"/>
      <c r="AJ2042" s="25"/>
      <c r="AK2042" s="25"/>
      <c r="AL2042" s="25"/>
      <c r="AM2042" s="25"/>
      <c r="AN2042" s="25"/>
      <c r="AO2042" s="25"/>
      <c r="AP2042" s="25"/>
      <c r="AQ2042" s="25"/>
      <c r="AR2042" s="25"/>
      <c r="AS2042" s="25"/>
      <c r="AT2042" s="25"/>
      <c r="AU2042" s="36"/>
      <c r="AV2042" s="36"/>
      <c r="AW2042" s="36"/>
      <c r="AX2042" s="25"/>
      <c r="AY2042" s="25"/>
      <c r="AZ2042" s="25"/>
      <c r="BA2042" s="25"/>
      <c r="BB2042" s="25"/>
      <c r="BC2042" s="25"/>
      <c r="BD2042" s="25"/>
      <c r="BE2042" s="25"/>
      <c r="BF2042" s="25"/>
      <c r="BG2042" s="25"/>
      <c r="BH2042" s="25"/>
      <c r="BI2042" s="25"/>
      <c r="BJ2042" s="25"/>
      <c r="BK2042" s="25"/>
      <c r="BL2042" s="25"/>
      <c r="BM2042" s="25"/>
      <c r="BN2042" s="25"/>
      <c r="BO2042" s="25"/>
      <c r="BP2042" s="25"/>
      <c r="BQ2042" s="25"/>
      <c r="BR2042" s="25"/>
      <c r="BS2042" s="25"/>
      <c r="BT2042" s="25"/>
      <c r="BU2042"/>
      <c r="BV2042"/>
      <c r="BW2042"/>
      <c r="BX2042"/>
      <c r="BY2042"/>
      <c r="BZ2042"/>
      <c r="CA2042"/>
      <c r="CB2042"/>
      <c r="CC2042"/>
      <c r="CD2042" s="25"/>
    </row>
    <row r="2043" spans="1:82" s="17" customFormat="1" x14ac:dyDescent="0.2">
      <c r="A2043" s="25"/>
      <c r="B2043" s="20">
        <v>39035188106</v>
      </c>
      <c r="C2043" s="20">
        <v>1881.06</v>
      </c>
      <c r="D2043" s="20" t="s">
        <v>24</v>
      </c>
      <c r="E2043" s="20" t="s">
        <v>2829</v>
      </c>
      <c r="F2043" s="20" t="s">
        <v>6</v>
      </c>
      <c r="G2043" s="861">
        <v>43.683206860316503</v>
      </c>
      <c r="H2043" s="861">
        <v>34.4899333765078</v>
      </c>
      <c r="I2043" s="861">
        <v>47.375835443836202</v>
      </c>
      <c r="J2043" s="861">
        <v>45.731174792113698</v>
      </c>
      <c r="K2043" s="982">
        <v>0</v>
      </c>
      <c r="L2043" s="735">
        <v>2338</v>
      </c>
      <c r="M2043" s="735">
        <v>2825</v>
      </c>
      <c r="N2043" s="845">
        <f t="shared" si="164"/>
        <v>0.20829769033361847</v>
      </c>
      <c r="O2043" s="735">
        <v>0.42349962757164938</v>
      </c>
      <c r="P2043" s="735">
        <f t="shared" si="165"/>
        <v>6670.6079913188469</v>
      </c>
      <c r="Q2043" s="849">
        <v>29.1</v>
      </c>
      <c r="R2043" s="71">
        <v>52750</v>
      </c>
      <c r="S2043" s="845">
        <v>0.3025089605734767</v>
      </c>
      <c r="T2043" s="845">
        <v>0.109</v>
      </c>
      <c r="U2043" s="845">
        <v>0</v>
      </c>
      <c r="V2043" s="845">
        <v>0</v>
      </c>
      <c r="W2043" s="845">
        <v>0.56553620531622362</v>
      </c>
      <c r="X2043" s="845">
        <v>0.3873581847649919</v>
      </c>
      <c r="Y2043" s="845">
        <v>3.7876106194690264E-2</v>
      </c>
      <c r="Z2043" s="845">
        <v>0.89203539823008848</v>
      </c>
      <c r="AA2043" s="845">
        <v>0</v>
      </c>
      <c r="AB2043" s="845">
        <v>0</v>
      </c>
      <c r="AC2043" s="845">
        <v>0</v>
      </c>
      <c r="AD2043" s="845">
        <v>0</v>
      </c>
      <c r="AE2043" s="845">
        <v>7.0088495575221232E-2</v>
      </c>
      <c r="AF2043" s="845">
        <v>5.3097345132743362E-3</v>
      </c>
      <c r="AG2043" s="845">
        <v>3.7876106194690264E-2</v>
      </c>
      <c r="AH2043" s="20" t="str">
        <f t="shared" si="166"/>
        <v>No</v>
      </c>
      <c r="AI2043" s="25"/>
      <c r="AJ2043" s="25"/>
      <c r="AK2043" s="25"/>
      <c r="AL2043" s="25"/>
      <c r="AM2043" s="25"/>
      <c r="AN2043" s="25"/>
      <c r="AO2043" s="25"/>
      <c r="AP2043" s="25"/>
      <c r="AQ2043" s="25"/>
      <c r="AR2043" s="25"/>
      <c r="AS2043" s="25"/>
      <c r="AT2043" s="25"/>
      <c r="AU2043" s="36"/>
      <c r="AV2043" s="36"/>
      <c r="AW2043" s="36"/>
      <c r="AX2043" s="25"/>
      <c r="AY2043" s="25"/>
      <c r="AZ2043" s="25"/>
      <c r="BA2043" s="25"/>
      <c r="BB2043" s="25"/>
      <c r="BC2043" s="25"/>
      <c r="BD2043" s="25"/>
      <c r="BE2043" s="25"/>
      <c r="BF2043" s="25"/>
      <c r="BG2043" s="25"/>
      <c r="BH2043" s="25"/>
      <c r="BI2043" s="25"/>
      <c r="BJ2043" s="25"/>
      <c r="BK2043" s="25"/>
      <c r="BL2043" s="25"/>
      <c r="BM2043" s="25"/>
      <c r="BN2043" s="25"/>
      <c r="BO2043" s="25"/>
      <c r="BP2043" s="25"/>
      <c r="BQ2043" s="25"/>
      <c r="BR2043" s="25"/>
      <c r="BS2043" s="25"/>
      <c r="BT2043" s="25"/>
      <c r="BU2043"/>
      <c r="BV2043"/>
      <c r="BW2043"/>
      <c r="BX2043"/>
      <c r="BY2043"/>
      <c r="BZ2043"/>
      <c r="CA2043"/>
      <c r="CB2043"/>
      <c r="CC2043"/>
      <c r="CD2043" s="25"/>
    </row>
    <row r="2044" spans="1:82" s="17" customFormat="1" x14ac:dyDescent="0.2">
      <c r="A2044" s="25"/>
      <c r="B2044" s="20">
        <v>39113002600</v>
      </c>
      <c r="C2044" s="20">
        <v>26</v>
      </c>
      <c r="D2044" s="20" t="s">
        <v>62</v>
      </c>
      <c r="E2044" s="20" t="s">
        <v>2833</v>
      </c>
      <c r="F2044" s="20" t="s">
        <v>8</v>
      </c>
      <c r="G2044" s="861">
        <v>43.682436939489001</v>
      </c>
      <c r="H2044" s="861">
        <v>60.186290539556502</v>
      </c>
      <c r="I2044" s="861">
        <v>42.435030732132098</v>
      </c>
      <c r="J2044" s="861">
        <v>46.664675010873097</v>
      </c>
      <c r="K2044" s="982">
        <v>0</v>
      </c>
      <c r="L2044" s="735">
        <v>5220</v>
      </c>
      <c r="M2044" s="735">
        <v>4994</v>
      </c>
      <c r="N2044" s="845">
        <f t="shared" si="164"/>
        <v>-4.3295019157088124E-2</v>
      </c>
      <c r="O2044" s="735">
        <v>0.78107269766578202</v>
      </c>
      <c r="P2044" s="735">
        <f t="shared" si="165"/>
        <v>6393.7710470798111</v>
      </c>
      <c r="Q2044" s="849">
        <v>33.799999999999997</v>
      </c>
      <c r="R2044" s="71">
        <v>50453</v>
      </c>
      <c r="S2044" s="845">
        <v>0.18930288461538461</v>
      </c>
      <c r="T2044" s="845">
        <v>4.9000000000000002E-2</v>
      </c>
      <c r="U2044" s="845">
        <v>0.01</v>
      </c>
      <c r="V2044" s="845">
        <v>6.9000000000000006E-2</v>
      </c>
      <c r="W2044" s="845">
        <v>0.2968949383241174</v>
      </c>
      <c r="X2044" s="845">
        <v>0.40830945558739257</v>
      </c>
      <c r="Y2044" s="845">
        <v>0.71085302362835401</v>
      </c>
      <c r="Z2044" s="845">
        <v>0.16359631557869445</v>
      </c>
      <c r="AA2044" s="845">
        <v>0</v>
      </c>
      <c r="AB2044" s="845">
        <v>8.0096115338406087E-4</v>
      </c>
      <c r="AC2044" s="845">
        <v>0</v>
      </c>
      <c r="AD2044" s="845">
        <v>5.0060072086503801E-2</v>
      </c>
      <c r="AE2044" s="845">
        <v>7.4689627553063673E-2</v>
      </c>
      <c r="AF2044" s="845">
        <v>5.6267521025230277E-2</v>
      </c>
      <c r="AG2044" s="845">
        <v>0.70544653584301165</v>
      </c>
      <c r="AH2044" s="20" t="str">
        <f t="shared" si="166"/>
        <v>No</v>
      </c>
      <c r="AI2044" s="25"/>
      <c r="AJ2044" s="25"/>
      <c r="AK2044" s="25"/>
      <c r="AL2044" s="25"/>
      <c r="AM2044" s="25"/>
      <c r="AN2044" s="25"/>
      <c r="AO2044" s="25"/>
      <c r="AP2044" s="25"/>
      <c r="AQ2044" s="25"/>
      <c r="AR2044" s="25"/>
      <c r="AS2044" s="25"/>
      <c r="AT2044" s="25"/>
      <c r="AU2044" s="36"/>
      <c r="AV2044" s="36"/>
      <c r="AW2044" s="36"/>
      <c r="AX2044" s="25"/>
      <c r="AY2044" s="25"/>
      <c r="AZ2044" s="25"/>
      <c r="BA2044" s="25"/>
      <c r="BB2044" s="25"/>
      <c r="BC2044" s="25"/>
      <c r="BD2044" s="25"/>
      <c r="BE2044" s="25"/>
      <c r="BF2044" s="25"/>
      <c r="BG2044" s="25"/>
      <c r="BH2044" s="25"/>
      <c r="BI2044" s="25"/>
      <c r="BJ2044" s="25"/>
      <c r="BK2044" s="25"/>
      <c r="BL2044" s="25"/>
      <c r="BM2044" s="25"/>
      <c r="BN2044" s="25"/>
      <c r="BO2044" s="25"/>
      <c r="BP2044" s="25"/>
      <c r="BQ2044" s="25"/>
      <c r="BR2044" s="25"/>
      <c r="BS2044" s="25"/>
      <c r="BT2044" s="25"/>
      <c r="BU2044"/>
      <c r="BV2044"/>
      <c r="BW2044"/>
      <c r="BX2044"/>
      <c r="BY2044"/>
      <c r="BZ2044"/>
      <c r="CA2044"/>
      <c r="CB2044"/>
      <c r="CC2044"/>
      <c r="CD2044" s="25"/>
    </row>
    <row r="2045" spans="1:82" s="17" customFormat="1" x14ac:dyDescent="0.2">
      <c r="A2045" s="25"/>
      <c r="B2045" s="20">
        <v>39043041200</v>
      </c>
      <c r="C2045" s="20">
        <v>412</v>
      </c>
      <c r="D2045" s="20" t="s">
        <v>28</v>
      </c>
      <c r="E2045" s="20" t="s">
        <v>2837</v>
      </c>
      <c r="F2045" s="20" t="s">
        <v>6</v>
      </c>
      <c r="G2045" s="861">
        <v>43.666013698632703</v>
      </c>
      <c r="H2045" s="861">
        <v>48.386199484133797</v>
      </c>
      <c r="I2045" s="861">
        <v>56.937188521895401</v>
      </c>
      <c r="J2045" s="861">
        <v>30.417147367687601</v>
      </c>
      <c r="K2045" s="982">
        <v>0</v>
      </c>
      <c r="L2045" s="735">
        <v>2475</v>
      </c>
      <c r="M2045" s="735">
        <v>2511</v>
      </c>
      <c r="N2045" s="845">
        <f t="shared" si="164"/>
        <v>1.4545454545454545E-2</v>
      </c>
      <c r="O2045" s="735">
        <v>0.69124873318433888</v>
      </c>
      <c r="P2045" s="735">
        <f t="shared" si="165"/>
        <v>3632.5563859375329</v>
      </c>
      <c r="Q2045" s="849">
        <v>32.299999999999997</v>
      </c>
      <c r="R2045" s="71">
        <v>46286</v>
      </c>
      <c r="S2045" s="845">
        <v>0.27917164476304263</v>
      </c>
      <c r="T2045" s="845">
        <v>5.2999999999999999E-2</v>
      </c>
      <c r="U2045" s="845">
        <v>0</v>
      </c>
      <c r="V2045" s="845">
        <v>0</v>
      </c>
      <c r="W2045" s="845">
        <v>0.54908485856905154</v>
      </c>
      <c r="X2045" s="845">
        <v>0.54696969696969699</v>
      </c>
      <c r="Y2045" s="845">
        <v>0.63042612504978102</v>
      </c>
      <c r="Z2045" s="845">
        <v>0.25448028673835127</v>
      </c>
      <c r="AA2045" s="845">
        <v>0</v>
      </c>
      <c r="AB2045" s="845">
        <v>0</v>
      </c>
      <c r="AC2045" s="845">
        <v>0</v>
      </c>
      <c r="AD2045" s="845">
        <v>7.1684587813620068E-2</v>
      </c>
      <c r="AE2045" s="845">
        <v>4.3409000398247709E-2</v>
      </c>
      <c r="AF2045" s="845">
        <v>0.1003584229390681</v>
      </c>
      <c r="AG2045" s="845">
        <v>0.56710473914774995</v>
      </c>
      <c r="AH2045" s="20" t="str">
        <f t="shared" si="166"/>
        <v>No</v>
      </c>
      <c r="AI2045" s="25"/>
      <c r="AJ2045" s="25"/>
      <c r="AK2045" s="25"/>
      <c r="AL2045" s="25"/>
      <c r="AM2045" s="25"/>
      <c r="AN2045" s="25"/>
      <c r="AO2045" s="25"/>
      <c r="AP2045" s="25"/>
      <c r="AQ2045" s="25"/>
      <c r="AR2045" s="25"/>
      <c r="AS2045" s="25"/>
      <c r="AT2045" s="25"/>
      <c r="AU2045" s="36"/>
      <c r="AV2045" s="36"/>
      <c r="AW2045" s="36"/>
      <c r="AX2045" s="25"/>
      <c r="AY2045" s="25"/>
      <c r="AZ2045" s="25"/>
      <c r="BA2045" s="25"/>
      <c r="BB2045" s="25"/>
      <c r="BC2045" s="25"/>
      <c r="BD2045" s="25"/>
      <c r="BE2045" s="25"/>
      <c r="BF2045" s="25"/>
      <c r="BG2045" s="25"/>
      <c r="BH2045" s="25"/>
      <c r="BI2045" s="25"/>
      <c r="BJ2045" s="25"/>
      <c r="BK2045" s="25"/>
      <c r="BL2045" s="25"/>
      <c r="BM2045" s="25"/>
      <c r="BN2045" s="25"/>
      <c r="BO2045" s="25"/>
      <c r="BP2045" s="25"/>
      <c r="BQ2045" s="25"/>
      <c r="BR2045" s="25"/>
      <c r="BS2045" s="25"/>
      <c r="BT2045" s="25"/>
      <c r="BU2045"/>
      <c r="BV2045"/>
      <c r="BW2045"/>
      <c r="BX2045"/>
      <c r="BY2045"/>
      <c r="BZ2045"/>
      <c r="CA2045"/>
      <c r="CB2045"/>
      <c r="CC2045"/>
      <c r="CD2045" s="25"/>
    </row>
    <row r="2046" spans="1:82" s="17" customFormat="1" x14ac:dyDescent="0.2">
      <c r="A2046" s="25"/>
      <c r="B2046" s="20">
        <v>39007000802</v>
      </c>
      <c r="C2046" s="20">
        <v>8.02</v>
      </c>
      <c r="D2046" s="20" t="s">
        <v>10</v>
      </c>
      <c r="E2046" s="20" t="s">
        <v>2829</v>
      </c>
      <c r="F2046" s="20" t="s">
        <v>8</v>
      </c>
      <c r="G2046" s="861">
        <v>43.664447759481703</v>
      </c>
      <c r="H2046" s="861">
        <v>52.018788527604997</v>
      </c>
      <c r="I2046" s="861">
        <v>25.9304269047087</v>
      </c>
      <c r="J2046" s="861">
        <v>55.106938348058399</v>
      </c>
      <c r="K2046" s="982">
        <v>0</v>
      </c>
      <c r="L2046" s="735">
        <v>5421</v>
      </c>
      <c r="M2046" s="735">
        <v>4668</v>
      </c>
      <c r="N2046" s="845">
        <f t="shared" si="164"/>
        <v>-0.13890426120641947</v>
      </c>
      <c r="O2046" s="735">
        <v>8.0428998571734756</v>
      </c>
      <c r="P2046" s="735">
        <f t="shared" si="165"/>
        <v>580.38768142022843</v>
      </c>
      <c r="Q2046" s="849">
        <v>40.6</v>
      </c>
      <c r="R2046" s="71">
        <v>64805</v>
      </c>
      <c r="S2046" s="845">
        <v>0.16876903001304916</v>
      </c>
      <c r="T2046" s="845">
        <v>3.7000000000000005E-2</v>
      </c>
      <c r="U2046" s="845">
        <v>1.6E-2</v>
      </c>
      <c r="V2046" s="845">
        <v>0</v>
      </c>
      <c r="W2046" s="845">
        <v>0.31946508172362553</v>
      </c>
      <c r="X2046" s="845">
        <v>0.33488372093023255</v>
      </c>
      <c r="Y2046" s="845">
        <v>0.90531276778063408</v>
      </c>
      <c r="Z2046" s="845">
        <v>1.2639245929734361E-2</v>
      </c>
      <c r="AA2046" s="845">
        <v>0</v>
      </c>
      <c r="AB2046" s="845">
        <v>0</v>
      </c>
      <c r="AC2046" s="845">
        <v>0</v>
      </c>
      <c r="AD2046" s="845">
        <v>1.0711225364181662E-2</v>
      </c>
      <c r="AE2046" s="845">
        <v>7.1336760925449869E-2</v>
      </c>
      <c r="AF2046" s="845">
        <v>5.3984575835475578E-2</v>
      </c>
      <c r="AG2046" s="845">
        <v>0.88967437874892885</v>
      </c>
      <c r="AH2046" s="20" t="str">
        <f t="shared" si="166"/>
        <v>No</v>
      </c>
      <c r="AI2046" s="25"/>
      <c r="AJ2046" s="25"/>
      <c r="AK2046" s="25"/>
      <c r="AL2046" s="25"/>
      <c r="AM2046" s="25"/>
      <c r="AN2046" s="25"/>
      <c r="AO2046" s="25"/>
      <c r="AP2046" s="25"/>
      <c r="AQ2046" s="25"/>
      <c r="AR2046" s="25"/>
      <c r="AS2046" s="25"/>
      <c r="AT2046" s="25"/>
      <c r="AU2046" s="36"/>
      <c r="AV2046" s="36"/>
      <c r="AW2046" s="36"/>
      <c r="AX2046" s="25"/>
      <c r="AY2046" s="25"/>
      <c r="AZ2046" s="25"/>
      <c r="BA2046" s="25"/>
      <c r="BB2046" s="25"/>
      <c r="BC2046" s="25"/>
      <c r="BD2046" s="25"/>
      <c r="BE2046" s="25"/>
      <c r="BF2046" s="25"/>
      <c r="BG2046" s="25"/>
      <c r="BH2046" s="25"/>
      <c r="BI2046" s="25"/>
      <c r="BJ2046" s="25"/>
      <c r="BK2046" s="25"/>
      <c r="BL2046" s="25"/>
      <c r="BM2046" s="25"/>
      <c r="BN2046" s="25"/>
      <c r="BO2046" s="25"/>
      <c r="BP2046" s="25"/>
      <c r="BQ2046" s="25"/>
      <c r="BR2046" s="25"/>
      <c r="BS2046" s="25"/>
      <c r="BT2046" s="25"/>
      <c r="BU2046"/>
      <c r="BV2046"/>
      <c r="BW2046"/>
      <c r="BX2046"/>
      <c r="BY2046"/>
      <c r="BZ2046"/>
      <c r="CA2046"/>
      <c r="CB2046"/>
      <c r="CC2046"/>
      <c r="CD2046" s="25"/>
    </row>
    <row r="2047" spans="1:82" s="17" customFormat="1" x14ac:dyDescent="0.2">
      <c r="A2047" s="25"/>
      <c r="B2047" s="20">
        <v>39119911700</v>
      </c>
      <c r="C2047" s="20">
        <v>9117</v>
      </c>
      <c r="D2047" s="20" t="s">
        <v>65</v>
      </c>
      <c r="E2047" s="20" t="s">
        <v>265</v>
      </c>
      <c r="F2047" s="20" t="s">
        <v>8</v>
      </c>
      <c r="G2047" s="861">
        <v>43.646434404853899</v>
      </c>
      <c r="H2047" s="861">
        <v>32.083583373651003</v>
      </c>
      <c r="I2047" s="861">
        <v>42.5471595794167</v>
      </c>
      <c r="J2047" s="861">
        <v>40.969729415221302</v>
      </c>
      <c r="K2047" s="982">
        <v>0</v>
      </c>
      <c r="L2047" s="735">
        <v>3547</v>
      </c>
      <c r="M2047" s="735">
        <v>3386</v>
      </c>
      <c r="N2047" s="845">
        <f t="shared" si="164"/>
        <v>-4.5390470820411616E-2</v>
      </c>
      <c r="O2047" s="735">
        <v>1.0118552243083463</v>
      </c>
      <c r="P2047" s="735">
        <f t="shared" si="165"/>
        <v>3346.3285247299095</v>
      </c>
      <c r="Q2047" s="849">
        <v>40.799999999999997</v>
      </c>
      <c r="R2047" s="71">
        <v>51094</v>
      </c>
      <c r="S2047" s="845">
        <v>0.24075891396794244</v>
      </c>
      <c r="T2047" s="845">
        <v>2.7999999999999997E-2</v>
      </c>
      <c r="U2047" s="845">
        <v>0</v>
      </c>
      <c r="V2047" s="845">
        <v>3.7000000000000005E-2</v>
      </c>
      <c r="W2047" s="845">
        <v>0.53851640513552068</v>
      </c>
      <c r="X2047" s="845">
        <v>0.40662251655629139</v>
      </c>
      <c r="Y2047" s="845">
        <v>0.84170112226816307</v>
      </c>
      <c r="Z2047" s="845">
        <v>8.505611340815121E-2</v>
      </c>
      <c r="AA2047" s="845">
        <v>4.4300059066745426E-3</v>
      </c>
      <c r="AB2047" s="845">
        <v>0</v>
      </c>
      <c r="AC2047" s="845">
        <v>0</v>
      </c>
      <c r="AD2047" s="845">
        <v>4.7253396337861783E-3</v>
      </c>
      <c r="AE2047" s="845">
        <v>6.4087418783225047E-2</v>
      </c>
      <c r="AF2047" s="845">
        <v>7.0584760779681038E-2</v>
      </c>
      <c r="AG2047" s="845">
        <v>0.78706438275251034</v>
      </c>
      <c r="AH2047" s="20" t="str">
        <f t="shared" si="166"/>
        <v>No</v>
      </c>
      <c r="AI2047" s="25"/>
      <c r="AJ2047" s="25"/>
      <c r="AK2047" s="25"/>
      <c r="AL2047" s="25"/>
      <c r="AM2047" s="25"/>
      <c r="AN2047" s="25"/>
      <c r="AO2047" s="25"/>
      <c r="AP2047" s="25"/>
      <c r="AQ2047" s="25"/>
      <c r="AR2047" s="25"/>
      <c r="AS2047" s="25"/>
      <c r="AT2047" s="25"/>
      <c r="AU2047" s="36"/>
      <c r="AV2047" s="36"/>
      <c r="AW2047" s="36"/>
      <c r="AX2047" s="25"/>
      <c r="AY2047" s="25"/>
      <c r="AZ2047" s="25"/>
      <c r="BA2047" s="25"/>
      <c r="BB2047" s="25"/>
      <c r="BC2047" s="25"/>
      <c r="BD2047" s="25"/>
      <c r="BE2047" s="25"/>
      <c r="BF2047" s="25"/>
      <c r="BG2047" s="25"/>
      <c r="BH2047" s="25"/>
      <c r="BI2047" s="25"/>
      <c r="BJ2047" s="25"/>
      <c r="BK2047" s="25"/>
      <c r="BL2047" s="25"/>
      <c r="BM2047" s="25"/>
      <c r="BN2047" s="25"/>
      <c r="BO2047" s="25"/>
      <c r="BP2047" s="25"/>
      <c r="BQ2047" s="25"/>
      <c r="BR2047" s="25"/>
      <c r="BS2047" s="25"/>
      <c r="BT2047" s="25"/>
      <c r="BU2047"/>
      <c r="BV2047"/>
      <c r="BW2047"/>
      <c r="BX2047"/>
      <c r="BY2047"/>
      <c r="BZ2047"/>
      <c r="CA2047"/>
      <c r="CB2047"/>
      <c r="CC2047"/>
      <c r="CD2047" s="25"/>
    </row>
    <row r="2048" spans="1:82" s="17" customFormat="1" x14ac:dyDescent="0.2">
      <c r="A2048" s="25"/>
      <c r="B2048" s="20">
        <v>39057200902</v>
      </c>
      <c r="C2048" s="20">
        <v>2009.02</v>
      </c>
      <c r="D2048" s="20" t="s">
        <v>35</v>
      </c>
      <c r="E2048" s="20" t="s">
        <v>2833</v>
      </c>
      <c r="F2048" s="20" t="s">
        <v>8</v>
      </c>
      <c r="G2048" s="861">
        <v>43.5920087688583</v>
      </c>
      <c r="H2048" s="861">
        <v>51.474650536767797</v>
      </c>
      <c r="I2048" s="861">
        <v>21.624043345233101</v>
      </c>
      <c r="J2048" s="861">
        <v>33.563037868137599</v>
      </c>
      <c r="K2048" s="982">
        <v>0</v>
      </c>
      <c r="L2048" s="735" t="s">
        <v>2466</v>
      </c>
      <c r="M2048" s="735">
        <v>3344</v>
      </c>
      <c r="N2048" s="845" t="str">
        <f t="shared" si="164"/>
        <v/>
      </c>
      <c r="O2048" s="735">
        <v>10.263172598116677</v>
      </c>
      <c r="P2048" s="735">
        <f t="shared" si="165"/>
        <v>325.82517423643776</v>
      </c>
      <c r="Q2048" s="849">
        <v>53.7</v>
      </c>
      <c r="R2048" s="71">
        <v>98266</v>
      </c>
      <c r="S2048" s="845">
        <v>6.4854848672019766E-2</v>
      </c>
      <c r="T2048" s="845">
        <v>6.0000000000000001E-3</v>
      </c>
      <c r="U2048" s="845">
        <v>0</v>
      </c>
      <c r="V2048" s="845">
        <v>0</v>
      </c>
      <c r="W2048" s="845">
        <v>5.7222609909281227E-2</v>
      </c>
      <c r="X2048" s="845">
        <v>0.42682926829268292</v>
      </c>
      <c r="Y2048" s="845">
        <v>0.94138755980861244</v>
      </c>
      <c r="Z2048" s="845">
        <v>8.0741626794258378E-3</v>
      </c>
      <c r="AA2048" s="845">
        <v>0</v>
      </c>
      <c r="AB2048" s="845">
        <v>1.076555023923445E-2</v>
      </c>
      <c r="AC2048" s="845">
        <v>0</v>
      </c>
      <c r="AD2048" s="845">
        <v>0</v>
      </c>
      <c r="AE2048" s="845">
        <v>3.9772727272727272E-2</v>
      </c>
      <c r="AF2048" s="845">
        <v>1.076555023923445E-2</v>
      </c>
      <c r="AG2048" s="845">
        <v>0.93062200956937802</v>
      </c>
      <c r="AH2048" s="20" t="str">
        <f t="shared" si="166"/>
        <v>Yes</v>
      </c>
      <c r="AI2048" s="25"/>
      <c r="AJ2048" s="25"/>
      <c r="AK2048" s="25"/>
      <c r="AL2048" s="25"/>
      <c r="AM2048" s="25"/>
      <c r="AN2048" s="25"/>
      <c r="AO2048" s="25"/>
      <c r="AP2048" s="25"/>
      <c r="AQ2048" s="25"/>
      <c r="AR2048" s="25"/>
      <c r="AS2048" s="25"/>
      <c r="AT2048" s="25"/>
      <c r="AU2048" s="36"/>
      <c r="AV2048" s="36"/>
      <c r="AW2048" s="36"/>
      <c r="AX2048" s="25"/>
      <c r="AY2048" s="25"/>
      <c r="AZ2048" s="25"/>
      <c r="BA2048" s="25"/>
      <c r="BB2048" s="25"/>
      <c r="BC2048" s="25"/>
      <c r="BD2048" s="25"/>
      <c r="BE2048" s="25"/>
      <c r="BF2048" s="25"/>
      <c r="BG2048" s="25"/>
      <c r="BH2048" s="25"/>
      <c r="BI2048" s="25"/>
      <c r="BJ2048" s="25"/>
      <c r="BK2048" s="25"/>
      <c r="BL2048" s="25"/>
      <c r="BM2048" s="25"/>
      <c r="BN2048" s="25"/>
      <c r="BO2048" s="25"/>
      <c r="BP2048" s="25"/>
      <c r="BQ2048" s="25"/>
      <c r="BR2048" s="25"/>
      <c r="BS2048" s="25"/>
      <c r="BT2048" s="25"/>
      <c r="BU2048"/>
      <c r="BV2048"/>
      <c r="BW2048"/>
      <c r="BX2048"/>
      <c r="BY2048"/>
      <c r="BZ2048"/>
      <c r="CA2048"/>
      <c r="CB2048"/>
      <c r="CC2048"/>
      <c r="CD2048" s="25"/>
    </row>
    <row r="2049" spans="1:82" s="17" customFormat="1" x14ac:dyDescent="0.2">
      <c r="A2049" s="25"/>
      <c r="B2049" s="20">
        <v>39151712601</v>
      </c>
      <c r="C2049" s="20">
        <v>7126.01</v>
      </c>
      <c r="D2049" s="20" t="s">
        <v>81</v>
      </c>
      <c r="E2049" s="20" t="s">
        <v>2844</v>
      </c>
      <c r="F2049" s="20" t="s">
        <v>8</v>
      </c>
      <c r="G2049" s="861">
        <v>43.5862415982686</v>
      </c>
      <c r="H2049" s="861">
        <v>34.574307284556603</v>
      </c>
      <c r="I2049" s="861">
        <v>38.3460160925125</v>
      </c>
      <c r="J2049" s="861">
        <v>39.798116632528199</v>
      </c>
      <c r="K2049" s="982">
        <v>0</v>
      </c>
      <c r="L2049" s="735">
        <v>2368</v>
      </c>
      <c r="M2049" s="735">
        <v>2916</v>
      </c>
      <c r="N2049" s="845">
        <f t="shared" si="164"/>
        <v>0.23141891891891891</v>
      </c>
      <c r="O2049" s="735">
        <v>2.0908601777326306</v>
      </c>
      <c r="P2049" s="735">
        <f t="shared" si="165"/>
        <v>1394.6413208568385</v>
      </c>
      <c r="Q2049" s="849">
        <v>36.200000000000003</v>
      </c>
      <c r="R2049" s="71">
        <v>49917</v>
      </c>
      <c r="S2049" s="845">
        <v>0.14266117969821673</v>
      </c>
      <c r="T2049" s="845">
        <v>4.2999999999999997E-2</v>
      </c>
      <c r="U2049" s="845">
        <v>0</v>
      </c>
      <c r="V2049" s="845">
        <v>0</v>
      </c>
      <c r="W2049" s="845">
        <v>0.47944078947368424</v>
      </c>
      <c r="X2049" s="845">
        <v>0.43567753001715265</v>
      </c>
      <c r="Y2049" s="845">
        <v>0.93621399176954734</v>
      </c>
      <c r="Z2049" s="845">
        <v>0</v>
      </c>
      <c r="AA2049" s="845">
        <v>6.8587105624142656E-4</v>
      </c>
      <c r="AB2049" s="845">
        <v>5.4869684499314125E-3</v>
      </c>
      <c r="AC2049" s="845">
        <v>3.4293552812071328E-4</v>
      </c>
      <c r="AD2049" s="845">
        <v>0</v>
      </c>
      <c r="AE2049" s="845">
        <v>5.727023319615912E-2</v>
      </c>
      <c r="AF2049" s="845">
        <v>2.9149519890260631E-2</v>
      </c>
      <c r="AG2049" s="845">
        <v>0.93175582990397809</v>
      </c>
      <c r="AH2049" s="20" t="str">
        <f t="shared" si="166"/>
        <v>Yes</v>
      </c>
      <c r="AI2049" s="25"/>
      <c r="AJ2049" s="25"/>
      <c r="AK2049" s="25"/>
      <c r="AL2049" s="25"/>
      <c r="AM2049" s="25"/>
      <c r="AN2049" s="25"/>
      <c r="AO2049" s="25"/>
      <c r="AP2049" s="25"/>
      <c r="AQ2049" s="25"/>
      <c r="AR2049" s="25"/>
      <c r="AS2049" s="25"/>
      <c r="AT2049" s="25"/>
      <c r="AU2049" s="36"/>
      <c r="AV2049" s="36"/>
      <c r="AW2049" s="36"/>
      <c r="AX2049" s="25"/>
      <c r="AY2049" s="25"/>
      <c r="AZ2049" s="25"/>
      <c r="BA2049" s="25"/>
      <c r="BB2049" s="25"/>
      <c r="BC2049" s="25"/>
      <c r="BD2049" s="25"/>
      <c r="BE2049" s="25"/>
      <c r="BF2049" s="25"/>
      <c r="BG2049" s="25"/>
      <c r="BH2049" s="25"/>
      <c r="BI2049" s="25"/>
      <c r="BJ2049" s="25"/>
      <c r="BK2049" s="25"/>
      <c r="BL2049" s="25"/>
      <c r="BM2049" s="25"/>
      <c r="BN2049" s="25"/>
      <c r="BO2049" s="25"/>
      <c r="BP2049" s="25"/>
      <c r="BQ2049" s="25"/>
      <c r="BR2049" s="25"/>
      <c r="BS2049" s="25"/>
      <c r="BT2049" s="25"/>
      <c r="BU2049"/>
      <c r="BV2049"/>
      <c r="BW2049"/>
      <c r="BX2049"/>
      <c r="BY2049"/>
      <c r="BZ2049"/>
      <c r="CA2049"/>
      <c r="CB2049"/>
      <c r="CC2049"/>
      <c r="CD2049" s="25"/>
    </row>
    <row r="2050" spans="1:82" s="17" customFormat="1" x14ac:dyDescent="0.2">
      <c r="A2050" s="25"/>
      <c r="B2050" s="20">
        <v>39035102102</v>
      </c>
      <c r="C2050" s="20">
        <v>1021.02</v>
      </c>
      <c r="D2050" s="20" t="s">
        <v>24</v>
      </c>
      <c r="E2050" s="20" t="s">
        <v>2829</v>
      </c>
      <c r="F2050" s="20" t="s">
        <v>6</v>
      </c>
      <c r="G2050" s="861">
        <v>43.583625225502701</v>
      </c>
      <c r="H2050" s="861">
        <v>66.365549348854998</v>
      </c>
      <c r="I2050" s="861">
        <v>55.305137806506202</v>
      </c>
      <c r="J2050" s="861">
        <v>28.444346656563098</v>
      </c>
      <c r="K2050" s="982">
        <v>0</v>
      </c>
      <c r="L2050" s="735">
        <v>2572</v>
      </c>
      <c r="M2050" s="735">
        <v>2695</v>
      </c>
      <c r="N2050" s="845">
        <f t="shared" si="164"/>
        <v>4.7822706065318819E-2</v>
      </c>
      <c r="O2050" s="735">
        <v>0.31777520399504849</v>
      </c>
      <c r="P2050" s="735">
        <f t="shared" si="165"/>
        <v>8480.8379197578706</v>
      </c>
      <c r="Q2050" s="849">
        <v>31.2</v>
      </c>
      <c r="R2050" s="71">
        <v>44214</v>
      </c>
      <c r="S2050" s="845">
        <v>0.22040816326530613</v>
      </c>
      <c r="T2050" s="845">
        <v>1.7000000000000001E-2</v>
      </c>
      <c r="U2050" s="845">
        <v>4.5999999999999999E-2</v>
      </c>
      <c r="V2050" s="845">
        <v>3.3000000000000002E-2</v>
      </c>
      <c r="W2050" s="845">
        <v>0.58221476510067116</v>
      </c>
      <c r="X2050" s="845">
        <v>0.40345821325648418</v>
      </c>
      <c r="Y2050" s="845">
        <v>0.60853432282003705</v>
      </c>
      <c r="Z2050" s="845">
        <v>0.18515769944341373</v>
      </c>
      <c r="AA2050" s="845">
        <v>0</v>
      </c>
      <c r="AB2050" s="845">
        <v>1.3358070500927645E-2</v>
      </c>
      <c r="AC2050" s="845">
        <v>5.1948051948051948E-3</v>
      </c>
      <c r="AD2050" s="845">
        <v>5.6029684601113169E-2</v>
      </c>
      <c r="AE2050" s="845">
        <v>0.13172541743970315</v>
      </c>
      <c r="AF2050" s="845">
        <v>0.34174397031539888</v>
      </c>
      <c r="AG2050" s="845">
        <v>0.39777365491651206</v>
      </c>
      <c r="AH2050" s="20" t="str">
        <f t="shared" si="166"/>
        <v>No</v>
      </c>
      <c r="AI2050" s="25"/>
      <c r="AJ2050" s="25"/>
      <c r="AK2050" s="25"/>
      <c r="AL2050" s="25"/>
      <c r="AM2050" s="25"/>
      <c r="AN2050" s="25"/>
      <c r="AO2050" s="25"/>
      <c r="AP2050" s="25"/>
      <c r="AQ2050" s="25"/>
      <c r="AR2050" s="25"/>
      <c r="AS2050" s="25"/>
      <c r="AT2050" s="25"/>
      <c r="AU2050" s="36"/>
      <c r="AV2050" s="36"/>
      <c r="AW2050" s="36"/>
      <c r="AX2050" s="25"/>
      <c r="AY2050" s="25"/>
      <c r="AZ2050" s="25"/>
      <c r="BA2050" s="25"/>
      <c r="BB2050" s="25"/>
      <c r="BC2050" s="25"/>
      <c r="BD2050" s="25"/>
      <c r="BE2050" s="25"/>
      <c r="BF2050" s="25"/>
      <c r="BG2050" s="25"/>
      <c r="BH2050" s="25"/>
      <c r="BI2050" s="25"/>
      <c r="BJ2050" s="25"/>
      <c r="BK2050" s="25"/>
      <c r="BL2050" s="25"/>
      <c r="BM2050" s="25"/>
      <c r="BN2050" s="25"/>
      <c r="BO2050" s="25"/>
      <c r="BP2050" s="25"/>
      <c r="BQ2050" s="25"/>
      <c r="BR2050" s="25"/>
      <c r="BS2050" s="25"/>
      <c r="BT2050" s="25"/>
      <c r="BU2050"/>
      <c r="BV2050"/>
      <c r="BW2050"/>
      <c r="BX2050"/>
      <c r="BY2050"/>
      <c r="BZ2050"/>
      <c r="CA2050"/>
      <c r="CB2050"/>
      <c r="CC2050"/>
      <c r="CD2050" s="25"/>
    </row>
    <row r="2051" spans="1:82" s="17" customFormat="1" x14ac:dyDescent="0.2">
      <c r="A2051" s="25"/>
      <c r="B2051" s="20">
        <v>39035186201</v>
      </c>
      <c r="C2051" s="20">
        <v>1862.01</v>
      </c>
      <c r="D2051" s="20" t="s">
        <v>24</v>
      </c>
      <c r="E2051" s="20" t="s">
        <v>2829</v>
      </c>
      <c r="F2051" s="20" t="s">
        <v>8</v>
      </c>
      <c r="G2051" s="861">
        <v>43.581049495026598</v>
      </c>
      <c r="H2051" s="861">
        <v>46.002801478706303</v>
      </c>
      <c r="I2051" s="861">
        <v>36.0805527869041</v>
      </c>
      <c r="J2051" s="861">
        <v>18.458663246189602</v>
      </c>
      <c r="K2051" s="982">
        <v>0</v>
      </c>
      <c r="L2051" s="735">
        <v>5754</v>
      </c>
      <c r="M2051" s="735">
        <v>5396</v>
      </c>
      <c r="N2051" s="845">
        <f t="shared" si="164"/>
        <v>-6.2217587765033021E-2</v>
      </c>
      <c r="O2051" s="735">
        <v>2.1800578845128369</v>
      </c>
      <c r="P2051" s="735">
        <f t="shared" si="165"/>
        <v>2475.1636359443769</v>
      </c>
      <c r="Q2051" s="849">
        <v>46.3</v>
      </c>
      <c r="R2051" s="71">
        <v>76113</v>
      </c>
      <c r="S2051" s="845">
        <v>6.965174129353234E-2</v>
      </c>
      <c r="T2051" s="845">
        <v>5.7000000000000002E-2</v>
      </c>
      <c r="U2051" s="845">
        <v>0</v>
      </c>
      <c r="V2051" s="845">
        <v>0</v>
      </c>
      <c r="W2051" s="845">
        <v>0.29702089817696753</v>
      </c>
      <c r="X2051" s="845">
        <v>0.54790419161676651</v>
      </c>
      <c r="Y2051" s="845">
        <v>0.8078206078576724</v>
      </c>
      <c r="Z2051" s="845">
        <v>2.8724981467753891E-2</v>
      </c>
      <c r="AA2051" s="845">
        <v>0</v>
      </c>
      <c r="AB2051" s="845">
        <v>0.15511489992587102</v>
      </c>
      <c r="AC2051" s="845">
        <v>0</v>
      </c>
      <c r="AD2051" s="845">
        <v>7.4128984432913266E-4</v>
      </c>
      <c r="AE2051" s="845">
        <v>7.59822090437361E-3</v>
      </c>
      <c r="AF2051" s="845">
        <v>3.3728687916975537E-2</v>
      </c>
      <c r="AG2051" s="845">
        <v>0.79114158636026688</v>
      </c>
      <c r="AH2051" s="20" t="str">
        <f t="shared" si="166"/>
        <v>No</v>
      </c>
      <c r="AI2051" s="25"/>
      <c r="AJ2051" s="25"/>
      <c r="AK2051" s="25"/>
      <c r="AL2051" s="25"/>
      <c r="AM2051" s="25"/>
      <c r="AN2051" s="25"/>
      <c r="AO2051" s="25"/>
      <c r="AP2051" s="25"/>
      <c r="AQ2051" s="25"/>
      <c r="AR2051" s="25"/>
      <c r="AS2051" s="25"/>
      <c r="AT2051" s="25"/>
      <c r="AU2051" s="36"/>
      <c r="AV2051" s="36"/>
      <c r="AW2051" s="36"/>
      <c r="AX2051" s="25"/>
      <c r="AY2051" s="25"/>
      <c r="AZ2051" s="25"/>
      <c r="BA2051" s="25"/>
      <c r="BB2051" s="25"/>
      <c r="BC2051" s="25"/>
      <c r="BD2051" s="25"/>
      <c r="BE2051" s="25"/>
      <c r="BF2051" s="25"/>
      <c r="BG2051" s="25"/>
      <c r="BH2051" s="25"/>
      <c r="BI2051" s="25"/>
      <c r="BJ2051" s="25"/>
      <c r="BK2051" s="25"/>
      <c r="BL2051" s="25"/>
      <c r="BM2051" s="25"/>
      <c r="BN2051" s="25"/>
      <c r="BO2051" s="25"/>
      <c r="BP2051" s="25"/>
      <c r="BQ2051" s="25"/>
      <c r="BR2051" s="25"/>
      <c r="BS2051" s="25"/>
      <c r="BT2051" s="25"/>
      <c r="BU2051"/>
      <c r="BV2051"/>
      <c r="BW2051"/>
      <c r="BX2051"/>
      <c r="BY2051"/>
      <c r="BZ2051"/>
      <c r="CA2051"/>
      <c r="CB2051"/>
      <c r="CC2051"/>
      <c r="CD2051" s="25"/>
    </row>
    <row r="2052" spans="1:82" s="17" customFormat="1" x14ac:dyDescent="0.2">
      <c r="A2052" s="25"/>
      <c r="B2052" s="20">
        <v>39127966301</v>
      </c>
      <c r="C2052" s="20">
        <v>9663.01</v>
      </c>
      <c r="D2052" s="20" t="s">
        <v>69</v>
      </c>
      <c r="E2052" s="20" t="s">
        <v>2830</v>
      </c>
      <c r="F2052" s="20" t="s">
        <v>8</v>
      </c>
      <c r="G2052" s="861">
        <v>43.572371980467501</v>
      </c>
      <c r="H2052" s="861">
        <v>46.335619793199399</v>
      </c>
      <c r="I2052" s="861">
        <v>24.1415201762997</v>
      </c>
      <c r="J2052" s="861">
        <v>72.429341576768707</v>
      </c>
      <c r="K2052" s="982">
        <v>0</v>
      </c>
      <c r="L2052" s="735" t="s">
        <v>2466</v>
      </c>
      <c r="M2052" s="735">
        <v>3480</v>
      </c>
      <c r="N2052" s="845" t="str">
        <f t="shared" si="164"/>
        <v/>
      </c>
      <c r="O2052" s="735">
        <v>59.535727752819689</v>
      </c>
      <c r="P2052" s="735">
        <f t="shared" si="165"/>
        <v>58.45229631605843</v>
      </c>
      <c r="Q2052" s="849">
        <v>35.700000000000003</v>
      </c>
      <c r="R2052" s="71">
        <v>73247</v>
      </c>
      <c r="S2052" s="845">
        <v>0.13540766349755115</v>
      </c>
      <c r="T2052" s="845">
        <v>6.9999999999999993E-3</v>
      </c>
      <c r="U2052" s="845">
        <v>0</v>
      </c>
      <c r="V2052" s="845">
        <v>2.6000000000000002E-2</v>
      </c>
      <c r="W2052" s="845">
        <v>0.1819645732689211</v>
      </c>
      <c r="X2052" s="845">
        <v>0.31415929203539822</v>
      </c>
      <c r="Y2052" s="845">
        <v>0.96063218390804594</v>
      </c>
      <c r="Z2052" s="845">
        <v>1.0632183908045977E-2</v>
      </c>
      <c r="AA2052" s="845">
        <v>0</v>
      </c>
      <c r="AB2052" s="845">
        <v>0</v>
      </c>
      <c r="AC2052" s="845">
        <v>0</v>
      </c>
      <c r="AD2052" s="845">
        <v>1.5229885057471264E-2</v>
      </c>
      <c r="AE2052" s="845">
        <v>1.3505747126436781E-2</v>
      </c>
      <c r="AF2052" s="845">
        <v>0</v>
      </c>
      <c r="AG2052" s="845">
        <v>0.96063218390804594</v>
      </c>
      <c r="AH2052" s="20" t="str">
        <f t="shared" si="166"/>
        <v>Yes</v>
      </c>
      <c r="AI2052" s="25"/>
      <c r="AJ2052" s="25"/>
      <c r="AK2052" s="25"/>
      <c r="AL2052" s="25"/>
      <c r="AM2052" s="25"/>
      <c r="AN2052" s="25"/>
      <c r="AO2052" s="25"/>
      <c r="AP2052" s="25"/>
      <c r="AQ2052" s="25"/>
      <c r="AR2052" s="25"/>
      <c r="AS2052" s="25"/>
      <c r="AT2052" s="25"/>
      <c r="AU2052" s="36"/>
      <c r="AV2052" s="36"/>
      <c r="AW2052" s="36"/>
      <c r="AX2052" s="25"/>
      <c r="AY2052" s="25"/>
      <c r="AZ2052" s="25"/>
      <c r="BA2052" s="25"/>
      <c r="BB2052" s="25"/>
      <c r="BC2052" s="25"/>
      <c r="BD2052" s="25"/>
      <c r="BE2052" s="25"/>
      <c r="BF2052" s="25"/>
      <c r="BG2052" s="25"/>
      <c r="BH2052" s="25"/>
      <c r="BI2052" s="25"/>
      <c r="BJ2052" s="25"/>
      <c r="BK2052" s="25"/>
      <c r="BL2052" s="25"/>
      <c r="BM2052" s="25"/>
      <c r="BN2052" s="25"/>
      <c r="BO2052" s="25"/>
      <c r="BP2052" s="25"/>
      <c r="BQ2052" s="25"/>
      <c r="BR2052" s="25"/>
      <c r="BS2052" s="25"/>
      <c r="BT2052" s="25"/>
      <c r="BU2052"/>
      <c r="BV2052"/>
      <c r="BW2052"/>
      <c r="BX2052"/>
      <c r="BY2052"/>
      <c r="BZ2052"/>
      <c r="CA2052"/>
      <c r="CB2052"/>
      <c r="CC2052"/>
      <c r="CD2052" s="25"/>
    </row>
    <row r="2053" spans="1:82" s="17" customFormat="1" x14ac:dyDescent="0.2">
      <c r="A2053" s="25"/>
      <c r="B2053" s="20">
        <v>39121968402</v>
      </c>
      <c r="C2053" s="20">
        <v>9684.02</v>
      </c>
      <c r="D2053" s="20" t="s">
        <v>66</v>
      </c>
      <c r="E2053" s="20" t="s">
        <v>265</v>
      </c>
      <c r="F2053" s="20" t="s">
        <v>8</v>
      </c>
      <c r="G2053" s="861">
        <v>43.553181879568797</v>
      </c>
      <c r="H2053" s="861">
        <v>35.220697296668199</v>
      </c>
      <c r="I2053" s="861">
        <v>0</v>
      </c>
      <c r="J2053" s="861">
        <v>48.748041768155403</v>
      </c>
      <c r="K2053" s="982">
        <v>0</v>
      </c>
      <c r="L2053" s="735" t="s">
        <v>2466</v>
      </c>
      <c r="M2053" s="735">
        <v>2597</v>
      </c>
      <c r="N2053" s="845" t="str">
        <f t="shared" si="164"/>
        <v/>
      </c>
      <c r="O2053" s="735">
        <v>2.416485224714024</v>
      </c>
      <c r="P2053" s="735">
        <f t="shared" si="165"/>
        <v>1074.7013776206054</v>
      </c>
      <c r="Q2053" s="849">
        <v>38.700000000000003</v>
      </c>
      <c r="R2053" s="71">
        <v>43750</v>
      </c>
      <c r="S2053" s="845">
        <v>0.14016736401673641</v>
      </c>
      <c r="T2053" s="845">
        <v>0.06</v>
      </c>
      <c r="U2053" s="845">
        <v>0</v>
      </c>
      <c r="V2053" s="845">
        <v>0</v>
      </c>
      <c r="W2053" s="845">
        <v>0.4</v>
      </c>
      <c r="X2053" s="845">
        <v>1.8518518518518517E-2</v>
      </c>
      <c r="Y2053" s="845">
        <v>0.68848671544089335</v>
      </c>
      <c r="Z2053" s="845">
        <v>0.21755872160184828</v>
      </c>
      <c r="AA2053" s="845">
        <v>2.3103581055063534E-3</v>
      </c>
      <c r="AB2053" s="845">
        <v>1.5402387370042356E-3</v>
      </c>
      <c r="AC2053" s="845">
        <v>0</v>
      </c>
      <c r="AD2053" s="845">
        <v>6.0454370427416249E-2</v>
      </c>
      <c r="AE2053" s="845">
        <v>2.9649595687331536E-2</v>
      </c>
      <c r="AF2053" s="845">
        <v>5.8144012321909896E-2</v>
      </c>
      <c r="AG2053" s="845">
        <v>0.68579129765113589</v>
      </c>
      <c r="AH2053" s="20" t="str">
        <f t="shared" si="166"/>
        <v>No</v>
      </c>
      <c r="AI2053" s="25"/>
      <c r="AJ2053" s="25"/>
      <c r="AK2053" s="25"/>
      <c r="AL2053" s="25"/>
      <c r="AM2053" s="25"/>
      <c r="AN2053" s="25"/>
      <c r="AO2053" s="25"/>
      <c r="AP2053" s="25"/>
      <c r="AQ2053" s="25"/>
      <c r="AR2053" s="25"/>
      <c r="AS2053" s="25"/>
      <c r="AT2053" s="25"/>
      <c r="AU2053" s="36"/>
      <c r="AV2053" s="36"/>
      <c r="AW2053" s="36"/>
      <c r="AX2053" s="25"/>
      <c r="AY2053" s="25"/>
      <c r="AZ2053" s="25"/>
      <c r="BA2053" s="25"/>
      <c r="BB2053" s="25"/>
      <c r="BC2053" s="25"/>
      <c r="BD2053" s="25"/>
      <c r="BE2053" s="25"/>
      <c r="BF2053" s="25"/>
      <c r="BG2053" s="25"/>
      <c r="BH2053" s="25"/>
      <c r="BI2053" s="25"/>
      <c r="BJ2053" s="25"/>
      <c r="BK2053" s="25"/>
      <c r="BL2053" s="25"/>
      <c r="BM2053" s="25"/>
      <c r="BN2053" s="25"/>
      <c r="BO2053" s="25"/>
      <c r="BP2053" s="25"/>
      <c r="BQ2053" s="25"/>
      <c r="BR2053" s="25"/>
      <c r="BS2053" s="25"/>
      <c r="BT2053" s="25"/>
      <c r="BU2053"/>
      <c r="BV2053"/>
      <c r="BW2053"/>
      <c r="BX2053"/>
      <c r="BY2053"/>
      <c r="BZ2053"/>
      <c r="CA2053"/>
      <c r="CB2053"/>
      <c r="CC2053"/>
      <c r="CD2053" s="25"/>
    </row>
    <row r="2054" spans="1:82" s="17" customFormat="1" x14ac:dyDescent="0.2">
      <c r="A2054" s="25"/>
      <c r="B2054" s="20">
        <v>39009972900</v>
      </c>
      <c r="C2054" s="20">
        <v>9729</v>
      </c>
      <c r="D2054" s="20" t="s">
        <v>11</v>
      </c>
      <c r="E2054" s="20" t="s">
        <v>265</v>
      </c>
      <c r="F2054" s="20" t="s">
        <v>8</v>
      </c>
      <c r="G2054" s="861">
        <v>43.541747658844798</v>
      </c>
      <c r="H2054" s="861">
        <v>39.703012070304297</v>
      </c>
      <c r="I2054" s="861">
        <v>38.143420642975499</v>
      </c>
      <c r="J2054" s="861">
        <v>30.020883968756699</v>
      </c>
      <c r="K2054" s="982">
        <v>4</v>
      </c>
      <c r="L2054" s="735">
        <v>5281</v>
      </c>
      <c r="M2054" s="735">
        <v>5999</v>
      </c>
      <c r="N2054" s="845">
        <f t="shared" si="164"/>
        <v>0.13595909865555766</v>
      </c>
      <c r="O2054" s="735">
        <v>16.292518810057395</v>
      </c>
      <c r="P2054" s="735">
        <f t="shared" si="165"/>
        <v>368.20580475848885</v>
      </c>
      <c r="Q2054" s="849">
        <v>43.9</v>
      </c>
      <c r="R2054" s="71">
        <v>54194</v>
      </c>
      <c r="S2054" s="845">
        <v>0.24589322381930184</v>
      </c>
      <c r="T2054" s="845">
        <v>4.4999999999999998E-2</v>
      </c>
      <c r="U2054" s="845">
        <v>4.9000000000000002E-2</v>
      </c>
      <c r="V2054" s="845">
        <v>4.7E-2</v>
      </c>
      <c r="W2054" s="845">
        <v>0.50575847318196776</v>
      </c>
      <c r="X2054" s="845">
        <v>0.46454131424853612</v>
      </c>
      <c r="Y2054" s="845">
        <v>0.90498416402733795</v>
      </c>
      <c r="Z2054" s="845">
        <v>2.8004667444574097E-2</v>
      </c>
      <c r="AA2054" s="845">
        <v>0</v>
      </c>
      <c r="AB2054" s="845">
        <v>3.9006501083513917E-2</v>
      </c>
      <c r="AC2054" s="845">
        <v>0</v>
      </c>
      <c r="AD2054" s="845">
        <v>3.333888981496916E-3</v>
      </c>
      <c r="AE2054" s="845">
        <v>2.4670778463077178E-2</v>
      </c>
      <c r="AF2054" s="845">
        <v>2.7337889648274712E-2</v>
      </c>
      <c r="AG2054" s="845">
        <v>0.88298049674945822</v>
      </c>
      <c r="AH2054" s="20" t="str">
        <f t="shared" si="166"/>
        <v>No</v>
      </c>
      <c r="AI2054" s="25"/>
      <c r="AJ2054" s="25"/>
      <c r="AK2054" s="25"/>
      <c r="AL2054" s="25"/>
      <c r="AM2054" s="25"/>
      <c r="AN2054" s="25"/>
      <c r="AO2054" s="25"/>
      <c r="AP2054" s="25"/>
      <c r="AQ2054" s="25"/>
      <c r="AR2054" s="25"/>
      <c r="AS2054" s="25"/>
      <c r="AT2054" s="25"/>
      <c r="AU2054" s="36"/>
      <c r="AV2054" s="36"/>
      <c r="AW2054" s="36"/>
      <c r="AX2054" s="25"/>
      <c r="AY2054" s="25"/>
      <c r="AZ2054" s="25"/>
      <c r="BA2054" s="25"/>
      <c r="BB2054" s="25"/>
      <c r="BC2054" s="25"/>
      <c r="BD2054" s="25"/>
      <c r="BE2054" s="25"/>
      <c r="BF2054" s="25"/>
      <c r="BG2054" s="25"/>
      <c r="BH2054" s="25"/>
      <c r="BI2054" s="25"/>
      <c r="BJ2054" s="25"/>
      <c r="BK2054" s="25"/>
      <c r="BL2054" s="25"/>
      <c r="BM2054" s="25"/>
      <c r="BN2054" s="25"/>
      <c r="BO2054" s="25"/>
      <c r="BP2054" s="25"/>
      <c r="BQ2054" s="25"/>
      <c r="BR2054" s="25"/>
      <c r="BS2054" s="25"/>
      <c r="BT2054" s="25"/>
      <c r="BU2054"/>
      <c r="BV2054"/>
      <c r="BW2054"/>
      <c r="BX2054"/>
      <c r="BY2054"/>
      <c r="BZ2054"/>
      <c r="CA2054"/>
      <c r="CB2054"/>
      <c r="CC2054"/>
      <c r="CD2054" s="25"/>
    </row>
    <row r="2055" spans="1:82" s="17" customFormat="1" x14ac:dyDescent="0.2">
      <c r="A2055" s="25"/>
      <c r="B2055" s="20">
        <v>39035106500</v>
      </c>
      <c r="C2055" s="20">
        <v>1065</v>
      </c>
      <c r="D2055" s="20" t="s">
        <v>24</v>
      </c>
      <c r="E2055" s="20" t="s">
        <v>2829</v>
      </c>
      <c r="F2055" s="20" t="s">
        <v>8</v>
      </c>
      <c r="G2055" s="861">
        <v>43.536048593098499</v>
      </c>
      <c r="H2055" s="861">
        <v>59.119040856916499</v>
      </c>
      <c r="I2055" s="861">
        <v>39.395376919485301</v>
      </c>
      <c r="J2055" s="861">
        <v>33.302767792477901</v>
      </c>
      <c r="K2055" s="982">
        <v>0</v>
      </c>
      <c r="L2055" s="735">
        <v>2859</v>
      </c>
      <c r="M2055" s="735">
        <v>2633</v>
      </c>
      <c r="N2055" s="845">
        <f t="shared" si="164"/>
        <v>-7.9048618398041268E-2</v>
      </c>
      <c r="O2055" s="735">
        <v>0.4958532415810975</v>
      </c>
      <c r="P2055" s="735">
        <f t="shared" si="165"/>
        <v>5310.0388970016829</v>
      </c>
      <c r="Q2055" s="849">
        <v>34.4</v>
      </c>
      <c r="R2055" s="71">
        <v>52717</v>
      </c>
      <c r="S2055" s="845">
        <v>0.18446984627512811</v>
      </c>
      <c r="T2055" s="845">
        <v>0.13699999999999998</v>
      </c>
      <c r="U2055" s="845">
        <v>1.3999999999999999E-2</v>
      </c>
      <c r="V2055" s="845">
        <v>0</v>
      </c>
      <c r="W2055" s="845">
        <v>0.41320754716981134</v>
      </c>
      <c r="X2055" s="845">
        <v>0.36529680365296802</v>
      </c>
      <c r="Y2055" s="845">
        <v>0.78465628560577283</v>
      </c>
      <c r="Z2055" s="845">
        <v>4.4815799468287128E-2</v>
      </c>
      <c r="AA2055" s="845">
        <v>0</v>
      </c>
      <c r="AB2055" s="845">
        <v>0</v>
      </c>
      <c r="AC2055" s="845">
        <v>0</v>
      </c>
      <c r="AD2055" s="845">
        <v>2.0129130269654388E-2</v>
      </c>
      <c r="AE2055" s="845">
        <v>0.15039878465628562</v>
      </c>
      <c r="AF2055" s="845">
        <v>0.14052411697683251</v>
      </c>
      <c r="AG2055" s="845">
        <v>0.75351310292442086</v>
      </c>
      <c r="AH2055" s="20" t="str">
        <f t="shared" si="166"/>
        <v>No</v>
      </c>
      <c r="AI2055" s="25"/>
      <c r="AJ2055" s="25"/>
      <c r="AK2055" s="25"/>
      <c r="AL2055" s="25"/>
      <c r="AM2055" s="25"/>
      <c r="AN2055" s="25"/>
      <c r="AO2055" s="25"/>
      <c r="AP2055" s="25"/>
      <c r="AQ2055" s="25"/>
      <c r="AR2055" s="25"/>
      <c r="AS2055" s="25"/>
      <c r="AT2055" s="25"/>
      <c r="AU2055" s="36"/>
      <c r="AV2055" s="36"/>
      <c r="AW2055" s="36"/>
      <c r="AX2055" s="25"/>
      <c r="AY2055" s="25"/>
      <c r="AZ2055" s="25"/>
      <c r="BA2055" s="25"/>
      <c r="BB2055" s="25"/>
      <c r="BC2055" s="25"/>
      <c r="BD2055" s="25"/>
      <c r="BE2055" s="25"/>
      <c r="BF2055" s="25"/>
      <c r="BG2055" s="25"/>
      <c r="BH2055" s="25"/>
      <c r="BI2055" s="25"/>
      <c r="BJ2055" s="25"/>
      <c r="BK2055" s="25"/>
      <c r="BL2055" s="25"/>
      <c r="BM2055" s="25"/>
      <c r="BN2055" s="25"/>
      <c r="BO2055" s="25"/>
      <c r="BP2055" s="25"/>
      <c r="BQ2055" s="25"/>
      <c r="BR2055" s="25"/>
      <c r="BS2055" s="25"/>
      <c r="BT2055" s="25"/>
      <c r="BU2055"/>
      <c r="BV2055"/>
      <c r="BW2055"/>
      <c r="BX2055"/>
      <c r="BY2055"/>
      <c r="BZ2055"/>
      <c r="CA2055"/>
      <c r="CB2055"/>
      <c r="CC2055"/>
      <c r="CD2055" s="25"/>
    </row>
    <row r="2056" spans="1:82" s="17" customFormat="1" x14ac:dyDescent="0.2">
      <c r="A2056" s="25"/>
      <c r="B2056" s="20">
        <v>39153531101</v>
      </c>
      <c r="C2056" s="20">
        <v>5311.01</v>
      </c>
      <c r="D2056" s="20" t="s">
        <v>82</v>
      </c>
      <c r="E2056" s="20" t="s">
        <v>2843</v>
      </c>
      <c r="F2056" s="20" t="s">
        <v>8</v>
      </c>
      <c r="G2056" s="861">
        <v>43.5334938616529</v>
      </c>
      <c r="H2056" s="861">
        <v>57.9671859149868</v>
      </c>
      <c r="I2056" s="861">
        <v>29.903806976739801</v>
      </c>
      <c r="J2056" s="861">
        <v>35.517540814294897</v>
      </c>
      <c r="K2056" s="982">
        <v>0</v>
      </c>
      <c r="L2056" s="735">
        <v>3447</v>
      </c>
      <c r="M2056" s="735">
        <v>2802</v>
      </c>
      <c r="N2056" s="845">
        <f t="shared" si="164"/>
        <v>-0.18711923411662315</v>
      </c>
      <c r="O2056" s="735">
        <v>1.5676709033231817</v>
      </c>
      <c r="P2056" s="735">
        <f t="shared" si="165"/>
        <v>1787.3649335841226</v>
      </c>
      <c r="Q2056" s="849">
        <v>49.6</v>
      </c>
      <c r="R2056" s="71">
        <v>55486</v>
      </c>
      <c r="S2056" s="845">
        <v>0.15596002855103497</v>
      </c>
      <c r="T2056" s="845">
        <v>9.9000000000000005E-2</v>
      </c>
      <c r="U2056" s="845">
        <v>4.2999999999999997E-2</v>
      </c>
      <c r="V2056" s="845">
        <v>0</v>
      </c>
      <c r="W2056" s="845">
        <v>0.27803379416282642</v>
      </c>
      <c r="X2056" s="845">
        <v>0.25690607734806631</v>
      </c>
      <c r="Y2056" s="845">
        <v>0.91791577444682371</v>
      </c>
      <c r="Z2056" s="845">
        <v>3.8187009279086366E-2</v>
      </c>
      <c r="AA2056" s="845">
        <v>0</v>
      </c>
      <c r="AB2056" s="845">
        <v>0</v>
      </c>
      <c r="AC2056" s="845">
        <v>0</v>
      </c>
      <c r="AD2056" s="845">
        <v>0</v>
      </c>
      <c r="AE2056" s="845">
        <v>4.3897216274089934E-2</v>
      </c>
      <c r="AF2056" s="845">
        <v>2.9621698786581014E-2</v>
      </c>
      <c r="AG2056" s="845">
        <v>0.8957887223411849</v>
      </c>
      <c r="AH2056" s="20" t="str">
        <f t="shared" si="166"/>
        <v>No</v>
      </c>
      <c r="AI2056" s="25"/>
      <c r="AJ2056" s="25"/>
      <c r="AK2056" s="25"/>
      <c r="AL2056" s="25"/>
      <c r="AM2056" s="25"/>
      <c r="AN2056" s="25"/>
      <c r="AO2056" s="25"/>
      <c r="AP2056" s="25"/>
      <c r="AQ2056" s="25"/>
      <c r="AR2056" s="25"/>
      <c r="AS2056" s="25"/>
      <c r="AT2056" s="25"/>
      <c r="AU2056" s="36"/>
      <c r="AV2056" s="36"/>
      <c r="AW2056" s="36"/>
      <c r="AX2056" s="25"/>
      <c r="AY2056" s="25"/>
      <c r="AZ2056" s="25"/>
      <c r="BA2056" s="25"/>
      <c r="BB2056" s="25"/>
      <c r="BC2056" s="25"/>
      <c r="BD2056" s="25"/>
      <c r="BE2056" s="25"/>
      <c r="BF2056" s="25"/>
      <c r="BG2056" s="25"/>
      <c r="BH2056" s="25"/>
      <c r="BI2056" s="25"/>
      <c r="BJ2056" s="25"/>
      <c r="BK2056" s="25"/>
      <c r="BL2056" s="25"/>
      <c r="BM2056" s="25"/>
      <c r="BN2056" s="25"/>
      <c r="BO2056" s="25"/>
      <c r="BP2056" s="25"/>
      <c r="BQ2056" s="25"/>
      <c r="BR2056" s="25"/>
      <c r="BS2056" s="25"/>
      <c r="BT2056" s="25"/>
      <c r="BU2056"/>
      <c r="BV2056"/>
      <c r="BW2056"/>
      <c r="BX2056"/>
      <c r="BY2056"/>
      <c r="BZ2056"/>
      <c r="CA2056"/>
      <c r="CB2056"/>
      <c r="CC2056"/>
      <c r="CD2056" s="25"/>
    </row>
    <row r="2057" spans="1:82" s="17" customFormat="1" x14ac:dyDescent="0.2">
      <c r="A2057" s="25"/>
      <c r="B2057" s="20">
        <v>39041011431</v>
      </c>
      <c r="C2057" s="20">
        <v>114.31</v>
      </c>
      <c r="D2057" s="20" t="s">
        <v>27</v>
      </c>
      <c r="E2057" s="20" t="s">
        <v>2830</v>
      </c>
      <c r="F2057" s="20" t="s">
        <v>8</v>
      </c>
      <c r="G2057" s="861">
        <v>43.529939546746199</v>
      </c>
      <c r="H2057" s="861">
        <v>43.975161547707501</v>
      </c>
      <c r="I2057" s="861">
        <v>13.034902018891399</v>
      </c>
      <c r="J2057" s="861">
        <v>33.627053300188003</v>
      </c>
      <c r="K2057" s="982">
        <v>0</v>
      </c>
      <c r="L2057" s="735" t="s">
        <v>2466</v>
      </c>
      <c r="M2057" s="735">
        <v>1239</v>
      </c>
      <c r="N2057" s="845" t="str">
        <f t="shared" si="164"/>
        <v/>
      </c>
      <c r="O2057" s="735">
        <v>7.8401441001209848</v>
      </c>
      <c r="P2057" s="735">
        <f t="shared" si="165"/>
        <v>158.03280962410886</v>
      </c>
      <c r="Q2057" s="849">
        <v>54.3</v>
      </c>
      <c r="R2057" s="71">
        <v>158438</v>
      </c>
      <c r="S2057" s="845">
        <v>0.11864406779661017</v>
      </c>
      <c r="T2057" s="845">
        <v>6.4000000000000001E-2</v>
      </c>
      <c r="U2057" s="845">
        <v>0</v>
      </c>
      <c r="V2057" s="845">
        <v>0</v>
      </c>
      <c r="W2057" s="845">
        <v>7.7272727272727271E-2</v>
      </c>
      <c r="X2057" s="845">
        <v>0</v>
      </c>
      <c r="Y2057" s="845">
        <v>0.89023405972558511</v>
      </c>
      <c r="Z2057" s="845">
        <v>1.3720742534301856E-2</v>
      </c>
      <c r="AA2057" s="845">
        <v>0</v>
      </c>
      <c r="AB2057" s="845">
        <v>0</v>
      </c>
      <c r="AC2057" s="845">
        <v>0</v>
      </c>
      <c r="AD2057" s="845">
        <v>2.5020177562550445E-2</v>
      </c>
      <c r="AE2057" s="845">
        <v>7.1025020177562556E-2</v>
      </c>
      <c r="AF2057" s="845">
        <v>0.12832929782082325</v>
      </c>
      <c r="AG2057" s="845">
        <v>0.85391444713478615</v>
      </c>
      <c r="AH2057" s="20" t="str">
        <f t="shared" si="166"/>
        <v>No</v>
      </c>
      <c r="AI2057" s="25"/>
      <c r="AJ2057" s="25"/>
      <c r="AK2057" s="25"/>
      <c r="AL2057" s="25"/>
      <c r="AM2057" s="25"/>
      <c r="AN2057" s="25"/>
      <c r="AO2057" s="25"/>
      <c r="AP2057" s="25"/>
      <c r="AQ2057" s="25"/>
      <c r="AR2057" s="25"/>
      <c r="AS2057" s="25"/>
      <c r="AT2057" s="25"/>
      <c r="AU2057" s="36"/>
      <c r="AV2057" s="36"/>
      <c r="AW2057" s="36"/>
      <c r="AX2057" s="25"/>
      <c r="AY2057" s="25"/>
      <c r="AZ2057" s="25"/>
      <c r="BA2057" s="25"/>
      <c r="BB2057" s="25"/>
      <c r="BC2057" s="25"/>
      <c r="BD2057" s="25"/>
      <c r="BE2057" s="25"/>
      <c r="BF2057" s="25"/>
      <c r="BG2057" s="25"/>
      <c r="BH2057" s="25"/>
      <c r="BI2057" s="25"/>
      <c r="BJ2057" s="25"/>
      <c r="BK2057" s="25"/>
      <c r="BL2057" s="25"/>
      <c r="BM2057" s="25"/>
      <c r="BN2057" s="25"/>
      <c r="BO2057" s="25"/>
      <c r="BP2057" s="25"/>
      <c r="BQ2057" s="25"/>
      <c r="BR2057" s="25"/>
      <c r="BS2057" s="25"/>
      <c r="BT2057" s="25"/>
      <c r="BU2057"/>
      <c r="BV2057"/>
      <c r="BW2057"/>
      <c r="BX2057"/>
      <c r="BY2057"/>
      <c r="BZ2057"/>
      <c r="CA2057"/>
      <c r="CB2057"/>
      <c r="CC2057"/>
      <c r="CD2057" s="25"/>
    </row>
    <row r="2058" spans="1:82" s="17" customFormat="1" x14ac:dyDescent="0.2">
      <c r="A2058" s="25"/>
      <c r="B2058" s="20">
        <v>39041011101</v>
      </c>
      <c r="C2058" s="20">
        <v>111.01</v>
      </c>
      <c r="D2058" s="20" t="s">
        <v>27</v>
      </c>
      <c r="E2058" s="20" t="s">
        <v>2830</v>
      </c>
      <c r="F2058" s="20" t="s">
        <v>8</v>
      </c>
      <c r="G2058" s="861">
        <v>43.526777069014202</v>
      </c>
      <c r="H2058" s="861">
        <v>50.598510646502298</v>
      </c>
      <c r="I2058" s="861">
        <v>33.022058469781101</v>
      </c>
      <c r="J2058" s="861">
        <v>42.586690248882398</v>
      </c>
      <c r="K2058" s="982">
        <v>0</v>
      </c>
      <c r="L2058" s="735">
        <v>3027</v>
      </c>
      <c r="M2058" s="735">
        <v>2931</v>
      </c>
      <c r="N2058" s="845">
        <f t="shared" si="164"/>
        <v>-3.1714568880079286E-2</v>
      </c>
      <c r="O2058" s="735">
        <v>32.400387737687339</v>
      </c>
      <c r="P2058" s="735">
        <f t="shared" si="165"/>
        <v>90.461880386410698</v>
      </c>
      <c r="Q2058" s="849">
        <v>43.3</v>
      </c>
      <c r="R2058" s="71">
        <v>64375</v>
      </c>
      <c r="S2058" s="845">
        <v>0.17897629680522156</v>
      </c>
      <c r="T2058" s="845">
        <v>2.3E-2</v>
      </c>
      <c r="U2058" s="845">
        <v>0</v>
      </c>
      <c r="V2058" s="845">
        <v>3.1E-2</v>
      </c>
      <c r="W2058" s="845">
        <v>0.27529021558872308</v>
      </c>
      <c r="X2058" s="845">
        <v>0.20180722891566266</v>
      </c>
      <c r="Y2058" s="845">
        <v>0.94916410781303306</v>
      </c>
      <c r="Z2058" s="845">
        <v>1.1941316956670079E-2</v>
      </c>
      <c r="AA2058" s="845">
        <v>0</v>
      </c>
      <c r="AB2058" s="845">
        <v>0</v>
      </c>
      <c r="AC2058" s="845">
        <v>0</v>
      </c>
      <c r="AD2058" s="845">
        <v>2.0470829068577278E-3</v>
      </c>
      <c r="AE2058" s="845">
        <v>3.6847492323439097E-2</v>
      </c>
      <c r="AF2058" s="845">
        <v>2.0470829068577278E-3</v>
      </c>
      <c r="AG2058" s="845">
        <v>0.94916410781303306</v>
      </c>
      <c r="AH2058" s="20" t="str">
        <f t="shared" si="166"/>
        <v>Yes</v>
      </c>
      <c r="AI2058" s="25"/>
      <c r="AJ2058" s="25"/>
      <c r="AK2058" s="25"/>
      <c r="AL2058" s="25"/>
      <c r="AM2058" s="25"/>
      <c r="AN2058" s="25"/>
      <c r="AO2058" s="25"/>
      <c r="AP2058" s="25"/>
      <c r="AQ2058" s="25"/>
      <c r="AR2058" s="25"/>
      <c r="AS2058" s="25"/>
      <c r="AT2058" s="25"/>
      <c r="AU2058" s="36"/>
      <c r="AV2058" s="36"/>
      <c r="AW2058" s="36"/>
      <c r="AX2058" s="25"/>
      <c r="AY2058" s="25"/>
      <c r="AZ2058" s="25"/>
      <c r="BA2058" s="25"/>
      <c r="BB2058" s="25"/>
      <c r="BC2058" s="25"/>
      <c r="BD2058" s="25"/>
      <c r="BE2058" s="25"/>
      <c r="BF2058" s="25"/>
      <c r="BG2058" s="25"/>
      <c r="BH2058" s="25"/>
      <c r="BI2058" s="25"/>
      <c r="BJ2058" s="25"/>
      <c r="BK2058" s="25"/>
      <c r="BL2058" s="25"/>
      <c r="BM2058" s="25"/>
      <c r="BN2058" s="25"/>
      <c r="BO2058" s="25"/>
      <c r="BP2058" s="25"/>
      <c r="BQ2058" s="25"/>
      <c r="BR2058" s="25"/>
      <c r="BS2058" s="25"/>
      <c r="BT2058" s="25"/>
      <c r="BU2058"/>
      <c r="BV2058"/>
      <c r="BW2058"/>
      <c r="BX2058"/>
      <c r="BY2058"/>
      <c r="BZ2058"/>
      <c r="CA2058"/>
      <c r="CB2058"/>
      <c r="CC2058"/>
      <c r="CD2058" s="25"/>
    </row>
    <row r="2059" spans="1:82" s="17" customFormat="1" x14ac:dyDescent="0.2">
      <c r="A2059" s="25"/>
      <c r="B2059" s="20">
        <v>39035123501</v>
      </c>
      <c r="C2059" s="20">
        <v>1235.01</v>
      </c>
      <c r="D2059" s="20" t="s">
        <v>24</v>
      </c>
      <c r="E2059" s="20" t="s">
        <v>2829</v>
      </c>
      <c r="F2059" s="20" t="s">
        <v>6</v>
      </c>
      <c r="G2059" s="861">
        <v>43.521905315815502</v>
      </c>
      <c r="H2059" s="861">
        <v>62.247658686893203</v>
      </c>
      <c r="I2059" s="861">
        <v>45.282888062402797</v>
      </c>
      <c r="J2059" s="861">
        <v>41.923653651562198</v>
      </c>
      <c r="K2059" s="982">
        <v>0</v>
      </c>
      <c r="L2059" s="735">
        <v>3224</v>
      </c>
      <c r="M2059" s="735">
        <v>3326</v>
      </c>
      <c r="N2059" s="845">
        <f t="shared" ref="N2059:N2122" si="167">IF(OR(L2059="",M2059=""),"",(M2059-L2059)/L2059)</f>
        <v>3.163771712158809E-2</v>
      </c>
      <c r="O2059" s="735">
        <v>0.78191555867798945</v>
      </c>
      <c r="P2059" s="735">
        <f t="shared" ref="P2059:P2122" si="168">M2059/O2059</f>
        <v>4253.6562459805482</v>
      </c>
      <c r="Q2059" s="849">
        <v>30.8</v>
      </c>
      <c r="R2059" s="71">
        <v>48259</v>
      </c>
      <c r="S2059" s="845">
        <v>0.26999398677089598</v>
      </c>
      <c r="T2059" s="845">
        <v>0.105</v>
      </c>
      <c r="U2059" s="845">
        <v>6.6000000000000003E-2</v>
      </c>
      <c r="V2059" s="845">
        <v>0</v>
      </c>
      <c r="W2059" s="845">
        <v>0.59850746268656718</v>
      </c>
      <c r="X2059" s="845">
        <v>0.4451371571072319</v>
      </c>
      <c r="Y2059" s="845">
        <v>0.49128081779915816</v>
      </c>
      <c r="Z2059" s="845">
        <v>0.20926037282020446</v>
      </c>
      <c r="AA2059" s="845">
        <v>1.3529765484064944E-2</v>
      </c>
      <c r="AB2059" s="845">
        <v>0</v>
      </c>
      <c r="AC2059" s="845">
        <v>0</v>
      </c>
      <c r="AD2059" s="845">
        <v>9.2904389657245942E-2</v>
      </c>
      <c r="AE2059" s="845">
        <v>0.19302465423932652</v>
      </c>
      <c r="AF2059" s="845">
        <v>0.26097414311485267</v>
      </c>
      <c r="AG2059" s="845">
        <v>0.46482260974143114</v>
      </c>
      <c r="AH2059" s="20" t="str">
        <f t="shared" ref="AH2059:AH2122" si="169">IF(AG2059&gt;=0.9,"Yes","No")</f>
        <v>No</v>
      </c>
      <c r="AI2059" s="25"/>
      <c r="AJ2059" s="25"/>
      <c r="AK2059" s="25"/>
      <c r="AL2059" s="25"/>
      <c r="AM2059" s="25"/>
      <c r="AN2059" s="25"/>
      <c r="AO2059" s="25"/>
      <c r="AP2059" s="25"/>
      <c r="AQ2059" s="25"/>
      <c r="AR2059" s="25"/>
      <c r="AS2059" s="25"/>
      <c r="AT2059" s="25"/>
      <c r="AU2059" s="36"/>
      <c r="AV2059" s="36"/>
      <c r="AW2059" s="36"/>
      <c r="AX2059" s="25"/>
      <c r="AY2059" s="25"/>
      <c r="AZ2059" s="25"/>
      <c r="BA2059" s="25"/>
      <c r="BB2059" s="25"/>
      <c r="BC2059" s="25"/>
      <c r="BD2059" s="25"/>
      <c r="BE2059" s="25"/>
      <c r="BF2059" s="25"/>
      <c r="BG2059" s="25"/>
      <c r="BH2059" s="25"/>
      <c r="BI2059" s="25"/>
      <c r="BJ2059" s="25"/>
      <c r="BK2059" s="25"/>
      <c r="BL2059" s="25"/>
      <c r="BM2059" s="25"/>
      <c r="BN2059" s="25"/>
      <c r="BO2059" s="25"/>
      <c r="BP2059" s="25"/>
      <c r="BQ2059" s="25"/>
      <c r="BR2059" s="25"/>
      <c r="BS2059" s="25"/>
      <c r="BT2059" s="25"/>
      <c r="BU2059"/>
      <c r="BV2059"/>
      <c r="BW2059"/>
      <c r="BX2059"/>
      <c r="BY2059"/>
      <c r="BZ2059"/>
      <c r="CA2059"/>
      <c r="CB2059"/>
      <c r="CC2059"/>
      <c r="CD2059" s="25"/>
    </row>
    <row r="2060" spans="1:82" s="17" customFormat="1" x14ac:dyDescent="0.2">
      <c r="A2060" s="25"/>
      <c r="B2060" s="20">
        <v>39035186103</v>
      </c>
      <c r="C2060" s="20">
        <v>1861.03</v>
      </c>
      <c r="D2060" s="20" t="s">
        <v>24</v>
      </c>
      <c r="E2060" s="20" t="s">
        <v>2829</v>
      </c>
      <c r="F2060" s="20" t="s">
        <v>8</v>
      </c>
      <c r="G2060" s="861">
        <v>43.450999986370903</v>
      </c>
      <c r="H2060" s="861">
        <v>42.968009126380103</v>
      </c>
      <c r="I2060" s="861">
        <v>25.472012851631298</v>
      </c>
      <c r="J2060" s="861">
        <v>24.903384233732702</v>
      </c>
      <c r="K2060" s="982">
        <v>0</v>
      </c>
      <c r="L2060" s="735">
        <v>4276</v>
      </c>
      <c r="M2060" s="735">
        <v>5032</v>
      </c>
      <c r="N2060" s="845">
        <f t="shared" si="167"/>
        <v>0.17680074836295603</v>
      </c>
      <c r="O2060" s="735">
        <v>2.6617608680836762</v>
      </c>
      <c r="P2060" s="735">
        <f t="shared" si="168"/>
        <v>1890.4778638596365</v>
      </c>
      <c r="Q2060" s="849">
        <v>47.8</v>
      </c>
      <c r="R2060" s="71">
        <v>110682</v>
      </c>
      <c r="S2060" s="845">
        <v>5.5890631282669884E-2</v>
      </c>
      <c r="T2060" s="845">
        <v>3.4000000000000002E-2</v>
      </c>
      <c r="U2060" s="845">
        <v>0</v>
      </c>
      <c r="V2060" s="845">
        <v>0.20899999999999999</v>
      </c>
      <c r="W2060" s="845">
        <v>9.2920353982300891E-2</v>
      </c>
      <c r="X2060" s="845">
        <v>0.37037037037037035</v>
      </c>
      <c r="Y2060" s="845">
        <v>0.95270270270270274</v>
      </c>
      <c r="Z2060" s="845">
        <v>4.5707472178060414E-3</v>
      </c>
      <c r="AA2060" s="845">
        <v>0</v>
      </c>
      <c r="AB2060" s="845">
        <v>1.3314785373608903E-2</v>
      </c>
      <c r="AC2060" s="845">
        <v>0</v>
      </c>
      <c r="AD2060" s="845">
        <v>3.7758346581875995E-3</v>
      </c>
      <c r="AE2060" s="845">
        <v>2.5635930047694752E-2</v>
      </c>
      <c r="AF2060" s="845">
        <v>1.6096979332273449E-2</v>
      </c>
      <c r="AG2060" s="845">
        <v>0.95270270270270274</v>
      </c>
      <c r="AH2060" s="20" t="str">
        <f t="shared" si="169"/>
        <v>Yes</v>
      </c>
      <c r="AI2060" s="25"/>
      <c r="AJ2060" s="25"/>
      <c r="AK2060" s="25"/>
      <c r="AL2060" s="25"/>
      <c r="AM2060" s="25"/>
      <c r="AN2060" s="25"/>
      <c r="AO2060" s="25"/>
      <c r="AP2060" s="25"/>
      <c r="AQ2060" s="25"/>
      <c r="AR2060" s="25"/>
      <c r="AS2060" s="25"/>
      <c r="AT2060" s="25"/>
      <c r="AU2060" s="36"/>
      <c r="AV2060" s="36"/>
      <c r="AW2060" s="36"/>
      <c r="AX2060" s="25"/>
      <c r="AY2060" s="25"/>
      <c r="AZ2060" s="25"/>
      <c r="BA2060" s="25"/>
      <c r="BB2060" s="25"/>
      <c r="BC2060" s="25"/>
      <c r="BD2060" s="25"/>
      <c r="BE2060" s="25"/>
      <c r="BF2060" s="25"/>
      <c r="BG2060" s="25"/>
      <c r="BH2060" s="25"/>
      <c r="BI2060" s="25"/>
      <c r="BJ2060" s="25"/>
      <c r="BK2060" s="25"/>
      <c r="BL2060" s="25"/>
      <c r="BM2060" s="25"/>
      <c r="BN2060" s="25"/>
      <c r="BO2060" s="25"/>
      <c r="BP2060" s="25"/>
      <c r="BQ2060" s="25"/>
      <c r="BR2060" s="25"/>
      <c r="BS2060" s="25"/>
      <c r="BT2060" s="25"/>
      <c r="BU2060"/>
      <c r="BV2060"/>
      <c r="BW2060"/>
      <c r="BX2060"/>
      <c r="BY2060"/>
      <c r="BZ2060"/>
      <c r="CA2060"/>
      <c r="CB2060"/>
      <c r="CC2060"/>
      <c r="CD2060" s="25"/>
    </row>
    <row r="2061" spans="1:82" s="17" customFormat="1" x14ac:dyDescent="0.2">
      <c r="A2061" s="25"/>
      <c r="B2061" s="20">
        <v>39039958200</v>
      </c>
      <c r="C2061" s="20">
        <v>9582</v>
      </c>
      <c r="D2061" s="20" t="s">
        <v>26</v>
      </c>
      <c r="E2061" s="20" t="s">
        <v>265</v>
      </c>
      <c r="F2061" s="20" t="s">
        <v>8</v>
      </c>
      <c r="G2061" s="861">
        <v>43.439812566851799</v>
      </c>
      <c r="H2061" s="861">
        <v>52.961392946079798</v>
      </c>
      <c r="I2061" s="861">
        <v>22.682230669013101</v>
      </c>
      <c r="J2061" s="861">
        <v>47.816280521372597</v>
      </c>
      <c r="K2061" s="982">
        <v>0</v>
      </c>
      <c r="L2061" s="735">
        <v>5043</v>
      </c>
      <c r="M2061" s="735">
        <v>5242</v>
      </c>
      <c r="N2061" s="845">
        <f t="shared" si="167"/>
        <v>3.9460638508824114E-2</v>
      </c>
      <c r="O2061" s="735">
        <v>130.75085622690369</v>
      </c>
      <c r="P2061" s="735">
        <f t="shared" si="168"/>
        <v>40.09151566015818</v>
      </c>
      <c r="Q2061" s="849">
        <v>35.1</v>
      </c>
      <c r="R2061" s="71">
        <v>80822</v>
      </c>
      <c r="S2061" s="845">
        <v>9.4245842095201676E-2</v>
      </c>
      <c r="T2061" s="845">
        <v>6.3E-2</v>
      </c>
      <c r="U2061" s="845">
        <v>0</v>
      </c>
      <c r="V2061" s="845">
        <v>0</v>
      </c>
      <c r="W2061" s="845">
        <v>0.10119047619047619</v>
      </c>
      <c r="X2061" s="845">
        <v>0.35294117647058826</v>
      </c>
      <c r="Y2061" s="845">
        <v>0.97672644028996569</v>
      </c>
      <c r="Z2061" s="845">
        <v>3.8153376573826786E-4</v>
      </c>
      <c r="AA2061" s="845">
        <v>0</v>
      </c>
      <c r="AB2061" s="845">
        <v>1.1446012972148034E-3</v>
      </c>
      <c r="AC2061" s="845">
        <v>0</v>
      </c>
      <c r="AD2061" s="845">
        <v>3.6245707745135446E-3</v>
      </c>
      <c r="AE2061" s="845">
        <v>1.8122853872567721E-2</v>
      </c>
      <c r="AF2061" s="845">
        <v>1.6024418161007248E-2</v>
      </c>
      <c r="AG2061" s="845">
        <v>0.97672644028996569</v>
      </c>
      <c r="AH2061" s="20" t="str">
        <f t="shared" si="169"/>
        <v>Yes</v>
      </c>
      <c r="AI2061" s="25"/>
      <c r="AJ2061" s="25"/>
      <c r="AK2061" s="25"/>
      <c r="AL2061" s="25"/>
      <c r="AM2061" s="25"/>
      <c r="AN2061" s="25"/>
      <c r="AO2061" s="25"/>
      <c r="AP2061" s="25"/>
      <c r="AQ2061" s="25"/>
      <c r="AR2061" s="25"/>
      <c r="AS2061" s="25"/>
      <c r="AT2061" s="25"/>
      <c r="AU2061" s="36"/>
      <c r="AV2061" s="36"/>
      <c r="AW2061" s="36"/>
      <c r="AX2061" s="25"/>
      <c r="AY2061" s="25"/>
      <c r="AZ2061" s="25"/>
      <c r="BA2061" s="25"/>
      <c r="BB2061" s="25"/>
      <c r="BC2061" s="25"/>
      <c r="BD2061" s="25"/>
      <c r="BE2061" s="25"/>
      <c r="BF2061" s="25"/>
      <c r="BG2061" s="25"/>
      <c r="BH2061" s="25"/>
      <c r="BI2061" s="25"/>
      <c r="BJ2061" s="25"/>
      <c r="BK2061" s="25"/>
      <c r="BL2061" s="25"/>
      <c r="BM2061" s="25"/>
      <c r="BN2061" s="25"/>
      <c r="BO2061" s="25"/>
      <c r="BP2061" s="25"/>
      <c r="BQ2061" s="25"/>
      <c r="BR2061" s="25"/>
      <c r="BS2061" s="25"/>
      <c r="BT2061" s="25"/>
      <c r="BU2061"/>
      <c r="BV2061"/>
      <c r="BW2061"/>
      <c r="BX2061"/>
      <c r="BY2061"/>
      <c r="BZ2061"/>
      <c r="CA2061"/>
      <c r="CB2061"/>
      <c r="CC2061"/>
      <c r="CD2061" s="25"/>
    </row>
    <row r="2062" spans="1:82" s="17" customFormat="1" x14ac:dyDescent="0.2">
      <c r="A2062" s="25"/>
      <c r="B2062" s="20">
        <v>39169003000</v>
      </c>
      <c r="C2062" s="20">
        <v>30</v>
      </c>
      <c r="D2062" s="20" t="s">
        <v>90</v>
      </c>
      <c r="E2062" s="20" t="s">
        <v>265</v>
      </c>
      <c r="F2062" s="20" t="s">
        <v>8</v>
      </c>
      <c r="G2062" s="861">
        <v>43.411729753462801</v>
      </c>
      <c r="H2062" s="861">
        <v>57.790631962261898</v>
      </c>
      <c r="I2062" s="861">
        <v>17.700529224531</v>
      </c>
      <c r="J2062" s="861">
        <v>36.312233909759598</v>
      </c>
      <c r="K2062" s="982">
        <v>0</v>
      </c>
      <c r="L2062" s="735">
        <v>2195</v>
      </c>
      <c r="M2062" s="735">
        <v>2374</v>
      </c>
      <c r="N2062" s="845">
        <f t="shared" si="167"/>
        <v>8.1548974943052396E-2</v>
      </c>
      <c r="O2062" s="735">
        <v>19.698080776131441</v>
      </c>
      <c r="P2062" s="735">
        <f t="shared" si="168"/>
        <v>120.51935551389469</v>
      </c>
      <c r="Q2062" s="849">
        <v>41.2</v>
      </c>
      <c r="R2062" s="71">
        <v>86050</v>
      </c>
      <c r="S2062" s="845">
        <v>3.3446232006773921E-2</v>
      </c>
      <c r="T2062" s="845">
        <v>0.03</v>
      </c>
      <c r="U2062" s="845">
        <v>3.0000000000000001E-3</v>
      </c>
      <c r="V2062" s="845">
        <v>0</v>
      </c>
      <c r="W2062" s="845">
        <v>0.11059371362048893</v>
      </c>
      <c r="X2062" s="845">
        <v>7.3684210526315783E-2</v>
      </c>
      <c r="Y2062" s="845">
        <v>0.96251053074978943</v>
      </c>
      <c r="Z2062" s="845">
        <v>8.4245998315080029E-4</v>
      </c>
      <c r="AA2062" s="845">
        <v>0</v>
      </c>
      <c r="AB2062" s="845">
        <v>8.4245998315080029E-4</v>
      </c>
      <c r="AC2062" s="845">
        <v>0</v>
      </c>
      <c r="AD2062" s="845">
        <v>2.1061499578770007E-3</v>
      </c>
      <c r="AE2062" s="845">
        <v>3.3698399326032011E-2</v>
      </c>
      <c r="AF2062" s="845">
        <v>0</v>
      </c>
      <c r="AG2062" s="845">
        <v>0.96251053074978943</v>
      </c>
      <c r="AH2062" s="20" t="str">
        <f t="shared" si="169"/>
        <v>Yes</v>
      </c>
      <c r="AI2062" s="25"/>
      <c r="AJ2062" s="25"/>
      <c r="AK2062" s="25"/>
      <c r="AL2062" s="25"/>
      <c r="AM2062" s="25"/>
      <c r="AN2062" s="25"/>
      <c r="AO2062" s="25"/>
      <c r="AP2062" s="25"/>
      <c r="AQ2062" s="25"/>
      <c r="AR2062" s="25"/>
      <c r="AS2062" s="25"/>
      <c r="AT2062" s="25"/>
      <c r="AU2062" s="36"/>
      <c r="AV2062" s="36"/>
      <c r="AW2062" s="36"/>
      <c r="AX2062" s="25"/>
      <c r="AY2062" s="25"/>
      <c r="AZ2062" s="25"/>
      <c r="BA2062" s="25"/>
      <c r="BB2062" s="25"/>
      <c r="BC2062" s="25"/>
      <c r="BD2062" s="25"/>
      <c r="BE2062" s="25"/>
      <c r="BF2062" s="25"/>
      <c r="BG2062" s="25"/>
      <c r="BH2062" s="25"/>
      <c r="BI2062" s="25"/>
      <c r="BJ2062" s="25"/>
      <c r="BK2062" s="25"/>
      <c r="BL2062" s="25"/>
      <c r="BM2062" s="25"/>
      <c r="BN2062" s="25"/>
      <c r="BO2062" s="25"/>
      <c r="BP2062" s="25"/>
      <c r="BQ2062" s="25"/>
      <c r="BR2062" s="25"/>
      <c r="BS2062" s="25"/>
      <c r="BT2062" s="25"/>
      <c r="BU2062"/>
      <c r="BV2062"/>
      <c r="BW2062"/>
      <c r="BX2062"/>
      <c r="BY2062"/>
      <c r="BZ2062"/>
      <c r="CA2062"/>
      <c r="CB2062"/>
      <c r="CC2062"/>
      <c r="CD2062" s="25"/>
    </row>
    <row r="2063" spans="1:82" s="17" customFormat="1" x14ac:dyDescent="0.2">
      <c r="A2063" s="25"/>
      <c r="B2063" s="20">
        <v>39049002770</v>
      </c>
      <c r="C2063" s="20">
        <v>27.7</v>
      </c>
      <c r="D2063" s="20" t="s">
        <v>31</v>
      </c>
      <c r="E2063" s="20" t="s">
        <v>2830</v>
      </c>
      <c r="F2063" s="20" t="s">
        <v>6</v>
      </c>
      <c r="G2063" s="861">
        <v>43.404581189142903</v>
      </c>
      <c r="H2063" s="861">
        <v>52.344292585330102</v>
      </c>
      <c r="I2063" s="861">
        <v>87.785988704561206</v>
      </c>
      <c r="J2063" s="861">
        <v>43.751366284455599</v>
      </c>
      <c r="K2063" s="982">
        <v>1</v>
      </c>
      <c r="L2063" s="735">
        <v>2042</v>
      </c>
      <c r="M2063" s="735">
        <v>2216</v>
      </c>
      <c r="N2063" s="845">
        <f t="shared" si="167"/>
        <v>8.5210577864838391E-2</v>
      </c>
      <c r="O2063" s="735">
        <v>0.33913785032781485</v>
      </c>
      <c r="P2063" s="735">
        <f t="shared" si="168"/>
        <v>6534.2160948947067</v>
      </c>
      <c r="Q2063" s="849">
        <v>31.3</v>
      </c>
      <c r="R2063" s="71">
        <v>37349</v>
      </c>
      <c r="S2063" s="845">
        <v>0.24593862815884476</v>
      </c>
      <c r="T2063" s="845">
        <v>0.153</v>
      </c>
      <c r="U2063" s="845">
        <v>0</v>
      </c>
      <c r="V2063" s="845">
        <v>2.7999999999999997E-2</v>
      </c>
      <c r="W2063" s="845">
        <v>0.5021929824561403</v>
      </c>
      <c r="X2063" s="845">
        <v>0.66157205240174677</v>
      </c>
      <c r="Y2063" s="845">
        <v>0.23781588447653429</v>
      </c>
      <c r="Z2063" s="845">
        <v>0.526173285198556</v>
      </c>
      <c r="AA2063" s="845">
        <v>0</v>
      </c>
      <c r="AB2063" s="845">
        <v>3.6101083032490976E-3</v>
      </c>
      <c r="AC2063" s="845">
        <v>0</v>
      </c>
      <c r="AD2063" s="845">
        <v>0.13808664259927797</v>
      </c>
      <c r="AE2063" s="845">
        <v>9.4314079422382666E-2</v>
      </c>
      <c r="AF2063" s="845">
        <v>0.21750902527075813</v>
      </c>
      <c r="AG2063" s="845">
        <v>0.23014440433212996</v>
      </c>
      <c r="AH2063" s="20" t="str">
        <f t="shared" si="169"/>
        <v>No</v>
      </c>
      <c r="AI2063" s="25"/>
      <c r="AJ2063" s="25"/>
      <c r="AK2063" s="25"/>
      <c r="AL2063" s="25"/>
      <c r="AM2063" s="25"/>
      <c r="AN2063" s="25"/>
      <c r="AO2063" s="25"/>
      <c r="AP2063" s="25"/>
      <c r="AQ2063" s="25"/>
      <c r="AR2063" s="25"/>
      <c r="AS2063" s="25"/>
      <c r="AT2063" s="25"/>
      <c r="AU2063" s="36"/>
      <c r="AV2063" s="36"/>
      <c r="AW2063" s="36"/>
      <c r="AX2063" s="25"/>
      <c r="AY2063" s="25"/>
      <c r="AZ2063" s="25"/>
      <c r="BA2063" s="25"/>
      <c r="BB2063" s="25"/>
      <c r="BC2063" s="25"/>
      <c r="BD2063" s="25"/>
      <c r="BE2063" s="25"/>
      <c r="BF2063" s="25"/>
      <c r="BG2063" s="25"/>
      <c r="BH2063" s="25"/>
      <c r="BI2063" s="25"/>
      <c r="BJ2063" s="25"/>
      <c r="BK2063" s="25"/>
      <c r="BL2063" s="25"/>
      <c r="BM2063" s="25"/>
      <c r="BN2063" s="25"/>
      <c r="BO2063" s="25"/>
      <c r="BP2063" s="25"/>
      <c r="BQ2063" s="25"/>
      <c r="BR2063" s="25"/>
      <c r="BS2063" s="25"/>
      <c r="BT2063" s="25"/>
      <c r="BU2063"/>
      <c r="BV2063"/>
      <c r="BW2063"/>
      <c r="BX2063"/>
      <c r="BY2063"/>
      <c r="BZ2063"/>
      <c r="CA2063"/>
      <c r="CB2063"/>
      <c r="CC2063"/>
      <c r="CD2063" s="25"/>
    </row>
    <row r="2064" spans="1:82" s="17" customFormat="1" x14ac:dyDescent="0.2">
      <c r="A2064" s="25"/>
      <c r="B2064" s="20">
        <v>39087050900</v>
      </c>
      <c r="C2064" s="20">
        <v>509</v>
      </c>
      <c r="D2064" s="20" t="s">
        <v>49</v>
      </c>
      <c r="E2064" s="20" t="s">
        <v>2834</v>
      </c>
      <c r="F2064" s="20" t="s">
        <v>8</v>
      </c>
      <c r="G2064" s="861">
        <v>43.397931403503499</v>
      </c>
      <c r="H2064" s="861">
        <v>50.571146156291498</v>
      </c>
      <c r="I2064" s="861">
        <v>43.012687966640897</v>
      </c>
      <c r="J2064" s="861">
        <v>39.7572576330302</v>
      </c>
      <c r="K2064" s="982">
        <v>0</v>
      </c>
      <c r="L2064" s="735">
        <v>2300</v>
      </c>
      <c r="M2064" s="735">
        <v>2335</v>
      </c>
      <c r="N2064" s="845">
        <f t="shared" si="167"/>
        <v>1.5217391304347827E-2</v>
      </c>
      <c r="O2064" s="735">
        <v>3.5226420402370113</v>
      </c>
      <c r="P2064" s="735">
        <f t="shared" si="168"/>
        <v>662.85474746758428</v>
      </c>
      <c r="Q2064" s="849">
        <v>34.799999999999997</v>
      </c>
      <c r="R2064" s="71">
        <v>53210</v>
      </c>
      <c r="S2064" s="845">
        <v>0.18301803783545975</v>
      </c>
      <c r="T2064" s="845">
        <v>7.0000000000000007E-2</v>
      </c>
      <c r="U2064" s="845">
        <v>0.121</v>
      </c>
      <c r="V2064" s="845">
        <v>0</v>
      </c>
      <c r="W2064" s="845">
        <v>0.4065040650406504</v>
      </c>
      <c r="X2064" s="845">
        <v>0.47142857142857142</v>
      </c>
      <c r="Y2064" s="845">
        <v>0.8646680942184154</v>
      </c>
      <c r="Z2064" s="845">
        <v>0</v>
      </c>
      <c r="AA2064" s="845">
        <v>0</v>
      </c>
      <c r="AB2064" s="845">
        <v>0</v>
      </c>
      <c r="AC2064" s="845">
        <v>7.2805139186295506E-3</v>
      </c>
      <c r="AD2064" s="845">
        <v>6.4239828693790149E-3</v>
      </c>
      <c r="AE2064" s="845">
        <v>0.12162740899357602</v>
      </c>
      <c r="AF2064" s="845">
        <v>1.4132762312633832E-2</v>
      </c>
      <c r="AG2064" s="845">
        <v>0.85695931477516063</v>
      </c>
      <c r="AH2064" s="20" t="str">
        <f t="shared" si="169"/>
        <v>No</v>
      </c>
      <c r="AI2064" s="25"/>
      <c r="AJ2064" s="25"/>
      <c r="AK2064" s="25"/>
      <c r="AL2064" s="25"/>
      <c r="AM2064" s="25"/>
      <c r="AN2064" s="25"/>
      <c r="AO2064" s="25"/>
      <c r="AP2064" s="25"/>
      <c r="AQ2064" s="25"/>
      <c r="AR2064" s="25"/>
      <c r="AS2064" s="25"/>
      <c r="AT2064" s="25"/>
      <c r="AU2064" s="36"/>
      <c r="AV2064" s="36"/>
      <c r="AW2064" s="36"/>
      <c r="AX2064" s="25"/>
      <c r="AY2064" s="25"/>
      <c r="AZ2064" s="25"/>
      <c r="BA2064" s="25"/>
      <c r="BB2064" s="25"/>
      <c r="BC2064" s="25"/>
      <c r="BD2064" s="25"/>
      <c r="BE2064" s="25"/>
      <c r="BF2064" s="25"/>
      <c r="BG2064" s="25"/>
      <c r="BH2064" s="25"/>
      <c r="BI2064" s="25"/>
      <c r="BJ2064" s="25"/>
      <c r="BK2064" s="25"/>
      <c r="BL2064" s="25"/>
      <c r="BM2064" s="25"/>
      <c r="BN2064" s="25"/>
      <c r="BO2064" s="25"/>
      <c r="BP2064" s="25"/>
      <c r="BQ2064" s="25"/>
      <c r="BR2064" s="25"/>
      <c r="BS2064" s="25"/>
      <c r="BT2064" s="25"/>
      <c r="BU2064"/>
      <c r="BV2064"/>
      <c r="BW2064"/>
      <c r="BX2064"/>
      <c r="BY2064"/>
      <c r="BZ2064"/>
      <c r="CA2064"/>
      <c r="CB2064"/>
      <c r="CC2064"/>
      <c r="CD2064" s="25"/>
    </row>
    <row r="2065" spans="1:82" s="17" customFormat="1" x14ac:dyDescent="0.2">
      <c r="A2065" s="25"/>
      <c r="B2065" s="20">
        <v>39023002404</v>
      </c>
      <c r="C2065" s="20">
        <v>24.04</v>
      </c>
      <c r="D2065" s="20" t="s">
        <v>18</v>
      </c>
      <c r="E2065" s="20" t="s">
        <v>2838</v>
      </c>
      <c r="F2065" s="20" t="s">
        <v>8</v>
      </c>
      <c r="G2065" s="861">
        <v>43.371087787969998</v>
      </c>
      <c r="H2065" s="861">
        <v>44.830578896891801</v>
      </c>
      <c r="I2065" s="861">
        <v>34.200863943030697</v>
      </c>
      <c r="J2065" s="861">
        <v>38.6915925756159</v>
      </c>
      <c r="K2065" s="982">
        <v>0</v>
      </c>
      <c r="L2065" s="735">
        <v>3129</v>
      </c>
      <c r="M2065" s="735">
        <v>3443</v>
      </c>
      <c r="N2065" s="845">
        <f t="shared" si="167"/>
        <v>0.10035155001597955</v>
      </c>
      <c r="O2065" s="735">
        <v>0.7807804183317274</v>
      </c>
      <c r="P2065" s="735">
        <f t="shared" si="168"/>
        <v>4409.6905085767467</v>
      </c>
      <c r="Q2065" s="849">
        <v>46.6</v>
      </c>
      <c r="R2065" s="71">
        <v>49219</v>
      </c>
      <c r="S2065" s="845">
        <v>8.9258698940998485E-2</v>
      </c>
      <c r="T2065" s="845">
        <v>4.4000000000000004E-2</v>
      </c>
      <c r="U2065" s="845">
        <v>0</v>
      </c>
      <c r="V2065" s="845">
        <v>0</v>
      </c>
      <c r="W2065" s="845">
        <v>0.40241691842900301</v>
      </c>
      <c r="X2065" s="845">
        <v>0.39039039039039036</v>
      </c>
      <c r="Y2065" s="845">
        <v>0.81614870752250945</v>
      </c>
      <c r="Z2065" s="845">
        <v>0.11675864072030206</v>
      </c>
      <c r="AA2065" s="845">
        <v>0</v>
      </c>
      <c r="AB2065" s="845">
        <v>3.1948881789137379E-3</v>
      </c>
      <c r="AC2065" s="845">
        <v>0</v>
      </c>
      <c r="AD2065" s="845">
        <v>2.4106883531803659E-2</v>
      </c>
      <c r="AE2065" s="845">
        <v>3.9790880046471098E-2</v>
      </c>
      <c r="AF2065" s="845">
        <v>5.4893987801336044E-2</v>
      </c>
      <c r="AG2065" s="845">
        <v>0.79843160034853322</v>
      </c>
      <c r="AH2065" s="20" t="str">
        <f t="shared" si="169"/>
        <v>No</v>
      </c>
      <c r="AI2065" s="25"/>
      <c r="AJ2065" s="25"/>
      <c r="AK2065" s="25"/>
      <c r="AL2065" s="25"/>
      <c r="AM2065" s="25"/>
      <c r="AN2065" s="25"/>
      <c r="AO2065" s="25"/>
      <c r="AP2065" s="25"/>
      <c r="AQ2065" s="25"/>
      <c r="AR2065" s="25"/>
      <c r="AS2065" s="25"/>
      <c r="AT2065" s="25"/>
      <c r="AU2065" s="36"/>
      <c r="AV2065" s="36"/>
      <c r="AW2065" s="36"/>
      <c r="AX2065" s="25"/>
      <c r="AY2065" s="25"/>
      <c r="AZ2065" s="25"/>
      <c r="BA2065" s="25"/>
      <c r="BB2065" s="25"/>
      <c r="BC2065" s="25"/>
      <c r="BD2065" s="25"/>
      <c r="BE2065" s="25"/>
      <c r="BF2065" s="25"/>
      <c r="BG2065" s="25"/>
      <c r="BH2065" s="25"/>
      <c r="BI2065" s="25"/>
      <c r="BJ2065" s="25"/>
      <c r="BK2065" s="25"/>
      <c r="BL2065" s="25"/>
      <c r="BM2065" s="25"/>
      <c r="BN2065" s="25"/>
      <c r="BO2065" s="25"/>
      <c r="BP2065" s="25"/>
      <c r="BQ2065" s="25"/>
      <c r="BR2065" s="25"/>
      <c r="BS2065" s="25"/>
      <c r="BT2065" s="25"/>
      <c r="BU2065"/>
      <c r="BV2065"/>
      <c r="BW2065"/>
      <c r="BX2065"/>
      <c r="BY2065"/>
      <c r="BZ2065"/>
      <c r="CA2065"/>
      <c r="CB2065"/>
      <c r="CC2065"/>
      <c r="CD2065" s="25"/>
    </row>
    <row r="2066" spans="1:82" s="17" customFormat="1" x14ac:dyDescent="0.2">
      <c r="A2066" s="25"/>
      <c r="B2066" s="20">
        <v>39013010100</v>
      </c>
      <c r="C2066" s="20">
        <v>101</v>
      </c>
      <c r="D2066" s="20" t="s">
        <v>13</v>
      </c>
      <c r="E2066" s="20" t="s">
        <v>2841</v>
      </c>
      <c r="F2066" s="20" t="s">
        <v>8</v>
      </c>
      <c r="G2066" s="861">
        <v>43.349628597726102</v>
      </c>
      <c r="H2066" s="861">
        <v>44.933417938377303</v>
      </c>
      <c r="I2066" s="861">
        <v>35.919758554669201</v>
      </c>
      <c r="J2066" s="861">
        <v>47.462636173368502</v>
      </c>
      <c r="K2066" s="982">
        <v>0</v>
      </c>
      <c r="L2066" s="735">
        <v>4265</v>
      </c>
      <c r="M2066" s="735">
        <v>3965</v>
      </c>
      <c r="N2066" s="845">
        <f t="shared" si="167"/>
        <v>-7.0339976553341149E-2</v>
      </c>
      <c r="O2066" s="735">
        <v>19.698871127250079</v>
      </c>
      <c r="P2066" s="735">
        <f t="shared" si="168"/>
        <v>201.28056955076417</v>
      </c>
      <c r="Q2066" s="849">
        <v>46.2</v>
      </c>
      <c r="R2066" s="71">
        <v>54957</v>
      </c>
      <c r="S2066" s="845">
        <v>0.1607235142118863</v>
      </c>
      <c r="T2066" s="845">
        <v>3.3000000000000002E-2</v>
      </c>
      <c r="U2066" s="845">
        <v>1.6E-2</v>
      </c>
      <c r="V2066" s="845">
        <v>6.6000000000000003E-2</v>
      </c>
      <c r="W2066" s="845">
        <v>0.26875699888017918</v>
      </c>
      <c r="X2066" s="845">
        <v>0.25208333333333333</v>
      </c>
      <c r="Y2066" s="845">
        <v>0.89129886506935685</v>
      </c>
      <c r="Z2066" s="845">
        <v>2.9255989911727617E-2</v>
      </c>
      <c r="AA2066" s="845">
        <v>6.8095838587641866E-3</v>
      </c>
      <c r="AB2066" s="845">
        <v>1.2610340479192938E-3</v>
      </c>
      <c r="AC2066" s="845">
        <v>0</v>
      </c>
      <c r="AD2066" s="845">
        <v>7.3139974779319042E-3</v>
      </c>
      <c r="AE2066" s="845">
        <v>6.4060529634300131E-2</v>
      </c>
      <c r="AF2066" s="845">
        <v>3.0517023959646911E-2</v>
      </c>
      <c r="AG2066" s="845">
        <v>0.88499369482976042</v>
      </c>
      <c r="AH2066" s="20" t="str">
        <f t="shared" si="169"/>
        <v>No</v>
      </c>
      <c r="AI2066" s="25"/>
      <c r="AJ2066" s="25"/>
      <c r="AK2066" s="25"/>
      <c r="AL2066" s="25"/>
      <c r="AM2066" s="25"/>
      <c r="AN2066" s="25"/>
      <c r="AO2066" s="25"/>
      <c r="AP2066" s="25"/>
      <c r="AQ2066" s="25"/>
      <c r="AR2066" s="25"/>
      <c r="AS2066" s="25"/>
      <c r="AT2066" s="25"/>
      <c r="AU2066" s="36"/>
      <c r="AV2066" s="36"/>
      <c r="AW2066" s="36"/>
      <c r="AX2066" s="25"/>
      <c r="AY2066" s="25"/>
      <c r="AZ2066" s="25"/>
      <c r="BA2066" s="25"/>
      <c r="BB2066" s="25"/>
      <c r="BC2066" s="25"/>
      <c r="BD2066" s="25"/>
      <c r="BE2066" s="25"/>
      <c r="BF2066" s="25"/>
      <c r="BG2066" s="25"/>
      <c r="BH2066" s="25"/>
      <c r="BI2066" s="25"/>
      <c r="BJ2066" s="25"/>
      <c r="BK2066" s="25"/>
      <c r="BL2066" s="25"/>
      <c r="BM2066" s="25"/>
      <c r="BN2066" s="25"/>
      <c r="BO2066" s="25"/>
      <c r="BP2066" s="25"/>
      <c r="BQ2066" s="25"/>
      <c r="BR2066" s="25"/>
      <c r="BS2066" s="25"/>
      <c r="BT2066" s="25"/>
      <c r="BU2066"/>
      <c r="BV2066"/>
      <c r="BW2066"/>
      <c r="BX2066"/>
      <c r="BY2066"/>
      <c r="BZ2066"/>
      <c r="CA2066"/>
      <c r="CB2066"/>
      <c r="CC2066"/>
      <c r="CD2066" s="25"/>
    </row>
    <row r="2067" spans="1:82" s="17" customFormat="1" x14ac:dyDescent="0.2">
      <c r="A2067" s="25"/>
      <c r="B2067" s="20">
        <v>39109315100</v>
      </c>
      <c r="C2067" s="20">
        <v>3151</v>
      </c>
      <c r="D2067" s="20" t="s">
        <v>60</v>
      </c>
      <c r="E2067" s="20" t="s">
        <v>2833</v>
      </c>
      <c r="F2067" s="20" t="s">
        <v>8</v>
      </c>
      <c r="G2067" s="861">
        <v>43.3438685027511</v>
      </c>
      <c r="H2067" s="861">
        <v>54.3523958200702</v>
      </c>
      <c r="I2067" s="861">
        <v>44.593989192549103</v>
      </c>
      <c r="J2067" s="861">
        <v>32.9164417859228</v>
      </c>
      <c r="K2067" s="982">
        <v>0</v>
      </c>
      <c r="L2067" s="735">
        <v>5888</v>
      </c>
      <c r="M2067" s="735">
        <v>6112</v>
      </c>
      <c r="N2067" s="845">
        <f t="shared" si="167"/>
        <v>3.8043478260869568E-2</v>
      </c>
      <c r="O2067" s="735">
        <v>4.1723596947323438</v>
      </c>
      <c r="P2067" s="735">
        <f t="shared" si="168"/>
        <v>1464.8784973444347</v>
      </c>
      <c r="Q2067" s="849">
        <v>36.9</v>
      </c>
      <c r="R2067" s="71">
        <v>65968</v>
      </c>
      <c r="S2067" s="845">
        <v>0.18422774869109948</v>
      </c>
      <c r="T2067" s="845">
        <v>3.9E-2</v>
      </c>
      <c r="U2067" s="845">
        <v>0</v>
      </c>
      <c r="V2067" s="845">
        <v>0</v>
      </c>
      <c r="W2067" s="845">
        <v>0.35083333333333333</v>
      </c>
      <c r="X2067" s="845">
        <v>0.54156769596199528</v>
      </c>
      <c r="Y2067" s="845">
        <v>0.93226439790575921</v>
      </c>
      <c r="Z2067" s="845">
        <v>8.3442408376963352E-3</v>
      </c>
      <c r="AA2067" s="845">
        <v>2.4541884816753927E-3</v>
      </c>
      <c r="AB2067" s="845">
        <v>3.5994764397905758E-3</v>
      </c>
      <c r="AC2067" s="845">
        <v>0</v>
      </c>
      <c r="AD2067" s="845">
        <v>6.7081151832460734E-3</v>
      </c>
      <c r="AE2067" s="845">
        <v>4.662958115183246E-2</v>
      </c>
      <c r="AF2067" s="845">
        <v>2.4541884816753927E-3</v>
      </c>
      <c r="AG2067" s="845">
        <v>0.93226439790575921</v>
      </c>
      <c r="AH2067" s="20" t="str">
        <f t="shared" si="169"/>
        <v>Yes</v>
      </c>
      <c r="AI2067" s="25"/>
      <c r="AJ2067" s="25"/>
      <c r="AK2067" s="25"/>
      <c r="AL2067" s="25"/>
      <c r="AM2067" s="25"/>
      <c r="AN2067" s="25"/>
      <c r="AO2067" s="25"/>
      <c r="AP2067" s="25"/>
      <c r="AQ2067" s="25"/>
      <c r="AR2067" s="25"/>
      <c r="AS2067" s="25"/>
      <c r="AT2067" s="25"/>
      <c r="AU2067" s="36"/>
      <c r="AV2067" s="36"/>
      <c r="AW2067" s="36"/>
      <c r="AX2067" s="25"/>
      <c r="AY2067" s="25"/>
      <c r="AZ2067" s="25"/>
      <c r="BA2067" s="25"/>
      <c r="BB2067" s="25"/>
      <c r="BC2067" s="25"/>
      <c r="BD2067" s="25"/>
      <c r="BE2067" s="25"/>
      <c r="BF2067" s="25"/>
      <c r="BG2067" s="25"/>
      <c r="BH2067" s="25"/>
      <c r="BI2067" s="25"/>
      <c r="BJ2067" s="25"/>
      <c r="BK2067" s="25"/>
      <c r="BL2067" s="25"/>
      <c r="BM2067" s="25"/>
      <c r="BN2067" s="25"/>
      <c r="BO2067" s="25"/>
      <c r="BP2067" s="25"/>
      <c r="BQ2067" s="25"/>
      <c r="BR2067" s="25"/>
      <c r="BS2067" s="25"/>
      <c r="BT2067" s="25"/>
      <c r="BU2067"/>
      <c r="BV2067"/>
      <c r="BW2067"/>
      <c r="BX2067"/>
      <c r="BY2067"/>
      <c r="BZ2067"/>
      <c r="CA2067"/>
      <c r="CB2067"/>
      <c r="CC2067"/>
      <c r="CD2067" s="25"/>
    </row>
    <row r="2068" spans="1:82" s="17" customFormat="1" x14ac:dyDescent="0.2">
      <c r="A2068" s="25"/>
      <c r="B2068" s="20">
        <v>39049008381</v>
      </c>
      <c r="C2068" s="20">
        <v>83.81</v>
      </c>
      <c r="D2068" s="20" t="s">
        <v>31</v>
      </c>
      <c r="E2068" s="20" t="s">
        <v>2830</v>
      </c>
      <c r="F2068" s="20" t="s">
        <v>8</v>
      </c>
      <c r="G2068" s="861">
        <v>43.338094511497999</v>
      </c>
      <c r="H2068" s="861">
        <v>63.9354227092157</v>
      </c>
      <c r="I2068" s="861">
        <v>35.023085966861501</v>
      </c>
      <c r="J2068" s="861">
        <v>31.401817064801499</v>
      </c>
      <c r="K2068" s="982">
        <v>0</v>
      </c>
      <c r="L2068" s="735" t="s">
        <v>2466</v>
      </c>
      <c r="M2068" s="735">
        <v>4321</v>
      </c>
      <c r="N2068" s="845" t="str">
        <f t="shared" si="167"/>
        <v/>
      </c>
      <c r="O2068" s="735">
        <v>1.3270373662062873</v>
      </c>
      <c r="P2068" s="735">
        <f t="shared" si="168"/>
        <v>3256.1253435936051</v>
      </c>
      <c r="Q2068" s="849">
        <v>42.4</v>
      </c>
      <c r="R2068" s="71">
        <v>61611</v>
      </c>
      <c r="S2068" s="845">
        <v>0.15297384864614672</v>
      </c>
      <c r="T2068" s="845">
        <v>1.2E-2</v>
      </c>
      <c r="U2068" s="845">
        <v>0</v>
      </c>
      <c r="V2068" s="845">
        <v>0.107</v>
      </c>
      <c r="W2068" s="845">
        <v>0.21485714285714286</v>
      </c>
      <c r="X2068" s="845">
        <v>0.44946808510638298</v>
      </c>
      <c r="Y2068" s="845">
        <v>0.84795186299467717</v>
      </c>
      <c r="Z2068" s="845">
        <v>1.7125665355241841E-2</v>
      </c>
      <c r="AA2068" s="845">
        <v>0</v>
      </c>
      <c r="AB2068" s="845">
        <v>2.8928488775746355E-2</v>
      </c>
      <c r="AC2068" s="845">
        <v>0</v>
      </c>
      <c r="AD2068" s="845">
        <v>2.1522795649155289E-2</v>
      </c>
      <c r="AE2068" s="845">
        <v>8.4471187225179351E-2</v>
      </c>
      <c r="AF2068" s="845">
        <v>5.2534135616755379E-2</v>
      </c>
      <c r="AG2068" s="845">
        <v>0.8398518861374682</v>
      </c>
      <c r="AH2068" s="20" t="str">
        <f t="shared" si="169"/>
        <v>No</v>
      </c>
      <c r="AI2068" s="25"/>
      <c r="AJ2068" s="25"/>
      <c r="AK2068" s="25"/>
      <c r="AL2068" s="25"/>
      <c r="AM2068" s="25"/>
      <c r="AN2068" s="25"/>
      <c r="AO2068" s="25"/>
      <c r="AP2068" s="25"/>
      <c r="AQ2068" s="25"/>
      <c r="AR2068" s="25"/>
      <c r="AS2068" s="25"/>
      <c r="AT2068" s="25"/>
      <c r="AU2068" s="36"/>
      <c r="AV2068" s="36"/>
      <c r="AW2068" s="36"/>
      <c r="AX2068" s="25"/>
      <c r="AY2068" s="25"/>
      <c r="AZ2068" s="25"/>
      <c r="BA2068" s="25"/>
      <c r="BB2068" s="25"/>
      <c r="BC2068" s="25"/>
      <c r="BD2068" s="25"/>
      <c r="BE2068" s="25"/>
      <c r="BF2068" s="25"/>
      <c r="BG2068" s="25"/>
      <c r="BH2068" s="25"/>
      <c r="BI2068" s="25"/>
      <c r="BJ2068" s="25"/>
      <c r="BK2068" s="25"/>
      <c r="BL2068" s="25"/>
      <c r="BM2068" s="25"/>
      <c r="BN2068" s="25"/>
      <c r="BO2068" s="25"/>
      <c r="BP2068" s="25"/>
      <c r="BQ2068" s="25"/>
      <c r="BR2068" s="25"/>
      <c r="BS2068" s="25"/>
      <c r="BT2068" s="25"/>
      <c r="BU2068"/>
      <c r="BV2068"/>
      <c r="BW2068"/>
      <c r="BX2068"/>
      <c r="BY2068"/>
      <c r="BZ2068"/>
      <c r="CA2068"/>
      <c r="CB2068"/>
      <c r="CC2068"/>
      <c r="CD2068" s="25"/>
    </row>
    <row r="2069" spans="1:82" s="17" customFormat="1" x14ac:dyDescent="0.2">
      <c r="A2069" s="25"/>
      <c r="B2069" s="20">
        <v>39035102402</v>
      </c>
      <c r="C2069" s="20">
        <v>1024.02</v>
      </c>
      <c r="D2069" s="20" t="s">
        <v>24</v>
      </c>
      <c r="E2069" s="20" t="s">
        <v>2829</v>
      </c>
      <c r="F2069" s="20" t="s">
        <v>6</v>
      </c>
      <c r="G2069" s="861">
        <v>43.316306097795398</v>
      </c>
      <c r="H2069" s="861">
        <v>59.598234396528902</v>
      </c>
      <c r="I2069" s="861">
        <v>58.018505080816901</v>
      </c>
      <c r="J2069" s="861">
        <v>45.790299849052197</v>
      </c>
      <c r="K2069" s="982">
        <v>0</v>
      </c>
      <c r="L2069" s="735">
        <v>3154</v>
      </c>
      <c r="M2069" s="735">
        <v>2759</v>
      </c>
      <c r="N2069" s="845">
        <f t="shared" si="167"/>
        <v>-0.12523779327837667</v>
      </c>
      <c r="O2069" s="735">
        <v>0.27003521649371587</v>
      </c>
      <c r="P2069" s="735">
        <f t="shared" si="168"/>
        <v>10217.185876065932</v>
      </c>
      <c r="Q2069" s="849">
        <v>32.299999999999997</v>
      </c>
      <c r="R2069" s="71">
        <v>32632</v>
      </c>
      <c r="S2069" s="845">
        <v>0.37296121783254804</v>
      </c>
      <c r="T2069" s="845">
        <v>0.107</v>
      </c>
      <c r="U2069" s="845">
        <v>0</v>
      </c>
      <c r="V2069" s="845">
        <v>3.9E-2</v>
      </c>
      <c r="W2069" s="845">
        <v>0.52777777777777779</v>
      </c>
      <c r="X2069" s="845">
        <v>0.49824561403508771</v>
      </c>
      <c r="Y2069" s="845">
        <v>0.42877854295034434</v>
      </c>
      <c r="Z2069" s="845">
        <v>0.22870605291772381</v>
      </c>
      <c r="AA2069" s="845">
        <v>0</v>
      </c>
      <c r="AB2069" s="845">
        <v>7.9739035882566145E-3</v>
      </c>
      <c r="AC2069" s="845">
        <v>0</v>
      </c>
      <c r="AD2069" s="845">
        <v>0.15440376948169626</v>
      </c>
      <c r="AE2069" s="845">
        <v>0.18013773106197897</v>
      </c>
      <c r="AF2069" s="845">
        <v>0.3486770569046756</v>
      </c>
      <c r="AG2069" s="845">
        <v>0.36027546212395795</v>
      </c>
      <c r="AH2069" s="20" t="str">
        <f t="shared" si="169"/>
        <v>No</v>
      </c>
      <c r="AI2069" s="25"/>
      <c r="AJ2069" s="25"/>
      <c r="AK2069" s="25"/>
      <c r="AL2069" s="25"/>
      <c r="AM2069" s="25"/>
      <c r="AN2069" s="25"/>
      <c r="AO2069" s="25"/>
      <c r="AP2069" s="25"/>
      <c r="AQ2069" s="25"/>
      <c r="AR2069" s="25"/>
      <c r="AS2069" s="25"/>
      <c r="AT2069" s="25"/>
      <c r="AU2069" s="36"/>
      <c r="AV2069" s="36"/>
      <c r="AW2069" s="36"/>
      <c r="AX2069" s="25"/>
      <c r="AY2069" s="25"/>
      <c r="AZ2069" s="25"/>
      <c r="BA2069" s="25"/>
      <c r="BB2069" s="25"/>
      <c r="BC2069" s="25"/>
      <c r="BD2069" s="25"/>
      <c r="BE2069" s="25"/>
      <c r="BF2069" s="25"/>
      <c r="BG2069" s="25"/>
      <c r="BH2069" s="25"/>
      <c r="BI2069" s="25"/>
      <c r="BJ2069" s="25"/>
      <c r="BK2069" s="25"/>
      <c r="BL2069" s="25"/>
      <c r="BM2069" s="25"/>
      <c r="BN2069" s="25"/>
      <c r="BO2069" s="25"/>
      <c r="BP2069" s="25"/>
      <c r="BQ2069" s="25"/>
      <c r="BR2069" s="25"/>
      <c r="BS2069" s="25"/>
      <c r="BT2069" s="25"/>
      <c r="BU2069"/>
      <c r="BV2069"/>
      <c r="BW2069"/>
      <c r="BX2069"/>
      <c r="BY2069"/>
      <c r="BZ2069"/>
      <c r="CA2069"/>
      <c r="CB2069"/>
      <c r="CC2069"/>
      <c r="CD2069" s="25"/>
    </row>
    <row r="2070" spans="1:82" s="17" customFormat="1" x14ac:dyDescent="0.2">
      <c r="A2070" s="25"/>
      <c r="B2070" s="20">
        <v>39021010400</v>
      </c>
      <c r="C2070" s="20">
        <v>104</v>
      </c>
      <c r="D2070" s="20" t="s">
        <v>17</v>
      </c>
      <c r="E2070" s="20" t="s">
        <v>265</v>
      </c>
      <c r="F2070" s="20" t="s">
        <v>8</v>
      </c>
      <c r="G2070" s="861">
        <v>43.303460533272599</v>
      </c>
      <c r="H2070" s="861">
        <v>54.7606517508301</v>
      </c>
      <c r="I2070" s="861">
        <v>31.0796772245778</v>
      </c>
      <c r="J2070" s="861">
        <v>51.458821106710602</v>
      </c>
      <c r="K2070" s="982">
        <v>0</v>
      </c>
      <c r="L2070" s="735">
        <v>4146</v>
      </c>
      <c r="M2070" s="735">
        <v>3786</v>
      </c>
      <c r="N2070" s="845">
        <f t="shared" si="167"/>
        <v>-8.6830680173661356E-2</v>
      </c>
      <c r="O2070" s="735">
        <v>14.43025157362595</v>
      </c>
      <c r="P2070" s="735">
        <f t="shared" si="168"/>
        <v>262.3654882718497</v>
      </c>
      <c r="Q2070" s="849">
        <v>36.9</v>
      </c>
      <c r="R2070" s="71">
        <v>65645</v>
      </c>
      <c r="S2070" s="845">
        <v>0.14719873150105708</v>
      </c>
      <c r="T2070" s="845">
        <v>7.8E-2</v>
      </c>
      <c r="U2070" s="845">
        <v>0</v>
      </c>
      <c r="V2070" s="845">
        <v>2.4E-2</v>
      </c>
      <c r="W2070" s="845">
        <v>0.48677248677248675</v>
      </c>
      <c r="X2070" s="845">
        <v>0.20289855072463769</v>
      </c>
      <c r="Y2070" s="845">
        <v>0.87770734284204965</v>
      </c>
      <c r="Z2070" s="845">
        <v>5.7580559957739037E-2</v>
      </c>
      <c r="AA2070" s="845">
        <v>0</v>
      </c>
      <c r="AB2070" s="845">
        <v>0</v>
      </c>
      <c r="AC2070" s="845">
        <v>0</v>
      </c>
      <c r="AD2070" s="845">
        <v>0</v>
      </c>
      <c r="AE2070" s="845">
        <v>6.4712097200211302E-2</v>
      </c>
      <c r="AF2070" s="845">
        <v>2.9582673005810883E-2</v>
      </c>
      <c r="AG2070" s="845">
        <v>0.87770734284204965</v>
      </c>
      <c r="AH2070" s="20" t="str">
        <f t="shared" si="169"/>
        <v>No</v>
      </c>
      <c r="AI2070" s="25"/>
      <c r="AJ2070" s="25"/>
      <c r="AK2070" s="25"/>
      <c r="AL2070" s="25"/>
      <c r="AM2070" s="25"/>
      <c r="AN2070" s="25"/>
      <c r="AO2070" s="25"/>
      <c r="AP2070" s="25"/>
      <c r="AQ2070" s="25"/>
      <c r="AR2070" s="25"/>
      <c r="AS2070" s="25"/>
      <c r="AT2070" s="25"/>
      <c r="AU2070" s="36"/>
      <c r="AV2070" s="36"/>
      <c r="AW2070" s="36"/>
      <c r="AX2070" s="25"/>
      <c r="AY2070" s="25"/>
      <c r="AZ2070" s="25"/>
      <c r="BA2070" s="25"/>
      <c r="BB2070" s="25"/>
      <c r="BC2070" s="25"/>
      <c r="BD2070" s="25"/>
      <c r="BE2070" s="25"/>
      <c r="BF2070" s="25"/>
      <c r="BG2070" s="25"/>
      <c r="BH2070" s="25"/>
      <c r="BI2070" s="25"/>
      <c r="BJ2070" s="25"/>
      <c r="BK2070" s="25"/>
      <c r="BL2070" s="25"/>
      <c r="BM2070" s="25"/>
      <c r="BN2070" s="25"/>
      <c r="BO2070" s="25"/>
      <c r="BP2070" s="25"/>
      <c r="BQ2070" s="25"/>
      <c r="BR2070" s="25"/>
      <c r="BS2070" s="25"/>
      <c r="BT2070" s="25"/>
      <c r="BU2070"/>
      <c r="BV2070"/>
      <c r="BW2070"/>
      <c r="BX2070"/>
      <c r="BY2070"/>
      <c r="BZ2070"/>
      <c r="CA2070"/>
      <c r="CB2070"/>
      <c r="CC2070"/>
      <c r="CD2070" s="25"/>
    </row>
    <row r="2071" spans="1:82" s="17" customFormat="1" x14ac:dyDescent="0.2">
      <c r="A2071" s="25"/>
      <c r="B2071" s="20">
        <v>39025040900</v>
      </c>
      <c r="C2071" s="20">
        <v>409</v>
      </c>
      <c r="D2071" s="20" t="s">
        <v>19</v>
      </c>
      <c r="E2071" s="20" t="s">
        <v>2828</v>
      </c>
      <c r="F2071" s="20" t="s">
        <v>8</v>
      </c>
      <c r="G2071" s="861">
        <v>43.288845311427202</v>
      </c>
      <c r="H2071" s="861">
        <v>58.638601740847598</v>
      </c>
      <c r="I2071" s="861">
        <v>35.557178341814797</v>
      </c>
      <c r="J2071" s="861">
        <v>42.300568796567298</v>
      </c>
      <c r="K2071" s="982">
        <v>0</v>
      </c>
      <c r="L2071" s="735">
        <v>5812</v>
      </c>
      <c r="M2071" s="735">
        <v>5712</v>
      </c>
      <c r="N2071" s="845">
        <f t="shared" si="167"/>
        <v>-1.7205781142463867E-2</v>
      </c>
      <c r="O2071" s="735">
        <v>30.105258282440534</v>
      </c>
      <c r="P2071" s="735">
        <f t="shared" si="168"/>
        <v>189.73429646114789</v>
      </c>
      <c r="Q2071" s="849">
        <v>45</v>
      </c>
      <c r="R2071" s="71">
        <v>64154</v>
      </c>
      <c r="S2071" s="845">
        <v>0.10022819027558363</v>
      </c>
      <c r="T2071" s="845">
        <v>2.3E-2</v>
      </c>
      <c r="U2071" s="845">
        <v>2.5000000000000001E-2</v>
      </c>
      <c r="V2071" s="845">
        <v>0</v>
      </c>
      <c r="W2071" s="845">
        <v>0.28327338129496404</v>
      </c>
      <c r="X2071" s="845">
        <v>0.37142857142857144</v>
      </c>
      <c r="Y2071" s="845">
        <v>0.96113445378151263</v>
      </c>
      <c r="Z2071" s="845">
        <v>5.6022408963585435E-3</v>
      </c>
      <c r="AA2071" s="845">
        <v>0</v>
      </c>
      <c r="AB2071" s="845">
        <v>0</v>
      </c>
      <c r="AC2071" s="845">
        <v>0</v>
      </c>
      <c r="AD2071" s="845">
        <v>1.7857142857142856E-2</v>
      </c>
      <c r="AE2071" s="845">
        <v>1.5406162464985995E-2</v>
      </c>
      <c r="AF2071" s="845">
        <v>1.5756302521008404E-3</v>
      </c>
      <c r="AG2071" s="845">
        <v>0.959733893557423</v>
      </c>
      <c r="AH2071" s="20" t="str">
        <f t="shared" si="169"/>
        <v>Yes</v>
      </c>
      <c r="AI2071" s="25"/>
      <c r="AJ2071" s="25"/>
      <c r="AK2071" s="25"/>
      <c r="AL2071" s="25"/>
      <c r="AM2071" s="25"/>
      <c r="AN2071" s="25"/>
      <c r="AO2071" s="25"/>
      <c r="AP2071" s="25"/>
      <c r="AQ2071" s="25"/>
      <c r="AR2071" s="25"/>
      <c r="AS2071" s="25"/>
      <c r="AT2071" s="25"/>
      <c r="AU2071" s="36"/>
      <c r="AV2071" s="36"/>
      <c r="AW2071" s="36"/>
      <c r="AX2071" s="25"/>
      <c r="AY2071" s="25"/>
      <c r="AZ2071" s="25"/>
      <c r="BA2071" s="25"/>
      <c r="BB2071" s="25"/>
      <c r="BC2071" s="25"/>
      <c r="BD2071" s="25"/>
      <c r="BE2071" s="25"/>
      <c r="BF2071" s="25"/>
      <c r="BG2071" s="25"/>
      <c r="BH2071" s="25"/>
      <c r="BI2071" s="25"/>
      <c r="BJ2071" s="25"/>
      <c r="BK2071" s="25"/>
      <c r="BL2071" s="25"/>
      <c r="BM2071" s="25"/>
      <c r="BN2071" s="25"/>
      <c r="BO2071" s="25"/>
      <c r="BP2071" s="25"/>
      <c r="BQ2071" s="25"/>
      <c r="BR2071" s="25"/>
      <c r="BS2071" s="25"/>
      <c r="BT2071" s="25"/>
      <c r="BU2071"/>
      <c r="BV2071"/>
      <c r="BW2071"/>
      <c r="BX2071"/>
      <c r="BY2071"/>
      <c r="BZ2071"/>
      <c r="CA2071"/>
      <c r="CB2071"/>
      <c r="CC2071"/>
      <c r="CD2071" s="25"/>
    </row>
    <row r="2072" spans="1:82" s="17" customFormat="1" x14ac:dyDescent="0.2">
      <c r="A2072" s="25"/>
      <c r="B2072" s="20">
        <v>39037570102</v>
      </c>
      <c r="C2072" s="20">
        <v>5701.02</v>
      </c>
      <c r="D2072" s="20" t="s">
        <v>25</v>
      </c>
      <c r="E2072" s="20" t="s">
        <v>265</v>
      </c>
      <c r="F2072" s="20" t="s">
        <v>8</v>
      </c>
      <c r="G2072" s="861">
        <v>43.285738393883399</v>
      </c>
      <c r="H2072" s="861">
        <v>45.208520113539201</v>
      </c>
      <c r="I2072" s="861">
        <v>28.533032678371399</v>
      </c>
      <c r="J2072" s="861">
        <v>42.256705645783903</v>
      </c>
      <c r="K2072" s="982">
        <v>0</v>
      </c>
      <c r="L2072" s="735">
        <v>5785</v>
      </c>
      <c r="M2072" s="735">
        <v>5995</v>
      </c>
      <c r="N2072" s="845">
        <f t="shared" si="167"/>
        <v>3.6300777873811585E-2</v>
      </c>
      <c r="O2072" s="735">
        <v>54.693573091345201</v>
      </c>
      <c r="P2072" s="735">
        <f t="shared" si="168"/>
        <v>109.61068478717948</v>
      </c>
      <c r="Q2072" s="849">
        <v>41.5</v>
      </c>
      <c r="R2072" s="71">
        <v>70349</v>
      </c>
      <c r="S2072" s="845">
        <v>8.094519859225742E-2</v>
      </c>
      <c r="T2072" s="845">
        <v>2.3E-2</v>
      </c>
      <c r="U2072" s="845">
        <v>4.0000000000000001E-3</v>
      </c>
      <c r="V2072" s="845">
        <v>0</v>
      </c>
      <c r="W2072" s="845">
        <v>0.24859887910328263</v>
      </c>
      <c r="X2072" s="845">
        <v>0.23832528180354268</v>
      </c>
      <c r="Y2072" s="845">
        <v>0.95713094245204333</v>
      </c>
      <c r="Z2072" s="845">
        <v>2.5020850708924102E-3</v>
      </c>
      <c r="AA2072" s="845">
        <v>0</v>
      </c>
      <c r="AB2072" s="845">
        <v>1.0675562969140951E-2</v>
      </c>
      <c r="AC2072" s="845">
        <v>0</v>
      </c>
      <c r="AD2072" s="845">
        <v>0</v>
      </c>
      <c r="AE2072" s="845">
        <v>2.9691409507923268E-2</v>
      </c>
      <c r="AF2072" s="845">
        <v>4.3369474562135113E-3</v>
      </c>
      <c r="AG2072" s="845">
        <v>0.95279399499582984</v>
      </c>
      <c r="AH2072" s="20" t="str">
        <f t="shared" si="169"/>
        <v>Yes</v>
      </c>
      <c r="AI2072" s="25"/>
      <c r="AJ2072" s="25"/>
      <c r="AK2072" s="25"/>
      <c r="AL2072" s="25"/>
      <c r="AM2072" s="25"/>
      <c r="AN2072" s="25"/>
      <c r="AO2072" s="25"/>
      <c r="AP2072" s="25"/>
      <c r="AQ2072" s="25"/>
      <c r="AR2072" s="25"/>
      <c r="AS2072" s="25"/>
      <c r="AT2072" s="25"/>
      <c r="AU2072" s="36"/>
      <c r="AV2072" s="36"/>
      <c r="AW2072" s="36"/>
      <c r="AX2072" s="25"/>
      <c r="AY2072" s="25"/>
      <c r="AZ2072" s="25"/>
      <c r="BA2072" s="25"/>
      <c r="BB2072" s="25"/>
      <c r="BC2072" s="25"/>
      <c r="BD2072" s="25"/>
      <c r="BE2072" s="25"/>
      <c r="BF2072" s="25"/>
      <c r="BG2072" s="25"/>
      <c r="BH2072" s="25"/>
      <c r="BI2072" s="25"/>
      <c r="BJ2072" s="25"/>
      <c r="BK2072" s="25"/>
      <c r="BL2072" s="25"/>
      <c r="BM2072" s="25"/>
      <c r="BN2072" s="25"/>
      <c r="BO2072" s="25"/>
      <c r="BP2072" s="25"/>
      <c r="BQ2072" s="25"/>
      <c r="BR2072" s="25"/>
      <c r="BS2072" s="25"/>
      <c r="BT2072" s="25"/>
      <c r="BU2072"/>
      <c r="BV2072"/>
      <c r="BW2072"/>
      <c r="BX2072"/>
      <c r="BY2072"/>
      <c r="BZ2072"/>
      <c r="CA2072"/>
      <c r="CB2072"/>
      <c r="CC2072"/>
      <c r="CD2072" s="25"/>
    </row>
    <row r="2073" spans="1:82" s="17" customFormat="1" x14ac:dyDescent="0.2">
      <c r="A2073" s="25"/>
      <c r="B2073" s="20">
        <v>39035132302</v>
      </c>
      <c r="C2073" s="20">
        <v>1323.02</v>
      </c>
      <c r="D2073" s="20" t="s">
        <v>24</v>
      </c>
      <c r="E2073" s="20" t="s">
        <v>2829</v>
      </c>
      <c r="F2073" s="20" t="s">
        <v>8</v>
      </c>
      <c r="G2073" s="861">
        <v>43.2838569422983</v>
      </c>
      <c r="H2073" s="861">
        <v>51.139979514001702</v>
      </c>
      <c r="I2073" s="861">
        <v>42.664570017605897</v>
      </c>
      <c r="J2073" s="861">
        <v>37.193020995233397</v>
      </c>
      <c r="K2073" s="982">
        <v>0</v>
      </c>
      <c r="L2073" s="735">
        <v>1965</v>
      </c>
      <c r="M2073" s="735">
        <v>1805</v>
      </c>
      <c r="N2073" s="845">
        <f t="shared" si="167"/>
        <v>-8.1424936386768454E-2</v>
      </c>
      <c r="O2073" s="735">
        <v>0.72406818886902158</v>
      </c>
      <c r="P2073" s="735">
        <f t="shared" si="168"/>
        <v>2492.8591364017384</v>
      </c>
      <c r="Q2073" s="849">
        <v>34.5</v>
      </c>
      <c r="R2073" s="71">
        <v>51231</v>
      </c>
      <c r="S2073" s="845">
        <v>0.17254901960784313</v>
      </c>
      <c r="T2073" s="845">
        <v>6.4000000000000001E-2</v>
      </c>
      <c r="U2073" s="845">
        <v>0</v>
      </c>
      <c r="V2073" s="845">
        <v>0.13200000000000001</v>
      </c>
      <c r="W2073" s="845">
        <v>0.4693181818181818</v>
      </c>
      <c r="X2073" s="845">
        <v>0.42615012106537531</v>
      </c>
      <c r="Y2073" s="845">
        <v>0.44764542936288088</v>
      </c>
      <c r="Z2073" s="845">
        <v>0.35955678670360108</v>
      </c>
      <c r="AA2073" s="845">
        <v>0</v>
      </c>
      <c r="AB2073" s="845">
        <v>0</v>
      </c>
      <c r="AC2073" s="845">
        <v>0</v>
      </c>
      <c r="AD2073" s="845">
        <v>3.3795013850415515E-2</v>
      </c>
      <c r="AE2073" s="845">
        <v>0.15900277008310248</v>
      </c>
      <c r="AF2073" s="845">
        <v>5.4847645429362879E-2</v>
      </c>
      <c r="AG2073" s="845">
        <v>0.43324099722991688</v>
      </c>
      <c r="AH2073" s="20" t="str">
        <f t="shared" si="169"/>
        <v>No</v>
      </c>
      <c r="AI2073" s="25"/>
      <c r="AJ2073" s="25"/>
      <c r="AK2073" s="25"/>
      <c r="AL2073" s="25"/>
      <c r="AM2073" s="25"/>
      <c r="AN2073" s="25"/>
      <c r="AO2073" s="25"/>
      <c r="AP2073" s="25"/>
      <c r="AQ2073" s="25"/>
      <c r="AR2073" s="25"/>
      <c r="AS2073" s="25"/>
      <c r="AT2073" s="25"/>
      <c r="AU2073" s="36"/>
      <c r="AV2073" s="36"/>
      <c r="AW2073" s="36"/>
      <c r="AX2073" s="25"/>
      <c r="AY2073" s="25"/>
      <c r="AZ2073" s="25"/>
      <c r="BA2073" s="25"/>
      <c r="BB2073" s="25"/>
      <c r="BC2073" s="25"/>
      <c r="BD2073" s="25"/>
      <c r="BE2073" s="25"/>
      <c r="BF2073" s="25"/>
      <c r="BG2073" s="25"/>
      <c r="BH2073" s="25"/>
      <c r="BI2073" s="25"/>
      <c r="BJ2073" s="25"/>
      <c r="BK2073" s="25"/>
      <c r="BL2073" s="25"/>
      <c r="BM2073" s="25"/>
      <c r="BN2073" s="25"/>
      <c r="BO2073" s="25"/>
      <c r="BP2073" s="25"/>
      <c r="BQ2073" s="25"/>
      <c r="BR2073" s="25"/>
      <c r="BS2073" s="25"/>
      <c r="BT2073" s="25"/>
      <c r="BU2073"/>
      <c r="BV2073"/>
      <c r="BW2073"/>
      <c r="BX2073"/>
      <c r="BY2073"/>
      <c r="BZ2073"/>
      <c r="CA2073"/>
      <c r="CB2073"/>
      <c r="CC2073"/>
      <c r="CD2073" s="25"/>
    </row>
    <row r="2074" spans="1:82" s="17" customFormat="1" x14ac:dyDescent="0.2">
      <c r="A2074" s="25"/>
      <c r="B2074" s="20">
        <v>39045031000</v>
      </c>
      <c r="C2074" s="20">
        <v>310</v>
      </c>
      <c r="D2074" s="20" t="s">
        <v>29</v>
      </c>
      <c r="E2074" s="20" t="s">
        <v>2830</v>
      </c>
      <c r="F2074" s="20" t="s">
        <v>8</v>
      </c>
      <c r="G2074" s="861">
        <v>43.2730264519355</v>
      </c>
      <c r="H2074" s="861">
        <v>51.068448232299303</v>
      </c>
      <c r="I2074" s="861">
        <v>24.644157063608102</v>
      </c>
      <c r="J2074" s="861">
        <v>52.718360255237201</v>
      </c>
      <c r="K2074" s="982">
        <v>0</v>
      </c>
      <c r="L2074" s="735">
        <v>5544</v>
      </c>
      <c r="M2074" s="735">
        <v>5741</v>
      </c>
      <c r="N2074" s="845">
        <f t="shared" si="167"/>
        <v>3.5533910533910536E-2</v>
      </c>
      <c r="O2074" s="735">
        <v>33.260907904322387</v>
      </c>
      <c r="P2074" s="735">
        <f t="shared" si="168"/>
        <v>172.60502979998131</v>
      </c>
      <c r="Q2074" s="849">
        <v>47.5</v>
      </c>
      <c r="R2074" s="71">
        <v>104173</v>
      </c>
      <c r="S2074" s="845">
        <v>6.0268245950182896E-2</v>
      </c>
      <c r="T2074" s="845">
        <v>5.5999999999999994E-2</v>
      </c>
      <c r="U2074" s="845">
        <v>0</v>
      </c>
      <c r="V2074" s="845">
        <v>0</v>
      </c>
      <c r="W2074" s="845">
        <v>0.18656414407122623</v>
      </c>
      <c r="X2074" s="845">
        <v>0.20390455531453361</v>
      </c>
      <c r="Y2074" s="845">
        <v>0.96446612088486328</v>
      </c>
      <c r="Z2074" s="845">
        <v>1.2192997735586135E-3</v>
      </c>
      <c r="AA2074" s="845">
        <v>0</v>
      </c>
      <c r="AB2074" s="845">
        <v>0</v>
      </c>
      <c r="AC2074" s="845">
        <v>0</v>
      </c>
      <c r="AD2074" s="845">
        <v>1.8637867967253093E-2</v>
      </c>
      <c r="AE2074" s="845">
        <v>1.5676711374325032E-2</v>
      </c>
      <c r="AF2074" s="845">
        <v>1.9682982058874761E-2</v>
      </c>
      <c r="AG2074" s="845">
        <v>0.9555826511060791</v>
      </c>
      <c r="AH2074" s="20" t="str">
        <f t="shared" si="169"/>
        <v>Yes</v>
      </c>
      <c r="AI2074" s="25"/>
      <c r="AJ2074" s="25"/>
      <c r="AK2074" s="25"/>
      <c r="AL2074" s="25"/>
      <c r="AM2074" s="25"/>
      <c r="AN2074" s="25"/>
      <c r="AO2074" s="25"/>
      <c r="AP2074" s="25"/>
      <c r="AQ2074" s="25"/>
      <c r="AR2074" s="25"/>
      <c r="AS2074" s="25"/>
      <c r="AT2074" s="25"/>
      <c r="AU2074" s="36"/>
      <c r="AV2074" s="36"/>
      <c r="AW2074" s="36"/>
      <c r="AX2074" s="25"/>
      <c r="AY2074" s="25"/>
      <c r="AZ2074" s="25"/>
      <c r="BA2074" s="25"/>
      <c r="BB2074" s="25"/>
      <c r="BC2074" s="25"/>
      <c r="BD2074" s="25"/>
      <c r="BE2074" s="25"/>
      <c r="BF2074" s="25"/>
      <c r="BG2074" s="25"/>
      <c r="BH2074" s="25"/>
      <c r="BI2074" s="25"/>
      <c r="BJ2074" s="25"/>
      <c r="BK2074" s="25"/>
      <c r="BL2074" s="25"/>
      <c r="BM2074" s="25"/>
      <c r="BN2074" s="25"/>
      <c r="BO2074" s="25"/>
      <c r="BP2074" s="25"/>
      <c r="BQ2074" s="25"/>
      <c r="BR2074" s="25"/>
      <c r="BS2074" s="25"/>
      <c r="BT2074" s="25"/>
      <c r="BU2074"/>
      <c r="BV2074"/>
      <c r="BW2074"/>
      <c r="BX2074"/>
      <c r="BY2074"/>
      <c r="BZ2074"/>
      <c r="CA2074"/>
      <c r="CB2074"/>
      <c r="CC2074"/>
      <c r="CD2074" s="25"/>
    </row>
    <row r="2075" spans="1:82" s="17" customFormat="1" x14ac:dyDescent="0.2">
      <c r="A2075" s="25"/>
      <c r="B2075" s="20">
        <v>39119912000</v>
      </c>
      <c r="C2075" s="20">
        <v>9120</v>
      </c>
      <c r="D2075" s="20" t="s">
        <v>65</v>
      </c>
      <c r="E2075" s="20" t="s">
        <v>265</v>
      </c>
      <c r="F2075" s="20" t="s">
        <v>8</v>
      </c>
      <c r="G2075" s="861">
        <v>43.267194453890198</v>
      </c>
      <c r="H2075" s="861">
        <v>34.207073091956403</v>
      </c>
      <c r="I2075" s="861">
        <v>39.551444733741299</v>
      </c>
      <c r="J2075" s="861">
        <v>52.641974919048401</v>
      </c>
      <c r="K2075" s="982">
        <v>1</v>
      </c>
      <c r="L2075" s="735">
        <v>3201</v>
      </c>
      <c r="M2075" s="735">
        <v>2873</v>
      </c>
      <c r="N2075" s="845">
        <f t="shared" si="167"/>
        <v>-0.10246797875663854</v>
      </c>
      <c r="O2075" s="735">
        <v>5.259246151519978</v>
      </c>
      <c r="P2075" s="735">
        <f t="shared" si="168"/>
        <v>546.27600938010335</v>
      </c>
      <c r="Q2075" s="849">
        <v>41.5</v>
      </c>
      <c r="R2075" s="71">
        <v>44955</v>
      </c>
      <c r="S2075" s="845">
        <v>0.13562895291637386</v>
      </c>
      <c r="T2075" s="845">
        <v>0.109</v>
      </c>
      <c r="U2075" s="845">
        <v>0</v>
      </c>
      <c r="V2075" s="845">
        <v>7.400000000000001E-2</v>
      </c>
      <c r="W2075" s="845">
        <v>0.41061670569867292</v>
      </c>
      <c r="X2075" s="845">
        <v>0.39543726235741444</v>
      </c>
      <c r="Y2075" s="845">
        <v>0.90254089801601112</v>
      </c>
      <c r="Z2075" s="845">
        <v>5.1862164984336927E-2</v>
      </c>
      <c r="AA2075" s="845">
        <v>0</v>
      </c>
      <c r="AB2075" s="845">
        <v>6.6132962060563866E-3</v>
      </c>
      <c r="AC2075" s="845">
        <v>0</v>
      </c>
      <c r="AD2075" s="845">
        <v>0</v>
      </c>
      <c r="AE2075" s="845">
        <v>3.8983640793595543E-2</v>
      </c>
      <c r="AF2075" s="845">
        <v>1.3922728854855553E-3</v>
      </c>
      <c r="AG2075" s="845">
        <v>0.90254089801601112</v>
      </c>
      <c r="AH2075" s="20" t="str">
        <f t="shared" si="169"/>
        <v>Yes</v>
      </c>
      <c r="AI2075" s="25"/>
      <c r="AJ2075" s="25"/>
      <c r="AK2075" s="25"/>
      <c r="AL2075" s="25"/>
      <c r="AM2075" s="25"/>
      <c r="AN2075" s="25"/>
      <c r="AO2075" s="25"/>
      <c r="AP2075" s="25"/>
      <c r="AQ2075" s="25"/>
      <c r="AR2075" s="25"/>
      <c r="AS2075" s="25"/>
      <c r="AT2075" s="25"/>
      <c r="AU2075" s="36"/>
      <c r="AV2075" s="36"/>
      <c r="AW2075" s="36"/>
      <c r="AX2075" s="25"/>
      <c r="AY2075" s="25"/>
      <c r="AZ2075" s="25"/>
      <c r="BA2075" s="25"/>
      <c r="BB2075" s="25"/>
      <c r="BC2075" s="25"/>
      <c r="BD2075" s="25"/>
      <c r="BE2075" s="25"/>
      <c r="BF2075" s="25"/>
      <c r="BG2075" s="25"/>
      <c r="BH2075" s="25"/>
      <c r="BI2075" s="25"/>
      <c r="BJ2075" s="25"/>
      <c r="BK2075" s="25"/>
      <c r="BL2075" s="25"/>
      <c r="BM2075" s="25"/>
      <c r="BN2075" s="25"/>
      <c r="BO2075" s="25"/>
      <c r="BP2075" s="25"/>
      <c r="BQ2075" s="25"/>
      <c r="BR2075" s="25"/>
      <c r="BS2075" s="25"/>
      <c r="BT2075" s="25"/>
      <c r="BU2075"/>
      <c r="BV2075"/>
      <c r="BW2075"/>
      <c r="BX2075"/>
      <c r="BY2075"/>
      <c r="BZ2075"/>
      <c r="CA2075"/>
      <c r="CB2075"/>
      <c r="CC2075"/>
      <c r="CD2075" s="25"/>
    </row>
    <row r="2076" spans="1:82" s="17" customFormat="1" x14ac:dyDescent="0.2">
      <c r="A2076" s="25"/>
      <c r="B2076" s="20">
        <v>39049009312</v>
      </c>
      <c r="C2076" s="20">
        <v>93.12</v>
      </c>
      <c r="D2076" s="20" t="s">
        <v>31</v>
      </c>
      <c r="E2076" s="20" t="s">
        <v>2830</v>
      </c>
      <c r="F2076" s="20" t="s">
        <v>6</v>
      </c>
      <c r="G2076" s="861">
        <v>43.257561405487301</v>
      </c>
      <c r="H2076" s="861">
        <v>63.647510877309202</v>
      </c>
      <c r="I2076" s="861">
        <v>54.243934525631197</v>
      </c>
      <c r="J2076" s="861">
        <v>40.779362697748802</v>
      </c>
      <c r="K2076" s="982">
        <v>0</v>
      </c>
      <c r="L2076" s="735">
        <v>3086</v>
      </c>
      <c r="M2076" s="735">
        <v>3227</v>
      </c>
      <c r="N2076" s="845">
        <f t="shared" si="167"/>
        <v>4.5690213869086192E-2</v>
      </c>
      <c r="O2076" s="735">
        <v>0.6053772965004075</v>
      </c>
      <c r="P2076" s="735">
        <f t="shared" si="168"/>
        <v>5330.5599973021581</v>
      </c>
      <c r="Q2076" s="849">
        <v>36.1</v>
      </c>
      <c r="R2076" s="71">
        <v>44458</v>
      </c>
      <c r="S2076" s="845">
        <v>0.13789868667917449</v>
      </c>
      <c r="T2076" s="845">
        <v>4.2000000000000003E-2</v>
      </c>
      <c r="U2076" s="845">
        <v>6.4000000000000001E-2</v>
      </c>
      <c r="V2076" s="845">
        <v>0.03</v>
      </c>
      <c r="W2076" s="845">
        <v>0.70367591897974491</v>
      </c>
      <c r="X2076" s="845">
        <v>0.36993603411513859</v>
      </c>
      <c r="Y2076" s="845">
        <v>0.20948249147815309</v>
      </c>
      <c r="Z2076" s="845">
        <v>0.52401611403780601</v>
      </c>
      <c r="AA2076" s="845">
        <v>0</v>
      </c>
      <c r="AB2076" s="845">
        <v>3.4087387666563371E-3</v>
      </c>
      <c r="AC2076" s="845">
        <v>0</v>
      </c>
      <c r="AD2076" s="845">
        <v>0.24325999380229316</v>
      </c>
      <c r="AE2076" s="845">
        <v>1.9832661915091417E-2</v>
      </c>
      <c r="AF2076" s="845">
        <v>0.27362875735977688</v>
      </c>
      <c r="AG2076" s="845">
        <v>0.19553765106910442</v>
      </c>
      <c r="AH2076" s="20" t="str">
        <f t="shared" si="169"/>
        <v>No</v>
      </c>
      <c r="AI2076" s="25"/>
      <c r="AJ2076" s="25"/>
      <c r="AK2076" s="25"/>
      <c r="AL2076" s="25"/>
      <c r="AM2076" s="25"/>
      <c r="AN2076" s="25"/>
      <c r="AO2076" s="25"/>
      <c r="AP2076" s="25"/>
      <c r="AQ2076" s="25"/>
      <c r="AR2076" s="25"/>
      <c r="AS2076" s="25"/>
      <c r="AT2076" s="25"/>
      <c r="AU2076" s="36"/>
      <c r="AV2076" s="36"/>
      <c r="AW2076" s="36"/>
      <c r="AX2076" s="25"/>
      <c r="AY2076" s="25"/>
      <c r="AZ2076" s="25"/>
      <c r="BA2076" s="25"/>
      <c r="BB2076" s="25"/>
      <c r="BC2076" s="25"/>
      <c r="BD2076" s="25"/>
      <c r="BE2076" s="25"/>
      <c r="BF2076" s="25"/>
      <c r="BG2076" s="25"/>
      <c r="BH2076" s="25"/>
      <c r="BI2076" s="25"/>
      <c r="BJ2076" s="25"/>
      <c r="BK2076" s="25"/>
      <c r="BL2076" s="25"/>
      <c r="BM2076" s="25"/>
      <c r="BN2076" s="25"/>
      <c r="BO2076" s="25"/>
      <c r="BP2076" s="25"/>
      <c r="BQ2076" s="25"/>
      <c r="BR2076" s="25"/>
      <c r="BS2076" s="25"/>
      <c r="BT2076" s="25"/>
      <c r="BU2076"/>
      <c r="BV2076"/>
      <c r="BW2076"/>
      <c r="BX2076"/>
      <c r="BY2076"/>
      <c r="BZ2076"/>
      <c r="CA2076"/>
      <c r="CB2076"/>
      <c r="CC2076"/>
      <c r="CD2076" s="25"/>
    </row>
    <row r="2077" spans="1:82" s="17" customFormat="1" x14ac:dyDescent="0.2">
      <c r="A2077" s="25"/>
      <c r="B2077" s="20">
        <v>39055310100</v>
      </c>
      <c r="C2077" s="20">
        <v>3101</v>
      </c>
      <c r="D2077" s="20" t="s">
        <v>34</v>
      </c>
      <c r="E2077" s="20" t="s">
        <v>2829</v>
      </c>
      <c r="F2077" s="20" t="s">
        <v>8</v>
      </c>
      <c r="G2077" s="861">
        <v>43.254729846067903</v>
      </c>
      <c r="H2077" s="861">
        <v>62.8294446586427</v>
      </c>
      <c r="I2077" s="861">
        <v>28.5397472860699</v>
      </c>
      <c r="J2077" s="861">
        <v>46.022575583843</v>
      </c>
      <c r="K2077" s="982">
        <v>0</v>
      </c>
      <c r="L2077" s="735">
        <v>2235</v>
      </c>
      <c r="M2077" s="735">
        <v>2256</v>
      </c>
      <c r="N2077" s="845">
        <f t="shared" si="167"/>
        <v>9.3959731543624154E-3</v>
      </c>
      <c r="O2077" s="735">
        <v>25.648854040492104</v>
      </c>
      <c r="P2077" s="735">
        <f t="shared" si="168"/>
        <v>87.957146016677001</v>
      </c>
      <c r="Q2077" s="849">
        <v>47.4</v>
      </c>
      <c r="R2077" s="71">
        <v>75958</v>
      </c>
      <c r="S2077" s="845">
        <v>5.5231252806466097E-2</v>
      </c>
      <c r="T2077" s="845">
        <v>2.1000000000000001E-2</v>
      </c>
      <c r="U2077" s="845">
        <v>0</v>
      </c>
      <c r="V2077" s="845">
        <v>0</v>
      </c>
      <c r="W2077" s="845">
        <v>8.1654294803817598E-2</v>
      </c>
      <c r="X2077" s="845">
        <v>0.20779220779220781</v>
      </c>
      <c r="Y2077" s="845">
        <v>0.96542553191489366</v>
      </c>
      <c r="Z2077" s="845">
        <v>0</v>
      </c>
      <c r="AA2077" s="845">
        <v>0</v>
      </c>
      <c r="AB2077" s="845">
        <v>0</v>
      </c>
      <c r="AC2077" s="845">
        <v>0</v>
      </c>
      <c r="AD2077" s="845">
        <v>0</v>
      </c>
      <c r="AE2077" s="845">
        <v>3.4574468085106384E-2</v>
      </c>
      <c r="AF2077" s="845">
        <v>6.648936170212766E-3</v>
      </c>
      <c r="AG2077" s="845">
        <v>0.96143617021276595</v>
      </c>
      <c r="AH2077" s="20" t="str">
        <f t="shared" si="169"/>
        <v>Yes</v>
      </c>
      <c r="AI2077" s="25"/>
      <c r="AJ2077" s="25"/>
      <c r="AK2077" s="25"/>
      <c r="AL2077" s="25"/>
      <c r="AM2077" s="25"/>
      <c r="AN2077" s="25"/>
      <c r="AO2077" s="25"/>
      <c r="AP2077" s="25"/>
      <c r="AQ2077" s="25"/>
      <c r="AR2077" s="25"/>
      <c r="AS2077" s="25"/>
      <c r="AT2077" s="25"/>
      <c r="AU2077" s="36"/>
      <c r="AV2077" s="36"/>
      <c r="AW2077" s="36"/>
      <c r="AX2077" s="25"/>
      <c r="AY2077" s="25"/>
      <c r="AZ2077" s="25"/>
      <c r="BA2077" s="25"/>
      <c r="BB2077" s="25"/>
      <c r="BC2077" s="25"/>
      <c r="BD2077" s="25"/>
      <c r="BE2077" s="25"/>
      <c r="BF2077" s="25"/>
      <c r="BG2077" s="25"/>
      <c r="BH2077" s="25"/>
      <c r="BI2077" s="25"/>
      <c r="BJ2077" s="25"/>
      <c r="BK2077" s="25"/>
      <c r="BL2077" s="25"/>
      <c r="BM2077" s="25"/>
      <c r="BN2077" s="25"/>
      <c r="BO2077" s="25"/>
      <c r="BP2077" s="25"/>
      <c r="BQ2077" s="25"/>
      <c r="BR2077" s="25"/>
      <c r="BS2077" s="25"/>
      <c r="BT2077" s="25"/>
      <c r="BU2077"/>
      <c r="BV2077"/>
      <c r="BW2077"/>
      <c r="BX2077"/>
      <c r="BY2077"/>
      <c r="BZ2077"/>
      <c r="CA2077"/>
      <c r="CB2077"/>
      <c r="CC2077"/>
      <c r="CD2077" s="25"/>
    </row>
    <row r="2078" spans="1:82" s="17" customFormat="1" x14ac:dyDescent="0.2">
      <c r="A2078" s="25"/>
      <c r="B2078" s="20">
        <v>39075976801</v>
      </c>
      <c r="C2078" s="20">
        <v>9768.01</v>
      </c>
      <c r="D2078" s="20" t="s">
        <v>44</v>
      </c>
      <c r="E2078" s="20" t="s">
        <v>265</v>
      </c>
      <c r="F2078" s="20" t="s">
        <v>8</v>
      </c>
      <c r="G2078" s="861">
        <v>43.228908951908899</v>
      </c>
      <c r="H2078" s="861">
        <v>38.797719769084701</v>
      </c>
      <c r="I2078" s="861">
        <v>23.501497717767901</v>
      </c>
      <c r="J2078" s="861">
        <v>56.105831653748801</v>
      </c>
      <c r="K2078" s="982">
        <v>0</v>
      </c>
      <c r="L2078" s="735">
        <v>4778</v>
      </c>
      <c r="M2078" s="735">
        <v>5196</v>
      </c>
      <c r="N2078" s="845">
        <f t="shared" si="167"/>
        <v>8.7484303055671828E-2</v>
      </c>
      <c r="O2078" s="735">
        <v>37.893060057329762</v>
      </c>
      <c r="P2078" s="735">
        <f t="shared" si="168"/>
        <v>137.12273414020368</v>
      </c>
      <c r="Q2078" s="849">
        <v>29.6</v>
      </c>
      <c r="R2078" s="71">
        <v>79104</v>
      </c>
      <c r="S2078" s="845">
        <v>3.5868286946295569E-2</v>
      </c>
      <c r="T2078" s="845">
        <v>4.0000000000000001E-3</v>
      </c>
      <c r="U2078" s="845">
        <v>0</v>
      </c>
      <c r="V2078" s="845">
        <v>0</v>
      </c>
      <c r="W2078" s="845">
        <v>0.17092768444119796</v>
      </c>
      <c r="X2078" s="845">
        <v>2.564102564102564E-2</v>
      </c>
      <c r="Y2078" s="845">
        <v>0.96997690531177827</v>
      </c>
      <c r="Z2078" s="845">
        <v>0</v>
      </c>
      <c r="AA2078" s="845">
        <v>2.3094688221709007E-3</v>
      </c>
      <c r="AB2078" s="845">
        <v>6.5434949961508853E-3</v>
      </c>
      <c r="AC2078" s="845">
        <v>0</v>
      </c>
      <c r="AD2078" s="845">
        <v>0</v>
      </c>
      <c r="AE2078" s="845">
        <v>2.1170130869899922E-2</v>
      </c>
      <c r="AF2078" s="845">
        <v>1.0392609699769052E-2</v>
      </c>
      <c r="AG2078" s="845">
        <v>0.96170130869899928</v>
      </c>
      <c r="AH2078" s="20" t="str">
        <f t="shared" si="169"/>
        <v>Yes</v>
      </c>
      <c r="AI2078" s="25"/>
      <c r="AJ2078" s="25"/>
      <c r="AK2078" s="25"/>
      <c r="AL2078" s="25"/>
      <c r="AM2078" s="25"/>
      <c r="AN2078" s="25"/>
      <c r="AO2078" s="25"/>
      <c r="AP2078" s="25"/>
      <c r="AQ2078" s="25"/>
      <c r="AR2078" s="25"/>
      <c r="AS2078" s="25"/>
      <c r="AT2078" s="25"/>
      <c r="AU2078" s="36"/>
      <c r="AV2078" s="36"/>
      <c r="AW2078" s="36"/>
      <c r="AX2078" s="25"/>
      <c r="AY2078" s="25"/>
      <c r="AZ2078" s="25"/>
      <c r="BA2078" s="25"/>
      <c r="BB2078" s="25"/>
      <c r="BC2078" s="25"/>
      <c r="BD2078" s="25"/>
      <c r="BE2078" s="25"/>
      <c r="BF2078" s="25"/>
      <c r="BG2078" s="25"/>
      <c r="BH2078" s="25"/>
      <c r="BI2078" s="25"/>
      <c r="BJ2078" s="25"/>
      <c r="BK2078" s="25"/>
      <c r="BL2078" s="25"/>
      <c r="BM2078" s="25"/>
      <c r="BN2078" s="25"/>
      <c r="BO2078" s="25"/>
      <c r="BP2078" s="25"/>
      <c r="BQ2078" s="25"/>
      <c r="BR2078" s="25"/>
      <c r="BS2078" s="25"/>
      <c r="BT2078" s="25"/>
      <c r="BU2078"/>
      <c r="BV2078"/>
      <c r="BW2078"/>
      <c r="BX2078"/>
      <c r="BY2078"/>
      <c r="BZ2078"/>
      <c r="CA2078"/>
      <c r="CB2078"/>
      <c r="CC2078"/>
      <c r="CD2078" s="25"/>
    </row>
    <row r="2079" spans="1:82" s="17" customFormat="1" x14ac:dyDescent="0.2">
      <c r="A2079" s="25"/>
      <c r="B2079" s="20">
        <v>39017000100</v>
      </c>
      <c r="C2079" s="20">
        <v>1</v>
      </c>
      <c r="D2079" s="20" t="s">
        <v>15</v>
      </c>
      <c r="E2079" s="20" t="s">
        <v>2828</v>
      </c>
      <c r="F2079" s="20" t="s">
        <v>8</v>
      </c>
      <c r="G2079" s="861">
        <v>43.2125362470006</v>
      </c>
      <c r="H2079" s="861">
        <v>57.939659046929101</v>
      </c>
      <c r="I2079" s="861">
        <v>30.5673059959677</v>
      </c>
      <c r="J2079" s="861">
        <v>46.475122930461303</v>
      </c>
      <c r="K2079" s="982">
        <v>0</v>
      </c>
      <c r="L2079" s="735">
        <v>4408</v>
      </c>
      <c r="M2079" s="735">
        <v>4632</v>
      </c>
      <c r="N2079" s="845">
        <f t="shared" si="167"/>
        <v>5.0816696914700546E-2</v>
      </c>
      <c r="O2079" s="735">
        <v>0.82287288955932703</v>
      </c>
      <c r="P2079" s="735">
        <f t="shared" si="168"/>
        <v>5629.058945520218</v>
      </c>
      <c r="Q2079" s="849">
        <v>32.4</v>
      </c>
      <c r="R2079" s="71">
        <v>54091</v>
      </c>
      <c r="S2079" s="845">
        <v>0.13190846286701208</v>
      </c>
      <c r="T2079" s="845">
        <v>2.7000000000000003E-2</v>
      </c>
      <c r="U2079" s="845">
        <v>2.1000000000000001E-2</v>
      </c>
      <c r="V2079" s="845">
        <v>0</v>
      </c>
      <c r="W2079" s="845">
        <v>0.30655066530194475</v>
      </c>
      <c r="X2079" s="845">
        <v>0.14524207011686144</v>
      </c>
      <c r="Y2079" s="845">
        <v>0.8484455958549223</v>
      </c>
      <c r="Z2079" s="845">
        <v>5.7210708117443866E-2</v>
      </c>
      <c r="AA2079" s="845">
        <v>0</v>
      </c>
      <c r="AB2079" s="845">
        <v>5.1813471502590676E-3</v>
      </c>
      <c r="AC2079" s="845">
        <v>0</v>
      </c>
      <c r="AD2079" s="845">
        <v>4.3177892918825561E-3</v>
      </c>
      <c r="AE2079" s="845">
        <v>8.4844559585492224E-2</v>
      </c>
      <c r="AF2079" s="845">
        <v>1.4032815198618308E-2</v>
      </c>
      <c r="AG2079" s="845">
        <v>0.84434369602763382</v>
      </c>
      <c r="AH2079" s="20" t="str">
        <f t="shared" si="169"/>
        <v>No</v>
      </c>
      <c r="AI2079" s="25"/>
      <c r="AJ2079" s="25"/>
      <c r="AK2079" s="25"/>
      <c r="AL2079" s="25"/>
      <c r="AM2079" s="25"/>
      <c r="AN2079" s="25"/>
      <c r="AO2079" s="25"/>
      <c r="AP2079" s="25"/>
      <c r="AQ2079" s="25"/>
      <c r="AR2079" s="25"/>
      <c r="AS2079" s="25"/>
      <c r="AT2079" s="25"/>
      <c r="AU2079" s="36"/>
      <c r="AV2079" s="36"/>
      <c r="AW2079" s="36"/>
      <c r="AX2079" s="25"/>
      <c r="AY2079" s="25"/>
      <c r="AZ2079" s="25"/>
      <c r="BA2079" s="25"/>
      <c r="BB2079" s="25"/>
      <c r="BC2079" s="25"/>
      <c r="BD2079" s="25"/>
      <c r="BE2079" s="25"/>
      <c r="BF2079" s="25"/>
      <c r="BG2079" s="25"/>
      <c r="BH2079" s="25"/>
      <c r="BI2079" s="25"/>
      <c r="BJ2079" s="25"/>
      <c r="BK2079" s="25"/>
      <c r="BL2079" s="25"/>
      <c r="BM2079" s="25"/>
      <c r="BN2079" s="25"/>
      <c r="BO2079" s="25"/>
      <c r="BP2079" s="25"/>
      <c r="BQ2079" s="25"/>
      <c r="BR2079" s="25"/>
      <c r="BS2079" s="25"/>
      <c r="BT2079" s="25"/>
      <c r="BU2079"/>
      <c r="BV2079"/>
      <c r="BW2079"/>
      <c r="BX2079"/>
      <c r="BY2079"/>
      <c r="BZ2079"/>
      <c r="CA2079"/>
      <c r="CB2079"/>
      <c r="CC2079"/>
      <c r="CD2079" s="25"/>
    </row>
    <row r="2080" spans="1:82" s="17" customFormat="1" x14ac:dyDescent="0.2">
      <c r="A2080" s="25"/>
      <c r="B2080" s="20">
        <v>39027965100</v>
      </c>
      <c r="C2080" s="20">
        <v>9651</v>
      </c>
      <c r="D2080" s="20" t="s">
        <v>20</v>
      </c>
      <c r="E2080" s="20" t="s">
        <v>265</v>
      </c>
      <c r="F2080" s="20" t="s">
        <v>8</v>
      </c>
      <c r="G2080" s="861">
        <v>43.195899720801002</v>
      </c>
      <c r="H2080" s="861">
        <v>56.209559776140502</v>
      </c>
      <c r="I2080" s="861">
        <v>22.069261948696401</v>
      </c>
      <c r="J2080" s="861">
        <v>48.915271006658102</v>
      </c>
      <c r="K2080" s="982">
        <v>0</v>
      </c>
      <c r="L2080" s="735">
        <v>4004</v>
      </c>
      <c r="M2080" s="735">
        <v>4114</v>
      </c>
      <c r="N2080" s="845">
        <f t="shared" si="167"/>
        <v>2.7472527472527472E-2</v>
      </c>
      <c r="O2080" s="735">
        <v>93.652863526080054</v>
      </c>
      <c r="P2080" s="735">
        <f t="shared" si="168"/>
        <v>43.928181639148178</v>
      </c>
      <c r="Q2080" s="849">
        <v>37.5</v>
      </c>
      <c r="R2080" s="71">
        <v>78095</v>
      </c>
      <c r="S2080" s="845">
        <v>7.1463296062226539E-2</v>
      </c>
      <c r="T2080" s="845">
        <v>5.2000000000000005E-2</v>
      </c>
      <c r="U2080" s="845">
        <v>8.0000000000000002E-3</v>
      </c>
      <c r="V2080" s="845">
        <v>0</v>
      </c>
      <c r="W2080" s="845">
        <v>0.22024539877300614</v>
      </c>
      <c r="X2080" s="845">
        <v>0.29247910863509752</v>
      </c>
      <c r="Y2080" s="845">
        <v>0.91298006806028198</v>
      </c>
      <c r="Z2080" s="845">
        <v>9.9659698590179868E-3</v>
      </c>
      <c r="AA2080" s="845">
        <v>0</v>
      </c>
      <c r="AB2080" s="845">
        <v>0</v>
      </c>
      <c r="AC2080" s="845">
        <v>1.9445794846864365E-3</v>
      </c>
      <c r="AD2080" s="845">
        <v>7.7783179387457459E-3</v>
      </c>
      <c r="AE2080" s="845">
        <v>6.7331064657267861E-2</v>
      </c>
      <c r="AF2080" s="845">
        <v>1.9202722411278562E-2</v>
      </c>
      <c r="AG2080" s="845">
        <v>0.91298006806028198</v>
      </c>
      <c r="AH2080" s="20" t="str">
        <f t="shared" si="169"/>
        <v>Yes</v>
      </c>
      <c r="AI2080" s="25"/>
      <c r="AJ2080" s="25"/>
      <c r="AK2080" s="25"/>
      <c r="AL2080" s="25"/>
      <c r="AM2080" s="25"/>
      <c r="AN2080" s="25"/>
      <c r="AO2080" s="25"/>
      <c r="AP2080" s="25"/>
      <c r="AQ2080" s="25"/>
      <c r="AR2080" s="25"/>
      <c r="AS2080" s="25"/>
      <c r="AT2080" s="25"/>
      <c r="AU2080" s="36"/>
      <c r="AV2080" s="36"/>
      <c r="AW2080" s="36"/>
      <c r="AX2080" s="25"/>
      <c r="AY2080" s="25"/>
      <c r="AZ2080" s="25"/>
      <c r="BA2080" s="25"/>
      <c r="BB2080" s="25"/>
      <c r="BC2080" s="25"/>
      <c r="BD2080" s="25"/>
      <c r="BE2080" s="25"/>
      <c r="BF2080" s="25"/>
      <c r="BG2080" s="25"/>
      <c r="BH2080" s="25"/>
      <c r="BI2080" s="25"/>
      <c r="BJ2080" s="25"/>
      <c r="BK2080" s="25"/>
      <c r="BL2080" s="25"/>
      <c r="BM2080" s="25"/>
      <c r="BN2080" s="25"/>
      <c r="BO2080" s="25"/>
      <c r="BP2080" s="25"/>
      <c r="BQ2080" s="25"/>
      <c r="BR2080" s="25"/>
      <c r="BS2080" s="25"/>
      <c r="BT2080" s="25"/>
      <c r="BU2080"/>
      <c r="BV2080"/>
      <c r="BW2080"/>
      <c r="BX2080"/>
      <c r="BY2080"/>
      <c r="BZ2080"/>
      <c r="CA2080"/>
      <c r="CB2080"/>
      <c r="CC2080"/>
      <c r="CD2080" s="25"/>
    </row>
    <row r="2081" spans="1:82" s="17" customFormat="1" x14ac:dyDescent="0.2">
      <c r="A2081" s="25"/>
      <c r="B2081" s="20">
        <v>39109350101</v>
      </c>
      <c r="C2081" s="20">
        <v>3501.01</v>
      </c>
      <c r="D2081" s="20" t="s">
        <v>60</v>
      </c>
      <c r="E2081" s="20" t="s">
        <v>2833</v>
      </c>
      <c r="F2081" s="20" t="s">
        <v>8</v>
      </c>
      <c r="G2081" s="861">
        <v>43.194714536213802</v>
      </c>
      <c r="H2081" s="861">
        <v>48.633470739055703</v>
      </c>
      <c r="I2081" s="861">
        <v>26.815305258350101</v>
      </c>
      <c r="J2081" s="861">
        <v>36.254740183375901</v>
      </c>
      <c r="K2081" s="982">
        <v>0</v>
      </c>
      <c r="L2081" s="735" t="s">
        <v>2466</v>
      </c>
      <c r="M2081" s="735">
        <v>5453</v>
      </c>
      <c r="N2081" s="845" t="str">
        <f t="shared" si="167"/>
        <v/>
      </c>
      <c r="O2081" s="735">
        <v>14.031841636523961</v>
      </c>
      <c r="P2081" s="735">
        <f t="shared" si="168"/>
        <v>388.61613045904107</v>
      </c>
      <c r="Q2081" s="849">
        <v>44.5</v>
      </c>
      <c r="R2081" s="71">
        <v>88750</v>
      </c>
      <c r="S2081" s="845">
        <v>9.9150664697193497E-2</v>
      </c>
      <c r="T2081" s="845">
        <v>3.1E-2</v>
      </c>
      <c r="U2081" s="845">
        <v>0</v>
      </c>
      <c r="V2081" s="845">
        <v>4.2000000000000003E-2</v>
      </c>
      <c r="W2081" s="845">
        <v>0.15325497287522605</v>
      </c>
      <c r="X2081" s="845">
        <v>0.44542772861356933</v>
      </c>
      <c r="Y2081" s="845">
        <v>0.89143590684027141</v>
      </c>
      <c r="Z2081" s="845">
        <v>1.8338529249954154E-4</v>
      </c>
      <c r="AA2081" s="845">
        <v>3.6677058499908306E-3</v>
      </c>
      <c r="AB2081" s="845">
        <v>3.3009352649917478E-3</v>
      </c>
      <c r="AC2081" s="845">
        <v>0</v>
      </c>
      <c r="AD2081" s="845">
        <v>1.1186502842472034E-2</v>
      </c>
      <c r="AE2081" s="845">
        <v>9.0225563909774431E-2</v>
      </c>
      <c r="AF2081" s="845">
        <v>1.9255455712451863E-2</v>
      </c>
      <c r="AG2081" s="845">
        <v>0.89143590684027141</v>
      </c>
      <c r="AH2081" s="20" t="str">
        <f t="shared" si="169"/>
        <v>No</v>
      </c>
      <c r="AI2081" s="25"/>
      <c r="AJ2081" s="25"/>
      <c r="AK2081" s="25"/>
      <c r="AL2081" s="25"/>
      <c r="AM2081" s="25"/>
      <c r="AN2081" s="25"/>
      <c r="AO2081" s="25"/>
      <c r="AP2081" s="25"/>
      <c r="AQ2081" s="25"/>
      <c r="AR2081" s="25"/>
      <c r="AS2081" s="25"/>
      <c r="AT2081" s="25"/>
      <c r="AU2081" s="36"/>
      <c r="AV2081" s="36"/>
      <c r="AW2081" s="36"/>
      <c r="AX2081" s="25"/>
      <c r="AY2081" s="25"/>
      <c r="AZ2081" s="25"/>
      <c r="BA2081" s="25"/>
      <c r="BB2081" s="25"/>
      <c r="BC2081" s="25"/>
      <c r="BD2081" s="25"/>
      <c r="BE2081" s="25"/>
      <c r="BF2081" s="25"/>
      <c r="BG2081" s="25"/>
      <c r="BH2081" s="25"/>
      <c r="BI2081" s="25"/>
      <c r="BJ2081" s="25"/>
      <c r="BK2081" s="25"/>
      <c r="BL2081" s="25"/>
      <c r="BM2081" s="25"/>
      <c r="BN2081" s="25"/>
      <c r="BO2081" s="25"/>
      <c r="BP2081" s="25"/>
      <c r="BQ2081" s="25"/>
      <c r="BR2081" s="25"/>
      <c r="BS2081" s="25"/>
      <c r="BT2081" s="25"/>
      <c r="BU2081"/>
      <c r="BV2081"/>
      <c r="BW2081"/>
      <c r="BX2081"/>
      <c r="BY2081"/>
      <c r="BZ2081"/>
      <c r="CA2081"/>
      <c r="CB2081"/>
      <c r="CC2081"/>
      <c r="CD2081" s="25"/>
    </row>
    <row r="2082" spans="1:82" s="17" customFormat="1" x14ac:dyDescent="0.2">
      <c r="A2082" s="25"/>
      <c r="B2082" s="20">
        <v>39015951900</v>
      </c>
      <c r="C2082" s="20">
        <v>9519</v>
      </c>
      <c r="D2082" s="20" t="s">
        <v>14</v>
      </c>
      <c r="E2082" s="20" t="s">
        <v>265</v>
      </c>
      <c r="F2082" s="20" t="s">
        <v>8</v>
      </c>
      <c r="G2082" s="861">
        <v>43.178262727044697</v>
      </c>
      <c r="H2082" s="861">
        <v>48.546524916569297</v>
      </c>
      <c r="I2082" s="861">
        <v>19.535958187398698</v>
      </c>
      <c r="J2082" s="861">
        <v>61.648344606347599</v>
      </c>
      <c r="K2082" s="982">
        <v>0</v>
      </c>
      <c r="L2082" s="735">
        <v>5901</v>
      </c>
      <c r="M2082" s="735">
        <v>5915</v>
      </c>
      <c r="N2082" s="845">
        <f t="shared" si="167"/>
        <v>2.3724792408066431E-3</v>
      </c>
      <c r="O2082" s="735">
        <v>78.065630579284786</v>
      </c>
      <c r="P2082" s="735">
        <f t="shared" si="168"/>
        <v>75.769579469323887</v>
      </c>
      <c r="Q2082" s="849">
        <v>41.3</v>
      </c>
      <c r="R2082" s="71">
        <v>87614</v>
      </c>
      <c r="S2082" s="845">
        <v>0.13246489595669092</v>
      </c>
      <c r="T2082" s="845">
        <v>4.2000000000000003E-2</v>
      </c>
      <c r="U2082" s="845">
        <v>0</v>
      </c>
      <c r="V2082" s="845">
        <v>0</v>
      </c>
      <c r="W2082" s="845">
        <v>0.1431306845380565</v>
      </c>
      <c r="X2082" s="845">
        <v>0.27759197324414714</v>
      </c>
      <c r="Y2082" s="845">
        <v>0.96077768385460693</v>
      </c>
      <c r="Z2082" s="845">
        <v>4.22654268808115E-3</v>
      </c>
      <c r="AA2082" s="845">
        <v>0</v>
      </c>
      <c r="AB2082" s="845">
        <v>5.7480980557903637E-3</v>
      </c>
      <c r="AC2082" s="845">
        <v>0</v>
      </c>
      <c r="AD2082" s="845">
        <v>0</v>
      </c>
      <c r="AE2082" s="845">
        <v>2.9247675401521556E-2</v>
      </c>
      <c r="AF2082" s="845">
        <v>1.7075232459847843E-2</v>
      </c>
      <c r="AG2082" s="845">
        <v>0.96077768385460693</v>
      </c>
      <c r="AH2082" s="20" t="str">
        <f t="shared" si="169"/>
        <v>Yes</v>
      </c>
      <c r="AI2082" s="25"/>
      <c r="AJ2082" s="25"/>
      <c r="AK2082" s="25"/>
      <c r="AL2082" s="25"/>
      <c r="AM2082" s="25"/>
      <c r="AN2082" s="25"/>
      <c r="AO2082" s="25"/>
      <c r="AP2082" s="25"/>
      <c r="AQ2082" s="25"/>
      <c r="AR2082" s="25"/>
      <c r="AS2082" s="25"/>
      <c r="AT2082" s="25"/>
      <c r="AU2082" s="36"/>
      <c r="AV2082" s="36"/>
      <c r="AW2082" s="36"/>
      <c r="AX2082" s="25"/>
      <c r="AY2082" s="25"/>
      <c r="AZ2082" s="25"/>
      <c r="BA2082" s="25"/>
      <c r="BB2082" s="25"/>
      <c r="BC2082" s="25"/>
      <c r="BD2082" s="25"/>
      <c r="BE2082" s="25"/>
      <c r="BF2082" s="25"/>
      <c r="BG2082" s="25"/>
      <c r="BH2082" s="25"/>
      <c r="BI2082" s="25"/>
      <c r="BJ2082" s="25"/>
      <c r="BK2082" s="25"/>
      <c r="BL2082" s="25"/>
      <c r="BM2082" s="25"/>
      <c r="BN2082" s="25"/>
      <c r="BO2082" s="25"/>
      <c r="BP2082" s="25"/>
      <c r="BQ2082" s="25"/>
      <c r="BR2082" s="25"/>
      <c r="BS2082" s="25"/>
      <c r="BT2082" s="25"/>
      <c r="BU2082"/>
      <c r="BV2082"/>
      <c r="BW2082"/>
      <c r="BX2082"/>
      <c r="BY2082"/>
      <c r="BZ2082"/>
      <c r="CA2082"/>
      <c r="CB2082"/>
      <c r="CC2082"/>
      <c r="CD2082" s="25"/>
    </row>
    <row r="2083" spans="1:82" s="17" customFormat="1" x14ac:dyDescent="0.2">
      <c r="A2083" s="25"/>
      <c r="B2083" s="20">
        <v>39015951202</v>
      </c>
      <c r="C2083" s="20">
        <v>9512.02</v>
      </c>
      <c r="D2083" s="20" t="s">
        <v>14</v>
      </c>
      <c r="E2083" s="20" t="s">
        <v>265</v>
      </c>
      <c r="F2083" s="20" t="s">
        <v>8</v>
      </c>
      <c r="G2083" s="861">
        <v>43.149212282200203</v>
      </c>
      <c r="H2083" s="861">
        <v>54.515524484651003</v>
      </c>
      <c r="I2083" s="861">
        <v>28.007982279903</v>
      </c>
      <c r="J2083" s="861">
        <v>62.467236196054401</v>
      </c>
      <c r="K2083" s="982">
        <v>0</v>
      </c>
      <c r="L2083" s="735">
        <v>4571</v>
      </c>
      <c r="M2083" s="735">
        <v>4741</v>
      </c>
      <c r="N2083" s="845">
        <f t="shared" si="167"/>
        <v>3.7190986654998905E-2</v>
      </c>
      <c r="O2083" s="735">
        <v>52.668199700731449</v>
      </c>
      <c r="P2083" s="735">
        <f t="shared" si="168"/>
        <v>90.016367123597689</v>
      </c>
      <c r="Q2083" s="849">
        <v>44.4</v>
      </c>
      <c r="R2083" s="71">
        <v>82500</v>
      </c>
      <c r="S2083" s="845">
        <v>7.5968328696768672E-2</v>
      </c>
      <c r="T2083" s="845">
        <v>4.4000000000000004E-2</v>
      </c>
      <c r="U2083" s="845">
        <v>0</v>
      </c>
      <c r="V2083" s="845">
        <v>0</v>
      </c>
      <c r="W2083" s="845">
        <v>0.13550884955752213</v>
      </c>
      <c r="X2083" s="845">
        <v>0.44897959183673469</v>
      </c>
      <c r="Y2083" s="845">
        <v>0.94705758278844121</v>
      </c>
      <c r="Z2083" s="845">
        <v>2.3201856148491878E-3</v>
      </c>
      <c r="AA2083" s="845">
        <v>0</v>
      </c>
      <c r="AB2083" s="845">
        <v>8.6479645644378829E-3</v>
      </c>
      <c r="AC2083" s="845">
        <v>0</v>
      </c>
      <c r="AD2083" s="845">
        <v>0</v>
      </c>
      <c r="AE2083" s="845">
        <v>4.1974267032271674E-2</v>
      </c>
      <c r="AF2083" s="845">
        <v>4.851297194684666E-3</v>
      </c>
      <c r="AG2083" s="845">
        <v>0.94705758278844121</v>
      </c>
      <c r="AH2083" s="20" t="str">
        <f t="shared" si="169"/>
        <v>Yes</v>
      </c>
      <c r="AI2083" s="25"/>
      <c r="AJ2083" s="25"/>
      <c r="AK2083" s="25"/>
      <c r="AL2083" s="25"/>
      <c r="AM2083" s="25"/>
      <c r="AN2083" s="25"/>
      <c r="AO2083" s="25"/>
      <c r="AP2083" s="25"/>
      <c r="AQ2083" s="25"/>
      <c r="AR2083" s="25"/>
      <c r="AS2083" s="25"/>
      <c r="AT2083" s="25"/>
      <c r="AU2083" s="36"/>
      <c r="AV2083" s="36"/>
      <c r="AW2083" s="36"/>
      <c r="AX2083" s="25"/>
      <c r="AY2083" s="25"/>
      <c r="AZ2083" s="25"/>
      <c r="BA2083" s="25"/>
      <c r="BB2083" s="25"/>
      <c r="BC2083" s="25"/>
      <c r="BD2083" s="25"/>
      <c r="BE2083" s="25"/>
      <c r="BF2083" s="25"/>
      <c r="BG2083" s="25"/>
      <c r="BH2083" s="25"/>
      <c r="BI2083" s="25"/>
      <c r="BJ2083" s="25"/>
      <c r="BK2083" s="25"/>
      <c r="BL2083" s="25"/>
      <c r="BM2083" s="25"/>
      <c r="BN2083" s="25"/>
      <c r="BO2083" s="25"/>
      <c r="BP2083" s="25"/>
      <c r="BQ2083" s="25"/>
      <c r="BR2083" s="25"/>
      <c r="BS2083" s="25"/>
      <c r="BT2083" s="25"/>
      <c r="BU2083"/>
      <c r="BV2083"/>
      <c r="BW2083"/>
      <c r="BX2083"/>
      <c r="BY2083"/>
      <c r="BZ2083"/>
      <c r="CA2083"/>
      <c r="CB2083"/>
      <c r="CC2083"/>
      <c r="CD2083" s="25"/>
    </row>
    <row r="2084" spans="1:82" s="17" customFormat="1" x14ac:dyDescent="0.2">
      <c r="A2084" s="25"/>
      <c r="B2084" s="20">
        <v>39155932300</v>
      </c>
      <c r="C2084" s="20">
        <v>9323</v>
      </c>
      <c r="D2084" s="20" t="s">
        <v>83</v>
      </c>
      <c r="E2084" s="20" t="s">
        <v>2842</v>
      </c>
      <c r="F2084" s="20" t="s">
        <v>8</v>
      </c>
      <c r="G2084" s="861">
        <v>43.1481792296184</v>
      </c>
      <c r="H2084" s="861">
        <v>50.478646660850401</v>
      </c>
      <c r="I2084" s="861">
        <v>34.2733506673571</v>
      </c>
      <c r="J2084" s="861">
        <v>34.526636490756701</v>
      </c>
      <c r="K2084" s="982">
        <v>0</v>
      </c>
      <c r="L2084" s="735">
        <v>5591</v>
      </c>
      <c r="M2084" s="735">
        <v>5756</v>
      </c>
      <c r="N2084" s="845">
        <f t="shared" si="167"/>
        <v>2.9511715256662494E-2</v>
      </c>
      <c r="O2084" s="735">
        <v>2.3310968018304918</v>
      </c>
      <c r="P2084" s="735">
        <f t="shared" si="168"/>
        <v>2469.2239273290179</v>
      </c>
      <c r="Q2084" s="849">
        <v>43.1</v>
      </c>
      <c r="R2084" s="71">
        <v>49886</v>
      </c>
      <c r="S2084" s="845">
        <v>0.12230715774843641</v>
      </c>
      <c r="T2084" s="845">
        <v>2.6000000000000002E-2</v>
      </c>
      <c r="U2084" s="845">
        <v>0</v>
      </c>
      <c r="V2084" s="845">
        <v>5.7000000000000002E-2</v>
      </c>
      <c r="W2084" s="845">
        <v>0.28079371022089106</v>
      </c>
      <c r="X2084" s="845">
        <v>0.35199999999999998</v>
      </c>
      <c r="Y2084" s="845">
        <v>0.96143154968728284</v>
      </c>
      <c r="Z2084" s="845">
        <v>2.3106323835997221E-2</v>
      </c>
      <c r="AA2084" s="845">
        <v>0</v>
      </c>
      <c r="AB2084" s="845">
        <v>0</v>
      </c>
      <c r="AC2084" s="845">
        <v>0</v>
      </c>
      <c r="AD2084" s="845">
        <v>0</v>
      </c>
      <c r="AE2084" s="845">
        <v>1.5462126476719944E-2</v>
      </c>
      <c r="AF2084" s="845">
        <v>0</v>
      </c>
      <c r="AG2084" s="845">
        <v>0.96143154968728284</v>
      </c>
      <c r="AH2084" s="20" t="str">
        <f t="shared" si="169"/>
        <v>Yes</v>
      </c>
      <c r="AI2084" s="25"/>
      <c r="AJ2084" s="25"/>
      <c r="AK2084" s="25"/>
      <c r="AL2084" s="25"/>
      <c r="AM2084" s="25"/>
      <c r="AN2084" s="25"/>
      <c r="AO2084" s="25"/>
      <c r="AP2084" s="25"/>
      <c r="AQ2084" s="25"/>
      <c r="AR2084" s="25"/>
      <c r="AS2084" s="25"/>
      <c r="AT2084" s="25"/>
      <c r="AU2084" s="36"/>
      <c r="AV2084" s="36"/>
      <c r="AW2084" s="36"/>
      <c r="AX2084" s="25"/>
      <c r="AY2084" s="25"/>
      <c r="AZ2084" s="25"/>
      <c r="BA2084" s="25"/>
      <c r="BB2084" s="25"/>
      <c r="BC2084" s="25"/>
      <c r="BD2084" s="25"/>
      <c r="BE2084" s="25"/>
      <c r="BF2084" s="25"/>
      <c r="BG2084" s="25"/>
      <c r="BH2084" s="25"/>
      <c r="BI2084" s="25"/>
      <c r="BJ2084" s="25"/>
      <c r="BK2084" s="25"/>
      <c r="BL2084" s="25"/>
      <c r="BM2084" s="25"/>
      <c r="BN2084" s="25"/>
      <c r="BO2084" s="25"/>
      <c r="BP2084" s="25"/>
      <c r="BQ2084" s="25"/>
      <c r="BR2084" s="25"/>
      <c r="BS2084" s="25"/>
      <c r="BT2084" s="25"/>
      <c r="BU2084"/>
      <c r="BV2084"/>
      <c r="BW2084"/>
      <c r="BX2084"/>
      <c r="BY2084"/>
      <c r="BZ2084"/>
      <c r="CA2084"/>
      <c r="CB2084"/>
      <c r="CC2084"/>
      <c r="CD2084" s="25"/>
    </row>
    <row r="2085" spans="1:82" s="17" customFormat="1" x14ac:dyDescent="0.2">
      <c r="A2085" s="25"/>
      <c r="B2085" s="20">
        <v>39063001200</v>
      </c>
      <c r="C2085" s="20">
        <v>12</v>
      </c>
      <c r="D2085" s="20" t="s">
        <v>38</v>
      </c>
      <c r="E2085" s="20" t="s">
        <v>265</v>
      </c>
      <c r="F2085" s="20" t="s">
        <v>8</v>
      </c>
      <c r="G2085" s="861">
        <v>43.143921489999897</v>
      </c>
      <c r="H2085" s="861">
        <v>49.187735714514403</v>
      </c>
      <c r="I2085" s="861">
        <v>16.943268021301101</v>
      </c>
      <c r="J2085" s="861">
        <v>38.041881004284598</v>
      </c>
      <c r="K2085" s="982">
        <v>0</v>
      </c>
      <c r="L2085" s="735">
        <v>5813</v>
      </c>
      <c r="M2085" s="735">
        <v>5485</v>
      </c>
      <c r="N2085" s="845">
        <f t="shared" si="167"/>
        <v>-5.6425253741613626E-2</v>
      </c>
      <c r="O2085" s="735">
        <v>112.5040465919359</v>
      </c>
      <c r="P2085" s="735">
        <f t="shared" si="168"/>
        <v>48.753801895630261</v>
      </c>
      <c r="Q2085" s="849">
        <v>40.799999999999997</v>
      </c>
      <c r="R2085" s="71">
        <v>87944</v>
      </c>
      <c r="S2085" s="845">
        <v>4.6674016905549433E-2</v>
      </c>
      <c r="T2085" s="845">
        <v>3.7999999999999999E-2</v>
      </c>
      <c r="U2085" s="845">
        <v>1E-3</v>
      </c>
      <c r="V2085" s="845">
        <v>5.0999999999999997E-2</v>
      </c>
      <c r="W2085" s="845">
        <v>0.1377079482439926</v>
      </c>
      <c r="X2085" s="845">
        <v>0.36912751677852351</v>
      </c>
      <c r="Y2085" s="845">
        <v>0.95934366453965358</v>
      </c>
      <c r="Z2085" s="845">
        <v>3.8286235186873289E-3</v>
      </c>
      <c r="AA2085" s="845">
        <v>0</v>
      </c>
      <c r="AB2085" s="845">
        <v>3.8286235186873289E-3</v>
      </c>
      <c r="AC2085" s="845">
        <v>0</v>
      </c>
      <c r="AD2085" s="845">
        <v>9.8450319051959882E-3</v>
      </c>
      <c r="AE2085" s="845">
        <v>2.3154056517775752E-2</v>
      </c>
      <c r="AF2085" s="845">
        <v>2.5888787602552414E-2</v>
      </c>
      <c r="AG2085" s="845">
        <v>0.95314494074749312</v>
      </c>
      <c r="AH2085" s="20" t="str">
        <f t="shared" si="169"/>
        <v>Yes</v>
      </c>
      <c r="AI2085" s="25"/>
      <c r="AJ2085" s="25"/>
      <c r="AK2085" s="25"/>
      <c r="AL2085" s="25"/>
      <c r="AM2085" s="25"/>
      <c r="AN2085" s="25"/>
      <c r="AO2085" s="25"/>
      <c r="AP2085" s="25"/>
      <c r="AQ2085" s="25"/>
      <c r="AR2085" s="25"/>
      <c r="AS2085" s="25"/>
      <c r="AT2085" s="25"/>
      <c r="AU2085" s="36"/>
      <c r="AV2085" s="36"/>
      <c r="AW2085" s="36"/>
      <c r="AX2085" s="25"/>
      <c r="AY2085" s="25"/>
      <c r="AZ2085" s="25"/>
      <c r="BA2085" s="25"/>
      <c r="BB2085" s="25"/>
      <c r="BC2085" s="25"/>
      <c r="BD2085" s="25"/>
      <c r="BE2085" s="25"/>
      <c r="BF2085" s="25"/>
      <c r="BG2085" s="25"/>
      <c r="BH2085" s="25"/>
      <c r="BI2085" s="25"/>
      <c r="BJ2085" s="25"/>
      <c r="BK2085" s="25"/>
      <c r="BL2085" s="25"/>
      <c r="BM2085" s="25"/>
      <c r="BN2085" s="25"/>
      <c r="BO2085" s="25"/>
      <c r="BP2085" s="25"/>
      <c r="BQ2085" s="25"/>
      <c r="BR2085" s="25"/>
      <c r="BS2085" s="25"/>
      <c r="BT2085" s="25"/>
      <c r="BU2085"/>
      <c r="BV2085"/>
      <c r="BW2085"/>
      <c r="BX2085"/>
      <c r="BY2085"/>
      <c r="BZ2085"/>
      <c r="CA2085"/>
      <c r="CB2085"/>
      <c r="CC2085"/>
      <c r="CD2085" s="25"/>
    </row>
    <row r="2086" spans="1:82" s="17" customFormat="1" x14ac:dyDescent="0.2">
      <c r="A2086" s="25"/>
      <c r="B2086" s="20">
        <v>39167021600</v>
      </c>
      <c r="C2086" s="20">
        <v>216</v>
      </c>
      <c r="D2086" s="20" t="s">
        <v>89</v>
      </c>
      <c r="E2086" s="20" t="s">
        <v>265</v>
      </c>
      <c r="F2086" s="20" t="s">
        <v>8</v>
      </c>
      <c r="G2086" s="861">
        <v>43.142766095870897</v>
      </c>
      <c r="H2086" s="861">
        <v>46.384781527523899</v>
      </c>
      <c r="I2086" s="861">
        <v>17.346611182279101</v>
      </c>
      <c r="J2086" s="861">
        <v>43.317705540227202</v>
      </c>
      <c r="K2086" s="982">
        <v>0</v>
      </c>
      <c r="L2086" s="735">
        <v>3897</v>
      </c>
      <c r="M2086" s="735">
        <v>3662</v>
      </c>
      <c r="N2086" s="845">
        <f t="shared" si="167"/>
        <v>-6.0302797023351298E-2</v>
      </c>
      <c r="O2086" s="735">
        <v>79.836955313281351</v>
      </c>
      <c r="P2086" s="735">
        <f t="shared" si="168"/>
        <v>45.868482654808915</v>
      </c>
      <c r="Q2086" s="849">
        <v>40.299999999999997</v>
      </c>
      <c r="R2086" s="71">
        <v>71667</v>
      </c>
      <c r="S2086" s="845">
        <v>8.2468596395412347E-2</v>
      </c>
      <c r="T2086" s="845">
        <v>4.8000000000000001E-2</v>
      </c>
      <c r="U2086" s="845">
        <v>0</v>
      </c>
      <c r="V2086" s="845">
        <v>0</v>
      </c>
      <c r="W2086" s="845">
        <v>0.18642951251646903</v>
      </c>
      <c r="X2086" s="845">
        <v>5.3003533568904596E-2</v>
      </c>
      <c r="Y2086" s="845">
        <v>0.99098853085745497</v>
      </c>
      <c r="Z2086" s="845">
        <v>8.1922446750409619E-3</v>
      </c>
      <c r="AA2086" s="845">
        <v>0</v>
      </c>
      <c r="AB2086" s="845">
        <v>0</v>
      </c>
      <c r="AC2086" s="845">
        <v>0</v>
      </c>
      <c r="AD2086" s="845">
        <v>0</v>
      </c>
      <c r="AE2086" s="845">
        <v>8.1922446750409611E-4</v>
      </c>
      <c r="AF2086" s="845">
        <v>8.1922446750409619E-3</v>
      </c>
      <c r="AG2086" s="845">
        <v>0.99098853085745497</v>
      </c>
      <c r="AH2086" s="20" t="str">
        <f t="shared" si="169"/>
        <v>Yes</v>
      </c>
      <c r="AI2086" s="25"/>
      <c r="AJ2086" s="25"/>
      <c r="AK2086" s="25"/>
      <c r="AL2086" s="25"/>
      <c r="AM2086" s="25"/>
      <c r="AN2086" s="25"/>
      <c r="AO2086" s="25"/>
      <c r="AP2086" s="25"/>
      <c r="AQ2086" s="25"/>
      <c r="AR2086" s="25"/>
      <c r="AS2086" s="25"/>
      <c r="AT2086" s="25"/>
      <c r="AU2086" s="36"/>
      <c r="AV2086" s="36"/>
      <c r="AW2086" s="36"/>
      <c r="AX2086" s="25"/>
      <c r="AY2086" s="25"/>
      <c r="AZ2086" s="25"/>
      <c r="BA2086" s="25"/>
      <c r="BB2086" s="25"/>
      <c r="BC2086" s="25"/>
      <c r="BD2086" s="25"/>
      <c r="BE2086" s="25"/>
      <c r="BF2086" s="25"/>
      <c r="BG2086" s="25"/>
      <c r="BH2086" s="25"/>
      <c r="BI2086" s="25"/>
      <c r="BJ2086" s="25"/>
      <c r="BK2086" s="25"/>
      <c r="BL2086" s="25"/>
      <c r="BM2086" s="25"/>
      <c r="BN2086" s="25"/>
      <c r="BO2086" s="25"/>
      <c r="BP2086" s="25"/>
      <c r="BQ2086" s="25"/>
      <c r="BR2086" s="25"/>
      <c r="BS2086" s="25"/>
      <c r="BT2086" s="25"/>
      <c r="BU2086"/>
      <c r="BV2086"/>
      <c r="BW2086"/>
      <c r="BX2086"/>
      <c r="BY2086"/>
      <c r="BZ2086"/>
      <c r="CA2086"/>
      <c r="CB2086"/>
      <c r="CC2086"/>
      <c r="CD2086" s="25"/>
    </row>
    <row r="2087" spans="1:82" s="17" customFormat="1" x14ac:dyDescent="0.2">
      <c r="A2087" s="25"/>
      <c r="B2087" s="20">
        <v>39049009337</v>
      </c>
      <c r="C2087" s="20">
        <v>93.37</v>
      </c>
      <c r="D2087" s="20" t="s">
        <v>31</v>
      </c>
      <c r="E2087" s="20" t="s">
        <v>2830</v>
      </c>
      <c r="F2087" s="20" t="s">
        <v>6</v>
      </c>
      <c r="G2087" s="861">
        <v>43.111603334833603</v>
      </c>
      <c r="H2087" s="861">
        <v>48.235791856328099</v>
      </c>
      <c r="I2087" s="861">
        <v>43.429688354663398</v>
      </c>
      <c r="J2087" s="861">
        <v>47.818915595690498</v>
      </c>
      <c r="K2087" s="982">
        <v>1</v>
      </c>
      <c r="L2087" s="735">
        <v>3985</v>
      </c>
      <c r="M2087" s="735">
        <v>4552</v>
      </c>
      <c r="N2087" s="845">
        <f t="shared" si="167"/>
        <v>0.14228356336260978</v>
      </c>
      <c r="O2087" s="735">
        <v>1.1455593130116726</v>
      </c>
      <c r="P2087" s="735">
        <f t="shared" si="168"/>
        <v>3973.6048132093688</v>
      </c>
      <c r="Q2087" s="849">
        <v>33.5</v>
      </c>
      <c r="R2087" s="71">
        <v>46159</v>
      </c>
      <c r="S2087" s="845">
        <v>0.22705749718151072</v>
      </c>
      <c r="T2087" s="845">
        <v>9.3000000000000013E-2</v>
      </c>
      <c r="U2087" s="845">
        <v>0</v>
      </c>
      <c r="V2087" s="845">
        <v>1.6E-2</v>
      </c>
      <c r="W2087" s="845">
        <v>0.64553990610328638</v>
      </c>
      <c r="X2087" s="845">
        <v>0.50090909090909086</v>
      </c>
      <c r="Y2087" s="845">
        <v>9.8198594024604569E-2</v>
      </c>
      <c r="Z2087" s="845">
        <v>0.82644991212653773</v>
      </c>
      <c r="AA2087" s="845">
        <v>0</v>
      </c>
      <c r="AB2087" s="845">
        <v>0</v>
      </c>
      <c r="AC2087" s="845">
        <v>0</v>
      </c>
      <c r="AD2087" s="845">
        <v>3.9543057996485061E-2</v>
      </c>
      <c r="AE2087" s="845">
        <v>3.5808435852372582E-2</v>
      </c>
      <c r="AF2087" s="845">
        <v>3.8444639718804921E-2</v>
      </c>
      <c r="AG2087" s="845">
        <v>9.8198594024604569E-2</v>
      </c>
      <c r="AH2087" s="20" t="str">
        <f t="shared" si="169"/>
        <v>No</v>
      </c>
      <c r="AI2087" s="25"/>
      <c r="AJ2087" s="25"/>
      <c r="AK2087" s="25"/>
      <c r="AL2087" s="25"/>
      <c r="AM2087" s="25"/>
      <c r="AN2087" s="25"/>
      <c r="AO2087" s="25"/>
      <c r="AP2087" s="25"/>
      <c r="AQ2087" s="25"/>
      <c r="AR2087" s="25"/>
      <c r="AS2087" s="25"/>
      <c r="AT2087" s="25"/>
      <c r="AU2087" s="36"/>
      <c r="AV2087" s="36"/>
      <c r="AW2087" s="36"/>
      <c r="AX2087" s="25"/>
      <c r="AY2087" s="25"/>
      <c r="AZ2087" s="25"/>
      <c r="BA2087" s="25"/>
      <c r="BB2087" s="25"/>
      <c r="BC2087" s="25"/>
      <c r="BD2087" s="25"/>
      <c r="BE2087" s="25"/>
      <c r="BF2087" s="25"/>
      <c r="BG2087" s="25"/>
      <c r="BH2087" s="25"/>
      <c r="BI2087" s="25"/>
      <c r="BJ2087" s="25"/>
      <c r="BK2087" s="25"/>
      <c r="BL2087" s="25"/>
      <c r="BM2087" s="25"/>
      <c r="BN2087" s="25"/>
      <c r="BO2087" s="25"/>
      <c r="BP2087" s="25"/>
      <c r="BQ2087" s="25"/>
      <c r="BR2087" s="25"/>
      <c r="BS2087" s="25"/>
      <c r="BT2087" s="25"/>
      <c r="BU2087"/>
      <c r="BV2087"/>
      <c r="BW2087"/>
      <c r="BX2087"/>
      <c r="BY2087"/>
      <c r="BZ2087"/>
      <c r="CA2087"/>
      <c r="CB2087"/>
      <c r="CC2087"/>
      <c r="CD2087" s="25"/>
    </row>
    <row r="2088" spans="1:82" s="17" customFormat="1" x14ac:dyDescent="0.2">
      <c r="A2088" s="25"/>
      <c r="B2088" s="20">
        <v>39151712201</v>
      </c>
      <c r="C2088" s="20">
        <v>7122.01</v>
      </c>
      <c r="D2088" s="20" t="s">
        <v>81</v>
      </c>
      <c r="E2088" s="20" t="s">
        <v>2844</v>
      </c>
      <c r="F2088" s="20" t="s">
        <v>8</v>
      </c>
      <c r="G2088" s="861">
        <v>43.074281763922102</v>
      </c>
      <c r="H2088" s="861">
        <v>40.875910942553197</v>
      </c>
      <c r="I2088" s="861">
        <v>30.413930401833799</v>
      </c>
      <c r="J2088" s="861">
        <v>31.8782269967679</v>
      </c>
      <c r="K2088" s="982">
        <v>0</v>
      </c>
      <c r="L2088" s="735">
        <v>6402</v>
      </c>
      <c r="M2088" s="735">
        <v>5937</v>
      </c>
      <c r="N2088" s="845">
        <f t="shared" si="167"/>
        <v>-7.2633552014995315E-2</v>
      </c>
      <c r="O2088" s="735">
        <v>2.7074325063214286</v>
      </c>
      <c r="P2088" s="735">
        <f t="shared" si="168"/>
        <v>2192.8524482652992</v>
      </c>
      <c r="Q2088" s="849">
        <v>42.8</v>
      </c>
      <c r="R2088" s="71">
        <v>85505</v>
      </c>
      <c r="S2088" s="845">
        <v>8.4165198669015465E-2</v>
      </c>
      <c r="T2088" s="845">
        <v>4.0999999999999995E-2</v>
      </c>
      <c r="U2088" s="845">
        <v>0</v>
      </c>
      <c r="V2088" s="845">
        <v>0</v>
      </c>
      <c r="W2088" s="845">
        <v>0.22682614267407092</v>
      </c>
      <c r="X2088" s="845">
        <v>0.4463276836158192</v>
      </c>
      <c r="Y2088" s="845">
        <v>0.8295435405086744</v>
      </c>
      <c r="Z2088" s="845">
        <v>9.920835438773791E-2</v>
      </c>
      <c r="AA2088" s="845">
        <v>1.5159171298635675E-3</v>
      </c>
      <c r="AB2088" s="845">
        <v>1.6169782718544721E-2</v>
      </c>
      <c r="AC2088" s="845">
        <v>0</v>
      </c>
      <c r="AD2088" s="845">
        <v>1.0274549435741957E-2</v>
      </c>
      <c r="AE2088" s="845">
        <v>4.3287855819437428E-2</v>
      </c>
      <c r="AF2088" s="845">
        <v>3.6382011116725621E-2</v>
      </c>
      <c r="AG2088" s="845">
        <v>0.8162371568132053</v>
      </c>
      <c r="AH2088" s="20" t="str">
        <f t="shared" si="169"/>
        <v>No</v>
      </c>
      <c r="AI2088" s="25"/>
      <c r="AJ2088" s="25"/>
      <c r="AK2088" s="25"/>
      <c r="AL2088" s="25"/>
      <c r="AM2088" s="25"/>
      <c r="AN2088" s="25"/>
      <c r="AO2088" s="25"/>
      <c r="AP2088" s="25"/>
      <c r="AQ2088" s="25"/>
      <c r="AR2088" s="25"/>
      <c r="AS2088" s="25"/>
      <c r="AT2088" s="25"/>
      <c r="AU2088" s="36"/>
      <c r="AV2088" s="36"/>
      <c r="AW2088" s="36"/>
      <c r="AX2088" s="25"/>
      <c r="AY2088" s="25"/>
      <c r="AZ2088" s="25"/>
      <c r="BA2088" s="25"/>
      <c r="BB2088" s="25"/>
      <c r="BC2088" s="25"/>
      <c r="BD2088" s="25"/>
      <c r="BE2088" s="25"/>
      <c r="BF2088" s="25"/>
      <c r="BG2088" s="25"/>
      <c r="BH2088" s="25"/>
      <c r="BI2088" s="25"/>
      <c r="BJ2088" s="25"/>
      <c r="BK2088" s="25"/>
      <c r="BL2088" s="25"/>
      <c r="BM2088" s="25"/>
      <c r="BN2088" s="25"/>
      <c r="BO2088" s="25"/>
      <c r="BP2088" s="25"/>
      <c r="BQ2088" s="25"/>
      <c r="BR2088" s="25"/>
      <c r="BS2088" s="25"/>
      <c r="BT2088" s="25"/>
      <c r="BU2088"/>
      <c r="BV2088"/>
      <c r="BW2088"/>
      <c r="BX2088"/>
      <c r="BY2088"/>
      <c r="BZ2088"/>
      <c r="CA2088"/>
      <c r="CB2088"/>
      <c r="CC2088"/>
      <c r="CD2088" s="25"/>
    </row>
    <row r="2089" spans="1:82" s="17" customFormat="1" x14ac:dyDescent="0.2">
      <c r="A2089" s="25"/>
      <c r="B2089" s="20">
        <v>39049009334</v>
      </c>
      <c r="C2089" s="20">
        <v>93.34</v>
      </c>
      <c r="D2089" s="20" t="s">
        <v>31</v>
      </c>
      <c r="E2089" s="20" t="s">
        <v>2830</v>
      </c>
      <c r="F2089" s="20" t="s">
        <v>6</v>
      </c>
      <c r="G2089" s="861">
        <v>43.044159512995101</v>
      </c>
      <c r="H2089" s="861">
        <v>42.926794737522698</v>
      </c>
      <c r="I2089" s="861">
        <v>49.836788747107903</v>
      </c>
      <c r="J2089" s="861">
        <v>36.463973344711</v>
      </c>
      <c r="K2089" s="982">
        <v>0</v>
      </c>
      <c r="L2089" s="735">
        <v>3070</v>
      </c>
      <c r="M2089" s="735">
        <v>2851</v>
      </c>
      <c r="N2089" s="845">
        <f t="shared" si="167"/>
        <v>-7.1335504885993481E-2</v>
      </c>
      <c r="O2089" s="735">
        <v>0.56859411605561394</v>
      </c>
      <c r="P2089" s="735">
        <f t="shared" si="168"/>
        <v>5014.1215315023501</v>
      </c>
      <c r="Q2089" s="849">
        <v>35.799999999999997</v>
      </c>
      <c r="R2089" s="71">
        <v>41221</v>
      </c>
      <c r="S2089" s="845">
        <v>0.26882102272727271</v>
      </c>
      <c r="T2089" s="845">
        <v>5.5E-2</v>
      </c>
      <c r="U2089" s="845">
        <v>0</v>
      </c>
      <c r="V2089" s="845">
        <v>0</v>
      </c>
      <c r="W2089" s="845">
        <v>0.45454545454545453</v>
      </c>
      <c r="X2089" s="845">
        <v>0.46972477064220186</v>
      </c>
      <c r="Y2089" s="845">
        <v>0.15012276394247631</v>
      </c>
      <c r="Z2089" s="845">
        <v>0.79866713433882852</v>
      </c>
      <c r="AA2089" s="845">
        <v>0</v>
      </c>
      <c r="AB2089" s="845">
        <v>1.2627148368993335E-2</v>
      </c>
      <c r="AC2089" s="845">
        <v>0</v>
      </c>
      <c r="AD2089" s="845">
        <v>2.0343739038933707E-2</v>
      </c>
      <c r="AE2089" s="845">
        <v>1.8239214310768151E-2</v>
      </c>
      <c r="AF2089" s="845">
        <v>1.4380918975797966E-2</v>
      </c>
      <c r="AG2089" s="845">
        <v>0.14556296036478428</v>
      </c>
      <c r="AH2089" s="20" t="str">
        <f t="shared" si="169"/>
        <v>No</v>
      </c>
      <c r="AI2089" s="25"/>
      <c r="AJ2089" s="25"/>
      <c r="AK2089" s="25"/>
      <c r="AL2089" s="25"/>
      <c r="AM2089" s="25"/>
      <c r="AN2089" s="25"/>
      <c r="AO2089" s="25"/>
      <c r="AP2089" s="25"/>
      <c r="AQ2089" s="25"/>
      <c r="AR2089" s="25"/>
      <c r="AS2089" s="25"/>
      <c r="AT2089" s="25"/>
      <c r="AU2089" s="36"/>
      <c r="AV2089" s="36"/>
      <c r="AW2089" s="36"/>
      <c r="AX2089" s="25"/>
      <c r="AY2089" s="25"/>
      <c r="AZ2089" s="25"/>
      <c r="BA2089" s="25"/>
      <c r="BB2089" s="25"/>
      <c r="BC2089" s="25"/>
      <c r="BD2089" s="25"/>
      <c r="BE2089" s="25"/>
      <c r="BF2089" s="25"/>
      <c r="BG2089" s="25"/>
      <c r="BH2089" s="25"/>
      <c r="BI2089" s="25"/>
      <c r="BJ2089" s="25"/>
      <c r="BK2089" s="25"/>
      <c r="BL2089" s="25"/>
      <c r="BM2089" s="25"/>
      <c r="BN2089" s="25"/>
      <c r="BO2089" s="25"/>
      <c r="BP2089" s="25"/>
      <c r="BQ2089" s="25"/>
      <c r="BR2089" s="25"/>
      <c r="BS2089" s="25"/>
      <c r="BT2089" s="25"/>
      <c r="BU2089"/>
      <c r="BV2089"/>
      <c r="BW2089"/>
      <c r="BX2089"/>
      <c r="BY2089"/>
      <c r="BZ2089"/>
      <c r="CA2089"/>
      <c r="CB2089"/>
      <c r="CC2089"/>
      <c r="CD2089" s="25"/>
    </row>
    <row r="2090" spans="1:82" s="17" customFormat="1" x14ac:dyDescent="0.2">
      <c r="A2090" s="25"/>
      <c r="B2090" s="20">
        <v>39145003100</v>
      </c>
      <c r="C2090" s="20">
        <v>31</v>
      </c>
      <c r="D2090" s="20" t="s">
        <v>78</v>
      </c>
      <c r="E2090" s="20" t="s">
        <v>265</v>
      </c>
      <c r="F2090" s="20" t="s">
        <v>6</v>
      </c>
      <c r="G2090" s="861">
        <v>43.038092723965804</v>
      </c>
      <c r="H2090" s="861">
        <v>34.390727672137302</v>
      </c>
      <c r="I2090" s="861">
        <v>34.544055312658998</v>
      </c>
      <c r="J2090" s="861">
        <v>35.579196330903102</v>
      </c>
      <c r="K2090" s="982">
        <v>0</v>
      </c>
      <c r="L2090" s="735">
        <v>3581</v>
      </c>
      <c r="M2090" s="735">
        <v>2933</v>
      </c>
      <c r="N2090" s="845">
        <f t="shared" si="167"/>
        <v>-0.18095504049148284</v>
      </c>
      <c r="O2090" s="735">
        <v>9.3277428211822961</v>
      </c>
      <c r="P2090" s="735">
        <f t="shared" si="168"/>
        <v>314.43834336206976</v>
      </c>
      <c r="Q2090" s="849">
        <v>38.799999999999997</v>
      </c>
      <c r="R2090" s="71">
        <v>38078</v>
      </c>
      <c r="S2090" s="845">
        <v>0.29900786862812179</v>
      </c>
      <c r="T2090" s="845">
        <v>0.107</v>
      </c>
      <c r="U2090" s="845">
        <v>2.6000000000000002E-2</v>
      </c>
      <c r="V2090" s="845">
        <v>0</v>
      </c>
      <c r="W2090" s="845">
        <v>0.42122999157540014</v>
      </c>
      <c r="X2090" s="845">
        <v>0.29399999999999998</v>
      </c>
      <c r="Y2090" s="845">
        <v>0.9860211387657688</v>
      </c>
      <c r="Z2090" s="845">
        <v>6.8189566996249571E-4</v>
      </c>
      <c r="AA2090" s="845">
        <v>0</v>
      </c>
      <c r="AB2090" s="845">
        <v>0</v>
      </c>
      <c r="AC2090" s="845">
        <v>0</v>
      </c>
      <c r="AD2090" s="845">
        <v>0</v>
      </c>
      <c r="AE2090" s="845">
        <v>1.3296965564268667E-2</v>
      </c>
      <c r="AF2090" s="845">
        <v>0</v>
      </c>
      <c r="AG2090" s="845">
        <v>0.9860211387657688</v>
      </c>
      <c r="AH2090" s="20" t="str">
        <f t="shared" si="169"/>
        <v>Yes</v>
      </c>
      <c r="AI2090" s="25"/>
      <c r="AJ2090" s="25"/>
      <c r="AK2090" s="25"/>
      <c r="AL2090" s="25"/>
      <c r="AM2090" s="25"/>
      <c r="AN2090" s="25"/>
      <c r="AO2090" s="25"/>
      <c r="AP2090" s="25"/>
      <c r="AQ2090" s="25"/>
      <c r="AR2090" s="25"/>
      <c r="AS2090" s="25"/>
      <c r="AT2090" s="25"/>
      <c r="AU2090" s="36"/>
      <c r="AV2090" s="36"/>
      <c r="AW2090" s="36"/>
      <c r="AX2090" s="25"/>
      <c r="AY2090" s="25"/>
      <c r="AZ2090" s="25"/>
      <c r="BA2090" s="25"/>
      <c r="BB2090" s="25"/>
      <c r="BC2090" s="25"/>
      <c r="BD2090" s="25"/>
      <c r="BE2090" s="25"/>
      <c r="BF2090" s="25"/>
      <c r="BG2090" s="25"/>
      <c r="BH2090" s="25"/>
      <c r="BI2090" s="25"/>
      <c r="BJ2090" s="25"/>
      <c r="BK2090" s="25"/>
      <c r="BL2090" s="25"/>
      <c r="BM2090" s="25"/>
      <c r="BN2090" s="25"/>
      <c r="BO2090" s="25"/>
      <c r="BP2090" s="25"/>
      <c r="BQ2090" s="25"/>
      <c r="BR2090" s="25"/>
      <c r="BS2090" s="25"/>
      <c r="BT2090" s="25"/>
      <c r="BU2090"/>
      <c r="BV2090"/>
      <c r="BW2090"/>
      <c r="BX2090"/>
      <c r="BY2090"/>
      <c r="BZ2090"/>
      <c r="CA2090"/>
      <c r="CB2090"/>
      <c r="CC2090"/>
      <c r="CD2090" s="25"/>
    </row>
    <row r="2091" spans="1:82" s="17" customFormat="1" x14ac:dyDescent="0.2">
      <c r="A2091" s="25"/>
      <c r="B2091" s="20">
        <v>39035198500</v>
      </c>
      <c r="C2091" s="20">
        <v>1985</v>
      </c>
      <c r="D2091" s="20" t="s">
        <v>24</v>
      </c>
      <c r="E2091" s="20" t="s">
        <v>2829</v>
      </c>
      <c r="F2091" s="20" t="s">
        <v>6</v>
      </c>
      <c r="G2091" s="861">
        <v>43.020567090584599</v>
      </c>
      <c r="H2091" s="861">
        <v>40.228339956688103</v>
      </c>
      <c r="I2091" s="861">
        <v>83.511139840146896</v>
      </c>
      <c r="J2091" s="861">
        <v>33.386616104420199</v>
      </c>
      <c r="K2091" s="982">
        <v>0</v>
      </c>
      <c r="L2091" s="735" t="s">
        <v>2466</v>
      </c>
      <c r="M2091" s="735">
        <v>1819</v>
      </c>
      <c r="N2091" s="845" t="str">
        <f t="shared" si="167"/>
        <v/>
      </c>
      <c r="O2091" s="735">
        <v>0.53673064931560632</v>
      </c>
      <c r="P2091" s="735">
        <f t="shared" si="168"/>
        <v>3389.0369449172231</v>
      </c>
      <c r="Q2091" s="849">
        <v>35.700000000000003</v>
      </c>
      <c r="R2091" s="71">
        <v>37462</v>
      </c>
      <c r="S2091" s="845">
        <v>0.30813287514318444</v>
      </c>
      <c r="T2091" s="845">
        <v>0.191</v>
      </c>
      <c r="U2091" s="845">
        <v>0.11599999999999999</v>
      </c>
      <c r="V2091" s="845">
        <v>0</v>
      </c>
      <c r="W2091" s="845">
        <v>0.54948301329394389</v>
      </c>
      <c r="X2091" s="845">
        <v>0.478494623655914</v>
      </c>
      <c r="Y2091" s="845">
        <v>1.7592083562396922E-2</v>
      </c>
      <c r="Z2091" s="845">
        <v>0.92963166575041234</v>
      </c>
      <c r="AA2091" s="845">
        <v>0</v>
      </c>
      <c r="AB2091" s="845">
        <v>0</v>
      </c>
      <c r="AC2091" s="845">
        <v>0</v>
      </c>
      <c r="AD2091" s="845">
        <v>1.154480483782298E-2</v>
      </c>
      <c r="AE2091" s="845">
        <v>4.1231445849367783E-2</v>
      </c>
      <c r="AF2091" s="845">
        <v>2.473886750962067E-2</v>
      </c>
      <c r="AG2091" s="845">
        <v>1.7592083562396922E-2</v>
      </c>
      <c r="AH2091" s="20" t="str">
        <f t="shared" si="169"/>
        <v>No</v>
      </c>
      <c r="AI2091" s="25"/>
      <c r="AJ2091" s="25"/>
      <c r="AK2091" s="25"/>
      <c r="AL2091" s="25"/>
      <c r="AM2091" s="25"/>
      <c r="AN2091" s="25"/>
      <c r="AO2091" s="25"/>
      <c r="AP2091" s="25"/>
      <c r="AQ2091" s="25"/>
      <c r="AR2091" s="25"/>
      <c r="AS2091" s="25"/>
      <c r="AT2091" s="25"/>
      <c r="AU2091" s="36"/>
      <c r="AV2091" s="36"/>
      <c r="AW2091" s="36"/>
      <c r="AX2091" s="25"/>
      <c r="AY2091" s="25"/>
      <c r="AZ2091" s="25"/>
      <c r="BA2091" s="25"/>
      <c r="BB2091" s="25"/>
      <c r="BC2091" s="25"/>
      <c r="BD2091" s="25"/>
      <c r="BE2091" s="25"/>
      <c r="BF2091" s="25"/>
      <c r="BG2091" s="25"/>
      <c r="BH2091" s="25"/>
      <c r="BI2091" s="25"/>
      <c r="BJ2091" s="25"/>
      <c r="BK2091" s="25"/>
      <c r="BL2091" s="25"/>
      <c r="BM2091" s="25"/>
      <c r="BN2091" s="25"/>
      <c r="BO2091" s="25"/>
      <c r="BP2091" s="25"/>
      <c r="BQ2091" s="25"/>
      <c r="BR2091" s="25"/>
      <c r="BS2091" s="25"/>
      <c r="BT2091" s="25"/>
      <c r="BU2091"/>
      <c r="BV2091"/>
      <c r="BW2091"/>
      <c r="BX2091"/>
      <c r="BY2091"/>
      <c r="BZ2091"/>
      <c r="CA2091"/>
      <c r="CB2091"/>
      <c r="CC2091"/>
      <c r="CD2091" s="25"/>
    </row>
    <row r="2092" spans="1:82" s="17" customFormat="1" x14ac:dyDescent="0.2">
      <c r="A2092" s="25"/>
      <c r="B2092" s="20">
        <v>39035124201</v>
      </c>
      <c r="C2092" s="20">
        <v>1242.01</v>
      </c>
      <c r="D2092" s="20" t="s">
        <v>24</v>
      </c>
      <c r="E2092" s="20" t="s">
        <v>2829</v>
      </c>
      <c r="F2092" s="20" t="s">
        <v>6</v>
      </c>
      <c r="G2092" s="861">
        <v>43.013644852054298</v>
      </c>
      <c r="H2092" s="861">
        <v>61.3536925748069</v>
      </c>
      <c r="I2092" s="861">
        <v>41.369969513770897</v>
      </c>
      <c r="J2092" s="861">
        <v>45.375396824752798</v>
      </c>
      <c r="K2092" s="982">
        <v>0</v>
      </c>
      <c r="L2092" s="735">
        <v>2853</v>
      </c>
      <c r="M2092" s="735">
        <v>2644</v>
      </c>
      <c r="N2092" s="845">
        <f t="shared" si="167"/>
        <v>-7.3256221521205742E-2</v>
      </c>
      <c r="O2092" s="735">
        <v>0.61161284636167701</v>
      </c>
      <c r="P2092" s="735">
        <f t="shared" si="168"/>
        <v>4322.9961825171858</v>
      </c>
      <c r="Q2092" s="849">
        <v>35.6</v>
      </c>
      <c r="R2092" s="71">
        <v>48098</v>
      </c>
      <c r="S2092" s="845">
        <v>0.15242057488653554</v>
      </c>
      <c r="T2092" s="845">
        <v>4.4000000000000004E-2</v>
      </c>
      <c r="U2092" s="845">
        <v>0</v>
      </c>
      <c r="V2092" s="845">
        <v>0</v>
      </c>
      <c r="W2092" s="845">
        <v>0.36077057793345008</v>
      </c>
      <c r="X2092" s="845">
        <v>0.35922330097087379</v>
      </c>
      <c r="Y2092" s="845">
        <v>0.53139183055975792</v>
      </c>
      <c r="Z2092" s="845">
        <v>9.9848714069591532E-2</v>
      </c>
      <c r="AA2092" s="845">
        <v>1.2859304084720122E-2</v>
      </c>
      <c r="AB2092" s="845">
        <v>5.8245083207261725E-2</v>
      </c>
      <c r="AC2092" s="845">
        <v>0</v>
      </c>
      <c r="AD2092" s="845">
        <v>0.15355521936459909</v>
      </c>
      <c r="AE2092" s="845">
        <v>0.14409984871406958</v>
      </c>
      <c r="AF2092" s="845">
        <v>0.29614220877458397</v>
      </c>
      <c r="AG2092" s="845">
        <v>0.52760968229954619</v>
      </c>
      <c r="AH2092" s="20" t="str">
        <f t="shared" si="169"/>
        <v>No</v>
      </c>
      <c r="AI2092" s="25"/>
      <c r="AJ2092" s="25"/>
      <c r="AK2092" s="25"/>
      <c r="AL2092" s="25"/>
      <c r="AM2092" s="25"/>
      <c r="AN2092" s="25"/>
      <c r="AO2092" s="25"/>
      <c r="AP2092" s="25"/>
      <c r="AQ2092" s="25"/>
      <c r="AR2092" s="25"/>
      <c r="AS2092" s="25"/>
      <c r="AT2092" s="25"/>
      <c r="AU2092" s="36"/>
      <c r="AV2092" s="36"/>
      <c r="AW2092" s="36"/>
      <c r="AX2092" s="25"/>
      <c r="AY2092" s="25"/>
      <c r="AZ2092" s="25"/>
      <c r="BA2092" s="25"/>
      <c r="BB2092" s="25"/>
      <c r="BC2092" s="25"/>
      <c r="BD2092" s="25"/>
      <c r="BE2092" s="25"/>
      <c r="BF2092" s="25"/>
      <c r="BG2092" s="25"/>
      <c r="BH2092" s="25"/>
      <c r="BI2092" s="25"/>
      <c r="BJ2092" s="25"/>
      <c r="BK2092" s="25"/>
      <c r="BL2092" s="25"/>
      <c r="BM2092" s="25"/>
      <c r="BN2092" s="25"/>
      <c r="BO2092" s="25"/>
      <c r="BP2092" s="25"/>
      <c r="BQ2092" s="25"/>
      <c r="BR2092" s="25"/>
      <c r="BS2092" s="25"/>
      <c r="BT2092" s="25"/>
      <c r="BU2092"/>
      <c r="BV2092"/>
      <c r="BW2092"/>
      <c r="BX2092"/>
      <c r="BY2092"/>
      <c r="BZ2092"/>
      <c r="CA2092"/>
      <c r="CB2092"/>
      <c r="CC2092"/>
      <c r="CD2092" s="25"/>
    </row>
    <row r="2093" spans="1:82" s="17" customFormat="1" x14ac:dyDescent="0.2">
      <c r="A2093" s="25"/>
      <c r="B2093" s="20">
        <v>39139000900</v>
      </c>
      <c r="C2093" s="20">
        <v>9</v>
      </c>
      <c r="D2093" s="20" t="s">
        <v>75</v>
      </c>
      <c r="E2093" s="20" t="s">
        <v>2836</v>
      </c>
      <c r="F2093" s="20" t="s">
        <v>8</v>
      </c>
      <c r="G2093" s="861">
        <v>43.006499002154897</v>
      </c>
      <c r="H2093" s="861">
        <v>36.587553253184502</v>
      </c>
      <c r="I2093" s="861">
        <v>34.239567088147702</v>
      </c>
      <c r="J2093" s="861">
        <v>45.008335474079203</v>
      </c>
      <c r="K2093" s="982">
        <v>0</v>
      </c>
      <c r="L2093" s="735">
        <v>4323</v>
      </c>
      <c r="M2093" s="735">
        <v>4304</v>
      </c>
      <c r="N2093" s="845">
        <f t="shared" si="167"/>
        <v>-4.3950959981494337E-3</v>
      </c>
      <c r="O2093" s="735">
        <v>4.828290119061589</v>
      </c>
      <c r="P2093" s="735">
        <f t="shared" si="168"/>
        <v>891.41287989473835</v>
      </c>
      <c r="Q2093" s="849">
        <v>46.2</v>
      </c>
      <c r="R2093" s="71">
        <v>52150</v>
      </c>
      <c r="S2093" s="845">
        <v>0.17584541062801931</v>
      </c>
      <c r="T2093" s="845">
        <v>6.8000000000000005E-2</v>
      </c>
      <c r="U2093" s="845">
        <v>0.03</v>
      </c>
      <c r="V2093" s="845">
        <v>0.18899999999999997</v>
      </c>
      <c r="W2093" s="845">
        <v>0.18609513852587559</v>
      </c>
      <c r="X2093" s="845">
        <v>0.28370786516853935</v>
      </c>
      <c r="Y2093" s="845">
        <v>0.89823420074349447</v>
      </c>
      <c r="Z2093" s="845">
        <v>1.7193308550185873E-2</v>
      </c>
      <c r="AA2093" s="845">
        <v>0</v>
      </c>
      <c r="AB2093" s="845">
        <v>0</v>
      </c>
      <c r="AC2093" s="845">
        <v>0</v>
      </c>
      <c r="AD2093" s="845">
        <v>1.3011152416356878E-2</v>
      </c>
      <c r="AE2093" s="845">
        <v>7.156133828996282E-2</v>
      </c>
      <c r="AF2093" s="845">
        <v>3.5315985130111527E-2</v>
      </c>
      <c r="AG2093" s="845">
        <v>0.86942379182156138</v>
      </c>
      <c r="AH2093" s="20" t="str">
        <f t="shared" si="169"/>
        <v>No</v>
      </c>
      <c r="AI2093" s="25"/>
      <c r="AJ2093" s="25"/>
      <c r="AK2093" s="25"/>
      <c r="AL2093" s="25"/>
      <c r="AM2093" s="25"/>
      <c r="AN2093" s="25"/>
      <c r="AO2093" s="25"/>
      <c r="AP2093" s="25"/>
      <c r="AQ2093" s="25"/>
      <c r="AR2093" s="25"/>
      <c r="AS2093" s="25"/>
      <c r="AT2093" s="25"/>
      <c r="AU2093" s="36"/>
      <c r="AV2093" s="36"/>
      <c r="AW2093" s="36"/>
      <c r="AX2093" s="25"/>
      <c r="AY2093" s="25"/>
      <c r="AZ2093" s="25"/>
      <c r="BA2093" s="25"/>
      <c r="BB2093" s="25"/>
      <c r="BC2093" s="25"/>
      <c r="BD2093" s="25"/>
      <c r="BE2093" s="25"/>
      <c r="BF2093" s="25"/>
      <c r="BG2093" s="25"/>
      <c r="BH2093" s="25"/>
      <c r="BI2093" s="25"/>
      <c r="BJ2093" s="25"/>
      <c r="BK2093" s="25"/>
      <c r="BL2093" s="25"/>
      <c r="BM2093" s="25"/>
      <c r="BN2093" s="25"/>
      <c r="BO2093" s="25"/>
      <c r="BP2093" s="25"/>
      <c r="BQ2093" s="25"/>
      <c r="BR2093" s="25"/>
      <c r="BS2093" s="25"/>
      <c r="BT2093" s="25"/>
      <c r="BU2093"/>
      <c r="BV2093"/>
      <c r="BW2093"/>
      <c r="BX2093"/>
      <c r="BY2093"/>
      <c r="BZ2093"/>
      <c r="CA2093"/>
      <c r="CB2093"/>
      <c r="CC2093"/>
      <c r="CD2093" s="25"/>
    </row>
    <row r="2094" spans="1:82" s="17" customFormat="1" x14ac:dyDescent="0.2">
      <c r="A2094" s="25"/>
      <c r="B2094" s="20">
        <v>39135440100</v>
      </c>
      <c r="C2094" s="20">
        <v>4401</v>
      </c>
      <c r="D2094" s="20" t="s">
        <v>73</v>
      </c>
      <c r="E2094" s="20" t="s">
        <v>265</v>
      </c>
      <c r="F2094" s="20" t="s">
        <v>8</v>
      </c>
      <c r="G2094" s="861">
        <v>42.960420229353304</v>
      </c>
      <c r="H2094" s="861">
        <v>38.797483115979901</v>
      </c>
      <c r="I2094" s="861">
        <v>25.196241531858099</v>
      </c>
      <c r="J2094" s="861">
        <v>44.336689498002102</v>
      </c>
      <c r="K2094" s="982">
        <v>0</v>
      </c>
      <c r="L2094" s="735">
        <v>3820</v>
      </c>
      <c r="M2094" s="735">
        <v>3711</v>
      </c>
      <c r="N2094" s="845">
        <f t="shared" si="167"/>
        <v>-2.8534031413612566E-2</v>
      </c>
      <c r="O2094" s="735">
        <v>36.413239750355459</v>
      </c>
      <c r="P2094" s="735">
        <f t="shared" si="168"/>
        <v>101.91348052088043</v>
      </c>
      <c r="Q2094" s="849">
        <v>46.9</v>
      </c>
      <c r="R2094" s="71">
        <v>68750</v>
      </c>
      <c r="S2094" s="845">
        <v>8.1820644811704146E-2</v>
      </c>
      <c r="T2094" s="845">
        <v>6.6000000000000003E-2</v>
      </c>
      <c r="U2094" s="845">
        <v>2.3E-2</v>
      </c>
      <c r="V2094" s="845">
        <v>3.6000000000000004E-2</v>
      </c>
      <c r="W2094" s="845">
        <v>0.13950456323337679</v>
      </c>
      <c r="X2094" s="845">
        <v>0.24766355140186916</v>
      </c>
      <c r="Y2094" s="845">
        <v>0.95715440582053357</v>
      </c>
      <c r="Z2094" s="845">
        <v>0</v>
      </c>
      <c r="AA2094" s="845">
        <v>0</v>
      </c>
      <c r="AB2094" s="845">
        <v>2.6946914578280785E-4</v>
      </c>
      <c r="AC2094" s="845">
        <v>0</v>
      </c>
      <c r="AD2094" s="845">
        <v>1.2126111560226353E-2</v>
      </c>
      <c r="AE2094" s="845">
        <v>3.0450013473457289E-2</v>
      </c>
      <c r="AF2094" s="845">
        <v>3.503098895176502E-2</v>
      </c>
      <c r="AG2094" s="845">
        <v>0.94987873888439778</v>
      </c>
      <c r="AH2094" s="20" t="str">
        <f t="shared" si="169"/>
        <v>Yes</v>
      </c>
      <c r="AI2094" s="25"/>
      <c r="AJ2094" s="25"/>
      <c r="AK2094" s="25"/>
      <c r="AL2094" s="25"/>
      <c r="AM2094" s="25"/>
      <c r="AN2094" s="25"/>
      <c r="AO2094" s="25"/>
      <c r="AP2094" s="25"/>
      <c r="AQ2094" s="25"/>
      <c r="AR2094" s="25"/>
      <c r="AS2094" s="25"/>
      <c r="AT2094" s="25"/>
      <c r="AU2094" s="36"/>
      <c r="AV2094" s="36"/>
      <c r="AW2094" s="36"/>
      <c r="AX2094" s="25"/>
      <c r="AY2094" s="25"/>
      <c r="AZ2094" s="25"/>
      <c r="BA2094" s="25"/>
      <c r="BB2094" s="25"/>
      <c r="BC2094" s="25"/>
      <c r="BD2094" s="25"/>
      <c r="BE2094" s="25"/>
      <c r="BF2094" s="25"/>
      <c r="BG2094" s="25"/>
      <c r="BH2094" s="25"/>
      <c r="BI2094" s="25"/>
      <c r="BJ2094" s="25"/>
      <c r="BK2094" s="25"/>
      <c r="BL2094" s="25"/>
      <c r="BM2094" s="25"/>
      <c r="BN2094" s="25"/>
      <c r="BO2094" s="25"/>
      <c r="BP2094" s="25"/>
      <c r="BQ2094" s="25"/>
      <c r="BR2094" s="25"/>
      <c r="BS2094" s="25"/>
      <c r="BT2094" s="25"/>
      <c r="BU2094"/>
      <c r="BV2094"/>
      <c r="BW2094"/>
      <c r="BX2094"/>
      <c r="BY2094"/>
      <c r="BZ2094"/>
      <c r="CA2094"/>
      <c r="CB2094"/>
      <c r="CC2094"/>
      <c r="CD2094" s="25"/>
    </row>
    <row r="2095" spans="1:82" s="17" customFormat="1" x14ac:dyDescent="0.2">
      <c r="A2095" s="25"/>
      <c r="B2095" s="20">
        <v>39151710300</v>
      </c>
      <c r="C2095" s="20">
        <v>7103</v>
      </c>
      <c r="D2095" s="20" t="s">
        <v>81</v>
      </c>
      <c r="E2095" s="20" t="s">
        <v>2844</v>
      </c>
      <c r="F2095" s="20" t="s">
        <v>8</v>
      </c>
      <c r="G2095" s="861">
        <v>42.949417251288303</v>
      </c>
      <c r="H2095" s="861">
        <v>54.370044240384502</v>
      </c>
      <c r="I2095" s="861">
        <v>31.523619704669201</v>
      </c>
      <c r="J2095" s="861">
        <v>41.888386040102901</v>
      </c>
      <c r="K2095" s="982">
        <v>0</v>
      </c>
      <c r="L2095" s="735">
        <v>3436</v>
      </c>
      <c r="M2095" s="735">
        <v>3687</v>
      </c>
      <c r="N2095" s="845">
        <f t="shared" si="167"/>
        <v>7.3050058207217688E-2</v>
      </c>
      <c r="O2095" s="735">
        <v>1.038451099298676</v>
      </c>
      <c r="P2095" s="735">
        <f t="shared" si="168"/>
        <v>3550.4801357425854</v>
      </c>
      <c r="Q2095" s="849">
        <v>35.799999999999997</v>
      </c>
      <c r="R2095" s="71">
        <v>62002</v>
      </c>
      <c r="S2095" s="845">
        <v>0.24445661100465371</v>
      </c>
      <c r="T2095" s="845">
        <v>2.7999999999999997E-2</v>
      </c>
      <c r="U2095" s="845">
        <v>0</v>
      </c>
      <c r="V2095" s="845">
        <v>4.5999999999999999E-2</v>
      </c>
      <c r="W2095" s="845">
        <v>0.49624060150375937</v>
      </c>
      <c r="X2095" s="845">
        <v>0.19146005509641872</v>
      </c>
      <c r="Y2095" s="845">
        <v>0.84431787360998101</v>
      </c>
      <c r="Z2095" s="845">
        <v>9.0859777596962302E-2</v>
      </c>
      <c r="AA2095" s="845">
        <v>1.817195551939246E-2</v>
      </c>
      <c r="AB2095" s="845">
        <v>0</v>
      </c>
      <c r="AC2095" s="845">
        <v>0</v>
      </c>
      <c r="AD2095" s="845">
        <v>2.007051803634391E-2</v>
      </c>
      <c r="AE2095" s="845">
        <v>2.6579875237320316E-2</v>
      </c>
      <c r="AF2095" s="845">
        <v>2.2240303770002714E-2</v>
      </c>
      <c r="AG2095" s="845">
        <v>0.84024952535937081</v>
      </c>
      <c r="AH2095" s="20" t="str">
        <f t="shared" si="169"/>
        <v>No</v>
      </c>
      <c r="AI2095" s="25"/>
      <c r="AJ2095" s="25"/>
      <c r="AK2095" s="25"/>
      <c r="AL2095" s="25"/>
      <c r="AM2095" s="25"/>
      <c r="AN2095" s="25"/>
      <c r="AO2095" s="25"/>
      <c r="AP2095" s="25"/>
      <c r="AQ2095" s="25"/>
      <c r="AR2095" s="25"/>
      <c r="AS2095" s="25"/>
      <c r="AT2095" s="25"/>
      <c r="AU2095" s="36"/>
      <c r="AV2095" s="36"/>
      <c r="AW2095" s="36"/>
      <c r="AX2095" s="25"/>
      <c r="AY2095" s="25"/>
      <c r="AZ2095" s="25"/>
      <c r="BA2095" s="25"/>
      <c r="BB2095" s="25"/>
      <c r="BC2095" s="25"/>
      <c r="BD2095" s="25"/>
      <c r="BE2095" s="25"/>
      <c r="BF2095" s="25"/>
      <c r="BG2095" s="25"/>
      <c r="BH2095" s="25"/>
      <c r="BI2095" s="25"/>
      <c r="BJ2095" s="25"/>
      <c r="BK2095" s="25"/>
      <c r="BL2095" s="25"/>
      <c r="BM2095" s="25"/>
      <c r="BN2095" s="25"/>
      <c r="BO2095" s="25"/>
      <c r="BP2095" s="25"/>
      <c r="BQ2095" s="25"/>
      <c r="BR2095" s="25"/>
      <c r="BS2095" s="25"/>
      <c r="BT2095" s="25"/>
      <c r="BU2095"/>
      <c r="BV2095"/>
      <c r="BW2095"/>
      <c r="BX2095"/>
      <c r="BY2095"/>
      <c r="BZ2095"/>
      <c r="CA2095"/>
      <c r="CB2095"/>
      <c r="CC2095"/>
      <c r="CD2095" s="25"/>
    </row>
    <row r="2096" spans="1:82" s="17" customFormat="1" x14ac:dyDescent="0.2">
      <c r="A2096" s="25"/>
      <c r="B2096" s="20">
        <v>39041012300</v>
      </c>
      <c r="C2096" s="20">
        <v>123</v>
      </c>
      <c r="D2096" s="20" t="s">
        <v>27</v>
      </c>
      <c r="E2096" s="20" t="s">
        <v>2830</v>
      </c>
      <c r="F2096" s="20" t="s">
        <v>8</v>
      </c>
      <c r="G2096" s="861">
        <v>42.938566430545798</v>
      </c>
      <c r="H2096" s="861">
        <v>55.0532377250669</v>
      </c>
      <c r="I2096" s="861">
        <v>35.050661206630899</v>
      </c>
      <c r="J2096" s="861">
        <v>58.495807311801599</v>
      </c>
      <c r="K2096" s="982">
        <v>0</v>
      </c>
      <c r="L2096" s="735">
        <v>4379</v>
      </c>
      <c r="M2096" s="735">
        <v>5093</v>
      </c>
      <c r="N2096" s="845">
        <f t="shared" si="167"/>
        <v>0.16305092486869149</v>
      </c>
      <c r="O2096" s="735">
        <v>30.32803845574411</v>
      </c>
      <c r="P2096" s="735">
        <f t="shared" si="168"/>
        <v>167.93041222998679</v>
      </c>
      <c r="Q2096" s="849">
        <v>44</v>
      </c>
      <c r="R2096" s="71">
        <v>103487</v>
      </c>
      <c r="S2096" s="845">
        <v>8.0047553001783234E-2</v>
      </c>
      <c r="T2096" s="845">
        <v>2.8999999999999998E-2</v>
      </c>
      <c r="U2096" s="845">
        <v>1.4999999999999999E-2</v>
      </c>
      <c r="V2096" s="845">
        <v>7.6999999999999999E-2</v>
      </c>
      <c r="W2096" s="845">
        <v>0.15993359158826784</v>
      </c>
      <c r="X2096" s="845">
        <v>0.48096885813148788</v>
      </c>
      <c r="Y2096" s="845">
        <v>0.9251914392303161</v>
      </c>
      <c r="Z2096" s="845">
        <v>3.0237580993520519E-2</v>
      </c>
      <c r="AA2096" s="845">
        <v>5.8904378558806208E-4</v>
      </c>
      <c r="AB2096" s="845">
        <v>2.7488709994109564E-3</v>
      </c>
      <c r="AC2096" s="845">
        <v>0</v>
      </c>
      <c r="AD2096" s="845">
        <v>5.1050461417632047E-3</v>
      </c>
      <c r="AE2096" s="845">
        <v>3.6128018849401138E-2</v>
      </c>
      <c r="AF2096" s="845">
        <v>1.6100530139407029E-2</v>
      </c>
      <c r="AG2096" s="845">
        <v>0.91910465344590619</v>
      </c>
      <c r="AH2096" s="20" t="str">
        <f t="shared" si="169"/>
        <v>Yes</v>
      </c>
      <c r="AI2096" s="25"/>
      <c r="AJ2096" s="25"/>
      <c r="AK2096" s="25"/>
      <c r="AL2096" s="25"/>
      <c r="AM2096" s="25"/>
      <c r="AN2096" s="25"/>
      <c r="AO2096" s="25"/>
      <c r="AP2096" s="25"/>
      <c r="AQ2096" s="25"/>
      <c r="AR2096" s="25"/>
      <c r="AS2096" s="25"/>
      <c r="AT2096" s="25"/>
      <c r="AU2096" s="36"/>
      <c r="AV2096" s="36"/>
      <c r="AW2096" s="36"/>
      <c r="AX2096" s="25"/>
      <c r="AY2096" s="25"/>
      <c r="AZ2096" s="25"/>
      <c r="BA2096" s="25"/>
      <c r="BB2096" s="25"/>
      <c r="BC2096" s="25"/>
      <c r="BD2096" s="25"/>
      <c r="BE2096" s="25"/>
      <c r="BF2096" s="25"/>
      <c r="BG2096" s="25"/>
      <c r="BH2096" s="25"/>
      <c r="BI2096" s="25"/>
      <c r="BJ2096" s="25"/>
      <c r="BK2096" s="25"/>
      <c r="BL2096" s="25"/>
      <c r="BM2096" s="25"/>
      <c r="BN2096" s="25"/>
      <c r="BO2096" s="25"/>
      <c r="BP2096" s="25"/>
      <c r="BQ2096" s="25"/>
      <c r="BR2096" s="25"/>
      <c r="BS2096" s="25"/>
      <c r="BT2096" s="25"/>
      <c r="BU2096"/>
      <c r="BV2096"/>
      <c r="BW2096"/>
      <c r="BX2096"/>
      <c r="BY2096"/>
      <c r="BZ2096"/>
      <c r="CA2096"/>
      <c r="CB2096"/>
      <c r="CC2096"/>
      <c r="CD2096" s="25"/>
    </row>
    <row r="2097" spans="1:82" s="17" customFormat="1" x14ac:dyDescent="0.2">
      <c r="A2097" s="25"/>
      <c r="B2097" s="20">
        <v>39153510200</v>
      </c>
      <c r="C2097" s="20">
        <v>5102</v>
      </c>
      <c r="D2097" s="20" t="s">
        <v>82</v>
      </c>
      <c r="E2097" s="20" t="s">
        <v>2843</v>
      </c>
      <c r="F2097" s="20" t="s">
        <v>8</v>
      </c>
      <c r="G2097" s="861">
        <v>42.917962768711597</v>
      </c>
      <c r="H2097" s="861">
        <v>55.654647933247503</v>
      </c>
      <c r="I2097" s="861">
        <v>24.4245362062209</v>
      </c>
      <c r="J2097" s="861">
        <v>43.728576131414499</v>
      </c>
      <c r="K2097" s="982">
        <v>0</v>
      </c>
      <c r="L2097" s="735">
        <v>4224</v>
      </c>
      <c r="M2097" s="735">
        <v>4219</v>
      </c>
      <c r="N2097" s="845">
        <f t="shared" si="167"/>
        <v>-1.1837121212121212E-3</v>
      </c>
      <c r="O2097" s="735">
        <v>1.1206429824112205</v>
      </c>
      <c r="P2097" s="735">
        <f t="shared" si="168"/>
        <v>3764.8029445758275</v>
      </c>
      <c r="Q2097" s="849">
        <v>35.6</v>
      </c>
      <c r="R2097" s="71">
        <v>59806</v>
      </c>
      <c r="S2097" s="845">
        <v>9.6628679962013297E-2</v>
      </c>
      <c r="T2097" s="845">
        <v>6.0999999999999999E-2</v>
      </c>
      <c r="U2097" s="845">
        <v>0</v>
      </c>
      <c r="V2097" s="845">
        <v>0</v>
      </c>
      <c r="W2097" s="845">
        <v>0.30544747081712065</v>
      </c>
      <c r="X2097" s="845">
        <v>0.19957537154989385</v>
      </c>
      <c r="Y2097" s="845">
        <v>0.84190566484949036</v>
      </c>
      <c r="Z2097" s="845">
        <v>0.10334202417634511</v>
      </c>
      <c r="AA2097" s="845">
        <v>0</v>
      </c>
      <c r="AB2097" s="845">
        <v>0</v>
      </c>
      <c r="AC2097" s="845">
        <v>0</v>
      </c>
      <c r="AD2097" s="845">
        <v>2.0146954254562692E-2</v>
      </c>
      <c r="AE2097" s="845">
        <v>3.4605356719601799E-2</v>
      </c>
      <c r="AF2097" s="845">
        <v>2.5124437070395828E-2</v>
      </c>
      <c r="AG2097" s="845">
        <v>0.84190566484949036</v>
      </c>
      <c r="AH2097" s="20" t="str">
        <f t="shared" si="169"/>
        <v>No</v>
      </c>
      <c r="AI2097" s="25"/>
      <c r="AJ2097" s="25"/>
      <c r="AK2097" s="25"/>
      <c r="AL2097" s="25"/>
      <c r="AM2097" s="25"/>
      <c r="AN2097" s="25"/>
      <c r="AO2097" s="25"/>
      <c r="AP2097" s="25"/>
      <c r="AQ2097" s="25"/>
      <c r="AR2097" s="25"/>
      <c r="AS2097" s="25"/>
      <c r="AT2097" s="25"/>
      <c r="AU2097" s="36"/>
      <c r="AV2097" s="36"/>
      <c r="AW2097" s="36"/>
      <c r="AX2097" s="25"/>
      <c r="AY2097" s="25"/>
      <c r="AZ2097" s="25"/>
      <c r="BA2097" s="25"/>
      <c r="BB2097" s="25"/>
      <c r="BC2097" s="25"/>
      <c r="BD2097" s="25"/>
      <c r="BE2097" s="25"/>
      <c r="BF2097" s="25"/>
      <c r="BG2097" s="25"/>
      <c r="BH2097" s="25"/>
      <c r="BI2097" s="25"/>
      <c r="BJ2097" s="25"/>
      <c r="BK2097" s="25"/>
      <c r="BL2097" s="25"/>
      <c r="BM2097" s="25"/>
      <c r="BN2097" s="25"/>
      <c r="BO2097" s="25"/>
      <c r="BP2097" s="25"/>
      <c r="BQ2097" s="25"/>
      <c r="BR2097" s="25"/>
      <c r="BS2097" s="25"/>
      <c r="BT2097" s="25"/>
      <c r="BU2097"/>
      <c r="BV2097"/>
      <c r="BW2097"/>
      <c r="BX2097"/>
      <c r="BY2097"/>
      <c r="BZ2097"/>
      <c r="CA2097"/>
      <c r="CB2097"/>
      <c r="CC2097"/>
      <c r="CD2097" s="25"/>
    </row>
    <row r="2098" spans="1:82" s="17" customFormat="1" x14ac:dyDescent="0.2">
      <c r="A2098" s="25"/>
      <c r="B2098" s="20">
        <v>39035175110</v>
      </c>
      <c r="C2098" s="20">
        <v>1751.1</v>
      </c>
      <c r="D2098" s="20" t="s">
        <v>24</v>
      </c>
      <c r="E2098" s="20" t="s">
        <v>2829</v>
      </c>
      <c r="F2098" s="20" t="s">
        <v>8</v>
      </c>
      <c r="G2098" s="861">
        <v>42.906204000536597</v>
      </c>
      <c r="H2098" s="861">
        <v>50.789146896402002</v>
      </c>
      <c r="I2098" s="861">
        <v>25.8950786266569</v>
      </c>
      <c r="J2098" s="861">
        <v>38.010557927303999</v>
      </c>
      <c r="K2098" s="982">
        <v>0</v>
      </c>
      <c r="L2098" s="735" t="s">
        <v>2466</v>
      </c>
      <c r="M2098" s="735">
        <v>5563</v>
      </c>
      <c r="N2098" s="845" t="str">
        <f t="shared" si="167"/>
        <v/>
      </c>
      <c r="O2098" s="735">
        <v>2.1342970566764494</v>
      </c>
      <c r="P2098" s="735">
        <f t="shared" si="168"/>
        <v>2606.4787854146057</v>
      </c>
      <c r="Q2098" s="849">
        <v>37.200000000000003</v>
      </c>
      <c r="R2098" s="71">
        <v>64738</v>
      </c>
      <c r="S2098" s="845">
        <v>5.377697841726619E-2</v>
      </c>
      <c r="T2098" s="845">
        <v>0.02</v>
      </c>
      <c r="U2098" s="845">
        <v>0</v>
      </c>
      <c r="V2098" s="845">
        <v>1.7000000000000001E-2</v>
      </c>
      <c r="W2098" s="845">
        <v>0.3991499227202473</v>
      </c>
      <c r="X2098" s="845">
        <v>0.23330106485963215</v>
      </c>
      <c r="Y2098" s="845">
        <v>0.84540715441308645</v>
      </c>
      <c r="Z2098" s="845">
        <v>6.8308466654682723E-3</v>
      </c>
      <c r="AA2098" s="845">
        <v>1.5818802804242315E-2</v>
      </c>
      <c r="AB2098" s="845">
        <v>6.9027503145784652E-2</v>
      </c>
      <c r="AC2098" s="845">
        <v>0</v>
      </c>
      <c r="AD2098" s="845">
        <v>1.0785547366528852E-2</v>
      </c>
      <c r="AE2098" s="845">
        <v>5.2130145604889447E-2</v>
      </c>
      <c r="AF2098" s="845">
        <v>8.6464138055006287E-2</v>
      </c>
      <c r="AG2098" s="845">
        <v>0.82042063634729467</v>
      </c>
      <c r="AH2098" s="20" t="str">
        <f t="shared" si="169"/>
        <v>No</v>
      </c>
      <c r="AI2098" s="25"/>
      <c r="AJ2098" s="25"/>
      <c r="AK2098" s="25"/>
      <c r="AL2098" s="25"/>
      <c r="AM2098" s="25"/>
      <c r="AN2098" s="25"/>
      <c r="AO2098" s="25"/>
      <c r="AP2098" s="25"/>
      <c r="AQ2098" s="25"/>
      <c r="AR2098" s="25"/>
      <c r="AS2098" s="25"/>
      <c r="AT2098" s="25"/>
      <c r="AU2098" s="36"/>
      <c r="AV2098" s="36"/>
      <c r="AW2098" s="36"/>
      <c r="AX2098" s="25"/>
      <c r="AY2098" s="25"/>
      <c r="AZ2098" s="25"/>
      <c r="BA2098" s="25"/>
      <c r="BB2098" s="25"/>
      <c r="BC2098" s="25"/>
      <c r="BD2098" s="25"/>
      <c r="BE2098" s="25"/>
      <c r="BF2098" s="25"/>
      <c r="BG2098" s="25"/>
      <c r="BH2098" s="25"/>
      <c r="BI2098" s="25"/>
      <c r="BJ2098" s="25"/>
      <c r="BK2098" s="25"/>
      <c r="BL2098" s="25"/>
      <c r="BM2098" s="25"/>
      <c r="BN2098" s="25"/>
      <c r="BO2098" s="25"/>
      <c r="BP2098" s="25"/>
      <c r="BQ2098" s="25"/>
      <c r="BR2098" s="25"/>
      <c r="BS2098" s="25"/>
      <c r="BT2098" s="25"/>
      <c r="BU2098"/>
      <c r="BV2098"/>
      <c r="BW2098"/>
      <c r="BX2098"/>
      <c r="BY2098"/>
      <c r="BZ2098"/>
      <c r="CA2098"/>
      <c r="CB2098"/>
      <c r="CC2098"/>
      <c r="CD2098" s="25"/>
    </row>
    <row r="2099" spans="1:82" s="17" customFormat="1" x14ac:dyDescent="0.2">
      <c r="A2099" s="25"/>
      <c r="B2099" s="20">
        <v>39037510100</v>
      </c>
      <c r="C2099" s="20">
        <v>5101</v>
      </c>
      <c r="D2099" s="20" t="s">
        <v>25</v>
      </c>
      <c r="E2099" s="20" t="s">
        <v>265</v>
      </c>
      <c r="F2099" s="20" t="s">
        <v>8</v>
      </c>
      <c r="G2099" s="861">
        <v>42.901248872896403</v>
      </c>
      <c r="H2099" s="861">
        <v>49.027374554968198</v>
      </c>
      <c r="I2099" s="861">
        <v>32.966124340446498</v>
      </c>
      <c r="J2099" s="861">
        <v>34.0181312024745</v>
      </c>
      <c r="K2099" s="982">
        <v>0</v>
      </c>
      <c r="L2099" s="735">
        <v>3898</v>
      </c>
      <c r="M2099" s="735">
        <v>4152</v>
      </c>
      <c r="N2099" s="845">
        <f t="shared" si="167"/>
        <v>6.5161621344279122E-2</v>
      </c>
      <c r="O2099" s="735">
        <v>62.554072497267178</v>
      </c>
      <c r="P2099" s="735">
        <f t="shared" si="168"/>
        <v>66.374575375270567</v>
      </c>
      <c r="Q2099" s="849">
        <v>34.4</v>
      </c>
      <c r="R2099" s="71">
        <v>49278</v>
      </c>
      <c r="S2099" s="845">
        <v>0.21905234433143142</v>
      </c>
      <c r="T2099" s="845">
        <v>5.7999999999999996E-2</v>
      </c>
      <c r="U2099" s="845">
        <v>0</v>
      </c>
      <c r="V2099" s="845">
        <v>0</v>
      </c>
      <c r="W2099" s="845">
        <v>0.28589580686149935</v>
      </c>
      <c r="X2099" s="845">
        <v>0.19333333333333333</v>
      </c>
      <c r="Y2099" s="845">
        <v>0.92052023121387283</v>
      </c>
      <c r="Z2099" s="845">
        <v>2.4084778420038534E-3</v>
      </c>
      <c r="AA2099" s="845">
        <v>0</v>
      </c>
      <c r="AB2099" s="845">
        <v>1.5173410404624277E-2</v>
      </c>
      <c r="AC2099" s="845">
        <v>0</v>
      </c>
      <c r="AD2099" s="845">
        <v>1.0597302504816955E-2</v>
      </c>
      <c r="AE2099" s="845">
        <v>5.1300578034682083E-2</v>
      </c>
      <c r="AF2099" s="845">
        <v>7.0809248554913301E-2</v>
      </c>
      <c r="AG2099" s="845">
        <v>0.9002890173410405</v>
      </c>
      <c r="AH2099" s="20" t="str">
        <f t="shared" si="169"/>
        <v>Yes</v>
      </c>
      <c r="AI2099" s="25"/>
      <c r="AJ2099" s="25"/>
      <c r="AK2099" s="25"/>
      <c r="AL2099" s="25"/>
      <c r="AM2099" s="25"/>
      <c r="AN2099" s="25"/>
      <c r="AO2099" s="25"/>
      <c r="AP2099" s="25"/>
      <c r="AQ2099" s="25"/>
      <c r="AR2099" s="25"/>
      <c r="AS2099" s="25"/>
      <c r="AT2099" s="25"/>
      <c r="AU2099" s="36"/>
      <c r="AV2099" s="36"/>
      <c r="AW2099" s="36"/>
      <c r="AX2099" s="25"/>
      <c r="AY2099" s="25"/>
      <c r="AZ2099" s="25"/>
      <c r="BA2099" s="25"/>
      <c r="BB2099" s="25"/>
      <c r="BC2099" s="25"/>
      <c r="BD2099" s="25"/>
      <c r="BE2099" s="25"/>
      <c r="BF2099" s="25"/>
      <c r="BG2099" s="25"/>
      <c r="BH2099" s="25"/>
      <c r="BI2099" s="25"/>
      <c r="BJ2099" s="25"/>
      <c r="BK2099" s="25"/>
      <c r="BL2099" s="25"/>
      <c r="BM2099" s="25"/>
      <c r="BN2099" s="25"/>
      <c r="BO2099" s="25"/>
      <c r="BP2099" s="25"/>
      <c r="BQ2099" s="25"/>
      <c r="BR2099" s="25"/>
      <c r="BS2099" s="25"/>
      <c r="BT2099" s="25"/>
      <c r="BU2099"/>
      <c r="BV2099"/>
      <c r="BW2099"/>
      <c r="BX2099"/>
      <c r="BY2099"/>
      <c r="BZ2099"/>
      <c r="CA2099"/>
      <c r="CB2099"/>
      <c r="CC2099"/>
      <c r="CD2099" s="25"/>
    </row>
    <row r="2100" spans="1:82" s="17" customFormat="1" x14ac:dyDescent="0.2">
      <c r="A2100" s="25"/>
      <c r="B2100" s="20">
        <v>39113030200</v>
      </c>
      <c r="C2100" s="20">
        <v>302</v>
      </c>
      <c r="D2100" s="20" t="s">
        <v>62</v>
      </c>
      <c r="E2100" s="20" t="s">
        <v>2833</v>
      </c>
      <c r="F2100" s="20" t="s">
        <v>8</v>
      </c>
      <c r="G2100" s="861">
        <v>42.897861444284899</v>
      </c>
      <c r="H2100" s="861">
        <v>50.149634770930398</v>
      </c>
      <c r="I2100" s="861">
        <v>36.102168954276003</v>
      </c>
      <c r="J2100" s="861">
        <v>37.854688252204397</v>
      </c>
      <c r="K2100" s="982">
        <v>0</v>
      </c>
      <c r="L2100" s="735">
        <v>2925</v>
      </c>
      <c r="M2100" s="735">
        <v>3012</v>
      </c>
      <c r="N2100" s="845">
        <f t="shared" si="167"/>
        <v>2.9743589743589743E-2</v>
      </c>
      <c r="O2100" s="735">
        <v>2.9553730267896867</v>
      </c>
      <c r="P2100" s="735">
        <f t="shared" si="168"/>
        <v>1019.1606855368187</v>
      </c>
      <c r="Q2100" s="849">
        <v>33.700000000000003</v>
      </c>
      <c r="R2100" s="71">
        <v>64821</v>
      </c>
      <c r="S2100" s="845">
        <v>0.27645639434677699</v>
      </c>
      <c r="T2100" s="845">
        <v>6.8000000000000005E-2</v>
      </c>
      <c r="U2100" s="845">
        <v>0</v>
      </c>
      <c r="V2100" s="845">
        <v>0</v>
      </c>
      <c r="W2100" s="845">
        <v>0.23932472691161866</v>
      </c>
      <c r="X2100" s="845">
        <v>0.55601659751037347</v>
      </c>
      <c r="Y2100" s="845">
        <v>0.70351925630810097</v>
      </c>
      <c r="Z2100" s="845">
        <v>0.13014608233731739</v>
      </c>
      <c r="AA2100" s="845">
        <v>0</v>
      </c>
      <c r="AB2100" s="845">
        <v>1.4276228419654714E-2</v>
      </c>
      <c r="AC2100" s="845">
        <v>0</v>
      </c>
      <c r="AD2100" s="845">
        <v>2.2908366533864542E-2</v>
      </c>
      <c r="AE2100" s="845">
        <v>0.12915006640106241</v>
      </c>
      <c r="AF2100" s="845">
        <v>0.11586985391766268</v>
      </c>
      <c r="AG2100" s="845">
        <v>0.69488711819389115</v>
      </c>
      <c r="AH2100" s="20" t="str">
        <f t="shared" si="169"/>
        <v>No</v>
      </c>
      <c r="AI2100" s="25"/>
      <c r="AJ2100" s="25"/>
      <c r="AK2100" s="25"/>
      <c r="AL2100" s="25"/>
      <c r="AM2100" s="25"/>
      <c r="AN2100" s="25"/>
      <c r="AO2100" s="25"/>
      <c r="AP2100" s="25"/>
      <c r="AQ2100" s="25"/>
      <c r="AR2100" s="25"/>
      <c r="AS2100" s="25"/>
      <c r="AT2100" s="25"/>
      <c r="AU2100" s="36"/>
      <c r="AV2100" s="36"/>
      <c r="AW2100" s="36"/>
      <c r="AX2100" s="25"/>
      <c r="AY2100" s="25"/>
      <c r="AZ2100" s="25"/>
      <c r="BA2100" s="25"/>
      <c r="BB2100" s="25"/>
      <c r="BC2100" s="25"/>
      <c r="BD2100" s="25"/>
      <c r="BE2100" s="25"/>
      <c r="BF2100" s="25"/>
      <c r="BG2100" s="25"/>
      <c r="BH2100" s="25"/>
      <c r="BI2100" s="25"/>
      <c r="BJ2100" s="25"/>
      <c r="BK2100" s="25"/>
      <c r="BL2100" s="25"/>
      <c r="BM2100" s="25"/>
      <c r="BN2100" s="25"/>
      <c r="BO2100" s="25"/>
      <c r="BP2100" s="25"/>
      <c r="BQ2100" s="25"/>
      <c r="BR2100" s="25"/>
      <c r="BS2100" s="25"/>
      <c r="BT2100" s="25"/>
      <c r="BU2100"/>
      <c r="BV2100"/>
      <c r="BW2100"/>
      <c r="BX2100"/>
      <c r="BY2100"/>
      <c r="BZ2100"/>
      <c r="CA2100"/>
      <c r="CB2100"/>
      <c r="CC2100"/>
      <c r="CD2100" s="25"/>
    </row>
    <row r="2101" spans="1:82" s="17" customFormat="1" x14ac:dyDescent="0.2">
      <c r="A2101" s="25"/>
      <c r="B2101" s="20">
        <v>39129020400</v>
      </c>
      <c r="C2101" s="20">
        <v>204</v>
      </c>
      <c r="D2101" s="20" t="s">
        <v>70</v>
      </c>
      <c r="E2101" s="20" t="s">
        <v>2830</v>
      </c>
      <c r="F2101" s="20" t="s">
        <v>6</v>
      </c>
      <c r="G2101" s="861">
        <v>42.896370311383698</v>
      </c>
      <c r="H2101" s="861">
        <v>49.044784375863003</v>
      </c>
      <c r="I2101" s="861">
        <v>37.724937779465101</v>
      </c>
      <c r="J2101" s="861">
        <v>45.689670718644798</v>
      </c>
      <c r="K2101" s="982">
        <v>0</v>
      </c>
      <c r="L2101" s="735">
        <v>2634</v>
      </c>
      <c r="M2101" s="735">
        <v>2958</v>
      </c>
      <c r="N2101" s="845">
        <f t="shared" si="167"/>
        <v>0.12300683371298406</v>
      </c>
      <c r="O2101" s="735">
        <v>5.2380097605930711</v>
      </c>
      <c r="P2101" s="735">
        <f t="shared" si="168"/>
        <v>564.71830622650111</v>
      </c>
      <c r="Q2101" s="849">
        <v>37.9</v>
      </c>
      <c r="R2101" s="71">
        <v>41148</v>
      </c>
      <c r="S2101" s="845">
        <v>0.33438375350140054</v>
      </c>
      <c r="T2101" s="845">
        <v>5.5999999999999994E-2</v>
      </c>
      <c r="U2101" s="845">
        <v>0</v>
      </c>
      <c r="V2101" s="845">
        <v>4.4000000000000004E-2</v>
      </c>
      <c r="W2101" s="845">
        <v>0.55427631578947367</v>
      </c>
      <c r="X2101" s="845">
        <v>0.54896142433234418</v>
      </c>
      <c r="Y2101" s="845">
        <v>0.92562542258282621</v>
      </c>
      <c r="Z2101" s="845">
        <v>4.2934415145368492E-2</v>
      </c>
      <c r="AA2101" s="845">
        <v>0</v>
      </c>
      <c r="AB2101" s="845">
        <v>0</v>
      </c>
      <c r="AC2101" s="845">
        <v>0</v>
      </c>
      <c r="AD2101" s="845">
        <v>0</v>
      </c>
      <c r="AE2101" s="845">
        <v>3.1440162271805273E-2</v>
      </c>
      <c r="AF2101" s="845">
        <v>5.0709939148073022E-3</v>
      </c>
      <c r="AG2101" s="845">
        <v>0.92562542258282621</v>
      </c>
      <c r="AH2101" s="20" t="str">
        <f t="shared" si="169"/>
        <v>Yes</v>
      </c>
      <c r="AI2101" s="25"/>
      <c r="AJ2101" s="25"/>
      <c r="AK2101" s="25"/>
      <c r="AL2101" s="25"/>
      <c r="AM2101" s="25"/>
      <c r="AN2101" s="25"/>
      <c r="AO2101" s="25"/>
      <c r="AP2101" s="25"/>
      <c r="AQ2101" s="25"/>
      <c r="AR2101" s="25"/>
      <c r="AS2101" s="25"/>
      <c r="AT2101" s="25"/>
      <c r="AU2101" s="36"/>
      <c r="AV2101" s="36"/>
      <c r="AW2101" s="36"/>
      <c r="AX2101" s="25"/>
      <c r="AY2101" s="25"/>
      <c r="AZ2101" s="25"/>
      <c r="BA2101" s="25"/>
      <c r="BB2101" s="25"/>
      <c r="BC2101" s="25"/>
      <c r="BD2101" s="25"/>
      <c r="BE2101" s="25"/>
      <c r="BF2101" s="25"/>
      <c r="BG2101" s="25"/>
      <c r="BH2101" s="25"/>
      <c r="BI2101" s="25"/>
      <c r="BJ2101" s="25"/>
      <c r="BK2101" s="25"/>
      <c r="BL2101" s="25"/>
      <c r="BM2101" s="25"/>
      <c r="BN2101" s="25"/>
      <c r="BO2101" s="25"/>
      <c r="BP2101" s="25"/>
      <c r="BQ2101" s="25"/>
      <c r="BR2101" s="25"/>
      <c r="BS2101" s="25"/>
      <c r="BT2101" s="25"/>
      <c r="BU2101"/>
      <c r="BV2101"/>
      <c r="BW2101"/>
      <c r="BX2101"/>
      <c r="BY2101"/>
      <c r="BZ2101"/>
      <c r="CA2101"/>
      <c r="CB2101"/>
      <c r="CC2101"/>
      <c r="CD2101" s="25"/>
    </row>
    <row r="2102" spans="1:82" s="17" customFormat="1" x14ac:dyDescent="0.2">
      <c r="A2102" s="25"/>
      <c r="B2102" s="20">
        <v>39113020400</v>
      </c>
      <c r="C2102" s="20">
        <v>204</v>
      </c>
      <c r="D2102" s="20" t="s">
        <v>62</v>
      </c>
      <c r="E2102" s="20" t="s">
        <v>2833</v>
      </c>
      <c r="F2102" s="20" t="s">
        <v>8</v>
      </c>
      <c r="G2102" s="861">
        <v>42.851626588385002</v>
      </c>
      <c r="H2102" s="861">
        <v>51.253976944644798</v>
      </c>
      <c r="I2102" s="861">
        <v>32.7635425221427</v>
      </c>
      <c r="J2102" s="861">
        <v>35.209375105367897</v>
      </c>
      <c r="K2102" s="982">
        <v>0</v>
      </c>
      <c r="L2102" s="735">
        <v>6462</v>
      </c>
      <c r="M2102" s="735">
        <v>6965</v>
      </c>
      <c r="N2102" s="845">
        <f t="shared" si="167"/>
        <v>7.7839678118229644E-2</v>
      </c>
      <c r="O2102" s="735">
        <v>2.8689552555513469</v>
      </c>
      <c r="P2102" s="735">
        <f t="shared" si="168"/>
        <v>2427.7130103451154</v>
      </c>
      <c r="Q2102" s="849">
        <v>39</v>
      </c>
      <c r="R2102" s="71">
        <v>75486</v>
      </c>
      <c r="S2102" s="845">
        <v>0.2078593588417787</v>
      </c>
      <c r="T2102" s="845">
        <v>4.8000000000000001E-2</v>
      </c>
      <c r="U2102" s="845">
        <v>0.02</v>
      </c>
      <c r="V2102" s="845">
        <v>0</v>
      </c>
      <c r="W2102" s="845">
        <v>0.37789661319073081</v>
      </c>
      <c r="X2102" s="845">
        <v>0.35</v>
      </c>
      <c r="Y2102" s="845">
        <v>0.82455132806891596</v>
      </c>
      <c r="Z2102" s="845">
        <v>9.3180186647523325E-2</v>
      </c>
      <c r="AA2102" s="845">
        <v>0</v>
      </c>
      <c r="AB2102" s="845">
        <v>9.1888011486001443E-3</v>
      </c>
      <c r="AC2102" s="845">
        <v>4.3072505384063173E-4</v>
      </c>
      <c r="AD2102" s="845">
        <v>3.4458004307250538E-2</v>
      </c>
      <c r="AE2102" s="845">
        <v>3.819095477386935E-2</v>
      </c>
      <c r="AF2102" s="845">
        <v>2.7709978463747308E-2</v>
      </c>
      <c r="AG2102" s="845">
        <v>0.81220387652548454</v>
      </c>
      <c r="AH2102" s="20" t="str">
        <f t="shared" si="169"/>
        <v>No</v>
      </c>
      <c r="AI2102" s="25"/>
      <c r="AJ2102" s="25"/>
      <c r="AK2102" s="25"/>
      <c r="AL2102" s="25"/>
      <c r="AM2102" s="25"/>
      <c r="AN2102" s="25"/>
      <c r="AO2102" s="25"/>
      <c r="AP2102" s="25"/>
      <c r="AQ2102" s="25"/>
      <c r="AR2102" s="25"/>
      <c r="AS2102" s="25"/>
      <c r="AT2102" s="25"/>
      <c r="AU2102" s="36"/>
      <c r="AV2102" s="36"/>
      <c r="AW2102" s="36"/>
      <c r="AX2102" s="25"/>
      <c r="AY2102" s="25"/>
      <c r="AZ2102" s="25"/>
      <c r="BA2102" s="25"/>
      <c r="BB2102" s="25"/>
      <c r="BC2102" s="25"/>
      <c r="BD2102" s="25"/>
      <c r="BE2102" s="25"/>
      <c r="BF2102" s="25"/>
      <c r="BG2102" s="25"/>
      <c r="BH2102" s="25"/>
      <c r="BI2102" s="25"/>
      <c r="BJ2102" s="25"/>
      <c r="BK2102" s="25"/>
      <c r="BL2102" s="25"/>
      <c r="BM2102" s="25"/>
      <c r="BN2102" s="25"/>
      <c r="BO2102" s="25"/>
      <c r="BP2102" s="25"/>
      <c r="BQ2102" s="25"/>
      <c r="BR2102" s="25"/>
      <c r="BS2102" s="25"/>
      <c r="BT2102" s="25"/>
      <c r="BU2102"/>
      <c r="BV2102"/>
      <c r="BW2102"/>
      <c r="BX2102"/>
      <c r="BY2102"/>
      <c r="BZ2102"/>
      <c r="CA2102"/>
      <c r="CB2102"/>
      <c r="CC2102"/>
      <c r="CD2102" s="25"/>
    </row>
    <row r="2103" spans="1:82" s="17" customFormat="1" x14ac:dyDescent="0.2">
      <c r="A2103" s="25"/>
      <c r="B2103" s="20">
        <v>39127966302</v>
      </c>
      <c r="C2103" s="20">
        <v>9663.02</v>
      </c>
      <c r="D2103" s="20" t="s">
        <v>69</v>
      </c>
      <c r="E2103" s="20" t="s">
        <v>2830</v>
      </c>
      <c r="F2103" s="20" t="s">
        <v>8</v>
      </c>
      <c r="G2103" s="861">
        <v>42.844701937318597</v>
      </c>
      <c r="H2103" s="861">
        <v>36.972893337884699</v>
      </c>
      <c r="I2103" s="861">
        <v>23.656307060453901</v>
      </c>
      <c r="J2103" s="861">
        <v>56.137810059574697</v>
      </c>
      <c r="K2103" s="982">
        <v>0</v>
      </c>
      <c r="L2103" s="735" t="s">
        <v>2466</v>
      </c>
      <c r="M2103" s="735">
        <v>2355</v>
      </c>
      <c r="N2103" s="845" t="str">
        <f t="shared" si="167"/>
        <v/>
      </c>
      <c r="O2103" s="735">
        <v>45.82726906804217</v>
      </c>
      <c r="P2103" s="735">
        <f t="shared" si="168"/>
        <v>51.38861747365759</v>
      </c>
      <c r="Q2103" s="849">
        <v>45.7</v>
      </c>
      <c r="R2103" s="71">
        <v>57688</v>
      </c>
      <c r="S2103" s="845">
        <v>0.11484098939929328</v>
      </c>
      <c r="T2103" s="845">
        <v>0.04</v>
      </c>
      <c r="U2103" s="845">
        <v>0</v>
      </c>
      <c r="V2103" s="845">
        <v>0</v>
      </c>
      <c r="W2103" s="845">
        <v>0.32574974146845914</v>
      </c>
      <c r="X2103" s="845">
        <v>0.30793650793650795</v>
      </c>
      <c r="Y2103" s="845">
        <v>0.98386411889596603</v>
      </c>
      <c r="Z2103" s="845">
        <v>0</v>
      </c>
      <c r="AA2103" s="845">
        <v>0</v>
      </c>
      <c r="AB2103" s="845">
        <v>7.218683651804671E-3</v>
      </c>
      <c r="AC2103" s="845">
        <v>0</v>
      </c>
      <c r="AD2103" s="845">
        <v>0</v>
      </c>
      <c r="AE2103" s="845">
        <v>8.9171974522292991E-3</v>
      </c>
      <c r="AF2103" s="845">
        <v>8.0679405520169851E-3</v>
      </c>
      <c r="AG2103" s="845">
        <v>0.98259023354564756</v>
      </c>
      <c r="AH2103" s="20" t="str">
        <f t="shared" si="169"/>
        <v>Yes</v>
      </c>
      <c r="AI2103" s="25"/>
      <c r="AJ2103" s="25"/>
      <c r="AK2103" s="25"/>
      <c r="AL2103" s="25"/>
      <c r="AM2103" s="25"/>
      <c r="AN2103" s="25"/>
      <c r="AO2103" s="25"/>
      <c r="AP2103" s="25"/>
      <c r="AQ2103" s="25"/>
      <c r="AR2103" s="25"/>
      <c r="AS2103" s="25"/>
      <c r="AT2103" s="25"/>
      <c r="AU2103" s="36"/>
      <c r="AV2103" s="36"/>
      <c r="AW2103" s="36"/>
      <c r="AX2103" s="25"/>
      <c r="AY2103" s="25"/>
      <c r="AZ2103" s="25"/>
      <c r="BA2103" s="25"/>
      <c r="BB2103" s="25"/>
      <c r="BC2103" s="25"/>
      <c r="BD2103" s="25"/>
      <c r="BE2103" s="25"/>
      <c r="BF2103" s="25"/>
      <c r="BG2103" s="25"/>
      <c r="BH2103" s="25"/>
      <c r="BI2103" s="25"/>
      <c r="BJ2103" s="25"/>
      <c r="BK2103" s="25"/>
      <c r="BL2103" s="25"/>
      <c r="BM2103" s="25"/>
      <c r="BN2103" s="25"/>
      <c r="BO2103" s="25"/>
      <c r="BP2103" s="25"/>
      <c r="BQ2103" s="25"/>
      <c r="BR2103" s="25"/>
      <c r="BS2103" s="25"/>
      <c r="BT2103" s="25"/>
      <c r="BU2103"/>
      <c r="BV2103"/>
      <c r="BW2103"/>
      <c r="BX2103"/>
      <c r="BY2103"/>
      <c r="BZ2103"/>
      <c r="CA2103"/>
      <c r="CB2103"/>
      <c r="CC2103"/>
      <c r="CD2103" s="25"/>
    </row>
    <row r="2104" spans="1:82" s="17" customFormat="1" x14ac:dyDescent="0.2">
      <c r="A2104" s="25"/>
      <c r="B2104" s="20">
        <v>39015951700</v>
      </c>
      <c r="C2104" s="20">
        <v>9517</v>
      </c>
      <c r="D2104" s="20" t="s">
        <v>14</v>
      </c>
      <c r="E2104" s="20" t="s">
        <v>265</v>
      </c>
      <c r="F2104" s="20" t="s">
        <v>8</v>
      </c>
      <c r="G2104" s="861">
        <v>42.830340785392899</v>
      </c>
      <c r="H2104" s="861">
        <v>42.424479335201198</v>
      </c>
      <c r="I2104" s="861">
        <v>35.0251330650417</v>
      </c>
      <c r="J2104" s="861">
        <v>56.029077724004999</v>
      </c>
      <c r="K2104" s="982">
        <v>0</v>
      </c>
      <c r="L2104" s="735">
        <v>2735</v>
      </c>
      <c r="M2104" s="735">
        <v>2371</v>
      </c>
      <c r="N2104" s="845">
        <f t="shared" si="167"/>
        <v>-0.13308957952468006</v>
      </c>
      <c r="O2104" s="735">
        <v>29.211695106970975</v>
      </c>
      <c r="P2104" s="735">
        <f t="shared" si="168"/>
        <v>81.166121696039241</v>
      </c>
      <c r="Q2104" s="849">
        <v>38.5</v>
      </c>
      <c r="R2104" s="71">
        <v>48966</v>
      </c>
      <c r="S2104" s="845">
        <v>0.2374313476975074</v>
      </c>
      <c r="T2104" s="845">
        <v>9.3000000000000013E-2</v>
      </c>
      <c r="U2104" s="845">
        <v>2.2000000000000002E-2</v>
      </c>
      <c r="V2104" s="845">
        <v>2.5000000000000001E-2</v>
      </c>
      <c r="W2104" s="845">
        <v>0.3482142857142857</v>
      </c>
      <c r="X2104" s="845">
        <v>0.30769230769230771</v>
      </c>
      <c r="Y2104" s="845">
        <v>0.87768873892872201</v>
      </c>
      <c r="Z2104" s="845">
        <v>2.5305778152678194E-2</v>
      </c>
      <c r="AA2104" s="845">
        <v>0</v>
      </c>
      <c r="AB2104" s="845">
        <v>3.3741037536904259E-3</v>
      </c>
      <c r="AC2104" s="845">
        <v>0</v>
      </c>
      <c r="AD2104" s="845">
        <v>0</v>
      </c>
      <c r="AE2104" s="845">
        <v>9.3631379164909323E-2</v>
      </c>
      <c r="AF2104" s="845">
        <v>1.3074652045550401E-2</v>
      </c>
      <c r="AG2104" s="845">
        <v>0.86630113876001691</v>
      </c>
      <c r="AH2104" s="20" t="str">
        <f t="shared" si="169"/>
        <v>No</v>
      </c>
      <c r="AI2104" s="25"/>
      <c r="AJ2104" s="25"/>
      <c r="AK2104" s="25"/>
      <c r="AL2104" s="25"/>
      <c r="AM2104" s="25"/>
      <c r="AN2104" s="25"/>
      <c r="AO2104" s="25"/>
      <c r="AP2104" s="25"/>
      <c r="AQ2104" s="25"/>
      <c r="AR2104" s="25"/>
      <c r="AS2104" s="25"/>
      <c r="AT2104" s="25"/>
      <c r="AU2104" s="36"/>
      <c r="AV2104" s="36"/>
      <c r="AW2104" s="36"/>
      <c r="AX2104" s="25"/>
      <c r="AY2104" s="25"/>
      <c r="AZ2104" s="25"/>
      <c r="BA2104" s="25"/>
      <c r="BB2104" s="25"/>
      <c r="BC2104" s="25"/>
      <c r="BD2104" s="25"/>
      <c r="BE2104" s="25"/>
      <c r="BF2104" s="25"/>
      <c r="BG2104" s="25"/>
      <c r="BH2104" s="25"/>
      <c r="BI2104" s="25"/>
      <c r="BJ2104" s="25"/>
      <c r="BK2104" s="25"/>
      <c r="BL2104" s="25"/>
      <c r="BM2104" s="25"/>
      <c r="BN2104" s="25"/>
      <c r="BO2104" s="25"/>
      <c r="BP2104" s="25"/>
      <c r="BQ2104" s="25"/>
      <c r="BR2104" s="25"/>
      <c r="BS2104" s="25"/>
      <c r="BT2104" s="25"/>
      <c r="BU2104"/>
      <c r="BV2104"/>
      <c r="BW2104"/>
      <c r="BX2104"/>
      <c r="BY2104"/>
      <c r="BZ2104"/>
      <c r="CA2104"/>
      <c r="CB2104"/>
      <c r="CC2104"/>
      <c r="CD2104" s="25"/>
    </row>
    <row r="2105" spans="1:82" s="17" customFormat="1" x14ac:dyDescent="0.2">
      <c r="A2105" s="25"/>
      <c r="B2105" s="20">
        <v>39165032205</v>
      </c>
      <c r="C2105" s="20">
        <v>322.05</v>
      </c>
      <c r="D2105" s="20" t="s">
        <v>88</v>
      </c>
      <c r="E2105" s="20" t="s">
        <v>2828</v>
      </c>
      <c r="F2105" s="20" t="s">
        <v>8</v>
      </c>
      <c r="G2105" s="861">
        <v>42.8104690549835</v>
      </c>
      <c r="H2105" s="861">
        <v>39.262695858609803</v>
      </c>
      <c r="I2105" s="861">
        <v>25.178586645937699</v>
      </c>
      <c r="J2105" s="861">
        <v>43.872279095678699</v>
      </c>
      <c r="K2105" s="982">
        <v>0</v>
      </c>
      <c r="L2105" s="735" t="s">
        <v>2466</v>
      </c>
      <c r="M2105" s="735">
        <v>10135</v>
      </c>
      <c r="N2105" s="845" t="str">
        <f t="shared" si="167"/>
        <v/>
      </c>
      <c r="O2105" s="735">
        <v>3.983402456623633</v>
      </c>
      <c r="P2105" s="735">
        <f t="shared" si="168"/>
        <v>2544.3073127465295</v>
      </c>
      <c r="Q2105" s="849">
        <v>35.5</v>
      </c>
      <c r="R2105" s="71">
        <v>120298</v>
      </c>
      <c r="S2105" s="845">
        <v>1.7051650639436897E-2</v>
      </c>
      <c r="T2105" s="845">
        <v>3.9E-2</v>
      </c>
      <c r="U2105" s="845">
        <v>0</v>
      </c>
      <c r="V2105" s="845">
        <v>2.6000000000000002E-2</v>
      </c>
      <c r="W2105" s="845">
        <v>9.9166170339487797E-2</v>
      </c>
      <c r="X2105" s="845">
        <v>0.71771771771771775</v>
      </c>
      <c r="Y2105" s="845">
        <v>0.88061174148988652</v>
      </c>
      <c r="Z2105" s="845">
        <v>1.9042920572274295E-2</v>
      </c>
      <c r="AA2105" s="845">
        <v>0</v>
      </c>
      <c r="AB2105" s="845">
        <v>4.301924025653675E-2</v>
      </c>
      <c r="AC2105" s="845">
        <v>0</v>
      </c>
      <c r="AD2105" s="845">
        <v>4.045387271830291E-3</v>
      </c>
      <c r="AE2105" s="845">
        <v>5.3280710409472125E-2</v>
      </c>
      <c r="AF2105" s="845">
        <v>5.288603848051307E-2</v>
      </c>
      <c r="AG2105" s="845">
        <v>0.86679822397631967</v>
      </c>
      <c r="AH2105" s="20" t="str">
        <f t="shared" si="169"/>
        <v>No</v>
      </c>
      <c r="AI2105" s="25"/>
      <c r="AJ2105" s="25"/>
      <c r="AK2105" s="25"/>
      <c r="AL2105" s="25"/>
      <c r="AM2105" s="25"/>
      <c r="AN2105" s="25"/>
      <c r="AO2105" s="25"/>
      <c r="AP2105" s="25"/>
      <c r="AQ2105" s="25"/>
      <c r="AR2105" s="25"/>
      <c r="AS2105" s="25"/>
      <c r="AT2105" s="25"/>
      <c r="AU2105" s="36"/>
      <c r="AV2105" s="36"/>
      <c r="AW2105" s="36"/>
      <c r="AX2105" s="25"/>
      <c r="AY2105" s="25"/>
      <c r="AZ2105" s="25"/>
      <c r="BA2105" s="25"/>
      <c r="BB2105" s="25"/>
      <c r="BC2105" s="25"/>
      <c r="BD2105" s="25"/>
      <c r="BE2105" s="25"/>
      <c r="BF2105" s="25"/>
      <c r="BG2105" s="25"/>
      <c r="BH2105" s="25"/>
      <c r="BI2105" s="25"/>
      <c r="BJ2105" s="25"/>
      <c r="BK2105" s="25"/>
      <c r="BL2105" s="25"/>
      <c r="BM2105" s="25"/>
      <c r="BN2105" s="25"/>
      <c r="BO2105" s="25"/>
      <c r="BP2105" s="25"/>
      <c r="BQ2105" s="25"/>
      <c r="BR2105" s="25"/>
      <c r="BS2105" s="25"/>
      <c r="BT2105" s="25"/>
      <c r="BU2105"/>
      <c r="BV2105"/>
      <c r="BW2105"/>
      <c r="BX2105"/>
      <c r="BY2105"/>
      <c r="BZ2105"/>
      <c r="CA2105"/>
      <c r="CB2105"/>
      <c r="CC2105"/>
      <c r="CD2105" s="25"/>
    </row>
    <row r="2106" spans="1:82" s="17" customFormat="1" x14ac:dyDescent="0.2">
      <c r="A2106" s="25"/>
      <c r="B2106" s="20">
        <v>39151711122</v>
      </c>
      <c r="C2106" s="20">
        <v>7111.22</v>
      </c>
      <c r="D2106" s="20" t="s">
        <v>81</v>
      </c>
      <c r="E2106" s="20" t="s">
        <v>2844</v>
      </c>
      <c r="F2106" s="20" t="s">
        <v>8</v>
      </c>
      <c r="G2106" s="861">
        <v>42.807191553371197</v>
      </c>
      <c r="H2106" s="861">
        <v>47.659617731057402</v>
      </c>
      <c r="I2106" s="861">
        <v>18.2383539540287</v>
      </c>
      <c r="J2106" s="861">
        <v>37.024984916648101</v>
      </c>
      <c r="K2106" s="982">
        <v>0</v>
      </c>
      <c r="L2106" s="735">
        <v>5864</v>
      </c>
      <c r="M2106" s="735">
        <v>5859</v>
      </c>
      <c r="N2106" s="845">
        <f t="shared" si="167"/>
        <v>-8.5266030013642568E-4</v>
      </c>
      <c r="O2106" s="735">
        <v>3.7364426356382001</v>
      </c>
      <c r="P2106" s="735">
        <f t="shared" si="168"/>
        <v>1568.0690355357906</v>
      </c>
      <c r="Q2106" s="849">
        <v>42.3</v>
      </c>
      <c r="R2106" s="71">
        <v>104457</v>
      </c>
      <c r="S2106" s="845">
        <v>5.2568697729988054E-2</v>
      </c>
      <c r="T2106" s="845">
        <v>1.3999999999999999E-2</v>
      </c>
      <c r="U2106" s="845">
        <v>0</v>
      </c>
      <c r="V2106" s="845">
        <v>0</v>
      </c>
      <c r="W2106" s="845">
        <v>0.23477100933748332</v>
      </c>
      <c r="X2106" s="845">
        <v>6.8181818181818177E-2</v>
      </c>
      <c r="Y2106" s="845">
        <v>0.9380440348182284</v>
      </c>
      <c r="Z2106" s="845">
        <v>1.8945212493599591E-2</v>
      </c>
      <c r="AA2106" s="845">
        <v>6.82710360129715E-4</v>
      </c>
      <c r="AB2106" s="845">
        <v>0</v>
      </c>
      <c r="AC2106" s="845">
        <v>0</v>
      </c>
      <c r="AD2106" s="845">
        <v>0</v>
      </c>
      <c r="AE2106" s="845">
        <v>4.2328042328042326E-2</v>
      </c>
      <c r="AF2106" s="845">
        <v>3.2428742106161462E-3</v>
      </c>
      <c r="AG2106" s="845">
        <v>0.9348011606076122</v>
      </c>
      <c r="AH2106" s="20" t="str">
        <f t="shared" si="169"/>
        <v>Yes</v>
      </c>
      <c r="AI2106" s="25"/>
      <c r="AJ2106" s="25"/>
      <c r="AK2106" s="25"/>
      <c r="AL2106" s="25"/>
      <c r="AM2106" s="25"/>
      <c r="AN2106" s="25"/>
      <c r="AO2106" s="25"/>
      <c r="AP2106" s="25"/>
      <c r="AQ2106" s="25"/>
      <c r="AR2106" s="25"/>
      <c r="AS2106" s="25"/>
      <c r="AT2106" s="25"/>
      <c r="AU2106" s="36"/>
      <c r="AV2106" s="36"/>
      <c r="AW2106" s="36"/>
      <c r="AX2106" s="25"/>
      <c r="AY2106" s="25"/>
      <c r="AZ2106" s="25"/>
      <c r="BA2106" s="25"/>
      <c r="BB2106" s="25"/>
      <c r="BC2106" s="25"/>
      <c r="BD2106" s="25"/>
      <c r="BE2106" s="25"/>
      <c r="BF2106" s="25"/>
      <c r="BG2106" s="25"/>
      <c r="BH2106" s="25"/>
      <c r="BI2106" s="25"/>
      <c r="BJ2106" s="25"/>
      <c r="BK2106" s="25"/>
      <c r="BL2106" s="25"/>
      <c r="BM2106" s="25"/>
      <c r="BN2106" s="25"/>
      <c r="BO2106" s="25"/>
      <c r="BP2106" s="25"/>
      <c r="BQ2106" s="25"/>
      <c r="BR2106" s="25"/>
      <c r="BS2106" s="25"/>
      <c r="BT2106" s="25"/>
      <c r="BU2106"/>
      <c r="BV2106"/>
      <c r="BW2106"/>
      <c r="BX2106"/>
      <c r="BY2106"/>
      <c r="BZ2106"/>
      <c r="CA2106"/>
      <c r="CB2106"/>
      <c r="CC2106"/>
      <c r="CD2106" s="25"/>
    </row>
    <row r="2107" spans="1:82" s="17" customFormat="1" x14ac:dyDescent="0.2">
      <c r="A2107" s="25"/>
      <c r="B2107" s="20">
        <v>39035150300</v>
      </c>
      <c r="C2107" s="20">
        <v>1503</v>
      </c>
      <c r="D2107" s="20" t="s">
        <v>24</v>
      </c>
      <c r="E2107" s="20" t="s">
        <v>2829</v>
      </c>
      <c r="F2107" s="20" t="s">
        <v>8</v>
      </c>
      <c r="G2107" s="861">
        <v>42.800777708967303</v>
      </c>
      <c r="H2107" s="861">
        <v>27.525315558581699</v>
      </c>
      <c r="I2107" s="861">
        <v>87.772671663237801</v>
      </c>
      <c r="J2107" s="861">
        <v>73.816884808812901</v>
      </c>
      <c r="K2107" s="982">
        <v>0</v>
      </c>
      <c r="L2107" s="735">
        <v>1856</v>
      </c>
      <c r="M2107" s="735">
        <v>994</v>
      </c>
      <c r="N2107" s="845">
        <f t="shared" si="167"/>
        <v>-0.46443965517241381</v>
      </c>
      <c r="O2107" s="735">
        <v>0.20833995257221471</v>
      </c>
      <c r="P2107" s="735">
        <f t="shared" si="168"/>
        <v>4771.0484125960438</v>
      </c>
      <c r="Q2107" s="849">
        <v>26.8</v>
      </c>
      <c r="R2107" s="71"/>
      <c r="S2107" s="845">
        <v>0.5</v>
      </c>
      <c r="T2107" s="845">
        <v>0.313</v>
      </c>
      <c r="U2107" s="845">
        <v>0</v>
      </c>
      <c r="V2107" s="845">
        <v>0</v>
      </c>
      <c r="W2107" s="845">
        <v>0.66744186046511633</v>
      </c>
      <c r="X2107" s="845">
        <v>0.54355400696864109</v>
      </c>
      <c r="Y2107" s="845">
        <v>4.527162977867203E-2</v>
      </c>
      <c r="Z2107" s="845">
        <v>0.89134808853118708</v>
      </c>
      <c r="AA2107" s="845">
        <v>0</v>
      </c>
      <c r="AB2107" s="845">
        <v>0</v>
      </c>
      <c r="AC2107" s="845">
        <v>0</v>
      </c>
      <c r="AD2107" s="845">
        <v>0</v>
      </c>
      <c r="AE2107" s="845">
        <v>6.3380281690140844E-2</v>
      </c>
      <c r="AF2107" s="845">
        <v>0</v>
      </c>
      <c r="AG2107" s="845">
        <v>4.527162977867203E-2</v>
      </c>
      <c r="AH2107" s="20" t="str">
        <f t="shared" si="169"/>
        <v>No</v>
      </c>
      <c r="AI2107" s="25"/>
      <c r="AJ2107" s="25"/>
      <c r="AK2107" s="25"/>
      <c r="AL2107" s="25"/>
      <c r="AM2107" s="25"/>
      <c r="AN2107" s="25"/>
      <c r="AO2107" s="25"/>
      <c r="AP2107" s="25"/>
      <c r="AQ2107" s="25"/>
      <c r="AR2107" s="25"/>
      <c r="AS2107" s="25"/>
      <c r="AT2107" s="25"/>
      <c r="AU2107" s="36"/>
      <c r="AV2107" s="36"/>
      <c r="AW2107" s="36"/>
      <c r="AX2107" s="25"/>
      <c r="AY2107" s="25"/>
      <c r="AZ2107" s="25"/>
      <c r="BA2107" s="25"/>
      <c r="BB2107" s="25"/>
      <c r="BC2107" s="25"/>
      <c r="BD2107" s="25"/>
      <c r="BE2107" s="25"/>
      <c r="BF2107" s="25"/>
      <c r="BG2107" s="25"/>
      <c r="BH2107" s="25"/>
      <c r="BI2107" s="25"/>
      <c r="BJ2107" s="25"/>
      <c r="BK2107" s="25"/>
      <c r="BL2107" s="25"/>
      <c r="BM2107" s="25"/>
      <c r="BN2107" s="25"/>
      <c r="BO2107" s="25"/>
      <c r="BP2107" s="25"/>
      <c r="BQ2107" s="25"/>
      <c r="BR2107" s="25"/>
      <c r="BS2107" s="25"/>
      <c r="BT2107" s="25"/>
      <c r="BU2107"/>
      <c r="BV2107"/>
      <c r="BW2107"/>
      <c r="BX2107"/>
      <c r="BY2107"/>
      <c r="BZ2107"/>
      <c r="CA2107"/>
      <c r="CB2107"/>
      <c r="CC2107"/>
      <c r="CD2107" s="25"/>
    </row>
    <row r="2108" spans="1:82" s="17" customFormat="1" x14ac:dyDescent="0.2">
      <c r="A2108" s="25"/>
      <c r="B2108" s="20">
        <v>39035195700</v>
      </c>
      <c r="C2108" s="20">
        <v>1957</v>
      </c>
      <c r="D2108" s="20" t="s">
        <v>24</v>
      </c>
      <c r="E2108" s="20" t="s">
        <v>2829</v>
      </c>
      <c r="F2108" s="20" t="s">
        <v>8</v>
      </c>
      <c r="G2108" s="861">
        <v>42.784912608268101</v>
      </c>
      <c r="H2108" s="861">
        <v>37.162771831692297</v>
      </c>
      <c r="I2108" s="861">
        <v>33.652358998292698</v>
      </c>
      <c r="J2108" s="861">
        <v>36.7263807752676</v>
      </c>
      <c r="K2108" s="982">
        <v>0</v>
      </c>
      <c r="L2108" s="735">
        <v>4763</v>
      </c>
      <c r="M2108" s="735">
        <v>4333</v>
      </c>
      <c r="N2108" s="845">
        <f t="shared" si="167"/>
        <v>-9.0279235775771571E-2</v>
      </c>
      <c r="O2108" s="735">
        <v>6.2212385986590499</v>
      </c>
      <c r="P2108" s="735">
        <f t="shared" si="168"/>
        <v>696.48510200749286</v>
      </c>
      <c r="Q2108" s="849">
        <v>45.9</v>
      </c>
      <c r="R2108" s="71">
        <v>66002</v>
      </c>
      <c r="S2108" s="845">
        <v>0.22142857142857142</v>
      </c>
      <c r="T2108" s="845">
        <v>6.3E-2</v>
      </c>
      <c r="U2108" s="845">
        <v>6.0000000000000001E-3</v>
      </c>
      <c r="V2108" s="845">
        <v>7.2000000000000008E-2</v>
      </c>
      <c r="W2108" s="845">
        <v>0.26529298132646489</v>
      </c>
      <c r="X2108" s="845">
        <v>0.19174757281553398</v>
      </c>
      <c r="Y2108" s="845">
        <v>0.44288022155550427</v>
      </c>
      <c r="Z2108" s="845">
        <v>0.43734133394876529</v>
      </c>
      <c r="AA2108" s="845">
        <v>1.6155088852988692E-3</v>
      </c>
      <c r="AB2108" s="845">
        <v>3.6695130394645739E-2</v>
      </c>
      <c r="AC2108" s="845">
        <v>0</v>
      </c>
      <c r="AD2108" s="845">
        <v>0</v>
      </c>
      <c r="AE2108" s="845">
        <v>8.1467805215785824E-2</v>
      </c>
      <c r="AF2108" s="845">
        <v>1.0385414262635588E-2</v>
      </c>
      <c r="AG2108" s="845">
        <v>0.44288022155550427</v>
      </c>
      <c r="AH2108" s="20" t="str">
        <f t="shared" si="169"/>
        <v>No</v>
      </c>
      <c r="AI2108" s="25"/>
      <c r="AJ2108" s="25"/>
      <c r="AK2108" s="25"/>
      <c r="AL2108" s="25"/>
      <c r="AM2108" s="25"/>
      <c r="AN2108" s="25"/>
      <c r="AO2108" s="25"/>
      <c r="AP2108" s="25"/>
      <c r="AQ2108" s="25"/>
      <c r="AR2108" s="25"/>
      <c r="AS2108" s="25"/>
      <c r="AT2108" s="25"/>
      <c r="AU2108" s="36"/>
      <c r="AV2108" s="36"/>
      <c r="AW2108" s="36"/>
      <c r="AX2108" s="25"/>
      <c r="AY2108" s="25"/>
      <c r="AZ2108" s="25"/>
      <c r="BA2108" s="25"/>
      <c r="BB2108" s="25"/>
      <c r="BC2108" s="25"/>
      <c r="BD2108" s="25"/>
      <c r="BE2108" s="25"/>
      <c r="BF2108" s="25"/>
      <c r="BG2108" s="25"/>
      <c r="BH2108" s="25"/>
      <c r="BI2108" s="25"/>
      <c r="BJ2108" s="25"/>
      <c r="BK2108" s="25"/>
      <c r="BL2108" s="25"/>
      <c r="BM2108" s="25"/>
      <c r="BN2108" s="25"/>
      <c r="BO2108" s="25"/>
      <c r="BP2108" s="25"/>
      <c r="BQ2108" s="25"/>
      <c r="BR2108" s="25"/>
      <c r="BS2108" s="25"/>
      <c r="BT2108" s="25"/>
      <c r="BU2108"/>
      <c r="BV2108"/>
      <c r="BW2108"/>
      <c r="BX2108"/>
      <c r="BY2108"/>
      <c r="BZ2108"/>
      <c r="CA2108"/>
      <c r="CB2108"/>
      <c r="CC2108"/>
      <c r="CD2108" s="25"/>
    </row>
    <row r="2109" spans="1:82" s="17" customFormat="1" x14ac:dyDescent="0.2">
      <c r="A2109" s="25"/>
      <c r="B2109" s="20">
        <v>39087050502</v>
      </c>
      <c r="C2109" s="20">
        <v>505.02</v>
      </c>
      <c r="D2109" s="20" t="s">
        <v>49</v>
      </c>
      <c r="E2109" s="20" t="s">
        <v>2834</v>
      </c>
      <c r="F2109" s="20" t="s">
        <v>8</v>
      </c>
      <c r="G2109" s="861">
        <v>42.772598725259598</v>
      </c>
      <c r="H2109" s="861">
        <v>44.1138154427125</v>
      </c>
      <c r="I2109" s="861">
        <v>18.9880612643252</v>
      </c>
      <c r="J2109" s="861">
        <v>51.877485018387098</v>
      </c>
      <c r="K2109" s="982">
        <v>0</v>
      </c>
      <c r="L2109" s="735" t="s">
        <v>2466</v>
      </c>
      <c r="M2109" s="735">
        <v>2589</v>
      </c>
      <c r="N2109" s="845" t="str">
        <f t="shared" si="167"/>
        <v/>
      </c>
      <c r="O2109" s="735">
        <v>81.116295163223739</v>
      </c>
      <c r="P2109" s="735">
        <f t="shared" si="168"/>
        <v>31.917138163057931</v>
      </c>
      <c r="Q2109" s="849">
        <v>41.6</v>
      </c>
      <c r="R2109" s="71">
        <v>49519</v>
      </c>
      <c r="S2109" s="845">
        <v>0.12939358825801467</v>
      </c>
      <c r="T2109" s="845">
        <v>1.3000000000000001E-2</v>
      </c>
      <c r="U2109" s="845">
        <v>0</v>
      </c>
      <c r="V2109" s="845">
        <v>0</v>
      </c>
      <c r="W2109" s="845">
        <v>0.21953896816684962</v>
      </c>
      <c r="X2109" s="845">
        <v>0.185</v>
      </c>
      <c r="Y2109" s="845">
        <v>0.97605252993433755</v>
      </c>
      <c r="Z2109" s="845">
        <v>0</v>
      </c>
      <c r="AA2109" s="845">
        <v>0</v>
      </c>
      <c r="AB2109" s="845">
        <v>0</v>
      </c>
      <c r="AC2109" s="845">
        <v>3.4762456546929316E-3</v>
      </c>
      <c r="AD2109" s="845">
        <v>0</v>
      </c>
      <c r="AE2109" s="845">
        <v>2.0471224410969487E-2</v>
      </c>
      <c r="AF2109" s="845">
        <v>7.3387408265739671E-3</v>
      </c>
      <c r="AG2109" s="845">
        <v>0.97296253379683273</v>
      </c>
      <c r="AH2109" s="20" t="str">
        <f t="shared" si="169"/>
        <v>Yes</v>
      </c>
      <c r="AI2109" s="25"/>
      <c r="AJ2109" s="25"/>
      <c r="AK2109" s="25"/>
      <c r="AL2109" s="25"/>
      <c r="AM2109" s="25"/>
      <c r="AN2109" s="25"/>
      <c r="AO2109" s="25"/>
      <c r="AP2109" s="25"/>
      <c r="AQ2109" s="25"/>
      <c r="AR2109" s="25"/>
      <c r="AS2109" s="25"/>
      <c r="AT2109" s="25"/>
      <c r="AU2109" s="36"/>
      <c r="AV2109" s="36"/>
      <c r="AW2109" s="36"/>
      <c r="AX2109" s="25"/>
      <c r="AY2109" s="25"/>
      <c r="AZ2109" s="25"/>
      <c r="BA2109" s="25"/>
      <c r="BB2109" s="25"/>
      <c r="BC2109" s="25"/>
      <c r="BD2109" s="25"/>
      <c r="BE2109" s="25"/>
      <c r="BF2109" s="25"/>
      <c r="BG2109" s="25"/>
      <c r="BH2109" s="25"/>
      <c r="BI2109" s="25"/>
      <c r="BJ2109" s="25"/>
      <c r="BK2109" s="25"/>
      <c r="BL2109" s="25"/>
      <c r="BM2109" s="25"/>
      <c r="BN2109" s="25"/>
      <c r="BO2109" s="25"/>
      <c r="BP2109" s="25"/>
      <c r="BQ2109" s="25"/>
      <c r="BR2109" s="25"/>
      <c r="BS2109" s="25"/>
      <c r="BT2109" s="25"/>
      <c r="BU2109"/>
      <c r="BV2109"/>
      <c r="BW2109"/>
      <c r="BX2109"/>
      <c r="BY2109"/>
      <c r="BZ2109"/>
      <c r="CA2109"/>
      <c r="CB2109"/>
      <c r="CC2109"/>
      <c r="CD2109" s="25"/>
    </row>
    <row r="2110" spans="1:82" s="17" customFormat="1" x14ac:dyDescent="0.2">
      <c r="A2110" s="25"/>
      <c r="B2110" s="20">
        <v>39113165200</v>
      </c>
      <c r="C2110" s="20">
        <v>1652</v>
      </c>
      <c r="D2110" s="20" t="s">
        <v>62</v>
      </c>
      <c r="E2110" s="20" t="s">
        <v>2833</v>
      </c>
      <c r="F2110" s="20" t="s">
        <v>6</v>
      </c>
      <c r="G2110" s="861">
        <v>42.771610715899101</v>
      </c>
      <c r="H2110" s="861">
        <v>56.055247874039502</v>
      </c>
      <c r="I2110" s="861">
        <v>54.832794666620003</v>
      </c>
      <c r="J2110" s="861">
        <v>52.517933719442098</v>
      </c>
      <c r="K2110" s="982">
        <v>1</v>
      </c>
      <c r="L2110" s="735">
        <v>1667</v>
      </c>
      <c r="M2110" s="735">
        <v>1600</v>
      </c>
      <c r="N2110" s="845">
        <f t="shared" si="167"/>
        <v>-4.0191961607678461E-2</v>
      </c>
      <c r="O2110" s="735">
        <v>0.3785584946179541</v>
      </c>
      <c r="P2110" s="735">
        <f t="shared" si="168"/>
        <v>4226.5594954215458</v>
      </c>
      <c r="Q2110" s="849">
        <v>44.1</v>
      </c>
      <c r="R2110" s="71">
        <v>33050</v>
      </c>
      <c r="S2110" s="845">
        <v>0.16062499999999999</v>
      </c>
      <c r="T2110" s="845">
        <v>6.9999999999999993E-3</v>
      </c>
      <c r="U2110" s="845">
        <v>0</v>
      </c>
      <c r="V2110" s="845">
        <v>0.10199999999999999</v>
      </c>
      <c r="W2110" s="845">
        <v>0.76470588235294112</v>
      </c>
      <c r="X2110" s="845">
        <v>0.43548387096774194</v>
      </c>
      <c r="Y2110" s="845">
        <v>0.58062499999999995</v>
      </c>
      <c r="Z2110" s="845">
        <v>0.30812499999999998</v>
      </c>
      <c r="AA2110" s="845">
        <v>3.7499999999999999E-3</v>
      </c>
      <c r="AB2110" s="845">
        <v>0</v>
      </c>
      <c r="AC2110" s="845">
        <v>0</v>
      </c>
      <c r="AD2110" s="845">
        <v>2.375E-2</v>
      </c>
      <c r="AE2110" s="845">
        <v>8.3750000000000005E-2</v>
      </c>
      <c r="AF2110" s="845">
        <v>0.03</v>
      </c>
      <c r="AG2110" s="845">
        <v>0.57437499999999997</v>
      </c>
      <c r="AH2110" s="20" t="str">
        <f t="shared" si="169"/>
        <v>No</v>
      </c>
      <c r="AI2110" s="25"/>
      <c r="AJ2110" s="25"/>
      <c r="AK2110" s="25"/>
      <c r="AL2110" s="25"/>
      <c r="AM2110" s="25"/>
      <c r="AN2110" s="25"/>
      <c r="AO2110" s="25"/>
      <c r="AP2110" s="25"/>
      <c r="AQ2110" s="25"/>
      <c r="AR2110" s="25"/>
      <c r="AS2110" s="25"/>
      <c r="AT2110" s="25"/>
      <c r="AU2110" s="36"/>
      <c r="AV2110" s="36"/>
      <c r="AW2110" s="36"/>
      <c r="AX2110" s="25"/>
      <c r="AY2110" s="25"/>
      <c r="AZ2110" s="25"/>
      <c r="BA2110" s="25"/>
      <c r="BB2110" s="25"/>
      <c r="BC2110" s="25"/>
      <c r="BD2110" s="25"/>
      <c r="BE2110" s="25"/>
      <c r="BF2110" s="25"/>
      <c r="BG2110" s="25"/>
      <c r="BH2110" s="25"/>
      <c r="BI2110" s="25"/>
      <c r="BJ2110" s="25"/>
      <c r="BK2110" s="25"/>
      <c r="BL2110" s="25"/>
      <c r="BM2110" s="25"/>
      <c r="BN2110" s="25"/>
      <c r="BO2110" s="25"/>
      <c r="BP2110" s="25"/>
      <c r="BQ2110" s="25"/>
      <c r="BR2110" s="25"/>
      <c r="BS2110" s="25"/>
      <c r="BT2110" s="25"/>
      <c r="BU2110"/>
      <c r="BV2110"/>
      <c r="BW2110"/>
      <c r="BX2110"/>
      <c r="BY2110"/>
      <c r="BZ2110"/>
      <c r="CA2110"/>
      <c r="CB2110"/>
      <c r="CC2110"/>
      <c r="CD2110" s="25"/>
    </row>
    <row r="2111" spans="1:82" s="17" customFormat="1" x14ac:dyDescent="0.2">
      <c r="A2111" s="25"/>
      <c r="B2111" s="20">
        <v>39167021100</v>
      </c>
      <c r="C2111" s="20">
        <v>211</v>
      </c>
      <c r="D2111" s="20" t="s">
        <v>89</v>
      </c>
      <c r="E2111" s="20" t="s">
        <v>265</v>
      </c>
      <c r="F2111" s="20" t="s">
        <v>8</v>
      </c>
      <c r="G2111" s="861">
        <v>42.762226483702896</v>
      </c>
      <c r="H2111" s="861">
        <v>37.073471464825403</v>
      </c>
      <c r="I2111" s="861">
        <v>25.058113104291898</v>
      </c>
      <c r="J2111" s="861">
        <v>45.039577939681401</v>
      </c>
      <c r="K2111" s="982">
        <v>0</v>
      </c>
      <c r="L2111" s="735">
        <v>4053</v>
      </c>
      <c r="M2111" s="735">
        <v>4023</v>
      </c>
      <c r="N2111" s="845">
        <f t="shared" si="167"/>
        <v>-7.4019245003700959E-3</v>
      </c>
      <c r="O2111" s="735">
        <v>12.424433871242753</v>
      </c>
      <c r="P2111" s="735">
        <f t="shared" si="168"/>
        <v>323.79744958130635</v>
      </c>
      <c r="Q2111" s="849">
        <v>48.8</v>
      </c>
      <c r="R2111" s="71">
        <v>49063</v>
      </c>
      <c r="S2111" s="845">
        <v>0.11745472837022133</v>
      </c>
      <c r="T2111" s="845">
        <v>9.1999999999999998E-2</v>
      </c>
      <c r="U2111" s="845">
        <v>0</v>
      </c>
      <c r="V2111" s="845">
        <v>0.13100000000000001</v>
      </c>
      <c r="W2111" s="845">
        <v>0.18954248366013071</v>
      </c>
      <c r="X2111" s="845">
        <v>0.40752351097178685</v>
      </c>
      <c r="Y2111" s="845">
        <v>0.96420581655480986</v>
      </c>
      <c r="Z2111" s="845">
        <v>0</v>
      </c>
      <c r="AA2111" s="845">
        <v>7.7056922694506589E-3</v>
      </c>
      <c r="AB2111" s="845">
        <v>1.5908525975640068E-2</v>
      </c>
      <c r="AC2111" s="845">
        <v>0</v>
      </c>
      <c r="AD2111" s="845">
        <v>0</v>
      </c>
      <c r="AE2111" s="845">
        <v>1.2179965200099428E-2</v>
      </c>
      <c r="AF2111" s="845">
        <v>0</v>
      </c>
      <c r="AG2111" s="845">
        <v>0.96420581655480986</v>
      </c>
      <c r="AH2111" s="20" t="str">
        <f t="shared" si="169"/>
        <v>Yes</v>
      </c>
      <c r="AI2111" s="25"/>
      <c r="AJ2111" s="25"/>
      <c r="AK2111" s="25"/>
      <c r="AL2111" s="25"/>
      <c r="AM2111" s="25"/>
      <c r="AN2111" s="25"/>
      <c r="AO2111" s="25"/>
      <c r="AP2111" s="25"/>
      <c r="AQ2111" s="25"/>
      <c r="AR2111" s="25"/>
      <c r="AS2111" s="25"/>
      <c r="AT2111" s="25"/>
      <c r="AU2111" s="36"/>
      <c r="AV2111" s="36"/>
      <c r="AW2111" s="36"/>
      <c r="AX2111" s="25"/>
      <c r="AY2111" s="25"/>
      <c r="AZ2111" s="25"/>
      <c r="BA2111" s="25"/>
      <c r="BB2111" s="25"/>
      <c r="BC2111" s="25"/>
      <c r="BD2111" s="25"/>
      <c r="BE2111" s="25"/>
      <c r="BF2111" s="25"/>
      <c r="BG2111" s="25"/>
      <c r="BH2111" s="25"/>
      <c r="BI2111" s="25"/>
      <c r="BJ2111" s="25"/>
      <c r="BK2111" s="25"/>
      <c r="BL2111" s="25"/>
      <c r="BM2111" s="25"/>
      <c r="BN2111" s="25"/>
      <c r="BO2111" s="25"/>
      <c r="BP2111" s="25"/>
      <c r="BQ2111" s="25"/>
      <c r="BR2111" s="25"/>
      <c r="BS2111" s="25"/>
      <c r="BT2111" s="25"/>
      <c r="BU2111"/>
      <c r="BV2111"/>
      <c r="BW2111"/>
      <c r="BX2111"/>
      <c r="BY2111"/>
      <c r="BZ2111"/>
      <c r="CA2111"/>
      <c r="CB2111"/>
      <c r="CC2111"/>
      <c r="CD2111" s="25"/>
    </row>
    <row r="2112" spans="1:82" s="17" customFormat="1" x14ac:dyDescent="0.2">
      <c r="A2112" s="25"/>
      <c r="B2112" s="20">
        <v>39153502800</v>
      </c>
      <c r="C2112" s="20">
        <v>5028</v>
      </c>
      <c r="D2112" s="20" t="s">
        <v>82</v>
      </c>
      <c r="E2112" s="20" t="s">
        <v>2843</v>
      </c>
      <c r="F2112" s="20" t="s">
        <v>8</v>
      </c>
      <c r="G2112" s="861">
        <v>42.757833194950599</v>
      </c>
      <c r="H2112" s="861">
        <v>54.641054945029801</v>
      </c>
      <c r="I2112" s="861">
        <v>40.335625642888097</v>
      </c>
      <c r="J2112" s="861">
        <v>44.183827261420603</v>
      </c>
      <c r="K2112" s="982">
        <v>0</v>
      </c>
      <c r="L2112" s="735">
        <v>4341</v>
      </c>
      <c r="M2112" s="735">
        <v>3918</v>
      </c>
      <c r="N2112" s="845">
        <f t="shared" si="167"/>
        <v>-9.7442985487214931E-2</v>
      </c>
      <c r="O2112" s="735">
        <v>0.93304405169643811</v>
      </c>
      <c r="P2112" s="735">
        <f t="shared" si="168"/>
        <v>4199.158649451103</v>
      </c>
      <c r="Q2112" s="849">
        <v>36.299999999999997</v>
      </c>
      <c r="R2112" s="71">
        <v>55192</v>
      </c>
      <c r="S2112" s="845">
        <v>0.14165390505359879</v>
      </c>
      <c r="T2112" s="845">
        <v>5.2000000000000005E-2</v>
      </c>
      <c r="U2112" s="845">
        <v>0</v>
      </c>
      <c r="V2112" s="845">
        <v>0</v>
      </c>
      <c r="W2112" s="845">
        <v>0.46690307328605202</v>
      </c>
      <c r="X2112" s="845">
        <v>0.47215189873417723</v>
      </c>
      <c r="Y2112" s="845">
        <v>0.7728432873915263</v>
      </c>
      <c r="Z2112" s="845">
        <v>6.7891781521184275E-2</v>
      </c>
      <c r="AA2112" s="845">
        <v>0</v>
      </c>
      <c r="AB2112" s="845">
        <v>3.5222052067381319E-2</v>
      </c>
      <c r="AC2112" s="845">
        <v>0</v>
      </c>
      <c r="AD2112" s="845">
        <v>0</v>
      </c>
      <c r="AE2112" s="845">
        <v>0.12404287901990811</v>
      </c>
      <c r="AF2112" s="845">
        <v>4.7473200612557429E-2</v>
      </c>
      <c r="AG2112" s="845">
        <v>0.75395610005104641</v>
      </c>
      <c r="AH2112" s="20" t="str">
        <f t="shared" si="169"/>
        <v>No</v>
      </c>
      <c r="AI2112" s="25"/>
      <c r="AJ2112" s="25"/>
      <c r="AK2112" s="25"/>
      <c r="AL2112" s="25"/>
      <c r="AM2112" s="25"/>
      <c r="AN2112" s="25"/>
      <c r="AO2112" s="25"/>
      <c r="AP2112" s="25"/>
      <c r="AQ2112" s="25"/>
      <c r="AR2112" s="25"/>
      <c r="AS2112" s="25"/>
      <c r="AT2112" s="25"/>
      <c r="AU2112" s="36"/>
      <c r="AV2112" s="36"/>
      <c r="AW2112" s="36"/>
      <c r="AX2112" s="25"/>
      <c r="AY2112" s="25"/>
      <c r="AZ2112" s="25"/>
      <c r="BA2112" s="25"/>
      <c r="BB2112" s="25"/>
      <c r="BC2112" s="25"/>
      <c r="BD2112" s="25"/>
      <c r="BE2112" s="25"/>
      <c r="BF2112" s="25"/>
      <c r="BG2112" s="25"/>
      <c r="BH2112" s="25"/>
      <c r="BI2112" s="25"/>
      <c r="BJ2112" s="25"/>
      <c r="BK2112" s="25"/>
      <c r="BL2112" s="25"/>
      <c r="BM2112" s="25"/>
      <c r="BN2112" s="25"/>
      <c r="BO2112" s="25"/>
      <c r="BP2112" s="25"/>
      <c r="BQ2112" s="25"/>
      <c r="BR2112" s="25"/>
      <c r="BS2112" s="25"/>
      <c r="BT2112" s="25"/>
      <c r="BU2112"/>
      <c r="BV2112"/>
      <c r="BW2112"/>
      <c r="BX2112"/>
      <c r="BY2112"/>
      <c r="BZ2112"/>
      <c r="CA2112"/>
      <c r="CB2112"/>
      <c r="CC2112"/>
      <c r="CD2112" s="25"/>
    </row>
    <row r="2113" spans="1:82" s="17" customFormat="1" x14ac:dyDescent="0.2">
      <c r="A2113" s="25"/>
      <c r="B2113" s="20">
        <v>39049007721</v>
      </c>
      <c r="C2113" s="20">
        <v>77.209999999999994</v>
      </c>
      <c r="D2113" s="20" t="s">
        <v>31</v>
      </c>
      <c r="E2113" s="20" t="s">
        <v>2830</v>
      </c>
      <c r="F2113" s="20" t="s">
        <v>6</v>
      </c>
      <c r="G2113" s="861">
        <v>42.732155858896</v>
      </c>
      <c r="H2113" s="861">
        <v>54.926406402833898</v>
      </c>
      <c r="I2113" s="861">
        <v>71.556565563991001</v>
      </c>
      <c r="J2113" s="861">
        <v>38.576839901142399</v>
      </c>
      <c r="K2113" s="982">
        <v>0</v>
      </c>
      <c r="L2113" s="735">
        <v>5163</v>
      </c>
      <c r="M2113" s="735">
        <v>6361</v>
      </c>
      <c r="N2113" s="845">
        <f t="shared" si="167"/>
        <v>0.23203563819484796</v>
      </c>
      <c r="O2113" s="735">
        <v>0.8299999493047866</v>
      </c>
      <c r="P2113" s="735">
        <f t="shared" si="168"/>
        <v>7663.8558897841085</v>
      </c>
      <c r="Q2113" s="849">
        <v>30.4</v>
      </c>
      <c r="R2113" s="71">
        <v>47988</v>
      </c>
      <c r="S2113" s="845">
        <v>0.18396226415094338</v>
      </c>
      <c r="T2113" s="845">
        <v>0.14400000000000002</v>
      </c>
      <c r="U2113" s="845">
        <v>0</v>
      </c>
      <c r="V2113" s="845">
        <v>9.1999999999999998E-2</v>
      </c>
      <c r="W2113" s="845">
        <v>0.75062972292191432</v>
      </c>
      <c r="X2113" s="845">
        <v>0.40201342281879193</v>
      </c>
      <c r="Y2113" s="845">
        <v>0.24147146675051093</v>
      </c>
      <c r="Z2113" s="845">
        <v>0.53010532935073107</v>
      </c>
      <c r="AA2113" s="845">
        <v>1.5720798616569723E-4</v>
      </c>
      <c r="AB2113" s="845">
        <v>3.3013677094796416E-3</v>
      </c>
      <c r="AC2113" s="845">
        <v>0</v>
      </c>
      <c r="AD2113" s="845">
        <v>3.0655557302310957E-2</v>
      </c>
      <c r="AE2113" s="845">
        <v>0.19430907090080177</v>
      </c>
      <c r="AF2113" s="845">
        <v>0.23125294764974061</v>
      </c>
      <c r="AG2113" s="845">
        <v>0.17151391290677567</v>
      </c>
      <c r="AH2113" s="20" t="str">
        <f t="shared" si="169"/>
        <v>No</v>
      </c>
      <c r="AI2113" s="25"/>
      <c r="AJ2113" s="25"/>
      <c r="AK2113" s="25"/>
      <c r="AL2113" s="25"/>
      <c r="AM2113" s="25"/>
      <c r="AN2113" s="25"/>
      <c r="AO2113" s="25"/>
      <c r="AP2113" s="25"/>
      <c r="AQ2113" s="25"/>
      <c r="AR2113" s="25"/>
      <c r="AS2113" s="25"/>
      <c r="AT2113" s="25"/>
      <c r="AU2113" s="36"/>
      <c r="AV2113" s="36"/>
      <c r="AW2113" s="36"/>
      <c r="AX2113" s="25"/>
      <c r="AY2113" s="25"/>
      <c r="AZ2113" s="25"/>
      <c r="BA2113" s="25"/>
      <c r="BB2113" s="25"/>
      <c r="BC2113" s="25"/>
      <c r="BD2113" s="25"/>
      <c r="BE2113" s="25"/>
      <c r="BF2113" s="25"/>
      <c r="BG2113" s="25"/>
      <c r="BH2113" s="25"/>
      <c r="BI2113" s="25"/>
      <c r="BJ2113" s="25"/>
      <c r="BK2113" s="25"/>
      <c r="BL2113" s="25"/>
      <c r="BM2113" s="25"/>
      <c r="BN2113" s="25"/>
      <c r="BO2113" s="25"/>
      <c r="BP2113" s="25"/>
      <c r="BQ2113" s="25"/>
      <c r="BR2113" s="25"/>
      <c r="BS2113" s="25"/>
      <c r="BT2113" s="25"/>
      <c r="BU2113"/>
      <c r="BV2113"/>
      <c r="BW2113"/>
      <c r="BX2113"/>
      <c r="BY2113"/>
      <c r="BZ2113"/>
      <c r="CA2113"/>
      <c r="CB2113"/>
      <c r="CC2113"/>
      <c r="CD2113" s="25"/>
    </row>
    <row r="2114" spans="1:82" s="17" customFormat="1" x14ac:dyDescent="0.2">
      <c r="A2114" s="25"/>
      <c r="B2114" s="20">
        <v>39099813300</v>
      </c>
      <c r="C2114" s="20">
        <v>8133</v>
      </c>
      <c r="D2114" s="20" t="s">
        <v>55</v>
      </c>
      <c r="E2114" s="20" t="s">
        <v>2842</v>
      </c>
      <c r="F2114" s="20" t="s">
        <v>8</v>
      </c>
      <c r="G2114" s="861">
        <v>42.706882543410998</v>
      </c>
      <c r="H2114" s="861">
        <v>45.199622000013498</v>
      </c>
      <c r="I2114" s="861">
        <v>29.420125269581401</v>
      </c>
      <c r="J2114" s="861">
        <v>46.312183736072498</v>
      </c>
      <c r="K2114" s="982">
        <v>0</v>
      </c>
      <c r="L2114" s="735">
        <v>3183</v>
      </c>
      <c r="M2114" s="735">
        <v>3089</v>
      </c>
      <c r="N2114" s="845">
        <f t="shared" si="167"/>
        <v>-2.9531888155827836E-2</v>
      </c>
      <c r="O2114" s="735">
        <v>32.51552378748179</v>
      </c>
      <c r="P2114" s="735">
        <f t="shared" si="168"/>
        <v>95.00077625042718</v>
      </c>
      <c r="Q2114" s="849">
        <v>45.7</v>
      </c>
      <c r="R2114" s="71">
        <v>61801</v>
      </c>
      <c r="S2114" s="845">
        <v>0.12916801553900939</v>
      </c>
      <c r="T2114" s="845">
        <v>0.127</v>
      </c>
      <c r="U2114" s="845">
        <v>0</v>
      </c>
      <c r="V2114" s="845">
        <v>0</v>
      </c>
      <c r="W2114" s="845">
        <v>0.10939907550077041</v>
      </c>
      <c r="X2114" s="845">
        <v>0.33098591549295775</v>
      </c>
      <c r="Y2114" s="845">
        <v>0.97410165101974744</v>
      </c>
      <c r="Z2114" s="845">
        <v>0</v>
      </c>
      <c r="AA2114" s="845">
        <v>0</v>
      </c>
      <c r="AB2114" s="845">
        <v>0</v>
      </c>
      <c r="AC2114" s="845">
        <v>0</v>
      </c>
      <c r="AD2114" s="845">
        <v>6.7983166073162836E-3</v>
      </c>
      <c r="AE2114" s="845">
        <v>1.9100032372936226E-2</v>
      </c>
      <c r="AF2114" s="845">
        <v>1.4891550663645193E-2</v>
      </c>
      <c r="AG2114" s="845">
        <v>0.96568468760116544</v>
      </c>
      <c r="AH2114" s="20" t="str">
        <f t="shared" si="169"/>
        <v>Yes</v>
      </c>
      <c r="AI2114" s="25"/>
      <c r="AJ2114" s="25"/>
      <c r="AK2114" s="25"/>
      <c r="AL2114" s="25"/>
      <c r="AM2114" s="25"/>
      <c r="AN2114" s="25"/>
      <c r="AO2114" s="25"/>
      <c r="AP2114" s="25"/>
      <c r="AQ2114" s="25"/>
      <c r="AR2114" s="25"/>
      <c r="AS2114" s="25"/>
      <c r="AT2114" s="25"/>
      <c r="AU2114" s="36"/>
      <c r="AV2114" s="36"/>
      <c r="AW2114" s="36"/>
      <c r="AX2114" s="25"/>
      <c r="AY2114" s="25"/>
      <c r="AZ2114" s="25"/>
      <c r="BA2114" s="25"/>
      <c r="BB2114" s="25"/>
      <c r="BC2114" s="25"/>
      <c r="BD2114" s="25"/>
      <c r="BE2114" s="25"/>
      <c r="BF2114" s="25"/>
      <c r="BG2114" s="25"/>
      <c r="BH2114" s="25"/>
      <c r="BI2114" s="25"/>
      <c r="BJ2114" s="25"/>
      <c r="BK2114" s="25"/>
      <c r="BL2114" s="25"/>
      <c r="BM2114" s="25"/>
      <c r="BN2114" s="25"/>
      <c r="BO2114" s="25"/>
      <c r="BP2114" s="25"/>
      <c r="BQ2114" s="25"/>
      <c r="BR2114" s="25"/>
      <c r="BS2114" s="25"/>
      <c r="BT2114" s="25"/>
      <c r="BU2114"/>
      <c r="BV2114"/>
      <c r="BW2114"/>
      <c r="BX2114"/>
      <c r="BY2114"/>
      <c r="BZ2114"/>
      <c r="CA2114"/>
      <c r="CB2114"/>
      <c r="CC2114"/>
      <c r="CD2114" s="25"/>
    </row>
    <row r="2115" spans="1:82" s="17" customFormat="1" x14ac:dyDescent="0.2">
      <c r="A2115" s="25"/>
      <c r="B2115" s="20">
        <v>39029951900</v>
      </c>
      <c r="C2115" s="20">
        <v>9519</v>
      </c>
      <c r="D2115" s="20" t="s">
        <v>21</v>
      </c>
      <c r="E2115" s="20" t="s">
        <v>265</v>
      </c>
      <c r="F2115" s="20" t="s">
        <v>8</v>
      </c>
      <c r="G2115" s="861">
        <v>42.702023960555103</v>
      </c>
      <c r="H2115" s="861">
        <v>54.134804292235003</v>
      </c>
      <c r="I2115" s="861">
        <v>40.293874237721703</v>
      </c>
      <c r="J2115" s="861">
        <v>38.2072182981655</v>
      </c>
      <c r="K2115" s="982">
        <v>0</v>
      </c>
      <c r="L2115" s="735">
        <v>3651</v>
      </c>
      <c r="M2115" s="735">
        <v>2917</v>
      </c>
      <c r="N2115" s="845">
        <f t="shared" si="167"/>
        <v>-0.20104081073678445</v>
      </c>
      <c r="O2115" s="735">
        <v>3.4747804305557217</v>
      </c>
      <c r="P2115" s="735">
        <f t="shared" si="168"/>
        <v>839.47750319679449</v>
      </c>
      <c r="Q2115" s="849">
        <v>44.5</v>
      </c>
      <c r="R2115" s="71">
        <v>58281</v>
      </c>
      <c r="S2115" s="845">
        <v>0.17723688721288997</v>
      </c>
      <c r="T2115" s="845">
        <v>4.8000000000000001E-2</v>
      </c>
      <c r="U2115" s="845">
        <v>0</v>
      </c>
      <c r="V2115" s="845">
        <v>0.22600000000000001</v>
      </c>
      <c r="W2115" s="845">
        <v>0.29307568438003223</v>
      </c>
      <c r="X2115" s="845">
        <v>0.37362637362637363</v>
      </c>
      <c r="Y2115" s="845">
        <v>0.96126157010627356</v>
      </c>
      <c r="Z2115" s="845">
        <v>9.598902982516283E-3</v>
      </c>
      <c r="AA2115" s="845">
        <v>0</v>
      </c>
      <c r="AB2115" s="845">
        <v>0</v>
      </c>
      <c r="AC2115" s="845">
        <v>0</v>
      </c>
      <c r="AD2115" s="845">
        <v>0</v>
      </c>
      <c r="AE2115" s="845">
        <v>2.9139526911210148E-2</v>
      </c>
      <c r="AF2115" s="845">
        <v>2.056907781967775E-3</v>
      </c>
      <c r="AG2115" s="845">
        <v>0.95920466232430579</v>
      </c>
      <c r="AH2115" s="20" t="str">
        <f t="shared" si="169"/>
        <v>Yes</v>
      </c>
      <c r="AI2115" s="25"/>
      <c r="AJ2115" s="25"/>
      <c r="AK2115" s="25"/>
      <c r="AL2115" s="25"/>
      <c r="AM2115" s="25"/>
      <c r="AN2115" s="25"/>
      <c r="AO2115" s="25"/>
      <c r="AP2115" s="25"/>
      <c r="AQ2115" s="25"/>
      <c r="AR2115" s="25"/>
      <c r="AS2115" s="25"/>
      <c r="AT2115" s="25"/>
      <c r="AU2115" s="36"/>
      <c r="AV2115" s="36"/>
      <c r="AW2115" s="36"/>
      <c r="AX2115" s="25"/>
      <c r="AY2115" s="25"/>
      <c r="AZ2115" s="25"/>
      <c r="BA2115" s="25"/>
      <c r="BB2115" s="25"/>
      <c r="BC2115" s="25"/>
      <c r="BD2115" s="25"/>
      <c r="BE2115" s="25"/>
      <c r="BF2115" s="25"/>
      <c r="BG2115" s="25"/>
      <c r="BH2115" s="25"/>
      <c r="BI2115" s="25"/>
      <c r="BJ2115" s="25"/>
      <c r="BK2115" s="25"/>
      <c r="BL2115" s="25"/>
      <c r="BM2115" s="25"/>
      <c r="BN2115" s="25"/>
      <c r="BO2115" s="25"/>
      <c r="BP2115" s="25"/>
      <c r="BQ2115" s="25"/>
      <c r="BR2115" s="25"/>
      <c r="BS2115" s="25"/>
      <c r="BT2115" s="25"/>
      <c r="BU2115"/>
      <c r="BV2115"/>
      <c r="BW2115"/>
      <c r="BX2115"/>
      <c r="BY2115"/>
      <c r="BZ2115"/>
      <c r="CA2115"/>
      <c r="CB2115"/>
      <c r="CC2115"/>
      <c r="CD2115" s="25"/>
    </row>
    <row r="2116" spans="1:82" s="17" customFormat="1" x14ac:dyDescent="0.2">
      <c r="A2116" s="25"/>
      <c r="B2116" s="20">
        <v>39101000400</v>
      </c>
      <c r="C2116" s="20">
        <v>4</v>
      </c>
      <c r="D2116" s="20" t="s">
        <v>56</v>
      </c>
      <c r="E2116" s="20" t="s">
        <v>265</v>
      </c>
      <c r="F2116" s="20" t="s">
        <v>8</v>
      </c>
      <c r="G2116" s="861">
        <v>42.697912190854197</v>
      </c>
      <c r="H2116" s="861">
        <v>52.959575372828098</v>
      </c>
      <c r="I2116" s="861">
        <v>29.062267150049198</v>
      </c>
      <c r="J2116" s="861">
        <v>46.006862844647699</v>
      </c>
      <c r="K2116" s="982">
        <v>0</v>
      </c>
      <c r="L2116" s="735">
        <v>3877</v>
      </c>
      <c r="M2116" s="735">
        <v>3517</v>
      </c>
      <c r="N2116" s="845">
        <f t="shared" si="167"/>
        <v>-9.2855300490069639E-2</v>
      </c>
      <c r="O2116" s="735">
        <v>2.5333390430120546</v>
      </c>
      <c r="P2116" s="735">
        <f t="shared" si="168"/>
        <v>1388.2863447359205</v>
      </c>
      <c r="Q2116" s="849">
        <v>42</v>
      </c>
      <c r="R2116" s="71">
        <v>55234</v>
      </c>
      <c r="S2116" s="845">
        <v>0.17674150834772595</v>
      </c>
      <c r="T2116" s="845">
        <v>4.8000000000000001E-2</v>
      </c>
      <c r="U2116" s="845">
        <v>0</v>
      </c>
      <c r="V2116" s="845">
        <v>0</v>
      </c>
      <c r="W2116" s="845">
        <v>0.21284019539427773</v>
      </c>
      <c r="X2116" s="845">
        <v>0.23278688524590163</v>
      </c>
      <c r="Y2116" s="845">
        <v>0.92237702587432469</v>
      </c>
      <c r="Z2116" s="845">
        <v>0</v>
      </c>
      <c r="AA2116" s="845">
        <v>0</v>
      </c>
      <c r="AB2116" s="845">
        <v>1.1373329542223485E-3</v>
      </c>
      <c r="AC2116" s="845">
        <v>0</v>
      </c>
      <c r="AD2116" s="845">
        <v>3.9806653397782199E-3</v>
      </c>
      <c r="AE2116" s="845">
        <v>7.2504975831674728E-2</v>
      </c>
      <c r="AF2116" s="845">
        <v>3.9806653397782199E-3</v>
      </c>
      <c r="AG2116" s="845">
        <v>0.92237702587432469</v>
      </c>
      <c r="AH2116" s="20" t="str">
        <f t="shared" si="169"/>
        <v>Yes</v>
      </c>
      <c r="AI2116" s="25"/>
      <c r="AJ2116" s="25"/>
      <c r="AK2116" s="25"/>
      <c r="AL2116" s="25"/>
      <c r="AM2116" s="25"/>
      <c r="AN2116" s="25"/>
      <c r="AO2116" s="25"/>
      <c r="AP2116" s="25"/>
      <c r="AQ2116" s="25"/>
      <c r="AR2116" s="25"/>
      <c r="AS2116" s="25"/>
      <c r="AT2116" s="25"/>
      <c r="AU2116" s="36"/>
      <c r="AV2116" s="36"/>
      <c r="AW2116" s="36"/>
      <c r="AX2116" s="25"/>
      <c r="AY2116" s="25"/>
      <c r="AZ2116" s="25"/>
      <c r="BA2116" s="25"/>
      <c r="BB2116" s="25"/>
      <c r="BC2116" s="25"/>
      <c r="BD2116" s="25"/>
      <c r="BE2116" s="25"/>
      <c r="BF2116" s="25"/>
      <c r="BG2116" s="25"/>
      <c r="BH2116" s="25"/>
      <c r="BI2116" s="25"/>
      <c r="BJ2116" s="25"/>
      <c r="BK2116" s="25"/>
      <c r="BL2116" s="25"/>
      <c r="BM2116" s="25"/>
      <c r="BN2116" s="25"/>
      <c r="BO2116" s="25"/>
      <c r="BP2116" s="25"/>
      <c r="BQ2116" s="25"/>
      <c r="BR2116" s="25"/>
      <c r="BS2116" s="25"/>
      <c r="BT2116" s="25"/>
      <c r="BU2116"/>
      <c r="BV2116"/>
      <c r="BW2116"/>
      <c r="BX2116"/>
      <c r="BY2116"/>
      <c r="BZ2116"/>
      <c r="CA2116"/>
      <c r="CB2116"/>
      <c r="CC2116"/>
      <c r="CD2116" s="25"/>
    </row>
    <row r="2117" spans="1:82" s="17" customFormat="1" x14ac:dyDescent="0.2">
      <c r="A2117" s="25"/>
      <c r="B2117" s="20">
        <v>39007000400</v>
      </c>
      <c r="C2117" s="20">
        <v>4</v>
      </c>
      <c r="D2117" s="20" t="s">
        <v>10</v>
      </c>
      <c r="E2117" s="20" t="s">
        <v>2829</v>
      </c>
      <c r="F2117" s="20" t="s">
        <v>6</v>
      </c>
      <c r="G2117" s="861">
        <v>42.694728273852903</v>
      </c>
      <c r="H2117" s="861">
        <v>51.029016379112903</v>
      </c>
      <c r="I2117" s="861">
        <v>46.835766660489398</v>
      </c>
      <c r="J2117" s="861">
        <v>49.412982322932102</v>
      </c>
      <c r="K2117" s="982">
        <v>0</v>
      </c>
      <c r="L2117" s="735">
        <v>1787</v>
      </c>
      <c r="M2117" s="735">
        <v>1399</v>
      </c>
      <c r="N2117" s="845">
        <f t="shared" si="167"/>
        <v>-0.21712367095691101</v>
      </c>
      <c r="O2117" s="735">
        <v>1.7094607434317528</v>
      </c>
      <c r="P2117" s="735">
        <f t="shared" si="168"/>
        <v>818.38673708967372</v>
      </c>
      <c r="Q2117" s="849">
        <v>43.8</v>
      </c>
      <c r="R2117" s="71">
        <v>52037</v>
      </c>
      <c r="S2117" s="845">
        <v>0.22007434944237919</v>
      </c>
      <c r="T2117" s="845">
        <v>1.4999999999999999E-2</v>
      </c>
      <c r="U2117" s="845">
        <v>0</v>
      </c>
      <c r="V2117" s="845">
        <v>0</v>
      </c>
      <c r="W2117" s="845">
        <v>0.29629629629629628</v>
      </c>
      <c r="X2117" s="845">
        <v>0.42708333333333331</v>
      </c>
      <c r="Y2117" s="845">
        <v>0.91851322373123656</v>
      </c>
      <c r="Z2117" s="845">
        <v>0</v>
      </c>
      <c r="AA2117" s="845">
        <v>0</v>
      </c>
      <c r="AB2117" s="845">
        <v>0</v>
      </c>
      <c r="AC2117" s="845">
        <v>0</v>
      </c>
      <c r="AD2117" s="845">
        <v>2.0729092208720514E-2</v>
      </c>
      <c r="AE2117" s="845">
        <v>6.0757684060042887E-2</v>
      </c>
      <c r="AF2117" s="845">
        <v>5.5754110078627593E-2</v>
      </c>
      <c r="AG2117" s="845">
        <v>0.91851322373123656</v>
      </c>
      <c r="AH2117" s="20" t="str">
        <f t="shared" si="169"/>
        <v>Yes</v>
      </c>
      <c r="AI2117" s="25"/>
      <c r="AJ2117" s="25"/>
      <c r="AK2117" s="25"/>
      <c r="AL2117" s="25"/>
      <c r="AM2117" s="25"/>
      <c r="AN2117" s="25"/>
      <c r="AO2117" s="25"/>
      <c r="AP2117" s="25"/>
      <c r="AQ2117" s="25"/>
      <c r="AR2117" s="25"/>
      <c r="AS2117" s="25"/>
      <c r="AT2117" s="25"/>
      <c r="AU2117" s="36"/>
      <c r="AV2117" s="36"/>
      <c r="AW2117" s="36"/>
      <c r="AX2117" s="25"/>
      <c r="AY2117" s="25"/>
      <c r="AZ2117" s="25"/>
      <c r="BA2117" s="25"/>
      <c r="BB2117" s="25"/>
      <c r="BC2117" s="25"/>
      <c r="BD2117" s="25"/>
      <c r="BE2117" s="25"/>
      <c r="BF2117" s="25"/>
      <c r="BG2117" s="25"/>
      <c r="BH2117" s="25"/>
      <c r="BI2117" s="25"/>
      <c r="BJ2117" s="25"/>
      <c r="BK2117" s="25"/>
      <c r="BL2117" s="25"/>
      <c r="BM2117" s="25"/>
      <c r="BN2117" s="25"/>
      <c r="BO2117" s="25"/>
      <c r="BP2117" s="25"/>
      <c r="BQ2117" s="25"/>
      <c r="BR2117" s="25"/>
      <c r="BS2117" s="25"/>
      <c r="BT2117" s="25"/>
      <c r="BU2117"/>
      <c r="BV2117"/>
      <c r="BW2117"/>
      <c r="BX2117"/>
      <c r="BY2117"/>
      <c r="BZ2117"/>
      <c r="CA2117"/>
      <c r="CB2117"/>
      <c r="CC2117"/>
      <c r="CD2117" s="25"/>
    </row>
    <row r="2118" spans="1:82" s="17" customFormat="1" x14ac:dyDescent="0.2">
      <c r="A2118" s="25"/>
      <c r="B2118" s="20">
        <v>39165032206</v>
      </c>
      <c r="C2118" s="20">
        <v>322.06</v>
      </c>
      <c r="D2118" s="20" t="s">
        <v>88</v>
      </c>
      <c r="E2118" s="20" t="s">
        <v>2828</v>
      </c>
      <c r="F2118" s="20" t="s">
        <v>8</v>
      </c>
      <c r="G2118" s="861">
        <v>42.672480813678597</v>
      </c>
      <c r="H2118" s="861">
        <v>59.421155947949401</v>
      </c>
      <c r="I2118" s="861">
        <v>13.4715785692512</v>
      </c>
      <c r="J2118" s="861">
        <v>50.953875728717897</v>
      </c>
      <c r="K2118" s="982">
        <v>0</v>
      </c>
      <c r="L2118" s="735" t="s">
        <v>2466</v>
      </c>
      <c r="M2118" s="735">
        <v>3218</v>
      </c>
      <c r="N2118" s="845" t="str">
        <f t="shared" si="167"/>
        <v/>
      </c>
      <c r="O2118" s="735">
        <v>6.766093223493602</v>
      </c>
      <c r="P2118" s="735">
        <f t="shared" si="168"/>
        <v>475.60680790301308</v>
      </c>
      <c r="Q2118" s="849">
        <v>39</v>
      </c>
      <c r="R2118" s="71">
        <v>124338</v>
      </c>
      <c r="S2118" s="845">
        <v>0</v>
      </c>
      <c r="T2118" s="845">
        <v>3.7000000000000005E-2</v>
      </c>
      <c r="U2118" s="845">
        <v>0</v>
      </c>
      <c r="V2118" s="845">
        <v>0</v>
      </c>
      <c r="W2118" s="845">
        <v>8.1159420289855067E-2</v>
      </c>
      <c r="X2118" s="845">
        <v>0</v>
      </c>
      <c r="Y2118" s="845">
        <v>0.88999378495960224</v>
      </c>
      <c r="Z2118" s="845">
        <v>2.8278433809819765E-2</v>
      </c>
      <c r="AA2118" s="845">
        <v>0</v>
      </c>
      <c r="AB2118" s="845">
        <v>6.8365444375388437E-3</v>
      </c>
      <c r="AC2118" s="845">
        <v>0</v>
      </c>
      <c r="AD2118" s="845">
        <v>0</v>
      </c>
      <c r="AE2118" s="845">
        <v>7.4891236793039148E-2</v>
      </c>
      <c r="AF2118" s="845">
        <v>5.593536357986327E-2</v>
      </c>
      <c r="AG2118" s="845">
        <v>0.88999378495960224</v>
      </c>
      <c r="AH2118" s="20" t="str">
        <f t="shared" si="169"/>
        <v>No</v>
      </c>
      <c r="AI2118" s="25"/>
      <c r="AJ2118" s="25"/>
      <c r="AK2118" s="25"/>
      <c r="AL2118" s="25"/>
      <c r="AM2118" s="25"/>
      <c r="AN2118" s="25"/>
      <c r="AO2118" s="25"/>
      <c r="AP2118" s="25"/>
      <c r="AQ2118" s="25"/>
      <c r="AR2118" s="25"/>
      <c r="AS2118" s="25"/>
      <c r="AT2118" s="25"/>
      <c r="AU2118" s="36"/>
      <c r="AV2118" s="36"/>
      <c r="AW2118" s="36"/>
      <c r="AX2118" s="25"/>
      <c r="AY2118" s="25"/>
      <c r="AZ2118" s="25"/>
      <c r="BA2118" s="25"/>
      <c r="BB2118" s="25"/>
      <c r="BC2118" s="25"/>
      <c r="BD2118" s="25"/>
      <c r="BE2118" s="25"/>
      <c r="BF2118" s="25"/>
      <c r="BG2118" s="25"/>
      <c r="BH2118" s="25"/>
      <c r="BI2118" s="25"/>
      <c r="BJ2118" s="25"/>
      <c r="BK2118" s="25"/>
      <c r="BL2118" s="25"/>
      <c r="BM2118" s="25"/>
      <c r="BN2118" s="25"/>
      <c r="BO2118" s="25"/>
      <c r="BP2118" s="25"/>
      <c r="BQ2118" s="25"/>
      <c r="BR2118" s="25"/>
      <c r="BS2118" s="25"/>
      <c r="BT2118" s="25"/>
      <c r="BU2118"/>
      <c r="BV2118"/>
      <c r="BW2118"/>
      <c r="BX2118"/>
      <c r="BY2118"/>
      <c r="BZ2118"/>
      <c r="CA2118"/>
      <c r="CB2118"/>
      <c r="CC2118"/>
      <c r="CD2118" s="25"/>
    </row>
    <row r="2119" spans="1:82" s="17" customFormat="1" x14ac:dyDescent="0.2">
      <c r="A2119" s="25"/>
      <c r="B2119" s="20">
        <v>39109345000</v>
      </c>
      <c r="C2119" s="20">
        <v>3450</v>
      </c>
      <c r="D2119" s="20" t="s">
        <v>60</v>
      </c>
      <c r="E2119" s="20" t="s">
        <v>2833</v>
      </c>
      <c r="F2119" s="20" t="s">
        <v>8</v>
      </c>
      <c r="G2119" s="861">
        <v>42.667541312581498</v>
      </c>
      <c r="H2119" s="861">
        <v>50.231058448007403</v>
      </c>
      <c r="I2119" s="861">
        <v>30.5395364542882</v>
      </c>
      <c r="J2119" s="861">
        <v>44.109826083252301</v>
      </c>
      <c r="K2119" s="982">
        <v>0</v>
      </c>
      <c r="L2119" s="735">
        <v>4767</v>
      </c>
      <c r="M2119" s="735">
        <v>4867</v>
      </c>
      <c r="N2119" s="845">
        <f t="shared" si="167"/>
        <v>2.0977554017201593E-2</v>
      </c>
      <c r="O2119" s="735">
        <v>4.9778081799765488</v>
      </c>
      <c r="P2119" s="735">
        <f t="shared" si="168"/>
        <v>977.73956408720619</v>
      </c>
      <c r="Q2119" s="849">
        <v>40.9</v>
      </c>
      <c r="R2119" s="71">
        <v>59691</v>
      </c>
      <c r="S2119" s="845">
        <v>8.793918224779125E-2</v>
      </c>
      <c r="T2119" s="845">
        <v>3.5000000000000003E-2</v>
      </c>
      <c r="U2119" s="845">
        <v>0.02</v>
      </c>
      <c r="V2119" s="845">
        <v>0.17199999999999999</v>
      </c>
      <c r="W2119" s="845">
        <v>0.25095785440613028</v>
      </c>
      <c r="X2119" s="845">
        <v>0.4351145038167939</v>
      </c>
      <c r="Y2119" s="845">
        <v>0.94637353605917407</v>
      </c>
      <c r="Z2119" s="845">
        <v>0</v>
      </c>
      <c r="AA2119" s="845">
        <v>0</v>
      </c>
      <c r="AB2119" s="845">
        <v>5.3420998561742343E-3</v>
      </c>
      <c r="AC2119" s="845">
        <v>1.6437230326689953E-3</v>
      </c>
      <c r="AD2119" s="845">
        <v>1.4588041914937334E-2</v>
      </c>
      <c r="AE2119" s="845">
        <v>3.2052599137045411E-2</v>
      </c>
      <c r="AF2119" s="845">
        <v>7.6022190260941029E-3</v>
      </c>
      <c r="AG2119" s="845">
        <v>0.94637353605917407</v>
      </c>
      <c r="AH2119" s="20" t="str">
        <f t="shared" si="169"/>
        <v>Yes</v>
      </c>
      <c r="AI2119" s="25"/>
      <c r="AJ2119" s="25"/>
      <c r="AK2119" s="25"/>
      <c r="AL2119" s="25"/>
      <c r="AM2119" s="25"/>
      <c r="AN2119" s="25"/>
      <c r="AO2119" s="25"/>
      <c r="AP2119" s="25"/>
      <c r="AQ2119" s="25"/>
      <c r="AR2119" s="25"/>
      <c r="AS2119" s="25"/>
      <c r="AT2119" s="25"/>
      <c r="AU2119" s="36"/>
      <c r="AV2119" s="36"/>
      <c r="AW2119" s="36"/>
      <c r="AX2119" s="25"/>
      <c r="AY2119" s="25"/>
      <c r="AZ2119" s="25"/>
      <c r="BA2119" s="25"/>
      <c r="BB2119" s="25"/>
      <c r="BC2119" s="25"/>
      <c r="BD2119" s="25"/>
      <c r="BE2119" s="25"/>
      <c r="BF2119" s="25"/>
      <c r="BG2119" s="25"/>
      <c r="BH2119" s="25"/>
      <c r="BI2119" s="25"/>
      <c r="BJ2119" s="25"/>
      <c r="BK2119" s="25"/>
      <c r="BL2119" s="25"/>
      <c r="BM2119" s="25"/>
      <c r="BN2119" s="25"/>
      <c r="BO2119" s="25"/>
      <c r="BP2119" s="25"/>
      <c r="BQ2119" s="25"/>
      <c r="BR2119" s="25"/>
      <c r="BS2119" s="25"/>
      <c r="BT2119" s="25"/>
      <c r="BU2119"/>
      <c r="BV2119"/>
      <c r="BW2119"/>
      <c r="BX2119"/>
      <c r="BY2119"/>
      <c r="BZ2119"/>
      <c r="CA2119"/>
      <c r="CB2119"/>
      <c r="CC2119"/>
      <c r="CD2119" s="25"/>
    </row>
    <row r="2120" spans="1:82" s="17" customFormat="1" x14ac:dyDescent="0.2">
      <c r="A2120" s="25"/>
      <c r="B2120" s="20">
        <v>39017012200</v>
      </c>
      <c r="C2120" s="20">
        <v>122</v>
      </c>
      <c r="D2120" s="20" t="s">
        <v>15</v>
      </c>
      <c r="E2120" s="20" t="s">
        <v>2828</v>
      </c>
      <c r="F2120" s="20" t="s">
        <v>6</v>
      </c>
      <c r="G2120" s="861">
        <v>42.665825320522103</v>
      </c>
      <c r="H2120" s="861">
        <v>49.694667740799602</v>
      </c>
      <c r="I2120" s="861">
        <v>58.214228072144302</v>
      </c>
      <c r="J2120" s="861">
        <v>34.827929094996001</v>
      </c>
      <c r="K2120" s="982">
        <v>0</v>
      </c>
      <c r="L2120" s="735">
        <v>3194</v>
      </c>
      <c r="M2120" s="735">
        <v>2813</v>
      </c>
      <c r="N2120" s="845">
        <f t="shared" si="167"/>
        <v>-0.1192861615529117</v>
      </c>
      <c r="O2120" s="735">
        <v>2.6140428884053835</v>
      </c>
      <c r="P2120" s="735">
        <f t="shared" si="168"/>
        <v>1076.1108826779748</v>
      </c>
      <c r="Q2120" s="849">
        <v>44.2</v>
      </c>
      <c r="R2120" s="71">
        <v>42347</v>
      </c>
      <c r="S2120" s="845">
        <v>0.21933878421613937</v>
      </c>
      <c r="T2120" s="845">
        <v>8.0000000000000002E-3</v>
      </c>
      <c r="U2120" s="845">
        <v>0</v>
      </c>
      <c r="V2120" s="845">
        <v>4.4000000000000004E-2</v>
      </c>
      <c r="W2120" s="845">
        <v>0.47423450336071693</v>
      </c>
      <c r="X2120" s="845">
        <v>0.37165354330708661</v>
      </c>
      <c r="Y2120" s="845">
        <v>0.9296125133309634</v>
      </c>
      <c r="Z2120" s="845">
        <v>0</v>
      </c>
      <c r="AA2120" s="845">
        <v>1.4219694276573053E-3</v>
      </c>
      <c r="AB2120" s="845">
        <v>0</v>
      </c>
      <c r="AC2120" s="845">
        <v>0</v>
      </c>
      <c r="AD2120" s="845">
        <v>0</v>
      </c>
      <c r="AE2120" s="845">
        <v>6.8965517241379309E-2</v>
      </c>
      <c r="AF2120" s="845">
        <v>1.6708140774973339E-2</v>
      </c>
      <c r="AG2120" s="845">
        <v>0.9221471738357625</v>
      </c>
      <c r="AH2120" s="20" t="str">
        <f t="shared" si="169"/>
        <v>Yes</v>
      </c>
      <c r="AI2120" s="25"/>
      <c r="AJ2120" s="25"/>
      <c r="AK2120" s="25"/>
      <c r="AL2120" s="25"/>
      <c r="AM2120" s="25"/>
      <c r="AN2120" s="25"/>
      <c r="AO2120" s="25"/>
      <c r="AP2120" s="25"/>
      <c r="AQ2120" s="25"/>
      <c r="AR2120" s="25"/>
      <c r="AS2120" s="25"/>
      <c r="AT2120" s="25"/>
      <c r="AU2120" s="36"/>
      <c r="AV2120" s="36"/>
      <c r="AW2120" s="36"/>
      <c r="AX2120" s="25"/>
      <c r="AY2120" s="25"/>
      <c r="AZ2120" s="25"/>
      <c r="BA2120" s="25"/>
      <c r="BB2120" s="25"/>
      <c r="BC2120" s="25"/>
      <c r="BD2120" s="25"/>
      <c r="BE2120" s="25"/>
      <c r="BF2120" s="25"/>
      <c r="BG2120" s="25"/>
      <c r="BH2120" s="25"/>
      <c r="BI2120" s="25"/>
      <c r="BJ2120" s="25"/>
      <c r="BK2120" s="25"/>
      <c r="BL2120" s="25"/>
      <c r="BM2120" s="25"/>
      <c r="BN2120" s="25"/>
      <c r="BO2120" s="25"/>
      <c r="BP2120" s="25"/>
      <c r="BQ2120" s="25"/>
      <c r="BR2120" s="25"/>
      <c r="BS2120" s="25"/>
      <c r="BT2120" s="25"/>
      <c r="BU2120"/>
      <c r="BV2120"/>
      <c r="BW2120"/>
      <c r="BX2120"/>
      <c r="BY2120"/>
      <c r="BZ2120"/>
      <c r="CA2120"/>
      <c r="CB2120"/>
      <c r="CC2120"/>
      <c r="CD2120" s="25"/>
    </row>
    <row r="2121" spans="1:82" s="17" customFormat="1" x14ac:dyDescent="0.2">
      <c r="A2121" s="25"/>
      <c r="B2121" s="20">
        <v>39153501800</v>
      </c>
      <c r="C2121" s="20">
        <v>5018</v>
      </c>
      <c r="D2121" s="20" t="s">
        <v>82</v>
      </c>
      <c r="E2121" s="20" t="s">
        <v>2843</v>
      </c>
      <c r="F2121" s="20" t="s">
        <v>6</v>
      </c>
      <c r="G2121" s="861">
        <v>42.662174396250499</v>
      </c>
      <c r="H2121" s="861">
        <v>54.089215484498602</v>
      </c>
      <c r="I2121" s="861">
        <v>45.693952678396002</v>
      </c>
      <c r="J2121" s="861">
        <v>46.043390649939901</v>
      </c>
      <c r="K2121" s="982">
        <v>0</v>
      </c>
      <c r="L2121" s="735">
        <v>805</v>
      </c>
      <c r="M2121" s="735">
        <v>736</v>
      </c>
      <c r="N2121" s="845">
        <f t="shared" si="167"/>
        <v>-8.5714285714285715E-2</v>
      </c>
      <c r="O2121" s="735">
        <v>0.27606265729150398</v>
      </c>
      <c r="P2121" s="735">
        <f t="shared" si="168"/>
        <v>2666.0614196103766</v>
      </c>
      <c r="Q2121" s="849">
        <v>30.4</v>
      </c>
      <c r="R2121" s="71">
        <v>47667</v>
      </c>
      <c r="S2121" s="845">
        <v>0.22282608695652173</v>
      </c>
      <c r="T2121" s="845">
        <v>0.06</v>
      </c>
      <c r="U2121" s="845">
        <v>0</v>
      </c>
      <c r="V2121" s="845">
        <v>5.4000000000000006E-2</v>
      </c>
      <c r="W2121" s="845">
        <v>0.63970588235294112</v>
      </c>
      <c r="X2121" s="845">
        <v>0.22988505747126436</v>
      </c>
      <c r="Y2121" s="845">
        <v>4.2119565217391304E-2</v>
      </c>
      <c r="Z2121" s="845">
        <v>0.91847826086956519</v>
      </c>
      <c r="AA2121" s="845">
        <v>0</v>
      </c>
      <c r="AB2121" s="845">
        <v>1.6304347826086956E-2</v>
      </c>
      <c r="AC2121" s="845">
        <v>0</v>
      </c>
      <c r="AD2121" s="845">
        <v>0</v>
      </c>
      <c r="AE2121" s="845">
        <v>2.309782608695652E-2</v>
      </c>
      <c r="AF2121" s="845">
        <v>9.5108695652173919E-3</v>
      </c>
      <c r="AG2121" s="845">
        <v>3.6684782608695655E-2</v>
      </c>
      <c r="AH2121" s="20" t="str">
        <f t="shared" si="169"/>
        <v>No</v>
      </c>
      <c r="AI2121" s="25"/>
      <c r="AJ2121" s="25"/>
      <c r="AK2121" s="25"/>
      <c r="AL2121" s="25"/>
      <c r="AM2121" s="25"/>
      <c r="AN2121" s="25"/>
      <c r="AO2121" s="25"/>
      <c r="AP2121" s="25"/>
      <c r="AQ2121" s="25"/>
      <c r="AR2121" s="25"/>
      <c r="AS2121" s="25"/>
      <c r="AT2121" s="25"/>
      <c r="AU2121" s="36"/>
      <c r="AV2121" s="36"/>
      <c r="AW2121" s="36"/>
      <c r="AX2121" s="25"/>
      <c r="AY2121" s="25"/>
      <c r="AZ2121" s="25"/>
      <c r="BA2121" s="25"/>
      <c r="BB2121" s="25"/>
      <c r="BC2121" s="25"/>
      <c r="BD2121" s="25"/>
      <c r="BE2121" s="25"/>
      <c r="BF2121" s="25"/>
      <c r="BG2121" s="25"/>
      <c r="BH2121" s="25"/>
      <c r="BI2121" s="25"/>
      <c r="BJ2121" s="25"/>
      <c r="BK2121" s="25"/>
      <c r="BL2121" s="25"/>
      <c r="BM2121" s="25"/>
      <c r="BN2121" s="25"/>
      <c r="BO2121" s="25"/>
      <c r="BP2121" s="25"/>
      <c r="BQ2121" s="25"/>
      <c r="BR2121" s="25"/>
      <c r="BS2121" s="25"/>
      <c r="BT2121" s="25"/>
      <c r="BU2121"/>
      <c r="BV2121"/>
      <c r="BW2121"/>
      <c r="BX2121"/>
      <c r="BY2121"/>
      <c r="BZ2121"/>
      <c r="CA2121"/>
      <c r="CB2121"/>
      <c r="CC2121"/>
      <c r="CD2121" s="25"/>
    </row>
    <row r="2122" spans="1:82" s="17" customFormat="1" x14ac:dyDescent="0.2">
      <c r="A2122" s="25"/>
      <c r="B2122" s="20">
        <v>39023001600</v>
      </c>
      <c r="C2122" s="20">
        <v>16</v>
      </c>
      <c r="D2122" s="20" t="s">
        <v>18</v>
      </c>
      <c r="E2122" s="20" t="s">
        <v>2838</v>
      </c>
      <c r="F2122" s="20" t="s">
        <v>8</v>
      </c>
      <c r="G2122" s="861">
        <v>42.613585298175003</v>
      </c>
      <c r="H2122" s="861">
        <v>48.351069942799903</v>
      </c>
      <c r="I2122" s="861">
        <v>24.7912099452153</v>
      </c>
      <c r="J2122" s="861">
        <v>63.022654192161902</v>
      </c>
      <c r="K2122" s="982">
        <v>0</v>
      </c>
      <c r="L2122" s="735">
        <v>4155</v>
      </c>
      <c r="M2122" s="735">
        <v>3671</v>
      </c>
      <c r="N2122" s="845">
        <f t="shared" si="167"/>
        <v>-0.11648616125150421</v>
      </c>
      <c r="O2122" s="735">
        <v>5.1363567842788287</v>
      </c>
      <c r="P2122" s="735">
        <f t="shared" si="168"/>
        <v>714.708918047917</v>
      </c>
      <c r="Q2122" s="849">
        <v>43.6</v>
      </c>
      <c r="R2122" s="71">
        <v>79647</v>
      </c>
      <c r="S2122" s="845">
        <v>9.7248706074639063E-2</v>
      </c>
      <c r="T2122" s="845">
        <v>2.3E-2</v>
      </c>
      <c r="U2122" s="845">
        <v>5.0999999999999997E-2</v>
      </c>
      <c r="V2122" s="845">
        <v>0.1</v>
      </c>
      <c r="W2122" s="845">
        <v>0.22590139808682855</v>
      </c>
      <c r="X2122" s="845">
        <v>0.42996742671009774</v>
      </c>
      <c r="Y2122" s="845">
        <v>0.91310269681285749</v>
      </c>
      <c r="Z2122" s="845">
        <v>2.3426859166439662E-2</v>
      </c>
      <c r="AA2122" s="845">
        <v>0</v>
      </c>
      <c r="AB2122" s="845">
        <v>0</v>
      </c>
      <c r="AC2122" s="845">
        <v>0</v>
      </c>
      <c r="AD2122" s="845">
        <v>1.1713429583219831E-2</v>
      </c>
      <c r="AE2122" s="845">
        <v>5.1757014437482977E-2</v>
      </c>
      <c r="AF2122" s="845">
        <v>5.1757014437482972E-3</v>
      </c>
      <c r="AG2122" s="845">
        <v>0.91310269681285749</v>
      </c>
      <c r="AH2122" s="20" t="str">
        <f t="shared" si="169"/>
        <v>Yes</v>
      </c>
      <c r="AI2122" s="25"/>
      <c r="AJ2122" s="25"/>
      <c r="AK2122" s="25"/>
      <c r="AL2122" s="25"/>
      <c r="AM2122" s="25"/>
      <c r="AN2122" s="25"/>
      <c r="AO2122" s="25"/>
      <c r="AP2122" s="25"/>
      <c r="AQ2122" s="25"/>
      <c r="AR2122" s="25"/>
      <c r="AS2122" s="25"/>
      <c r="AT2122" s="25"/>
      <c r="AU2122" s="36"/>
      <c r="AV2122" s="36"/>
      <c r="AW2122" s="36"/>
      <c r="AX2122" s="25"/>
      <c r="AY2122" s="25"/>
      <c r="AZ2122" s="25"/>
      <c r="BA2122" s="25"/>
      <c r="BB2122" s="25"/>
      <c r="BC2122" s="25"/>
      <c r="BD2122" s="25"/>
      <c r="BE2122" s="25"/>
      <c r="BF2122" s="25"/>
      <c r="BG2122" s="25"/>
      <c r="BH2122" s="25"/>
      <c r="BI2122" s="25"/>
      <c r="BJ2122" s="25"/>
      <c r="BK2122" s="25"/>
      <c r="BL2122" s="25"/>
      <c r="BM2122" s="25"/>
      <c r="BN2122" s="25"/>
      <c r="BO2122" s="25"/>
      <c r="BP2122" s="25"/>
      <c r="BQ2122" s="25"/>
      <c r="BR2122" s="25"/>
      <c r="BS2122" s="25"/>
      <c r="BT2122" s="25"/>
      <c r="BU2122"/>
      <c r="BV2122"/>
      <c r="BW2122"/>
      <c r="BX2122"/>
      <c r="BY2122"/>
      <c r="BZ2122"/>
      <c r="CA2122"/>
      <c r="CB2122"/>
      <c r="CC2122"/>
      <c r="CD2122" s="25"/>
    </row>
    <row r="2123" spans="1:82" s="17" customFormat="1" x14ac:dyDescent="0.2">
      <c r="A2123" s="25"/>
      <c r="B2123" s="20">
        <v>39143960800</v>
      </c>
      <c r="C2123" s="20">
        <v>9608</v>
      </c>
      <c r="D2123" s="20" t="s">
        <v>77</v>
      </c>
      <c r="E2123" s="20" t="s">
        <v>265</v>
      </c>
      <c r="F2123" s="20" t="s">
        <v>8</v>
      </c>
      <c r="G2123" s="861">
        <v>42.597357850489203</v>
      </c>
      <c r="H2123" s="861">
        <v>48.338870272747698</v>
      </c>
      <c r="I2123" s="861">
        <v>28.8924156638938</v>
      </c>
      <c r="J2123" s="861">
        <v>27.691477293478499</v>
      </c>
      <c r="K2123" s="982">
        <v>0</v>
      </c>
      <c r="L2123" s="735">
        <v>3482</v>
      </c>
      <c r="M2123" s="735">
        <v>3387</v>
      </c>
      <c r="N2123" s="845">
        <f t="shared" ref="N2123:N2186" si="170">IF(OR(L2123="",M2123=""),"",(M2123-L2123)/L2123)</f>
        <v>-2.7283170591614014E-2</v>
      </c>
      <c r="O2123" s="735">
        <v>56.086446667123894</v>
      </c>
      <c r="P2123" s="735">
        <f t="shared" ref="P2123:P2186" si="171">M2123/O2123</f>
        <v>60.388921054350774</v>
      </c>
      <c r="Q2123" s="849">
        <v>40.1</v>
      </c>
      <c r="R2123" s="71">
        <v>85760</v>
      </c>
      <c r="S2123" s="845">
        <v>0.16350710900473933</v>
      </c>
      <c r="T2123" s="845">
        <v>4.2999999999999997E-2</v>
      </c>
      <c r="U2123" s="845">
        <v>5.0000000000000001E-3</v>
      </c>
      <c r="V2123" s="845">
        <v>0</v>
      </c>
      <c r="W2123" s="845">
        <v>0.20072202166064981</v>
      </c>
      <c r="X2123" s="845">
        <v>0.13309352517985612</v>
      </c>
      <c r="Y2123" s="845">
        <v>0.78122232063773256</v>
      </c>
      <c r="Z2123" s="845">
        <v>3.7791555949217598E-2</v>
      </c>
      <c r="AA2123" s="845">
        <v>6.2001771479185119E-3</v>
      </c>
      <c r="AB2123" s="845">
        <v>3.7201062887511072E-2</v>
      </c>
      <c r="AC2123" s="845">
        <v>0</v>
      </c>
      <c r="AD2123" s="845">
        <v>6.4954236787717742E-3</v>
      </c>
      <c r="AE2123" s="845">
        <v>0.13108945969884853</v>
      </c>
      <c r="AF2123" s="845">
        <v>0.16031886625332153</v>
      </c>
      <c r="AG2123" s="845">
        <v>0.73368762917035724</v>
      </c>
      <c r="AH2123" s="20" t="str">
        <f t="shared" ref="AH2123:AH2186" si="172">IF(AG2123&gt;=0.9,"Yes","No")</f>
        <v>No</v>
      </c>
      <c r="AI2123" s="25"/>
      <c r="AJ2123" s="25"/>
      <c r="AK2123" s="25"/>
      <c r="AL2123" s="25"/>
      <c r="AM2123" s="25"/>
      <c r="AN2123" s="25"/>
      <c r="AO2123" s="25"/>
      <c r="AP2123" s="25"/>
      <c r="AQ2123" s="25"/>
      <c r="AR2123" s="25"/>
      <c r="AS2123" s="25"/>
      <c r="AT2123" s="25"/>
      <c r="AU2123" s="36"/>
      <c r="AV2123" s="36"/>
      <c r="AW2123" s="36"/>
      <c r="AX2123" s="25"/>
      <c r="AY2123" s="25"/>
      <c r="AZ2123" s="25"/>
      <c r="BA2123" s="25"/>
      <c r="BB2123" s="25"/>
      <c r="BC2123" s="25"/>
      <c r="BD2123" s="25"/>
      <c r="BE2123" s="25"/>
      <c r="BF2123" s="25"/>
      <c r="BG2123" s="25"/>
      <c r="BH2123" s="25"/>
      <c r="BI2123" s="25"/>
      <c r="BJ2123" s="25"/>
      <c r="BK2123" s="25"/>
      <c r="BL2123" s="25"/>
      <c r="BM2123" s="25"/>
      <c r="BN2123" s="25"/>
      <c r="BO2123" s="25"/>
      <c r="BP2123" s="25"/>
      <c r="BQ2123" s="25"/>
      <c r="BR2123" s="25"/>
      <c r="BS2123" s="25"/>
      <c r="BT2123" s="25"/>
      <c r="BU2123"/>
      <c r="BV2123"/>
      <c r="BW2123"/>
      <c r="BX2123"/>
      <c r="BY2123"/>
      <c r="BZ2123"/>
      <c r="CA2123"/>
      <c r="CB2123"/>
      <c r="CC2123"/>
      <c r="CD2123" s="25"/>
    </row>
    <row r="2124" spans="1:82" s="17" customFormat="1" x14ac:dyDescent="0.2">
      <c r="A2124" s="25"/>
      <c r="B2124" s="20">
        <v>39113000600</v>
      </c>
      <c r="C2124" s="20">
        <v>6</v>
      </c>
      <c r="D2124" s="20" t="s">
        <v>62</v>
      </c>
      <c r="E2124" s="20" t="s">
        <v>2833</v>
      </c>
      <c r="F2124" s="20" t="s">
        <v>8</v>
      </c>
      <c r="G2124" s="861">
        <v>42.594988976517698</v>
      </c>
      <c r="H2124" s="861">
        <v>59.692434439123403</v>
      </c>
      <c r="I2124" s="861">
        <v>45.540972810843598</v>
      </c>
      <c r="J2124" s="861">
        <v>54.679166915553303</v>
      </c>
      <c r="K2124" s="982">
        <v>0</v>
      </c>
      <c r="L2124" s="735">
        <v>1800</v>
      </c>
      <c r="M2124" s="735">
        <v>1881</v>
      </c>
      <c r="N2124" s="845">
        <f t="shared" si="170"/>
        <v>4.4999999999999998E-2</v>
      </c>
      <c r="O2124" s="735">
        <v>0.38979792845458278</v>
      </c>
      <c r="P2124" s="735">
        <f t="shared" si="171"/>
        <v>4825.5772098572461</v>
      </c>
      <c r="Q2124" s="849">
        <v>45.9</v>
      </c>
      <c r="R2124" s="71">
        <v>62708</v>
      </c>
      <c r="S2124" s="845">
        <v>0.16040772532188841</v>
      </c>
      <c r="T2124" s="845">
        <v>0.153</v>
      </c>
      <c r="U2124" s="845">
        <v>0</v>
      </c>
      <c r="V2124" s="845">
        <v>2.1000000000000001E-2</v>
      </c>
      <c r="W2124" s="845">
        <v>0.27307206068268014</v>
      </c>
      <c r="X2124" s="845">
        <v>0.57407407407407407</v>
      </c>
      <c r="Y2124" s="845">
        <v>0.15098351940457203</v>
      </c>
      <c r="Z2124" s="845">
        <v>0.80116959064327486</v>
      </c>
      <c r="AA2124" s="845">
        <v>0</v>
      </c>
      <c r="AB2124" s="845">
        <v>0</v>
      </c>
      <c r="AC2124" s="845">
        <v>0</v>
      </c>
      <c r="AD2124" s="845">
        <v>0</v>
      </c>
      <c r="AE2124" s="845">
        <v>4.784688995215311E-2</v>
      </c>
      <c r="AF2124" s="845">
        <v>1.9138755980861243E-2</v>
      </c>
      <c r="AG2124" s="845">
        <v>0.15098351940457203</v>
      </c>
      <c r="AH2124" s="20" t="str">
        <f t="shared" si="172"/>
        <v>No</v>
      </c>
      <c r="AI2124" s="25"/>
      <c r="AJ2124" s="25"/>
      <c r="AK2124" s="25"/>
      <c r="AL2124" s="25"/>
      <c r="AM2124" s="25"/>
      <c r="AN2124" s="25"/>
      <c r="AO2124" s="25"/>
      <c r="AP2124" s="25"/>
      <c r="AQ2124" s="25"/>
      <c r="AR2124" s="25"/>
      <c r="AS2124" s="25"/>
      <c r="AT2124" s="25"/>
      <c r="AU2124" s="36"/>
      <c r="AV2124" s="36"/>
      <c r="AW2124" s="36"/>
      <c r="AX2124" s="25"/>
      <c r="AY2124" s="25"/>
      <c r="AZ2124" s="25"/>
      <c r="BA2124" s="25"/>
      <c r="BB2124" s="25"/>
      <c r="BC2124" s="25"/>
      <c r="BD2124" s="25"/>
      <c r="BE2124" s="25"/>
      <c r="BF2124" s="25"/>
      <c r="BG2124" s="25"/>
      <c r="BH2124" s="25"/>
      <c r="BI2124" s="25"/>
      <c r="BJ2124" s="25"/>
      <c r="BK2124" s="25"/>
      <c r="BL2124" s="25"/>
      <c r="BM2124" s="25"/>
      <c r="BN2124" s="25"/>
      <c r="BO2124" s="25"/>
      <c r="BP2124" s="25"/>
      <c r="BQ2124" s="25"/>
      <c r="BR2124" s="25"/>
      <c r="BS2124" s="25"/>
      <c r="BT2124" s="25"/>
      <c r="BU2124"/>
      <c r="BV2124"/>
      <c r="BW2124"/>
      <c r="BX2124"/>
      <c r="BY2124"/>
      <c r="BZ2124"/>
      <c r="CA2124"/>
      <c r="CB2124"/>
      <c r="CC2124"/>
      <c r="CD2124" s="25"/>
    </row>
    <row r="2125" spans="1:82" s="17" customFormat="1" x14ac:dyDescent="0.2">
      <c r="A2125" s="25"/>
      <c r="B2125" s="20">
        <v>39151713900</v>
      </c>
      <c r="C2125" s="20">
        <v>7139</v>
      </c>
      <c r="D2125" s="20" t="s">
        <v>81</v>
      </c>
      <c r="E2125" s="20" t="s">
        <v>2844</v>
      </c>
      <c r="F2125" s="20" t="s">
        <v>8</v>
      </c>
      <c r="G2125" s="861">
        <v>42.591766711096099</v>
      </c>
      <c r="H2125" s="861">
        <v>40.930605350276998</v>
      </c>
      <c r="I2125" s="861">
        <v>33.189368918461398</v>
      </c>
      <c r="J2125" s="861">
        <v>43.9998547981535</v>
      </c>
      <c r="K2125" s="982">
        <v>0</v>
      </c>
      <c r="L2125" s="735">
        <v>2008</v>
      </c>
      <c r="M2125" s="735">
        <v>1946</v>
      </c>
      <c r="N2125" s="845">
        <f t="shared" si="170"/>
        <v>-3.0876494023904383E-2</v>
      </c>
      <c r="O2125" s="735">
        <v>1.1282820136189737</v>
      </c>
      <c r="P2125" s="735">
        <f t="shared" si="171"/>
        <v>1724.7460976163125</v>
      </c>
      <c r="Q2125" s="849">
        <v>43.6</v>
      </c>
      <c r="R2125" s="71">
        <v>50000</v>
      </c>
      <c r="S2125" s="845">
        <v>0.16084275436793422</v>
      </c>
      <c r="T2125" s="845">
        <v>3.9E-2</v>
      </c>
      <c r="U2125" s="845">
        <v>0</v>
      </c>
      <c r="V2125" s="845">
        <v>0</v>
      </c>
      <c r="W2125" s="845">
        <v>0.37671232876712329</v>
      </c>
      <c r="X2125" s="845">
        <v>0.23939393939393938</v>
      </c>
      <c r="Y2125" s="845">
        <v>0.90493319630010283</v>
      </c>
      <c r="Z2125" s="845">
        <v>1.695786228160329E-2</v>
      </c>
      <c r="AA2125" s="845">
        <v>2.9804727646454265E-2</v>
      </c>
      <c r="AB2125" s="845">
        <v>0</v>
      </c>
      <c r="AC2125" s="845">
        <v>0</v>
      </c>
      <c r="AD2125" s="845">
        <v>0</v>
      </c>
      <c r="AE2125" s="845">
        <v>4.8304213771839674E-2</v>
      </c>
      <c r="AF2125" s="845">
        <v>0</v>
      </c>
      <c r="AG2125" s="845">
        <v>0.90493319630010283</v>
      </c>
      <c r="AH2125" s="20" t="str">
        <f t="shared" si="172"/>
        <v>Yes</v>
      </c>
      <c r="AI2125" s="25"/>
      <c r="AJ2125" s="25"/>
      <c r="AK2125" s="25"/>
      <c r="AL2125" s="25"/>
      <c r="AM2125" s="25"/>
      <c r="AN2125" s="25"/>
      <c r="AO2125" s="25"/>
      <c r="AP2125" s="25"/>
      <c r="AQ2125" s="25"/>
      <c r="AR2125" s="25"/>
      <c r="AS2125" s="25"/>
      <c r="AT2125" s="25"/>
      <c r="AU2125" s="36"/>
      <c r="AV2125" s="36"/>
      <c r="AW2125" s="36"/>
      <c r="AX2125" s="25"/>
      <c r="AY2125" s="25"/>
      <c r="AZ2125" s="25"/>
      <c r="BA2125" s="25"/>
      <c r="BB2125" s="25"/>
      <c r="BC2125" s="25"/>
      <c r="BD2125" s="25"/>
      <c r="BE2125" s="25"/>
      <c r="BF2125" s="25"/>
      <c r="BG2125" s="25"/>
      <c r="BH2125" s="25"/>
      <c r="BI2125" s="25"/>
      <c r="BJ2125" s="25"/>
      <c r="BK2125" s="25"/>
      <c r="BL2125" s="25"/>
      <c r="BM2125" s="25"/>
      <c r="BN2125" s="25"/>
      <c r="BO2125" s="25"/>
      <c r="BP2125" s="25"/>
      <c r="BQ2125" s="25"/>
      <c r="BR2125" s="25"/>
      <c r="BS2125" s="25"/>
      <c r="BT2125" s="25"/>
      <c r="BU2125"/>
      <c r="BV2125"/>
      <c r="BW2125"/>
      <c r="BX2125"/>
      <c r="BY2125"/>
      <c r="BZ2125"/>
      <c r="CA2125"/>
      <c r="CB2125"/>
      <c r="CC2125"/>
      <c r="CD2125" s="25"/>
    </row>
    <row r="2126" spans="1:82" s="17" customFormat="1" x14ac:dyDescent="0.2">
      <c r="A2126" s="25"/>
      <c r="B2126" s="20">
        <v>39133600704</v>
      </c>
      <c r="C2126" s="20">
        <v>6007.04</v>
      </c>
      <c r="D2126" s="20" t="s">
        <v>72</v>
      </c>
      <c r="E2126" s="20" t="s">
        <v>2843</v>
      </c>
      <c r="F2126" s="20" t="s">
        <v>8</v>
      </c>
      <c r="G2126" s="861">
        <v>42.565538908654503</v>
      </c>
      <c r="H2126" s="861">
        <v>57.886885887964397</v>
      </c>
      <c r="I2126" s="861">
        <v>22.551789604487201</v>
      </c>
      <c r="J2126" s="861">
        <v>39.625467000857199</v>
      </c>
      <c r="K2126" s="982">
        <v>0</v>
      </c>
      <c r="L2126" s="735">
        <v>1672</v>
      </c>
      <c r="M2126" s="735">
        <v>1447</v>
      </c>
      <c r="N2126" s="845">
        <f t="shared" si="170"/>
        <v>-0.13456937799043062</v>
      </c>
      <c r="O2126" s="735">
        <v>22.451706158604722</v>
      </c>
      <c r="P2126" s="735">
        <f t="shared" si="171"/>
        <v>64.44944494543148</v>
      </c>
      <c r="Q2126" s="849">
        <v>49.1</v>
      </c>
      <c r="R2126" s="71">
        <v>79167</v>
      </c>
      <c r="S2126" s="845">
        <v>9.2618384401114209E-2</v>
      </c>
      <c r="T2126" s="845">
        <v>0.02</v>
      </c>
      <c r="U2126" s="845">
        <v>0</v>
      </c>
      <c r="V2126" s="845">
        <v>0</v>
      </c>
      <c r="W2126" s="845">
        <v>8.1314878892733561E-2</v>
      </c>
      <c r="X2126" s="845">
        <v>0.21276595744680851</v>
      </c>
      <c r="Y2126" s="845">
        <v>0.93987560469937803</v>
      </c>
      <c r="Z2126" s="845">
        <v>5.5286800276433999E-3</v>
      </c>
      <c r="AA2126" s="845">
        <v>0</v>
      </c>
      <c r="AB2126" s="845">
        <v>0</v>
      </c>
      <c r="AC2126" s="845">
        <v>0</v>
      </c>
      <c r="AD2126" s="845">
        <v>0</v>
      </c>
      <c r="AE2126" s="845">
        <v>5.4595715272978573E-2</v>
      </c>
      <c r="AF2126" s="845">
        <v>1.5894955079474776E-2</v>
      </c>
      <c r="AG2126" s="845">
        <v>0.92743607463718036</v>
      </c>
      <c r="AH2126" s="20" t="str">
        <f t="shared" si="172"/>
        <v>Yes</v>
      </c>
      <c r="AI2126" s="25"/>
      <c r="AJ2126" s="25"/>
      <c r="AK2126" s="25"/>
      <c r="AL2126" s="25"/>
      <c r="AM2126" s="25"/>
      <c r="AN2126" s="25"/>
      <c r="AO2126" s="25"/>
      <c r="AP2126" s="25"/>
      <c r="AQ2126" s="25"/>
      <c r="AR2126" s="25"/>
      <c r="AS2126" s="25"/>
      <c r="AT2126" s="25"/>
      <c r="AU2126" s="36"/>
      <c r="AV2126" s="36"/>
      <c r="AW2126" s="36"/>
      <c r="AX2126" s="25"/>
      <c r="AY2126" s="25"/>
      <c r="AZ2126" s="25"/>
      <c r="BA2126" s="25"/>
      <c r="BB2126" s="25"/>
      <c r="BC2126" s="25"/>
      <c r="BD2126" s="25"/>
      <c r="BE2126" s="25"/>
      <c r="BF2126" s="25"/>
      <c r="BG2126" s="25"/>
      <c r="BH2126" s="25"/>
      <c r="BI2126" s="25"/>
      <c r="BJ2126" s="25"/>
      <c r="BK2126" s="25"/>
      <c r="BL2126" s="25"/>
      <c r="BM2126" s="25"/>
      <c r="BN2126" s="25"/>
      <c r="BO2126" s="25"/>
      <c r="BP2126" s="25"/>
      <c r="BQ2126" s="25"/>
      <c r="BR2126" s="25"/>
      <c r="BS2126" s="25"/>
      <c r="BT2126" s="25"/>
      <c r="BU2126"/>
      <c r="BV2126"/>
      <c r="BW2126"/>
      <c r="BX2126"/>
      <c r="BY2126"/>
      <c r="BZ2126"/>
      <c r="CA2126"/>
      <c r="CB2126"/>
      <c r="CC2126"/>
      <c r="CD2126" s="25"/>
    </row>
    <row r="2127" spans="1:82" s="17" customFormat="1" x14ac:dyDescent="0.2">
      <c r="A2127" s="25"/>
      <c r="B2127" s="20">
        <v>39097041300</v>
      </c>
      <c r="C2127" s="20">
        <v>413</v>
      </c>
      <c r="D2127" s="20" t="s">
        <v>54</v>
      </c>
      <c r="E2127" s="20" t="s">
        <v>2830</v>
      </c>
      <c r="F2127" s="20" t="s">
        <v>8</v>
      </c>
      <c r="G2127" s="861">
        <v>42.559872203893804</v>
      </c>
      <c r="H2127" s="861">
        <v>51.181841554231802</v>
      </c>
      <c r="I2127" s="861">
        <v>23.8336784992327</v>
      </c>
      <c r="J2127" s="861">
        <v>40.917684890610197</v>
      </c>
      <c r="K2127" s="982">
        <v>0</v>
      </c>
      <c r="L2127" s="735">
        <v>2119</v>
      </c>
      <c r="M2127" s="735">
        <v>2285</v>
      </c>
      <c r="N2127" s="845">
        <f t="shared" si="170"/>
        <v>7.8338839075035388E-2</v>
      </c>
      <c r="O2127" s="735">
        <v>120.21419357017821</v>
      </c>
      <c r="P2127" s="735">
        <f t="shared" si="171"/>
        <v>19.007738871251263</v>
      </c>
      <c r="Q2127" s="849">
        <v>46.6</v>
      </c>
      <c r="R2127" s="71">
        <v>90543</v>
      </c>
      <c r="S2127" s="845">
        <v>0.17667689609820253</v>
      </c>
      <c r="T2127" s="845">
        <v>1.7000000000000001E-2</v>
      </c>
      <c r="U2127" s="845">
        <v>2.5000000000000001E-2</v>
      </c>
      <c r="V2127" s="845">
        <v>0</v>
      </c>
      <c r="W2127" s="845">
        <v>0.28864734299516909</v>
      </c>
      <c r="X2127" s="845">
        <v>0.28870292887029286</v>
      </c>
      <c r="Y2127" s="845">
        <v>0.92253829321663017</v>
      </c>
      <c r="Z2127" s="845">
        <v>4.3763676148796501E-4</v>
      </c>
      <c r="AA2127" s="845">
        <v>0</v>
      </c>
      <c r="AB2127" s="845">
        <v>0</v>
      </c>
      <c r="AC2127" s="845">
        <v>0</v>
      </c>
      <c r="AD2127" s="845">
        <v>4.5951859956236324E-2</v>
      </c>
      <c r="AE2127" s="845">
        <v>3.1072210065645513E-2</v>
      </c>
      <c r="AF2127" s="845">
        <v>7.8336980306345727E-2</v>
      </c>
      <c r="AG2127" s="845">
        <v>0.85601750547045952</v>
      </c>
      <c r="AH2127" s="20" t="str">
        <f t="shared" si="172"/>
        <v>No</v>
      </c>
      <c r="AI2127" s="25"/>
      <c r="AJ2127" s="25"/>
      <c r="AK2127" s="25"/>
      <c r="AL2127" s="25"/>
      <c r="AM2127" s="25"/>
      <c r="AN2127" s="25"/>
      <c r="AO2127" s="25"/>
      <c r="AP2127" s="25"/>
      <c r="AQ2127" s="25"/>
      <c r="AR2127" s="25"/>
      <c r="AS2127" s="25"/>
      <c r="AT2127" s="25"/>
      <c r="AU2127" s="36"/>
      <c r="AV2127" s="36"/>
      <c r="AW2127" s="36"/>
      <c r="AX2127" s="25"/>
      <c r="AY2127" s="25"/>
      <c r="AZ2127" s="25"/>
      <c r="BA2127" s="25"/>
      <c r="BB2127" s="25"/>
      <c r="BC2127" s="25"/>
      <c r="BD2127" s="25"/>
      <c r="BE2127" s="25"/>
      <c r="BF2127" s="25"/>
      <c r="BG2127" s="25"/>
      <c r="BH2127" s="25"/>
      <c r="BI2127" s="25"/>
      <c r="BJ2127" s="25"/>
      <c r="BK2127" s="25"/>
      <c r="BL2127" s="25"/>
      <c r="BM2127" s="25"/>
      <c r="BN2127" s="25"/>
      <c r="BO2127" s="25"/>
      <c r="BP2127" s="25"/>
      <c r="BQ2127" s="25"/>
      <c r="BR2127" s="25"/>
      <c r="BS2127" s="25"/>
      <c r="BT2127" s="25"/>
      <c r="BU2127"/>
      <c r="BV2127"/>
      <c r="BW2127"/>
      <c r="BX2127"/>
      <c r="BY2127"/>
      <c r="BZ2127"/>
      <c r="CA2127"/>
      <c r="CB2127"/>
      <c r="CC2127"/>
      <c r="CD2127" s="25"/>
    </row>
    <row r="2128" spans="1:82" s="17" customFormat="1" x14ac:dyDescent="0.2">
      <c r="A2128" s="25"/>
      <c r="B2128" s="20">
        <v>39045031600</v>
      </c>
      <c r="C2128" s="20">
        <v>316</v>
      </c>
      <c r="D2128" s="20" t="s">
        <v>29</v>
      </c>
      <c r="E2128" s="20" t="s">
        <v>2830</v>
      </c>
      <c r="F2128" s="20" t="s">
        <v>6</v>
      </c>
      <c r="G2128" s="861">
        <v>42.532034531024799</v>
      </c>
      <c r="H2128" s="861">
        <v>48.247704783356397</v>
      </c>
      <c r="I2128" s="861">
        <v>35.8635737809186</v>
      </c>
      <c r="J2128" s="861">
        <v>41.508034910602703</v>
      </c>
      <c r="K2128" s="982">
        <v>2</v>
      </c>
      <c r="L2128" s="735">
        <v>6236</v>
      </c>
      <c r="M2128" s="735">
        <v>6712</v>
      </c>
      <c r="N2128" s="845">
        <f t="shared" si="170"/>
        <v>7.6330981398332262E-2</v>
      </c>
      <c r="O2128" s="735">
        <v>4.7270599246110052</v>
      </c>
      <c r="P2128" s="735">
        <f t="shared" si="171"/>
        <v>1419.9100724436739</v>
      </c>
      <c r="Q2128" s="849">
        <v>41.9</v>
      </c>
      <c r="R2128" s="71">
        <v>54688</v>
      </c>
      <c r="S2128" s="845">
        <v>0.13262476894639558</v>
      </c>
      <c r="T2128" s="845">
        <v>4.9000000000000002E-2</v>
      </c>
      <c r="U2128" s="845">
        <v>9.0000000000000011E-3</v>
      </c>
      <c r="V2128" s="845">
        <v>0</v>
      </c>
      <c r="W2128" s="845">
        <v>0.32155232155232155</v>
      </c>
      <c r="X2128" s="845">
        <v>0.48599137931034481</v>
      </c>
      <c r="Y2128" s="845">
        <v>0.90077473182359957</v>
      </c>
      <c r="Z2128" s="845">
        <v>2.7562574493444576E-2</v>
      </c>
      <c r="AA2128" s="845">
        <v>1.4153754469606674E-2</v>
      </c>
      <c r="AB2128" s="845">
        <v>0</v>
      </c>
      <c r="AC2128" s="845">
        <v>0</v>
      </c>
      <c r="AD2128" s="845">
        <v>2.5327771156138262E-3</v>
      </c>
      <c r="AE2128" s="845">
        <v>5.4976162097735398E-2</v>
      </c>
      <c r="AF2128" s="845">
        <v>1.5345649582836711E-2</v>
      </c>
      <c r="AG2128" s="845">
        <v>0.90077473182359957</v>
      </c>
      <c r="AH2128" s="20" t="str">
        <f t="shared" si="172"/>
        <v>Yes</v>
      </c>
      <c r="AI2128" s="25"/>
      <c r="AJ2128" s="25"/>
      <c r="AK2128" s="25"/>
      <c r="AL2128" s="25"/>
      <c r="AM2128" s="25"/>
      <c r="AN2128" s="25"/>
      <c r="AO2128" s="25"/>
      <c r="AP2128" s="25"/>
      <c r="AQ2128" s="25"/>
      <c r="AR2128" s="25"/>
      <c r="AS2128" s="25"/>
      <c r="AT2128" s="25"/>
      <c r="AU2128" s="36"/>
      <c r="AV2128" s="36"/>
      <c r="AW2128" s="36"/>
      <c r="AX2128" s="25"/>
      <c r="AY2128" s="25"/>
      <c r="AZ2128" s="25"/>
      <c r="BA2128" s="25"/>
      <c r="BB2128" s="25"/>
      <c r="BC2128" s="25"/>
      <c r="BD2128" s="25"/>
      <c r="BE2128" s="25"/>
      <c r="BF2128" s="25"/>
      <c r="BG2128" s="25"/>
      <c r="BH2128" s="25"/>
      <c r="BI2128" s="25"/>
      <c r="BJ2128" s="25"/>
      <c r="BK2128" s="25"/>
      <c r="BL2128" s="25"/>
      <c r="BM2128" s="25"/>
      <c r="BN2128" s="25"/>
      <c r="BO2128" s="25"/>
      <c r="BP2128" s="25"/>
      <c r="BQ2128" s="25"/>
      <c r="BR2128" s="25"/>
      <c r="BS2128" s="25"/>
      <c r="BT2128" s="25"/>
      <c r="BU2128"/>
      <c r="BV2128"/>
      <c r="BW2128"/>
      <c r="BX2128"/>
      <c r="BY2128"/>
      <c r="BZ2128"/>
      <c r="CA2128"/>
      <c r="CB2128"/>
      <c r="CC2128"/>
      <c r="CD2128" s="25"/>
    </row>
    <row r="2129" spans="1:82" s="17" customFormat="1" x14ac:dyDescent="0.2">
      <c r="A2129" s="25"/>
      <c r="B2129" s="20">
        <v>39165031602</v>
      </c>
      <c r="C2129" s="20">
        <v>316.02</v>
      </c>
      <c r="D2129" s="20" t="s">
        <v>88</v>
      </c>
      <c r="E2129" s="20" t="s">
        <v>2828</v>
      </c>
      <c r="F2129" s="20" t="s">
        <v>8</v>
      </c>
      <c r="G2129" s="861">
        <v>42.514212565482602</v>
      </c>
      <c r="H2129" s="861">
        <v>45.131028382571202</v>
      </c>
      <c r="I2129" s="861">
        <v>38.726709202293101</v>
      </c>
      <c r="J2129" s="861">
        <v>42.364875096773901</v>
      </c>
      <c r="K2129" s="982">
        <v>0</v>
      </c>
      <c r="L2129" s="735" t="s">
        <v>2466</v>
      </c>
      <c r="M2129" s="735">
        <v>5167</v>
      </c>
      <c r="N2129" s="845" t="str">
        <f t="shared" si="170"/>
        <v/>
      </c>
      <c r="O2129" s="735">
        <v>9.9161366420326935</v>
      </c>
      <c r="P2129" s="735">
        <f t="shared" si="171"/>
        <v>521.06986687718984</v>
      </c>
      <c r="Q2129" s="849">
        <v>35.299999999999997</v>
      </c>
      <c r="R2129" s="71">
        <v>86500</v>
      </c>
      <c r="S2129" s="845">
        <v>9.2115534738485563E-2</v>
      </c>
      <c r="T2129" s="845">
        <v>3.6000000000000004E-2</v>
      </c>
      <c r="U2129" s="845">
        <v>0</v>
      </c>
      <c r="V2129" s="845">
        <v>0.14400000000000002</v>
      </c>
      <c r="W2129" s="845">
        <v>0.38405088062622311</v>
      </c>
      <c r="X2129" s="845">
        <v>0.57070063694267514</v>
      </c>
      <c r="Y2129" s="845">
        <v>0.84013934584865491</v>
      </c>
      <c r="Z2129" s="845">
        <v>9.5413199148442041E-2</v>
      </c>
      <c r="AA2129" s="845">
        <v>0</v>
      </c>
      <c r="AB2129" s="845">
        <v>4.4319721308302688E-2</v>
      </c>
      <c r="AC2129" s="845">
        <v>0</v>
      </c>
      <c r="AD2129" s="845">
        <v>5.9996129281981812E-3</v>
      </c>
      <c r="AE2129" s="845">
        <v>1.4128120766402168E-2</v>
      </c>
      <c r="AF2129" s="845">
        <v>2.6901490226437005E-2</v>
      </c>
      <c r="AG2129" s="845">
        <v>0.82736597638862008</v>
      </c>
      <c r="AH2129" s="20" t="str">
        <f t="shared" si="172"/>
        <v>No</v>
      </c>
      <c r="AI2129" s="25"/>
      <c r="AJ2129" s="25"/>
      <c r="AK2129" s="25"/>
      <c r="AL2129" s="25"/>
      <c r="AM2129" s="25"/>
      <c r="AN2129" s="25"/>
      <c r="AO2129" s="25"/>
      <c r="AP2129" s="25"/>
      <c r="AQ2129" s="25"/>
      <c r="AR2129" s="25"/>
      <c r="AS2129" s="25"/>
      <c r="AT2129" s="25"/>
      <c r="AU2129" s="36"/>
      <c r="AV2129" s="36"/>
      <c r="AW2129" s="36"/>
      <c r="AX2129" s="25"/>
      <c r="AY2129" s="25"/>
      <c r="AZ2129" s="25"/>
      <c r="BA2129" s="25"/>
      <c r="BB2129" s="25"/>
      <c r="BC2129" s="25"/>
      <c r="BD2129" s="25"/>
      <c r="BE2129" s="25"/>
      <c r="BF2129" s="25"/>
      <c r="BG2129" s="25"/>
      <c r="BH2129" s="25"/>
      <c r="BI2129" s="25"/>
      <c r="BJ2129" s="25"/>
      <c r="BK2129" s="25"/>
      <c r="BL2129" s="25"/>
      <c r="BM2129" s="25"/>
      <c r="BN2129" s="25"/>
      <c r="BO2129" s="25"/>
      <c r="BP2129" s="25"/>
      <c r="BQ2129" s="25"/>
      <c r="BR2129" s="25"/>
      <c r="BS2129" s="25"/>
      <c r="BT2129" s="25"/>
      <c r="BU2129"/>
      <c r="BV2129"/>
      <c r="BW2129"/>
      <c r="BX2129"/>
      <c r="BY2129"/>
      <c r="BZ2129"/>
      <c r="CA2129"/>
      <c r="CB2129"/>
      <c r="CC2129"/>
      <c r="CD2129" s="25"/>
    </row>
    <row r="2130" spans="1:82" s="17" customFormat="1" x14ac:dyDescent="0.2">
      <c r="A2130" s="25"/>
      <c r="B2130" s="20">
        <v>39147962500</v>
      </c>
      <c r="C2130" s="20">
        <v>9625</v>
      </c>
      <c r="D2130" s="20" t="s">
        <v>79</v>
      </c>
      <c r="E2130" s="20" t="s">
        <v>265</v>
      </c>
      <c r="F2130" s="20" t="s">
        <v>8</v>
      </c>
      <c r="G2130" s="861">
        <v>42.4982898359453</v>
      </c>
      <c r="H2130" s="861">
        <v>47.476180290048397</v>
      </c>
      <c r="I2130" s="861">
        <v>24.12355212928</v>
      </c>
      <c r="J2130" s="861">
        <v>35.9270839975797</v>
      </c>
      <c r="K2130" s="982">
        <v>0</v>
      </c>
      <c r="L2130" s="735">
        <v>3741</v>
      </c>
      <c r="M2130" s="735">
        <v>3493</v>
      </c>
      <c r="N2130" s="845">
        <f t="shared" si="170"/>
        <v>-6.6292435177759956E-2</v>
      </c>
      <c r="O2130" s="735">
        <v>110.30065655397932</v>
      </c>
      <c r="P2130" s="735">
        <f t="shared" si="171"/>
        <v>31.667989195427712</v>
      </c>
      <c r="Q2130" s="849">
        <v>41.9</v>
      </c>
      <c r="R2130" s="71">
        <v>68779</v>
      </c>
      <c r="S2130" s="845">
        <v>0.15072122460994997</v>
      </c>
      <c r="T2130" s="845">
        <v>6.7000000000000004E-2</v>
      </c>
      <c r="U2130" s="845">
        <v>3.3000000000000002E-2</v>
      </c>
      <c r="V2130" s="845">
        <v>0</v>
      </c>
      <c r="W2130" s="845">
        <v>0.2345505617977528</v>
      </c>
      <c r="X2130" s="845">
        <v>0.52994011976047906</v>
      </c>
      <c r="Y2130" s="845">
        <v>0.96908101918121958</v>
      </c>
      <c r="Z2130" s="845">
        <v>2.290294875465216E-3</v>
      </c>
      <c r="AA2130" s="845">
        <v>0</v>
      </c>
      <c r="AB2130" s="845">
        <v>0</v>
      </c>
      <c r="AC2130" s="845">
        <v>0</v>
      </c>
      <c r="AD2130" s="845">
        <v>5.4394503292298883E-3</v>
      </c>
      <c r="AE2130" s="845">
        <v>2.3189235614085313E-2</v>
      </c>
      <c r="AF2130" s="845">
        <v>1.5459490409390209E-2</v>
      </c>
      <c r="AG2130" s="845">
        <v>0.96421414257085603</v>
      </c>
      <c r="AH2130" s="20" t="str">
        <f t="shared" si="172"/>
        <v>Yes</v>
      </c>
      <c r="AI2130" s="25"/>
      <c r="AJ2130" s="25"/>
      <c r="AK2130" s="25"/>
      <c r="AL2130" s="25"/>
      <c r="AM2130" s="25"/>
      <c r="AN2130" s="25"/>
      <c r="AO2130" s="25"/>
      <c r="AP2130" s="25"/>
      <c r="AQ2130" s="25"/>
      <c r="AR2130" s="25"/>
      <c r="AS2130" s="25"/>
      <c r="AT2130" s="25"/>
      <c r="AU2130" s="36"/>
      <c r="AV2130" s="36"/>
      <c r="AW2130" s="36"/>
      <c r="AX2130" s="25"/>
      <c r="AY2130" s="25"/>
      <c r="AZ2130" s="25"/>
      <c r="BA2130" s="25"/>
      <c r="BB2130" s="25"/>
      <c r="BC2130" s="25"/>
      <c r="BD2130" s="25"/>
      <c r="BE2130" s="25"/>
      <c r="BF2130" s="25"/>
      <c r="BG2130" s="25"/>
      <c r="BH2130" s="25"/>
      <c r="BI2130" s="25"/>
      <c r="BJ2130" s="25"/>
      <c r="BK2130" s="25"/>
      <c r="BL2130" s="25"/>
      <c r="BM2130" s="25"/>
      <c r="BN2130" s="25"/>
      <c r="BO2130" s="25"/>
      <c r="BP2130" s="25"/>
      <c r="BQ2130" s="25"/>
      <c r="BR2130" s="25"/>
      <c r="BS2130" s="25"/>
      <c r="BT2130" s="25"/>
      <c r="BU2130"/>
      <c r="BV2130"/>
      <c r="BW2130"/>
      <c r="BX2130"/>
      <c r="BY2130"/>
      <c r="BZ2130"/>
      <c r="CA2130"/>
      <c r="CB2130"/>
      <c r="CC2130"/>
      <c r="CD2130" s="25"/>
    </row>
    <row r="2131" spans="1:82" s="17" customFormat="1" x14ac:dyDescent="0.2">
      <c r="A2131" s="25"/>
      <c r="B2131" s="20">
        <v>39035116600</v>
      </c>
      <c r="C2131" s="20">
        <v>1166</v>
      </c>
      <c r="D2131" s="20" t="s">
        <v>24</v>
      </c>
      <c r="E2131" s="20" t="s">
        <v>2829</v>
      </c>
      <c r="F2131" s="20" t="s">
        <v>6</v>
      </c>
      <c r="G2131" s="861">
        <v>42.4956219598049</v>
      </c>
      <c r="H2131" s="861">
        <v>49.537773189298903</v>
      </c>
      <c r="I2131" s="861">
        <v>79.543155284920005</v>
      </c>
      <c r="J2131" s="861">
        <v>38.423065364935901</v>
      </c>
      <c r="K2131" s="982">
        <v>0</v>
      </c>
      <c r="L2131" s="735">
        <v>2577</v>
      </c>
      <c r="M2131" s="735">
        <v>1915</v>
      </c>
      <c r="N2131" s="845">
        <f t="shared" si="170"/>
        <v>-0.25688785409390763</v>
      </c>
      <c r="O2131" s="735">
        <v>0.33939344995680309</v>
      </c>
      <c r="P2131" s="735">
        <f t="shared" si="171"/>
        <v>5642.4188511703305</v>
      </c>
      <c r="Q2131" s="849">
        <v>32.700000000000003</v>
      </c>
      <c r="R2131" s="71">
        <v>35158</v>
      </c>
      <c r="S2131" s="845">
        <v>0.33681462140992169</v>
      </c>
      <c r="T2131" s="845">
        <v>3.7000000000000005E-2</v>
      </c>
      <c r="U2131" s="845">
        <v>0</v>
      </c>
      <c r="V2131" s="845">
        <v>0</v>
      </c>
      <c r="W2131" s="845">
        <v>0.53692848769050405</v>
      </c>
      <c r="X2131" s="845">
        <v>0.44978165938864628</v>
      </c>
      <c r="Y2131" s="845">
        <v>9.921671018276762E-3</v>
      </c>
      <c r="Z2131" s="845">
        <v>0.98433420365535251</v>
      </c>
      <c r="AA2131" s="845">
        <v>0</v>
      </c>
      <c r="AB2131" s="845">
        <v>0</v>
      </c>
      <c r="AC2131" s="845">
        <v>0</v>
      </c>
      <c r="AD2131" s="845">
        <v>0</v>
      </c>
      <c r="AE2131" s="845">
        <v>5.7441253263707569E-3</v>
      </c>
      <c r="AF2131" s="845">
        <v>0</v>
      </c>
      <c r="AG2131" s="845">
        <v>9.921671018276762E-3</v>
      </c>
      <c r="AH2131" s="20" t="str">
        <f t="shared" si="172"/>
        <v>No</v>
      </c>
      <c r="AI2131" s="25"/>
      <c r="AJ2131" s="25"/>
      <c r="AK2131" s="25"/>
      <c r="AL2131" s="25"/>
      <c r="AM2131" s="25"/>
      <c r="AN2131" s="25"/>
      <c r="AO2131" s="25"/>
      <c r="AP2131" s="25"/>
      <c r="AQ2131" s="25"/>
      <c r="AR2131" s="25"/>
      <c r="AS2131" s="25"/>
      <c r="AT2131" s="25"/>
      <c r="AU2131" s="36"/>
      <c r="AV2131" s="36"/>
      <c r="AW2131" s="36"/>
      <c r="AX2131" s="25"/>
      <c r="AY2131" s="25"/>
      <c r="AZ2131" s="25"/>
      <c r="BA2131" s="25"/>
      <c r="BB2131" s="25"/>
      <c r="BC2131" s="25"/>
      <c r="BD2131" s="25"/>
      <c r="BE2131" s="25"/>
      <c r="BF2131" s="25"/>
      <c r="BG2131" s="25"/>
      <c r="BH2131" s="25"/>
      <c r="BI2131" s="25"/>
      <c r="BJ2131" s="25"/>
      <c r="BK2131" s="25"/>
      <c r="BL2131" s="25"/>
      <c r="BM2131" s="25"/>
      <c r="BN2131" s="25"/>
      <c r="BO2131" s="25"/>
      <c r="BP2131" s="25"/>
      <c r="BQ2131" s="25"/>
      <c r="BR2131" s="25"/>
      <c r="BS2131" s="25"/>
      <c r="BT2131" s="25"/>
      <c r="BU2131"/>
      <c r="BV2131"/>
      <c r="BW2131"/>
      <c r="BX2131"/>
      <c r="BY2131"/>
      <c r="BZ2131"/>
      <c r="CA2131"/>
      <c r="CB2131"/>
      <c r="CC2131"/>
      <c r="CD2131" s="25"/>
    </row>
    <row r="2132" spans="1:82" s="17" customFormat="1" x14ac:dyDescent="0.2">
      <c r="A2132" s="25"/>
      <c r="B2132" s="20">
        <v>39153505900</v>
      </c>
      <c r="C2132" s="20">
        <v>5059</v>
      </c>
      <c r="D2132" s="20" t="s">
        <v>82</v>
      </c>
      <c r="E2132" s="20" t="s">
        <v>2843</v>
      </c>
      <c r="F2132" s="20" t="s">
        <v>8</v>
      </c>
      <c r="G2132" s="861">
        <v>42.480077680044303</v>
      </c>
      <c r="H2132" s="861">
        <v>29.0703066602028</v>
      </c>
      <c r="I2132" s="861">
        <v>52.709752314527996</v>
      </c>
      <c r="J2132" s="861">
        <v>47.352027226605202</v>
      </c>
      <c r="K2132" s="982">
        <v>0</v>
      </c>
      <c r="L2132" s="735">
        <v>2647</v>
      </c>
      <c r="M2132" s="735">
        <v>2252</v>
      </c>
      <c r="N2132" s="845">
        <f t="shared" si="170"/>
        <v>-0.14922553834529656</v>
      </c>
      <c r="O2132" s="735">
        <v>1.5557256747406458</v>
      </c>
      <c r="P2132" s="735">
        <f t="shared" si="171"/>
        <v>1447.5559776150315</v>
      </c>
      <c r="Q2132" s="849">
        <v>40.9</v>
      </c>
      <c r="R2132" s="71">
        <v>45506</v>
      </c>
      <c r="S2132" s="845">
        <v>0.17895204262877443</v>
      </c>
      <c r="T2132" s="845">
        <v>0.11900000000000001</v>
      </c>
      <c r="U2132" s="845">
        <v>0.06</v>
      </c>
      <c r="V2132" s="845">
        <v>1.9E-2</v>
      </c>
      <c r="W2132" s="845">
        <v>0.47789824854045038</v>
      </c>
      <c r="X2132" s="845">
        <v>0.47993019197207681</v>
      </c>
      <c r="Y2132" s="845">
        <v>0.85301953818827714</v>
      </c>
      <c r="Z2132" s="845">
        <v>0.12388987566607459</v>
      </c>
      <c r="AA2132" s="845">
        <v>0</v>
      </c>
      <c r="AB2132" s="845">
        <v>4.8845470692717588E-3</v>
      </c>
      <c r="AC2132" s="845">
        <v>0</v>
      </c>
      <c r="AD2132" s="845">
        <v>3.552397868561279E-3</v>
      </c>
      <c r="AE2132" s="845">
        <v>1.4653641207815276E-2</v>
      </c>
      <c r="AF2132" s="845">
        <v>1.1545293072824156E-2</v>
      </c>
      <c r="AG2132" s="845">
        <v>0.85301953818827714</v>
      </c>
      <c r="AH2132" s="20" t="str">
        <f t="shared" si="172"/>
        <v>No</v>
      </c>
      <c r="AI2132" s="25"/>
      <c r="AJ2132" s="25"/>
      <c r="AK2132" s="25"/>
      <c r="AL2132" s="25"/>
      <c r="AM2132" s="25"/>
      <c r="AN2132" s="25"/>
      <c r="AO2132" s="25"/>
      <c r="AP2132" s="25"/>
      <c r="AQ2132" s="25"/>
      <c r="AR2132" s="25"/>
      <c r="AS2132" s="25"/>
      <c r="AT2132" s="25"/>
      <c r="AU2132" s="36"/>
      <c r="AV2132" s="36"/>
      <c r="AW2132" s="36"/>
      <c r="AX2132" s="25"/>
      <c r="AY2132" s="25"/>
      <c r="AZ2132" s="25"/>
      <c r="BA2132" s="25"/>
      <c r="BB2132" s="25"/>
      <c r="BC2132" s="25"/>
      <c r="BD2132" s="25"/>
      <c r="BE2132" s="25"/>
      <c r="BF2132" s="25"/>
      <c r="BG2132" s="25"/>
      <c r="BH2132" s="25"/>
      <c r="BI2132" s="25"/>
      <c r="BJ2132" s="25"/>
      <c r="BK2132" s="25"/>
      <c r="BL2132" s="25"/>
      <c r="BM2132" s="25"/>
      <c r="BN2132" s="25"/>
      <c r="BO2132" s="25"/>
      <c r="BP2132" s="25"/>
      <c r="BQ2132" s="25"/>
      <c r="BR2132" s="25"/>
      <c r="BS2132" s="25"/>
      <c r="BT2132" s="25"/>
      <c r="BU2132"/>
      <c r="BV2132"/>
      <c r="BW2132"/>
      <c r="BX2132"/>
      <c r="BY2132"/>
      <c r="BZ2132"/>
      <c r="CA2132"/>
      <c r="CB2132"/>
      <c r="CC2132"/>
      <c r="CD2132" s="25"/>
    </row>
    <row r="2133" spans="1:82" s="17" customFormat="1" x14ac:dyDescent="0.2">
      <c r="A2133" s="25"/>
      <c r="B2133" s="20">
        <v>39099813200</v>
      </c>
      <c r="C2133" s="20">
        <v>8132</v>
      </c>
      <c r="D2133" s="20" t="s">
        <v>55</v>
      </c>
      <c r="E2133" s="20" t="s">
        <v>2842</v>
      </c>
      <c r="F2133" s="20" t="s">
        <v>8</v>
      </c>
      <c r="G2133" s="861">
        <v>42.473807279702697</v>
      </c>
      <c r="H2133" s="861">
        <v>24.883158496803301</v>
      </c>
      <c r="I2133" s="861">
        <v>55.484117081015597</v>
      </c>
      <c r="J2133" s="861">
        <v>57.441913740237197</v>
      </c>
      <c r="K2133" s="982">
        <v>0</v>
      </c>
      <c r="L2133" s="735">
        <v>4315</v>
      </c>
      <c r="M2133" s="735">
        <v>4183</v>
      </c>
      <c r="N2133" s="845">
        <f t="shared" si="170"/>
        <v>-3.0590961761297799E-2</v>
      </c>
      <c r="O2133" s="735">
        <v>2.4427957702091536</v>
      </c>
      <c r="P2133" s="735">
        <f t="shared" si="171"/>
        <v>1712.3822019889321</v>
      </c>
      <c r="Q2133" s="849">
        <v>55.6</v>
      </c>
      <c r="R2133" s="71">
        <v>48681</v>
      </c>
      <c r="S2133" s="845">
        <v>0.17181612660135645</v>
      </c>
      <c r="T2133" s="845">
        <v>9.4E-2</v>
      </c>
      <c r="U2133" s="845">
        <v>0</v>
      </c>
      <c r="V2133" s="845">
        <v>0.185</v>
      </c>
      <c r="W2133" s="845">
        <v>0.54585365853658541</v>
      </c>
      <c r="X2133" s="845">
        <v>0.52636282394995537</v>
      </c>
      <c r="Y2133" s="845">
        <v>0.93282333253645711</v>
      </c>
      <c r="Z2133" s="845">
        <v>1.9125029882859192E-3</v>
      </c>
      <c r="AA2133" s="845">
        <v>0</v>
      </c>
      <c r="AB2133" s="845">
        <v>3.8250059765718384E-3</v>
      </c>
      <c r="AC2133" s="845">
        <v>0</v>
      </c>
      <c r="AD2133" s="845">
        <v>0</v>
      </c>
      <c r="AE2133" s="845">
        <v>6.1439158498685156E-2</v>
      </c>
      <c r="AF2133" s="845">
        <v>2.629691608893139E-2</v>
      </c>
      <c r="AG2133" s="845">
        <v>0.92278269184795603</v>
      </c>
      <c r="AH2133" s="20" t="str">
        <f t="shared" si="172"/>
        <v>Yes</v>
      </c>
      <c r="AI2133" s="25"/>
      <c r="AJ2133" s="25"/>
      <c r="AK2133" s="25"/>
      <c r="AL2133" s="25"/>
      <c r="AM2133" s="25"/>
      <c r="AN2133" s="25"/>
      <c r="AO2133" s="25"/>
      <c r="AP2133" s="25"/>
      <c r="AQ2133" s="25"/>
      <c r="AR2133" s="25"/>
      <c r="AS2133" s="25"/>
      <c r="AT2133" s="25"/>
      <c r="AU2133" s="36"/>
      <c r="AV2133" s="36"/>
      <c r="AW2133" s="36"/>
      <c r="AX2133" s="25"/>
      <c r="AY2133" s="25"/>
      <c r="AZ2133" s="25"/>
      <c r="BA2133" s="25"/>
      <c r="BB2133" s="25"/>
      <c r="BC2133" s="25"/>
      <c r="BD2133" s="25"/>
      <c r="BE2133" s="25"/>
      <c r="BF2133" s="25"/>
      <c r="BG2133" s="25"/>
      <c r="BH2133" s="25"/>
      <c r="BI2133" s="25"/>
      <c r="BJ2133" s="25"/>
      <c r="BK2133" s="25"/>
      <c r="BL2133" s="25"/>
      <c r="BM2133" s="25"/>
      <c r="BN2133" s="25"/>
      <c r="BO2133" s="25"/>
      <c r="BP2133" s="25"/>
      <c r="BQ2133" s="25"/>
      <c r="BR2133" s="25"/>
      <c r="BS2133" s="25"/>
      <c r="BT2133" s="25"/>
      <c r="BU2133"/>
      <c r="BV2133"/>
      <c r="BW2133"/>
      <c r="BX2133"/>
      <c r="BY2133"/>
      <c r="BZ2133"/>
      <c r="CA2133"/>
      <c r="CB2133"/>
      <c r="CC2133"/>
      <c r="CD2133" s="25"/>
    </row>
    <row r="2134" spans="1:82" s="17" customFormat="1" x14ac:dyDescent="0.2">
      <c r="A2134" s="25"/>
      <c r="B2134" s="20">
        <v>39113150100</v>
      </c>
      <c r="C2134" s="20">
        <v>1501</v>
      </c>
      <c r="D2134" s="20" t="s">
        <v>62</v>
      </c>
      <c r="E2134" s="20" t="s">
        <v>2833</v>
      </c>
      <c r="F2134" s="20" t="s">
        <v>8</v>
      </c>
      <c r="G2134" s="861">
        <v>42.456451218319103</v>
      </c>
      <c r="H2134" s="861">
        <v>50.297034711765498</v>
      </c>
      <c r="I2134" s="861">
        <v>27.534586459429999</v>
      </c>
      <c r="J2134" s="861">
        <v>32.667335144331297</v>
      </c>
      <c r="K2134" s="982">
        <v>0</v>
      </c>
      <c r="L2134" s="735">
        <v>6340</v>
      </c>
      <c r="M2134" s="735">
        <v>6066</v>
      </c>
      <c r="N2134" s="845">
        <f t="shared" si="170"/>
        <v>-4.3217665615141954E-2</v>
      </c>
      <c r="O2134" s="735">
        <v>36.927654467108731</v>
      </c>
      <c r="P2134" s="735">
        <f t="shared" si="171"/>
        <v>164.26713495716211</v>
      </c>
      <c r="Q2134" s="849">
        <v>41.6</v>
      </c>
      <c r="R2134" s="71">
        <v>74031</v>
      </c>
      <c r="S2134" s="845">
        <v>0.12069833808964243</v>
      </c>
      <c r="T2134" s="845">
        <v>3.9E-2</v>
      </c>
      <c r="U2134" s="845">
        <v>0</v>
      </c>
      <c r="V2134" s="845">
        <v>2.2000000000000002E-2</v>
      </c>
      <c r="W2134" s="845">
        <v>0.11369509043927649</v>
      </c>
      <c r="X2134" s="845">
        <v>0.29545454545454547</v>
      </c>
      <c r="Y2134" s="845">
        <v>0.97263435542367294</v>
      </c>
      <c r="Z2134" s="845">
        <v>6.429277942631058E-3</v>
      </c>
      <c r="AA2134" s="845">
        <v>0</v>
      </c>
      <c r="AB2134" s="845">
        <v>4.4510385756676559E-3</v>
      </c>
      <c r="AC2134" s="845">
        <v>0</v>
      </c>
      <c r="AD2134" s="845">
        <v>5.440158259149357E-3</v>
      </c>
      <c r="AE2134" s="845">
        <v>1.1045169798878998E-2</v>
      </c>
      <c r="AF2134" s="845">
        <v>0</v>
      </c>
      <c r="AG2134" s="845">
        <v>0.97263435542367294</v>
      </c>
      <c r="AH2134" s="20" t="str">
        <f t="shared" si="172"/>
        <v>Yes</v>
      </c>
      <c r="AI2134" s="25"/>
      <c r="AJ2134" s="25"/>
      <c r="AK2134" s="25"/>
      <c r="AL2134" s="25"/>
      <c r="AM2134" s="25"/>
      <c r="AN2134" s="25"/>
      <c r="AO2134" s="25"/>
      <c r="AP2134" s="25"/>
      <c r="AQ2134" s="25"/>
      <c r="AR2134" s="25"/>
      <c r="AS2134" s="25"/>
      <c r="AT2134" s="25"/>
      <c r="AU2134" s="36"/>
      <c r="AV2134" s="36"/>
      <c r="AW2134" s="36"/>
      <c r="AX2134" s="25"/>
      <c r="AY2134" s="25"/>
      <c r="AZ2134" s="25"/>
      <c r="BA2134" s="25"/>
      <c r="BB2134" s="25"/>
      <c r="BC2134" s="25"/>
      <c r="BD2134" s="25"/>
      <c r="BE2134" s="25"/>
      <c r="BF2134" s="25"/>
      <c r="BG2134" s="25"/>
      <c r="BH2134" s="25"/>
      <c r="BI2134" s="25"/>
      <c r="BJ2134" s="25"/>
      <c r="BK2134" s="25"/>
      <c r="BL2134" s="25"/>
      <c r="BM2134" s="25"/>
      <c r="BN2134" s="25"/>
      <c r="BO2134" s="25"/>
      <c r="BP2134" s="25"/>
      <c r="BQ2134" s="25"/>
      <c r="BR2134" s="25"/>
      <c r="BS2134" s="25"/>
      <c r="BT2134" s="25"/>
      <c r="BU2134"/>
      <c r="BV2134"/>
      <c r="BW2134"/>
      <c r="BX2134"/>
      <c r="BY2134"/>
      <c r="BZ2134"/>
      <c r="CA2134"/>
      <c r="CB2134"/>
      <c r="CC2134"/>
      <c r="CD2134" s="25"/>
    </row>
    <row r="2135" spans="1:82" s="17" customFormat="1" x14ac:dyDescent="0.2">
      <c r="A2135" s="25"/>
      <c r="B2135" s="20">
        <v>39003010802</v>
      </c>
      <c r="C2135" s="20">
        <v>108.02</v>
      </c>
      <c r="D2135" s="20" t="s">
        <v>7</v>
      </c>
      <c r="E2135" s="20" t="s">
        <v>2835</v>
      </c>
      <c r="F2135" s="20" t="s">
        <v>8</v>
      </c>
      <c r="G2135" s="861">
        <v>42.446091725353803</v>
      </c>
      <c r="H2135" s="861">
        <v>46.653501503531899</v>
      </c>
      <c r="I2135" s="861">
        <v>24.252420991765401</v>
      </c>
      <c r="J2135" s="861">
        <v>44.872518401417103</v>
      </c>
      <c r="K2135" s="982">
        <v>0</v>
      </c>
      <c r="L2135" s="735" t="s">
        <v>2466</v>
      </c>
      <c r="M2135" s="735">
        <v>3498</v>
      </c>
      <c r="N2135" s="845" t="str">
        <f t="shared" si="170"/>
        <v/>
      </c>
      <c r="O2135" s="735">
        <v>9.0709026459584798</v>
      </c>
      <c r="P2135" s="735">
        <f t="shared" si="171"/>
        <v>385.62865643349465</v>
      </c>
      <c r="Q2135" s="849">
        <v>42.3</v>
      </c>
      <c r="R2135" s="71">
        <v>100109</v>
      </c>
      <c r="S2135" s="845">
        <v>2.4585477415666093E-2</v>
      </c>
      <c r="T2135" s="845">
        <v>2.7999999999999997E-2</v>
      </c>
      <c r="U2135" s="845">
        <v>3.7999999999999999E-2</v>
      </c>
      <c r="V2135" s="845">
        <v>0</v>
      </c>
      <c r="W2135" s="845">
        <v>0.26818181818181819</v>
      </c>
      <c r="X2135" s="845">
        <v>0.49717514124293788</v>
      </c>
      <c r="Y2135" s="845">
        <v>0.8118925100057176</v>
      </c>
      <c r="Z2135" s="845">
        <v>7.3184676958261863E-2</v>
      </c>
      <c r="AA2135" s="845">
        <v>0</v>
      </c>
      <c r="AB2135" s="845">
        <v>1.0291595197255575E-2</v>
      </c>
      <c r="AC2135" s="845">
        <v>0</v>
      </c>
      <c r="AD2135" s="845">
        <v>2.5728987993138938E-3</v>
      </c>
      <c r="AE2135" s="845">
        <v>0.10205831903945112</v>
      </c>
      <c r="AF2135" s="845">
        <v>3.3161806746712409E-2</v>
      </c>
      <c r="AG2135" s="845">
        <v>0.80817610062893086</v>
      </c>
      <c r="AH2135" s="20" t="str">
        <f t="shared" si="172"/>
        <v>No</v>
      </c>
      <c r="AI2135" s="25"/>
      <c r="AJ2135" s="25"/>
      <c r="AK2135" s="25"/>
      <c r="AL2135" s="25"/>
      <c r="AM2135" s="25"/>
      <c r="AN2135" s="25"/>
      <c r="AO2135" s="25"/>
      <c r="AP2135" s="25"/>
      <c r="AQ2135" s="25"/>
      <c r="AR2135" s="25"/>
      <c r="AS2135" s="25"/>
      <c r="AT2135" s="25"/>
      <c r="AU2135" s="36"/>
      <c r="AV2135" s="36"/>
      <c r="AW2135" s="36"/>
      <c r="AX2135" s="25"/>
      <c r="AY2135" s="25"/>
      <c r="AZ2135" s="25"/>
      <c r="BA2135" s="25"/>
      <c r="BB2135" s="25"/>
      <c r="BC2135" s="25"/>
      <c r="BD2135" s="25"/>
      <c r="BE2135" s="25"/>
      <c r="BF2135" s="25"/>
      <c r="BG2135" s="25"/>
      <c r="BH2135" s="25"/>
      <c r="BI2135" s="25"/>
      <c r="BJ2135" s="25"/>
      <c r="BK2135" s="25"/>
      <c r="BL2135" s="25"/>
      <c r="BM2135" s="25"/>
      <c r="BN2135" s="25"/>
      <c r="BO2135" s="25"/>
      <c r="BP2135" s="25"/>
      <c r="BQ2135" s="25"/>
      <c r="BR2135" s="25"/>
      <c r="BS2135" s="25"/>
      <c r="BT2135" s="25"/>
      <c r="BU2135"/>
      <c r="BV2135"/>
      <c r="BW2135"/>
      <c r="BX2135"/>
      <c r="BY2135"/>
      <c r="BZ2135"/>
      <c r="CA2135"/>
      <c r="CB2135"/>
      <c r="CC2135"/>
      <c r="CD2135" s="25"/>
    </row>
    <row r="2136" spans="1:82" s="17" customFormat="1" x14ac:dyDescent="0.2">
      <c r="A2136" s="25"/>
      <c r="B2136" s="20">
        <v>39035198300</v>
      </c>
      <c r="C2136" s="20">
        <v>1983</v>
      </c>
      <c r="D2136" s="20" t="s">
        <v>24</v>
      </c>
      <c r="E2136" s="20" t="s">
        <v>2829</v>
      </c>
      <c r="F2136" s="20" t="s">
        <v>6</v>
      </c>
      <c r="G2136" s="861">
        <v>42.433710411351797</v>
      </c>
      <c r="H2136" s="861">
        <v>49.154771223834302</v>
      </c>
      <c r="I2136" s="861">
        <v>44.918043930113598</v>
      </c>
      <c r="J2136" s="861">
        <v>45.699985073096997</v>
      </c>
      <c r="K2136" s="982">
        <v>0</v>
      </c>
      <c r="L2136" s="735" t="s">
        <v>2466</v>
      </c>
      <c r="M2136" s="735">
        <v>4162</v>
      </c>
      <c r="N2136" s="845" t="str">
        <f t="shared" si="170"/>
        <v/>
      </c>
      <c r="O2136" s="735">
        <v>2.7405145114739544</v>
      </c>
      <c r="P2136" s="735">
        <f t="shared" si="171"/>
        <v>1518.6929252060468</v>
      </c>
      <c r="Q2136" s="849">
        <v>36</v>
      </c>
      <c r="R2136" s="71">
        <v>42487</v>
      </c>
      <c r="S2136" s="845">
        <v>0.28516916815059778</v>
      </c>
      <c r="T2136" s="845">
        <v>3.1E-2</v>
      </c>
      <c r="U2136" s="845">
        <v>0</v>
      </c>
      <c r="V2136" s="845">
        <v>4.0999999999999995E-2</v>
      </c>
      <c r="W2136" s="845">
        <v>0.69912865197334695</v>
      </c>
      <c r="X2136" s="845">
        <v>0.41935483870967744</v>
      </c>
      <c r="Y2136" s="845">
        <v>8.4574723690533399E-2</v>
      </c>
      <c r="Z2136" s="845">
        <v>0.87866410379625182</v>
      </c>
      <c r="AA2136" s="845">
        <v>0</v>
      </c>
      <c r="AB2136" s="845">
        <v>0</v>
      </c>
      <c r="AC2136" s="845">
        <v>0</v>
      </c>
      <c r="AD2136" s="845">
        <v>2.4026910139356081E-3</v>
      </c>
      <c r="AE2136" s="845">
        <v>3.4358481499279191E-2</v>
      </c>
      <c r="AF2136" s="845">
        <v>2.0182604517059107E-2</v>
      </c>
      <c r="AG2136" s="845">
        <v>8.3853916386352714E-2</v>
      </c>
      <c r="AH2136" s="20" t="str">
        <f t="shared" si="172"/>
        <v>No</v>
      </c>
      <c r="AI2136" s="25"/>
      <c r="AJ2136" s="25"/>
      <c r="AK2136" s="25"/>
      <c r="AL2136" s="25"/>
      <c r="AM2136" s="25"/>
      <c r="AN2136" s="25"/>
      <c r="AO2136" s="25"/>
      <c r="AP2136" s="25"/>
      <c r="AQ2136" s="25"/>
      <c r="AR2136" s="25"/>
      <c r="AS2136" s="25"/>
      <c r="AT2136" s="25"/>
      <c r="AU2136" s="36"/>
      <c r="AV2136" s="36"/>
      <c r="AW2136" s="36"/>
      <c r="AX2136" s="25"/>
      <c r="AY2136" s="25"/>
      <c r="AZ2136" s="25"/>
      <c r="BA2136" s="25"/>
      <c r="BB2136" s="25"/>
      <c r="BC2136" s="25"/>
      <c r="BD2136" s="25"/>
      <c r="BE2136" s="25"/>
      <c r="BF2136" s="25"/>
      <c r="BG2136" s="25"/>
      <c r="BH2136" s="25"/>
      <c r="BI2136" s="25"/>
      <c r="BJ2136" s="25"/>
      <c r="BK2136" s="25"/>
      <c r="BL2136" s="25"/>
      <c r="BM2136" s="25"/>
      <c r="BN2136" s="25"/>
      <c r="BO2136" s="25"/>
      <c r="BP2136" s="25"/>
      <c r="BQ2136" s="25"/>
      <c r="BR2136" s="25"/>
      <c r="BS2136" s="25"/>
      <c r="BT2136" s="25"/>
      <c r="BU2136"/>
      <c r="BV2136"/>
      <c r="BW2136"/>
      <c r="BX2136"/>
      <c r="BY2136"/>
      <c r="BZ2136"/>
      <c r="CA2136"/>
      <c r="CB2136"/>
      <c r="CC2136"/>
      <c r="CD2136" s="25"/>
    </row>
    <row r="2137" spans="1:82" s="17" customFormat="1" x14ac:dyDescent="0.2">
      <c r="A2137" s="25"/>
      <c r="B2137" s="20">
        <v>39101001100</v>
      </c>
      <c r="C2137" s="20">
        <v>11</v>
      </c>
      <c r="D2137" s="20" t="s">
        <v>56</v>
      </c>
      <c r="E2137" s="20" t="s">
        <v>265</v>
      </c>
      <c r="F2137" s="20" t="s">
        <v>8</v>
      </c>
      <c r="G2137" s="861">
        <v>42.401680444389399</v>
      </c>
      <c r="H2137" s="861">
        <v>44.507707374204202</v>
      </c>
      <c r="I2137" s="861">
        <v>40.446846183092397</v>
      </c>
      <c r="J2137" s="861">
        <v>39.631085132676297</v>
      </c>
      <c r="K2137" s="982">
        <v>0</v>
      </c>
      <c r="L2137" s="735">
        <v>2361</v>
      </c>
      <c r="M2137" s="735">
        <v>2669</v>
      </c>
      <c r="N2137" s="845">
        <f t="shared" si="170"/>
        <v>0.13045319779754341</v>
      </c>
      <c r="O2137" s="735">
        <v>1.6246225161242149</v>
      </c>
      <c r="P2137" s="735">
        <f t="shared" si="171"/>
        <v>1642.8431672652839</v>
      </c>
      <c r="Q2137" s="849">
        <v>38.299999999999997</v>
      </c>
      <c r="R2137" s="71">
        <v>40483</v>
      </c>
      <c r="S2137" s="845">
        <v>0.27963869025216409</v>
      </c>
      <c r="T2137" s="845">
        <v>8.8000000000000009E-2</v>
      </c>
      <c r="U2137" s="845">
        <v>1.4999999999999999E-2</v>
      </c>
      <c r="V2137" s="845">
        <v>0</v>
      </c>
      <c r="W2137" s="845">
        <v>0.37801350048216009</v>
      </c>
      <c r="X2137" s="845">
        <v>0.55102040816326525</v>
      </c>
      <c r="Y2137" s="845">
        <v>0.82690146122143127</v>
      </c>
      <c r="Z2137" s="845">
        <v>8.0179842637692025E-2</v>
      </c>
      <c r="AA2137" s="845">
        <v>0</v>
      </c>
      <c r="AB2137" s="845">
        <v>0</v>
      </c>
      <c r="AC2137" s="845">
        <v>0</v>
      </c>
      <c r="AD2137" s="845">
        <v>4.7958036717871862E-2</v>
      </c>
      <c r="AE2137" s="845">
        <v>4.4960659423004867E-2</v>
      </c>
      <c r="AF2137" s="845">
        <v>3.6343199700262271E-2</v>
      </c>
      <c r="AG2137" s="845">
        <v>0.80816785312851258</v>
      </c>
      <c r="AH2137" s="20" t="str">
        <f t="shared" si="172"/>
        <v>No</v>
      </c>
      <c r="AI2137" s="25"/>
      <c r="AJ2137" s="25"/>
      <c r="AK2137" s="25"/>
      <c r="AL2137" s="25"/>
      <c r="AM2137" s="25"/>
      <c r="AN2137" s="25"/>
      <c r="AO2137" s="25"/>
      <c r="AP2137" s="25"/>
      <c r="AQ2137" s="25"/>
      <c r="AR2137" s="25"/>
      <c r="AS2137" s="25"/>
      <c r="AT2137" s="25"/>
      <c r="AU2137" s="36"/>
      <c r="AV2137" s="36"/>
      <c r="AW2137" s="36"/>
      <c r="AX2137" s="25"/>
      <c r="AY2137" s="25"/>
      <c r="AZ2137" s="25"/>
      <c r="BA2137" s="25"/>
      <c r="BB2137" s="25"/>
      <c r="BC2137" s="25"/>
      <c r="BD2137" s="25"/>
      <c r="BE2137" s="25"/>
      <c r="BF2137" s="25"/>
      <c r="BG2137" s="25"/>
      <c r="BH2137" s="25"/>
      <c r="BI2137" s="25"/>
      <c r="BJ2137" s="25"/>
      <c r="BK2137" s="25"/>
      <c r="BL2137" s="25"/>
      <c r="BM2137" s="25"/>
      <c r="BN2137" s="25"/>
      <c r="BO2137" s="25"/>
      <c r="BP2137" s="25"/>
      <c r="BQ2137" s="25"/>
      <c r="BR2137" s="25"/>
      <c r="BS2137" s="25"/>
      <c r="BT2137" s="25"/>
      <c r="BU2137"/>
      <c r="BV2137"/>
      <c r="BW2137"/>
      <c r="BX2137"/>
      <c r="BY2137"/>
      <c r="BZ2137"/>
      <c r="CA2137"/>
      <c r="CB2137"/>
      <c r="CC2137"/>
      <c r="CD2137" s="25"/>
    </row>
    <row r="2138" spans="1:82" s="17" customFormat="1" x14ac:dyDescent="0.2">
      <c r="A2138" s="25"/>
      <c r="B2138" s="20">
        <v>39095005705</v>
      </c>
      <c r="C2138" s="20">
        <v>57.05</v>
      </c>
      <c r="D2138" s="20" t="s">
        <v>53</v>
      </c>
      <c r="E2138" s="20" t="s">
        <v>2839</v>
      </c>
      <c r="F2138" s="20" t="s">
        <v>8</v>
      </c>
      <c r="G2138" s="861">
        <v>42.389752876724501</v>
      </c>
      <c r="H2138" s="861">
        <v>57.978101546481199</v>
      </c>
      <c r="I2138" s="861">
        <v>37.268217366150502</v>
      </c>
      <c r="J2138" s="861">
        <v>27.657225014680002</v>
      </c>
      <c r="K2138" s="982">
        <v>0</v>
      </c>
      <c r="L2138" s="735" t="s">
        <v>2466</v>
      </c>
      <c r="M2138" s="735">
        <v>1617</v>
      </c>
      <c r="N2138" s="845" t="str">
        <f t="shared" si="170"/>
        <v/>
      </c>
      <c r="O2138" s="735">
        <v>2.3644818971775128</v>
      </c>
      <c r="P2138" s="735">
        <f t="shared" si="171"/>
        <v>683.87074645410326</v>
      </c>
      <c r="Q2138" s="849">
        <v>46.6</v>
      </c>
      <c r="R2138" s="71">
        <v>54808</v>
      </c>
      <c r="S2138" s="845">
        <v>0.15769944341372913</v>
      </c>
      <c r="T2138" s="845">
        <v>5.5999999999999994E-2</v>
      </c>
      <c r="U2138" s="845">
        <v>0</v>
      </c>
      <c r="V2138" s="845">
        <v>0</v>
      </c>
      <c r="W2138" s="845">
        <v>0.33832335329341318</v>
      </c>
      <c r="X2138" s="845">
        <v>0.13864306784660768</v>
      </c>
      <c r="Y2138" s="845">
        <v>0.67532467532467533</v>
      </c>
      <c r="Z2138" s="845">
        <v>0.20408163265306123</v>
      </c>
      <c r="AA2138" s="845">
        <v>9.8948670377241813E-3</v>
      </c>
      <c r="AB2138" s="845">
        <v>0</v>
      </c>
      <c r="AC2138" s="845">
        <v>0</v>
      </c>
      <c r="AD2138" s="845">
        <v>0</v>
      </c>
      <c r="AE2138" s="845">
        <v>0.11069882498453927</v>
      </c>
      <c r="AF2138" s="845">
        <v>0.11502782931354361</v>
      </c>
      <c r="AG2138" s="845">
        <v>0.66914038342609772</v>
      </c>
      <c r="AH2138" s="20" t="str">
        <f t="shared" si="172"/>
        <v>No</v>
      </c>
      <c r="AI2138" s="25"/>
      <c r="AJ2138" s="25"/>
      <c r="AK2138" s="25"/>
      <c r="AL2138" s="25"/>
      <c r="AM2138" s="25"/>
      <c r="AN2138" s="25"/>
      <c r="AO2138" s="25"/>
      <c r="AP2138" s="25"/>
      <c r="AQ2138" s="25"/>
      <c r="AR2138" s="25"/>
      <c r="AS2138" s="25"/>
      <c r="AT2138" s="25"/>
      <c r="AU2138" s="36"/>
      <c r="AV2138" s="36"/>
      <c r="AW2138" s="36"/>
      <c r="AX2138" s="25"/>
      <c r="AY2138" s="25"/>
      <c r="AZ2138" s="25"/>
      <c r="BA2138" s="25"/>
      <c r="BB2138" s="25"/>
      <c r="BC2138" s="25"/>
      <c r="BD2138" s="25"/>
      <c r="BE2138" s="25"/>
      <c r="BF2138" s="25"/>
      <c r="BG2138" s="25"/>
      <c r="BH2138" s="25"/>
      <c r="BI2138" s="25"/>
      <c r="BJ2138" s="25"/>
      <c r="BK2138" s="25"/>
      <c r="BL2138" s="25"/>
      <c r="BM2138" s="25"/>
      <c r="BN2138" s="25"/>
      <c r="BO2138" s="25"/>
      <c r="BP2138" s="25"/>
      <c r="BQ2138" s="25"/>
      <c r="BR2138" s="25"/>
      <c r="BS2138" s="25"/>
      <c r="BT2138" s="25"/>
      <c r="BU2138"/>
      <c r="BV2138"/>
      <c r="BW2138"/>
      <c r="BX2138"/>
      <c r="BY2138"/>
      <c r="BZ2138"/>
      <c r="CA2138"/>
      <c r="CB2138"/>
      <c r="CC2138"/>
      <c r="CD2138" s="25"/>
    </row>
    <row r="2139" spans="1:82" s="17" customFormat="1" x14ac:dyDescent="0.2">
      <c r="A2139" s="25"/>
      <c r="B2139" s="20">
        <v>39003011301</v>
      </c>
      <c r="C2139" s="20">
        <v>113.01</v>
      </c>
      <c r="D2139" s="20" t="s">
        <v>7</v>
      </c>
      <c r="E2139" s="20" t="s">
        <v>2835</v>
      </c>
      <c r="F2139" s="20" t="s">
        <v>8</v>
      </c>
      <c r="G2139" s="861">
        <v>42.381405964914102</v>
      </c>
      <c r="H2139" s="861">
        <v>47.234734028307102</v>
      </c>
      <c r="I2139" s="861">
        <v>22.919516556296799</v>
      </c>
      <c r="J2139" s="861">
        <v>42.390237975644098</v>
      </c>
      <c r="K2139" s="982">
        <v>0</v>
      </c>
      <c r="L2139" s="735" t="s">
        <v>2466</v>
      </c>
      <c r="M2139" s="735">
        <v>4256</v>
      </c>
      <c r="N2139" s="845" t="str">
        <f t="shared" si="170"/>
        <v/>
      </c>
      <c r="O2139" s="735">
        <v>10.530027491130067</v>
      </c>
      <c r="P2139" s="735">
        <f t="shared" si="171"/>
        <v>404.17748230809724</v>
      </c>
      <c r="Q2139" s="849">
        <v>46.9</v>
      </c>
      <c r="R2139" s="71">
        <v>61536</v>
      </c>
      <c r="S2139" s="845">
        <v>0.15315533980582524</v>
      </c>
      <c r="T2139" s="845">
        <v>1.3999999999999999E-2</v>
      </c>
      <c r="U2139" s="845">
        <v>0</v>
      </c>
      <c r="V2139" s="845">
        <v>0</v>
      </c>
      <c r="W2139" s="845">
        <v>0.10588235294117647</v>
      </c>
      <c r="X2139" s="845">
        <v>0.46376811594202899</v>
      </c>
      <c r="Y2139" s="845">
        <v>0.91024436090225569</v>
      </c>
      <c r="Z2139" s="845">
        <v>1.5977443609022556E-2</v>
      </c>
      <c r="AA2139" s="845">
        <v>0</v>
      </c>
      <c r="AB2139" s="845">
        <v>9.1635338345864657E-3</v>
      </c>
      <c r="AC2139" s="845">
        <v>0</v>
      </c>
      <c r="AD2139" s="845">
        <v>7.7537593984962402E-3</v>
      </c>
      <c r="AE2139" s="845">
        <v>5.6860902255639098E-2</v>
      </c>
      <c r="AF2139" s="845">
        <v>3.7593984962406013E-2</v>
      </c>
      <c r="AG2139" s="845">
        <v>0.88510338345864659</v>
      </c>
      <c r="AH2139" s="20" t="str">
        <f t="shared" si="172"/>
        <v>No</v>
      </c>
      <c r="AI2139" s="25"/>
      <c r="AJ2139" s="25"/>
      <c r="AK2139" s="25"/>
      <c r="AL2139" s="25"/>
      <c r="AM2139" s="25"/>
      <c r="AN2139" s="25"/>
      <c r="AO2139" s="25"/>
      <c r="AP2139" s="25"/>
      <c r="AQ2139" s="25"/>
      <c r="AR2139" s="25"/>
      <c r="AS2139" s="25"/>
      <c r="AT2139" s="25"/>
      <c r="AU2139" s="36"/>
      <c r="AV2139" s="36"/>
      <c r="AW2139" s="36"/>
      <c r="AX2139" s="25"/>
      <c r="AY2139" s="25"/>
      <c r="AZ2139" s="25"/>
      <c r="BA2139" s="25"/>
      <c r="BB2139" s="25"/>
      <c r="BC2139" s="25"/>
      <c r="BD2139" s="25"/>
      <c r="BE2139" s="25"/>
      <c r="BF2139" s="25"/>
      <c r="BG2139" s="25"/>
      <c r="BH2139" s="25"/>
      <c r="BI2139" s="25"/>
      <c r="BJ2139" s="25"/>
      <c r="BK2139" s="25"/>
      <c r="BL2139" s="25"/>
      <c r="BM2139" s="25"/>
      <c r="BN2139" s="25"/>
      <c r="BO2139" s="25"/>
      <c r="BP2139" s="25"/>
      <c r="BQ2139" s="25"/>
      <c r="BR2139" s="25"/>
      <c r="BS2139" s="25"/>
      <c r="BT2139" s="25"/>
      <c r="BU2139"/>
      <c r="BV2139"/>
      <c r="BW2139"/>
      <c r="BX2139"/>
      <c r="BY2139"/>
      <c r="BZ2139"/>
      <c r="CA2139"/>
      <c r="CB2139"/>
      <c r="CC2139"/>
      <c r="CD2139" s="25"/>
    </row>
    <row r="2140" spans="1:82" s="17" customFormat="1" x14ac:dyDescent="0.2">
      <c r="A2140" s="25"/>
      <c r="B2140" s="20">
        <v>39021011505</v>
      </c>
      <c r="C2140" s="20">
        <v>115.05</v>
      </c>
      <c r="D2140" s="20" t="s">
        <v>17</v>
      </c>
      <c r="E2140" s="20" t="s">
        <v>265</v>
      </c>
      <c r="F2140" s="20" t="s">
        <v>8</v>
      </c>
      <c r="G2140" s="861">
        <v>42.380124024031502</v>
      </c>
      <c r="H2140" s="861">
        <v>49.055505382610903</v>
      </c>
      <c r="I2140" s="861">
        <v>28.141050279858501</v>
      </c>
      <c r="J2140" s="861">
        <v>35.452992803156</v>
      </c>
      <c r="K2140" s="982">
        <v>0</v>
      </c>
      <c r="L2140" s="735">
        <v>3389</v>
      </c>
      <c r="M2140" s="735">
        <v>3459</v>
      </c>
      <c r="N2140" s="845">
        <f t="shared" si="170"/>
        <v>2.0655060489820007E-2</v>
      </c>
      <c r="O2140" s="735">
        <v>29.571013358821947</v>
      </c>
      <c r="P2140" s="735">
        <f t="shared" si="171"/>
        <v>116.97265690653356</v>
      </c>
      <c r="Q2140" s="849">
        <v>35.299999999999997</v>
      </c>
      <c r="R2140" s="71">
        <v>66908</v>
      </c>
      <c r="S2140" s="845">
        <v>0.13529765484064943</v>
      </c>
      <c r="T2140" s="845">
        <v>4.2999999999999997E-2</v>
      </c>
      <c r="U2140" s="845">
        <v>0</v>
      </c>
      <c r="V2140" s="845">
        <v>0</v>
      </c>
      <c r="W2140" s="845">
        <v>0.30594679186228479</v>
      </c>
      <c r="X2140" s="845">
        <v>0.25319693094629159</v>
      </c>
      <c r="Y2140" s="845">
        <v>0.93726510552182707</v>
      </c>
      <c r="Z2140" s="845">
        <v>1.4744145706851692E-2</v>
      </c>
      <c r="AA2140" s="845">
        <v>4.9147152356172306E-3</v>
      </c>
      <c r="AB2140" s="845">
        <v>8.6730268863833475E-4</v>
      </c>
      <c r="AC2140" s="845">
        <v>0</v>
      </c>
      <c r="AD2140" s="845">
        <v>1.7056952876553916E-2</v>
      </c>
      <c r="AE2140" s="845">
        <v>2.5151777970511709E-2</v>
      </c>
      <c r="AF2140" s="845">
        <v>2.8910089621277824E-2</v>
      </c>
      <c r="AG2140" s="845">
        <v>0.93437409655969939</v>
      </c>
      <c r="AH2140" s="20" t="str">
        <f t="shared" si="172"/>
        <v>Yes</v>
      </c>
      <c r="AI2140" s="25"/>
      <c r="AJ2140" s="25"/>
      <c r="AK2140" s="25"/>
      <c r="AL2140" s="25"/>
      <c r="AM2140" s="25"/>
      <c r="AN2140" s="25"/>
      <c r="AO2140" s="25"/>
      <c r="AP2140" s="25"/>
      <c r="AQ2140" s="25"/>
      <c r="AR2140" s="25"/>
      <c r="AS2140" s="25"/>
      <c r="AT2140" s="25"/>
      <c r="AU2140" s="36"/>
      <c r="AV2140" s="36"/>
      <c r="AW2140" s="36"/>
      <c r="AX2140" s="25"/>
      <c r="AY2140" s="25"/>
      <c r="AZ2140" s="25"/>
      <c r="BA2140" s="25"/>
      <c r="BB2140" s="25"/>
      <c r="BC2140" s="25"/>
      <c r="BD2140" s="25"/>
      <c r="BE2140" s="25"/>
      <c r="BF2140" s="25"/>
      <c r="BG2140" s="25"/>
      <c r="BH2140" s="25"/>
      <c r="BI2140" s="25"/>
      <c r="BJ2140" s="25"/>
      <c r="BK2140" s="25"/>
      <c r="BL2140" s="25"/>
      <c r="BM2140" s="25"/>
      <c r="BN2140" s="25"/>
      <c r="BO2140" s="25"/>
      <c r="BP2140" s="25"/>
      <c r="BQ2140" s="25"/>
      <c r="BR2140" s="25"/>
      <c r="BS2140" s="25"/>
      <c r="BT2140" s="25"/>
      <c r="BU2140"/>
      <c r="BV2140"/>
      <c r="BW2140"/>
      <c r="BX2140"/>
      <c r="BY2140"/>
      <c r="BZ2140"/>
      <c r="CA2140"/>
      <c r="CB2140"/>
      <c r="CC2140"/>
      <c r="CD2140" s="25"/>
    </row>
    <row r="2141" spans="1:82" s="17" customFormat="1" x14ac:dyDescent="0.2">
      <c r="A2141" s="25"/>
      <c r="B2141" s="20">
        <v>39099812800</v>
      </c>
      <c r="C2141" s="20">
        <v>8128</v>
      </c>
      <c r="D2141" s="20" t="s">
        <v>55</v>
      </c>
      <c r="E2141" s="20" t="s">
        <v>2842</v>
      </c>
      <c r="F2141" s="20" t="s">
        <v>8</v>
      </c>
      <c r="G2141" s="861">
        <v>42.358401751106697</v>
      </c>
      <c r="H2141" s="861">
        <v>49.047438719993202</v>
      </c>
      <c r="I2141" s="861">
        <v>23.4012740254785</v>
      </c>
      <c r="J2141" s="861">
        <v>47.710266234757</v>
      </c>
      <c r="K2141" s="982">
        <v>0</v>
      </c>
      <c r="L2141" s="735">
        <v>3677</v>
      </c>
      <c r="M2141" s="735">
        <v>3557</v>
      </c>
      <c r="N2141" s="845">
        <f t="shared" si="170"/>
        <v>-3.2635300516725592E-2</v>
      </c>
      <c r="O2141" s="735">
        <v>22.200424310056004</v>
      </c>
      <c r="P2141" s="735">
        <f t="shared" si="171"/>
        <v>160.22216288851766</v>
      </c>
      <c r="Q2141" s="849">
        <v>46.8</v>
      </c>
      <c r="R2141" s="71">
        <v>77851</v>
      </c>
      <c r="S2141" s="845">
        <v>0.10864058542077118</v>
      </c>
      <c r="T2141" s="845">
        <v>2.1000000000000001E-2</v>
      </c>
      <c r="U2141" s="845">
        <v>7.6999999999999999E-2</v>
      </c>
      <c r="V2141" s="845">
        <v>0</v>
      </c>
      <c r="W2141" s="845">
        <v>0.18058384249830278</v>
      </c>
      <c r="X2141" s="845">
        <v>0.12406015037593984</v>
      </c>
      <c r="Y2141" s="845">
        <v>0.93815012651110485</v>
      </c>
      <c r="Z2141" s="845">
        <v>0</v>
      </c>
      <c r="AA2141" s="845">
        <v>0</v>
      </c>
      <c r="AB2141" s="845">
        <v>5.6227157717177395E-4</v>
      </c>
      <c r="AC2141" s="845">
        <v>0</v>
      </c>
      <c r="AD2141" s="845">
        <v>1.1245431543435479E-3</v>
      </c>
      <c r="AE2141" s="845">
        <v>6.0163058757379817E-2</v>
      </c>
      <c r="AF2141" s="845">
        <v>1.9117233623840314E-2</v>
      </c>
      <c r="AG2141" s="845">
        <v>0.93561990441383192</v>
      </c>
      <c r="AH2141" s="20" t="str">
        <f t="shared" si="172"/>
        <v>Yes</v>
      </c>
      <c r="AI2141" s="25"/>
      <c r="AJ2141" s="25"/>
      <c r="AK2141" s="25"/>
      <c r="AL2141" s="25"/>
      <c r="AM2141" s="25"/>
      <c r="AN2141" s="25"/>
      <c r="AO2141" s="25"/>
      <c r="AP2141" s="25"/>
      <c r="AQ2141" s="25"/>
      <c r="AR2141" s="25"/>
      <c r="AS2141" s="25"/>
      <c r="AT2141" s="25"/>
      <c r="AU2141" s="36"/>
      <c r="AV2141" s="36"/>
      <c r="AW2141" s="36"/>
      <c r="AX2141" s="25"/>
      <c r="AY2141" s="25"/>
      <c r="AZ2141" s="25"/>
      <c r="BA2141" s="25"/>
      <c r="BB2141" s="25"/>
      <c r="BC2141" s="25"/>
      <c r="BD2141" s="25"/>
      <c r="BE2141" s="25"/>
      <c r="BF2141" s="25"/>
      <c r="BG2141" s="25"/>
      <c r="BH2141" s="25"/>
      <c r="BI2141" s="25"/>
      <c r="BJ2141" s="25"/>
      <c r="BK2141" s="25"/>
      <c r="BL2141" s="25"/>
      <c r="BM2141" s="25"/>
      <c r="BN2141" s="25"/>
      <c r="BO2141" s="25"/>
      <c r="BP2141" s="25"/>
      <c r="BQ2141" s="25"/>
      <c r="BR2141" s="25"/>
      <c r="BS2141" s="25"/>
      <c r="BT2141" s="25"/>
      <c r="BU2141"/>
      <c r="BV2141"/>
      <c r="BW2141"/>
      <c r="BX2141"/>
      <c r="BY2141"/>
      <c r="BZ2141"/>
      <c r="CA2141"/>
      <c r="CB2141"/>
      <c r="CC2141"/>
      <c r="CD2141" s="25"/>
    </row>
    <row r="2142" spans="1:82" s="17" customFormat="1" x14ac:dyDescent="0.2">
      <c r="A2142" s="25"/>
      <c r="B2142" s="20">
        <v>39155931300</v>
      </c>
      <c r="C2142" s="20">
        <v>9313</v>
      </c>
      <c r="D2142" s="20" t="s">
        <v>83</v>
      </c>
      <c r="E2142" s="20" t="s">
        <v>2842</v>
      </c>
      <c r="F2142" s="20" t="s">
        <v>8</v>
      </c>
      <c r="G2142" s="861">
        <v>42.308171051562901</v>
      </c>
      <c r="H2142" s="861">
        <v>45.932884905648898</v>
      </c>
      <c r="I2142" s="861">
        <v>25.5877666749473</v>
      </c>
      <c r="J2142" s="861">
        <v>39.235209833431398</v>
      </c>
      <c r="K2142" s="982">
        <v>0</v>
      </c>
      <c r="L2142" s="735">
        <v>4321</v>
      </c>
      <c r="M2142" s="735">
        <v>4273</v>
      </c>
      <c r="N2142" s="845">
        <f t="shared" si="170"/>
        <v>-1.11085396898866E-2</v>
      </c>
      <c r="O2142" s="735">
        <v>18.359894710095794</v>
      </c>
      <c r="P2142" s="735">
        <f t="shared" si="171"/>
        <v>232.73553947182222</v>
      </c>
      <c r="Q2142" s="849">
        <v>51.5</v>
      </c>
      <c r="R2142" s="71">
        <v>67745</v>
      </c>
      <c r="S2142" s="845">
        <v>7.5875029363401458E-2</v>
      </c>
      <c r="T2142" s="845">
        <v>3.3000000000000002E-2</v>
      </c>
      <c r="U2142" s="845">
        <v>5.0000000000000001E-3</v>
      </c>
      <c r="V2142" s="845">
        <v>0</v>
      </c>
      <c r="W2142" s="845">
        <v>6.8100358422939072E-2</v>
      </c>
      <c r="X2142" s="845">
        <v>0.37593984962406013</v>
      </c>
      <c r="Y2142" s="845">
        <v>0.97683126608939852</v>
      </c>
      <c r="Z2142" s="845">
        <v>9.3611046103440204E-4</v>
      </c>
      <c r="AA2142" s="845">
        <v>0</v>
      </c>
      <c r="AB2142" s="845">
        <v>6.5527732272408143E-3</v>
      </c>
      <c r="AC2142" s="845">
        <v>0</v>
      </c>
      <c r="AD2142" s="845">
        <v>7.4888836882752163E-3</v>
      </c>
      <c r="AE2142" s="845">
        <v>8.1909665340510179E-3</v>
      </c>
      <c r="AF2142" s="845">
        <v>4.4465246899134097E-3</v>
      </c>
      <c r="AG2142" s="845">
        <v>0.97683126608939852</v>
      </c>
      <c r="AH2142" s="20" t="str">
        <f t="shared" si="172"/>
        <v>Yes</v>
      </c>
      <c r="AI2142" s="25"/>
      <c r="AJ2142" s="25"/>
      <c r="AK2142" s="25"/>
      <c r="AL2142" s="25"/>
      <c r="AM2142" s="25"/>
      <c r="AN2142" s="25"/>
      <c r="AO2142" s="25"/>
      <c r="AP2142" s="25"/>
      <c r="AQ2142" s="25"/>
      <c r="AR2142" s="25"/>
      <c r="AS2142" s="25"/>
      <c r="AT2142" s="25"/>
      <c r="AU2142" s="36"/>
      <c r="AV2142" s="36"/>
      <c r="AW2142" s="36"/>
      <c r="AX2142" s="25"/>
      <c r="AY2142" s="25"/>
      <c r="AZ2142" s="25"/>
      <c r="BA2142" s="25"/>
      <c r="BB2142" s="25"/>
      <c r="BC2142" s="25"/>
      <c r="BD2142" s="25"/>
      <c r="BE2142" s="25"/>
      <c r="BF2142" s="25"/>
      <c r="BG2142" s="25"/>
      <c r="BH2142" s="25"/>
      <c r="BI2142" s="25"/>
      <c r="BJ2142" s="25"/>
      <c r="BK2142" s="25"/>
      <c r="BL2142" s="25"/>
      <c r="BM2142" s="25"/>
      <c r="BN2142" s="25"/>
      <c r="BO2142" s="25"/>
      <c r="BP2142" s="25"/>
      <c r="BQ2142" s="25"/>
      <c r="BR2142" s="25"/>
      <c r="BS2142" s="25"/>
      <c r="BT2142" s="25"/>
      <c r="BU2142"/>
      <c r="BV2142"/>
      <c r="BW2142"/>
      <c r="BX2142"/>
      <c r="BY2142"/>
      <c r="BZ2142"/>
      <c r="CA2142"/>
      <c r="CB2142"/>
      <c r="CC2142"/>
      <c r="CD2142" s="25"/>
    </row>
    <row r="2143" spans="1:82" s="17" customFormat="1" x14ac:dyDescent="0.2">
      <c r="A2143" s="25"/>
      <c r="B2143" s="20">
        <v>39035132301</v>
      </c>
      <c r="C2143" s="20">
        <v>1323.01</v>
      </c>
      <c r="D2143" s="20" t="s">
        <v>24</v>
      </c>
      <c r="E2143" s="20" t="s">
        <v>2829</v>
      </c>
      <c r="F2143" s="20" t="s">
        <v>8</v>
      </c>
      <c r="G2143" s="861">
        <v>42.303455643010999</v>
      </c>
      <c r="H2143" s="861">
        <v>53.548615168382803</v>
      </c>
      <c r="I2143" s="861">
        <v>37.999231138641498</v>
      </c>
      <c r="J2143" s="861">
        <v>35.425518191267699</v>
      </c>
      <c r="K2143" s="982">
        <v>0</v>
      </c>
      <c r="L2143" s="735">
        <v>3468</v>
      </c>
      <c r="M2143" s="735">
        <v>3512</v>
      </c>
      <c r="N2143" s="845">
        <f t="shared" si="170"/>
        <v>1.2687427912341407E-2</v>
      </c>
      <c r="O2143" s="735">
        <v>1.6808540483994732</v>
      </c>
      <c r="P2143" s="735">
        <f t="shared" si="171"/>
        <v>2089.4140114926477</v>
      </c>
      <c r="Q2143" s="849">
        <v>44.1</v>
      </c>
      <c r="R2143" s="71">
        <v>49358</v>
      </c>
      <c r="S2143" s="845">
        <v>0.11746213203772507</v>
      </c>
      <c r="T2143" s="845">
        <v>9.4E-2</v>
      </c>
      <c r="U2143" s="845">
        <v>0</v>
      </c>
      <c r="V2143" s="845">
        <v>7.8E-2</v>
      </c>
      <c r="W2143" s="845">
        <v>0.62896405919661735</v>
      </c>
      <c r="X2143" s="845">
        <v>0.38571428571428573</v>
      </c>
      <c r="Y2143" s="845">
        <v>0.34083143507972663</v>
      </c>
      <c r="Z2143" s="845">
        <v>0.58627562642369024</v>
      </c>
      <c r="AA2143" s="845">
        <v>0</v>
      </c>
      <c r="AB2143" s="845">
        <v>5.6947608200455585E-3</v>
      </c>
      <c r="AC2143" s="845">
        <v>0</v>
      </c>
      <c r="AD2143" s="845">
        <v>2.5626423690205012E-3</v>
      </c>
      <c r="AE2143" s="845">
        <v>6.4635535307517089E-2</v>
      </c>
      <c r="AF2143" s="845">
        <v>4.2425968109339407E-2</v>
      </c>
      <c r="AG2143" s="845">
        <v>0.34083143507972663</v>
      </c>
      <c r="AH2143" s="20" t="str">
        <f t="shared" si="172"/>
        <v>No</v>
      </c>
      <c r="AI2143" s="25"/>
      <c r="AJ2143" s="25"/>
      <c r="AK2143" s="25"/>
      <c r="AL2143" s="25"/>
      <c r="AM2143" s="25"/>
      <c r="AN2143" s="25"/>
      <c r="AO2143" s="25"/>
      <c r="AP2143" s="25"/>
      <c r="AQ2143" s="25"/>
      <c r="AR2143" s="25"/>
      <c r="AS2143" s="25"/>
      <c r="AT2143" s="25"/>
      <c r="AU2143" s="36"/>
      <c r="AV2143" s="36"/>
      <c r="AW2143" s="36"/>
      <c r="AX2143" s="25"/>
      <c r="AY2143" s="25"/>
      <c r="AZ2143" s="25"/>
      <c r="BA2143" s="25"/>
      <c r="BB2143" s="25"/>
      <c r="BC2143" s="25"/>
      <c r="BD2143" s="25"/>
      <c r="BE2143" s="25"/>
      <c r="BF2143" s="25"/>
      <c r="BG2143" s="25"/>
      <c r="BH2143" s="25"/>
      <c r="BI2143" s="25"/>
      <c r="BJ2143" s="25"/>
      <c r="BK2143" s="25"/>
      <c r="BL2143" s="25"/>
      <c r="BM2143" s="25"/>
      <c r="BN2143" s="25"/>
      <c r="BO2143" s="25"/>
      <c r="BP2143" s="25"/>
      <c r="BQ2143" s="25"/>
      <c r="BR2143" s="25"/>
      <c r="BS2143" s="25"/>
      <c r="BT2143" s="25"/>
      <c r="BU2143"/>
      <c r="BV2143"/>
      <c r="BW2143"/>
      <c r="BX2143"/>
      <c r="BY2143"/>
      <c r="BZ2143"/>
      <c r="CA2143"/>
      <c r="CB2143"/>
      <c r="CC2143"/>
      <c r="CD2143" s="25"/>
    </row>
    <row r="2144" spans="1:82" s="17" customFormat="1" x14ac:dyDescent="0.2">
      <c r="A2144" s="25"/>
      <c r="B2144" s="20">
        <v>39153520106</v>
      </c>
      <c r="C2144" s="20">
        <v>5201.0600000000004</v>
      </c>
      <c r="D2144" s="20" t="s">
        <v>82</v>
      </c>
      <c r="E2144" s="20" t="s">
        <v>2843</v>
      </c>
      <c r="F2144" s="20" t="s">
        <v>8</v>
      </c>
      <c r="G2144" s="861">
        <v>42.298537033833298</v>
      </c>
      <c r="H2144" s="861">
        <v>56.627787924105</v>
      </c>
      <c r="I2144" s="861">
        <v>32.183155446745701</v>
      </c>
      <c r="J2144" s="861">
        <v>24.474069812352099</v>
      </c>
      <c r="K2144" s="982">
        <v>0</v>
      </c>
      <c r="L2144" s="735">
        <v>2700</v>
      </c>
      <c r="M2144" s="735">
        <v>2735</v>
      </c>
      <c r="N2144" s="845">
        <f t="shared" si="170"/>
        <v>1.2962962962962963E-2</v>
      </c>
      <c r="O2144" s="735">
        <v>0.60806881464795604</v>
      </c>
      <c r="P2144" s="735">
        <f t="shared" si="171"/>
        <v>4497.8461879901533</v>
      </c>
      <c r="Q2144" s="849">
        <v>32.6</v>
      </c>
      <c r="R2144" s="71">
        <v>68341</v>
      </c>
      <c r="S2144" s="845">
        <v>0.11311053984575835</v>
      </c>
      <c r="T2144" s="845">
        <v>6.6000000000000003E-2</v>
      </c>
      <c r="U2144" s="845">
        <v>0.129</v>
      </c>
      <c r="V2144" s="845">
        <v>8.4000000000000005E-2</v>
      </c>
      <c r="W2144" s="845">
        <v>0.75929824561403514</v>
      </c>
      <c r="X2144" s="845">
        <v>0.27171903881700554</v>
      </c>
      <c r="Y2144" s="845">
        <v>0.78647166361974408</v>
      </c>
      <c r="Z2144" s="845">
        <v>8.994515539305302E-2</v>
      </c>
      <c r="AA2144" s="845">
        <v>0</v>
      </c>
      <c r="AB2144" s="845">
        <v>5.7404021937842782E-2</v>
      </c>
      <c r="AC2144" s="845">
        <v>0</v>
      </c>
      <c r="AD2144" s="845">
        <v>0</v>
      </c>
      <c r="AE2144" s="845">
        <v>6.6179159049360142E-2</v>
      </c>
      <c r="AF2144" s="845">
        <v>5.3382084095063988E-2</v>
      </c>
      <c r="AG2144" s="845">
        <v>0.78244972577696525</v>
      </c>
      <c r="AH2144" s="20" t="str">
        <f t="shared" si="172"/>
        <v>No</v>
      </c>
      <c r="AI2144" s="25"/>
      <c r="AJ2144" s="25"/>
      <c r="AK2144" s="25"/>
      <c r="AL2144" s="25"/>
      <c r="AM2144" s="25"/>
      <c r="AN2144" s="25"/>
      <c r="AO2144" s="25"/>
      <c r="AP2144" s="25"/>
      <c r="AQ2144" s="25"/>
      <c r="AR2144" s="25"/>
      <c r="AS2144" s="25"/>
      <c r="AT2144" s="25"/>
      <c r="AU2144" s="36"/>
      <c r="AV2144" s="36"/>
      <c r="AW2144" s="36"/>
      <c r="AX2144" s="25"/>
      <c r="AY2144" s="25"/>
      <c r="AZ2144" s="25"/>
      <c r="BA2144" s="25"/>
      <c r="BB2144" s="25"/>
      <c r="BC2144" s="25"/>
      <c r="BD2144" s="25"/>
      <c r="BE2144" s="25"/>
      <c r="BF2144" s="25"/>
      <c r="BG2144" s="25"/>
      <c r="BH2144" s="25"/>
      <c r="BI2144" s="25"/>
      <c r="BJ2144" s="25"/>
      <c r="BK2144" s="25"/>
      <c r="BL2144" s="25"/>
      <c r="BM2144" s="25"/>
      <c r="BN2144" s="25"/>
      <c r="BO2144" s="25"/>
      <c r="BP2144" s="25"/>
      <c r="BQ2144" s="25"/>
      <c r="BR2144" s="25"/>
      <c r="BS2144" s="25"/>
      <c r="BT2144" s="25"/>
      <c r="BU2144"/>
      <c r="BV2144"/>
      <c r="BW2144"/>
      <c r="BX2144"/>
      <c r="BY2144"/>
      <c r="BZ2144"/>
      <c r="CA2144"/>
      <c r="CB2144"/>
      <c r="CC2144"/>
      <c r="CD2144" s="25"/>
    </row>
    <row r="2145" spans="1:82" s="17" customFormat="1" x14ac:dyDescent="0.2">
      <c r="A2145" s="25"/>
      <c r="B2145" s="20">
        <v>39049009396</v>
      </c>
      <c r="C2145" s="20">
        <v>93.96</v>
      </c>
      <c r="D2145" s="20" t="s">
        <v>31</v>
      </c>
      <c r="E2145" s="20" t="s">
        <v>2830</v>
      </c>
      <c r="F2145" s="20" t="s">
        <v>6</v>
      </c>
      <c r="G2145" s="861">
        <v>42.259573680597804</v>
      </c>
      <c r="H2145" s="861">
        <v>54.724158059879997</v>
      </c>
      <c r="I2145" s="861">
        <v>48.8576365387921</v>
      </c>
      <c r="J2145" s="861">
        <v>47.559873518125002</v>
      </c>
      <c r="K2145" s="982">
        <v>1</v>
      </c>
      <c r="L2145" s="735" t="s">
        <v>2466</v>
      </c>
      <c r="M2145" s="735">
        <v>3206</v>
      </c>
      <c r="N2145" s="845" t="str">
        <f t="shared" si="170"/>
        <v/>
      </c>
      <c r="O2145" s="735">
        <v>0.61837697007805958</v>
      </c>
      <c r="P2145" s="735">
        <f t="shared" si="171"/>
        <v>5184.5397793441389</v>
      </c>
      <c r="Q2145" s="849">
        <v>25.9</v>
      </c>
      <c r="R2145" s="71">
        <v>43371</v>
      </c>
      <c r="S2145" s="845">
        <v>0.18340611353711792</v>
      </c>
      <c r="T2145" s="845">
        <v>3.9E-2</v>
      </c>
      <c r="U2145" s="845">
        <v>0</v>
      </c>
      <c r="V2145" s="845">
        <v>2.8999999999999998E-2</v>
      </c>
      <c r="W2145" s="845">
        <v>0.8929088277858177</v>
      </c>
      <c r="X2145" s="845">
        <v>0.50162074554294978</v>
      </c>
      <c r="Y2145" s="845">
        <v>7.267623206487836E-2</v>
      </c>
      <c r="Z2145" s="845">
        <v>0.7941359950093575</v>
      </c>
      <c r="AA2145" s="845">
        <v>0</v>
      </c>
      <c r="AB2145" s="845">
        <v>1.7155333749220212E-2</v>
      </c>
      <c r="AC2145" s="845">
        <v>0</v>
      </c>
      <c r="AD2145" s="845">
        <v>3.3686837180286963E-2</v>
      </c>
      <c r="AE2145" s="845">
        <v>8.2345601996257012E-2</v>
      </c>
      <c r="AF2145" s="845">
        <v>4.2732376793512161E-2</v>
      </c>
      <c r="AG2145" s="845">
        <v>7.267623206487836E-2</v>
      </c>
      <c r="AH2145" s="20" t="str">
        <f t="shared" si="172"/>
        <v>No</v>
      </c>
      <c r="AI2145" s="25"/>
      <c r="AJ2145" s="25"/>
      <c r="AK2145" s="25"/>
      <c r="AL2145" s="25"/>
      <c r="AM2145" s="25"/>
      <c r="AN2145" s="25"/>
      <c r="AO2145" s="25"/>
      <c r="AP2145" s="25"/>
      <c r="AQ2145" s="25"/>
      <c r="AR2145" s="25"/>
      <c r="AS2145" s="25"/>
      <c r="AT2145" s="25"/>
      <c r="AU2145" s="36"/>
      <c r="AV2145" s="36"/>
      <c r="AW2145" s="36"/>
      <c r="AX2145" s="25"/>
      <c r="AY2145" s="25"/>
      <c r="AZ2145" s="25"/>
      <c r="BA2145" s="25"/>
      <c r="BB2145" s="25"/>
      <c r="BC2145" s="25"/>
      <c r="BD2145" s="25"/>
      <c r="BE2145" s="25"/>
      <c r="BF2145" s="25"/>
      <c r="BG2145" s="25"/>
      <c r="BH2145" s="25"/>
      <c r="BI2145" s="25"/>
      <c r="BJ2145" s="25"/>
      <c r="BK2145" s="25"/>
      <c r="BL2145" s="25"/>
      <c r="BM2145" s="25"/>
      <c r="BN2145" s="25"/>
      <c r="BO2145" s="25"/>
      <c r="BP2145" s="25"/>
      <c r="BQ2145" s="25"/>
      <c r="BR2145" s="25"/>
      <c r="BS2145" s="25"/>
      <c r="BT2145" s="25"/>
      <c r="BU2145"/>
      <c r="BV2145"/>
      <c r="BW2145"/>
      <c r="BX2145"/>
      <c r="BY2145"/>
      <c r="BZ2145"/>
      <c r="CA2145"/>
      <c r="CB2145"/>
      <c r="CC2145"/>
      <c r="CD2145" s="25"/>
    </row>
    <row r="2146" spans="1:82" s="17" customFormat="1" x14ac:dyDescent="0.2">
      <c r="A2146" s="25"/>
      <c r="B2146" s="20">
        <v>39155921400</v>
      </c>
      <c r="C2146" s="20">
        <v>9214</v>
      </c>
      <c r="D2146" s="20" t="s">
        <v>83</v>
      </c>
      <c r="E2146" s="20" t="s">
        <v>2842</v>
      </c>
      <c r="F2146" s="20" t="s">
        <v>8</v>
      </c>
      <c r="G2146" s="861">
        <v>42.2498291957288</v>
      </c>
      <c r="H2146" s="861">
        <v>47.647917880688098</v>
      </c>
      <c r="I2146" s="861">
        <v>35.344968990404602</v>
      </c>
      <c r="J2146" s="861">
        <v>45.463439058914901</v>
      </c>
      <c r="K2146" s="982">
        <v>0</v>
      </c>
      <c r="L2146" s="735">
        <v>3272</v>
      </c>
      <c r="M2146" s="735">
        <v>3228</v>
      </c>
      <c r="N2146" s="845">
        <f t="shared" si="170"/>
        <v>-1.3447432762836185E-2</v>
      </c>
      <c r="O2146" s="735">
        <v>1.6505878862895631</v>
      </c>
      <c r="P2146" s="735">
        <f t="shared" si="171"/>
        <v>1955.6668425916891</v>
      </c>
      <c r="Q2146" s="849">
        <v>51</v>
      </c>
      <c r="R2146" s="71">
        <v>64455</v>
      </c>
      <c r="S2146" s="845">
        <v>0.11028269648959305</v>
      </c>
      <c r="T2146" s="845">
        <v>3.6000000000000004E-2</v>
      </c>
      <c r="U2146" s="845">
        <v>0</v>
      </c>
      <c r="V2146" s="845">
        <v>7.400000000000001E-2</v>
      </c>
      <c r="W2146" s="845">
        <v>0.19461827284105132</v>
      </c>
      <c r="X2146" s="845">
        <v>0.55305466237942125</v>
      </c>
      <c r="Y2146" s="845">
        <v>0.78872366790582404</v>
      </c>
      <c r="Z2146" s="845">
        <v>9.1078066914498143E-2</v>
      </c>
      <c r="AA2146" s="845">
        <v>0</v>
      </c>
      <c r="AB2146" s="845">
        <v>2.9739776951672861E-2</v>
      </c>
      <c r="AC2146" s="845">
        <v>0</v>
      </c>
      <c r="AD2146" s="845">
        <v>0</v>
      </c>
      <c r="AE2146" s="845">
        <v>9.0458488228004952E-2</v>
      </c>
      <c r="AF2146" s="845">
        <v>7.2180916976456011E-2</v>
      </c>
      <c r="AG2146" s="845">
        <v>0.78004956629491951</v>
      </c>
      <c r="AH2146" s="20" t="str">
        <f t="shared" si="172"/>
        <v>No</v>
      </c>
      <c r="AI2146" s="25"/>
      <c r="AJ2146" s="25"/>
      <c r="AK2146" s="25"/>
      <c r="AL2146" s="25"/>
      <c r="AM2146" s="25"/>
      <c r="AN2146" s="25"/>
      <c r="AO2146" s="25"/>
      <c r="AP2146" s="25"/>
      <c r="AQ2146" s="25"/>
      <c r="AR2146" s="25"/>
      <c r="AS2146" s="25"/>
      <c r="AT2146" s="25"/>
      <c r="AU2146" s="36"/>
      <c r="AV2146" s="36"/>
      <c r="AW2146" s="36"/>
      <c r="AX2146" s="25"/>
      <c r="AY2146" s="25"/>
      <c r="AZ2146" s="25"/>
      <c r="BA2146" s="25"/>
      <c r="BB2146" s="25"/>
      <c r="BC2146" s="25"/>
      <c r="BD2146" s="25"/>
      <c r="BE2146" s="25"/>
      <c r="BF2146" s="25"/>
      <c r="BG2146" s="25"/>
      <c r="BH2146" s="25"/>
      <c r="BI2146" s="25"/>
      <c r="BJ2146" s="25"/>
      <c r="BK2146" s="25"/>
      <c r="BL2146" s="25"/>
      <c r="BM2146" s="25"/>
      <c r="BN2146" s="25"/>
      <c r="BO2146" s="25"/>
      <c r="BP2146" s="25"/>
      <c r="BQ2146" s="25"/>
      <c r="BR2146" s="25"/>
      <c r="BS2146" s="25"/>
      <c r="BT2146" s="25"/>
      <c r="BU2146"/>
      <c r="BV2146"/>
      <c r="BW2146"/>
      <c r="BX2146"/>
      <c r="BY2146"/>
      <c r="BZ2146"/>
      <c r="CA2146"/>
      <c r="CB2146"/>
      <c r="CC2146"/>
      <c r="CD2146" s="25"/>
    </row>
    <row r="2147" spans="1:82" s="17" customFormat="1" x14ac:dyDescent="0.2">
      <c r="A2147" s="25"/>
      <c r="B2147" s="20">
        <v>39089754700</v>
      </c>
      <c r="C2147" s="20">
        <v>7547</v>
      </c>
      <c r="D2147" s="20" t="s">
        <v>50</v>
      </c>
      <c r="E2147" s="20" t="s">
        <v>2830</v>
      </c>
      <c r="F2147" s="20" t="s">
        <v>8</v>
      </c>
      <c r="G2147" s="861">
        <v>42.243832919212899</v>
      </c>
      <c r="H2147" s="861">
        <v>47.077289551943899</v>
      </c>
      <c r="I2147" s="861">
        <v>26.3212406093248</v>
      </c>
      <c r="J2147" s="861">
        <v>52.088168734863203</v>
      </c>
      <c r="K2147" s="982">
        <v>0</v>
      </c>
      <c r="L2147" s="735">
        <v>6517</v>
      </c>
      <c r="M2147" s="735">
        <v>6519</v>
      </c>
      <c r="N2147" s="845">
        <f t="shared" si="170"/>
        <v>3.068896731624981E-4</v>
      </c>
      <c r="O2147" s="735">
        <v>66.175070201384059</v>
      </c>
      <c r="P2147" s="735">
        <f t="shared" si="171"/>
        <v>98.511417972982429</v>
      </c>
      <c r="Q2147" s="849">
        <v>37.799999999999997</v>
      </c>
      <c r="R2147" s="71">
        <v>76089</v>
      </c>
      <c r="S2147" s="845">
        <v>0.14778325123152711</v>
      </c>
      <c r="T2147" s="845">
        <v>5.5E-2</v>
      </c>
      <c r="U2147" s="845">
        <v>1.4999999999999999E-2</v>
      </c>
      <c r="V2147" s="845">
        <v>5.2000000000000005E-2</v>
      </c>
      <c r="W2147" s="845">
        <v>0.26378794356562635</v>
      </c>
      <c r="X2147" s="845">
        <v>0.24797406807131281</v>
      </c>
      <c r="Y2147" s="845">
        <v>0.86899831262463567</v>
      </c>
      <c r="Z2147" s="845">
        <v>6.5040650406504072E-2</v>
      </c>
      <c r="AA2147" s="845">
        <v>4.6019328117809482E-4</v>
      </c>
      <c r="AB2147" s="845">
        <v>1.687375364319681E-2</v>
      </c>
      <c r="AC2147" s="845">
        <v>0</v>
      </c>
      <c r="AD2147" s="845">
        <v>0</v>
      </c>
      <c r="AE2147" s="845">
        <v>4.8627090044485351E-2</v>
      </c>
      <c r="AF2147" s="845">
        <v>3.359410952600092E-2</v>
      </c>
      <c r="AG2147" s="845">
        <v>0.86715753949992325</v>
      </c>
      <c r="AH2147" s="20" t="str">
        <f t="shared" si="172"/>
        <v>No</v>
      </c>
      <c r="AI2147" s="25"/>
      <c r="AJ2147" s="25"/>
      <c r="AK2147" s="25"/>
      <c r="AL2147" s="25"/>
      <c r="AM2147" s="25"/>
      <c r="AN2147" s="25"/>
      <c r="AO2147" s="25"/>
      <c r="AP2147" s="25"/>
      <c r="AQ2147" s="25"/>
      <c r="AR2147" s="25"/>
      <c r="AS2147" s="25"/>
      <c r="AT2147" s="25"/>
      <c r="AU2147" s="36"/>
      <c r="AV2147" s="36"/>
      <c r="AW2147" s="36"/>
      <c r="AX2147" s="25"/>
      <c r="AY2147" s="25"/>
      <c r="AZ2147" s="25"/>
      <c r="BA2147" s="25"/>
      <c r="BB2147" s="25"/>
      <c r="BC2147" s="25"/>
      <c r="BD2147" s="25"/>
      <c r="BE2147" s="25"/>
      <c r="BF2147" s="25"/>
      <c r="BG2147" s="25"/>
      <c r="BH2147" s="25"/>
      <c r="BI2147" s="25"/>
      <c r="BJ2147" s="25"/>
      <c r="BK2147" s="25"/>
      <c r="BL2147" s="25"/>
      <c r="BM2147" s="25"/>
      <c r="BN2147" s="25"/>
      <c r="BO2147" s="25"/>
      <c r="BP2147" s="25"/>
      <c r="BQ2147" s="25"/>
      <c r="BR2147" s="25"/>
      <c r="BS2147" s="25"/>
      <c r="BT2147" s="25"/>
      <c r="BU2147"/>
      <c r="BV2147"/>
      <c r="BW2147"/>
      <c r="BX2147"/>
      <c r="BY2147"/>
      <c r="BZ2147"/>
      <c r="CA2147"/>
      <c r="CB2147"/>
      <c r="CC2147"/>
      <c r="CD2147" s="25"/>
    </row>
    <row r="2148" spans="1:82" s="17" customFormat="1" x14ac:dyDescent="0.2">
      <c r="A2148" s="25"/>
      <c r="B2148" s="20">
        <v>39095009400</v>
      </c>
      <c r="C2148" s="20">
        <v>94</v>
      </c>
      <c r="D2148" s="20" t="s">
        <v>53</v>
      </c>
      <c r="E2148" s="20" t="s">
        <v>2839</v>
      </c>
      <c r="F2148" s="20" t="s">
        <v>8</v>
      </c>
      <c r="G2148" s="861">
        <v>42.230210305214101</v>
      </c>
      <c r="H2148" s="861">
        <v>47.281256786298897</v>
      </c>
      <c r="I2148" s="861">
        <v>27.369860869242199</v>
      </c>
      <c r="J2148" s="861">
        <v>37.473127662544698</v>
      </c>
      <c r="K2148" s="982">
        <v>0</v>
      </c>
      <c r="L2148" s="735">
        <v>2513</v>
      </c>
      <c r="M2148" s="735">
        <v>2558</v>
      </c>
      <c r="N2148" s="845">
        <f t="shared" si="170"/>
        <v>1.7906884202148827E-2</v>
      </c>
      <c r="O2148" s="735">
        <v>21.519556319507583</v>
      </c>
      <c r="P2148" s="735">
        <f t="shared" si="171"/>
        <v>118.86862173274272</v>
      </c>
      <c r="Q2148" s="849">
        <v>38.200000000000003</v>
      </c>
      <c r="R2148" s="71">
        <v>73125</v>
      </c>
      <c r="S2148" s="845">
        <v>4.9334377447141739E-2</v>
      </c>
      <c r="T2148" s="845">
        <v>0.16899999999999998</v>
      </c>
      <c r="U2148" s="845">
        <v>0.03</v>
      </c>
      <c r="V2148" s="845">
        <v>0</v>
      </c>
      <c r="W2148" s="845">
        <v>0.2</v>
      </c>
      <c r="X2148" s="845">
        <v>0.48717948717948717</v>
      </c>
      <c r="Y2148" s="845">
        <v>0.67474589523064898</v>
      </c>
      <c r="Z2148" s="845">
        <v>5.2775605942142298E-2</v>
      </c>
      <c r="AA2148" s="845">
        <v>0</v>
      </c>
      <c r="AB2148" s="845">
        <v>0</v>
      </c>
      <c r="AC2148" s="845">
        <v>0</v>
      </c>
      <c r="AD2148" s="845">
        <v>1.9546520719311961E-3</v>
      </c>
      <c r="AE2148" s="845">
        <v>0.27052384675527757</v>
      </c>
      <c r="AF2148" s="845">
        <v>2.8537920250195466E-2</v>
      </c>
      <c r="AG2148" s="845">
        <v>0.66106333072713053</v>
      </c>
      <c r="AH2148" s="20" t="str">
        <f t="shared" si="172"/>
        <v>No</v>
      </c>
      <c r="AI2148" s="25"/>
      <c r="AJ2148" s="25"/>
      <c r="AK2148" s="25"/>
      <c r="AL2148" s="25"/>
      <c r="AM2148" s="25"/>
      <c r="AN2148" s="25"/>
      <c r="AO2148" s="25"/>
      <c r="AP2148" s="25"/>
      <c r="AQ2148" s="25"/>
      <c r="AR2148" s="25"/>
      <c r="AS2148" s="25"/>
      <c r="AT2148" s="25"/>
      <c r="AU2148" s="36"/>
      <c r="AV2148" s="36"/>
      <c r="AW2148" s="36"/>
      <c r="AX2148" s="25"/>
      <c r="AY2148" s="25"/>
      <c r="AZ2148" s="25"/>
      <c r="BA2148" s="25"/>
      <c r="BB2148" s="25"/>
      <c r="BC2148" s="25"/>
      <c r="BD2148" s="25"/>
      <c r="BE2148" s="25"/>
      <c r="BF2148" s="25"/>
      <c r="BG2148" s="25"/>
      <c r="BH2148" s="25"/>
      <c r="BI2148" s="25"/>
      <c r="BJ2148" s="25"/>
      <c r="BK2148" s="25"/>
      <c r="BL2148" s="25"/>
      <c r="BM2148" s="25"/>
      <c r="BN2148" s="25"/>
      <c r="BO2148" s="25"/>
      <c r="BP2148" s="25"/>
      <c r="BQ2148" s="25"/>
      <c r="BR2148" s="25"/>
      <c r="BS2148" s="25"/>
      <c r="BT2148" s="25"/>
      <c r="BU2148"/>
      <c r="BV2148"/>
      <c r="BW2148"/>
      <c r="BX2148"/>
      <c r="BY2148"/>
      <c r="BZ2148"/>
      <c r="CA2148"/>
      <c r="CB2148"/>
      <c r="CC2148"/>
      <c r="CD2148" s="25"/>
    </row>
    <row r="2149" spans="1:82" s="17" customFormat="1" x14ac:dyDescent="0.2">
      <c r="A2149" s="25"/>
      <c r="B2149" s="20">
        <v>39049000710</v>
      </c>
      <c r="C2149" s="20">
        <v>7.1</v>
      </c>
      <c r="D2149" s="20" t="s">
        <v>31</v>
      </c>
      <c r="E2149" s="20" t="s">
        <v>2830</v>
      </c>
      <c r="F2149" s="20" t="s">
        <v>6</v>
      </c>
      <c r="G2149" s="861">
        <v>42.2283881277801</v>
      </c>
      <c r="H2149" s="861">
        <v>64.214098811557704</v>
      </c>
      <c r="I2149" s="861">
        <v>47.595021965842299</v>
      </c>
      <c r="J2149" s="861">
        <v>50.189975310633301</v>
      </c>
      <c r="K2149" s="982">
        <v>0</v>
      </c>
      <c r="L2149" s="735">
        <v>3529</v>
      </c>
      <c r="M2149" s="735">
        <v>3277</v>
      </c>
      <c r="N2149" s="845">
        <f t="shared" si="170"/>
        <v>-7.1408330971946724E-2</v>
      </c>
      <c r="O2149" s="735">
        <v>0.50571081579212351</v>
      </c>
      <c r="P2149" s="735">
        <f t="shared" si="171"/>
        <v>6479.9879647957487</v>
      </c>
      <c r="Q2149" s="849">
        <v>36.700000000000003</v>
      </c>
      <c r="R2149" s="71">
        <v>48154</v>
      </c>
      <c r="S2149" s="845">
        <v>0.32590784253890753</v>
      </c>
      <c r="T2149" s="845">
        <v>0.10199999999999999</v>
      </c>
      <c r="U2149" s="845">
        <v>3.7000000000000005E-2</v>
      </c>
      <c r="V2149" s="845">
        <v>3.1E-2</v>
      </c>
      <c r="W2149" s="845">
        <v>0.6412325752017608</v>
      </c>
      <c r="X2149" s="845">
        <v>0.45080091533180777</v>
      </c>
      <c r="Y2149" s="845">
        <v>0.4574305767470247</v>
      </c>
      <c r="Z2149" s="845">
        <v>0.39578883124809278</v>
      </c>
      <c r="AA2149" s="845">
        <v>5.7979859627708269E-3</v>
      </c>
      <c r="AB2149" s="845">
        <v>0</v>
      </c>
      <c r="AC2149" s="845">
        <v>0</v>
      </c>
      <c r="AD2149" s="845">
        <v>7.3848031736344216E-2</v>
      </c>
      <c r="AE2149" s="845">
        <v>6.7134574305767469E-2</v>
      </c>
      <c r="AF2149" s="845">
        <v>0.11077204760451632</v>
      </c>
      <c r="AG2149" s="845">
        <v>0.43667989014342384</v>
      </c>
      <c r="AH2149" s="20" t="str">
        <f t="shared" si="172"/>
        <v>No</v>
      </c>
      <c r="AI2149" s="25"/>
      <c r="AJ2149" s="25"/>
      <c r="AK2149" s="25"/>
      <c r="AL2149" s="25"/>
      <c r="AM2149" s="25"/>
      <c r="AN2149" s="25"/>
      <c r="AO2149" s="25"/>
      <c r="AP2149" s="25"/>
      <c r="AQ2149" s="25"/>
      <c r="AR2149" s="25"/>
      <c r="AS2149" s="25"/>
      <c r="AT2149" s="25"/>
      <c r="AU2149" s="36"/>
      <c r="AV2149" s="36"/>
      <c r="AW2149" s="36"/>
      <c r="AX2149" s="25"/>
      <c r="AY2149" s="25"/>
      <c r="AZ2149" s="25"/>
      <c r="BA2149" s="25"/>
      <c r="BB2149" s="25"/>
      <c r="BC2149" s="25"/>
      <c r="BD2149" s="25"/>
      <c r="BE2149" s="25"/>
      <c r="BF2149" s="25"/>
      <c r="BG2149" s="25"/>
      <c r="BH2149" s="25"/>
      <c r="BI2149" s="25"/>
      <c r="BJ2149" s="25"/>
      <c r="BK2149" s="25"/>
      <c r="BL2149" s="25"/>
      <c r="BM2149" s="25"/>
      <c r="BN2149" s="25"/>
      <c r="BO2149" s="25"/>
      <c r="BP2149" s="25"/>
      <c r="BQ2149" s="25"/>
      <c r="BR2149" s="25"/>
      <c r="BS2149" s="25"/>
      <c r="BT2149" s="25"/>
      <c r="BU2149"/>
      <c r="BV2149"/>
      <c r="BW2149"/>
      <c r="BX2149"/>
      <c r="BY2149"/>
      <c r="BZ2149"/>
      <c r="CA2149"/>
      <c r="CB2149"/>
      <c r="CC2149"/>
      <c r="CD2149" s="25"/>
    </row>
    <row r="2150" spans="1:82" s="17" customFormat="1" x14ac:dyDescent="0.2">
      <c r="A2150" s="25"/>
      <c r="B2150" s="20">
        <v>39035123502</v>
      </c>
      <c r="C2150" s="20">
        <v>1235.02</v>
      </c>
      <c r="D2150" s="20" t="s">
        <v>24</v>
      </c>
      <c r="E2150" s="20" t="s">
        <v>2829</v>
      </c>
      <c r="F2150" s="20" t="s">
        <v>6</v>
      </c>
      <c r="G2150" s="861">
        <v>42.225024601491498</v>
      </c>
      <c r="H2150" s="861">
        <v>72.604153229089107</v>
      </c>
      <c r="I2150" s="861">
        <v>44.840751539652501</v>
      </c>
      <c r="J2150" s="861">
        <v>40.703460178968903</v>
      </c>
      <c r="K2150" s="982">
        <v>0</v>
      </c>
      <c r="L2150" s="735">
        <v>2888</v>
      </c>
      <c r="M2150" s="735">
        <v>2730</v>
      </c>
      <c r="N2150" s="845">
        <f t="shared" si="170"/>
        <v>-5.4709141274238225E-2</v>
      </c>
      <c r="O2150" s="735">
        <v>0.29096967553260311</v>
      </c>
      <c r="P2150" s="735">
        <f t="shared" si="171"/>
        <v>9382.4210203447947</v>
      </c>
      <c r="Q2150" s="849">
        <v>39.700000000000003</v>
      </c>
      <c r="R2150" s="71">
        <v>40889</v>
      </c>
      <c r="S2150" s="845">
        <v>0.16959706959706961</v>
      </c>
      <c r="T2150" s="845">
        <v>3.3000000000000002E-2</v>
      </c>
      <c r="U2150" s="845">
        <v>0</v>
      </c>
      <c r="V2150" s="845">
        <v>1.3999999999999999E-2</v>
      </c>
      <c r="W2150" s="845">
        <v>0.64727272727272722</v>
      </c>
      <c r="X2150" s="845">
        <v>0.61573033707865166</v>
      </c>
      <c r="Y2150" s="845">
        <v>0.64945054945054947</v>
      </c>
      <c r="Z2150" s="845">
        <v>0.25494505494505493</v>
      </c>
      <c r="AA2150" s="845">
        <v>7.326007326007326E-4</v>
      </c>
      <c r="AB2150" s="845">
        <v>2.0879120879120878E-2</v>
      </c>
      <c r="AC2150" s="845">
        <v>0</v>
      </c>
      <c r="AD2150" s="845">
        <v>2.2344322344322345E-2</v>
      </c>
      <c r="AE2150" s="845">
        <v>5.1648351648351645E-2</v>
      </c>
      <c r="AF2150" s="845">
        <v>5.5311355311355309E-2</v>
      </c>
      <c r="AG2150" s="845">
        <v>0.60512820512820509</v>
      </c>
      <c r="AH2150" s="20" t="str">
        <f t="shared" si="172"/>
        <v>No</v>
      </c>
      <c r="AI2150" s="25"/>
      <c r="AJ2150" s="25"/>
      <c r="AK2150" s="25"/>
      <c r="AL2150" s="25"/>
      <c r="AM2150" s="25"/>
      <c r="AN2150" s="25"/>
      <c r="AO2150" s="25"/>
      <c r="AP2150" s="25"/>
      <c r="AQ2150" s="25"/>
      <c r="AR2150" s="25"/>
      <c r="AS2150" s="25"/>
      <c r="AT2150" s="25"/>
      <c r="AU2150" s="36"/>
      <c r="AV2150" s="36"/>
      <c r="AW2150" s="36"/>
      <c r="AX2150" s="25"/>
      <c r="AY2150" s="25"/>
      <c r="AZ2150" s="25"/>
      <c r="BA2150" s="25"/>
      <c r="BB2150" s="25"/>
      <c r="BC2150" s="25"/>
      <c r="BD2150" s="25"/>
      <c r="BE2150" s="25"/>
      <c r="BF2150" s="25"/>
      <c r="BG2150" s="25"/>
      <c r="BH2150" s="25"/>
      <c r="BI2150" s="25"/>
      <c r="BJ2150" s="25"/>
      <c r="BK2150" s="25"/>
      <c r="BL2150" s="25"/>
      <c r="BM2150" s="25"/>
      <c r="BN2150" s="25"/>
      <c r="BO2150" s="25"/>
      <c r="BP2150" s="25"/>
      <c r="BQ2150" s="25"/>
      <c r="BR2150" s="25"/>
      <c r="BS2150" s="25"/>
      <c r="BT2150" s="25"/>
      <c r="BU2150"/>
      <c r="BV2150"/>
      <c r="BW2150"/>
      <c r="BX2150"/>
      <c r="BY2150"/>
      <c r="BZ2150"/>
      <c r="CA2150"/>
      <c r="CB2150"/>
      <c r="CC2150"/>
      <c r="CD2150" s="25"/>
    </row>
    <row r="2151" spans="1:82" s="17" customFormat="1" x14ac:dyDescent="0.2">
      <c r="A2151" s="25"/>
      <c r="B2151" s="20">
        <v>39135460100</v>
      </c>
      <c r="C2151" s="20">
        <v>4601</v>
      </c>
      <c r="D2151" s="20" t="s">
        <v>73</v>
      </c>
      <c r="E2151" s="20" t="s">
        <v>265</v>
      </c>
      <c r="F2151" s="20" t="s">
        <v>8</v>
      </c>
      <c r="G2151" s="861">
        <v>42.182777267975503</v>
      </c>
      <c r="H2151" s="861">
        <v>44.717071589193203</v>
      </c>
      <c r="I2151" s="861">
        <v>24.064468039043799</v>
      </c>
      <c r="J2151" s="861">
        <v>43.993491470360503</v>
      </c>
      <c r="K2151" s="982">
        <v>0</v>
      </c>
      <c r="L2151" s="735">
        <v>3015</v>
      </c>
      <c r="M2151" s="735">
        <v>2691</v>
      </c>
      <c r="N2151" s="845">
        <f t="shared" si="170"/>
        <v>-0.10746268656716418</v>
      </c>
      <c r="O2151" s="735">
        <v>105.53565475634558</v>
      </c>
      <c r="P2151" s="735">
        <f t="shared" si="171"/>
        <v>25.498491540255472</v>
      </c>
      <c r="Q2151" s="849">
        <v>41.7</v>
      </c>
      <c r="R2151" s="71">
        <v>66033</v>
      </c>
      <c r="S2151" s="845">
        <v>0.12156133828996282</v>
      </c>
      <c r="T2151" s="845">
        <v>7.9000000000000001E-2</v>
      </c>
      <c r="U2151" s="845">
        <v>5.0000000000000001E-3</v>
      </c>
      <c r="V2151" s="845">
        <v>0</v>
      </c>
      <c r="W2151" s="845">
        <v>0.1553398058252427</v>
      </c>
      <c r="X2151" s="845">
        <v>0.1125</v>
      </c>
      <c r="Y2151" s="845">
        <v>0.91378669639539201</v>
      </c>
      <c r="Z2151" s="845">
        <v>1.1148272017837235E-3</v>
      </c>
      <c r="AA2151" s="845">
        <v>2.601263470828688E-3</v>
      </c>
      <c r="AB2151" s="845">
        <v>7.060572277963582E-3</v>
      </c>
      <c r="AC2151" s="845">
        <v>0</v>
      </c>
      <c r="AD2151" s="845">
        <v>0</v>
      </c>
      <c r="AE2151" s="845">
        <v>7.5436640654031953E-2</v>
      </c>
      <c r="AF2151" s="845">
        <v>1.4864362690449646E-2</v>
      </c>
      <c r="AG2151" s="845">
        <v>0.91378669639539201</v>
      </c>
      <c r="AH2151" s="20" t="str">
        <f t="shared" si="172"/>
        <v>Yes</v>
      </c>
      <c r="AI2151" s="25"/>
      <c r="AJ2151" s="25"/>
      <c r="AK2151" s="25"/>
      <c r="AL2151" s="25"/>
      <c r="AM2151" s="25"/>
      <c r="AN2151" s="25"/>
      <c r="AO2151" s="25"/>
      <c r="AP2151" s="25"/>
      <c r="AQ2151" s="25"/>
      <c r="AR2151" s="25"/>
      <c r="AS2151" s="25"/>
      <c r="AT2151" s="25"/>
      <c r="AU2151" s="36"/>
      <c r="AV2151" s="36"/>
      <c r="AW2151" s="36"/>
      <c r="AX2151" s="25"/>
      <c r="AY2151" s="25"/>
      <c r="AZ2151" s="25"/>
      <c r="BA2151" s="25"/>
      <c r="BB2151" s="25"/>
      <c r="BC2151" s="25"/>
      <c r="BD2151" s="25"/>
      <c r="BE2151" s="25"/>
      <c r="BF2151" s="25"/>
      <c r="BG2151" s="25"/>
      <c r="BH2151" s="25"/>
      <c r="BI2151" s="25"/>
      <c r="BJ2151" s="25"/>
      <c r="BK2151" s="25"/>
      <c r="BL2151" s="25"/>
      <c r="BM2151" s="25"/>
      <c r="BN2151" s="25"/>
      <c r="BO2151" s="25"/>
      <c r="BP2151" s="25"/>
      <c r="BQ2151" s="25"/>
      <c r="BR2151" s="25"/>
      <c r="BS2151" s="25"/>
      <c r="BT2151" s="25"/>
      <c r="BU2151"/>
      <c r="BV2151"/>
      <c r="BW2151"/>
      <c r="BX2151"/>
      <c r="BY2151"/>
      <c r="BZ2151"/>
      <c r="CA2151"/>
      <c r="CB2151"/>
      <c r="CC2151"/>
      <c r="CD2151" s="25"/>
    </row>
    <row r="2152" spans="1:82" s="17" customFormat="1" x14ac:dyDescent="0.2">
      <c r="A2152" s="25"/>
      <c r="B2152" s="20">
        <v>39113002900</v>
      </c>
      <c r="C2152" s="20">
        <v>29</v>
      </c>
      <c r="D2152" s="20" t="s">
        <v>62</v>
      </c>
      <c r="E2152" s="20" t="s">
        <v>2833</v>
      </c>
      <c r="F2152" s="20" t="s">
        <v>8</v>
      </c>
      <c r="G2152" s="861">
        <v>42.157462762778401</v>
      </c>
      <c r="H2152" s="861">
        <v>55.691197222377802</v>
      </c>
      <c r="I2152" s="861">
        <v>34.968668107360202</v>
      </c>
      <c r="J2152" s="861">
        <v>41.139849336909599</v>
      </c>
      <c r="K2152" s="982">
        <v>0</v>
      </c>
      <c r="L2152" s="735">
        <v>4010</v>
      </c>
      <c r="M2152" s="735">
        <v>3719</v>
      </c>
      <c r="N2152" s="845">
        <f t="shared" si="170"/>
        <v>-7.2568578553615953E-2</v>
      </c>
      <c r="O2152" s="735">
        <v>0.84087606101017975</v>
      </c>
      <c r="P2152" s="735">
        <f t="shared" si="171"/>
        <v>4422.7683156209832</v>
      </c>
      <c r="Q2152" s="849">
        <v>50.1</v>
      </c>
      <c r="R2152" s="71">
        <v>52451</v>
      </c>
      <c r="S2152" s="845">
        <v>0.11185802635116968</v>
      </c>
      <c r="T2152" s="845">
        <v>4.9000000000000002E-2</v>
      </c>
      <c r="U2152" s="845">
        <v>0</v>
      </c>
      <c r="V2152" s="845">
        <v>0</v>
      </c>
      <c r="W2152" s="845">
        <v>0.15712988192552224</v>
      </c>
      <c r="X2152" s="845">
        <v>0.41907514450867051</v>
      </c>
      <c r="Y2152" s="845">
        <v>0.92686205969346602</v>
      </c>
      <c r="Z2152" s="845">
        <v>4.5711212691583762E-3</v>
      </c>
      <c r="AA2152" s="845">
        <v>0</v>
      </c>
      <c r="AB2152" s="845">
        <v>0</v>
      </c>
      <c r="AC2152" s="845">
        <v>0</v>
      </c>
      <c r="AD2152" s="845">
        <v>0</v>
      </c>
      <c r="AE2152" s="845">
        <v>6.8566819037375645E-2</v>
      </c>
      <c r="AF2152" s="845">
        <v>2.6888948642108095E-2</v>
      </c>
      <c r="AG2152" s="845">
        <v>0.91852648561441252</v>
      </c>
      <c r="AH2152" s="20" t="str">
        <f t="shared" si="172"/>
        <v>Yes</v>
      </c>
      <c r="AI2152" s="25"/>
      <c r="AJ2152" s="25"/>
      <c r="AK2152" s="25"/>
      <c r="AL2152" s="25"/>
      <c r="AM2152" s="25"/>
      <c r="AN2152" s="25"/>
      <c r="AO2152" s="25"/>
      <c r="AP2152" s="25"/>
      <c r="AQ2152" s="25"/>
      <c r="AR2152" s="25"/>
      <c r="AS2152" s="25"/>
      <c r="AT2152" s="25"/>
      <c r="AU2152" s="36"/>
      <c r="AV2152" s="36"/>
      <c r="AW2152" s="36"/>
      <c r="AX2152" s="25"/>
      <c r="AY2152" s="25"/>
      <c r="AZ2152" s="25"/>
      <c r="BA2152" s="25"/>
      <c r="BB2152" s="25"/>
      <c r="BC2152" s="25"/>
      <c r="BD2152" s="25"/>
      <c r="BE2152" s="25"/>
      <c r="BF2152" s="25"/>
      <c r="BG2152" s="25"/>
      <c r="BH2152" s="25"/>
      <c r="BI2152" s="25"/>
      <c r="BJ2152" s="25"/>
      <c r="BK2152" s="25"/>
      <c r="BL2152" s="25"/>
      <c r="BM2152" s="25"/>
      <c r="BN2152" s="25"/>
      <c r="BO2152" s="25"/>
      <c r="BP2152" s="25"/>
      <c r="BQ2152" s="25"/>
      <c r="BR2152" s="25"/>
      <c r="BS2152" s="25"/>
      <c r="BT2152" s="25"/>
      <c r="BU2152"/>
      <c r="BV2152"/>
      <c r="BW2152"/>
      <c r="BX2152"/>
      <c r="BY2152"/>
      <c r="BZ2152"/>
      <c r="CA2152"/>
      <c r="CB2152"/>
      <c r="CC2152"/>
      <c r="CD2152" s="25"/>
    </row>
    <row r="2153" spans="1:82" s="17" customFormat="1" x14ac:dyDescent="0.2">
      <c r="A2153" s="25"/>
      <c r="B2153" s="20">
        <v>39145003300</v>
      </c>
      <c r="C2153" s="20">
        <v>33</v>
      </c>
      <c r="D2153" s="20" t="s">
        <v>78</v>
      </c>
      <c r="E2153" s="20" t="s">
        <v>265</v>
      </c>
      <c r="F2153" s="20" t="s">
        <v>8</v>
      </c>
      <c r="G2153" s="861">
        <v>42.156617051083003</v>
      </c>
      <c r="H2153" s="861">
        <v>39.891978026450701</v>
      </c>
      <c r="I2153" s="861">
        <v>35.054380782059397</v>
      </c>
      <c r="J2153" s="861">
        <v>34.110353275881103</v>
      </c>
      <c r="K2153" s="982">
        <v>0</v>
      </c>
      <c r="L2153" s="735">
        <v>2399</v>
      </c>
      <c r="M2153" s="735">
        <v>2337</v>
      </c>
      <c r="N2153" s="845">
        <f t="shared" si="170"/>
        <v>-2.5844101709045435E-2</v>
      </c>
      <c r="O2153" s="735">
        <v>0.7440339175920001</v>
      </c>
      <c r="P2153" s="735">
        <f t="shared" si="171"/>
        <v>3140.9858404889574</v>
      </c>
      <c r="Q2153" s="849">
        <v>47.8</v>
      </c>
      <c r="R2153" s="71">
        <v>65337</v>
      </c>
      <c r="S2153" s="845">
        <v>0.31867145421903054</v>
      </c>
      <c r="T2153" s="845">
        <v>1.8000000000000002E-2</v>
      </c>
      <c r="U2153" s="845">
        <v>5.2000000000000005E-2</v>
      </c>
      <c r="V2153" s="845">
        <v>0.185</v>
      </c>
      <c r="W2153" s="845">
        <v>0.31660583941605841</v>
      </c>
      <c r="X2153" s="845">
        <v>0.45821325648414984</v>
      </c>
      <c r="Y2153" s="845">
        <v>0.86863500213949507</v>
      </c>
      <c r="Z2153" s="845">
        <v>6.0761660248181429E-2</v>
      </c>
      <c r="AA2153" s="845">
        <v>0</v>
      </c>
      <c r="AB2153" s="845">
        <v>2.1394950791613181E-3</v>
      </c>
      <c r="AC2153" s="845">
        <v>0</v>
      </c>
      <c r="AD2153" s="845">
        <v>0</v>
      </c>
      <c r="AE2153" s="845">
        <v>6.8463842533162178E-2</v>
      </c>
      <c r="AF2153" s="845">
        <v>3.2520325203252036E-2</v>
      </c>
      <c r="AG2153" s="845">
        <v>0.83611467693624308</v>
      </c>
      <c r="AH2153" s="20" t="str">
        <f t="shared" si="172"/>
        <v>No</v>
      </c>
      <c r="AI2153" s="25"/>
      <c r="AJ2153" s="25"/>
      <c r="AK2153" s="25"/>
      <c r="AL2153" s="25"/>
      <c r="AM2153" s="25"/>
      <c r="AN2153" s="25"/>
      <c r="AO2153" s="25"/>
      <c r="AP2153" s="25"/>
      <c r="AQ2153" s="25"/>
      <c r="AR2153" s="25"/>
      <c r="AS2153" s="25"/>
      <c r="AT2153" s="25"/>
      <c r="AU2153" s="36"/>
      <c r="AV2153" s="36"/>
      <c r="AW2153" s="36"/>
      <c r="AX2153" s="25"/>
      <c r="AY2153" s="25"/>
      <c r="AZ2153" s="25"/>
      <c r="BA2153" s="25"/>
      <c r="BB2153" s="25"/>
      <c r="BC2153" s="25"/>
      <c r="BD2153" s="25"/>
      <c r="BE2153" s="25"/>
      <c r="BF2153" s="25"/>
      <c r="BG2153" s="25"/>
      <c r="BH2153" s="25"/>
      <c r="BI2153" s="25"/>
      <c r="BJ2153" s="25"/>
      <c r="BK2153" s="25"/>
      <c r="BL2153" s="25"/>
      <c r="BM2153" s="25"/>
      <c r="BN2153" s="25"/>
      <c r="BO2153" s="25"/>
      <c r="BP2153" s="25"/>
      <c r="BQ2153" s="25"/>
      <c r="BR2153" s="25"/>
      <c r="BS2153" s="25"/>
      <c r="BT2153" s="25"/>
      <c r="BU2153"/>
      <c r="BV2153"/>
      <c r="BW2153"/>
      <c r="BX2153"/>
      <c r="BY2153"/>
      <c r="BZ2153"/>
      <c r="CA2153"/>
      <c r="CB2153"/>
      <c r="CC2153"/>
      <c r="CD2153" s="25"/>
    </row>
    <row r="2154" spans="1:82" s="17" customFormat="1" x14ac:dyDescent="0.2">
      <c r="A2154" s="25"/>
      <c r="B2154" s="20">
        <v>39093077100</v>
      </c>
      <c r="C2154" s="20">
        <v>771</v>
      </c>
      <c r="D2154" s="20" t="s">
        <v>52</v>
      </c>
      <c r="E2154" s="20" t="s">
        <v>2829</v>
      </c>
      <c r="F2154" s="20" t="s">
        <v>8</v>
      </c>
      <c r="G2154" s="861">
        <v>42.156058516357199</v>
      </c>
      <c r="H2154" s="861">
        <v>47.878391020180899</v>
      </c>
      <c r="I2154" s="861">
        <v>15.077411362921101</v>
      </c>
      <c r="J2154" s="861">
        <v>52.239677661286898</v>
      </c>
      <c r="K2154" s="982">
        <v>0</v>
      </c>
      <c r="L2154" s="735">
        <v>3489</v>
      </c>
      <c r="M2154" s="735">
        <v>3674</v>
      </c>
      <c r="N2154" s="845">
        <f t="shared" si="170"/>
        <v>5.3023789051304102E-2</v>
      </c>
      <c r="O2154" s="735">
        <v>14.332542630861731</v>
      </c>
      <c r="P2154" s="735">
        <f t="shared" si="171"/>
        <v>256.33972245014729</v>
      </c>
      <c r="Q2154" s="849">
        <v>50.1</v>
      </c>
      <c r="R2154" s="71">
        <v>98281</v>
      </c>
      <c r="S2154" s="845">
        <v>4.0283070223189985E-2</v>
      </c>
      <c r="T2154" s="845">
        <v>5.7000000000000002E-2</v>
      </c>
      <c r="U2154" s="845">
        <v>0</v>
      </c>
      <c r="V2154" s="845">
        <v>0</v>
      </c>
      <c r="W2154" s="845">
        <v>0.13627254509018036</v>
      </c>
      <c r="X2154" s="845">
        <v>0.13725490196078433</v>
      </c>
      <c r="Y2154" s="845">
        <v>0.92460533478497553</v>
      </c>
      <c r="Z2154" s="845">
        <v>0</v>
      </c>
      <c r="AA2154" s="845">
        <v>0</v>
      </c>
      <c r="AB2154" s="845">
        <v>6.5323897659226998E-3</v>
      </c>
      <c r="AC2154" s="845">
        <v>0</v>
      </c>
      <c r="AD2154" s="845">
        <v>4.8992923244420249E-3</v>
      </c>
      <c r="AE2154" s="845">
        <v>6.396298312465977E-2</v>
      </c>
      <c r="AF2154" s="845">
        <v>1.3336962438758846E-2</v>
      </c>
      <c r="AG2154" s="845">
        <v>0.92460533478497553</v>
      </c>
      <c r="AH2154" s="20" t="str">
        <f t="shared" si="172"/>
        <v>Yes</v>
      </c>
      <c r="AI2154" s="25"/>
      <c r="AJ2154" s="25"/>
      <c r="AK2154" s="25"/>
      <c r="AL2154" s="25"/>
      <c r="AM2154" s="25"/>
      <c r="AN2154" s="25"/>
      <c r="AO2154" s="25"/>
      <c r="AP2154" s="25"/>
      <c r="AQ2154" s="25"/>
      <c r="AR2154" s="25"/>
      <c r="AS2154" s="25"/>
      <c r="AT2154" s="25"/>
      <c r="AU2154" s="36"/>
      <c r="AV2154" s="36"/>
      <c r="AW2154" s="36"/>
      <c r="AX2154" s="25"/>
      <c r="AY2154" s="25"/>
      <c r="AZ2154" s="25"/>
      <c r="BA2154" s="25"/>
      <c r="BB2154" s="25"/>
      <c r="BC2154" s="25"/>
      <c r="BD2154" s="25"/>
      <c r="BE2154" s="25"/>
      <c r="BF2154" s="25"/>
      <c r="BG2154" s="25"/>
      <c r="BH2154" s="25"/>
      <c r="BI2154" s="25"/>
      <c r="BJ2154" s="25"/>
      <c r="BK2154" s="25"/>
      <c r="BL2154" s="25"/>
      <c r="BM2154" s="25"/>
      <c r="BN2154" s="25"/>
      <c r="BO2154" s="25"/>
      <c r="BP2154" s="25"/>
      <c r="BQ2154" s="25"/>
      <c r="BR2154" s="25"/>
      <c r="BS2154" s="25"/>
      <c r="BT2154" s="25"/>
      <c r="BU2154"/>
      <c r="BV2154"/>
      <c r="BW2154"/>
      <c r="BX2154"/>
      <c r="BY2154"/>
      <c r="BZ2154"/>
      <c r="CA2154"/>
      <c r="CB2154"/>
      <c r="CC2154"/>
      <c r="CD2154" s="25"/>
    </row>
    <row r="2155" spans="1:82" s="17" customFormat="1" x14ac:dyDescent="0.2">
      <c r="A2155" s="25"/>
      <c r="B2155" s="20">
        <v>39153503800</v>
      </c>
      <c r="C2155" s="20">
        <v>5038</v>
      </c>
      <c r="D2155" s="20" t="s">
        <v>82</v>
      </c>
      <c r="E2155" s="20" t="s">
        <v>2843</v>
      </c>
      <c r="F2155" s="20" t="s">
        <v>6</v>
      </c>
      <c r="G2155" s="861">
        <v>42.151668382940201</v>
      </c>
      <c r="H2155" s="861">
        <v>44.7217082947042</v>
      </c>
      <c r="I2155" s="861">
        <v>40.388344796832101</v>
      </c>
      <c r="J2155" s="861">
        <v>38.141238797343199</v>
      </c>
      <c r="K2155" s="982">
        <v>1</v>
      </c>
      <c r="L2155" s="735">
        <v>3945</v>
      </c>
      <c r="M2155" s="735">
        <v>3972</v>
      </c>
      <c r="N2155" s="845">
        <f t="shared" si="170"/>
        <v>6.8441064638783272E-3</v>
      </c>
      <c r="O2155" s="735">
        <v>3.5615588212101872</v>
      </c>
      <c r="P2155" s="735">
        <f t="shared" si="171"/>
        <v>1115.2420048057352</v>
      </c>
      <c r="Q2155" s="849">
        <v>28.6</v>
      </c>
      <c r="R2155" s="71">
        <v>36795</v>
      </c>
      <c r="S2155" s="845">
        <v>0.31470292044310172</v>
      </c>
      <c r="T2155" s="845">
        <v>0.18600000000000003</v>
      </c>
      <c r="U2155" s="845">
        <v>3.7999999999999999E-2</v>
      </c>
      <c r="V2155" s="845">
        <v>0</v>
      </c>
      <c r="W2155" s="845">
        <v>0.62714878482513337</v>
      </c>
      <c r="X2155" s="845">
        <v>0.46880907372400754</v>
      </c>
      <c r="Y2155" s="845">
        <v>0.59617321248741184</v>
      </c>
      <c r="Z2155" s="845">
        <v>0.27769385699899296</v>
      </c>
      <c r="AA2155" s="845">
        <v>0</v>
      </c>
      <c r="AB2155" s="845">
        <v>0</v>
      </c>
      <c r="AC2155" s="845">
        <v>0</v>
      </c>
      <c r="AD2155" s="845">
        <v>6.319234642497483E-2</v>
      </c>
      <c r="AE2155" s="845">
        <v>6.2940584088620341E-2</v>
      </c>
      <c r="AF2155" s="845">
        <v>1.7875125881168179E-2</v>
      </c>
      <c r="AG2155" s="845">
        <v>0.58534743202416917</v>
      </c>
      <c r="AH2155" s="20" t="str">
        <f t="shared" si="172"/>
        <v>No</v>
      </c>
      <c r="AI2155" s="25"/>
      <c r="AJ2155" s="25"/>
      <c r="AK2155" s="25"/>
      <c r="AL2155" s="25"/>
      <c r="AM2155" s="25"/>
      <c r="AN2155" s="25"/>
      <c r="AO2155" s="25"/>
      <c r="AP2155" s="25"/>
      <c r="AQ2155" s="25"/>
      <c r="AR2155" s="25"/>
      <c r="AS2155" s="25"/>
      <c r="AT2155" s="25"/>
      <c r="AU2155" s="36"/>
      <c r="AV2155" s="36"/>
      <c r="AW2155" s="36"/>
      <c r="AX2155" s="25"/>
      <c r="AY2155" s="25"/>
      <c r="AZ2155" s="25"/>
      <c r="BA2155" s="25"/>
      <c r="BB2155" s="25"/>
      <c r="BC2155" s="25"/>
      <c r="BD2155" s="25"/>
      <c r="BE2155" s="25"/>
      <c r="BF2155" s="25"/>
      <c r="BG2155" s="25"/>
      <c r="BH2155" s="25"/>
      <c r="BI2155" s="25"/>
      <c r="BJ2155" s="25"/>
      <c r="BK2155" s="25"/>
      <c r="BL2155" s="25"/>
      <c r="BM2155" s="25"/>
      <c r="BN2155" s="25"/>
      <c r="BO2155" s="25"/>
      <c r="BP2155" s="25"/>
      <c r="BQ2155" s="25"/>
      <c r="BR2155" s="25"/>
      <c r="BS2155" s="25"/>
      <c r="BT2155" s="25"/>
      <c r="BU2155"/>
      <c r="BV2155"/>
      <c r="BW2155"/>
      <c r="BX2155"/>
      <c r="BY2155"/>
      <c r="BZ2155"/>
      <c r="CA2155"/>
      <c r="CB2155"/>
      <c r="CC2155"/>
      <c r="CD2155" s="25"/>
    </row>
    <row r="2156" spans="1:82" s="17" customFormat="1" x14ac:dyDescent="0.2">
      <c r="A2156" s="25"/>
      <c r="B2156" s="20">
        <v>39043040200</v>
      </c>
      <c r="C2156" s="20">
        <v>402</v>
      </c>
      <c r="D2156" s="20" t="s">
        <v>28</v>
      </c>
      <c r="E2156" s="20" t="s">
        <v>2837</v>
      </c>
      <c r="F2156" s="20" t="s">
        <v>8</v>
      </c>
      <c r="G2156" s="861">
        <v>42.112406849058701</v>
      </c>
      <c r="H2156" s="861">
        <v>47.155468507141997</v>
      </c>
      <c r="I2156" s="861">
        <v>32.671899731431502</v>
      </c>
      <c r="J2156" s="861">
        <v>46.602016482728999</v>
      </c>
      <c r="K2156" s="982">
        <v>0</v>
      </c>
      <c r="L2156" s="735">
        <v>3763</v>
      </c>
      <c r="M2156" s="735">
        <v>4086</v>
      </c>
      <c r="N2156" s="845">
        <f t="shared" si="170"/>
        <v>8.5835769332979012E-2</v>
      </c>
      <c r="O2156" s="735">
        <v>18.176287689598698</v>
      </c>
      <c r="P2156" s="735">
        <f t="shared" si="171"/>
        <v>224.79837851258239</v>
      </c>
      <c r="Q2156" s="849">
        <v>49.7</v>
      </c>
      <c r="R2156" s="71">
        <v>72047</v>
      </c>
      <c r="S2156" s="845">
        <v>3.5731767009300051E-2</v>
      </c>
      <c r="T2156" s="845">
        <v>8.199999999999999E-2</v>
      </c>
      <c r="U2156" s="845">
        <v>2.4E-2</v>
      </c>
      <c r="V2156" s="845">
        <v>0</v>
      </c>
      <c r="W2156" s="845">
        <v>0.13162393162393163</v>
      </c>
      <c r="X2156" s="845">
        <v>0.18614718614718614</v>
      </c>
      <c r="Y2156" s="845">
        <v>0.93954968184043075</v>
      </c>
      <c r="Z2156" s="845">
        <v>1.0034263338228096E-2</v>
      </c>
      <c r="AA2156" s="845">
        <v>0</v>
      </c>
      <c r="AB2156" s="845">
        <v>4.1605482134116495E-3</v>
      </c>
      <c r="AC2156" s="845">
        <v>0</v>
      </c>
      <c r="AD2156" s="845">
        <v>0</v>
      </c>
      <c r="AE2156" s="845">
        <v>4.6255506607929514E-2</v>
      </c>
      <c r="AF2156" s="845">
        <v>4.3318649045521289E-2</v>
      </c>
      <c r="AG2156" s="845">
        <v>0.93832599118942728</v>
      </c>
      <c r="AH2156" s="20" t="str">
        <f t="shared" si="172"/>
        <v>Yes</v>
      </c>
      <c r="AI2156" s="25"/>
      <c r="AJ2156" s="25"/>
      <c r="AK2156" s="25"/>
      <c r="AL2156" s="25"/>
      <c r="AM2156" s="25"/>
      <c r="AN2156" s="25"/>
      <c r="AO2156" s="25"/>
      <c r="AP2156" s="25"/>
      <c r="AQ2156" s="25"/>
      <c r="AR2156" s="25"/>
      <c r="AS2156" s="25"/>
      <c r="AT2156" s="25"/>
      <c r="AU2156" s="36"/>
      <c r="AV2156" s="36"/>
      <c r="AW2156" s="36"/>
      <c r="AX2156" s="25"/>
      <c r="AY2156" s="25"/>
      <c r="AZ2156" s="25"/>
      <c r="BA2156" s="25"/>
      <c r="BB2156" s="25"/>
      <c r="BC2156" s="25"/>
      <c r="BD2156" s="25"/>
      <c r="BE2156" s="25"/>
      <c r="BF2156" s="25"/>
      <c r="BG2156" s="25"/>
      <c r="BH2156" s="25"/>
      <c r="BI2156" s="25"/>
      <c r="BJ2156" s="25"/>
      <c r="BK2156" s="25"/>
      <c r="BL2156" s="25"/>
      <c r="BM2156" s="25"/>
      <c r="BN2156" s="25"/>
      <c r="BO2156" s="25"/>
      <c r="BP2156" s="25"/>
      <c r="BQ2156" s="25"/>
      <c r="BR2156" s="25"/>
      <c r="BS2156" s="25"/>
      <c r="BT2156" s="25"/>
      <c r="BU2156"/>
      <c r="BV2156"/>
      <c r="BW2156"/>
      <c r="BX2156"/>
      <c r="BY2156"/>
      <c r="BZ2156"/>
      <c r="CA2156"/>
      <c r="CB2156"/>
      <c r="CC2156"/>
      <c r="CD2156" s="25"/>
    </row>
    <row r="2157" spans="1:82" s="17" customFormat="1" x14ac:dyDescent="0.2">
      <c r="A2157" s="25"/>
      <c r="B2157" s="20">
        <v>39155932200</v>
      </c>
      <c r="C2157" s="20">
        <v>9322</v>
      </c>
      <c r="D2157" s="20" t="s">
        <v>83</v>
      </c>
      <c r="E2157" s="20" t="s">
        <v>2842</v>
      </c>
      <c r="F2157" s="20" t="s">
        <v>8</v>
      </c>
      <c r="G2157" s="861">
        <v>42.101341478951703</v>
      </c>
      <c r="H2157" s="861">
        <v>41.347600950615799</v>
      </c>
      <c r="I2157" s="861">
        <v>48.662134578316198</v>
      </c>
      <c r="J2157" s="861">
        <v>30.4910033172713</v>
      </c>
      <c r="K2157" s="982">
        <v>0</v>
      </c>
      <c r="L2157" s="735">
        <v>2746</v>
      </c>
      <c r="M2157" s="735">
        <v>2620</v>
      </c>
      <c r="N2157" s="845">
        <f t="shared" si="170"/>
        <v>-4.5884923525127456E-2</v>
      </c>
      <c r="O2157" s="735">
        <v>1.0003350942024209</v>
      </c>
      <c r="P2157" s="735">
        <f t="shared" si="171"/>
        <v>2619.1223472859933</v>
      </c>
      <c r="Q2157" s="849">
        <v>38.9</v>
      </c>
      <c r="R2157" s="71">
        <v>42313</v>
      </c>
      <c r="S2157" s="845">
        <v>0.2736641221374046</v>
      </c>
      <c r="T2157" s="845">
        <v>9.4E-2</v>
      </c>
      <c r="U2157" s="845">
        <v>7.2999999999999995E-2</v>
      </c>
      <c r="V2157" s="845">
        <v>5.4000000000000006E-2</v>
      </c>
      <c r="W2157" s="845">
        <v>0.36069868995633186</v>
      </c>
      <c r="X2157" s="845">
        <v>0.24697336561743341</v>
      </c>
      <c r="Y2157" s="845">
        <v>0.87022900763358779</v>
      </c>
      <c r="Z2157" s="845">
        <v>7.6717557251908403E-2</v>
      </c>
      <c r="AA2157" s="845">
        <v>3.0534351145038168E-3</v>
      </c>
      <c r="AB2157" s="845">
        <v>0</v>
      </c>
      <c r="AC2157" s="845">
        <v>0</v>
      </c>
      <c r="AD2157" s="845">
        <v>3.0534351145038168E-3</v>
      </c>
      <c r="AE2157" s="845">
        <v>4.6946564885496186E-2</v>
      </c>
      <c r="AF2157" s="845">
        <v>4.4274809160305344E-2</v>
      </c>
      <c r="AG2157" s="845">
        <v>0.82595419847328244</v>
      </c>
      <c r="AH2157" s="20" t="str">
        <f t="shared" si="172"/>
        <v>No</v>
      </c>
      <c r="AI2157" s="25"/>
      <c r="AJ2157" s="25"/>
      <c r="AK2157" s="25"/>
      <c r="AL2157" s="25"/>
      <c r="AM2157" s="25"/>
      <c r="AN2157" s="25"/>
      <c r="AO2157" s="25"/>
      <c r="AP2157" s="25"/>
      <c r="AQ2157" s="25"/>
      <c r="AR2157" s="25"/>
      <c r="AS2157" s="25"/>
      <c r="AT2157" s="25"/>
      <c r="AU2157" s="36"/>
      <c r="AV2157" s="36"/>
      <c r="AW2157" s="36"/>
      <c r="AX2157" s="25"/>
      <c r="AY2157" s="25"/>
      <c r="AZ2157" s="25"/>
      <c r="BA2157" s="25"/>
      <c r="BB2157" s="25"/>
      <c r="BC2157" s="25"/>
      <c r="BD2157" s="25"/>
      <c r="BE2157" s="25"/>
      <c r="BF2157" s="25"/>
      <c r="BG2157" s="25"/>
      <c r="BH2157" s="25"/>
      <c r="BI2157" s="25"/>
      <c r="BJ2157" s="25"/>
      <c r="BK2157" s="25"/>
      <c r="BL2157" s="25"/>
      <c r="BM2157" s="25"/>
      <c r="BN2157" s="25"/>
      <c r="BO2157" s="25"/>
      <c r="BP2157" s="25"/>
      <c r="BQ2157" s="25"/>
      <c r="BR2157" s="25"/>
      <c r="BS2157" s="25"/>
      <c r="BT2157" s="25"/>
      <c r="BU2157"/>
      <c r="BV2157"/>
      <c r="BW2157"/>
      <c r="BX2157"/>
      <c r="BY2157"/>
      <c r="BZ2157"/>
      <c r="CA2157"/>
      <c r="CB2157"/>
      <c r="CC2157"/>
      <c r="CD2157" s="25"/>
    </row>
    <row r="2158" spans="1:82" s="17" customFormat="1" x14ac:dyDescent="0.2">
      <c r="A2158" s="25"/>
      <c r="B2158" s="20">
        <v>39049008230</v>
      </c>
      <c r="C2158" s="20">
        <v>82.3</v>
      </c>
      <c r="D2158" s="20" t="s">
        <v>31</v>
      </c>
      <c r="E2158" s="20" t="s">
        <v>2830</v>
      </c>
      <c r="F2158" s="20" t="s">
        <v>6</v>
      </c>
      <c r="G2158" s="861">
        <v>42.058919433346098</v>
      </c>
      <c r="H2158" s="861">
        <v>54.765245900553701</v>
      </c>
      <c r="I2158" s="861">
        <v>62.991206946520499</v>
      </c>
      <c r="J2158" s="861">
        <v>52.789680823423801</v>
      </c>
      <c r="K2158" s="982">
        <v>0</v>
      </c>
      <c r="L2158" s="735">
        <v>1628</v>
      </c>
      <c r="M2158" s="735">
        <v>3422</v>
      </c>
      <c r="N2158" s="845">
        <f t="shared" si="170"/>
        <v>1.1019656019656019</v>
      </c>
      <c r="O2158" s="735">
        <v>0.43150622803438277</v>
      </c>
      <c r="P2158" s="735">
        <f t="shared" si="171"/>
        <v>7930.3606244295788</v>
      </c>
      <c r="Q2158" s="849">
        <v>16.2</v>
      </c>
      <c r="R2158" s="71">
        <v>35272</v>
      </c>
      <c r="S2158" s="845">
        <v>0.63218731475992884</v>
      </c>
      <c r="T2158" s="845">
        <v>5.5999999999999994E-2</v>
      </c>
      <c r="U2158" s="845" t="s">
        <v>2466</v>
      </c>
      <c r="V2158" s="845">
        <v>6.8000000000000005E-2</v>
      </c>
      <c r="W2158" s="845">
        <v>1</v>
      </c>
      <c r="X2158" s="845">
        <v>0.55583437892095355</v>
      </c>
      <c r="Y2158" s="845">
        <v>7.6855639976621856E-2</v>
      </c>
      <c r="Z2158" s="845">
        <v>0.63968439509059027</v>
      </c>
      <c r="AA2158" s="845">
        <v>0</v>
      </c>
      <c r="AB2158" s="845">
        <v>2.6008182349503216E-2</v>
      </c>
      <c r="AC2158" s="845">
        <v>3.2729398012857978E-2</v>
      </c>
      <c r="AD2158" s="845">
        <v>4.8509643483343072E-2</v>
      </c>
      <c r="AE2158" s="845">
        <v>0.17621274108708357</v>
      </c>
      <c r="AF2158" s="845">
        <v>0.11776738749269433</v>
      </c>
      <c r="AG2158" s="845">
        <v>6.8673290473407367E-2</v>
      </c>
      <c r="AH2158" s="20" t="str">
        <f t="shared" si="172"/>
        <v>No</v>
      </c>
      <c r="AI2158" s="25"/>
      <c r="AJ2158" s="25"/>
      <c r="AK2158" s="25"/>
      <c r="AL2158" s="25"/>
      <c r="AM2158" s="25"/>
      <c r="AN2158" s="25"/>
      <c r="AO2158" s="25"/>
      <c r="AP2158" s="25"/>
      <c r="AQ2158" s="25"/>
      <c r="AR2158" s="25"/>
      <c r="AS2158" s="25"/>
      <c r="AT2158" s="25"/>
      <c r="AU2158" s="36"/>
      <c r="AV2158" s="36"/>
      <c r="AW2158" s="36"/>
      <c r="AX2158" s="25"/>
      <c r="AY2158" s="25"/>
      <c r="AZ2158" s="25"/>
      <c r="BA2158" s="25"/>
      <c r="BB2158" s="25"/>
      <c r="BC2158" s="25"/>
      <c r="BD2158" s="25"/>
      <c r="BE2158" s="25"/>
      <c r="BF2158" s="25"/>
      <c r="BG2158" s="25"/>
      <c r="BH2158" s="25"/>
      <c r="BI2158" s="25"/>
      <c r="BJ2158" s="25"/>
      <c r="BK2158" s="25"/>
      <c r="BL2158" s="25"/>
      <c r="BM2158" s="25"/>
      <c r="BN2158" s="25"/>
      <c r="BO2158" s="25"/>
      <c r="BP2158" s="25"/>
      <c r="BQ2158" s="25"/>
      <c r="BR2158" s="25"/>
      <c r="BS2158" s="25"/>
      <c r="BT2158" s="25"/>
      <c r="BU2158"/>
      <c r="BV2158"/>
      <c r="BW2158"/>
      <c r="BX2158"/>
      <c r="BY2158"/>
      <c r="BZ2158"/>
      <c r="CA2158"/>
      <c r="CB2158"/>
      <c r="CC2158"/>
      <c r="CD2158" s="25"/>
    </row>
    <row r="2159" spans="1:82" s="17" customFormat="1" x14ac:dyDescent="0.2">
      <c r="A2159" s="25"/>
      <c r="B2159" s="20">
        <v>39075976700</v>
      </c>
      <c r="C2159" s="20">
        <v>9767</v>
      </c>
      <c r="D2159" s="20" t="s">
        <v>44</v>
      </c>
      <c r="E2159" s="20" t="s">
        <v>265</v>
      </c>
      <c r="F2159" s="20" t="s">
        <v>8</v>
      </c>
      <c r="G2159" s="861">
        <v>42.020108431476203</v>
      </c>
      <c r="H2159" s="861">
        <v>45.045651162461901</v>
      </c>
      <c r="I2159" s="861">
        <v>36.371492271932702</v>
      </c>
      <c r="J2159" s="861">
        <v>28.886138916872699</v>
      </c>
      <c r="K2159" s="982">
        <v>0</v>
      </c>
      <c r="L2159" s="735">
        <v>3906</v>
      </c>
      <c r="M2159" s="735">
        <v>4759</v>
      </c>
      <c r="N2159" s="845">
        <f t="shared" si="170"/>
        <v>0.21838197644649257</v>
      </c>
      <c r="O2159" s="735">
        <v>20.863238248611111</v>
      </c>
      <c r="P2159" s="735">
        <f t="shared" si="171"/>
        <v>228.10457050294252</v>
      </c>
      <c r="Q2159" s="849">
        <v>41.9</v>
      </c>
      <c r="R2159" s="71">
        <v>56078</v>
      </c>
      <c r="S2159" s="845">
        <v>0.14362502687594067</v>
      </c>
      <c r="T2159" s="845">
        <v>2.1000000000000001E-2</v>
      </c>
      <c r="U2159" s="845">
        <v>0</v>
      </c>
      <c r="V2159" s="845">
        <v>0.10800000000000001</v>
      </c>
      <c r="W2159" s="845">
        <v>0.36312849162011174</v>
      </c>
      <c r="X2159" s="845">
        <v>0.49230769230769234</v>
      </c>
      <c r="Y2159" s="845">
        <v>0.98192897667577217</v>
      </c>
      <c r="Z2159" s="845">
        <v>5.8835889892834628E-3</v>
      </c>
      <c r="AA2159" s="845">
        <v>1.0506408909434755E-3</v>
      </c>
      <c r="AB2159" s="845">
        <v>7.1443580584156334E-3</v>
      </c>
      <c r="AC2159" s="845">
        <v>0</v>
      </c>
      <c r="AD2159" s="845">
        <v>0</v>
      </c>
      <c r="AE2159" s="845">
        <v>3.9924353855852069E-3</v>
      </c>
      <c r="AF2159" s="845">
        <v>1.0506408909434755E-2</v>
      </c>
      <c r="AG2159" s="845">
        <v>0.97142256776633751</v>
      </c>
      <c r="AH2159" s="20" t="str">
        <f t="shared" si="172"/>
        <v>Yes</v>
      </c>
      <c r="AI2159" s="25"/>
      <c r="AJ2159" s="25"/>
      <c r="AK2159" s="25"/>
      <c r="AL2159" s="25"/>
      <c r="AM2159" s="25"/>
      <c r="AN2159" s="25"/>
      <c r="AO2159" s="25"/>
      <c r="AP2159" s="25"/>
      <c r="AQ2159" s="25"/>
      <c r="AR2159" s="25"/>
      <c r="AS2159" s="25"/>
      <c r="AT2159" s="25"/>
      <c r="AU2159" s="36"/>
      <c r="AV2159" s="36"/>
      <c r="AW2159" s="36"/>
      <c r="AX2159" s="25"/>
      <c r="AY2159" s="25"/>
      <c r="AZ2159" s="25"/>
      <c r="BA2159" s="25"/>
      <c r="BB2159" s="25"/>
      <c r="BC2159" s="25"/>
      <c r="BD2159" s="25"/>
      <c r="BE2159" s="25"/>
      <c r="BF2159" s="25"/>
      <c r="BG2159" s="25"/>
      <c r="BH2159" s="25"/>
      <c r="BI2159" s="25"/>
      <c r="BJ2159" s="25"/>
      <c r="BK2159" s="25"/>
      <c r="BL2159" s="25"/>
      <c r="BM2159" s="25"/>
      <c r="BN2159" s="25"/>
      <c r="BO2159" s="25"/>
      <c r="BP2159" s="25"/>
      <c r="BQ2159" s="25"/>
      <c r="BR2159" s="25"/>
      <c r="BS2159" s="25"/>
      <c r="BT2159" s="25"/>
      <c r="BU2159"/>
      <c r="BV2159"/>
      <c r="BW2159"/>
      <c r="BX2159"/>
      <c r="BY2159"/>
      <c r="BZ2159"/>
      <c r="CA2159"/>
      <c r="CB2159"/>
      <c r="CC2159"/>
      <c r="CD2159" s="25"/>
    </row>
    <row r="2160" spans="1:82" s="17" customFormat="1" x14ac:dyDescent="0.2">
      <c r="A2160" s="25"/>
      <c r="B2160" s="20">
        <v>39153503500</v>
      </c>
      <c r="C2160" s="20">
        <v>5035</v>
      </c>
      <c r="D2160" s="20" t="s">
        <v>82</v>
      </c>
      <c r="E2160" s="20" t="s">
        <v>2843</v>
      </c>
      <c r="F2160" s="20" t="s">
        <v>6</v>
      </c>
      <c r="G2160" s="861">
        <v>42.009983227398003</v>
      </c>
      <c r="H2160" s="861">
        <v>55.7605936887987</v>
      </c>
      <c r="I2160" s="861">
        <v>54.055966326497099</v>
      </c>
      <c r="J2160" s="861">
        <v>34.121329640409499</v>
      </c>
      <c r="K2160" s="982">
        <v>0</v>
      </c>
      <c r="L2160" s="735">
        <v>3469</v>
      </c>
      <c r="M2160" s="735">
        <v>3037</v>
      </c>
      <c r="N2160" s="845">
        <f t="shared" si="170"/>
        <v>-0.12453156529259153</v>
      </c>
      <c r="O2160" s="735">
        <v>0.83235748908515261</v>
      </c>
      <c r="P2160" s="735">
        <f t="shared" si="171"/>
        <v>3648.6726434551319</v>
      </c>
      <c r="Q2160" s="849">
        <v>44.9</v>
      </c>
      <c r="R2160" s="71">
        <v>33991</v>
      </c>
      <c r="S2160" s="845">
        <v>0.2917352650642081</v>
      </c>
      <c r="T2160" s="845">
        <v>0.19500000000000001</v>
      </c>
      <c r="U2160" s="845">
        <v>4.2000000000000003E-2</v>
      </c>
      <c r="V2160" s="845">
        <v>0</v>
      </c>
      <c r="W2160" s="845">
        <v>0.46075085324232085</v>
      </c>
      <c r="X2160" s="845">
        <v>0.46962962962962962</v>
      </c>
      <c r="Y2160" s="845">
        <v>0.35528482054659205</v>
      </c>
      <c r="Z2160" s="845">
        <v>0.55811656239710239</v>
      </c>
      <c r="AA2160" s="845">
        <v>2.9634507737899243E-3</v>
      </c>
      <c r="AB2160" s="845">
        <v>0</v>
      </c>
      <c r="AC2160" s="845">
        <v>0</v>
      </c>
      <c r="AD2160" s="845">
        <v>0</v>
      </c>
      <c r="AE2160" s="845">
        <v>8.3635166282515647E-2</v>
      </c>
      <c r="AF2160" s="845">
        <v>4.8403029305235427E-2</v>
      </c>
      <c r="AG2160" s="845">
        <v>0.35528482054659205</v>
      </c>
      <c r="AH2160" s="20" t="str">
        <f t="shared" si="172"/>
        <v>No</v>
      </c>
      <c r="AI2160" s="25"/>
      <c r="AJ2160" s="25"/>
      <c r="AK2160" s="25"/>
      <c r="AL2160" s="25"/>
      <c r="AM2160" s="25"/>
      <c r="AN2160" s="25"/>
      <c r="AO2160" s="25"/>
      <c r="AP2160" s="25"/>
      <c r="AQ2160" s="25"/>
      <c r="AR2160" s="25"/>
      <c r="AS2160" s="25"/>
      <c r="AT2160" s="25"/>
      <c r="AU2160" s="36"/>
      <c r="AV2160" s="36"/>
      <c r="AW2160" s="36"/>
      <c r="AX2160" s="25"/>
      <c r="AY2160" s="25"/>
      <c r="AZ2160" s="25"/>
      <c r="BA2160" s="25"/>
      <c r="BB2160" s="25"/>
      <c r="BC2160" s="25"/>
      <c r="BD2160" s="25"/>
      <c r="BE2160" s="25"/>
      <c r="BF2160" s="25"/>
      <c r="BG2160" s="25"/>
      <c r="BH2160" s="25"/>
      <c r="BI2160" s="25"/>
      <c r="BJ2160" s="25"/>
      <c r="BK2160" s="25"/>
      <c r="BL2160" s="25"/>
      <c r="BM2160" s="25"/>
      <c r="BN2160" s="25"/>
      <c r="BO2160" s="25"/>
      <c r="BP2160" s="25"/>
      <c r="BQ2160" s="25"/>
      <c r="BR2160" s="25"/>
      <c r="BS2160" s="25"/>
      <c r="BT2160" s="25"/>
      <c r="BU2160"/>
      <c r="BV2160"/>
      <c r="BW2160"/>
      <c r="BX2160"/>
      <c r="BY2160"/>
      <c r="BZ2160"/>
      <c r="CA2160"/>
      <c r="CB2160"/>
      <c r="CC2160"/>
      <c r="CD2160" s="25"/>
    </row>
    <row r="2161" spans="1:82" s="17" customFormat="1" x14ac:dyDescent="0.2">
      <c r="A2161" s="25"/>
      <c r="B2161" s="20">
        <v>39095007209</v>
      </c>
      <c r="C2161" s="20">
        <v>72.09</v>
      </c>
      <c r="D2161" s="20" t="s">
        <v>53</v>
      </c>
      <c r="E2161" s="20" t="s">
        <v>2839</v>
      </c>
      <c r="F2161" s="20" t="s">
        <v>6</v>
      </c>
      <c r="G2161" s="861">
        <v>42.002610179854599</v>
      </c>
      <c r="H2161" s="861">
        <v>48.279951537699098</v>
      </c>
      <c r="I2161" s="861">
        <v>36.717375835691598</v>
      </c>
      <c r="J2161" s="861">
        <v>34.851909179539597</v>
      </c>
      <c r="K2161" s="982">
        <v>0</v>
      </c>
      <c r="L2161" s="735" t="s">
        <v>2466</v>
      </c>
      <c r="M2161" s="735">
        <v>1991</v>
      </c>
      <c r="N2161" s="845" t="str">
        <f t="shared" si="170"/>
        <v/>
      </c>
      <c r="O2161" s="735">
        <v>0.47240602969409001</v>
      </c>
      <c r="P2161" s="735">
        <f t="shared" si="171"/>
        <v>4214.5948079648488</v>
      </c>
      <c r="Q2161" s="849">
        <v>37.299999999999997</v>
      </c>
      <c r="R2161" s="71">
        <v>41779</v>
      </c>
      <c r="S2161" s="845">
        <v>0.25514816675037671</v>
      </c>
      <c r="T2161" s="845">
        <v>0.215</v>
      </c>
      <c r="U2161" s="845">
        <v>0</v>
      </c>
      <c r="V2161" s="845">
        <v>2.6000000000000002E-2</v>
      </c>
      <c r="W2161" s="845">
        <v>0.77056277056277056</v>
      </c>
      <c r="X2161" s="845">
        <v>0.38764044943820225</v>
      </c>
      <c r="Y2161" s="845">
        <v>0.28930185836263184</v>
      </c>
      <c r="Z2161" s="845">
        <v>0.63385233550979403</v>
      </c>
      <c r="AA2161" s="845">
        <v>0</v>
      </c>
      <c r="AB2161" s="845">
        <v>0</v>
      </c>
      <c r="AC2161" s="845">
        <v>0</v>
      </c>
      <c r="AD2161" s="845">
        <v>2.5113008538422903E-2</v>
      </c>
      <c r="AE2161" s="845">
        <v>5.1732797589151183E-2</v>
      </c>
      <c r="AF2161" s="845">
        <v>0.10346559517830237</v>
      </c>
      <c r="AG2161" s="845">
        <v>0.28930185836263184</v>
      </c>
      <c r="AH2161" s="20" t="str">
        <f t="shared" si="172"/>
        <v>No</v>
      </c>
      <c r="AI2161" s="25"/>
      <c r="AJ2161" s="25"/>
      <c r="AK2161" s="25"/>
      <c r="AL2161" s="25"/>
      <c r="AM2161" s="25"/>
      <c r="AN2161" s="25"/>
      <c r="AO2161" s="25"/>
      <c r="AP2161" s="25"/>
      <c r="AQ2161" s="25"/>
      <c r="AR2161" s="25"/>
      <c r="AS2161" s="25"/>
      <c r="AT2161" s="25"/>
      <c r="AU2161" s="36"/>
      <c r="AV2161" s="36"/>
      <c r="AW2161" s="36"/>
      <c r="AX2161" s="25"/>
      <c r="AY2161" s="25"/>
      <c r="AZ2161" s="25"/>
      <c r="BA2161" s="25"/>
      <c r="BB2161" s="25"/>
      <c r="BC2161" s="25"/>
      <c r="BD2161" s="25"/>
      <c r="BE2161" s="25"/>
      <c r="BF2161" s="25"/>
      <c r="BG2161" s="25"/>
      <c r="BH2161" s="25"/>
      <c r="BI2161" s="25"/>
      <c r="BJ2161" s="25"/>
      <c r="BK2161" s="25"/>
      <c r="BL2161" s="25"/>
      <c r="BM2161" s="25"/>
      <c r="BN2161" s="25"/>
      <c r="BO2161" s="25"/>
      <c r="BP2161" s="25"/>
      <c r="BQ2161" s="25"/>
      <c r="BR2161" s="25"/>
      <c r="BS2161" s="25"/>
      <c r="BT2161" s="25"/>
      <c r="BU2161"/>
      <c r="BV2161"/>
      <c r="BW2161"/>
      <c r="BX2161"/>
      <c r="BY2161"/>
      <c r="BZ2161"/>
      <c r="CA2161"/>
      <c r="CB2161"/>
      <c r="CC2161"/>
      <c r="CD2161" s="25"/>
    </row>
    <row r="2162" spans="1:82" s="17" customFormat="1" x14ac:dyDescent="0.2">
      <c r="A2162" s="25"/>
      <c r="B2162" s="20">
        <v>39059977200</v>
      </c>
      <c r="C2162" s="20">
        <v>9772</v>
      </c>
      <c r="D2162" s="20" t="s">
        <v>36</v>
      </c>
      <c r="E2162" s="20" t="s">
        <v>265</v>
      </c>
      <c r="F2162" s="20" t="s">
        <v>8</v>
      </c>
      <c r="G2162" s="861">
        <v>41.998267587659498</v>
      </c>
      <c r="H2162" s="861">
        <v>42.519566598865197</v>
      </c>
      <c r="I2162" s="861">
        <v>25.2904856151474</v>
      </c>
      <c r="J2162" s="861">
        <v>49.164099928978402</v>
      </c>
      <c r="K2162" s="982">
        <v>0</v>
      </c>
      <c r="L2162" s="735">
        <v>5100</v>
      </c>
      <c r="M2162" s="735">
        <v>4727</v>
      </c>
      <c r="N2162" s="845">
        <f t="shared" si="170"/>
        <v>-7.3137254901960783E-2</v>
      </c>
      <c r="O2162" s="735">
        <v>144.00174099640944</v>
      </c>
      <c r="P2162" s="735">
        <f t="shared" si="171"/>
        <v>32.825992014345601</v>
      </c>
      <c r="Q2162" s="849">
        <v>47.2</v>
      </c>
      <c r="R2162" s="71">
        <v>69846</v>
      </c>
      <c r="S2162" s="845">
        <v>0.12439179183414428</v>
      </c>
      <c r="T2162" s="845">
        <v>1.7000000000000001E-2</v>
      </c>
      <c r="U2162" s="845">
        <v>0</v>
      </c>
      <c r="V2162" s="845">
        <v>0.23399999999999999</v>
      </c>
      <c r="W2162" s="845">
        <v>6.6161616161616157E-2</v>
      </c>
      <c r="X2162" s="845">
        <v>0.10687022900763359</v>
      </c>
      <c r="Y2162" s="845">
        <v>0.98836471334884701</v>
      </c>
      <c r="Z2162" s="845">
        <v>2.3270573302305903E-3</v>
      </c>
      <c r="AA2162" s="845">
        <v>1.4808546646921938E-3</v>
      </c>
      <c r="AB2162" s="845">
        <v>0</v>
      </c>
      <c r="AC2162" s="845">
        <v>0</v>
      </c>
      <c r="AD2162" s="845">
        <v>0</v>
      </c>
      <c r="AE2162" s="845">
        <v>7.8273746562301672E-3</v>
      </c>
      <c r="AF2162" s="845">
        <v>0</v>
      </c>
      <c r="AG2162" s="845">
        <v>0.98836471334884701</v>
      </c>
      <c r="AH2162" s="20" t="str">
        <f t="shared" si="172"/>
        <v>Yes</v>
      </c>
      <c r="AI2162" s="25"/>
      <c r="AJ2162" s="25"/>
      <c r="AK2162" s="25"/>
      <c r="AL2162" s="25"/>
      <c r="AM2162" s="25"/>
      <c r="AN2162" s="25"/>
      <c r="AO2162" s="25"/>
      <c r="AP2162" s="25"/>
      <c r="AQ2162" s="25"/>
      <c r="AR2162" s="25"/>
      <c r="AS2162" s="25"/>
      <c r="AT2162" s="25"/>
      <c r="AU2162" s="36"/>
      <c r="AV2162" s="36"/>
      <c r="AW2162" s="36"/>
      <c r="AX2162" s="25"/>
      <c r="AY2162" s="25"/>
      <c r="AZ2162" s="25"/>
      <c r="BA2162" s="25"/>
      <c r="BB2162" s="25"/>
      <c r="BC2162" s="25"/>
      <c r="BD2162" s="25"/>
      <c r="BE2162" s="25"/>
      <c r="BF2162" s="25"/>
      <c r="BG2162" s="25"/>
      <c r="BH2162" s="25"/>
      <c r="BI2162" s="25"/>
      <c r="BJ2162" s="25"/>
      <c r="BK2162" s="25"/>
      <c r="BL2162" s="25"/>
      <c r="BM2162" s="25"/>
      <c r="BN2162" s="25"/>
      <c r="BO2162" s="25"/>
      <c r="BP2162" s="25"/>
      <c r="BQ2162" s="25"/>
      <c r="BR2162" s="25"/>
      <c r="BS2162" s="25"/>
      <c r="BT2162" s="25"/>
      <c r="BU2162"/>
      <c r="BV2162"/>
      <c r="BW2162"/>
      <c r="BX2162"/>
      <c r="BY2162"/>
      <c r="BZ2162"/>
      <c r="CA2162"/>
      <c r="CB2162"/>
      <c r="CC2162"/>
      <c r="CD2162" s="25"/>
    </row>
    <row r="2163" spans="1:82" s="17" customFormat="1" x14ac:dyDescent="0.2">
      <c r="A2163" s="25"/>
      <c r="B2163" s="20">
        <v>39035174103</v>
      </c>
      <c r="C2163" s="20">
        <v>1741.03</v>
      </c>
      <c r="D2163" s="20" t="s">
        <v>24</v>
      </c>
      <c r="E2163" s="20" t="s">
        <v>2829</v>
      </c>
      <c r="F2163" s="20" t="s">
        <v>8</v>
      </c>
      <c r="G2163" s="861">
        <v>41.990747974044602</v>
      </c>
      <c r="H2163" s="861">
        <v>36.2460911191747</v>
      </c>
      <c r="I2163" s="861">
        <v>33.375151079897698</v>
      </c>
      <c r="J2163" s="861">
        <v>34.2577319829076</v>
      </c>
      <c r="K2163" s="982">
        <v>0</v>
      </c>
      <c r="L2163" s="735">
        <v>2959</v>
      </c>
      <c r="M2163" s="735">
        <v>2795</v>
      </c>
      <c r="N2163" s="845">
        <f t="shared" si="170"/>
        <v>-5.5424129773572153E-2</v>
      </c>
      <c r="O2163" s="735">
        <v>2.0233162383127699</v>
      </c>
      <c r="P2163" s="735">
        <f t="shared" si="171"/>
        <v>1381.3955263516948</v>
      </c>
      <c r="Q2163" s="849">
        <v>46.5</v>
      </c>
      <c r="R2163" s="71">
        <v>90208</v>
      </c>
      <c r="S2163" s="845">
        <v>0.16289104638619201</v>
      </c>
      <c r="T2163" s="845">
        <v>6.4000000000000001E-2</v>
      </c>
      <c r="U2163" s="845">
        <v>0</v>
      </c>
      <c r="V2163" s="845">
        <v>0</v>
      </c>
      <c r="W2163" s="845">
        <v>0.11263972484952708</v>
      </c>
      <c r="X2163" s="845">
        <v>0.69465648854961837</v>
      </c>
      <c r="Y2163" s="845">
        <v>0.90375670840787115</v>
      </c>
      <c r="Z2163" s="845">
        <v>1.1449016100178891E-2</v>
      </c>
      <c r="AA2163" s="845">
        <v>0</v>
      </c>
      <c r="AB2163" s="845">
        <v>7.871198568872988E-3</v>
      </c>
      <c r="AC2163" s="845">
        <v>5.008944543828265E-3</v>
      </c>
      <c r="AD2163" s="845">
        <v>7.1556350626118068E-3</v>
      </c>
      <c r="AE2163" s="845">
        <v>6.4758497316636854E-2</v>
      </c>
      <c r="AF2163" s="845">
        <v>7.9785330948121652E-2</v>
      </c>
      <c r="AG2163" s="845">
        <v>0.8647584973166369</v>
      </c>
      <c r="AH2163" s="20" t="str">
        <f t="shared" si="172"/>
        <v>No</v>
      </c>
      <c r="AI2163" s="25"/>
      <c r="AJ2163" s="25"/>
      <c r="AK2163" s="25"/>
      <c r="AL2163" s="25"/>
      <c r="AM2163" s="25"/>
      <c r="AN2163" s="25"/>
      <c r="AO2163" s="25"/>
      <c r="AP2163" s="25"/>
      <c r="AQ2163" s="25"/>
      <c r="AR2163" s="25"/>
      <c r="AS2163" s="25"/>
      <c r="AT2163" s="25"/>
      <c r="AU2163" s="36"/>
      <c r="AV2163" s="36"/>
      <c r="AW2163" s="36"/>
      <c r="AX2163" s="25"/>
      <c r="AY2163" s="25"/>
      <c r="AZ2163" s="25"/>
      <c r="BA2163" s="25"/>
      <c r="BB2163" s="25"/>
      <c r="BC2163" s="25"/>
      <c r="BD2163" s="25"/>
      <c r="BE2163" s="25"/>
      <c r="BF2163" s="25"/>
      <c r="BG2163" s="25"/>
      <c r="BH2163" s="25"/>
      <c r="BI2163" s="25"/>
      <c r="BJ2163" s="25"/>
      <c r="BK2163" s="25"/>
      <c r="BL2163" s="25"/>
      <c r="BM2163" s="25"/>
      <c r="BN2163" s="25"/>
      <c r="BO2163" s="25"/>
      <c r="BP2163" s="25"/>
      <c r="BQ2163" s="25"/>
      <c r="BR2163" s="25"/>
      <c r="BS2163" s="25"/>
      <c r="BT2163" s="25"/>
      <c r="BU2163"/>
      <c r="BV2163"/>
      <c r="BW2163"/>
      <c r="BX2163"/>
      <c r="BY2163"/>
      <c r="BZ2163"/>
      <c r="CA2163"/>
      <c r="CB2163"/>
      <c r="CC2163"/>
      <c r="CD2163" s="25"/>
    </row>
    <row r="2164" spans="1:82" s="17" customFormat="1" x14ac:dyDescent="0.2">
      <c r="A2164" s="25"/>
      <c r="B2164" s="20">
        <v>39151712900</v>
      </c>
      <c r="C2164" s="20">
        <v>7129</v>
      </c>
      <c r="D2164" s="20" t="s">
        <v>81</v>
      </c>
      <c r="E2164" s="20" t="s">
        <v>2844</v>
      </c>
      <c r="F2164" s="20" t="s">
        <v>8</v>
      </c>
      <c r="G2164" s="861">
        <v>41.986057209411896</v>
      </c>
      <c r="H2164" s="861">
        <v>40.173988093033302</v>
      </c>
      <c r="I2164" s="861">
        <v>33.345027997591899</v>
      </c>
      <c r="J2164" s="861">
        <v>29.122179725688198</v>
      </c>
      <c r="K2164" s="982">
        <v>0</v>
      </c>
      <c r="L2164" s="735">
        <v>4053</v>
      </c>
      <c r="M2164" s="735">
        <v>3831</v>
      </c>
      <c r="N2164" s="845">
        <f t="shared" si="170"/>
        <v>-5.477424130273871E-2</v>
      </c>
      <c r="O2164" s="735">
        <v>14.861598727570993</v>
      </c>
      <c r="P2164" s="735">
        <f t="shared" si="171"/>
        <v>257.7784577706833</v>
      </c>
      <c r="Q2164" s="849">
        <v>45.6</v>
      </c>
      <c r="R2164" s="71">
        <v>60921</v>
      </c>
      <c r="S2164" s="845">
        <v>0.13412384716732542</v>
      </c>
      <c r="T2164" s="845">
        <v>2.8999999999999998E-2</v>
      </c>
      <c r="U2164" s="845">
        <v>0</v>
      </c>
      <c r="V2164" s="845">
        <v>4.5999999999999999E-2</v>
      </c>
      <c r="W2164" s="845">
        <v>0.41001124859392574</v>
      </c>
      <c r="X2164" s="845">
        <v>0.34430727023319618</v>
      </c>
      <c r="Y2164" s="845">
        <v>0.97206995562516318</v>
      </c>
      <c r="Z2164" s="845">
        <v>1.5661707126076742E-3</v>
      </c>
      <c r="AA2164" s="845">
        <v>0</v>
      </c>
      <c r="AB2164" s="845">
        <v>0</v>
      </c>
      <c r="AC2164" s="845">
        <v>0</v>
      </c>
      <c r="AD2164" s="845">
        <v>2.3492560689115116E-3</v>
      </c>
      <c r="AE2164" s="845">
        <v>2.4014617593317671E-2</v>
      </c>
      <c r="AF2164" s="845">
        <v>1.357347950926651E-2</v>
      </c>
      <c r="AG2164" s="845">
        <v>0.96893761419994784</v>
      </c>
      <c r="AH2164" s="20" t="str">
        <f t="shared" si="172"/>
        <v>Yes</v>
      </c>
      <c r="AI2164" s="25"/>
      <c r="AJ2164" s="25"/>
      <c r="AK2164" s="25"/>
      <c r="AL2164" s="25"/>
      <c r="AM2164" s="25"/>
      <c r="AN2164" s="25"/>
      <c r="AO2164" s="25"/>
      <c r="AP2164" s="25"/>
      <c r="AQ2164" s="25"/>
      <c r="AR2164" s="25"/>
      <c r="AS2164" s="25"/>
      <c r="AT2164" s="25"/>
      <c r="AU2164" s="36"/>
      <c r="AV2164" s="36"/>
      <c r="AW2164" s="36"/>
      <c r="AX2164" s="25"/>
      <c r="AY2164" s="25"/>
      <c r="AZ2164" s="25"/>
      <c r="BA2164" s="25"/>
      <c r="BB2164" s="25"/>
      <c r="BC2164" s="25"/>
      <c r="BD2164" s="25"/>
      <c r="BE2164" s="25"/>
      <c r="BF2164" s="25"/>
      <c r="BG2164" s="25"/>
      <c r="BH2164" s="25"/>
      <c r="BI2164" s="25"/>
      <c r="BJ2164" s="25"/>
      <c r="BK2164" s="25"/>
      <c r="BL2164" s="25"/>
      <c r="BM2164" s="25"/>
      <c r="BN2164" s="25"/>
      <c r="BO2164" s="25"/>
      <c r="BP2164" s="25"/>
      <c r="BQ2164" s="25"/>
      <c r="BR2164" s="25"/>
      <c r="BS2164" s="25"/>
      <c r="BT2164" s="25"/>
      <c r="BU2164"/>
      <c r="BV2164"/>
      <c r="BW2164"/>
      <c r="BX2164"/>
      <c r="BY2164"/>
      <c r="BZ2164"/>
      <c r="CA2164"/>
      <c r="CB2164"/>
      <c r="CC2164"/>
      <c r="CD2164" s="25"/>
    </row>
    <row r="2165" spans="1:82" s="17" customFormat="1" x14ac:dyDescent="0.2">
      <c r="A2165" s="25"/>
      <c r="B2165" s="20">
        <v>39049005420</v>
      </c>
      <c r="C2165" s="20">
        <v>54.2</v>
      </c>
      <c r="D2165" s="20" t="s">
        <v>31</v>
      </c>
      <c r="E2165" s="20" t="s">
        <v>2830</v>
      </c>
      <c r="F2165" s="20" t="s">
        <v>6</v>
      </c>
      <c r="G2165" s="861">
        <v>41.983016062353599</v>
      </c>
      <c r="H2165" s="861">
        <v>52.787785633183702</v>
      </c>
      <c r="I2165" s="861">
        <v>74.536772399770598</v>
      </c>
      <c r="J2165" s="861">
        <v>42.627279528349597</v>
      </c>
      <c r="K2165" s="982">
        <v>3</v>
      </c>
      <c r="L2165" s="735">
        <v>2305</v>
      </c>
      <c r="M2165" s="735">
        <v>2121</v>
      </c>
      <c r="N2165" s="845">
        <f t="shared" si="170"/>
        <v>-7.982646420824295E-2</v>
      </c>
      <c r="O2165" s="735">
        <v>0.36613025223501899</v>
      </c>
      <c r="P2165" s="735">
        <f t="shared" si="171"/>
        <v>5793.0203446792211</v>
      </c>
      <c r="Q2165" s="849">
        <v>30.8</v>
      </c>
      <c r="R2165" s="71">
        <v>44009</v>
      </c>
      <c r="S2165" s="845">
        <v>0.28901461574728904</v>
      </c>
      <c r="T2165" s="845">
        <v>5.5E-2</v>
      </c>
      <c r="U2165" s="845">
        <v>0.14800000000000002</v>
      </c>
      <c r="V2165" s="845">
        <v>0.05</v>
      </c>
      <c r="W2165" s="845">
        <v>0.64847715736040612</v>
      </c>
      <c r="X2165" s="845">
        <v>0.50489236790606651</v>
      </c>
      <c r="Y2165" s="845">
        <v>0.12635549269212634</v>
      </c>
      <c r="Z2165" s="845">
        <v>0.81848184818481851</v>
      </c>
      <c r="AA2165" s="845">
        <v>0</v>
      </c>
      <c r="AB2165" s="845">
        <v>8.0150872230080154E-3</v>
      </c>
      <c r="AC2165" s="845">
        <v>0</v>
      </c>
      <c r="AD2165" s="845">
        <v>0</v>
      </c>
      <c r="AE2165" s="845">
        <v>4.7147571900047147E-2</v>
      </c>
      <c r="AF2165" s="845">
        <v>2.1687883074021686E-2</v>
      </c>
      <c r="AG2165" s="845">
        <v>0.12211221122112212</v>
      </c>
      <c r="AH2165" s="20" t="str">
        <f t="shared" si="172"/>
        <v>No</v>
      </c>
      <c r="AI2165" s="25"/>
      <c r="AJ2165" s="25"/>
      <c r="AK2165" s="25"/>
      <c r="AL2165" s="25"/>
      <c r="AM2165" s="25"/>
      <c r="AN2165" s="25"/>
      <c r="AO2165" s="25"/>
      <c r="AP2165" s="25"/>
      <c r="AQ2165" s="25"/>
      <c r="AR2165" s="25"/>
      <c r="AS2165" s="25"/>
      <c r="AT2165" s="25"/>
      <c r="AU2165" s="36"/>
      <c r="AV2165" s="36"/>
      <c r="AW2165" s="36"/>
      <c r="AX2165" s="25"/>
      <c r="AY2165" s="25"/>
      <c r="AZ2165" s="25"/>
      <c r="BA2165" s="25"/>
      <c r="BB2165" s="25"/>
      <c r="BC2165" s="25"/>
      <c r="BD2165" s="25"/>
      <c r="BE2165" s="25"/>
      <c r="BF2165" s="25"/>
      <c r="BG2165" s="25"/>
      <c r="BH2165" s="25"/>
      <c r="BI2165" s="25"/>
      <c r="BJ2165" s="25"/>
      <c r="BK2165" s="25"/>
      <c r="BL2165" s="25"/>
      <c r="BM2165" s="25"/>
      <c r="BN2165" s="25"/>
      <c r="BO2165" s="25"/>
      <c r="BP2165" s="25"/>
      <c r="BQ2165" s="25"/>
      <c r="BR2165" s="25"/>
      <c r="BS2165" s="25"/>
      <c r="BT2165" s="25"/>
      <c r="BU2165"/>
      <c r="BV2165"/>
      <c r="BW2165"/>
      <c r="BX2165"/>
      <c r="BY2165"/>
      <c r="BZ2165"/>
      <c r="CA2165"/>
      <c r="CB2165"/>
      <c r="CC2165"/>
      <c r="CD2165" s="25"/>
    </row>
    <row r="2166" spans="1:82" s="17" customFormat="1" x14ac:dyDescent="0.2">
      <c r="A2166" s="25"/>
      <c r="B2166" s="20">
        <v>39061021802</v>
      </c>
      <c r="C2166" s="20">
        <v>218.02</v>
      </c>
      <c r="D2166" s="20" t="s">
        <v>37</v>
      </c>
      <c r="E2166" s="20" t="s">
        <v>2828</v>
      </c>
      <c r="F2166" s="20" t="s">
        <v>8</v>
      </c>
      <c r="G2166" s="861">
        <v>41.980207114977802</v>
      </c>
      <c r="H2166" s="861">
        <v>51.013779333812501</v>
      </c>
      <c r="I2166" s="861">
        <v>42.097600611936997</v>
      </c>
      <c r="J2166" s="861">
        <v>51.253222009253697</v>
      </c>
      <c r="K2166" s="982">
        <v>0</v>
      </c>
      <c r="L2166" s="735">
        <v>3196</v>
      </c>
      <c r="M2166" s="735">
        <v>3927</v>
      </c>
      <c r="N2166" s="845">
        <f t="shared" si="170"/>
        <v>0.22872340425531915</v>
      </c>
      <c r="O2166" s="735">
        <v>0.69884645146112279</v>
      </c>
      <c r="P2166" s="735">
        <f t="shared" si="171"/>
        <v>5619.2601275853531</v>
      </c>
      <c r="Q2166" s="849">
        <v>30.9</v>
      </c>
      <c r="R2166" s="71">
        <v>58878</v>
      </c>
      <c r="S2166" s="845">
        <v>0.20037503348513261</v>
      </c>
      <c r="T2166" s="845">
        <v>3.7000000000000005E-2</v>
      </c>
      <c r="U2166" s="845">
        <v>3.6000000000000004E-2</v>
      </c>
      <c r="V2166" s="845">
        <v>4.8000000000000001E-2</v>
      </c>
      <c r="W2166" s="845">
        <v>0.40992366412213743</v>
      </c>
      <c r="X2166" s="845">
        <v>0.5027932960893855</v>
      </c>
      <c r="Y2166" s="845">
        <v>0.31041507512095745</v>
      </c>
      <c r="Z2166" s="845">
        <v>0.6027501909854851</v>
      </c>
      <c r="AA2166" s="845">
        <v>1.0185892538833714E-3</v>
      </c>
      <c r="AB2166" s="845">
        <v>0</v>
      </c>
      <c r="AC2166" s="845">
        <v>0</v>
      </c>
      <c r="AD2166" s="845">
        <v>0</v>
      </c>
      <c r="AE2166" s="845">
        <v>8.5816144639674047E-2</v>
      </c>
      <c r="AF2166" s="845">
        <v>0</v>
      </c>
      <c r="AG2166" s="845">
        <v>0.31041507512095745</v>
      </c>
      <c r="AH2166" s="20" t="str">
        <f t="shared" si="172"/>
        <v>No</v>
      </c>
      <c r="AI2166" s="25"/>
      <c r="AJ2166" s="25"/>
      <c r="AK2166" s="25"/>
      <c r="AL2166" s="25"/>
      <c r="AM2166" s="25"/>
      <c r="AN2166" s="25"/>
      <c r="AO2166" s="25"/>
      <c r="AP2166" s="25"/>
      <c r="AQ2166" s="25"/>
      <c r="AR2166" s="25"/>
      <c r="AS2166" s="25"/>
      <c r="AT2166" s="25"/>
      <c r="AU2166" s="36"/>
      <c r="AV2166" s="36"/>
      <c r="AW2166" s="36"/>
      <c r="AX2166" s="25"/>
      <c r="AY2166" s="25"/>
      <c r="AZ2166" s="25"/>
      <c r="BA2166" s="25"/>
      <c r="BB2166" s="25"/>
      <c r="BC2166" s="25"/>
      <c r="BD2166" s="25"/>
      <c r="BE2166" s="25"/>
      <c r="BF2166" s="25"/>
      <c r="BG2166" s="25"/>
      <c r="BH2166" s="25"/>
      <c r="BI2166" s="25"/>
      <c r="BJ2166" s="25"/>
      <c r="BK2166" s="25"/>
      <c r="BL2166" s="25"/>
      <c r="BM2166" s="25"/>
      <c r="BN2166" s="25"/>
      <c r="BO2166" s="25"/>
      <c r="BP2166" s="25"/>
      <c r="BQ2166" s="25"/>
      <c r="BR2166" s="25"/>
      <c r="BS2166" s="25"/>
      <c r="BT2166" s="25"/>
      <c r="BU2166"/>
      <c r="BV2166"/>
      <c r="BW2166"/>
      <c r="BX2166"/>
      <c r="BY2166"/>
      <c r="BZ2166"/>
      <c r="CA2166"/>
      <c r="CB2166"/>
      <c r="CC2166"/>
      <c r="CD2166" s="25"/>
    </row>
    <row r="2167" spans="1:82" s="17" customFormat="1" x14ac:dyDescent="0.2">
      <c r="A2167" s="25"/>
      <c r="B2167" s="20">
        <v>39113070500</v>
      </c>
      <c r="C2167" s="20">
        <v>705</v>
      </c>
      <c r="D2167" s="20" t="s">
        <v>62</v>
      </c>
      <c r="E2167" s="20" t="s">
        <v>2833</v>
      </c>
      <c r="F2167" s="20" t="s">
        <v>8</v>
      </c>
      <c r="G2167" s="861">
        <v>41.956651937213501</v>
      </c>
      <c r="H2167" s="861">
        <v>44.104756711290499</v>
      </c>
      <c r="I2167" s="861">
        <v>38.236462652206797</v>
      </c>
      <c r="J2167" s="861">
        <v>36.484439183221703</v>
      </c>
      <c r="K2167" s="982">
        <v>1</v>
      </c>
      <c r="L2167" s="735">
        <v>4054</v>
      </c>
      <c r="M2167" s="735">
        <v>4159</v>
      </c>
      <c r="N2167" s="845">
        <f t="shared" si="170"/>
        <v>2.5900345337937839E-2</v>
      </c>
      <c r="O2167" s="735">
        <v>2.7408276403245728</v>
      </c>
      <c r="P2167" s="735">
        <f t="shared" si="171"/>
        <v>1517.4248605824353</v>
      </c>
      <c r="Q2167" s="849">
        <v>43.8</v>
      </c>
      <c r="R2167" s="71">
        <v>52701</v>
      </c>
      <c r="S2167" s="845">
        <v>0.18965517241379309</v>
      </c>
      <c r="T2167" s="845">
        <v>0.13</v>
      </c>
      <c r="U2167" s="845">
        <v>0</v>
      </c>
      <c r="V2167" s="845">
        <v>2.7999999999999997E-2</v>
      </c>
      <c r="W2167" s="845">
        <v>0.3715154586923467</v>
      </c>
      <c r="X2167" s="845">
        <v>0.45975443383356068</v>
      </c>
      <c r="Y2167" s="845">
        <v>0.17864871363308488</v>
      </c>
      <c r="Z2167" s="845">
        <v>0.7362346717961048</v>
      </c>
      <c r="AA2167" s="845">
        <v>0</v>
      </c>
      <c r="AB2167" s="845">
        <v>0</v>
      </c>
      <c r="AC2167" s="845">
        <v>0</v>
      </c>
      <c r="AD2167" s="845">
        <v>1.683096898292859E-3</v>
      </c>
      <c r="AE2167" s="845">
        <v>8.3433517672517429E-2</v>
      </c>
      <c r="AF2167" s="845">
        <v>1.9475835537388797E-2</v>
      </c>
      <c r="AG2167" s="845">
        <v>0.17864871363308488</v>
      </c>
      <c r="AH2167" s="20" t="str">
        <f t="shared" si="172"/>
        <v>No</v>
      </c>
      <c r="AI2167" s="25"/>
      <c r="AJ2167" s="25"/>
      <c r="AK2167" s="25"/>
      <c r="AL2167" s="25"/>
      <c r="AM2167" s="25"/>
      <c r="AN2167" s="25"/>
      <c r="AO2167" s="25"/>
      <c r="AP2167" s="25"/>
      <c r="AQ2167" s="25"/>
      <c r="AR2167" s="25"/>
      <c r="AS2167" s="25"/>
      <c r="AT2167" s="25"/>
      <c r="AU2167" s="36"/>
      <c r="AV2167" s="36"/>
      <c r="AW2167" s="36"/>
      <c r="AX2167" s="25"/>
      <c r="AY2167" s="25"/>
      <c r="AZ2167" s="25"/>
      <c r="BA2167" s="25"/>
      <c r="BB2167" s="25"/>
      <c r="BC2167" s="25"/>
      <c r="BD2167" s="25"/>
      <c r="BE2167" s="25"/>
      <c r="BF2167" s="25"/>
      <c r="BG2167" s="25"/>
      <c r="BH2167" s="25"/>
      <c r="BI2167" s="25"/>
      <c r="BJ2167" s="25"/>
      <c r="BK2167" s="25"/>
      <c r="BL2167" s="25"/>
      <c r="BM2167" s="25"/>
      <c r="BN2167" s="25"/>
      <c r="BO2167" s="25"/>
      <c r="BP2167" s="25"/>
      <c r="BQ2167" s="25"/>
      <c r="BR2167" s="25"/>
      <c r="BS2167" s="25"/>
      <c r="BT2167" s="25"/>
      <c r="BU2167"/>
      <c r="BV2167"/>
      <c r="BW2167"/>
      <c r="BX2167"/>
      <c r="BY2167"/>
      <c r="BZ2167"/>
      <c r="CA2167"/>
      <c r="CB2167"/>
      <c r="CC2167"/>
      <c r="CD2167" s="25"/>
    </row>
    <row r="2168" spans="1:82" s="17" customFormat="1" x14ac:dyDescent="0.2">
      <c r="A2168" s="25"/>
      <c r="B2168" s="20">
        <v>39057200101</v>
      </c>
      <c r="C2168" s="20">
        <v>2001.01</v>
      </c>
      <c r="D2168" s="20" t="s">
        <v>35</v>
      </c>
      <c r="E2168" s="20" t="s">
        <v>2833</v>
      </c>
      <c r="F2168" s="20" t="s">
        <v>8</v>
      </c>
      <c r="G2168" s="861">
        <v>41.947427614713398</v>
      </c>
      <c r="H2168" s="861">
        <v>41.457832743694503</v>
      </c>
      <c r="I2168" s="861">
        <v>44.108468531252903</v>
      </c>
      <c r="J2168" s="861">
        <v>49.335679983365999</v>
      </c>
      <c r="K2168" s="982">
        <v>0</v>
      </c>
      <c r="L2168" s="735">
        <v>2561</v>
      </c>
      <c r="M2168" s="735">
        <v>2811</v>
      </c>
      <c r="N2168" s="845">
        <f t="shared" si="170"/>
        <v>9.7618117922686445E-2</v>
      </c>
      <c r="O2168" s="735">
        <v>0.6763814834655747</v>
      </c>
      <c r="P2168" s="735">
        <f t="shared" si="171"/>
        <v>4155.9387249888687</v>
      </c>
      <c r="Q2168" s="849">
        <v>26.2</v>
      </c>
      <c r="R2168" s="71">
        <v>47750</v>
      </c>
      <c r="S2168" s="845">
        <v>0.21809081158383983</v>
      </c>
      <c r="T2168" s="845">
        <v>6.9000000000000006E-2</v>
      </c>
      <c r="U2168" s="845">
        <v>0</v>
      </c>
      <c r="V2168" s="845">
        <v>6.8000000000000005E-2</v>
      </c>
      <c r="W2168" s="845">
        <v>0.5939130434782609</v>
      </c>
      <c r="X2168" s="845">
        <v>0.53879941434846268</v>
      </c>
      <c r="Y2168" s="845">
        <v>0.81892564923514766</v>
      </c>
      <c r="Z2168" s="845">
        <v>9.6051227321237997E-2</v>
      </c>
      <c r="AA2168" s="845">
        <v>0</v>
      </c>
      <c r="AB2168" s="845">
        <v>6.7591604411241547E-3</v>
      </c>
      <c r="AC2168" s="845">
        <v>0</v>
      </c>
      <c r="AD2168" s="845">
        <v>0</v>
      </c>
      <c r="AE2168" s="845">
        <v>7.8263963002490222E-2</v>
      </c>
      <c r="AF2168" s="845">
        <v>2.3123443614372109E-2</v>
      </c>
      <c r="AG2168" s="845">
        <v>0.79580220562077553</v>
      </c>
      <c r="AH2168" s="20" t="str">
        <f t="shared" si="172"/>
        <v>No</v>
      </c>
      <c r="AI2168" s="25"/>
      <c r="AJ2168" s="25"/>
      <c r="AK2168" s="25"/>
      <c r="AL2168" s="25"/>
      <c r="AM2168" s="25"/>
      <c r="AN2168" s="25"/>
      <c r="AO2168" s="25"/>
      <c r="AP2168" s="25"/>
      <c r="AQ2168" s="25"/>
      <c r="AR2168" s="25"/>
      <c r="AS2168" s="25"/>
      <c r="AT2168" s="25"/>
      <c r="AU2168" s="36"/>
      <c r="AV2168" s="36"/>
      <c r="AW2168" s="36"/>
      <c r="AX2168" s="25"/>
      <c r="AY2168" s="25"/>
      <c r="AZ2168" s="25"/>
      <c r="BA2168" s="25"/>
      <c r="BB2168" s="25"/>
      <c r="BC2168" s="25"/>
      <c r="BD2168" s="25"/>
      <c r="BE2168" s="25"/>
      <c r="BF2168" s="25"/>
      <c r="BG2168" s="25"/>
      <c r="BH2168" s="25"/>
      <c r="BI2168" s="25"/>
      <c r="BJ2168" s="25"/>
      <c r="BK2168" s="25"/>
      <c r="BL2168" s="25"/>
      <c r="BM2168" s="25"/>
      <c r="BN2168" s="25"/>
      <c r="BO2168" s="25"/>
      <c r="BP2168" s="25"/>
      <c r="BQ2168" s="25"/>
      <c r="BR2168" s="25"/>
      <c r="BS2168" s="25"/>
      <c r="BT2168" s="25"/>
      <c r="BU2168"/>
      <c r="BV2168"/>
      <c r="BW2168"/>
      <c r="BX2168"/>
      <c r="BY2168"/>
      <c r="BZ2168"/>
      <c r="CA2168"/>
      <c r="CB2168"/>
      <c r="CC2168"/>
      <c r="CD2168" s="25"/>
    </row>
    <row r="2169" spans="1:82" s="17" customFormat="1" x14ac:dyDescent="0.2">
      <c r="A2169" s="25"/>
      <c r="B2169" s="20">
        <v>39097041100</v>
      </c>
      <c r="C2169" s="20">
        <v>411</v>
      </c>
      <c r="D2169" s="20" t="s">
        <v>54</v>
      </c>
      <c r="E2169" s="20" t="s">
        <v>2830</v>
      </c>
      <c r="F2169" s="20" t="s">
        <v>8</v>
      </c>
      <c r="G2169" s="861">
        <v>41.9410562595314</v>
      </c>
      <c r="H2169" s="861">
        <v>53.087255629086599</v>
      </c>
      <c r="I2169" s="861">
        <v>23.279394222914799</v>
      </c>
      <c r="J2169" s="861">
        <v>46.452261374406298</v>
      </c>
      <c r="K2169" s="982">
        <v>0</v>
      </c>
      <c r="L2169" s="735">
        <v>4772</v>
      </c>
      <c r="M2169" s="735">
        <v>4900</v>
      </c>
      <c r="N2169" s="845">
        <f t="shared" si="170"/>
        <v>2.6823134953897737E-2</v>
      </c>
      <c r="O2169" s="735">
        <v>96.143373028843754</v>
      </c>
      <c r="P2169" s="735">
        <f t="shared" si="171"/>
        <v>50.965551193320024</v>
      </c>
      <c r="Q2169" s="849">
        <v>45.6</v>
      </c>
      <c r="R2169" s="71">
        <v>77688</v>
      </c>
      <c r="S2169" s="845">
        <v>9.0684762492288712E-2</v>
      </c>
      <c r="T2169" s="845">
        <v>7.4999999999999997E-2</v>
      </c>
      <c r="U2169" s="845">
        <v>0</v>
      </c>
      <c r="V2169" s="845">
        <v>0</v>
      </c>
      <c r="W2169" s="845">
        <v>0.30835322195704057</v>
      </c>
      <c r="X2169" s="845">
        <v>0.15789473684210525</v>
      </c>
      <c r="Y2169" s="845">
        <v>0.9391836734693878</v>
      </c>
      <c r="Z2169" s="845">
        <v>1.4081632653061225E-2</v>
      </c>
      <c r="AA2169" s="845">
        <v>4.8979591836734691E-3</v>
      </c>
      <c r="AB2169" s="845">
        <v>1.0204081632653062E-3</v>
      </c>
      <c r="AC2169" s="845">
        <v>0</v>
      </c>
      <c r="AD2169" s="845">
        <v>1.2244897959183673E-3</v>
      </c>
      <c r="AE2169" s="845">
        <v>3.959183673469388E-2</v>
      </c>
      <c r="AF2169" s="845">
        <v>0</v>
      </c>
      <c r="AG2169" s="845">
        <v>0.9391836734693878</v>
      </c>
      <c r="AH2169" s="20" t="str">
        <f t="shared" si="172"/>
        <v>Yes</v>
      </c>
      <c r="AI2169" s="25"/>
      <c r="AJ2169" s="25"/>
      <c r="AK2169" s="25"/>
      <c r="AL2169" s="25"/>
      <c r="AM2169" s="25"/>
      <c r="AN2169" s="25"/>
      <c r="AO2169" s="25"/>
      <c r="AP2169" s="25"/>
      <c r="AQ2169" s="25"/>
      <c r="AR2169" s="25"/>
      <c r="AS2169" s="25"/>
      <c r="AT2169" s="25"/>
      <c r="AU2169" s="36"/>
      <c r="AV2169" s="36"/>
      <c r="AW2169" s="36"/>
      <c r="AX2169" s="25"/>
      <c r="AY2169" s="25"/>
      <c r="AZ2169" s="25"/>
      <c r="BA2169" s="25"/>
      <c r="BB2169" s="25"/>
      <c r="BC2169" s="25"/>
      <c r="BD2169" s="25"/>
      <c r="BE2169" s="25"/>
      <c r="BF2169" s="25"/>
      <c r="BG2169" s="25"/>
      <c r="BH2169" s="25"/>
      <c r="BI2169" s="25"/>
      <c r="BJ2169" s="25"/>
      <c r="BK2169" s="25"/>
      <c r="BL2169" s="25"/>
      <c r="BM2169" s="25"/>
      <c r="BN2169" s="25"/>
      <c r="BO2169" s="25"/>
      <c r="BP2169" s="25"/>
      <c r="BQ2169" s="25"/>
      <c r="BR2169" s="25"/>
      <c r="BS2169" s="25"/>
      <c r="BT2169" s="25"/>
      <c r="BU2169"/>
      <c r="BV2169"/>
      <c r="BW2169"/>
      <c r="BX2169"/>
      <c r="BY2169"/>
      <c r="BZ2169"/>
      <c r="CA2169"/>
      <c r="CB2169"/>
      <c r="CC2169"/>
      <c r="CD2169" s="25"/>
    </row>
    <row r="2170" spans="1:82" s="17" customFormat="1" x14ac:dyDescent="0.2">
      <c r="A2170" s="25"/>
      <c r="B2170" s="20">
        <v>39029952100</v>
      </c>
      <c r="C2170" s="20">
        <v>9521</v>
      </c>
      <c r="D2170" s="20" t="s">
        <v>21</v>
      </c>
      <c r="E2170" s="20" t="s">
        <v>265</v>
      </c>
      <c r="F2170" s="20" t="s">
        <v>6</v>
      </c>
      <c r="G2170" s="861">
        <v>41.9314384852835</v>
      </c>
      <c r="H2170" s="861">
        <v>53.173746178881402</v>
      </c>
      <c r="I2170" s="861">
        <v>75.036080913711402</v>
      </c>
      <c r="J2170" s="861">
        <v>36.498046241897597</v>
      </c>
      <c r="K2170" s="982">
        <v>0</v>
      </c>
      <c r="L2170" s="735">
        <v>1251</v>
      </c>
      <c r="M2170" s="735">
        <v>1320</v>
      </c>
      <c r="N2170" s="845">
        <f t="shared" si="170"/>
        <v>5.5155875299760189E-2</v>
      </c>
      <c r="O2170" s="735">
        <v>0.43539697948651973</v>
      </c>
      <c r="P2170" s="735">
        <f t="shared" si="171"/>
        <v>3031.7160251243045</v>
      </c>
      <c r="Q2170" s="849">
        <v>39.200000000000003</v>
      </c>
      <c r="R2170" s="71">
        <v>26250</v>
      </c>
      <c r="S2170" s="845">
        <v>0.37366818873668189</v>
      </c>
      <c r="T2170" s="845">
        <v>0.13699999999999998</v>
      </c>
      <c r="U2170" s="845">
        <v>0</v>
      </c>
      <c r="V2170" s="845">
        <v>3.6000000000000004E-2</v>
      </c>
      <c r="W2170" s="845">
        <v>0.7315315315315315</v>
      </c>
      <c r="X2170" s="845">
        <v>0.43349753694581283</v>
      </c>
      <c r="Y2170" s="845">
        <v>0.75984848484848488</v>
      </c>
      <c r="Z2170" s="845">
        <v>8.0303030303030307E-2</v>
      </c>
      <c r="AA2170" s="845">
        <v>0</v>
      </c>
      <c r="AB2170" s="845">
        <v>0</v>
      </c>
      <c r="AC2170" s="845">
        <v>0</v>
      </c>
      <c r="AD2170" s="845">
        <v>7.7272727272727271E-2</v>
      </c>
      <c r="AE2170" s="845">
        <v>8.257575757575758E-2</v>
      </c>
      <c r="AF2170" s="845">
        <v>0</v>
      </c>
      <c r="AG2170" s="845">
        <v>0.75984848484848488</v>
      </c>
      <c r="AH2170" s="20" t="str">
        <f t="shared" si="172"/>
        <v>No</v>
      </c>
      <c r="AI2170" s="25"/>
      <c r="AJ2170" s="25"/>
      <c r="AK2170" s="25"/>
      <c r="AL2170" s="25"/>
      <c r="AM2170" s="25"/>
      <c r="AN2170" s="25"/>
      <c r="AO2170" s="25"/>
      <c r="AP2170" s="25"/>
      <c r="AQ2170" s="25"/>
      <c r="AR2170" s="25"/>
      <c r="AS2170" s="25"/>
      <c r="AT2170" s="25"/>
      <c r="AU2170" s="36"/>
      <c r="AV2170" s="36"/>
      <c r="AW2170" s="36"/>
      <c r="AX2170" s="25"/>
      <c r="AY2170" s="25"/>
      <c r="AZ2170" s="25"/>
      <c r="BA2170" s="25"/>
      <c r="BB2170" s="25"/>
      <c r="BC2170" s="25"/>
      <c r="BD2170" s="25"/>
      <c r="BE2170" s="25"/>
      <c r="BF2170" s="25"/>
      <c r="BG2170" s="25"/>
      <c r="BH2170" s="25"/>
      <c r="BI2170" s="25"/>
      <c r="BJ2170" s="25"/>
      <c r="BK2170" s="25"/>
      <c r="BL2170" s="25"/>
      <c r="BM2170" s="25"/>
      <c r="BN2170" s="25"/>
      <c r="BO2170" s="25"/>
      <c r="BP2170" s="25"/>
      <c r="BQ2170" s="25"/>
      <c r="BR2170" s="25"/>
      <c r="BS2170" s="25"/>
      <c r="BT2170" s="25"/>
      <c r="BU2170"/>
      <c r="BV2170"/>
      <c r="BW2170"/>
      <c r="BX2170"/>
      <c r="BY2170"/>
      <c r="BZ2170"/>
      <c r="CA2170"/>
      <c r="CB2170"/>
      <c r="CC2170"/>
      <c r="CD2170" s="25"/>
    </row>
    <row r="2171" spans="1:82" s="17" customFormat="1" x14ac:dyDescent="0.2">
      <c r="A2171" s="25"/>
      <c r="B2171" s="20">
        <v>39035116900</v>
      </c>
      <c r="C2171" s="20">
        <v>1169</v>
      </c>
      <c r="D2171" s="20" t="s">
        <v>24</v>
      </c>
      <c r="E2171" s="20" t="s">
        <v>2829</v>
      </c>
      <c r="F2171" s="20" t="s">
        <v>6</v>
      </c>
      <c r="G2171" s="861">
        <v>41.894141432663098</v>
      </c>
      <c r="H2171" s="861">
        <v>57.443786189859601</v>
      </c>
      <c r="I2171" s="861">
        <v>95.839271334247698</v>
      </c>
      <c r="J2171" s="861">
        <v>65.261625897958893</v>
      </c>
      <c r="K2171" s="982">
        <v>0</v>
      </c>
      <c r="L2171" s="735">
        <v>1299</v>
      </c>
      <c r="M2171" s="735">
        <v>1345</v>
      </c>
      <c r="N2171" s="845">
        <f t="shared" si="170"/>
        <v>3.5411855273287142E-2</v>
      </c>
      <c r="O2171" s="735">
        <v>0.27322326201721447</v>
      </c>
      <c r="P2171" s="735">
        <f t="shared" si="171"/>
        <v>4922.7140839686563</v>
      </c>
      <c r="Q2171" s="849">
        <v>31.7</v>
      </c>
      <c r="R2171" s="71">
        <v>36036</v>
      </c>
      <c r="S2171" s="845">
        <v>0.1309880239520958</v>
      </c>
      <c r="T2171" s="845">
        <v>1.1000000000000001E-2</v>
      </c>
      <c r="U2171" s="845">
        <v>0</v>
      </c>
      <c r="V2171" s="845">
        <v>0</v>
      </c>
      <c r="W2171" s="845">
        <v>0.61789772727272729</v>
      </c>
      <c r="X2171" s="845">
        <v>0.57931034482758625</v>
      </c>
      <c r="Y2171" s="845">
        <v>1.2639405204460967E-2</v>
      </c>
      <c r="Z2171" s="845">
        <v>0.70780669144981412</v>
      </c>
      <c r="AA2171" s="845">
        <v>0</v>
      </c>
      <c r="AB2171" s="845">
        <v>6.6914498141263943E-3</v>
      </c>
      <c r="AC2171" s="845">
        <v>0</v>
      </c>
      <c r="AD2171" s="845">
        <v>0</v>
      </c>
      <c r="AE2171" s="845">
        <v>0.27286245353159849</v>
      </c>
      <c r="AF2171" s="845">
        <v>0</v>
      </c>
      <c r="AG2171" s="845">
        <v>1.2639405204460967E-2</v>
      </c>
      <c r="AH2171" s="20" t="str">
        <f t="shared" si="172"/>
        <v>No</v>
      </c>
      <c r="AI2171" s="25"/>
      <c r="AJ2171" s="25"/>
      <c r="AK2171" s="25"/>
      <c r="AL2171" s="25"/>
      <c r="AM2171" s="25"/>
      <c r="AN2171" s="25"/>
      <c r="AO2171" s="25"/>
      <c r="AP2171" s="25"/>
      <c r="AQ2171" s="25"/>
      <c r="AR2171" s="25"/>
      <c r="AS2171" s="25"/>
      <c r="AT2171" s="25"/>
      <c r="AU2171" s="36"/>
      <c r="AV2171" s="36"/>
      <c r="AW2171" s="36"/>
      <c r="AX2171" s="25"/>
      <c r="AY2171" s="25"/>
      <c r="AZ2171" s="25"/>
      <c r="BA2171" s="25"/>
      <c r="BB2171" s="25"/>
      <c r="BC2171" s="25"/>
      <c r="BD2171" s="25"/>
      <c r="BE2171" s="25"/>
      <c r="BF2171" s="25"/>
      <c r="BG2171" s="25"/>
      <c r="BH2171" s="25"/>
      <c r="BI2171" s="25"/>
      <c r="BJ2171" s="25"/>
      <c r="BK2171" s="25"/>
      <c r="BL2171" s="25"/>
      <c r="BM2171" s="25"/>
      <c r="BN2171" s="25"/>
      <c r="BO2171" s="25"/>
      <c r="BP2171" s="25"/>
      <c r="BQ2171" s="25"/>
      <c r="BR2171" s="25"/>
      <c r="BS2171" s="25"/>
      <c r="BT2171" s="25"/>
      <c r="BU2171"/>
      <c r="BV2171"/>
      <c r="BW2171"/>
      <c r="BX2171"/>
      <c r="BY2171"/>
      <c r="BZ2171"/>
      <c r="CA2171"/>
      <c r="CB2171"/>
      <c r="CC2171"/>
      <c r="CD2171" s="25"/>
    </row>
    <row r="2172" spans="1:82" s="17" customFormat="1" x14ac:dyDescent="0.2">
      <c r="A2172" s="25"/>
      <c r="B2172" s="20">
        <v>39049008311</v>
      </c>
      <c r="C2172" s="20">
        <v>83.11</v>
      </c>
      <c r="D2172" s="20" t="s">
        <v>31</v>
      </c>
      <c r="E2172" s="20" t="s">
        <v>2830</v>
      </c>
      <c r="F2172" s="20" t="s">
        <v>6</v>
      </c>
      <c r="G2172" s="861">
        <v>41.884796805459501</v>
      </c>
      <c r="H2172" s="861">
        <v>51.814390478698897</v>
      </c>
      <c r="I2172" s="861">
        <v>48.0078475646526</v>
      </c>
      <c r="J2172" s="861">
        <v>44.5801088585633</v>
      </c>
      <c r="K2172" s="982">
        <v>0</v>
      </c>
      <c r="L2172" s="735">
        <v>5075</v>
      </c>
      <c r="M2172" s="735">
        <v>4187</v>
      </c>
      <c r="N2172" s="845">
        <f t="shared" si="170"/>
        <v>-0.17497536945812808</v>
      </c>
      <c r="O2172" s="735">
        <v>0.96168124879924644</v>
      </c>
      <c r="P2172" s="735">
        <f t="shared" si="171"/>
        <v>4353.8334611680129</v>
      </c>
      <c r="Q2172" s="849">
        <v>32</v>
      </c>
      <c r="R2172" s="71">
        <v>48444</v>
      </c>
      <c r="S2172" s="845">
        <v>0.24838786720802483</v>
      </c>
      <c r="T2172" s="845">
        <v>5.5E-2</v>
      </c>
      <c r="U2172" s="845">
        <v>3.3000000000000002E-2</v>
      </c>
      <c r="V2172" s="845">
        <v>3.6000000000000004E-2</v>
      </c>
      <c r="W2172" s="845">
        <v>0.52572145545796733</v>
      </c>
      <c r="X2172" s="845">
        <v>0.4713603818615752</v>
      </c>
      <c r="Y2172" s="845">
        <v>0.53021256269405304</v>
      </c>
      <c r="Z2172" s="845">
        <v>0.30881299259613088</v>
      </c>
      <c r="AA2172" s="845">
        <v>0</v>
      </c>
      <c r="AB2172" s="845">
        <v>3.8213518032003822E-3</v>
      </c>
      <c r="AC2172" s="845">
        <v>0</v>
      </c>
      <c r="AD2172" s="845">
        <v>6.3291139240506333E-2</v>
      </c>
      <c r="AE2172" s="845">
        <v>9.3861953666109388E-2</v>
      </c>
      <c r="AF2172" s="845">
        <v>0.11917840936231192</v>
      </c>
      <c r="AG2172" s="845">
        <v>0.50800095533795075</v>
      </c>
      <c r="AH2172" s="20" t="str">
        <f t="shared" si="172"/>
        <v>No</v>
      </c>
      <c r="AI2172" s="25"/>
      <c r="AJ2172" s="25"/>
      <c r="AK2172" s="25"/>
      <c r="AL2172" s="25"/>
      <c r="AM2172" s="25"/>
      <c r="AN2172" s="25"/>
      <c r="AO2172" s="25"/>
      <c r="AP2172" s="25"/>
      <c r="AQ2172" s="25"/>
      <c r="AR2172" s="25"/>
      <c r="AS2172" s="25"/>
      <c r="AT2172" s="25"/>
      <c r="AU2172" s="36"/>
      <c r="AV2172" s="36"/>
      <c r="AW2172" s="36"/>
      <c r="AX2172" s="25"/>
      <c r="AY2172" s="25"/>
      <c r="AZ2172" s="25"/>
      <c r="BA2172" s="25"/>
      <c r="BB2172" s="25"/>
      <c r="BC2172" s="25"/>
      <c r="BD2172" s="25"/>
      <c r="BE2172" s="25"/>
      <c r="BF2172" s="25"/>
      <c r="BG2172" s="25"/>
      <c r="BH2172" s="25"/>
      <c r="BI2172" s="25"/>
      <c r="BJ2172" s="25"/>
      <c r="BK2172" s="25"/>
      <c r="BL2172" s="25"/>
      <c r="BM2172" s="25"/>
      <c r="BN2172" s="25"/>
      <c r="BO2172" s="25"/>
      <c r="BP2172" s="25"/>
      <c r="BQ2172" s="25"/>
      <c r="BR2172" s="25"/>
      <c r="BS2172" s="25"/>
      <c r="BT2172" s="25"/>
      <c r="BU2172"/>
      <c r="BV2172"/>
      <c r="BW2172"/>
      <c r="BX2172"/>
      <c r="BY2172"/>
      <c r="BZ2172"/>
      <c r="CA2172"/>
      <c r="CB2172"/>
      <c r="CC2172"/>
      <c r="CD2172" s="25"/>
    </row>
    <row r="2173" spans="1:82" s="17" customFormat="1" x14ac:dyDescent="0.2">
      <c r="A2173" s="25"/>
      <c r="B2173" s="20">
        <v>39049001000</v>
      </c>
      <c r="C2173" s="20">
        <v>10</v>
      </c>
      <c r="D2173" s="20" t="s">
        <v>31</v>
      </c>
      <c r="E2173" s="20" t="s">
        <v>2830</v>
      </c>
      <c r="F2173" s="20" t="s">
        <v>6</v>
      </c>
      <c r="G2173" s="861">
        <v>41.873321789655598</v>
      </c>
      <c r="H2173" s="861">
        <v>54.175223190139697</v>
      </c>
      <c r="I2173" s="861">
        <v>65.751704592007499</v>
      </c>
      <c r="J2173" s="861">
        <v>25.934163215869901</v>
      </c>
      <c r="K2173" s="982">
        <v>0</v>
      </c>
      <c r="L2173" s="735">
        <v>4829</v>
      </c>
      <c r="M2173" s="735">
        <v>4931</v>
      </c>
      <c r="N2173" s="845">
        <f t="shared" si="170"/>
        <v>2.1122385587078071E-2</v>
      </c>
      <c r="O2173" s="735">
        <v>0.34519965421771764</v>
      </c>
      <c r="P2173" s="735">
        <f t="shared" si="171"/>
        <v>14284.487077991147</v>
      </c>
      <c r="Q2173" s="849">
        <v>23.1</v>
      </c>
      <c r="R2173" s="71">
        <v>32306</v>
      </c>
      <c r="S2173" s="845">
        <v>0.49340904481849523</v>
      </c>
      <c r="T2173" s="845">
        <v>9.5000000000000001E-2</v>
      </c>
      <c r="U2173" s="845">
        <v>0</v>
      </c>
      <c r="V2173" s="845">
        <v>5.7999999999999996E-2</v>
      </c>
      <c r="W2173" s="845">
        <v>0.86805219913001452</v>
      </c>
      <c r="X2173" s="845">
        <v>0.63641425389755013</v>
      </c>
      <c r="Y2173" s="845">
        <v>0.78787264246603128</v>
      </c>
      <c r="Z2173" s="845">
        <v>0.10890285946055567</v>
      </c>
      <c r="AA2173" s="845">
        <v>0</v>
      </c>
      <c r="AB2173" s="845">
        <v>4.7252078685864937E-2</v>
      </c>
      <c r="AC2173" s="845">
        <v>0</v>
      </c>
      <c r="AD2173" s="845">
        <v>1.6223889677550193E-3</v>
      </c>
      <c r="AE2173" s="845">
        <v>5.4350030419793145E-2</v>
      </c>
      <c r="AF2173" s="845">
        <v>4.1979314540661124E-2</v>
      </c>
      <c r="AG2173" s="845">
        <v>0.77611032244980738</v>
      </c>
      <c r="AH2173" s="20" t="str">
        <f t="shared" si="172"/>
        <v>No</v>
      </c>
      <c r="AI2173" s="25"/>
      <c r="AJ2173" s="25"/>
      <c r="AK2173" s="25"/>
      <c r="AL2173" s="25"/>
      <c r="AM2173" s="25"/>
      <c r="AN2173" s="25"/>
      <c r="AO2173" s="25"/>
      <c r="AP2173" s="25"/>
      <c r="AQ2173" s="25"/>
      <c r="AR2173" s="25"/>
      <c r="AS2173" s="25"/>
      <c r="AT2173" s="25"/>
      <c r="AU2173" s="36"/>
      <c r="AV2173" s="36"/>
      <c r="AW2173" s="36"/>
      <c r="AX2173" s="25"/>
      <c r="AY2173" s="25"/>
      <c r="AZ2173" s="25"/>
      <c r="BA2173" s="25"/>
      <c r="BB2173" s="25"/>
      <c r="BC2173" s="25"/>
      <c r="BD2173" s="25"/>
      <c r="BE2173" s="25"/>
      <c r="BF2173" s="25"/>
      <c r="BG2173" s="25"/>
      <c r="BH2173" s="25"/>
      <c r="BI2173" s="25"/>
      <c r="BJ2173" s="25"/>
      <c r="BK2173" s="25"/>
      <c r="BL2173" s="25"/>
      <c r="BM2173" s="25"/>
      <c r="BN2173" s="25"/>
      <c r="BO2173" s="25"/>
      <c r="BP2173" s="25"/>
      <c r="BQ2173" s="25"/>
      <c r="BR2173" s="25"/>
      <c r="BS2173" s="25"/>
      <c r="BT2173" s="25"/>
      <c r="BU2173"/>
      <c r="BV2173"/>
      <c r="BW2173"/>
      <c r="BX2173"/>
      <c r="BY2173"/>
      <c r="BZ2173"/>
      <c r="CA2173"/>
      <c r="CB2173"/>
      <c r="CC2173"/>
      <c r="CD2173" s="25"/>
    </row>
    <row r="2174" spans="1:82" s="17" customFormat="1" x14ac:dyDescent="0.2">
      <c r="A2174" s="25"/>
      <c r="B2174" s="20">
        <v>39113030100</v>
      </c>
      <c r="C2174" s="20">
        <v>301</v>
      </c>
      <c r="D2174" s="20" t="s">
        <v>62</v>
      </c>
      <c r="E2174" s="20" t="s">
        <v>2833</v>
      </c>
      <c r="F2174" s="20" t="s">
        <v>6</v>
      </c>
      <c r="G2174" s="861">
        <v>41.852674412576398</v>
      </c>
      <c r="H2174" s="861">
        <v>37.040379610960599</v>
      </c>
      <c r="I2174" s="861">
        <v>44.158044484209199</v>
      </c>
      <c r="J2174" s="861">
        <v>27.222258181026</v>
      </c>
      <c r="K2174" s="982">
        <v>0</v>
      </c>
      <c r="L2174" s="735">
        <v>4559</v>
      </c>
      <c r="M2174" s="735">
        <v>4116</v>
      </c>
      <c r="N2174" s="845">
        <f t="shared" si="170"/>
        <v>-9.7170432112305333E-2</v>
      </c>
      <c r="O2174" s="735">
        <v>4.5536765031712827</v>
      </c>
      <c r="P2174" s="735">
        <f t="shared" si="171"/>
        <v>903.88502501956941</v>
      </c>
      <c r="Q2174" s="849">
        <v>32.4</v>
      </c>
      <c r="R2174" s="71">
        <v>41761</v>
      </c>
      <c r="S2174" s="845">
        <v>0.28255587949465499</v>
      </c>
      <c r="T2174" s="845">
        <v>0.03</v>
      </c>
      <c r="U2174" s="845">
        <v>0.11</v>
      </c>
      <c r="V2174" s="845">
        <v>0.03</v>
      </c>
      <c r="W2174" s="845">
        <v>0.66123456790123458</v>
      </c>
      <c r="X2174" s="845">
        <v>0.5817774458551157</v>
      </c>
      <c r="Y2174" s="845">
        <v>0.56754130223517973</v>
      </c>
      <c r="Z2174" s="845">
        <v>0.19630709426627793</v>
      </c>
      <c r="AA2174" s="845">
        <v>0</v>
      </c>
      <c r="AB2174" s="845">
        <v>3.3041788143828958E-2</v>
      </c>
      <c r="AC2174" s="845">
        <v>0</v>
      </c>
      <c r="AD2174" s="845">
        <v>2.6724975704567541E-2</v>
      </c>
      <c r="AE2174" s="845">
        <v>0.17638483965014579</v>
      </c>
      <c r="AF2174" s="845">
        <v>0.16156462585034015</v>
      </c>
      <c r="AG2174" s="845">
        <v>0.55563654033041787</v>
      </c>
      <c r="AH2174" s="20" t="str">
        <f t="shared" si="172"/>
        <v>No</v>
      </c>
      <c r="AI2174" s="25"/>
      <c r="AJ2174" s="25"/>
      <c r="AK2174" s="25"/>
      <c r="AL2174" s="25"/>
      <c r="AM2174" s="25"/>
      <c r="AN2174" s="25"/>
      <c r="AO2174" s="25"/>
      <c r="AP2174" s="25"/>
      <c r="AQ2174" s="25"/>
      <c r="AR2174" s="25"/>
      <c r="AS2174" s="25"/>
      <c r="AT2174" s="25"/>
      <c r="AU2174" s="36"/>
      <c r="AV2174" s="36"/>
      <c r="AW2174" s="36"/>
      <c r="AX2174" s="25"/>
      <c r="AY2174" s="25"/>
      <c r="AZ2174" s="25"/>
      <c r="BA2174" s="25"/>
      <c r="BB2174" s="25"/>
      <c r="BC2174" s="25"/>
      <c r="BD2174" s="25"/>
      <c r="BE2174" s="25"/>
      <c r="BF2174" s="25"/>
      <c r="BG2174" s="25"/>
      <c r="BH2174" s="25"/>
      <c r="BI2174" s="25"/>
      <c r="BJ2174" s="25"/>
      <c r="BK2174" s="25"/>
      <c r="BL2174" s="25"/>
      <c r="BM2174" s="25"/>
      <c r="BN2174" s="25"/>
      <c r="BO2174" s="25"/>
      <c r="BP2174" s="25"/>
      <c r="BQ2174" s="25"/>
      <c r="BR2174" s="25"/>
      <c r="BS2174" s="25"/>
      <c r="BT2174" s="25"/>
      <c r="BU2174"/>
      <c r="BV2174"/>
      <c r="BW2174"/>
      <c r="BX2174"/>
      <c r="BY2174"/>
      <c r="BZ2174"/>
      <c r="CA2174"/>
      <c r="CB2174"/>
      <c r="CC2174"/>
      <c r="CD2174" s="25"/>
    </row>
    <row r="2175" spans="1:82" s="17" customFormat="1" x14ac:dyDescent="0.2">
      <c r="A2175" s="25"/>
      <c r="B2175" s="20">
        <v>39089755901</v>
      </c>
      <c r="C2175" s="20">
        <v>7559.01</v>
      </c>
      <c r="D2175" s="20" t="s">
        <v>50</v>
      </c>
      <c r="E2175" s="20" t="s">
        <v>2830</v>
      </c>
      <c r="F2175" s="20" t="s">
        <v>8</v>
      </c>
      <c r="G2175" s="861">
        <v>41.819359262648398</v>
      </c>
      <c r="H2175" s="861">
        <v>46.815214272208699</v>
      </c>
      <c r="I2175" s="861">
        <v>31.506389222520401</v>
      </c>
      <c r="J2175" s="861">
        <v>48.653972577953702</v>
      </c>
      <c r="K2175" s="982">
        <v>0</v>
      </c>
      <c r="L2175" s="735" t="s">
        <v>2466</v>
      </c>
      <c r="M2175" s="735">
        <v>5128</v>
      </c>
      <c r="N2175" s="845" t="str">
        <f t="shared" si="170"/>
        <v/>
      </c>
      <c r="O2175" s="735">
        <v>7.49744831840174</v>
      </c>
      <c r="P2175" s="735">
        <f t="shared" si="171"/>
        <v>683.96603513942671</v>
      </c>
      <c r="Q2175" s="849">
        <v>34.700000000000003</v>
      </c>
      <c r="R2175" s="71">
        <v>95000</v>
      </c>
      <c r="S2175" s="845">
        <v>6.2402496099843996E-3</v>
      </c>
      <c r="T2175" s="845">
        <v>9.0000000000000011E-3</v>
      </c>
      <c r="U2175" s="845">
        <v>0</v>
      </c>
      <c r="V2175" s="845">
        <v>6.4000000000000001E-2</v>
      </c>
      <c r="W2175" s="845">
        <v>9.7345132743362831E-2</v>
      </c>
      <c r="X2175" s="845">
        <v>0.30681818181818182</v>
      </c>
      <c r="Y2175" s="845">
        <v>0.66712168486739465</v>
      </c>
      <c r="Z2175" s="845">
        <v>7.5468018720748833E-2</v>
      </c>
      <c r="AA2175" s="845">
        <v>0</v>
      </c>
      <c r="AB2175" s="845">
        <v>0.20105304212168487</v>
      </c>
      <c r="AC2175" s="845">
        <v>0</v>
      </c>
      <c r="AD2175" s="845">
        <v>1.7745709828393137E-2</v>
      </c>
      <c r="AE2175" s="845">
        <v>3.8611544461778474E-2</v>
      </c>
      <c r="AF2175" s="845">
        <v>3.1981279251170044E-2</v>
      </c>
      <c r="AG2175" s="845">
        <v>0.65288611544461783</v>
      </c>
      <c r="AH2175" s="20" t="str">
        <f t="shared" si="172"/>
        <v>No</v>
      </c>
      <c r="AI2175" s="25"/>
      <c r="AJ2175" s="25"/>
      <c r="AK2175" s="25"/>
      <c r="AL2175" s="25"/>
      <c r="AM2175" s="25"/>
      <c r="AN2175" s="25"/>
      <c r="AO2175" s="25"/>
      <c r="AP2175" s="25"/>
      <c r="AQ2175" s="25"/>
      <c r="AR2175" s="25"/>
      <c r="AS2175" s="25"/>
      <c r="AT2175" s="25"/>
      <c r="AU2175" s="36"/>
      <c r="AV2175" s="36"/>
      <c r="AW2175" s="36"/>
      <c r="AX2175" s="25"/>
      <c r="AY2175" s="25"/>
      <c r="AZ2175" s="25"/>
      <c r="BA2175" s="25"/>
      <c r="BB2175" s="25"/>
      <c r="BC2175" s="25"/>
      <c r="BD2175" s="25"/>
      <c r="BE2175" s="25"/>
      <c r="BF2175" s="25"/>
      <c r="BG2175" s="25"/>
      <c r="BH2175" s="25"/>
      <c r="BI2175" s="25"/>
      <c r="BJ2175" s="25"/>
      <c r="BK2175" s="25"/>
      <c r="BL2175" s="25"/>
      <c r="BM2175" s="25"/>
      <c r="BN2175" s="25"/>
      <c r="BO2175" s="25"/>
      <c r="BP2175" s="25"/>
      <c r="BQ2175" s="25"/>
      <c r="BR2175" s="25"/>
      <c r="BS2175" s="25"/>
      <c r="BT2175" s="25"/>
      <c r="BU2175"/>
      <c r="BV2175"/>
      <c r="BW2175"/>
      <c r="BX2175"/>
      <c r="BY2175"/>
      <c r="BZ2175"/>
      <c r="CA2175"/>
      <c r="CB2175"/>
      <c r="CC2175"/>
      <c r="CD2175" s="25"/>
    </row>
    <row r="2176" spans="1:82" s="17" customFormat="1" x14ac:dyDescent="0.2">
      <c r="A2176" s="25"/>
      <c r="B2176" s="20">
        <v>39035101901</v>
      </c>
      <c r="C2176" s="20">
        <v>1019.01</v>
      </c>
      <c r="D2176" s="20" t="s">
        <v>24</v>
      </c>
      <c r="E2176" s="20" t="s">
        <v>2829</v>
      </c>
      <c r="F2176" s="20" t="s">
        <v>6</v>
      </c>
      <c r="G2176" s="861">
        <v>41.811914227846302</v>
      </c>
      <c r="H2176" s="861">
        <v>56.096801566640202</v>
      </c>
      <c r="I2176" s="861">
        <v>52.748425358414899</v>
      </c>
      <c r="J2176" s="861">
        <v>34.270199993017002</v>
      </c>
      <c r="K2176" s="982">
        <v>0</v>
      </c>
      <c r="L2176" s="735">
        <v>1598</v>
      </c>
      <c r="M2176" s="735">
        <v>1433</v>
      </c>
      <c r="N2176" s="845">
        <f t="shared" si="170"/>
        <v>-0.10325406758448059</v>
      </c>
      <c r="O2176" s="735">
        <v>0.19504722745619091</v>
      </c>
      <c r="P2176" s="735">
        <f t="shared" si="171"/>
        <v>7346.93857835976</v>
      </c>
      <c r="Q2176" s="849">
        <v>39.9</v>
      </c>
      <c r="R2176" s="71">
        <v>46389</v>
      </c>
      <c r="S2176" s="845">
        <v>0.33942375263527758</v>
      </c>
      <c r="T2176" s="845">
        <v>0.10300000000000001</v>
      </c>
      <c r="U2176" s="845">
        <v>0</v>
      </c>
      <c r="V2176" s="845">
        <v>0</v>
      </c>
      <c r="W2176" s="845">
        <v>0.52329749103942658</v>
      </c>
      <c r="X2176" s="845">
        <v>0.34246575342465752</v>
      </c>
      <c r="Y2176" s="845">
        <v>0.58688066992323795</v>
      </c>
      <c r="Z2176" s="845">
        <v>0.14794138171667831</v>
      </c>
      <c r="AA2176" s="845">
        <v>0</v>
      </c>
      <c r="AB2176" s="845">
        <v>8.7927424982554084E-2</v>
      </c>
      <c r="AC2176" s="845">
        <v>0</v>
      </c>
      <c r="AD2176" s="845">
        <v>9.5603628750872291E-2</v>
      </c>
      <c r="AE2176" s="845">
        <v>8.1646894626657363E-2</v>
      </c>
      <c r="AF2176" s="845">
        <v>0.17864619678995114</v>
      </c>
      <c r="AG2176" s="845">
        <v>0.531751570132589</v>
      </c>
      <c r="AH2176" s="20" t="str">
        <f t="shared" si="172"/>
        <v>No</v>
      </c>
      <c r="AI2176" s="25"/>
      <c r="AJ2176" s="25"/>
      <c r="AK2176" s="25"/>
      <c r="AL2176" s="25"/>
      <c r="AM2176" s="25"/>
      <c r="AN2176" s="25"/>
      <c r="AO2176" s="25"/>
      <c r="AP2176" s="25"/>
      <c r="AQ2176" s="25"/>
      <c r="AR2176" s="25"/>
      <c r="AS2176" s="25"/>
      <c r="AT2176" s="25"/>
      <c r="AU2176" s="36"/>
      <c r="AV2176" s="36"/>
      <c r="AW2176" s="36"/>
      <c r="AX2176" s="25"/>
      <c r="AY2176" s="25"/>
      <c r="AZ2176" s="25"/>
      <c r="BA2176" s="25"/>
      <c r="BB2176" s="25"/>
      <c r="BC2176" s="25"/>
      <c r="BD2176" s="25"/>
      <c r="BE2176" s="25"/>
      <c r="BF2176" s="25"/>
      <c r="BG2176" s="25"/>
      <c r="BH2176" s="25"/>
      <c r="BI2176" s="25"/>
      <c r="BJ2176" s="25"/>
      <c r="BK2176" s="25"/>
      <c r="BL2176" s="25"/>
      <c r="BM2176" s="25"/>
      <c r="BN2176" s="25"/>
      <c r="BO2176" s="25"/>
      <c r="BP2176" s="25"/>
      <c r="BQ2176" s="25"/>
      <c r="BR2176" s="25"/>
      <c r="BS2176" s="25"/>
      <c r="BT2176" s="25"/>
      <c r="BU2176"/>
      <c r="BV2176"/>
      <c r="BW2176"/>
      <c r="BX2176"/>
      <c r="BY2176"/>
      <c r="BZ2176"/>
      <c r="CA2176"/>
      <c r="CB2176"/>
      <c r="CC2176"/>
      <c r="CD2176" s="25"/>
    </row>
    <row r="2177" spans="1:82" s="17" customFormat="1" x14ac:dyDescent="0.2">
      <c r="A2177" s="25"/>
      <c r="B2177" s="20">
        <v>39023000400</v>
      </c>
      <c r="C2177" s="20">
        <v>4</v>
      </c>
      <c r="D2177" s="20" t="s">
        <v>18</v>
      </c>
      <c r="E2177" s="20" t="s">
        <v>2838</v>
      </c>
      <c r="F2177" s="20" t="s">
        <v>6</v>
      </c>
      <c r="G2177" s="861">
        <v>41.808177301649501</v>
      </c>
      <c r="H2177" s="861">
        <v>46.4692929278566</v>
      </c>
      <c r="I2177" s="861">
        <v>49.537237194415198</v>
      </c>
      <c r="J2177" s="861">
        <v>44.470046028385902</v>
      </c>
      <c r="K2177" s="982">
        <v>0</v>
      </c>
      <c r="L2177" s="735">
        <v>1995</v>
      </c>
      <c r="M2177" s="735">
        <v>2361</v>
      </c>
      <c r="N2177" s="845">
        <f t="shared" si="170"/>
        <v>0.18345864661654135</v>
      </c>
      <c r="O2177" s="735">
        <v>0.50440656270039785</v>
      </c>
      <c r="P2177" s="735">
        <f t="shared" si="171"/>
        <v>4680.7479810732802</v>
      </c>
      <c r="Q2177" s="849">
        <v>35.9</v>
      </c>
      <c r="R2177" s="71">
        <v>42952</v>
      </c>
      <c r="S2177" s="845">
        <v>0.31675170068027209</v>
      </c>
      <c r="T2177" s="845">
        <v>0.128</v>
      </c>
      <c r="U2177" s="845">
        <v>5.4000000000000006E-2</v>
      </c>
      <c r="V2177" s="845">
        <v>0</v>
      </c>
      <c r="W2177" s="845">
        <v>0.58341559723593284</v>
      </c>
      <c r="X2177" s="845">
        <v>0.32318104906937395</v>
      </c>
      <c r="Y2177" s="845">
        <v>0.7386700550614147</v>
      </c>
      <c r="Z2177" s="845">
        <v>0.19059720457433291</v>
      </c>
      <c r="AA2177" s="845">
        <v>0</v>
      </c>
      <c r="AB2177" s="845">
        <v>2.1177467174925877E-3</v>
      </c>
      <c r="AC2177" s="845">
        <v>0</v>
      </c>
      <c r="AD2177" s="845">
        <v>1.397712833545108E-2</v>
      </c>
      <c r="AE2177" s="845">
        <v>5.4637865311308764E-2</v>
      </c>
      <c r="AF2177" s="845">
        <v>7.9627276577721298E-2</v>
      </c>
      <c r="AG2177" s="845">
        <v>0.70902160101651845</v>
      </c>
      <c r="AH2177" s="20" t="str">
        <f t="shared" si="172"/>
        <v>No</v>
      </c>
      <c r="AI2177" s="25"/>
      <c r="AJ2177" s="25"/>
      <c r="AK2177" s="25"/>
      <c r="AL2177" s="25"/>
      <c r="AM2177" s="25"/>
      <c r="AN2177" s="25"/>
      <c r="AO2177" s="25"/>
      <c r="AP2177" s="25"/>
      <c r="AQ2177" s="25"/>
      <c r="AR2177" s="25"/>
      <c r="AS2177" s="25"/>
      <c r="AT2177" s="25"/>
      <c r="AU2177" s="36"/>
      <c r="AV2177" s="36"/>
      <c r="AW2177" s="36"/>
      <c r="AX2177" s="25"/>
      <c r="AY2177" s="25"/>
      <c r="AZ2177" s="25"/>
      <c r="BA2177" s="25"/>
      <c r="BB2177" s="25"/>
      <c r="BC2177" s="25"/>
      <c r="BD2177" s="25"/>
      <c r="BE2177" s="25"/>
      <c r="BF2177" s="25"/>
      <c r="BG2177" s="25"/>
      <c r="BH2177" s="25"/>
      <c r="BI2177" s="25"/>
      <c r="BJ2177" s="25"/>
      <c r="BK2177" s="25"/>
      <c r="BL2177" s="25"/>
      <c r="BM2177" s="25"/>
      <c r="BN2177" s="25"/>
      <c r="BO2177" s="25"/>
      <c r="BP2177" s="25"/>
      <c r="BQ2177" s="25"/>
      <c r="BR2177" s="25"/>
      <c r="BS2177" s="25"/>
      <c r="BT2177" s="25"/>
      <c r="BU2177"/>
      <c r="BV2177"/>
      <c r="BW2177"/>
      <c r="BX2177"/>
      <c r="BY2177"/>
      <c r="BZ2177"/>
      <c r="CA2177"/>
      <c r="CB2177"/>
      <c r="CC2177"/>
      <c r="CD2177" s="25"/>
    </row>
    <row r="2178" spans="1:82" s="17" customFormat="1" x14ac:dyDescent="0.2">
      <c r="A2178" s="25"/>
      <c r="B2178" s="20">
        <v>39035152702</v>
      </c>
      <c r="C2178" s="20">
        <v>1527.02</v>
      </c>
      <c r="D2178" s="20" t="s">
        <v>24</v>
      </c>
      <c r="E2178" s="20" t="s">
        <v>2829</v>
      </c>
      <c r="F2178" s="20" t="s">
        <v>8</v>
      </c>
      <c r="G2178" s="861">
        <v>41.783641215854502</v>
      </c>
      <c r="H2178" s="861">
        <v>56.258701312269103</v>
      </c>
      <c r="I2178" s="861">
        <v>51.360109038875102</v>
      </c>
      <c r="J2178" s="861">
        <v>45.705928954944604</v>
      </c>
      <c r="K2178" s="982">
        <v>0</v>
      </c>
      <c r="L2178" s="735">
        <v>2301</v>
      </c>
      <c r="M2178" s="735">
        <v>2250</v>
      </c>
      <c r="N2178" s="845">
        <f t="shared" si="170"/>
        <v>-2.2164276401564539E-2</v>
      </c>
      <c r="O2178" s="735">
        <v>0.77771708380545423</v>
      </c>
      <c r="P2178" s="735">
        <f t="shared" si="171"/>
        <v>2893.0829048919763</v>
      </c>
      <c r="Q2178" s="849">
        <v>51.7</v>
      </c>
      <c r="R2178" s="71">
        <v>44352</v>
      </c>
      <c r="S2178" s="845">
        <v>0.12332439678284182</v>
      </c>
      <c r="T2178" s="845">
        <v>8.8000000000000009E-2</v>
      </c>
      <c r="U2178" s="845">
        <v>0</v>
      </c>
      <c r="V2178" s="845">
        <v>0</v>
      </c>
      <c r="W2178" s="845">
        <v>0.42342342342342343</v>
      </c>
      <c r="X2178" s="845">
        <v>0.67234042553191486</v>
      </c>
      <c r="Y2178" s="845">
        <v>0.22800000000000001</v>
      </c>
      <c r="Z2178" s="845">
        <v>0.74977777777777777</v>
      </c>
      <c r="AA2178" s="845">
        <v>0</v>
      </c>
      <c r="AB2178" s="845">
        <v>0</v>
      </c>
      <c r="AC2178" s="845">
        <v>0</v>
      </c>
      <c r="AD2178" s="845">
        <v>2.2222222222222223E-2</v>
      </c>
      <c r="AE2178" s="845">
        <v>0</v>
      </c>
      <c r="AF2178" s="845">
        <v>1.2444444444444444E-2</v>
      </c>
      <c r="AG2178" s="845">
        <v>0.22800000000000001</v>
      </c>
      <c r="AH2178" s="20" t="str">
        <f t="shared" si="172"/>
        <v>No</v>
      </c>
      <c r="AI2178" s="25"/>
      <c r="AJ2178" s="25"/>
      <c r="AK2178" s="25"/>
      <c r="AL2178" s="25"/>
      <c r="AM2178" s="25"/>
      <c r="AN2178" s="25"/>
      <c r="AO2178" s="25"/>
      <c r="AP2178" s="25"/>
      <c r="AQ2178" s="25"/>
      <c r="AR2178" s="25"/>
      <c r="AS2178" s="25"/>
      <c r="AT2178" s="25"/>
      <c r="AU2178" s="36"/>
      <c r="AV2178" s="36"/>
      <c r="AW2178" s="36"/>
      <c r="AX2178" s="25"/>
      <c r="AY2178" s="25"/>
      <c r="AZ2178" s="25"/>
      <c r="BA2178" s="25"/>
      <c r="BB2178" s="25"/>
      <c r="BC2178" s="25"/>
      <c r="BD2178" s="25"/>
      <c r="BE2178" s="25"/>
      <c r="BF2178" s="25"/>
      <c r="BG2178" s="25"/>
      <c r="BH2178" s="25"/>
      <c r="BI2178" s="25"/>
      <c r="BJ2178" s="25"/>
      <c r="BK2178" s="25"/>
      <c r="BL2178" s="25"/>
      <c r="BM2178" s="25"/>
      <c r="BN2178" s="25"/>
      <c r="BO2178" s="25"/>
      <c r="BP2178" s="25"/>
      <c r="BQ2178" s="25"/>
      <c r="BR2178" s="25"/>
      <c r="BS2178" s="25"/>
      <c r="BT2178" s="25"/>
      <c r="BU2178"/>
      <c r="BV2178"/>
      <c r="BW2178"/>
      <c r="BX2178"/>
      <c r="BY2178"/>
      <c r="BZ2178"/>
      <c r="CA2178"/>
      <c r="CB2178"/>
      <c r="CC2178"/>
      <c r="CD2178" s="25"/>
    </row>
    <row r="2179" spans="1:82" s="17" customFormat="1" x14ac:dyDescent="0.2">
      <c r="A2179" s="25"/>
      <c r="B2179" s="20">
        <v>39155921200</v>
      </c>
      <c r="C2179" s="20">
        <v>9212</v>
      </c>
      <c r="D2179" s="20" t="s">
        <v>83</v>
      </c>
      <c r="E2179" s="20" t="s">
        <v>2842</v>
      </c>
      <c r="F2179" s="20" t="s">
        <v>6</v>
      </c>
      <c r="G2179" s="861">
        <v>41.782918890399301</v>
      </c>
      <c r="H2179" s="861">
        <v>30.490587636176102</v>
      </c>
      <c r="I2179" s="861">
        <v>50.364240261216104</v>
      </c>
      <c r="J2179" s="861">
        <v>45.831853790559101</v>
      </c>
      <c r="K2179" s="982">
        <v>0</v>
      </c>
      <c r="L2179" s="735">
        <v>1942</v>
      </c>
      <c r="M2179" s="735">
        <v>1728</v>
      </c>
      <c r="N2179" s="845">
        <f t="shared" si="170"/>
        <v>-0.1101956745623069</v>
      </c>
      <c r="O2179" s="735">
        <v>3.0229559625275657</v>
      </c>
      <c r="P2179" s="735">
        <f t="shared" si="171"/>
        <v>571.62592555770414</v>
      </c>
      <c r="Q2179" s="849">
        <v>30.4</v>
      </c>
      <c r="R2179" s="71">
        <v>38125</v>
      </c>
      <c r="S2179" s="845">
        <v>0.3019859813084112</v>
      </c>
      <c r="T2179" s="845">
        <v>5.0000000000000001E-3</v>
      </c>
      <c r="U2179" s="845">
        <v>0</v>
      </c>
      <c r="V2179" s="845">
        <v>9.5000000000000001E-2</v>
      </c>
      <c r="W2179" s="845">
        <v>0.41456582633053224</v>
      </c>
      <c r="X2179" s="845">
        <v>0.52027027027027029</v>
      </c>
      <c r="Y2179" s="845">
        <v>0.70428240740740744</v>
      </c>
      <c r="Z2179" s="845">
        <v>0.28530092592592593</v>
      </c>
      <c r="AA2179" s="845">
        <v>0</v>
      </c>
      <c r="AB2179" s="845">
        <v>0</v>
      </c>
      <c r="AC2179" s="845">
        <v>0</v>
      </c>
      <c r="AD2179" s="845">
        <v>0</v>
      </c>
      <c r="AE2179" s="845">
        <v>1.0416666666666666E-2</v>
      </c>
      <c r="AF2179" s="845">
        <v>7.6967592592592587E-2</v>
      </c>
      <c r="AG2179" s="845">
        <v>0.68518518518518523</v>
      </c>
      <c r="AH2179" s="20" t="str">
        <f t="shared" si="172"/>
        <v>No</v>
      </c>
      <c r="AI2179" s="25"/>
      <c r="AJ2179" s="25"/>
      <c r="AK2179" s="25"/>
      <c r="AL2179" s="25"/>
      <c r="AM2179" s="25"/>
      <c r="AN2179" s="25"/>
      <c r="AO2179" s="25"/>
      <c r="AP2179" s="25"/>
      <c r="AQ2179" s="25"/>
      <c r="AR2179" s="25"/>
      <c r="AS2179" s="25"/>
      <c r="AT2179" s="25"/>
      <c r="AU2179" s="36"/>
      <c r="AV2179" s="36"/>
      <c r="AW2179" s="36"/>
      <c r="AX2179" s="25"/>
      <c r="AY2179" s="25"/>
      <c r="AZ2179" s="25"/>
      <c r="BA2179" s="25"/>
      <c r="BB2179" s="25"/>
      <c r="BC2179" s="25"/>
      <c r="BD2179" s="25"/>
      <c r="BE2179" s="25"/>
      <c r="BF2179" s="25"/>
      <c r="BG2179" s="25"/>
      <c r="BH2179" s="25"/>
      <c r="BI2179" s="25"/>
      <c r="BJ2179" s="25"/>
      <c r="BK2179" s="25"/>
      <c r="BL2179" s="25"/>
      <c r="BM2179" s="25"/>
      <c r="BN2179" s="25"/>
      <c r="BO2179" s="25"/>
      <c r="BP2179" s="25"/>
      <c r="BQ2179" s="25"/>
      <c r="BR2179" s="25"/>
      <c r="BS2179" s="25"/>
      <c r="BT2179" s="25"/>
      <c r="BU2179"/>
      <c r="BV2179"/>
      <c r="BW2179"/>
      <c r="BX2179"/>
      <c r="BY2179"/>
      <c r="BZ2179"/>
      <c r="CA2179"/>
      <c r="CB2179"/>
      <c r="CC2179"/>
      <c r="CD2179" s="25"/>
    </row>
    <row r="2180" spans="1:82" s="17" customFormat="1" x14ac:dyDescent="0.2">
      <c r="A2180" s="25"/>
      <c r="B2180" s="20">
        <v>39095009800</v>
      </c>
      <c r="C2180" s="20">
        <v>98</v>
      </c>
      <c r="D2180" s="20" t="s">
        <v>53</v>
      </c>
      <c r="E2180" s="20" t="s">
        <v>2839</v>
      </c>
      <c r="F2180" s="20" t="s">
        <v>8</v>
      </c>
      <c r="G2180" s="861">
        <v>41.777154441080697</v>
      </c>
      <c r="H2180" s="861">
        <v>53.357768914295598</v>
      </c>
      <c r="I2180" s="861">
        <v>27.765579146097799</v>
      </c>
      <c r="J2180" s="861">
        <v>51.3610710063179</v>
      </c>
      <c r="K2180" s="982">
        <v>0</v>
      </c>
      <c r="L2180" s="735">
        <v>4202</v>
      </c>
      <c r="M2180" s="735">
        <v>4414</v>
      </c>
      <c r="N2180" s="845">
        <f t="shared" si="170"/>
        <v>5.045216563541171E-2</v>
      </c>
      <c r="O2180" s="735">
        <v>13.753407153672223</v>
      </c>
      <c r="P2180" s="735">
        <f t="shared" si="171"/>
        <v>320.93865546774288</v>
      </c>
      <c r="Q2180" s="849">
        <v>45.4</v>
      </c>
      <c r="R2180" s="71">
        <v>109706</v>
      </c>
      <c r="S2180" s="845">
        <v>5.8796821793416575E-2</v>
      </c>
      <c r="T2180" s="845">
        <v>3.6000000000000004E-2</v>
      </c>
      <c r="U2180" s="845">
        <v>0</v>
      </c>
      <c r="V2180" s="845">
        <v>0.17699999999999999</v>
      </c>
      <c r="W2180" s="845">
        <v>7.5934579439252331E-2</v>
      </c>
      <c r="X2180" s="845">
        <v>0.32307692307692309</v>
      </c>
      <c r="Y2180" s="845">
        <v>0.90371545083824201</v>
      </c>
      <c r="Z2180" s="845">
        <v>6.7965564114182153E-4</v>
      </c>
      <c r="AA2180" s="845">
        <v>2.6959673765292253E-2</v>
      </c>
      <c r="AB2180" s="845">
        <v>2.7186225645672861E-3</v>
      </c>
      <c r="AC2180" s="845">
        <v>0</v>
      </c>
      <c r="AD2180" s="845">
        <v>2.242863615768011E-2</v>
      </c>
      <c r="AE2180" s="845">
        <v>4.3497961033076578E-2</v>
      </c>
      <c r="AF2180" s="845">
        <v>0.10058903488898958</v>
      </c>
      <c r="AG2180" s="845">
        <v>0.88740371545083829</v>
      </c>
      <c r="AH2180" s="20" t="str">
        <f t="shared" si="172"/>
        <v>No</v>
      </c>
      <c r="AI2180" s="25"/>
      <c r="AJ2180" s="25"/>
      <c r="AK2180" s="25"/>
      <c r="AL2180" s="25"/>
      <c r="AM2180" s="25"/>
      <c r="AN2180" s="25"/>
      <c r="AO2180" s="25"/>
      <c r="AP2180" s="25"/>
      <c r="AQ2180" s="25"/>
      <c r="AR2180" s="25"/>
      <c r="AS2180" s="25"/>
      <c r="AT2180" s="25"/>
      <c r="AU2180" s="36"/>
      <c r="AV2180" s="36"/>
      <c r="AW2180" s="36"/>
      <c r="AX2180" s="25"/>
      <c r="AY2180" s="25"/>
      <c r="AZ2180" s="25"/>
      <c r="BA2180" s="25"/>
      <c r="BB2180" s="25"/>
      <c r="BC2180" s="25"/>
      <c r="BD2180" s="25"/>
      <c r="BE2180" s="25"/>
      <c r="BF2180" s="25"/>
      <c r="BG2180" s="25"/>
      <c r="BH2180" s="25"/>
      <c r="BI2180" s="25"/>
      <c r="BJ2180" s="25"/>
      <c r="BK2180" s="25"/>
      <c r="BL2180" s="25"/>
      <c r="BM2180" s="25"/>
      <c r="BN2180" s="25"/>
      <c r="BO2180" s="25"/>
      <c r="BP2180" s="25"/>
      <c r="BQ2180" s="25"/>
      <c r="BR2180" s="25"/>
      <c r="BS2180" s="25"/>
      <c r="BT2180" s="25"/>
      <c r="BU2180"/>
      <c r="BV2180"/>
      <c r="BW2180"/>
      <c r="BX2180"/>
      <c r="BY2180"/>
      <c r="BZ2180"/>
      <c r="CA2180"/>
      <c r="CB2180"/>
      <c r="CC2180"/>
      <c r="CD2180" s="25"/>
    </row>
    <row r="2181" spans="1:82" s="17" customFormat="1" x14ac:dyDescent="0.2">
      <c r="A2181" s="25"/>
      <c r="B2181" s="20">
        <v>39099804200</v>
      </c>
      <c r="C2181" s="20">
        <v>8042</v>
      </c>
      <c r="D2181" s="20" t="s">
        <v>55</v>
      </c>
      <c r="E2181" s="20" t="s">
        <v>2842</v>
      </c>
      <c r="F2181" s="20" t="s">
        <v>8</v>
      </c>
      <c r="G2181" s="861">
        <v>41.762895083340297</v>
      </c>
      <c r="H2181" s="861">
        <v>57.773009547635503</v>
      </c>
      <c r="I2181" s="861">
        <v>50.935993868474299</v>
      </c>
      <c r="J2181" s="861">
        <v>32.939532680813699</v>
      </c>
      <c r="K2181" s="982">
        <v>0</v>
      </c>
      <c r="L2181" s="735">
        <v>2564</v>
      </c>
      <c r="M2181" s="735">
        <v>2079</v>
      </c>
      <c r="N2181" s="845">
        <f t="shared" si="170"/>
        <v>-0.1891575663026521</v>
      </c>
      <c r="O2181" s="735">
        <v>0.51339733756538364</v>
      </c>
      <c r="P2181" s="735">
        <f t="shared" si="171"/>
        <v>4049.4950944992565</v>
      </c>
      <c r="Q2181" s="849">
        <v>38.1</v>
      </c>
      <c r="R2181" s="71">
        <v>50909</v>
      </c>
      <c r="S2181" s="845">
        <v>0.1950975487743872</v>
      </c>
      <c r="T2181" s="845">
        <v>3.6000000000000004E-2</v>
      </c>
      <c r="U2181" s="845">
        <v>6.0000000000000001E-3</v>
      </c>
      <c r="V2181" s="845">
        <v>0.13400000000000001</v>
      </c>
      <c r="W2181" s="845">
        <v>0.46179775280898877</v>
      </c>
      <c r="X2181" s="845">
        <v>0.31386861313868614</v>
      </c>
      <c r="Y2181" s="845">
        <v>0.52717652717652719</v>
      </c>
      <c r="Z2181" s="845">
        <v>0.34247234247234248</v>
      </c>
      <c r="AA2181" s="845">
        <v>0</v>
      </c>
      <c r="AB2181" s="845">
        <v>5.6758056758056757E-2</v>
      </c>
      <c r="AC2181" s="845">
        <v>0</v>
      </c>
      <c r="AD2181" s="845">
        <v>1.5392015392015393E-2</v>
      </c>
      <c r="AE2181" s="845">
        <v>5.8201058201058198E-2</v>
      </c>
      <c r="AF2181" s="845">
        <v>1.3468013468013467E-2</v>
      </c>
      <c r="AG2181" s="845">
        <v>0.52332852332852331</v>
      </c>
      <c r="AH2181" s="20" t="str">
        <f t="shared" si="172"/>
        <v>No</v>
      </c>
      <c r="AI2181" s="25"/>
      <c r="AJ2181" s="25"/>
      <c r="AK2181" s="25"/>
      <c r="AL2181" s="25"/>
      <c r="AM2181" s="25"/>
      <c r="AN2181" s="25"/>
      <c r="AO2181" s="25"/>
      <c r="AP2181" s="25"/>
      <c r="AQ2181" s="25"/>
      <c r="AR2181" s="25"/>
      <c r="AS2181" s="25"/>
      <c r="AT2181" s="25"/>
      <c r="AU2181" s="36"/>
      <c r="AV2181" s="36"/>
      <c r="AW2181" s="36"/>
      <c r="AX2181" s="25"/>
      <c r="AY2181" s="25"/>
      <c r="AZ2181" s="25"/>
      <c r="BA2181" s="25"/>
      <c r="BB2181" s="25"/>
      <c r="BC2181" s="25"/>
      <c r="BD2181" s="25"/>
      <c r="BE2181" s="25"/>
      <c r="BF2181" s="25"/>
      <c r="BG2181" s="25"/>
      <c r="BH2181" s="25"/>
      <c r="BI2181" s="25"/>
      <c r="BJ2181" s="25"/>
      <c r="BK2181" s="25"/>
      <c r="BL2181" s="25"/>
      <c r="BM2181" s="25"/>
      <c r="BN2181" s="25"/>
      <c r="BO2181" s="25"/>
      <c r="BP2181" s="25"/>
      <c r="BQ2181" s="25"/>
      <c r="BR2181" s="25"/>
      <c r="BS2181" s="25"/>
      <c r="BT2181" s="25"/>
      <c r="BU2181"/>
      <c r="BV2181"/>
      <c r="BW2181"/>
      <c r="BX2181"/>
      <c r="BY2181"/>
      <c r="BZ2181"/>
      <c r="CA2181"/>
      <c r="CB2181"/>
      <c r="CC2181"/>
      <c r="CD2181" s="25"/>
    </row>
    <row r="2182" spans="1:82" s="17" customFormat="1" x14ac:dyDescent="0.2">
      <c r="A2182" s="25"/>
      <c r="B2182" s="20">
        <v>39073965400</v>
      </c>
      <c r="C2182" s="20">
        <v>9654</v>
      </c>
      <c r="D2182" s="20" t="s">
        <v>43</v>
      </c>
      <c r="E2182" s="20" t="s">
        <v>2830</v>
      </c>
      <c r="F2182" s="20" t="s">
        <v>8</v>
      </c>
      <c r="G2182" s="861">
        <v>41.759812711769001</v>
      </c>
      <c r="H2182" s="861">
        <v>42.524912536076499</v>
      </c>
      <c r="I2182" s="861">
        <v>28.1230721541937</v>
      </c>
      <c r="J2182" s="861">
        <v>45.122183999732599</v>
      </c>
      <c r="K2182" s="982">
        <v>0</v>
      </c>
      <c r="L2182" s="735">
        <v>4202</v>
      </c>
      <c r="M2182" s="735">
        <v>4762</v>
      </c>
      <c r="N2182" s="845">
        <f t="shared" si="170"/>
        <v>0.13326987148976677</v>
      </c>
      <c r="O2182" s="735">
        <v>21.400680870307163</v>
      </c>
      <c r="P2182" s="735">
        <f t="shared" si="171"/>
        <v>222.51628482564496</v>
      </c>
      <c r="Q2182" s="849">
        <v>37.799999999999997</v>
      </c>
      <c r="R2182" s="71">
        <v>54367</v>
      </c>
      <c r="S2182" s="845">
        <v>0.23342175066312998</v>
      </c>
      <c r="T2182" s="845">
        <v>3.6000000000000004E-2</v>
      </c>
      <c r="U2182" s="845">
        <v>0</v>
      </c>
      <c r="V2182" s="845">
        <v>1.8000000000000002E-2</v>
      </c>
      <c r="W2182" s="845">
        <v>0.35037768739105174</v>
      </c>
      <c r="X2182" s="845">
        <v>0.45107794361525705</v>
      </c>
      <c r="Y2182" s="845">
        <v>0.97039059218815626</v>
      </c>
      <c r="Z2182" s="845">
        <v>2.7299454010919783E-3</v>
      </c>
      <c r="AA2182" s="845">
        <v>1.25997480050399E-3</v>
      </c>
      <c r="AB2182" s="845">
        <v>1.0709785804283915E-2</v>
      </c>
      <c r="AC2182" s="845">
        <v>0</v>
      </c>
      <c r="AD2182" s="845">
        <v>0</v>
      </c>
      <c r="AE2182" s="845">
        <v>1.490970180596388E-2</v>
      </c>
      <c r="AF2182" s="845">
        <v>2.3099538009239817E-3</v>
      </c>
      <c r="AG2182" s="845">
        <v>0.96808063838723224</v>
      </c>
      <c r="AH2182" s="20" t="str">
        <f t="shared" si="172"/>
        <v>Yes</v>
      </c>
      <c r="AI2182" s="25"/>
      <c r="AJ2182" s="25"/>
      <c r="AK2182" s="25"/>
      <c r="AL2182" s="25"/>
      <c r="AM2182" s="25"/>
      <c r="AN2182" s="25"/>
      <c r="AO2182" s="25"/>
      <c r="AP2182" s="25"/>
      <c r="AQ2182" s="25"/>
      <c r="AR2182" s="25"/>
      <c r="AS2182" s="25"/>
      <c r="AT2182" s="25"/>
      <c r="AU2182" s="36"/>
      <c r="AV2182" s="36"/>
      <c r="AW2182" s="36"/>
      <c r="AX2182" s="25"/>
      <c r="AY2182" s="25"/>
      <c r="AZ2182" s="25"/>
      <c r="BA2182" s="25"/>
      <c r="BB2182" s="25"/>
      <c r="BC2182" s="25"/>
      <c r="BD2182" s="25"/>
      <c r="BE2182" s="25"/>
      <c r="BF2182" s="25"/>
      <c r="BG2182" s="25"/>
      <c r="BH2182" s="25"/>
      <c r="BI2182" s="25"/>
      <c r="BJ2182" s="25"/>
      <c r="BK2182" s="25"/>
      <c r="BL2182" s="25"/>
      <c r="BM2182" s="25"/>
      <c r="BN2182" s="25"/>
      <c r="BO2182" s="25"/>
      <c r="BP2182" s="25"/>
      <c r="BQ2182" s="25"/>
      <c r="BR2182" s="25"/>
      <c r="BS2182" s="25"/>
      <c r="BT2182" s="25"/>
      <c r="BU2182"/>
      <c r="BV2182"/>
      <c r="BW2182"/>
      <c r="BX2182"/>
      <c r="BY2182"/>
      <c r="BZ2182"/>
      <c r="CA2182"/>
      <c r="CB2182"/>
      <c r="CC2182"/>
      <c r="CD2182" s="25"/>
    </row>
    <row r="2183" spans="1:82" s="17" customFormat="1" x14ac:dyDescent="0.2">
      <c r="A2183" s="25"/>
      <c r="B2183" s="20">
        <v>39151712500</v>
      </c>
      <c r="C2183" s="20">
        <v>7125</v>
      </c>
      <c r="D2183" s="20" t="s">
        <v>81</v>
      </c>
      <c r="E2183" s="20" t="s">
        <v>2844</v>
      </c>
      <c r="F2183" s="20" t="s">
        <v>8</v>
      </c>
      <c r="G2183" s="861">
        <v>41.728100192116301</v>
      </c>
      <c r="H2183" s="861">
        <v>40.817369134159598</v>
      </c>
      <c r="I2183" s="861">
        <v>25.650016888796099</v>
      </c>
      <c r="J2183" s="861">
        <v>41.775253495865101</v>
      </c>
      <c r="K2183" s="982">
        <v>0</v>
      </c>
      <c r="L2183" s="735">
        <v>1982</v>
      </c>
      <c r="M2183" s="735">
        <v>2067</v>
      </c>
      <c r="N2183" s="845">
        <f t="shared" si="170"/>
        <v>4.2885973763874874E-2</v>
      </c>
      <c r="O2183" s="735">
        <v>2.9858959468350612</v>
      </c>
      <c r="P2183" s="735">
        <f t="shared" si="171"/>
        <v>692.25453157232198</v>
      </c>
      <c r="Q2183" s="849">
        <v>37.299999999999997</v>
      </c>
      <c r="R2183" s="71">
        <v>77607</v>
      </c>
      <c r="S2183" s="845">
        <v>7.4504112239961298E-2</v>
      </c>
      <c r="T2183" s="845">
        <v>6.0000000000000001E-3</v>
      </c>
      <c r="U2183" s="845">
        <v>0</v>
      </c>
      <c r="V2183" s="845">
        <v>0</v>
      </c>
      <c r="W2183" s="845">
        <v>0.24461343472750316</v>
      </c>
      <c r="X2183" s="845">
        <v>0.48704663212435234</v>
      </c>
      <c r="Y2183" s="845">
        <v>0.93904208998548622</v>
      </c>
      <c r="Z2183" s="845">
        <v>4.8379293662312532E-3</v>
      </c>
      <c r="AA2183" s="845">
        <v>0</v>
      </c>
      <c r="AB2183" s="845">
        <v>0</v>
      </c>
      <c r="AC2183" s="845">
        <v>0</v>
      </c>
      <c r="AD2183" s="845">
        <v>1.741654571843251E-2</v>
      </c>
      <c r="AE2183" s="845">
        <v>3.8703434929850025E-2</v>
      </c>
      <c r="AF2183" s="845">
        <v>3.8703434929850025E-2</v>
      </c>
      <c r="AG2183" s="845">
        <v>0.92259313014029998</v>
      </c>
      <c r="AH2183" s="20" t="str">
        <f t="shared" si="172"/>
        <v>Yes</v>
      </c>
      <c r="AI2183" s="25"/>
      <c r="AJ2183" s="25"/>
      <c r="AK2183" s="25"/>
      <c r="AL2183" s="25"/>
      <c r="AM2183" s="25"/>
      <c r="AN2183" s="25"/>
      <c r="AO2183" s="25"/>
      <c r="AP2183" s="25"/>
      <c r="AQ2183" s="25"/>
      <c r="AR2183" s="25"/>
      <c r="AS2183" s="25"/>
      <c r="AT2183" s="25"/>
      <c r="AU2183" s="36"/>
      <c r="AV2183" s="36"/>
      <c r="AW2183" s="36"/>
      <c r="AX2183" s="25"/>
      <c r="AY2183" s="25"/>
      <c r="AZ2183" s="25"/>
      <c r="BA2183" s="25"/>
      <c r="BB2183" s="25"/>
      <c r="BC2183" s="25"/>
      <c r="BD2183" s="25"/>
      <c r="BE2183" s="25"/>
      <c r="BF2183" s="25"/>
      <c r="BG2183" s="25"/>
      <c r="BH2183" s="25"/>
      <c r="BI2183" s="25"/>
      <c r="BJ2183" s="25"/>
      <c r="BK2183" s="25"/>
      <c r="BL2183" s="25"/>
      <c r="BM2183" s="25"/>
      <c r="BN2183" s="25"/>
      <c r="BO2183" s="25"/>
      <c r="BP2183" s="25"/>
      <c r="BQ2183" s="25"/>
      <c r="BR2183" s="25"/>
      <c r="BS2183" s="25"/>
      <c r="BT2183" s="25"/>
      <c r="BU2183"/>
      <c r="BV2183"/>
      <c r="BW2183"/>
      <c r="BX2183"/>
      <c r="BY2183"/>
      <c r="BZ2183"/>
      <c r="CA2183"/>
      <c r="CB2183"/>
      <c r="CC2183"/>
      <c r="CD2183" s="25"/>
    </row>
    <row r="2184" spans="1:82" s="17" customFormat="1" x14ac:dyDescent="0.2">
      <c r="A2184" s="25"/>
      <c r="B2184" s="20">
        <v>39049000910</v>
      </c>
      <c r="C2184" s="20">
        <v>9.1</v>
      </c>
      <c r="D2184" s="20" t="s">
        <v>31</v>
      </c>
      <c r="E2184" s="20" t="s">
        <v>2830</v>
      </c>
      <c r="F2184" s="20" t="s">
        <v>6</v>
      </c>
      <c r="G2184" s="861">
        <v>41.725541978993597</v>
      </c>
      <c r="H2184" s="861">
        <v>37.784313356115703</v>
      </c>
      <c r="I2184" s="861">
        <v>69.039014034523603</v>
      </c>
      <c r="J2184" s="861">
        <v>60.288436943481599</v>
      </c>
      <c r="K2184" s="982">
        <v>0</v>
      </c>
      <c r="L2184" s="735">
        <v>3734</v>
      </c>
      <c r="M2184" s="735">
        <v>3478</v>
      </c>
      <c r="N2184" s="845">
        <f t="shared" si="170"/>
        <v>-6.8559185859667915E-2</v>
      </c>
      <c r="O2184" s="735">
        <v>0.49518798756184251</v>
      </c>
      <c r="P2184" s="735">
        <f t="shared" si="171"/>
        <v>7023.5952554597125</v>
      </c>
      <c r="Q2184" s="849">
        <v>27.9</v>
      </c>
      <c r="R2184" s="71">
        <v>39383</v>
      </c>
      <c r="S2184" s="845">
        <v>0.31617008967312699</v>
      </c>
      <c r="T2184" s="845">
        <v>0.184</v>
      </c>
      <c r="U2184" s="845">
        <v>6.9000000000000006E-2</v>
      </c>
      <c r="V2184" s="845">
        <v>4.4000000000000004E-2</v>
      </c>
      <c r="W2184" s="845">
        <v>0.59716430358632189</v>
      </c>
      <c r="X2184" s="845">
        <v>0.65642458100558654</v>
      </c>
      <c r="Y2184" s="845">
        <v>0.19350201265094882</v>
      </c>
      <c r="Z2184" s="845">
        <v>0.74496837262794713</v>
      </c>
      <c r="AA2184" s="845">
        <v>0</v>
      </c>
      <c r="AB2184" s="845">
        <v>0</v>
      </c>
      <c r="AC2184" s="845">
        <v>0</v>
      </c>
      <c r="AD2184" s="845">
        <v>0</v>
      </c>
      <c r="AE2184" s="845">
        <v>6.1529614721104083E-2</v>
      </c>
      <c r="AF2184" s="845">
        <v>6.6129959746981021E-2</v>
      </c>
      <c r="AG2184" s="845">
        <v>0.17855089131684876</v>
      </c>
      <c r="AH2184" s="20" t="str">
        <f t="shared" si="172"/>
        <v>No</v>
      </c>
      <c r="AI2184" s="25"/>
      <c r="AJ2184" s="25"/>
      <c r="AK2184" s="25"/>
      <c r="AL2184" s="25"/>
      <c r="AM2184" s="25"/>
      <c r="AN2184" s="25"/>
      <c r="AO2184" s="25"/>
      <c r="AP2184" s="25"/>
      <c r="AQ2184" s="25"/>
      <c r="AR2184" s="25"/>
      <c r="AS2184" s="25"/>
      <c r="AT2184" s="25"/>
      <c r="AU2184" s="36"/>
      <c r="AV2184" s="36"/>
      <c r="AW2184" s="36"/>
      <c r="AX2184" s="25"/>
      <c r="AY2184" s="25"/>
      <c r="AZ2184" s="25"/>
      <c r="BA2184" s="25"/>
      <c r="BB2184" s="25"/>
      <c r="BC2184" s="25"/>
      <c r="BD2184" s="25"/>
      <c r="BE2184" s="25"/>
      <c r="BF2184" s="25"/>
      <c r="BG2184" s="25"/>
      <c r="BH2184" s="25"/>
      <c r="BI2184" s="25"/>
      <c r="BJ2184" s="25"/>
      <c r="BK2184" s="25"/>
      <c r="BL2184" s="25"/>
      <c r="BM2184" s="25"/>
      <c r="BN2184" s="25"/>
      <c r="BO2184" s="25"/>
      <c r="BP2184" s="25"/>
      <c r="BQ2184" s="25"/>
      <c r="BR2184" s="25"/>
      <c r="BS2184" s="25"/>
      <c r="BT2184" s="25"/>
      <c r="BU2184"/>
      <c r="BV2184"/>
      <c r="BW2184"/>
      <c r="BX2184"/>
      <c r="BY2184"/>
      <c r="BZ2184"/>
      <c r="CA2184"/>
      <c r="CB2184"/>
      <c r="CC2184"/>
      <c r="CD2184" s="25"/>
    </row>
    <row r="2185" spans="1:82" s="17" customFormat="1" x14ac:dyDescent="0.2">
      <c r="A2185" s="25"/>
      <c r="B2185" s="20">
        <v>39035107802</v>
      </c>
      <c r="C2185" s="20">
        <v>1078.02</v>
      </c>
      <c r="D2185" s="20" t="s">
        <v>24</v>
      </c>
      <c r="E2185" s="20" t="s">
        <v>2829</v>
      </c>
      <c r="F2185" s="20" t="s">
        <v>6</v>
      </c>
      <c r="G2185" s="861">
        <v>41.723863776037497</v>
      </c>
      <c r="H2185" s="861">
        <v>38.203872926088003</v>
      </c>
      <c r="I2185" s="861">
        <v>35.074218493232301</v>
      </c>
      <c r="J2185" s="861">
        <v>53.477154204881799</v>
      </c>
      <c r="K2185" s="982">
        <v>1</v>
      </c>
      <c r="L2185" s="735">
        <v>3738</v>
      </c>
      <c r="M2185" s="735">
        <v>4352</v>
      </c>
      <c r="N2185" s="845">
        <f t="shared" si="170"/>
        <v>0.16425896201177101</v>
      </c>
      <c r="O2185" s="735">
        <v>0.708260394291926</v>
      </c>
      <c r="P2185" s="735">
        <f t="shared" si="171"/>
        <v>6144.6327298180422</v>
      </c>
      <c r="Q2185" s="849">
        <v>28</v>
      </c>
      <c r="R2185" s="71">
        <v>25932</v>
      </c>
      <c r="S2185" s="845">
        <v>0.60193452380952384</v>
      </c>
      <c r="T2185" s="845">
        <v>8.900000000000001E-2</v>
      </c>
      <c r="U2185" s="845">
        <v>0</v>
      </c>
      <c r="V2185" s="845">
        <v>0.13300000000000001</v>
      </c>
      <c r="W2185" s="845">
        <v>0.95206861755802219</v>
      </c>
      <c r="X2185" s="845">
        <v>0.36883942766295708</v>
      </c>
      <c r="Y2185" s="845">
        <v>0.32146139705882354</v>
      </c>
      <c r="Z2185" s="845">
        <v>0.35776654411764708</v>
      </c>
      <c r="AA2185" s="845">
        <v>1.2178308823529412E-2</v>
      </c>
      <c r="AB2185" s="845">
        <v>0.26401654411764708</v>
      </c>
      <c r="AC2185" s="845">
        <v>0</v>
      </c>
      <c r="AD2185" s="845">
        <v>1.1488970588235295E-2</v>
      </c>
      <c r="AE2185" s="845">
        <v>3.3088235294117647E-2</v>
      </c>
      <c r="AF2185" s="845">
        <v>3.0101102941176471E-2</v>
      </c>
      <c r="AG2185" s="845">
        <v>0.31916360294117646</v>
      </c>
      <c r="AH2185" s="20" t="str">
        <f t="shared" si="172"/>
        <v>No</v>
      </c>
      <c r="AI2185" s="25"/>
      <c r="AJ2185" s="25"/>
      <c r="AK2185" s="25"/>
      <c r="AL2185" s="25"/>
      <c r="AM2185" s="25"/>
      <c r="AN2185" s="25"/>
      <c r="AO2185" s="25"/>
      <c r="AP2185" s="25"/>
      <c r="AQ2185" s="25"/>
      <c r="AR2185" s="25"/>
      <c r="AS2185" s="25"/>
      <c r="AT2185" s="25"/>
      <c r="AU2185" s="36"/>
      <c r="AV2185" s="36"/>
      <c r="AW2185" s="36"/>
      <c r="AX2185" s="25"/>
      <c r="AY2185" s="25"/>
      <c r="AZ2185" s="25"/>
      <c r="BA2185" s="25"/>
      <c r="BB2185" s="25"/>
      <c r="BC2185" s="25"/>
      <c r="BD2185" s="25"/>
      <c r="BE2185" s="25"/>
      <c r="BF2185" s="25"/>
      <c r="BG2185" s="25"/>
      <c r="BH2185" s="25"/>
      <c r="BI2185" s="25"/>
      <c r="BJ2185" s="25"/>
      <c r="BK2185" s="25"/>
      <c r="BL2185" s="25"/>
      <c r="BM2185" s="25"/>
      <c r="BN2185" s="25"/>
      <c r="BO2185" s="25"/>
      <c r="BP2185" s="25"/>
      <c r="BQ2185" s="25"/>
      <c r="BR2185" s="25"/>
      <c r="BS2185" s="25"/>
      <c r="BT2185" s="25"/>
      <c r="BU2185"/>
      <c r="BV2185"/>
      <c r="BW2185"/>
      <c r="BX2185"/>
      <c r="BY2185"/>
      <c r="BZ2185"/>
      <c r="CA2185"/>
      <c r="CB2185"/>
      <c r="CC2185"/>
      <c r="CD2185" s="25"/>
    </row>
    <row r="2186" spans="1:82" s="17" customFormat="1" x14ac:dyDescent="0.2">
      <c r="A2186" s="25"/>
      <c r="B2186" s="20">
        <v>39113000400</v>
      </c>
      <c r="C2186" s="20">
        <v>4</v>
      </c>
      <c r="D2186" s="20" t="s">
        <v>62</v>
      </c>
      <c r="E2186" s="20" t="s">
        <v>2833</v>
      </c>
      <c r="F2186" s="20" t="s">
        <v>6</v>
      </c>
      <c r="G2186" s="861">
        <v>41.723657076847999</v>
      </c>
      <c r="H2186" s="861">
        <v>53.892110956710397</v>
      </c>
      <c r="I2186" s="861">
        <v>49.649263536103398</v>
      </c>
      <c r="J2186" s="861">
        <v>52.329273515158697</v>
      </c>
      <c r="K2186" s="982">
        <v>0</v>
      </c>
      <c r="L2186" s="735">
        <v>3911</v>
      </c>
      <c r="M2186" s="735">
        <v>4423</v>
      </c>
      <c r="N2186" s="845">
        <f t="shared" si="170"/>
        <v>0.13091281002301203</v>
      </c>
      <c r="O2186" s="735">
        <v>0.83297486643674212</v>
      </c>
      <c r="P2186" s="735">
        <f t="shared" si="171"/>
        <v>5309.8841012100238</v>
      </c>
      <c r="Q2186" s="849">
        <v>34.700000000000003</v>
      </c>
      <c r="R2186" s="71">
        <v>47813</v>
      </c>
      <c r="S2186" s="845">
        <v>0.27955750172850885</v>
      </c>
      <c r="T2186" s="845">
        <v>0.12</v>
      </c>
      <c r="U2186" s="845">
        <v>0</v>
      </c>
      <c r="V2186" s="845">
        <v>4.0999999999999995E-2</v>
      </c>
      <c r="W2186" s="845">
        <v>0.43473053892215568</v>
      </c>
      <c r="X2186" s="845">
        <v>0.42837465564738292</v>
      </c>
      <c r="Y2186" s="845">
        <v>8.4331901424372593E-2</v>
      </c>
      <c r="Z2186" s="845">
        <v>0.81686638028487457</v>
      </c>
      <c r="AA2186" s="845">
        <v>0</v>
      </c>
      <c r="AB2186" s="845">
        <v>1.1982817092471173E-2</v>
      </c>
      <c r="AC2186" s="845">
        <v>0</v>
      </c>
      <c r="AD2186" s="845">
        <v>0</v>
      </c>
      <c r="AE2186" s="845">
        <v>8.6818901198281714E-2</v>
      </c>
      <c r="AF2186" s="845">
        <v>4.024417815962017E-2</v>
      </c>
      <c r="AG2186" s="845">
        <v>8.4331901424372593E-2</v>
      </c>
      <c r="AH2186" s="20" t="str">
        <f t="shared" si="172"/>
        <v>No</v>
      </c>
      <c r="AI2186" s="25"/>
      <c r="AJ2186" s="25"/>
      <c r="AK2186" s="25"/>
      <c r="AL2186" s="25"/>
      <c r="AM2186" s="25"/>
      <c r="AN2186" s="25"/>
      <c r="AO2186" s="25"/>
      <c r="AP2186" s="25"/>
      <c r="AQ2186" s="25"/>
      <c r="AR2186" s="25"/>
      <c r="AS2186" s="25"/>
      <c r="AT2186" s="25"/>
      <c r="AU2186" s="36"/>
      <c r="AV2186" s="36"/>
      <c r="AW2186" s="36"/>
      <c r="AX2186" s="25"/>
      <c r="AY2186" s="25"/>
      <c r="AZ2186" s="25"/>
      <c r="BA2186" s="25"/>
      <c r="BB2186" s="25"/>
      <c r="BC2186" s="25"/>
      <c r="BD2186" s="25"/>
      <c r="BE2186" s="25"/>
      <c r="BF2186" s="25"/>
      <c r="BG2186" s="25"/>
      <c r="BH2186" s="25"/>
      <c r="BI2186" s="25"/>
      <c r="BJ2186" s="25"/>
      <c r="BK2186" s="25"/>
      <c r="BL2186" s="25"/>
      <c r="BM2186" s="25"/>
      <c r="BN2186" s="25"/>
      <c r="BO2186" s="25"/>
      <c r="BP2186" s="25"/>
      <c r="BQ2186" s="25"/>
      <c r="BR2186" s="25"/>
      <c r="BS2186" s="25"/>
      <c r="BT2186" s="25"/>
      <c r="BU2186"/>
      <c r="BV2186"/>
      <c r="BW2186"/>
      <c r="BX2186"/>
      <c r="BY2186"/>
      <c r="BZ2186"/>
      <c r="CA2186"/>
      <c r="CB2186"/>
      <c r="CC2186"/>
      <c r="CD2186" s="25"/>
    </row>
    <row r="2187" spans="1:82" s="17" customFormat="1" x14ac:dyDescent="0.2">
      <c r="A2187" s="25"/>
      <c r="B2187" s="20">
        <v>39049008720</v>
      </c>
      <c r="C2187" s="20">
        <v>87.2</v>
      </c>
      <c r="D2187" s="20" t="s">
        <v>31</v>
      </c>
      <c r="E2187" s="20" t="s">
        <v>2830</v>
      </c>
      <c r="F2187" s="20" t="s">
        <v>6</v>
      </c>
      <c r="G2187" s="861">
        <v>41.720265268843903</v>
      </c>
      <c r="H2187" s="861">
        <v>53.310162096399303</v>
      </c>
      <c r="I2187" s="861">
        <v>41.1664509979421</v>
      </c>
      <c r="J2187" s="861">
        <v>35.329109810708097</v>
      </c>
      <c r="K2187" s="982">
        <v>0</v>
      </c>
      <c r="L2187" s="735">
        <v>3158</v>
      </c>
      <c r="M2187" s="735">
        <v>3479</v>
      </c>
      <c r="N2187" s="845">
        <f t="shared" ref="N2187:N2250" si="173">IF(OR(L2187="",M2187=""),"",(M2187-L2187)/L2187)</f>
        <v>0.10164661177960735</v>
      </c>
      <c r="O2187" s="735">
        <v>1.098844426741403</v>
      </c>
      <c r="P2187" s="735">
        <f t="shared" ref="P2187:P2250" si="174">M2187/O2187</f>
        <v>3166.0532786400818</v>
      </c>
      <c r="Q2187" s="849">
        <v>45</v>
      </c>
      <c r="R2187" s="71">
        <v>43516</v>
      </c>
      <c r="S2187" s="845">
        <v>0.19545846507617132</v>
      </c>
      <c r="T2187" s="845">
        <v>0</v>
      </c>
      <c r="U2187" s="845">
        <v>0</v>
      </c>
      <c r="V2187" s="845">
        <v>4.8000000000000001E-2</v>
      </c>
      <c r="W2187" s="845">
        <v>0.4385423100679432</v>
      </c>
      <c r="X2187" s="845">
        <v>0.42394366197183098</v>
      </c>
      <c r="Y2187" s="845">
        <v>0.22362747916067835</v>
      </c>
      <c r="Z2187" s="845">
        <v>0.50129347513653344</v>
      </c>
      <c r="AA2187" s="845">
        <v>2.644438056912906E-2</v>
      </c>
      <c r="AB2187" s="845">
        <v>2.2995113538373097E-2</v>
      </c>
      <c r="AC2187" s="845">
        <v>0</v>
      </c>
      <c r="AD2187" s="845">
        <v>1.2934751365334866E-2</v>
      </c>
      <c r="AE2187" s="845">
        <v>0.21270480022995114</v>
      </c>
      <c r="AF2187" s="845">
        <v>7.3584363322793903E-2</v>
      </c>
      <c r="AG2187" s="845">
        <v>0.2152917505030181</v>
      </c>
      <c r="AH2187" s="20" t="str">
        <f t="shared" ref="AH2187:AH2250" si="175">IF(AG2187&gt;=0.9,"Yes","No")</f>
        <v>No</v>
      </c>
      <c r="AI2187" s="25"/>
      <c r="AJ2187" s="25"/>
      <c r="AK2187" s="25"/>
      <c r="AL2187" s="25"/>
      <c r="AM2187" s="25"/>
      <c r="AN2187" s="25"/>
      <c r="AO2187" s="25"/>
      <c r="AP2187" s="25"/>
      <c r="AQ2187" s="25"/>
      <c r="AR2187" s="25"/>
      <c r="AS2187" s="25"/>
      <c r="AT2187" s="25"/>
      <c r="AU2187" s="36"/>
      <c r="AV2187" s="36"/>
      <c r="AW2187" s="36"/>
      <c r="AX2187" s="25"/>
      <c r="AY2187" s="25"/>
      <c r="AZ2187" s="25"/>
      <c r="BA2187" s="25"/>
      <c r="BB2187" s="25"/>
      <c r="BC2187" s="25"/>
      <c r="BD2187" s="25"/>
      <c r="BE2187" s="25"/>
      <c r="BF2187" s="25"/>
      <c r="BG2187" s="25"/>
      <c r="BH2187" s="25"/>
      <c r="BI2187" s="25"/>
      <c r="BJ2187" s="25"/>
      <c r="BK2187" s="25"/>
      <c r="BL2187" s="25"/>
      <c r="BM2187" s="25"/>
      <c r="BN2187" s="25"/>
      <c r="BO2187" s="25"/>
      <c r="BP2187" s="25"/>
      <c r="BQ2187" s="25"/>
      <c r="BR2187" s="25"/>
      <c r="BS2187" s="25"/>
      <c r="BT2187" s="25"/>
      <c r="BU2187"/>
      <c r="BV2187"/>
      <c r="BW2187"/>
      <c r="BX2187"/>
      <c r="BY2187"/>
      <c r="BZ2187"/>
      <c r="CA2187"/>
      <c r="CB2187"/>
      <c r="CC2187"/>
      <c r="CD2187" s="25"/>
    </row>
    <row r="2188" spans="1:82" s="17" customFormat="1" x14ac:dyDescent="0.2">
      <c r="A2188" s="25"/>
      <c r="B2188" s="20">
        <v>39055310200</v>
      </c>
      <c r="C2188" s="20">
        <v>3102</v>
      </c>
      <c r="D2188" s="20" t="s">
        <v>34</v>
      </c>
      <c r="E2188" s="20" t="s">
        <v>2829</v>
      </c>
      <c r="F2188" s="20" t="s">
        <v>8</v>
      </c>
      <c r="G2188" s="861">
        <v>41.718655092976803</v>
      </c>
      <c r="H2188" s="861">
        <v>46.362174670262498</v>
      </c>
      <c r="I2188" s="861">
        <v>25.148111697739498</v>
      </c>
      <c r="J2188" s="861">
        <v>39.5262160216935</v>
      </c>
      <c r="K2188" s="982">
        <v>0</v>
      </c>
      <c r="L2188" s="735">
        <v>2017</v>
      </c>
      <c r="M2188" s="735">
        <v>1822</v>
      </c>
      <c r="N2188" s="845">
        <f t="shared" si="173"/>
        <v>-9.6678235002478935E-2</v>
      </c>
      <c r="O2188" s="735">
        <v>24.20000453206714</v>
      </c>
      <c r="P2188" s="735">
        <f t="shared" si="174"/>
        <v>75.289242098516524</v>
      </c>
      <c r="Q2188" s="849">
        <v>51.1</v>
      </c>
      <c r="R2188" s="71">
        <v>82917</v>
      </c>
      <c r="S2188" s="845">
        <v>4.9614112458654908E-2</v>
      </c>
      <c r="T2188" s="845">
        <v>3.5000000000000003E-2</v>
      </c>
      <c r="U2188" s="845">
        <v>0</v>
      </c>
      <c r="V2188" s="845">
        <v>0</v>
      </c>
      <c r="W2188" s="845">
        <v>4.0189125295508277E-2</v>
      </c>
      <c r="X2188" s="845">
        <v>0</v>
      </c>
      <c r="Y2188" s="845">
        <v>0.94072447859495056</v>
      </c>
      <c r="Z2188" s="845">
        <v>1.1525795828759604E-2</v>
      </c>
      <c r="AA2188" s="845">
        <v>2.7442371020856204E-3</v>
      </c>
      <c r="AB2188" s="845">
        <v>7.6838638858397366E-3</v>
      </c>
      <c r="AC2188" s="845">
        <v>3.2930845225027441E-3</v>
      </c>
      <c r="AD2188" s="845">
        <v>0</v>
      </c>
      <c r="AE2188" s="845">
        <v>3.4028540065861687E-2</v>
      </c>
      <c r="AF2188" s="845">
        <v>1.0976948408342481E-3</v>
      </c>
      <c r="AG2188" s="845">
        <v>0.94072447859495056</v>
      </c>
      <c r="AH2188" s="20" t="str">
        <f t="shared" si="175"/>
        <v>Yes</v>
      </c>
      <c r="AI2188" s="25"/>
      <c r="AJ2188" s="25"/>
      <c r="AK2188" s="25"/>
      <c r="AL2188" s="25"/>
      <c r="AM2188" s="25"/>
      <c r="AN2188" s="25"/>
      <c r="AO2188" s="25"/>
      <c r="AP2188" s="25"/>
      <c r="AQ2188" s="25"/>
      <c r="AR2188" s="25"/>
      <c r="AS2188" s="25"/>
      <c r="AT2188" s="25"/>
      <c r="AU2188" s="36"/>
      <c r="AV2188" s="36"/>
      <c r="AW2188" s="36"/>
      <c r="AX2188" s="25"/>
      <c r="AY2188" s="25"/>
      <c r="AZ2188" s="25"/>
      <c r="BA2188" s="25"/>
      <c r="BB2188" s="25"/>
      <c r="BC2188" s="25"/>
      <c r="BD2188" s="25"/>
      <c r="BE2188" s="25"/>
      <c r="BF2188" s="25"/>
      <c r="BG2188" s="25"/>
      <c r="BH2188" s="25"/>
      <c r="BI2188" s="25"/>
      <c r="BJ2188" s="25"/>
      <c r="BK2188" s="25"/>
      <c r="BL2188" s="25"/>
      <c r="BM2188" s="25"/>
      <c r="BN2188" s="25"/>
      <c r="BO2188" s="25"/>
      <c r="BP2188" s="25"/>
      <c r="BQ2188" s="25"/>
      <c r="BR2188" s="25"/>
      <c r="BS2188" s="25"/>
      <c r="BT2188" s="25"/>
      <c r="BU2188"/>
      <c r="BV2188"/>
      <c r="BW2188"/>
      <c r="BX2188"/>
      <c r="BY2188"/>
      <c r="BZ2188"/>
      <c r="CA2188"/>
      <c r="CB2188"/>
      <c r="CC2188"/>
      <c r="CD2188" s="25"/>
    </row>
    <row r="2189" spans="1:82" s="17" customFormat="1" x14ac:dyDescent="0.2">
      <c r="A2189" s="25"/>
      <c r="B2189" s="20">
        <v>39153507502</v>
      </c>
      <c r="C2189" s="20">
        <v>5075.0200000000004</v>
      </c>
      <c r="D2189" s="20" t="s">
        <v>82</v>
      </c>
      <c r="E2189" s="20" t="s">
        <v>2843</v>
      </c>
      <c r="F2189" s="20" t="s">
        <v>6</v>
      </c>
      <c r="G2189" s="861">
        <v>41.718430611533599</v>
      </c>
      <c r="H2189" s="861">
        <v>61.779153291736399</v>
      </c>
      <c r="I2189" s="861">
        <v>56.309694089964601</v>
      </c>
      <c r="J2189" s="861">
        <v>35.316490505992398</v>
      </c>
      <c r="K2189" s="982">
        <v>0</v>
      </c>
      <c r="L2189" s="735" t="s">
        <v>2466</v>
      </c>
      <c r="M2189" s="735">
        <v>4142</v>
      </c>
      <c r="N2189" s="845" t="str">
        <f t="shared" si="173"/>
        <v/>
      </c>
      <c r="O2189" s="735">
        <v>0.60280006459180235</v>
      </c>
      <c r="P2189" s="735">
        <f t="shared" si="174"/>
        <v>6871.2666824361322</v>
      </c>
      <c r="Q2189" s="849">
        <v>33.799999999999997</v>
      </c>
      <c r="R2189" s="71">
        <v>41250</v>
      </c>
      <c r="S2189" s="845">
        <v>0.28630103889828462</v>
      </c>
      <c r="T2189" s="845">
        <v>0.14899999999999999</v>
      </c>
      <c r="U2189" s="845">
        <v>7.9000000000000001E-2</v>
      </c>
      <c r="V2189" s="845">
        <v>6.4000000000000001E-2</v>
      </c>
      <c r="W2189" s="845">
        <v>0.57047872340425532</v>
      </c>
      <c r="X2189" s="845">
        <v>0.43939393939393939</v>
      </c>
      <c r="Y2189" s="845">
        <v>0.24939642684693386</v>
      </c>
      <c r="Z2189" s="845">
        <v>0.55359729599227425</v>
      </c>
      <c r="AA2189" s="845">
        <v>0</v>
      </c>
      <c r="AB2189" s="845">
        <v>5.8908739739256401E-2</v>
      </c>
      <c r="AC2189" s="845">
        <v>0</v>
      </c>
      <c r="AD2189" s="845">
        <v>0</v>
      </c>
      <c r="AE2189" s="845">
        <v>0.13809753742153549</v>
      </c>
      <c r="AF2189" s="845">
        <v>0.16586190246257845</v>
      </c>
      <c r="AG2189" s="845">
        <v>0.2233220666344761</v>
      </c>
      <c r="AH2189" s="20" t="str">
        <f t="shared" si="175"/>
        <v>No</v>
      </c>
      <c r="AI2189" s="25"/>
      <c r="AJ2189" s="25"/>
      <c r="AK2189" s="25"/>
      <c r="AL2189" s="25"/>
      <c r="AM2189" s="25"/>
      <c r="AN2189" s="25"/>
      <c r="AO2189" s="25"/>
      <c r="AP2189" s="25"/>
      <c r="AQ2189" s="25"/>
      <c r="AR2189" s="25"/>
      <c r="AS2189" s="25"/>
      <c r="AT2189" s="25"/>
      <c r="AU2189" s="36"/>
      <c r="AV2189" s="36"/>
      <c r="AW2189" s="36"/>
      <c r="AX2189" s="25"/>
      <c r="AY2189" s="25"/>
      <c r="AZ2189" s="25"/>
      <c r="BA2189" s="25"/>
      <c r="BB2189" s="25"/>
      <c r="BC2189" s="25"/>
      <c r="BD2189" s="25"/>
      <c r="BE2189" s="25"/>
      <c r="BF2189" s="25"/>
      <c r="BG2189" s="25"/>
      <c r="BH2189" s="25"/>
      <c r="BI2189" s="25"/>
      <c r="BJ2189" s="25"/>
      <c r="BK2189" s="25"/>
      <c r="BL2189" s="25"/>
      <c r="BM2189" s="25"/>
      <c r="BN2189" s="25"/>
      <c r="BO2189" s="25"/>
      <c r="BP2189" s="25"/>
      <c r="BQ2189" s="25"/>
      <c r="BR2189" s="25"/>
      <c r="BS2189" s="25"/>
      <c r="BT2189" s="25"/>
      <c r="BU2189"/>
      <c r="BV2189"/>
      <c r="BW2189"/>
      <c r="BX2189"/>
      <c r="BY2189"/>
      <c r="BZ2189"/>
      <c r="CA2189"/>
      <c r="CB2189"/>
      <c r="CC2189"/>
      <c r="CD2189" s="25"/>
    </row>
    <row r="2190" spans="1:82" s="17" customFormat="1" x14ac:dyDescent="0.2">
      <c r="A2190" s="25"/>
      <c r="B2190" s="20">
        <v>39157021300</v>
      </c>
      <c r="C2190" s="20">
        <v>213</v>
      </c>
      <c r="D2190" s="20" t="s">
        <v>84</v>
      </c>
      <c r="E2190" s="20" t="s">
        <v>265</v>
      </c>
      <c r="F2190" s="20" t="s">
        <v>8</v>
      </c>
      <c r="G2190" s="861">
        <v>41.648969791324802</v>
      </c>
      <c r="H2190" s="861">
        <v>54.270116826333698</v>
      </c>
      <c r="I2190" s="861">
        <v>25.411075318906001</v>
      </c>
      <c r="J2190" s="861">
        <v>47.098015915304799</v>
      </c>
      <c r="K2190" s="982">
        <v>0</v>
      </c>
      <c r="L2190" s="735">
        <v>4665</v>
      </c>
      <c r="M2190" s="735">
        <v>5116</v>
      </c>
      <c r="N2190" s="845">
        <f t="shared" si="173"/>
        <v>9.6677384780278666E-2</v>
      </c>
      <c r="O2190" s="735">
        <v>25.081057611496142</v>
      </c>
      <c r="P2190" s="735">
        <f t="shared" si="174"/>
        <v>203.97863914857533</v>
      </c>
      <c r="Q2190" s="849">
        <v>34.200000000000003</v>
      </c>
      <c r="R2190" s="71">
        <v>74006</v>
      </c>
      <c r="S2190" s="845">
        <v>3.0919765166340509E-2</v>
      </c>
      <c r="T2190" s="845">
        <v>2.6000000000000002E-2</v>
      </c>
      <c r="U2190" s="845">
        <v>2.3E-2</v>
      </c>
      <c r="V2190" s="845">
        <v>4.4000000000000004E-2</v>
      </c>
      <c r="W2190" s="845">
        <v>0.24904423812124521</v>
      </c>
      <c r="X2190" s="845">
        <v>0.42982456140350878</v>
      </c>
      <c r="Y2190" s="845">
        <v>0.96755277560594211</v>
      </c>
      <c r="Z2190" s="845">
        <v>0</v>
      </c>
      <c r="AA2190" s="845">
        <v>0</v>
      </c>
      <c r="AB2190" s="845">
        <v>3.1274433150899139E-3</v>
      </c>
      <c r="AC2190" s="845">
        <v>0</v>
      </c>
      <c r="AD2190" s="845">
        <v>1.1727912431587178E-3</v>
      </c>
      <c r="AE2190" s="845">
        <v>2.8146989835809225E-2</v>
      </c>
      <c r="AF2190" s="845">
        <v>9.5777951524628618E-3</v>
      </c>
      <c r="AG2190" s="845">
        <v>0.96755277560594211</v>
      </c>
      <c r="AH2190" s="20" t="str">
        <f t="shared" si="175"/>
        <v>Yes</v>
      </c>
      <c r="AI2190" s="25"/>
      <c r="AJ2190" s="25"/>
      <c r="AK2190" s="25"/>
      <c r="AL2190" s="25"/>
      <c r="AM2190" s="25"/>
      <c r="AN2190" s="25"/>
      <c r="AO2190" s="25"/>
      <c r="AP2190" s="25"/>
      <c r="AQ2190" s="25"/>
      <c r="AR2190" s="25"/>
      <c r="AS2190" s="25"/>
      <c r="AT2190" s="25"/>
      <c r="AU2190" s="36"/>
      <c r="AV2190" s="36"/>
      <c r="AW2190" s="36"/>
      <c r="AX2190" s="25"/>
      <c r="AY2190" s="25"/>
      <c r="AZ2190" s="25"/>
      <c r="BA2190" s="25"/>
      <c r="BB2190" s="25"/>
      <c r="BC2190" s="25"/>
      <c r="BD2190" s="25"/>
      <c r="BE2190" s="25"/>
      <c r="BF2190" s="25"/>
      <c r="BG2190" s="25"/>
      <c r="BH2190" s="25"/>
      <c r="BI2190" s="25"/>
      <c r="BJ2190" s="25"/>
      <c r="BK2190" s="25"/>
      <c r="BL2190" s="25"/>
      <c r="BM2190" s="25"/>
      <c r="BN2190" s="25"/>
      <c r="BO2190" s="25"/>
      <c r="BP2190" s="25"/>
      <c r="BQ2190" s="25"/>
      <c r="BR2190" s="25"/>
      <c r="BS2190" s="25"/>
      <c r="BT2190" s="25"/>
      <c r="BU2190"/>
      <c r="BV2190"/>
      <c r="BW2190"/>
      <c r="BX2190"/>
      <c r="BY2190"/>
      <c r="BZ2190"/>
      <c r="CA2190"/>
      <c r="CB2190"/>
      <c r="CC2190"/>
      <c r="CD2190" s="25"/>
    </row>
    <row r="2191" spans="1:82" s="17" customFormat="1" x14ac:dyDescent="0.2">
      <c r="A2191" s="25"/>
      <c r="B2191" s="20">
        <v>39155921300</v>
      </c>
      <c r="C2191" s="20">
        <v>9213</v>
      </c>
      <c r="D2191" s="20" t="s">
        <v>83</v>
      </c>
      <c r="E2191" s="20" t="s">
        <v>2842</v>
      </c>
      <c r="F2191" s="20" t="s">
        <v>8</v>
      </c>
      <c r="G2191" s="861">
        <v>41.646752064367803</v>
      </c>
      <c r="H2191" s="861">
        <v>21.691589926579201</v>
      </c>
      <c r="I2191" s="861">
        <v>49.282082933368898</v>
      </c>
      <c r="J2191" s="861">
        <v>25.989168103490101</v>
      </c>
      <c r="K2191" s="982">
        <v>0</v>
      </c>
      <c r="L2191" s="735">
        <v>2398</v>
      </c>
      <c r="M2191" s="735">
        <v>2372</v>
      </c>
      <c r="N2191" s="845">
        <f t="shared" si="173"/>
        <v>-1.0842368640533779E-2</v>
      </c>
      <c r="O2191" s="735">
        <v>3.1665508302275569</v>
      </c>
      <c r="P2191" s="735">
        <f t="shared" si="174"/>
        <v>749.08003287272095</v>
      </c>
      <c r="Q2191" s="849">
        <v>47.9</v>
      </c>
      <c r="R2191" s="71">
        <v>42348</v>
      </c>
      <c r="S2191" s="845">
        <v>0.29790145985401462</v>
      </c>
      <c r="T2191" s="845">
        <v>2.1000000000000001E-2</v>
      </c>
      <c r="U2191" s="845">
        <v>0</v>
      </c>
      <c r="V2191" s="845">
        <v>0</v>
      </c>
      <c r="W2191" s="845">
        <v>0.52108716026241797</v>
      </c>
      <c r="X2191" s="845">
        <v>0.38309352517985612</v>
      </c>
      <c r="Y2191" s="845">
        <v>0.71290050590219223</v>
      </c>
      <c r="Z2191" s="845">
        <v>7.5885328836424959E-2</v>
      </c>
      <c r="AA2191" s="845">
        <v>0</v>
      </c>
      <c r="AB2191" s="845">
        <v>9.2748735244519397E-3</v>
      </c>
      <c r="AC2191" s="845">
        <v>0</v>
      </c>
      <c r="AD2191" s="845">
        <v>1.2225969645868466E-2</v>
      </c>
      <c r="AE2191" s="845">
        <v>0.1897133220910624</v>
      </c>
      <c r="AF2191" s="845">
        <v>0.11467116357504216</v>
      </c>
      <c r="AG2191" s="845">
        <v>0.69688026981450257</v>
      </c>
      <c r="AH2191" s="20" t="str">
        <f t="shared" si="175"/>
        <v>No</v>
      </c>
      <c r="AI2191" s="25"/>
      <c r="AJ2191" s="25"/>
      <c r="AK2191" s="25"/>
      <c r="AL2191" s="25"/>
      <c r="AM2191" s="25"/>
      <c r="AN2191" s="25"/>
      <c r="AO2191" s="25"/>
      <c r="AP2191" s="25"/>
      <c r="AQ2191" s="25"/>
      <c r="AR2191" s="25"/>
      <c r="AS2191" s="25"/>
      <c r="AT2191" s="25"/>
      <c r="AU2191" s="36"/>
      <c r="AV2191" s="36"/>
      <c r="AW2191" s="36"/>
      <c r="AX2191" s="25"/>
      <c r="AY2191" s="25"/>
      <c r="AZ2191" s="25"/>
      <c r="BA2191" s="25"/>
      <c r="BB2191" s="25"/>
      <c r="BC2191" s="25"/>
      <c r="BD2191" s="25"/>
      <c r="BE2191" s="25"/>
      <c r="BF2191" s="25"/>
      <c r="BG2191" s="25"/>
      <c r="BH2191" s="25"/>
      <c r="BI2191" s="25"/>
      <c r="BJ2191" s="25"/>
      <c r="BK2191" s="25"/>
      <c r="BL2191" s="25"/>
      <c r="BM2191" s="25"/>
      <c r="BN2191" s="25"/>
      <c r="BO2191" s="25"/>
      <c r="BP2191" s="25"/>
      <c r="BQ2191" s="25"/>
      <c r="BR2191" s="25"/>
      <c r="BS2191" s="25"/>
      <c r="BT2191" s="25"/>
      <c r="BU2191"/>
      <c r="BV2191"/>
      <c r="BW2191"/>
      <c r="BX2191"/>
      <c r="BY2191"/>
      <c r="BZ2191"/>
      <c r="CA2191"/>
      <c r="CB2191"/>
      <c r="CC2191"/>
      <c r="CD2191" s="25"/>
    </row>
    <row r="2192" spans="1:82" s="17" customFormat="1" x14ac:dyDescent="0.2">
      <c r="A2192" s="25"/>
      <c r="B2192" s="20">
        <v>39141955900</v>
      </c>
      <c r="C2192" s="20">
        <v>9559</v>
      </c>
      <c r="D2192" s="20" t="s">
        <v>76</v>
      </c>
      <c r="E2192" s="20" t="s">
        <v>265</v>
      </c>
      <c r="F2192" s="20" t="s">
        <v>8</v>
      </c>
      <c r="G2192" s="861">
        <v>41.645859140553497</v>
      </c>
      <c r="H2192" s="861">
        <v>43.458510052342803</v>
      </c>
      <c r="I2192" s="861">
        <v>20.749901414684199</v>
      </c>
      <c r="J2192" s="861">
        <v>29.9422548967915</v>
      </c>
      <c r="K2192" s="982">
        <v>0</v>
      </c>
      <c r="L2192" s="735">
        <v>4044</v>
      </c>
      <c r="M2192" s="735">
        <v>4377</v>
      </c>
      <c r="N2192" s="845">
        <f t="shared" si="173"/>
        <v>8.234421364985163E-2</v>
      </c>
      <c r="O2192" s="735">
        <v>12.708988845512501</v>
      </c>
      <c r="P2192" s="735">
        <f t="shared" si="174"/>
        <v>344.40190743778197</v>
      </c>
      <c r="Q2192" s="849">
        <v>45.9</v>
      </c>
      <c r="R2192" s="71">
        <v>61694</v>
      </c>
      <c r="S2192" s="845">
        <v>0.11400502627370344</v>
      </c>
      <c r="T2192" s="845">
        <v>3.7999999999999999E-2</v>
      </c>
      <c r="U2192" s="845">
        <v>0</v>
      </c>
      <c r="V2192" s="845">
        <v>0</v>
      </c>
      <c r="W2192" s="845">
        <v>0.24924471299093656</v>
      </c>
      <c r="X2192" s="845">
        <v>0.21212121212121213</v>
      </c>
      <c r="Y2192" s="845">
        <v>0.83047749600182774</v>
      </c>
      <c r="Z2192" s="845">
        <v>7.9278044322595387E-2</v>
      </c>
      <c r="AA2192" s="845">
        <v>0</v>
      </c>
      <c r="AB2192" s="845">
        <v>1.4164953164267764E-2</v>
      </c>
      <c r="AC2192" s="845">
        <v>0</v>
      </c>
      <c r="AD2192" s="845">
        <v>0</v>
      </c>
      <c r="AE2192" s="845">
        <v>7.6079506511309111E-2</v>
      </c>
      <c r="AF2192" s="845">
        <v>0</v>
      </c>
      <c r="AG2192" s="845">
        <v>0.83047749600182774</v>
      </c>
      <c r="AH2192" s="20" t="str">
        <f t="shared" si="175"/>
        <v>No</v>
      </c>
      <c r="AI2192" s="25"/>
      <c r="AJ2192" s="25"/>
      <c r="AK2192" s="25"/>
      <c r="AL2192" s="25"/>
      <c r="AM2192" s="25"/>
      <c r="AN2192" s="25"/>
      <c r="AO2192" s="25"/>
      <c r="AP2192" s="25"/>
      <c r="AQ2192" s="25"/>
      <c r="AR2192" s="25"/>
      <c r="AS2192" s="25"/>
      <c r="AT2192" s="25"/>
      <c r="AU2192" s="36"/>
      <c r="AV2192" s="36"/>
      <c r="AW2192" s="36"/>
      <c r="AX2192" s="25"/>
      <c r="AY2192" s="25"/>
      <c r="AZ2192" s="25"/>
      <c r="BA2192" s="25"/>
      <c r="BB2192" s="25"/>
      <c r="BC2192" s="25"/>
      <c r="BD2192" s="25"/>
      <c r="BE2192" s="25"/>
      <c r="BF2192" s="25"/>
      <c r="BG2192" s="25"/>
      <c r="BH2192" s="25"/>
      <c r="BI2192" s="25"/>
      <c r="BJ2192" s="25"/>
      <c r="BK2192" s="25"/>
      <c r="BL2192" s="25"/>
      <c r="BM2192" s="25"/>
      <c r="BN2192" s="25"/>
      <c r="BO2192" s="25"/>
      <c r="BP2192" s="25"/>
      <c r="BQ2192" s="25"/>
      <c r="BR2192" s="25"/>
      <c r="BS2192" s="25"/>
      <c r="BT2192" s="25"/>
      <c r="BU2192"/>
      <c r="BV2192"/>
      <c r="BW2192"/>
      <c r="BX2192"/>
      <c r="BY2192"/>
      <c r="BZ2192"/>
      <c r="CA2192"/>
      <c r="CB2192"/>
      <c r="CC2192"/>
      <c r="CD2192" s="25"/>
    </row>
    <row r="2193" spans="1:82" s="17" customFormat="1" x14ac:dyDescent="0.2">
      <c r="A2193" s="25"/>
      <c r="B2193" s="20">
        <v>39157020802</v>
      </c>
      <c r="C2193" s="20">
        <v>208.02</v>
      </c>
      <c r="D2193" s="20" t="s">
        <v>84</v>
      </c>
      <c r="E2193" s="20" t="s">
        <v>265</v>
      </c>
      <c r="F2193" s="20" t="s">
        <v>8</v>
      </c>
      <c r="G2193" s="861">
        <v>41.6173102172367</v>
      </c>
      <c r="H2193" s="861">
        <v>62.319510318435597</v>
      </c>
      <c r="I2193" s="861">
        <v>24.293772103126301</v>
      </c>
      <c r="J2193" s="861">
        <v>45.6201214333026</v>
      </c>
      <c r="K2193" s="982">
        <v>0</v>
      </c>
      <c r="L2193" s="735" t="s">
        <v>2466</v>
      </c>
      <c r="M2193" s="735">
        <v>2653</v>
      </c>
      <c r="N2193" s="845" t="str">
        <f t="shared" si="173"/>
        <v/>
      </c>
      <c r="O2193" s="735">
        <v>0.69086417543438072</v>
      </c>
      <c r="P2193" s="735">
        <f t="shared" si="174"/>
        <v>3840.1180642083905</v>
      </c>
      <c r="Q2193" s="849">
        <v>43.1</v>
      </c>
      <c r="R2193" s="71">
        <v>79291</v>
      </c>
      <c r="S2193" s="845">
        <v>0.13305691669807765</v>
      </c>
      <c r="T2193" s="845">
        <v>0</v>
      </c>
      <c r="U2193" s="845">
        <v>0</v>
      </c>
      <c r="V2193" s="845">
        <v>7.8E-2</v>
      </c>
      <c r="W2193" s="845">
        <v>0.33094669848846459</v>
      </c>
      <c r="X2193" s="845">
        <v>0.36778846153846156</v>
      </c>
      <c r="Y2193" s="845">
        <v>0.9525065963060686</v>
      </c>
      <c r="Z2193" s="845">
        <v>3.769317753486619E-4</v>
      </c>
      <c r="AA2193" s="845">
        <v>3.3923859781379568E-3</v>
      </c>
      <c r="AB2193" s="845">
        <v>0</v>
      </c>
      <c r="AC2193" s="845">
        <v>0</v>
      </c>
      <c r="AD2193" s="845">
        <v>3.5054655107425559E-2</v>
      </c>
      <c r="AE2193" s="845">
        <v>8.6694308330192236E-3</v>
      </c>
      <c r="AF2193" s="845">
        <v>0.14549566528458349</v>
      </c>
      <c r="AG2193" s="845">
        <v>0.84206558612891069</v>
      </c>
      <c r="AH2193" s="20" t="str">
        <f t="shared" si="175"/>
        <v>No</v>
      </c>
      <c r="AI2193" s="25"/>
      <c r="AJ2193" s="25"/>
      <c r="AK2193" s="25"/>
      <c r="AL2193" s="25"/>
      <c r="AM2193" s="25"/>
      <c r="AN2193" s="25"/>
      <c r="AO2193" s="25"/>
      <c r="AP2193" s="25"/>
      <c r="AQ2193" s="25"/>
      <c r="AR2193" s="25"/>
      <c r="AS2193" s="25"/>
      <c r="AT2193" s="25"/>
      <c r="AU2193" s="36"/>
      <c r="AV2193" s="36"/>
      <c r="AW2193" s="36"/>
      <c r="AX2193" s="25"/>
      <c r="AY2193" s="25"/>
      <c r="AZ2193" s="25"/>
      <c r="BA2193" s="25"/>
      <c r="BB2193" s="25"/>
      <c r="BC2193" s="25"/>
      <c r="BD2193" s="25"/>
      <c r="BE2193" s="25"/>
      <c r="BF2193" s="25"/>
      <c r="BG2193" s="25"/>
      <c r="BH2193" s="25"/>
      <c r="BI2193" s="25"/>
      <c r="BJ2193" s="25"/>
      <c r="BK2193" s="25"/>
      <c r="BL2193" s="25"/>
      <c r="BM2193" s="25"/>
      <c r="BN2193" s="25"/>
      <c r="BO2193" s="25"/>
      <c r="BP2193" s="25"/>
      <c r="BQ2193" s="25"/>
      <c r="BR2193" s="25"/>
      <c r="BS2193" s="25"/>
      <c r="BT2193" s="25"/>
      <c r="BU2193"/>
      <c r="BV2193"/>
      <c r="BW2193"/>
      <c r="BX2193"/>
      <c r="BY2193"/>
      <c r="BZ2193"/>
      <c r="CA2193"/>
      <c r="CB2193"/>
      <c r="CC2193"/>
      <c r="CD2193" s="25"/>
    </row>
    <row r="2194" spans="1:82" s="17" customFormat="1" x14ac:dyDescent="0.2">
      <c r="A2194" s="25"/>
      <c r="B2194" s="20">
        <v>39045031500</v>
      </c>
      <c r="C2194" s="20">
        <v>315</v>
      </c>
      <c r="D2194" s="20" t="s">
        <v>29</v>
      </c>
      <c r="E2194" s="20" t="s">
        <v>2830</v>
      </c>
      <c r="F2194" s="20" t="s">
        <v>8</v>
      </c>
      <c r="G2194" s="861">
        <v>41.602674290419003</v>
      </c>
      <c r="H2194" s="861">
        <v>45.187205009680397</v>
      </c>
      <c r="I2194" s="861">
        <v>47.477839027123302</v>
      </c>
      <c r="J2194" s="861">
        <v>38.154639353148603</v>
      </c>
      <c r="K2194" s="982">
        <v>0</v>
      </c>
      <c r="L2194" s="735">
        <v>2753</v>
      </c>
      <c r="M2194" s="735">
        <v>3264</v>
      </c>
      <c r="N2194" s="845">
        <f t="shared" si="173"/>
        <v>0.18561569197239375</v>
      </c>
      <c r="O2194" s="735">
        <v>1.1517562526570828</v>
      </c>
      <c r="P2194" s="735">
        <f t="shared" si="174"/>
        <v>2833.9329545379114</v>
      </c>
      <c r="Q2194" s="849">
        <v>36</v>
      </c>
      <c r="R2194" s="71">
        <v>50417</v>
      </c>
      <c r="S2194" s="845">
        <v>0.36028949024543738</v>
      </c>
      <c r="T2194" s="845">
        <v>6.4000000000000001E-2</v>
      </c>
      <c r="U2194" s="845">
        <v>0</v>
      </c>
      <c r="V2194" s="845">
        <v>5.5E-2</v>
      </c>
      <c r="W2194" s="845">
        <v>0.60424564063684605</v>
      </c>
      <c r="X2194" s="845">
        <v>0.5595984943538268</v>
      </c>
      <c r="Y2194" s="845">
        <v>0.87775735294117652</v>
      </c>
      <c r="Z2194" s="845">
        <v>7.6593137254901958E-3</v>
      </c>
      <c r="AA2194" s="845">
        <v>0</v>
      </c>
      <c r="AB2194" s="845">
        <v>7.0465686274509805E-3</v>
      </c>
      <c r="AC2194" s="845">
        <v>0</v>
      </c>
      <c r="AD2194" s="845">
        <v>6.4950980392156868E-2</v>
      </c>
      <c r="AE2194" s="845">
        <v>4.2585784313725492E-2</v>
      </c>
      <c r="AF2194" s="845">
        <v>6.6176470588235295E-2</v>
      </c>
      <c r="AG2194" s="845">
        <v>0.87775735294117652</v>
      </c>
      <c r="AH2194" s="20" t="str">
        <f t="shared" si="175"/>
        <v>No</v>
      </c>
      <c r="AI2194" s="25"/>
      <c r="AJ2194" s="25"/>
      <c r="AK2194" s="25"/>
      <c r="AL2194" s="25"/>
      <c r="AM2194" s="25"/>
      <c r="AN2194" s="25"/>
      <c r="AO2194" s="25"/>
      <c r="AP2194" s="25"/>
      <c r="AQ2194" s="25"/>
      <c r="AR2194" s="25"/>
      <c r="AS2194" s="25"/>
      <c r="AT2194" s="25"/>
      <c r="AU2194" s="36"/>
      <c r="AV2194" s="36"/>
      <c r="AW2194" s="36"/>
      <c r="AX2194" s="25"/>
      <c r="AY2194" s="25"/>
      <c r="AZ2194" s="25"/>
      <c r="BA2194" s="25"/>
      <c r="BB2194" s="25"/>
      <c r="BC2194" s="25"/>
      <c r="BD2194" s="25"/>
      <c r="BE2194" s="25"/>
      <c r="BF2194" s="25"/>
      <c r="BG2194" s="25"/>
      <c r="BH2194" s="25"/>
      <c r="BI2194" s="25"/>
      <c r="BJ2194" s="25"/>
      <c r="BK2194" s="25"/>
      <c r="BL2194" s="25"/>
      <c r="BM2194" s="25"/>
      <c r="BN2194" s="25"/>
      <c r="BO2194" s="25"/>
      <c r="BP2194" s="25"/>
      <c r="BQ2194" s="25"/>
      <c r="BR2194" s="25"/>
      <c r="BS2194" s="25"/>
      <c r="BT2194" s="25"/>
      <c r="BU2194"/>
      <c r="BV2194"/>
      <c r="BW2194"/>
      <c r="BX2194"/>
      <c r="BY2194"/>
      <c r="BZ2194"/>
      <c r="CA2194"/>
      <c r="CB2194"/>
      <c r="CC2194"/>
      <c r="CD2194" s="25"/>
    </row>
    <row r="2195" spans="1:82" s="17" customFormat="1" x14ac:dyDescent="0.2">
      <c r="A2195" s="25"/>
      <c r="B2195" s="20">
        <v>39009973000</v>
      </c>
      <c r="C2195" s="20">
        <v>9730</v>
      </c>
      <c r="D2195" s="20" t="s">
        <v>11</v>
      </c>
      <c r="E2195" s="20" t="s">
        <v>265</v>
      </c>
      <c r="F2195" s="20" t="s">
        <v>6</v>
      </c>
      <c r="G2195" s="861">
        <v>41.602001178688298</v>
      </c>
      <c r="H2195" s="861">
        <v>44.390826075106702</v>
      </c>
      <c r="I2195" s="861">
        <v>41.912844530334297</v>
      </c>
      <c r="J2195" s="861">
        <v>33.015378906062701</v>
      </c>
      <c r="K2195" s="982">
        <v>0</v>
      </c>
      <c r="L2195" s="735">
        <v>3626</v>
      </c>
      <c r="M2195" s="735">
        <v>4255</v>
      </c>
      <c r="N2195" s="845">
        <f t="shared" si="173"/>
        <v>0.17346938775510204</v>
      </c>
      <c r="O2195" s="735">
        <v>1.3665692079181013</v>
      </c>
      <c r="P2195" s="735">
        <f t="shared" si="174"/>
        <v>3113.6366715610957</v>
      </c>
      <c r="Q2195" s="849">
        <v>27.7</v>
      </c>
      <c r="R2195" s="71">
        <v>54071</v>
      </c>
      <c r="S2195" s="845">
        <v>0.26690223792697293</v>
      </c>
      <c r="T2195" s="845">
        <v>4.0999999999999995E-2</v>
      </c>
      <c r="U2195" s="845">
        <v>0</v>
      </c>
      <c r="V2195" s="845">
        <v>0.05</v>
      </c>
      <c r="W2195" s="845">
        <v>0.49187236604455148</v>
      </c>
      <c r="X2195" s="845">
        <v>0.56915544675642593</v>
      </c>
      <c r="Y2195" s="845">
        <v>0.84183313748531141</v>
      </c>
      <c r="Z2195" s="845">
        <v>1.2925969447708578E-2</v>
      </c>
      <c r="AA2195" s="845">
        <v>0</v>
      </c>
      <c r="AB2195" s="845">
        <v>3.2197414806110457E-2</v>
      </c>
      <c r="AC2195" s="845">
        <v>0</v>
      </c>
      <c r="AD2195" s="845">
        <v>7.0505287896592246E-4</v>
      </c>
      <c r="AE2195" s="845">
        <v>0.11233842538190364</v>
      </c>
      <c r="AF2195" s="845">
        <v>1.9976498237367801E-2</v>
      </c>
      <c r="AG2195" s="845">
        <v>0.82420681551116337</v>
      </c>
      <c r="AH2195" s="20" t="str">
        <f t="shared" si="175"/>
        <v>No</v>
      </c>
      <c r="AI2195" s="25"/>
      <c r="AJ2195" s="25"/>
      <c r="AK2195" s="25"/>
      <c r="AL2195" s="25"/>
      <c r="AM2195" s="25"/>
      <c r="AN2195" s="25"/>
      <c r="AO2195" s="25"/>
      <c r="AP2195" s="25"/>
      <c r="AQ2195" s="25"/>
      <c r="AR2195" s="25"/>
      <c r="AS2195" s="25"/>
      <c r="AT2195" s="25"/>
      <c r="AU2195" s="36"/>
      <c r="AV2195" s="36"/>
      <c r="AW2195" s="36"/>
      <c r="AX2195" s="25"/>
      <c r="AY2195" s="25"/>
      <c r="AZ2195" s="25"/>
      <c r="BA2195" s="25"/>
      <c r="BB2195" s="25"/>
      <c r="BC2195" s="25"/>
      <c r="BD2195" s="25"/>
      <c r="BE2195" s="25"/>
      <c r="BF2195" s="25"/>
      <c r="BG2195" s="25"/>
      <c r="BH2195" s="25"/>
      <c r="BI2195" s="25"/>
      <c r="BJ2195" s="25"/>
      <c r="BK2195" s="25"/>
      <c r="BL2195" s="25"/>
      <c r="BM2195" s="25"/>
      <c r="BN2195" s="25"/>
      <c r="BO2195" s="25"/>
      <c r="BP2195" s="25"/>
      <c r="BQ2195" s="25"/>
      <c r="BR2195" s="25"/>
      <c r="BS2195" s="25"/>
      <c r="BT2195" s="25"/>
      <c r="BU2195"/>
      <c r="BV2195"/>
      <c r="BW2195"/>
      <c r="BX2195"/>
      <c r="BY2195"/>
      <c r="BZ2195"/>
      <c r="CA2195"/>
      <c r="CB2195"/>
      <c r="CC2195"/>
      <c r="CD2195" s="25"/>
    </row>
    <row r="2196" spans="1:82" s="17" customFormat="1" x14ac:dyDescent="0.2">
      <c r="A2196" s="25"/>
      <c r="B2196" s="20">
        <v>39049009322</v>
      </c>
      <c r="C2196" s="20">
        <v>93.22</v>
      </c>
      <c r="D2196" s="20" t="s">
        <v>31</v>
      </c>
      <c r="E2196" s="20" t="s">
        <v>2830</v>
      </c>
      <c r="F2196" s="20" t="s">
        <v>8</v>
      </c>
      <c r="G2196" s="861">
        <v>41.599493864888899</v>
      </c>
      <c r="H2196" s="861">
        <v>48.622272381498803</v>
      </c>
      <c r="I2196" s="861">
        <v>63.748929456503703</v>
      </c>
      <c r="J2196" s="861">
        <v>39.152623665871801</v>
      </c>
      <c r="K2196" s="982">
        <v>0</v>
      </c>
      <c r="L2196" s="735">
        <v>3883</v>
      </c>
      <c r="M2196" s="735">
        <v>3661</v>
      </c>
      <c r="N2196" s="845">
        <f t="shared" si="173"/>
        <v>-5.7172289466907028E-2</v>
      </c>
      <c r="O2196" s="735">
        <v>0.57343429271572988</v>
      </c>
      <c r="P2196" s="735">
        <f t="shared" si="174"/>
        <v>6384.340885268397</v>
      </c>
      <c r="Q2196" s="849">
        <v>39.9</v>
      </c>
      <c r="R2196" s="71">
        <v>57681</v>
      </c>
      <c r="S2196" s="845">
        <v>0.33564109664912767</v>
      </c>
      <c r="T2196" s="845">
        <v>4.7E-2</v>
      </c>
      <c r="U2196" s="845">
        <v>8.4000000000000005E-2</v>
      </c>
      <c r="V2196" s="845">
        <v>0</v>
      </c>
      <c r="W2196" s="845">
        <v>0.29614325068870523</v>
      </c>
      <c r="X2196" s="845">
        <v>0.31860465116279069</v>
      </c>
      <c r="Y2196" s="845">
        <v>0.29582081398524995</v>
      </c>
      <c r="Z2196" s="845">
        <v>0.51434034416826002</v>
      </c>
      <c r="AA2196" s="845">
        <v>0</v>
      </c>
      <c r="AB2196" s="845">
        <v>5.4629882545752526E-3</v>
      </c>
      <c r="AC2196" s="845">
        <v>1.3657470636438131E-3</v>
      </c>
      <c r="AD2196" s="845">
        <v>7.702813438951106E-2</v>
      </c>
      <c r="AE2196" s="845">
        <v>0.1059819721387599</v>
      </c>
      <c r="AF2196" s="845">
        <v>9.8060639169625791E-2</v>
      </c>
      <c r="AG2196" s="845">
        <v>0.28708003277792954</v>
      </c>
      <c r="AH2196" s="20" t="str">
        <f t="shared" si="175"/>
        <v>No</v>
      </c>
      <c r="AI2196" s="25"/>
      <c r="AJ2196" s="25"/>
      <c r="AK2196" s="25"/>
      <c r="AL2196" s="25"/>
      <c r="AM2196" s="25"/>
      <c r="AN2196" s="25"/>
      <c r="AO2196" s="25"/>
      <c r="AP2196" s="25"/>
      <c r="AQ2196" s="25"/>
      <c r="AR2196" s="25"/>
      <c r="AS2196" s="25"/>
      <c r="AT2196" s="25"/>
      <c r="AU2196" s="36"/>
      <c r="AV2196" s="36"/>
      <c r="AW2196" s="36"/>
      <c r="AX2196" s="25"/>
      <c r="AY2196" s="25"/>
      <c r="AZ2196" s="25"/>
      <c r="BA2196" s="25"/>
      <c r="BB2196" s="25"/>
      <c r="BC2196" s="25"/>
      <c r="BD2196" s="25"/>
      <c r="BE2196" s="25"/>
      <c r="BF2196" s="25"/>
      <c r="BG2196" s="25"/>
      <c r="BH2196" s="25"/>
      <c r="BI2196" s="25"/>
      <c r="BJ2196" s="25"/>
      <c r="BK2196" s="25"/>
      <c r="BL2196" s="25"/>
      <c r="BM2196" s="25"/>
      <c r="BN2196" s="25"/>
      <c r="BO2196" s="25"/>
      <c r="BP2196" s="25"/>
      <c r="BQ2196" s="25"/>
      <c r="BR2196" s="25"/>
      <c r="BS2196" s="25"/>
      <c r="BT2196" s="25"/>
      <c r="BU2196"/>
      <c r="BV2196"/>
      <c r="BW2196"/>
      <c r="BX2196"/>
      <c r="BY2196"/>
      <c r="BZ2196"/>
      <c r="CA2196"/>
      <c r="CB2196"/>
      <c r="CC2196"/>
      <c r="CD2196" s="25"/>
    </row>
    <row r="2197" spans="1:82" s="17" customFormat="1" x14ac:dyDescent="0.2">
      <c r="A2197" s="25"/>
      <c r="B2197" s="20">
        <v>39149971900</v>
      </c>
      <c r="C2197" s="20">
        <v>9719</v>
      </c>
      <c r="D2197" s="20" t="s">
        <v>80</v>
      </c>
      <c r="E2197" s="20" t="s">
        <v>265</v>
      </c>
      <c r="F2197" s="20" t="s">
        <v>8</v>
      </c>
      <c r="G2197" s="861">
        <v>41.562785028341899</v>
      </c>
      <c r="H2197" s="861">
        <v>50.003124881837699</v>
      </c>
      <c r="I2197" s="861">
        <v>31.167369056348502</v>
      </c>
      <c r="J2197" s="861">
        <v>36.489016730825199</v>
      </c>
      <c r="K2197" s="982">
        <v>0</v>
      </c>
      <c r="L2197" s="735">
        <v>4440</v>
      </c>
      <c r="M2197" s="735">
        <v>4028</v>
      </c>
      <c r="N2197" s="845">
        <f t="shared" si="173"/>
        <v>-9.2792792792792789E-2</v>
      </c>
      <c r="O2197" s="735">
        <v>5.5620992792897415</v>
      </c>
      <c r="P2197" s="735">
        <f t="shared" si="174"/>
        <v>724.18700165926555</v>
      </c>
      <c r="Q2197" s="849">
        <v>47.3</v>
      </c>
      <c r="R2197" s="71">
        <v>59402</v>
      </c>
      <c r="S2197" s="845">
        <v>0.12848605577689243</v>
      </c>
      <c r="T2197" s="845">
        <v>0.05</v>
      </c>
      <c r="U2197" s="845">
        <v>0</v>
      </c>
      <c r="V2197" s="845">
        <v>0</v>
      </c>
      <c r="W2197" s="845">
        <v>0.32808103545301071</v>
      </c>
      <c r="X2197" s="845">
        <v>0.33962264150943394</v>
      </c>
      <c r="Y2197" s="845">
        <v>0.82696127110228401</v>
      </c>
      <c r="Z2197" s="845">
        <v>8.242303872889771E-2</v>
      </c>
      <c r="AA2197" s="845">
        <v>0</v>
      </c>
      <c r="AB2197" s="845">
        <v>0</v>
      </c>
      <c r="AC2197" s="845">
        <v>0</v>
      </c>
      <c r="AD2197" s="845">
        <v>0</v>
      </c>
      <c r="AE2197" s="845">
        <v>9.0615690168818278E-2</v>
      </c>
      <c r="AF2197" s="845">
        <v>1.166832174776564E-2</v>
      </c>
      <c r="AG2197" s="845">
        <v>0.81653426017874875</v>
      </c>
      <c r="AH2197" s="20" t="str">
        <f t="shared" si="175"/>
        <v>No</v>
      </c>
      <c r="AI2197" s="25"/>
      <c r="AJ2197" s="25"/>
      <c r="AK2197" s="25"/>
      <c r="AL2197" s="25"/>
      <c r="AM2197" s="25"/>
      <c r="AN2197" s="25"/>
      <c r="AO2197" s="25"/>
      <c r="AP2197" s="25"/>
      <c r="AQ2197" s="25"/>
      <c r="AR2197" s="25"/>
      <c r="AS2197" s="25"/>
      <c r="AT2197" s="25"/>
      <c r="AU2197" s="36"/>
      <c r="AV2197" s="36"/>
      <c r="AW2197" s="36"/>
      <c r="AX2197" s="25"/>
      <c r="AY2197" s="25"/>
      <c r="AZ2197" s="25"/>
      <c r="BA2197" s="25"/>
      <c r="BB2197" s="25"/>
      <c r="BC2197" s="25"/>
      <c r="BD2197" s="25"/>
      <c r="BE2197" s="25"/>
      <c r="BF2197" s="25"/>
      <c r="BG2197" s="25"/>
      <c r="BH2197" s="25"/>
      <c r="BI2197" s="25"/>
      <c r="BJ2197" s="25"/>
      <c r="BK2197" s="25"/>
      <c r="BL2197" s="25"/>
      <c r="BM2197" s="25"/>
      <c r="BN2197" s="25"/>
      <c r="BO2197" s="25"/>
      <c r="BP2197" s="25"/>
      <c r="BQ2197" s="25"/>
      <c r="BR2197" s="25"/>
      <c r="BS2197" s="25"/>
      <c r="BT2197" s="25"/>
      <c r="BU2197"/>
      <c r="BV2197"/>
      <c r="BW2197"/>
      <c r="BX2197"/>
      <c r="BY2197"/>
      <c r="BZ2197"/>
      <c r="CA2197"/>
      <c r="CB2197"/>
      <c r="CC2197"/>
      <c r="CD2197" s="25"/>
    </row>
    <row r="2198" spans="1:82" s="17" customFormat="1" x14ac:dyDescent="0.2">
      <c r="A2198" s="25"/>
      <c r="B2198" s="20">
        <v>39119911000</v>
      </c>
      <c r="C2198" s="20">
        <v>9110</v>
      </c>
      <c r="D2198" s="20" t="s">
        <v>65</v>
      </c>
      <c r="E2198" s="20" t="s">
        <v>265</v>
      </c>
      <c r="F2198" s="20" t="s">
        <v>8</v>
      </c>
      <c r="G2198" s="861">
        <v>41.536306663907098</v>
      </c>
      <c r="H2198" s="861">
        <v>32.434904163450803</v>
      </c>
      <c r="I2198" s="861">
        <v>24.781966637593399</v>
      </c>
      <c r="J2198" s="861">
        <v>51.255855861461697</v>
      </c>
      <c r="K2198" s="982">
        <v>0</v>
      </c>
      <c r="L2198" s="735">
        <v>4790</v>
      </c>
      <c r="M2198" s="735">
        <v>4561</v>
      </c>
      <c r="N2198" s="845">
        <f t="shared" si="173"/>
        <v>-4.7807933194154488E-2</v>
      </c>
      <c r="O2198" s="735">
        <v>139.09647909541948</v>
      </c>
      <c r="P2198" s="735">
        <f t="shared" si="174"/>
        <v>32.790190159099403</v>
      </c>
      <c r="Q2198" s="849">
        <v>47.1</v>
      </c>
      <c r="R2198" s="71">
        <v>67326</v>
      </c>
      <c r="S2198" s="845">
        <v>0.14582402858418936</v>
      </c>
      <c r="T2198" s="845">
        <v>1.3000000000000001E-2</v>
      </c>
      <c r="U2198" s="845">
        <v>8.0000000000000002E-3</v>
      </c>
      <c r="V2198" s="845">
        <v>0</v>
      </c>
      <c r="W2198" s="845">
        <v>0.12279635258358662</v>
      </c>
      <c r="X2198" s="845">
        <v>0.17821782178217821</v>
      </c>
      <c r="Y2198" s="845">
        <v>0.91668493751370317</v>
      </c>
      <c r="Z2198" s="845">
        <v>9.6470072352554271E-3</v>
      </c>
      <c r="AA2198" s="845">
        <v>0</v>
      </c>
      <c r="AB2198" s="845">
        <v>0</v>
      </c>
      <c r="AC2198" s="845">
        <v>0</v>
      </c>
      <c r="AD2198" s="845">
        <v>1.775926331944749E-2</v>
      </c>
      <c r="AE2198" s="845">
        <v>5.5908791931593947E-2</v>
      </c>
      <c r="AF2198" s="845">
        <v>0</v>
      </c>
      <c r="AG2198" s="845">
        <v>0.91668493751370317</v>
      </c>
      <c r="AH2198" s="20" t="str">
        <f t="shared" si="175"/>
        <v>Yes</v>
      </c>
      <c r="AI2198" s="25"/>
      <c r="AJ2198" s="25"/>
      <c r="AK2198" s="25"/>
      <c r="AL2198" s="25"/>
      <c r="AM2198" s="25"/>
      <c r="AN2198" s="25"/>
      <c r="AO2198" s="25"/>
      <c r="AP2198" s="25"/>
      <c r="AQ2198" s="25"/>
      <c r="AR2198" s="25"/>
      <c r="AS2198" s="25"/>
      <c r="AT2198" s="25"/>
      <c r="AU2198" s="36"/>
      <c r="AV2198" s="36"/>
      <c r="AW2198" s="36"/>
      <c r="AX2198" s="25"/>
      <c r="AY2198" s="25"/>
      <c r="AZ2198" s="25"/>
      <c r="BA2198" s="25"/>
      <c r="BB2198" s="25"/>
      <c r="BC2198" s="25"/>
      <c r="BD2198" s="25"/>
      <c r="BE2198" s="25"/>
      <c r="BF2198" s="25"/>
      <c r="BG2198" s="25"/>
      <c r="BH2198" s="25"/>
      <c r="BI2198" s="25"/>
      <c r="BJ2198" s="25"/>
      <c r="BK2198" s="25"/>
      <c r="BL2198" s="25"/>
      <c r="BM2198" s="25"/>
      <c r="BN2198" s="25"/>
      <c r="BO2198" s="25"/>
      <c r="BP2198" s="25"/>
      <c r="BQ2198" s="25"/>
      <c r="BR2198" s="25"/>
      <c r="BS2198" s="25"/>
      <c r="BT2198" s="25"/>
      <c r="BU2198"/>
      <c r="BV2198"/>
      <c r="BW2198"/>
      <c r="BX2198"/>
      <c r="BY2198"/>
      <c r="BZ2198"/>
      <c r="CA2198"/>
      <c r="CB2198"/>
      <c r="CC2198"/>
      <c r="CD2198" s="25"/>
    </row>
    <row r="2199" spans="1:82" s="17" customFormat="1" x14ac:dyDescent="0.2">
      <c r="A2199" s="25"/>
      <c r="B2199" s="20">
        <v>39095000201</v>
      </c>
      <c r="C2199" s="20">
        <v>2.0099999999999998</v>
      </c>
      <c r="D2199" s="20" t="s">
        <v>53</v>
      </c>
      <c r="E2199" s="20" t="s">
        <v>2839</v>
      </c>
      <c r="F2199" s="20" t="s">
        <v>8</v>
      </c>
      <c r="G2199" s="861">
        <v>41.533860269974298</v>
      </c>
      <c r="H2199" s="861">
        <v>52.071119463724202</v>
      </c>
      <c r="I2199" s="861">
        <v>38.606320338082497</v>
      </c>
      <c r="J2199" s="861">
        <v>38.086718559053203</v>
      </c>
      <c r="K2199" s="982">
        <v>0</v>
      </c>
      <c r="L2199" s="735" t="s">
        <v>2466</v>
      </c>
      <c r="M2199" s="735">
        <v>2556</v>
      </c>
      <c r="N2199" s="845" t="str">
        <f t="shared" si="173"/>
        <v/>
      </c>
      <c r="O2199" s="735">
        <v>0.23497482388056215</v>
      </c>
      <c r="P2199" s="735">
        <f t="shared" si="174"/>
        <v>10877.761105586429</v>
      </c>
      <c r="Q2199" s="849">
        <v>30.2</v>
      </c>
      <c r="R2199" s="71">
        <v>49041</v>
      </c>
      <c r="S2199" s="845">
        <v>0.37896427137695704</v>
      </c>
      <c r="T2199" s="845">
        <v>4.0999999999999995E-2</v>
      </c>
      <c r="U2199" s="845">
        <v>0</v>
      </c>
      <c r="V2199" s="845">
        <v>6.3E-2</v>
      </c>
      <c r="W2199" s="845">
        <v>0.40664375715922108</v>
      </c>
      <c r="X2199" s="845">
        <v>0.53802816901408446</v>
      </c>
      <c r="Y2199" s="845">
        <v>0.56611893583724571</v>
      </c>
      <c r="Z2199" s="845">
        <v>0.39593114241001565</v>
      </c>
      <c r="AA2199" s="845">
        <v>0</v>
      </c>
      <c r="AB2199" s="845">
        <v>2.3474178403755869E-3</v>
      </c>
      <c r="AC2199" s="845">
        <v>0</v>
      </c>
      <c r="AD2199" s="845">
        <v>0</v>
      </c>
      <c r="AE2199" s="845">
        <v>3.5602503912363068E-2</v>
      </c>
      <c r="AF2199" s="845">
        <v>7.7073552425665104E-2</v>
      </c>
      <c r="AG2199" s="845">
        <v>0.4890453834115806</v>
      </c>
      <c r="AH2199" s="20" t="str">
        <f t="shared" si="175"/>
        <v>No</v>
      </c>
      <c r="AI2199" s="25"/>
      <c r="AJ2199" s="25"/>
      <c r="AK2199" s="25"/>
      <c r="AL2199" s="25"/>
      <c r="AM2199" s="25"/>
      <c r="AN2199" s="25"/>
      <c r="AO2199" s="25"/>
      <c r="AP2199" s="25"/>
      <c r="AQ2199" s="25"/>
      <c r="AR2199" s="25"/>
      <c r="AS2199" s="25"/>
      <c r="AT2199" s="25"/>
      <c r="AU2199" s="36"/>
      <c r="AV2199" s="36"/>
      <c r="AW2199" s="36"/>
      <c r="AX2199" s="25"/>
      <c r="AY2199" s="25"/>
      <c r="AZ2199" s="25"/>
      <c r="BA2199" s="25"/>
      <c r="BB2199" s="25"/>
      <c r="BC2199" s="25"/>
      <c r="BD2199" s="25"/>
      <c r="BE2199" s="25"/>
      <c r="BF2199" s="25"/>
      <c r="BG2199" s="25"/>
      <c r="BH2199" s="25"/>
      <c r="BI2199" s="25"/>
      <c r="BJ2199" s="25"/>
      <c r="BK2199" s="25"/>
      <c r="BL2199" s="25"/>
      <c r="BM2199" s="25"/>
      <c r="BN2199" s="25"/>
      <c r="BO2199" s="25"/>
      <c r="BP2199" s="25"/>
      <c r="BQ2199" s="25"/>
      <c r="BR2199" s="25"/>
      <c r="BS2199" s="25"/>
      <c r="BT2199" s="25"/>
      <c r="BU2199"/>
      <c r="BV2199"/>
      <c r="BW2199"/>
      <c r="BX2199"/>
      <c r="BY2199"/>
      <c r="BZ2199"/>
      <c r="CA2199"/>
      <c r="CB2199"/>
      <c r="CC2199"/>
      <c r="CD2199" s="25"/>
    </row>
    <row r="2200" spans="1:82" s="17" customFormat="1" x14ac:dyDescent="0.2">
      <c r="A2200" s="25"/>
      <c r="B2200" s="20">
        <v>39153502101</v>
      </c>
      <c r="C2200" s="20">
        <v>5021.01</v>
      </c>
      <c r="D2200" s="20" t="s">
        <v>82</v>
      </c>
      <c r="E2200" s="20" t="s">
        <v>2843</v>
      </c>
      <c r="F2200" s="20" t="s">
        <v>6</v>
      </c>
      <c r="G2200" s="861">
        <v>41.517098186164098</v>
      </c>
      <c r="H2200" s="861">
        <v>45.388338861350803</v>
      </c>
      <c r="I2200" s="861">
        <v>50.052979152250003</v>
      </c>
      <c r="J2200" s="861">
        <v>37.994163462228499</v>
      </c>
      <c r="K2200" s="982">
        <v>0</v>
      </c>
      <c r="L2200" s="735">
        <v>2993</v>
      </c>
      <c r="M2200" s="735">
        <v>3492</v>
      </c>
      <c r="N2200" s="845">
        <f t="shared" si="173"/>
        <v>0.1667223521550284</v>
      </c>
      <c r="O2200" s="735">
        <v>0.81258790025873906</v>
      </c>
      <c r="P2200" s="735">
        <f t="shared" si="174"/>
        <v>4297.3812419408405</v>
      </c>
      <c r="Q2200" s="849">
        <v>37.5</v>
      </c>
      <c r="R2200" s="71">
        <v>52628</v>
      </c>
      <c r="S2200" s="845">
        <v>0.29850316637881402</v>
      </c>
      <c r="T2200" s="845">
        <v>7.0999999999999994E-2</v>
      </c>
      <c r="U2200" s="845">
        <v>0</v>
      </c>
      <c r="V2200" s="845">
        <v>4.8000000000000001E-2</v>
      </c>
      <c r="W2200" s="845">
        <v>0.48346738159070601</v>
      </c>
      <c r="X2200" s="845">
        <v>0.5508317929759704</v>
      </c>
      <c r="Y2200" s="845">
        <v>0.56758304696449025</v>
      </c>
      <c r="Z2200" s="845">
        <v>5.7273768613974797E-2</v>
      </c>
      <c r="AA2200" s="845">
        <v>0</v>
      </c>
      <c r="AB2200" s="845">
        <v>0.33734249713631159</v>
      </c>
      <c r="AC2200" s="845">
        <v>0</v>
      </c>
      <c r="AD2200" s="845">
        <v>4.2955326460481103E-3</v>
      </c>
      <c r="AE2200" s="845">
        <v>3.3505154639175257E-2</v>
      </c>
      <c r="AF2200" s="845">
        <v>2.1764032073310423E-2</v>
      </c>
      <c r="AG2200" s="845">
        <v>0.54581901489117979</v>
      </c>
      <c r="AH2200" s="20" t="str">
        <f t="shared" si="175"/>
        <v>No</v>
      </c>
      <c r="AI2200" s="25"/>
      <c r="AJ2200" s="25"/>
      <c r="AK2200" s="25"/>
      <c r="AL2200" s="25"/>
      <c r="AM2200" s="25"/>
      <c r="AN2200" s="25"/>
      <c r="AO2200" s="25"/>
      <c r="AP2200" s="25"/>
      <c r="AQ2200" s="25"/>
      <c r="AR2200" s="25"/>
      <c r="AS2200" s="25"/>
      <c r="AT2200" s="25"/>
      <c r="AU2200" s="36"/>
      <c r="AV2200" s="36"/>
      <c r="AW2200" s="36"/>
      <c r="AX2200" s="25"/>
      <c r="AY2200" s="25"/>
      <c r="AZ2200" s="25"/>
      <c r="BA2200" s="25"/>
      <c r="BB2200" s="25"/>
      <c r="BC2200" s="25"/>
      <c r="BD2200" s="25"/>
      <c r="BE2200" s="25"/>
      <c r="BF2200" s="25"/>
      <c r="BG2200" s="25"/>
      <c r="BH2200" s="25"/>
      <c r="BI2200" s="25"/>
      <c r="BJ2200" s="25"/>
      <c r="BK2200" s="25"/>
      <c r="BL2200" s="25"/>
      <c r="BM2200" s="25"/>
      <c r="BN2200" s="25"/>
      <c r="BO2200" s="25"/>
      <c r="BP2200" s="25"/>
      <c r="BQ2200" s="25"/>
      <c r="BR2200" s="25"/>
      <c r="BS2200" s="25"/>
      <c r="BT2200" s="25"/>
      <c r="BU2200"/>
      <c r="BV2200"/>
      <c r="BW2200"/>
      <c r="BX2200"/>
      <c r="BY2200"/>
      <c r="BZ2200"/>
      <c r="CA2200"/>
      <c r="CB2200"/>
      <c r="CC2200"/>
      <c r="CD2200" s="25"/>
    </row>
    <row r="2201" spans="1:82" s="17" customFormat="1" x14ac:dyDescent="0.2">
      <c r="A2201" s="25"/>
      <c r="B2201" s="20">
        <v>39101000900</v>
      </c>
      <c r="C2201" s="20">
        <v>9</v>
      </c>
      <c r="D2201" s="20" t="s">
        <v>56</v>
      </c>
      <c r="E2201" s="20" t="s">
        <v>265</v>
      </c>
      <c r="F2201" s="20" t="s">
        <v>6</v>
      </c>
      <c r="G2201" s="861">
        <v>41.484448485664203</v>
      </c>
      <c r="H2201" s="861">
        <v>47.252982251681502</v>
      </c>
      <c r="I2201" s="861">
        <v>63.510099357833703</v>
      </c>
      <c r="J2201" s="861">
        <v>46.528514144306399</v>
      </c>
      <c r="K2201" s="982">
        <v>1</v>
      </c>
      <c r="L2201" s="735">
        <v>3967</v>
      </c>
      <c r="M2201" s="735">
        <v>4323</v>
      </c>
      <c r="N2201" s="845">
        <f t="shared" si="173"/>
        <v>8.9740357953113178E-2</v>
      </c>
      <c r="O2201" s="735">
        <v>1.7883862022826045</v>
      </c>
      <c r="P2201" s="735">
        <f t="shared" si="174"/>
        <v>2417.2631137963067</v>
      </c>
      <c r="Q2201" s="849">
        <v>27.4</v>
      </c>
      <c r="R2201" s="71">
        <v>32042</v>
      </c>
      <c r="S2201" s="845">
        <v>0.37587168758716877</v>
      </c>
      <c r="T2201" s="845">
        <v>0.13500000000000001</v>
      </c>
      <c r="U2201" s="845">
        <v>0</v>
      </c>
      <c r="V2201" s="845">
        <v>3.7999999999999999E-2</v>
      </c>
      <c r="W2201" s="845">
        <v>0.63357282821685168</v>
      </c>
      <c r="X2201" s="845">
        <v>0.62164948453608249</v>
      </c>
      <c r="Y2201" s="845">
        <v>0.76844783715012721</v>
      </c>
      <c r="Z2201" s="845">
        <v>8.4200786490862822E-2</v>
      </c>
      <c r="AA2201" s="845">
        <v>0</v>
      </c>
      <c r="AB2201" s="845">
        <v>0</v>
      </c>
      <c r="AC2201" s="845">
        <v>0</v>
      </c>
      <c r="AD2201" s="845">
        <v>1.9430950728660652E-2</v>
      </c>
      <c r="AE2201" s="845">
        <v>0.1279204256303493</v>
      </c>
      <c r="AF2201" s="845">
        <v>8.7207957436965064E-2</v>
      </c>
      <c r="AG2201" s="845">
        <v>0.74277122368725423</v>
      </c>
      <c r="AH2201" s="20" t="str">
        <f t="shared" si="175"/>
        <v>No</v>
      </c>
      <c r="AI2201" s="25"/>
      <c r="AJ2201" s="25"/>
      <c r="AK2201" s="25"/>
      <c r="AL2201" s="25"/>
      <c r="AM2201" s="25"/>
      <c r="AN2201" s="25"/>
      <c r="AO2201" s="25"/>
      <c r="AP2201" s="25"/>
      <c r="AQ2201" s="25"/>
      <c r="AR2201" s="25"/>
      <c r="AS2201" s="25"/>
      <c r="AT2201" s="25"/>
      <c r="AU2201" s="36"/>
      <c r="AV2201" s="36"/>
      <c r="AW2201" s="36"/>
      <c r="AX2201" s="25"/>
      <c r="AY2201" s="25"/>
      <c r="AZ2201" s="25"/>
      <c r="BA2201" s="25"/>
      <c r="BB2201" s="25"/>
      <c r="BC2201" s="25"/>
      <c r="BD2201" s="25"/>
      <c r="BE2201" s="25"/>
      <c r="BF2201" s="25"/>
      <c r="BG2201" s="25"/>
      <c r="BH2201" s="25"/>
      <c r="BI2201" s="25"/>
      <c r="BJ2201" s="25"/>
      <c r="BK2201" s="25"/>
      <c r="BL2201" s="25"/>
      <c r="BM2201" s="25"/>
      <c r="BN2201" s="25"/>
      <c r="BO2201" s="25"/>
      <c r="BP2201" s="25"/>
      <c r="BQ2201" s="25"/>
      <c r="BR2201" s="25"/>
      <c r="BS2201" s="25"/>
      <c r="BT2201" s="25"/>
      <c r="BU2201"/>
      <c r="BV2201"/>
      <c r="BW2201"/>
      <c r="BX2201"/>
      <c r="BY2201"/>
      <c r="BZ2201"/>
      <c r="CA2201"/>
      <c r="CB2201"/>
      <c r="CC2201"/>
      <c r="CD2201" s="25"/>
    </row>
    <row r="2202" spans="1:82" s="17" customFormat="1" x14ac:dyDescent="0.2">
      <c r="A2202" s="25"/>
      <c r="B2202" s="20">
        <v>39095000400</v>
      </c>
      <c r="C2202" s="20">
        <v>4</v>
      </c>
      <c r="D2202" s="20" t="s">
        <v>53</v>
      </c>
      <c r="E2202" s="20" t="s">
        <v>2839</v>
      </c>
      <c r="F2202" s="20" t="s">
        <v>6</v>
      </c>
      <c r="G2202" s="861">
        <v>41.464348184613399</v>
      </c>
      <c r="H2202" s="861">
        <v>58.785134835087597</v>
      </c>
      <c r="I2202" s="861">
        <v>49.882020810058698</v>
      </c>
      <c r="J2202" s="861">
        <v>36.692937788429703</v>
      </c>
      <c r="K2202" s="982">
        <v>0</v>
      </c>
      <c r="L2202" s="735">
        <v>3349</v>
      </c>
      <c r="M2202" s="735">
        <v>3625</v>
      </c>
      <c r="N2202" s="845">
        <f t="shared" si="173"/>
        <v>8.2412660495670351E-2</v>
      </c>
      <c r="O2202" s="735">
        <v>0.6459103011094518</v>
      </c>
      <c r="P2202" s="735">
        <f t="shared" si="174"/>
        <v>5612.2343826588558</v>
      </c>
      <c r="Q2202" s="849">
        <v>34.9</v>
      </c>
      <c r="R2202" s="71">
        <v>49652</v>
      </c>
      <c r="S2202" s="845">
        <v>9.1461729759602095E-2</v>
      </c>
      <c r="T2202" s="845">
        <v>3.1E-2</v>
      </c>
      <c r="U2202" s="845">
        <v>0</v>
      </c>
      <c r="V2202" s="845">
        <v>0.107</v>
      </c>
      <c r="W2202" s="845">
        <v>0.4944367176634214</v>
      </c>
      <c r="X2202" s="845">
        <v>0.33473980309423346</v>
      </c>
      <c r="Y2202" s="845">
        <v>0.57020689655172418</v>
      </c>
      <c r="Z2202" s="845">
        <v>0.34786206896551725</v>
      </c>
      <c r="AA2202" s="845">
        <v>6.068965517241379E-3</v>
      </c>
      <c r="AB2202" s="845">
        <v>0</v>
      </c>
      <c r="AC2202" s="845">
        <v>0</v>
      </c>
      <c r="AD2202" s="845">
        <v>7.7241379310344829E-3</v>
      </c>
      <c r="AE2202" s="845">
        <v>6.8137931034482763E-2</v>
      </c>
      <c r="AF2202" s="845">
        <v>8.0551724137931033E-2</v>
      </c>
      <c r="AG2202" s="845">
        <v>0.54262068965517241</v>
      </c>
      <c r="AH2202" s="20" t="str">
        <f t="shared" si="175"/>
        <v>No</v>
      </c>
      <c r="AI2202" s="25"/>
      <c r="AJ2202" s="25"/>
      <c r="AK2202" s="25"/>
      <c r="AL2202" s="25"/>
      <c r="AM2202" s="25"/>
      <c r="AN2202" s="25"/>
      <c r="AO2202" s="25"/>
      <c r="AP2202" s="25"/>
      <c r="AQ2202" s="25"/>
      <c r="AR2202" s="25"/>
      <c r="AS2202" s="25"/>
      <c r="AT2202" s="25"/>
      <c r="AU2202" s="36"/>
      <c r="AV2202" s="36"/>
      <c r="AW2202" s="36"/>
      <c r="AX2202" s="25"/>
      <c r="AY2202" s="25"/>
      <c r="AZ2202" s="25"/>
      <c r="BA2202" s="25"/>
      <c r="BB2202" s="25"/>
      <c r="BC2202" s="25"/>
      <c r="BD2202" s="25"/>
      <c r="BE2202" s="25"/>
      <c r="BF2202" s="25"/>
      <c r="BG2202" s="25"/>
      <c r="BH2202" s="25"/>
      <c r="BI2202" s="25"/>
      <c r="BJ2202" s="25"/>
      <c r="BK2202" s="25"/>
      <c r="BL2202" s="25"/>
      <c r="BM2202" s="25"/>
      <c r="BN2202" s="25"/>
      <c r="BO2202" s="25"/>
      <c r="BP2202" s="25"/>
      <c r="BQ2202" s="25"/>
      <c r="BR2202" s="25"/>
      <c r="BS2202" s="25"/>
      <c r="BT2202" s="25"/>
      <c r="BU2202"/>
      <c r="BV2202"/>
      <c r="BW2202"/>
      <c r="BX2202"/>
      <c r="BY2202"/>
      <c r="BZ2202"/>
      <c r="CA2202"/>
      <c r="CB2202"/>
      <c r="CC2202"/>
      <c r="CD2202" s="25"/>
    </row>
    <row r="2203" spans="1:82" s="17" customFormat="1" x14ac:dyDescent="0.2">
      <c r="A2203" s="25"/>
      <c r="B2203" s="20">
        <v>39049004500</v>
      </c>
      <c r="C2203" s="20">
        <v>45</v>
      </c>
      <c r="D2203" s="20" t="s">
        <v>31</v>
      </c>
      <c r="E2203" s="20" t="s">
        <v>2830</v>
      </c>
      <c r="F2203" s="20" t="s">
        <v>6</v>
      </c>
      <c r="G2203" s="861">
        <v>41.457583810210998</v>
      </c>
      <c r="H2203" s="861">
        <v>66.6262770121145</v>
      </c>
      <c r="I2203" s="861">
        <v>58.009432790837003</v>
      </c>
      <c r="J2203" s="861">
        <v>35.335146613057098</v>
      </c>
      <c r="K2203" s="982">
        <v>0</v>
      </c>
      <c r="L2203" s="735">
        <v>4624</v>
      </c>
      <c r="M2203" s="735">
        <v>4835</v>
      </c>
      <c r="N2203" s="845">
        <f t="shared" si="173"/>
        <v>4.5631487889273355E-2</v>
      </c>
      <c r="O2203" s="735">
        <v>0.97852958869374895</v>
      </c>
      <c r="P2203" s="735">
        <f t="shared" si="174"/>
        <v>4941.0871739241938</v>
      </c>
      <c r="Q2203" s="849">
        <v>34.700000000000003</v>
      </c>
      <c r="R2203" s="71">
        <v>42917</v>
      </c>
      <c r="S2203" s="845">
        <v>0.30774045482996037</v>
      </c>
      <c r="T2203" s="845">
        <v>7.2999999999999995E-2</v>
      </c>
      <c r="U2203" s="845">
        <v>0</v>
      </c>
      <c r="V2203" s="845">
        <v>1.8000000000000002E-2</v>
      </c>
      <c r="W2203" s="845">
        <v>0.50550502632838679</v>
      </c>
      <c r="X2203" s="845">
        <v>0.55303030303030298</v>
      </c>
      <c r="Y2203" s="845">
        <v>0.65129265770423994</v>
      </c>
      <c r="Z2203" s="845">
        <v>8.7280248190279214E-2</v>
      </c>
      <c r="AA2203" s="845">
        <v>1.6546018614270941E-3</v>
      </c>
      <c r="AB2203" s="845">
        <v>2.6059979317476733E-2</v>
      </c>
      <c r="AC2203" s="845">
        <v>0</v>
      </c>
      <c r="AD2203" s="845">
        <v>5.439503619441572E-2</v>
      </c>
      <c r="AE2203" s="845">
        <v>0.17931747673216133</v>
      </c>
      <c r="AF2203" s="845">
        <v>0.12554291623578076</v>
      </c>
      <c r="AG2203" s="845">
        <v>0.64384694932781794</v>
      </c>
      <c r="AH2203" s="20" t="str">
        <f t="shared" si="175"/>
        <v>No</v>
      </c>
      <c r="AI2203" s="25"/>
      <c r="AJ2203" s="25"/>
      <c r="AK2203" s="25"/>
      <c r="AL2203" s="25"/>
      <c r="AM2203" s="25"/>
      <c r="AN2203" s="25"/>
      <c r="AO2203" s="25"/>
      <c r="AP2203" s="25"/>
      <c r="AQ2203" s="25"/>
      <c r="AR2203" s="25"/>
      <c r="AS2203" s="25"/>
      <c r="AT2203" s="25"/>
      <c r="AU2203" s="36"/>
      <c r="AV2203" s="36"/>
      <c r="AW2203" s="36"/>
      <c r="AX2203" s="25"/>
      <c r="AY2203" s="25"/>
      <c r="AZ2203" s="25"/>
      <c r="BA2203" s="25"/>
      <c r="BB2203" s="25"/>
      <c r="BC2203" s="25"/>
      <c r="BD2203" s="25"/>
      <c r="BE2203" s="25"/>
      <c r="BF2203" s="25"/>
      <c r="BG2203" s="25"/>
      <c r="BH2203" s="25"/>
      <c r="BI2203" s="25"/>
      <c r="BJ2203" s="25"/>
      <c r="BK2203" s="25"/>
      <c r="BL2203" s="25"/>
      <c r="BM2203" s="25"/>
      <c r="BN2203" s="25"/>
      <c r="BO2203" s="25"/>
      <c r="BP2203" s="25"/>
      <c r="BQ2203" s="25"/>
      <c r="BR2203" s="25"/>
      <c r="BS2203" s="25"/>
      <c r="BT2203" s="25"/>
      <c r="BU2203"/>
      <c r="BV2203"/>
      <c r="BW2203"/>
      <c r="BX2203"/>
      <c r="BY2203"/>
      <c r="BZ2203"/>
      <c r="CA2203"/>
      <c r="CB2203"/>
      <c r="CC2203"/>
      <c r="CD2203" s="25"/>
    </row>
    <row r="2204" spans="1:82" s="17" customFormat="1" x14ac:dyDescent="0.2">
      <c r="A2204" s="25"/>
      <c r="B2204" s="20">
        <v>39049001200</v>
      </c>
      <c r="C2204" s="20">
        <v>12</v>
      </c>
      <c r="D2204" s="20" t="s">
        <v>31</v>
      </c>
      <c r="E2204" s="20" t="s">
        <v>2830</v>
      </c>
      <c r="F2204" s="20" t="s">
        <v>6</v>
      </c>
      <c r="G2204" s="861">
        <v>41.455486649374201</v>
      </c>
      <c r="H2204" s="861">
        <v>56.599617042002897</v>
      </c>
      <c r="I2204" s="861">
        <v>61.208847064884203</v>
      </c>
      <c r="J2204" s="861">
        <v>39.684491362802099</v>
      </c>
      <c r="K2204" s="982">
        <v>0</v>
      </c>
      <c r="L2204" s="735">
        <v>4127</v>
      </c>
      <c r="M2204" s="735">
        <v>4039</v>
      </c>
      <c r="N2204" s="845">
        <f t="shared" si="173"/>
        <v>-2.1322994911558032E-2</v>
      </c>
      <c r="O2204" s="735">
        <v>0.25914752172356498</v>
      </c>
      <c r="P2204" s="735">
        <f t="shared" si="174"/>
        <v>15585.717251459722</v>
      </c>
      <c r="Q2204" s="849">
        <v>21.3</v>
      </c>
      <c r="R2204" s="71">
        <v>34909</v>
      </c>
      <c r="S2204" s="845">
        <v>0.635673624288425</v>
      </c>
      <c r="T2204" s="845">
        <v>7.0000000000000007E-2</v>
      </c>
      <c r="U2204" s="845">
        <v>0</v>
      </c>
      <c r="V2204" s="845">
        <v>2.7000000000000003E-2</v>
      </c>
      <c r="W2204" s="845">
        <v>0.99369582348305752</v>
      </c>
      <c r="X2204" s="845">
        <v>0.59714512291831878</v>
      </c>
      <c r="Y2204" s="845">
        <v>0.8242139143352315</v>
      </c>
      <c r="Z2204" s="845">
        <v>5.8182718494676898E-2</v>
      </c>
      <c r="AA2204" s="845">
        <v>0</v>
      </c>
      <c r="AB2204" s="845">
        <v>6.1153750928447638E-2</v>
      </c>
      <c r="AC2204" s="845">
        <v>0</v>
      </c>
      <c r="AD2204" s="845">
        <v>2.0549641000247587E-2</v>
      </c>
      <c r="AE2204" s="845">
        <v>3.5899975241396383E-2</v>
      </c>
      <c r="AF2204" s="845">
        <v>3.7385491458281753E-2</v>
      </c>
      <c r="AG2204" s="845">
        <v>0.79648427828670465</v>
      </c>
      <c r="AH2204" s="20" t="str">
        <f t="shared" si="175"/>
        <v>No</v>
      </c>
      <c r="AI2204" s="25"/>
      <c r="AJ2204" s="25"/>
      <c r="AK2204" s="25"/>
      <c r="AL2204" s="25"/>
      <c r="AM2204" s="25"/>
      <c r="AN2204" s="25"/>
      <c r="AO2204" s="25"/>
      <c r="AP2204" s="25"/>
      <c r="AQ2204" s="25"/>
      <c r="AR2204" s="25"/>
      <c r="AS2204" s="25"/>
      <c r="AT2204" s="25"/>
      <c r="AU2204" s="36"/>
      <c r="AV2204" s="36"/>
      <c r="AW2204" s="36"/>
      <c r="AX2204" s="25"/>
      <c r="AY2204" s="25"/>
      <c r="AZ2204" s="25"/>
      <c r="BA2204" s="25"/>
      <c r="BB2204" s="25"/>
      <c r="BC2204" s="25"/>
      <c r="BD2204" s="25"/>
      <c r="BE2204" s="25"/>
      <c r="BF2204" s="25"/>
      <c r="BG2204" s="25"/>
      <c r="BH2204" s="25"/>
      <c r="BI2204" s="25"/>
      <c r="BJ2204" s="25"/>
      <c r="BK2204" s="25"/>
      <c r="BL2204" s="25"/>
      <c r="BM2204" s="25"/>
      <c r="BN2204" s="25"/>
      <c r="BO2204" s="25"/>
      <c r="BP2204" s="25"/>
      <c r="BQ2204" s="25"/>
      <c r="BR2204" s="25"/>
      <c r="BS2204" s="25"/>
      <c r="BT2204" s="25"/>
      <c r="BU2204"/>
      <c r="BV2204"/>
      <c r="BW2204"/>
      <c r="BX2204"/>
      <c r="BY2204"/>
      <c r="BZ2204"/>
      <c r="CA2204"/>
      <c r="CB2204"/>
      <c r="CC2204"/>
      <c r="CD2204" s="25"/>
    </row>
    <row r="2205" spans="1:82" s="17" customFormat="1" x14ac:dyDescent="0.2">
      <c r="A2205" s="25"/>
      <c r="B2205" s="20">
        <v>39153504100</v>
      </c>
      <c r="C2205" s="20">
        <v>5041</v>
      </c>
      <c r="D2205" s="20" t="s">
        <v>82</v>
      </c>
      <c r="E2205" s="20" t="s">
        <v>2843</v>
      </c>
      <c r="F2205" s="20" t="s">
        <v>6</v>
      </c>
      <c r="G2205" s="861">
        <v>41.445140302441096</v>
      </c>
      <c r="H2205" s="861">
        <v>56.098477673034701</v>
      </c>
      <c r="I2205" s="861">
        <v>66.668441688675102</v>
      </c>
      <c r="J2205" s="861">
        <v>51.8621825876805</v>
      </c>
      <c r="K2205" s="982">
        <v>0</v>
      </c>
      <c r="L2205" s="735">
        <v>1407</v>
      </c>
      <c r="M2205" s="735">
        <v>1071</v>
      </c>
      <c r="N2205" s="845">
        <f t="shared" si="173"/>
        <v>-0.23880597014925373</v>
      </c>
      <c r="O2205" s="735">
        <v>0.31950301115475005</v>
      </c>
      <c r="P2205" s="735">
        <f t="shared" si="174"/>
        <v>3352.0810840848862</v>
      </c>
      <c r="Q2205" s="849">
        <v>22.9</v>
      </c>
      <c r="R2205" s="71">
        <v>34917</v>
      </c>
      <c r="S2205" s="845">
        <v>0.37721755368814192</v>
      </c>
      <c r="T2205" s="845">
        <v>0.16200000000000001</v>
      </c>
      <c r="U2205" s="845">
        <v>0</v>
      </c>
      <c r="V2205" s="845">
        <v>2.5000000000000001E-2</v>
      </c>
      <c r="W2205" s="845">
        <v>0.8809034907597536</v>
      </c>
      <c r="X2205" s="845">
        <v>0.40093240093240096</v>
      </c>
      <c r="Y2205" s="845">
        <v>0.66386554621848737</v>
      </c>
      <c r="Z2205" s="845">
        <v>0.31372549019607843</v>
      </c>
      <c r="AA2205" s="845">
        <v>0</v>
      </c>
      <c r="AB2205" s="845">
        <v>7.4696545284780582E-3</v>
      </c>
      <c r="AC2205" s="845">
        <v>0</v>
      </c>
      <c r="AD2205" s="845">
        <v>0</v>
      </c>
      <c r="AE2205" s="845">
        <v>1.4939309056956116E-2</v>
      </c>
      <c r="AF2205" s="845">
        <v>2.8011204481792718E-2</v>
      </c>
      <c r="AG2205" s="845">
        <v>0.65172735760971057</v>
      </c>
      <c r="AH2205" s="20" t="str">
        <f t="shared" si="175"/>
        <v>No</v>
      </c>
      <c r="AI2205" s="25"/>
      <c r="AJ2205" s="25"/>
      <c r="AK2205" s="25"/>
      <c r="AL2205" s="25"/>
      <c r="AM2205" s="25"/>
      <c r="AN2205" s="25"/>
      <c r="AO2205" s="25"/>
      <c r="AP2205" s="25"/>
      <c r="AQ2205" s="25"/>
      <c r="AR2205" s="25"/>
      <c r="AS2205" s="25"/>
      <c r="AT2205" s="25"/>
      <c r="AU2205" s="36"/>
      <c r="AV2205" s="36"/>
      <c r="AW2205" s="36"/>
      <c r="AX2205" s="25"/>
      <c r="AY2205" s="25"/>
      <c r="AZ2205" s="25"/>
      <c r="BA2205" s="25"/>
      <c r="BB2205" s="25"/>
      <c r="BC2205" s="25"/>
      <c r="BD2205" s="25"/>
      <c r="BE2205" s="25"/>
      <c r="BF2205" s="25"/>
      <c r="BG2205" s="25"/>
      <c r="BH2205" s="25"/>
      <c r="BI2205" s="25"/>
      <c r="BJ2205" s="25"/>
      <c r="BK2205" s="25"/>
      <c r="BL2205" s="25"/>
      <c r="BM2205" s="25"/>
      <c r="BN2205" s="25"/>
      <c r="BO2205" s="25"/>
      <c r="BP2205" s="25"/>
      <c r="BQ2205" s="25"/>
      <c r="BR2205" s="25"/>
      <c r="BS2205" s="25"/>
      <c r="BT2205" s="25"/>
      <c r="BU2205"/>
      <c r="BV2205"/>
      <c r="BW2205"/>
      <c r="BX2205"/>
      <c r="BY2205"/>
      <c r="BZ2205"/>
      <c r="CA2205"/>
      <c r="CB2205"/>
      <c r="CC2205"/>
      <c r="CD2205" s="25"/>
    </row>
    <row r="2206" spans="1:82" s="17" customFormat="1" x14ac:dyDescent="0.2">
      <c r="A2206" s="25"/>
      <c r="B2206" s="20">
        <v>39049009802</v>
      </c>
      <c r="C2206" s="20">
        <v>98.02</v>
      </c>
      <c r="D2206" s="20" t="s">
        <v>31</v>
      </c>
      <c r="E2206" s="20" t="s">
        <v>2830</v>
      </c>
      <c r="F2206" s="20" t="s">
        <v>8</v>
      </c>
      <c r="G2206" s="861">
        <v>41.4361868833304</v>
      </c>
      <c r="H2206" s="861">
        <v>48.6824416598173</v>
      </c>
      <c r="I2206" s="861">
        <v>30.815577389777602</v>
      </c>
      <c r="J2206" s="861">
        <v>47.2427379162406</v>
      </c>
      <c r="K2206" s="982">
        <v>0</v>
      </c>
      <c r="L2206" s="735" t="s">
        <v>2466</v>
      </c>
      <c r="M2206" s="735">
        <v>3657</v>
      </c>
      <c r="N2206" s="845" t="str">
        <f t="shared" si="173"/>
        <v/>
      </c>
      <c r="O2206" s="735">
        <v>27.137813771662451</v>
      </c>
      <c r="P2206" s="735">
        <f t="shared" si="174"/>
        <v>134.75661786059834</v>
      </c>
      <c r="Q2206" s="849">
        <v>43.1</v>
      </c>
      <c r="R2206" s="71">
        <v>74273</v>
      </c>
      <c r="S2206" s="845">
        <v>5.5159165751920966E-2</v>
      </c>
      <c r="T2206" s="845">
        <v>3.4000000000000002E-2</v>
      </c>
      <c r="U2206" s="845">
        <v>0</v>
      </c>
      <c r="V2206" s="845">
        <v>0</v>
      </c>
      <c r="W2206" s="845">
        <v>5.2555795536357093E-2</v>
      </c>
      <c r="X2206" s="845">
        <v>0.19178082191780821</v>
      </c>
      <c r="Y2206" s="845">
        <v>0.8881596937380366</v>
      </c>
      <c r="Z2206" s="845">
        <v>4.2384468143286849E-2</v>
      </c>
      <c r="AA2206" s="845">
        <v>0</v>
      </c>
      <c r="AB2206" s="845">
        <v>4.1017227235438884E-3</v>
      </c>
      <c r="AC2206" s="845">
        <v>0</v>
      </c>
      <c r="AD2206" s="845">
        <v>1.1211375444353295E-2</v>
      </c>
      <c r="AE2206" s="845">
        <v>5.4142739950779326E-2</v>
      </c>
      <c r="AF2206" s="845">
        <v>3.6095159967186222E-2</v>
      </c>
      <c r="AG2206" s="845">
        <v>0.87995624829094887</v>
      </c>
      <c r="AH2206" s="20" t="str">
        <f t="shared" si="175"/>
        <v>No</v>
      </c>
      <c r="AI2206" s="25"/>
      <c r="AJ2206" s="25"/>
      <c r="AK2206" s="25"/>
      <c r="AL2206" s="25"/>
      <c r="AM2206" s="25"/>
      <c r="AN2206" s="25"/>
      <c r="AO2206" s="25"/>
      <c r="AP2206" s="25"/>
      <c r="AQ2206" s="25"/>
      <c r="AR2206" s="25"/>
      <c r="AS2206" s="25"/>
      <c r="AT2206" s="25"/>
      <c r="AU2206" s="36"/>
      <c r="AV2206" s="36"/>
      <c r="AW2206" s="36"/>
      <c r="AX2206" s="25"/>
      <c r="AY2206" s="25"/>
      <c r="AZ2206" s="25"/>
      <c r="BA2206" s="25"/>
      <c r="BB2206" s="25"/>
      <c r="BC2206" s="25"/>
      <c r="BD2206" s="25"/>
      <c r="BE2206" s="25"/>
      <c r="BF2206" s="25"/>
      <c r="BG2206" s="25"/>
      <c r="BH2206" s="25"/>
      <c r="BI2206" s="25"/>
      <c r="BJ2206" s="25"/>
      <c r="BK2206" s="25"/>
      <c r="BL2206" s="25"/>
      <c r="BM2206" s="25"/>
      <c r="BN2206" s="25"/>
      <c r="BO2206" s="25"/>
      <c r="BP2206" s="25"/>
      <c r="BQ2206" s="25"/>
      <c r="BR2206" s="25"/>
      <c r="BS2206" s="25"/>
      <c r="BT2206" s="25"/>
      <c r="BU2206"/>
      <c r="BV2206"/>
      <c r="BW2206"/>
      <c r="BX2206"/>
      <c r="BY2206"/>
      <c r="BZ2206"/>
      <c r="CA2206"/>
      <c r="CB2206"/>
      <c r="CC2206"/>
      <c r="CD2206" s="25"/>
    </row>
    <row r="2207" spans="1:82" s="17" customFormat="1" x14ac:dyDescent="0.2">
      <c r="A2207" s="25"/>
      <c r="B2207" s="20">
        <v>39081011000</v>
      </c>
      <c r="C2207" s="20">
        <v>110</v>
      </c>
      <c r="D2207" s="20" t="s">
        <v>47</v>
      </c>
      <c r="E2207" s="20" t="s">
        <v>2840</v>
      </c>
      <c r="F2207" s="20" t="s">
        <v>8</v>
      </c>
      <c r="G2207" s="861">
        <v>41.404394049751303</v>
      </c>
      <c r="H2207" s="861">
        <v>35.9555481157496</v>
      </c>
      <c r="I2207" s="861">
        <v>22.669125581192102</v>
      </c>
      <c r="J2207" s="861">
        <v>56.838085895018203</v>
      </c>
      <c r="K2207" s="982">
        <v>0</v>
      </c>
      <c r="L2207" s="735">
        <v>1600</v>
      </c>
      <c r="M2207" s="735">
        <v>1853</v>
      </c>
      <c r="N2207" s="845">
        <f t="shared" si="173"/>
        <v>0.15812499999999999</v>
      </c>
      <c r="O2207" s="735">
        <v>44.744935141806501</v>
      </c>
      <c r="P2207" s="735">
        <f t="shared" si="174"/>
        <v>41.412508345971162</v>
      </c>
      <c r="Q2207" s="849">
        <v>41.6</v>
      </c>
      <c r="R2207" s="71">
        <v>82292</v>
      </c>
      <c r="S2207" s="845">
        <v>0.15056664867781974</v>
      </c>
      <c r="T2207" s="845">
        <v>8.5999999999999993E-2</v>
      </c>
      <c r="U2207" s="845">
        <v>2E-3</v>
      </c>
      <c r="V2207" s="845">
        <v>0</v>
      </c>
      <c r="W2207" s="845">
        <v>0.12405446293494705</v>
      </c>
      <c r="X2207" s="845">
        <v>0.48780487804878048</v>
      </c>
      <c r="Y2207" s="845">
        <v>0.91257420399352407</v>
      </c>
      <c r="Z2207" s="845">
        <v>6.3680518078791146E-2</v>
      </c>
      <c r="AA2207" s="845">
        <v>0</v>
      </c>
      <c r="AB2207" s="845">
        <v>0</v>
      </c>
      <c r="AC2207" s="845">
        <v>0</v>
      </c>
      <c r="AD2207" s="845">
        <v>2.6983270372369131E-3</v>
      </c>
      <c r="AE2207" s="845">
        <v>2.1046950890447922E-2</v>
      </c>
      <c r="AF2207" s="845">
        <v>0</v>
      </c>
      <c r="AG2207" s="845">
        <v>0.91257420399352407</v>
      </c>
      <c r="AH2207" s="20" t="str">
        <f t="shared" si="175"/>
        <v>Yes</v>
      </c>
      <c r="AI2207" s="25"/>
      <c r="AJ2207" s="25"/>
      <c r="AK2207" s="25"/>
      <c r="AL2207" s="25"/>
      <c r="AM2207" s="25"/>
      <c r="AN2207" s="25"/>
      <c r="AO2207" s="25"/>
      <c r="AP2207" s="25"/>
      <c r="AQ2207" s="25"/>
      <c r="AR2207" s="25"/>
      <c r="AS2207" s="25"/>
      <c r="AT2207" s="25"/>
      <c r="AU2207" s="36"/>
      <c r="AV2207" s="36"/>
      <c r="AW2207" s="36"/>
      <c r="AX2207" s="25"/>
      <c r="AY2207" s="25"/>
      <c r="AZ2207" s="25"/>
      <c r="BA2207" s="25"/>
      <c r="BB2207" s="25"/>
      <c r="BC2207" s="25"/>
      <c r="BD2207" s="25"/>
      <c r="BE2207" s="25"/>
      <c r="BF2207" s="25"/>
      <c r="BG2207" s="25"/>
      <c r="BH2207" s="25"/>
      <c r="BI2207" s="25"/>
      <c r="BJ2207" s="25"/>
      <c r="BK2207" s="25"/>
      <c r="BL2207" s="25"/>
      <c r="BM2207" s="25"/>
      <c r="BN2207" s="25"/>
      <c r="BO2207" s="25"/>
      <c r="BP2207" s="25"/>
      <c r="BQ2207" s="25"/>
      <c r="BR2207" s="25"/>
      <c r="BS2207" s="25"/>
      <c r="BT2207" s="25"/>
      <c r="BU2207"/>
      <c r="BV2207"/>
      <c r="BW2207"/>
      <c r="BX2207"/>
      <c r="BY2207"/>
      <c r="BZ2207"/>
      <c r="CA2207"/>
      <c r="CB2207"/>
      <c r="CC2207"/>
      <c r="CD2207" s="25"/>
    </row>
    <row r="2208" spans="1:82" s="17" customFormat="1" x14ac:dyDescent="0.2">
      <c r="A2208" s="25"/>
      <c r="B2208" s="20">
        <v>39095005803</v>
      </c>
      <c r="C2208" s="20">
        <v>58.03</v>
      </c>
      <c r="D2208" s="20" t="s">
        <v>53</v>
      </c>
      <c r="E2208" s="20" t="s">
        <v>2839</v>
      </c>
      <c r="F2208" s="20" t="s">
        <v>8</v>
      </c>
      <c r="G2208" s="861">
        <v>41.387642669015499</v>
      </c>
      <c r="H2208" s="861">
        <v>48.9811484523809</v>
      </c>
      <c r="I2208" s="861">
        <v>21.938184529487099</v>
      </c>
      <c r="J2208" s="861">
        <v>36.692795894695401</v>
      </c>
      <c r="K2208" s="982">
        <v>0</v>
      </c>
      <c r="L2208" s="735" t="s">
        <v>2466</v>
      </c>
      <c r="M2208" s="735">
        <v>1916</v>
      </c>
      <c r="N2208" s="845" t="str">
        <f t="shared" si="173"/>
        <v/>
      </c>
      <c r="O2208" s="735">
        <v>0.45710943437497098</v>
      </c>
      <c r="P2208" s="735">
        <f t="shared" si="174"/>
        <v>4191.5564543528717</v>
      </c>
      <c r="Q2208" s="849">
        <v>46</v>
      </c>
      <c r="R2208" s="71">
        <v>60067</v>
      </c>
      <c r="S2208" s="845">
        <v>7.6307363927427957E-2</v>
      </c>
      <c r="T2208" s="845">
        <v>7.4999999999999997E-2</v>
      </c>
      <c r="U2208" s="845">
        <v>0</v>
      </c>
      <c r="V2208" s="845">
        <v>0</v>
      </c>
      <c r="W2208" s="845">
        <v>0.14056224899598393</v>
      </c>
      <c r="X2208" s="845">
        <v>0.22857142857142856</v>
      </c>
      <c r="Y2208" s="845">
        <v>0.86430062630480164</v>
      </c>
      <c r="Z2208" s="845">
        <v>2.4008350730688934E-2</v>
      </c>
      <c r="AA2208" s="845">
        <v>0</v>
      </c>
      <c r="AB2208" s="845">
        <v>0</v>
      </c>
      <c r="AC2208" s="845">
        <v>0</v>
      </c>
      <c r="AD2208" s="845">
        <v>5.3757828810020877E-2</v>
      </c>
      <c r="AE2208" s="845">
        <v>5.793319415448852E-2</v>
      </c>
      <c r="AF2208" s="845">
        <v>5.6367432150313153E-2</v>
      </c>
      <c r="AG2208" s="845">
        <v>0.86169102296450939</v>
      </c>
      <c r="AH2208" s="20" t="str">
        <f t="shared" si="175"/>
        <v>No</v>
      </c>
      <c r="AI2208" s="25"/>
      <c r="AJ2208" s="25"/>
      <c r="AK2208" s="25"/>
      <c r="AL2208" s="25"/>
      <c r="AM2208" s="25"/>
      <c r="AN2208" s="25"/>
      <c r="AO2208" s="25"/>
      <c r="AP2208" s="25"/>
      <c r="AQ2208" s="25"/>
      <c r="AR2208" s="25"/>
      <c r="AS2208" s="25"/>
      <c r="AT2208" s="25"/>
      <c r="AU2208" s="36"/>
      <c r="AV2208" s="36"/>
      <c r="AW2208" s="36"/>
      <c r="AX2208" s="25"/>
      <c r="AY2208" s="25"/>
      <c r="AZ2208" s="25"/>
      <c r="BA2208" s="25"/>
      <c r="BB2208" s="25"/>
      <c r="BC2208" s="25"/>
      <c r="BD2208" s="25"/>
      <c r="BE2208" s="25"/>
      <c r="BF2208" s="25"/>
      <c r="BG2208" s="25"/>
      <c r="BH2208" s="25"/>
      <c r="BI2208" s="25"/>
      <c r="BJ2208" s="25"/>
      <c r="BK2208" s="25"/>
      <c r="BL2208" s="25"/>
      <c r="BM2208" s="25"/>
      <c r="BN2208" s="25"/>
      <c r="BO2208" s="25"/>
      <c r="BP2208" s="25"/>
      <c r="BQ2208" s="25"/>
      <c r="BR2208" s="25"/>
      <c r="BS2208" s="25"/>
      <c r="BT2208" s="25"/>
      <c r="BU2208"/>
      <c r="BV2208"/>
      <c r="BW2208"/>
      <c r="BX2208"/>
      <c r="BY2208"/>
      <c r="BZ2208"/>
      <c r="CA2208"/>
      <c r="CB2208"/>
      <c r="CC2208"/>
      <c r="CD2208" s="25"/>
    </row>
    <row r="2209" spans="1:82" s="17" customFormat="1" x14ac:dyDescent="0.2">
      <c r="A2209" s="25"/>
      <c r="B2209" s="20">
        <v>39153503100</v>
      </c>
      <c r="C2209" s="20">
        <v>5031</v>
      </c>
      <c r="D2209" s="20" t="s">
        <v>82</v>
      </c>
      <c r="E2209" s="20" t="s">
        <v>2843</v>
      </c>
      <c r="F2209" s="20" t="s">
        <v>6</v>
      </c>
      <c r="G2209" s="861">
        <v>41.380569871965399</v>
      </c>
      <c r="H2209" s="861">
        <v>56.870461143009798</v>
      </c>
      <c r="I2209" s="861">
        <v>78.5143957443142</v>
      </c>
      <c r="J2209" s="861">
        <v>46.123306604343803</v>
      </c>
      <c r="K2209" s="982">
        <v>0</v>
      </c>
      <c r="L2209" s="735">
        <v>2157</v>
      </c>
      <c r="M2209" s="735">
        <v>1609</v>
      </c>
      <c r="N2209" s="845">
        <f t="shared" si="173"/>
        <v>-0.25405656003708854</v>
      </c>
      <c r="O2209" s="735">
        <v>0.24963628114879649</v>
      </c>
      <c r="P2209" s="735">
        <f t="shared" si="174"/>
        <v>6445.3772207932807</v>
      </c>
      <c r="Q2209" s="849">
        <v>29.9</v>
      </c>
      <c r="R2209" s="71">
        <v>22070</v>
      </c>
      <c r="S2209" s="845">
        <v>0.4964308890330954</v>
      </c>
      <c r="T2209" s="845">
        <v>0.18600000000000003</v>
      </c>
      <c r="U2209" s="845">
        <v>0</v>
      </c>
      <c r="V2209" s="845">
        <v>0</v>
      </c>
      <c r="W2209" s="845">
        <v>0.61840120663650078</v>
      </c>
      <c r="X2209" s="845">
        <v>0.76829268292682928</v>
      </c>
      <c r="Y2209" s="845">
        <v>0.37849596022374143</v>
      </c>
      <c r="Z2209" s="845">
        <v>0.4947172156619018</v>
      </c>
      <c r="AA2209" s="845">
        <v>0</v>
      </c>
      <c r="AB2209" s="845">
        <v>2.3617153511497825E-2</v>
      </c>
      <c r="AC2209" s="845">
        <v>0</v>
      </c>
      <c r="AD2209" s="845">
        <v>1.4294592914853946E-2</v>
      </c>
      <c r="AE2209" s="845">
        <v>8.8875077688004969E-2</v>
      </c>
      <c r="AF2209" s="845">
        <v>3.9776258545680544E-2</v>
      </c>
      <c r="AG2209" s="845">
        <v>0.37849596022374143</v>
      </c>
      <c r="AH2209" s="20" t="str">
        <f t="shared" si="175"/>
        <v>No</v>
      </c>
      <c r="AI2209" s="25"/>
      <c r="AJ2209" s="25"/>
      <c r="AK2209" s="25"/>
      <c r="AL2209" s="25"/>
      <c r="AM2209" s="25"/>
      <c r="AN2209" s="25"/>
      <c r="AO2209" s="25"/>
      <c r="AP2209" s="25"/>
      <c r="AQ2209" s="25"/>
      <c r="AR2209" s="25"/>
      <c r="AS2209" s="25"/>
      <c r="AT2209" s="25"/>
      <c r="AU2209" s="36"/>
      <c r="AV2209" s="36"/>
      <c r="AW2209" s="36"/>
      <c r="AX2209" s="25"/>
      <c r="AY2209" s="25"/>
      <c r="AZ2209" s="25"/>
      <c r="BA2209" s="25"/>
      <c r="BB2209" s="25"/>
      <c r="BC2209" s="25"/>
      <c r="BD2209" s="25"/>
      <c r="BE2209" s="25"/>
      <c r="BF2209" s="25"/>
      <c r="BG2209" s="25"/>
      <c r="BH2209" s="25"/>
      <c r="BI2209" s="25"/>
      <c r="BJ2209" s="25"/>
      <c r="BK2209" s="25"/>
      <c r="BL2209" s="25"/>
      <c r="BM2209" s="25"/>
      <c r="BN2209" s="25"/>
      <c r="BO2209" s="25"/>
      <c r="BP2209" s="25"/>
      <c r="BQ2209" s="25"/>
      <c r="BR2209" s="25"/>
      <c r="BS2209" s="25"/>
      <c r="BT2209" s="25"/>
      <c r="BU2209"/>
      <c r="BV2209"/>
      <c r="BW2209"/>
      <c r="BX2209"/>
      <c r="BY2209"/>
      <c r="BZ2209"/>
      <c r="CA2209"/>
      <c r="CB2209"/>
      <c r="CC2209"/>
      <c r="CD2209" s="25"/>
    </row>
    <row r="2210" spans="1:82" s="17" customFormat="1" x14ac:dyDescent="0.2">
      <c r="A2210" s="25"/>
      <c r="B2210" s="20">
        <v>39057280102</v>
      </c>
      <c r="C2210" s="20">
        <v>2801.02</v>
      </c>
      <c r="D2210" s="20" t="s">
        <v>35</v>
      </c>
      <c r="E2210" s="20" t="s">
        <v>2833</v>
      </c>
      <c r="F2210" s="20" t="s">
        <v>8</v>
      </c>
      <c r="G2210" s="861">
        <v>41.361686232798299</v>
      </c>
      <c r="H2210" s="861">
        <v>49.650620863114398</v>
      </c>
      <c r="I2210" s="861">
        <v>12.3316738499195</v>
      </c>
      <c r="J2210" s="861">
        <v>58.692819868360701</v>
      </c>
      <c r="K2210" s="982">
        <v>0</v>
      </c>
      <c r="L2210" s="735">
        <v>2130</v>
      </c>
      <c r="M2210" s="735">
        <v>2322</v>
      </c>
      <c r="N2210" s="845">
        <f t="shared" si="173"/>
        <v>9.014084507042254E-2</v>
      </c>
      <c r="O2210" s="735">
        <v>56.207027143456656</v>
      </c>
      <c r="P2210" s="735">
        <f t="shared" si="174"/>
        <v>41.311560457975865</v>
      </c>
      <c r="Q2210" s="849">
        <v>50.7</v>
      </c>
      <c r="R2210" s="71">
        <v>99419</v>
      </c>
      <c r="S2210" s="845">
        <v>5.211024978466839E-2</v>
      </c>
      <c r="T2210" s="845">
        <v>6.9999999999999993E-3</v>
      </c>
      <c r="U2210" s="845">
        <v>0</v>
      </c>
      <c r="V2210" s="845">
        <v>0</v>
      </c>
      <c r="W2210" s="845">
        <v>0.1016597510373444</v>
      </c>
      <c r="X2210" s="845">
        <v>0.1326530612244898</v>
      </c>
      <c r="Y2210" s="845">
        <v>0.93109388458225673</v>
      </c>
      <c r="Z2210" s="845">
        <v>3.875968992248062E-3</v>
      </c>
      <c r="AA2210" s="845">
        <v>4.3066322136089578E-4</v>
      </c>
      <c r="AB2210" s="845">
        <v>3.4453057708871662E-3</v>
      </c>
      <c r="AC2210" s="845">
        <v>0</v>
      </c>
      <c r="AD2210" s="845">
        <v>2.7131782945736434E-2</v>
      </c>
      <c r="AE2210" s="845">
        <v>3.4022394487510765E-2</v>
      </c>
      <c r="AF2210" s="845">
        <v>1.0766580534022395E-2</v>
      </c>
      <c r="AG2210" s="845">
        <v>0.92420327304048233</v>
      </c>
      <c r="AH2210" s="20" t="str">
        <f t="shared" si="175"/>
        <v>Yes</v>
      </c>
      <c r="AI2210" s="25"/>
      <c r="AJ2210" s="25"/>
      <c r="AK2210" s="25"/>
      <c r="AL2210" s="25"/>
      <c r="AM2210" s="25"/>
      <c r="AN2210" s="25"/>
      <c r="AO2210" s="25"/>
      <c r="AP2210" s="25"/>
      <c r="AQ2210" s="25"/>
      <c r="AR2210" s="25"/>
      <c r="AS2210" s="25"/>
      <c r="AT2210" s="25"/>
      <c r="AU2210" s="36"/>
      <c r="AV2210" s="36"/>
      <c r="AW2210" s="36"/>
      <c r="AX2210" s="25"/>
      <c r="AY2210" s="25"/>
      <c r="AZ2210" s="25"/>
      <c r="BA2210" s="25"/>
      <c r="BB2210" s="25"/>
      <c r="BC2210" s="25"/>
      <c r="BD2210" s="25"/>
      <c r="BE2210" s="25"/>
      <c r="BF2210" s="25"/>
      <c r="BG2210" s="25"/>
      <c r="BH2210" s="25"/>
      <c r="BI2210" s="25"/>
      <c r="BJ2210" s="25"/>
      <c r="BK2210" s="25"/>
      <c r="BL2210" s="25"/>
      <c r="BM2210" s="25"/>
      <c r="BN2210" s="25"/>
      <c r="BO2210" s="25"/>
      <c r="BP2210" s="25"/>
      <c r="BQ2210" s="25"/>
      <c r="BR2210" s="25"/>
      <c r="BS2210" s="25"/>
      <c r="BT2210" s="25"/>
      <c r="BU2210"/>
      <c r="BV2210"/>
      <c r="BW2210"/>
      <c r="BX2210"/>
      <c r="BY2210"/>
      <c r="BZ2210"/>
      <c r="CA2210"/>
      <c r="CB2210"/>
      <c r="CC2210"/>
      <c r="CD2210" s="25"/>
    </row>
    <row r="2211" spans="1:82" s="17" customFormat="1" x14ac:dyDescent="0.2">
      <c r="A2211" s="25"/>
      <c r="B2211" s="20">
        <v>39035123800</v>
      </c>
      <c r="C2211" s="20">
        <v>1238</v>
      </c>
      <c r="D2211" s="20" t="s">
        <v>24</v>
      </c>
      <c r="E2211" s="20" t="s">
        <v>2829</v>
      </c>
      <c r="F2211" s="20" t="s">
        <v>6</v>
      </c>
      <c r="G2211" s="861">
        <v>41.348580316803201</v>
      </c>
      <c r="H2211" s="861">
        <v>44.753663365420799</v>
      </c>
      <c r="I2211" s="861">
        <v>27.388463009132298</v>
      </c>
      <c r="J2211" s="861">
        <v>48.885759336140701</v>
      </c>
      <c r="K2211" s="982">
        <v>0</v>
      </c>
      <c r="L2211" s="735">
        <v>2241</v>
      </c>
      <c r="M2211" s="735">
        <v>2354</v>
      </c>
      <c r="N2211" s="845">
        <f t="shared" si="173"/>
        <v>5.042391789379741E-2</v>
      </c>
      <c r="O2211" s="735">
        <v>0.51159269607612212</v>
      </c>
      <c r="P2211" s="735">
        <f t="shared" si="174"/>
        <v>4601.3166686213553</v>
      </c>
      <c r="Q2211" s="849">
        <v>23.9</v>
      </c>
      <c r="R2211" s="71">
        <v>26047</v>
      </c>
      <c r="S2211" s="845">
        <v>0.60464116888697894</v>
      </c>
      <c r="T2211" s="845">
        <v>0.16300000000000001</v>
      </c>
      <c r="U2211" s="845">
        <v>0</v>
      </c>
      <c r="V2211" s="845">
        <v>3.6000000000000004E-2</v>
      </c>
      <c r="W2211" s="845">
        <v>0.70238095238095233</v>
      </c>
      <c r="X2211" s="845">
        <v>0.38520801232665641</v>
      </c>
      <c r="Y2211" s="845">
        <v>0.26550552251486831</v>
      </c>
      <c r="Z2211" s="845">
        <v>0.3929481733220051</v>
      </c>
      <c r="AA2211" s="845">
        <v>8.4961767204757861E-4</v>
      </c>
      <c r="AB2211" s="845">
        <v>7.8589634664401026E-2</v>
      </c>
      <c r="AC2211" s="845">
        <v>0</v>
      </c>
      <c r="AD2211" s="845">
        <v>6.3721325403568396E-2</v>
      </c>
      <c r="AE2211" s="845">
        <v>0.19838572642310959</v>
      </c>
      <c r="AF2211" s="845">
        <v>0.23152081563296517</v>
      </c>
      <c r="AG2211" s="845">
        <v>0.26253186066270179</v>
      </c>
      <c r="AH2211" s="20" t="str">
        <f t="shared" si="175"/>
        <v>No</v>
      </c>
      <c r="AI2211" s="25"/>
      <c r="AJ2211" s="25"/>
      <c r="AK2211" s="25"/>
      <c r="AL2211" s="25"/>
      <c r="AM2211" s="25"/>
      <c r="AN2211" s="25"/>
      <c r="AO2211" s="25"/>
      <c r="AP2211" s="25"/>
      <c r="AQ2211" s="25"/>
      <c r="AR2211" s="25"/>
      <c r="AS2211" s="25"/>
      <c r="AT2211" s="25"/>
      <c r="AU2211" s="36"/>
      <c r="AV2211" s="36"/>
      <c r="AW2211" s="36"/>
      <c r="AX2211" s="25"/>
      <c r="AY2211" s="25"/>
      <c r="AZ2211" s="25"/>
      <c r="BA2211" s="25"/>
      <c r="BB2211" s="25"/>
      <c r="BC2211" s="25"/>
      <c r="BD2211" s="25"/>
      <c r="BE2211" s="25"/>
      <c r="BF2211" s="25"/>
      <c r="BG2211" s="25"/>
      <c r="BH2211" s="25"/>
      <c r="BI2211" s="25"/>
      <c r="BJ2211" s="25"/>
      <c r="BK2211" s="25"/>
      <c r="BL2211" s="25"/>
      <c r="BM2211" s="25"/>
      <c r="BN2211" s="25"/>
      <c r="BO2211" s="25"/>
      <c r="BP2211" s="25"/>
      <c r="BQ2211" s="25"/>
      <c r="BR2211" s="25"/>
      <c r="BS2211" s="25"/>
      <c r="BT2211" s="25"/>
      <c r="BU2211"/>
      <c r="BV2211"/>
      <c r="BW2211"/>
      <c r="BX2211"/>
      <c r="BY2211"/>
      <c r="BZ2211"/>
      <c r="CA2211"/>
      <c r="CB2211"/>
      <c r="CC2211"/>
      <c r="CD2211" s="25"/>
    </row>
    <row r="2212" spans="1:82" s="17" customFormat="1" x14ac:dyDescent="0.2">
      <c r="A2212" s="25"/>
      <c r="B2212" s="20">
        <v>39003013300</v>
      </c>
      <c r="C2212" s="20">
        <v>133</v>
      </c>
      <c r="D2212" s="20" t="s">
        <v>7</v>
      </c>
      <c r="E2212" s="20" t="s">
        <v>2835</v>
      </c>
      <c r="F2212" s="20" t="s">
        <v>8</v>
      </c>
      <c r="G2212" s="861">
        <v>41.342582614630203</v>
      </c>
      <c r="H2212" s="861">
        <v>59.8311609637719</v>
      </c>
      <c r="I2212" s="861">
        <v>60.430214717820697</v>
      </c>
      <c r="J2212" s="861">
        <v>37.227557656519402</v>
      </c>
      <c r="K2212" s="982">
        <v>0</v>
      </c>
      <c r="L2212" s="735">
        <v>1269</v>
      </c>
      <c r="M2212" s="735">
        <v>1371</v>
      </c>
      <c r="N2212" s="845">
        <f t="shared" si="173"/>
        <v>8.0378250591016553E-2</v>
      </c>
      <c r="O2212" s="735">
        <v>0.339459859528081</v>
      </c>
      <c r="P2212" s="735">
        <f t="shared" si="174"/>
        <v>4038.7691254747228</v>
      </c>
      <c r="Q2212" s="849">
        <v>34.6</v>
      </c>
      <c r="R2212" s="71">
        <v>45833</v>
      </c>
      <c r="S2212" s="845">
        <v>0.2386100386100386</v>
      </c>
      <c r="T2212" s="845">
        <v>0.10199999999999999</v>
      </c>
      <c r="U2212" s="845">
        <v>0</v>
      </c>
      <c r="V2212" s="845">
        <v>9.1999999999999998E-2</v>
      </c>
      <c r="W2212" s="845">
        <v>0.73303167420814475</v>
      </c>
      <c r="X2212" s="845">
        <v>0.33024691358024694</v>
      </c>
      <c r="Y2212" s="845">
        <v>0.51859956236323856</v>
      </c>
      <c r="Z2212" s="845">
        <v>0.28665207877461707</v>
      </c>
      <c r="AA2212" s="845">
        <v>0</v>
      </c>
      <c r="AB2212" s="845">
        <v>0</v>
      </c>
      <c r="AC2212" s="845">
        <v>0</v>
      </c>
      <c r="AD2212" s="845">
        <v>6.5645514223194746E-3</v>
      </c>
      <c r="AE2212" s="845">
        <v>0.18818380743982493</v>
      </c>
      <c r="AF2212" s="845">
        <v>0.14660831509846828</v>
      </c>
      <c r="AG2212" s="845">
        <v>0.48504741064916118</v>
      </c>
      <c r="AH2212" s="20" t="str">
        <f t="shared" si="175"/>
        <v>No</v>
      </c>
      <c r="AI2212" s="25"/>
      <c r="AJ2212" s="25"/>
      <c r="AK2212" s="25"/>
      <c r="AL2212" s="25"/>
      <c r="AM2212" s="25"/>
      <c r="AN2212" s="25"/>
      <c r="AO2212" s="25"/>
      <c r="AP2212" s="25"/>
      <c r="AQ2212" s="25"/>
      <c r="AR2212" s="25"/>
      <c r="AS2212" s="25"/>
      <c r="AT2212" s="25"/>
      <c r="AU2212" s="36"/>
      <c r="AV2212" s="36"/>
      <c r="AW2212" s="36"/>
      <c r="AX2212" s="25"/>
      <c r="AY2212" s="25"/>
      <c r="AZ2212" s="25"/>
      <c r="BA2212" s="25"/>
      <c r="BB2212" s="25"/>
      <c r="BC2212" s="25"/>
      <c r="BD2212" s="25"/>
      <c r="BE2212" s="25"/>
      <c r="BF2212" s="25"/>
      <c r="BG2212" s="25"/>
      <c r="BH2212" s="25"/>
      <c r="BI2212" s="25"/>
      <c r="BJ2212" s="25"/>
      <c r="BK2212" s="25"/>
      <c r="BL2212" s="25"/>
      <c r="BM2212" s="25"/>
      <c r="BN2212" s="25"/>
      <c r="BO2212" s="25"/>
      <c r="BP2212" s="25"/>
      <c r="BQ2212" s="25"/>
      <c r="BR2212" s="25"/>
      <c r="BS2212" s="25"/>
      <c r="BT2212" s="25"/>
      <c r="BU2212"/>
      <c r="BV2212"/>
      <c r="BW2212"/>
      <c r="BX2212"/>
      <c r="BY2212"/>
      <c r="BZ2212"/>
      <c r="CA2212"/>
      <c r="CB2212"/>
      <c r="CC2212"/>
      <c r="CD2212" s="25"/>
    </row>
    <row r="2213" spans="1:82" s="17" customFormat="1" x14ac:dyDescent="0.2">
      <c r="A2213" s="25"/>
      <c r="B2213" s="20">
        <v>39095007207</v>
      </c>
      <c r="C2213" s="20">
        <v>72.069999999999993</v>
      </c>
      <c r="D2213" s="20" t="s">
        <v>53</v>
      </c>
      <c r="E2213" s="20" t="s">
        <v>2839</v>
      </c>
      <c r="F2213" s="20" t="s">
        <v>8</v>
      </c>
      <c r="G2213" s="861">
        <v>41.334966893307097</v>
      </c>
      <c r="H2213" s="861">
        <v>36.199297106663202</v>
      </c>
      <c r="I2213" s="861">
        <v>35.510725947895502</v>
      </c>
      <c r="J2213" s="861">
        <v>34.884358457571402</v>
      </c>
      <c r="K2213" s="982">
        <v>0</v>
      </c>
      <c r="L2213" s="735" t="s">
        <v>2466</v>
      </c>
      <c r="M2213" s="735">
        <v>2977</v>
      </c>
      <c r="N2213" s="845" t="str">
        <f t="shared" si="173"/>
        <v/>
      </c>
      <c r="O2213" s="735">
        <v>0.98104620256345509</v>
      </c>
      <c r="P2213" s="735">
        <f t="shared" si="174"/>
        <v>3034.5155938845242</v>
      </c>
      <c r="Q2213" s="849">
        <v>33</v>
      </c>
      <c r="R2213" s="71">
        <v>67627</v>
      </c>
      <c r="S2213" s="845">
        <v>0.30332549546523346</v>
      </c>
      <c r="T2213" s="845">
        <v>2.1000000000000001E-2</v>
      </c>
      <c r="U2213" s="845">
        <v>0</v>
      </c>
      <c r="V2213" s="845">
        <v>0</v>
      </c>
      <c r="W2213" s="845">
        <v>0.10885608856088561</v>
      </c>
      <c r="X2213" s="845">
        <v>0.6271186440677966</v>
      </c>
      <c r="Y2213" s="845">
        <v>0.91703056768558955</v>
      </c>
      <c r="Z2213" s="845">
        <v>4.5011756802149812E-2</v>
      </c>
      <c r="AA2213" s="845">
        <v>0</v>
      </c>
      <c r="AB2213" s="845">
        <v>2.3513604299630502E-3</v>
      </c>
      <c r="AC2213" s="845">
        <v>0</v>
      </c>
      <c r="AD2213" s="845">
        <v>1.2092710782667115E-2</v>
      </c>
      <c r="AE2213" s="845">
        <v>2.3513604299630501E-2</v>
      </c>
      <c r="AF2213" s="845">
        <v>5.5089015787705746E-2</v>
      </c>
      <c r="AG2213" s="845">
        <v>0.86462882096069871</v>
      </c>
      <c r="AH2213" s="20" t="str">
        <f t="shared" si="175"/>
        <v>No</v>
      </c>
      <c r="AI2213" s="25"/>
      <c r="AJ2213" s="25"/>
      <c r="AK2213" s="25"/>
      <c r="AL2213" s="25"/>
      <c r="AM2213" s="25"/>
      <c r="AN2213" s="25"/>
      <c r="AO2213" s="25"/>
      <c r="AP2213" s="25"/>
      <c r="AQ2213" s="25"/>
      <c r="AR2213" s="25"/>
      <c r="AS2213" s="25"/>
      <c r="AT2213" s="25"/>
      <c r="AU2213" s="36"/>
      <c r="AV2213" s="36"/>
      <c r="AW2213" s="36"/>
      <c r="AX2213" s="25"/>
      <c r="AY2213" s="25"/>
      <c r="AZ2213" s="25"/>
      <c r="BA2213" s="25"/>
      <c r="BB2213" s="25"/>
      <c r="BC2213" s="25"/>
      <c r="BD2213" s="25"/>
      <c r="BE2213" s="25"/>
      <c r="BF2213" s="25"/>
      <c r="BG2213" s="25"/>
      <c r="BH2213" s="25"/>
      <c r="BI2213" s="25"/>
      <c r="BJ2213" s="25"/>
      <c r="BK2213" s="25"/>
      <c r="BL2213" s="25"/>
      <c r="BM2213" s="25"/>
      <c r="BN2213" s="25"/>
      <c r="BO2213" s="25"/>
      <c r="BP2213" s="25"/>
      <c r="BQ2213" s="25"/>
      <c r="BR2213" s="25"/>
      <c r="BS2213" s="25"/>
      <c r="BT2213" s="25"/>
      <c r="BU2213"/>
      <c r="BV2213"/>
      <c r="BW2213"/>
      <c r="BX2213"/>
      <c r="BY2213"/>
      <c r="BZ2213"/>
      <c r="CA2213"/>
      <c r="CB2213"/>
      <c r="CC2213"/>
      <c r="CD2213" s="25"/>
    </row>
    <row r="2214" spans="1:82" s="17" customFormat="1" x14ac:dyDescent="0.2">
      <c r="A2214" s="25"/>
      <c r="B2214" s="20">
        <v>39169980000</v>
      </c>
      <c r="C2214" s="20">
        <v>9800</v>
      </c>
      <c r="D2214" s="20" t="s">
        <v>90</v>
      </c>
      <c r="E2214" s="20" t="s">
        <v>265</v>
      </c>
      <c r="F2214" s="20" t="s">
        <v>8</v>
      </c>
      <c r="G2214" s="861">
        <v>41.324034001760403</v>
      </c>
      <c r="H2214" s="861">
        <v>70.471754495897599</v>
      </c>
      <c r="I2214" s="861">
        <v>25.4285753825678</v>
      </c>
      <c r="J2214" s="861">
        <v>45.918758795021802</v>
      </c>
      <c r="K2214" s="982">
        <v>0</v>
      </c>
      <c r="L2214" s="735">
        <v>1070</v>
      </c>
      <c r="M2214" s="735">
        <v>1157</v>
      </c>
      <c r="N2214" s="845">
        <f t="shared" si="173"/>
        <v>8.1308411214953275E-2</v>
      </c>
      <c r="O2214" s="735">
        <v>0.25589383883310568</v>
      </c>
      <c r="P2214" s="735">
        <f t="shared" si="174"/>
        <v>4521.4062412600606</v>
      </c>
      <c r="Q2214" s="849">
        <v>20.5</v>
      </c>
      <c r="R2214" s="71">
        <v>91250</v>
      </c>
      <c r="S2214" s="845">
        <v>0</v>
      </c>
      <c r="T2214" s="845">
        <v>7.5999999999999998E-2</v>
      </c>
      <c r="U2214" s="845">
        <v>0</v>
      </c>
      <c r="V2214" s="845">
        <v>0</v>
      </c>
      <c r="W2214" s="845">
        <v>0.44927536231884058</v>
      </c>
      <c r="X2214" s="845">
        <v>0</v>
      </c>
      <c r="Y2214" s="845">
        <v>0.78046672428694897</v>
      </c>
      <c r="Z2214" s="845">
        <v>0.11927398444252377</v>
      </c>
      <c r="AA2214" s="845">
        <v>4.3215211754537601E-3</v>
      </c>
      <c r="AB2214" s="845">
        <v>6.3094209161624892E-2</v>
      </c>
      <c r="AC2214" s="845">
        <v>0</v>
      </c>
      <c r="AD2214" s="845">
        <v>0</v>
      </c>
      <c r="AE2214" s="845">
        <v>3.2843560933448576E-2</v>
      </c>
      <c r="AF2214" s="845">
        <v>2.5064822817631807E-2</v>
      </c>
      <c r="AG2214" s="845">
        <v>0.77700950734658603</v>
      </c>
      <c r="AH2214" s="20" t="str">
        <f t="shared" si="175"/>
        <v>No</v>
      </c>
      <c r="AI2214" s="25"/>
      <c r="AJ2214" s="25"/>
      <c r="AK2214" s="25"/>
      <c r="AL2214" s="25"/>
      <c r="AM2214" s="25"/>
      <c r="AN2214" s="25"/>
      <c r="AO2214" s="25"/>
      <c r="AP2214" s="25"/>
      <c r="AQ2214" s="25"/>
      <c r="AR2214" s="25"/>
      <c r="AS2214" s="25"/>
      <c r="AT2214" s="25"/>
      <c r="AU2214" s="36"/>
      <c r="AV2214" s="36"/>
      <c r="AW2214" s="36"/>
      <c r="AX2214" s="25"/>
      <c r="AY2214" s="25"/>
      <c r="AZ2214" s="25"/>
      <c r="BA2214" s="25"/>
      <c r="BB2214" s="25"/>
      <c r="BC2214" s="25"/>
      <c r="BD2214" s="25"/>
      <c r="BE2214" s="25"/>
      <c r="BF2214" s="25"/>
      <c r="BG2214" s="25"/>
      <c r="BH2214" s="25"/>
      <c r="BI2214" s="25"/>
      <c r="BJ2214" s="25"/>
      <c r="BK2214" s="25"/>
      <c r="BL2214" s="25"/>
      <c r="BM2214" s="25"/>
      <c r="BN2214" s="25"/>
      <c r="BO2214" s="25"/>
      <c r="BP2214" s="25"/>
      <c r="BQ2214" s="25"/>
      <c r="BR2214" s="25"/>
      <c r="BS2214" s="25"/>
      <c r="BT2214" s="25"/>
      <c r="BU2214"/>
      <c r="BV2214"/>
      <c r="BW2214"/>
      <c r="BX2214"/>
      <c r="BY2214"/>
      <c r="BZ2214"/>
      <c r="CA2214"/>
      <c r="CB2214"/>
      <c r="CC2214"/>
      <c r="CD2214" s="25"/>
    </row>
    <row r="2215" spans="1:82" s="17" customFormat="1" x14ac:dyDescent="0.2">
      <c r="A2215" s="25"/>
      <c r="B2215" s="20">
        <v>39071954500</v>
      </c>
      <c r="C2215" s="20">
        <v>9545</v>
      </c>
      <c r="D2215" s="20" t="s">
        <v>42</v>
      </c>
      <c r="E2215" s="20" t="s">
        <v>265</v>
      </c>
      <c r="F2215" s="20" t="s">
        <v>8</v>
      </c>
      <c r="G2215" s="861">
        <v>41.305653167315498</v>
      </c>
      <c r="H2215" s="861">
        <v>45.049371415602003</v>
      </c>
      <c r="I2215" s="861">
        <v>42.180226504351701</v>
      </c>
      <c r="J2215" s="861">
        <v>41.805603788528899</v>
      </c>
      <c r="K2215" s="982">
        <v>0</v>
      </c>
      <c r="L2215" s="735">
        <v>4220</v>
      </c>
      <c r="M2215" s="735">
        <v>3721</v>
      </c>
      <c r="N2215" s="845">
        <f t="shared" si="173"/>
        <v>-0.11824644549763033</v>
      </c>
      <c r="O2215" s="735">
        <v>34.743851005555392</v>
      </c>
      <c r="P2215" s="735">
        <f t="shared" si="174"/>
        <v>107.09808764160968</v>
      </c>
      <c r="Q2215" s="849">
        <v>38.6</v>
      </c>
      <c r="R2215" s="71">
        <v>50638</v>
      </c>
      <c r="S2215" s="845">
        <v>0.22135922330097088</v>
      </c>
      <c r="T2215" s="845">
        <v>7.2000000000000008E-2</v>
      </c>
      <c r="U2215" s="845">
        <v>0</v>
      </c>
      <c r="V2215" s="845">
        <v>0</v>
      </c>
      <c r="W2215" s="845">
        <v>0.44875346260387811</v>
      </c>
      <c r="X2215" s="845">
        <v>0.29938271604938271</v>
      </c>
      <c r="Y2215" s="845">
        <v>0.93791991400161245</v>
      </c>
      <c r="Z2215" s="845">
        <v>3.4936844934157482E-2</v>
      </c>
      <c r="AA2215" s="845">
        <v>0</v>
      </c>
      <c r="AB2215" s="845">
        <v>0</v>
      </c>
      <c r="AC2215" s="845">
        <v>0</v>
      </c>
      <c r="AD2215" s="845">
        <v>0</v>
      </c>
      <c r="AE2215" s="845">
        <v>2.7143241064230047E-2</v>
      </c>
      <c r="AF2215" s="845">
        <v>1.1824778285407149E-2</v>
      </c>
      <c r="AG2215" s="845">
        <v>0.93791991400161245</v>
      </c>
      <c r="AH2215" s="20" t="str">
        <f t="shared" si="175"/>
        <v>Yes</v>
      </c>
      <c r="AI2215" s="25"/>
      <c r="AJ2215" s="25"/>
      <c r="AK2215" s="25"/>
      <c r="AL2215" s="25"/>
      <c r="AM2215" s="25"/>
      <c r="AN2215" s="25"/>
      <c r="AO2215" s="25"/>
      <c r="AP2215" s="25"/>
      <c r="AQ2215" s="25"/>
      <c r="AR2215" s="25"/>
      <c r="AS2215" s="25"/>
      <c r="AT2215" s="25"/>
      <c r="AU2215" s="36"/>
      <c r="AV2215" s="36"/>
      <c r="AW2215" s="36"/>
      <c r="AX2215" s="25"/>
      <c r="AY2215" s="25"/>
      <c r="AZ2215" s="25"/>
      <c r="BA2215" s="25"/>
      <c r="BB2215" s="25"/>
      <c r="BC2215" s="25"/>
      <c r="BD2215" s="25"/>
      <c r="BE2215" s="25"/>
      <c r="BF2215" s="25"/>
      <c r="BG2215" s="25"/>
      <c r="BH2215" s="25"/>
      <c r="BI2215" s="25"/>
      <c r="BJ2215" s="25"/>
      <c r="BK2215" s="25"/>
      <c r="BL2215" s="25"/>
      <c r="BM2215" s="25"/>
      <c r="BN2215" s="25"/>
      <c r="BO2215" s="25"/>
      <c r="BP2215" s="25"/>
      <c r="BQ2215" s="25"/>
      <c r="BR2215" s="25"/>
      <c r="BS2215" s="25"/>
      <c r="BT2215" s="25"/>
      <c r="BU2215"/>
      <c r="BV2215"/>
      <c r="BW2215"/>
      <c r="BX2215"/>
      <c r="BY2215"/>
      <c r="BZ2215"/>
      <c r="CA2215"/>
      <c r="CB2215"/>
      <c r="CC2215"/>
      <c r="CD2215" s="25"/>
    </row>
    <row r="2216" spans="1:82" s="17" customFormat="1" x14ac:dyDescent="0.2">
      <c r="A2216" s="25"/>
      <c r="B2216" s="20">
        <v>39101000100</v>
      </c>
      <c r="C2216" s="20">
        <v>1</v>
      </c>
      <c r="D2216" s="20" t="s">
        <v>56</v>
      </c>
      <c r="E2216" s="20" t="s">
        <v>265</v>
      </c>
      <c r="F2216" s="20" t="s">
        <v>8</v>
      </c>
      <c r="G2216" s="861">
        <v>41.2891034890499</v>
      </c>
      <c r="H2216" s="861">
        <v>52.891293417139501</v>
      </c>
      <c r="I2216" s="861">
        <v>57.8630812728628</v>
      </c>
      <c r="J2216" s="861">
        <v>51.797449045974503</v>
      </c>
      <c r="K2216" s="982">
        <v>0</v>
      </c>
      <c r="L2216" s="735">
        <v>1254</v>
      </c>
      <c r="M2216" s="735">
        <v>915</v>
      </c>
      <c r="N2216" s="845">
        <f t="shared" si="173"/>
        <v>-0.27033492822966509</v>
      </c>
      <c r="O2216" s="735">
        <v>0.33670926775026777</v>
      </c>
      <c r="P2216" s="735">
        <f t="shared" si="174"/>
        <v>2717.4779183050046</v>
      </c>
      <c r="Q2216" s="849">
        <v>33.799999999999997</v>
      </c>
      <c r="R2216" s="71">
        <v>45357</v>
      </c>
      <c r="S2216" s="845">
        <v>0.2153163152053274</v>
      </c>
      <c r="T2216" s="845">
        <v>0.23600000000000002</v>
      </c>
      <c r="U2216" s="845">
        <v>0</v>
      </c>
      <c r="V2216" s="845">
        <v>9.5000000000000001E-2</v>
      </c>
      <c r="W2216" s="845">
        <v>0.83480176211453749</v>
      </c>
      <c r="X2216" s="845">
        <v>0.36411609498680741</v>
      </c>
      <c r="Y2216" s="845">
        <v>0.89508196721311473</v>
      </c>
      <c r="Z2216" s="845">
        <v>6.2295081967213117E-2</v>
      </c>
      <c r="AA2216" s="845">
        <v>2.185792349726776E-3</v>
      </c>
      <c r="AB2216" s="845">
        <v>0</v>
      </c>
      <c r="AC2216" s="845">
        <v>0</v>
      </c>
      <c r="AD2216" s="845">
        <v>2.8415300546448089E-2</v>
      </c>
      <c r="AE2216" s="845">
        <v>1.2021857923497269E-2</v>
      </c>
      <c r="AF2216" s="845">
        <v>5.5737704918032788E-2</v>
      </c>
      <c r="AG2216" s="845">
        <v>0.86775956284153011</v>
      </c>
      <c r="AH2216" s="20" t="str">
        <f t="shared" si="175"/>
        <v>No</v>
      </c>
      <c r="AI2216" s="25"/>
      <c r="AJ2216" s="25"/>
      <c r="AK2216" s="25"/>
      <c r="AL2216" s="25"/>
      <c r="AM2216" s="25"/>
      <c r="AN2216" s="25"/>
      <c r="AO2216" s="25"/>
      <c r="AP2216" s="25"/>
      <c r="AQ2216" s="25"/>
      <c r="AR2216" s="25"/>
      <c r="AS2216" s="25"/>
      <c r="AT2216" s="25"/>
      <c r="AU2216" s="36"/>
      <c r="AV2216" s="36"/>
      <c r="AW2216" s="36"/>
      <c r="AX2216" s="25"/>
      <c r="AY2216" s="25"/>
      <c r="AZ2216" s="25"/>
      <c r="BA2216" s="25"/>
      <c r="BB2216" s="25"/>
      <c r="BC2216" s="25"/>
      <c r="BD2216" s="25"/>
      <c r="BE2216" s="25"/>
      <c r="BF2216" s="25"/>
      <c r="BG2216" s="25"/>
      <c r="BH2216" s="25"/>
      <c r="BI2216" s="25"/>
      <c r="BJ2216" s="25"/>
      <c r="BK2216" s="25"/>
      <c r="BL2216" s="25"/>
      <c r="BM2216" s="25"/>
      <c r="BN2216" s="25"/>
      <c r="BO2216" s="25"/>
      <c r="BP2216" s="25"/>
      <c r="BQ2216" s="25"/>
      <c r="BR2216" s="25"/>
      <c r="BS2216" s="25"/>
      <c r="BT2216" s="25"/>
      <c r="BU2216"/>
      <c r="BV2216"/>
      <c r="BW2216"/>
      <c r="BX2216"/>
      <c r="BY2216"/>
      <c r="BZ2216"/>
      <c r="CA2216"/>
      <c r="CB2216"/>
      <c r="CC2216"/>
      <c r="CD2216" s="25"/>
    </row>
    <row r="2217" spans="1:82" s="17" customFormat="1" x14ac:dyDescent="0.2">
      <c r="A2217" s="25"/>
      <c r="B2217" s="20">
        <v>39159050100</v>
      </c>
      <c r="C2217" s="20">
        <v>501</v>
      </c>
      <c r="D2217" s="20" t="s">
        <v>85</v>
      </c>
      <c r="E2217" s="20" t="s">
        <v>2830</v>
      </c>
      <c r="F2217" s="20" t="s">
        <v>8</v>
      </c>
      <c r="G2217" s="861">
        <v>41.245201706692299</v>
      </c>
      <c r="H2217" s="861">
        <v>49.141600377066602</v>
      </c>
      <c r="I2217" s="861">
        <v>34.664406869364399</v>
      </c>
      <c r="J2217" s="861">
        <v>37.248291780712997</v>
      </c>
      <c r="K2217" s="982">
        <v>0</v>
      </c>
      <c r="L2217" s="735">
        <v>3717</v>
      </c>
      <c r="M2217" s="735">
        <v>3951</v>
      </c>
      <c r="N2217" s="845">
        <f t="shared" si="173"/>
        <v>6.2953995157384993E-2</v>
      </c>
      <c r="O2217" s="735">
        <v>91.395268219976501</v>
      </c>
      <c r="P2217" s="735">
        <f t="shared" si="174"/>
        <v>43.229809124149163</v>
      </c>
      <c r="Q2217" s="849">
        <v>38</v>
      </c>
      <c r="R2217" s="71">
        <v>80581</v>
      </c>
      <c r="S2217" s="845">
        <v>6.5989847715736044E-2</v>
      </c>
      <c r="T2217" s="845">
        <v>6.9999999999999993E-3</v>
      </c>
      <c r="U2217" s="845">
        <v>0</v>
      </c>
      <c r="V2217" s="845">
        <v>0</v>
      </c>
      <c r="W2217" s="845">
        <v>0.30087939698492461</v>
      </c>
      <c r="X2217" s="845">
        <v>0.25052192066805845</v>
      </c>
      <c r="Y2217" s="845">
        <v>0.9250822576562896</v>
      </c>
      <c r="Z2217" s="845">
        <v>0</v>
      </c>
      <c r="AA2217" s="845">
        <v>0</v>
      </c>
      <c r="AB2217" s="845">
        <v>4.8089091369273602E-3</v>
      </c>
      <c r="AC2217" s="845">
        <v>0</v>
      </c>
      <c r="AD2217" s="845">
        <v>1.164262212098203E-2</v>
      </c>
      <c r="AE2217" s="845">
        <v>5.8466211085801065E-2</v>
      </c>
      <c r="AF2217" s="845">
        <v>5.2391799544419138E-2</v>
      </c>
      <c r="AG2217" s="845">
        <v>0.90154391293343461</v>
      </c>
      <c r="AH2217" s="20" t="str">
        <f t="shared" si="175"/>
        <v>Yes</v>
      </c>
      <c r="AI2217" s="25"/>
      <c r="AJ2217" s="25"/>
      <c r="AK2217" s="25"/>
      <c r="AL2217" s="25"/>
      <c r="AM2217" s="25"/>
      <c r="AN2217" s="25"/>
      <c r="AO2217" s="25"/>
      <c r="AP2217" s="25"/>
      <c r="AQ2217" s="25"/>
      <c r="AR2217" s="25"/>
      <c r="AS2217" s="25"/>
      <c r="AT2217" s="25"/>
      <c r="AU2217" s="36"/>
      <c r="AV2217" s="36"/>
      <c r="AW2217" s="36"/>
      <c r="AX2217" s="25"/>
      <c r="AY2217" s="25"/>
      <c r="AZ2217" s="25"/>
      <c r="BA2217" s="25"/>
      <c r="BB2217" s="25"/>
      <c r="BC2217" s="25"/>
      <c r="BD2217" s="25"/>
      <c r="BE2217" s="25"/>
      <c r="BF2217" s="25"/>
      <c r="BG2217" s="25"/>
      <c r="BH2217" s="25"/>
      <c r="BI2217" s="25"/>
      <c r="BJ2217" s="25"/>
      <c r="BK2217" s="25"/>
      <c r="BL2217" s="25"/>
      <c r="BM2217" s="25"/>
      <c r="BN2217" s="25"/>
      <c r="BO2217" s="25"/>
      <c r="BP2217" s="25"/>
      <c r="BQ2217" s="25"/>
      <c r="BR2217" s="25"/>
      <c r="BS2217" s="25"/>
      <c r="BT2217" s="25"/>
      <c r="BU2217"/>
      <c r="BV2217"/>
      <c r="BW2217"/>
      <c r="BX2217"/>
      <c r="BY2217"/>
      <c r="BZ2217"/>
      <c r="CA2217"/>
      <c r="CB2217"/>
      <c r="CC2217"/>
      <c r="CD2217" s="25"/>
    </row>
    <row r="2218" spans="1:82" s="17" customFormat="1" x14ac:dyDescent="0.2">
      <c r="A2218" s="25"/>
      <c r="B2218" s="20">
        <v>39035124300</v>
      </c>
      <c r="C2218" s="20">
        <v>1243</v>
      </c>
      <c r="D2218" s="20" t="s">
        <v>24</v>
      </c>
      <c r="E2218" s="20" t="s">
        <v>2829</v>
      </c>
      <c r="F2218" s="20" t="s">
        <v>8</v>
      </c>
      <c r="G2218" s="861">
        <v>41.2329020058149</v>
      </c>
      <c r="H2218" s="861">
        <v>67.170103293490499</v>
      </c>
      <c r="I2218" s="861">
        <v>41.606616813276403</v>
      </c>
      <c r="J2218" s="861">
        <v>49.152886818179503</v>
      </c>
      <c r="K2218" s="982">
        <v>0</v>
      </c>
      <c r="L2218" s="735">
        <v>4647</v>
      </c>
      <c r="M2218" s="735">
        <v>4116</v>
      </c>
      <c r="N2218" s="845">
        <f t="shared" si="173"/>
        <v>-0.11426726920593931</v>
      </c>
      <c r="O2218" s="735">
        <v>0.56519101162977925</v>
      </c>
      <c r="P2218" s="735">
        <f t="shared" si="174"/>
        <v>7282.4937327491161</v>
      </c>
      <c r="Q2218" s="849">
        <v>34.9</v>
      </c>
      <c r="R2218" s="71">
        <v>60438</v>
      </c>
      <c r="S2218" s="845">
        <v>0.14747327502429544</v>
      </c>
      <c r="T2218" s="845">
        <v>5.4000000000000006E-2</v>
      </c>
      <c r="U2218" s="845">
        <v>0</v>
      </c>
      <c r="V2218" s="845">
        <v>5.5999999999999994E-2</v>
      </c>
      <c r="W2218" s="845">
        <v>0.36279926335174956</v>
      </c>
      <c r="X2218" s="845">
        <v>0.5025380710659898</v>
      </c>
      <c r="Y2218" s="845">
        <v>0.60034013605442171</v>
      </c>
      <c r="Z2218" s="845">
        <v>0.14382896015549076</v>
      </c>
      <c r="AA2218" s="845">
        <v>0</v>
      </c>
      <c r="AB2218" s="845">
        <v>3.7657920310981537E-2</v>
      </c>
      <c r="AC2218" s="845">
        <v>0</v>
      </c>
      <c r="AD2218" s="845">
        <v>1.3119533527696793E-2</v>
      </c>
      <c r="AE2218" s="845">
        <v>0.20505344995140914</v>
      </c>
      <c r="AF2218" s="845">
        <v>0.24003887269193391</v>
      </c>
      <c r="AG2218" s="845">
        <v>0.49465500485908648</v>
      </c>
      <c r="AH2218" s="20" t="str">
        <f t="shared" si="175"/>
        <v>No</v>
      </c>
      <c r="AI2218" s="25"/>
      <c r="AJ2218" s="25"/>
      <c r="AK2218" s="25"/>
      <c r="AL2218" s="25"/>
      <c r="AM2218" s="25"/>
      <c r="AN2218" s="25"/>
      <c r="AO2218" s="25"/>
      <c r="AP2218" s="25"/>
      <c r="AQ2218" s="25"/>
      <c r="AR2218" s="25"/>
      <c r="AS2218" s="25"/>
      <c r="AT2218" s="25"/>
      <c r="AU2218" s="36"/>
      <c r="AV2218" s="36"/>
      <c r="AW2218" s="36"/>
      <c r="AX2218" s="25"/>
      <c r="AY2218" s="25"/>
      <c r="AZ2218" s="25"/>
      <c r="BA2218" s="25"/>
      <c r="BB2218" s="25"/>
      <c r="BC2218" s="25"/>
      <c r="BD2218" s="25"/>
      <c r="BE2218" s="25"/>
      <c r="BF2218" s="25"/>
      <c r="BG2218" s="25"/>
      <c r="BH2218" s="25"/>
      <c r="BI2218" s="25"/>
      <c r="BJ2218" s="25"/>
      <c r="BK2218" s="25"/>
      <c r="BL2218" s="25"/>
      <c r="BM2218" s="25"/>
      <c r="BN2218" s="25"/>
      <c r="BO2218" s="25"/>
      <c r="BP2218" s="25"/>
      <c r="BQ2218" s="25"/>
      <c r="BR2218" s="25"/>
      <c r="BS2218" s="25"/>
      <c r="BT2218" s="25"/>
      <c r="BU2218"/>
      <c r="BV2218"/>
      <c r="BW2218"/>
      <c r="BX2218"/>
      <c r="BY2218"/>
      <c r="BZ2218"/>
      <c r="CA2218"/>
      <c r="CB2218"/>
      <c r="CC2218"/>
      <c r="CD2218" s="25"/>
    </row>
    <row r="2219" spans="1:82" s="17" customFormat="1" x14ac:dyDescent="0.2">
      <c r="A2219" s="25"/>
      <c r="B2219" s="20">
        <v>39151711600</v>
      </c>
      <c r="C2219" s="20">
        <v>7116</v>
      </c>
      <c r="D2219" s="20" t="s">
        <v>81</v>
      </c>
      <c r="E2219" s="20" t="s">
        <v>2844</v>
      </c>
      <c r="F2219" s="20" t="s">
        <v>8</v>
      </c>
      <c r="G2219" s="861">
        <v>41.213660080405504</v>
      </c>
      <c r="H2219" s="861">
        <v>42.616995149656802</v>
      </c>
      <c r="I2219" s="861">
        <v>36.251048803738897</v>
      </c>
      <c r="J2219" s="861">
        <v>30.810850143693401</v>
      </c>
      <c r="K2219" s="982">
        <v>0</v>
      </c>
      <c r="L2219" s="735">
        <v>6114</v>
      </c>
      <c r="M2219" s="735">
        <v>6043</v>
      </c>
      <c r="N2219" s="845">
        <f t="shared" si="173"/>
        <v>-1.1612692181877658E-2</v>
      </c>
      <c r="O2219" s="735">
        <v>2.0508360557686114</v>
      </c>
      <c r="P2219" s="735">
        <f t="shared" si="174"/>
        <v>2946.6031587469861</v>
      </c>
      <c r="Q2219" s="849">
        <v>46.3</v>
      </c>
      <c r="R2219" s="71">
        <v>56063</v>
      </c>
      <c r="S2219" s="845">
        <v>9.8062342038753164E-2</v>
      </c>
      <c r="T2219" s="845">
        <v>3.6000000000000004E-2</v>
      </c>
      <c r="U2219" s="845">
        <v>4.7E-2</v>
      </c>
      <c r="V2219" s="845">
        <v>0</v>
      </c>
      <c r="W2219" s="845">
        <v>0.23823422108719444</v>
      </c>
      <c r="X2219" s="845">
        <v>0.35681470137825422</v>
      </c>
      <c r="Y2219" s="845">
        <v>0.86811186496773129</v>
      </c>
      <c r="Z2219" s="845">
        <v>3.0282972033758068E-2</v>
      </c>
      <c r="AA2219" s="845">
        <v>0</v>
      </c>
      <c r="AB2219" s="845">
        <v>6.6192288598378288E-4</v>
      </c>
      <c r="AC2219" s="845">
        <v>0</v>
      </c>
      <c r="AD2219" s="845">
        <v>9.5978818467648518E-3</v>
      </c>
      <c r="AE2219" s="845">
        <v>9.1345358265762039E-2</v>
      </c>
      <c r="AF2219" s="845">
        <v>5.0802581499255338E-2</v>
      </c>
      <c r="AG2219" s="845">
        <v>0.85603177229852723</v>
      </c>
      <c r="AH2219" s="20" t="str">
        <f t="shared" si="175"/>
        <v>No</v>
      </c>
      <c r="AI2219" s="25"/>
      <c r="AJ2219" s="25"/>
      <c r="AK2219" s="25"/>
      <c r="AL2219" s="25"/>
      <c r="AM2219" s="25"/>
      <c r="AN2219" s="25"/>
      <c r="AO2219" s="25"/>
      <c r="AP2219" s="25"/>
      <c r="AQ2219" s="25"/>
      <c r="AR2219" s="25"/>
      <c r="AS2219" s="25"/>
      <c r="AT2219" s="25"/>
      <c r="AU2219" s="36"/>
      <c r="AV2219" s="36"/>
      <c r="AW2219" s="36"/>
      <c r="AX2219" s="25"/>
      <c r="AY2219" s="25"/>
      <c r="AZ2219" s="25"/>
      <c r="BA2219" s="25"/>
      <c r="BB2219" s="25"/>
      <c r="BC2219" s="25"/>
      <c r="BD2219" s="25"/>
      <c r="BE2219" s="25"/>
      <c r="BF2219" s="25"/>
      <c r="BG2219" s="25"/>
      <c r="BH2219" s="25"/>
      <c r="BI2219" s="25"/>
      <c r="BJ2219" s="25"/>
      <c r="BK2219" s="25"/>
      <c r="BL2219" s="25"/>
      <c r="BM2219" s="25"/>
      <c r="BN2219" s="25"/>
      <c r="BO2219" s="25"/>
      <c r="BP2219" s="25"/>
      <c r="BQ2219" s="25"/>
      <c r="BR2219" s="25"/>
      <c r="BS2219" s="25"/>
      <c r="BT2219" s="25"/>
      <c r="BU2219"/>
      <c r="BV2219"/>
      <c r="BW2219"/>
      <c r="BX2219"/>
      <c r="BY2219"/>
      <c r="BZ2219"/>
      <c r="CA2219"/>
      <c r="CB2219"/>
      <c r="CC2219"/>
      <c r="CD2219" s="25"/>
    </row>
    <row r="2220" spans="1:82" s="17" customFormat="1" x14ac:dyDescent="0.2">
      <c r="A2220" s="25"/>
      <c r="B2220" s="20">
        <v>39049006945</v>
      </c>
      <c r="C2220" s="20">
        <v>69.45</v>
      </c>
      <c r="D2220" s="20" t="s">
        <v>31</v>
      </c>
      <c r="E2220" s="20" t="s">
        <v>2830</v>
      </c>
      <c r="F2220" s="20" t="s">
        <v>6</v>
      </c>
      <c r="G2220" s="861">
        <v>41.213344913905203</v>
      </c>
      <c r="H2220" s="861">
        <v>62.976842352714499</v>
      </c>
      <c r="I2220" s="861">
        <v>45.039329886690098</v>
      </c>
      <c r="J2220" s="861">
        <v>39.3374715513593</v>
      </c>
      <c r="K2220" s="982">
        <v>0</v>
      </c>
      <c r="L2220" s="735">
        <v>5901</v>
      </c>
      <c r="M2220" s="735">
        <v>6399</v>
      </c>
      <c r="N2220" s="845">
        <f t="shared" si="173"/>
        <v>8.4392475851550589E-2</v>
      </c>
      <c r="O2220" s="735">
        <v>0.75975483918341236</v>
      </c>
      <c r="P2220" s="735">
        <f t="shared" si="174"/>
        <v>8422.4537574221595</v>
      </c>
      <c r="Q2220" s="849">
        <v>29.5</v>
      </c>
      <c r="R2220" s="71">
        <v>47029</v>
      </c>
      <c r="S2220" s="845">
        <v>0.27363650570401626</v>
      </c>
      <c r="T2220" s="845">
        <v>0.12300000000000001</v>
      </c>
      <c r="U2220" s="845">
        <v>0</v>
      </c>
      <c r="V2220" s="845">
        <v>2.1000000000000001E-2</v>
      </c>
      <c r="W2220" s="845">
        <v>0.88888888888888884</v>
      </c>
      <c r="X2220" s="845">
        <v>0.40155677655677657</v>
      </c>
      <c r="Y2220" s="845">
        <v>0.19581184560087514</v>
      </c>
      <c r="Z2220" s="845">
        <v>0.51601812783247381</v>
      </c>
      <c r="AA2220" s="845">
        <v>0</v>
      </c>
      <c r="AB2220" s="845">
        <v>3.5161744022503515E-2</v>
      </c>
      <c r="AC2220" s="845">
        <v>0</v>
      </c>
      <c r="AD2220" s="845">
        <v>5.1570557899671826E-3</v>
      </c>
      <c r="AE2220" s="845">
        <v>0.24785122675418034</v>
      </c>
      <c r="AF2220" s="845">
        <v>0.13142678543522426</v>
      </c>
      <c r="AG2220" s="845">
        <v>0.19081106422878574</v>
      </c>
      <c r="AH2220" s="20" t="str">
        <f t="shared" si="175"/>
        <v>No</v>
      </c>
      <c r="AI2220" s="25"/>
      <c r="AJ2220" s="25"/>
      <c r="AK2220" s="25"/>
      <c r="AL2220" s="25"/>
      <c r="AM2220" s="25"/>
      <c r="AN2220" s="25"/>
      <c r="AO2220" s="25"/>
      <c r="AP2220" s="25"/>
      <c r="AQ2220" s="25"/>
      <c r="AR2220" s="25"/>
      <c r="AS2220" s="25"/>
      <c r="AT2220" s="25"/>
      <c r="AU2220" s="36"/>
      <c r="AV2220" s="36"/>
      <c r="AW2220" s="36"/>
      <c r="AX2220" s="25"/>
      <c r="AY2220" s="25"/>
      <c r="AZ2220" s="25"/>
      <c r="BA2220" s="25"/>
      <c r="BB2220" s="25"/>
      <c r="BC2220" s="25"/>
      <c r="BD2220" s="25"/>
      <c r="BE2220" s="25"/>
      <c r="BF2220" s="25"/>
      <c r="BG2220" s="25"/>
      <c r="BH2220" s="25"/>
      <c r="BI2220" s="25"/>
      <c r="BJ2220" s="25"/>
      <c r="BK2220" s="25"/>
      <c r="BL2220" s="25"/>
      <c r="BM2220" s="25"/>
      <c r="BN2220" s="25"/>
      <c r="BO2220" s="25"/>
      <c r="BP2220" s="25"/>
      <c r="BQ2220" s="25"/>
      <c r="BR2220" s="25"/>
      <c r="BS2220" s="25"/>
      <c r="BT2220" s="25"/>
      <c r="BU2220"/>
      <c r="BV2220"/>
      <c r="BW2220"/>
      <c r="BX2220"/>
      <c r="BY2220"/>
      <c r="BZ2220"/>
      <c r="CA2220"/>
      <c r="CB2220"/>
      <c r="CC2220"/>
      <c r="CD2220" s="25"/>
    </row>
    <row r="2221" spans="1:82" s="17" customFormat="1" x14ac:dyDescent="0.2">
      <c r="A2221" s="25"/>
      <c r="B2221" s="20">
        <v>39147963000</v>
      </c>
      <c r="C2221" s="20">
        <v>9630</v>
      </c>
      <c r="D2221" s="20" t="s">
        <v>79</v>
      </c>
      <c r="E2221" s="20" t="s">
        <v>265</v>
      </c>
      <c r="F2221" s="20" t="s">
        <v>8</v>
      </c>
      <c r="G2221" s="861">
        <v>41.200297576487699</v>
      </c>
      <c r="H2221" s="861">
        <v>42.365933887176297</v>
      </c>
      <c r="I2221" s="861">
        <v>34.162255232589303</v>
      </c>
      <c r="J2221" s="861">
        <v>46.099131340023398</v>
      </c>
      <c r="K2221" s="982">
        <v>0</v>
      </c>
      <c r="L2221" s="735">
        <v>3414</v>
      </c>
      <c r="M2221" s="735">
        <v>3522</v>
      </c>
      <c r="N2221" s="845">
        <f t="shared" si="173"/>
        <v>3.163444639718805E-2</v>
      </c>
      <c r="O2221" s="735">
        <v>6.8156278138280726</v>
      </c>
      <c r="P2221" s="735">
        <f t="shared" si="174"/>
        <v>516.75356932699492</v>
      </c>
      <c r="Q2221" s="849">
        <v>40.4</v>
      </c>
      <c r="R2221" s="71">
        <v>54569</v>
      </c>
      <c r="S2221" s="845">
        <v>0.20773243326173674</v>
      </c>
      <c r="T2221" s="845">
        <v>5.5999999999999994E-2</v>
      </c>
      <c r="U2221" s="845">
        <v>0</v>
      </c>
      <c r="V2221" s="845">
        <v>7.8E-2</v>
      </c>
      <c r="W2221" s="845">
        <v>0.32187500000000002</v>
      </c>
      <c r="X2221" s="845">
        <v>0.279126213592233</v>
      </c>
      <c r="Y2221" s="845">
        <v>0.77001703577512781</v>
      </c>
      <c r="Z2221" s="845">
        <v>5.3946621237932993E-2</v>
      </c>
      <c r="AA2221" s="845">
        <v>2.8960817717206135E-2</v>
      </c>
      <c r="AB2221" s="845">
        <v>2.072685973878478E-2</v>
      </c>
      <c r="AC2221" s="845">
        <v>0</v>
      </c>
      <c r="AD2221" s="845">
        <v>2.5837592277115275E-2</v>
      </c>
      <c r="AE2221" s="845">
        <v>0.10051107325383304</v>
      </c>
      <c r="AF2221" s="845">
        <v>0.12634866553094831</v>
      </c>
      <c r="AG2221" s="845">
        <v>0.73424190800681433</v>
      </c>
      <c r="AH2221" s="20" t="str">
        <f t="shared" si="175"/>
        <v>No</v>
      </c>
      <c r="AI2221" s="25"/>
      <c r="AJ2221" s="25"/>
      <c r="AK2221" s="25"/>
      <c r="AL2221" s="25"/>
      <c r="AM2221" s="25"/>
      <c r="AN2221" s="25"/>
      <c r="AO2221" s="25"/>
      <c r="AP2221" s="25"/>
      <c r="AQ2221" s="25"/>
      <c r="AR2221" s="25"/>
      <c r="AS2221" s="25"/>
      <c r="AT2221" s="25"/>
      <c r="AU2221" s="36"/>
      <c r="AV2221" s="36"/>
      <c r="AW2221" s="36"/>
      <c r="AX2221" s="25"/>
      <c r="AY2221" s="25"/>
      <c r="AZ2221" s="25"/>
      <c r="BA2221" s="25"/>
      <c r="BB2221" s="25"/>
      <c r="BC2221" s="25"/>
      <c r="BD2221" s="25"/>
      <c r="BE2221" s="25"/>
      <c r="BF2221" s="25"/>
      <c r="BG2221" s="25"/>
      <c r="BH2221" s="25"/>
      <c r="BI2221" s="25"/>
      <c r="BJ2221" s="25"/>
      <c r="BK2221" s="25"/>
      <c r="BL2221" s="25"/>
      <c r="BM2221" s="25"/>
      <c r="BN2221" s="25"/>
      <c r="BO2221" s="25"/>
      <c r="BP2221" s="25"/>
      <c r="BQ2221" s="25"/>
      <c r="BR2221" s="25"/>
      <c r="BS2221" s="25"/>
      <c r="BT2221" s="25"/>
      <c r="BU2221"/>
      <c r="BV2221"/>
      <c r="BW2221"/>
      <c r="BX2221"/>
      <c r="BY2221"/>
      <c r="BZ2221"/>
      <c r="CA2221"/>
      <c r="CB2221"/>
      <c r="CC2221"/>
      <c r="CD2221" s="25"/>
    </row>
    <row r="2222" spans="1:82" s="17" customFormat="1" x14ac:dyDescent="0.2">
      <c r="A2222" s="25"/>
      <c r="B2222" s="20">
        <v>39153531801</v>
      </c>
      <c r="C2222" s="20">
        <v>5318.01</v>
      </c>
      <c r="D2222" s="20" t="s">
        <v>82</v>
      </c>
      <c r="E2222" s="20" t="s">
        <v>2843</v>
      </c>
      <c r="F2222" s="20" t="s">
        <v>8</v>
      </c>
      <c r="G2222" s="861">
        <v>41.1805273914499</v>
      </c>
      <c r="H2222" s="861">
        <v>35.057138511363597</v>
      </c>
      <c r="I2222" s="861">
        <v>43.8853727985842</v>
      </c>
      <c r="J2222" s="861">
        <v>22.131221810999001</v>
      </c>
      <c r="K2222" s="982">
        <v>0</v>
      </c>
      <c r="L2222" s="735">
        <v>5291</v>
      </c>
      <c r="M2222" s="735">
        <v>4926</v>
      </c>
      <c r="N2222" s="845">
        <f t="shared" si="173"/>
        <v>-6.8985068985068981E-2</v>
      </c>
      <c r="O2222" s="735">
        <v>3.2513365476415257</v>
      </c>
      <c r="P2222" s="735">
        <f t="shared" si="174"/>
        <v>1515.069242393025</v>
      </c>
      <c r="Q2222" s="849">
        <v>50.9</v>
      </c>
      <c r="R2222" s="71">
        <v>64929</v>
      </c>
      <c r="S2222" s="845">
        <v>0.1049746192893401</v>
      </c>
      <c r="T2222" s="845">
        <v>7.5999999999999998E-2</v>
      </c>
      <c r="U2222" s="845">
        <v>0</v>
      </c>
      <c r="V2222" s="845">
        <v>0</v>
      </c>
      <c r="W2222" s="845">
        <v>0.37572032270457167</v>
      </c>
      <c r="X2222" s="845">
        <v>0.37627811860940696</v>
      </c>
      <c r="Y2222" s="845">
        <v>0.8808363784003248</v>
      </c>
      <c r="Z2222" s="845">
        <v>2.9435647584246855E-2</v>
      </c>
      <c r="AA2222" s="845">
        <v>2.2330491270807959E-3</v>
      </c>
      <c r="AB2222" s="845">
        <v>3.2277710109622409E-2</v>
      </c>
      <c r="AC2222" s="845">
        <v>0</v>
      </c>
      <c r="AD2222" s="845">
        <v>1.6240357287860333E-3</v>
      </c>
      <c r="AE2222" s="845">
        <v>5.3593179049939099E-2</v>
      </c>
      <c r="AF2222" s="845">
        <v>1.705237515225335E-2</v>
      </c>
      <c r="AG2222" s="845">
        <v>0.86885911490052781</v>
      </c>
      <c r="AH2222" s="20" t="str">
        <f t="shared" si="175"/>
        <v>No</v>
      </c>
      <c r="AI2222" s="25"/>
      <c r="AJ2222" s="25"/>
      <c r="AK2222" s="25"/>
      <c r="AL2222" s="25"/>
      <c r="AM2222" s="25"/>
      <c r="AN2222" s="25"/>
      <c r="AO2222" s="25"/>
      <c r="AP2222" s="25"/>
      <c r="AQ2222" s="25"/>
      <c r="AR2222" s="25"/>
      <c r="AS2222" s="25"/>
      <c r="AT2222" s="25"/>
      <c r="AU2222" s="36"/>
      <c r="AV2222" s="36"/>
      <c r="AW2222" s="36"/>
      <c r="AX2222" s="25"/>
      <c r="AY2222" s="25"/>
      <c r="AZ2222" s="25"/>
      <c r="BA2222" s="25"/>
      <c r="BB2222" s="25"/>
      <c r="BC2222" s="25"/>
      <c r="BD2222" s="25"/>
      <c r="BE2222" s="25"/>
      <c r="BF2222" s="25"/>
      <c r="BG2222" s="25"/>
      <c r="BH2222" s="25"/>
      <c r="BI2222" s="25"/>
      <c r="BJ2222" s="25"/>
      <c r="BK2222" s="25"/>
      <c r="BL2222" s="25"/>
      <c r="BM2222" s="25"/>
      <c r="BN2222" s="25"/>
      <c r="BO2222" s="25"/>
      <c r="BP2222" s="25"/>
      <c r="BQ2222" s="25"/>
      <c r="BR2222" s="25"/>
      <c r="BS2222" s="25"/>
      <c r="BT2222" s="25"/>
      <c r="BU2222"/>
      <c r="BV2222"/>
      <c r="BW2222"/>
      <c r="BX2222"/>
      <c r="BY2222"/>
      <c r="BZ2222"/>
      <c r="CA2222"/>
      <c r="CB2222"/>
      <c r="CC2222"/>
      <c r="CD2222" s="25"/>
    </row>
    <row r="2223" spans="1:82" s="17" customFormat="1" x14ac:dyDescent="0.2">
      <c r="A2223" s="25"/>
      <c r="B2223" s="20">
        <v>39061003600</v>
      </c>
      <c r="C2223" s="20">
        <v>36</v>
      </c>
      <c r="D2223" s="20" t="s">
        <v>37</v>
      </c>
      <c r="E2223" s="20" t="s">
        <v>2828</v>
      </c>
      <c r="F2223" s="20" t="s">
        <v>6</v>
      </c>
      <c r="G2223" s="861">
        <v>41.143767690391002</v>
      </c>
      <c r="H2223" s="861">
        <v>43.794764858966602</v>
      </c>
      <c r="I2223" s="861">
        <v>55.316064782126297</v>
      </c>
      <c r="J2223" s="861">
        <v>68.512497041706396</v>
      </c>
      <c r="K2223" s="982">
        <v>2</v>
      </c>
      <c r="L2223" s="735">
        <v>1200</v>
      </c>
      <c r="M2223" s="735">
        <v>932</v>
      </c>
      <c r="N2223" s="845">
        <f t="shared" si="173"/>
        <v>-0.22333333333333333</v>
      </c>
      <c r="O2223" s="735">
        <v>0.28827854348721316</v>
      </c>
      <c r="P2223" s="735">
        <f t="shared" si="174"/>
        <v>3232.984282235836</v>
      </c>
      <c r="Q2223" s="849">
        <v>47.9</v>
      </c>
      <c r="R2223" s="71"/>
      <c r="S2223" s="845">
        <v>0.43504171632896305</v>
      </c>
      <c r="T2223" s="845">
        <v>0</v>
      </c>
      <c r="U2223" s="845">
        <v>0</v>
      </c>
      <c r="V2223" s="845">
        <v>4.4000000000000004E-2</v>
      </c>
      <c r="W2223" s="845">
        <v>0.90415335463258784</v>
      </c>
      <c r="X2223" s="845">
        <v>0.41166077738515899</v>
      </c>
      <c r="Y2223" s="845">
        <v>6.2231759656652362E-2</v>
      </c>
      <c r="Z2223" s="845">
        <v>0.88626609442060089</v>
      </c>
      <c r="AA2223" s="845">
        <v>0</v>
      </c>
      <c r="AB2223" s="845">
        <v>0</v>
      </c>
      <c r="AC2223" s="845">
        <v>0</v>
      </c>
      <c r="AD2223" s="845">
        <v>0</v>
      </c>
      <c r="AE2223" s="845">
        <v>5.1502145922746781E-2</v>
      </c>
      <c r="AF2223" s="845">
        <v>0</v>
      </c>
      <c r="AG2223" s="845">
        <v>6.2231759656652362E-2</v>
      </c>
      <c r="AH2223" s="20" t="str">
        <f t="shared" si="175"/>
        <v>No</v>
      </c>
      <c r="AI2223" s="25"/>
      <c r="AJ2223" s="25"/>
      <c r="AK2223" s="25"/>
      <c r="AL2223" s="25"/>
      <c r="AM2223" s="25"/>
      <c r="AN2223" s="25"/>
      <c r="AO2223" s="25"/>
      <c r="AP2223" s="25"/>
      <c r="AQ2223" s="25"/>
      <c r="AR2223" s="25"/>
      <c r="AS2223" s="25"/>
      <c r="AT2223" s="25"/>
      <c r="AU2223" s="36"/>
      <c r="AV2223" s="36"/>
      <c r="AW2223" s="36"/>
      <c r="AX2223" s="25"/>
      <c r="AY2223" s="25"/>
      <c r="AZ2223" s="25"/>
      <c r="BA2223" s="25"/>
      <c r="BB2223" s="25"/>
      <c r="BC2223" s="25"/>
      <c r="BD2223" s="25"/>
      <c r="BE2223" s="25"/>
      <c r="BF2223" s="25"/>
      <c r="BG2223" s="25"/>
      <c r="BH2223" s="25"/>
      <c r="BI2223" s="25"/>
      <c r="BJ2223" s="25"/>
      <c r="BK2223" s="25"/>
      <c r="BL2223" s="25"/>
      <c r="BM2223" s="25"/>
      <c r="BN2223" s="25"/>
      <c r="BO2223" s="25"/>
      <c r="BP2223" s="25"/>
      <c r="BQ2223" s="25"/>
      <c r="BR2223" s="25"/>
      <c r="BS2223" s="25"/>
      <c r="BT2223" s="25"/>
      <c r="BU2223"/>
      <c r="BV2223"/>
      <c r="BW2223"/>
      <c r="BX2223"/>
      <c r="BY2223"/>
      <c r="BZ2223"/>
      <c r="CA2223"/>
      <c r="CB2223"/>
      <c r="CC2223"/>
      <c r="CD2223" s="25"/>
    </row>
    <row r="2224" spans="1:82" s="17" customFormat="1" x14ac:dyDescent="0.2">
      <c r="A2224" s="25"/>
      <c r="B2224" s="20">
        <v>39133601703</v>
      </c>
      <c r="C2224" s="20">
        <v>6017.03</v>
      </c>
      <c r="D2224" s="20" t="s">
        <v>72</v>
      </c>
      <c r="E2224" s="20" t="s">
        <v>2843</v>
      </c>
      <c r="F2224" s="20" t="s">
        <v>8</v>
      </c>
      <c r="G2224" s="861">
        <v>41.137403722814803</v>
      </c>
      <c r="H2224" s="861">
        <v>45.970935001602399</v>
      </c>
      <c r="I2224" s="861">
        <v>45.403000531825697</v>
      </c>
      <c r="J2224" s="861">
        <v>37.8892105467582</v>
      </c>
      <c r="K2224" s="982">
        <v>0</v>
      </c>
      <c r="L2224" s="735" t="s">
        <v>2466</v>
      </c>
      <c r="M2224" s="735">
        <v>3589</v>
      </c>
      <c r="N2224" s="845" t="str">
        <f t="shared" si="173"/>
        <v/>
      </c>
      <c r="O2224" s="735">
        <v>5.2841539878729407</v>
      </c>
      <c r="P2224" s="735">
        <f t="shared" si="174"/>
        <v>679.20049420147575</v>
      </c>
      <c r="Q2224" s="849">
        <v>37.6</v>
      </c>
      <c r="R2224" s="71">
        <v>62989</v>
      </c>
      <c r="S2224" s="845">
        <v>0.1994949494949495</v>
      </c>
      <c r="T2224" s="845">
        <v>2.6000000000000002E-2</v>
      </c>
      <c r="U2224" s="845">
        <v>0</v>
      </c>
      <c r="V2224" s="845">
        <v>7.2999999999999995E-2</v>
      </c>
      <c r="W2224" s="845">
        <v>0.65855039637599089</v>
      </c>
      <c r="X2224" s="845">
        <v>0.50472914875322439</v>
      </c>
      <c r="Y2224" s="845">
        <v>0.83393702981331852</v>
      </c>
      <c r="Z2224" s="845">
        <v>6.3527444970743946E-2</v>
      </c>
      <c r="AA2224" s="845">
        <v>5.572582892170521E-3</v>
      </c>
      <c r="AB2224" s="845">
        <v>6.6313736416829194E-2</v>
      </c>
      <c r="AC2224" s="845">
        <v>0</v>
      </c>
      <c r="AD2224" s="845">
        <v>0</v>
      </c>
      <c r="AE2224" s="845">
        <v>3.0649205906937867E-2</v>
      </c>
      <c r="AF2224" s="845">
        <v>1.0309278350515464E-2</v>
      </c>
      <c r="AG2224" s="845">
        <v>0.82920033435497353</v>
      </c>
      <c r="AH2224" s="20" t="str">
        <f t="shared" si="175"/>
        <v>No</v>
      </c>
      <c r="AI2224" s="25"/>
      <c r="AJ2224" s="25"/>
      <c r="AK2224" s="25"/>
      <c r="AL2224" s="25"/>
      <c r="AM2224" s="25"/>
      <c r="AN2224" s="25"/>
      <c r="AO2224" s="25"/>
      <c r="AP2224" s="25"/>
      <c r="AQ2224" s="25"/>
      <c r="AR2224" s="25"/>
      <c r="AS2224" s="25"/>
      <c r="AT2224" s="25"/>
      <c r="AU2224" s="36"/>
      <c r="AV2224" s="36"/>
      <c r="AW2224" s="36"/>
      <c r="AX2224" s="25"/>
      <c r="AY2224" s="25"/>
      <c r="AZ2224" s="25"/>
      <c r="BA2224" s="25"/>
      <c r="BB2224" s="25"/>
      <c r="BC2224" s="25"/>
      <c r="BD2224" s="25"/>
      <c r="BE2224" s="25"/>
      <c r="BF2224" s="25"/>
      <c r="BG2224" s="25"/>
      <c r="BH2224" s="25"/>
      <c r="BI2224" s="25"/>
      <c r="BJ2224" s="25"/>
      <c r="BK2224" s="25"/>
      <c r="BL2224" s="25"/>
      <c r="BM2224" s="25"/>
      <c r="BN2224" s="25"/>
      <c r="BO2224" s="25"/>
      <c r="BP2224" s="25"/>
      <c r="BQ2224" s="25"/>
      <c r="BR2224" s="25"/>
      <c r="BS2224" s="25"/>
      <c r="BT2224" s="25"/>
      <c r="BU2224"/>
      <c r="BV2224"/>
      <c r="BW2224"/>
      <c r="BX2224"/>
      <c r="BY2224"/>
      <c r="BZ2224"/>
      <c r="CA2224"/>
      <c r="CB2224"/>
      <c r="CC2224"/>
      <c r="CD2224" s="25"/>
    </row>
    <row r="2225" spans="1:82" s="17" customFormat="1" x14ac:dyDescent="0.2">
      <c r="A2225" s="25"/>
      <c r="B2225" s="20">
        <v>39153510400</v>
      </c>
      <c r="C2225" s="20">
        <v>5104</v>
      </c>
      <c r="D2225" s="20" t="s">
        <v>82</v>
      </c>
      <c r="E2225" s="20" t="s">
        <v>2843</v>
      </c>
      <c r="F2225" s="20" t="s">
        <v>8</v>
      </c>
      <c r="G2225" s="861">
        <v>41.135573030422201</v>
      </c>
      <c r="H2225" s="861">
        <v>48.063569770412599</v>
      </c>
      <c r="I2225" s="861">
        <v>30.335349328872699</v>
      </c>
      <c r="J2225" s="861">
        <v>45.905614086209397</v>
      </c>
      <c r="K2225" s="982">
        <v>0</v>
      </c>
      <c r="L2225" s="735">
        <v>3718</v>
      </c>
      <c r="M2225" s="735">
        <v>3875</v>
      </c>
      <c r="N2225" s="845">
        <f t="shared" si="173"/>
        <v>4.2227003765465301E-2</v>
      </c>
      <c r="O2225" s="735">
        <v>1.2084491770118591</v>
      </c>
      <c r="P2225" s="735">
        <f t="shared" si="174"/>
        <v>3206.5891340020939</v>
      </c>
      <c r="Q2225" s="849">
        <v>39</v>
      </c>
      <c r="R2225" s="71">
        <v>60500</v>
      </c>
      <c r="S2225" s="845">
        <v>0.17651612903225805</v>
      </c>
      <c r="T2225" s="845">
        <v>6.7000000000000004E-2</v>
      </c>
      <c r="U2225" s="845">
        <v>0</v>
      </c>
      <c r="V2225" s="845">
        <v>3.5000000000000003E-2</v>
      </c>
      <c r="W2225" s="845">
        <v>0.29891956782713086</v>
      </c>
      <c r="X2225" s="845">
        <v>0.37148594377510041</v>
      </c>
      <c r="Y2225" s="845">
        <v>0.89987096774193553</v>
      </c>
      <c r="Z2225" s="845">
        <v>1.4193548387096775E-2</v>
      </c>
      <c r="AA2225" s="845">
        <v>0</v>
      </c>
      <c r="AB2225" s="845">
        <v>4.3870967741935487E-3</v>
      </c>
      <c r="AC2225" s="845">
        <v>0</v>
      </c>
      <c r="AD2225" s="845">
        <v>3.6129032258064514E-3</v>
      </c>
      <c r="AE2225" s="845">
        <v>7.7935483870967742E-2</v>
      </c>
      <c r="AF2225" s="845">
        <v>1.832258064516129E-2</v>
      </c>
      <c r="AG2225" s="845">
        <v>0.89703225806451614</v>
      </c>
      <c r="AH2225" s="20" t="str">
        <f t="shared" si="175"/>
        <v>No</v>
      </c>
      <c r="AI2225" s="25"/>
      <c r="AJ2225" s="25"/>
      <c r="AK2225" s="25"/>
      <c r="AL2225" s="25"/>
      <c r="AM2225" s="25"/>
      <c r="AN2225" s="25"/>
      <c r="AO2225" s="25"/>
      <c r="AP2225" s="25"/>
      <c r="AQ2225" s="25"/>
      <c r="AR2225" s="25"/>
      <c r="AS2225" s="25"/>
      <c r="AT2225" s="25"/>
      <c r="AU2225" s="36"/>
      <c r="AV2225" s="36"/>
      <c r="AW2225" s="36"/>
      <c r="AX2225" s="25"/>
      <c r="AY2225" s="25"/>
      <c r="AZ2225" s="25"/>
      <c r="BA2225" s="25"/>
      <c r="BB2225" s="25"/>
      <c r="BC2225" s="25"/>
      <c r="BD2225" s="25"/>
      <c r="BE2225" s="25"/>
      <c r="BF2225" s="25"/>
      <c r="BG2225" s="25"/>
      <c r="BH2225" s="25"/>
      <c r="BI2225" s="25"/>
      <c r="BJ2225" s="25"/>
      <c r="BK2225" s="25"/>
      <c r="BL2225" s="25"/>
      <c r="BM2225" s="25"/>
      <c r="BN2225" s="25"/>
      <c r="BO2225" s="25"/>
      <c r="BP2225" s="25"/>
      <c r="BQ2225" s="25"/>
      <c r="BR2225" s="25"/>
      <c r="BS2225" s="25"/>
      <c r="BT2225" s="25"/>
      <c r="BU2225"/>
      <c r="BV2225"/>
      <c r="BW2225"/>
      <c r="BX2225"/>
      <c r="BY2225"/>
      <c r="BZ2225"/>
      <c r="CA2225"/>
      <c r="CB2225"/>
      <c r="CC2225"/>
      <c r="CD2225" s="25"/>
    </row>
    <row r="2226" spans="1:82" s="17" customFormat="1" x14ac:dyDescent="0.2">
      <c r="A2226" s="25"/>
      <c r="B2226" s="20">
        <v>39061003000</v>
      </c>
      <c r="C2226" s="20">
        <v>30</v>
      </c>
      <c r="D2226" s="20" t="s">
        <v>37</v>
      </c>
      <c r="E2226" s="20" t="s">
        <v>2828</v>
      </c>
      <c r="F2226" s="20" t="s">
        <v>6</v>
      </c>
      <c r="G2226" s="861">
        <v>41.121775089553303</v>
      </c>
      <c r="H2226" s="861">
        <v>77.709654946114597</v>
      </c>
      <c r="I2226" s="861">
        <v>69.146609349764404</v>
      </c>
      <c r="J2226" s="861">
        <v>46.211675579529299</v>
      </c>
      <c r="K2226" s="982">
        <v>0</v>
      </c>
      <c r="L2226" s="735">
        <v>4554</v>
      </c>
      <c r="M2226" s="735">
        <v>5106</v>
      </c>
      <c r="N2226" s="845">
        <f t="shared" si="173"/>
        <v>0.12121212121212122</v>
      </c>
      <c r="O2226" s="735">
        <v>0.51812052527144614</v>
      </c>
      <c r="P2226" s="735">
        <f t="shared" si="174"/>
        <v>9854.8498871472784</v>
      </c>
      <c r="Q2226" s="849">
        <v>19.3</v>
      </c>
      <c r="R2226" s="71">
        <v>38487</v>
      </c>
      <c r="S2226" s="845">
        <v>0.50249110320284696</v>
      </c>
      <c r="T2226" s="845">
        <v>0.109</v>
      </c>
      <c r="U2226" s="845">
        <v>0</v>
      </c>
      <c r="V2226" s="845">
        <v>5.7999999999999996E-2</v>
      </c>
      <c r="W2226" s="845">
        <v>0.83568075117370888</v>
      </c>
      <c r="X2226" s="845">
        <v>0.6629213483146067</v>
      </c>
      <c r="Y2226" s="845">
        <v>0.72600861731296518</v>
      </c>
      <c r="Z2226" s="845">
        <v>0.10399529964747356</v>
      </c>
      <c r="AA2226" s="845">
        <v>0</v>
      </c>
      <c r="AB2226" s="845">
        <v>0.12299255777516648</v>
      </c>
      <c r="AC2226" s="845">
        <v>0</v>
      </c>
      <c r="AD2226" s="845">
        <v>1.0379945162553859E-2</v>
      </c>
      <c r="AE2226" s="845">
        <v>3.6623580101840969E-2</v>
      </c>
      <c r="AF2226" s="845">
        <v>5.9733646690168431E-2</v>
      </c>
      <c r="AG2226" s="845">
        <v>0.69291030160595379</v>
      </c>
      <c r="AH2226" s="20" t="str">
        <f t="shared" si="175"/>
        <v>No</v>
      </c>
      <c r="AI2226" s="25"/>
      <c r="AJ2226" s="25"/>
      <c r="AK2226" s="25"/>
      <c r="AL2226" s="25"/>
      <c r="AM2226" s="25"/>
      <c r="AN2226" s="25"/>
      <c r="AO2226" s="25"/>
      <c r="AP2226" s="25"/>
      <c r="AQ2226" s="25"/>
      <c r="AR2226" s="25"/>
      <c r="AS2226" s="25"/>
      <c r="AT2226" s="25"/>
      <c r="AU2226" s="36"/>
      <c r="AV2226" s="36"/>
      <c r="AW2226" s="36"/>
      <c r="AX2226" s="25"/>
      <c r="AY2226" s="25"/>
      <c r="AZ2226" s="25"/>
      <c r="BA2226" s="25"/>
      <c r="BB2226" s="25"/>
      <c r="BC2226" s="25"/>
      <c r="BD2226" s="25"/>
      <c r="BE2226" s="25"/>
      <c r="BF2226" s="25"/>
      <c r="BG2226" s="25"/>
      <c r="BH2226" s="25"/>
      <c r="BI2226" s="25"/>
      <c r="BJ2226" s="25"/>
      <c r="BK2226" s="25"/>
      <c r="BL2226" s="25"/>
      <c r="BM2226" s="25"/>
      <c r="BN2226" s="25"/>
      <c r="BO2226" s="25"/>
      <c r="BP2226" s="25"/>
      <c r="BQ2226" s="25"/>
      <c r="BR2226" s="25"/>
      <c r="BS2226" s="25"/>
      <c r="BT2226" s="25"/>
      <c r="BU2226"/>
      <c r="BV2226"/>
      <c r="BW2226"/>
      <c r="BX2226"/>
      <c r="BY2226"/>
      <c r="BZ2226"/>
      <c r="CA2226"/>
      <c r="CB2226"/>
      <c r="CC2226"/>
      <c r="CD2226" s="25"/>
    </row>
    <row r="2227" spans="1:82" s="17" customFormat="1" x14ac:dyDescent="0.2">
      <c r="A2227" s="25"/>
      <c r="B2227" s="20">
        <v>39017001001</v>
      </c>
      <c r="C2227" s="20">
        <v>10.01</v>
      </c>
      <c r="D2227" s="20" t="s">
        <v>15</v>
      </c>
      <c r="E2227" s="20" t="s">
        <v>2828</v>
      </c>
      <c r="F2227" s="20" t="s">
        <v>8</v>
      </c>
      <c r="G2227" s="861">
        <v>41.080686039744002</v>
      </c>
      <c r="H2227" s="861">
        <v>51.359372104001899</v>
      </c>
      <c r="I2227" s="861">
        <v>27.769953257534102</v>
      </c>
      <c r="J2227" s="861">
        <v>48.658308306712101</v>
      </c>
      <c r="K2227" s="982">
        <v>0</v>
      </c>
      <c r="L2227" s="735">
        <v>5204</v>
      </c>
      <c r="M2227" s="735">
        <v>5912</v>
      </c>
      <c r="N2227" s="845">
        <f t="shared" si="173"/>
        <v>0.13604919292851653</v>
      </c>
      <c r="O2227" s="735">
        <v>2.7215198296798362</v>
      </c>
      <c r="P2227" s="735">
        <f t="shared" si="174"/>
        <v>2172.3156067157875</v>
      </c>
      <c r="Q2227" s="849">
        <v>43.9</v>
      </c>
      <c r="R2227" s="71">
        <v>71513</v>
      </c>
      <c r="S2227" s="845">
        <v>0.10254645560908465</v>
      </c>
      <c r="T2227" s="845">
        <v>5.0999999999999997E-2</v>
      </c>
      <c r="U2227" s="845">
        <v>8.0000000000000002E-3</v>
      </c>
      <c r="V2227" s="845">
        <v>0</v>
      </c>
      <c r="W2227" s="845">
        <v>0.28980761358984852</v>
      </c>
      <c r="X2227" s="845">
        <v>0.19209039548022599</v>
      </c>
      <c r="Y2227" s="845">
        <v>0.91762516914749659</v>
      </c>
      <c r="Z2227" s="845">
        <v>2.5202976995940461E-2</v>
      </c>
      <c r="AA2227" s="845">
        <v>0</v>
      </c>
      <c r="AB2227" s="845">
        <v>1.0148849797023005E-2</v>
      </c>
      <c r="AC2227" s="845">
        <v>0</v>
      </c>
      <c r="AD2227" s="845">
        <v>0</v>
      </c>
      <c r="AE2227" s="845">
        <v>4.7023004059539922E-2</v>
      </c>
      <c r="AF2227" s="845">
        <v>1.2855209742895805E-2</v>
      </c>
      <c r="AG2227" s="845">
        <v>0.91762516914749659</v>
      </c>
      <c r="AH2227" s="20" t="str">
        <f t="shared" si="175"/>
        <v>Yes</v>
      </c>
      <c r="AI2227" s="25"/>
      <c r="AJ2227" s="25"/>
      <c r="AK2227" s="25"/>
      <c r="AL2227" s="25"/>
      <c r="AM2227" s="25"/>
      <c r="AN2227" s="25"/>
      <c r="AO2227" s="25"/>
      <c r="AP2227" s="25"/>
      <c r="AQ2227" s="25"/>
      <c r="AR2227" s="25"/>
      <c r="AS2227" s="25"/>
      <c r="AT2227" s="25"/>
      <c r="AU2227" s="36"/>
      <c r="AV2227" s="36"/>
      <c r="AW2227" s="36"/>
      <c r="AX2227" s="25"/>
      <c r="AY2227" s="25"/>
      <c r="AZ2227" s="25"/>
      <c r="BA2227" s="25"/>
      <c r="BB2227" s="25"/>
      <c r="BC2227" s="25"/>
      <c r="BD2227" s="25"/>
      <c r="BE2227" s="25"/>
      <c r="BF2227" s="25"/>
      <c r="BG2227" s="25"/>
      <c r="BH2227" s="25"/>
      <c r="BI2227" s="25"/>
      <c r="BJ2227" s="25"/>
      <c r="BK2227" s="25"/>
      <c r="BL2227" s="25"/>
      <c r="BM2227" s="25"/>
      <c r="BN2227" s="25"/>
      <c r="BO2227" s="25"/>
      <c r="BP2227" s="25"/>
      <c r="BQ2227" s="25"/>
      <c r="BR2227" s="25"/>
      <c r="BS2227" s="25"/>
      <c r="BT2227" s="25"/>
      <c r="BU2227"/>
      <c r="BV2227"/>
      <c r="BW2227"/>
      <c r="BX2227"/>
      <c r="BY2227"/>
      <c r="BZ2227"/>
      <c r="CA2227"/>
      <c r="CB2227"/>
      <c r="CC2227"/>
      <c r="CD2227" s="25"/>
    </row>
    <row r="2228" spans="1:82" s="17" customFormat="1" x14ac:dyDescent="0.2">
      <c r="A2228" s="25"/>
      <c r="B2228" s="20">
        <v>39035106600</v>
      </c>
      <c r="C2228" s="20">
        <v>1066</v>
      </c>
      <c r="D2228" s="20" t="s">
        <v>24</v>
      </c>
      <c r="E2228" s="20" t="s">
        <v>2829</v>
      </c>
      <c r="F2228" s="20" t="s">
        <v>8</v>
      </c>
      <c r="G2228" s="861">
        <v>41.064545579659303</v>
      </c>
      <c r="H2228" s="861">
        <v>62.215054974024</v>
      </c>
      <c r="I2228" s="861">
        <v>42.498239175955398</v>
      </c>
      <c r="J2228" s="861">
        <v>39.432190054053002</v>
      </c>
      <c r="K2228" s="982">
        <v>0</v>
      </c>
      <c r="L2228" s="735">
        <v>3725</v>
      </c>
      <c r="M2228" s="735">
        <v>3395</v>
      </c>
      <c r="N2228" s="845">
        <f t="shared" si="173"/>
        <v>-8.859060402684564E-2</v>
      </c>
      <c r="O2228" s="735">
        <v>0.60613019570966298</v>
      </c>
      <c r="P2228" s="735">
        <f t="shared" si="174"/>
        <v>5601.1068645492933</v>
      </c>
      <c r="Q2228" s="849">
        <v>38.700000000000003</v>
      </c>
      <c r="R2228" s="71">
        <v>55313</v>
      </c>
      <c r="S2228" s="845">
        <v>0.19609004739336494</v>
      </c>
      <c r="T2228" s="845">
        <v>8.5999999999999993E-2</v>
      </c>
      <c r="U2228" s="845">
        <v>7.400000000000001E-2</v>
      </c>
      <c r="V2228" s="845">
        <v>2.6000000000000002E-2</v>
      </c>
      <c r="W2228" s="845">
        <v>0.45749613601236477</v>
      </c>
      <c r="X2228" s="845">
        <v>0.40371621621621623</v>
      </c>
      <c r="Y2228" s="845">
        <v>0.59440353460972017</v>
      </c>
      <c r="Z2228" s="845">
        <v>9.720176730486009E-2</v>
      </c>
      <c r="AA2228" s="845">
        <v>0</v>
      </c>
      <c r="AB2228" s="845">
        <v>4.1237113402061857E-3</v>
      </c>
      <c r="AC2228" s="845">
        <v>0</v>
      </c>
      <c r="AD2228" s="845">
        <v>0.17761413843888071</v>
      </c>
      <c r="AE2228" s="845">
        <v>0.12665684830633284</v>
      </c>
      <c r="AF2228" s="845">
        <v>0.25773195876288657</v>
      </c>
      <c r="AG2228" s="845">
        <v>0.59175257731958764</v>
      </c>
      <c r="AH2228" s="20" t="str">
        <f t="shared" si="175"/>
        <v>No</v>
      </c>
      <c r="AI2228" s="25"/>
      <c r="AJ2228" s="25"/>
      <c r="AK2228" s="25"/>
      <c r="AL2228" s="25"/>
      <c r="AM2228" s="25"/>
      <c r="AN2228" s="25"/>
      <c r="AO2228" s="25"/>
      <c r="AP2228" s="25"/>
      <c r="AQ2228" s="25"/>
      <c r="AR2228" s="25"/>
      <c r="AS2228" s="25"/>
      <c r="AT2228" s="25"/>
      <c r="AU2228" s="36"/>
      <c r="AV2228" s="36"/>
      <c r="AW2228" s="36"/>
      <c r="AX2228" s="25"/>
      <c r="AY2228" s="25"/>
      <c r="AZ2228" s="25"/>
      <c r="BA2228" s="25"/>
      <c r="BB2228" s="25"/>
      <c r="BC2228" s="25"/>
      <c r="BD2228" s="25"/>
      <c r="BE2228" s="25"/>
      <c r="BF2228" s="25"/>
      <c r="BG2228" s="25"/>
      <c r="BH2228" s="25"/>
      <c r="BI2228" s="25"/>
      <c r="BJ2228" s="25"/>
      <c r="BK2228" s="25"/>
      <c r="BL2228" s="25"/>
      <c r="BM2228" s="25"/>
      <c r="BN2228" s="25"/>
      <c r="BO2228" s="25"/>
      <c r="BP2228" s="25"/>
      <c r="BQ2228" s="25"/>
      <c r="BR2228" s="25"/>
      <c r="BS2228" s="25"/>
      <c r="BT2228" s="25"/>
      <c r="BU2228"/>
      <c r="BV2228"/>
      <c r="BW2228"/>
      <c r="BX2228"/>
      <c r="BY2228"/>
      <c r="BZ2228"/>
      <c r="CA2228"/>
      <c r="CB2228"/>
      <c r="CC2228"/>
      <c r="CD2228" s="25"/>
    </row>
    <row r="2229" spans="1:82" s="17" customFormat="1" x14ac:dyDescent="0.2">
      <c r="A2229" s="25"/>
      <c r="B2229" s="20">
        <v>39113003300</v>
      </c>
      <c r="C2229" s="20">
        <v>33</v>
      </c>
      <c r="D2229" s="20" t="s">
        <v>62</v>
      </c>
      <c r="E2229" s="20" t="s">
        <v>2833</v>
      </c>
      <c r="F2229" s="20" t="s">
        <v>8</v>
      </c>
      <c r="G2229" s="861">
        <v>41.052621471897801</v>
      </c>
      <c r="H2229" s="861">
        <v>52.976430816041997</v>
      </c>
      <c r="I2229" s="861">
        <v>43.854508034526901</v>
      </c>
      <c r="J2229" s="861">
        <v>49.378313307881299</v>
      </c>
      <c r="K2229" s="982">
        <v>0</v>
      </c>
      <c r="L2229" s="735">
        <v>4355</v>
      </c>
      <c r="M2229" s="735">
        <v>5347</v>
      </c>
      <c r="N2229" s="845">
        <f t="shared" si="173"/>
        <v>0.22778415614236511</v>
      </c>
      <c r="O2229" s="735">
        <v>0.53045146991041592</v>
      </c>
      <c r="P2229" s="735">
        <f t="shared" si="174"/>
        <v>10080.092719703493</v>
      </c>
      <c r="Q2229" s="849">
        <v>33.299999999999997</v>
      </c>
      <c r="R2229" s="71">
        <v>59711</v>
      </c>
      <c r="S2229" s="845">
        <v>0.19412754815784553</v>
      </c>
      <c r="T2229" s="845">
        <v>9.4E-2</v>
      </c>
      <c r="U2229" s="845">
        <v>0</v>
      </c>
      <c r="V2229" s="845">
        <v>0</v>
      </c>
      <c r="W2229" s="845">
        <v>0.50412087912087911</v>
      </c>
      <c r="X2229" s="845">
        <v>0.49409627611262491</v>
      </c>
      <c r="Y2229" s="845">
        <v>0.72881989900878996</v>
      </c>
      <c r="Z2229" s="845">
        <v>0.13820834112586497</v>
      </c>
      <c r="AA2229" s="845">
        <v>1.2343370114082663E-2</v>
      </c>
      <c r="AB2229" s="845">
        <v>2.8614176173555265E-2</v>
      </c>
      <c r="AC2229" s="845">
        <v>0</v>
      </c>
      <c r="AD2229" s="845">
        <v>5.4236020198242002E-2</v>
      </c>
      <c r="AE2229" s="845">
        <v>3.7778193379465121E-2</v>
      </c>
      <c r="AF2229" s="845">
        <v>9.463250420796708E-2</v>
      </c>
      <c r="AG2229" s="845">
        <v>0.70020572283523475</v>
      </c>
      <c r="AH2229" s="20" t="str">
        <f t="shared" si="175"/>
        <v>No</v>
      </c>
      <c r="AI2229" s="25"/>
      <c r="AJ2229" s="25"/>
      <c r="AK2229" s="25"/>
      <c r="AL2229" s="25"/>
      <c r="AM2229" s="25"/>
      <c r="AN2229" s="25"/>
      <c r="AO2229" s="25"/>
      <c r="AP2229" s="25"/>
      <c r="AQ2229" s="25"/>
      <c r="AR2229" s="25"/>
      <c r="AS2229" s="25"/>
      <c r="AT2229" s="25"/>
      <c r="AU2229" s="36"/>
      <c r="AV2229" s="36"/>
      <c r="AW2229" s="36"/>
      <c r="AX2229" s="25"/>
      <c r="AY2229" s="25"/>
      <c r="AZ2229" s="25"/>
      <c r="BA2229" s="25"/>
      <c r="BB2229" s="25"/>
      <c r="BC2229" s="25"/>
      <c r="BD2229" s="25"/>
      <c r="BE2229" s="25"/>
      <c r="BF2229" s="25"/>
      <c r="BG2229" s="25"/>
      <c r="BH2229" s="25"/>
      <c r="BI2229" s="25"/>
      <c r="BJ2229" s="25"/>
      <c r="BK2229" s="25"/>
      <c r="BL2229" s="25"/>
      <c r="BM2229" s="25"/>
      <c r="BN2229" s="25"/>
      <c r="BO2229" s="25"/>
      <c r="BP2229" s="25"/>
      <c r="BQ2229" s="25"/>
      <c r="BR2229" s="25"/>
      <c r="BS2229" s="25"/>
      <c r="BT2229" s="25"/>
      <c r="BU2229"/>
      <c r="BV2229"/>
      <c r="BW2229"/>
      <c r="BX2229"/>
      <c r="BY2229"/>
      <c r="BZ2229"/>
      <c r="CA2229"/>
      <c r="CB2229"/>
      <c r="CC2229"/>
      <c r="CD2229" s="25"/>
    </row>
    <row r="2230" spans="1:82" s="17" customFormat="1" x14ac:dyDescent="0.2">
      <c r="A2230" s="25"/>
      <c r="B2230" s="20">
        <v>39035140100</v>
      </c>
      <c r="C2230" s="20">
        <v>1401</v>
      </c>
      <c r="D2230" s="20" t="s">
        <v>24</v>
      </c>
      <c r="E2230" s="20" t="s">
        <v>2829</v>
      </c>
      <c r="F2230" s="20" t="s">
        <v>6</v>
      </c>
      <c r="G2230" s="861">
        <v>41.019161846565801</v>
      </c>
      <c r="H2230" s="861">
        <v>51.985577911583199</v>
      </c>
      <c r="I2230" s="861">
        <v>54.027628643040501</v>
      </c>
      <c r="J2230" s="861">
        <v>20.6811415806011</v>
      </c>
      <c r="K2230" s="982">
        <v>0</v>
      </c>
      <c r="L2230" s="735">
        <v>1500</v>
      </c>
      <c r="M2230" s="735">
        <v>1466</v>
      </c>
      <c r="N2230" s="845">
        <f t="shared" si="173"/>
        <v>-2.2666666666666668E-2</v>
      </c>
      <c r="O2230" s="735">
        <v>0.33767799806617649</v>
      </c>
      <c r="P2230" s="735">
        <f t="shared" si="174"/>
        <v>4341.414034658842</v>
      </c>
      <c r="Q2230" s="849">
        <v>46.7</v>
      </c>
      <c r="R2230" s="71">
        <v>62737</v>
      </c>
      <c r="S2230" s="845">
        <v>0.35197817189631653</v>
      </c>
      <c r="T2230" s="845">
        <v>0.16200000000000001</v>
      </c>
      <c r="U2230" s="845">
        <v>0</v>
      </c>
      <c r="V2230" s="845">
        <v>9.0999999999999998E-2</v>
      </c>
      <c r="W2230" s="845">
        <v>0.30882352941176472</v>
      </c>
      <c r="X2230" s="845">
        <v>0.44973544973544971</v>
      </c>
      <c r="Y2230" s="845">
        <v>0.22442019099590724</v>
      </c>
      <c r="Z2230" s="845">
        <v>0.74624829467939968</v>
      </c>
      <c r="AA2230" s="845">
        <v>0</v>
      </c>
      <c r="AB2230" s="845">
        <v>0</v>
      </c>
      <c r="AC2230" s="845">
        <v>0</v>
      </c>
      <c r="AD2230" s="845">
        <v>0</v>
      </c>
      <c r="AE2230" s="845">
        <v>2.9331514324693043E-2</v>
      </c>
      <c r="AF2230" s="845">
        <v>2.0463847203274217E-2</v>
      </c>
      <c r="AG2230" s="845">
        <v>0.22442019099590724</v>
      </c>
      <c r="AH2230" s="20" t="str">
        <f t="shared" si="175"/>
        <v>No</v>
      </c>
      <c r="AI2230" s="25"/>
      <c r="AJ2230" s="25"/>
      <c r="AK2230" s="25"/>
      <c r="AL2230" s="25"/>
      <c r="AM2230" s="25"/>
      <c r="AN2230" s="25"/>
      <c r="AO2230" s="25"/>
      <c r="AP2230" s="25"/>
      <c r="AQ2230" s="25"/>
      <c r="AR2230" s="25"/>
      <c r="AS2230" s="25"/>
      <c r="AT2230" s="25"/>
      <c r="AU2230" s="36"/>
      <c r="AV2230" s="36"/>
      <c r="AW2230" s="36"/>
      <c r="AX2230" s="25"/>
      <c r="AY2230" s="25"/>
      <c r="AZ2230" s="25"/>
      <c r="BA2230" s="25"/>
      <c r="BB2230" s="25"/>
      <c r="BC2230" s="25"/>
      <c r="BD2230" s="25"/>
      <c r="BE2230" s="25"/>
      <c r="BF2230" s="25"/>
      <c r="BG2230" s="25"/>
      <c r="BH2230" s="25"/>
      <c r="BI2230" s="25"/>
      <c r="BJ2230" s="25"/>
      <c r="BK2230" s="25"/>
      <c r="BL2230" s="25"/>
      <c r="BM2230" s="25"/>
      <c r="BN2230" s="25"/>
      <c r="BO2230" s="25"/>
      <c r="BP2230" s="25"/>
      <c r="BQ2230" s="25"/>
      <c r="BR2230" s="25"/>
      <c r="BS2230" s="25"/>
      <c r="BT2230" s="25"/>
      <c r="BU2230"/>
      <c r="BV2230"/>
      <c r="BW2230"/>
      <c r="BX2230"/>
      <c r="BY2230"/>
      <c r="BZ2230"/>
      <c r="CA2230"/>
      <c r="CB2230"/>
      <c r="CC2230"/>
      <c r="CD2230" s="25"/>
    </row>
    <row r="2231" spans="1:82" s="17" customFormat="1" x14ac:dyDescent="0.2">
      <c r="A2231" s="25"/>
      <c r="B2231" s="20">
        <v>39117965100</v>
      </c>
      <c r="C2231" s="20">
        <v>9651</v>
      </c>
      <c r="D2231" s="20" t="s">
        <v>64</v>
      </c>
      <c r="E2231" s="20" t="s">
        <v>2830</v>
      </c>
      <c r="F2231" s="20" t="s">
        <v>8</v>
      </c>
      <c r="G2231" s="861">
        <v>41.012602727066799</v>
      </c>
      <c r="H2231" s="861">
        <v>64.977739114120695</v>
      </c>
      <c r="I2231" s="861">
        <v>25.7541090278125</v>
      </c>
      <c r="J2231" s="861">
        <v>44.380630518852399</v>
      </c>
      <c r="K2231" s="982">
        <v>0</v>
      </c>
      <c r="L2231" s="735">
        <v>4608</v>
      </c>
      <c r="M2231" s="735">
        <v>5536</v>
      </c>
      <c r="N2231" s="845">
        <f t="shared" si="173"/>
        <v>0.2013888888888889</v>
      </c>
      <c r="O2231" s="735">
        <v>52.329941005018746</v>
      </c>
      <c r="P2231" s="735">
        <f t="shared" si="174"/>
        <v>105.79029698254514</v>
      </c>
      <c r="Q2231" s="849">
        <v>39.299999999999997</v>
      </c>
      <c r="R2231" s="71">
        <v>81145</v>
      </c>
      <c r="S2231" s="845">
        <v>0.17955202312138729</v>
      </c>
      <c r="T2231" s="845">
        <v>9.0000000000000011E-3</v>
      </c>
      <c r="U2231" s="845">
        <v>0</v>
      </c>
      <c r="V2231" s="845">
        <v>0</v>
      </c>
      <c r="W2231" s="845">
        <v>0.22503961965134706</v>
      </c>
      <c r="X2231" s="845">
        <v>0.2300469483568075</v>
      </c>
      <c r="Y2231" s="845">
        <v>0.96441473988439308</v>
      </c>
      <c r="Z2231" s="845">
        <v>0</v>
      </c>
      <c r="AA2231" s="845">
        <v>0</v>
      </c>
      <c r="AB2231" s="845">
        <v>0</v>
      </c>
      <c r="AC2231" s="845">
        <v>0</v>
      </c>
      <c r="AD2231" s="845">
        <v>3.0708092485549135E-3</v>
      </c>
      <c r="AE2231" s="845">
        <v>3.2514450867052021E-2</v>
      </c>
      <c r="AF2231" s="845">
        <v>9.5736994219653183E-3</v>
      </c>
      <c r="AG2231" s="845">
        <v>0.96441473988439308</v>
      </c>
      <c r="AH2231" s="20" t="str">
        <f t="shared" si="175"/>
        <v>Yes</v>
      </c>
      <c r="AI2231" s="25"/>
      <c r="AJ2231" s="25"/>
      <c r="AK2231" s="25"/>
      <c r="AL2231" s="25"/>
      <c r="AM2231" s="25"/>
      <c r="AN2231" s="25"/>
      <c r="AO2231" s="25"/>
      <c r="AP2231" s="25"/>
      <c r="AQ2231" s="25"/>
      <c r="AR2231" s="25"/>
      <c r="AS2231" s="25"/>
      <c r="AT2231" s="25"/>
      <c r="AU2231" s="36"/>
      <c r="AV2231" s="36"/>
      <c r="AW2231" s="36"/>
      <c r="AX2231" s="25"/>
      <c r="AY2231" s="25"/>
      <c r="AZ2231" s="25"/>
      <c r="BA2231" s="25"/>
      <c r="BB2231" s="25"/>
      <c r="BC2231" s="25"/>
      <c r="BD2231" s="25"/>
      <c r="BE2231" s="25"/>
      <c r="BF2231" s="25"/>
      <c r="BG2231" s="25"/>
      <c r="BH2231" s="25"/>
      <c r="BI2231" s="25"/>
      <c r="BJ2231" s="25"/>
      <c r="BK2231" s="25"/>
      <c r="BL2231" s="25"/>
      <c r="BM2231" s="25"/>
      <c r="BN2231" s="25"/>
      <c r="BO2231" s="25"/>
      <c r="BP2231" s="25"/>
      <c r="BQ2231" s="25"/>
      <c r="BR2231" s="25"/>
      <c r="BS2231" s="25"/>
      <c r="BT2231" s="25"/>
      <c r="BU2231"/>
      <c r="BV2231"/>
      <c r="BW2231"/>
      <c r="BX2231"/>
      <c r="BY2231"/>
      <c r="BZ2231"/>
      <c r="CA2231"/>
      <c r="CB2231"/>
      <c r="CC2231"/>
      <c r="CD2231" s="25"/>
    </row>
    <row r="2232" spans="1:82" s="17" customFormat="1" x14ac:dyDescent="0.2">
      <c r="A2232" s="25"/>
      <c r="B2232" s="20">
        <v>39109315300</v>
      </c>
      <c r="C2232" s="20">
        <v>3153</v>
      </c>
      <c r="D2232" s="20" t="s">
        <v>60</v>
      </c>
      <c r="E2232" s="20" t="s">
        <v>2833</v>
      </c>
      <c r="F2232" s="20" t="s">
        <v>6</v>
      </c>
      <c r="G2232" s="861">
        <v>40.998486957322697</v>
      </c>
      <c r="H2232" s="861">
        <v>51.821394028592501</v>
      </c>
      <c r="I2232" s="861">
        <v>43.438000872822997</v>
      </c>
      <c r="J2232" s="861">
        <v>45.192799831248699</v>
      </c>
      <c r="K2232" s="982">
        <v>0</v>
      </c>
      <c r="L2232" s="735">
        <v>4786</v>
      </c>
      <c r="M2232" s="735">
        <v>5168</v>
      </c>
      <c r="N2232" s="845">
        <f t="shared" si="173"/>
        <v>7.981613038027581E-2</v>
      </c>
      <c r="O2232" s="735">
        <v>4.5434749119369515</v>
      </c>
      <c r="P2232" s="735">
        <f t="shared" si="174"/>
        <v>1137.455383856583</v>
      </c>
      <c r="Q2232" s="849">
        <v>38.4</v>
      </c>
      <c r="R2232" s="71">
        <v>49293</v>
      </c>
      <c r="S2232" s="845">
        <v>0.19175696594427244</v>
      </c>
      <c r="T2232" s="845">
        <v>8.6999999999999994E-2</v>
      </c>
      <c r="U2232" s="845">
        <v>0</v>
      </c>
      <c r="V2232" s="845">
        <v>0</v>
      </c>
      <c r="W2232" s="845">
        <v>0.37291849255039439</v>
      </c>
      <c r="X2232" s="845">
        <v>0.36780258519388953</v>
      </c>
      <c r="Y2232" s="845">
        <v>0.94098297213622295</v>
      </c>
      <c r="Z2232" s="845">
        <v>2.4961300309597523E-2</v>
      </c>
      <c r="AA2232" s="845">
        <v>0</v>
      </c>
      <c r="AB2232" s="845">
        <v>0</v>
      </c>
      <c r="AC2232" s="845">
        <v>0</v>
      </c>
      <c r="AD2232" s="845">
        <v>5.0309597523219814E-3</v>
      </c>
      <c r="AE2232" s="845">
        <v>2.9024767801857584E-2</v>
      </c>
      <c r="AF2232" s="845">
        <v>2.1091331269349846E-2</v>
      </c>
      <c r="AG2232" s="845">
        <v>0.92414860681114552</v>
      </c>
      <c r="AH2232" s="20" t="str">
        <f t="shared" si="175"/>
        <v>Yes</v>
      </c>
      <c r="AI2232" s="25"/>
      <c r="AJ2232" s="25"/>
      <c r="AK2232" s="25"/>
      <c r="AL2232" s="25"/>
      <c r="AM2232" s="25"/>
      <c r="AN2232" s="25"/>
      <c r="AO2232" s="25"/>
      <c r="AP2232" s="25"/>
      <c r="AQ2232" s="25"/>
      <c r="AR2232" s="25"/>
      <c r="AS2232" s="25"/>
      <c r="AT2232" s="25"/>
      <c r="AU2232" s="36"/>
      <c r="AV2232" s="36"/>
      <c r="AW2232" s="36"/>
      <c r="AX2232" s="25"/>
      <c r="AY2232" s="25"/>
      <c r="AZ2232" s="25"/>
      <c r="BA2232" s="25"/>
      <c r="BB2232" s="25"/>
      <c r="BC2232" s="25"/>
      <c r="BD2232" s="25"/>
      <c r="BE2232" s="25"/>
      <c r="BF2232" s="25"/>
      <c r="BG2232" s="25"/>
      <c r="BH2232" s="25"/>
      <c r="BI2232" s="25"/>
      <c r="BJ2232" s="25"/>
      <c r="BK2232" s="25"/>
      <c r="BL2232" s="25"/>
      <c r="BM2232" s="25"/>
      <c r="BN2232" s="25"/>
      <c r="BO2232" s="25"/>
      <c r="BP2232" s="25"/>
      <c r="BQ2232" s="25"/>
      <c r="BR2232" s="25"/>
      <c r="BS2232" s="25"/>
      <c r="BT2232" s="25"/>
      <c r="BU2232"/>
      <c r="BV2232"/>
      <c r="BW2232"/>
      <c r="BX2232"/>
      <c r="BY2232"/>
      <c r="BZ2232"/>
      <c r="CA2232"/>
      <c r="CB2232"/>
      <c r="CC2232"/>
      <c r="CD2232" s="25"/>
    </row>
    <row r="2233" spans="1:82" s="17" customFormat="1" x14ac:dyDescent="0.2">
      <c r="A2233" s="25"/>
      <c r="B2233" s="20">
        <v>39005970102</v>
      </c>
      <c r="C2233" s="20">
        <v>9701.02</v>
      </c>
      <c r="D2233" s="20" t="s">
        <v>9</v>
      </c>
      <c r="E2233" s="20" t="s">
        <v>265</v>
      </c>
      <c r="F2233" s="20" t="s">
        <v>8</v>
      </c>
      <c r="G2233" s="861">
        <v>40.9881306894953</v>
      </c>
      <c r="H2233" s="861">
        <v>43.506797598245001</v>
      </c>
      <c r="I2233" s="861">
        <v>22.880042301982101</v>
      </c>
      <c r="J2233" s="861">
        <v>44.129365841702302</v>
      </c>
      <c r="K2233" s="982">
        <v>0</v>
      </c>
      <c r="L2233" s="735" t="s">
        <v>2466</v>
      </c>
      <c r="M2233" s="735">
        <v>5999</v>
      </c>
      <c r="N2233" s="845" t="str">
        <f t="shared" si="173"/>
        <v/>
      </c>
      <c r="O2233" s="735">
        <v>63.375360823567647</v>
      </c>
      <c r="P2233" s="735">
        <f t="shared" si="174"/>
        <v>94.658238186616018</v>
      </c>
      <c r="Q2233" s="849">
        <v>39.1</v>
      </c>
      <c r="R2233" s="71">
        <v>68789</v>
      </c>
      <c r="S2233" s="845">
        <v>0.19423854447439354</v>
      </c>
      <c r="T2233" s="845">
        <v>6.9000000000000006E-2</v>
      </c>
      <c r="U2233" s="845">
        <v>0</v>
      </c>
      <c r="V2233" s="845">
        <v>0</v>
      </c>
      <c r="W2233" s="845">
        <v>0.1040072039621792</v>
      </c>
      <c r="X2233" s="845">
        <v>0.53246753246753242</v>
      </c>
      <c r="Y2233" s="845">
        <v>0.96316052675445907</v>
      </c>
      <c r="Z2233" s="845">
        <v>1.4169028171361894E-2</v>
      </c>
      <c r="AA2233" s="845">
        <v>0</v>
      </c>
      <c r="AB2233" s="845">
        <v>5.0008334722453744E-4</v>
      </c>
      <c r="AC2233" s="845">
        <v>0</v>
      </c>
      <c r="AD2233" s="845">
        <v>1.4669111518586431E-2</v>
      </c>
      <c r="AE2233" s="845">
        <v>7.5012502083680616E-3</v>
      </c>
      <c r="AF2233" s="845">
        <v>3.8339723287214534E-3</v>
      </c>
      <c r="AG2233" s="845">
        <v>0.95932655442573767</v>
      </c>
      <c r="AH2233" s="20" t="str">
        <f t="shared" si="175"/>
        <v>Yes</v>
      </c>
      <c r="AI2233" s="25"/>
      <c r="AJ2233" s="25"/>
      <c r="AK2233" s="25"/>
      <c r="AL2233" s="25"/>
      <c r="AM2233" s="25"/>
      <c r="AN2233" s="25"/>
      <c r="AO2233" s="25"/>
      <c r="AP2233" s="25"/>
      <c r="AQ2233" s="25"/>
      <c r="AR2233" s="25"/>
      <c r="AS2233" s="25"/>
      <c r="AT2233" s="25"/>
      <c r="AU2233" s="36"/>
      <c r="AV2233" s="36"/>
      <c r="AW2233" s="36"/>
      <c r="AX2233" s="25"/>
      <c r="AY2233" s="25"/>
      <c r="AZ2233" s="25"/>
      <c r="BA2233" s="25"/>
      <c r="BB2233" s="25"/>
      <c r="BC2233" s="25"/>
      <c r="BD2233" s="25"/>
      <c r="BE2233" s="25"/>
      <c r="BF2233" s="25"/>
      <c r="BG2233" s="25"/>
      <c r="BH2233" s="25"/>
      <c r="BI2233" s="25"/>
      <c r="BJ2233" s="25"/>
      <c r="BK2233" s="25"/>
      <c r="BL2233" s="25"/>
      <c r="BM2233" s="25"/>
      <c r="BN2233" s="25"/>
      <c r="BO2233" s="25"/>
      <c r="BP2233" s="25"/>
      <c r="BQ2233" s="25"/>
      <c r="BR2233" s="25"/>
      <c r="BS2233" s="25"/>
      <c r="BT2233" s="25"/>
      <c r="BU2233"/>
      <c r="BV2233"/>
      <c r="BW2233"/>
      <c r="BX2233"/>
      <c r="BY2233"/>
      <c r="BZ2233"/>
      <c r="CA2233"/>
      <c r="CB2233"/>
      <c r="CC2233"/>
      <c r="CD2233" s="25"/>
    </row>
    <row r="2234" spans="1:82" s="17" customFormat="1" x14ac:dyDescent="0.2">
      <c r="A2234" s="25"/>
      <c r="B2234" s="20">
        <v>39013012400</v>
      </c>
      <c r="C2234" s="20">
        <v>124</v>
      </c>
      <c r="D2234" s="20" t="s">
        <v>13</v>
      </c>
      <c r="E2234" s="20" t="s">
        <v>2841</v>
      </c>
      <c r="F2234" s="20" t="s">
        <v>8</v>
      </c>
      <c r="G2234" s="861">
        <v>40.979585301556803</v>
      </c>
      <c r="H2234" s="861">
        <v>41.453307436659998</v>
      </c>
      <c r="I2234" s="861">
        <v>30.624559896920601</v>
      </c>
      <c r="J2234" s="861">
        <v>35.955205402724999</v>
      </c>
      <c r="K2234" s="982">
        <v>0</v>
      </c>
      <c r="L2234" s="735">
        <v>4581</v>
      </c>
      <c r="M2234" s="735">
        <v>4219</v>
      </c>
      <c r="N2234" s="845">
        <f t="shared" si="173"/>
        <v>-7.9022047587862909E-2</v>
      </c>
      <c r="O2234" s="735">
        <v>13.786531630062195</v>
      </c>
      <c r="P2234" s="735">
        <f t="shared" si="174"/>
        <v>306.0233068917978</v>
      </c>
      <c r="Q2234" s="849">
        <v>53.9</v>
      </c>
      <c r="R2234" s="71">
        <v>75625</v>
      </c>
      <c r="S2234" s="845">
        <v>6.4492577269408616E-2</v>
      </c>
      <c r="T2234" s="845">
        <v>4.2000000000000003E-2</v>
      </c>
      <c r="U2234" s="845">
        <v>3.1E-2</v>
      </c>
      <c r="V2234" s="845">
        <v>0.22500000000000001</v>
      </c>
      <c r="W2234" s="845">
        <v>0.26207662409772348</v>
      </c>
      <c r="X2234" s="845">
        <v>0.3326271186440678</v>
      </c>
      <c r="Y2234" s="845">
        <v>0.9056648494904006</v>
      </c>
      <c r="Z2234" s="845">
        <v>2.1332069210713438E-2</v>
      </c>
      <c r="AA2234" s="845">
        <v>0</v>
      </c>
      <c r="AB2234" s="845">
        <v>2.6072529035316427E-3</v>
      </c>
      <c r="AC2234" s="845">
        <v>0</v>
      </c>
      <c r="AD2234" s="845">
        <v>1.4221379473808959E-3</v>
      </c>
      <c r="AE2234" s="845">
        <v>6.8973690447973454E-2</v>
      </c>
      <c r="AF2234" s="845">
        <v>1.9198862289642096E-2</v>
      </c>
      <c r="AG2234" s="845">
        <v>0.90163545863948802</v>
      </c>
      <c r="AH2234" s="20" t="str">
        <f t="shared" si="175"/>
        <v>Yes</v>
      </c>
      <c r="AI2234" s="25"/>
      <c r="AJ2234" s="25"/>
      <c r="AK2234" s="25"/>
      <c r="AL2234" s="25"/>
      <c r="AM2234" s="25"/>
      <c r="AN2234" s="25"/>
      <c r="AO2234" s="25"/>
      <c r="AP2234" s="25"/>
      <c r="AQ2234" s="25"/>
      <c r="AR2234" s="25"/>
      <c r="AS2234" s="25"/>
      <c r="AT2234" s="25"/>
      <c r="AU2234" s="36"/>
      <c r="AV2234" s="36"/>
      <c r="AW2234" s="36"/>
      <c r="AX2234" s="25"/>
      <c r="AY2234" s="25"/>
      <c r="AZ2234" s="25"/>
      <c r="BA2234" s="25"/>
      <c r="BB2234" s="25"/>
      <c r="BC2234" s="25"/>
      <c r="BD2234" s="25"/>
      <c r="BE2234" s="25"/>
      <c r="BF2234" s="25"/>
      <c r="BG2234" s="25"/>
      <c r="BH2234" s="25"/>
      <c r="BI2234" s="25"/>
      <c r="BJ2234" s="25"/>
      <c r="BK2234" s="25"/>
      <c r="BL2234" s="25"/>
      <c r="BM2234" s="25"/>
      <c r="BN2234" s="25"/>
      <c r="BO2234" s="25"/>
      <c r="BP2234" s="25"/>
      <c r="BQ2234" s="25"/>
      <c r="BR2234" s="25"/>
      <c r="BS2234" s="25"/>
      <c r="BT2234" s="25"/>
      <c r="BU2234"/>
      <c r="BV2234"/>
      <c r="BW2234"/>
      <c r="BX2234"/>
      <c r="BY2234"/>
      <c r="BZ2234"/>
      <c r="CA2234"/>
      <c r="CB2234"/>
      <c r="CC2234"/>
      <c r="CD2234" s="25"/>
    </row>
    <row r="2235" spans="1:82" s="17" customFormat="1" x14ac:dyDescent="0.2">
      <c r="A2235" s="25"/>
      <c r="B2235" s="20">
        <v>39057240303</v>
      </c>
      <c r="C2235" s="20">
        <v>2403.0300000000002</v>
      </c>
      <c r="D2235" s="20" t="s">
        <v>35</v>
      </c>
      <c r="E2235" s="20" t="s">
        <v>2833</v>
      </c>
      <c r="F2235" s="20" t="s">
        <v>8</v>
      </c>
      <c r="G2235" s="861">
        <v>40.957148536000098</v>
      </c>
      <c r="H2235" s="861">
        <v>52.2611491198236</v>
      </c>
      <c r="I2235" s="861">
        <v>38.021845386874503</v>
      </c>
      <c r="J2235" s="861">
        <v>34.132443371099399</v>
      </c>
      <c r="K2235" s="982">
        <v>0</v>
      </c>
      <c r="L2235" s="735" t="s">
        <v>2466</v>
      </c>
      <c r="M2235" s="735">
        <v>4047</v>
      </c>
      <c r="N2235" s="845" t="str">
        <f t="shared" si="173"/>
        <v/>
      </c>
      <c r="O2235" s="735">
        <v>1.3681340799668769</v>
      </c>
      <c r="P2235" s="735">
        <f t="shared" si="174"/>
        <v>2958.0434105537229</v>
      </c>
      <c r="Q2235" s="849">
        <v>37.4</v>
      </c>
      <c r="R2235" s="71">
        <v>59088</v>
      </c>
      <c r="S2235" s="845">
        <v>0.17714002968827314</v>
      </c>
      <c r="T2235" s="845">
        <v>4.5999999999999999E-2</v>
      </c>
      <c r="U2235" s="845">
        <v>2.4E-2</v>
      </c>
      <c r="V2235" s="845">
        <v>0</v>
      </c>
      <c r="W2235" s="845">
        <v>0.34504004929143561</v>
      </c>
      <c r="X2235" s="845">
        <v>0.46785714285714286</v>
      </c>
      <c r="Y2235" s="845">
        <v>0.80948851000741295</v>
      </c>
      <c r="Z2235" s="845">
        <v>0.10007412898443291</v>
      </c>
      <c r="AA2235" s="845">
        <v>0</v>
      </c>
      <c r="AB2235" s="845">
        <v>0</v>
      </c>
      <c r="AC2235" s="845">
        <v>1.309612058314801E-2</v>
      </c>
      <c r="AD2235" s="845">
        <v>5.4361255250803065E-3</v>
      </c>
      <c r="AE2235" s="845">
        <v>7.1905114899925876E-2</v>
      </c>
      <c r="AF2235" s="845">
        <v>5.1890289103039286E-3</v>
      </c>
      <c r="AG2235" s="845">
        <v>0.80528786755621451</v>
      </c>
      <c r="AH2235" s="20" t="str">
        <f t="shared" si="175"/>
        <v>No</v>
      </c>
      <c r="AI2235" s="25"/>
      <c r="AJ2235" s="25"/>
      <c r="AK2235" s="25"/>
      <c r="AL2235" s="25"/>
      <c r="AM2235" s="25"/>
      <c r="AN2235" s="25"/>
      <c r="AO2235" s="25"/>
      <c r="AP2235" s="25"/>
      <c r="AQ2235" s="25"/>
      <c r="AR2235" s="25"/>
      <c r="AS2235" s="25"/>
      <c r="AT2235" s="25"/>
      <c r="AU2235" s="36"/>
      <c r="AV2235" s="36"/>
      <c r="AW2235" s="36"/>
      <c r="AX2235" s="25"/>
      <c r="AY2235" s="25"/>
      <c r="AZ2235" s="25"/>
      <c r="BA2235" s="25"/>
      <c r="BB2235" s="25"/>
      <c r="BC2235" s="25"/>
      <c r="BD2235" s="25"/>
      <c r="BE2235" s="25"/>
      <c r="BF2235" s="25"/>
      <c r="BG2235" s="25"/>
      <c r="BH2235" s="25"/>
      <c r="BI2235" s="25"/>
      <c r="BJ2235" s="25"/>
      <c r="BK2235" s="25"/>
      <c r="BL2235" s="25"/>
      <c r="BM2235" s="25"/>
      <c r="BN2235" s="25"/>
      <c r="BO2235" s="25"/>
      <c r="BP2235" s="25"/>
      <c r="BQ2235" s="25"/>
      <c r="BR2235" s="25"/>
      <c r="BS2235" s="25"/>
      <c r="BT2235" s="25"/>
      <c r="BU2235"/>
      <c r="BV2235"/>
      <c r="BW2235"/>
      <c r="BX2235"/>
      <c r="BY2235"/>
      <c r="BZ2235"/>
      <c r="CA2235"/>
      <c r="CB2235"/>
      <c r="CC2235"/>
      <c r="CD2235" s="25"/>
    </row>
    <row r="2236" spans="1:82" s="17" customFormat="1" x14ac:dyDescent="0.2">
      <c r="A2236" s="25"/>
      <c r="B2236" s="20">
        <v>39095008904</v>
      </c>
      <c r="C2236" s="20">
        <v>89.04</v>
      </c>
      <c r="D2236" s="20" t="s">
        <v>53</v>
      </c>
      <c r="E2236" s="20" t="s">
        <v>2839</v>
      </c>
      <c r="F2236" s="20" t="s">
        <v>8</v>
      </c>
      <c r="G2236" s="861">
        <v>40.952948131430297</v>
      </c>
      <c r="H2236" s="861">
        <v>32.8380957034191</v>
      </c>
      <c r="I2236" s="861">
        <v>34.883518716242001</v>
      </c>
      <c r="J2236" s="861">
        <v>31.267475450772</v>
      </c>
      <c r="K2236" s="982">
        <v>0</v>
      </c>
      <c r="L2236" s="735" t="s">
        <v>2466</v>
      </c>
      <c r="M2236" s="735">
        <v>1709</v>
      </c>
      <c r="N2236" s="845" t="str">
        <f t="shared" si="173"/>
        <v/>
      </c>
      <c r="O2236" s="735">
        <v>5.3687485847184062</v>
      </c>
      <c r="P2236" s="735">
        <f t="shared" si="174"/>
        <v>318.32371604520534</v>
      </c>
      <c r="Q2236" s="849">
        <v>41.3</v>
      </c>
      <c r="R2236" s="71">
        <v>92027</v>
      </c>
      <c r="S2236" s="845">
        <v>3.155940594059406E-2</v>
      </c>
      <c r="T2236" s="845">
        <v>2.6000000000000002E-2</v>
      </c>
      <c r="U2236" s="845">
        <v>0</v>
      </c>
      <c r="V2236" s="845">
        <v>0</v>
      </c>
      <c r="W2236" s="845">
        <v>0.19205298013245034</v>
      </c>
      <c r="X2236" s="845">
        <v>0.36206896551724138</v>
      </c>
      <c r="Y2236" s="845">
        <v>0.95201872440023405</v>
      </c>
      <c r="Z2236" s="845">
        <v>1.4628437682855471E-2</v>
      </c>
      <c r="AA2236" s="845">
        <v>0</v>
      </c>
      <c r="AB2236" s="845">
        <v>0</v>
      </c>
      <c r="AC2236" s="845">
        <v>4.0959625511995321E-3</v>
      </c>
      <c r="AD2236" s="845">
        <v>0</v>
      </c>
      <c r="AE2236" s="845">
        <v>2.9256875365710942E-2</v>
      </c>
      <c r="AF2236" s="845">
        <v>7.0216500877706258E-3</v>
      </c>
      <c r="AG2236" s="845">
        <v>0.94499707431246338</v>
      </c>
      <c r="AH2236" s="20" t="str">
        <f t="shared" si="175"/>
        <v>Yes</v>
      </c>
      <c r="AI2236" s="25"/>
      <c r="AJ2236" s="25"/>
      <c r="AK2236" s="25"/>
      <c r="AL2236" s="25"/>
      <c r="AM2236" s="25"/>
      <c r="AN2236" s="25"/>
      <c r="AO2236" s="25"/>
      <c r="AP2236" s="25"/>
      <c r="AQ2236" s="25"/>
      <c r="AR2236" s="25"/>
      <c r="AS2236" s="25"/>
      <c r="AT2236" s="25"/>
      <c r="AU2236" s="36"/>
      <c r="AV2236" s="36"/>
      <c r="AW2236" s="36"/>
      <c r="AX2236" s="25"/>
      <c r="AY2236" s="25"/>
      <c r="AZ2236" s="25"/>
      <c r="BA2236" s="25"/>
      <c r="BB2236" s="25"/>
      <c r="BC2236" s="25"/>
      <c r="BD2236" s="25"/>
      <c r="BE2236" s="25"/>
      <c r="BF2236" s="25"/>
      <c r="BG2236" s="25"/>
      <c r="BH2236" s="25"/>
      <c r="BI2236" s="25"/>
      <c r="BJ2236" s="25"/>
      <c r="BK2236" s="25"/>
      <c r="BL2236" s="25"/>
      <c r="BM2236" s="25"/>
      <c r="BN2236" s="25"/>
      <c r="BO2236" s="25"/>
      <c r="BP2236" s="25"/>
      <c r="BQ2236" s="25"/>
      <c r="BR2236" s="25"/>
      <c r="BS2236" s="25"/>
      <c r="BT2236" s="25"/>
      <c r="BU2236"/>
      <c r="BV2236"/>
      <c r="BW2236"/>
      <c r="BX2236"/>
      <c r="BY2236"/>
      <c r="BZ2236"/>
      <c r="CA2236"/>
      <c r="CB2236"/>
      <c r="CC2236"/>
      <c r="CD2236" s="25"/>
    </row>
    <row r="2237" spans="1:82" s="17" customFormat="1" x14ac:dyDescent="0.2">
      <c r="A2237" s="25"/>
      <c r="B2237" s="20">
        <v>39061023400</v>
      </c>
      <c r="C2237" s="20">
        <v>234</v>
      </c>
      <c r="D2237" s="20" t="s">
        <v>37</v>
      </c>
      <c r="E2237" s="20" t="s">
        <v>2828</v>
      </c>
      <c r="F2237" s="20" t="s">
        <v>6</v>
      </c>
      <c r="G2237" s="861">
        <v>40.936239565812699</v>
      </c>
      <c r="H2237" s="861">
        <v>44.385981651974099</v>
      </c>
      <c r="I2237" s="861">
        <v>45.746021990220797</v>
      </c>
      <c r="J2237" s="861">
        <v>39.309547580953598</v>
      </c>
      <c r="K2237" s="982">
        <v>0</v>
      </c>
      <c r="L2237" s="735">
        <v>3601</v>
      </c>
      <c r="M2237" s="735">
        <v>3771</v>
      </c>
      <c r="N2237" s="845">
        <f t="shared" si="173"/>
        <v>4.7209108580949739E-2</v>
      </c>
      <c r="O2237" s="735">
        <v>0.58030420842356689</v>
      </c>
      <c r="P2237" s="735">
        <f t="shared" si="174"/>
        <v>6498.3157889620688</v>
      </c>
      <c r="Q2237" s="849">
        <v>40.799999999999997</v>
      </c>
      <c r="R2237" s="71">
        <v>44598</v>
      </c>
      <c r="S2237" s="845">
        <v>0.13762927605409706</v>
      </c>
      <c r="T2237" s="845">
        <v>2.1000000000000001E-2</v>
      </c>
      <c r="U2237" s="845">
        <v>1.1000000000000001E-2</v>
      </c>
      <c r="V2237" s="845">
        <v>0</v>
      </c>
      <c r="W2237" s="845">
        <v>0.43729189789123196</v>
      </c>
      <c r="X2237" s="845">
        <v>0.48604060913705582</v>
      </c>
      <c r="Y2237" s="845">
        <v>0.2824184566428003</v>
      </c>
      <c r="Z2237" s="845">
        <v>0.65049058605144527</v>
      </c>
      <c r="AA2237" s="845">
        <v>0</v>
      </c>
      <c r="AB2237" s="845">
        <v>1.9888623707239459E-2</v>
      </c>
      <c r="AC2237" s="845">
        <v>0</v>
      </c>
      <c r="AD2237" s="845">
        <v>0</v>
      </c>
      <c r="AE2237" s="845">
        <v>4.720233359851498E-2</v>
      </c>
      <c r="AF2237" s="845">
        <v>2.5722619994696366E-2</v>
      </c>
      <c r="AG2237" s="845">
        <v>0.26412092283214</v>
      </c>
      <c r="AH2237" s="20" t="str">
        <f t="shared" si="175"/>
        <v>No</v>
      </c>
      <c r="AI2237" s="25"/>
      <c r="AJ2237" s="25"/>
      <c r="AK2237" s="25"/>
      <c r="AL2237" s="25"/>
      <c r="AM2237" s="25"/>
      <c r="AN2237" s="25"/>
      <c r="AO2237" s="25"/>
      <c r="AP2237" s="25"/>
      <c r="AQ2237" s="25"/>
      <c r="AR2237" s="25"/>
      <c r="AS2237" s="25"/>
      <c r="AT2237" s="25"/>
      <c r="AU2237" s="36"/>
      <c r="AV2237" s="36"/>
      <c r="AW2237" s="36"/>
      <c r="AX2237" s="25"/>
      <c r="AY2237" s="25"/>
      <c r="AZ2237" s="25"/>
      <c r="BA2237" s="25"/>
      <c r="BB2237" s="25"/>
      <c r="BC2237" s="25"/>
      <c r="BD2237" s="25"/>
      <c r="BE2237" s="25"/>
      <c r="BF2237" s="25"/>
      <c r="BG2237" s="25"/>
      <c r="BH2237" s="25"/>
      <c r="BI2237" s="25"/>
      <c r="BJ2237" s="25"/>
      <c r="BK2237" s="25"/>
      <c r="BL2237" s="25"/>
      <c r="BM2237" s="25"/>
      <c r="BN2237" s="25"/>
      <c r="BO2237" s="25"/>
      <c r="BP2237" s="25"/>
      <c r="BQ2237" s="25"/>
      <c r="BR2237" s="25"/>
      <c r="BS2237" s="25"/>
      <c r="BT2237" s="25"/>
      <c r="BU2237"/>
      <c r="BV2237"/>
      <c r="BW2237"/>
      <c r="BX2237"/>
      <c r="BY2237"/>
      <c r="BZ2237"/>
      <c r="CA2237"/>
      <c r="CB2237"/>
      <c r="CC2237"/>
      <c r="CD2237" s="25"/>
    </row>
    <row r="2238" spans="1:82" s="17" customFormat="1" x14ac:dyDescent="0.2">
      <c r="A2238" s="25"/>
      <c r="B2238" s="20">
        <v>39049009393</v>
      </c>
      <c r="C2238" s="20">
        <v>93.93</v>
      </c>
      <c r="D2238" s="20" t="s">
        <v>31</v>
      </c>
      <c r="E2238" s="20" t="s">
        <v>2830</v>
      </c>
      <c r="F2238" s="20" t="s">
        <v>6</v>
      </c>
      <c r="G2238" s="861">
        <v>40.9194622646597</v>
      </c>
      <c r="H2238" s="861">
        <v>45.674225110488202</v>
      </c>
      <c r="I2238" s="861">
        <v>78.561474104856799</v>
      </c>
      <c r="J2238" s="861">
        <v>42.220207791354603</v>
      </c>
      <c r="K2238" s="982">
        <v>1</v>
      </c>
      <c r="L2238" s="735" t="s">
        <v>2466</v>
      </c>
      <c r="M2238" s="735">
        <v>3819</v>
      </c>
      <c r="N2238" s="845" t="str">
        <f t="shared" si="173"/>
        <v/>
      </c>
      <c r="O2238" s="735">
        <v>0.53617311779859878</v>
      </c>
      <c r="P2238" s="735">
        <f t="shared" si="174"/>
        <v>7122.6995036228582</v>
      </c>
      <c r="Q2238" s="849">
        <v>38.200000000000003</v>
      </c>
      <c r="R2238" s="71">
        <v>39861</v>
      </c>
      <c r="S2238" s="845">
        <v>0.29405603561141658</v>
      </c>
      <c r="T2238" s="845">
        <v>5.7000000000000002E-2</v>
      </c>
      <c r="U2238" s="845">
        <v>0</v>
      </c>
      <c r="V2238" s="845">
        <v>4.4000000000000004E-2</v>
      </c>
      <c r="W2238" s="845">
        <v>0.7050272562083586</v>
      </c>
      <c r="X2238" s="845">
        <v>0.48711340206185566</v>
      </c>
      <c r="Y2238" s="845">
        <v>7.7245352186436245E-2</v>
      </c>
      <c r="Z2238" s="845">
        <v>0.8308457711442786</v>
      </c>
      <c r="AA2238" s="845">
        <v>0</v>
      </c>
      <c r="AB2238" s="845">
        <v>1.4925373134328358E-2</v>
      </c>
      <c r="AC2238" s="845">
        <v>0</v>
      </c>
      <c r="AD2238" s="845">
        <v>5.0274941084053421E-2</v>
      </c>
      <c r="AE2238" s="845">
        <v>2.6708562450903379E-2</v>
      </c>
      <c r="AF2238" s="845">
        <v>4.8703849175176749E-2</v>
      </c>
      <c r="AG2238" s="845">
        <v>7.7245352186436245E-2</v>
      </c>
      <c r="AH2238" s="20" t="str">
        <f t="shared" si="175"/>
        <v>No</v>
      </c>
      <c r="AI2238" s="25"/>
      <c r="AJ2238" s="25"/>
      <c r="AK2238" s="25"/>
      <c r="AL2238" s="25"/>
      <c r="AM2238" s="25"/>
      <c r="AN2238" s="25"/>
      <c r="AO2238" s="25"/>
      <c r="AP2238" s="25"/>
      <c r="AQ2238" s="25"/>
      <c r="AR2238" s="25"/>
      <c r="AS2238" s="25"/>
      <c r="AT2238" s="25"/>
      <c r="AU2238" s="36"/>
      <c r="AV2238" s="36"/>
      <c r="AW2238" s="36"/>
      <c r="AX2238" s="25"/>
      <c r="AY2238" s="25"/>
      <c r="AZ2238" s="25"/>
      <c r="BA2238" s="25"/>
      <c r="BB2238" s="25"/>
      <c r="BC2238" s="25"/>
      <c r="BD2238" s="25"/>
      <c r="BE2238" s="25"/>
      <c r="BF2238" s="25"/>
      <c r="BG2238" s="25"/>
      <c r="BH2238" s="25"/>
      <c r="BI2238" s="25"/>
      <c r="BJ2238" s="25"/>
      <c r="BK2238" s="25"/>
      <c r="BL2238" s="25"/>
      <c r="BM2238" s="25"/>
      <c r="BN2238" s="25"/>
      <c r="BO2238" s="25"/>
      <c r="BP2238" s="25"/>
      <c r="BQ2238" s="25"/>
      <c r="BR2238" s="25"/>
      <c r="BS2238" s="25"/>
      <c r="BT2238" s="25"/>
      <c r="BU2238"/>
      <c r="BV2238"/>
      <c r="BW2238"/>
      <c r="BX2238"/>
      <c r="BY2238"/>
      <c r="BZ2238"/>
      <c r="CA2238"/>
      <c r="CB2238"/>
      <c r="CC2238"/>
      <c r="CD2238" s="25"/>
    </row>
    <row r="2239" spans="1:82" s="17" customFormat="1" x14ac:dyDescent="0.2">
      <c r="A2239" s="25"/>
      <c r="B2239" s="20">
        <v>39089753301</v>
      </c>
      <c r="C2239" s="20">
        <v>7533.01</v>
      </c>
      <c r="D2239" s="20" t="s">
        <v>50</v>
      </c>
      <c r="E2239" s="20" t="s">
        <v>2830</v>
      </c>
      <c r="F2239" s="20" t="s">
        <v>8</v>
      </c>
      <c r="G2239" s="861">
        <v>40.903598489384599</v>
      </c>
      <c r="H2239" s="861">
        <v>43.1465663222478</v>
      </c>
      <c r="I2239" s="861">
        <v>33.2806859572325</v>
      </c>
      <c r="J2239" s="861">
        <v>25.037466400769699</v>
      </c>
      <c r="K2239" s="982">
        <v>0</v>
      </c>
      <c r="L2239" s="735" t="s">
        <v>2466</v>
      </c>
      <c r="M2239" s="735">
        <v>3211</v>
      </c>
      <c r="N2239" s="845" t="str">
        <f t="shared" si="173"/>
        <v/>
      </c>
      <c r="O2239" s="735">
        <v>1.3119488799506498</v>
      </c>
      <c r="P2239" s="735">
        <f t="shared" si="174"/>
        <v>2447.5038997866936</v>
      </c>
      <c r="Q2239" s="849">
        <v>35.799999999999997</v>
      </c>
      <c r="R2239" s="71">
        <v>58073</v>
      </c>
      <c r="S2239" s="845">
        <v>0.20688479890933878</v>
      </c>
      <c r="T2239" s="845">
        <v>4.5999999999999999E-2</v>
      </c>
      <c r="U2239" s="845">
        <v>0</v>
      </c>
      <c r="V2239" s="845">
        <v>0</v>
      </c>
      <c r="W2239" s="845">
        <v>0.50346260387811637</v>
      </c>
      <c r="X2239" s="845">
        <v>0.39752407152682256</v>
      </c>
      <c r="Y2239" s="845">
        <v>0.85425101214574894</v>
      </c>
      <c r="Z2239" s="845">
        <v>2.7717222049205854E-2</v>
      </c>
      <c r="AA2239" s="845">
        <v>0</v>
      </c>
      <c r="AB2239" s="845">
        <v>1.2457178449081284E-2</v>
      </c>
      <c r="AC2239" s="845">
        <v>0</v>
      </c>
      <c r="AD2239" s="845">
        <v>1.5571473061351605E-3</v>
      </c>
      <c r="AE2239" s="845">
        <v>0.10401744004982871</v>
      </c>
      <c r="AF2239" s="845">
        <v>7.1628776082217375E-3</v>
      </c>
      <c r="AG2239" s="845">
        <v>0.85425101214574894</v>
      </c>
      <c r="AH2239" s="20" t="str">
        <f t="shared" si="175"/>
        <v>No</v>
      </c>
      <c r="AI2239" s="25"/>
      <c r="AJ2239" s="25"/>
      <c r="AK2239" s="25"/>
      <c r="AL2239" s="25"/>
      <c r="AM2239" s="25"/>
      <c r="AN2239" s="25"/>
      <c r="AO2239" s="25"/>
      <c r="AP2239" s="25"/>
      <c r="AQ2239" s="25"/>
      <c r="AR2239" s="25"/>
      <c r="AS2239" s="25"/>
      <c r="AT2239" s="25"/>
      <c r="AU2239" s="36"/>
      <c r="AV2239" s="36"/>
      <c r="AW2239" s="36"/>
      <c r="AX2239" s="25"/>
      <c r="AY2239" s="25"/>
      <c r="AZ2239" s="25"/>
      <c r="BA2239" s="25"/>
      <c r="BB2239" s="25"/>
      <c r="BC2239" s="25"/>
      <c r="BD2239" s="25"/>
      <c r="BE2239" s="25"/>
      <c r="BF2239" s="25"/>
      <c r="BG2239" s="25"/>
      <c r="BH2239" s="25"/>
      <c r="BI2239" s="25"/>
      <c r="BJ2239" s="25"/>
      <c r="BK2239" s="25"/>
      <c r="BL2239" s="25"/>
      <c r="BM2239" s="25"/>
      <c r="BN2239" s="25"/>
      <c r="BO2239" s="25"/>
      <c r="BP2239" s="25"/>
      <c r="BQ2239" s="25"/>
      <c r="BR2239" s="25"/>
      <c r="BS2239" s="25"/>
      <c r="BT2239" s="25"/>
      <c r="BU2239"/>
      <c r="BV2239"/>
      <c r="BW2239"/>
      <c r="BX2239"/>
      <c r="BY2239"/>
      <c r="BZ2239"/>
      <c r="CA2239"/>
      <c r="CB2239"/>
      <c r="CC2239"/>
      <c r="CD2239" s="25"/>
    </row>
    <row r="2240" spans="1:82" s="17" customFormat="1" x14ac:dyDescent="0.2">
      <c r="A2240" s="25"/>
      <c r="B2240" s="20">
        <v>39061008202</v>
      </c>
      <c r="C2240" s="20">
        <v>82.02</v>
      </c>
      <c r="D2240" s="20" t="s">
        <v>37</v>
      </c>
      <c r="E2240" s="20" t="s">
        <v>2828</v>
      </c>
      <c r="F2240" s="20" t="s">
        <v>6</v>
      </c>
      <c r="G2240" s="861">
        <v>40.900278749406901</v>
      </c>
      <c r="H2240" s="861">
        <v>57.112583480167501</v>
      </c>
      <c r="I2240" s="861">
        <v>49.451066099140199</v>
      </c>
      <c r="J2240" s="861">
        <v>39.631299562717899</v>
      </c>
      <c r="K2240" s="982">
        <v>0</v>
      </c>
      <c r="L2240" s="735">
        <v>3432</v>
      </c>
      <c r="M2240" s="735">
        <v>3603</v>
      </c>
      <c r="N2240" s="845">
        <f t="shared" si="173"/>
        <v>4.9825174825174824E-2</v>
      </c>
      <c r="O2240" s="735">
        <v>0.53455419144762018</v>
      </c>
      <c r="P2240" s="735">
        <f t="shared" si="174"/>
        <v>6740.1959570137433</v>
      </c>
      <c r="Q2240" s="849">
        <v>40.4</v>
      </c>
      <c r="R2240" s="71">
        <v>45909</v>
      </c>
      <c r="S2240" s="845">
        <v>0.16270301624129929</v>
      </c>
      <c r="T2240" s="845">
        <v>0.106</v>
      </c>
      <c r="U2240" s="845">
        <v>4.0999999999999995E-2</v>
      </c>
      <c r="V2240" s="845">
        <v>2.3E-2</v>
      </c>
      <c r="W2240" s="845">
        <v>0.65451174289245984</v>
      </c>
      <c r="X2240" s="845">
        <v>0.54202077431539186</v>
      </c>
      <c r="Y2240" s="845">
        <v>0.29808492922564528</v>
      </c>
      <c r="Z2240" s="845">
        <v>0.67665834027199556</v>
      </c>
      <c r="AA2240" s="845">
        <v>0</v>
      </c>
      <c r="AB2240" s="845">
        <v>1.1379406050513461E-2</v>
      </c>
      <c r="AC2240" s="845">
        <v>0</v>
      </c>
      <c r="AD2240" s="845">
        <v>0</v>
      </c>
      <c r="AE2240" s="845">
        <v>1.3877324451845684E-2</v>
      </c>
      <c r="AF2240" s="845">
        <v>1.8595614765473216E-2</v>
      </c>
      <c r="AG2240" s="845">
        <v>0.29808492922564528</v>
      </c>
      <c r="AH2240" s="20" t="str">
        <f t="shared" si="175"/>
        <v>No</v>
      </c>
      <c r="AI2240" s="25"/>
      <c r="AJ2240" s="25"/>
      <c r="AK2240" s="25"/>
      <c r="AL2240" s="25"/>
      <c r="AM2240" s="25"/>
      <c r="AN2240" s="25"/>
      <c r="AO2240" s="25"/>
      <c r="AP2240" s="25"/>
      <c r="AQ2240" s="25"/>
      <c r="AR2240" s="25"/>
      <c r="AS2240" s="25"/>
      <c r="AT2240" s="25"/>
      <c r="AU2240" s="36"/>
      <c r="AV2240" s="36"/>
      <c r="AW2240" s="36"/>
      <c r="AX2240" s="25"/>
      <c r="AY2240" s="25"/>
      <c r="AZ2240" s="25"/>
      <c r="BA2240" s="25"/>
      <c r="BB2240" s="25"/>
      <c r="BC2240" s="25"/>
      <c r="BD2240" s="25"/>
      <c r="BE2240" s="25"/>
      <c r="BF2240" s="25"/>
      <c r="BG2240" s="25"/>
      <c r="BH2240" s="25"/>
      <c r="BI2240" s="25"/>
      <c r="BJ2240" s="25"/>
      <c r="BK2240" s="25"/>
      <c r="BL2240" s="25"/>
      <c r="BM2240" s="25"/>
      <c r="BN2240" s="25"/>
      <c r="BO2240" s="25"/>
      <c r="BP2240" s="25"/>
      <c r="BQ2240" s="25"/>
      <c r="BR2240" s="25"/>
      <c r="BS2240" s="25"/>
      <c r="BT2240" s="25"/>
      <c r="BU2240"/>
      <c r="BV2240"/>
      <c r="BW2240"/>
      <c r="BX2240"/>
      <c r="BY2240"/>
      <c r="BZ2240"/>
      <c r="CA2240"/>
      <c r="CB2240"/>
      <c r="CC2240"/>
      <c r="CD2240" s="25"/>
    </row>
    <row r="2241" spans="1:82" s="17" customFormat="1" x14ac:dyDescent="0.2">
      <c r="A2241" s="25"/>
      <c r="B2241" s="20">
        <v>39071954900</v>
      </c>
      <c r="C2241" s="20">
        <v>9549</v>
      </c>
      <c r="D2241" s="20" t="s">
        <v>42</v>
      </c>
      <c r="E2241" s="20" t="s">
        <v>265</v>
      </c>
      <c r="F2241" s="20" t="s">
        <v>8</v>
      </c>
      <c r="G2241" s="861">
        <v>40.891638621981301</v>
      </c>
      <c r="H2241" s="861">
        <v>39.4192186598749</v>
      </c>
      <c r="I2241" s="861">
        <v>41.630386170734802</v>
      </c>
      <c r="J2241" s="861">
        <v>32.282948721456499</v>
      </c>
      <c r="K2241" s="982">
        <v>0</v>
      </c>
      <c r="L2241" s="735">
        <v>3842</v>
      </c>
      <c r="M2241" s="735">
        <v>4060</v>
      </c>
      <c r="N2241" s="845">
        <f t="shared" si="173"/>
        <v>5.6741280583029671E-2</v>
      </c>
      <c r="O2241" s="735">
        <v>14.398401234359335</v>
      </c>
      <c r="P2241" s="735">
        <f t="shared" si="174"/>
        <v>281.97575091264304</v>
      </c>
      <c r="Q2241" s="849">
        <v>45.7</v>
      </c>
      <c r="R2241" s="71">
        <v>45114</v>
      </c>
      <c r="S2241" s="845">
        <v>0.13982941328508658</v>
      </c>
      <c r="T2241" s="845">
        <v>4.0999999999999995E-2</v>
      </c>
      <c r="U2241" s="845">
        <v>0</v>
      </c>
      <c r="V2241" s="845">
        <v>8.6999999999999994E-2</v>
      </c>
      <c r="W2241" s="845">
        <v>0.36965202509982886</v>
      </c>
      <c r="X2241" s="845">
        <v>0.32407407407407407</v>
      </c>
      <c r="Y2241" s="845">
        <v>0.88300492610837433</v>
      </c>
      <c r="Z2241" s="845">
        <v>6.2315270935960593E-2</v>
      </c>
      <c r="AA2241" s="845">
        <v>7.3891625615763552E-4</v>
      </c>
      <c r="AB2241" s="845">
        <v>0</v>
      </c>
      <c r="AC2241" s="845">
        <v>0</v>
      </c>
      <c r="AD2241" s="845">
        <v>9.1133004926108371E-3</v>
      </c>
      <c r="AE2241" s="845">
        <v>4.4827586206896551E-2</v>
      </c>
      <c r="AF2241" s="845">
        <v>3.6206896551724141E-2</v>
      </c>
      <c r="AG2241" s="845">
        <v>0.85665024630541875</v>
      </c>
      <c r="AH2241" s="20" t="str">
        <f t="shared" si="175"/>
        <v>No</v>
      </c>
      <c r="AI2241" s="25"/>
      <c r="AJ2241" s="25"/>
      <c r="AK2241" s="25"/>
      <c r="AL2241" s="25"/>
      <c r="AM2241" s="25"/>
      <c r="AN2241" s="25"/>
      <c r="AO2241" s="25"/>
      <c r="AP2241" s="25"/>
      <c r="AQ2241" s="25"/>
      <c r="AR2241" s="25"/>
      <c r="AS2241" s="25"/>
      <c r="AT2241" s="25"/>
      <c r="AU2241" s="36"/>
      <c r="AV2241" s="36"/>
      <c r="AW2241" s="36"/>
      <c r="AX2241" s="25"/>
      <c r="AY2241" s="25"/>
      <c r="AZ2241" s="25"/>
      <c r="BA2241" s="25"/>
      <c r="BB2241" s="25"/>
      <c r="BC2241" s="25"/>
      <c r="BD2241" s="25"/>
      <c r="BE2241" s="25"/>
      <c r="BF2241" s="25"/>
      <c r="BG2241" s="25"/>
      <c r="BH2241" s="25"/>
      <c r="BI2241" s="25"/>
      <c r="BJ2241" s="25"/>
      <c r="BK2241" s="25"/>
      <c r="BL2241" s="25"/>
      <c r="BM2241" s="25"/>
      <c r="BN2241" s="25"/>
      <c r="BO2241" s="25"/>
      <c r="BP2241" s="25"/>
      <c r="BQ2241" s="25"/>
      <c r="BR2241" s="25"/>
      <c r="BS2241" s="25"/>
      <c r="BT2241" s="25"/>
      <c r="BU2241"/>
      <c r="BV2241"/>
      <c r="BW2241"/>
      <c r="BX2241"/>
      <c r="BY2241"/>
      <c r="BZ2241"/>
      <c r="CA2241"/>
      <c r="CB2241"/>
      <c r="CC2241"/>
      <c r="CD2241" s="25"/>
    </row>
    <row r="2242" spans="1:82" s="17" customFormat="1" x14ac:dyDescent="0.2">
      <c r="A2242" s="25"/>
      <c r="B2242" s="20">
        <v>39023001500</v>
      </c>
      <c r="C2242" s="20">
        <v>15</v>
      </c>
      <c r="D2242" s="20" t="s">
        <v>18</v>
      </c>
      <c r="E2242" s="20" t="s">
        <v>2838</v>
      </c>
      <c r="F2242" s="20" t="s">
        <v>8</v>
      </c>
      <c r="G2242" s="861">
        <v>40.874105118214104</v>
      </c>
      <c r="H2242" s="861">
        <v>51.108838181711398</v>
      </c>
      <c r="I2242" s="861">
        <v>30.2694454382423</v>
      </c>
      <c r="J2242" s="861">
        <v>56.874932357174401</v>
      </c>
      <c r="K2242" s="982">
        <v>0</v>
      </c>
      <c r="L2242" s="735">
        <v>4965</v>
      </c>
      <c r="M2242" s="735">
        <v>4639</v>
      </c>
      <c r="N2242" s="845">
        <f t="shared" si="173"/>
        <v>-6.5659617321248739E-2</v>
      </c>
      <c r="O2242" s="735">
        <v>0.88233686910632192</v>
      </c>
      <c r="P2242" s="735">
        <f t="shared" si="174"/>
        <v>5257.6291011148924</v>
      </c>
      <c r="Q2242" s="849">
        <v>31.6</v>
      </c>
      <c r="R2242" s="71">
        <v>59583</v>
      </c>
      <c r="S2242" s="845">
        <v>0.12362274129572499</v>
      </c>
      <c r="T2242" s="845">
        <v>3.7000000000000005E-2</v>
      </c>
      <c r="U2242" s="845">
        <v>0</v>
      </c>
      <c r="V2242" s="845">
        <v>0</v>
      </c>
      <c r="W2242" s="845">
        <v>0.35746864310148235</v>
      </c>
      <c r="X2242" s="845">
        <v>0.22328548644338117</v>
      </c>
      <c r="Y2242" s="845">
        <v>0.85815908600991597</v>
      </c>
      <c r="Z2242" s="845">
        <v>3.3843500754472948E-2</v>
      </c>
      <c r="AA2242" s="845">
        <v>0</v>
      </c>
      <c r="AB2242" s="845">
        <v>9.053675361069196E-3</v>
      </c>
      <c r="AC2242" s="845">
        <v>0</v>
      </c>
      <c r="AD2242" s="845">
        <v>1.1209312351799956E-2</v>
      </c>
      <c r="AE2242" s="845">
        <v>8.7734425522741966E-2</v>
      </c>
      <c r="AF2242" s="845">
        <v>1.702953222677301E-2</v>
      </c>
      <c r="AG2242" s="845">
        <v>0.85104548394050439</v>
      </c>
      <c r="AH2242" s="20" t="str">
        <f t="shared" si="175"/>
        <v>No</v>
      </c>
      <c r="AI2242" s="25"/>
      <c r="AJ2242" s="25"/>
      <c r="AK2242" s="25"/>
      <c r="AL2242" s="25"/>
      <c r="AM2242" s="25"/>
      <c r="AN2242" s="25"/>
      <c r="AO2242" s="25"/>
      <c r="AP2242" s="25"/>
      <c r="AQ2242" s="25"/>
      <c r="AR2242" s="25"/>
      <c r="AS2242" s="25"/>
      <c r="AT2242" s="25"/>
      <c r="AU2242" s="36"/>
      <c r="AV2242" s="36"/>
      <c r="AW2242" s="36"/>
      <c r="AX2242" s="25"/>
      <c r="AY2242" s="25"/>
      <c r="AZ2242" s="25"/>
      <c r="BA2242" s="25"/>
      <c r="BB2242" s="25"/>
      <c r="BC2242" s="25"/>
      <c r="BD2242" s="25"/>
      <c r="BE2242" s="25"/>
      <c r="BF2242" s="25"/>
      <c r="BG2242" s="25"/>
      <c r="BH2242" s="25"/>
      <c r="BI2242" s="25"/>
      <c r="BJ2242" s="25"/>
      <c r="BK2242" s="25"/>
      <c r="BL2242" s="25"/>
      <c r="BM2242" s="25"/>
      <c r="BN2242" s="25"/>
      <c r="BO2242" s="25"/>
      <c r="BP2242" s="25"/>
      <c r="BQ2242" s="25"/>
      <c r="BR2242" s="25"/>
      <c r="BS2242" s="25"/>
      <c r="BT2242" s="25"/>
      <c r="BU2242"/>
      <c r="BV2242"/>
      <c r="BW2242"/>
      <c r="BX2242"/>
      <c r="BY2242"/>
      <c r="BZ2242"/>
      <c r="CA2242"/>
      <c r="CB2242"/>
      <c r="CC2242"/>
      <c r="CD2242" s="25"/>
    </row>
    <row r="2243" spans="1:82" s="17" customFormat="1" x14ac:dyDescent="0.2">
      <c r="A2243" s="25"/>
      <c r="B2243" s="20">
        <v>39095002500</v>
      </c>
      <c r="C2243" s="20">
        <v>25</v>
      </c>
      <c r="D2243" s="20" t="s">
        <v>53</v>
      </c>
      <c r="E2243" s="20" t="s">
        <v>2839</v>
      </c>
      <c r="F2243" s="20" t="s">
        <v>6</v>
      </c>
      <c r="G2243" s="861">
        <v>40.864011378788497</v>
      </c>
      <c r="H2243" s="861">
        <v>31.040707816022</v>
      </c>
      <c r="I2243" s="861">
        <v>76.810323591060595</v>
      </c>
      <c r="J2243" s="861">
        <v>56.474442700706298</v>
      </c>
      <c r="K2243" s="982">
        <v>0</v>
      </c>
      <c r="L2243" s="735">
        <v>2079</v>
      </c>
      <c r="M2243" s="735">
        <v>1578</v>
      </c>
      <c r="N2243" s="845">
        <f t="shared" si="173"/>
        <v>-0.24098124098124099</v>
      </c>
      <c r="O2243" s="735">
        <v>0.45941021713802388</v>
      </c>
      <c r="P2243" s="735">
        <f t="shared" si="174"/>
        <v>3434.8387152345595</v>
      </c>
      <c r="Q2243" s="849">
        <v>45.5</v>
      </c>
      <c r="R2243" s="71">
        <v>31424</v>
      </c>
      <c r="S2243" s="845">
        <v>0.29847908745247148</v>
      </c>
      <c r="T2243" s="845">
        <v>0.21600000000000003</v>
      </c>
      <c r="U2243" s="845">
        <v>0</v>
      </c>
      <c r="V2243" s="845">
        <v>0.113</v>
      </c>
      <c r="W2243" s="845">
        <v>0.37146702557200539</v>
      </c>
      <c r="X2243" s="845">
        <v>0.61594202898550721</v>
      </c>
      <c r="Y2243" s="845">
        <v>1.2674271229404309E-2</v>
      </c>
      <c r="Z2243" s="845">
        <v>0.86692015209125473</v>
      </c>
      <c r="AA2243" s="845">
        <v>0</v>
      </c>
      <c r="AB2243" s="845">
        <v>1.0139416983523447E-2</v>
      </c>
      <c r="AC2243" s="845">
        <v>0</v>
      </c>
      <c r="AD2243" s="845">
        <v>5.7034220532319393E-3</v>
      </c>
      <c r="AE2243" s="845">
        <v>0.10456273764258556</v>
      </c>
      <c r="AF2243" s="845">
        <v>0</v>
      </c>
      <c r="AG2243" s="845">
        <v>1.2674271229404309E-2</v>
      </c>
      <c r="AH2243" s="20" t="str">
        <f t="shared" si="175"/>
        <v>No</v>
      </c>
      <c r="AI2243" s="25"/>
      <c r="AJ2243" s="25"/>
      <c r="AK2243" s="25"/>
      <c r="AL2243" s="25"/>
      <c r="AM2243" s="25"/>
      <c r="AN2243" s="25"/>
      <c r="AO2243" s="25"/>
      <c r="AP2243" s="25"/>
      <c r="AQ2243" s="25"/>
      <c r="AR2243" s="25"/>
      <c r="AS2243" s="25"/>
      <c r="AT2243" s="25"/>
      <c r="AU2243" s="36"/>
      <c r="AV2243" s="36"/>
      <c r="AW2243" s="36"/>
      <c r="AX2243" s="25"/>
      <c r="AY2243" s="25"/>
      <c r="AZ2243" s="25"/>
      <c r="BA2243" s="25"/>
      <c r="BB2243" s="25"/>
      <c r="BC2243" s="25"/>
      <c r="BD2243" s="25"/>
      <c r="BE2243" s="25"/>
      <c r="BF2243" s="25"/>
      <c r="BG2243" s="25"/>
      <c r="BH2243" s="25"/>
      <c r="BI2243" s="25"/>
      <c r="BJ2243" s="25"/>
      <c r="BK2243" s="25"/>
      <c r="BL2243" s="25"/>
      <c r="BM2243" s="25"/>
      <c r="BN2243" s="25"/>
      <c r="BO2243" s="25"/>
      <c r="BP2243" s="25"/>
      <c r="BQ2243" s="25"/>
      <c r="BR2243" s="25"/>
      <c r="BS2243" s="25"/>
      <c r="BT2243" s="25"/>
      <c r="BU2243"/>
      <c r="BV2243"/>
      <c r="BW2243"/>
      <c r="BX2243"/>
      <c r="BY2243"/>
      <c r="BZ2243"/>
      <c r="CA2243"/>
      <c r="CB2243"/>
      <c r="CC2243"/>
      <c r="CD2243" s="25"/>
    </row>
    <row r="2244" spans="1:82" s="17" customFormat="1" x14ac:dyDescent="0.2">
      <c r="A2244" s="25"/>
      <c r="B2244" s="20">
        <v>39133601901</v>
      </c>
      <c r="C2244" s="20">
        <v>6019.01</v>
      </c>
      <c r="D2244" s="20" t="s">
        <v>72</v>
      </c>
      <c r="E2244" s="20" t="s">
        <v>2843</v>
      </c>
      <c r="F2244" s="20" t="s">
        <v>8</v>
      </c>
      <c r="G2244" s="861">
        <v>40.779704080703702</v>
      </c>
      <c r="H2244" s="861">
        <v>47.935301608787398</v>
      </c>
      <c r="I2244" s="861">
        <v>23.541356719783199</v>
      </c>
      <c r="J2244" s="861">
        <v>29.428298639125401</v>
      </c>
      <c r="K2244" s="982">
        <v>0</v>
      </c>
      <c r="L2244" s="735">
        <v>2716</v>
      </c>
      <c r="M2244" s="735">
        <v>2573</v>
      </c>
      <c r="N2244" s="845">
        <f t="shared" si="173"/>
        <v>-5.2650957290132548E-2</v>
      </c>
      <c r="O2244" s="735">
        <v>25.517393205330198</v>
      </c>
      <c r="P2244" s="735">
        <f t="shared" si="174"/>
        <v>100.83318383252954</v>
      </c>
      <c r="Q2244" s="849">
        <v>38.5</v>
      </c>
      <c r="R2244" s="71">
        <v>73125</v>
      </c>
      <c r="S2244" s="845">
        <v>5.8411214953271028E-2</v>
      </c>
      <c r="T2244" s="845">
        <v>7.2000000000000008E-2</v>
      </c>
      <c r="U2244" s="845">
        <v>4.0999999999999995E-2</v>
      </c>
      <c r="V2244" s="845">
        <v>0</v>
      </c>
      <c r="W2244" s="845">
        <v>0.21811680572109654</v>
      </c>
      <c r="X2244" s="845">
        <v>0.48087431693989069</v>
      </c>
      <c r="Y2244" s="845">
        <v>0.92460163233579484</v>
      </c>
      <c r="Z2244" s="845">
        <v>0</v>
      </c>
      <c r="AA2244" s="845">
        <v>3.1092110376991838E-3</v>
      </c>
      <c r="AB2244" s="845">
        <v>5.8297706956859695E-3</v>
      </c>
      <c r="AC2244" s="845">
        <v>0</v>
      </c>
      <c r="AD2244" s="845">
        <v>2.0987174504469491E-2</v>
      </c>
      <c r="AE2244" s="845">
        <v>4.5472211426350564E-2</v>
      </c>
      <c r="AF2244" s="845">
        <v>0</v>
      </c>
      <c r="AG2244" s="845">
        <v>0.92460163233579484</v>
      </c>
      <c r="AH2244" s="20" t="str">
        <f t="shared" si="175"/>
        <v>Yes</v>
      </c>
      <c r="AI2244" s="25"/>
      <c r="AJ2244" s="25"/>
      <c r="AK2244" s="25"/>
      <c r="AL2244" s="25"/>
      <c r="AM2244" s="25"/>
      <c r="AN2244" s="25"/>
      <c r="AO2244" s="25"/>
      <c r="AP2244" s="25"/>
      <c r="AQ2244" s="25"/>
      <c r="AR2244" s="25"/>
      <c r="AS2244" s="25"/>
      <c r="AT2244" s="25"/>
      <c r="AU2244" s="36"/>
      <c r="AV2244" s="36"/>
      <c r="AW2244" s="36"/>
      <c r="AX2244" s="25"/>
      <c r="AY2244" s="25"/>
      <c r="AZ2244" s="25"/>
      <c r="BA2244" s="25"/>
      <c r="BB2244" s="25"/>
      <c r="BC2244" s="25"/>
      <c r="BD2244" s="25"/>
      <c r="BE2244" s="25"/>
      <c r="BF2244" s="25"/>
      <c r="BG2244" s="25"/>
      <c r="BH2244" s="25"/>
      <c r="BI2244" s="25"/>
      <c r="BJ2244" s="25"/>
      <c r="BK2244" s="25"/>
      <c r="BL2244" s="25"/>
      <c r="BM2244" s="25"/>
      <c r="BN2244" s="25"/>
      <c r="BO2244" s="25"/>
      <c r="BP2244" s="25"/>
      <c r="BQ2244" s="25"/>
      <c r="BR2244" s="25"/>
      <c r="BS2244" s="25"/>
      <c r="BT2244" s="25"/>
      <c r="BU2244"/>
      <c r="BV2244"/>
      <c r="BW2244"/>
      <c r="BX2244"/>
      <c r="BY2244"/>
      <c r="BZ2244"/>
      <c r="CA2244"/>
      <c r="CB2244"/>
      <c r="CC2244"/>
      <c r="CD2244" s="25"/>
    </row>
    <row r="2245" spans="1:82" s="17" customFormat="1" x14ac:dyDescent="0.2">
      <c r="A2245" s="25"/>
      <c r="B2245" s="20">
        <v>39027964700</v>
      </c>
      <c r="C2245" s="20">
        <v>9647</v>
      </c>
      <c r="D2245" s="20" t="s">
        <v>20</v>
      </c>
      <c r="E2245" s="20" t="s">
        <v>265</v>
      </c>
      <c r="F2245" s="20" t="s">
        <v>8</v>
      </c>
      <c r="G2245" s="861">
        <v>40.762988207027902</v>
      </c>
      <c r="H2245" s="861">
        <v>49.325043048724801</v>
      </c>
      <c r="I2245" s="861">
        <v>31.9634147232738</v>
      </c>
      <c r="J2245" s="861">
        <v>43.634425035807404</v>
      </c>
      <c r="K2245" s="982">
        <v>0</v>
      </c>
      <c r="L2245" s="735">
        <v>5561</v>
      </c>
      <c r="M2245" s="735">
        <v>5913</v>
      </c>
      <c r="N2245" s="845">
        <f t="shared" si="173"/>
        <v>6.3297967991368456E-2</v>
      </c>
      <c r="O2245" s="735">
        <v>19.728941535565582</v>
      </c>
      <c r="P2245" s="735">
        <f t="shared" si="174"/>
        <v>299.71197336362769</v>
      </c>
      <c r="Q2245" s="849">
        <v>27.8</v>
      </c>
      <c r="R2245" s="71">
        <v>48569</v>
      </c>
      <c r="S2245" s="845">
        <v>0.21866931479642501</v>
      </c>
      <c r="T2245" s="845">
        <v>7.2999999999999995E-2</v>
      </c>
      <c r="U2245" s="845">
        <v>0</v>
      </c>
      <c r="V2245" s="845">
        <v>8.0000000000000002E-3</v>
      </c>
      <c r="W2245" s="845">
        <v>0.42410932162030257</v>
      </c>
      <c r="X2245" s="845">
        <v>0.33371691599539699</v>
      </c>
      <c r="Y2245" s="845">
        <v>0.83527820057500424</v>
      </c>
      <c r="Z2245" s="845">
        <v>5.7669541687806525E-2</v>
      </c>
      <c r="AA2245" s="845">
        <v>3.2132589210214779E-3</v>
      </c>
      <c r="AB2245" s="845">
        <v>1.06544901065449E-2</v>
      </c>
      <c r="AC2245" s="845">
        <v>0</v>
      </c>
      <c r="AD2245" s="845">
        <v>3.6698799255876879E-2</v>
      </c>
      <c r="AE2245" s="845">
        <v>5.648570945374598E-2</v>
      </c>
      <c r="AF2245" s="845">
        <v>4.1434128192119057E-2</v>
      </c>
      <c r="AG2245" s="845">
        <v>0.83375613055978348</v>
      </c>
      <c r="AH2245" s="20" t="str">
        <f t="shared" si="175"/>
        <v>No</v>
      </c>
      <c r="AI2245" s="25"/>
      <c r="AJ2245" s="25"/>
      <c r="AK2245" s="25"/>
      <c r="AL2245" s="25"/>
      <c r="AM2245" s="25"/>
      <c r="AN2245" s="25"/>
      <c r="AO2245" s="25"/>
      <c r="AP2245" s="25"/>
      <c r="AQ2245" s="25"/>
      <c r="AR2245" s="25"/>
      <c r="AS2245" s="25"/>
      <c r="AT2245" s="25"/>
      <c r="AU2245" s="36"/>
      <c r="AV2245" s="36"/>
      <c r="AW2245" s="36"/>
      <c r="AX2245" s="25"/>
      <c r="AY2245" s="25"/>
      <c r="AZ2245" s="25"/>
      <c r="BA2245" s="25"/>
      <c r="BB2245" s="25"/>
      <c r="BC2245" s="25"/>
      <c r="BD2245" s="25"/>
      <c r="BE2245" s="25"/>
      <c r="BF2245" s="25"/>
      <c r="BG2245" s="25"/>
      <c r="BH2245" s="25"/>
      <c r="BI2245" s="25"/>
      <c r="BJ2245" s="25"/>
      <c r="BK2245" s="25"/>
      <c r="BL2245" s="25"/>
      <c r="BM2245" s="25"/>
      <c r="BN2245" s="25"/>
      <c r="BO2245" s="25"/>
      <c r="BP2245" s="25"/>
      <c r="BQ2245" s="25"/>
      <c r="BR2245" s="25"/>
      <c r="BS2245" s="25"/>
      <c r="BT2245" s="25"/>
      <c r="BU2245"/>
      <c r="BV2245"/>
      <c r="BW2245"/>
      <c r="BX2245"/>
      <c r="BY2245"/>
      <c r="BZ2245"/>
      <c r="CA2245"/>
      <c r="CB2245"/>
      <c r="CC2245"/>
      <c r="CD2245" s="25"/>
    </row>
    <row r="2246" spans="1:82" s="17" customFormat="1" x14ac:dyDescent="0.2">
      <c r="A2246" s="25"/>
      <c r="B2246" s="20">
        <v>39061021602</v>
      </c>
      <c r="C2246" s="20">
        <v>216.02</v>
      </c>
      <c r="D2246" s="20" t="s">
        <v>37</v>
      </c>
      <c r="E2246" s="20" t="s">
        <v>2828</v>
      </c>
      <c r="F2246" s="20" t="s">
        <v>6</v>
      </c>
      <c r="G2246" s="861">
        <v>40.737310478856799</v>
      </c>
      <c r="H2246" s="861">
        <v>54.6685744690379</v>
      </c>
      <c r="I2246" s="861">
        <v>45.387160126049501</v>
      </c>
      <c r="J2246" s="861">
        <v>44.916132875135197</v>
      </c>
      <c r="K2246" s="982">
        <v>0</v>
      </c>
      <c r="L2246" s="735">
        <v>3081</v>
      </c>
      <c r="M2246" s="735">
        <v>3352</v>
      </c>
      <c r="N2246" s="845">
        <f t="shared" si="173"/>
        <v>8.7958455047062636E-2</v>
      </c>
      <c r="O2246" s="735">
        <v>1.1981360022536938</v>
      </c>
      <c r="P2246" s="735">
        <f t="shared" si="174"/>
        <v>2797.6790562130577</v>
      </c>
      <c r="Q2246" s="849">
        <v>38.1</v>
      </c>
      <c r="R2246" s="71">
        <v>48027</v>
      </c>
      <c r="S2246" s="845">
        <v>0.12261336515513127</v>
      </c>
      <c r="T2246" s="845">
        <v>7.6999999999999999E-2</v>
      </c>
      <c r="U2246" s="845">
        <v>3.1E-2</v>
      </c>
      <c r="V2246" s="845">
        <v>0</v>
      </c>
      <c r="W2246" s="845">
        <v>0.39370078740157483</v>
      </c>
      <c r="X2246" s="845">
        <v>0.31272727272727274</v>
      </c>
      <c r="Y2246" s="845">
        <v>0.16885441527446302</v>
      </c>
      <c r="Z2246" s="845">
        <v>0.77535799522673032</v>
      </c>
      <c r="AA2246" s="845">
        <v>0</v>
      </c>
      <c r="AB2246" s="845">
        <v>0</v>
      </c>
      <c r="AC2246" s="845">
        <v>0</v>
      </c>
      <c r="AD2246" s="845">
        <v>4.8329355608591883E-2</v>
      </c>
      <c r="AE2246" s="845">
        <v>7.4582338902147967E-3</v>
      </c>
      <c r="AF2246" s="845">
        <v>4.1467780429594273E-2</v>
      </c>
      <c r="AG2246" s="845">
        <v>0.16885441527446302</v>
      </c>
      <c r="AH2246" s="20" t="str">
        <f t="shared" si="175"/>
        <v>No</v>
      </c>
      <c r="AI2246" s="25"/>
      <c r="AJ2246" s="25"/>
      <c r="AK2246" s="25"/>
      <c r="AL2246" s="25"/>
      <c r="AM2246" s="25"/>
      <c r="AN2246" s="25"/>
      <c r="AO2246" s="25"/>
      <c r="AP2246" s="25"/>
      <c r="AQ2246" s="25"/>
      <c r="AR2246" s="25"/>
      <c r="AS2246" s="25"/>
      <c r="AT2246" s="25"/>
      <c r="AU2246" s="36"/>
      <c r="AV2246" s="36"/>
      <c r="AW2246" s="36"/>
      <c r="AX2246" s="25"/>
      <c r="AY2246" s="25"/>
      <c r="AZ2246" s="25"/>
      <c r="BA2246" s="25"/>
      <c r="BB2246" s="25"/>
      <c r="BC2246" s="25"/>
      <c r="BD2246" s="25"/>
      <c r="BE2246" s="25"/>
      <c r="BF2246" s="25"/>
      <c r="BG2246" s="25"/>
      <c r="BH2246" s="25"/>
      <c r="BI2246" s="25"/>
      <c r="BJ2246" s="25"/>
      <c r="BK2246" s="25"/>
      <c r="BL2246" s="25"/>
      <c r="BM2246" s="25"/>
      <c r="BN2246" s="25"/>
      <c r="BO2246" s="25"/>
      <c r="BP2246" s="25"/>
      <c r="BQ2246" s="25"/>
      <c r="BR2246" s="25"/>
      <c r="BS2246" s="25"/>
      <c r="BT2246" s="25"/>
      <c r="BU2246"/>
      <c r="BV2246"/>
      <c r="BW2246"/>
      <c r="BX2246"/>
      <c r="BY2246"/>
      <c r="BZ2246"/>
      <c r="CA2246"/>
      <c r="CB2246"/>
      <c r="CC2246"/>
      <c r="CD2246" s="25"/>
    </row>
    <row r="2247" spans="1:82" s="17" customFormat="1" x14ac:dyDescent="0.2">
      <c r="A2247" s="25"/>
      <c r="B2247" s="20">
        <v>39049004620</v>
      </c>
      <c r="C2247" s="20">
        <v>46.2</v>
      </c>
      <c r="D2247" s="20" t="s">
        <v>31</v>
      </c>
      <c r="E2247" s="20" t="s">
        <v>2830</v>
      </c>
      <c r="F2247" s="20" t="s">
        <v>6</v>
      </c>
      <c r="G2247" s="861">
        <v>40.719596813400202</v>
      </c>
      <c r="H2247" s="861">
        <v>52.255685026554197</v>
      </c>
      <c r="I2247" s="861">
        <v>69.521666779274895</v>
      </c>
      <c r="J2247" s="861">
        <v>47.300615085108198</v>
      </c>
      <c r="K2247" s="982">
        <v>0</v>
      </c>
      <c r="L2247" s="735">
        <v>2352</v>
      </c>
      <c r="M2247" s="735">
        <v>2950</v>
      </c>
      <c r="N2247" s="845">
        <f t="shared" si="173"/>
        <v>0.25425170068027209</v>
      </c>
      <c r="O2247" s="735">
        <v>0.285638763028916</v>
      </c>
      <c r="P2247" s="735">
        <f t="shared" si="174"/>
        <v>10327.729922641358</v>
      </c>
      <c r="Q2247" s="849">
        <v>27.3</v>
      </c>
      <c r="R2247" s="71">
        <v>54239</v>
      </c>
      <c r="S2247" s="845">
        <v>0.29673798667134338</v>
      </c>
      <c r="T2247" s="845">
        <v>0.11599999999999999</v>
      </c>
      <c r="U2247" s="845">
        <v>0</v>
      </c>
      <c r="V2247" s="845">
        <v>0</v>
      </c>
      <c r="W2247" s="845">
        <v>0.55724299065420557</v>
      </c>
      <c r="X2247" s="845">
        <v>0.49685534591194969</v>
      </c>
      <c r="Y2247" s="845">
        <v>0.42305084745762711</v>
      </c>
      <c r="Z2247" s="845">
        <v>0.31186440677966104</v>
      </c>
      <c r="AA2247" s="845">
        <v>0</v>
      </c>
      <c r="AB2247" s="845">
        <v>3.6949152542372882E-2</v>
      </c>
      <c r="AC2247" s="845">
        <v>0</v>
      </c>
      <c r="AD2247" s="845">
        <v>4.2033898305084749E-2</v>
      </c>
      <c r="AE2247" s="845">
        <v>0.18610169491525425</v>
      </c>
      <c r="AF2247" s="845">
        <v>0.18135593220338983</v>
      </c>
      <c r="AG2247" s="845">
        <v>0.41084745762711866</v>
      </c>
      <c r="AH2247" s="20" t="str">
        <f t="shared" si="175"/>
        <v>No</v>
      </c>
      <c r="AI2247" s="25"/>
      <c r="AJ2247" s="25"/>
      <c r="AK2247" s="25"/>
      <c r="AL2247" s="25"/>
      <c r="AM2247" s="25"/>
      <c r="AN2247" s="25"/>
      <c r="AO2247" s="25"/>
      <c r="AP2247" s="25"/>
      <c r="AQ2247" s="25"/>
      <c r="AR2247" s="25"/>
      <c r="AS2247" s="25"/>
      <c r="AT2247" s="25"/>
      <c r="AU2247" s="36"/>
      <c r="AV2247" s="36"/>
      <c r="AW2247" s="36"/>
      <c r="AX2247" s="25"/>
      <c r="AY2247" s="25"/>
      <c r="AZ2247" s="25"/>
      <c r="BA2247" s="25"/>
      <c r="BB2247" s="25"/>
      <c r="BC2247" s="25"/>
      <c r="BD2247" s="25"/>
      <c r="BE2247" s="25"/>
      <c r="BF2247" s="25"/>
      <c r="BG2247" s="25"/>
      <c r="BH2247" s="25"/>
      <c r="BI2247" s="25"/>
      <c r="BJ2247" s="25"/>
      <c r="BK2247" s="25"/>
      <c r="BL2247" s="25"/>
      <c r="BM2247" s="25"/>
      <c r="BN2247" s="25"/>
      <c r="BO2247" s="25"/>
      <c r="BP2247" s="25"/>
      <c r="BQ2247" s="25"/>
      <c r="BR2247" s="25"/>
      <c r="BS2247" s="25"/>
      <c r="BT2247" s="25"/>
      <c r="BU2247"/>
      <c r="BV2247"/>
      <c r="BW2247"/>
      <c r="BX2247"/>
      <c r="BY2247"/>
      <c r="BZ2247"/>
      <c r="CA2247"/>
      <c r="CB2247"/>
      <c r="CC2247"/>
      <c r="CD2247" s="25"/>
    </row>
    <row r="2248" spans="1:82" s="17" customFormat="1" x14ac:dyDescent="0.2">
      <c r="A2248" s="25"/>
      <c r="B2248" s="20">
        <v>39003011900</v>
      </c>
      <c r="C2248" s="20">
        <v>119</v>
      </c>
      <c r="D2248" s="20" t="s">
        <v>7</v>
      </c>
      <c r="E2248" s="20" t="s">
        <v>2835</v>
      </c>
      <c r="F2248" s="20" t="s">
        <v>8</v>
      </c>
      <c r="G2248" s="861">
        <v>40.681583902194198</v>
      </c>
      <c r="H2248" s="861">
        <v>44.409365373289901</v>
      </c>
      <c r="I2248" s="861">
        <v>37.505429948228802</v>
      </c>
      <c r="J2248" s="861">
        <v>40.934739246164099</v>
      </c>
      <c r="K2248" s="982">
        <v>0</v>
      </c>
      <c r="L2248" s="735">
        <v>3001</v>
      </c>
      <c r="M2248" s="735">
        <v>2862</v>
      </c>
      <c r="N2248" s="845">
        <f t="shared" si="173"/>
        <v>-4.6317894035321557E-2</v>
      </c>
      <c r="O2248" s="735">
        <v>8.068152482754062</v>
      </c>
      <c r="P2248" s="735">
        <f t="shared" si="174"/>
        <v>354.72805033340876</v>
      </c>
      <c r="Q2248" s="849">
        <v>45.7</v>
      </c>
      <c r="R2248" s="71">
        <v>70565</v>
      </c>
      <c r="S2248" s="845">
        <v>0.1084030556566024</v>
      </c>
      <c r="T2248" s="845">
        <v>1.8000000000000002E-2</v>
      </c>
      <c r="U2248" s="845">
        <v>0</v>
      </c>
      <c r="V2248" s="845">
        <v>0.13699999999999998</v>
      </c>
      <c r="W2248" s="845">
        <v>0.18321167883211678</v>
      </c>
      <c r="X2248" s="845">
        <v>0.3386454183266932</v>
      </c>
      <c r="Y2248" s="845">
        <v>0.94793850454227813</v>
      </c>
      <c r="Z2248" s="845">
        <v>2.2361984626135568E-2</v>
      </c>
      <c r="AA2248" s="845">
        <v>0</v>
      </c>
      <c r="AB2248" s="845">
        <v>2.4807826694619148E-2</v>
      </c>
      <c r="AC2248" s="845">
        <v>0</v>
      </c>
      <c r="AD2248" s="845">
        <v>0</v>
      </c>
      <c r="AE2248" s="845">
        <v>4.8916841369671558E-3</v>
      </c>
      <c r="AF2248" s="845">
        <v>4.40251572327044E-2</v>
      </c>
      <c r="AG2248" s="845">
        <v>0.90670859538784065</v>
      </c>
      <c r="AH2248" s="20" t="str">
        <f t="shared" si="175"/>
        <v>Yes</v>
      </c>
      <c r="AI2248" s="25"/>
      <c r="AJ2248" s="25"/>
      <c r="AK2248" s="25"/>
      <c r="AL2248" s="25"/>
      <c r="AM2248" s="25"/>
      <c r="AN2248" s="25"/>
      <c r="AO2248" s="25"/>
      <c r="AP2248" s="25"/>
      <c r="AQ2248" s="25"/>
      <c r="AR2248" s="25"/>
      <c r="AS2248" s="25"/>
      <c r="AT2248" s="25"/>
      <c r="AU2248" s="36"/>
      <c r="AV2248" s="36"/>
      <c r="AW2248" s="36"/>
      <c r="AX2248" s="25"/>
      <c r="AY2248" s="25"/>
      <c r="AZ2248" s="25"/>
      <c r="BA2248" s="25"/>
      <c r="BB2248" s="25"/>
      <c r="BC2248" s="25"/>
      <c r="BD2248" s="25"/>
      <c r="BE2248" s="25"/>
      <c r="BF2248" s="25"/>
      <c r="BG2248" s="25"/>
      <c r="BH2248" s="25"/>
      <c r="BI2248" s="25"/>
      <c r="BJ2248" s="25"/>
      <c r="BK2248" s="25"/>
      <c r="BL2248" s="25"/>
      <c r="BM2248" s="25"/>
      <c r="BN2248" s="25"/>
      <c r="BO2248" s="25"/>
      <c r="BP2248" s="25"/>
      <c r="BQ2248" s="25"/>
      <c r="BR2248" s="25"/>
      <c r="BS2248" s="25"/>
      <c r="BT2248" s="25"/>
      <c r="BU2248"/>
      <c r="BV2248"/>
      <c r="BW2248"/>
      <c r="BX2248"/>
      <c r="BY2248"/>
      <c r="BZ2248"/>
      <c r="CA2248"/>
      <c r="CB2248"/>
      <c r="CC2248"/>
      <c r="CD2248" s="25"/>
    </row>
    <row r="2249" spans="1:82" s="17" customFormat="1" x14ac:dyDescent="0.2">
      <c r="A2249" s="25"/>
      <c r="B2249" s="20">
        <v>39007001002</v>
      </c>
      <c r="C2249" s="20">
        <v>10.02</v>
      </c>
      <c r="D2249" s="20" t="s">
        <v>10</v>
      </c>
      <c r="E2249" s="20" t="s">
        <v>2829</v>
      </c>
      <c r="F2249" s="20" t="s">
        <v>8</v>
      </c>
      <c r="G2249" s="861">
        <v>40.676823009824197</v>
      </c>
      <c r="H2249" s="861">
        <v>44.858386467698097</v>
      </c>
      <c r="I2249" s="861">
        <v>15.9541853924371</v>
      </c>
      <c r="J2249" s="861">
        <v>48.832606568042799</v>
      </c>
      <c r="K2249" s="982">
        <v>0</v>
      </c>
      <c r="L2249" s="735">
        <v>3279</v>
      </c>
      <c r="M2249" s="735">
        <v>3651</v>
      </c>
      <c r="N2249" s="845">
        <f t="shared" si="173"/>
        <v>0.11344922232387923</v>
      </c>
      <c r="O2249" s="735">
        <v>37.125817925086928</v>
      </c>
      <c r="P2249" s="735">
        <f t="shared" si="174"/>
        <v>98.341267722829613</v>
      </c>
      <c r="Q2249" s="849">
        <v>52.3</v>
      </c>
      <c r="R2249" s="71">
        <v>78563</v>
      </c>
      <c r="S2249" s="845">
        <v>5.1543472104219765E-2</v>
      </c>
      <c r="T2249" s="845">
        <v>6.6000000000000003E-2</v>
      </c>
      <c r="U2249" s="845">
        <v>0</v>
      </c>
      <c r="V2249" s="845">
        <v>0</v>
      </c>
      <c r="W2249" s="845">
        <v>5.5162659123055166E-2</v>
      </c>
      <c r="X2249" s="845">
        <v>0.10256410256410256</v>
      </c>
      <c r="Y2249" s="845">
        <v>0.93590797041906326</v>
      </c>
      <c r="Z2249" s="845">
        <v>3.8345658723637358E-3</v>
      </c>
      <c r="AA2249" s="845">
        <v>0</v>
      </c>
      <c r="AB2249" s="845">
        <v>0</v>
      </c>
      <c r="AC2249" s="845">
        <v>0</v>
      </c>
      <c r="AD2249" s="845">
        <v>1.3968775677896467E-2</v>
      </c>
      <c r="AE2249" s="845">
        <v>4.6288688030676525E-2</v>
      </c>
      <c r="AF2249" s="845">
        <v>7.0391673514105718E-2</v>
      </c>
      <c r="AG2249" s="845">
        <v>0.91563955080799786</v>
      </c>
      <c r="AH2249" s="20" t="str">
        <f t="shared" si="175"/>
        <v>Yes</v>
      </c>
      <c r="AI2249" s="25"/>
      <c r="AJ2249" s="25"/>
      <c r="AK2249" s="25"/>
      <c r="AL2249" s="25"/>
      <c r="AM2249" s="25"/>
      <c r="AN2249" s="25"/>
      <c r="AO2249" s="25"/>
      <c r="AP2249" s="25"/>
      <c r="AQ2249" s="25"/>
      <c r="AR2249" s="25"/>
      <c r="AS2249" s="25"/>
      <c r="AT2249" s="25"/>
      <c r="AU2249" s="36"/>
      <c r="AV2249" s="36"/>
      <c r="AW2249" s="36"/>
      <c r="AX2249" s="25"/>
      <c r="AY2249" s="25"/>
      <c r="AZ2249" s="25"/>
      <c r="BA2249" s="25"/>
      <c r="BB2249" s="25"/>
      <c r="BC2249" s="25"/>
      <c r="BD2249" s="25"/>
      <c r="BE2249" s="25"/>
      <c r="BF2249" s="25"/>
      <c r="BG2249" s="25"/>
      <c r="BH2249" s="25"/>
      <c r="BI2249" s="25"/>
      <c r="BJ2249" s="25"/>
      <c r="BK2249" s="25"/>
      <c r="BL2249" s="25"/>
      <c r="BM2249" s="25"/>
      <c r="BN2249" s="25"/>
      <c r="BO2249" s="25"/>
      <c r="BP2249" s="25"/>
      <c r="BQ2249" s="25"/>
      <c r="BR2249" s="25"/>
      <c r="BS2249" s="25"/>
      <c r="BT2249" s="25"/>
      <c r="BU2249"/>
      <c r="BV2249"/>
      <c r="BW2249"/>
      <c r="BX2249"/>
      <c r="BY2249"/>
      <c r="BZ2249"/>
      <c r="CA2249"/>
      <c r="CB2249"/>
      <c r="CC2249"/>
      <c r="CD2249" s="25"/>
    </row>
    <row r="2250" spans="1:82" s="17" customFormat="1" x14ac:dyDescent="0.2">
      <c r="A2250" s="25"/>
      <c r="B2250" s="20">
        <v>39079957600</v>
      </c>
      <c r="C2250" s="20">
        <v>9576</v>
      </c>
      <c r="D2250" s="20" t="s">
        <v>46</v>
      </c>
      <c r="E2250" s="20" t="s">
        <v>265</v>
      </c>
      <c r="F2250" s="20" t="s">
        <v>6</v>
      </c>
      <c r="G2250" s="861">
        <v>40.656263447129703</v>
      </c>
      <c r="H2250" s="861">
        <v>46.528463068503697</v>
      </c>
      <c r="I2250" s="861">
        <v>56.174486251304401</v>
      </c>
      <c r="J2250" s="861">
        <v>44.907516992409199</v>
      </c>
      <c r="K2250" s="982">
        <v>0</v>
      </c>
      <c r="L2250" s="735">
        <v>2930</v>
      </c>
      <c r="M2250" s="735">
        <v>2479</v>
      </c>
      <c r="N2250" s="845">
        <f t="shared" si="173"/>
        <v>-0.15392491467576791</v>
      </c>
      <c r="O2250" s="735">
        <v>11.216327939049883</v>
      </c>
      <c r="P2250" s="735">
        <f t="shared" si="174"/>
        <v>221.01707559470591</v>
      </c>
      <c r="Q2250" s="849">
        <v>42</v>
      </c>
      <c r="R2250" s="71">
        <v>44254</v>
      </c>
      <c r="S2250" s="845">
        <v>0.26998744244453748</v>
      </c>
      <c r="T2250" s="845">
        <v>1.3999999999999999E-2</v>
      </c>
      <c r="U2250" s="845">
        <v>4.7E-2</v>
      </c>
      <c r="V2250" s="845">
        <v>5.7000000000000002E-2</v>
      </c>
      <c r="W2250" s="845">
        <v>0.50749999999999995</v>
      </c>
      <c r="X2250" s="845">
        <v>0.57307060755336614</v>
      </c>
      <c r="Y2250" s="845">
        <v>0.89632916498588144</v>
      </c>
      <c r="Z2250" s="845">
        <v>4.4372730939895119E-2</v>
      </c>
      <c r="AA2250" s="845">
        <v>1.5732150060508269E-2</v>
      </c>
      <c r="AB2250" s="845">
        <v>0</v>
      </c>
      <c r="AC2250" s="845">
        <v>0</v>
      </c>
      <c r="AD2250" s="845">
        <v>0</v>
      </c>
      <c r="AE2250" s="845">
        <v>4.3565954013715207E-2</v>
      </c>
      <c r="AF2250" s="845">
        <v>7.6643807987091571E-3</v>
      </c>
      <c r="AG2250" s="845">
        <v>0.88866478418717221</v>
      </c>
      <c r="AH2250" s="20" t="str">
        <f t="shared" si="175"/>
        <v>No</v>
      </c>
      <c r="AI2250" s="25"/>
      <c r="AJ2250" s="25"/>
      <c r="AK2250" s="25"/>
      <c r="AL2250" s="25"/>
      <c r="AM2250" s="25"/>
      <c r="AN2250" s="25"/>
      <c r="AO2250" s="25"/>
      <c r="AP2250" s="25"/>
      <c r="AQ2250" s="25"/>
      <c r="AR2250" s="25"/>
      <c r="AS2250" s="25"/>
      <c r="AT2250" s="25"/>
      <c r="AU2250" s="36"/>
      <c r="AV2250" s="36"/>
      <c r="AW2250" s="36"/>
      <c r="AX2250" s="25"/>
      <c r="AY2250" s="25"/>
      <c r="AZ2250" s="25"/>
      <c r="BA2250" s="25"/>
      <c r="BB2250" s="25"/>
      <c r="BC2250" s="25"/>
      <c r="BD2250" s="25"/>
      <c r="BE2250" s="25"/>
      <c r="BF2250" s="25"/>
      <c r="BG2250" s="25"/>
      <c r="BH2250" s="25"/>
      <c r="BI2250" s="25"/>
      <c r="BJ2250" s="25"/>
      <c r="BK2250" s="25"/>
      <c r="BL2250" s="25"/>
      <c r="BM2250" s="25"/>
      <c r="BN2250" s="25"/>
      <c r="BO2250" s="25"/>
      <c r="BP2250" s="25"/>
      <c r="BQ2250" s="25"/>
      <c r="BR2250" s="25"/>
      <c r="BS2250" s="25"/>
      <c r="BT2250" s="25"/>
      <c r="BU2250"/>
      <c r="BV2250"/>
      <c r="BW2250"/>
      <c r="BX2250"/>
      <c r="BY2250"/>
      <c r="BZ2250"/>
      <c r="CA2250"/>
      <c r="CB2250"/>
      <c r="CC2250"/>
      <c r="CD2250" s="25"/>
    </row>
    <row r="2251" spans="1:82" s="17" customFormat="1" x14ac:dyDescent="0.2">
      <c r="A2251" s="25"/>
      <c r="B2251" s="20">
        <v>39145003400</v>
      </c>
      <c r="C2251" s="20">
        <v>34</v>
      </c>
      <c r="D2251" s="20" t="s">
        <v>78</v>
      </c>
      <c r="E2251" s="20" t="s">
        <v>265</v>
      </c>
      <c r="F2251" s="20" t="s">
        <v>6</v>
      </c>
      <c r="G2251" s="861">
        <v>40.642050561490102</v>
      </c>
      <c r="H2251" s="861">
        <v>40.891558407906103</v>
      </c>
      <c r="I2251" s="861">
        <v>54.7816098948297</v>
      </c>
      <c r="J2251" s="861">
        <v>45.2322952145513</v>
      </c>
      <c r="K2251" s="982">
        <v>0</v>
      </c>
      <c r="L2251" s="735">
        <v>3247</v>
      </c>
      <c r="M2251" s="735">
        <v>3534</v>
      </c>
      <c r="N2251" s="845">
        <f t="shared" ref="N2251:N2314" si="176">IF(OR(L2251="",M2251=""),"",(M2251-L2251)/L2251)</f>
        <v>8.8389282414536502E-2</v>
      </c>
      <c r="O2251" s="735">
        <v>0.54310635426044485</v>
      </c>
      <c r="P2251" s="735">
        <f t="shared" ref="P2251:P2314" si="177">M2251/O2251</f>
        <v>6507.0128019626927</v>
      </c>
      <c r="Q2251" s="849">
        <v>30.5</v>
      </c>
      <c r="R2251" s="71">
        <v>28938</v>
      </c>
      <c r="S2251" s="845">
        <v>0.43735565819861433</v>
      </c>
      <c r="T2251" s="845">
        <v>0.114</v>
      </c>
      <c r="U2251" s="845">
        <v>6.2E-2</v>
      </c>
      <c r="V2251" s="845">
        <v>0</v>
      </c>
      <c r="W2251" s="845">
        <v>0.54771140418929398</v>
      </c>
      <c r="X2251" s="845">
        <v>0.43767705382436262</v>
      </c>
      <c r="Y2251" s="845">
        <v>0.90464063384267124</v>
      </c>
      <c r="Z2251" s="845">
        <v>1.9241652518392757E-2</v>
      </c>
      <c r="AA2251" s="845">
        <v>0</v>
      </c>
      <c r="AB2251" s="845">
        <v>2.2354272778720995E-2</v>
      </c>
      <c r="AC2251" s="845">
        <v>0</v>
      </c>
      <c r="AD2251" s="845">
        <v>1.4431239388794566E-2</v>
      </c>
      <c r="AE2251" s="845">
        <v>3.933220147142049E-2</v>
      </c>
      <c r="AF2251" s="845">
        <v>3.0843237125070741E-2</v>
      </c>
      <c r="AG2251" s="845">
        <v>0.87917374080362198</v>
      </c>
      <c r="AH2251" s="20" t="str">
        <f t="shared" ref="AH2251:AH2314" si="178">IF(AG2251&gt;=0.9,"Yes","No")</f>
        <v>No</v>
      </c>
      <c r="AI2251" s="25"/>
      <c r="AJ2251" s="25"/>
      <c r="AK2251" s="25"/>
      <c r="AL2251" s="25"/>
      <c r="AM2251" s="25"/>
      <c r="AN2251" s="25"/>
      <c r="AO2251" s="25"/>
      <c r="AP2251" s="25"/>
      <c r="AQ2251" s="25"/>
      <c r="AR2251" s="25"/>
      <c r="AS2251" s="25"/>
      <c r="AT2251" s="25"/>
      <c r="AU2251" s="36"/>
      <c r="AV2251" s="36"/>
      <c r="AW2251" s="36"/>
      <c r="AX2251" s="25"/>
      <c r="AY2251" s="25"/>
      <c r="AZ2251" s="25"/>
      <c r="BA2251" s="25"/>
      <c r="BB2251" s="25"/>
      <c r="BC2251" s="25"/>
      <c r="BD2251" s="25"/>
      <c r="BE2251" s="25"/>
      <c r="BF2251" s="25"/>
      <c r="BG2251" s="25"/>
      <c r="BH2251" s="25"/>
      <c r="BI2251" s="25"/>
      <c r="BJ2251" s="25"/>
      <c r="BK2251" s="25"/>
      <c r="BL2251" s="25"/>
      <c r="BM2251" s="25"/>
      <c r="BN2251" s="25"/>
      <c r="BO2251" s="25"/>
      <c r="BP2251" s="25"/>
      <c r="BQ2251" s="25"/>
      <c r="BR2251" s="25"/>
      <c r="BS2251" s="25"/>
      <c r="BT2251" s="25"/>
      <c r="BU2251"/>
      <c r="BV2251"/>
      <c r="BW2251"/>
      <c r="BX2251"/>
      <c r="BY2251"/>
      <c r="BZ2251"/>
      <c r="CA2251"/>
      <c r="CB2251"/>
      <c r="CC2251"/>
      <c r="CD2251" s="25"/>
    </row>
    <row r="2252" spans="1:82" s="17" customFormat="1" x14ac:dyDescent="0.2">
      <c r="A2252" s="25"/>
      <c r="B2252" s="20">
        <v>39061027400</v>
      </c>
      <c r="C2252" s="20">
        <v>274</v>
      </c>
      <c r="D2252" s="20" t="s">
        <v>37</v>
      </c>
      <c r="E2252" s="20" t="s">
        <v>2828</v>
      </c>
      <c r="F2252" s="20" t="s">
        <v>6</v>
      </c>
      <c r="G2252" s="861">
        <v>40.641766019501098</v>
      </c>
      <c r="H2252" s="861">
        <v>48.3670591868771</v>
      </c>
      <c r="I2252" s="861">
        <v>36.722663589548901</v>
      </c>
      <c r="J2252" s="861">
        <v>36.1927340142623</v>
      </c>
      <c r="K2252" s="982">
        <v>0</v>
      </c>
      <c r="L2252" s="735">
        <v>4429</v>
      </c>
      <c r="M2252" s="735">
        <v>4531</v>
      </c>
      <c r="N2252" s="845">
        <f t="shared" si="176"/>
        <v>2.3030029351998195E-2</v>
      </c>
      <c r="O2252" s="735">
        <v>1.4925524117560525</v>
      </c>
      <c r="P2252" s="735">
        <f t="shared" si="177"/>
        <v>3035.7392908360803</v>
      </c>
      <c r="Q2252" s="849">
        <v>40.200000000000003</v>
      </c>
      <c r="R2252" s="71">
        <v>48683</v>
      </c>
      <c r="S2252" s="845">
        <v>0.16707128669167953</v>
      </c>
      <c r="T2252" s="845">
        <v>0.12</v>
      </c>
      <c r="U2252" s="845">
        <v>0</v>
      </c>
      <c r="V2252" s="845">
        <v>6.8000000000000005E-2</v>
      </c>
      <c r="W2252" s="845">
        <v>0.4139156932453022</v>
      </c>
      <c r="X2252" s="845">
        <v>0.25521472392638039</v>
      </c>
      <c r="Y2252" s="845">
        <v>0.66166409181196206</v>
      </c>
      <c r="Z2252" s="845">
        <v>0.29331273449569634</v>
      </c>
      <c r="AA2252" s="845">
        <v>0</v>
      </c>
      <c r="AB2252" s="845">
        <v>2.2070183182520413E-3</v>
      </c>
      <c r="AC2252" s="845">
        <v>0</v>
      </c>
      <c r="AD2252" s="845">
        <v>1.015228426395939E-2</v>
      </c>
      <c r="AE2252" s="845">
        <v>3.2663871110130215E-2</v>
      </c>
      <c r="AF2252" s="845">
        <v>4.193334804678879E-3</v>
      </c>
      <c r="AG2252" s="845">
        <v>0.66100198631648643</v>
      </c>
      <c r="AH2252" s="20" t="str">
        <f t="shared" si="178"/>
        <v>No</v>
      </c>
      <c r="AI2252" s="25"/>
      <c r="AJ2252" s="25"/>
      <c r="AK2252" s="25"/>
      <c r="AL2252" s="25"/>
      <c r="AM2252" s="25"/>
      <c r="AN2252" s="25"/>
      <c r="AO2252" s="25"/>
      <c r="AP2252" s="25"/>
      <c r="AQ2252" s="25"/>
      <c r="AR2252" s="25"/>
      <c r="AS2252" s="25"/>
      <c r="AT2252" s="25"/>
      <c r="AU2252" s="36"/>
      <c r="AV2252" s="36"/>
      <c r="AW2252" s="36"/>
      <c r="AX2252" s="25"/>
      <c r="AY2252" s="25"/>
      <c r="AZ2252" s="25"/>
      <c r="BA2252" s="25"/>
      <c r="BB2252" s="25"/>
      <c r="BC2252" s="25"/>
      <c r="BD2252" s="25"/>
      <c r="BE2252" s="25"/>
      <c r="BF2252" s="25"/>
      <c r="BG2252" s="25"/>
      <c r="BH2252" s="25"/>
      <c r="BI2252" s="25"/>
      <c r="BJ2252" s="25"/>
      <c r="BK2252" s="25"/>
      <c r="BL2252" s="25"/>
      <c r="BM2252" s="25"/>
      <c r="BN2252" s="25"/>
      <c r="BO2252" s="25"/>
      <c r="BP2252" s="25"/>
      <c r="BQ2252" s="25"/>
      <c r="BR2252" s="25"/>
      <c r="BS2252" s="25"/>
      <c r="BT2252" s="25"/>
      <c r="BU2252"/>
      <c r="BV2252"/>
      <c r="BW2252"/>
      <c r="BX2252"/>
      <c r="BY2252"/>
      <c r="BZ2252"/>
      <c r="CA2252"/>
      <c r="CB2252"/>
      <c r="CC2252"/>
      <c r="CD2252" s="25"/>
    </row>
    <row r="2253" spans="1:82" s="17" customFormat="1" x14ac:dyDescent="0.2">
      <c r="A2253" s="25"/>
      <c r="B2253" s="20">
        <v>39017013500</v>
      </c>
      <c r="C2253" s="20">
        <v>135</v>
      </c>
      <c r="D2253" s="20" t="s">
        <v>15</v>
      </c>
      <c r="E2253" s="20" t="s">
        <v>2828</v>
      </c>
      <c r="F2253" s="20" t="s">
        <v>6</v>
      </c>
      <c r="G2253" s="861">
        <v>40.6416114264971</v>
      </c>
      <c r="H2253" s="861">
        <v>43.019170227501498</v>
      </c>
      <c r="I2253" s="861">
        <v>43.635934842258997</v>
      </c>
      <c r="J2253" s="861">
        <v>49.059422279821703</v>
      </c>
      <c r="K2253" s="982">
        <v>0</v>
      </c>
      <c r="L2253" s="735">
        <v>3120</v>
      </c>
      <c r="M2253" s="735">
        <v>2938</v>
      </c>
      <c r="N2253" s="845">
        <f t="shared" si="176"/>
        <v>-5.8333333333333334E-2</v>
      </c>
      <c r="O2253" s="735">
        <v>0.63399866341471356</v>
      </c>
      <c r="P2253" s="735">
        <f t="shared" si="177"/>
        <v>4634.0791700978471</v>
      </c>
      <c r="Q2253" s="849">
        <v>35.299999999999997</v>
      </c>
      <c r="R2253" s="71">
        <v>48438</v>
      </c>
      <c r="S2253" s="845">
        <v>0.24982981620149761</v>
      </c>
      <c r="T2253" s="845">
        <v>0.106</v>
      </c>
      <c r="U2253" s="845">
        <v>0</v>
      </c>
      <c r="V2253" s="845">
        <v>1.7000000000000001E-2</v>
      </c>
      <c r="W2253" s="845">
        <v>0.61352657004830913</v>
      </c>
      <c r="X2253" s="845">
        <v>0.33595800524934383</v>
      </c>
      <c r="Y2253" s="845">
        <v>0.67767188563648739</v>
      </c>
      <c r="Z2253" s="845">
        <v>0.12831858407079647</v>
      </c>
      <c r="AA2253" s="845">
        <v>0</v>
      </c>
      <c r="AB2253" s="845">
        <v>2.9271613342409804E-2</v>
      </c>
      <c r="AC2253" s="845">
        <v>0</v>
      </c>
      <c r="AD2253" s="845">
        <v>3.8121170864533697E-2</v>
      </c>
      <c r="AE2253" s="845">
        <v>0.12661674608577264</v>
      </c>
      <c r="AF2253" s="845">
        <v>7.045609257998639E-2</v>
      </c>
      <c r="AG2253" s="845">
        <v>0.64193328795098703</v>
      </c>
      <c r="AH2253" s="20" t="str">
        <f t="shared" si="178"/>
        <v>No</v>
      </c>
      <c r="AI2253" s="25"/>
      <c r="AJ2253" s="25"/>
      <c r="AK2253" s="25"/>
      <c r="AL2253" s="25"/>
      <c r="AM2253" s="25"/>
      <c r="AN2253" s="25"/>
      <c r="AO2253" s="25"/>
      <c r="AP2253" s="25"/>
      <c r="AQ2253" s="25"/>
      <c r="AR2253" s="25"/>
      <c r="AS2253" s="25"/>
      <c r="AT2253" s="25"/>
      <c r="AU2253" s="36"/>
      <c r="AV2253" s="36"/>
      <c r="AW2253" s="36"/>
      <c r="AX2253" s="25"/>
      <c r="AY2253" s="25"/>
      <c r="AZ2253" s="25"/>
      <c r="BA2253" s="25"/>
      <c r="BB2253" s="25"/>
      <c r="BC2253" s="25"/>
      <c r="BD2253" s="25"/>
      <c r="BE2253" s="25"/>
      <c r="BF2253" s="25"/>
      <c r="BG2253" s="25"/>
      <c r="BH2253" s="25"/>
      <c r="BI2253" s="25"/>
      <c r="BJ2253" s="25"/>
      <c r="BK2253" s="25"/>
      <c r="BL2253" s="25"/>
      <c r="BM2253" s="25"/>
      <c r="BN2253" s="25"/>
      <c r="BO2253" s="25"/>
      <c r="BP2253" s="25"/>
      <c r="BQ2253" s="25"/>
      <c r="BR2253" s="25"/>
      <c r="BS2253" s="25"/>
      <c r="BT2253" s="25"/>
      <c r="BU2253"/>
      <c r="BV2253"/>
      <c r="BW2253"/>
      <c r="BX2253"/>
      <c r="BY2253"/>
      <c r="BZ2253"/>
      <c r="CA2253"/>
      <c r="CB2253"/>
      <c r="CC2253"/>
      <c r="CD2253" s="25"/>
    </row>
    <row r="2254" spans="1:82" s="17" customFormat="1" x14ac:dyDescent="0.2">
      <c r="A2254" s="25"/>
      <c r="B2254" s="20">
        <v>39049000330</v>
      </c>
      <c r="C2254" s="20">
        <v>3.3</v>
      </c>
      <c r="D2254" s="20" t="s">
        <v>31</v>
      </c>
      <c r="E2254" s="20" t="s">
        <v>2830</v>
      </c>
      <c r="F2254" s="20" t="s">
        <v>6</v>
      </c>
      <c r="G2254" s="861">
        <v>40.628994378236001</v>
      </c>
      <c r="H2254" s="861">
        <v>43.4536582678043</v>
      </c>
      <c r="I2254" s="861">
        <v>44.456396327944503</v>
      </c>
      <c r="J2254" s="861">
        <v>31.542511233336199</v>
      </c>
      <c r="K2254" s="982">
        <v>0</v>
      </c>
      <c r="L2254" s="735">
        <v>2334</v>
      </c>
      <c r="M2254" s="735">
        <v>2517</v>
      </c>
      <c r="N2254" s="845">
        <f t="shared" si="176"/>
        <v>7.8406169665809766E-2</v>
      </c>
      <c r="O2254" s="735">
        <v>0.30727206697485576</v>
      </c>
      <c r="P2254" s="735">
        <f t="shared" si="177"/>
        <v>8191.4377209105942</v>
      </c>
      <c r="Q2254" s="849">
        <v>37.200000000000003</v>
      </c>
      <c r="R2254" s="71">
        <v>43728</v>
      </c>
      <c r="S2254" s="845">
        <v>0.21732220897894319</v>
      </c>
      <c r="T2254" s="845">
        <v>6.0999999999999999E-2</v>
      </c>
      <c r="U2254" s="845">
        <v>0</v>
      </c>
      <c r="V2254" s="845">
        <v>6.8000000000000005E-2</v>
      </c>
      <c r="W2254" s="845">
        <v>0.45554537121906508</v>
      </c>
      <c r="X2254" s="845">
        <v>0.35412474849094566</v>
      </c>
      <c r="Y2254" s="845">
        <v>0.56734207389749702</v>
      </c>
      <c r="Z2254" s="845">
        <v>0.26023043305522447</v>
      </c>
      <c r="AA2254" s="845">
        <v>5.5621771950735005E-3</v>
      </c>
      <c r="AB2254" s="845">
        <v>2.6618990862137464E-2</v>
      </c>
      <c r="AC2254" s="845">
        <v>0</v>
      </c>
      <c r="AD2254" s="845">
        <v>3.2181168057210968E-2</v>
      </c>
      <c r="AE2254" s="845">
        <v>0.10806515693285658</v>
      </c>
      <c r="AF2254" s="845">
        <v>4.6881207787048074E-2</v>
      </c>
      <c r="AG2254" s="845">
        <v>0.54986094557012322</v>
      </c>
      <c r="AH2254" s="20" t="str">
        <f t="shared" si="178"/>
        <v>No</v>
      </c>
      <c r="AI2254" s="25"/>
      <c r="AJ2254" s="25"/>
      <c r="AK2254" s="25"/>
      <c r="AL2254" s="25"/>
      <c r="AM2254" s="25"/>
      <c r="AN2254" s="25"/>
      <c r="AO2254" s="25"/>
      <c r="AP2254" s="25"/>
      <c r="AQ2254" s="25"/>
      <c r="AR2254" s="25"/>
      <c r="AS2254" s="25"/>
      <c r="AT2254" s="25"/>
      <c r="AU2254" s="36"/>
      <c r="AV2254" s="36"/>
      <c r="AW2254" s="36"/>
      <c r="AX2254" s="25"/>
      <c r="AY2254" s="25"/>
      <c r="AZ2254" s="25"/>
      <c r="BA2254" s="25"/>
      <c r="BB2254" s="25"/>
      <c r="BC2254" s="25"/>
      <c r="BD2254" s="25"/>
      <c r="BE2254" s="25"/>
      <c r="BF2254" s="25"/>
      <c r="BG2254" s="25"/>
      <c r="BH2254" s="25"/>
      <c r="BI2254" s="25"/>
      <c r="BJ2254" s="25"/>
      <c r="BK2254" s="25"/>
      <c r="BL2254" s="25"/>
      <c r="BM2254" s="25"/>
      <c r="BN2254" s="25"/>
      <c r="BO2254" s="25"/>
      <c r="BP2254" s="25"/>
      <c r="BQ2254" s="25"/>
      <c r="BR2254" s="25"/>
      <c r="BS2254" s="25"/>
      <c r="BT2254" s="25"/>
      <c r="BU2254"/>
      <c r="BV2254"/>
      <c r="BW2254"/>
      <c r="BX2254"/>
      <c r="BY2254"/>
      <c r="BZ2254"/>
      <c r="CA2254"/>
      <c r="CB2254"/>
      <c r="CC2254"/>
      <c r="CD2254" s="25"/>
    </row>
    <row r="2255" spans="1:82" s="17" customFormat="1" x14ac:dyDescent="0.2">
      <c r="A2255" s="25"/>
      <c r="B2255" s="20">
        <v>39051040800</v>
      </c>
      <c r="C2255" s="20">
        <v>408</v>
      </c>
      <c r="D2255" s="20" t="s">
        <v>32</v>
      </c>
      <c r="E2255" s="20" t="s">
        <v>2839</v>
      </c>
      <c r="F2255" s="20" t="s">
        <v>8</v>
      </c>
      <c r="G2255" s="861">
        <v>40.602245856383</v>
      </c>
      <c r="H2255" s="861">
        <v>46.473105295449798</v>
      </c>
      <c r="I2255" s="861">
        <v>26.187042426671201</v>
      </c>
      <c r="J2255" s="861">
        <v>37.342592806862299</v>
      </c>
      <c r="K2255" s="982">
        <v>0</v>
      </c>
      <c r="L2255" s="735">
        <v>4766</v>
      </c>
      <c r="M2255" s="735">
        <v>4846</v>
      </c>
      <c r="N2255" s="845">
        <f t="shared" si="176"/>
        <v>1.6785564414603441E-2</v>
      </c>
      <c r="O2255" s="735">
        <v>114.06897115060502</v>
      </c>
      <c r="P2255" s="735">
        <f t="shared" si="177"/>
        <v>42.483069244149107</v>
      </c>
      <c r="Q2255" s="849">
        <v>40.1</v>
      </c>
      <c r="R2255" s="71">
        <v>65639</v>
      </c>
      <c r="S2255" s="845">
        <v>0.16013206768468841</v>
      </c>
      <c r="T2255" s="845">
        <v>2.3E-2</v>
      </c>
      <c r="U2255" s="845">
        <v>6.9999999999999993E-3</v>
      </c>
      <c r="V2255" s="845">
        <v>0</v>
      </c>
      <c r="W2255" s="845">
        <v>0.19070772555375473</v>
      </c>
      <c r="X2255" s="845">
        <v>0.34560906515580736</v>
      </c>
      <c r="Y2255" s="845">
        <v>0.94758563763929016</v>
      </c>
      <c r="Z2255" s="845">
        <v>2.2699133305819231E-3</v>
      </c>
      <c r="AA2255" s="845">
        <v>1.4444903012794056E-3</v>
      </c>
      <c r="AB2255" s="845">
        <v>8.4605860503508042E-3</v>
      </c>
      <c r="AC2255" s="845">
        <v>0</v>
      </c>
      <c r="AD2255" s="845">
        <v>1.0317787866281469E-2</v>
      </c>
      <c r="AE2255" s="845">
        <v>2.9921584812216261E-2</v>
      </c>
      <c r="AF2255" s="845">
        <v>5.6128765992571196E-2</v>
      </c>
      <c r="AG2255" s="845">
        <v>0.91621956252579451</v>
      </c>
      <c r="AH2255" s="20" t="str">
        <f t="shared" si="178"/>
        <v>Yes</v>
      </c>
      <c r="AI2255" s="25"/>
      <c r="AJ2255" s="25"/>
      <c r="AK2255" s="25"/>
      <c r="AL2255" s="25"/>
      <c r="AM2255" s="25"/>
      <c r="AN2255" s="25"/>
      <c r="AO2255" s="25"/>
      <c r="AP2255" s="25"/>
      <c r="AQ2255" s="25"/>
      <c r="AR2255" s="25"/>
      <c r="AS2255" s="25"/>
      <c r="AT2255" s="25"/>
      <c r="AU2255" s="36"/>
      <c r="AV2255" s="36"/>
      <c r="AW2255" s="36"/>
      <c r="AX2255" s="25"/>
      <c r="AY2255" s="25"/>
      <c r="AZ2255" s="25"/>
      <c r="BA2255" s="25"/>
      <c r="BB2255" s="25"/>
      <c r="BC2255" s="25"/>
      <c r="BD2255" s="25"/>
      <c r="BE2255" s="25"/>
      <c r="BF2255" s="25"/>
      <c r="BG2255" s="25"/>
      <c r="BH2255" s="25"/>
      <c r="BI2255" s="25"/>
      <c r="BJ2255" s="25"/>
      <c r="BK2255" s="25"/>
      <c r="BL2255" s="25"/>
      <c r="BM2255" s="25"/>
      <c r="BN2255" s="25"/>
      <c r="BO2255" s="25"/>
      <c r="BP2255" s="25"/>
      <c r="BQ2255" s="25"/>
      <c r="BR2255" s="25"/>
      <c r="BS2255" s="25"/>
      <c r="BT2255" s="25"/>
      <c r="BU2255"/>
      <c r="BV2255"/>
      <c r="BW2255"/>
      <c r="BX2255"/>
      <c r="BY2255"/>
      <c r="BZ2255"/>
      <c r="CA2255"/>
      <c r="CB2255"/>
      <c r="CC2255"/>
      <c r="CD2255" s="25"/>
    </row>
    <row r="2256" spans="1:82" s="17" customFormat="1" x14ac:dyDescent="0.2">
      <c r="A2256" s="25"/>
      <c r="B2256" s="20">
        <v>39051040300</v>
      </c>
      <c r="C2256" s="20">
        <v>403</v>
      </c>
      <c r="D2256" s="20" t="s">
        <v>32</v>
      </c>
      <c r="E2256" s="20" t="s">
        <v>2839</v>
      </c>
      <c r="F2256" s="20" t="s">
        <v>8</v>
      </c>
      <c r="G2256" s="861">
        <v>40.570380700457903</v>
      </c>
      <c r="H2256" s="861">
        <v>53.801835533389401</v>
      </c>
      <c r="I2256" s="861">
        <v>22.938507615050298</v>
      </c>
      <c r="J2256" s="861">
        <v>43.188533351284697</v>
      </c>
      <c r="K2256" s="982">
        <v>0</v>
      </c>
      <c r="L2256" s="735">
        <v>4582</v>
      </c>
      <c r="M2256" s="735">
        <v>4787</v>
      </c>
      <c r="N2256" s="845">
        <f t="shared" si="176"/>
        <v>4.4740288083806201E-2</v>
      </c>
      <c r="O2256" s="735">
        <v>34.19669212303836</v>
      </c>
      <c r="P2256" s="735">
        <f t="shared" si="177"/>
        <v>139.98429973216594</v>
      </c>
      <c r="Q2256" s="849">
        <v>48.7</v>
      </c>
      <c r="R2256" s="71">
        <v>78209</v>
      </c>
      <c r="S2256" s="845">
        <v>9.1288907457697938E-2</v>
      </c>
      <c r="T2256" s="845">
        <v>8.6999999999999994E-2</v>
      </c>
      <c r="U2256" s="845">
        <v>0</v>
      </c>
      <c r="V2256" s="845">
        <v>0</v>
      </c>
      <c r="W2256" s="845">
        <v>8.5714285714285715E-2</v>
      </c>
      <c r="X2256" s="845">
        <v>0.4942528735632184</v>
      </c>
      <c r="Y2256" s="845">
        <v>0.91623146020472113</v>
      </c>
      <c r="Z2256" s="845">
        <v>6.2669730520158759E-4</v>
      </c>
      <c r="AA2256" s="845">
        <v>2.0889910173386254E-4</v>
      </c>
      <c r="AB2256" s="845">
        <v>0</v>
      </c>
      <c r="AC2256" s="845">
        <v>0</v>
      </c>
      <c r="AD2256" s="845">
        <v>1.2116147900564027E-2</v>
      </c>
      <c r="AE2256" s="845">
        <v>7.0816795487779402E-2</v>
      </c>
      <c r="AF2256" s="845">
        <v>5.4731564654271987E-2</v>
      </c>
      <c r="AG2256" s="845">
        <v>0.90787549613536667</v>
      </c>
      <c r="AH2256" s="20" t="str">
        <f t="shared" si="178"/>
        <v>Yes</v>
      </c>
      <c r="AI2256" s="25"/>
      <c r="AJ2256" s="25"/>
      <c r="AK2256" s="25"/>
      <c r="AL2256" s="25"/>
      <c r="AM2256" s="25"/>
      <c r="AN2256" s="25"/>
      <c r="AO2256" s="25"/>
      <c r="AP2256" s="25"/>
      <c r="AQ2256" s="25"/>
      <c r="AR2256" s="25"/>
      <c r="AS2256" s="25"/>
      <c r="AT2256" s="25"/>
      <c r="AU2256" s="36"/>
      <c r="AV2256" s="36"/>
      <c r="AW2256" s="36"/>
      <c r="AX2256" s="25"/>
      <c r="AY2256" s="25"/>
      <c r="AZ2256" s="25"/>
      <c r="BA2256" s="25"/>
      <c r="BB2256" s="25"/>
      <c r="BC2256" s="25"/>
      <c r="BD2256" s="25"/>
      <c r="BE2256" s="25"/>
      <c r="BF2256" s="25"/>
      <c r="BG2256" s="25"/>
      <c r="BH2256" s="25"/>
      <c r="BI2256" s="25"/>
      <c r="BJ2256" s="25"/>
      <c r="BK2256" s="25"/>
      <c r="BL2256" s="25"/>
      <c r="BM2256" s="25"/>
      <c r="BN2256" s="25"/>
      <c r="BO2256" s="25"/>
      <c r="BP2256" s="25"/>
      <c r="BQ2256" s="25"/>
      <c r="BR2256" s="25"/>
      <c r="BS2256" s="25"/>
      <c r="BT2256" s="25"/>
      <c r="BU2256"/>
      <c r="BV2256"/>
      <c r="BW2256"/>
      <c r="BX2256"/>
      <c r="BY2256"/>
      <c r="BZ2256"/>
      <c r="CA2256"/>
      <c r="CB2256"/>
      <c r="CC2256"/>
      <c r="CD2256" s="25"/>
    </row>
    <row r="2257" spans="1:82" s="17" customFormat="1" x14ac:dyDescent="0.2">
      <c r="A2257" s="25"/>
      <c r="B2257" s="20">
        <v>39081011300</v>
      </c>
      <c r="C2257" s="20">
        <v>113</v>
      </c>
      <c r="D2257" s="20" t="s">
        <v>47</v>
      </c>
      <c r="E2257" s="20" t="s">
        <v>2840</v>
      </c>
      <c r="F2257" s="20" t="s">
        <v>8</v>
      </c>
      <c r="G2257" s="861">
        <v>40.561000371187397</v>
      </c>
      <c r="H2257" s="861">
        <v>44.434912932326299</v>
      </c>
      <c r="I2257" s="861">
        <v>42.627163084531198</v>
      </c>
      <c r="J2257" s="861">
        <v>32.877981666449799</v>
      </c>
      <c r="K2257" s="982">
        <v>0</v>
      </c>
      <c r="L2257" s="735">
        <v>2633</v>
      </c>
      <c r="M2257" s="735">
        <v>2601</v>
      </c>
      <c r="N2257" s="845">
        <f t="shared" si="176"/>
        <v>-1.2153437143942271E-2</v>
      </c>
      <c r="O2257" s="735">
        <v>0.64510025878072474</v>
      </c>
      <c r="P2257" s="735">
        <f t="shared" si="177"/>
        <v>4031.9314162360347</v>
      </c>
      <c r="Q2257" s="849">
        <v>42</v>
      </c>
      <c r="R2257" s="71">
        <v>58355</v>
      </c>
      <c r="S2257" s="845">
        <v>8.5351787773933097E-2</v>
      </c>
      <c r="T2257" s="845">
        <v>2.5000000000000001E-2</v>
      </c>
      <c r="U2257" s="845">
        <v>0</v>
      </c>
      <c r="V2257" s="845">
        <v>0.24600000000000002</v>
      </c>
      <c r="W2257" s="845">
        <v>0.23842794759825328</v>
      </c>
      <c r="X2257" s="845">
        <v>0.34432234432234432</v>
      </c>
      <c r="Y2257" s="845">
        <v>0.97693194925028837</v>
      </c>
      <c r="Z2257" s="845">
        <v>9.6116878123798533E-3</v>
      </c>
      <c r="AA2257" s="845">
        <v>0</v>
      </c>
      <c r="AB2257" s="845">
        <v>0</v>
      </c>
      <c r="AC2257" s="845">
        <v>0</v>
      </c>
      <c r="AD2257" s="845">
        <v>0</v>
      </c>
      <c r="AE2257" s="845">
        <v>1.3456362937331795E-2</v>
      </c>
      <c r="AF2257" s="845">
        <v>0</v>
      </c>
      <c r="AG2257" s="845">
        <v>0.97693194925028837</v>
      </c>
      <c r="AH2257" s="20" t="str">
        <f t="shared" si="178"/>
        <v>Yes</v>
      </c>
      <c r="AI2257" s="25"/>
      <c r="AJ2257" s="25"/>
      <c r="AK2257" s="25"/>
      <c r="AL2257" s="25"/>
      <c r="AM2257" s="25"/>
      <c r="AN2257" s="25"/>
      <c r="AO2257" s="25"/>
      <c r="AP2257" s="25"/>
      <c r="AQ2257" s="25"/>
      <c r="AR2257" s="25"/>
      <c r="AS2257" s="25"/>
      <c r="AT2257" s="25"/>
      <c r="AU2257" s="36"/>
      <c r="AV2257" s="36"/>
      <c r="AW2257" s="36"/>
      <c r="AX2257" s="25"/>
      <c r="AY2257" s="25"/>
      <c r="AZ2257" s="25"/>
      <c r="BA2257" s="25"/>
      <c r="BB2257" s="25"/>
      <c r="BC2257" s="25"/>
      <c r="BD2257" s="25"/>
      <c r="BE2257" s="25"/>
      <c r="BF2257" s="25"/>
      <c r="BG2257" s="25"/>
      <c r="BH2257" s="25"/>
      <c r="BI2257" s="25"/>
      <c r="BJ2257" s="25"/>
      <c r="BK2257" s="25"/>
      <c r="BL2257" s="25"/>
      <c r="BM2257" s="25"/>
      <c r="BN2257" s="25"/>
      <c r="BO2257" s="25"/>
      <c r="BP2257" s="25"/>
      <c r="BQ2257" s="25"/>
      <c r="BR2257" s="25"/>
      <c r="BS2257" s="25"/>
      <c r="BT2257" s="25"/>
      <c r="BU2257"/>
      <c r="BV2257"/>
      <c r="BW2257"/>
      <c r="BX2257"/>
      <c r="BY2257"/>
      <c r="BZ2257"/>
      <c r="CA2257"/>
      <c r="CB2257"/>
      <c r="CC2257"/>
      <c r="CD2257" s="25"/>
    </row>
    <row r="2258" spans="1:82" s="17" customFormat="1" x14ac:dyDescent="0.2">
      <c r="A2258" s="25"/>
      <c r="B2258" s="20">
        <v>39133601704</v>
      </c>
      <c r="C2258" s="20">
        <v>6017.04</v>
      </c>
      <c r="D2258" s="20" t="s">
        <v>72</v>
      </c>
      <c r="E2258" s="20" t="s">
        <v>2843</v>
      </c>
      <c r="F2258" s="20" t="s">
        <v>8</v>
      </c>
      <c r="G2258" s="861">
        <v>40.511826088460801</v>
      </c>
      <c r="H2258" s="861">
        <v>62.291335409572802</v>
      </c>
      <c r="I2258" s="861">
        <v>24.9493418101621</v>
      </c>
      <c r="J2258" s="861">
        <v>39.457377133735797</v>
      </c>
      <c r="K2258" s="982">
        <v>0</v>
      </c>
      <c r="L2258" s="735" t="s">
        <v>2466</v>
      </c>
      <c r="M2258" s="735">
        <v>3542</v>
      </c>
      <c r="N2258" s="845" t="str">
        <f t="shared" si="176"/>
        <v/>
      </c>
      <c r="O2258" s="735">
        <v>4.6000778744887754</v>
      </c>
      <c r="P2258" s="735">
        <f t="shared" si="177"/>
        <v>769.98696470842606</v>
      </c>
      <c r="Q2258" s="849">
        <v>44</v>
      </c>
      <c r="R2258" s="71">
        <v>84458</v>
      </c>
      <c r="S2258" s="845">
        <v>5.7975194692817998E-2</v>
      </c>
      <c r="T2258" s="845">
        <v>2.5000000000000001E-2</v>
      </c>
      <c r="U2258" s="845">
        <v>0</v>
      </c>
      <c r="V2258" s="845">
        <v>0.13800000000000001</v>
      </c>
      <c r="W2258" s="845">
        <v>0.22867383512544803</v>
      </c>
      <c r="X2258" s="845">
        <v>0.62382445141065834</v>
      </c>
      <c r="Y2258" s="845">
        <v>0.84048560135516659</v>
      </c>
      <c r="Z2258" s="845">
        <v>4.7713156408808584E-2</v>
      </c>
      <c r="AA2258" s="845">
        <v>0</v>
      </c>
      <c r="AB2258" s="845">
        <v>3.7267080745341616E-2</v>
      </c>
      <c r="AC2258" s="845">
        <v>0</v>
      </c>
      <c r="AD2258" s="845">
        <v>1.2987012987012988E-2</v>
      </c>
      <c r="AE2258" s="845">
        <v>6.154714850367024E-2</v>
      </c>
      <c r="AF2258" s="845">
        <v>5.844155844155844E-2</v>
      </c>
      <c r="AG2258" s="845">
        <v>0.81253529079616038</v>
      </c>
      <c r="AH2258" s="20" t="str">
        <f t="shared" si="178"/>
        <v>No</v>
      </c>
      <c r="AI2258" s="25"/>
      <c r="AJ2258" s="25"/>
      <c r="AK2258" s="25"/>
      <c r="AL2258" s="25"/>
      <c r="AM2258" s="25"/>
      <c r="AN2258" s="25"/>
      <c r="AO2258" s="25"/>
      <c r="AP2258" s="25"/>
      <c r="AQ2258" s="25"/>
      <c r="AR2258" s="25"/>
      <c r="AS2258" s="25"/>
      <c r="AT2258" s="25"/>
      <c r="AU2258" s="36"/>
      <c r="AV2258" s="36"/>
      <c r="AW2258" s="36"/>
      <c r="AX2258" s="25"/>
      <c r="AY2258" s="25"/>
      <c r="AZ2258" s="25"/>
      <c r="BA2258" s="25"/>
      <c r="BB2258" s="25"/>
      <c r="BC2258" s="25"/>
      <c r="BD2258" s="25"/>
      <c r="BE2258" s="25"/>
      <c r="BF2258" s="25"/>
      <c r="BG2258" s="25"/>
      <c r="BH2258" s="25"/>
      <c r="BI2258" s="25"/>
      <c r="BJ2258" s="25"/>
      <c r="BK2258" s="25"/>
      <c r="BL2258" s="25"/>
      <c r="BM2258" s="25"/>
      <c r="BN2258" s="25"/>
      <c r="BO2258" s="25"/>
      <c r="BP2258" s="25"/>
      <c r="BQ2258" s="25"/>
      <c r="BR2258" s="25"/>
      <c r="BS2258" s="25"/>
      <c r="BT2258" s="25"/>
      <c r="BU2258"/>
      <c r="BV2258"/>
      <c r="BW2258"/>
      <c r="BX2258"/>
      <c r="BY2258"/>
      <c r="BZ2258"/>
      <c r="CA2258"/>
      <c r="CB2258"/>
      <c r="CC2258"/>
      <c r="CD2258" s="25"/>
    </row>
    <row r="2259" spans="1:82" s="17" customFormat="1" x14ac:dyDescent="0.2">
      <c r="A2259" s="25"/>
      <c r="B2259" s="20">
        <v>39061006400</v>
      </c>
      <c r="C2259" s="20">
        <v>64</v>
      </c>
      <c r="D2259" s="20" t="s">
        <v>37</v>
      </c>
      <c r="E2259" s="20" t="s">
        <v>2828</v>
      </c>
      <c r="F2259" s="20" t="s">
        <v>6</v>
      </c>
      <c r="G2259" s="861">
        <v>40.501139010296001</v>
      </c>
      <c r="H2259" s="861">
        <v>58.9290890824157</v>
      </c>
      <c r="I2259" s="861">
        <v>58.436876338876097</v>
      </c>
      <c r="J2259" s="861">
        <v>41.321720035763903</v>
      </c>
      <c r="K2259" s="982">
        <v>0</v>
      </c>
      <c r="L2259" s="735">
        <v>3141</v>
      </c>
      <c r="M2259" s="735">
        <v>2941</v>
      </c>
      <c r="N2259" s="845">
        <f t="shared" si="176"/>
        <v>-6.3673989175421844E-2</v>
      </c>
      <c r="O2259" s="735">
        <v>1.1911761247429047</v>
      </c>
      <c r="P2259" s="735">
        <f t="shared" si="177"/>
        <v>2468.9883711653183</v>
      </c>
      <c r="Q2259" s="849">
        <v>55.8</v>
      </c>
      <c r="R2259" s="71">
        <v>41324</v>
      </c>
      <c r="S2259" s="845">
        <v>0.17468175388967469</v>
      </c>
      <c r="T2259" s="845">
        <v>0.16</v>
      </c>
      <c r="U2259" s="845">
        <v>0</v>
      </c>
      <c r="V2259" s="845">
        <v>0</v>
      </c>
      <c r="W2259" s="845">
        <v>0.52527075812274371</v>
      </c>
      <c r="X2259" s="845">
        <v>0.55784650630011456</v>
      </c>
      <c r="Y2259" s="845">
        <v>0.13294797687861271</v>
      </c>
      <c r="Z2259" s="845">
        <v>0.82590955457327442</v>
      </c>
      <c r="AA2259" s="845">
        <v>1.0200612036722204E-3</v>
      </c>
      <c r="AB2259" s="845">
        <v>0</v>
      </c>
      <c r="AC2259" s="845">
        <v>0</v>
      </c>
      <c r="AD2259" s="845">
        <v>1.1220673240394424E-2</v>
      </c>
      <c r="AE2259" s="845">
        <v>2.8901734104046242E-2</v>
      </c>
      <c r="AF2259" s="845">
        <v>1.1220673240394424E-2</v>
      </c>
      <c r="AG2259" s="845">
        <v>0.13294797687861271</v>
      </c>
      <c r="AH2259" s="20" t="str">
        <f t="shared" si="178"/>
        <v>No</v>
      </c>
      <c r="AI2259" s="25"/>
      <c r="AJ2259" s="25"/>
      <c r="AK2259" s="25"/>
      <c r="AL2259" s="25"/>
      <c r="AM2259" s="25"/>
      <c r="AN2259" s="25"/>
      <c r="AO2259" s="25"/>
      <c r="AP2259" s="25"/>
      <c r="AQ2259" s="25"/>
      <c r="AR2259" s="25"/>
      <c r="AS2259" s="25"/>
      <c r="AT2259" s="25"/>
      <c r="AU2259" s="36"/>
      <c r="AV2259" s="36"/>
      <c r="AW2259" s="36"/>
      <c r="AX2259" s="25"/>
      <c r="AY2259" s="25"/>
      <c r="AZ2259" s="25"/>
      <c r="BA2259" s="25"/>
      <c r="BB2259" s="25"/>
      <c r="BC2259" s="25"/>
      <c r="BD2259" s="25"/>
      <c r="BE2259" s="25"/>
      <c r="BF2259" s="25"/>
      <c r="BG2259" s="25"/>
      <c r="BH2259" s="25"/>
      <c r="BI2259" s="25"/>
      <c r="BJ2259" s="25"/>
      <c r="BK2259" s="25"/>
      <c r="BL2259" s="25"/>
      <c r="BM2259" s="25"/>
      <c r="BN2259" s="25"/>
      <c r="BO2259" s="25"/>
      <c r="BP2259" s="25"/>
      <c r="BQ2259" s="25"/>
      <c r="BR2259" s="25"/>
      <c r="BS2259" s="25"/>
      <c r="BT2259" s="25"/>
      <c r="BU2259"/>
      <c r="BV2259"/>
      <c r="BW2259"/>
      <c r="BX2259"/>
      <c r="BY2259"/>
      <c r="BZ2259"/>
      <c r="CA2259"/>
      <c r="CB2259"/>
      <c r="CC2259"/>
      <c r="CD2259" s="25"/>
    </row>
    <row r="2260" spans="1:82" s="17" customFormat="1" x14ac:dyDescent="0.2">
      <c r="A2260" s="25"/>
      <c r="B2260" s="20">
        <v>39113001600</v>
      </c>
      <c r="C2260" s="20">
        <v>16</v>
      </c>
      <c r="D2260" s="20" t="s">
        <v>62</v>
      </c>
      <c r="E2260" s="20" t="s">
        <v>2833</v>
      </c>
      <c r="F2260" s="20" t="s">
        <v>6</v>
      </c>
      <c r="G2260" s="861">
        <v>40.466325926164401</v>
      </c>
      <c r="H2260" s="861">
        <v>55.4227362624964</v>
      </c>
      <c r="I2260" s="861">
        <v>45.538967775315001</v>
      </c>
      <c r="J2260" s="861">
        <v>37.119779471869599</v>
      </c>
      <c r="K2260" s="982">
        <v>0</v>
      </c>
      <c r="L2260" s="735">
        <v>2167</v>
      </c>
      <c r="M2260" s="735">
        <v>2048</v>
      </c>
      <c r="N2260" s="845">
        <f t="shared" si="176"/>
        <v>-5.4914628518689432E-2</v>
      </c>
      <c r="O2260" s="735">
        <v>1.4108632336539955</v>
      </c>
      <c r="P2260" s="735">
        <f t="shared" si="177"/>
        <v>1451.5935713314207</v>
      </c>
      <c r="Q2260" s="849">
        <v>37.4</v>
      </c>
      <c r="R2260" s="71">
        <v>46292</v>
      </c>
      <c r="S2260" s="845">
        <v>0.3349609375</v>
      </c>
      <c r="T2260" s="845">
        <v>9.6999999999999989E-2</v>
      </c>
      <c r="U2260" s="845">
        <v>0</v>
      </c>
      <c r="V2260" s="845">
        <v>0</v>
      </c>
      <c r="W2260" s="845">
        <v>0.39059304703476483</v>
      </c>
      <c r="X2260" s="845">
        <v>0.48952879581151831</v>
      </c>
      <c r="Y2260" s="845">
        <v>0.7666015625</v>
      </c>
      <c r="Z2260" s="845">
        <v>0.14794921875</v>
      </c>
      <c r="AA2260" s="845">
        <v>0</v>
      </c>
      <c r="AB2260" s="845">
        <v>0</v>
      </c>
      <c r="AC2260" s="845">
        <v>0</v>
      </c>
      <c r="AD2260" s="845">
        <v>1.26953125E-2</v>
      </c>
      <c r="AE2260" s="845">
        <v>7.275390625E-2</v>
      </c>
      <c r="AF2260" s="845">
        <v>0.13037109375</v>
      </c>
      <c r="AG2260" s="845">
        <v>0.7021484375</v>
      </c>
      <c r="AH2260" s="20" t="str">
        <f t="shared" si="178"/>
        <v>No</v>
      </c>
      <c r="AI2260" s="25"/>
      <c r="AJ2260" s="25"/>
      <c r="AK2260" s="25"/>
      <c r="AL2260" s="25"/>
      <c r="AM2260" s="25"/>
      <c r="AN2260" s="25"/>
      <c r="AO2260" s="25"/>
      <c r="AP2260" s="25"/>
      <c r="AQ2260" s="25"/>
      <c r="AR2260" s="25"/>
      <c r="AS2260" s="25"/>
      <c r="AT2260" s="25"/>
      <c r="AU2260" s="36"/>
      <c r="AV2260" s="36"/>
      <c r="AW2260" s="36"/>
      <c r="AX2260" s="25"/>
      <c r="AY2260" s="25"/>
      <c r="AZ2260" s="25"/>
      <c r="BA2260" s="25"/>
      <c r="BB2260" s="25"/>
      <c r="BC2260" s="25"/>
      <c r="BD2260" s="25"/>
      <c r="BE2260" s="25"/>
      <c r="BF2260" s="25"/>
      <c r="BG2260" s="25"/>
      <c r="BH2260" s="25"/>
      <c r="BI2260" s="25"/>
      <c r="BJ2260" s="25"/>
      <c r="BK2260" s="25"/>
      <c r="BL2260" s="25"/>
      <c r="BM2260" s="25"/>
      <c r="BN2260" s="25"/>
      <c r="BO2260" s="25"/>
      <c r="BP2260" s="25"/>
      <c r="BQ2260" s="25"/>
      <c r="BR2260" s="25"/>
      <c r="BS2260" s="25"/>
      <c r="BT2260" s="25"/>
      <c r="BU2260"/>
      <c r="BV2260"/>
      <c r="BW2260"/>
      <c r="BX2260"/>
      <c r="BY2260"/>
      <c r="BZ2260"/>
      <c r="CA2260"/>
      <c r="CB2260"/>
      <c r="CC2260"/>
      <c r="CD2260" s="25"/>
    </row>
    <row r="2261" spans="1:82" s="17" customFormat="1" x14ac:dyDescent="0.2">
      <c r="A2261" s="25"/>
      <c r="B2261" s="20">
        <v>39085204200</v>
      </c>
      <c r="C2261" s="20">
        <v>2042</v>
      </c>
      <c r="D2261" s="20" t="s">
        <v>48</v>
      </c>
      <c r="E2261" s="20" t="s">
        <v>2829</v>
      </c>
      <c r="F2261" s="20" t="s">
        <v>8</v>
      </c>
      <c r="G2261" s="861">
        <v>40.456711583126499</v>
      </c>
      <c r="H2261" s="861">
        <v>46.704761396147703</v>
      </c>
      <c r="I2261" s="861">
        <v>39.645297901614299</v>
      </c>
      <c r="J2261" s="861">
        <v>45.754864837362902</v>
      </c>
      <c r="K2261" s="982">
        <v>0</v>
      </c>
      <c r="L2261" s="735">
        <v>4366</v>
      </c>
      <c r="M2261" s="735">
        <v>4505</v>
      </c>
      <c r="N2261" s="845">
        <f t="shared" si="176"/>
        <v>3.1836921667430143E-2</v>
      </c>
      <c r="O2261" s="735">
        <v>2.1952857536477262</v>
      </c>
      <c r="P2261" s="735">
        <f t="shared" si="177"/>
        <v>2052.1246459666636</v>
      </c>
      <c r="Q2261" s="849">
        <v>35.1</v>
      </c>
      <c r="R2261" s="71">
        <v>47163</v>
      </c>
      <c r="S2261" s="845">
        <v>0.23196448390677027</v>
      </c>
      <c r="T2261" s="845">
        <v>6.9000000000000006E-2</v>
      </c>
      <c r="U2261" s="845">
        <v>0</v>
      </c>
      <c r="V2261" s="845">
        <v>3.3000000000000002E-2</v>
      </c>
      <c r="W2261" s="845">
        <v>0.54338188727042436</v>
      </c>
      <c r="X2261" s="845">
        <v>0.36713286713286714</v>
      </c>
      <c r="Y2261" s="845">
        <v>0.54073251942286349</v>
      </c>
      <c r="Z2261" s="845">
        <v>0.15005549389567147</v>
      </c>
      <c r="AA2261" s="845">
        <v>0</v>
      </c>
      <c r="AB2261" s="845">
        <v>0</v>
      </c>
      <c r="AC2261" s="845">
        <v>0</v>
      </c>
      <c r="AD2261" s="845">
        <v>8.1908990011098776E-2</v>
      </c>
      <c r="AE2261" s="845">
        <v>0.22730299667036627</v>
      </c>
      <c r="AF2261" s="845">
        <v>0.40577136514983353</v>
      </c>
      <c r="AG2261" s="845">
        <v>0.44350721420643729</v>
      </c>
      <c r="AH2261" s="20" t="str">
        <f t="shared" si="178"/>
        <v>No</v>
      </c>
      <c r="AI2261" s="25"/>
      <c r="AJ2261" s="25"/>
      <c r="AK2261" s="25"/>
      <c r="AL2261" s="25"/>
      <c r="AM2261" s="25"/>
      <c r="AN2261" s="25"/>
      <c r="AO2261" s="25"/>
      <c r="AP2261" s="25"/>
      <c r="AQ2261" s="25"/>
      <c r="AR2261" s="25"/>
      <c r="AS2261" s="25"/>
      <c r="AT2261" s="25"/>
      <c r="AU2261" s="36"/>
      <c r="AV2261" s="36"/>
      <c r="AW2261" s="36"/>
      <c r="AX2261" s="25"/>
      <c r="AY2261" s="25"/>
      <c r="AZ2261" s="25"/>
      <c r="BA2261" s="25"/>
      <c r="BB2261" s="25"/>
      <c r="BC2261" s="25"/>
      <c r="BD2261" s="25"/>
      <c r="BE2261" s="25"/>
      <c r="BF2261" s="25"/>
      <c r="BG2261" s="25"/>
      <c r="BH2261" s="25"/>
      <c r="BI2261" s="25"/>
      <c r="BJ2261" s="25"/>
      <c r="BK2261" s="25"/>
      <c r="BL2261" s="25"/>
      <c r="BM2261" s="25"/>
      <c r="BN2261" s="25"/>
      <c r="BO2261" s="25"/>
      <c r="BP2261" s="25"/>
      <c r="BQ2261" s="25"/>
      <c r="BR2261" s="25"/>
      <c r="BS2261" s="25"/>
      <c r="BT2261" s="25"/>
      <c r="BU2261"/>
      <c r="BV2261"/>
      <c r="BW2261"/>
      <c r="BX2261"/>
      <c r="BY2261"/>
      <c r="BZ2261"/>
      <c r="CA2261"/>
      <c r="CB2261"/>
      <c r="CC2261"/>
      <c r="CD2261" s="25"/>
    </row>
    <row r="2262" spans="1:82" s="17" customFormat="1" x14ac:dyDescent="0.2">
      <c r="A2262" s="25"/>
      <c r="B2262" s="20">
        <v>39013011900</v>
      </c>
      <c r="C2262" s="20">
        <v>119</v>
      </c>
      <c r="D2262" s="20" t="s">
        <v>13</v>
      </c>
      <c r="E2262" s="20" t="s">
        <v>2841</v>
      </c>
      <c r="F2262" s="20" t="s">
        <v>8</v>
      </c>
      <c r="G2262" s="861">
        <v>40.450137387847001</v>
      </c>
      <c r="H2262" s="861">
        <v>54.246005555904198</v>
      </c>
      <c r="I2262" s="861">
        <v>43.635481283548899</v>
      </c>
      <c r="J2262" s="861">
        <v>34.276180951916103</v>
      </c>
      <c r="K2262" s="982">
        <v>0</v>
      </c>
      <c r="L2262" s="735">
        <v>2862</v>
      </c>
      <c r="M2262" s="735">
        <v>2919</v>
      </c>
      <c r="N2262" s="845">
        <f t="shared" si="176"/>
        <v>1.9916142557651992E-2</v>
      </c>
      <c r="O2262" s="735">
        <v>0.78269702944698083</v>
      </c>
      <c r="P2262" s="735">
        <f t="shared" si="177"/>
        <v>3729.4123909764121</v>
      </c>
      <c r="Q2262" s="849">
        <v>36.799999999999997</v>
      </c>
      <c r="R2262" s="71">
        <v>50302</v>
      </c>
      <c r="S2262" s="845">
        <v>0.21703296703296704</v>
      </c>
      <c r="T2262" s="845">
        <v>0.214</v>
      </c>
      <c r="U2262" s="845">
        <v>0</v>
      </c>
      <c r="V2262" s="845">
        <v>7.400000000000001E-2</v>
      </c>
      <c r="W2262" s="845">
        <v>0.44351464435146443</v>
      </c>
      <c r="X2262" s="845">
        <v>0.32075471698113206</v>
      </c>
      <c r="Y2262" s="845">
        <v>0.7838300787941076</v>
      </c>
      <c r="Z2262" s="845">
        <v>9.797875984926345E-2</v>
      </c>
      <c r="AA2262" s="845">
        <v>0</v>
      </c>
      <c r="AB2262" s="845">
        <v>0</v>
      </c>
      <c r="AC2262" s="845">
        <v>0</v>
      </c>
      <c r="AD2262" s="845">
        <v>0</v>
      </c>
      <c r="AE2262" s="845">
        <v>0.11819116135662898</v>
      </c>
      <c r="AF2262" s="845">
        <v>0</v>
      </c>
      <c r="AG2262" s="845">
        <v>0.7838300787941076</v>
      </c>
      <c r="AH2262" s="20" t="str">
        <f t="shared" si="178"/>
        <v>No</v>
      </c>
      <c r="AI2262" s="25"/>
      <c r="AJ2262" s="25"/>
      <c r="AK2262" s="25"/>
      <c r="AL2262" s="25"/>
      <c r="AM2262" s="25"/>
      <c r="AN2262" s="25"/>
      <c r="AO2262" s="25"/>
      <c r="AP2262" s="25"/>
      <c r="AQ2262" s="25"/>
      <c r="AR2262" s="25"/>
      <c r="AS2262" s="25"/>
      <c r="AT2262" s="25"/>
      <c r="AU2262" s="36"/>
      <c r="AV2262" s="36"/>
      <c r="AW2262" s="36"/>
      <c r="AX2262" s="25"/>
      <c r="AY2262" s="25"/>
      <c r="AZ2262" s="25"/>
      <c r="BA2262" s="25"/>
      <c r="BB2262" s="25"/>
      <c r="BC2262" s="25"/>
      <c r="BD2262" s="25"/>
      <c r="BE2262" s="25"/>
      <c r="BF2262" s="25"/>
      <c r="BG2262" s="25"/>
      <c r="BH2262" s="25"/>
      <c r="BI2262" s="25"/>
      <c r="BJ2262" s="25"/>
      <c r="BK2262" s="25"/>
      <c r="BL2262" s="25"/>
      <c r="BM2262" s="25"/>
      <c r="BN2262" s="25"/>
      <c r="BO2262" s="25"/>
      <c r="BP2262" s="25"/>
      <c r="BQ2262" s="25"/>
      <c r="BR2262" s="25"/>
      <c r="BS2262" s="25"/>
      <c r="BT2262" s="25"/>
      <c r="BU2262"/>
      <c r="BV2262"/>
      <c r="BW2262"/>
      <c r="BX2262"/>
      <c r="BY2262"/>
      <c r="BZ2262"/>
      <c r="CA2262"/>
      <c r="CB2262"/>
      <c r="CC2262"/>
      <c r="CD2262" s="25"/>
    </row>
    <row r="2263" spans="1:82" s="17" customFormat="1" x14ac:dyDescent="0.2">
      <c r="A2263" s="25"/>
      <c r="B2263" s="20">
        <v>39119912300</v>
      </c>
      <c r="C2263" s="20">
        <v>9123</v>
      </c>
      <c r="D2263" s="20" t="s">
        <v>65</v>
      </c>
      <c r="E2263" s="20" t="s">
        <v>265</v>
      </c>
      <c r="F2263" s="20" t="s">
        <v>8</v>
      </c>
      <c r="G2263" s="861">
        <v>40.442239000081898</v>
      </c>
      <c r="H2263" s="861">
        <v>35.325311839350697</v>
      </c>
      <c r="I2263" s="861">
        <v>34.904388764420403</v>
      </c>
      <c r="J2263" s="861">
        <v>45.197958466518699</v>
      </c>
      <c r="K2263" s="982">
        <v>0</v>
      </c>
      <c r="L2263" s="735">
        <v>4297</v>
      </c>
      <c r="M2263" s="735">
        <v>4038</v>
      </c>
      <c r="N2263" s="845">
        <f t="shared" si="176"/>
        <v>-6.0274610193158017E-2</v>
      </c>
      <c r="O2263" s="735">
        <v>3.1272143562079906</v>
      </c>
      <c r="P2263" s="735">
        <f t="shared" si="177"/>
        <v>1291.2450315354824</v>
      </c>
      <c r="Q2263" s="849">
        <v>38.200000000000003</v>
      </c>
      <c r="R2263" s="71">
        <v>48350</v>
      </c>
      <c r="S2263" s="845">
        <v>0.13298662704309064</v>
      </c>
      <c r="T2263" s="845">
        <v>2.8999999999999998E-2</v>
      </c>
      <c r="U2263" s="845">
        <v>3.6000000000000004E-2</v>
      </c>
      <c r="V2263" s="845">
        <v>0</v>
      </c>
      <c r="W2263" s="845">
        <v>0.28648941942485079</v>
      </c>
      <c r="X2263" s="845">
        <v>0.45833333333333331</v>
      </c>
      <c r="Y2263" s="845">
        <v>0.9162951956414066</v>
      </c>
      <c r="Z2263" s="845">
        <v>3.0460624071322436E-2</v>
      </c>
      <c r="AA2263" s="845">
        <v>0</v>
      </c>
      <c r="AB2263" s="845">
        <v>0</v>
      </c>
      <c r="AC2263" s="845">
        <v>0</v>
      </c>
      <c r="AD2263" s="845">
        <v>4.2100049529470033E-3</v>
      </c>
      <c r="AE2263" s="845">
        <v>4.9034175334323922E-2</v>
      </c>
      <c r="AF2263" s="845">
        <v>3.4670629024269439E-3</v>
      </c>
      <c r="AG2263" s="845">
        <v>0.91282813273897967</v>
      </c>
      <c r="AH2263" s="20" t="str">
        <f t="shared" si="178"/>
        <v>Yes</v>
      </c>
      <c r="AI2263" s="25"/>
      <c r="AJ2263" s="25"/>
      <c r="AK2263" s="25"/>
      <c r="AL2263" s="25"/>
      <c r="AM2263" s="25"/>
      <c r="AN2263" s="25"/>
      <c r="AO2263" s="25"/>
      <c r="AP2263" s="25"/>
      <c r="AQ2263" s="25"/>
      <c r="AR2263" s="25"/>
      <c r="AS2263" s="25"/>
      <c r="AT2263" s="25"/>
      <c r="AU2263" s="36"/>
      <c r="AV2263" s="36"/>
      <c r="AW2263" s="36"/>
      <c r="AX2263" s="25"/>
      <c r="AY2263" s="25"/>
      <c r="AZ2263" s="25"/>
      <c r="BA2263" s="25"/>
      <c r="BB2263" s="25"/>
      <c r="BC2263" s="25"/>
      <c r="BD2263" s="25"/>
      <c r="BE2263" s="25"/>
      <c r="BF2263" s="25"/>
      <c r="BG2263" s="25"/>
      <c r="BH2263" s="25"/>
      <c r="BI2263" s="25"/>
      <c r="BJ2263" s="25"/>
      <c r="BK2263" s="25"/>
      <c r="BL2263" s="25"/>
      <c r="BM2263" s="25"/>
      <c r="BN2263" s="25"/>
      <c r="BO2263" s="25"/>
      <c r="BP2263" s="25"/>
      <c r="BQ2263" s="25"/>
      <c r="BR2263" s="25"/>
      <c r="BS2263" s="25"/>
      <c r="BT2263" s="25"/>
      <c r="BU2263"/>
      <c r="BV2263"/>
      <c r="BW2263"/>
      <c r="BX2263"/>
      <c r="BY2263"/>
      <c r="BZ2263"/>
      <c r="CA2263"/>
      <c r="CB2263"/>
      <c r="CC2263"/>
      <c r="CD2263" s="25"/>
    </row>
    <row r="2264" spans="1:82" s="17" customFormat="1" x14ac:dyDescent="0.2">
      <c r="A2264" s="25"/>
      <c r="B2264" s="20">
        <v>39077916600</v>
      </c>
      <c r="C2264" s="20">
        <v>9166</v>
      </c>
      <c r="D2264" s="20" t="s">
        <v>45</v>
      </c>
      <c r="E2264" s="20" t="s">
        <v>265</v>
      </c>
      <c r="F2264" s="20" t="s">
        <v>8</v>
      </c>
      <c r="G2264" s="861">
        <v>40.440733106275403</v>
      </c>
      <c r="H2264" s="861">
        <v>48.006518874098603</v>
      </c>
      <c r="I2264" s="861">
        <v>30.586810515716799</v>
      </c>
      <c r="J2264" s="861">
        <v>40.974977700701601</v>
      </c>
      <c r="K2264" s="982">
        <v>0</v>
      </c>
      <c r="L2264" s="735">
        <v>4026</v>
      </c>
      <c r="M2264" s="735">
        <v>4480</v>
      </c>
      <c r="N2264" s="845">
        <f t="shared" si="176"/>
        <v>0.11276701440635867</v>
      </c>
      <c r="O2264" s="735">
        <v>45.754495374884172</v>
      </c>
      <c r="P2264" s="735">
        <f t="shared" si="177"/>
        <v>97.913876293326751</v>
      </c>
      <c r="Q2264" s="849">
        <v>42.4</v>
      </c>
      <c r="R2264" s="71">
        <v>59019</v>
      </c>
      <c r="S2264" s="845">
        <v>0.12920962199312716</v>
      </c>
      <c r="T2264" s="845">
        <v>8.6999999999999994E-2</v>
      </c>
      <c r="U2264" s="845">
        <v>0</v>
      </c>
      <c r="V2264" s="845">
        <v>0.17600000000000002</v>
      </c>
      <c r="W2264" s="845">
        <v>0.2345258375922771</v>
      </c>
      <c r="X2264" s="845">
        <v>0.36561743341404357</v>
      </c>
      <c r="Y2264" s="845">
        <v>0.93459821428571432</v>
      </c>
      <c r="Z2264" s="845">
        <v>1.6741071428571428E-2</v>
      </c>
      <c r="AA2264" s="845">
        <v>0</v>
      </c>
      <c r="AB2264" s="845">
        <v>0</v>
      </c>
      <c r="AC2264" s="845">
        <v>0</v>
      </c>
      <c r="AD2264" s="845">
        <v>2.6785714285714286E-3</v>
      </c>
      <c r="AE2264" s="845">
        <v>4.598214285714286E-2</v>
      </c>
      <c r="AF2264" s="845">
        <v>2.2098214285714287E-2</v>
      </c>
      <c r="AG2264" s="845">
        <v>0.9241071428571429</v>
      </c>
      <c r="AH2264" s="20" t="str">
        <f t="shared" si="178"/>
        <v>Yes</v>
      </c>
      <c r="AI2264" s="25"/>
      <c r="AJ2264" s="25"/>
      <c r="AK2264" s="25"/>
      <c r="AL2264" s="25"/>
      <c r="AM2264" s="25"/>
      <c r="AN2264" s="25"/>
      <c r="AO2264" s="25"/>
      <c r="AP2264" s="25"/>
      <c r="AQ2264" s="25"/>
      <c r="AR2264" s="25"/>
      <c r="AS2264" s="25"/>
      <c r="AT2264" s="25"/>
      <c r="AU2264" s="36"/>
      <c r="AV2264" s="36"/>
      <c r="AW2264" s="36"/>
      <c r="AX2264" s="25"/>
      <c r="AY2264" s="25"/>
      <c r="AZ2264" s="25"/>
      <c r="BA2264" s="25"/>
      <c r="BB2264" s="25"/>
      <c r="BC2264" s="25"/>
      <c r="BD2264" s="25"/>
      <c r="BE2264" s="25"/>
      <c r="BF2264" s="25"/>
      <c r="BG2264" s="25"/>
      <c r="BH2264" s="25"/>
      <c r="BI2264" s="25"/>
      <c r="BJ2264" s="25"/>
      <c r="BK2264" s="25"/>
      <c r="BL2264" s="25"/>
      <c r="BM2264" s="25"/>
      <c r="BN2264" s="25"/>
      <c r="BO2264" s="25"/>
      <c r="BP2264" s="25"/>
      <c r="BQ2264" s="25"/>
      <c r="BR2264" s="25"/>
      <c r="BS2264" s="25"/>
      <c r="BT2264" s="25"/>
      <c r="BU2264"/>
      <c r="BV2264"/>
      <c r="BW2264"/>
      <c r="BX2264"/>
      <c r="BY2264"/>
      <c r="BZ2264"/>
      <c r="CA2264"/>
      <c r="CB2264"/>
      <c r="CC2264"/>
      <c r="CD2264" s="25"/>
    </row>
    <row r="2265" spans="1:82" s="17" customFormat="1" x14ac:dyDescent="0.2">
      <c r="A2265" s="25"/>
      <c r="B2265" s="20">
        <v>39049002900</v>
      </c>
      <c r="C2265" s="20">
        <v>29</v>
      </c>
      <c r="D2265" s="20" t="s">
        <v>31</v>
      </c>
      <c r="E2265" s="20" t="s">
        <v>2830</v>
      </c>
      <c r="F2265" s="20" t="s">
        <v>6</v>
      </c>
      <c r="G2265" s="861">
        <v>40.4223087890947</v>
      </c>
      <c r="H2265" s="861">
        <v>39.550908819595001</v>
      </c>
      <c r="I2265" s="861">
        <v>57.691992666000402</v>
      </c>
      <c r="J2265" s="861">
        <v>53.523587409723199</v>
      </c>
      <c r="K2265" s="982">
        <v>1</v>
      </c>
      <c r="L2265" s="735">
        <v>2527</v>
      </c>
      <c r="M2265" s="735">
        <v>3323</v>
      </c>
      <c r="N2265" s="845">
        <f t="shared" si="176"/>
        <v>0.31499802136921251</v>
      </c>
      <c r="O2265" s="735">
        <v>0.346267226686226</v>
      </c>
      <c r="P2265" s="735">
        <f t="shared" si="177"/>
        <v>9596.6344600413904</v>
      </c>
      <c r="Q2265" s="849">
        <v>22.2</v>
      </c>
      <c r="R2265" s="71">
        <v>20625</v>
      </c>
      <c r="S2265" s="845">
        <v>0.7445079747216371</v>
      </c>
      <c r="T2265" s="845">
        <v>0.33500000000000002</v>
      </c>
      <c r="U2265" s="845">
        <v>0</v>
      </c>
      <c r="V2265" s="845">
        <v>2.1000000000000001E-2</v>
      </c>
      <c r="W2265" s="845">
        <v>0.94991789819376027</v>
      </c>
      <c r="X2265" s="845">
        <v>0.57821953327571307</v>
      </c>
      <c r="Y2265" s="845">
        <v>9.3891062293108632E-2</v>
      </c>
      <c r="Z2265" s="845">
        <v>0.85374661450496536</v>
      </c>
      <c r="AA2265" s="845">
        <v>0</v>
      </c>
      <c r="AB2265" s="845">
        <v>3.0093289196509181E-4</v>
      </c>
      <c r="AC2265" s="845">
        <v>0</v>
      </c>
      <c r="AD2265" s="845">
        <v>1.5648510382184774E-2</v>
      </c>
      <c r="AE2265" s="845">
        <v>3.6412879927776108E-2</v>
      </c>
      <c r="AF2265" s="845">
        <v>9.6298525428829378E-3</v>
      </c>
      <c r="AG2265" s="845">
        <v>9.3891062293108632E-2</v>
      </c>
      <c r="AH2265" s="20" t="str">
        <f t="shared" si="178"/>
        <v>No</v>
      </c>
      <c r="AI2265" s="25"/>
      <c r="AJ2265" s="25"/>
      <c r="AK2265" s="25"/>
      <c r="AL2265" s="25"/>
      <c r="AM2265" s="25"/>
      <c r="AN2265" s="25"/>
      <c r="AO2265" s="25"/>
      <c r="AP2265" s="25"/>
      <c r="AQ2265" s="25"/>
      <c r="AR2265" s="25"/>
      <c r="AS2265" s="25"/>
      <c r="AT2265" s="25"/>
      <c r="AU2265" s="36"/>
      <c r="AV2265" s="36"/>
      <c r="AW2265" s="36"/>
      <c r="AX2265" s="25"/>
      <c r="AY2265" s="25"/>
      <c r="AZ2265" s="25"/>
      <c r="BA2265" s="25"/>
      <c r="BB2265" s="25"/>
      <c r="BC2265" s="25"/>
      <c r="BD2265" s="25"/>
      <c r="BE2265" s="25"/>
      <c r="BF2265" s="25"/>
      <c r="BG2265" s="25"/>
      <c r="BH2265" s="25"/>
      <c r="BI2265" s="25"/>
      <c r="BJ2265" s="25"/>
      <c r="BK2265" s="25"/>
      <c r="BL2265" s="25"/>
      <c r="BM2265" s="25"/>
      <c r="BN2265" s="25"/>
      <c r="BO2265" s="25"/>
      <c r="BP2265" s="25"/>
      <c r="BQ2265" s="25"/>
      <c r="BR2265" s="25"/>
      <c r="BS2265" s="25"/>
      <c r="BT2265" s="25"/>
      <c r="BU2265"/>
      <c r="BV2265"/>
      <c r="BW2265"/>
      <c r="BX2265"/>
      <c r="BY2265"/>
      <c r="BZ2265"/>
      <c r="CA2265"/>
      <c r="CB2265"/>
      <c r="CC2265"/>
      <c r="CD2265" s="25"/>
    </row>
    <row r="2266" spans="1:82" s="17" customFormat="1" x14ac:dyDescent="0.2">
      <c r="A2266" s="25"/>
      <c r="B2266" s="20">
        <v>39007000801</v>
      </c>
      <c r="C2266" s="20">
        <v>8.01</v>
      </c>
      <c r="D2266" s="20" t="s">
        <v>10</v>
      </c>
      <c r="E2266" s="20" t="s">
        <v>2829</v>
      </c>
      <c r="F2266" s="20" t="s">
        <v>8</v>
      </c>
      <c r="G2266" s="861">
        <v>40.392601012001002</v>
      </c>
      <c r="H2266" s="861">
        <v>45.8622410438429</v>
      </c>
      <c r="I2266" s="861">
        <v>31.411777653974202</v>
      </c>
      <c r="J2266" s="861">
        <v>49.258832613775901</v>
      </c>
      <c r="K2266" s="982">
        <v>0</v>
      </c>
      <c r="L2266" s="735">
        <v>1901</v>
      </c>
      <c r="M2266" s="735">
        <v>1361</v>
      </c>
      <c r="N2266" s="845">
        <f t="shared" si="176"/>
        <v>-0.28406102051551813</v>
      </c>
      <c r="O2266" s="735">
        <v>5.2519843421211689</v>
      </c>
      <c r="P2266" s="735">
        <f t="shared" si="177"/>
        <v>259.14014805503399</v>
      </c>
      <c r="Q2266" s="849">
        <v>49.5</v>
      </c>
      <c r="R2266" s="71">
        <v>50694</v>
      </c>
      <c r="S2266" s="845">
        <v>0.16017634092578986</v>
      </c>
      <c r="T2266" s="845">
        <v>5.2999999999999999E-2</v>
      </c>
      <c r="U2266" s="845">
        <v>6.0000000000000001E-3</v>
      </c>
      <c r="V2266" s="845">
        <v>9.6999999999999989E-2</v>
      </c>
      <c r="W2266" s="845">
        <v>0.310126582278481</v>
      </c>
      <c r="X2266" s="845">
        <v>0.37755102040816324</v>
      </c>
      <c r="Y2266" s="845">
        <v>0.91991182953710504</v>
      </c>
      <c r="Z2266" s="845">
        <v>1.3960323291697281E-2</v>
      </c>
      <c r="AA2266" s="845">
        <v>0</v>
      </c>
      <c r="AB2266" s="845">
        <v>1.1021307861866276E-2</v>
      </c>
      <c r="AC2266" s="845">
        <v>0</v>
      </c>
      <c r="AD2266" s="845">
        <v>2.9390154298310064E-3</v>
      </c>
      <c r="AE2266" s="845">
        <v>5.2167523879500369E-2</v>
      </c>
      <c r="AF2266" s="845">
        <v>2.9390154298310066E-2</v>
      </c>
      <c r="AG2266" s="845">
        <v>0.90080822924320347</v>
      </c>
      <c r="AH2266" s="20" t="str">
        <f t="shared" si="178"/>
        <v>Yes</v>
      </c>
      <c r="AI2266" s="25"/>
      <c r="AJ2266" s="25"/>
      <c r="AK2266" s="25"/>
      <c r="AL2266" s="25"/>
      <c r="AM2266" s="25"/>
      <c r="AN2266" s="25"/>
      <c r="AO2266" s="25"/>
      <c r="AP2266" s="25"/>
      <c r="AQ2266" s="25"/>
      <c r="AR2266" s="25"/>
      <c r="AS2266" s="25"/>
      <c r="AT2266" s="25"/>
      <c r="AU2266" s="36"/>
      <c r="AV2266" s="36"/>
      <c r="AW2266" s="36"/>
      <c r="AX2266" s="25"/>
      <c r="AY2266" s="25"/>
      <c r="AZ2266" s="25"/>
      <c r="BA2266" s="25"/>
      <c r="BB2266" s="25"/>
      <c r="BC2266" s="25"/>
      <c r="BD2266" s="25"/>
      <c r="BE2266" s="25"/>
      <c r="BF2266" s="25"/>
      <c r="BG2266" s="25"/>
      <c r="BH2266" s="25"/>
      <c r="BI2266" s="25"/>
      <c r="BJ2266" s="25"/>
      <c r="BK2266" s="25"/>
      <c r="BL2266" s="25"/>
      <c r="BM2266" s="25"/>
      <c r="BN2266" s="25"/>
      <c r="BO2266" s="25"/>
      <c r="BP2266" s="25"/>
      <c r="BQ2266" s="25"/>
      <c r="BR2266" s="25"/>
      <c r="BS2266" s="25"/>
      <c r="BT2266" s="25"/>
      <c r="BU2266"/>
      <c r="BV2266"/>
      <c r="BW2266"/>
      <c r="BX2266"/>
      <c r="BY2266"/>
      <c r="BZ2266"/>
      <c r="CA2266"/>
      <c r="CB2266"/>
      <c r="CC2266"/>
      <c r="CD2266" s="25"/>
    </row>
    <row r="2267" spans="1:82" s="17" customFormat="1" x14ac:dyDescent="0.2">
      <c r="A2267" s="25"/>
      <c r="B2267" s="20">
        <v>39035127501</v>
      </c>
      <c r="C2267" s="20">
        <v>1275.01</v>
      </c>
      <c r="D2267" s="20" t="s">
        <v>24</v>
      </c>
      <c r="E2267" s="20" t="s">
        <v>2829</v>
      </c>
      <c r="F2267" s="20" t="s">
        <v>8</v>
      </c>
      <c r="G2267" s="861">
        <v>40.3917715754773</v>
      </c>
      <c r="H2267" s="861">
        <v>44.462321284237802</v>
      </c>
      <c r="I2267" s="861">
        <v>64.808924569051399</v>
      </c>
      <c r="J2267" s="861">
        <v>39.905504959166301</v>
      </c>
      <c r="K2267" s="982">
        <v>0</v>
      </c>
      <c r="L2267" s="735">
        <v>3306</v>
      </c>
      <c r="M2267" s="735">
        <v>2194</v>
      </c>
      <c r="N2267" s="845">
        <f t="shared" si="176"/>
        <v>-0.33635813672111314</v>
      </c>
      <c r="O2267" s="735">
        <v>0.85303982341447893</v>
      </c>
      <c r="P2267" s="735">
        <f t="shared" si="177"/>
        <v>2571.9783998102621</v>
      </c>
      <c r="Q2267" s="849">
        <v>49.3</v>
      </c>
      <c r="R2267" s="71">
        <v>48689</v>
      </c>
      <c r="S2267" s="845">
        <v>0.1244302643573382</v>
      </c>
      <c r="T2267" s="845">
        <v>7.2000000000000008E-2</v>
      </c>
      <c r="U2267" s="845">
        <v>0</v>
      </c>
      <c r="V2267" s="845">
        <v>0</v>
      </c>
      <c r="W2267" s="845">
        <v>0.33787731256085685</v>
      </c>
      <c r="X2267" s="845">
        <v>0.55043227665706052</v>
      </c>
      <c r="Y2267" s="845">
        <v>1.9598906107566091E-2</v>
      </c>
      <c r="Z2267" s="845">
        <v>0.96080218778486781</v>
      </c>
      <c r="AA2267" s="845">
        <v>0</v>
      </c>
      <c r="AB2267" s="845">
        <v>0</v>
      </c>
      <c r="AC2267" s="845">
        <v>0</v>
      </c>
      <c r="AD2267" s="845">
        <v>0</v>
      </c>
      <c r="AE2267" s="845">
        <v>1.9598906107566091E-2</v>
      </c>
      <c r="AF2267" s="845">
        <v>0</v>
      </c>
      <c r="AG2267" s="845">
        <v>1.9598906107566091E-2</v>
      </c>
      <c r="AH2267" s="20" t="str">
        <f t="shared" si="178"/>
        <v>No</v>
      </c>
      <c r="AI2267" s="25"/>
      <c r="AJ2267" s="25"/>
      <c r="AK2267" s="25"/>
      <c r="AL2267" s="25"/>
      <c r="AM2267" s="25"/>
      <c r="AN2267" s="25"/>
      <c r="AO2267" s="25"/>
      <c r="AP2267" s="25"/>
      <c r="AQ2267" s="25"/>
      <c r="AR2267" s="25"/>
      <c r="AS2267" s="25"/>
      <c r="AT2267" s="25"/>
      <c r="AU2267" s="36"/>
      <c r="AV2267" s="36"/>
      <c r="AW2267" s="36"/>
      <c r="AX2267" s="25"/>
      <c r="AY2267" s="25"/>
      <c r="AZ2267" s="25"/>
      <c r="BA2267" s="25"/>
      <c r="BB2267" s="25"/>
      <c r="BC2267" s="25"/>
      <c r="BD2267" s="25"/>
      <c r="BE2267" s="25"/>
      <c r="BF2267" s="25"/>
      <c r="BG2267" s="25"/>
      <c r="BH2267" s="25"/>
      <c r="BI2267" s="25"/>
      <c r="BJ2267" s="25"/>
      <c r="BK2267" s="25"/>
      <c r="BL2267" s="25"/>
      <c r="BM2267" s="25"/>
      <c r="BN2267" s="25"/>
      <c r="BO2267" s="25"/>
      <c r="BP2267" s="25"/>
      <c r="BQ2267" s="25"/>
      <c r="BR2267" s="25"/>
      <c r="BS2267" s="25"/>
      <c r="BT2267" s="25"/>
      <c r="BU2267"/>
      <c r="BV2267"/>
      <c r="BW2267"/>
      <c r="BX2267"/>
      <c r="BY2267"/>
      <c r="BZ2267"/>
      <c r="CA2267"/>
      <c r="CB2267"/>
      <c r="CC2267"/>
      <c r="CD2267" s="25"/>
    </row>
    <row r="2268" spans="1:82" s="17" customFormat="1" x14ac:dyDescent="0.2">
      <c r="A2268" s="25"/>
      <c r="B2268" s="20">
        <v>39025041201</v>
      </c>
      <c r="C2268" s="20">
        <v>412.01</v>
      </c>
      <c r="D2268" s="20" t="s">
        <v>19</v>
      </c>
      <c r="E2268" s="20" t="s">
        <v>2828</v>
      </c>
      <c r="F2268" s="20" t="s">
        <v>8</v>
      </c>
      <c r="G2268" s="861">
        <v>40.384463386525901</v>
      </c>
      <c r="H2268" s="861">
        <v>43.765702986300099</v>
      </c>
      <c r="I2268" s="861">
        <v>31.603108653719602</v>
      </c>
      <c r="J2268" s="861">
        <v>33.679538995150303</v>
      </c>
      <c r="K2268" s="982">
        <v>0</v>
      </c>
      <c r="L2268" s="735" t="s">
        <v>2466</v>
      </c>
      <c r="M2268" s="735">
        <v>4033</v>
      </c>
      <c r="N2268" s="845" t="str">
        <f t="shared" si="176"/>
        <v/>
      </c>
      <c r="O2268" s="735">
        <v>1.5860192501038162</v>
      </c>
      <c r="P2268" s="735">
        <f t="shared" si="177"/>
        <v>2542.8442938104386</v>
      </c>
      <c r="Q2268" s="849">
        <v>38.799999999999997</v>
      </c>
      <c r="R2268" s="71">
        <v>72414</v>
      </c>
      <c r="S2268" s="845">
        <v>0.1027013251783894</v>
      </c>
      <c r="T2268" s="845">
        <v>4.4000000000000004E-2</v>
      </c>
      <c r="U2268" s="845">
        <v>0</v>
      </c>
      <c r="V2268" s="845">
        <v>0</v>
      </c>
      <c r="W2268" s="845">
        <v>0.46260069044879171</v>
      </c>
      <c r="X2268" s="845">
        <v>0.31467661691542287</v>
      </c>
      <c r="Y2268" s="845">
        <v>0.81948921398462682</v>
      </c>
      <c r="Z2268" s="845">
        <v>7.190676915447558E-3</v>
      </c>
      <c r="AA2268" s="845">
        <v>0</v>
      </c>
      <c r="AB2268" s="845">
        <v>0</v>
      </c>
      <c r="AC2268" s="845">
        <v>0</v>
      </c>
      <c r="AD2268" s="845">
        <v>3.7193156459211507E-2</v>
      </c>
      <c r="AE2268" s="845">
        <v>0.13612695264071412</v>
      </c>
      <c r="AF2268" s="845">
        <v>4.9590875278948676E-2</v>
      </c>
      <c r="AG2268" s="845">
        <v>0.8093230845524424</v>
      </c>
      <c r="AH2268" s="20" t="str">
        <f t="shared" si="178"/>
        <v>No</v>
      </c>
      <c r="AI2268" s="25"/>
      <c r="AJ2268" s="25"/>
      <c r="AK2268" s="25"/>
      <c r="AL2268" s="25"/>
      <c r="AM2268" s="25"/>
      <c r="AN2268" s="25"/>
      <c r="AO2268" s="25"/>
      <c r="AP2268" s="25"/>
      <c r="AQ2268" s="25"/>
      <c r="AR2268" s="25"/>
      <c r="AS2268" s="25"/>
      <c r="AT2268" s="25"/>
      <c r="AU2268" s="36"/>
      <c r="AV2268" s="36"/>
      <c r="AW2268" s="36"/>
      <c r="AX2268" s="25"/>
      <c r="AY2268" s="25"/>
      <c r="AZ2268" s="25"/>
      <c r="BA2268" s="25"/>
      <c r="BB2268" s="25"/>
      <c r="BC2268" s="25"/>
      <c r="BD2268" s="25"/>
      <c r="BE2268" s="25"/>
      <c r="BF2268" s="25"/>
      <c r="BG2268" s="25"/>
      <c r="BH2268" s="25"/>
      <c r="BI2268" s="25"/>
      <c r="BJ2268" s="25"/>
      <c r="BK2268" s="25"/>
      <c r="BL2268" s="25"/>
      <c r="BM2268" s="25"/>
      <c r="BN2268" s="25"/>
      <c r="BO2268" s="25"/>
      <c r="BP2268" s="25"/>
      <c r="BQ2268" s="25"/>
      <c r="BR2268" s="25"/>
      <c r="BS2268" s="25"/>
      <c r="BT2268" s="25"/>
      <c r="BU2268"/>
      <c r="BV2268"/>
      <c r="BW2268"/>
      <c r="BX2268"/>
      <c r="BY2268"/>
      <c r="BZ2268"/>
      <c r="CA2268"/>
      <c r="CB2268"/>
      <c r="CC2268"/>
      <c r="CD2268" s="25"/>
    </row>
    <row r="2269" spans="1:82" s="17" customFormat="1" x14ac:dyDescent="0.2">
      <c r="A2269" s="25"/>
      <c r="B2269" s="20">
        <v>39049001302</v>
      </c>
      <c r="C2269" s="20">
        <v>13.02</v>
      </c>
      <c r="D2269" s="20" t="s">
        <v>31</v>
      </c>
      <c r="E2269" s="20" t="s">
        <v>2830</v>
      </c>
      <c r="F2269" s="20" t="s">
        <v>6</v>
      </c>
      <c r="G2269" s="861">
        <v>40.378769690892902</v>
      </c>
      <c r="H2269" s="861">
        <v>67.285732676045996</v>
      </c>
      <c r="I2269" s="861">
        <v>63.212417442866403</v>
      </c>
      <c r="J2269" s="861">
        <v>47.350639842408803</v>
      </c>
      <c r="K2269" s="982">
        <v>0</v>
      </c>
      <c r="L2269" s="735" t="s">
        <v>2466</v>
      </c>
      <c r="M2269" s="735">
        <v>2385</v>
      </c>
      <c r="N2269" s="845" t="str">
        <f t="shared" si="176"/>
        <v/>
      </c>
      <c r="O2269" s="735">
        <v>0.12283415463247049</v>
      </c>
      <c r="P2269" s="735">
        <f t="shared" si="177"/>
        <v>19416.423771841866</v>
      </c>
      <c r="Q2269" s="849">
        <v>21.2</v>
      </c>
      <c r="R2269" s="71">
        <v>24265</v>
      </c>
      <c r="S2269" s="845">
        <v>0.60141342756183747</v>
      </c>
      <c r="T2269" s="845">
        <v>3.5000000000000003E-2</v>
      </c>
      <c r="U2269" s="845">
        <v>0</v>
      </c>
      <c r="V2269" s="845">
        <v>9.5000000000000001E-2</v>
      </c>
      <c r="W2269" s="845">
        <v>0.97569444444444442</v>
      </c>
      <c r="X2269" s="845">
        <v>0.76690391459074736</v>
      </c>
      <c r="Y2269" s="845">
        <v>0.84444444444444444</v>
      </c>
      <c r="Z2269" s="845">
        <v>3.5639412997903561E-2</v>
      </c>
      <c r="AA2269" s="845">
        <v>2.5157232704402514E-3</v>
      </c>
      <c r="AB2269" s="845">
        <v>6.1215932914046124E-2</v>
      </c>
      <c r="AC2269" s="845">
        <v>0</v>
      </c>
      <c r="AD2269" s="845">
        <v>1.0062893081761006E-2</v>
      </c>
      <c r="AE2269" s="845">
        <v>4.6121593291404611E-2</v>
      </c>
      <c r="AF2269" s="845">
        <v>5.7442348008385748E-2</v>
      </c>
      <c r="AG2269" s="845">
        <v>0.81593291404612156</v>
      </c>
      <c r="AH2269" s="20" t="str">
        <f t="shared" si="178"/>
        <v>No</v>
      </c>
      <c r="AI2269" s="25"/>
      <c r="AJ2269" s="25"/>
      <c r="AK2269" s="25"/>
      <c r="AL2269" s="25"/>
      <c r="AM2269" s="25"/>
      <c r="AN2269" s="25"/>
      <c r="AO2269" s="25"/>
      <c r="AP2269" s="25"/>
      <c r="AQ2269" s="25"/>
      <c r="AR2269" s="25"/>
      <c r="AS2269" s="25"/>
      <c r="AT2269" s="25"/>
      <c r="AU2269" s="36"/>
      <c r="AV2269" s="36"/>
      <c r="AW2269" s="36"/>
      <c r="AX2269" s="25"/>
      <c r="AY2269" s="25"/>
      <c r="AZ2269" s="25"/>
      <c r="BA2269" s="25"/>
      <c r="BB2269" s="25"/>
      <c r="BC2269" s="25"/>
      <c r="BD2269" s="25"/>
      <c r="BE2269" s="25"/>
      <c r="BF2269" s="25"/>
      <c r="BG2269" s="25"/>
      <c r="BH2269" s="25"/>
      <c r="BI2269" s="25"/>
      <c r="BJ2269" s="25"/>
      <c r="BK2269" s="25"/>
      <c r="BL2269" s="25"/>
      <c r="BM2269" s="25"/>
      <c r="BN2269" s="25"/>
      <c r="BO2269" s="25"/>
      <c r="BP2269" s="25"/>
      <c r="BQ2269" s="25"/>
      <c r="BR2269" s="25"/>
      <c r="BS2269" s="25"/>
      <c r="BT2269" s="25"/>
      <c r="BU2269"/>
      <c r="BV2269"/>
      <c r="BW2269"/>
      <c r="BX2269"/>
      <c r="BY2269"/>
      <c r="BZ2269"/>
      <c r="CA2269"/>
      <c r="CB2269"/>
      <c r="CC2269"/>
      <c r="CD2269" s="25"/>
    </row>
    <row r="2270" spans="1:82" s="17" customFormat="1" x14ac:dyDescent="0.2">
      <c r="A2270" s="25"/>
      <c r="B2270" s="20">
        <v>39095006802</v>
      </c>
      <c r="C2270" s="20">
        <v>68.02</v>
      </c>
      <c r="D2270" s="20" t="s">
        <v>53</v>
      </c>
      <c r="E2270" s="20" t="s">
        <v>2839</v>
      </c>
      <c r="F2270" s="20" t="s">
        <v>6</v>
      </c>
      <c r="G2270" s="861">
        <v>40.377940170566802</v>
      </c>
      <c r="H2270" s="861">
        <v>52.722164837684403</v>
      </c>
      <c r="I2270" s="861">
        <v>23.127224780044301</v>
      </c>
      <c r="J2270" s="861">
        <v>41.773965760755701</v>
      </c>
      <c r="K2270" s="982">
        <v>2</v>
      </c>
      <c r="L2270" s="735" t="s">
        <v>2466</v>
      </c>
      <c r="M2270" s="735">
        <v>2275</v>
      </c>
      <c r="N2270" s="845" t="str">
        <f t="shared" si="176"/>
        <v/>
      </c>
      <c r="O2270" s="735">
        <v>0.74224549239339943</v>
      </c>
      <c r="P2270" s="735">
        <f t="shared" si="177"/>
        <v>3065.0236657742093</v>
      </c>
      <c r="Q2270" s="849">
        <v>37.4</v>
      </c>
      <c r="R2270" s="71">
        <v>24647</v>
      </c>
      <c r="S2270" s="845">
        <v>0.44639556377079481</v>
      </c>
      <c r="T2270" s="845">
        <v>3.3000000000000002E-2</v>
      </c>
      <c r="U2270" s="845">
        <v>0</v>
      </c>
      <c r="V2270" s="845">
        <v>1.9E-2</v>
      </c>
      <c r="W2270" s="845">
        <v>0.80871341048332201</v>
      </c>
      <c r="X2270" s="845">
        <v>0.39141414141414144</v>
      </c>
      <c r="Y2270" s="845">
        <v>0.40395604395604395</v>
      </c>
      <c r="Z2270" s="845">
        <v>0.43736263736263736</v>
      </c>
      <c r="AA2270" s="845">
        <v>1.7582417582417582E-3</v>
      </c>
      <c r="AB2270" s="845">
        <v>0.12703296703296704</v>
      </c>
      <c r="AC2270" s="845">
        <v>0</v>
      </c>
      <c r="AD2270" s="845">
        <v>1.5824175824175824E-2</v>
      </c>
      <c r="AE2270" s="845">
        <v>1.4065934065934066E-2</v>
      </c>
      <c r="AF2270" s="845">
        <v>6.5934065934065934E-3</v>
      </c>
      <c r="AG2270" s="845">
        <v>0.40395604395604395</v>
      </c>
      <c r="AH2270" s="20" t="str">
        <f t="shared" si="178"/>
        <v>No</v>
      </c>
      <c r="AI2270" s="25"/>
      <c r="AJ2270" s="25"/>
      <c r="AK2270" s="25"/>
      <c r="AL2270" s="25"/>
      <c r="AM2270" s="25"/>
      <c r="AN2270" s="25"/>
      <c r="AO2270" s="25"/>
      <c r="AP2270" s="25"/>
      <c r="AQ2270" s="25"/>
      <c r="AR2270" s="25"/>
      <c r="AS2270" s="25"/>
      <c r="AT2270" s="25"/>
      <c r="AU2270" s="36"/>
      <c r="AV2270" s="36"/>
      <c r="AW2270" s="36"/>
      <c r="AX2270" s="25"/>
      <c r="AY2270" s="25"/>
      <c r="AZ2270" s="25"/>
      <c r="BA2270" s="25"/>
      <c r="BB2270" s="25"/>
      <c r="BC2270" s="25"/>
      <c r="BD2270" s="25"/>
      <c r="BE2270" s="25"/>
      <c r="BF2270" s="25"/>
      <c r="BG2270" s="25"/>
      <c r="BH2270" s="25"/>
      <c r="BI2270" s="25"/>
      <c r="BJ2270" s="25"/>
      <c r="BK2270" s="25"/>
      <c r="BL2270" s="25"/>
      <c r="BM2270" s="25"/>
      <c r="BN2270" s="25"/>
      <c r="BO2270" s="25"/>
      <c r="BP2270" s="25"/>
      <c r="BQ2270" s="25"/>
      <c r="BR2270" s="25"/>
      <c r="BS2270" s="25"/>
      <c r="BT2270" s="25"/>
      <c r="BU2270"/>
      <c r="BV2270"/>
      <c r="BW2270"/>
      <c r="BX2270"/>
      <c r="BY2270"/>
      <c r="BZ2270"/>
      <c r="CA2270"/>
      <c r="CB2270"/>
      <c r="CC2270"/>
      <c r="CD2270" s="25"/>
    </row>
    <row r="2271" spans="1:82" s="17" customFormat="1" x14ac:dyDescent="0.2">
      <c r="A2271" s="25"/>
      <c r="B2271" s="20">
        <v>39095008502</v>
      </c>
      <c r="C2271" s="20">
        <v>85.02</v>
      </c>
      <c r="D2271" s="20" t="s">
        <v>53</v>
      </c>
      <c r="E2271" s="20" t="s">
        <v>2839</v>
      </c>
      <c r="F2271" s="20" t="s">
        <v>8</v>
      </c>
      <c r="G2271" s="861">
        <v>40.374541738480602</v>
      </c>
      <c r="H2271" s="861">
        <v>51.222674881116397</v>
      </c>
      <c r="I2271" s="861">
        <v>29.186786655820899</v>
      </c>
      <c r="J2271" s="861">
        <v>37.4670370146181</v>
      </c>
      <c r="K2271" s="982">
        <v>0</v>
      </c>
      <c r="L2271" s="735" t="s">
        <v>2466</v>
      </c>
      <c r="M2271" s="735">
        <v>1396</v>
      </c>
      <c r="N2271" s="845" t="str">
        <f t="shared" si="176"/>
        <v/>
      </c>
      <c r="O2271" s="735">
        <v>0.5030644715971303</v>
      </c>
      <c r="P2271" s="735">
        <f t="shared" si="177"/>
        <v>2774.992230256245</v>
      </c>
      <c r="Q2271" s="849">
        <v>46.5</v>
      </c>
      <c r="R2271" s="71">
        <v>43264</v>
      </c>
      <c r="S2271" s="845">
        <v>0.13538681948424069</v>
      </c>
      <c r="T2271" s="845">
        <v>0.04</v>
      </c>
      <c r="U2271" s="845">
        <v>0</v>
      </c>
      <c r="V2271" s="845">
        <v>5.4000000000000006E-2</v>
      </c>
      <c r="W2271" s="845">
        <v>0.49816401468788252</v>
      </c>
      <c r="X2271" s="845">
        <v>0.40294840294840295</v>
      </c>
      <c r="Y2271" s="845">
        <v>0.72206303724928367</v>
      </c>
      <c r="Z2271" s="845">
        <v>0.11819484240687679</v>
      </c>
      <c r="AA2271" s="845">
        <v>5.0143266475644703E-3</v>
      </c>
      <c r="AB2271" s="845">
        <v>3.5816618911174787E-3</v>
      </c>
      <c r="AC2271" s="845">
        <v>0</v>
      </c>
      <c r="AD2271" s="845">
        <v>6.4469914040114614E-3</v>
      </c>
      <c r="AE2271" s="845">
        <v>0.14469914040114612</v>
      </c>
      <c r="AF2271" s="845">
        <v>2.2206303724928367E-2</v>
      </c>
      <c r="AG2271" s="845">
        <v>0.72206303724928367</v>
      </c>
      <c r="AH2271" s="20" t="str">
        <f t="shared" si="178"/>
        <v>No</v>
      </c>
      <c r="AI2271" s="25"/>
      <c r="AJ2271" s="25"/>
      <c r="AK2271" s="25"/>
      <c r="AL2271" s="25"/>
      <c r="AM2271" s="25"/>
      <c r="AN2271" s="25"/>
      <c r="AO2271" s="25"/>
      <c r="AP2271" s="25"/>
      <c r="AQ2271" s="25"/>
      <c r="AR2271" s="25"/>
      <c r="AS2271" s="25"/>
      <c r="AT2271" s="25"/>
      <c r="AU2271" s="36"/>
      <c r="AV2271" s="36"/>
      <c r="AW2271" s="36"/>
      <c r="AX2271" s="25"/>
      <c r="AY2271" s="25"/>
      <c r="AZ2271" s="25"/>
      <c r="BA2271" s="25"/>
      <c r="BB2271" s="25"/>
      <c r="BC2271" s="25"/>
      <c r="BD2271" s="25"/>
      <c r="BE2271" s="25"/>
      <c r="BF2271" s="25"/>
      <c r="BG2271" s="25"/>
      <c r="BH2271" s="25"/>
      <c r="BI2271" s="25"/>
      <c r="BJ2271" s="25"/>
      <c r="BK2271" s="25"/>
      <c r="BL2271" s="25"/>
      <c r="BM2271" s="25"/>
      <c r="BN2271" s="25"/>
      <c r="BO2271" s="25"/>
      <c r="BP2271" s="25"/>
      <c r="BQ2271" s="25"/>
      <c r="BR2271" s="25"/>
      <c r="BS2271" s="25"/>
      <c r="BT2271" s="25"/>
      <c r="BU2271"/>
      <c r="BV2271"/>
      <c r="BW2271"/>
      <c r="BX2271"/>
      <c r="BY2271"/>
      <c r="BZ2271"/>
      <c r="CA2271"/>
      <c r="CB2271"/>
      <c r="CC2271"/>
      <c r="CD2271" s="25"/>
    </row>
    <row r="2272" spans="1:82" s="17" customFormat="1" x14ac:dyDescent="0.2">
      <c r="A2272" s="25"/>
      <c r="B2272" s="20">
        <v>39141956100</v>
      </c>
      <c r="C2272" s="20">
        <v>9561</v>
      </c>
      <c r="D2272" s="20" t="s">
        <v>76</v>
      </c>
      <c r="E2272" s="20" t="s">
        <v>265</v>
      </c>
      <c r="F2272" s="20" t="s">
        <v>8</v>
      </c>
      <c r="G2272" s="861">
        <v>40.356897952280598</v>
      </c>
      <c r="H2272" s="861">
        <v>47.274398499300403</v>
      </c>
      <c r="I2272" s="861">
        <v>40.551574783190503</v>
      </c>
      <c r="J2272" s="861">
        <v>31.839683905748799</v>
      </c>
      <c r="K2272" s="982">
        <v>0</v>
      </c>
      <c r="L2272" s="735">
        <v>3622</v>
      </c>
      <c r="M2272" s="735">
        <v>3603</v>
      </c>
      <c r="N2272" s="845">
        <f t="shared" si="176"/>
        <v>-5.2457205963556044E-3</v>
      </c>
      <c r="O2272" s="735">
        <v>0.64837286067695499</v>
      </c>
      <c r="P2272" s="735">
        <f t="shared" si="177"/>
        <v>5556.9876818073008</v>
      </c>
      <c r="Q2272" s="849">
        <v>40.9</v>
      </c>
      <c r="R2272" s="71">
        <v>55547</v>
      </c>
      <c r="S2272" s="845">
        <v>0.16566351390083117</v>
      </c>
      <c r="T2272" s="845">
        <v>5.9000000000000004E-2</v>
      </c>
      <c r="U2272" s="845">
        <v>0</v>
      </c>
      <c r="V2272" s="845">
        <v>0.125</v>
      </c>
      <c r="W2272" s="845">
        <v>0.34445118253486962</v>
      </c>
      <c r="X2272" s="845">
        <v>0.47887323943661969</v>
      </c>
      <c r="Y2272" s="845">
        <v>0.8812101026922009</v>
      </c>
      <c r="Z2272" s="845">
        <v>6.4668331945600885E-2</v>
      </c>
      <c r="AA2272" s="845">
        <v>0</v>
      </c>
      <c r="AB2272" s="845">
        <v>0</v>
      </c>
      <c r="AC2272" s="845">
        <v>0</v>
      </c>
      <c r="AD2272" s="845">
        <v>0</v>
      </c>
      <c r="AE2272" s="845">
        <v>5.4121565362198171E-2</v>
      </c>
      <c r="AF2272" s="845">
        <v>2.1648626144879269E-2</v>
      </c>
      <c r="AG2272" s="845">
        <v>0.85983902303635862</v>
      </c>
      <c r="AH2272" s="20" t="str">
        <f t="shared" si="178"/>
        <v>No</v>
      </c>
      <c r="AI2272" s="25"/>
      <c r="AJ2272" s="25"/>
      <c r="AK2272" s="25"/>
      <c r="AL2272" s="25"/>
      <c r="AM2272" s="25"/>
      <c r="AN2272" s="25"/>
      <c r="AO2272" s="25"/>
      <c r="AP2272" s="25"/>
      <c r="AQ2272" s="25"/>
      <c r="AR2272" s="25"/>
      <c r="AS2272" s="25"/>
      <c r="AT2272" s="25"/>
      <c r="AU2272" s="36"/>
      <c r="AV2272" s="36"/>
      <c r="AW2272" s="36"/>
      <c r="AX2272" s="25"/>
      <c r="AY2272" s="25"/>
      <c r="AZ2272" s="25"/>
      <c r="BA2272" s="25"/>
      <c r="BB2272" s="25"/>
      <c r="BC2272" s="25"/>
      <c r="BD2272" s="25"/>
      <c r="BE2272" s="25"/>
      <c r="BF2272" s="25"/>
      <c r="BG2272" s="25"/>
      <c r="BH2272" s="25"/>
      <c r="BI2272" s="25"/>
      <c r="BJ2272" s="25"/>
      <c r="BK2272" s="25"/>
      <c r="BL2272" s="25"/>
      <c r="BM2272" s="25"/>
      <c r="BN2272" s="25"/>
      <c r="BO2272" s="25"/>
      <c r="BP2272" s="25"/>
      <c r="BQ2272" s="25"/>
      <c r="BR2272" s="25"/>
      <c r="BS2272" s="25"/>
      <c r="BT2272" s="25"/>
      <c r="BU2272"/>
      <c r="BV2272"/>
      <c r="BW2272"/>
      <c r="BX2272"/>
      <c r="BY2272"/>
      <c r="BZ2272"/>
      <c r="CA2272"/>
      <c r="CB2272"/>
      <c r="CC2272"/>
      <c r="CD2272" s="25"/>
    </row>
    <row r="2273" spans="1:82" s="17" customFormat="1" x14ac:dyDescent="0.2">
      <c r="A2273" s="25"/>
      <c r="B2273" s="20">
        <v>39165031002</v>
      </c>
      <c r="C2273" s="20">
        <v>310.02</v>
      </c>
      <c r="D2273" s="20" t="s">
        <v>88</v>
      </c>
      <c r="E2273" s="20" t="s">
        <v>2828</v>
      </c>
      <c r="F2273" s="20" t="s">
        <v>8</v>
      </c>
      <c r="G2273" s="861">
        <v>40.349856784301302</v>
      </c>
      <c r="H2273" s="861">
        <v>49.358118383473197</v>
      </c>
      <c r="I2273" s="861">
        <v>17.108860984752301</v>
      </c>
      <c r="J2273" s="861">
        <v>53.969181771052099</v>
      </c>
      <c r="K2273" s="982">
        <v>0</v>
      </c>
      <c r="L2273" s="735" t="s">
        <v>2466</v>
      </c>
      <c r="M2273" s="735">
        <v>2023</v>
      </c>
      <c r="N2273" s="845" t="str">
        <f t="shared" si="176"/>
        <v/>
      </c>
      <c r="O2273" s="735">
        <v>22.259958946298021</v>
      </c>
      <c r="P2273" s="735">
        <f t="shared" si="177"/>
        <v>90.880670754176677</v>
      </c>
      <c r="Q2273" s="849">
        <v>50.8</v>
      </c>
      <c r="R2273" s="71">
        <v>110625</v>
      </c>
      <c r="S2273" s="845">
        <v>4.5477014335145824E-2</v>
      </c>
      <c r="T2273" s="845">
        <v>4.2999999999999997E-2</v>
      </c>
      <c r="U2273" s="845">
        <v>0</v>
      </c>
      <c r="V2273" s="845">
        <v>0</v>
      </c>
      <c r="W2273" s="845">
        <v>4.0764331210191081E-2</v>
      </c>
      <c r="X2273" s="845">
        <v>0.3125</v>
      </c>
      <c r="Y2273" s="845">
        <v>0.92140385565991101</v>
      </c>
      <c r="Z2273" s="845">
        <v>2.9658922392486408E-3</v>
      </c>
      <c r="AA2273" s="845">
        <v>0</v>
      </c>
      <c r="AB2273" s="845">
        <v>1.4829461196243203E-2</v>
      </c>
      <c r="AC2273" s="845">
        <v>0</v>
      </c>
      <c r="AD2273" s="845">
        <v>1.4829461196243204E-3</v>
      </c>
      <c r="AE2273" s="845">
        <v>5.931784478497281E-2</v>
      </c>
      <c r="AF2273" s="845">
        <v>1.4335145823035097E-2</v>
      </c>
      <c r="AG2273" s="845">
        <v>0.91349480968858132</v>
      </c>
      <c r="AH2273" s="20" t="str">
        <f t="shared" si="178"/>
        <v>Yes</v>
      </c>
      <c r="AI2273" s="25"/>
      <c r="AJ2273" s="25"/>
      <c r="AK2273" s="25"/>
      <c r="AL2273" s="25"/>
      <c r="AM2273" s="25"/>
      <c r="AN2273" s="25"/>
      <c r="AO2273" s="25"/>
      <c r="AP2273" s="25"/>
      <c r="AQ2273" s="25"/>
      <c r="AR2273" s="25"/>
      <c r="AS2273" s="25"/>
      <c r="AT2273" s="25"/>
      <c r="AU2273" s="36"/>
      <c r="AV2273" s="36"/>
      <c r="AW2273" s="36"/>
      <c r="AX2273" s="25"/>
      <c r="AY2273" s="25"/>
      <c r="AZ2273" s="25"/>
      <c r="BA2273" s="25"/>
      <c r="BB2273" s="25"/>
      <c r="BC2273" s="25"/>
      <c r="BD2273" s="25"/>
      <c r="BE2273" s="25"/>
      <c r="BF2273" s="25"/>
      <c r="BG2273" s="25"/>
      <c r="BH2273" s="25"/>
      <c r="BI2273" s="25"/>
      <c r="BJ2273" s="25"/>
      <c r="BK2273" s="25"/>
      <c r="BL2273" s="25"/>
      <c r="BM2273" s="25"/>
      <c r="BN2273" s="25"/>
      <c r="BO2273" s="25"/>
      <c r="BP2273" s="25"/>
      <c r="BQ2273" s="25"/>
      <c r="BR2273" s="25"/>
      <c r="BS2273" s="25"/>
      <c r="BT2273" s="25"/>
      <c r="BU2273"/>
      <c r="BV2273"/>
      <c r="BW2273"/>
      <c r="BX2273"/>
      <c r="BY2273"/>
      <c r="BZ2273"/>
      <c r="CA2273"/>
      <c r="CB2273"/>
      <c r="CC2273"/>
      <c r="CD2273" s="25"/>
    </row>
    <row r="2274" spans="1:82" s="17" customFormat="1" x14ac:dyDescent="0.2">
      <c r="A2274" s="25"/>
      <c r="B2274" s="20">
        <v>39093050302</v>
      </c>
      <c r="C2274" s="20">
        <v>503.02</v>
      </c>
      <c r="D2274" s="20" t="s">
        <v>52</v>
      </c>
      <c r="E2274" s="20" t="s">
        <v>2829</v>
      </c>
      <c r="F2274" s="20" t="s">
        <v>8</v>
      </c>
      <c r="G2274" s="861">
        <v>40.3335546327991</v>
      </c>
      <c r="H2274" s="861">
        <v>43.193382582416902</v>
      </c>
      <c r="I2274" s="861">
        <v>29.276701091505199</v>
      </c>
      <c r="J2274" s="861">
        <v>28.146672274838298</v>
      </c>
      <c r="K2274" s="982">
        <v>0</v>
      </c>
      <c r="L2274" s="735" t="s">
        <v>2466</v>
      </c>
      <c r="M2274" s="735">
        <v>3299</v>
      </c>
      <c r="N2274" s="845" t="str">
        <f t="shared" si="176"/>
        <v/>
      </c>
      <c r="O2274" s="735">
        <v>5.2770605190152784</v>
      </c>
      <c r="P2274" s="735">
        <f t="shared" si="177"/>
        <v>625.15864430821557</v>
      </c>
      <c r="Q2274" s="849">
        <v>50.9</v>
      </c>
      <c r="R2274" s="71">
        <v>86806</v>
      </c>
      <c r="S2274" s="845">
        <v>4.2713567839195977E-2</v>
      </c>
      <c r="T2274" s="845">
        <v>3.4000000000000002E-2</v>
      </c>
      <c r="U2274" s="845">
        <v>0</v>
      </c>
      <c r="V2274" s="845">
        <v>0</v>
      </c>
      <c r="W2274" s="845">
        <v>0.16629547141796586</v>
      </c>
      <c r="X2274" s="845">
        <v>0.42410714285714285</v>
      </c>
      <c r="Y2274" s="845">
        <v>0.93785995756289786</v>
      </c>
      <c r="Z2274" s="845">
        <v>3.0918460139436194E-2</v>
      </c>
      <c r="AA2274" s="845">
        <v>1.2124886329190664E-3</v>
      </c>
      <c r="AB2274" s="845">
        <v>2.0612306759624128E-2</v>
      </c>
      <c r="AC2274" s="845">
        <v>0</v>
      </c>
      <c r="AD2274" s="845">
        <v>1.8187329493785996E-3</v>
      </c>
      <c r="AE2274" s="845">
        <v>7.5780539557441648E-3</v>
      </c>
      <c r="AF2274" s="845">
        <v>3.4555926038193394E-2</v>
      </c>
      <c r="AG2274" s="845">
        <v>0.9127008184298272</v>
      </c>
      <c r="AH2274" s="20" t="str">
        <f t="shared" si="178"/>
        <v>Yes</v>
      </c>
      <c r="AI2274" s="25"/>
      <c r="AJ2274" s="25"/>
      <c r="AK2274" s="25"/>
      <c r="AL2274" s="25"/>
      <c r="AM2274" s="25"/>
      <c r="AN2274" s="25"/>
      <c r="AO2274" s="25"/>
      <c r="AP2274" s="25"/>
      <c r="AQ2274" s="25"/>
      <c r="AR2274" s="25"/>
      <c r="AS2274" s="25"/>
      <c r="AT2274" s="25"/>
      <c r="AU2274" s="36"/>
      <c r="AV2274" s="36"/>
      <c r="AW2274" s="36"/>
      <c r="AX2274" s="25"/>
      <c r="AY2274" s="25"/>
      <c r="AZ2274" s="25"/>
      <c r="BA2274" s="25"/>
      <c r="BB2274" s="25"/>
      <c r="BC2274" s="25"/>
      <c r="BD2274" s="25"/>
      <c r="BE2274" s="25"/>
      <c r="BF2274" s="25"/>
      <c r="BG2274" s="25"/>
      <c r="BH2274" s="25"/>
      <c r="BI2274" s="25"/>
      <c r="BJ2274" s="25"/>
      <c r="BK2274" s="25"/>
      <c r="BL2274" s="25"/>
      <c r="BM2274" s="25"/>
      <c r="BN2274" s="25"/>
      <c r="BO2274" s="25"/>
      <c r="BP2274" s="25"/>
      <c r="BQ2274" s="25"/>
      <c r="BR2274" s="25"/>
      <c r="BS2274" s="25"/>
      <c r="BT2274" s="25"/>
      <c r="BU2274"/>
      <c r="BV2274"/>
      <c r="BW2274"/>
      <c r="BX2274"/>
      <c r="BY2274"/>
      <c r="BZ2274"/>
      <c r="CA2274"/>
      <c r="CB2274"/>
      <c r="CC2274"/>
      <c r="CD2274" s="25"/>
    </row>
    <row r="2275" spans="1:82" s="17" customFormat="1" x14ac:dyDescent="0.2">
      <c r="A2275" s="25"/>
      <c r="B2275" s="20">
        <v>39035171203</v>
      </c>
      <c r="C2275" s="20">
        <v>1712.03</v>
      </c>
      <c r="D2275" s="20" t="s">
        <v>24</v>
      </c>
      <c r="E2275" s="20" t="s">
        <v>2829</v>
      </c>
      <c r="F2275" s="20" t="s">
        <v>8</v>
      </c>
      <c r="G2275" s="861">
        <v>40.326140811663997</v>
      </c>
      <c r="H2275" s="861">
        <v>55.058675103315402</v>
      </c>
      <c r="I2275" s="861">
        <v>59.152251228561099</v>
      </c>
      <c r="J2275" s="861">
        <v>43.174680656814303</v>
      </c>
      <c r="K2275" s="982">
        <v>0</v>
      </c>
      <c r="L2275" s="735">
        <v>2642</v>
      </c>
      <c r="M2275" s="735">
        <v>3608</v>
      </c>
      <c r="N2275" s="845">
        <f t="shared" si="176"/>
        <v>0.36563209689629067</v>
      </c>
      <c r="O2275" s="735">
        <v>0.70069356418782947</v>
      </c>
      <c r="P2275" s="735">
        <f t="shared" si="177"/>
        <v>5149.1838720996611</v>
      </c>
      <c r="Q2275" s="849">
        <v>37</v>
      </c>
      <c r="R2275" s="71">
        <v>53155</v>
      </c>
      <c r="S2275" s="845">
        <v>0.27716186252771619</v>
      </c>
      <c r="T2275" s="845">
        <v>5.0999999999999997E-2</v>
      </c>
      <c r="U2275" s="845">
        <v>2.4E-2</v>
      </c>
      <c r="V2275" s="845">
        <v>1.7000000000000001E-2</v>
      </c>
      <c r="W2275" s="845">
        <v>0.37709700948212982</v>
      </c>
      <c r="X2275" s="845">
        <v>0.21663442940038685</v>
      </c>
      <c r="Y2275" s="845">
        <v>0.38192904656319293</v>
      </c>
      <c r="Z2275" s="845">
        <v>0.57926829268292679</v>
      </c>
      <c r="AA2275" s="845">
        <v>0</v>
      </c>
      <c r="AB2275" s="845">
        <v>1.1086474501108647E-3</v>
      </c>
      <c r="AC2275" s="845">
        <v>0</v>
      </c>
      <c r="AD2275" s="845">
        <v>3.6031042128603103E-3</v>
      </c>
      <c r="AE2275" s="845">
        <v>3.4090909090909088E-2</v>
      </c>
      <c r="AF2275" s="845">
        <v>2.4113082039911308E-2</v>
      </c>
      <c r="AG2275" s="845">
        <v>0.38026607538802659</v>
      </c>
      <c r="AH2275" s="20" t="str">
        <f t="shared" si="178"/>
        <v>No</v>
      </c>
      <c r="AI2275" s="25"/>
      <c r="AJ2275" s="25"/>
      <c r="AK2275" s="25"/>
      <c r="AL2275" s="25"/>
      <c r="AM2275" s="25"/>
      <c r="AN2275" s="25"/>
      <c r="AO2275" s="25"/>
      <c r="AP2275" s="25"/>
      <c r="AQ2275" s="25"/>
      <c r="AR2275" s="25"/>
      <c r="AS2275" s="25"/>
      <c r="AT2275" s="25"/>
      <c r="AU2275" s="36"/>
      <c r="AV2275" s="36"/>
      <c r="AW2275" s="36"/>
      <c r="AX2275" s="25"/>
      <c r="AY2275" s="25"/>
      <c r="AZ2275" s="25"/>
      <c r="BA2275" s="25"/>
      <c r="BB2275" s="25"/>
      <c r="BC2275" s="25"/>
      <c r="BD2275" s="25"/>
      <c r="BE2275" s="25"/>
      <c r="BF2275" s="25"/>
      <c r="BG2275" s="25"/>
      <c r="BH2275" s="25"/>
      <c r="BI2275" s="25"/>
      <c r="BJ2275" s="25"/>
      <c r="BK2275" s="25"/>
      <c r="BL2275" s="25"/>
      <c r="BM2275" s="25"/>
      <c r="BN2275" s="25"/>
      <c r="BO2275" s="25"/>
      <c r="BP2275" s="25"/>
      <c r="BQ2275" s="25"/>
      <c r="BR2275" s="25"/>
      <c r="BS2275" s="25"/>
      <c r="BT2275" s="25"/>
      <c r="BU2275"/>
      <c r="BV2275"/>
      <c r="BW2275"/>
      <c r="BX2275"/>
      <c r="BY2275"/>
      <c r="BZ2275"/>
      <c r="CA2275"/>
      <c r="CB2275"/>
      <c r="CC2275"/>
      <c r="CD2275" s="25"/>
    </row>
    <row r="2276" spans="1:82" s="17" customFormat="1" x14ac:dyDescent="0.2">
      <c r="A2276" s="25"/>
      <c r="B2276" s="20">
        <v>39003012400</v>
      </c>
      <c r="C2276" s="20">
        <v>124</v>
      </c>
      <c r="D2276" s="20" t="s">
        <v>7</v>
      </c>
      <c r="E2276" s="20" t="s">
        <v>2835</v>
      </c>
      <c r="F2276" s="20" t="s">
        <v>6</v>
      </c>
      <c r="G2276" s="861">
        <v>40.292217739503798</v>
      </c>
      <c r="H2276" s="861">
        <v>52.282505728269697</v>
      </c>
      <c r="I2276" s="861">
        <v>51.761718776489403</v>
      </c>
      <c r="J2276" s="861">
        <v>46.719535756449098</v>
      </c>
      <c r="K2276" s="982">
        <v>0</v>
      </c>
      <c r="L2276" s="735">
        <v>2686</v>
      </c>
      <c r="M2276" s="735">
        <v>2304</v>
      </c>
      <c r="N2276" s="845">
        <f t="shared" si="176"/>
        <v>-0.14221891288160834</v>
      </c>
      <c r="O2276" s="735">
        <v>0.76178843925271922</v>
      </c>
      <c r="P2276" s="735">
        <f t="shared" si="177"/>
        <v>3024.4617551037163</v>
      </c>
      <c r="Q2276" s="849">
        <v>32.6</v>
      </c>
      <c r="R2276" s="71">
        <v>47900</v>
      </c>
      <c r="S2276" s="845">
        <v>0.15237226277372262</v>
      </c>
      <c r="T2276" s="845">
        <v>2.1000000000000001E-2</v>
      </c>
      <c r="U2276" s="845">
        <v>2.4E-2</v>
      </c>
      <c r="V2276" s="845">
        <v>0</v>
      </c>
      <c r="W2276" s="845">
        <v>0.61006289308176098</v>
      </c>
      <c r="X2276" s="845">
        <v>0.31443298969072164</v>
      </c>
      <c r="Y2276" s="845">
        <v>0.73611111111111116</v>
      </c>
      <c r="Z2276" s="845">
        <v>0.13671875</v>
      </c>
      <c r="AA2276" s="845">
        <v>0</v>
      </c>
      <c r="AB2276" s="845">
        <v>4.1232638888888888E-2</v>
      </c>
      <c r="AC2276" s="845">
        <v>0</v>
      </c>
      <c r="AD2276" s="845">
        <v>4.0364583333333336E-2</v>
      </c>
      <c r="AE2276" s="845">
        <v>4.5572916666666664E-2</v>
      </c>
      <c r="AF2276" s="845">
        <v>4.7309027777777776E-2</v>
      </c>
      <c r="AG2276" s="845">
        <v>0.72960069444444442</v>
      </c>
      <c r="AH2276" s="20" t="str">
        <f t="shared" si="178"/>
        <v>No</v>
      </c>
      <c r="AI2276" s="25"/>
      <c r="AJ2276" s="25"/>
      <c r="AK2276" s="25"/>
      <c r="AL2276" s="25"/>
      <c r="AM2276" s="25"/>
      <c r="AN2276" s="25"/>
      <c r="AO2276" s="25"/>
      <c r="AP2276" s="25"/>
      <c r="AQ2276" s="25"/>
      <c r="AR2276" s="25"/>
      <c r="AS2276" s="25"/>
      <c r="AT2276" s="25"/>
      <c r="AU2276" s="36"/>
      <c r="AV2276" s="36"/>
      <c r="AW2276" s="36"/>
      <c r="AX2276" s="25"/>
      <c r="AY2276" s="25"/>
      <c r="AZ2276" s="25"/>
      <c r="BA2276" s="25"/>
      <c r="BB2276" s="25"/>
      <c r="BC2276" s="25"/>
      <c r="BD2276" s="25"/>
      <c r="BE2276" s="25"/>
      <c r="BF2276" s="25"/>
      <c r="BG2276" s="25"/>
      <c r="BH2276" s="25"/>
      <c r="BI2276" s="25"/>
      <c r="BJ2276" s="25"/>
      <c r="BK2276" s="25"/>
      <c r="BL2276" s="25"/>
      <c r="BM2276" s="25"/>
      <c r="BN2276" s="25"/>
      <c r="BO2276" s="25"/>
      <c r="BP2276" s="25"/>
      <c r="BQ2276" s="25"/>
      <c r="BR2276" s="25"/>
      <c r="BS2276" s="25"/>
      <c r="BT2276" s="25"/>
      <c r="BU2276"/>
      <c r="BV2276"/>
      <c r="BW2276"/>
      <c r="BX2276"/>
      <c r="BY2276"/>
      <c r="BZ2276"/>
      <c r="CA2276"/>
      <c r="CB2276"/>
      <c r="CC2276"/>
      <c r="CD2276" s="25"/>
    </row>
    <row r="2277" spans="1:82" s="17" customFormat="1" x14ac:dyDescent="0.2">
      <c r="A2277" s="25"/>
      <c r="B2277" s="20">
        <v>39141955801</v>
      </c>
      <c r="C2277" s="20">
        <v>9558.01</v>
      </c>
      <c r="D2277" s="20" t="s">
        <v>76</v>
      </c>
      <c r="E2277" s="20" t="s">
        <v>265</v>
      </c>
      <c r="F2277" s="20" t="s">
        <v>8</v>
      </c>
      <c r="G2277" s="861">
        <v>40.271745759782597</v>
      </c>
      <c r="H2277" s="861">
        <v>43.867885028421803</v>
      </c>
      <c r="I2277" s="861">
        <v>31.4519982821434</v>
      </c>
      <c r="J2277" s="861">
        <v>45.423950802700901</v>
      </c>
      <c r="K2277" s="982">
        <v>0</v>
      </c>
      <c r="L2277" s="735" t="s">
        <v>2466</v>
      </c>
      <c r="M2277" s="735">
        <v>4493</v>
      </c>
      <c r="N2277" s="845" t="str">
        <f t="shared" si="176"/>
        <v/>
      </c>
      <c r="O2277" s="735">
        <v>44.374881319435865</v>
      </c>
      <c r="P2277" s="735">
        <f t="shared" si="177"/>
        <v>101.2509750202329</v>
      </c>
      <c r="Q2277" s="849">
        <v>42.8</v>
      </c>
      <c r="R2277" s="71">
        <v>71181</v>
      </c>
      <c r="S2277" s="845">
        <v>0.14739281575898031</v>
      </c>
      <c r="T2277" s="845">
        <v>5.0000000000000001E-3</v>
      </c>
      <c r="U2277" s="845">
        <v>0</v>
      </c>
      <c r="V2277" s="845">
        <v>3.2000000000000001E-2</v>
      </c>
      <c r="W2277" s="845">
        <v>0.23743787962451685</v>
      </c>
      <c r="X2277" s="845">
        <v>0.47209302325581393</v>
      </c>
      <c r="Y2277" s="845">
        <v>0.96661473403071441</v>
      </c>
      <c r="Z2277" s="845">
        <v>2.8933897173380814E-3</v>
      </c>
      <c r="AA2277" s="845">
        <v>0</v>
      </c>
      <c r="AB2277" s="845">
        <v>0</v>
      </c>
      <c r="AC2277" s="845">
        <v>0</v>
      </c>
      <c r="AD2277" s="845">
        <v>1.1128421989761851E-3</v>
      </c>
      <c r="AE2277" s="845">
        <v>2.9379034052971289E-2</v>
      </c>
      <c r="AF2277" s="845">
        <v>6.0093478744713998E-3</v>
      </c>
      <c r="AG2277" s="845">
        <v>0.96616959715112394</v>
      </c>
      <c r="AH2277" s="20" t="str">
        <f t="shared" si="178"/>
        <v>Yes</v>
      </c>
      <c r="AI2277" s="25"/>
      <c r="AJ2277" s="25"/>
      <c r="AK2277" s="25"/>
      <c r="AL2277" s="25"/>
      <c r="AM2277" s="25"/>
      <c r="AN2277" s="25"/>
      <c r="AO2277" s="25"/>
      <c r="AP2277" s="25"/>
      <c r="AQ2277" s="25"/>
      <c r="AR2277" s="25"/>
      <c r="AS2277" s="25"/>
      <c r="AT2277" s="25"/>
      <c r="AU2277" s="36"/>
      <c r="AV2277" s="36"/>
      <c r="AW2277" s="36"/>
      <c r="AX2277" s="25"/>
      <c r="AY2277" s="25"/>
      <c r="AZ2277" s="25"/>
      <c r="BA2277" s="25"/>
      <c r="BB2277" s="25"/>
      <c r="BC2277" s="25"/>
      <c r="BD2277" s="25"/>
      <c r="BE2277" s="25"/>
      <c r="BF2277" s="25"/>
      <c r="BG2277" s="25"/>
      <c r="BH2277" s="25"/>
      <c r="BI2277" s="25"/>
      <c r="BJ2277" s="25"/>
      <c r="BK2277" s="25"/>
      <c r="BL2277" s="25"/>
      <c r="BM2277" s="25"/>
      <c r="BN2277" s="25"/>
      <c r="BO2277" s="25"/>
      <c r="BP2277" s="25"/>
      <c r="BQ2277" s="25"/>
      <c r="BR2277" s="25"/>
      <c r="BS2277" s="25"/>
      <c r="BT2277" s="25"/>
      <c r="BU2277"/>
      <c r="BV2277"/>
      <c r="BW2277"/>
      <c r="BX2277"/>
      <c r="BY2277"/>
      <c r="BZ2277"/>
      <c r="CA2277"/>
      <c r="CB2277"/>
      <c r="CC2277"/>
      <c r="CD2277" s="25"/>
    </row>
    <row r="2278" spans="1:82" s="17" customFormat="1" x14ac:dyDescent="0.2">
      <c r="A2278" s="25"/>
      <c r="B2278" s="20">
        <v>39035105400</v>
      </c>
      <c r="C2278" s="20">
        <v>1054</v>
      </c>
      <c r="D2278" s="20" t="s">
        <v>24</v>
      </c>
      <c r="E2278" s="20" t="s">
        <v>2829</v>
      </c>
      <c r="F2278" s="20" t="s">
        <v>6</v>
      </c>
      <c r="G2278" s="861">
        <v>40.262825971961703</v>
      </c>
      <c r="H2278" s="861">
        <v>47.275563141279903</v>
      </c>
      <c r="I2278" s="861">
        <v>89.133944023629695</v>
      </c>
      <c r="J2278" s="861">
        <v>35.796324556354399</v>
      </c>
      <c r="K2278" s="982">
        <v>0</v>
      </c>
      <c r="L2278" s="735">
        <v>3626</v>
      </c>
      <c r="M2278" s="735">
        <v>2920</v>
      </c>
      <c r="N2278" s="845">
        <f t="shared" si="176"/>
        <v>-0.19470490899062329</v>
      </c>
      <c r="O2278" s="735">
        <v>0.40720186935529989</v>
      </c>
      <c r="P2278" s="735">
        <f t="shared" si="177"/>
        <v>7170.890459376019</v>
      </c>
      <c r="Q2278" s="849">
        <v>37.5</v>
      </c>
      <c r="R2278" s="71">
        <v>35448</v>
      </c>
      <c r="S2278" s="845">
        <v>0.34143835616438356</v>
      </c>
      <c r="T2278" s="845">
        <v>4.5999999999999999E-2</v>
      </c>
      <c r="U2278" s="845">
        <v>5.5E-2</v>
      </c>
      <c r="V2278" s="845">
        <v>7.400000000000001E-2</v>
      </c>
      <c r="W2278" s="845">
        <v>0.60473723168023685</v>
      </c>
      <c r="X2278" s="845">
        <v>0.66340269277845776</v>
      </c>
      <c r="Y2278" s="845">
        <v>0.37945205479452054</v>
      </c>
      <c r="Z2278" s="845">
        <v>0.28904109589041094</v>
      </c>
      <c r="AA2278" s="845">
        <v>0</v>
      </c>
      <c r="AB2278" s="845">
        <v>0</v>
      </c>
      <c r="AC2278" s="845">
        <v>0</v>
      </c>
      <c r="AD2278" s="845">
        <v>6.8493150684931503E-2</v>
      </c>
      <c r="AE2278" s="845">
        <v>0.26301369863013696</v>
      </c>
      <c r="AF2278" s="845">
        <v>0.41678082191780824</v>
      </c>
      <c r="AG2278" s="845">
        <v>0.33698630136986302</v>
      </c>
      <c r="AH2278" s="20" t="str">
        <f t="shared" si="178"/>
        <v>No</v>
      </c>
      <c r="AI2278" s="25"/>
      <c r="AJ2278" s="25"/>
      <c r="AK2278" s="25"/>
      <c r="AL2278" s="25"/>
      <c r="AM2278" s="25"/>
      <c r="AN2278" s="25"/>
      <c r="AO2278" s="25"/>
      <c r="AP2278" s="25"/>
      <c r="AQ2278" s="25"/>
      <c r="AR2278" s="25"/>
      <c r="AS2278" s="25"/>
      <c r="AT2278" s="25"/>
      <c r="AU2278" s="36"/>
      <c r="AV2278" s="36"/>
      <c r="AW2278" s="36"/>
      <c r="AX2278" s="25"/>
      <c r="AY2278" s="25"/>
      <c r="AZ2278" s="25"/>
      <c r="BA2278" s="25"/>
      <c r="BB2278" s="25"/>
      <c r="BC2278" s="25"/>
      <c r="BD2278" s="25"/>
      <c r="BE2278" s="25"/>
      <c r="BF2278" s="25"/>
      <c r="BG2278" s="25"/>
      <c r="BH2278" s="25"/>
      <c r="BI2278" s="25"/>
      <c r="BJ2278" s="25"/>
      <c r="BK2278" s="25"/>
      <c r="BL2278" s="25"/>
      <c r="BM2278" s="25"/>
      <c r="BN2278" s="25"/>
      <c r="BO2278" s="25"/>
      <c r="BP2278" s="25"/>
      <c r="BQ2278" s="25"/>
      <c r="BR2278" s="25"/>
      <c r="BS2278" s="25"/>
      <c r="BT2278" s="25"/>
      <c r="BU2278"/>
      <c r="BV2278"/>
      <c r="BW2278"/>
      <c r="BX2278"/>
      <c r="BY2278"/>
      <c r="BZ2278"/>
      <c r="CA2278"/>
      <c r="CB2278"/>
      <c r="CC2278"/>
      <c r="CD2278" s="25"/>
    </row>
    <row r="2279" spans="1:82" s="17" customFormat="1" x14ac:dyDescent="0.2">
      <c r="A2279" s="25"/>
      <c r="B2279" s="20">
        <v>39035197600</v>
      </c>
      <c r="C2279" s="20">
        <v>1976</v>
      </c>
      <c r="D2279" s="20" t="s">
        <v>24</v>
      </c>
      <c r="E2279" s="20" t="s">
        <v>2829</v>
      </c>
      <c r="F2279" s="20" t="s">
        <v>6</v>
      </c>
      <c r="G2279" s="861">
        <v>40.259806479230598</v>
      </c>
      <c r="H2279" s="861">
        <v>41.744222492769303</v>
      </c>
      <c r="I2279" s="861">
        <v>80.663349383430997</v>
      </c>
      <c r="J2279" s="861">
        <v>35.063332951470798</v>
      </c>
      <c r="K2279" s="982">
        <v>0</v>
      </c>
      <c r="L2279" s="735" t="s">
        <v>2466</v>
      </c>
      <c r="M2279" s="735">
        <v>3474</v>
      </c>
      <c r="N2279" s="845" t="str">
        <f t="shared" si="176"/>
        <v/>
      </c>
      <c r="O2279" s="735">
        <v>0.38775274532051812</v>
      </c>
      <c r="P2279" s="735">
        <f t="shared" si="177"/>
        <v>8959.317611351471</v>
      </c>
      <c r="Q2279" s="849">
        <v>32.5</v>
      </c>
      <c r="R2279" s="71">
        <v>39398</v>
      </c>
      <c r="S2279" s="845">
        <v>0.26844084466300261</v>
      </c>
      <c r="T2279" s="845">
        <v>0.16200000000000001</v>
      </c>
      <c r="U2279" s="845">
        <v>3.3000000000000002E-2</v>
      </c>
      <c r="V2279" s="845">
        <v>2.3E-2</v>
      </c>
      <c r="W2279" s="845">
        <v>0.58174603174603179</v>
      </c>
      <c r="X2279" s="845">
        <v>0.514324693042292</v>
      </c>
      <c r="Y2279" s="845">
        <v>0.34427173287276913</v>
      </c>
      <c r="Z2279" s="845">
        <v>0.28209556706966032</v>
      </c>
      <c r="AA2279" s="845">
        <v>0</v>
      </c>
      <c r="AB2279" s="845">
        <v>0</v>
      </c>
      <c r="AC2279" s="845">
        <v>0</v>
      </c>
      <c r="AD2279" s="845">
        <v>0.16695451928612551</v>
      </c>
      <c r="AE2279" s="845">
        <v>0.20667818077144501</v>
      </c>
      <c r="AF2279" s="845">
        <v>0.47495682210708118</v>
      </c>
      <c r="AG2279" s="845">
        <v>0.25187104202648242</v>
      </c>
      <c r="AH2279" s="20" t="str">
        <f t="shared" si="178"/>
        <v>No</v>
      </c>
      <c r="AI2279" s="25"/>
      <c r="AJ2279" s="25"/>
      <c r="AK2279" s="25"/>
      <c r="AL2279" s="25"/>
      <c r="AM2279" s="25"/>
      <c r="AN2279" s="25"/>
      <c r="AO2279" s="25"/>
      <c r="AP2279" s="25"/>
      <c r="AQ2279" s="25"/>
      <c r="AR2279" s="25"/>
      <c r="AS2279" s="25"/>
      <c r="AT2279" s="25"/>
      <c r="AU2279" s="36"/>
      <c r="AV2279" s="36"/>
      <c r="AW2279" s="36"/>
      <c r="AX2279" s="25"/>
      <c r="AY2279" s="25"/>
      <c r="AZ2279" s="25"/>
      <c r="BA2279" s="25"/>
      <c r="BB2279" s="25"/>
      <c r="BC2279" s="25"/>
      <c r="BD2279" s="25"/>
      <c r="BE2279" s="25"/>
      <c r="BF2279" s="25"/>
      <c r="BG2279" s="25"/>
      <c r="BH2279" s="25"/>
      <c r="BI2279" s="25"/>
      <c r="BJ2279" s="25"/>
      <c r="BK2279" s="25"/>
      <c r="BL2279" s="25"/>
      <c r="BM2279" s="25"/>
      <c r="BN2279" s="25"/>
      <c r="BO2279" s="25"/>
      <c r="BP2279" s="25"/>
      <c r="BQ2279" s="25"/>
      <c r="BR2279" s="25"/>
      <c r="BS2279" s="25"/>
      <c r="BT2279" s="25"/>
      <c r="BU2279"/>
      <c r="BV2279"/>
      <c r="BW2279"/>
      <c r="BX2279"/>
      <c r="BY2279"/>
      <c r="BZ2279"/>
      <c r="CA2279"/>
      <c r="CB2279"/>
      <c r="CC2279"/>
      <c r="CD2279" s="25"/>
    </row>
    <row r="2280" spans="1:82" s="17" customFormat="1" x14ac:dyDescent="0.2">
      <c r="A2280" s="25"/>
      <c r="B2280" s="20">
        <v>39153502700</v>
      </c>
      <c r="C2280" s="20">
        <v>5027</v>
      </c>
      <c r="D2280" s="20" t="s">
        <v>82</v>
      </c>
      <c r="E2280" s="20" t="s">
        <v>2843</v>
      </c>
      <c r="F2280" s="20" t="s">
        <v>8</v>
      </c>
      <c r="G2280" s="861">
        <v>40.255229272777299</v>
      </c>
      <c r="H2280" s="861">
        <v>46.232418637797203</v>
      </c>
      <c r="I2280" s="861">
        <v>36.343559462908203</v>
      </c>
      <c r="J2280" s="861">
        <v>40.421624671801297</v>
      </c>
      <c r="K2280" s="982">
        <v>0</v>
      </c>
      <c r="L2280" s="735">
        <v>6489</v>
      </c>
      <c r="M2280" s="735">
        <v>6026</v>
      </c>
      <c r="N2280" s="845">
        <f t="shared" si="176"/>
        <v>-7.1351517953459703E-2</v>
      </c>
      <c r="O2280" s="735">
        <v>2.0592920791439466</v>
      </c>
      <c r="P2280" s="735">
        <f t="shared" si="177"/>
        <v>2926.2483263204822</v>
      </c>
      <c r="Q2280" s="849">
        <v>42.2</v>
      </c>
      <c r="R2280" s="71">
        <v>58645</v>
      </c>
      <c r="S2280" s="845">
        <v>0.10454696315964156</v>
      </c>
      <c r="T2280" s="845">
        <v>3.7000000000000005E-2</v>
      </c>
      <c r="U2280" s="845">
        <v>0</v>
      </c>
      <c r="V2280" s="845">
        <v>3.7000000000000005E-2</v>
      </c>
      <c r="W2280" s="845">
        <v>0.32131606580329014</v>
      </c>
      <c r="X2280" s="845">
        <v>0.37908496732026142</v>
      </c>
      <c r="Y2280" s="845">
        <v>0.70179223365416532</v>
      </c>
      <c r="Z2280" s="845">
        <v>0.1491868569532028</v>
      </c>
      <c r="AA2280" s="845">
        <v>0</v>
      </c>
      <c r="AB2280" s="845">
        <v>8.2309990043146361E-2</v>
      </c>
      <c r="AC2280" s="845">
        <v>0</v>
      </c>
      <c r="AD2280" s="845">
        <v>3.318951211417192E-3</v>
      </c>
      <c r="AE2280" s="845">
        <v>6.3391968138068369E-2</v>
      </c>
      <c r="AF2280" s="845">
        <v>0</v>
      </c>
      <c r="AG2280" s="845">
        <v>0.70179223365416532</v>
      </c>
      <c r="AH2280" s="20" t="str">
        <f t="shared" si="178"/>
        <v>No</v>
      </c>
      <c r="AI2280" s="25"/>
      <c r="AJ2280" s="25"/>
      <c r="AK2280" s="25"/>
      <c r="AL2280" s="25"/>
      <c r="AM2280" s="25"/>
      <c r="AN2280" s="25"/>
      <c r="AO2280" s="25"/>
      <c r="AP2280" s="25"/>
      <c r="AQ2280" s="25"/>
      <c r="AR2280" s="25"/>
      <c r="AS2280" s="25"/>
      <c r="AT2280" s="25"/>
      <c r="AU2280" s="36"/>
      <c r="AV2280" s="36"/>
      <c r="AW2280" s="36"/>
      <c r="AX2280" s="25"/>
      <c r="AY2280" s="25"/>
      <c r="AZ2280" s="25"/>
      <c r="BA2280" s="25"/>
      <c r="BB2280" s="25"/>
      <c r="BC2280" s="25"/>
      <c r="BD2280" s="25"/>
      <c r="BE2280" s="25"/>
      <c r="BF2280" s="25"/>
      <c r="BG2280" s="25"/>
      <c r="BH2280" s="25"/>
      <c r="BI2280" s="25"/>
      <c r="BJ2280" s="25"/>
      <c r="BK2280" s="25"/>
      <c r="BL2280" s="25"/>
      <c r="BM2280" s="25"/>
      <c r="BN2280" s="25"/>
      <c r="BO2280" s="25"/>
      <c r="BP2280" s="25"/>
      <c r="BQ2280" s="25"/>
      <c r="BR2280" s="25"/>
      <c r="BS2280" s="25"/>
      <c r="BT2280" s="25"/>
      <c r="BU2280"/>
      <c r="BV2280"/>
      <c r="BW2280"/>
      <c r="BX2280"/>
      <c r="BY2280"/>
      <c r="BZ2280"/>
      <c r="CA2280"/>
      <c r="CB2280"/>
      <c r="CC2280"/>
      <c r="CD2280" s="25"/>
    </row>
    <row r="2281" spans="1:82" s="17" customFormat="1" x14ac:dyDescent="0.2">
      <c r="A2281" s="25"/>
      <c r="B2281" s="20">
        <v>39061010002</v>
      </c>
      <c r="C2281" s="20">
        <v>100.02</v>
      </c>
      <c r="D2281" s="20" t="s">
        <v>37</v>
      </c>
      <c r="E2281" s="20" t="s">
        <v>2828</v>
      </c>
      <c r="F2281" s="20" t="s">
        <v>6</v>
      </c>
      <c r="G2281" s="861">
        <v>40.243320664216597</v>
      </c>
      <c r="H2281" s="861">
        <v>41.3185853934176</v>
      </c>
      <c r="I2281" s="861">
        <v>58.140869679067698</v>
      </c>
      <c r="J2281" s="861">
        <v>39.611030521638</v>
      </c>
      <c r="K2281" s="982">
        <v>0</v>
      </c>
      <c r="L2281" s="735">
        <v>5613</v>
      </c>
      <c r="M2281" s="735">
        <v>5890</v>
      </c>
      <c r="N2281" s="845">
        <f t="shared" si="176"/>
        <v>4.9349723855335828E-2</v>
      </c>
      <c r="O2281" s="735">
        <v>1.0976378574958015</v>
      </c>
      <c r="P2281" s="735">
        <f t="shared" si="177"/>
        <v>5366.0685623924282</v>
      </c>
      <c r="Q2281" s="849">
        <v>36.799999999999997</v>
      </c>
      <c r="R2281" s="71">
        <v>30827</v>
      </c>
      <c r="S2281" s="845">
        <v>0.36502546689303905</v>
      </c>
      <c r="T2281" s="845">
        <v>0.193</v>
      </c>
      <c r="U2281" s="845">
        <v>5.5999999999999994E-2</v>
      </c>
      <c r="V2281" s="845">
        <v>3.9E-2</v>
      </c>
      <c r="W2281" s="845">
        <v>0.73511799929552657</v>
      </c>
      <c r="X2281" s="845">
        <v>0.43315764254911354</v>
      </c>
      <c r="Y2281" s="845">
        <v>0.18998302207130729</v>
      </c>
      <c r="Z2281" s="845">
        <v>0.72614601018675717</v>
      </c>
      <c r="AA2281" s="845">
        <v>0</v>
      </c>
      <c r="AB2281" s="845">
        <v>5.1782682512733449E-2</v>
      </c>
      <c r="AC2281" s="845">
        <v>0</v>
      </c>
      <c r="AD2281" s="845">
        <v>0</v>
      </c>
      <c r="AE2281" s="845">
        <v>3.208828522920204E-2</v>
      </c>
      <c r="AF2281" s="845">
        <v>0</v>
      </c>
      <c r="AG2281" s="845">
        <v>0.18998302207130729</v>
      </c>
      <c r="AH2281" s="20" t="str">
        <f t="shared" si="178"/>
        <v>No</v>
      </c>
      <c r="AI2281" s="25"/>
      <c r="AJ2281" s="25"/>
      <c r="AK2281" s="25"/>
      <c r="AL2281" s="25"/>
      <c r="AM2281" s="25"/>
      <c r="AN2281" s="25"/>
      <c r="AO2281" s="25"/>
      <c r="AP2281" s="25"/>
      <c r="AQ2281" s="25"/>
      <c r="AR2281" s="25"/>
      <c r="AS2281" s="25"/>
      <c r="AT2281" s="25"/>
      <c r="AU2281" s="36"/>
      <c r="AV2281" s="36"/>
      <c r="AW2281" s="36"/>
      <c r="AX2281" s="25"/>
      <c r="AY2281" s="25"/>
      <c r="AZ2281" s="25"/>
      <c r="BA2281" s="25"/>
      <c r="BB2281" s="25"/>
      <c r="BC2281" s="25"/>
      <c r="BD2281" s="25"/>
      <c r="BE2281" s="25"/>
      <c r="BF2281" s="25"/>
      <c r="BG2281" s="25"/>
      <c r="BH2281" s="25"/>
      <c r="BI2281" s="25"/>
      <c r="BJ2281" s="25"/>
      <c r="BK2281" s="25"/>
      <c r="BL2281" s="25"/>
      <c r="BM2281" s="25"/>
      <c r="BN2281" s="25"/>
      <c r="BO2281" s="25"/>
      <c r="BP2281" s="25"/>
      <c r="BQ2281" s="25"/>
      <c r="BR2281" s="25"/>
      <c r="BS2281" s="25"/>
      <c r="BT2281" s="25"/>
      <c r="BU2281"/>
      <c r="BV2281"/>
      <c r="BW2281"/>
      <c r="BX2281"/>
      <c r="BY2281"/>
      <c r="BZ2281"/>
      <c r="CA2281"/>
      <c r="CB2281"/>
      <c r="CC2281"/>
      <c r="CD2281" s="25"/>
    </row>
    <row r="2282" spans="1:82" s="17" customFormat="1" x14ac:dyDescent="0.2">
      <c r="A2282" s="25"/>
      <c r="B2282" s="20">
        <v>39003010900</v>
      </c>
      <c r="C2282" s="20">
        <v>109</v>
      </c>
      <c r="D2282" s="20" t="s">
        <v>7</v>
      </c>
      <c r="E2282" s="20" t="s">
        <v>2835</v>
      </c>
      <c r="F2282" s="20" t="s">
        <v>8</v>
      </c>
      <c r="G2282" s="861">
        <v>40.234421950459698</v>
      </c>
      <c r="H2282" s="861">
        <v>45.852469753724698</v>
      </c>
      <c r="I2282" s="861">
        <v>30.687164565791001</v>
      </c>
      <c r="J2282" s="861">
        <v>47.4313740261966</v>
      </c>
      <c r="K2282" s="982">
        <v>0</v>
      </c>
      <c r="L2282" s="735">
        <v>4637</v>
      </c>
      <c r="M2282" s="735">
        <v>4578</v>
      </c>
      <c r="N2282" s="845">
        <f t="shared" si="176"/>
        <v>-1.2723743799870606E-2</v>
      </c>
      <c r="O2282" s="735">
        <v>2.8235025372375167</v>
      </c>
      <c r="P2282" s="735">
        <f t="shared" si="177"/>
        <v>1621.3904324941971</v>
      </c>
      <c r="Q2282" s="849">
        <v>33.299999999999997</v>
      </c>
      <c r="R2282" s="71">
        <v>70656</v>
      </c>
      <c r="S2282" s="845">
        <v>5.5622732769044739E-2</v>
      </c>
      <c r="T2282" s="845">
        <v>9.5000000000000001E-2</v>
      </c>
      <c r="U2282" s="845">
        <v>0</v>
      </c>
      <c r="V2282" s="845">
        <v>0.03</v>
      </c>
      <c r="W2282" s="845">
        <v>0.41404358353510895</v>
      </c>
      <c r="X2282" s="845">
        <v>0.32748538011695905</v>
      </c>
      <c r="Y2282" s="845">
        <v>0.79445172564438615</v>
      </c>
      <c r="Z2282" s="845">
        <v>0.14700742682394058</v>
      </c>
      <c r="AA2282" s="845">
        <v>1.0921799912625601E-3</v>
      </c>
      <c r="AB2282" s="845">
        <v>0</v>
      </c>
      <c r="AC2282" s="845">
        <v>0</v>
      </c>
      <c r="AD2282" s="845">
        <v>1.8567059851463522E-2</v>
      </c>
      <c r="AE2282" s="845">
        <v>3.8881607688947141E-2</v>
      </c>
      <c r="AF2282" s="845">
        <v>3.7352555701179554E-2</v>
      </c>
      <c r="AG2282" s="845">
        <v>0.77086063783311487</v>
      </c>
      <c r="AH2282" s="20" t="str">
        <f t="shared" si="178"/>
        <v>No</v>
      </c>
      <c r="AI2282" s="25"/>
      <c r="AJ2282" s="25"/>
      <c r="AK2282" s="25"/>
      <c r="AL2282" s="25"/>
      <c r="AM2282" s="25"/>
      <c r="AN2282" s="25"/>
      <c r="AO2282" s="25"/>
      <c r="AP2282" s="25"/>
      <c r="AQ2282" s="25"/>
      <c r="AR2282" s="25"/>
      <c r="AS2282" s="25"/>
      <c r="AT2282" s="25"/>
      <c r="AU2282" s="36"/>
      <c r="AV2282" s="36"/>
      <c r="AW2282" s="36"/>
      <c r="AX2282" s="25"/>
      <c r="AY2282" s="25"/>
      <c r="AZ2282" s="25"/>
      <c r="BA2282" s="25"/>
      <c r="BB2282" s="25"/>
      <c r="BC2282" s="25"/>
      <c r="BD2282" s="25"/>
      <c r="BE2282" s="25"/>
      <c r="BF2282" s="25"/>
      <c r="BG2282" s="25"/>
      <c r="BH2282" s="25"/>
      <c r="BI2282" s="25"/>
      <c r="BJ2282" s="25"/>
      <c r="BK2282" s="25"/>
      <c r="BL2282" s="25"/>
      <c r="BM2282" s="25"/>
      <c r="BN2282" s="25"/>
      <c r="BO2282" s="25"/>
      <c r="BP2282" s="25"/>
      <c r="BQ2282" s="25"/>
      <c r="BR2282" s="25"/>
      <c r="BS2282" s="25"/>
      <c r="BT2282" s="25"/>
      <c r="BU2282"/>
      <c r="BV2282"/>
      <c r="BW2282"/>
      <c r="BX2282"/>
      <c r="BY2282"/>
      <c r="BZ2282"/>
      <c r="CA2282"/>
      <c r="CB2282"/>
      <c r="CC2282"/>
      <c r="CD2282" s="25"/>
    </row>
    <row r="2283" spans="1:82" s="17" customFormat="1" x14ac:dyDescent="0.2">
      <c r="A2283" s="25"/>
      <c r="B2283" s="20">
        <v>39143961800</v>
      </c>
      <c r="C2283" s="20">
        <v>9618</v>
      </c>
      <c r="D2283" s="20" t="s">
        <v>77</v>
      </c>
      <c r="E2283" s="20" t="s">
        <v>265</v>
      </c>
      <c r="F2283" s="20" t="s">
        <v>6</v>
      </c>
      <c r="G2283" s="861">
        <v>40.231125336278502</v>
      </c>
      <c r="H2283" s="861">
        <v>49.797814462595099</v>
      </c>
      <c r="I2283" s="861">
        <v>37.300602569587603</v>
      </c>
      <c r="J2283" s="861">
        <v>33.929503983140101</v>
      </c>
      <c r="K2283" s="982">
        <v>0</v>
      </c>
      <c r="L2283" s="735">
        <v>4023</v>
      </c>
      <c r="M2283" s="735">
        <v>4329</v>
      </c>
      <c r="N2283" s="845">
        <f t="shared" si="176"/>
        <v>7.6062639821029079E-2</v>
      </c>
      <c r="O2283" s="735">
        <v>3.0809180046776357</v>
      </c>
      <c r="P2283" s="735">
        <f t="shared" si="177"/>
        <v>1405.1006853890467</v>
      </c>
      <c r="Q2283" s="849">
        <v>34.700000000000003</v>
      </c>
      <c r="R2283" s="71">
        <v>55000</v>
      </c>
      <c r="S2283" s="845">
        <v>0.28175895765472314</v>
      </c>
      <c r="T2283" s="845">
        <v>4.7E-2</v>
      </c>
      <c r="U2283" s="845">
        <v>6.0000000000000001E-3</v>
      </c>
      <c r="V2283" s="845">
        <v>9.4E-2</v>
      </c>
      <c r="W2283" s="845">
        <v>0.34706546275395034</v>
      </c>
      <c r="X2283" s="845">
        <v>0.62113821138211378</v>
      </c>
      <c r="Y2283" s="845">
        <v>0.80896280896280892</v>
      </c>
      <c r="Z2283" s="845">
        <v>9.1707091707091709E-2</v>
      </c>
      <c r="AA2283" s="845">
        <v>0</v>
      </c>
      <c r="AB2283" s="845">
        <v>7.3920073920073917E-3</v>
      </c>
      <c r="AC2283" s="845">
        <v>0</v>
      </c>
      <c r="AD2283" s="845">
        <v>3.003003003003003E-3</v>
      </c>
      <c r="AE2283" s="845">
        <v>8.8935088935088932E-2</v>
      </c>
      <c r="AF2283" s="845">
        <v>0.12705012705012705</v>
      </c>
      <c r="AG2283" s="845">
        <v>0.76276276276276278</v>
      </c>
      <c r="AH2283" s="20" t="str">
        <f t="shared" si="178"/>
        <v>No</v>
      </c>
      <c r="AI2283" s="25"/>
      <c r="AJ2283" s="25"/>
      <c r="AK2283" s="25"/>
      <c r="AL2283" s="25"/>
      <c r="AM2283" s="25"/>
      <c r="AN2283" s="25"/>
      <c r="AO2283" s="25"/>
      <c r="AP2283" s="25"/>
      <c r="AQ2283" s="25"/>
      <c r="AR2283" s="25"/>
      <c r="AS2283" s="25"/>
      <c r="AT2283" s="25"/>
      <c r="AU2283" s="36"/>
      <c r="AV2283" s="36"/>
      <c r="AW2283" s="36"/>
      <c r="AX2283" s="25"/>
      <c r="AY2283" s="25"/>
      <c r="AZ2283" s="25"/>
      <c r="BA2283" s="25"/>
      <c r="BB2283" s="25"/>
      <c r="BC2283" s="25"/>
      <c r="BD2283" s="25"/>
      <c r="BE2283" s="25"/>
      <c r="BF2283" s="25"/>
      <c r="BG2283" s="25"/>
      <c r="BH2283" s="25"/>
      <c r="BI2283" s="25"/>
      <c r="BJ2283" s="25"/>
      <c r="BK2283" s="25"/>
      <c r="BL2283" s="25"/>
      <c r="BM2283" s="25"/>
      <c r="BN2283" s="25"/>
      <c r="BO2283" s="25"/>
      <c r="BP2283" s="25"/>
      <c r="BQ2283" s="25"/>
      <c r="BR2283" s="25"/>
      <c r="BS2283" s="25"/>
      <c r="BT2283" s="25"/>
      <c r="BU2283"/>
      <c r="BV2283"/>
      <c r="BW2283"/>
      <c r="BX2283"/>
      <c r="BY2283"/>
      <c r="BZ2283"/>
      <c r="CA2283"/>
      <c r="CB2283"/>
      <c r="CC2283"/>
      <c r="CD2283" s="25"/>
    </row>
    <row r="2284" spans="1:82" s="17" customFormat="1" x14ac:dyDescent="0.2">
      <c r="A2284" s="25"/>
      <c r="B2284" s="20">
        <v>39075976301</v>
      </c>
      <c r="C2284" s="20">
        <v>9763.01</v>
      </c>
      <c r="D2284" s="20" t="s">
        <v>44</v>
      </c>
      <c r="E2284" s="20" t="s">
        <v>265</v>
      </c>
      <c r="F2284" s="20" t="s">
        <v>8</v>
      </c>
      <c r="G2284" s="861">
        <v>40.2167317440516</v>
      </c>
      <c r="H2284" s="861">
        <v>39.401493057906201</v>
      </c>
      <c r="I2284" s="861">
        <v>12.5938381187633</v>
      </c>
      <c r="J2284" s="861">
        <v>46.483610727473298</v>
      </c>
      <c r="K2284" s="982">
        <v>0</v>
      </c>
      <c r="L2284" s="735">
        <v>4734</v>
      </c>
      <c r="M2284" s="735">
        <v>4336</v>
      </c>
      <c r="N2284" s="845">
        <f t="shared" si="176"/>
        <v>-8.4072665821715256E-2</v>
      </c>
      <c r="O2284" s="735">
        <v>25.827790383176701</v>
      </c>
      <c r="P2284" s="735">
        <f t="shared" si="177"/>
        <v>167.88118285272731</v>
      </c>
      <c r="Q2284" s="849">
        <v>26.4</v>
      </c>
      <c r="R2284" s="71">
        <v>94083</v>
      </c>
      <c r="S2284" s="845">
        <v>9.4941094941094942E-2</v>
      </c>
      <c r="T2284" s="845">
        <v>6.0000000000000001E-3</v>
      </c>
      <c r="U2284" s="845">
        <v>0</v>
      </c>
      <c r="V2284" s="845">
        <v>0</v>
      </c>
      <c r="W2284" s="845">
        <v>0.28650137741046833</v>
      </c>
      <c r="X2284" s="845">
        <v>7.6923076923076927E-2</v>
      </c>
      <c r="Y2284" s="845">
        <v>1</v>
      </c>
      <c r="Z2284" s="845">
        <v>0</v>
      </c>
      <c r="AA2284" s="845">
        <v>0</v>
      </c>
      <c r="AB2284" s="845">
        <v>0</v>
      </c>
      <c r="AC2284" s="845">
        <v>0</v>
      </c>
      <c r="AD2284" s="845">
        <v>0</v>
      </c>
      <c r="AE2284" s="845">
        <v>0</v>
      </c>
      <c r="AF2284" s="845">
        <v>3.6900369003690037E-2</v>
      </c>
      <c r="AG2284" s="845">
        <v>0.96309963099630991</v>
      </c>
      <c r="AH2284" s="20" t="str">
        <f t="shared" si="178"/>
        <v>Yes</v>
      </c>
      <c r="AI2284" s="25"/>
      <c r="AJ2284" s="25"/>
      <c r="AK2284" s="25"/>
      <c r="AL2284" s="25"/>
      <c r="AM2284" s="25"/>
      <c r="AN2284" s="25"/>
      <c r="AO2284" s="25"/>
      <c r="AP2284" s="25"/>
      <c r="AQ2284" s="25"/>
      <c r="AR2284" s="25"/>
      <c r="AS2284" s="25"/>
      <c r="AT2284" s="25"/>
      <c r="AU2284" s="36"/>
      <c r="AV2284" s="36"/>
      <c r="AW2284" s="36"/>
      <c r="AX2284" s="25"/>
      <c r="AY2284" s="25"/>
      <c r="AZ2284" s="25"/>
      <c r="BA2284" s="25"/>
      <c r="BB2284" s="25"/>
      <c r="BC2284" s="25"/>
      <c r="BD2284" s="25"/>
      <c r="BE2284" s="25"/>
      <c r="BF2284" s="25"/>
      <c r="BG2284" s="25"/>
      <c r="BH2284" s="25"/>
      <c r="BI2284" s="25"/>
      <c r="BJ2284" s="25"/>
      <c r="BK2284" s="25"/>
      <c r="BL2284" s="25"/>
      <c r="BM2284" s="25"/>
      <c r="BN2284" s="25"/>
      <c r="BO2284" s="25"/>
      <c r="BP2284" s="25"/>
      <c r="BQ2284" s="25"/>
      <c r="BR2284" s="25"/>
      <c r="BS2284" s="25"/>
      <c r="BT2284" s="25"/>
      <c r="BU2284"/>
      <c r="BV2284"/>
      <c r="BW2284"/>
      <c r="BX2284"/>
      <c r="BY2284"/>
      <c r="BZ2284"/>
      <c r="CA2284"/>
      <c r="CB2284"/>
      <c r="CC2284"/>
      <c r="CD2284" s="25"/>
    </row>
    <row r="2285" spans="1:82" s="17" customFormat="1" x14ac:dyDescent="0.2">
      <c r="A2285" s="25"/>
      <c r="B2285" s="20">
        <v>39023002701</v>
      </c>
      <c r="C2285" s="20">
        <v>27.01</v>
      </c>
      <c r="D2285" s="20" t="s">
        <v>18</v>
      </c>
      <c r="E2285" s="20" t="s">
        <v>2838</v>
      </c>
      <c r="F2285" s="20" t="s">
        <v>8</v>
      </c>
      <c r="G2285" s="861">
        <v>40.206936402233097</v>
      </c>
      <c r="H2285" s="861">
        <v>46.950683564975101</v>
      </c>
      <c r="I2285" s="861">
        <v>29.354731288041101</v>
      </c>
      <c r="J2285" s="861">
        <v>45.943059740795803</v>
      </c>
      <c r="K2285" s="982">
        <v>0</v>
      </c>
      <c r="L2285" s="735">
        <v>3413</v>
      </c>
      <c r="M2285" s="735">
        <v>3016</v>
      </c>
      <c r="N2285" s="845">
        <f t="shared" si="176"/>
        <v>-0.11631995312042191</v>
      </c>
      <c r="O2285" s="735">
        <v>3.0281714304858336</v>
      </c>
      <c r="P2285" s="735">
        <f t="shared" si="177"/>
        <v>995.98060058182341</v>
      </c>
      <c r="Q2285" s="849">
        <v>35.6</v>
      </c>
      <c r="R2285" s="71">
        <v>60345</v>
      </c>
      <c r="S2285" s="845">
        <v>0.18658990856755842</v>
      </c>
      <c r="T2285" s="845">
        <v>0.12300000000000001</v>
      </c>
      <c r="U2285" s="845">
        <v>0</v>
      </c>
      <c r="V2285" s="845">
        <v>0</v>
      </c>
      <c r="W2285" s="845">
        <v>0.3306188925081433</v>
      </c>
      <c r="X2285" s="845">
        <v>0.47290640394088668</v>
      </c>
      <c r="Y2285" s="845">
        <v>0.79343501326259946</v>
      </c>
      <c r="Z2285" s="845">
        <v>9.6153846153846159E-3</v>
      </c>
      <c r="AA2285" s="845">
        <v>0</v>
      </c>
      <c r="AB2285" s="845">
        <v>0</v>
      </c>
      <c r="AC2285" s="845">
        <v>0</v>
      </c>
      <c r="AD2285" s="845">
        <v>0.1226790450928382</v>
      </c>
      <c r="AE2285" s="845">
        <v>7.4270557029177717E-2</v>
      </c>
      <c r="AF2285" s="845">
        <v>0.18136604774535808</v>
      </c>
      <c r="AG2285" s="845">
        <v>0.77553050397877987</v>
      </c>
      <c r="AH2285" s="20" t="str">
        <f t="shared" si="178"/>
        <v>No</v>
      </c>
      <c r="AI2285" s="25"/>
      <c r="AJ2285" s="25"/>
      <c r="AK2285" s="25"/>
      <c r="AL2285" s="25"/>
      <c r="AM2285" s="25"/>
      <c r="AN2285" s="25"/>
      <c r="AO2285" s="25"/>
      <c r="AP2285" s="25"/>
      <c r="AQ2285" s="25"/>
      <c r="AR2285" s="25"/>
      <c r="AS2285" s="25"/>
      <c r="AT2285" s="25"/>
      <c r="AU2285" s="36"/>
      <c r="AV2285" s="36"/>
      <c r="AW2285" s="36"/>
      <c r="AX2285" s="25"/>
      <c r="AY2285" s="25"/>
      <c r="AZ2285" s="25"/>
      <c r="BA2285" s="25"/>
      <c r="BB2285" s="25"/>
      <c r="BC2285" s="25"/>
      <c r="BD2285" s="25"/>
      <c r="BE2285" s="25"/>
      <c r="BF2285" s="25"/>
      <c r="BG2285" s="25"/>
      <c r="BH2285" s="25"/>
      <c r="BI2285" s="25"/>
      <c r="BJ2285" s="25"/>
      <c r="BK2285" s="25"/>
      <c r="BL2285" s="25"/>
      <c r="BM2285" s="25"/>
      <c r="BN2285" s="25"/>
      <c r="BO2285" s="25"/>
      <c r="BP2285" s="25"/>
      <c r="BQ2285" s="25"/>
      <c r="BR2285" s="25"/>
      <c r="BS2285" s="25"/>
      <c r="BT2285" s="25"/>
      <c r="BU2285"/>
      <c r="BV2285"/>
      <c r="BW2285"/>
      <c r="BX2285"/>
      <c r="BY2285"/>
      <c r="BZ2285"/>
      <c r="CA2285"/>
      <c r="CB2285"/>
      <c r="CC2285"/>
      <c r="CD2285" s="25"/>
    </row>
    <row r="2286" spans="1:82" s="17" customFormat="1" x14ac:dyDescent="0.2">
      <c r="A2286" s="25"/>
      <c r="B2286" s="20">
        <v>39033975300</v>
      </c>
      <c r="C2286" s="20">
        <v>9753</v>
      </c>
      <c r="D2286" s="20" t="s">
        <v>23</v>
      </c>
      <c r="E2286" s="20" t="s">
        <v>265</v>
      </c>
      <c r="F2286" s="20" t="s">
        <v>8</v>
      </c>
      <c r="G2286" s="861">
        <v>40.193293837357899</v>
      </c>
      <c r="H2286" s="861">
        <v>44.1665968661408</v>
      </c>
      <c r="I2286" s="861">
        <v>40.632203527385897</v>
      </c>
      <c r="J2286" s="861">
        <v>45.058652200090499</v>
      </c>
      <c r="K2286" s="982">
        <v>1</v>
      </c>
      <c r="L2286" s="735">
        <v>3506</v>
      </c>
      <c r="M2286" s="735">
        <v>3305</v>
      </c>
      <c r="N2286" s="845">
        <f t="shared" si="176"/>
        <v>-5.7330290929834569E-2</v>
      </c>
      <c r="O2286" s="735">
        <v>6.452042747022495</v>
      </c>
      <c r="P2286" s="735">
        <f t="shared" si="177"/>
        <v>512.24087154803794</v>
      </c>
      <c r="Q2286" s="849">
        <v>42.2</v>
      </c>
      <c r="R2286" s="71">
        <v>39375</v>
      </c>
      <c r="S2286" s="845">
        <v>0.21669195751138087</v>
      </c>
      <c r="T2286" s="845">
        <v>9.5000000000000001E-2</v>
      </c>
      <c r="U2286" s="845">
        <v>5.0999999999999997E-2</v>
      </c>
      <c r="V2286" s="845">
        <v>3.1E-2</v>
      </c>
      <c r="W2286" s="845">
        <v>0.55518836748182421</v>
      </c>
      <c r="X2286" s="845">
        <v>0.37023809523809526</v>
      </c>
      <c r="Y2286" s="845">
        <v>0.9767019667170953</v>
      </c>
      <c r="Z2286" s="845">
        <v>7.8668683812405452E-3</v>
      </c>
      <c r="AA2286" s="845">
        <v>0</v>
      </c>
      <c r="AB2286" s="845">
        <v>0</v>
      </c>
      <c r="AC2286" s="845">
        <v>0</v>
      </c>
      <c r="AD2286" s="845">
        <v>0</v>
      </c>
      <c r="AE2286" s="845">
        <v>1.5431164901664145E-2</v>
      </c>
      <c r="AF2286" s="845">
        <v>1.4220877458396369E-2</v>
      </c>
      <c r="AG2286" s="845">
        <v>0.96248108925869891</v>
      </c>
      <c r="AH2286" s="20" t="str">
        <f t="shared" si="178"/>
        <v>Yes</v>
      </c>
      <c r="AI2286" s="25"/>
      <c r="AJ2286" s="25"/>
      <c r="AK2286" s="25"/>
      <c r="AL2286" s="25"/>
      <c r="AM2286" s="25"/>
      <c r="AN2286" s="25"/>
      <c r="AO2286" s="25"/>
      <c r="AP2286" s="25"/>
      <c r="AQ2286" s="25"/>
      <c r="AR2286" s="25"/>
      <c r="AS2286" s="25"/>
      <c r="AT2286" s="25"/>
      <c r="AU2286" s="36"/>
      <c r="AV2286" s="36"/>
      <c r="AW2286" s="36"/>
      <c r="AX2286" s="25"/>
      <c r="AY2286" s="25"/>
      <c r="AZ2286" s="25"/>
      <c r="BA2286" s="25"/>
      <c r="BB2286" s="25"/>
      <c r="BC2286" s="25"/>
      <c r="BD2286" s="25"/>
      <c r="BE2286" s="25"/>
      <c r="BF2286" s="25"/>
      <c r="BG2286" s="25"/>
      <c r="BH2286" s="25"/>
      <c r="BI2286" s="25"/>
      <c r="BJ2286" s="25"/>
      <c r="BK2286" s="25"/>
      <c r="BL2286" s="25"/>
      <c r="BM2286" s="25"/>
      <c r="BN2286" s="25"/>
      <c r="BO2286" s="25"/>
      <c r="BP2286" s="25"/>
      <c r="BQ2286" s="25"/>
      <c r="BR2286" s="25"/>
      <c r="BS2286" s="25"/>
      <c r="BT2286" s="25"/>
      <c r="BU2286"/>
      <c r="BV2286"/>
      <c r="BW2286"/>
      <c r="BX2286"/>
      <c r="BY2286"/>
      <c r="BZ2286"/>
      <c r="CA2286"/>
      <c r="CB2286"/>
      <c r="CC2286"/>
      <c r="CD2286" s="25"/>
    </row>
    <row r="2287" spans="1:82" s="17" customFormat="1" x14ac:dyDescent="0.2">
      <c r="A2287" s="25"/>
      <c r="B2287" s="20">
        <v>39025041800</v>
      </c>
      <c r="C2287" s="20">
        <v>418</v>
      </c>
      <c r="D2287" s="20" t="s">
        <v>19</v>
      </c>
      <c r="E2287" s="20" t="s">
        <v>2828</v>
      </c>
      <c r="F2287" s="20" t="s">
        <v>6</v>
      </c>
      <c r="G2287" s="861">
        <v>40.156183848366297</v>
      </c>
      <c r="H2287" s="861">
        <v>38.713835656299402</v>
      </c>
      <c r="I2287" s="861">
        <v>35.766874782397402</v>
      </c>
      <c r="J2287" s="861">
        <v>39.123463934219203</v>
      </c>
      <c r="K2287" s="982">
        <v>0</v>
      </c>
      <c r="L2287" s="735">
        <v>3790</v>
      </c>
      <c r="M2287" s="735">
        <v>3603</v>
      </c>
      <c r="N2287" s="845">
        <f t="shared" si="176"/>
        <v>-4.9340369393139842E-2</v>
      </c>
      <c r="O2287" s="735">
        <v>4.4415420115577291</v>
      </c>
      <c r="P2287" s="735">
        <f t="shared" si="177"/>
        <v>811.20475515582541</v>
      </c>
      <c r="Q2287" s="849">
        <v>41.3</v>
      </c>
      <c r="R2287" s="71">
        <v>53125</v>
      </c>
      <c r="S2287" s="845">
        <v>0.1489182354593987</v>
      </c>
      <c r="T2287" s="845">
        <v>6.4000000000000001E-2</v>
      </c>
      <c r="U2287" s="845">
        <v>0</v>
      </c>
      <c r="V2287" s="845">
        <v>0</v>
      </c>
      <c r="W2287" s="845">
        <v>0.41875401412973667</v>
      </c>
      <c r="X2287" s="845">
        <v>0.49693251533742333</v>
      </c>
      <c r="Y2287" s="845">
        <v>0.97196780460727172</v>
      </c>
      <c r="Z2287" s="845">
        <v>2.775464890369137E-3</v>
      </c>
      <c r="AA2287" s="845">
        <v>0</v>
      </c>
      <c r="AB2287" s="845">
        <v>0</v>
      </c>
      <c r="AC2287" s="845">
        <v>0</v>
      </c>
      <c r="AD2287" s="845">
        <v>6.3835692478490143E-3</v>
      </c>
      <c r="AE2287" s="845">
        <v>1.8873161254510131E-2</v>
      </c>
      <c r="AF2287" s="845">
        <v>6.3835692478490143E-3</v>
      </c>
      <c r="AG2287" s="845">
        <v>0.97196780460727172</v>
      </c>
      <c r="AH2287" s="20" t="str">
        <f t="shared" si="178"/>
        <v>Yes</v>
      </c>
      <c r="AI2287" s="25"/>
      <c r="AJ2287" s="25"/>
      <c r="AK2287" s="25"/>
      <c r="AL2287" s="25"/>
      <c r="AM2287" s="25"/>
      <c r="AN2287" s="25"/>
      <c r="AO2287" s="25"/>
      <c r="AP2287" s="25"/>
      <c r="AQ2287" s="25"/>
      <c r="AR2287" s="25"/>
      <c r="AS2287" s="25"/>
      <c r="AT2287" s="25"/>
      <c r="AU2287" s="36"/>
      <c r="AV2287" s="36"/>
      <c r="AW2287" s="36"/>
      <c r="AX2287" s="25"/>
      <c r="AY2287" s="25"/>
      <c r="AZ2287" s="25"/>
      <c r="BA2287" s="25"/>
      <c r="BB2287" s="25"/>
      <c r="BC2287" s="25"/>
      <c r="BD2287" s="25"/>
      <c r="BE2287" s="25"/>
      <c r="BF2287" s="25"/>
      <c r="BG2287" s="25"/>
      <c r="BH2287" s="25"/>
      <c r="BI2287" s="25"/>
      <c r="BJ2287" s="25"/>
      <c r="BK2287" s="25"/>
      <c r="BL2287" s="25"/>
      <c r="BM2287" s="25"/>
      <c r="BN2287" s="25"/>
      <c r="BO2287" s="25"/>
      <c r="BP2287" s="25"/>
      <c r="BQ2287" s="25"/>
      <c r="BR2287" s="25"/>
      <c r="BS2287" s="25"/>
      <c r="BT2287" s="25"/>
      <c r="BU2287"/>
      <c r="BV2287"/>
      <c r="BW2287"/>
      <c r="BX2287"/>
      <c r="BY2287"/>
      <c r="BZ2287"/>
      <c r="CA2287"/>
      <c r="CB2287"/>
      <c r="CC2287"/>
      <c r="CD2287" s="25"/>
    </row>
    <row r="2288" spans="1:82" s="17" customFormat="1" x14ac:dyDescent="0.2">
      <c r="A2288" s="25"/>
      <c r="B2288" s="20">
        <v>39157021600</v>
      </c>
      <c r="C2288" s="20">
        <v>216</v>
      </c>
      <c r="D2288" s="20" t="s">
        <v>84</v>
      </c>
      <c r="E2288" s="20" t="s">
        <v>265</v>
      </c>
      <c r="F2288" s="20" t="s">
        <v>8</v>
      </c>
      <c r="G2288" s="861">
        <v>40.154390262028301</v>
      </c>
      <c r="H2288" s="861">
        <v>46.060458743236801</v>
      </c>
      <c r="I2288" s="861">
        <v>32.872596062330203</v>
      </c>
      <c r="J2288" s="861">
        <v>35.309004624854701</v>
      </c>
      <c r="K2288" s="982">
        <v>0</v>
      </c>
      <c r="L2288" s="735">
        <v>4626</v>
      </c>
      <c r="M2288" s="735">
        <v>4489</v>
      </c>
      <c r="N2288" s="845">
        <f t="shared" si="176"/>
        <v>-2.9615218331171637E-2</v>
      </c>
      <c r="O2288" s="735">
        <v>27.043939209435212</v>
      </c>
      <c r="P2288" s="735">
        <f t="shared" si="177"/>
        <v>165.98913217619781</v>
      </c>
      <c r="Q2288" s="849">
        <v>35.6</v>
      </c>
      <c r="R2288" s="71">
        <v>54054</v>
      </c>
      <c r="S2288" s="845">
        <v>0.22395480225988701</v>
      </c>
      <c r="T2288" s="845">
        <v>9.1999999999999998E-2</v>
      </c>
      <c r="U2288" s="845">
        <v>0</v>
      </c>
      <c r="V2288" s="845">
        <v>2.2000000000000002E-2</v>
      </c>
      <c r="W2288" s="845">
        <v>0.38338108882521488</v>
      </c>
      <c r="X2288" s="845">
        <v>0.29745889387144991</v>
      </c>
      <c r="Y2288" s="845">
        <v>0.94987747828024061</v>
      </c>
      <c r="Z2288" s="845">
        <v>1.915794163510804E-2</v>
      </c>
      <c r="AA2288" s="845">
        <v>0</v>
      </c>
      <c r="AB2288" s="845">
        <v>0</v>
      </c>
      <c r="AC2288" s="845">
        <v>0</v>
      </c>
      <c r="AD2288" s="845">
        <v>9.1334372911561594E-3</v>
      </c>
      <c r="AE2288" s="845">
        <v>2.1831142793495212E-2</v>
      </c>
      <c r="AF2288" s="845">
        <v>1.3143239028736913E-2</v>
      </c>
      <c r="AG2288" s="845">
        <v>0.93673423925150368</v>
      </c>
      <c r="AH2288" s="20" t="str">
        <f t="shared" si="178"/>
        <v>Yes</v>
      </c>
      <c r="AI2288" s="25"/>
      <c r="AJ2288" s="25"/>
      <c r="AK2288" s="25"/>
      <c r="AL2288" s="25"/>
      <c r="AM2288" s="25"/>
      <c r="AN2288" s="25"/>
      <c r="AO2288" s="25"/>
      <c r="AP2288" s="25"/>
      <c r="AQ2288" s="25"/>
      <c r="AR2288" s="25"/>
      <c r="AS2288" s="25"/>
      <c r="AT2288" s="25"/>
      <c r="AU2288" s="36"/>
      <c r="AV2288" s="36"/>
      <c r="AW2288" s="36"/>
      <c r="AX2288" s="25"/>
      <c r="AY2288" s="25"/>
      <c r="AZ2288" s="25"/>
      <c r="BA2288" s="25"/>
      <c r="BB2288" s="25"/>
      <c r="BC2288" s="25"/>
      <c r="BD2288" s="25"/>
      <c r="BE2288" s="25"/>
      <c r="BF2288" s="25"/>
      <c r="BG2288" s="25"/>
      <c r="BH2288" s="25"/>
      <c r="BI2288" s="25"/>
      <c r="BJ2288" s="25"/>
      <c r="BK2288" s="25"/>
      <c r="BL2288" s="25"/>
      <c r="BM2288" s="25"/>
      <c r="BN2288" s="25"/>
      <c r="BO2288" s="25"/>
      <c r="BP2288" s="25"/>
      <c r="BQ2288" s="25"/>
      <c r="BR2288" s="25"/>
      <c r="BS2288" s="25"/>
      <c r="BT2288" s="25"/>
      <c r="BU2288"/>
      <c r="BV2288"/>
      <c r="BW2288"/>
      <c r="BX2288"/>
      <c r="BY2288"/>
      <c r="BZ2288"/>
      <c r="CA2288"/>
      <c r="CB2288"/>
      <c r="CC2288"/>
      <c r="CD2288" s="25"/>
    </row>
    <row r="2289" spans="1:82" s="17" customFormat="1" x14ac:dyDescent="0.2">
      <c r="A2289" s="25"/>
      <c r="B2289" s="20">
        <v>39155932600</v>
      </c>
      <c r="C2289" s="20">
        <v>9326</v>
      </c>
      <c r="D2289" s="20" t="s">
        <v>83</v>
      </c>
      <c r="E2289" s="20" t="s">
        <v>2842</v>
      </c>
      <c r="F2289" s="20" t="s">
        <v>8</v>
      </c>
      <c r="G2289" s="861">
        <v>40.137919275064498</v>
      </c>
      <c r="H2289" s="861">
        <v>45.713989011438201</v>
      </c>
      <c r="I2289" s="861">
        <v>34.476602988064698</v>
      </c>
      <c r="J2289" s="861">
        <v>40.090756980280602</v>
      </c>
      <c r="K2289" s="982">
        <v>0</v>
      </c>
      <c r="L2289" s="735">
        <v>3474</v>
      </c>
      <c r="M2289" s="735">
        <v>3648</v>
      </c>
      <c r="N2289" s="845">
        <f t="shared" si="176"/>
        <v>5.0086355785837651E-2</v>
      </c>
      <c r="O2289" s="735">
        <v>1.4926829142856568</v>
      </c>
      <c r="P2289" s="735">
        <f t="shared" si="177"/>
        <v>2443.9215891647013</v>
      </c>
      <c r="Q2289" s="849">
        <v>41</v>
      </c>
      <c r="R2289" s="71">
        <v>54844</v>
      </c>
      <c r="S2289" s="845">
        <v>7.85472972972973E-2</v>
      </c>
      <c r="T2289" s="845">
        <v>5.9000000000000004E-2</v>
      </c>
      <c r="U2289" s="845">
        <v>3.7000000000000005E-2</v>
      </c>
      <c r="V2289" s="845">
        <v>0</v>
      </c>
      <c r="W2289" s="845">
        <v>0.48639258830341631</v>
      </c>
      <c r="X2289" s="845">
        <v>0.29404761904761906</v>
      </c>
      <c r="Y2289" s="845">
        <v>0.92297149122807021</v>
      </c>
      <c r="Z2289" s="845">
        <v>4.6600877192982454E-3</v>
      </c>
      <c r="AA2289" s="845">
        <v>0</v>
      </c>
      <c r="AB2289" s="845">
        <v>1.6721491228070175E-2</v>
      </c>
      <c r="AC2289" s="845">
        <v>0</v>
      </c>
      <c r="AD2289" s="845">
        <v>5.7565789473684207E-3</v>
      </c>
      <c r="AE2289" s="845">
        <v>4.9890350877192985E-2</v>
      </c>
      <c r="AF2289" s="845">
        <v>1.2335526315789474E-2</v>
      </c>
      <c r="AG2289" s="845">
        <v>0.91447368421052633</v>
      </c>
      <c r="AH2289" s="20" t="str">
        <f t="shared" si="178"/>
        <v>Yes</v>
      </c>
      <c r="AI2289" s="25"/>
      <c r="AJ2289" s="25"/>
      <c r="AK2289" s="25"/>
      <c r="AL2289" s="25"/>
      <c r="AM2289" s="25"/>
      <c r="AN2289" s="25"/>
      <c r="AO2289" s="25"/>
      <c r="AP2289" s="25"/>
      <c r="AQ2289" s="25"/>
      <c r="AR2289" s="25"/>
      <c r="AS2289" s="25"/>
      <c r="AT2289" s="25"/>
      <c r="AU2289" s="36"/>
      <c r="AV2289" s="36"/>
      <c r="AW2289" s="36"/>
      <c r="AX2289" s="25"/>
      <c r="AY2289" s="25"/>
      <c r="AZ2289" s="25"/>
      <c r="BA2289" s="25"/>
      <c r="BB2289" s="25"/>
      <c r="BC2289" s="25"/>
      <c r="BD2289" s="25"/>
      <c r="BE2289" s="25"/>
      <c r="BF2289" s="25"/>
      <c r="BG2289" s="25"/>
      <c r="BH2289" s="25"/>
      <c r="BI2289" s="25"/>
      <c r="BJ2289" s="25"/>
      <c r="BK2289" s="25"/>
      <c r="BL2289" s="25"/>
      <c r="BM2289" s="25"/>
      <c r="BN2289" s="25"/>
      <c r="BO2289" s="25"/>
      <c r="BP2289" s="25"/>
      <c r="BQ2289" s="25"/>
      <c r="BR2289" s="25"/>
      <c r="BS2289" s="25"/>
      <c r="BT2289" s="25"/>
      <c r="BU2289"/>
      <c r="BV2289"/>
      <c r="BW2289"/>
      <c r="BX2289"/>
      <c r="BY2289"/>
      <c r="BZ2289"/>
      <c r="CA2289"/>
      <c r="CB2289"/>
      <c r="CC2289"/>
      <c r="CD2289" s="25"/>
    </row>
    <row r="2290" spans="1:82" s="17" customFormat="1" x14ac:dyDescent="0.2">
      <c r="A2290" s="25"/>
      <c r="B2290" s="20">
        <v>39141955802</v>
      </c>
      <c r="C2290" s="20">
        <v>9558.02</v>
      </c>
      <c r="D2290" s="20" t="s">
        <v>76</v>
      </c>
      <c r="E2290" s="20" t="s">
        <v>265</v>
      </c>
      <c r="F2290" s="20" t="s">
        <v>8</v>
      </c>
      <c r="G2290" s="861">
        <v>40.121385452464501</v>
      </c>
      <c r="H2290" s="861">
        <v>54.975518694886297</v>
      </c>
      <c r="I2290" s="861">
        <v>50.895624907667198</v>
      </c>
      <c r="J2290" s="861">
        <v>37.391939067526401</v>
      </c>
      <c r="K2290" s="982">
        <v>0</v>
      </c>
      <c r="L2290" s="735" t="s">
        <v>2466</v>
      </c>
      <c r="M2290" s="735">
        <v>4181</v>
      </c>
      <c r="N2290" s="845" t="str">
        <f t="shared" si="176"/>
        <v/>
      </c>
      <c r="O2290" s="735">
        <v>9.6422091296782053</v>
      </c>
      <c r="P2290" s="735">
        <f t="shared" si="177"/>
        <v>433.6143246604251</v>
      </c>
      <c r="Q2290" s="849">
        <v>37.799999999999997</v>
      </c>
      <c r="R2290" s="71">
        <v>85809</v>
      </c>
      <c r="S2290" s="845">
        <v>7.2661870503597126E-2</v>
      </c>
      <c r="T2290" s="845">
        <v>0.08</v>
      </c>
      <c r="U2290" s="845">
        <v>0</v>
      </c>
      <c r="V2290" s="845">
        <v>0</v>
      </c>
      <c r="W2290" s="845">
        <v>0.18889689978370583</v>
      </c>
      <c r="X2290" s="845">
        <v>0.27099236641221375</v>
      </c>
      <c r="Y2290" s="845">
        <v>0.95503468069839748</v>
      </c>
      <c r="Z2290" s="845">
        <v>2.2482659650801245E-2</v>
      </c>
      <c r="AA2290" s="845">
        <v>0</v>
      </c>
      <c r="AB2290" s="845">
        <v>0</v>
      </c>
      <c r="AC2290" s="845">
        <v>0</v>
      </c>
      <c r="AD2290" s="845">
        <v>0</v>
      </c>
      <c r="AE2290" s="845">
        <v>2.2482659650801245E-2</v>
      </c>
      <c r="AF2290" s="845">
        <v>4.3051901458981108E-3</v>
      </c>
      <c r="AG2290" s="845">
        <v>0.95072949055249945</v>
      </c>
      <c r="AH2290" s="20" t="str">
        <f t="shared" si="178"/>
        <v>Yes</v>
      </c>
      <c r="AI2290" s="25"/>
      <c r="AJ2290" s="25"/>
      <c r="AK2290" s="25"/>
      <c r="AL2290" s="25"/>
      <c r="AM2290" s="25"/>
      <c r="AN2290" s="25"/>
      <c r="AO2290" s="25"/>
      <c r="AP2290" s="25"/>
      <c r="AQ2290" s="25"/>
      <c r="AR2290" s="25"/>
      <c r="AS2290" s="25"/>
      <c r="AT2290" s="25"/>
      <c r="AU2290" s="36"/>
      <c r="AV2290" s="36"/>
      <c r="AW2290" s="36"/>
      <c r="AX2290" s="25"/>
      <c r="AY2290" s="25"/>
      <c r="AZ2290" s="25"/>
      <c r="BA2290" s="25"/>
      <c r="BB2290" s="25"/>
      <c r="BC2290" s="25"/>
      <c r="BD2290" s="25"/>
      <c r="BE2290" s="25"/>
      <c r="BF2290" s="25"/>
      <c r="BG2290" s="25"/>
      <c r="BH2290" s="25"/>
      <c r="BI2290" s="25"/>
      <c r="BJ2290" s="25"/>
      <c r="BK2290" s="25"/>
      <c r="BL2290" s="25"/>
      <c r="BM2290" s="25"/>
      <c r="BN2290" s="25"/>
      <c r="BO2290" s="25"/>
      <c r="BP2290" s="25"/>
      <c r="BQ2290" s="25"/>
      <c r="BR2290" s="25"/>
      <c r="BS2290" s="25"/>
      <c r="BT2290" s="25"/>
      <c r="BU2290"/>
      <c r="BV2290"/>
      <c r="BW2290"/>
      <c r="BX2290"/>
      <c r="BY2290"/>
      <c r="BZ2290"/>
      <c r="CA2290"/>
      <c r="CB2290"/>
      <c r="CC2290"/>
      <c r="CD2290" s="25"/>
    </row>
    <row r="2291" spans="1:82" s="17" customFormat="1" x14ac:dyDescent="0.2">
      <c r="A2291" s="25"/>
      <c r="B2291" s="20">
        <v>39153505200</v>
      </c>
      <c r="C2291" s="20">
        <v>5052</v>
      </c>
      <c r="D2291" s="20" t="s">
        <v>82</v>
      </c>
      <c r="E2291" s="20" t="s">
        <v>2843</v>
      </c>
      <c r="F2291" s="20" t="s">
        <v>6</v>
      </c>
      <c r="G2291" s="861">
        <v>40.098782225539701</v>
      </c>
      <c r="H2291" s="861">
        <v>41.0697889682842</v>
      </c>
      <c r="I2291" s="861">
        <v>65.477785419190297</v>
      </c>
      <c r="J2291" s="861">
        <v>42.671658230926099</v>
      </c>
      <c r="K2291" s="982">
        <v>0</v>
      </c>
      <c r="L2291" s="735">
        <v>1338</v>
      </c>
      <c r="M2291" s="735">
        <v>1264</v>
      </c>
      <c r="N2291" s="845">
        <f t="shared" si="176"/>
        <v>-5.5306427503736919E-2</v>
      </c>
      <c r="O2291" s="735">
        <v>0.40707831666455024</v>
      </c>
      <c r="P2291" s="735">
        <f t="shared" si="177"/>
        <v>3105.0536180771069</v>
      </c>
      <c r="Q2291" s="849">
        <v>35.1</v>
      </c>
      <c r="R2291" s="71">
        <v>33661</v>
      </c>
      <c r="S2291" s="845">
        <v>0.31642512077294688</v>
      </c>
      <c r="T2291" s="845">
        <v>6.7000000000000004E-2</v>
      </c>
      <c r="U2291" s="845">
        <v>0</v>
      </c>
      <c r="V2291" s="845">
        <v>0</v>
      </c>
      <c r="W2291" s="845">
        <v>0.3454861111111111</v>
      </c>
      <c r="X2291" s="845">
        <v>0.62311557788944727</v>
      </c>
      <c r="Y2291" s="845">
        <v>0.38370253164556961</v>
      </c>
      <c r="Z2291" s="845">
        <v>0.49446202531645572</v>
      </c>
      <c r="AA2291" s="845">
        <v>1.1867088607594937E-2</v>
      </c>
      <c r="AB2291" s="845">
        <v>0</v>
      </c>
      <c r="AC2291" s="845">
        <v>0</v>
      </c>
      <c r="AD2291" s="845">
        <v>8.3069620253164556E-2</v>
      </c>
      <c r="AE2291" s="845">
        <v>2.6898734177215191E-2</v>
      </c>
      <c r="AF2291" s="845">
        <v>9.4145569620253167E-2</v>
      </c>
      <c r="AG2291" s="845">
        <v>0.38370253164556961</v>
      </c>
      <c r="AH2291" s="20" t="str">
        <f t="shared" si="178"/>
        <v>No</v>
      </c>
      <c r="AI2291" s="25"/>
      <c r="AJ2291" s="25"/>
      <c r="AK2291" s="25"/>
      <c r="AL2291" s="25"/>
      <c r="AM2291" s="25"/>
      <c r="AN2291" s="25"/>
      <c r="AO2291" s="25"/>
      <c r="AP2291" s="25"/>
      <c r="AQ2291" s="25"/>
      <c r="AR2291" s="25"/>
      <c r="AS2291" s="25"/>
      <c r="AT2291" s="25"/>
      <c r="AU2291" s="36"/>
      <c r="AV2291" s="36"/>
      <c r="AW2291" s="36"/>
      <c r="AX2291" s="25"/>
      <c r="AY2291" s="25"/>
      <c r="AZ2291" s="25"/>
      <c r="BA2291" s="25"/>
      <c r="BB2291" s="25"/>
      <c r="BC2291" s="25"/>
      <c r="BD2291" s="25"/>
      <c r="BE2291" s="25"/>
      <c r="BF2291" s="25"/>
      <c r="BG2291" s="25"/>
      <c r="BH2291" s="25"/>
      <c r="BI2291" s="25"/>
      <c r="BJ2291" s="25"/>
      <c r="BK2291" s="25"/>
      <c r="BL2291" s="25"/>
      <c r="BM2291" s="25"/>
      <c r="BN2291" s="25"/>
      <c r="BO2291" s="25"/>
      <c r="BP2291" s="25"/>
      <c r="BQ2291" s="25"/>
      <c r="BR2291" s="25"/>
      <c r="BS2291" s="25"/>
      <c r="BT2291" s="25"/>
      <c r="BU2291"/>
      <c r="BV2291"/>
      <c r="BW2291"/>
      <c r="BX2291"/>
      <c r="BY2291"/>
      <c r="BZ2291"/>
      <c r="CA2291"/>
      <c r="CB2291"/>
      <c r="CC2291"/>
      <c r="CD2291" s="25"/>
    </row>
    <row r="2292" spans="1:82" s="17" customFormat="1" x14ac:dyDescent="0.2">
      <c r="A2292" s="25"/>
      <c r="B2292" s="20">
        <v>39163953100</v>
      </c>
      <c r="C2292" s="20">
        <v>9531</v>
      </c>
      <c r="D2292" s="20" t="s">
        <v>87</v>
      </c>
      <c r="E2292" s="20" t="s">
        <v>265</v>
      </c>
      <c r="F2292" s="20" t="s">
        <v>8</v>
      </c>
      <c r="G2292" s="861">
        <v>40.097013917384103</v>
      </c>
      <c r="H2292" s="861">
        <v>47.929425993829597</v>
      </c>
      <c r="I2292" s="861">
        <v>30.970604388300401</v>
      </c>
      <c r="J2292" s="861">
        <v>45.744871286333797</v>
      </c>
      <c r="K2292" s="982">
        <v>0</v>
      </c>
      <c r="L2292" s="735">
        <v>4994</v>
      </c>
      <c r="M2292" s="735">
        <v>5027</v>
      </c>
      <c r="N2292" s="845">
        <f t="shared" si="176"/>
        <v>6.6079295154185024E-3</v>
      </c>
      <c r="O2292" s="735">
        <v>65.488465504963273</v>
      </c>
      <c r="P2292" s="735">
        <f t="shared" si="177"/>
        <v>76.761609258030504</v>
      </c>
      <c r="Q2292" s="849">
        <v>41.5</v>
      </c>
      <c r="R2292" s="71">
        <v>55125</v>
      </c>
      <c r="S2292" s="845">
        <v>0.2010090817356206</v>
      </c>
      <c r="T2292" s="845">
        <v>3.1E-2</v>
      </c>
      <c r="U2292" s="845">
        <v>3.1E-2</v>
      </c>
      <c r="V2292" s="845">
        <v>4.5999999999999999E-2</v>
      </c>
      <c r="W2292" s="845">
        <v>0.34494436381228832</v>
      </c>
      <c r="X2292" s="845">
        <v>0.30715287517531559</v>
      </c>
      <c r="Y2292" s="845">
        <v>0.98388701014521585</v>
      </c>
      <c r="Z2292" s="845">
        <v>2.3871096081161725E-3</v>
      </c>
      <c r="AA2292" s="845">
        <v>0</v>
      </c>
      <c r="AB2292" s="845">
        <v>0</v>
      </c>
      <c r="AC2292" s="845">
        <v>0</v>
      </c>
      <c r="AD2292" s="845">
        <v>0</v>
      </c>
      <c r="AE2292" s="845">
        <v>1.3725880246667993E-2</v>
      </c>
      <c r="AF2292" s="845">
        <v>3.9785160135269546E-4</v>
      </c>
      <c r="AG2292" s="845">
        <v>0.98388701014521585</v>
      </c>
      <c r="AH2292" s="20" t="str">
        <f t="shared" si="178"/>
        <v>Yes</v>
      </c>
      <c r="AI2292" s="25"/>
      <c r="AJ2292" s="25"/>
      <c r="AK2292" s="25"/>
      <c r="AL2292" s="25"/>
      <c r="AM2292" s="25"/>
      <c r="AN2292" s="25"/>
      <c r="AO2292" s="25"/>
      <c r="AP2292" s="25"/>
      <c r="AQ2292" s="25"/>
      <c r="AR2292" s="25"/>
      <c r="AS2292" s="25"/>
      <c r="AT2292" s="25"/>
      <c r="AU2292" s="36"/>
      <c r="AV2292" s="36"/>
      <c r="AW2292" s="36"/>
      <c r="AX2292" s="25"/>
      <c r="AY2292" s="25"/>
      <c r="AZ2292" s="25"/>
      <c r="BA2292" s="25"/>
      <c r="BB2292" s="25"/>
      <c r="BC2292" s="25"/>
      <c r="BD2292" s="25"/>
      <c r="BE2292" s="25"/>
      <c r="BF2292" s="25"/>
      <c r="BG2292" s="25"/>
      <c r="BH2292" s="25"/>
      <c r="BI2292" s="25"/>
      <c r="BJ2292" s="25"/>
      <c r="BK2292" s="25"/>
      <c r="BL2292" s="25"/>
      <c r="BM2292" s="25"/>
      <c r="BN2292" s="25"/>
      <c r="BO2292" s="25"/>
      <c r="BP2292" s="25"/>
      <c r="BQ2292" s="25"/>
      <c r="BR2292" s="25"/>
      <c r="BS2292" s="25"/>
      <c r="BT2292" s="25"/>
      <c r="BU2292"/>
      <c r="BV2292"/>
      <c r="BW2292"/>
      <c r="BX2292"/>
      <c r="BY2292"/>
      <c r="BZ2292"/>
      <c r="CA2292"/>
      <c r="CB2292"/>
      <c r="CC2292"/>
      <c r="CD2292" s="25"/>
    </row>
    <row r="2293" spans="1:82" s="17" customFormat="1" x14ac:dyDescent="0.2">
      <c r="A2293" s="25"/>
      <c r="B2293" s="20">
        <v>39099804000</v>
      </c>
      <c r="C2293" s="20">
        <v>8040</v>
      </c>
      <c r="D2293" s="20" t="s">
        <v>55</v>
      </c>
      <c r="E2293" s="20" t="s">
        <v>2842</v>
      </c>
      <c r="F2293" s="20" t="s">
        <v>6</v>
      </c>
      <c r="G2293" s="861">
        <v>40.075502200679303</v>
      </c>
      <c r="H2293" s="861">
        <v>47.102601191253001</v>
      </c>
      <c r="I2293" s="861">
        <v>97.236700903921601</v>
      </c>
      <c r="J2293" s="861">
        <v>40.6433018916252</v>
      </c>
      <c r="K2293" s="982">
        <v>0</v>
      </c>
      <c r="L2293" s="735">
        <v>2208</v>
      </c>
      <c r="M2293" s="735">
        <v>2051</v>
      </c>
      <c r="N2293" s="845">
        <f t="shared" si="176"/>
        <v>-7.1105072463768113E-2</v>
      </c>
      <c r="O2293" s="735">
        <v>0.87667738366567249</v>
      </c>
      <c r="P2293" s="735">
        <f t="shared" si="177"/>
        <v>2339.5151263331372</v>
      </c>
      <c r="Q2293" s="849">
        <v>24.6</v>
      </c>
      <c r="R2293" s="71">
        <v>24509</v>
      </c>
      <c r="S2293" s="845">
        <v>0.52535496957403649</v>
      </c>
      <c r="T2293" s="845">
        <v>9.8000000000000004E-2</v>
      </c>
      <c r="U2293" s="845">
        <v>0</v>
      </c>
      <c r="V2293" s="845">
        <v>0.13300000000000001</v>
      </c>
      <c r="W2293" s="845">
        <v>0.71912013536379016</v>
      </c>
      <c r="X2293" s="845">
        <v>0.62117647058823533</v>
      </c>
      <c r="Y2293" s="845">
        <v>0.47830326669917111</v>
      </c>
      <c r="Z2293" s="845">
        <v>0.3778644563627499</v>
      </c>
      <c r="AA2293" s="845">
        <v>0</v>
      </c>
      <c r="AB2293" s="845">
        <v>7.4110190151145783E-2</v>
      </c>
      <c r="AC2293" s="845">
        <v>0</v>
      </c>
      <c r="AD2293" s="845">
        <v>3.4129692832764505E-3</v>
      </c>
      <c r="AE2293" s="845">
        <v>6.6309117503656756E-2</v>
      </c>
      <c r="AF2293" s="845">
        <v>2.2915650901999023E-2</v>
      </c>
      <c r="AG2293" s="845">
        <v>0.46757679180887374</v>
      </c>
      <c r="AH2293" s="20" t="str">
        <f t="shared" si="178"/>
        <v>No</v>
      </c>
      <c r="AI2293" s="25"/>
      <c r="AJ2293" s="25"/>
      <c r="AK2293" s="25"/>
      <c r="AL2293" s="25"/>
      <c r="AM2293" s="25"/>
      <c r="AN2293" s="25"/>
      <c r="AO2293" s="25"/>
      <c r="AP2293" s="25"/>
      <c r="AQ2293" s="25"/>
      <c r="AR2293" s="25"/>
      <c r="AS2293" s="25"/>
      <c r="AT2293" s="25"/>
      <c r="AU2293" s="36"/>
      <c r="AV2293" s="36"/>
      <c r="AW2293" s="36"/>
      <c r="AX2293" s="25"/>
      <c r="AY2293" s="25"/>
      <c r="AZ2293" s="25"/>
      <c r="BA2293" s="25"/>
      <c r="BB2293" s="25"/>
      <c r="BC2293" s="25"/>
      <c r="BD2293" s="25"/>
      <c r="BE2293" s="25"/>
      <c r="BF2293" s="25"/>
      <c r="BG2293" s="25"/>
      <c r="BH2293" s="25"/>
      <c r="BI2293" s="25"/>
      <c r="BJ2293" s="25"/>
      <c r="BK2293" s="25"/>
      <c r="BL2293" s="25"/>
      <c r="BM2293" s="25"/>
      <c r="BN2293" s="25"/>
      <c r="BO2293" s="25"/>
      <c r="BP2293" s="25"/>
      <c r="BQ2293" s="25"/>
      <c r="BR2293" s="25"/>
      <c r="BS2293" s="25"/>
      <c r="BT2293" s="25"/>
      <c r="BU2293"/>
      <c r="BV2293"/>
      <c r="BW2293"/>
      <c r="BX2293"/>
      <c r="BY2293"/>
      <c r="BZ2293"/>
      <c r="CA2293"/>
      <c r="CB2293"/>
      <c r="CC2293"/>
      <c r="CD2293" s="25"/>
    </row>
    <row r="2294" spans="1:82" s="17" customFormat="1" x14ac:dyDescent="0.2">
      <c r="A2294" s="25"/>
      <c r="B2294" s="20">
        <v>39059977300</v>
      </c>
      <c r="C2294" s="20">
        <v>9773</v>
      </c>
      <c r="D2294" s="20" t="s">
        <v>36</v>
      </c>
      <c r="E2294" s="20" t="s">
        <v>265</v>
      </c>
      <c r="F2294" s="20" t="s">
        <v>6</v>
      </c>
      <c r="G2294" s="861">
        <v>40.0630258375284</v>
      </c>
      <c r="H2294" s="861">
        <v>40.558667193132003</v>
      </c>
      <c r="I2294" s="861">
        <v>36.327269264549798</v>
      </c>
      <c r="J2294" s="861">
        <v>38.223396013680997</v>
      </c>
      <c r="K2294" s="982">
        <v>0</v>
      </c>
      <c r="L2294" s="735">
        <v>3344</v>
      </c>
      <c r="M2294" s="735">
        <v>2996</v>
      </c>
      <c r="N2294" s="845">
        <f t="shared" si="176"/>
        <v>-0.10406698564593302</v>
      </c>
      <c r="O2294" s="735">
        <v>6.5443358348081375</v>
      </c>
      <c r="P2294" s="735">
        <f t="shared" si="177"/>
        <v>457.80046678913061</v>
      </c>
      <c r="Q2294" s="849">
        <v>43.3</v>
      </c>
      <c r="R2294" s="71">
        <v>38385</v>
      </c>
      <c r="S2294" s="845">
        <v>0.3258741258741259</v>
      </c>
      <c r="T2294" s="845">
        <v>2.2000000000000002E-2</v>
      </c>
      <c r="U2294" s="845">
        <v>0</v>
      </c>
      <c r="V2294" s="845">
        <v>0.05</v>
      </c>
      <c r="W2294" s="845">
        <v>0.44934527911784977</v>
      </c>
      <c r="X2294" s="845">
        <v>0.40797546012269936</v>
      </c>
      <c r="Y2294" s="845">
        <v>0.89686248331108143</v>
      </c>
      <c r="Z2294" s="845">
        <v>1.3351134846461949E-3</v>
      </c>
      <c r="AA2294" s="845">
        <v>0</v>
      </c>
      <c r="AB2294" s="845">
        <v>0</v>
      </c>
      <c r="AC2294" s="845">
        <v>0</v>
      </c>
      <c r="AD2294" s="845">
        <v>0</v>
      </c>
      <c r="AE2294" s="845">
        <v>0.10180240320427236</v>
      </c>
      <c r="AF2294" s="845">
        <v>4.7396528704939919E-2</v>
      </c>
      <c r="AG2294" s="845">
        <v>0.87416555407209617</v>
      </c>
      <c r="AH2294" s="20" t="str">
        <f t="shared" si="178"/>
        <v>No</v>
      </c>
      <c r="AI2294" s="25"/>
      <c r="AJ2294" s="25"/>
      <c r="AK2294" s="25"/>
      <c r="AL2294" s="25"/>
      <c r="AM2294" s="25"/>
      <c r="AN2294" s="25"/>
      <c r="AO2294" s="25"/>
      <c r="AP2294" s="25"/>
      <c r="AQ2294" s="25"/>
      <c r="AR2294" s="25"/>
      <c r="AS2294" s="25"/>
      <c r="AT2294" s="25"/>
      <c r="AU2294" s="36"/>
      <c r="AV2294" s="36"/>
      <c r="AW2294" s="36"/>
      <c r="AX2294" s="25"/>
      <c r="AY2294" s="25"/>
      <c r="AZ2294" s="25"/>
      <c r="BA2294" s="25"/>
      <c r="BB2294" s="25"/>
      <c r="BC2294" s="25"/>
      <c r="BD2294" s="25"/>
      <c r="BE2294" s="25"/>
      <c r="BF2294" s="25"/>
      <c r="BG2294" s="25"/>
      <c r="BH2294" s="25"/>
      <c r="BI2294" s="25"/>
      <c r="BJ2294" s="25"/>
      <c r="BK2294" s="25"/>
      <c r="BL2294" s="25"/>
      <c r="BM2294" s="25"/>
      <c r="BN2294" s="25"/>
      <c r="BO2294" s="25"/>
      <c r="BP2294" s="25"/>
      <c r="BQ2294" s="25"/>
      <c r="BR2294" s="25"/>
      <c r="BS2294" s="25"/>
      <c r="BT2294" s="25"/>
      <c r="BU2294"/>
      <c r="BV2294"/>
      <c r="BW2294"/>
      <c r="BX2294"/>
      <c r="BY2294"/>
      <c r="BZ2294"/>
      <c r="CA2294"/>
      <c r="CB2294"/>
      <c r="CC2294"/>
      <c r="CD2294" s="25"/>
    </row>
    <row r="2295" spans="1:82" s="17" customFormat="1" x14ac:dyDescent="0.2">
      <c r="A2295" s="25"/>
      <c r="B2295" s="20">
        <v>39057200104</v>
      </c>
      <c r="C2295" s="20">
        <v>2001.04</v>
      </c>
      <c r="D2295" s="20" t="s">
        <v>35</v>
      </c>
      <c r="E2295" s="20" t="s">
        <v>2833</v>
      </c>
      <c r="F2295" s="20" t="s">
        <v>6</v>
      </c>
      <c r="G2295" s="861">
        <v>40.0404015181498</v>
      </c>
      <c r="H2295" s="861">
        <v>24.724759048361001</v>
      </c>
      <c r="I2295" s="861">
        <v>60.748565628461598</v>
      </c>
      <c r="J2295" s="861">
        <v>39.805693711691902</v>
      </c>
      <c r="K2295" s="982">
        <v>0</v>
      </c>
      <c r="L2295" s="735">
        <v>6498</v>
      </c>
      <c r="M2295" s="735">
        <v>5169</v>
      </c>
      <c r="N2295" s="845">
        <f t="shared" si="176"/>
        <v>-0.20452446906740535</v>
      </c>
      <c r="O2295" s="735">
        <v>4.5774542185060456</v>
      </c>
      <c r="P2295" s="735">
        <f t="shared" si="177"/>
        <v>1129.2302999126484</v>
      </c>
      <c r="Q2295" s="849">
        <v>23.1</v>
      </c>
      <c r="R2295" s="71">
        <v>41125</v>
      </c>
      <c r="S2295" s="845">
        <v>0.32740501212611156</v>
      </c>
      <c r="T2295" s="845">
        <v>7.5999999999999998E-2</v>
      </c>
      <c r="U2295" s="845">
        <v>0.10199999999999999</v>
      </c>
      <c r="V2295" s="845">
        <v>8.900000000000001E-2</v>
      </c>
      <c r="W2295" s="845">
        <v>0.86347243688820197</v>
      </c>
      <c r="X2295" s="845">
        <v>0.60799522673031026</v>
      </c>
      <c r="Y2295" s="845">
        <v>0.73379763977558521</v>
      </c>
      <c r="Z2295" s="845">
        <v>0.13851808860514606</v>
      </c>
      <c r="AA2295" s="845">
        <v>5.8038305281485781E-4</v>
      </c>
      <c r="AB2295" s="845">
        <v>3.8111820468175663E-2</v>
      </c>
      <c r="AC2295" s="845">
        <v>0</v>
      </c>
      <c r="AD2295" s="845">
        <v>0</v>
      </c>
      <c r="AE2295" s="845">
        <v>8.8992068098278199E-2</v>
      </c>
      <c r="AF2295" s="845">
        <v>3.3855678080866702E-2</v>
      </c>
      <c r="AG2295" s="845">
        <v>0.70516540917005222</v>
      </c>
      <c r="AH2295" s="20" t="str">
        <f t="shared" si="178"/>
        <v>No</v>
      </c>
      <c r="AI2295" s="25"/>
      <c r="AJ2295" s="25"/>
      <c r="AK2295" s="25"/>
      <c r="AL2295" s="25"/>
      <c r="AM2295" s="25"/>
      <c r="AN2295" s="25"/>
      <c r="AO2295" s="25"/>
      <c r="AP2295" s="25"/>
      <c r="AQ2295" s="25"/>
      <c r="AR2295" s="25"/>
      <c r="AS2295" s="25"/>
      <c r="AT2295" s="25"/>
      <c r="AU2295" s="36"/>
      <c r="AV2295" s="36"/>
      <c r="AW2295" s="36"/>
      <c r="AX2295" s="25"/>
      <c r="AY2295" s="25"/>
      <c r="AZ2295" s="25"/>
      <c r="BA2295" s="25"/>
      <c r="BB2295" s="25"/>
      <c r="BC2295" s="25"/>
      <c r="BD2295" s="25"/>
      <c r="BE2295" s="25"/>
      <c r="BF2295" s="25"/>
      <c r="BG2295" s="25"/>
      <c r="BH2295" s="25"/>
      <c r="BI2295" s="25"/>
      <c r="BJ2295" s="25"/>
      <c r="BK2295" s="25"/>
      <c r="BL2295" s="25"/>
      <c r="BM2295" s="25"/>
      <c r="BN2295" s="25"/>
      <c r="BO2295" s="25"/>
      <c r="BP2295" s="25"/>
      <c r="BQ2295" s="25"/>
      <c r="BR2295" s="25"/>
      <c r="BS2295" s="25"/>
      <c r="BT2295" s="25"/>
      <c r="BU2295"/>
      <c r="BV2295"/>
      <c r="BW2295"/>
      <c r="BX2295"/>
      <c r="BY2295"/>
      <c r="BZ2295"/>
      <c r="CA2295"/>
      <c r="CB2295"/>
      <c r="CC2295"/>
      <c r="CD2295" s="25"/>
    </row>
    <row r="2296" spans="1:82" s="17" customFormat="1" x14ac:dyDescent="0.2">
      <c r="A2296" s="25"/>
      <c r="B2296" s="20">
        <v>39153508399</v>
      </c>
      <c r="C2296" s="20">
        <v>5083.99</v>
      </c>
      <c r="D2296" s="20" t="s">
        <v>82</v>
      </c>
      <c r="E2296" s="20" t="s">
        <v>2843</v>
      </c>
      <c r="F2296" s="20" t="s">
        <v>6</v>
      </c>
      <c r="G2296" s="861">
        <v>40.032254857071798</v>
      </c>
      <c r="H2296" s="861">
        <v>55.433444964215902</v>
      </c>
      <c r="I2296" s="861">
        <v>50.083767397753597</v>
      </c>
      <c r="J2296" s="861">
        <v>47.280249869018</v>
      </c>
      <c r="K2296" s="982">
        <v>0</v>
      </c>
      <c r="L2296" s="735">
        <v>4883</v>
      </c>
      <c r="M2296" s="735">
        <v>4655</v>
      </c>
      <c r="N2296" s="845">
        <f t="shared" si="176"/>
        <v>-4.6692607003891051E-2</v>
      </c>
      <c r="O2296" s="735">
        <v>2.1444214274790627</v>
      </c>
      <c r="P2296" s="735">
        <f t="shared" si="177"/>
        <v>2170.748687897752</v>
      </c>
      <c r="Q2296" s="849">
        <v>33</v>
      </c>
      <c r="R2296" s="71">
        <v>40381</v>
      </c>
      <c r="S2296" s="845">
        <v>0.34650912996777661</v>
      </c>
      <c r="T2296" s="845">
        <v>0.13100000000000001</v>
      </c>
      <c r="U2296" s="845">
        <v>2.4E-2</v>
      </c>
      <c r="V2296" s="845">
        <v>4.4000000000000004E-2</v>
      </c>
      <c r="W2296" s="845">
        <v>0.62494331065759634</v>
      </c>
      <c r="X2296" s="845">
        <v>0.60812772133526849</v>
      </c>
      <c r="Y2296" s="845">
        <v>0.3071965628356606</v>
      </c>
      <c r="Z2296" s="845">
        <v>0.59742212674543504</v>
      </c>
      <c r="AA2296" s="845">
        <v>0</v>
      </c>
      <c r="AB2296" s="845">
        <v>0</v>
      </c>
      <c r="AC2296" s="845">
        <v>0</v>
      </c>
      <c r="AD2296" s="845">
        <v>0</v>
      </c>
      <c r="AE2296" s="845">
        <v>9.5381310418904408E-2</v>
      </c>
      <c r="AF2296" s="845">
        <v>5.9291084854994631E-2</v>
      </c>
      <c r="AG2296" s="845">
        <v>0.3071965628356606</v>
      </c>
      <c r="AH2296" s="20" t="str">
        <f t="shared" si="178"/>
        <v>No</v>
      </c>
      <c r="AI2296" s="25"/>
      <c r="AJ2296" s="25"/>
      <c r="AK2296" s="25"/>
      <c r="AL2296" s="25"/>
      <c r="AM2296" s="25"/>
      <c r="AN2296" s="25"/>
      <c r="AO2296" s="25"/>
      <c r="AP2296" s="25"/>
      <c r="AQ2296" s="25"/>
      <c r="AR2296" s="25"/>
      <c r="AS2296" s="25"/>
      <c r="AT2296" s="25"/>
      <c r="AU2296" s="36"/>
      <c r="AV2296" s="36"/>
      <c r="AW2296" s="36"/>
      <c r="AX2296" s="25"/>
      <c r="AY2296" s="25"/>
      <c r="AZ2296" s="25"/>
      <c r="BA2296" s="25"/>
      <c r="BB2296" s="25"/>
      <c r="BC2296" s="25"/>
      <c r="BD2296" s="25"/>
      <c r="BE2296" s="25"/>
      <c r="BF2296" s="25"/>
      <c r="BG2296" s="25"/>
      <c r="BH2296" s="25"/>
      <c r="BI2296" s="25"/>
      <c r="BJ2296" s="25"/>
      <c r="BK2296" s="25"/>
      <c r="BL2296" s="25"/>
      <c r="BM2296" s="25"/>
      <c r="BN2296" s="25"/>
      <c r="BO2296" s="25"/>
      <c r="BP2296" s="25"/>
      <c r="BQ2296" s="25"/>
      <c r="BR2296" s="25"/>
      <c r="BS2296" s="25"/>
      <c r="BT2296" s="25"/>
      <c r="BU2296"/>
      <c r="BV2296"/>
      <c r="BW2296"/>
      <c r="BX2296"/>
      <c r="BY2296"/>
      <c r="BZ2296"/>
      <c r="CA2296"/>
      <c r="CB2296"/>
      <c r="CC2296"/>
      <c r="CD2296" s="25"/>
    </row>
    <row r="2297" spans="1:82" s="17" customFormat="1" x14ac:dyDescent="0.2">
      <c r="A2297" s="25"/>
      <c r="B2297" s="20">
        <v>39157020100</v>
      </c>
      <c r="C2297" s="20">
        <v>201</v>
      </c>
      <c r="D2297" s="20" t="s">
        <v>84</v>
      </c>
      <c r="E2297" s="20" t="s">
        <v>265</v>
      </c>
      <c r="F2297" s="20" t="s">
        <v>8</v>
      </c>
      <c r="G2297" s="861">
        <v>40.021791965289502</v>
      </c>
      <c r="H2297" s="861">
        <v>35.406643307098797</v>
      </c>
      <c r="I2297" s="861">
        <v>33.987993572008897</v>
      </c>
      <c r="J2297" s="861">
        <v>33.703405618162002</v>
      </c>
      <c r="K2297" s="982">
        <v>0</v>
      </c>
      <c r="L2297" s="735">
        <v>5193</v>
      </c>
      <c r="M2297" s="735">
        <v>5021</v>
      </c>
      <c r="N2297" s="845">
        <f t="shared" si="176"/>
        <v>-3.3121509724629308E-2</v>
      </c>
      <c r="O2297" s="735">
        <v>29.002173681793469</v>
      </c>
      <c r="P2297" s="735">
        <f t="shared" si="177"/>
        <v>173.12495453235647</v>
      </c>
      <c r="Q2297" s="849">
        <v>41.8</v>
      </c>
      <c r="R2297" s="71">
        <v>72065</v>
      </c>
      <c r="S2297" s="845">
        <v>0.13536682615629983</v>
      </c>
      <c r="T2297" s="845">
        <v>5.2999999999999999E-2</v>
      </c>
      <c r="U2297" s="845">
        <v>0</v>
      </c>
      <c r="V2297" s="845">
        <v>0</v>
      </c>
      <c r="W2297" s="845">
        <v>0.33819095477386935</v>
      </c>
      <c r="X2297" s="845">
        <v>0.45616641901931648</v>
      </c>
      <c r="Y2297" s="845">
        <v>0.88826926906990644</v>
      </c>
      <c r="Z2297" s="845">
        <v>2.3899621589324837E-3</v>
      </c>
      <c r="AA2297" s="845">
        <v>0</v>
      </c>
      <c r="AB2297" s="845">
        <v>0</v>
      </c>
      <c r="AC2297" s="845">
        <v>0</v>
      </c>
      <c r="AD2297" s="845">
        <v>6.1541525592511449E-2</v>
      </c>
      <c r="AE2297" s="845">
        <v>4.779924317864967E-2</v>
      </c>
      <c r="AF2297" s="845">
        <v>7.0105556662019522E-2</v>
      </c>
      <c r="AG2297" s="845">
        <v>0.87970523800039835</v>
      </c>
      <c r="AH2297" s="20" t="str">
        <f t="shared" si="178"/>
        <v>No</v>
      </c>
      <c r="AI2297" s="25"/>
      <c r="AJ2297" s="25"/>
      <c r="AK2297" s="25"/>
      <c r="AL2297" s="25"/>
      <c r="AM2297" s="25"/>
      <c r="AN2297" s="25"/>
      <c r="AO2297" s="25"/>
      <c r="AP2297" s="25"/>
      <c r="AQ2297" s="25"/>
      <c r="AR2297" s="25"/>
      <c r="AS2297" s="25"/>
      <c r="AT2297" s="25"/>
      <c r="AU2297" s="36"/>
      <c r="AV2297" s="36"/>
      <c r="AW2297" s="36"/>
      <c r="AX2297" s="25"/>
      <c r="AY2297" s="25"/>
      <c r="AZ2297" s="25"/>
      <c r="BA2297" s="25"/>
      <c r="BB2297" s="25"/>
      <c r="BC2297" s="25"/>
      <c r="BD2297" s="25"/>
      <c r="BE2297" s="25"/>
      <c r="BF2297" s="25"/>
      <c r="BG2297" s="25"/>
      <c r="BH2297" s="25"/>
      <c r="BI2297" s="25"/>
      <c r="BJ2297" s="25"/>
      <c r="BK2297" s="25"/>
      <c r="BL2297" s="25"/>
      <c r="BM2297" s="25"/>
      <c r="BN2297" s="25"/>
      <c r="BO2297" s="25"/>
      <c r="BP2297" s="25"/>
      <c r="BQ2297" s="25"/>
      <c r="BR2297" s="25"/>
      <c r="BS2297" s="25"/>
      <c r="BT2297" s="25"/>
      <c r="BU2297"/>
      <c r="BV2297"/>
      <c r="BW2297"/>
      <c r="BX2297"/>
      <c r="BY2297"/>
      <c r="BZ2297"/>
      <c r="CA2297"/>
      <c r="CB2297"/>
      <c r="CC2297"/>
      <c r="CD2297" s="25"/>
    </row>
    <row r="2298" spans="1:82" s="17" customFormat="1" x14ac:dyDescent="0.2">
      <c r="A2298" s="25"/>
      <c r="B2298" s="20">
        <v>39137030200</v>
      </c>
      <c r="C2298" s="20">
        <v>302</v>
      </c>
      <c r="D2298" s="20" t="s">
        <v>74</v>
      </c>
      <c r="E2298" s="20" t="s">
        <v>265</v>
      </c>
      <c r="F2298" s="20" t="s">
        <v>8</v>
      </c>
      <c r="G2298" s="861">
        <v>40.010933222417798</v>
      </c>
      <c r="H2298" s="861">
        <v>42.536919650881799</v>
      </c>
      <c r="I2298" s="861">
        <v>18.958821008144099</v>
      </c>
      <c r="J2298" s="861">
        <v>45.269885744631601</v>
      </c>
      <c r="K2298" s="982">
        <v>0</v>
      </c>
      <c r="L2298" s="735">
        <v>5915</v>
      </c>
      <c r="M2298" s="735">
        <v>5903</v>
      </c>
      <c r="N2298" s="845">
        <f t="shared" si="176"/>
        <v>-2.0287404902789518E-3</v>
      </c>
      <c r="O2298" s="735">
        <v>132.10160219615835</v>
      </c>
      <c r="P2298" s="735">
        <f t="shared" si="177"/>
        <v>44.68530208463789</v>
      </c>
      <c r="Q2298" s="849">
        <v>41.6</v>
      </c>
      <c r="R2298" s="71">
        <v>78644</v>
      </c>
      <c r="S2298" s="845">
        <v>0.10188807620343596</v>
      </c>
      <c r="T2298" s="845">
        <v>6.0999999999999999E-2</v>
      </c>
      <c r="U2298" s="845">
        <v>2E-3</v>
      </c>
      <c r="V2298" s="845">
        <v>7.2000000000000008E-2</v>
      </c>
      <c r="W2298" s="845">
        <v>5.4656755574989072E-2</v>
      </c>
      <c r="X2298" s="845">
        <v>4.8000000000000001E-2</v>
      </c>
      <c r="Y2298" s="845">
        <v>0.98729459596815183</v>
      </c>
      <c r="Z2298" s="845">
        <v>6.7762154836523798E-4</v>
      </c>
      <c r="AA2298" s="845">
        <v>0</v>
      </c>
      <c r="AB2298" s="845">
        <v>0</v>
      </c>
      <c r="AC2298" s="845">
        <v>0</v>
      </c>
      <c r="AD2298" s="845">
        <v>7.4538370320176182E-3</v>
      </c>
      <c r="AE2298" s="845">
        <v>4.5739454514653567E-3</v>
      </c>
      <c r="AF2298" s="845">
        <v>1.3213620193122142E-2</v>
      </c>
      <c r="AG2298" s="845">
        <v>0.9822124343554125</v>
      </c>
      <c r="AH2298" s="20" t="str">
        <f t="shared" si="178"/>
        <v>Yes</v>
      </c>
      <c r="AI2298" s="25"/>
      <c r="AJ2298" s="25"/>
      <c r="AK2298" s="25"/>
      <c r="AL2298" s="25"/>
      <c r="AM2298" s="25"/>
      <c r="AN2298" s="25"/>
      <c r="AO2298" s="25"/>
      <c r="AP2298" s="25"/>
      <c r="AQ2298" s="25"/>
      <c r="AR2298" s="25"/>
      <c r="AS2298" s="25"/>
      <c r="AT2298" s="25"/>
      <c r="AU2298" s="36"/>
      <c r="AV2298" s="36"/>
      <c r="AW2298" s="36"/>
      <c r="AX2298" s="25"/>
      <c r="AY2298" s="25"/>
      <c r="AZ2298" s="25"/>
      <c r="BA2298" s="25"/>
      <c r="BB2298" s="25"/>
      <c r="BC2298" s="25"/>
      <c r="BD2298" s="25"/>
      <c r="BE2298" s="25"/>
      <c r="BF2298" s="25"/>
      <c r="BG2298" s="25"/>
      <c r="BH2298" s="25"/>
      <c r="BI2298" s="25"/>
      <c r="BJ2298" s="25"/>
      <c r="BK2298" s="25"/>
      <c r="BL2298" s="25"/>
      <c r="BM2298" s="25"/>
      <c r="BN2298" s="25"/>
      <c r="BO2298" s="25"/>
      <c r="BP2298" s="25"/>
      <c r="BQ2298" s="25"/>
      <c r="BR2298" s="25"/>
      <c r="BS2298" s="25"/>
      <c r="BT2298" s="25"/>
      <c r="BU2298"/>
      <c r="BV2298"/>
      <c r="BW2298"/>
      <c r="BX2298"/>
      <c r="BY2298"/>
      <c r="BZ2298"/>
      <c r="CA2298"/>
      <c r="CB2298"/>
      <c r="CC2298"/>
      <c r="CD2298" s="25"/>
    </row>
    <row r="2299" spans="1:82" s="17" customFormat="1" x14ac:dyDescent="0.2">
      <c r="A2299" s="25"/>
      <c r="B2299" s="20">
        <v>39151715000</v>
      </c>
      <c r="C2299" s="20">
        <v>7150</v>
      </c>
      <c r="D2299" s="20" t="s">
        <v>81</v>
      </c>
      <c r="E2299" s="20" t="s">
        <v>2844</v>
      </c>
      <c r="F2299" s="20" t="s">
        <v>8</v>
      </c>
      <c r="G2299" s="861">
        <v>40.001736923951498</v>
      </c>
      <c r="H2299" s="861">
        <v>50.674935210137498</v>
      </c>
      <c r="I2299" s="861">
        <v>43.680656577909303</v>
      </c>
      <c r="J2299" s="861">
        <v>35.099648087221702</v>
      </c>
      <c r="K2299" s="982">
        <v>0</v>
      </c>
      <c r="L2299" s="735">
        <v>2747</v>
      </c>
      <c r="M2299" s="735">
        <v>3098</v>
      </c>
      <c r="N2299" s="845">
        <f t="shared" si="176"/>
        <v>0.12777575536949398</v>
      </c>
      <c r="O2299" s="735">
        <v>0.85423326518668852</v>
      </c>
      <c r="P2299" s="735">
        <f t="shared" si="177"/>
        <v>3626.6440634607543</v>
      </c>
      <c r="Q2299" s="849">
        <v>34.200000000000003</v>
      </c>
      <c r="R2299" s="71">
        <v>42354</v>
      </c>
      <c r="S2299" s="845">
        <v>0.13817710022705157</v>
      </c>
      <c r="T2299" s="845">
        <v>6.6000000000000003E-2</v>
      </c>
      <c r="U2299" s="845">
        <v>0</v>
      </c>
      <c r="V2299" s="845">
        <v>5.0999999999999997E-2</v>
      </c>
      <c r="W2299" s="845">
        <v>0.67275383491599705</v>
      </c>
      <c r="X2299" s="845">
        <v>0.31704668838219324</v>
      </c>
      <c r="Y2299" s="845">
        <v>0.88702388637830853</v>
      </c>
      <c r="Z2299" s="845">
        <v>2.420916720464816E-2</v>
      </c>
      <c r="AA2299" s="845">
        <v>0</v>
      </c>
      <c r="AB2299" s="845">
        <v>4.4544867656552613E-2</v>
      </c>
      <c r="AC2299" s="845">
        <v>0</v>
      </c>
      <c r="AD2299" s="845">
        <v>2.5823111684958036E-3</v>
      </c>
      <c r="AE2299" s="845">
        <v>4.1639767591994836E-2</v>
      </c>
      <c r="AF2299" s="845">
        <v>1.9367333763718529E-3</v>
      </c>
      <c r="AG2299" s="845">
        <v>0.88702388637830853</v>
      </c>
      <c r="AH2299" s="20" t="str">
        <f t="shared" si="178"/>
        <v>No</v>
      </c>
      <c r="AI2299" s="25"/>
      <c r="AJ2299" s="25"/>
      <c r="AK2299" s="25"/>
      <c r="AL2299" s="25"/>
      <c r="AM2299" s="25"/>
      <c r="AN2299" s="25"/>
      <c r="AO2299" s="25"/>
      <c r="AP2299" s="25"/>
      <c r="AQ2299" s="25"/>
      <c r="AR2299" s="25"/>
      <c r="AS2299" s="25"/>
      <c r="AT2299" s="25"/>
      <c r="AU2299" s="36"/>
      <c r="AV2299" s="36"/>
      <c r="AW2299" s="36"/>
      <c r="AX2299" s="25"/>
      <c r="AY2299" s="25"/>
      <c r="AZ2299" s="25"/>
      <c r="BA2299" s="25"/>
      <c r="BB2299" s="25"/>
      <c r="BC2299" s="25"/>
      <c r="BD2299" s="25"/>
      <c r="BE2299" s="25"/>
      <c r="BF2299" s="25"/>
      <c r="BG2299" s="25"/>
      <c r="BH2299" s="25"/>
      <c r="BI2299" s="25"/>
      <c r="BJ2299" s="25"/>
      <c r="BK2299" s="25"/>
      <c r="BL2299" s="25"/>
      <c r="BM2299" s="25"/>
      <c r="BN2299" s="25"/>
      <c r="BO2299" s="25"/>
      <c r="BP2299" s="25"/>
      <c r="BQ2299" s="25"/>
      <c r="BR2299" s="25"/>
      <c r="BS2299" s="25"/>
      <c r="BT2299" s="25"/>
      <c r="BU2299"/>
      <c r="BV2299"/>
      <c r="BW2299"/>
      <c r="BX2299"/>
      <c r="BY2299"/>
      <c r="BZ2299"/>
      <c r="CA2299"/>
      <c r="CB2299"/>
      <c r="CC2299"/>
      <c r="CD2299" s="25"/>
    </row>
    <row r="2300" spans="1:82" s="17" customFormat="1" x14ac:dyDescent="0.2">
      <c r="A2300" s="25"/>
      <c r="B2300" s="20">
        <v>39035101400</v>
      </c>
      <c r="C2300" s="20">
        <v>1014</v>
      </c>
      <c r="D2300" s="20" t="s">
        <v>24</v>
      </c>
      <c r="E2300" s="20" t="s">
        <v>2829</v>
      </c>
      <c r="F2300" s="20" t="s">
        <v>6</v>
      </c>
      <c r="G2300" s="861">
        <v>39.993724469972001</v>
      </c>
      <c r="H2300" s="861">
        <v>60.1894580102514</v>
      </c>
      <c r="I2300" s="861">
        <v>53.386021235409601</v>
      </c>
      <c r="J2300" s="861">
        <v>36.652239144507902</v>
      </c>
      <c r="K2300" s="982">
        <v>0</v>
      </c>
      <c r="L2300" s="735">
        <v>1973</v>
      </c>
      <c r="M2300" s="735">
        <v>1750</v>
      </c>
      <c r="N2300" s="845">
        <f t="shared" si="176"/>
        <v>-0.11302584896097313</v>
      </c>
      <c r="O2300" s="735">
        <v>0.49367215048720825</v>
      </c>
      <c r="P2300" s="735">
        <f t="shared" si="177"/>
        <v>3544.8627156158468</v>
      </c>
      <c r="Q2300" s="849">
        <v>37.799999999999997</v>
      </c>
      <c r="R2300" s="71">
        <v>40019</v>
      </c>
      <c r="S2300" s="845">
        <v>0.26285714285714284</v>
      </c>
      <c r="T2300" s="845">
        <v>0.10199999999999999</v>
      </c>
      <c r="U2300" s="845">
        <v>0</v>
      </c>
      <c r="V2300" s="845">
        <v>0.06</v>
      </c>
      <c r="W2300" s="845">
        <v>0.52296296296296296</v>
      </c>
      <c r="X2300" s="845">
        <v>0.56657223796033995</v>
      </c>
      <c r="Y2300" s="845">
        <v>0.4662857142857143</v>
      </c>
      <c r="Z2300" s="845">
        <v>0.22914285714285715</v>
      </c>
      <c r="AA2300" s="845">
        <v>2.1142857142857144E-2</v>
      </c>
      <c r="AB2300" s="845">
        <v>3.0285714285714287E-2</v>
      </c>
      <c r="AC2300" s="845">
        <v>0</v>
      </c>
      <c r="AD2300" s="845">
        <v>9.4285714285714292E-2</v>
      </c>
      <c r="AE2300" s="845">
        <v>0.15885714285714286</v>
      </c>
      <c r="AF2300" s="845">
        <v>0.30057142857142854</v>
      </c>
      <c r="AG2300" s="845">
        <v>0.43371428571428572</v>
      </c>
      <c r="AH2300" s="20" t="str">
        <f t="shared" si="178"/>
        <v>No</v>
      </c>
      <c r="AI2300" s="25"/>
      <c r="AJ2300" s="25"/>
      <c r="AK2300" s="25"/>
      <c r="AL2300" s="25"/>
      <c r="AM2300" s="25"/>
      <c r="AN2300" s="25"/>
      <c r="AO2300" s="25"/>
      <c r="AP2300" s="25"/>
      <c r="AQ2300" s="25"/>
      <c r="AR2300" s="25"/>
      <c r="AS2300" s="25"/>
      <c r="AT2300" s="25"/>
      <c r="AU2300" s="36"/>
      <c r="AV2300" s="36"/>
      <c r="AW2300" s="36"/>
      <c r="AX2300" s="25"/>
      <c r="AY2300" s="25"/>
      <c r="AZ2300" s="25"/>
      <c r="BA2300" s="25"/>
      <c r="BB2300" s="25"/>
      <c r="BC2300" s="25"/>
      <c r="BD2300" s="25"/>
      <c r="BE2300" s="25"/>
      <c r="BF2300" s="25"/>
      <c r="BG2300" s="25"/>
      <c r="BH2300" s="25"/>
      <c r="BI2300" s="25"/>
      <c r="BJ2300" s="25"/>
      <c r="BK2300" s="25"/>
      <c r="BL2300" s="25"/>
      <c r="BM2300" s="25"/>
      <c r="BN2300" s="25"/>
      <c r="BO2300" s="25"/>
      <c r="BP2300" s="25"/>
      <c r="BQ2300" s="25"/>
      <c r="BR2300" s="25"/>
      <c r="BS2300" s="25"/>
      <c r="BT2300" s="25"/>
      <c r="BU2300"/>
      <c r="BV2300"/>
      <c r="BW2300"/>
      <c r="BX2300"/>
      <c r="BY2300"/>
      <c r="BZ2300"/>
      <c r="CA2300"/>
      <c r="CB2300"/>
      <c r="CC2300"/>
      <c r="CD2300" s="25"/>
    </row>
    <row r="2301" spans="1:82" s="17" customFormat="1" x14ac:dyDescent="0.2">
      <c r="A2301" s="25"/>
      <c r="B2301" s="20">
        <v>39029952000</v>
      </c>
      <c r="C2301" s="20">
        <v>9520</v>
      </c>
      <c r="D2301" s="20" t="s">
        <v>21</v>
      </c>
      <c r="E2301" s="20" t="s">
        <v>265</v>
      </c>
      <c r="F2301" s="20" t="s">
        <v>8</v>
      </c>
      <c r="G2301" s="861">
        <v>39.987577128013697</v>
      </c>
      <c r="H2301" s="861">
        <v>53.142637706472001</v>
      </c>
      <c r="I2301" s="861">
        <v>44.648385116123798</v>
      </c>
      <c r="J2301" s="861">
        <v>33.685913130666101</v>
      </c>
      <c r="K2301" s="982">
        <v>0</v>
      </c>
      <c r="L2301" s="735">
        <v>2713</v>
      </c>
      <c r="M2301" s="735">
        <v>3177</v>
      </c>
      <c r="N2301" s="845">
        <f t="shared" si="176"/>
        <v>0.171028381865094</v>
      </c>
      <c r="O2301" s="735">
        <v>2.1782370267329143</v>
      </c>
      <c r="P2301" s="735">
        <f t="shared" si="177"/>
        <v>1458.5189586851834</v>
      </c>
      <c r="Q2301" s="849">
        <v>56.1</v>
      </c>
      <c r="R2301" s="71">
        <v>51222</v>
      </c>
      <c r="S2301" s="845">
        <v>0.17815549260308466</v>
      </c>
      <c r="T2301" s="845">
        <v>4.4999999999999998E-2</v>
      </c>
      <c r="U2301" s="845">
        <v>2.4E-2</v>
      </c>
      <c r="V2301" s="845">
        <v>0</v>
      </c>
      <c r="W2301" s="845">
        <v>0.34018426647767541</v>
      </c>
      <c r="X2301" s="845">
        <v>0.27291666666666664</v>
      </c>
      <c r="Y2301" s="845">
        <v>0.86591123701605288</v>
      </c>
      <c r="Z2301" s="845">
        <v>4.7214353163361665E-2</v>
      </c>
      <c r="AA2301" s="845">
        <v>0</v>
      </c>
      <c r="AB2301" s="845">
        <v>0</v>
      </c>
      <c r="AC2301" s="845">
        <v>0</v>
      </c>
      <c r="AD2301" s="845">
        <v>0</v>
      </c>
      <c r="AE2301" s="845">
        <v>8.687440982058546E-2</v>
      </c>
      <c r="AF2301" s="845">
        <v>1.8256216556499841E-2</v>
      </c>
      <c r="AG2301" s="845">
        <v>0.86244885111740632</v>
      </c>
      <c r="AH2301" s="20" t="str">
        <f t="shared" si="178"/>
        <v>No</v>
      </c>
      <c r="AI2301" s="25"/>
      <c r="AJ2301" s="25"/>
      <c r="AK2301" s="25"/>
      <c r="AL2301" s="25"/>
      <c r="AM2301" s="25"/>
      <c r="AN2301" s="25"/>
      <c r="AO2301" s="25"/>
      <c r="AP2301" s="25"/>
      <c r="AQ2301" s="25"/>
      <c r="AR2301" s="25"/>
      <c r="AS2301" s="25"/>
      <c r="AT2301" s="25"/>
      <c r="AU2301" s="36"/>
      <c r="AV2301" s="36"/>
      <c r="AW2301" s="36"/>
      <c r="AX2301" s="25"/>
      <c r="AY2301" s="25"/>
      <c r="AZ2301" s="25"/>
      <c r="BA2301" s="25"/>
      <c r="BB2301" s="25"/>
      <c r="BC2301" s="25"/>
      <c r="BD2301" s="25"/>
      <c r="BE2301" s="25"/>
      <c r="BF2301" s="25"/>
      <c r="BG2301" s="25"/>
      <c r="BH2301" s="25"/>
      <c r="BI2301" s="25"/>
      <c r="BJ2301" s="25"/>
      <c r="BK2301" s="25"/>
      <c r="BL2301" s="25"/>
      <c r="BM2301" s="25"/>
      <c r="BN2301" s="25"/>
      <c r="BO2301" s="25"/>
      <c r="BP2301" s="25"/>
      <c r="BQ2301" s="25"/>
      <c r="BR2301" s="25"/>
      <c r="BS2301" s="25"/>
      <c r="BT2301" s="25"/>
      <c r="BU2301"/>
      <c r="BV2301"/>
      <c r="BW2301"/>
      <c r="BX2301"/>
      <c r="BY2301"/>
      <c r="BZ2301"/>
      <c r="CA2301"/>
      <c r="CB2301"/>
      <c r="CC2301"/>
      <c r="CD2301" s="25"/>
    </row>
    <row r="2302" spans="1:82" s="17" customFormat="1" x14ac:dyDescent="0.2">
      <c r="A2302" s="25"/>
      <c r="B2302" s="20">
        <v>39099802701</v>
      </c>
      <c r="C2302" s="20">
        <v>8027.01</v>
      </c>
      <c r="D2302" s="20" t="s">
        <v>55</v>
      </c>
      <c r="E2302" s="20" t="s">
        <v>2842</v>
      </c>
      <c r="F2302" s="20" t="s">
        <v>8</v>
      </c>
      <c r="G2302" s="861">
        <v>39.971139966732103</v>
      </c>
      <c r="H2302" s="861">
        <v>50.022405622291899</v>
      </c>
      <c r="I2302" s="861">
        <v>27.4282928047243</v>
      </c>
      <c r="J2302" s="861">
        <v>42.325179472442798</v>
      </c>
      <c r="K2302" s="982">
        <v>0</v>
      </c>
      <c r="L2302" s="735">
        <v>2998</v>
      </c>
      <c r="M2302" s="735">
        <v>3337</v>
      </c>
      <c r="N2302" s="845">
        <f t="shared" si="176"/>
        <v>0.11307538358905937</v>
      </c>
      <c r="O2302" s="735">
        <v>1.1796586973520895</v>
      </c>
      <c r="P2302" s="735">
        <f t="shared" si="177"/>
        <v>2828.7842979417414</v>
      </c>
      <c r="Q2302" s="849">
        <v>52.3</v>
      </c>
      <c r="R2302" s="71">
        <v>54801</v>
      </c>
      <c r="S2302" s="845">
        <v>0.10867551713491819</v>
      </c>
      <c r="T2302" s="845">
        <v>5.7000000000000002E-2</v>
      </c>
      <c r="U2302" s="845">
        <v>0</v>
      </c>
      <c r="V2302" s="845">
        <v>3.2000000000000001E-2</v>
      </c>
      <c r="W2302" s="845">
        <v>0.34057545507927189</v>
      </c>
      <c r="X2302" s="845">
        <v>0.36724137931034484</v>
      </c>
      <c r="Y2302" s="845">
        <v>0.85106382978723405</v>
      </c>
      <c r="Z2302" s="845">
        <v>0.11387473778843273</v>
      </c>
      <c r="AA2302" s="845">
        <v>0</v>
      </c>
      <c r="AB2302" s="845">
        <v>1.7980221756068325E-3</v>
      </c>
      <c r="AC2302" s="845">
        <v>0</v>
      </c>
      <c r="AD2302" s="845">
        <v>1.5283188492658075E-2</v>
      </c>
      <c r="AE2302" s="845">
        <v>1.7980221756068324E-2</v>
      </c>
      <c r="AF2302" s="845">
        <v>1.7680551393467185E-2</v>
      </c>
      <c r="AG2302" s="845">
        <v>0.85106382978723405</v>
      </c>
      <c r="AH2302" s="20" t="str">
        <f t="shared" si="178"/>
        <v>No</v>
      </c>
      <c r="AI2302" s="25"/>
      <c r="AJ2302" s="25"/>
      <c r="AK2302" s="25"/>
      <c r="AL2302" s="25"/>
      <c r="AM2302" s="25"/>
      <c r="AN2302" s="25"/>
      <c r="AO2302" s="25"/>
      <c r="AP2302" s="25"/>
      <c r="AQ2302" s="25"/>
      <c r="AR2302" s="25"/>
      <c r="AS2302" s="25"/>
      <c r="AT2302" s="25"/>
      <c r="AU2302" s="36"/>
      <c r="AV2302" s="36"/>
      <c r="AW2302" s="36"/>
      <c r="AX2302" s="25"/>
      <c r="AY2302" s="25"/>
      <c r="AZ2302" s="25"/>
      <c r="BA2302" s="25"/>
      <c r="BB2302" s="25"/>
      <c r="BC2302" s="25"/>
      <c r="BD2302" s="25"/>
      <c r="BE2302" s="25"/>
      <c r="BF2302" s="25"/>
      <c r="BG2302" s="25"/>
      <c r="BH2302" s="25"/>
      <c r="BI2302" s="25"/>
      <c r="BJ2302" s="25"/>
      <c r="BK2302" s="25"/>
      <c r="BL2302" s="25"/>
      <c r="BM2302" s="25"/>
      <c r="BN2302" s="25"/>
      <c r="BO2302" s="25"/>
      <c r="BP2302" s="25"/>
      <c r="BQ2302" s="25"/>
      <c r="BR2302" s="25"/>
      <c r="BS2302" s="25"/>
      <c r="BT2302" s="25"/>
      <c r="BU2302"/>
      <c r="BV2302"/>
      <c r="BW2302"/>
      <c r="BX2302"/>
      <c r="BY2302"/>
      <c r="BZ2302"/>
      <c r="CA2302"/>
      <c r="CB2302"/>
      <c r="CC2302"/>
      <c r="CD2302" s="25"/>
    </row>
    <row r="2303" spans="1:82" s="17" customFormat="1" x14ac:dyDescent="0.2">
      <c r="A2303" s="25"/>
      <c r="B2303" s="20">
        <v>39155921500</v>
      </c>
      <c r="C2303" s="20">
        <v>9215</v>
      </c>
      <c r="D2303" s="20" t="s">
        <v>83</v>
      </c>
      <c r="E2303" s="20" t="s">
        <v>2842</v>
      </c>
      <c r="F2303" s="20" t="s">
        <v>8</v>
      </c>
      <c r="G2303" s="861">
        <v>39.965543800220097</v>
      </c>
      <c r="H2303" s="861">
        <v>32.333988558755202</v>
      </c>
      <c r="I2303" s="861">
        <v>38.094803505554196</v>
      </c>
      <c r="J2303" s="861">
        <v>42.1033645874275</v>
      </c>
      <c r="K2303" s="982">
        <v>0</v>
      </c>
      <c r="L2303" s="735">
        <v>5152</v>
      </c>
      <c r="M2303" s="735">
        <v>6009</v>
      </c>
      <c r="N2303" s="845">
        <f t="shared" si="176"/>
        <v>0.16634316770186336</v>
      </c>
      <c r="O2303" s="735">
        <v>2.4499143357071245</v>
      </c>
      <c r="P2303" s="735">
        <f t="shared" si="177"/>
        <v>2452.7388212802994</v>
      </c>
      <c r="Q2303" s="849">
        <v>43.7</v>
      </c>
      <c r="R2303" s="71">
        <v>52951</v>
      </c>
      <c r="S2303" s="845">
        <v>0.10099813906276434</v>
      </c>
      <c r="T2303" s="845">
        <v>8.1000000000000003E-2</v>
      </c>
      <c r="U2303" s="845">
        <v>0</v>
      </c>
      <c r="V2303" s="845">
        <v>0.107</v>
      </c>
      <c r="W2303" s="845">
        <v>0.28171509567682496</v>
      </c>
      <c r="X2303" s="845">
        <v>0.62641509433962261</v>
      </c>
      <c r="Y2303" s="845">
        <v>0.82692627725079049</v>
      </c>
      <c r="Z2303" s="845">
        <v>6.8896655017473787E-2</v>
      </c>
      <c r="AA2303" s="845">
        <v>0</v>
      </c>
      <c r="AB2303" s="845">
        <v>5.1922116824762853E-2</v>
      </c>
      <c r="AC2303" s="845">
        <v>0</v>
      </c>
      <c r="AD2303" s="845">
        <v>0</v>
      </c>
      <c r="AE2303" s="845">
        <v>5.2254950906972873E-2</v>
      </c>
      <c r="AF2303" s="845">
        <v>5.1589282742552839E-2</v>
      </c>
      <c r="AG2303" s="845">
        <v>0.80296222333166911</v>
      </c>
      <c r="AH2303" s="20" t="str">
        <f t="shared" si="178"/>
        <v>No</v>
      </c>
      <c r="AI2303" s="25"/>
      <c r="AJ2303" s="25"/>
      <c r="AK2303" s="25"/>
      <c r="AL2303" s="25"/>
      <c r="AM2303" s="25"/>
      <c r="AN2303" s="25"/>
      <c r="AO2303" s="25"/>
      <c r="AP2303" s="25"/>
      <c r="AQ2303" s="25"/>
      <c r="AR2303" s="25"/>
      <c r="AS2303" s="25"/>
      <c r="AT2303" s="25"/>
      <c r="AU2303" s="36"/>
      <c r="AV2303" s="36"/>
      <c r="AW2303" s="36"/>
      <c r="AX2303" s="25"/>
      <c r="AY2303" s="25"/>
      <c r="AZ2303" s="25"/>
      <c r="BA2303" s="25"/>
      <c r="BB2303" s="25"/>
      <c r="BC2303" s="25"/>
      <c r="BD2303" s="25"/>
      <c r="BE2303" s="25"/>
      <c r="BF2303" s="25"/>
      <c r="BG2303" s="25"/>
      <c r="BH2303" s="25"/>
      <c r="BI2303" s="25"/>
      <c r="BJ2303" s="25"/>
      <c r="BK2303" s="25"/>
      <c r="BL2303" s="25"/>
      <c r="BM2303" s="25"/>
      <c r="BN2303" s="25"/>
      <c r="BO2303" s="25"/>
      <c r="BP2303" s="25"/>
      <c r="BQ2303" s="25"/>
      <c r="BR2303" s="25"/>
      <c r="BS2303" s="25"/>
      <c r="BT2303" s="25"/>
      <c r="BU2303"/>
      <c r="BV2303"/>
      <c r="BW2303"/>
      <c r="BX2303"/>
      <c r="BY2303"/>
      <c r="BZ2303"/>
      <c r="CA2303"/>
      <c r="CB2303"/>
      <c r="CC2303"/>
      <c r="CD2303" s="25"/>
    </row>
    <row r="2304" spans="1:82" s="17" customFormat="1" x14ac:dyDescent="0.2">
      <c r="A2304" s="25"/>
      <c r="B2304" s="20">
        <v>39035121100</v>
      </c>
      <c r="C2304" s="20">
        <v>1211</v>
      </c>
      <c r="D2304" s="20" t="s">
        <v>24</v>
      </c>
      <c r="E2304" s="20" t="s">
        <v>2829</v>
      </c>
      <c r="F2304" s="20" t="s">
        <v>6</v>
      </c>
      <c r="G2304" s="861">
        <v>39.9639439577481</v>
      </c>
      <c r="H2304" s="861">
        <v>38.7034110982176</v>
      </c>
      <c r="I2304" s="861">
        <v>71.759847746462796</v>
      </c>
      <c r="J2304" s="861">
        <v>31.056034147888901</v>
      </c>
      <c r="K2304" s="982">
        <v>0</v>
      </c>
      <c r="L2304" s="735">
        <v>2249</v>
      </c>
      <c r="M2304" s="735">
        <v>1741</v>
      </c>
      <c r="N2304" s="845">
        <f t="shared" si="176"/>
        <v>-0.22587816807469988</v>
      </c>
      <c r="O2304" s="735">
        <v>0.25795948538157576</v>
      </c>
      <c r="P2304" s="735">
        <f t="shared" si="177"/>
        <v>6749.1218530875058</v>
      </c>
      <c r="Q2304" s="849">
        <v>40.9</v>
      </c>
      <c r="R2304" s="71">
        <v>42841</v>
      </c>
      <c r="S2304" s="845">
        <v>0.1424468696151637</v>
      </c>
      <c r="T2304" s="845">
        <v>0.17399999999999999</v>
      </c>
      <c r="U2304" s="845">
        <v>0</v>
      </c>
      <c r="V2304" s="845">
        <v>1.6E-2</v>
      </c>
      <c r="W2304" s="845">
        <v>0.43472222222222223</v>
      </c>
      <c r="X2304" s="845">
        <v>0.45367412140575081</v>
      </c>
      <c r="Y2304" s="845">
        <v>1.1487650775416428E-3</v>
      </c>
      <c r="Z2304" s="845">
        <v>0.9787478460654796</v>
      </c>
      <c r="AA2304" s="845">
        <v>0</v>
      </c>
      <c r="AB2304" s="845">
        <v>1.7231476163124641E-2</v>
      </c>
      <c r="AC2304" s="845">
        <v>0</v>
      </c>
      <c r="AD2304" s="845">
        <v>0</v>
      </c>
      <c r="AE2304" s="845">
        <v>2.8719126938541069E-3</v>
      </c>
      <c r="AF2304" s="845">
        <v>0</v>
      </c>
      <c r="AG2304" s="845">
        <v>1.1487650775416428E-3</v>
      </c>
      <c r="AH2304" s="20" t="str">
        <f t="shared" si="178"/>
        <v>No</v>
      </c>
      <c r="AI2304" s="25"/>
      <c r="AJ2304" s="25"/>
      <c r="AK2304" s="25"/>
      <c r="AL2304" s="25"/>
      <c r="AM2304" s="25"/>
      <c r="AN2304" s="25"/>
      <c r="AO2304" s="25"/>
      <c r="AP2304" s="25"/>
      <c r="AQ2304" s="25"/>
      <c r="AR2304" s="25"/>
      <c r="AS2304" s="25"/>
      <c r="AT2304" s="25"/>
      <c r="AU2304" s="36"/>
      <c r="AV2304" s="36"/>
      <c r="AW2304" s="36"/>
      <c r="AX2304" s="25"/>
      <c r="AY2304" s="25"/>
      <c r="AZ2304" s="25"/>
      <c r="BA2304" s="25"/>
      <c r="BB2304" s="25"/>
      <c r="BC2304" s="25"/>
      <c r="BD2304" s="25"/>
      <c r="BE2304" s="25"/>
      <c r="BF2304" s="25"/>
      <c r="BG2304" s="25"/>
      <c r="BH2304" s="25"/>
      <c r="BI2304" s="25"/>
      <c r="BJ2304" s="25"/>
      <c r="BK2304" s="25"/>
      <c r="BL2304" s="25"/>
      <c r="BM2304" s="25"/>
      <c r="BN2304" s="25"/>
      <c r="BO2304" s="25"/>
      <c r="BP2304" s="25"/>
      <c r="BQ2304" s="25"/>
      <c r="BR2304" s="25"/>
      <c r="BS2304" s="25"/>
      <c r="BT2304" s="25"/>
      <c r="BU2304"/>
      <c r="BV2304"/>
      <c r="BW2304"/>
      <c r="BX2304"/>
      <c r="BY2304"/>
      <c r="BZ2304"/>
      <c r="CA2304"/>
      <c r="CB2304"/>
      <c r="CC2304"/>
      <c r="CD2304" s="25"/>
    </row>
    <row r="2305" spans="1:82" s="17" customFormat="1" x14ac:dyDescent="0.2">
      <c r="A2305" s="25"/>
      <c r="B2305" s="20">
        <v>39061009300</v>
      </c>
      <c r="C2305" s="20">
        <v>93</v>
      </c>
      <c r="D2305" s="20" t="s">
        <v>37</v>
      </c>
      <c r="E2305" s="20" t="s">
        <v>2828</v>
      </c>
      <c r="F2305" s="20" t="s">
        <v>6</v>
      </c>
      <c r="G2305" s="861">
        <v>39.9500050095711</v>
      </c>
      <c r="H2305" s="861">
        <v>55.234350991620801</v>
      </c>
      <c r="I2305" s="861">
        <v>63.588626744448902</v>
      </c>
      <c r="J2305" s="861">
        <v>51.167024234734598</v>
      </c>
      <c r="K2305" s="982">
        <v>0</v>
      </c>
      <c r="L2305" s="735">
        <v>2675</v>
      </c>
      <c r="M2305" s="735">
        <v>3366</v>
      </c>
      <c r="N2305" s="845">
        <f t="shared" si="176"/>
        <v>0.25831775700934578</v>
      </c>
      <c r="O2305" s="735">
        <v>0.43635296843119487</v>
      </c>
      <c r="P2305" s="735">
        <f t="shared" si="177"/>
        <v>7713.9385853192807</v>
      </c>
      <c r="Q2305" s="849">
        <v>24.1</v>
      </c>
      <c r="R2305" s="71">
        <v>27386</v>
      </c>
      <c r="S2305" s="845">
        <v>0.62496138399752854</v>
      </c>
      <c r="T2305" s="845">
        <v>5.7000000000000002E-2</v>
      </c>
      <c r="U2305" s="845">
        <v>0</v>
      </c>
      <c r="V2305" s="845">
        <v>0.11199999999999999</v>
      </c>
      <c r="W2305" s="845">
        <v>0.72874880611270298</v>
      </c>
      <c r="X2305" s="845">
        <v>0.55832241153342066</v>
      </c>
      <c r="Y2305" s="845">
        <v>0.24420677361853832</v>
      </c>
      <c r="Z2305" s="845">
        <v>0.68449197860962563</v>
      </c>
      <c r="AA2305" s="845">
        <v>0</v>
      </c>
      <c r="AB2305" s="845">
        <v>2.9708853238265003E-3</v>
      </c>
      <c r="AC2305" s="845">
        <v>0</v>
      </c>
      <c r="AD2305" s="845">
        <v>1.218062982768865E-2</v>
      </c>
      <c r="AE2305" s="845">
        <v>5.6149732620320858E-2</v>
      </c>
      <c r="AF2305" s="845">
        <v>1.218062982768865E-2</v>
      </c>
      <c r="AG2305" s="845">
        <v>0.24420677361853832</v>
      </c>
      <c r="AH2305" s="20" t="str">
        <f t="shared" si="178"/>
        <v>No</v>
      </c>
      <c r="AI2305" s="25"/>
      <c r="AJ2305" s="25"/>
      <c r="AK2305" s="25"/>
      <c r="AL2305" s="25"/>
      <c r="AM2305" s="25"/>
      <c r="AN2305" s="25"/>
      <c r="AO2305" s="25"/>
      <c r="AP2305" s="25"/>
      <c r="AQ2305" s="25"/>
      <c r="AR2305" s="25"/>
      <c r="AS2305" s="25"/>
      <c r="AT2305" s="25"/>
      <c r="AU2305" s="36"/>
      <c r="AV2305" s="36"/>
      <c r="AW2305" s="36"/>
      <c r="AX2305" s="25"/>
      <c r="AY2305" s="25"/>
      <c r="AZ2305" s="25"/>
      <c r="BA2305" s="25"/>
      <c r="BB2305" s="25"/>
      <c r="BC2305" s="25"/>
      <c r="BD2305" s="25"/>
      <c r="BE2305" s="25"/>
      <c r="BF2305" s="25"/>
      <c r="BG2305" s="25"/>
      <c r="BH2305" s="25"/>
      <c r="BI2305" s="25"/>
      <c r="BJ2305" s="25"/>
      <c r="BK2305" s="25"/>
      <c r="BL2305" s="25"/>
      <c r="BM2305" s="25"/>
      <c r="BN2305" s="25"/>
      <c r="BO2305" s="25"/>
      <c r="BP2305" s="25"/>
      <c r="BQ2305" s="25"/>
      <c r="BR2305" s="25"/>
      <c r="BS2305" s="25"/>
      <c r="BT2305" s="25"/>
      <c r="BU2305"/>
      <c r="BV2305"/>
      <c r="BW2305"/>
      <c r="BX2305"/>
      <c r="BY2305"/>
      <c r="BZ2305"/>
      <c r="CA2305"/>
      <c r="CB2305"/>
      <c r="CC2305"/>
      <c r="CD2305" s="25"/>
    </row>
    <row r="2306" spans="1:82" s="17" customFormat="1" x14ac:dyDescent="0.2">
      <c r="A2306" s="25"/>
      <c r="B2306" s="20">
        <v>39153502500</v>
      </c>
      <c r="C2306" s="20">
        <v>5025</v>
      </c>
      <c r="D2306" s="20" t="s">
        <v>82</v>
      </c>
      <c r="E2306" s="20" t="s">
        <v>2843</v>
      </c>
      <c r="F2306" s="20" t="s">
        <v>6</v>
      </c>
      <c r="G2306" s="861">
        <v>39.941909888280001</v>
      </c>
      <c r="H2306" s="861">
        <v>48.763205811301297</v>
      </c>
      <c r="I2306" s="861">
        <v>61.000270435729</v>
      </c>
      <c r="J2306" s="861">
        <v>40.676695735613499</v>
      </c>
      <c r="K2306" s="982">
        <v>2</v>
      </c>
      <c r="L2306" s="735">
        <v>860</v>
      </c>
      <c r="M2306" s="735">
        <v>977</v>
      </c>
      <c r="N2306" s="845">
        <f t="shared" si="176"/>
        <v>0.13604651162790699</v>
      </c>
      <c r="O2306" s="735">
        <v>0.65787522090207595</v>
      </c>
      <c r="P2306" s="735">
        <f t="shared" si="177"/>
        <v>1485.0840538732275</v>
      </c>
      <c r="Q2306" s="849">
        <v>34.5</v>
      </c>
      <c r="R2306" s="71">
        <v>43576</v>
      </c>
      <c r="S2306" s="845">
        <v>0.28454452405322417</v>
      </c>
      <c r="T2306" s="845">
        <v>0.22600000000000001</v>
      </c>
      <c r="U2306" s="845">
        <v>0</v>
      </c>
      <c r="V2306" s="845">
        <v>0.05</v>
      </c>
      <c r="W2306" s="845">
        <v>0.62729124236252543</v>
      </c>
      <c r="X2306" s="845">
        <v>0.38311688311688313</v>
      </c>
      <c r="Y2306" s="845">
        <v>0.7103377686796315</v>
      </c>
      <c r="Z2306" s="845">
        <v>0.11258955987717502</v>
      </c>
      <c r="AA2306" s="845">
        <v>0</v>
      </c>
      <c r="AB2306" s="845">
        <v>1.1258955987717503E-2</v>
      </c>
      <c r="AC2306" s="845">
        <v>0</v>
      </c>
      <c r="AD2306" s="845">
        <v>0</v>
      </c>
      <c r="AE2306" s="845">
        <v>0.16581371545547594</v>
      </c>
      <c r="AF2306" s="845">
        <v>5.527123848515865E-2</v>
      </c>
      <c r="AG2306" s="845">
        <v>0.66837256908904807</v>
      </c>
      <c r="AH2306" s="20" t="str">
        <f t="shared" si="178"/>
        <v>No</v>
      </c>
      <c r="AI2306" s="25"/>
      <c r="AJ2306" s="25"/>
      <c r="AK2306" s="25"/>
      <c r="AL2306" s="25"/>
      <c r="AM2306" s="25"/>
      <c r="AN2306" s="25"/>
      <c r="AO2306" s="25"/>
      <c r="AP2306" s="25"/>
      <c r="AQ2306" s="25"/>
      <c r="AR2306" s="25"/>
      <c r="AS2306" s="25"/>
      <c r="AT2306" s="25"/>
      <c r="AU2306" s="36"/>
      <c r="AV2306" s="36"/>
      <c r="AW2306" s="36"/>
      <c r="AX2306" s="25"/>
      <c r="AY2306" s="25"/>
      <c r="AZ2306" s="25"/>
      <c r="BA2306" s="25"/>
      <c r="BB2306" s="25"/>
      <c r="BC2306" s="25"/>
      <c r="BD2306" s="25"/>
      <c r="BE2306" s="25"/>
      <c r="BF2306" s="25"/>
      <c r="BG2306" s="25"/>
      <c r="BH2306" s="25"/>
      <c r="BI2306" s="25"/>
      <c r="BJ2306" s="25"/>
      <c r="BK2306" s="25"/>
      <c r="BL2306" s="25"/>
      <c r="BM2306" s="25"/>
      <c r="BN2306" s="25"/>
      <c r="BO2306" s="25"/>
      <c r="BP2306" s="25"/>
      <c r="BQ2306" s="25"/>
      <c r="BR2306" s="25"/>
      <c r="BS2306" s="25"/>
      <c r="BT2306" s="25"/>
      <c r="BU2306"/>
      <c r="BV2306"/>
      <c r="BW2306"/>
      <c r="BX2306"/>
      <c r="BY2306"/>
      <c r="BZ2306"/>
      <c r="CA2306"/>
      <c r="CB2306"/>
      <c r="CC2306"/>
      <c r="CD2306" s="25"/>
    </row>
    <row r="2307" spans="1:82" s="17" customFormat="1" x14ac:dyDescent="0.2">
      <c r="A2307" s="25"/>
      <c r="B2307" s="20">
        <v>39035118200</v>
      </c>
      <c r="C2307" s="20">
        <v>1182</v>
      </c>
      <c r="D2307" s="20" t="s">
        <v>24</v>
      </c>
      <c r="E2307" s="20" t="s">
        <v>2829</v>
      </c>
      <c r="F2307" s="20" t="s">
        <v>6</v>
      </c>
      <c r="G2307" s="861">
        <v>39.937447856368401</v>
      </c>
      <c r="H2307" s="861">
        <v>52.935650897167598</v>
      </c>
      <c r="I2307" s="861">
        <v>83.388986303023401</v>
      </c>
      <c r="J2307" s="861">
        <v>40.716653426461498</v>
      </c>
      <c r="K2307" s="982">
        <v>0</v>
      </c>
      <c r="L2307" s="735">
        <v>1961</v>
      </c>
      <c r="M2307" s="735">
        <v>2092</v>
      </c>
      <c r="N2307" s="845">
        <f t="shared" si="176"/>
        <v>6.680265170831208E-2</v>
      </c>
      <c r="O2307" s="735">
        <v>0.2440493829139625</v>
      </c>
      <c r="P2307" s="735">
        <f t="shared" si="177"/>
        <v>8572.0356061605635</v>
      </c>
      <c r="Q2307" s="849">
        <v>34.6</v>
      </c>
      <c r="R2307" s="71">
        <v>43379</v>
      </c>
      <c r="S2307" s="845">
        <v>0.37906309751434036</v>
      </c>
      <c r="T2307" s="845">
        <v>0.17800000000000002</v>
      </c>
      <c r="U2307" s="845">
        <v>4.2999999999999997E-2</v>
      </c>
      <c r="V2307" s="845">
        <v>1.6E-2</v>
      </c>
      <c r="W2307" s="845">
        <v>0.5433186490455213</v>
      </c>
      <c r="X2307" s="845">
        <v>0.55675675675675673</v>
      </c>
      <c r="Y2307" s="845">
        <v>7.6481835564053535E-3</v>
      </c>
      <c r="Z2307" s="845">
        <v>0.96653919694072654</v>
      </c>
      <c r="AA2307" s="845">
        <v>0</v>
      </c>
      <c r="AB2307" s="845">
        <v>7.1701720841300188E-3</v>
      </c>
      <c r="AC2307" s="845">
        <v>0</v>
      </c>
      <c r="AD2307" s="845">
        <v>5.7361376673040155E-3</v>
      </c>
      <c r="AE2307" s="845">
        <v>1.2906309751434034E-2</v>
      </c>
      <c r="AF2307" s="845">
        <v>0</v>
      </c>
      <c r="AG2307" s="845">
        <v>7.6481835564053535E-3</v>
      </c>
      <c r="AH2307" s="20" t="str">
        <f t="shared" si="178"/>
        <v>No</v>
      </c>
      <c r="AI2307" s="25"/>
      <c r="AJ2307" s="25"/>
      <c r="AK2307" s="25"/>
      <c r="AL2307" s="25"/>
      <c r="AM2307" s="25"/>
      <c r="AN2307" s="25"/>
      <c r="AO2307" s="25"/>
      <c r="AP2307" s="25"/>
      <c r="AQ2307" s="25"/>
      <c r="AR2307" s="25"/>
      <c r="AS2307" s="25"/>
      <c r="AT2307" s="25"/>
      <c r="AU2307" s="36"/>
      <c r="AV2307" s="36"/>
      <c r="AW2307" s="36"/>
      <c r="AX2307" s="25"/>
      <c r="AY2307" s="25"/>
      <c r="AZ2307" s="25"/>
      <c r="BA2307" s="25"/>
      <c r="BB2307" s="25"/>
      <c r="BC2307" s="25"/>
      <c r="BD2307" s="25"/>
      <c r="BE2307" s="25"/>
      <c r="BF2307" s="25"/>
      <c r="BG2307" s="25"/>
      <c r="BH2307" s="25"/>
      <c r="BI2307" s="25"/>
      <c r="BJ2307" s="25"/>
      <c r="BK2307" s="25"/>
      <c r="BL2307" s="25"/>
      <c r="BM2307" s="25"/>
      <c r="BN2307" s="25"/>
      <c r="BO2307" s="25"/>
      <c r="BP2307" s="25"/>
      <c r="BQ2307" s="25"/>
      <c r="BR2307" s="25"/>
      <c r="BS2307" s="25"/>
      <c r="BT2307" s="25"/>
      <c r="BU2307"/>
      <c r="BV2307"/>
      <c r="BW2307"/>
      <c r="BX2307"/>
      <c r="BY2307"/>
      <c r="BZ2307"/>
      <c r="CA2307"/>
      <c r="CB2307"/>
      <c r="CC2307"/>
      <c r="CD2307" s="25"/>
    </row>
    <row r="2308" spans="1:82" s="17" customFormat="1" x14ac:dyDescent="0.2">
      <c r="A2308" s="25"/>
      <c r="B2308" s="20">
        <v>39161020400</v>
      </c>
      <c r="C2308" s="20">
        <v>204</v>
      </c>
      <c r="D2308" s="20" t="s">
        <v>86</v>
      </c>
      <c r="E2308" s="20" t="s">
        <v>265</v>
      </c>
      <c r="F2308" s="20" t="s">
        <v>8</v>
      </c>
      <c r="G2308" s="861">
        <v>39.920449732092798</v>
      </c>
      <c r="H2308" s="861">
        <v>40.2055281566901</v>
      </c>
      <c r="I2308" s="861">
        <v>17.951043246754999</v>
      </c>
      <c r="J2308" s="861">
        <v>42.344608278268197</v>
      </c>
      <c r="K2308" s="982">
        <v>0</v>
      </c>
      <c r="L2308" s="735">
        <v>3003</v>
      </c>
      <c r="M2308" s="735">
        <v>2934</v>
      </c>
      <c r="N2308" s="845">
        <f t="shared" si="176"/>
        <v>-2.2977022977022976E-2</v>
      </c>
      <c r="O2308" s="735">
        <v>101.53010084667918</v>
      </c>
      <c r="P2308" s="735">
        <f t="shared" si="177"/>
        <v>28.897833997334835</v>
      </c>
      <c r="Q2308" s="849">
        <v>42.4</v>
      </c>
      <c r="R2308" s="71">
        <v>66270</v>
      </c>
      <c r="S2308" s="845">
        <v>4.3032786885245901E-2</v>
      </c>
      <c r="T2308" s="845">
        <v>4.4999999999999998E-2</v>
      </c>
      <c r="U2308" s="845">
        <v>8.0000000000000002E-3</v>
      </c>
      <c r="V2308" s="845">
        <v>6.2E-2</v>
      </c>
      <c r="W2308" s="845">
        <v>0.1036846615252785</v>
      </c>
      <c r="X2308" s="845">
        <v>7.43801652892562E-2</v>
      </c>
      <c r="Y2308" s="845">
        <v>0.9035446489434219</v>
      </c>
      <c r="Z2308" s="845">
        <v>0</v>
      </c>
      <c r="AA2308" s="845">
        <v>0</v>
      </c>
      <c r="AB2308" s="845">
        <v>0</v>
      </c>
      <c r="AC2308" s="845">
        <v>0</v>
      </c>
      <c r="AD2308" s="845">
        <v>9.202453987730062E-3</v>
      </c>
      <c r="AE2308" s="845">
        <v>8.7252897068847993E-2</v>
      </c>
      <c r="AF2308" s="845">
        <v>5.6918882072256302E-2</v>
      </c>
      <c r="AG2308" s="845">
        <v>0.88684389911383776</v>
      </c>
      <c r="AH2308" s="20" t="str">
        <f t="shared" si="178"/>
        <v>No</v>
      </c>
      <c r="AI2308" s="25"/>
      <c r="AJ2308" s="25"/>
      <c r="AK2308" s="25"/>
      <c r="AL2308" s="25"/>
      <c r="AM2308" s="25"/>
      <c r="AN2308" s="25"/>
      <c r="AO2308" s="25"/>
      <c r="AP2308" s="25"/>
      <c r="AQ2308" s="25"/>
      <c r="AR2308" s="25"/>
      <c r="AS2308" s="25"/>
      <c r="AT2308" s="25"/>
      <c r="AU2308" s="36"/>
      <c r="AV2308" s="36"/>
      <c r="AW2308" s="36"/>
      <c r="AX2308" s="25"/>
      <c r="AY2308" s="25"/>
      <c r="AZ2308" s="25"/>
      <c r="BA2308" s="25"/>
      <c r="BB2308" s="25"/>
      <c r="BC2308" s="25"/>
      <c r="BD2308" s="25"/>
      <c r="BE2308" s="25"/>
      <c r="BF2308" s="25"/>
      <c r="BG2308" s="25"/>
      <c r="BH2308" s="25"/>
      <c r="BI2308" s="25"/>
      <c r="BJ2308" s="25"/>
      <c r="BK2308" s="25"/>
      <c r="BL2308" s="25"/>
      <c r="BM2308" s="25"/>
      <c r="BN2308" s="25"/>
      <c r="BO2308" s="25"/>
      <c r="BP2308" s="25"/>
      <c r="BQ2308" s="25"/>
      <c r="BR2308" s="25"/>
      <c r="BS2308" s="25"/>
      <c r="BT2308" s="25"/>
      <c r="BU2308"/>
      <c r="BV2308"/>
      <c r="BW2308"/>
      <c r="BX2308"/>
      <c r="BY2308"/>
      <c r="BZ2308"/>
      <c r="CA2308"/>
      <c r="CB2308"/>
      <c r="CC2308"/>
      <c r="CD2308" s="25"/>
    </row>
    <row r="2309" spans="1:82" s="17" customFormat="1" x14ac:dyDescent="0.2">
      <c r="A2309" s="25"/>
      <c r="B2309" s="20">
        <v>39153531102</v>
      </c>
      <c r="C2309" s="20">
        <v>5311.02</v>
      </c>
      <c r="D2309" s="20" t="s">
        <v>82</v>
      </c>
      <c r="E2309" s="20" t="s">
        <v>2843</v>
      </c>
      <c r="F2309" s="20" t="s">
        <v>8</v>
      </c>
      <c r="G2309" s="861">
        <v>39.917255309952502</v>
      </c>
      <c r="H2309" s="861">
        <v>59.4711029465672</v>
      </c>
      <c r="I2309" s="861">
        <v>26.435285687450801</v>
      </c>
      <c r="J2309" s="861">
        <v>36.550086176654702</v>
      </c>
      <c r="K2309" s="982">
        <v>0</v>
      </c>
      <c r="L2309" s="735">
        <v>4256</v>
      </c>
      <c r="M2309" s="735">
        <v>4312</v>
      </c>
      <c r="N2309" s="845">
        <f t="shared" si="176"/>
        <v>1.3157894736842105E-2</v>
      </c>
      <c r="O2309" s="735">
        <v>5.5906978661766908</v>
      </c>
      <c r="P2309" s="735">
        <f t="shared" si="177"/>
        <v>771.281171548776</v>
      </c>
      <c r="Q2309" s="849">
        <v>51.4</v>
      </c>
      <c r="R2309" s="71">
        <v>88512</v>
      </c>
      <c r="S2309" s="845">
        <v>7.7548177385651271E-2</v>
      </c>
      <c r="T2309" s="845">
        <v>1.1000000000000001E-2</v>
      </c>
      <c r="U2309" s="845">
        <v>0</v>
      </c>
      <c r="V2309" s="845">
        <v>0</v>
      </c>
      <c r="W2309" s="845">
        <v>9.8388952819332562E-2</v>
      </c>
      <c r="X2309" s="845">
        <v>0.36842105263157893</v>
      </c>
      <c r="Y2309" s="845">
        <v>0.92045454545454541</v>
      </c>
      <c r="Z2309" s="845">
        <v>1.1363636363636364E-2</v>
      </c>
      <c r="AA2309" s="845">
        <v>0</v>
      </c>
      <c r="AB2309" s="845">
        <v>1.7625231910946195E-2</v>
      </c>
      <c r="AC2309" s="845">
        <v>0</v>
      </c>
      <c r="AD2309" s="845">
        <v>0</v>
      </c>
      <c r="AE2309" s="845">
        <v>5.0556586270871985E-2</v>
      </c>
      <c r="AF2309" s="845">
        <v>1.8552875695732839E-2</v>
      </c>
      <c r="AG2309" s="845">
        <v>0.91512059369202226</v>
      </c>
      <c r="AH2309" s="20" t="str">
        <f t="shared" si="178"/>
        <v>Yes</v>
      </c>
      <c r="AI2309" s="25"/>
      <c r="AJ2309" s="25"/>
      <c r="AK2309" s="25"/>
      <c r="AL2309" s="25"/>
      <c r="AM2309" s="25"/>
      <c r="AN2309" s="25"/>
      <c r="AO2309" s="25"/>
      <c r="AP2309" s="25"/>
      <c r="AQ2309" s="25"/>
      <c r="AR2309" s="25"/>
      <c r="AS2309" s="25"/>
      <c r="AT2309" s="25"/>
      <c r="AU2309" s="36"/>
      <c r="AV2309" s="36"/>
      <c r="AW2309" s="36"/>
      <c r="AX2309" s="25"/>
      <c r="AY2309" s="25"/>
      <c r="AZ2309" s="25"/>
      <c r="BA2309" s="25"/>
      <c r="BB2309" s="25"/>
      <c r="BC2309" s="25"/>
      <c r="BD2309" s="25"/>
      <c r="BE2309" s="25"/>
      <c r="BF2309" s="25"/>
      <c r="BG2309" s="25"/>
      <c r="BH2309" s="25"/>
      <c r="BI2309" s="25"/>
      <c r="BJ2309" s="25"/>
      <c r="BK2309" s="25"/>
      <c r="BL2309" s="25"/>
      <c r="BM2309" s="25"/>
      <c r="BN2309" s="25"/>
      <c r="BO2309" s="25"/>
      <c r="BP2309" s="25"/>
      <c r="BQ2309" s="25"/>
      <c r="BR2309" s="25"/>
      <c r="BS2309" s="25"/>
      <c r="BT2309" s="25"/>
      <c r="BU2309"/>
      <c r="BV2309"/>
      <c r="BW2309"/>
      <c r="BX2309"/>
      <c r="BY2309"/>
      <c r="BZ2309"/>
      <c r="CA2309"/>
      <c r="CB2309"/>
      <c r="CC2309"/>
      <c r="CD2309" s="25"/>
    </row>
    <row r="2310" spans="1:82" s="17" customFormat="1" x14ac:dyDescent="0.2">
      <c r="A2310" s="25"/>
      <c r="B2310" s="20">
        <v>39055311300</v>
      </c>
      <c r="C2310" s="20">
        <v>3113</v>
      </c>
      <c r="D2310" s="20" t="s">
        <v>34</v>
      </c>
      <c r="E2310" s="20" t="s">
        <v>2829</v>
      </c>
      <c r="F2310" s="20" t="s">
        <v>8</v>
      </c>
      <c r="G2310" s="861">
        <v>39.894717822815302</v>
      </c>
      <c r="H2310" s="861">
        <v>46.946002323698899</v>
      </c>
      <c r="I2310" s="861">
        <v>22.930383343483399</v>
      </c>
      <c r="J2310" s="861">
        <v>47.027118344740899</v>
      </c>
      <c r="K2310" s="982">
        <v>0</v>
      </c>
      <c r="L2310" s="735">
        <v>4438</v>
      </c>
      <c r="M2310" s="735">
        <v>4381</v>
      </c>
      <c r="N2310" s="845">
        <f t="shared" si="176"/>
        <v>-1.2843623253717891E-2</v>
      </c>
      <c r="O2310" s="735">
        <v>23.7993096423906</v>
      </c>
      <c r="P2310" s="735">
        <f t="shared" si="177"/>
        <v>184.08096981925465</v>
      </c>
      <c r="Q2310" s="849">
        <v>41.7</v>
      </c>
      <c r="R2310" s="71">
        <v>78077</v>
      </c>
      <c r="S2310" s="845">
        <v>7.8161455902939811E-2</v>
      </c>
      <c r="T2310" s="845">
        <v>2.5000000000000001E-2</v>
      </c>
      <c r="U2310" s="845">
        <v>0</v>
      </c>
      <c r="V2310" s="845">
        <v>0</v>
      </c>
      <c r="W2310" s="845">
        <v>0.22353673723536738</v>
      </c>
      <c r="X2310" s="845">
        <v>0.41504178272980502</v>
      </c>
      <c r="Y2310" s="845">
        <v>0.97785893631590959</v>
      </c>
      <c r="Z2310" s="845">
        <v>8.2173019858479794E-3</v>
      </c>
      <c r="AA2310" s="845">
        <v>0</v>
      </c>
      <c r="AB2310" s="845">
        <v>0</v>
      </c>
      <c r="AC2310" s="845">
        <v>0</v>
      </c>
      <c r="AD2310" s="845">
        <v>9.130335539831089E-4</v>
      </c>
      <c r="AE2310" s="845">
        <v>1.3010728144259302E-2</v>
      </c>
      <c r="AF2310" s="845">
        <v>3.4238758274366581E-3</v>
      </c>
      <c r="AG2310" s="845">
        <v>0.97785893631590959</v>
      </c>
      <c r="AH2310" s="20" t="str">
        <f t="shared" si="178"/>
        <v>Yes</v>
      </c>
      <c r="AI2310" s="25"/>
      <c r="AJ2310" s="25"/>
      <c r="AK2310" s="25"/>
      <c r="AL2310" s="25"/>
      <c r="AM2310" s="25"/>
      <c r="AN2310" s="25"/>
      <c r="AO2310" s="25"/>
      <c r="AP2310" s="25"/>
      <c r="AQ2310" s="25"/>
      <c r="AR2310" s="25"/>
      <c r="AS2310" s="25"/>
      <c r="AT2310" s="25"/>
      <c r="AU2310" s="36"/>
      <c r="AV2310" s="36"/>
      <c r="AW2310" s="36"/>
      <c r="AX2310" s="25"/>
      <c r="AY2310" s="25"/>
      <c r="AZ2310" s="25"/>
      <c r="BA2310" s="25"/>
      <c r="BB2310" s="25"/>
      <c r="BC2310" s="25"/>
      <c r="BD2310" s="25"/>
      <c r="BE2310" s="25"/>
      <c r="BF2310" s="25"/>
      <c r="BG2310" s="25"/>
      <c r="BH2310" s="25"/>
      <c r="BI2310" s="25"/>
      <c r="BJ2310" s="25"/>
      <c r="BK2310" s="25"/>
      <c r="BL2310" s="25"/>
      <c r="BM2310" s="25"/>
      <c r="BN2310" s="25"/>
      <c r="BO2310" s="25"/>
      <c r="BP2310" s="25"/>
      <c r="BQ2310" s="25"/>
      <c r="BR2310" s="25"/>
      <c r="BS2310" s="25"/>
      <c r="BT2310" s="25"/>
      <c r="BU2310"/>
      <c r="BV2310"/>
      <c r="BW2310"/>
      <c r="BX2310"/>
      <c r="BY2310"/>
      <c r="BZ2310"/>
      <c r="CA2310"/>
      <c r="CB2310"/>
      <c r="CC2310"/>
      <c r="CD2310" s="25"/>
    </row>
    <row r="2311" spans="1:82" s="17" customFormat="1" x14ac:dyDescent="0.2">
      <c r="A2311" s="25"/>
      <c r="B2311" s="20">
        <v>39061020401</v>
      </c>
      <c r="C2311" s="20">
        <v>204.01</v>
      </c>
      <c r="D2311" s="20" t="s">
        <v>37</v>
      </c>
      <c r="E2311" s="20" t="s">
        <v>2828</v>
      </c>
      <c r="F2311" s="20" t="s">
        <v>8</v>
      </c>
      <c r="G2311" s="861">
        <v>39.8785860069042</v>
      </c>
      <c r="H2311" s="861">
        <v>44.874048696980701</v>
      </c>
      <c r="I2311" s="861">
        <v>27.337786260351699</v>
      </c>
      <c r="J2311" s="861">
        <v>45.517865716615901</v>
      </c>
      <c r="K2311" s="982">
        <v>0</v>
      </c>
      <c r="L2311" s="735">
        <v>5180</v>
      </c>
      <c r="M2311" s="735">
        <v>5305</v>
      </c>
      <c r="N2311" s="845">
        <f t="shared" si="176"/>
        <v>2.4131274131274132E-2</v>
      </c>
      <c r="O2311" s="735">
        <v>3.2792007682228319</v>
      </c>
      <c r="P2311" s="735">
        <f t="shared" si="177"/>
        <v>1617.772248472317</v>
      </c>
      <c r="Q2311" s="849">
        <v>32.6</v>
      </c>
      <c r="R2311" s="71">
        <v>77802</v>
      </c>
      <c r="S2311" s="845">
        <v>0.16173421300659754</v>
      </c>
      <c r="T2311" s="845">
        <v>6.3E-2</v>
      </c>
      <c r="U2311" s="845">
        <v>6.0000000000000001E-3</v>
      </c>
      <c r="V2311" s="845">
        <v>8.8000000000000009E-2</v>
      </c>
      <c r="W2311" s="845">
        <v>0.2943437671609006</v>
      </c>
      <c r="X2311" s="845">
        <v>0.22574626865671643</v>
      </c>
      <c r="Y2311" s="845">
        <v>0.91913289349670124</v>
      </c>
      <c r="Z2311" s="845">
        <v>2.9783223374175306E-2</v>
      </c>
      <c r="AA2311" s="845">
        <v>0</v>
      </c>
      <c r="AB2311" s="845">
        <v>3.2045240339302543E-3</v>
      </c>
      <c r="AC2311" s="845">
        <v>1.8850141376060322E-4</v>
      </c>
      <c r="AD2311" s="845">
        <v>2.2620169651272385E-3</v>
      </c>
      <c r="AE2311" s="845">
        <v>4.5428840716305374E-2</v>
      </c>
      <c r="AF2311" s="845">
        <v>1.0367577756833177E-2</v>
      </c>
      <c r="AG2311" s="845">
        <v>0.91479736098020736</v>
      </c>
      <c r="AH2311" s="20" t="str">
        <f t="shared" si="178"/>
        <v>Yes</v>
      </c>
      <c r="AI2311" s="25"/>
      <c r="AJ2311" s="25"/>
      <c r="AK2311" s="25"/>
      <c r="AL2311" s="25"/>
      <c r="AM2311" s="25"/>
      <c r="AN2311" s="25"/>
      <c r="AO2311" s="25"/>
      <c r="AP2311" s="25"/>
      <c r="AQ2311" s="25"/>
      <c r="AR2311" s="25"/>
      <c r="AS2311" s="25"/>
      <c r="AT2311" s="25"/>
      <c r="AU2311" s="36"/>
      <c r="AV2311" s="36"/>
      <c r="AW2311" s="36"/>
      <c r="AX2311" s="25"/>
      <c r="AY2311" s="25"/>
      <c r="AZ2311" s="25"/>
      <c r="BA2311" s="25"/>
      <c r="BB2311" s="25"/>
      <c r="BC2311" s="25"/>
      <c r="BD2311" s="25"/>
      <c r="BE2311" s="25"/>
      <c r="BF2311" s="25"/>
      <c r="BG2311" s="25"/>
      <c r="BH2311" s="25"/>
      <c r="BI2311" s="25"/>
      <c r="BJ2311" s="25"/>
      <c r="BK2311" s="25"/>
      <c r="BL2311" s="25"/>
      <c r="BM2311" s="25"/>
      <c r="BN2311" s="25"/>
      <c r="BO2311" s="25"/>
      <c r="BP2311" s="25"/>
      <c r="BQ2311" s="25"/>
      <c r="BR2311" s="25"/>
      <c r="BS2311" s="25"/>
      <c r="BT2311" s="25"/>
      <c r="BU2311"/>
      <c r="BV2311"/>
      <c r="BW2311"/>
      <c r="BX2311"/>
      <c r="BY2311"/>
      <c r="BZ2311"/>
      <c r="CA2311"/>
      <c r="CB2311"/>
      <c r="CC2311"/>
      <c r="CD2311" s="25"/>
    </row>
    <row r="2312" spans="1:82" s="17" customFormat="1" x14ac:dyDescent="0.2">
      <c r="A2312" s="25"/>
      <c r="B2312" s="20">
        <v>39009973600</v>
      </c>
      <c r="C2312" s="20">
        <v>9736</v>
      </c>
      <c r="D2312" s="20" t="s">
        <v>11</v>
      </c>
      <c r="E2312" s="20" t="s">
        <v>265</v>
      </c>
      <c r="F2312" s="20" t="s">
        <v>8</v>
      </c>
      <c r="G2312" s="861">
        <v>39.868884205251398</v>
      </c>
      <c r="H2312" s="861">
        <v>47.221362687340601</v>
      </c>
      <c r="I2312" s="861">
        <v>25.309681946126801</v>
      </c>
      <c r="J2312" s="861">
        <v>44.429625567314403</v>
      </c>
      <c r="K2312" s="982">
        <v>0</v>
      </c>
      <c r="L2312" s="735">
        <v>3562</v>
      </c>
      <c r="M2312" s="735">
        <v>4178</v>
      </c>
      <c r="N2312" s="845">
        <f t="shared" si="176"/>
        <v>0.1729365524985963</v>
      </c>
      <c r="O2312" s="735">
        <v>68.828580452440761</v>
      </c>
      <c r="P2312" s="735">
        <f t="shared" si="177"/>
        <v>60.701527948653805</v>
      </c>
      <c r="Q2312" s="849">
        <v>48.9</v>
      </c>
      <c r="R2312" s="71">
        <v>63006</v>
      </c>
      <c r="S2312" s="845">
        <v>5.9338521400778207E-2</v>
      </c>
      <c r="T2312" s="845">
        <v>2.2000000000000002E-2</v>
      </c>
      <c r="U2312" s="845">
        <v>0</v>
      </c>
      <c r="V2312" s="845">
        <v>0.107</v>
      </c>
      <c r="W2312" s="845">
        <v>0.122040072859745</v>
      </c>
      <c r="X2312" s="845">
        <v>6.4676616915422883E-2</v>
      </c>
      <c r="Y2312" s="845">
        <v>0.95859262805169942</v>
      </c>
      <c r="Z2312" s="845">
        <v>0</v>
      </c>
      <c r="AA2312" s="845">
        <v>0</v>
      </c>
      <c r="AB2312" s="845">
        <v>1.4839636189564385E-2</v>
      </c>
      <c r="AC2312" s="845">
        <v>0</v>
      </c>
      <c r="AD2312" s="845">
        <v>7.1804691239827668E-4</v>
      </c>
      <c r="AE2312" s="845">
        <v>2.5849688846337961E-2</v>
      </c>
      <c r="AF2312" s="845">
        <v>7.1804691239827668E-3</v>
      </c>
      <c r="AG2312" s="845">
        <v>0.95859262805169942</v>
      </c>
      <c r="AH2312" s="20" t="str">
        <f t="shared" si="178"/>
        <v>Yes</v>
      </c>
      <c r="AI2312" s="25"/>
      <c r="AJ2312" s="25"/>
      <c r="AK2312" s="25"/>
      <c r="AL2312" s="25"/>
      <c r="AM2312" s="25"/>
      <c r="AN2312" s="25"/>
      <c r="AO2312" s="25"/>
      <c r="AP2312" s="25"/>
      <c r="AQ2312" s="25"/>
      <c r="AR2312" s="25"/>
      <c r="AS2312" s="25"/>
      <c r="AT2312" s="25"/>
      <c r="AU2312" s="36"/>
      <c r="AV2312" s="36"/>
      <c r="AW2312" s="36"/>
      <c r="AX2312" s="25"/>
      <c r="AY2312" s="25"/>
      <c r="AZ2312" s="25"/>
      <c r="BA2312" s="25"/>
      <c r="BB2312" s="25"/>
      <c r="BC2312" s="25"/>
      <c r="BD2312" s="25"/>
      <c r="BE2312" s="25"/>
      <c r="BF2312" s="25"/>
      <c r="BG2312" s="25"/>
      <c r="BH2312" s="25"/>
      <c r="BI2312" s="25"/>
      <c r="BJ2312" s="25"/>
      <c r="BK2312" s="25"/>
      <c r="BL2312" s="25"/>
      <c r="BM2312" s="25"/>
      <c r="BN2312" s="25"/>
      <c r="BO2312" s="25"/>
      <c r="BP2312" s="25"/>
      <c r="BQ2312" s="25"/>
      <c r="BR2312" s="25"/>
      <c r="BS2312" s="25"/>
      <c r="BT2312" s="25"/>
      <c r="BU2312"/>
      <c r="BV2312"/>
      <c r="BW2312"/>
      <c r="BX2312"/>
      <c r="BY2312"/>
      <c r="BZ2312"/>
      <c r="CA2312"/>
      <c r="CB2312"/>
      <c r="CC2312"/>
      <c r="CD2312" s="25"/>
    </row>
    <row r="2313" spans="1:82" s="17" customFormat="1" x14ac:dyDescent="0.2">
      <c r="A2313" s="25"/>
      <c r="B2313" s="20">
        <v>39145002200</v>
      </c>
      <c r="C2313" s="20">
        <v>22</v>
      </c>
      <c r="D2313" s="20" t="s">
        <v>78</v>
      </c>
      <c r="E2313" s="20" t="s">
        <v>265</v>
      </c>
      <c r="F2313" s="20" t="s">
        <v>8</v>
      </c>
      <c r="G2313" s="861">
        <v>39.855336118255899</v>
      </c>
      <c r="H2313" s="861">
        <v>49.139440337535902</v>
      </c>
      <c r="I2313" s="861">
        <v>20.110733072227099</v>
      </c>
      <c r="J2313" s="861">
        <v>44.926174722790599</v>
      </c>
      <c r="K2313" s="982">
        <v>0</v>
      </c>
      <c r="L2313" s="735">
        <v>5174</v>
      </c>
      <c r="M2313" s="735">
        <v>4319</v>
      </c>
      <c r="N2313" s="845">
        <f t="shared" si="176"/>
        <v>-0.16524932354078084</v>
      </c>
      <c r="O2313" s="735">
        <v>39.565383950739452</v>
      </c>
      <c r="P2313" s="735">
        <f t="shared" si="177"/>
        <v>109.16107892134535</v>
      </c>
      <c r="Q2313" s="849">
        <v>37.6</v>
      </c>
      <c r="R2313" s="71">
        <v>60980</v>
      </c>
      <c r="S2313" s="845">
        <v>0.12729658792650919</v>
      </c>
      <c r="T2313" s="845">
        <v>0.04</v>
      </c>
      <c r="U2313" s="845">
        <v>3.7000000000000005E-2</v>
      </c>
      <c r="V2313" s="845">
        <v>0</v>
      </c>
      <c r="W2313" s="845">
        <v>0.21529509559434745</v>
      </c>
      <c r="X2313" s="845">
        <v>0.47104247104247104</v>
      </c>
      <c r="Y2313" s="845">
        <v>0.79740680713128043</v>
      </c>
      <c r="Z2313" s="845">
        <v>0.17388284325075248</v>
      </c>
      <c r="AA2313" s="845">
        <v>1.6207455429497568E-3</v>
      </c>
      <c r="AB2313" s="845">
        <v>3.9360963185922663E-3</v>
      </c>
      <c r="AC2313" s="845">
        <v>0</v>
      </c>
      <c r="AD2313" s="845">
        <v>0</v>
      </c>
      <c r="AE2313" s="845">
        <v>2.31535077564251E-2</v>
      </c>
      <c r="AF2313" s="845">
        <v>1.7596665894883075E-2</v>
      </c>
      <c r="AG2313" s="845">
        <v>0.79347071081268816</v>
      </c>
      <c r="AH2313" s="20" t="str">
        <f t="shared" si="178"/>
        <v>No</v>
      </c>
      <c r="AI2313" s="25"/>
      <c r="AJ2313" s="25"/>
      <c r="AK2313" s="25"/>
      <c r="AL2313" s="25"/>
      <c r="AM2313" s="25"/>
      <c r="AN2313" s="25"/>
      <c r="AO2313" s="25"/>
      <c r="AP2313" s="25"/>
      <c r="AQ2313" s="25"/>
      <c r="AR2313" s="25"/>
      <c r="AS2313" s="25"/>
      <c r="AT2313" s="25"/>
      <c r="AU2313" s="36"/>
      <c r="AV2313" s="36"/>
      <c r="AW2313" s="36"/>
      <c r="AX2313" s="25"/>
      <c r="AY2313" s="25"/>
      <c r="AZ2313" s="25"/>
      <c r="BA2313" s="25"/>
      <c r="BB2313" s="25"/>
      <c r="BC2313" s="25"/>
      <c r="BD2313" s="25"/>
      <c r="BE2313" s="25"/>
      <c r="BF2313" s="25"/>
      <c r="BG2313" s="25"/>
      <c r="BH2313" s="25"/>
      <c r="BI2313" s="25"/>
      <c r="BJ2313" s="25"/>
      <c r="BK2313" s="25"/>
      <c r="BL2313" s="25"/>
      <c r="BM2313" s="25"/>
      <c r="BN2313" s="25"/>
      <c r="BO2313" s="25"/>
      <c r="BP2313" s="25"/>
      <c r="BQ2313" s="25"/>
      <c r="BR2313" s="25"/>
      <c r="BS2313" s="25"/>
      <c r="BT2313" s="25"/>
      <c r="BU2313"/>
      <c r="BV2313"/>
      <c r="BW2313"/>
      <c r="BX2313"/>
      <c r="BY2313"/>
      <c r="BZ2313"/>
      <c r="CA2313"/>
      <c r="CB2313"/>
      <c r="CC2313"/>
      <c r="CD2313" s="25"/>
    </row>
    <row r="2314" spans="1:82" s="17" customFormat="1" x14ac:dyDescent="0.2">
      <c r="A2314" s="25"/>
      <c r="B2314" s="20">
        <v>39017011004</v>
      </c>
      <c r="C2314" s="20">
        <v>110.04</v>
      </c>
      <c r="D2314" s="20" t="s">
        <v>15</v>
      </c>
      <c r="E2314" s="20" t="s">
        <v>2828</v>
      </c>
      <c r="F2314" s="20" t="s">
        <v>8</v>
      </c>
      <c r="G2314" s="861">
        <v>39.800749309041201</v>
      </c>
      <c r="H2314" s="861">
        <v>35.679983821293703</v>
      </c>
      <c r="I2314" s="861">
        <v>48.853012300722</v>
      </c>
      <c r="J2314" s="861">
        <v>43.744115713765503</v>
      </c>
      <c r="K2314" s="982">
        <v>0</v>
      </c>
      <c r="L2314" s="735">
        <v>5868</v>
      </c>
      <c r="M2314" s="735">
        <v>7018</v>
      </c>
      <c r="N2314" s="845">
        <f t="shared" si="176"/>
        <v>0.19597818677573278</v>
      </c>
      <c r="O2314" s="735">
        <v>5.7139335670540978</v>
      </c>
      <c r="P2314" s="735">
        <f t="shared" si="177"/>
        <v>1228.2256903484149</v>
      </c>
      <c r="Q2314" s="849">
        <v>34.200000000000003</v>
      </c>
      <c r="R2314" s="71">
        <v>50054</v>
      </c>
      <c r="S2314" s="845">
        <v>0.19160776056549858</v>
      </c>
      <c r="T2314" s="845">
        <v>3.7000000000000005E-2</v>
      </c>
      <c r="U2314" s="845">
        <v>0</v>
      </c>
      <c r="V2314" s="845">
        <v>2.8999999999999998E-2</v>
      </c>
      <c r="W2314" s="845">
        <v>0.61068422978412007</v>
      </c>
      <c r="X2314" s="845">
        <v>0.62133013780707014</v>
      </c>
      <c r="Y2314" s="845">
        <v>0.59860359076660019</v>
      </c>
      <c r="Z2314" s="845">
        <v>0.21188372755770876</v>
      </c>
      <c r="AA2314" s="845">
        <v>0</v>
      </c>
      <c r="AB2314" s="845">
        <v>1.9236249643773153E-2</v>
      </c>
      <c r="AC2314" s="845">
        <v>0</v>
      </c>
      <c r="AD2314" s="845">
        <v>3.8187517811342261E-2</v>
      </c>
      <c r="AE2314" s="845">
        <v>0.13208891422057567</v>
      </c>
      <c r="AF2314" s="845">
        <v>0.12396694214876033</v>
      </c>
      <c r="AG2314" s="845">
        <v>0.56084354516956403</v>
      </c>
      <c r="AH2314" s="20" t="str">
        <f t="shared" si="178"/>
        <v>No</v>
      </c>
      <c r="AI2314" s="25"/>
      <c r="AJ2314" s="25"/>
      <c r="AK2314" s="25"/>
      <c r="AL2314" s="25"/>
      <c r="AM2314" s="25"/>
      <c r="AN2314" s="25"/>
      <c r="AO2314" s="25"/>
      <c r="AP2314" s="25"/>
      <c r="AQ2314" s="25"/>
      <c r="AR2314" s="25"/>
      <c r="AS2314" s="25"/>
      <c r="AT2314" s="25"/>
      <c r="AU2314" s="36"/>
      <c r="AV2314" s="36"/>
      <c r="AW2314" s="36"/>
      <c r="AX2314" s="25"/>
      <c r="AY2314" s="25"/>
      <c r="AZ2314" s="25"/>
      <c r="BA2314" s="25"/>
      <c r="BB2314" s="25"/>
      <c r="BC2314" s="25"/>
      <c r="BD2314" s="25"/>
      <c r="BE2314" s="25"/>
      <c r="BF2314" s="25"/>
      <c r="BG2314" s="25"/>
      <c r="BH2314" s="25"/>
      <c r="BI2314" s="25"/>
      <c r="BJ2314" s="25"/>
      <c r="BK2314" s="25"/>
      <c r="BL2314" s="25"/>
      <c r="BM2314" s="25"/>
      <c r="BN2314" s="25"/>
      <c r="BO2314" s="25"/>
      <c r="BP2314" s="25"/>
      <c r="BQ2314" s="25"/>
      <c r="BR2314" s="25"/>
      <c r="BS2314" s="25"/>
      <c r="BT2314" s="25"/>
      <c r="BU2314"/>
      <c r="BV2314"/>
      <c r="BW2314"/>
      <c r="BX2314"/>
      <c r="BY2314"/>
      <c r="BZ2314"/>
      <c r="CA2314"/>
      <c r="CB2314"/>
      <c r="CC2314"/>
      <c r="CD2314" s="25"/>
    </row>
    <row r="2315" spans="1:82" s="17" customFormat="1" x14ac:dyDescent="0.2">
      <c r="A2315" s="25"/>
      <c r="B2315" s="20">
        <v>39139001100</v>
      </c>
      <c r="C2315" s="20">
        <v>11</v>
      </c>
      <c r="D2315" s="20" t="s">
        <v>75</v>
      </c>
      <c r="E2315" s="20" t="s">
        <v>2836</v>
      </c>
      <c r="F2315" s="20" t="s">
        <v>8</v>
      </c>
      <c r="G2315" s="861">
        <v>39.786478647967002</v>
      </c>
      <c r="H2315" s="861">
        <v>32.878670816074703</v>
      </c>
      <c r="I2315" s="861">
        <v>29.3359597016381</v>
      </c>
      <c r="J2315" s="861">
        <v>44.4986166402634</v>
      </c>
      <c r="K2315" s="982">
        <v>0</v>
      </c>
      <c r="L2315" s="735">
        <v>2911</v>
      </c>
      <c r="M2315" s="735">
        <v>2598</v>
      </c>
      <c r="N2315" s="845">
        <f t="shared" ref="N2315:N2378" si="179">IF(OR(L2315="",M2315=""),"",(M2315-L2315)/L2315)</f>
        <v>-0.10752318790793541</v>
      </c>
      <c r="O2315" s="735">
        <v>1.063124957743532</v>
      </c>
      <c r="P2315" s="735">
        <f t="shared" ref="P2315:P2378" si="180">M2315/O2315</f>
        <v>2443.7390742046155</v>
      </c>
      <c r="Q2315" s="849">
        <v>55.8</v>
      </c>
      <c r="R2315" s="71">
        <v>44545</v>
      </c>
      <c r="S2315" s="845">
        <v>0.13391442155309033</v>
      </c>
      <c r="T2315" s="845">
        <v>0.05</v>
      </c>
      <c r="U2315" s="845">
        <v>0</v>
      </c>
      <c r="V2315" s="845">
        <v>0</v>
      </c>
      <c r="W2315" s="845">
        <v>0.40714285714285714</v>
      </c>
      <c r="X2315" s="845">
        <v>0.39766081871345027</v>
      </c>
      <c r="Y2315" s="845">
        <v>0.87066974595842961</v>
      </c>
      <c r="Z2315" s="845">
        <v>9.1608929946112388E-2</v>
      </c>
      <c r="AA2315" s="845">
        <v>0</v>
      </c>
      <c r="AB2315" s="845">
        <v>0</v>
      </c>
      <c r="AC2315" s="845">
        <v>0</v>
      </c>
      <c r="AD2315" s="845">
        <v>0</v>
      </c>
      <c r="AE2315" s="845">
        <v>3.7721324095458045E-2</v>
      </c>
      <c r="AF2315" s="845">
        <v>6.9284064665127024E-3</v>
      </c>
      <c r="AG2315" s="845">
        <v>0.87066974595842961</v>
      </c>
      <c r="AH2315" s="20" t="str">
        <f t="shared" ref="AH2315:AH2378" si="181">IF(AG2315&gt;=0.9,"Yes","No")</f>
        <v>No</v>
      </c>
      <c r="AI2315" s="25"/>
      <c r="AJ2315" s="25"/>
      <c r="AK2315" s="25"/>
      <c r="AL2315" s="25"/>
      <c r="AM2315" s="25"/>
      <c r="AN2315" s="25"/>
      <c r="AO2315" s="25"/>
      <c r="AP2315" s="25"/>
      <c r="AQ2315" s="25"/>
      <c r="AR2315" s="25"/>
      <c r="AS2315" s="25"/>
      <c r="AT2315" s="25"/>
      <c r="AU2315" s="36"/>
      <c r="AV2315" s="36"/>
      <c r="AW2315" s="36"/>
      <c r="AX2315" s="25"/>
      <c r="AY2315" s="25"/>
      <c r="AZ2315" s="25"/>
      <c r="BA2315" s="25"/>
      <c r="BB2315" s="25"/>
      <c r="BC2315" s="25"/>
      <c r="BD2315" s="25"/>
      <c r="BE2315" s="25"/>
      <c r="BF2315" s="25"/>
      <c r="BG2315" s="25"/>
      <c r="BH2315" s="25"/>
      <c r="BI2315" s="25"/>
      <c r="BJ2315" s="25"/>
      <c r="BK2315" s="25"/>
      <c r="BL2315" s="25"/>
      <c r="BM2315" s="25"/>
      <c r="BN2315" s="25"/>
      <c r="BO2315" s="25"/>
      <c r="BP2315" s="25"/>
      <c r="BQ2315" s="25"/>
      <c r="BR2315" s="25"/>
      <c r="BS2315" s="25"/>
      <c r="BT2315" s="25"/>
      <c r="BU2315"/>
      <c r="BV2315"/>
      <c r="BW2315"/>
      <c r="BX2315"/>
      <c r="BY2315"/>
      <c r="BZ2315"/>
      <c r="CA2315"/>
      <c r="CB2315"/>
      <c r="CC2315"/>
      <c r="CD2315" s="25"/>
    </row>
    <row r="2316" spans="1:82" s="17" customFormat="1" x14ac:dyDescent="0.2">
      <c r="A2316" s="25"/>
      <c r="B2316" s="20">
        <v>39103411002</v>
      </c>
      <c r="C2316" s="20">
        <v>4110.0200000000004</v>
      </c>
      <c r="D2316" s="20" t="s">
        <v>57</v>
      </c>
      <c r="E2316" s="20" t="s">
        <v>2829</v>
      </c>
      <c r="F2316" s="20" t="s">
        <v>8</v>
      </c>
      <c r="G2316" s="861">
        <v>39.758046463374598</v>
      </c>
      <c r="H2316" s="861">
        <v>39.276091185747497</v>
      </c>
      <c r="I2316" s="861">
        <v>30.478973907709101</v>
      </c>
      <c r="J2316" s="861">
        <v>49.546992991657497</v>
      </c>
      <c r="K2316" s="982">
        <v>0</v>
      </c>
      <c r="L2316" s="735">
        <v>2941</v>
      </c>
      <c r="M2316" s="735">
        <v>2936</v>
      </c>
      <c r="N2316" s="845">
        <f t="shared" si="179"/>
        <v>-1.7001020061203672E-3</v>
      </c>
      <c r="O2316" s="735">
        <v>4.4651791857067638</v>
      </c>
      <c r="P2316" s="735">
        <f t="shared" si="180"/>
        <v>657.53240304404039</v>
      </c>
      <c r="Q2316" s="849">
        <v>41.5</v>
      </c>
      <c r="R2316" s="71">
        <v>52123</v>
      </c>
      <c r="S2316" s="845">
        <v>0.11205722070844687</v>
      </c>
      <c r="T2316" s="845">
        <v>4.4000000000000004E-2</v>
      </c>
      <c r="U2316" s="845">
        <v>2.3E-2</v>
      </c>
      <c r="V2316" s="845">
        <v>3.9E-2</v>
      </c>
      <c r="W2316" s="845">
        <v>0.36838124054462934</v>
      </c>
      <c r="X2316" s="845">
        <v>0.18275154004106775</v>
      </c>
      <c r="Y2316" s="845">
        <v>0.9475476839237057</v>
      </c>
      <c r="Z2316" s="845">
        <v>5.4495912806539508E-3</v>
      </c>
      <c r="AA2316" s="845">
        <v>6.8119891008174387E-3</v>
      </c>
      <c r="AB2316" s="845">
        <v>2.8269754768392372E-2</v>
      </c>
      <c r="AC2316" s="845">
        <v>0</v>
      </c>
      <c r="AD2316" s="845">
        <v>0</v>
      </c>
      <c r="AE2316" s="845">
        <v>1.1920980926430519E-2</v>
      </c>
      <c r="AF2316" s="845">
        <v>9.5367847411444145E-3</v>
      </c>
      <c r="AG2316" s="845">
        <v>0.9475476839237057</v>
      </c>
      <c r="AH2316" s="20" t="str">
        <f t="shared" si="181"/>
        <v>Yes</v>
      </c>
      <c r="AI2316" s="25"/>
      <c r="AJ2316" s="25"/>
      <c r="AK2316" s="25"/>
      <c r="AL2316" s="25"/>
      <c r="AM2316" s="25"/>
      <c r="AN2316" s="25"/>
      <c r="AO2316" s="25"/>
      <c r="AP2316" s="25"/>
      <c r="AQ2316" s="25"/>
      <c r="AR2316" s="25"/>
      <c r="AS2316" s="25"/>
      <c r="AT2316" s="25"/>
      <c r="AU2316" s="36"/>
      <c r="AV2316" s="36"/>
      <c r="AW2316" s="36"/>
      <c r="AX2316" s="25"/>
      <c r="AY2316" s="25"/>
      <c r="AZ2316" s="25"/>
      <c r="BA2316" s="25"/>
      <c r="BB2316" s="25"/>
      <c r="BC2316" s="25"/>
      <c r="BD2316" s="25"/>
      <c r="BE2316" s="25"/>
      <c r="BF2316" s="25"/>
      <c r="BG2316" s="25"/>
      <c r="BH2316" s="25"/>
      <c r="BI2316" s="25"/>
      <c r="BJ2316" s="25"/>
      <c r="BK2316" s="25"/>
      <c r="BL2316" s="25"/>
      <c r="BM2316" s="25"/>
      <c r="BN2316" s="25"/>
      <c r="BO2316" s="25"/>
      <c r="BP2316" s="25"/>
      <c r="BQ2316" s="25"/>
      <c r="BR2316" s="25"/>
      <c r="BS2316" s="25"/>
      <c r="BT2316" s="25"/>
      <c r="BU2316"/>
      <c r="BV2316"/>
      <c r="BW2316"/>
      <c r="BX2316"/>
      <c r="BY2316"/>
      <c r="BZ2316"/>
      <c r="CA2316"/>
      <c r="CB2316"/>
      <c r="CC2316"/>
      <c r="CD2316" s="25"/>
    </row>
    <row r="2317" spans="1:82" s="17" customFormat="1" x14ac:dyDescent="0.2">
      <c r="A2317" s="25"/>
      <c r="B2317" s="20">
        <v>39055312300</v>
      </c>
      <c r="C2317" s="20">
        <v>3123</v>
      </c>
      <c r="D2317" s="20" t="s">
        <v>34</v>
      </c>
      <c r="E2317" s="20" t="s">
        <v>2829</v>
      </c>
      <c r="F2317" s="20" t="s">
        <v>8</v>
      </c>
      <c r="G2317" s="861">
        <v>39.749120174003799</v>
      </c>
      <c r="H2317" s="861">
        <v>52.911669719422797</v>
      </c>
      <c r="I2317" s="861">
        <v>29.862807497401398</v>
      </c>
      <c r="J2317" s="861">
        <v>47.087734089804201</v>
      </c>
      <c r="K2317" s="982">
        <v>0</v>
      </c>
      <c r="L2317" s="735">
        <v>4593</v>
      </c>
      <c r="M2317" s="735">
        <v>4100</v>
      </c>
      <c r="N2317" s="845">
        <f t="shared" si="179"/>
        <v>-0.10733725234051818</v>
      </c>
      <c r="O2317" s="735">
        <v>12.506085983537586</v>
      </c>
      <c r="P2317" s="735">
        <f t="shared" si="180"/>
        <v>327.8403815068155</v>
      </c>
      <c r="Q2317" s="849">
        <v>44.3</v>
      </c>
      <c r="R2317" s="71">
        <v>65804</v>
      </c>
      <c r="S2317" s="845">
        <v>7.5193604796402705E-2</v>
      </c>
      <c r="T2317" s="845">
        <v>6.8000000000000005E-2</v>
      </c>
      <c r="U2317" s="845">
        <v>0</v>
      </c>
      <c r="V2317" s="845">
        <v>0</v>
      </c>
      <c r="W2317" s="845">
        <v>0.35465768799102132</v>
      </c>
      <c r="X2317" s="845">
        <v>0.43354430379746833</v>
      </c>
      <c r="Y2317" s="845">
        <v>0.96634146341463412</v>
      </c>
      <c r="Z2317" s="845">
        <v>9.7560975609756097E-3</v>
      </c>
      <c r="AA2317" s="845">
        <v>9.7560975609756097E-4</v>
      </c>
      <c r="AB2317" s="845">
        <v>2.4390243902439024E-3</v>
      </c>
      <c r="AC2317" s="845">
        <v>0</v>
      </c>
      <c r="AD2317" s="845">
        <v>4.1463414634146344E-3</v>
      </c>
      <c r="AE2317" s="845">
        <v>1.6341463414634147E-2</v>
      </c>
      <c r="AF2317" s="845">
        <v>7.0731707317073173E-3</v>
      </c>
      <c r="AG2317" s="845">
        <v>0.96634146341463412</v>
      </c>
      <c r="AH2317" s="20" t="str">
        <f t="shared" si="181"/>
        <v>Yes</v>
      </c>
      <c r="AI2317" s="25"/>
      <c r="AJ2317" s="25"/>
      <c r="AK2317" s="25"/>
      <c r="AL2317" s="25"/>
      <c r="AM2317" s="25"/>
      <c r="AN2317" s="25"/>
      <c r="AO2317" s="25"/>
      <c r="AP2317" s="25"/>
      <c r="AQ2317" s="25"/>
      <c r="AR2317" s="25"/>
      <c r="AS2317" s="25"/>
      <c r="AT2317" s="25"/>
      <c r="AU2317" s="36"/>
      <c r="AV2317" s="36"/>
      <c r="AW2317" s="36"/>
      <c r="AX2317" s="25"/>
      <c r="AY2317" s="25"/>
      <c r="AZ2317" s="25"/>
      <c r="BA2317" s="25"/>
      <c r="BB2317" s="25"/>
      <c r="BC2317" s="25"/>
      <c r="BD2317" s="25"/>
      <c r="BE2317" s="25"/>
      <c r="BF2317" s="25"/>
      <c r="BG2317" s="25"/>
      <c r="BH2317" s="25"/>
      <c r="BI2317" s="25"/>
      <c r="BJ2317" s="25"/>
      <c r="BK2317" s="25"/>
      <c r="BL2317" s="25"/>
      <c r="BM2317" s="25"/>
      <c r="BN2317" s="25"/>
      <c r="BO2317" s="25"/>
      <c r="BP2317" s="25"/>
      <c r="BQ2317" s="25"/>
      <c r="BR2317" s="25"/>
      <c r="BS2317" s="25"/>
      <c r="BT2317" s="25"/>
      <c r="BU2317"/>
      <c r="BV2317"/>
      <c r="BW2317"/>
      <c r="BX2317"/>
      <c r="BY2317"/>
      <c r="BZ2317"/>
      <c r="CA2317"/>
      <c r="CB2317"/>
      <c r="CC2317"/>
      <c r="CD2317" s="25"/>
    </row>
    <row r="2318" spans="1:82" s="17" customFormat="1" x14ac:dyDescent="0.2">
      <c r="A2318" s="25"/>
      <c r="B2318" s="20">
        <v>39061005800</v>
      </c>
      <c r="C2318" s="20">
        <v>58</v>
      </c>
      <c r="D2318" s="20" t="s">
        <v>37</v>
      </c>
      <c r="E2318" s="20" t="s">
        <v>2828</v>
      </c>
      <c r="F2318" s="20" t="s">
        <v>8</v>
      </c>
      <c r="G2318" s="861">
        <v>39.713689127509298</v>
      </c>
      <c r="H2318" s="861">
        <v>57.004290045540202</v>
      </c>
      <c r="I2318" s="861">
        <v>50.032146849078799</v>
      </c>
      <c r="J2318" s="861">
        <v>35.014313985282399</v>
      </c>
      <c r="K2318" s="982">
        <v>0</v>
      </c>
      <c r="L2318" s="735">
        <v>5211</v>
      </c>
      <c r="M2318" s="735">
        <v>4275</v>
      </c>
      <c r="N2318" s="845">
        <f t="shared" si="179"/>
        <v>-0.17962003454231434</v>
      </c>
      <c r="O2318" s="735">
        <v>1.2299434841807055</v>
      </c>
      <c r="P2318" s="735">
        <f t="shared" si="180"/>
        <v>3475.7694601290391</v>
      </c>
      <c r="Q2318" s="849">
        <v>46.5</v>
      </c>
      <c r="R2318" s="71">
        <v>63854</v>
      </c>
      <c r="S2318" s="845">
        <v>0.11789473684210526</v>
      </c>
      <c r="T2318" s="845">
        <v>0.05</v>
      </c>
      <c r="U2318" s="845">
        <v>0</v>
      </c>
      <c r="V2318" s="845">
        <v>0</v>
      </c>
      <c r="W2318" s="845">
        <v>0.39423942394239425</v>
      </c>
      <c r="X2318" s="845">
        <v>0.3230593607305936</v>
      </c>
      <c r="Y2318" s="845">
        <v>0.39064327485380118</v>
      </c>
      <c r="Z2318" s="845">
        <v>0.57918128654970757</v>
      </c>
      <c r="AA2318" s="845">
        <v>9.3567251461988308E-4</v>
      </c>
      <c r="AB2318" s="845">
        <v>0</v>
      </c>
      <c r="AC2318" s="845">
        <v>0</v>
      </c>
      <c r="AD2318" s="845">
        <v>0</v>
      </c>
      <c r="AE2318" s="845">
        <v>2.9239766081871343E-2</v>
      </c>
      <c r="AF2318" s="845">
        <v>4.4444444444444444E-3</v>
      </c>
      <c r="AG2318" s="845">
        <v>0.39064327485380118</v>
      </c>
      <c r="AH2318" s="20" t="str">
        <f t="shared" si="181"/>
        <v>No</v>
      </c>
      <c r="AI2318" s="25"/>
      <c r="AJ2318" s="25"/>
      <c r="AK2318" s="25"/>
      <c r="AL2318" s="25"/>
      <c r="AM2318" s="25"/>
      <c r="AN2318" s="25"/>
      <c r="AO2318" s="25"/>
      <c r="AP2318" s="25"/>
      <c r="AQ2318" s="25"/>
      <c r="AR2318" s="25"/>
      <c r="AS2318" s="25"/>
      <c r="AT2318" s="25"/>
      <c r="AU2318" s="36"/>
      <c r="AV2318" s="36"/>
      <c r="AW2318" s="36"/>
      <c r="AX2318" s="25"/>
      <c r="AY2318" s="25"/>
      <c r="AZ2318" s="25"/>
      <c r="BA2318" s="25"/>
      <c r="BB2318" s="25"/>
      <c r="BC2318" s="25"/>
      <c r="BD2318" s="25"/>
      <c r="BE2318" s="25"/>
      <c r="BF2318" s="25"/>
      <c r="BG2318" s="25"/>
      <c r="BH2318" s="25"/>
      <c r="BI2318" s="25"/>
      <c r="BJ2318" s="25"/>
      <c r="BK2318" s="25"/>
      <c r="BL2318" s="25"/>
      <c r="BM2318" s="25"/>
      <c r="BN2318" s="25"/>
      <c r="BO2318" s="25"/>
      <c r="BP2318" s="25"/>
      <c r="BQ2318" s="25"/>
      <c r="BR2318" s="25"/>
      <c r="BS2318" s="25"/>
      <c r="BT2318" s="25"/>
      <c r="BU2318"/>
      <c r="BV2318"/>
      <c r="BW2318"/>
      <c r="BX2318"/>
      <c r="BY2318"/>
      <c r="BZ2318"/>
      <c r="CA2318"/>
      <c r="CB2318"/>
      <c r="CC2318"/>
      <c r="CD2318" s="25"/>
    </row>
    <row r="2319" spans="1:82" s="17" customFormat="1" x14ac:dyDescent="0.2">
      <c r="A2319" s="25"/>
      <c r="B2319" s="20">
        <v>39123050100</v>
      </c>
      <c r="C2319" s="20">
        <v>501</v>
      </c>
      <c r="D2319" s="20" t="s">
        <v>67</v>
      </c>
      <c r="E2319" s="20" t="s">
        <v>2837</v>
      </c>
      <c r="F2319" s="20" t="s">
        <v>8</v>
      </c>
      <c r="G2319" s="861">
        <v>39.704718005886903</v>
      </c>
      <c r="H2319" s="861">
        <v>58.634523212845501</v>
      </c>
      <c r="I2319" s="861">
        <v>35.116347470864198</v>
      </c>
      <c r="J2319" s="861">
        <v>49.411182126452701</v>
      </c>
      <c r="K2319" s="982">
        <v>0</v>
      </c>
      <c r="L2319" s="735">
        <v>705</v>
      </c>
      <c r="M2319" s="735">
        <v>787</v>
      </c>
      <c r="N2319" s="845">
        <f t="shared" si="179"/>
        <v>0.11631205673758865</v>
      </c>
      <c r="O2319" s="735">
        <v>4.9352763244924702</v>
      </c>
      <c r="P2319" s="735">
        <f t="shared" si="180"/>
        <v>159.46422211342602</v>
      </c>
      <c r="Q2319" s="849">
        <v>43.8</v>
      </c>
      <c r="R2319" s="71">
        <v>81750</v>
      </c>
      <c r="S2319" s="845">
        <v>0.26657824933687002</v>
      </c>
      <c r="T2319" s="845">
        <v>8.3000000000000004E-2</v>
      </c>
      <c r="U2319" s="845">
        <v>8.0000000000000002E-3</v>
      </c>
      <c r="V2319" s="845">
        <v>0</v>
      </c>
      <c r="W2319" s="845">
        <v>7.0631970260223054E-2</v>
      </c>
      <c r="X2319" s="845">
        <v>0.42105263157894735</v>
      </c>
      <c r="Y2319" s="845">
        <v>0.76365946632782722</v>
      </c>
      <c r="Z2319" s="845">
        <v>7.8780177890724265E-2</v>
      </c>
      <c r="AA2319" s="845">
        <v>1.0165184243964422E-2</v>
      </c>
      <c r="AB2319" s="845">
        <v>2.1601016518424398E-2</v>
      </c>
      <c r="AC2319" s="845">
        <v>0</v>
      </c>
      <c r="AD2319" s="845">
        <v>2.2871664548919948E-2</v>
      </c>
      <c r="AE2319" s="845">
        <v>0.10292249047013977</v>
      </c>
      <c r="AF2319" s="845">
        <v>2.0330368487928845E-2</v>
      </c>
      <c r="AG2319" s="845">
        <v>0.76365946632782722</v>
      </c>
      <c r="AH2319" s="20" t="str">
        <f t="shared" si="181"/>
        <v>No</v>
      </c>
      <c r="AI2319" s="25"/>
      <c r="AJ2319" s="25"/>
      <c r="AK2319" s="25"/>
      <c r="AL2319" s="25"/>
      <c r="AM2319" s="25"/>
      <c r="AN2319" s="25"/>
      <c r="AO2319" s="25"/>
      <c r="AP2319" s="25"/>
      <c r="AQ2319" s="25"/>
      <c r="AR2319" s="25"/>
      <c r="AS2319" s="25"/>
      <c r="AT2319" s="25"/>
      <c r="AU2319" s="36"/>
      <c r="AV2319" s="36"/>
      <c r="AW2319" s="36"/>
      <c r="AX2319" s="25"/>
      <c r="AY2319" s="25"/>
      <c r="AZ2319" s="25"/>
      <c r="BA2319" s="25"/>
      <c r="BB2319" s="25"/>
      <c r="BC2319" s="25"/>
      <c r="BD2319" s="25"/>
      <c r="BE2319" s="25"/>
      <c r="BF2319" s="25"/>
      <c r="BG2319" s="25"/>
      <c r="BH2319" s="25"/>
      <c r="BI2319" s="25"/>
      <c r="BJ2319" s="25"/>
      <c r="BK2319" s="25"/>
      <c r="BL2319" s="25"/>
      <c r="BM2319" s="25"/>
      <c r="BN2319" s="25"/>
      <c r="BO2319" s="25"/>
      <c r="BP2319" s="25"/>
      <c r="BQ2319" s="25"/>
      <c r="BR2319" s="25"/>
      <c r="BS2319" s="25"/>
      <c r="BT2319" s="25"/>
      <c r="BU2319"/>
      <c r="BV2319"/>
      <c r="BW2319"/>
      <c r="BX2319"/>
      <c r="BY2319"/>
      <c r="BZ2319"/>
      <c r="CA2319"/>
      <c r="CB2319"/>
      <c r="CC2319"/>
      <c r="CD2319" s="25"/>
    </row>
    <row r="2320" spans="1:82" s="17" customFormat="1" x14ac:dyDescent="0.2">
      <c r="A2320" s="25"/>
      <c r="B2320" s="20">
        <v>39007000601</v>
      </c>
      <c r="C2320" s="20">
        <v>6.01</v>
      </c>
      <c r="D2320" s="20" t="s">
        <v>10</v>
      </c>
      <c r="E2320" s="20" t="s">
        <v>2829</v>
      </c>
      <c r="F2320" s="20" t="s">
        <v>6</v>
      </c>
      <c r="G2320" s="861">
        <v>39.693480679555101</v>
      </c>
      <c r="H2320" s="861">
        <v>58.965692239049403</v>
      </c>
      <c r="I2320" s="861">
        <v>74.264831346403597</v>
      </c>
      <c r="J2320" s="861">
        <v>55.488575458004298</v>
      </c>
      <c r="K2320" s="982">
        <v>0</v>
      </c>
      <c r="L2320" s="735">
        <v>2538</v>
      </c>
      <c r="M2320" s="735">
        <v>3363</v>
      </c>
      <c r="N2320" s="845">
        <f t="shared" si="179"/>
        <v>0.32505910165484636</v>
      </c>
      <c r="O2320" s="735">
        <v>1.1417979057826642</v>
      </c>
      <c r="P2320" s="735">
        <f t="shared" si="180"/>
        <v>2945.3548504231808</v>
      </c>
      <c r="Q2320" s="849">
        <v>39.4</v>
      </c>
      <c r="R2320" s="71">
        <v>40766</v>
      </c>
      <c r="S2320" s="845">
        <v>0.32620320855614976</v>
      </c>
      <c r="T2320" s="845">
        <v>0.13699999999999998</v>
      </c>
      <c r="U2320" s="845">
        <v>4.4999999999999998E-2</v>
      </c>
      <c r="V2320" s="845">
        <v>0.11699999999999999</v>
      </c>
      <c r="W2320" s="845">
        <v>0.45053147996729354</v>
      </c>
      <c r="X2320" s="845">
        <v>0.64791288566243199</v>
      </c>
      <c r="Y2320" s="845">
        <v>0.76865893547427888</v>
      </c>
      <c r="Z2320" s="845">
        <v>0.12221231043710973</v>
      </c>
      <c r="AA2320" s="845">
        <v>0</v>
      </c>
      <c r="AB2320" s="845">
        <v>2.8843294677371394E-2</v>
      </c>
      <c r="AC2320" s="845">
        <v>0</v>
      </c>
      <c r="AD2320" s="845">
        <v>1.7246506095747845E-2</v>
      </c>
      <c r="AE2320" s="845">
        <v>6.3038953315492113E-2</v>
      </c>
      <c r="AF2320" s="845">
        <v>0.16413916146297949</v>
      </c>
      <c r="AG2320" s="845">
        <v>0.63366042224204577</v>
      </c>
      <c r="AH2320" s="20" t="str">
        <f t="shared" si="181"/>
        <v>No</v>
      </c>
      <c r="AI2320" s="25"/>
      <c r="AJ2320" s="25"/>
      <c r="AK2320" s="25"/>
      <c r="AL2320" s="25"/>
      <c r="AM2320" s="25"/>
      <c r="AN2320" s="25"/>
      <c r="AO2320" s="25"/>
      <c r="AP2320" s="25"/>
      <c r="AQ2320" s="25"/>
      <c r="AR2320" s="25"/>
      <c r="AS2320" s="25"/>
      <c r="AT2320" s="25"/>
      <c r="AU2320" s="36"/>
      <c r="AV2320" s="36"/>
      <c r="AW2320" s="36"/>
      <c r="AX2320" s="25"/>
      <c r="AY2320" s="25"/>
      <c r="AZ2320" s="25"/>
      <c r="BA2320" s="25"/>
      <c r="BB2320" s="25"/>
      <c r="BC2320" s="25"/>
      <c r="BD2320" s="25"/>
      <c r="BE2320" s="25"/>
      <c r="BF2320" s="25"/>
      <c r="BG2320" s="25"/>
      <c r="BH2320" s="25"/>
      <c r="BI2320" s="25"/>
      <c r="BJ2320" s="25"/>
      <c r="BK2320" s="25"/>
      <c r="BL2320" s="25"/>
      <c r="BM2320" s="25"/>
      <c r="BN2320" s="25"/>
      <c r="BO2320" s="25"/>
      <c r="BP2320" s="25"/>
      <c r="BQ2320" s="25"/>
      <c r="BR2320" s="25"/>
      <c r="BS2320" s="25"/>
      <c r="BT2320" s="25"/>
      <c r="BU2320"/>
      <c r="BV2320"/>
      <c r="BW2320"/>
      <c r="BX2320"/>
      <c r="BY2320"/>
      <c r="BZ2320"/>
      <c r="CA2320"/>
      <c r="CB2320"/>
      <c r="CC2320"/>
      <c r="CD2320" s="25"/>
    </row>
    <row r="2321" spans="1:82" s="17" customFormat="1" x14ac:dyDescent="0.2">
      <c r="A2321" s="25"/>
      <c r="B2321" s="20">
        <v>39035106800</v>
      </c>
      <c r="C2321" s="20">
        <v>1068</v>
      </c>
      <c r="D2321" s="20" t="s">
        <v>24</v>
      </c>
      <c r="E2321" s="20" t="s">
        <v>2829</v>
      </c>
      <c r="F2321" s="20" t="s">
        <v>6</v>
      </c>
      <c r="G2321" s="861">
        <v>39.6373686552744</v>
      </c>
      <c r="H2321" s="861">
        <v>60.206648917376398</v>
      </c>
      <c r="I2321" s="861">
        <v>42.552858360907301</v>
      </c>
      <c r="J2321" s="861">
        <v>37.970500059871299</v>
      </c>
      <c r="K2321" s="982">
        <v>0</v>
      </c>
      <c r="L2321" s="735">
        <v>3062</v>
      </c>
      <c r="M2321" s="735">
        <v>2846</v>
      </c>
      <c r="N2321" s="845">
        <f t="shared" si="179"/>
        <v>-7.0542129327237094E-2</v>
      </c>
      <c r="O2321" s="735">
        <v>0.23136862971930788</v>
      </c>
      <c r="P2321" s="735">
        <f t="shared" si="180"/>
        <v>12300.716840708761</v>
      </c>
      <c r="Q2321" s="849">
        <v>38.1</v>
      </c>
      <c r="R2321" s="71">
        <v>43651</v>
      </c>
      <c r="S2321" s="845">
        <v>0.26731252242554721</v>
      </c>
      <c r="T2321" s="845">
        <v>5.4000000000000006E-2</v>
      </c>
      <c r="U2321" s="845">
        <v>4.2999999999999997E-2</v>
      </c>
      <c r="V2321" s="845">
        <v>0.14599999999999999</v>
      </c>
      <c r="W2321" s="845">
        <v>0.55466879489225862</v>
      </c>
      <c r="X2321" s="845">
        <v>0.27913669064748203</v>
      </c>
      <c r="Y2321" s="845">
        <v>0.7087139845397048</v>
      </c>
      <c r="Z2321" s="845">
        <v>8.7842586085734364E-2</v>
      </c>
      <c r="AA2321" s="845">
        <v>0</v>
      </c>
      <c r="AB2321" s="845">
        <v>0</v>
      </c>
      <c r="AC2321" s="845">
        <v>0</v>
      </c>
      <c r="AD2321" s="845">
        <v>7.0976809557273368E-2</v>
      </c>
      <c r="AE2321" s="845">
        <v>0.13246661981728741</v>
      </c>
      <c r="AF2321" s="845">
        <v>0.2596626844694308</v>
      </c>
      <c r="AG2321" s="845">
        <v>0.60646521433591005</v>
      </c>
      <c r="AH2321" s="20" t="str">
        <f t="shared" si="181"/>
        <v>No</v>
      </c>
      <c r="AI2321" s="25"/>
      <c r="AJ2321" s="25"/>
      <c r="AK2321" s="25"/>
      <c r="AL2321" s="25"/>
      <c r="AM2321" s="25"/>
      <c r="AN2321" s="25"/>
      <c r="AO2321" s="25"/>
      <c r="AP2321" s="25"/>
      <c r="AQ2321" s="25"/>
      <c r="AR2321" s="25"/>
      <c r="AS2321" s="25"/>
      <c r="AT2321" s="25"/>
      <c r="AU2321" s="36"/>
      <c r="AV2321" s="36"/>
      <c r="AW2321" s="36"/>
      <c r="AX2321" s="25"/>
      <c r="AY2321" s="25"/>
      <c r="AZ2321" s="25"/>
      <c r="BA2321" s="25"/>
      <c r="BB2321" s="25"/>
      <c r="BC2321" s="25"/>
      <c r="BD2321" s="25"/>
      <c r="BE2321" s="25"/>
      <c r="BF2321" s="25"/>
      <c r="BG2321" s="25"/>
      <c r="BH2321" s="25"/>
      <c r="BI2321" s="25"/>
      <c r="BJ2321" s="25"/>
      <c r="BK2321" s="25"/>
      <c r="BL2321" s="25"/>
      <c r="BM2321" s="25"/>
      <c r="BN2321" s="25"/>
      <c r="BO2321" s="25"/>
      <c r="BP2321" s="25"/>
      <c r="BQ2321" s="25"/>
      <c r="BR2321" s="25"/>
      <c r="BS2321" s="25"/>
      <c r="BT2321" s="25"/>
      <c r="BU2321"/>
      <c r="BV2321"/>
      <c r="BW2321"/>
      <c r="BX2321"/>
      <c r="BY2321"/>
      <c r="BZ2321"/>
      <c r="CA2321"/>
      <c r="CB2321"/>
      <c r="CC2321"/>
      <c r="CD2321" s="25"/>
    </row>
    <row r="2322" spans="1:82" s="17" customFormat="1" x14ac:dyDescent="0.2">
      <c r="A2322" s="25"/>
      <c r="B2322" s="20">
        <v>39157020500</v>
      </c>
      <c r="C2322" s="20">
        <v>205</v>
      </c>
      <c r="D2322" s="20" t="s">
        <v>84</v>
      </c>
      <c r="E2322" s="20" t="s">
        <v>265</v>
      </c>
      <c r="F2322" s="20" t="s">
        <v>8</v>
      </c>
      <c r="G2322" s="861">
        <v>39.617645154042798</v>
      </c>
      <c r="H2322" s="861">
        <v>42.187253540143899</v>
      </c>
      <c r="I2322" s="861">
        <v>22.363111401721898</v>
      </c>
      <c r="J2322" s="861">
        <v>41.087801650631398</v>
      </c>
      <c r="K2322" s="982">
        <v>0</v>
      </c>
      <c r="L2322" s="735">
        <v>5093</v>
      </c>
      <c r="M2322" s="735">
        <v>5748</v>
      </c>
      <c r="N2322" s="845">
        <f t="shared" si="179"/>
        <v>0.12860789318672688</v>
      </c>
      <c r="O2322" s="735">
        <v>45.492257877585395</v>
      </c>
      <c r="P2322" s="735">
        <f t="shared" si="180"/>
        <v>126.35116980711814</v>
      </c>
      <c r="Q2322" s="849">
        <v>37.799999999999997</v>
      </c>
      <c r="R2322" s="71">
        <v>97992</v>
      </c>
      <c r="S2322" s="845">
        <v>5.6889352818371611E-2</v>
      </c>
      <c r="T2322" s="845">
        <v>9.0999999999999998E-2</v>
      </c>
      <c r="U2322" s="845">
        <v>0</v>
      </c>
      <c r="V2322" s="845">
        <v>0</v>
      </c>
      <c r="W2322" s="845">
        <v>0.13664896185417671</v>
      </c>
      <c r="X2322" s="845">
        <v>0.29681978798586572</v>
      </c>
      <c r="Y2322" s="845">
        <v>0.92710508002783576</v>
      </c>
      <c r="Z2322" s="845">
        <v>0</v>
      </c>
      <c r="AA2322" s="845">
        <v>1.3917884481558804E-3</v>
      </c>
      <c r="AB2322" s="845">
        <v>0</v>
      </c>
      <c r="AC2322" s="845">
        <v>0</v>
      </c>
      <c r="AD2322" s="845">
        <v>4.3493389004871257E-2</v>
      </c>
      <c r="AE2322" s="845">
        <v>2.8009742519137092E-2</v>
      </c>
      <c r="AF2322" s="845">
        <v>0.10960334029227557</v>
      </c>
      <c r="AG2322" s="845">
        <v>0.8855254001391788</v>
      </c>
      <c r="AH2322" s="20" t="str">
        <f t="shared" si="181"/>
        <v>No</v>
      </c>
      <c r="AI2322" s="25"/>
      <c r="AJ2322" s="25"/>
      <c r="AK2322" s="25"/>
      <c r="AL2322" s="25"/>
      <c r="AM2322" s="25"/>
      <c r="AN2322" s="25"/>
      <c r="AO2322" s="25"/>
      <c r="AP2322" s="25"/>
      <c r="AQ2322" s="25"/>
      <c r="AR2322" s="25"/>
      <c r="AS2322" s="25"/>
      <c r="AT2322" s="25"/>
      <c r="AU2322" s="36"/>
      <c r="AV2322" s="36"/>
      <c r="AW2322" s="36"/>
      <c r="AX2322" s="25"/>
      <c r="AY2322" s="25"/>
      <c r="AZ2322" s="25"/>
      <c r="BA2322" s="25"/>
      <c r="BB2322" s="25"/>
      <c r="BC2322" s="25"/>
      <c r="BD2322" s="25"/>
      <c r="BE2322" s="25"/>
      <c r="BF2322" s="25"/>
      <c r="BG2322" s="25"/>
      <c r="BH2322" s="25"/>
      <c r="BI2322" s="25"/>
      <c r="BJ2322" s="25"/>
      <c r="BK2322" s="25"/>
      <c r="BL2322" s="25"/>
      <c r="BM2322" s="25"/>
      <c r="BN2322" s="25"/>
      <c r="BO2322" s="25"/>
      <c r="BP2322" s="25"/>
      <c r="BQ2322" s="25"/>
      <c r="BR2322" s="25"/>
      <c r="BS2322" s="25"/>
      <c r="BT2322" s="25"/>
      <c r="BU2322"/>
      <c r="BV2322"/>
      <c r="BW2322"/>
      <c r="BX2322"/>
      <c r="BY2322"/>
      <c r="BZ2322"/>
      <c r="CA2322"/>
      <c r="CB2322"/>
      <c r="CC2322"/>
      <c r="CD2322" s="25"/>
    </row>
    <row r="2323" spans="1:82" s="17" customFormat="1" x14ac:dyDescent="0.2">
      <c r="A2323" s="25"/>
      <c r="B2323" s="20">
        <v>39123050202</v>
      </c>
      <c r="C2323" s="20">
        <v>502.02</v>
      </c>
      <c r="D2323" s="20" t="s">
        <v>67</v>
      </c>
      <c r="E2323" s="20" t="s">
        <v>2837</v>
      </c>
      <c r="F2323" s="20" t="s">
        <v>8</v>
      </c>
      <c r="G2323" s="861">
        <v>39.615646493346503</v>
      </c>
      <c r="H2323" s="861">
        <v>40.128693942112598</v>
      </c>
      <c r="I2323" s="861">
        <v>33.417154817885802</v>
      </c>
      <c r="J2323" s="861">
        <v>35.771785364667402</v>
      </c>
      <c r="K2323" s="982">
        <v>0</v>
      </c>
      <c r="L2323" s="735">
        <v>1769</v>
      </c>
      <c r="M2323" s="735">
        <v>1805</v>
      </c>
      <c r="N2323" s="845">
        <f t="shared" si="179"/>
        <v>2.0350480497456191E-2</v>
      </c>
      <c r="O2323" s="735">
        <v>3.1394646054958146</v>
      </c>
      <c r="P2323" s="735">
        <f t="shared" si="180"/>
        <v>574.93879588266191</v>
      </c>
      <c r="Q2323" s="849">
        <v>65.2</v>
      </c>
      <c r="R2323" s="71">
        <v>102411</v>
      </c>
      <c r="S2323" s="845">
        <v>6.1495844875346262E-2</v>
      </c>
      <c r="T2323" s="845">
        <v>7.6999999999999999E-2</v>
      </c>
      <c r="U2323" s="845">
        <v>2.3E-2</v>
      </c>
      <c r="V2323" s="845">
        <v>0</v>
      </c>
      <c r="W2323" s="845">
        <v>6.256206554121152E-2</v>
      </c>
      <c r="X2323" s="845">
        <v>0.33333333333333331</v>
      </c>
      <c r="Y2323" s="845">
        <v>0.85484764542936287</v>
      </c>
      <c r="Z2323" s="845">
        <v>6.7036011080332414E-2</v>
      </c>
      <c r="AA2323" s="845">
        <v>0</v>
      </c>
      <c r="AB2323" s="845">
        <v>7.7562326869806096E-3</v>
      </c>
      <c r="AC2323" s="845">
        <v>0</v>
      </c>
      <c r="AD2323" s="845">
        <v>0</v>
      </c>
      <c r="AE2323" s="845">
        <v>7.0360110803324105E-2</v>
      </c>
      <c r="AF2323" s="845">
        <v>2.6038781163434901E-2</v>
      </c>
      <c r="AG2323" s="845">
        <v>0.85484764542936287</v>
      </c>
      <c r="AH2323" s="20" t="str">
        <f t="shared" si="181"/>
        <v>No</v>
      </c>
      <c r="AI2323" s="25"/>
      <c r="AJ2323" s="25"/>
      <c r="AK2323" s="25"/>
      <c r="AL2323" s="25"/>
      <c r="AM2323" s="25"/>
      <c r="AN2323" s="25"/>
      <c r="AO2323" s="25"/>
      <c r="AP2323" s="25"/>
      <c r="AQ2323" s="25"/>
      <c r="AR2323" s="25"/>
      <c r="AS2323" s="25"/>
      <c r="AT2323" s="25"/>
      <c r="AU2323" s="36"/>
      <c r="AV2323" s="36"/>
      <c r="AW2323" s="36"/>
      <c r="AX2323" s="25"/>
      <c r="AY2323" s="25"/>
      <c r="AZ2323" s="25"/>
      <c r="BA2323" s="25"/>
      <c r="BB2323" s="25"/>
      <c r="BC2323" s="25"/>
      <c r="BD2323" s="25"/>
      <c r="BE2323" s="25"/>
      <c r="BF2323" s="25"/>
      <c r="BG2323" s="25"/>
      <c r="BH2323" s="25"/>
      <c r="BI2323" s="25"/>
      <c r="BJ2323" s="25"/>
      <c r="BK2323" s="25"/>
      <c r="BL2323" s="25"/>
      <c r="BM2323" s="25"/>
      <c r="BN2323" s="25"/>
      <c r="BO2323" s="25"/>
      <c r="BP2323" s="25"/>
      <c r="BQ2323" s="25"/>
      <c r="BR2323" s="25"/>
      <c r="BS2323" s="25"/>
      <c r="BT2323" s="25"/>
      <c r="BU2323"/>
      <c r="BV2323"/>
      <c r="BW2323"/>
      <c r="BX2323"/>
      <c r="BY2323"/>
      <c r="BZ2323"/>
      <c r="CA2323"/>
      <c r="CB2323"/>
      <c r="CC2323"/>
      <c r="CD2323" s="25"/>
    </row>
    <row r="2324" spans="1:82" s="17" customFormat="1" x14ac:dyDescent="0.2">
      <c r="A2324" s="25"/>
      <c r="B2324" s="20">
        <v>39035199200</v>
      </c>
      <c r="C2324" s="20">
        <v>1992</v>
      </c>
      <c r="D2324" s="20" t="s">
        <v>24</v>
      </c>
      <c r="E2324" s="20" t="s">
        <v>2829</v>
      </c>
      <c r="F2324" s="20" t="s">
        <v>6</v>
      </c>
      <c r="G2324" s="861">
        <v>39.610147875905803</v>
      </c>
      <c r="H2324" s="861">
        <v>54.740143688850502</v>
      </c>
      <c r="I2324" s="861">
        <v>53.183940498240702</v>
      </c>
      <c r="J2324" s="861">
        <v>35.589415811327697</v>
      </c>
      <c r="K2324" s="982">
        <v>1</v>
      </c>
      <c r="L2324" s="735" t="s">
        <v>2466</v>
      </c>
      <c r="M2324" s="735">
        <v>1557</v>
      </c>
      <c r="N2324" s="845" t="str">
        <f t="shared" si="179"/>
        <v/>
      </c>
      <c r="O2324" s="735">
        <v>0.30140717518583515</v>
      </c>
      <c r="P2324" s="735">
        <f t="shared" si="180"/>
        <v>5165.7695243652324</v>
      </c>
      <c r="Q2324" s="849">
        <v>38.200000000000003</v>
      </c>
      <c r="R2324" s="71">
        <v>44286</v>
      </c>
      <c r="S2324" s="845">
        <v>0.25883108542068078</v>
      </c>
      <c r="T2324" s="845">
        <v>1.1000000000000001E-2</v>
      </c>
      <c r="U2324" s="845">
        <v>0</v>
      </c>
      <c r="V2324" s="845">
        <v>9.3000000000000013E-2</v>
      </c>
      <c r="W2324" s="845">
        <v>0.45894428152492667</v>
      </c>
      <c r="X2324" s="845">
        <v>0.32268370607028751</v>
      </c>
      <c r="Y2324" s="845">
        <v>0</v>
      </c>
      <c r="Z2324" s="845">
        <v>0.97752087347463068</v>
      </c>
      <c r="AA2324" s="845">
        <v>0</v>
      </c>
      <c r="AB2324" s="845">
        <v>0</v>
      </c>
      <c r="AC2324" s="845">
        <v>0</v>
      </c>
      <c r="AD2324" s="845">
        <v>0</v>
      </c>
      <c r="AE2324" s="845">
        <v>2.2479126525369299E-2</v>
      </c>
      <c r="AF2324" s="845">
        <v>0</v>
      </c>
      <c r="AG2324" s="845">
        <v>0</v>
      </c>
      <c r="AH2324" s="20" t="str">
        <f t="shared" si="181"/>
        <v>No</v>
      </c>
      <c r="AI2324" s="25"/>
      <c r="AJ2324" s="25"/>
      <c r="AK2324" s="25"/>
      <c r="AL2324" s="25"/>
      <c r="AM2324" s="25"/>
      <c r="AN2324" s="25"/>
      <c r="AO2324" s="25"/>
      <c r="AP2324" s="25"/>
      <c r="AQ2324" s="25"/>
      <c r="AR2324" s="25"/>
      <c r="AS2324" s="25"/>
      <c r="AT2324" s="25"/>
      <c r="AU2324" s="36"/>
      <c r="AV2324" s="36"/>
      <c r="AW2324" s="36"/>
      <c r="AX2324" s="25"/>
      <c r="AY2324" s="25"/>
      <c r="AZ2324" s="25"/>
      <c r="BA2324" s="25"/>
      <c r="BB2324" s="25"/>
      <c r="BC2324" s="25"/>
      <c r="BD2324" s="25"/>
      <c r="BE2324" s="25"/>
      <c r="BF2324" s="25"/>
      <c r="BG2324" s="25"/>
      <c r="BH2324" s="25"/>
      <c r="BI2324" s="25"/>
      <c r="BJ2324" s="25"/>
      <c r="BK2324" s="25"/>
      <c r="BL2324" s="25"/>
      <c r="BM2324" s="25"/>
      <c r="BN2324" s="25"/>
      <c r="BO2324" s="25"/>
      <c r="BP2324" s="25"/>
      <c r="BQ2324" s="25"/>
      <c r="BR2324" s="25"/>
      <c r="BS2324" s="25"/>
      <c r="BT2324" s="25"/>
      <c r="BU2324"/>
      <c r="BV2324"/>
      <c r="BW2324"/>
      <c r="BX2324"/>
      <c r="BY2324"/>
      <c r="BZ2324"/>
      <c r="CA2324"/>
      <c r="CB2324"/>
      <c r="CC2324"/>
      <c r="CD2324" s="25"/>
    </row>
    <row r="2325" spans="1:82" s="17" customFormat="1" x14ac:dyDescent="0.2">
      <c r="A2325" s="25"/>
      <c r="B2325" s="20">
        <v>39093024200</v>
      </c>
      <c r="C2325" s="20">
        <v>242</v>
      </c>
      <c r="D2325" s="20" t="s">
        <v>52</v>
      </c>
      <c r="E2325" s="20" t="s">
        <v>2829</v>
      </c>
      <c r="F2325" s="20" t="s">
        <v>6</v>
      </c>
      <c r="G2325" s="861">
        <v>39.600849762811997</v>
      </c>
      <c r="H2325" s="861">
        <v>42.543520165791101</v>
      </c>
      <c r="I2325" s="861">
        <v>50.973760653090899</v>
      </c>
      <c r="J2325" s="861">
        <v>46.995613436246302</v>
      </c>
      <c r="K2325" s="982">
        <v>1</v>
      </c>
      <c r="L2325" s="735">
        <v>4335</v>
      </c>
      <c r="M2325" s="735">
        <v>5352</v>
      </c>
      <c r="N2325" s="845">
        <f t="shared" si="179"/>
        <v>0.23460207612456746</v>
      </c>
      <c r="O2325" s="735">
        <v>1.0023455281422122</v>
      </c>
      <c r="P2325" s="735">
        <f t="shared" si="180"/>
        <v>5339.4761085227901</v>
      </c>
      <c r="Q2325" s="849">
        <v>31.3</v>
      </c>
      <c r="R2325" s="71">
        <v>61210</v>
      </c>
      <c r="S2325" s="845">
        <v>0.2858744394618834</v>
      </c>
      <c r="T2325" s="845">
        <v>0.02</v>
      </c>
      <c r="U2325" s="845">
        <v>0</v>
      </c>
      <c r="V2325" s="845">
        <v>3.7999999999999999E-2</v>
      </c>
      <c r="W2325" s="845">
        <v>0.49855907780979825</v>
      </c>
      <c r="X2325" s="845">
        <v>0.58092485549132944</v>
      </c>
      <c r="Y2325" s="845">
        <v>0.70590433482810166</v>
      </c>
      <c r="Z2325" s="845">
        <v>0.14517937219730942</v>
      </c>
      <c r="AA2325" s="845">
        <v>1.0089686098654708E-2</v>
      </c>
      <c r="AB2325" s="845">
        <v>0</v>
      </c>
      <c r="AC2325" s="845">
        <v>0</v>
      </c>
      <c r="AD2325" s="845">
        <v>1.7750373692077728E-2</v>
      </c>
      <c r="AE2325" s="845">
        <v>0.1210762331838565</v>
      </c>
      <c r="AF2325" s="845">
        <v>0.29353512705530643</v>
      </c>
      <c r="AG2325" s="845">
        <v>0.5409192825112108</v>
      </c>
      <c r="AH2325" s="20" t="str">
        <f t="shared" si="181"/>
        <v>No</v>
      </c>
      <c r="AI2325" s="25"/>
      <c r="AJ2325" s="25"/>
      <c r="AK2325" s="25"/>
      <c r="AL2325" s="25"/>
      <c r="AM2325" s="25"/>
      <c r="AN2325" s="25"/>
      <c r="AO2325" s="25"/>
      <c r="AP2325" s="25"/>
      <c r="AQ2325" s="25"/>
      <c r="AR2325" s="25"/>
      <c r="AS2325" s="25"/>
      <c r="AT2325" s="25"/>
      <c r="AU2325" s="36"/>
      <c r="AV2325" s="36"/>
      <c r="AW2325" s="36"/>
      <c r="AX2325" s="25"/>
      <c r="AY2325" s="25"/>
      <c r="AZ2325" s="25"/>
      <c r="BA2325" s="25"/>
      <c r="BB2325" s="25"/>
      <c r="BC2325" s="25"/>
      <c r="BD2325" s="25"/>
      <c r="BE2325" s="25"/>
      <c r="BF2325" s="25"/>
      <c r="BG2325" s="25"/>
      <c r="BH2325" s="25"/>
      <c r="BI2325" s="25"/>
      <c r="BJ2325" s="25"/>
      <c r="BK2325" s="25"/>
      <c r="BL2325" s="25"/>
      <c r="BM2325" s="25"/>
      <c r="BN2325" s="25"/>
      <c r="BO2325" s="25"/>
      <c r="BP2325" s="25"/>
      <c r="BQ2325" s="25"/>
      <c r="BR2325" s="25"/>
      <c r="BS2325" s="25"/>
      <c r="BT2325" s="25"/>
      <c r="BU2325"/>
      <c r="BV2325"/>
      <c r="BW2325"/>
      <c r="BX2325"/>
      <c r="BY2325"/>
      <c r="BZ2325"/>
      <c r="CA2325"/>
      <c r="CB2325"/>
      <c r="CC2325"/>
      <c r="CD2325" s="25"/>
    </row>
    <row r="2326" spans="1:82" s="17" customFormat="1" x14ac:dyDescent="0.2">
      <c r="A2326" s="25"/>
      <c r="B2326" s="20">
        <v>39061026002</v>
      </c>
      <c r="C2326" s="20">
        <v>260.02</v>
      </c>
      <c r="D2326" s="20" t="s">
        <v>37</v>
      </c>
      <c r="E2326" s="20" t="s">
        <v>2828</v>
      </c>
      <c r="F2326" s="20" t="s">
        <v>8</v>
      </c>
      <c r="G2326" s="861">
        <v>39.570286477807599</v>
      </c>
      <c r="H2326" s="861">
        <v>63.253728212042503</v>
      </c>
      <c r="I2326" s="861">
        <v>20.2098440566641</v>
      </c>
      <c r="J2326" s="861">
        <v>67.240417036979096</v>
      </c>
      <c r="K2326" s="982">
        <v>0</v>
      </c>
      <c r="L2326" s="735">
        <v>4662</v>
      </c>
      <c r="M2326" s="735">
        <v>8722</v>
      </c>
      <c r="N2326" s="845">
        <f t="shared" si="179"/>
        <v>0.87087087087087089</v>
      </c>
      <c r="O2326" s="735">
        <v>26.134629629631775</v>
      </c>
      <c r="P2326" s="735">
        <f t="shared" si="180"/>
        <v>333.73344576159155</v>
      </c>
      <c r="Q2326" s="849">
        <v>38.200000000000003</v>
      </c>
      <c r="R2326" s="71">
        <v>107423</v>
      </c>
      <c r="S2326" s="845">
        <v>4.0357716120155929E-2</v>
      </c>
      <c r="T2326" s="845">
        <v>8.0000000000000002E-3</v>
      </c>
      <c r="U2326" s="845">
        <v>0</v>
      </c>
      <c r="V2326" s="845">
        <v>0</v>
      </c>
      <c r="W2326" s="845">
        <v>0.28546409807355516</v>
      </c>
      <c r="X2326" s="845">
        <v>0.2607361963190184</v>
      </c>
      <c r="Y2326" s="845">
        <v>0.9486356340288925</v>
      </c>
      <c r="Z2326" s="845">
        <v>0</v>
      </c>
      <c r="AA2326" s="845">
        <v>0</v>
      </c>
      <c r="AB2326" s="845">
        <v>0</v>
      </c>
      <c r="AC2326" s="845">
        <v>0</v>
      </c>
      <c r="AD2326" s="845">
        <v>1.3758312313689521E-3</v>
      </c>
      <c r="AE2326" s="845">
        <v>4.9988534739738591E-2</v>
      </c>
      <c r="AF2326" s="845">
        <v>2.9007108461362074E-2</v>
      </c>
      <c r="AG2326" s="845">
        <v>0.94026599403806466</v>
      </c>
      <c r="AH2326" s="20" t="str">
        <f t="shared" si="181"/>
        <v>Yes</v>
      </c>
      <c r="AI2326" s="25"/>
      <c r="AJ2326" s="25"/>
      <c r="AK2326" s="25"/>
      <c r="AL2326" s="25"/>
      <c r="AM2326" s="25"/>
      <c r="AN2326" s="25"/>
      <c r="AO2326" s="25"/>
      <c r="AP2326" s="25"/>
      <c r="AQ2326" s="25"/>
      <c r="AR2326" s="25"/>
      <c r="AS2326" s="25"/>
      <c r="AT2326" s="25"/>
      <c r="AU2326" s="36"/>
      <c r="AV2326" s="36"/>
      <c r="AW2326" s="36"/>
      <c r="AX2326" s="25"/>
      <c r="AY2326" s="25"/>
      <c r="AZ2326" s="25"/>
      <c r="BA2326" s="25"/>
      <c r="BB2326" s="25"/>
      <c r="BC2326" s="25"/>
      <c r="BD2326" s="25"/>
      <c r="BE2326" s="25"/>
      <c r="BF2326" s="25"/>
      <c r="BG2326" s="25"/>
      <c r="BH2326" s="25"/>
      <c r="BI2326" s="25"/>
      <c r="BJ2326" s="25"/>
      <c r="BK2326" s="25"/>
      <c r="BL2326" s="25"/>
      <c r="BM2326" s="25"/>
      <c r="BN2326" s="25"/>
      <c r="BO2326" s="25"/>
      <c r="BP2326" s="25"/>
      <c r="BQ2326" s="25"/>
      <c r="BR2326" s="25"/>
      <c r="BS2326" s="25"/>
      <c r="BT2326" s="25"/>
      <c r="BU2326"/>
      <c r="BV2326"/>
      <c r="BW2326"/>
      <c r="BX2326"/>
      <c r="BY2326"/>
      <c r="BZ2326"/>
      <c r="CA2326"/>
      <c r="CB2326"/>
      <c r="CC2326"/>
      <c r="CD2326" s="25"/>
    </row>
    <row r="2327" spans="1:82" s="17" customFormat="1" x14ac:dyDescent="0.2">
      <c r="A2327" s="25"/>
      <c r="B2327" s="20">
        <v>39127965901</v>
      </c>
      <c r="C2327" s="20">
        <v>9659.01</v>
      </c>
      <c r="D2327" s="20" t="s">
        <v>69</v>
      </c>
      <c r="E2327" s="20" t="s">
        <v>2830</v>
      </c>
      <c r="F2327" s="20" t="s">
        <v>8</v>
      </c>
      <c r="G2327" s="861">
        <v>39.548105376731101</v>
      </c>
      <c r="H2327" s="861">
        <v>47.581666925712</v>
      </c>
      <c r="I2327" s="861">
        <v>26.493830988751</v>
      </c>
      <c r="J2327" s="861">
        <v>38.639181356506398</v>
      </c>
      <c r="K2327" s="982">
        <v>0</v>
      </c>
      <c r="L2327" s="735" t="s">
        <v>2466</v>
      </c>
      <c r="M2327" s="735">
        <v>2978</v>
      </c>
      <c r="N2327" s="845" t="str">
        <f t="shared" si="179"/>
        <v/>
      </c>
      <c r="O2327" s="735">
        <v>39.774244755123604</v>
      </c>
      <c r="P2327" s="735">
        <f t="shared" si="180"/>
        <v>74.872571895067409</v>
      </c>
      <c r="Q2327" s="849">
        <v>43.3</v>
      </c>
      <c r="R2327" s="71">
        <v>58676</v>
      </c>
      <c r="S2327" s="845">
        <v>0.17630853994490359</v>
      </c>
      <c r="T2327" s="845">
        <v>3.5000000000000003E-2</v>
      </c>
      <c r="U2327" s="845">
        <v>1.8000000000000002E-2</v>
      </c>
      <c r="V2327" s="845">
        <v>0</v>
      </c>
      <c r="W2327" s="845">
        <v>0.15968992248062017</v>
      </c>
      <c r="X2327" s="845">
        <v>0.24271844660194175</v>
      </c>
      <c r="Y2327" s="845">
        <v>0.95433176628609806</v>
      </c>
      <c r="Z2327" s="845">
        <v>0</v>
      </c>
      <c r="AA2327" s="845">
        <v>0</v>
      </c>
      <c r="AB2327" s="845">
        <v>7.0517125587642717E-3</v>
      </c>
      <c r="AC2327" s="845">
        <v>0</v>
      </c>
      <c r="AD2327" s="845">
        <v>2.3505708529214238E-3</v>
      </c>
      <c r="AE2327" s="845">
        <v>3.626595030221625E-2</v>
      </c>
      <c r="AF2327" s="845">
        <v>1.1752854264607119E-2</v>
      </c>
      <c r="AG2327" s="845">
        <v>0.94492948287441236</v>
      </c>
      <c r="AH2327" s="20" t="str">
        <f t="shared" si="181"/>
        <v>Yes</v>
      </c>
      <c r="AI2327" s="25"/>
      <c r="AJ2327" s="25"/>
      <c r="AK2327" s="25"/>
      <c r="AL2327" s="25"/>
      <c r="AM2327" s="25"/>
      <c r="AN2327" s="25"/>
      <c r="AO2327" s="25"/>
      <c r="AP2327" s="25"/>
      <c r="AQ2327" s="25"/>
      <c r="AR2327" s="25"/>
      <c r="AS2327" s="25"/>
      <c r="AT2327" s="25"/>
      <c r="AU2327" s="36"/>
      <c r="AV2327" s="36"/>
      <c r="AW2327" s="36"/>
      <c r="AX2327" s="25"/>
      <c r="AY2327" s="25"/>
      <c r="AZ2327" s="25"/>
      <c r="BA2327" s="25"/>
      <c r="BB2327" s="25"/>
      <c r="BC2327" s="25"/>
      <c r="BD2327" s="25"/>
      <c r="BE2327" s="25"/>
      <c r="BF2327" s="25"/>
      <c r="BG2327" s="25"/>
      <c r="BH2327" s="25"/>
      <c r="BI2327" s="25"/>
      <c r="BJ2327" s="25"/>
      <c r="BK2327" s="25"/>
      <c r="BL2327" s="25"/>
      <c r="BM2327" s="25"/>
      <c r="BN2327" s="25"/>
      <c r="BO2327" s="25"/>
      <c r="BP2327" s="25"/>
      <c r="BQ2327" s="25"/>
      <c r="BR2327" s="25"/>
      <c r="BS2327" s="25"/>
      <c r="BT2327" s="25"/>
      <c r="BU2327"/>
      <c r="BV2327"/>
      <c r="BW2327"/>
      <c r="BX2327"/>
      <c r="BY2327"/>
      <c r="BZ2327"/>
      <c r="CA2327"/>
      <c r="CB2327"/>
      <c r="CC2327"/>
      <c r="CD2327" s="25"/>
    </row>
    <row r="2328" spans="1:82" s="17" customFormat="1" x14ac:dyDescent="0.2">
      <c r="A2328" s="25"/>
      <c r="B2328" s="20">
        <v>39077916400</v>
      </c>
      <c r="C2328" s="20">
        <v>9164</v>
      </c>
      <c r="D2328" s="20" t="s">
        <v>45</v>
      </c>
      <c r="E2328" s="20" t="s">
        <v>265</v>
      </c>
      <c r="F2328" s="20" t="s">
        <v>8</v>
      </c>
      <c r="G2328" s="861">
        <v>39.539990372222597</v>
      </c>
      <c r="H2328" s="861">
        <v>47.716542266876999</v>
      </c>
      <c r="I2328" s="861">
        <v>31.833735563813299</v>
      </c>
      <c r="J2328" s="861">
        <v>40.293361274564397</v>
      </c>
      <c r="K2328" s="982">
        <v>0</v>
      </c>
      <c r="L2328" s="735">
        <v>4929</v>
      </c>
      <c r="M2328" s="735">
        <v>5263</v>
      </c>
      <c r="N2328" s="845">
        <f t="shared" si="179"/>
        <v>6.776222357476161E-2</v>
      </c>
      <c r="O2328" s="735">
        <v>60.820561450376701</v>
      </c>
      <c r="P2328" s="735">
        <f t="shared" si="180"/>
        <v>86.533236038836378</v>
      </c>
      <c r="Q2328" s="849">
        <v>38.799999999999997</v>
      </c>
      <c r="R2328" s="71">
        <v>68103</v>
      </c>
      <c r="S2328" s="845">
        <v>9.8903213392341732E-2</v>
      </c>
      <c r="T2328" s="845">
        <v>6.6000000000000003E-2</v>
      </c>
      <c r="U2328" s="845">
        <v>4.0000000000000001E-3</v>
      </c>
      <c r="V2328" s="845">
        <v>0.13300000000000001</v>
      </c>
      <c r="W2328" s="845">
        <v>0.20437956204379562</v>
      </c>
      <c r="X2328" s="845">
        <v>0.31122448979591838</v>
      </c>
      <c r="Y2328" s="845">
        <v>0.92304769143074294</v>
      </c>
      <c r="Z2328" s="845">
        <v>2.4700741022230669E-3</v>
      </c>
      <c r="AA2328" s="845">
        <v>0</v>
      </c>
      <c r="AB2328" s="845">
        <v>5.7001710051301537E-3</v>
      </c>
      <c r="AC2328" s="845">
        <v>0</v>
      </c>
      <c r="AD2328" s="845">
        <v>5.7001710051301537E-4</v>
      </c>
      <c r="AE2328" s="845">
        <v>6.8212046361390846E-2</v>
      </c>
      <c r="AF2328" s="845">
        <v>2.9450883526505794E-2</v>
      </c>
      <c r="AG2328" s="845">
        <v>0.91848755462663878</v>
      </c>
      <c r="AH2328" s="20" t="str">
        <f t="shared" si="181"/>
        <v>Yes</v>
      </c>
      <c r="AI2328" s="25"/>
      <c r="AJ2328" s="25"/>
      <c r="AK2328" s="25"/>
      <c r="AL2328" s="25"/>
      <c r="AM2328" s="25"/>
      <c r="AN2328" s="25"/>
      <c r="AO2328" s="25"/>
      <c r="AP2328" s="25"/>
      <c r="AQ2328" s="25"/>
      <c r="AR2328" s="25"/>
      <c r="AS2328" s="25"/>
      <c r="AT2328" s="25"/>
      <c r="AU2328" s="36"/>
      <c r="AV2328" s="36"/>
      <c r="AW2328" s="36"/>
      <c r="AX2328" s="25"/>
      <c r="AY2328" s="25"/>
      <c r="AZ2328" s="25"/>
      <c r="BA2328" s="25"/>
      <c r="BB2328" s="25"/>
      <c r="BC2328" s="25"/>
      <c r="BD2328" s="25"/>
      <c r="BE2328" s="25"/>
      <c r="BF2328" s="25"/>
      <c r="BG2328" s="25"/>
      <c r="BH2328" s="25"/>
      <c r="BI2328" s="25"/>
      <c r="BJ2328" s="25"/>
      <c r="BK2328" s="25"/>
      <c r="BL2328" s="25"/>
      <c r="BM2328" s="25"/>
      <c r="BN2328" s="25"/>
      <c r="BO2328" s="25"/>
      <c r="BP2328" s="25"/>
      <c r="BQ2328" s="25"/>
      <c r="BR2328" s="25"/>
      <c r="BS2328" s="25"/>
      <c r="BT2328" s="25"/>
      <c r="BU2328"/>
      <c r="BV2328"/>
      <c r="BW2328"/>
      <c r="BX2328"/>
      <c r="BY2328"/>
      <c r="BZ2328"/>
      <c r="CA2328"/>
      <c r="CB2328"/>
      <c r="CC2328"/>
      <c r="CD2328" s="25"/>
    </row>
    <row r="2329" spans="1:82" s="17" customFormat="1" x14ac:dyDescent="0.2">
      <c r="A2329" s="25"/>
      <c r="B2329" s="20">
        <v>39045032502</v>
      </c>
      <c r="C2329" s="20">
        <v>325.02</v>
      </c>
      <c r="D2329" s="20" t="s">
        <v>29</v>
      </c>
      <c r="E2329" s="20" t="s">
        <v>2830</v>
      </c>
      <c r="F2329" s="20" t="s">
        <v>8</v>
      </c>
      <c r="G2329" s="861">
        <v>39.528123225682997</v>
      </c>
      <c r="H2329" s="861">
        <v>57.654763788566001</v>
      </c>
      <c r="I2329" s="861">
        <v>9.9841575459803504</v>
      </c>
      <c r="J2329" s="861">
        <v>47.595660934347102</v>
      </c>
      <c r="K2329" s="982">
        <v>0</v>
      </c>
      <c r="L2329" s="735" t="s">
        <v>2466</v>
      </c>
      <c r="M2329" s="735">
        <v>3190</v>
      </c>
      <c r="N2329" s="845" t="str">
        <f t="shared" si="179"/>
        <v/>
      </c>
      <c r="O2329" s="735">
        <v>13.241781252810462</v>
      </c>
      <c r="P2329" s="735">
        <f t="shared" si="180"/>
        <v>240.90414568077449</v>
      </c>
      <c r="Q2329" s="849">
        <v>41</v>
      </c>
      <c r="R2329" s="71">
        <v>83590</v>
      </c>
      <c r="S2329" s="845">
        <v>5.4216867469879519E-2</v>
      </c>
      <c r="T2329" s="845">
        <v>2.7999999999999997E-2</v>
      </c>
      <c r="U2329" s="845">
        <v>0</v>
      </c>
      <c r="V2329" s="845">
        <v>0</v>
      </c>
      <c r="W2329" s="845">
        <v>0.2440119760479042</v>
      </c>
      <c r="X2329" s="845">
        <v>0.1411042944785276</v>
      </c>
      <c r="Y2329" s="845">
        <v>0.7507836990595611</v>
      </c>
      <c r="Z2329" s="845">
        <v>0.18307210031347962</v>
      </c>
      <c r="AA2329" s="845">
        <v>8.4639498432601875E-3</v>
      </c>
      <c r="AB2329" s="845">
        <v>0</v>
      </c>
      <c r="AC2329" s="845">
        <v>2.5078369905956114E-3</v>
      </c>
      <c r="AD2329" s="845">
        <v>1.4420062695924765E-2</v>
      </c>
      <c r="AE2329" s="845">
        <v>4.0752351097178681E-2</v>
      </c>
      <c r="AF2329" s="845">
        <v>2.25705329153605E-2</v>
      </c>
      <c r="AG2329" s="845">
        <v>0.74764890282131657</v>
      </c>
      <c r="AH2329" s="20" t="str">
        <f t="shared" si="181"/>
        <v>No</v>
      </c>
      <c r="AI2329" s="25"/>
      <c r="AJ2329" s="25"/>
      <c r="AK2329" s="25"/>
      <c r="AL2329" s="25"/>
      <c r="AM2329" s="25"/>
      <c r="AN2329" s="25"/>
      <c r="AO2329" s="25"/>
      <c r="AP2329" s="25"/>
      <c r="AQ2329" s="25"/>
      <c r="AR2329" s="25"/>
      <c r="AS2329" s="25"/>
      <c r="AT2329" s="25"/>
      <c r="AU2329" s="36"/>
      <c r="AV2329" s="36"/>
      <c r="AW2329" s="36"/>
      <c r="AX2329" s="25"/>
      <c r="AY2329" s="25"/>
      <c r="AZ2329" s="25"/>
      <c r="BA2329" s="25"/>
      <c r="BB2329" s="25"/>
      <c r="BC2329" s="25"/>
      <c r="BD2329" s="25"/>
      <c r="BE2329" s="25"/>
      <c r="BF2329" s="25"/>
      <c r="BG2329" s="25"/>
      <c r="BH2329" s="25"/>
      <c r="BI2329" s="25"/>
      <c r="BJ2329" s="25"/>
      <c r="BK2329" s="25"/>
      <c r="BL2329" s="25"/>
      <c r="BM2329" s="25"/>
      <c r="BN2329" s="25"/>
      <c r="BO2329" s="25"/>
      <c r="BP2329" s="25"/>
      <c r="BQ2329" s="25"/>
      <c r="BR2329" s="25"/>
      <c r="BS2329" s="25"/>
      <c r="BT2329" s="25"/>
      <c r="BU2329"/>
      <c r="BV2329"/>
      <c r="BW2329"/>
      <c r="BX2329"/>
      <c r="BY2329"/>
      <c r="BZ2329"/>
      <c r="CA2329"/>
      <c r="CB2329"/>
      <c r="CC2329"/>
      <c r="CD2329" s="25"/>
    </row>
    <row r="2330" spans="1:82" s="17" customFormat="1" x14ac:dyDescent="0.2">
      <c r="A2330" s="25"/>
      <c r="B2330" s="20">
        <v>39009973200</v>
      </c>
      <c r="C2330" s="20">
        <v>9732</v>
      </c>
      <c r="D2330" s="20" t="s">
        <v>11</v>
      </c>
      <c r="E2330" s="20" t="s">
        <v>265</v>
      </c>
      <c r="F2330" s="20" t="s">
        <v>8</v>
      </c>
      <c r="G2330" s="861">
        <v>39.526995498092397</v>
      </c>
      <c r="H2330" s="861">
        <v>30.115679806837399</v>
      </c>
      <c r="I2330" s="861">
        <v>37.909719660165699</v>
      </c>
      <c r="J2330" s="861">
        <v>42.781792013690698</v>
      </c>
      <c r="K2330" s="982">
        <v>0</v>
      </c>
      <c r="L2330" s="735">
        <v>5137</v>
      </c>
      <c r="M2330" s="735">
        <v>4076</v>
      </c>
      <c r="N2330" s="845">
        <f t="shared" si="179"/>
        <v>-0.20654078255791317</v>
      </c>
      <c r="O2330" s="735">
        <v>18.377107530428006</v>
      </c>
      <c r="P2330" s="735">
        <f t="shared" si="180"/>
        <v>221.79769004731233</v>
      </c>
      <c r="Q2330" s="849">
        <v>43.3</v>
      </c>
      <c r="R2330" s="71">
        <v>53130</v>
      </c>
      <c r="S2330" s="845">
        <v>0.23365647526721353</v>
      </c>
      <c r="T2330" s="845">
        <v>6.6000000000000003E-2</v>
      </c>
      <c r="U2330" s="845">
        <v>0.03</v>
      </c>
      <c r="V2330" s="845">
        <v>0.153</v>
      </c>
      <c r="W2330" s="845">
        <v>0.33706070287539935</v>
      </c>
      <c r="X2330" s="845">
        <v>0.69984202211690361</v>
      </c>
      <c r="Y2330" s="845">
        <v>0.86653581943081448</v>
      </c>
      <c r="Z2330" s="845">
        <v>3.1157998037291461E-2</v>
      </c>
      <c r="AA2330" s="845">
        <v>0</v>
      </c>
      <c r="AB2330" s="845">
        <v>4.2198233562315994E-2</v>
      </c>
      <c r="AC2330" s="845">
        <v>0</v>
      </c>
      <c r="AD2330" s="845">
        <v>1.4474975466143278E-2</v>
      </c>
      <c r="AE2330" s="845">
        <v>4.5632973503434739E-2</v>
      </c>
      <c r="AF2330" s="845">
        <v>5.2011776251226695E-2</v>
      </c>
      <c r="AG2330" s="845">
        <v>0.82605495583905786</v>
      </c>
      <c r="AH2330" s="20" t="str">
        <f t="shared" si="181"/>
        <v>No</v>
      </c>
      <c r="AI2330" s="25"/>
      <c r="AJ2330" s="25"/>
      <c r="AK2330" s="25"/>
      <c r="AL2330" s="25"/>
      <c r="AM2330" s="25"/>
      <c r="AN2330" s="25"/>
      <c r="AO2330" s="25"/>
      <c r="AP2330" s="25"/>
      <c r="AQ2330" s="25"/>
      <c r="AR2330" s="25"/>
      <c r="AS2330" s="25"/>
      <c r="AT2330" s="25"/>
      <c r="AU2330" s="36"/>
      <c r="AV2330" s="36"/>
      <c r="AW2330" s="36"/>
      <c r="AX2330" s="25"/>
      <c r="AY2330" s="25"/>
      <c r="AZ2330" s="25"/>
      <c r="BA2330" s="25"/>
      <c r="BB2330" s="25"/>
      <c r="BC2330" s="25"/>
      <c r="BD2330" s="25"/>
      <c r="BE2330" s="25"/>
      <c r="BF2330" s="25"/>
      <c r="BG2330" s="25"/>
      <c r="BH2330" s="25"/>
      <c r="BI2330" s="25"/>
      <c r="BJ2330" s="25"/>
      <c r="BK2330" s="25"/>
      <c r="BL2330" s="25"/>
      <c r="BM2330" s="25"/>
      <c r="BN2330" s="25"/>
      <c r="BO2330" s="25"/>
      <c r="BP2330" s="25"/>
      <c r="BQ2330" s="25"/>
      <c r="BR2330" s="25"/>
      <c r="BS2330" s="25"/>
      <c r="BT2330" s="25"/>
      <c r="BU2330"/>
      <c r="BV2330"/>
      <c r="BW2330"/>
      <c r="BX2330"/>
      <c r="BY2330"/>
      <c r="BZ2330"/>
      <c r="CA2330"/>
      <c r="CB2330"/>
      <c r="CC2330"/>
      <c r="CD2330" s="25"/>
    </row>
    <row r="2331" spans="1:82" s="17" customFormat="1" x14ac:dyDescent="0.2">
      <c r="A2331" s="25"/>
      <c r="B2331" s="20">
        <v>39047926400</v>
      </c>
      <c r="C2331" s="20">
        <v>9264</v>
      </c>
      <c r="D2331" s="20" t="s">
        <v>30</v>
      </c>
      <c r="E2331" s="20" t="s">
        <v>265</v>
      </c>
      <c r="F2331" s="20" t="s">
        <v>8</v>
      </c>
      <c r="G2331" s="861">
        <v>39.525563686875699</v>
      </c>
      <c r="H2331" s="861">
        <v>45.216293094441198</v>
      </c>
      <c r="I2331" s="861">
        <v>19.3882491418819</v>
      </c>
      <c r="J2331" s="861">
        <v>49.086174674226299</v>
      </c>
      <c r="K2331" s="982">
        <v>0</v>
      </c>
      <c r="L2331" s="735">
        <v>4158</v>
      </c>
      <c r="M2331" s="735">
        <v>4173</v>
      </c>
      <c r="N2331" s="845">
        <f t="shared" si="179"/>
        <v>3.6075036075036075E-3</v>
      </c>
      <c r="O2331" s="735">
        <v>133.32500202095522</v>
      </c>
      <c r="P2331" s="735">
        <f t="shared" si="180"/>
        <v>31.29945574157286</v>
      </c>
      <c r="Q2331" s="849">
        <v>39.700000000000003</v>
      </c>
      <c r="R2331" s="71">
        <v>71642</v>
      </c>
      <c r="S2331" s="845">
        <v>0.10065486296386127</v>
      </c>
      <c r="T2331" s="845">
        <v>1.3000000000000001E-2</v>
      </c>
      <c r="U2331" s="845">
        <v>0</v>
      </c>
      <c r="V2331" s="845">
        <v>0</v>
      </c>
      <c r="W2331" s="845">
        <v>0.21753039027511195</v>
      </c>
      <c r="X2331" s="845">
        <v>0.12058823529411765</v>
      </c>
      <c r="Y2331" s="845">
        <v>0.93985142583273429</v>
      </c>
      <c r="Z2331" s="845">
        <v>2.9714833453151211E-2</v>
      </c>
      <c r="AA2331" s="845">
        <v>0</v>
      </c>
      <c r="AB2331" s="845">
        <v>0</v>
      </c>
      <c r="AC2331" s="845">
        <v>0</v>
      </c>
      <c r="AD2331" s="845">
        <v>0</v>
      </c>
      <c r="AE2331" s="845">
        <v>3.0433740714114546E-2</v>
      </c>
      <c r="AF2331" s="845">
        <v>2.4682482626407862E-2</v>
      </c>
      <c r="AG2331" s="845">
        <v>0.93985142583273429</v>
      </c>
      <c r="AH2331" s="20" t="str">
        <f t="shared" si="181"/>
        <v>Yes</v>
      </c>
      <c r="AI2331" s="25"/>
      <c r="AJ2331" s="25"/>
      <c r="AK2331" s="25"/>
      <c r="AL2331" s="25"/>
      <c r="AM2331" s="25"/>
      <c r="AN2331" s="25"/>
      <c r="AO2331" s="25"/>
      <c r="AP2331" s="25"/>
      <c r="AQ2331" s="25"/>
      <c r="AR2331" s="25"/>
      <c r="AS2331" s="25"/>
      <c r="AT2331" s="25"/>
      <c r="AU2331" s="36"/>
      <c r="AV2331" s="36"/>
      <c r="AW2331" s="36"/>
      <c r="AX2331" s="25"/>
      <c r="AY2331" s="25"/>
      <c r="AZ2331" s="25"/>
      <c r="BA2331" s="25"/>
      <c r="BB2331" s="25"/>
      <c r="BC2331" s="25"/>
      <c r="BD2331" s="25"/>
      <c r="BE2331" s="25"/>
      <c r="BF2331" s="25"/>
      <c r="BG2331" s="25"/>
      <c r="BH2331" s="25"/>
      <c r="BI2331" s="25"/>
      <c r="BJ2331" s="25"/>
      <c r="BK2331" s="25"/>
      <c r="BL2331" s="25"/>
      <c r="BM2331" s="25"/>
      <c r="BN2331" s="25"/>
      <c r="BO2331" s="25"/>
      <c r="BP2331" s="25"/>
      <c r="BQ2331" s="25"/>
      <c r="BR2331" s="25"/>
      <c r="BS2331" s="25"/>
      <c r="BT2331" s="25"/>
      <c r="BU2331"/>
      <c r="BV2331"/>
      <c r="BW2331"/>
      <c r="BX2331"/>
      <c r="BY2331"/>
      <c r="BZ2331"/>
      <c r="CA2331"/>
      <c r="CB2331"/>
      <c r="CC2331"/>
      <c r="CD2331" s="25"/>
    </row>
    <row r="2332" spans="1:82" s="17" customFormat="1" x14ac:dyDescent="0.2">
      <c r="A2332" s="25"/>
      <c r="B2332" s="20">
        <v>39029951100</v>
      </c>
      <c r="C2332" s="20">
        <v>9511</v>
      </c>
      <c r="D2332" s="20" t="s">
        <v>21</v>
      </c>
      <c r="E2332" s="20" t="s">
        <v>265</v>
      </c>
      <c r="F2332" s="20" t="s">
        <v>8</v>
      </c>
      <c r="G2332" s="861">
        <v>39.491419556761997</v>
      </c>
      <c r="H2332" s="861">
        <v>36.311411218825299</v>
      </c>
      <c r="I2332" s="861">
        <v>45.961312035241299</v>
      </c>
      <c r="J2332" s="861">
        <v>28.131831967253799</v>
      </c>
      <c r="K2332" s="982">
        <v>0</v>
      </c>
      <c r="L2332" s="735">
        <v>4906</v>
      </c>
      <c r="M2332" s="735">
        <v>4238</v>
      </c>
      <c r="N2332" s="845">
        <f t="shared" si="179"/>
        <v>-0.13615980432123931</v>
      </c>
      <c r="O2332" s="735">
        <v>17.60978238622107</v>
      </c>
      <c r="P2332" s="735">
        <f t="shared" si="180"/>
        <v>240.66169059056975</v>
      </c>
      <c r="Q2332" s="849">
        <v>46.3</v>
      </c>
      <c r="R2332" s="71">
        <v>49167</v>
      </c>
      <c r="S2332" s="845">
        <v>0.20081445660473402</v>
      </c>
      <c r="T2332" s="845">
        <v>1.8000000000000002E-2</v>
      </c>
      <c r="U2332" s="845">
        <v>5.0999999999999997E-2</v>
      </c>
      <c r="V2332" s="845">
        <v>2.7000000000000003E-2</v>
      </c>
      <c r="W2332" s="845">
        <v>0.31167400881057267</v>
      </c>
      <c r="X2332" s="845">
        <v>0.43816254416961131</v>
      </c>
      <c r="Y2332" s="845">
        <v>0.90561585653610188</v>
      </c>
      <c r="Z2332" s="845">
        <v>1.6753185464841905E-2</v>
      </c>
      <c r="AA2332" s="845">
        <v>1.8876828692779614E-3</v>
      </c>
      <c r="AB2332" s="845">
        <v>4.9551675318546488E-3</v>
      </c>
      <c r="AC2332" s="845">
        <v>0</v>
      </c>
      <c r="AD2332" s="845">
        <v>0</v>
      </c>
      <c r="AE2332" s="845">
        <v>7.0788107597923547E-2</v>
      </c>
      <c r="AF2332" s="845">
        <v>2.0764511562057573E-2</v>
      </c>
      <c r="AG2332" s="845">
        <v>0.8942897593204342</v>
      </c>
      <c r="AH2332" s="20" t="str">
        <f t="shared" si="181"/>
        <v>No</v>
      </c>
      <c r="AI2332" s="25"/>
      <c r="AJ2332" s="25"/>
      <c r="AK2332" s="25"/>
      <c r="AL2332" s="25"/>
      <c r="AM2332" s="25"/>
      <c r="AN2332" s="25"/>
      <c r="AO2332" s="25"/>
      <c r="AP2332" s="25"/>
      <c r="AQ2332" s="25"/>
      <c r="AR2332" s="25"/>
      <c r="AS2332" s="25"/>
      <c r="AT2332" s="25"/>
      <c r="AU2332" s="36"/>
      <c r="AV2332" s="36"/>
      <c r="AW2332" s="36"/>
      <c r="AX2332" s="25"/>
      <c r="AY2332" s="25"/>
      <c r="AZ2332" s="25"/>
      <c r="BA2332" s="25"/>
      <c r="BB2332" s="25"/>
      <c r="BC2332" s="25"/>
      <c r="BD2332" s="25"/>
      <c r="BE2332" s="25"/>
      <c r="BF2332" s="25"/>
      <c r="BG2332" s="25"/>
      <c r="BH2332" s="25"/>
      <c r="BI2332" s="25"/>
      <c r="BJ2332" s="25"/>
      <c r="BK2332" s="25"/>
      <c r="BL2332" s="25"/>
      <c r="BM2332" s="25"/>
      <c r="BN2332" s="25"/>
      <c r="BO2332" s="25"/>
      <c r="BP2332" s="25"/>
      <c r="BQ2332" s="25"/>
      <c r="BR2332" s="25"/>
      <c r="BS2332" s="25"/>
      <c r="BT2332" s="25"/>
      <c r="BU2332"/>
      <c r="BV2332"/>
      <c r="BW2332"/>
      <c r="BX2332"/>
      <c r="BY2332"/>
      <c r="BZ2332"/>
      <c r="CA2332"/>
      <c r="CB2332"/>
      <c r="CC2332"/>
      <c r="CD2332" s="25"/>
    </row>
    <row r="2333" spans="1:82" s="17" customFormat="1" x14ac:dyDescent="0.2">
      <c r="A2333" s="25"/>
      <c r="B2333" s="20">
        <v>39035117600</v>
      </c>
      <c r="C2333" s="20">
        <v>1176</v>
      </c>
      <c r="D2333" s="20" t="s">
        <v>24</v>
      </c>
      <c r="E2333" s="20" t="s">
        <v>2829</v>
      </c>
      <c r="F2333" s="20" t="s">
        <v>6</v>
      </c>
      <c r="G2333" s="861">
        <v>39.4672366633339</v>
      </c>
      <c r="H2333" s="861">
        <v>56.292658098016602</v>
      </c>
      <c r="I2333" s="861">
        <v>76.213419216962507</v>
      </c>
      <c r="J2333" s="861">
        <v>32.627838588295297</v>
      </c>
      <c r="K2333" s="982">
        <v>0</v>
      </c>
      <c r="L2333" s="735">
        <v>3105</v>
      </c>
      <c r="M2333" s="735">
        <v>3659</v>
      </c>
      <c r="N2333" s="845">
        <f t="shared" si="179"/>
        <v>0.1784219001610306</v>
      </c>
      <c r="O2333" s="735">
        <v>0.6682327974084793</v>
      </c>
      <c r="P2333" s="735">
        <f t="shared" si="180"/>
        <v>5475.6366556538769</v>
      </c>
      <c r="Q2333" s="849">
        <v>40.1</v>
      </c>
      <c r="R2333" s="71">
        <v>41944</v>
      </c>
      <c r="S2333" s="845">
        <v>0.28887674227931126</v>
      </c>
      <c r="T2333" s="845">
        <v>9.6999999999999989E-2</v>
      </c>
      <c r="U2333" s="845">
        <v>6.7000000000000004E-2</v>
      </c>
      <c r="V2333" s="845">
        <v>2.5000000000000001E-2</v>
      </c>
      <c r="W2333" s="845">
        <v>0.63779527559055116</v>
      </c>
      <c r="X2333" s="845">
        <v>0.4577397910731244</v>
      </c>
      <c r="Y2333" s="845">
        <v>0.20169445203607542</v>
      </c>
      <c r="Z2333" s="845">
        <v>0.78382071604263459</v>
      </c>
      <c r="AA2333" s="845">
        <v>0</v>
      </c>
      <c r="AB2333" s="845">
        <v>4.919376878928669E-3</v>
      </c>
      <c r="AC2333" s="845">
        <v>0</v>
      </c>
      <c r="AD2333" s="845">
        <v>0</v>
      </c>
      <c r="AE2333" s="845">
        <v>9.5654550423613007E-3</v>
      </c>
      <c r="AF2333" s="845">
        <v>4.0994807324405573E-2</v>
      </c>
      <c r="AG2333" s="845">
        <v>0.18912271112325771</v>
      </c>
      <c r="AH2333" s="20" t="str">
        <f t="shared" si="181"/>
        <v>No</v>
      </c>
      <c r="AI2333" s="25"/>
      <c r="AJ2333" s="25"/>
      <c r="AK2333" s="25"/>
      <c r="AL2333" s="25"/>
      <c r="AM2333" s="25"/>
      <c r="AN2333" s="25"/>
      <c r="AO2333" s="25"/>
      <c r="AP2333" s="25"/>
      <c r="AQ2333" s="25"/>
      <c r="AR2333" s="25"/>
      <c r="AS2333" s="25"/>
      <c r="AT2333" s="25"/>
      <c r="AU2333" s="36"/>
      <c r="AV2333" s="36"/>
      <c r="AW2333" s="36"/>
      <c r="AX2333" s="25"/>
      <c r="AY2333" s="25"/>
      <c r="AZ2333" s="25"/>
      <c r="BA2333" s="25"/>
      <c r="BB2333" s="25"/>
      <c r="BC2333" s="25"/>
      <c r="BD2333" s="25"/>
      <c r="BE2333" s="25"/>
      <c r="BF2333" s="25"/>
      <c r="BG2333" s="25"/>
      <c r="BH2333" s="25"/>
      <c r="BI2333" s="25"/>
      <c r="BJ2333" s="25"/>
      <c r="BK2333" s="25"/>
      <c r="BL2333" s="25"/>
      <c r="BM2333" s="25"/>
      <c r="BN2333" s="25"/>
      <c r="BO2333" s="25"/>
      <c r="BP2333" s="25"/>
      <c r="BQ2333" s="25"/>
      <c r="BR2333" s="25"/>
      <c r="BS2333" s="25"/>
      <c r="BT2333" s="25"/>
      <c r="BU2333"/>
      <c r="BV2333"/>
      <c r="BW2333"/>
      <c r="BX2333"/>
      <c r="BY2333"/>
      <c r="BZ2333"/>
      <c r="CA2333"/>
      <c r="CB2333"/>
      <c r="CC2333"/>
      <c r="CD2333" s="25"/>
    </row>
    <row r="2334" spans="1:82" s="17" customFormat="1" x14ac:dyDescent="0.2">
      <c r="A2334" s="25"/>
      <c r="B2334" s="20">
        <v>39089751900</v>
      </c>
      <c r="C2334" s="20">
        <v>7519</v>
      </c>
      <c r="D2334" s="20" t="s">
        <v>50</v>
      </c>
      <c r="E2334" s="20" t="s">
        <v>2830</v>
      </c>
      <c r="F2334" s="20" t="s">
        <v>8</v>
      </c>
      <c r="G2334" s="861">
        <v>39.461711305396904</v>
      </c>
      <c r="H2334" s="861">
        <v>48.039037582165797</v>
      </c>
      <c r="I2334" s="861">
        <v>33.1971080161751</v>
      </c>
      <c r="J2334" s="861">
        <v>52.705241874710701</v>
      </c>
      <c r="K2334" s="982">
        <v>0</v>
      </c>
      <c r="L2334" s="735">
        <v>4220</v>
      </c>
      <c r="M2334" s="735">
        <v>4332</v>
      </c>
      <c r="N2334" s="845">
        <f t="shared" si="179"/>
        <v>2.6540284360189573E-2</v>
      </c>
      <c r="O2334" s="735">
        <v>4.8516612688233538</v>
      </c>
      <c r="P2334" s="735">
        <f t="shared" si="180"/>
        <v>892.89003497365252</v>
      </c>
      <c r="Q2334" s="849">
        <v>44</v>
      </c>
      <c r="R2334" s="71">
        <v>73789</v>
      </c>
      <c r="S2334" s="845">
        <v>0.16195551436515293</v>
      </c>
      <c r="T2334" s="845">
        <v>1.2E-2</v>
      </c>
      <c r="U2334" s="845">
        <v>0</v>
      </c>
      <c r="V2334" s="845">
        <v>4.0999999999999995E-2</v>
      </c>
      <c r="W2334" s="845">
        <v>0.36040308239478364</v>
      </c>
      <c r="X2334" s="845">
        <v>0.32236842105263158</v>
      </c>
      <c r="Y2334" s="845">
        <v>0.89658356417359186</v>
      </c>
      <c r="Z2334" s="845">
        <v>1.2927054478301015E-2</v>
      </c>
      <c r="AA2334" s="845">
        <v>0</v>
      </c>
      <c r="AB2334" s="845">
        <v>0</v>
      </c>
      <c r="AC2334" s="845">
        <v>0</v>
      </c>
      <c r="AD2334" s="845">
        <v>3.6934441366574332E-2</v>
      </c>
      <c r="AE2334" s="845">
        <v>5.3554939981532781E-2</v>
      </c>
      <c r="AF2334" s="845">
        <v>3.0009233610341645E-2</v>
      </c>
      <c r="AG2334" s="845">
        <v>0.89104339796860577</v>
      </c>
      <c r="AH2334" s="20" t="str">
        <f t="shared" si="181"/>
        <v>No</v>
      </c>
      <c r="AI2334" s="25"/>
      <c r="AJ2334" s="25"/>
      <c r="AK2334" s="25"/>
      <c r="AL2334" s="25"/>
      <c r="AM2334" s="25"/>
      <c r="AN2334" s="25"/>
      <c r="AO2334" s="25"/>
      <c r="AP2334" s="25"/>
      <c r="AQ2334" s="25"/>
      <c r="AR2334" s="25"/>
      <c r="AS2334" s="25"/>
      <c r="AT2334" s="25"/>
      <c r="AU2334" s="36"/>
      <c r="AV2334" s="36"/>
      <c r="AW2334" s="36"/>
      <c r="AX2334" s="25"/>
      <c r="AY2334" s="25"/>
      <c r="AZ2334" s="25"/>
      <c r="BA2334" s="25"/>
      <c r="BB2334" s="25"/>
      <c r="BC2334" s="25"/>
      <c r="BD2334" s="25"/>
      <c r="BE2334" s="25"/>
      <c r="BF2334" s="25"/>
      <c r="BG2334" s="25"/>
      <c r="BH2334" s="25"/>
      <c r="BI2334" s="25"/>
      <c r="BJ2334" s="25"/>
      <c r="BK2334" s="25"/>
      <c r="BL2334" s="25"/>
      <c r="BM2334" s="25"/>
      <c r="BN2334" s="25"/>
      <c r="BO2334" s="25"/>
      <c r="BP2334" s="25"/>
      <c r="BQ2334" s="25"/>
      <c r="BR2334" s="25"/>
      <c r="BS2334" s="25"/>
      <c r="BT2334" s="25"/>
      <c r="BU2334"/>
      <c r="BV2334"/>
      <c r="BW2334"/>
      <c r="BX2334"/>
      <c r="BY2334"/>
      <c r="BZ2334"/>
      <c r="CA2334"/>
      <c r="CB2334"/>
      <c r="CC2334"/>
      <c r="CD2334" s="25"/>
    </row>
    <row r="2335" spans="1:82" s="17" customFormat="1" x14ac:dyDescent="0.2">
      <c r="A2335" s="25"/>
      <c r="B2335" s="20">
        <v>39043040900</v>
      </c>
      <c r="C2335" s="20">
        <v>409</v>
      </c>
      <c r="D2335" s="20" t="s">
        <v>28</v>
      </c>
      <c r="E2335" s="20" t="s">
        <v>2837</v>
      </c>
      <c r="F2335" s="20" t="s">
        <v>8</v>
      </c>
      <c r="G2335" s="861">
        <v>39.4505426378431</v>
      </c>
      <c r="H2335" s="861">
        <v>47.440403584626203</v>
      </c>
      <c r="I2335" s="861">
        <v>41.767144673672199</v>
      </c>
      <c r="J2335" s="861">
        <v>37.637912239192097</v>
      </c>
      <c r="K2335" s="982">
        <v>0</v>
      </c>
      <c r="L2335" s="735">
        <v>3389</v>
      </c>
      <c r="M2335" s="735">
        <v>3476</v>
      </c>
      <c r="N2335" s="845">
        <f t="shared" si="179"/>
        <v>2.567128946591915E-2</v>
      </c>
      <c r="O2335" s="735">
        <v>3.010202236024937</v>
      </c>
      <c r="P2335" s="735">
        <f t="shared" si="180"/>
        <v>1154.7396910415439</v>
      </c>
      <c r="Q2335" s="849">
        <v>37</v>
      </c>
      <c r="R2335" s="71">
        <v>46355</v>
      </c>
      <c r="S2335" s="845">
        <v>0.22693997071742314</v>
      </c>
      <c r="T2335" s="845">
        <v>4.4000000000000004E-2</v>
      </c>
      <c r="U2335" s="845">
        <v>0</v>
      </c>
      <c r="V2335" s="845">
        <v>0</v>
      </c>
      <c r="W2335" s="845">
        <v>0.33061224489795921</v>
      </c>
      <c r="X2335" s="845">
        <v>0.33744855967078191</v>
      </c>
      <c r="Y2335" s="845">
        <v>0.68411967779056382</v>
      </c>
      <c r="Z2335" s="845">
        <v>0.21260069044879171</v>
      </c>
      <c r="AA2335" s="845">
        <v>0</v>
      </c>
      <c r="AB2335" s="845">
        <v>8.6306098964326807E-3</v>
      </c>
      <c r="AC2335" s="845">
        <v>0</v>
      </c>
      <c r="AD2335" s="845">
        <v>2.0425776754890677E-2</v>
      </c>
      <c r="AE2335" s="845">
        <v>7.4223245109321059E-2</v>
      </c>
      <c r="AF2335" s="845">
        <v>5.9551208285385501E-2</v>
      </c>
      <c r="AG2335" s="845">
        <v>0.66973532796317603</v>
      </c>
      <c r="AH2335" s="20" t="str">
        <f t="shared" si="181"/>
        <v>No</v>
      </c>
      <c r="AI2335" s="25"/>
      <c r="AJ2335" s="25"/>
      <c r="AK2335" s="25"/>
      <c r="AL2335" s="25"/>
      <c r="AM2335" s="25"/>
      <c r="AN2335" s="25"/>
      <c r="AO2335" s="25"/>
      <c r="AP2335" s="25"/>
      <c r="AQ2335" s="25"/>
      <c r="AR2335" s="25"/>
      <c r="AS2335" s="25"/>
      <c r="AT2335" s="25"/>
      <c r="AU2335" s="36"/>
      <c r="AV2335" s="36"/>
      <c r="AW2335" s="36"/>
      <c r="AX2335" s="25"/>
      <c r="AY2335" s="25"/>
      <c r="AZ2335" s="25"/>
      <c r="BA2335" s="25"/>
      <c r="BB2335" s="25"/>
      <c r="BC2335" s="25"/>
      <c r="BD2335" s="25"/>
      <c r="BE2335" s="25"/>
      <c r="BF2335" s="25"/>
      <c r="BG2335" s="25"/>
      <c r="BH2335" s="25"/>
      <c r="BI2335" s="25"/>
      <c r="BJ2335" s="25"/>
      <c r="BK2335" s="25"/>
      <c r="BL2335" s="25"/>
      <c r="BM2335" s="25"/>
      <c r="BN2335" s="25"/>
      <c r="BO2335" s="25"/>
      <c r="BP2335" s="25"/>
      <c r="BQ2335" s="25"/>
      <c r="BR2335" s="25"/>
      <c r="BS2335" s="25"/>
      <c r="BT2335" s="25"/>
      <c r="BU2335"/>
      <c r="BV2335"/>
      <c r="BW2335"/>
      <c r="BX2335"/>
      <c r="BY2335"/>
      <c r="BZ2335"/>
      <c r="CA2335"/>
      <c r="CB2335"/>
      <c r="CC2335"/>
      <c r="CD2335" s="25"/>
    </row>
    <row r="2336" spans="1:82" s="17" customFormat="1" x14ac:dyDescent="0.2">
      <c r="A2336" s="25"/>
      <c r="B2336" s="20">
        <v>39043041702</v>
      </c>
      <c r="C2336" s="20">
        <v>417.02</v>
      </c>
      <c r="D2336" s="20" t="s">
        <v>28</v>
      </c>
      <c r="E2336" s="20" t="s">
        <v>2837</v>
      </c>
      <c r="F2336" s="20" t="s">
        <v>8</v>
      </c>
      <c r="G2336" s="861">
        <v>39.440363670642498</v>
      </c>
      <c r="H2336" s="861">
        <v>50.655330407573103</v>
      </c>
      <c r="I2336" s="861">
        <v>39.815662261534797</v>
      </c>
      <c r="J2336" s="861">
        <v>36.303354547921401</v>
      </c>
      <c r="K2336" s="982">
        <v>0</v>
      </c>
      <c r="L2336" s="735" t="s">
        <v>2466</v>
      </c>
      <c r="M2336" s="735">
        <v>2711</v>
      </c>
      <c r="N2336" s="845" t="str">
        <f t="shared" si="179"/>
        <v/>
      </c>
      <c r="O2336" s="735">
        <v>14.171218724243488</v>
      </c>
      <c r="P2336" s="735">
        <f t="shared" si="180"/>
        <v>191.3032359991835</v>
      </c>
      <c r="Q2336" s="849">
        <v>50.6</v>
      </c>
      <c r="R2336" s="71">
        <v>67731</v>
      </c>
      <c r="S2336" s="845">
        <v>8.9929394277220367E-2</v>
      </c>
      <c r="T2336" s="845">
        <v>9.3000000000000013E-2</v>
      </c>
      <c r="U2336" s="845">
        <v>5.9000000000000004E-2</v>
      </c>
      <c r="V2336" s="845">
        <v>0.17399999999999999</v>
      </c>
      <c r="W2336" s="845">
        <v>0.36104695919938412</v>
      </c>
      <c r="X2336" s="845">
        <v>0.52452025586353945</v>
      </c>
      <c r="Y2336" s="845">
        <v>0.93065289561047582</v>
      </c>
      <c r="Z2336" s="845">
        <v>2.8033935817041684E-2</v>
      </c>
      <c r="AA2336" s="845">
        <v>0</v>
      </c>
      <c r="AB2336" s="845">
        <v>1.1066027296200663E-3</v>
      </c>
      <c r="AC2336" s="845">
        <v>0</v>
      </c>
      <c r="AD2336" s="845">
        <v>2.2132054592401327E-3</v>
      </c>
      <c r="AE2336" s="845">
        <v>3.7993360383622277E-2</v>
      </c>
      <c r="AF2336" s="845">
        <v>4.0575433419402437E-2</v>
      </c>
      <c r="AG2336" s="845">
        <v>0.91405385466617484</v>
      </c>
      <c r="AH2336" s="20" t="str">
        <f t="shared" si="181"/>
        <v>Yes</v>
      </c>
      <c r="AI2336" s="25"/>
      <c r="AJ2336" s="25"/>
      <c r="AK2336" s="25"/>
      <c r="AL2336" s="25"/>
      <c r="AM2336" s="25"/>
      <c r="AN2336" s="25"/>
      <c r="AO2336" s="25"/>
      <c r="AP2336" s="25"/>
      <c r="AQ2336" s="25"/>
      <c r="AR2336" s="25"/>
      <c r="AS2336" s="25"/>
      <c r="AT2336" s="25"/>
      <c r="AU2336" s="36"/>
      <c r="AV2336" s="36"/>
      <c r="AW2336" s="36"/>
      <c r="AX2336" s="25"/>
      <c r="AY2336" s="25"/>
      <c r="AZ2336" s="25"/>
      <c r="BA2336" s="25"/>
      <c r="BB2336" s="25"/>
      <c r="BC2336" s="25"/>
      <c r="BD2336" s="25"/>
      <c r="BE2336" s="25"/>
      <c r="BF2336" s="25"/>
      <c r="BG2336" s="25"/>
      <c r="BH2336" s="25"/>
      <c r="BI2336" s="25"/>
      <c r="BJ2336" s="25"/>
      <c r="BK2336" s="25"/>
      <c r="BL2336" s="25"/>
      <c r="BM2336" s="25"/>
      <c r="BN2336" s="25"/>
      <c r="BO2336" s="25"/>
      <c r="BP2336" s="25"/>
      <c r="BQ2336" s="25"/>
      <c r="BR2336" s="25"/>
      <c r="BS2336" s="25"/>
      <c r="BT2336" s="25"/>
      <c r="BU2336"/>
      <c r="BV2336"/>
      <c r="BW2336"/>
      <c r="BX2336"/>
      <c r="BY2336"/>
      <c r="BZ2336"/>
      <c r="CA2336"/>
      <c r="CB2336"/>
      <c r="CC2336"/>
      <c r="CD2336" s="25"/>
    </row>
    <row r="2337" spans="1:82" s="17" customFormat="1" x14ac:dyDescent="0.2">
      <c r="A2337" s="25"/>
      <c r="B2337" s="20">
        <v>39037560102</v>
      </c>
      <c r="C2337" s="20">
        <v>5601.02</v>
      </c>
      <c r="D2337" s="20" t="s">
        <v>25</v>
      </c>
      <c r="E2337" s="20" t="s">
        <v>265</v>
      </c>
      <c r="F2337" s="20" t="s">
        <v>8</v>
      </c>
      <c r="G2337" s="861">
        <v>39.4203058843298</v>
      </c>
      <c r="H2337" s="861">
        <v>49.305834526819602</v>
      </c>
      <c r="I2337" s="861">
        <v>29.0675640663341</v>
      </c>
      <c r="J2337" s="861">
        <v>46.435426988635697</v>
      </c>
      <c r="K2337" s="982">
        <v>0</v>
      </c>
      <c r="L2337" s="735" t="s">
        <v>2466</v>
      </c>
      <c r="M2337" s="735">
        <v>3255</v>
      </c>
      <c r="N2337" s="845" t="str">
        <f t="shared" si="179"/>
        <v/>
      </c>
      <c r="O2337" s="735">
        <v>56.074425762518274</v>
      </c>
      <c r="P2337" s="735">
        <f t="shared" si="180"/>
        <v>58.04785257695378</v>
      </c>
      <c r="Q2337" s="849">
        <v>40.4</v>
      </c>
      <c r="R2337" s="71">
        <v>56172</v>
      </c>
      <c r="S2337" s="845">
        <v>0.13683886838868389</v>
      </c>
      <c r="T2337" s="845">
        <v>4.9000000000000002E-2</v>
      </c>
      <c r="U2337" s="845">
        <v>3.0000000000000001E-3</v>
      </c>
      <c r="V2337" s="845">
        <v>0</v>
      </c>
      <c r="W2337" s="845">
        <v>0.2446256486286138</v>
      </c>
      <c r="X2337" s="845">
        <v>0.26666666666666666</v>
      </c>
      <c r="Y2337" s="845">
        <v>0.92872503840245779</v>
      </c>
      <c r="Z2337" s="845">
        <v>1.5360983102918587E-3</v>
      </c>
      <c r="AA2337" s="845">
        <v>1.2288786482334869E-3</v>
      </c>
      <c r="AB2337" s="845">
        <v>9.2165898617511521E-3</v>
      </c>
      <c r="AC2337" s="845">
        <v>0</v>
      </c>
      <c r="AD2337" s="845">
        <v>1.1059907834101382E-2</v>
      </c>
      <c r="AE2337" s="845">
        <v>4.8233486943164365E-2</v>
      </c>
      <c r="AF2337" s="845">
        <v>1.6897081413210446E-2</v>
      </c>
      <c r="AG2337" s="845">
        <v>0.92196620583717359</v>
      </c>
      <c r="AH2337" s="20" t="str">
        <f t="shared" si="181"/>
        <v>Yes</v>
      </c>
      <c r="AI2337" s="25"/>
      <c r="AJ2337" s="25"/>
      <c r="AK2337" s="25"/>
      <c r="AL2337" s="25"/>
      <c r="AM2337" s="25"/>
      <c r="AN2337" s="25"/>
      <c r="AO2337" s="25"/>
      <c r="AP2337" s="25"/>
      <c r="AQ2337" s="25"/>
      <c r="AR2337" s="25"/>
      <c r="AS2337" s="25"/>
      <c r="AT2337" s="25"/>
      <c r="AU2337" s="36"/>
      <c r="AV2337" s="36"/>
      <c r="AW2337" s="36"/>
      <c r="AX2337" s="25"/>
      <c r="AY2337" s="25"/>
      <c r="AZ2337" s="25"/>
      <c r="BA2337" s="25"/>
      <c r="BB2337" s="25"/>
      <c r="BC2337" s="25"/>
      <c r="BD2337" s="25"/>
      <c r="BE2337" s="25"/>
      <c r="BF2337" s="25"/>
      <c r="BG2337" s="25"/>
      <c r="BH2337" s="25"/>
      <c r="BI2337" s="25"/>
      <c r="BJ2337" s="25"/>
      <c r="BK2337" s="25"/>
      <c r="BL2337" s="25"/>
      <c r="BM2337" s="25"/>
      <c r="BN2337" s="25"/>
      <c r="BO2337" s="25"/>
      <c r="BP2337" s="25"/>
      <c r="BQ2337" s="25"/>
      <c r="BR2337" s="25"/>
      <c r="BS2337" s="25"/>
      <c r="BT2337" s="25"/>
      <c r="BU2337"/>
      <c r="BV2337"/>
      <c r="BW2337"/>
      <c r="BX2337"/>
      <c r="BY2337"/>
      <c r="BZ2337"/>
      <c r="CA2337"/>
      <c r="CB2337"/>
      <c r="CC2337"/>
      <c r="CD2337" s="25"/>
    </row>
    <row r="2338" spans="1:82" s="17" customFormat="1" x14ac:dyDescent="0.2">
      <c r="A2338" s="25"/>
      <c r="B2338" s="20">
        <v>39007001301</v>
      </c>
      <c r="C2338" s="20">
        <v>13.01</v>
      </c>
      <c r="D2338" s="20" t="s">
        <v>10</v>
      </c>
      <c r="E2338" s="20" t="s">
        <v>2829</v>
      </c>
      <c r="F2338" s="20" t="s">
        <v>8</v>
      </c>
      <c r="G2338" s="861">
        <v>39.4096837487889</v>
      </c>
      <c r="H2338" s="861">
        <v>44.319076757413598</v>
      </c>
      <c r="I2338" s="861">
        <v>21.0292009426257</v>
      </c>
      <c r="J2338" s="861">
        <v>37.804624203320401</v>
      </c>
      <c r="K2338" s="982">
        <v>0</v>
      </c>
      <c r="L2338" s="735">
        <v>3922</v>
      </c>
      <c r="M2338" s="735">
        <v>3520</v>
      </c>
      <c r="N2338" s="845">
        <f t="shared" si="179"/>
        <v>-0.10249872514023457</v>
      </c>
      <c r="O2338" s="735">
        <v>72.164112367295772</v>
      </c>
      <c r="P2338" s="735">
        <f t="shared" si="180"/>
        <v>48.777707984325424</v>
      </c>
      <c r="Q2338" s="849">
        <v>40.700000000000003</v>
      </c>
      <c r="R2338" s="71">
        <v>64512</v>
      </c>
      <c r="S2338" s="845">
        <v>8.5882352941176465E-2</v>
      </c>
      <c r="T2338" s="845">
        <v>3.5000000000000003E-2</v>
      </c>
      <c r="U2338" s="845">
        <v>1.9E-2</v>
      </c>
      <c r="V2338" s="845">
        <v>0</v>
      </c>
      <c r="W2338" s="845">
        <v>0.14630681818181818</v>
      </c>
      <c r="X2338" s="845">
        <v>0.37864077669902912</v>
      </c>
      <c r="Y2338" s="845">
        <v>0.9795454545454545</v>
      </c>
      <c r="Z2338" s="845">
        <v>4.8295454545454544E-3</v>
      </c>
      <c r="AA2338" s="845">
        <v>0</v>
      </c>
      <c r="AB2338" s="845">
        <v>4.8295454545454544E-3</v>
      </c>
      <c r="AC2338" s="845">
        <v>0</v>
      </c>
      <c r="AD2338" s="845">
        <v>0</v>
      </c>
      <c r="AE2338" s="845">
        <v>1.0795454545454546E-2</v>
      </c>
      <c r="AF2338" s="845">
        <v>0</v>
      </c>
      <c r="AG2338" s="845">
        <v>0.9795454545454545</v>
      </c>
      <c r="AH2338" s="20" t="str">
        <f t="shared" si="181"/>
        <v>Yes</v>
      </c>
      <c r="AI2338" s="25"/>
      <c r="AJ2338" s="25"/>
      <c r="AK2338" s="25"/>
      <c r="AL2338" s="25"/>
      <c r="AM2338" s="25"/>
      <c r="AN2338" s="25"/>
      <c r="AO2338" s="25"/>
      <c r="AP2338" s="25"/>
      <c r="AQ2338" s="25"/>
      <c r="AR2338" s="25"/>
      <c r="AS2338" s="25"/>
      <c r="AT2338" s="25"/>
      <c r="AU2338" s="36"/>
      <c r="AV2338" s="36"/>
      <c r="AW2338" s="36"/>
      <c r="AX2338" s="25"/>
      <c r="AY2338" s="25"/>
      <c r="AZ2338" s="25"/>
      <c r="BA2338" s="25"/>
      <c r="BB2338" s="25"/>
      <c r="BC2338" s="25"/>
      <c r="BD2338" s="25"/>
      <c r="BE2338" s="25"/>
      <c r="BF2338" s="25"/>
      <c r="BG2338" s="25"/>
      <c r="BH2338" s="25"/>
      <c r="BI2338" s="25"/>
      <c r="BJ2338" s="25"/>
      <c r="BK2338" s="25"/>
      <c r="BL2338" s="25"/>
      <c r="BM2338" s="25"/>
      <c r="BN2338" s="25"/>
      <c r="BO2338" s="25"/>
      <c r="BP2338" s="25"/>
      <c r="BQ2338" s="25"/>
      <c r="BR2338" s="25"/>
      <c r="BS2338" s="25"/>
      <c r="BT2338" s="25"/>
      <c r="BU2338"/>
      <c r="BV2338"/>
      <c r="BW2338"/>
      <c r="BX2338"/>
      <c r="BY2338"/>
      <c r="BZ2338"/>
      <c r="CA2338"/>
      <c r="CB2338"/>
      <c r="CC2338"/>
      <c r="CD2338" s="25"/>
    </row>
    <row r="2339" spans="1:82" s="17" customFormat="1" x14ac:dyDescent="0.2">
      <c r="A2339" s="25"/>
      <c r="B2339" s="20">
        <v>39017013400</v>
      </c>
      <c r="C2339" s="20">
        <v>134</v>
      </c>
      <c r="D2339" s="20" t="s">
        <v>15</v>
      </c>
      <c r="E2339" s="20" t="s">
        <v>2828</v>
      </c>
      <c r="F2339" s="20" t="s">
        <v>6</v>
      </c>
      <c r="G2339" s="861">
        <v>39.391014571809002</v>
      </c>
      <c r="H2339" s="861">
        <v>50.165216870087001</v>
      </c>
      <c r="I2339" s="861">
        <v>51.507266627594603</v>
      </c>
      <c r="J2339" s="861">
        <v>35.1238696827469</v>
      </c>
      <c r="K2339" s="982">
        <v>0</v>
      </c>
      <c r="L2339" s="735">
        <v>2270</v>
      </c>
      <c r="M2339" s="735">
        <v>2170</v>
      </c>
      <c r="N2339" s="845">
        <f t="shared" si="179"/>
        <v>-4.405286343612335E-2</v>
      </c>
      <c r="O2339" s="735">
        <v>0.34894059803232069</v>
      </c>
      <c r="P2339" s="735">
        <f t="shared" si="180"/>
        <v>6218.8235253697922</v>
      </c>
      <c r="Q2339" s="849">
        <v>39.6</v>
      </c>
      <c r="R2339" s="71">
        <v>47436</v>
      </c>
      <c r="S2339" s="845">
        <v>0.24890404286410131</v>
      </c>
      <c r="T2339" s="845">
        <v>6.7000000000000004E-2</v>
      </c>
      <c r="U2339" s="845">
        <v>0</v>
      </c>
      <c r="V2339" s="845">
        <v>0</v>
      </c>
      <c r="W2339" s="845">
        <v>0.53151260504201681</v>
      </c>
      <c r="X2339" s="845">
        <v>0.53952569169960474</v>
      </c>
      <c r="Y2339" s="845">
        <v>0.77788018433179729</v>
      </c>
      <c r="Z2339" s="845">
        <v>0.10599078341013825</v>
      </c>
      <c r="AA2339" s="845">
        <v>4.608294930875576E-4</v>
      </c>
      <c r="AB2339" s="845">
        <v>0</v>
      </c>
      <c r="AC2339" s="845">
        <v>0</v>
      </c>
      <c r="AD2339" s="845">
        <v>1.7972350230414748E-2</v>
      </c>
      <c r="AE2339" s="845">
        <v>9.7695852534562214E-2</v>
      </c>
      <c r="AF2339" s="845">
        <v>2.2119815668202765E-2</v>
      </c>
      <c r="AG2339" s="845">
        <v>0.75576036866359442</v>
      </c>
      <c r="AH2339" s="20" t="str">
        <f t="shared" si="181"/>
        <v>No</v>
      </c>
      <c r="AI2339" s="25"/>
      <c r="AJ2339" s="25"/>
      <c r="AK2339" s="25"/>
      <c r="AL2339" s="25"/>
      <c r="AM2339" s="25"/>
      <c r="AN2339" s="25"/>
      <c r="AO2339" s="25"/>
      <c r="AP2339" s="25"/>
      <c r="AQ2339" s="25"/>
      <c r="AR2339" s="25"/>
      <c r="AS2339" s="25"/>
      <c r="AT2339" s="25"/>
      <c r="AU2339" s="36"/>
      <c r="AV2339" s="36"/>
      <c r="AW2339" s="36"/>
      <c r="AX2339" s="25"/>
      <c r="AY2339" s="25"/>
      <c r="AZ2339" s="25"/>
      <c r="BA2339" s="25"/>
      <c r="BB2339" s="25"/>
      <c r="BC2339" s="25"/>
      <c r="BD2339" s="25"/>
      <c r="BE2339" s="25"/>
      <c r="BF2339" s="25"/>
      <c r="BG2339" s="25"/>
      <c r="BH2339" s="25"/>
      <c r="BI2339" s="25"/>
      <c r="BJ2339" s="25"/>
      <c r="BK2339" s="25"/>
      <c r="BL2339" s="25"/>
      <c r="BM2339" s="25"/>
      <c r="BN2339" s="25"/>
      <c r="BO2339" s="25"/>
      <c r="BP2339" s="25"/>
      <c r="BQ2339" s="25"/>
      <c r="BR2339" s="25"/>
      <c r="BS2339" s="25"/>
      <c r="BT2339" s="25"/>
      <c r="BU2339"/>
      <c r="BV2339"/>
      <c r="BW2339"/>
      <c r="BX2339"/>
      <c r="BY2339"/>
      <c r="BZ2339"/>
      <c r="CA2339"/>
      <c r="CB2339"/>
      <c r="CC2339"/>
      <c r="CD2339" s="25"/>
    </row>
    <row r="2340" spans="1:82" s="17" customFormat="1" x14ac:dyDescent="0.2">
      <c r="A2340" s="25"/>
      <c r="B2340" s="20">
        <v>39139003001</v>
      </c>
      <c r="C2340" s="20">
        <v>30.01</v>
      </c>
      <c r="D2340" s="20" t="s">
        <v>75</v>
      </c>
      <c r="E2340" s="20" t="s">
        <v>2836</v>
      </c>
      <c r="F2340" s="20" t="s">
        <v>8</v>
      </c>
      <c r="G2340" s="861">
        <v>39.391011993539003</v>
      </c>
      <c r="H2340" s="861">
        <v>50.101331911394801</v>
      </c>
      <c r="I2340" s="861">
        <v>22.634951709326799</v>
      </c>
      <c r="J2340" s="861">
        <v>45.692953142156298</v>
      </c>
      <c r="K2340" s="982">
        <v>0</v>
      </c>
      <c r="L2340" s="735">
        <v>5083</v>
      </c>
      <c r="M2340" s="735">
        <v>5231</v>
      </c>
      <c r="N2340" s="845">
        <f t="shared" si="179"/>
        <v>2.9116663387763132E-2</v>
      </c>
      <c r="O2340" s="735">
        <v>40.144225990288426</v>
      </c>
      <c r="P2340" s="735">
        <f t="shared" si="180"/>
        <v>130.30516521268757</v>
      </c>
      <c r="Q2340" s="849">
        <v>43.1</v>
      </c>
      <c r="R2340" s="71">
        <v>80696</v>
      </c>
      <c r="S2340" s="845">
        <v>5.7610789980732179E-2</v>
      </c>
      <c r="T2340" s="845">
        <v>2.2000000000000002E-2</v>
      </c>
      <c r="U2340" s="845">
        <v>1.8000000000000002E-2</v>
      </c>
      <c r="V2340" s="845">
        <v>0</v>
      </c>
      <c r="W2340" s="845">
        <v>0.24756809338521402</v>
      </c>
      <c r="X2340" s="845">
        <v>0.37131630648330061</v>
      </c>
      <c r="Y2340" s="845">
        <v>0.98336838080672917</v>
      </c>
      <c r="Z2340" s="845">
        <v>5.5438730644236283E-3</v>
      </c>
      <c r="AA2340" s="845">
        <v>0</v>
      </c>
      <c r="AB2340" s="845">
        <v>2.8675205505639457E-3</v>
      </c>
      <c r="AC2340" s="845">
        <v>1.9116803670426305E-3</v>
      </c>
      <c r="AD2340" s="845">
        <v>1.7205123303383673E-3</v>
      </c>
      <c r="AE2340" s="845">
        <v>4.5880328809023135E-3</v>
      </c>
      <c r="AF2340" s="845">
        <v>1.7205123303383673E-3</v>
      </c>
      <c r="AG2340" s="845">
        <v>0.98336838080672917</v>
      </c>
      <c r="AH2340" s="20" t="str">
        <f t="shared" si="181"/>
        <v>Yes</v>
      </c>
      <c r="AI2340" s="25"/>
      <c r="AJ2340" s="25"/>
      <c r="AK2340" s="25"/>
      <c r="AL2340" s="25"/>
      <c r="AM2340" s="25"/>
      <c r="AN2340" s="25"/>
      <c r="AO2340" s="25"/>
      <c r="AP2340" s="25"/>
      <c r="AQ2340" s="25"/>
      <c r="AR2340" s="25"/>
      <c r="AS2340" s="25"/>
      <c r="AT2340" s="25"/>
      <c r="AU2340" s="36"/>
      <c r="AV2340" s="36"/>
      <c r="AW2340" s="36"/>
      <c r="AX2340" s="25"/>
      <c r="AY2340" s="25"/>
      <c r="AZ2340" s="25"/>
      <c r="BA2340" s="25"/>
      <c r="BB2340" s="25"/>
      <c r="BC2340" s="25"/>
      <c r="BD2340" s="25"/>
      <c r="BE2340" s="25"/>
      <c r="BF2340" s="25"/>
      <c r="BG2340" s="25"/>
      <c r="BH2340" s="25"/>
      <c r="BI2340" s="25"/>
      <c r="BJ2340" s="25"/>
      <c r="BK2340" s="25"/>
      <c r="BL2340" s="25"/>
      <c r="BM2340" s="25"/>
      <c r="BN2340" s="25"/>
      <c r="BO2340" s="25"/>
      <c r="BP2340" s="25"/>
      <c r="BQ2340" s="25"/>
      <c r="BR2340" s="25"/>
      <c r="BS2340" s="25"/>
      <c r="BT2340" s="25"/>
      <c r="BU2340"/>
      <c r="BV2340"/>
      <c r="BW2340"/>
      <c r="BX2340"/>
      <c r="BY2340"/>
      <c r="BZ2340"/>
      <c r="CA2340"/>
      <c r="CB2340"/>
      <c r="CC2340"/>
      <c r="CD2340" s="25"/>
    </row>
    <row r="2341" spans="1:82" s="17" customFormat="1" x14ac:dyDescent="0.2">
      <c r="A2341" s="25"/>
      <c r="B2341" s="20">
        <v>39099810100</v>
      </c>
      <c r="C2341" s="20">
        <v>8101</v>
      </c>
      <c r="D2341" s="20" t="s">
        <v>55</v>
      </c>
      <c r="E2341" s="20" t="s">
        <v>2842</v>
      </c>
      <c r="F2341" s="20" t="s">
        <v>8</v>
      </c>
      <c r="G2341" s="861">
        <v>39.382562399825602</v>
      </c>
      <c r="H2341" s="861">
        <v>44.704754294505697</v>
      </c>
      <c r="I2341" s="861">
        <v>34.895276502844297</v>
      </c>
      <c r="J2341" s="861">
        <v>42.556676468805797</v>
      </c>
      <c r="K2341" s="982">
        <v>0</v>
      </c>
      <c r="L2341" s="735">
        <v>3975</v>
      </c>
      <c r="M2341" s="735">
        <v>4129</v>
      </c>
      <c r="N2341" s="845">
        <f t="shared" si="179"/>
        <v>3.8742138364779875E-2</v>
      </c>
      <c r="O2341" s="735">
        <v>1.7234673714390141</v>
      </c>
      <c r="P2341" s="735">
        <f t="shared" si="180"/>
        <v>2395.7517667146085</v>
      </c>
      <c r="Q2341" s="849">
        <v>43.5</v>
      </c>
      <c r="R2341" s="71">
        <v>53886</v>
      </c>
      <c r="S2341" s="845">
        <v>0.15161055945749577</v>
      </c>
      <c r="T2341" s="845">
        <v>0.05</v>
      </c>
      <c r="U2341" s="845">
        <v>0</v>
      </c>
      <c r="V2341" s="845">
        <v>0</v>
      </c>
      <c r="W2341" s="845">
        <v>0.17139548349739434</v>
      </c>
      <c r="X2341" s="845">
        <v>0.36486486486486486</v>
      </c>
      <c r="Y2341" s="845">
        <v>0.65827076774037296</v>
      </c>
      <c r="Z2341" s="845">
        <v>0.12860256720755631</v>
      </c>
      <c r="AA2341" s="845">
        <v>7.9922499394526527E-3</v>
      </c>
      <c r="AB2341" s="845">
        <v>0</v>
      </c>
      <c r="AC2341" s="845">
        <v>0</v>
      </c>
      <c r="AD2341" s="845">
        <v>7.4836522160329377E-2</v>
      </c>
      <c r="AE2341" s="845">
        <v>0.13029789295228869</v>
      </c>
      <c r="AF2341" s="845">
        <v>0.17994671833373699</v>
      </c>
      <c r="AG2341" s="845">
        <v>0.61273916202470335</v>
      </c>
      <c r="AH2341" s="20" t="str">
        <f t="shared" si="181"/>
        <v>No</v>
      </c>
      <c r="AI2341" s="25"/>
      <c r="AJ2341" s="25"/>
      <c r="AK2341" s="25"/>
      <c r="AL2341" s="25"/>
      <c r="AM2341" s="25"/>
      <c r="AN2341" s="25"/>
      <c r="AO2341" s="25"/>
      <c r="AP2341" s="25"/>
      <c r="AQ2341" s="25"/>
      <c r="AR2341" s="25"/>
      <c r="AS2341" s="25"/>
      <c r="AT2341" s="25"/>
      <c r="AU2341" s="36"/>
      <c r="AV2341" s="36"/>
      <c r="AW2341" s="36"/>
      <c r="AX2341" s="25"/>
      <c r="AY2341" s="25"/>
      <c r="AZ2341" s="25"/>
      <c r="BA2341" s="25"/>
      <c r="BB2341" s="25"/>
      <c r="BC2341" s="25"/>
      <c r="BD2341" s="25"/>
      <c r="BE2341" s="25"/>
      <c r="BF2341" s="25"/>
      <c r="BG2341" s="25"/>
      <c r="BH2341" s="25"/>
      <c r="BI2341" s="25"/>
      <c r="BJ2341" s="25"/>
      <c r="BK2341" s="25"/>
      <c r="BL2341" s="25"/>
      <c r="BM2341" s="25"/>
      <c r="BN2341" s="25"/>
      <c r="BO2341" s="25"/>
      <c r="BP2341" s="25"/>
      <c r="BQ2341" s="25"/>
      <c r="BR2341" s="25"/>
      <c r="BS2341" s="25"/>
      <c r="BT2341" s="25"/>
      <c r="BU2341"/>
      <c r="BV2341"/>
      <c r="BW2341"/>
      <c r="BX2341"/>
      <c r="BY2341"/>
      <c r="BZ2341"/>
      <c r="CA2341"/>
      <c r="CB2341"/>
      <c r="CC2341"/>
      <c r="CD2341" s="25"/>
    </row>
    <row r="2342" spans="1:82" s="17" customFormat="1" x14ac:dyDescent="0.2">
      <c r="A2342" s="25"/>
      <c r="B2342" s="20">
        <v>39095007202</v>
      </c>
      <c r="C2342" s="20">
        <v>72.02</v>
      </c>
      <c r="D2342" s="20" t="s">
        <v>53</v>
      </c>
      <c r="E2342" s="20" t="s">
        <v>2839</v>
      </c>
      <c r="F2342" s="20" t="s">
        <v>8</v>
      </c>
      <c r="G2342" s="861">
        <v>39.356512483651599</v>
      </c>
      <c r="H2342" s="861">
        <v>39.850792397068403</v>
      </c>
      <c r="I2342" s="861">
        <v>39.595589693017303</v>
      </c>
      <c r="J2342" s="861">
        <v>25.548210928123702</v>
      </c>
      <c r="K2342" s="982">
        <v>0</v>
      </c>
      <c r="L2342" s="735">
        <v>3461</v>
      </c>
      <c r="M2342" s="735">
        <v>3432</v>
      </c>
      <c r="N2342" s="845">
        <f t="shared" si="179"/>
        <v>-8.3790811904073965E-3</v>
      </c>
      <c r="O2342" s="735">
        <v>1.1462573857144078</v>
      </c>
      <c r="P2342" s="735">
        <f t="shared" si="180"/>
        <v>2994.0919402329496</v>
      </c>
      <c r="Q2342" s="849">
        <v>48.1</v>
      </c>
      <c r="R2342" s="71">
        <v>54486</v>
      </c>
      <c r="S2342" s="845">
        <v>0.17641764176417643</v>
      </c>
      <c r="T2342" s="845">
        <v>2.1000000000000001E-2</v>
      </c>
      <c r="U2342" s="845">
        <v>0.03</v>
      </c>
      <c r="V2342" s="845">
        <v>0.04</v>
      </c>
      <c r="W2342" s="845">
        <v>0.47527812113720641</v>
      </c>
      <c r="X2342" s="845">
        <v>0.46814044213263978</v>
      </c>
      <c r="Y2342" s="845">
        <v>0.7441724941724942</v>
      </c>
      <c r="Z2342" s="845">
        <v>0.17103729603729603</v>
      </c>
      <c r="AA2342" s="845">
        <v>0</v>
      </c>
      <c r="AB2342" s="845">
        <v>4.079254079254079E-3</v>
      </c>
      <c r="AC2342" s="845">
        <v>0</v>
      </c>
      <c r="AD2342" s="845">
        <v>1.5442890442890442E-2</v>
      </c>
      <c r="AE2342" s="845">
        <v>6.5268065268065265E-2</v>
      </c>
      <c r="AF2342" s="845">
        <v>6.8764568764568768E-2</v>
      </c>
      <c r="AG2342" s="845">
        <v>0.73688811188811187</v>
      </c>
      <c r="AH2342" s="20" t="str">
        <f t="shared" si="181"/>
        <v>No</v>
      </c>
      <c r="AI2342" s="25"/>
      <c r="AJ2342" s="25"/>
      <c r="AK2342" s="25"/>
      <c r="AL2342" s="25"/>
      <c r="AM2342" s="25"/>
      <c r="AN2342" s="25"/>
      <c r="AO2342" s="25"/>
      <c r="AP2342" s="25"/>
      <c r="AQ2342" s="25"/>
      <c r="AR2342" s="25"/>
      <c r="AS2342" s="25"/>
      <c r="AT2342" s="25"/>
      <c r="AU2342" s="36"/>
      <c r="AV2342" s="36"/>
      <c r="AW2342" s="36"/>
      <c r="AX2342" s="25"/>
      <c r="AY2342" s="25"/>
      <c r="AZ2342" s="25"/>
      <c r="BA2342" s="25"/>
      <c r="BB2342" s="25"/>
      <c r="BC2342" s="25"/>
      <c r="BD2342" s="25"/>
      <c r="BE2342" s="25"/>
      <c r="BF2342" s="25"/>
      <c r="BG2342" s="25"/>
      <c r="BH2342" s="25"/>
      <c r="BI2342" s="25"/>
      <c r="BJ2342" s="25"/>
      <c r="BK2342" s="25"/>
      <c r="BL2342" s="25"/>
      <c r="BM2342" s="25"/>
      <c r="BN2342" s="25"/>
      <c r="BO2342" s="25"/>
      <c r="BP2342" s="25"/>
      <c r="BQ2342" s="25"/>
      <c r="BR2342" s="25"/>
      <c r="BS2342" s="25"/>
      <c r="BT2342" s="25"/>
      <c r="BU2342"/>
      <c r="BV2342"/>
      <c r="BW2342"/>
      <c r="BX2342"/>
      <c r="BY2342"/>
      <c r="BZ2342"/>
      <c r="CA2342"/>
      <c r="CB2342"/>
      <c r="CC2342"/>
      <c r="CD2342" s="25"/>
    </row>
    <row r="2343" spans="1:82" s="17" customFormat="1" x14ac:dyDescent="0.2">
      <c r="A2343" s="25"/>
      <c r="B2343" s="20">
        <v>39035108301</v>
      </c>
      <c r="C2343" s="20">
        <v>1083.01</v>
      </c>
      <c r="D2343" s="20" t="s">
        <v>24</v>
      </c>
      <c r="E2343" s="20" t="s">
        <v>2829</v>
      </c>
      <c r="F2343" s="20" t="s">
        <v>6</v>
      </c>
      <c r="G2343" s="861">
        <v>39.351037636059999</v>
      </c>
      <c r="H2343" s="861">
        <v>60.109533728913703</v>
      </c>
      <c r="I2343" s="861">
        <v>54.521720558162798</v>
      </c>
      <c r="J2343" s="861">
        <v>36.9524462376366</v>
      </c>
      <c r="K2343" s="982">
        <v>2</v>
      </c>
      <c r="L2343" s="735">
        <v>1450</v>
      </c>
      <c r="M2343" s="735">
        <v>1400</v>
      </c>
      <c r="N2343" s="845">
        <f t="shared" si="179"/>
        <v>-3.4482758620689655E-2</v>
      </c>
      <c r="O2343" s="735">
        <v>0.52925725593388928</v>
      </c>
      <c r="P2343" s="735">
        <f t="shared" si="180"/>
        <v>2645.2164506080521</v>
      </c>
      <c r="Q2343" s="849">
        <v>36</v>
      </c>
      <c r="R2343" s="71">
        <v>34044</v>
      </c>
      <c r="S2343" s="845">
        <v>0.23310554290053151</v>
      </c>
      <c r="T2343" s="845">
        <v>5.2999999999999999E-2</v>
      </c>
      <c r="U2343" s="845">
        <v>6.7000000000000004E-2</v>
      </c>
      <c r="V2343" s="845">
        <v>8.5000000000000006E-2</v>
      </c>
      <c r="W2343" s="845">
        <v>0.76623376623376627</v>
      </c>
      <c r="X2343" s="845">
        <v>0.51525423728813557</v>
      </c>
      <c r="Y2343" s="845">
        <v>0.34785714285714286</v>
      </c>
      <c r="Z2343" s="845">
        <v>0.26142857142857145</v>
      </c>
      <c r="AA2343" s="845">
        <v>0</v>
      </c>
      <c r="AB2343" s="845">
        <v>0.25214285714285717</v>
      </c>
      <c r="AC2343" s="845">
        <v>0</v>
      </c>
      <c r="AD2343" s="845">
        <v>3.2857142857142856E-2</v>
      </c>
      <c r="AE2343" s="845">
        <v>0.10571428571428572</v>
      </c>
      <c r="AF2343" s="845">
        <v>0.11285714285714285</v>
      </c>
      <c r="AG2343" s="845">
        <v>0.2907142857142857</v>
      </c>
      <c r="AH2343" s="20" t="str">
        <f t="shared" si="181"/>
        <v>No</v>
      </c>
      <c r="AI2343" s="25"/>
      <c r="AJ2343" s="25"/>
      <c r="AK2343" s="25"/>
      <c r="AL2343" s="25"/>
      <c r="AM2343" s="25"/>
      <c r="AN2343" s="25"/>
      <c r="AO2343" s="25"/>
      <c r="AP2343" s="25"/>
      <c r="AQ2343" s="25"/>
      <c r="AR2343" s="25"/>
      <c r="AS2343" s="25"/>
      <c r="AT2343" s="25"/>
      <c r="AU2343" s="36"/>
      <c r="AV2343" s="36"/>
      <c r="AW2343" s="36"/>
      <c r="AX2343" s="25"/>
      <c r="AY2343" s="25"/>
      <c r="AZ2343" s="25"/>
      <c r="BA2343" s="25"/>
      <c r="BB2343" s="25"/>
      <c r="BC2343" s="25"/>
      <c r="BD2343" s="25"/>
      <c r="BE2343" s="25"/>
      <c r="BF2343" s="25"/>
      <c r="BG2343" s="25"/>
      <c r="BH2343" s="25"/>
      <c r="BI2343" s="25"/>
      <c r="BJ2343" s="25"/>
      <c r="BK2343" s="25"/>
      <c r="BL2343" s="25"/>
      <c r="BM2343" s="25"/>
      <c r="BN2343" s="25"/>
      <c r="BO2343" s="25"/>
      <c r="BP2343" s="25"/>
      <c r="BQ2343" s="25"/>
      <c r="BR2343" s="25"/>
      <c r="BS2343" s="25"/>
      <c r="BT2343" s="25"/>
      <c r="BU2343"/>
      <c r="BV2343"/>
      <c r="BW2343"/>
      <c r="BX2343"/>
      <c r="BY2343"/>
      <c r="BZ2343"/>
      <c r="CA2343"/>
      <c r="CB2343"/>
      <c r="CC2343"/>
      <c r="CD2343" s="25"/>
    </row>
    <row r="2344" spans="1:82" s="17" customFormat="1" x14ac:dyDescent="0.2">
      <c r="A2344" s="25"/>
      <c r="B2344" s="20">
        <v>39065000100</v>
      </c>
      <c r="C2344" s="20">
        <v>1</v>
      </c>
      <c r="D2344" s="20" t="s">
        <v>39</v>
      </c>
      <c r="E2344" s="20" t="s">
        <v>265</v>
      </c>
      <c r="F2344" s="20" t="s">
        <v>8</v>
      </c>
      <c r="G2344" s="861">
        <v>39.342704456472497</v>
      </c>
      <c r="H2344" s="861">
        <v>52.332677477873197</v>
      </c>
      <c r="I2344" s="861">
        <v>22.478434382530899</v>
      </c>
      <c r="J2344" s="861">
        <v>42.839951206862402</v>
      </c>
      <c r="K2344" s="982">
        <v>0</v>
      </c>
      <c r="L2344" s="735">
        <v>3496</v>
      </c>
      <c r="M2344" s="735">
        <v>3117</v>
      </c>
      <c r="N2344" s="845">
        <f t="shared" si="179"/>
        <v>-0.10840961098398169</v>
      </c>
      <c r="O2344" s="735">
        <v>76.754919928956738</v>
      </c>
      <c r="P2344" s="735">
        <f t="shared" si="180"/>
        <v>40.609774629236156</v>
      </c>
      <c r="Q2344" s="849">
        <v>44.7</v>
      </c>
      <c r="R2344" s="71">
        <v>66691</v>
      </c>
      <c r="S2344" s="845">
        <v>9.8171318575553418E-2</v>
      </c>
      <c r="T2344" s="845">
        <v>3.1E-2</v>
      </c>
      <c r="U2344" s="845">
        <v>6.9999999999999993E-3</v>
      </c>
      <c r="V2344" s="845">
        <v>0.05</v>
      </c>
      <c r="W2344" s="845">
        <v>0.24208144796380091</v>
      </c>
      <c r="X2344" s="845">
        <v>7.476635514018691E-2</v>
      </c>
      <c r="Y2344" s="845">
        <v>0.94642284247674047</v>
      </c>
      <c r="Z2344" s="845">
        <v>2.5344882900224575E-2</v>
      </c>
      <c r="AA2344" s="845">
        <v>4.1706769329483478E-3</v>
      </c>
      <c r="AB2344" s="845">
        <v>6.416426050689766E-3</v>
      </c>
      <c r="AC2344" s="845">
        <v>1.6041065126724415E-3</v>
      </c>
      <c r="AD2344" s="845">
        <v>0</v>
      </c>
      <c r="AE2344" s="845">
        <v>1.6041065126724416E-2</v>
      </c>
      <c r="AF2344" s="845">
        <v>8.9829964709656727E-3</v>
      </c>
      <c r="AG2344" s="845">
        <v>0.93872313121591278</v>
      </c>
      <c r="AH2344" s="20" t="str">
        <f t="shared" si="181"/>
        <v>Yes</v>
      </c>
      <c r="AI2344" s="25"/>
      <c r="AJ2344" s="25"/>
      <c r="AK2344" s="25"/>
      <c r="AL2344" s="25"/>
      <c r="AM2344" s="25"/>
      <c r="AN2344" s="25"/>
      <c r="AO2344" s="25"/>
      <c r="AP2344" s="25"/>
      <c r="AQ2344" s="25"/>
      <c r="AR2344" s="25"/>
      <c r="AS2344" s="25"/>
      <c r="AT2344" s="25"/>
      <c r="AU2344" s="36"/>
      <c r="AV2344" s="36"/>
      <c r="AW2344" s="36"/>
      <c r="AX2344" s="25"/>
      <c r="AY2344" s="25"/>
      <c r="AZ2344" s="25"/>
      <c r="BA2344" s="25"/>
      <c r="BB2344" s="25"/>
      <c r="BC2344" s="25"/>
      <c r="BD2344" s="25"/>
      <c r="BE2344" s="25"/>
      <c r="BF2344" s="25"/>
      <c r="BG2344" s="25"/>
      <c r="BH2344" s="25"/>
      <c r="BI2344" s="25"/>
      <c r="BJ2344" s="25"/>
      <c r="BK2344" s="25"/>
      <c r="BL2344" s="25"/>
      <c r="BM2344" s="25"/>
      <c r="BN2344" s="25"/>
      <c r="BO2344" s="25"/>
      <c r="BP2344" s="25"/>
      <c r="BQ2344" s="25"/>
      <c r="BR2344" s="25"/>
      <c r="BS2344" s="25"/>
      <c r="BT2344" s="25"/>
      <c r="BU2344"/>
      <c r="BV2344"/>
      <c r="BW2344"/>
      <c r="BX2344"/>
      <c r="BY2344"/>
      <c r="BZ2344"/>
      <c r="CA2344"/>
      <c r="CB2344"/>
      <c r="CC2344"/>
      <c r="CD2344" s="25"/>
    </row>
    <row r="2345" spans="1:82" s="17" customFormat="1" x14ac:dyDescent="0.2">
      <c r="A2345" s="25"/>
      <c r="B2345" s="20">
        <v>39139002102</v>
      </c>
      <c r="C2345" s="20">
        <v>21.02</v>
      </c>
      <c r="D2345" s="20" t="s">
        <v>75</v>
      </c>
      <c r="E2345" s="20" t="s">
        <v>2836</v>
      </c>
      <c r="F2345" s="20" t="s">
        <v>8</v>
      </c>
      <c r="G2345" s="861">
        <v>39.3079468030624</v>
      </c>
      <c r="H2345" s="861">
        <v>42.511869880179603</v>
      </c>
      <c r="I2345" s="861">
        <v>28.9709056010559</v>
      </c>
      <c r="J2345" s="861">
        <v>43.891416090307899</v>
      </c>
      <c r="K2345" s="982">
        <v>0</v>
      </c>
      <c r="L2345" s="735">
        <v>4473</v>
      </c>
      <c r="M2345" s="735">
        <v>4867</v>
      </c>
      <c r="N2345" s="845">
        <f t="shared" si="179"/>
        <v>8.8084059915045837E-2</v>
      </c>
      <c r="O2345" s="735">
        <v>12.091257824345766</v>
      </c>
      <c r="P2345" s="735">
        <f t="shared" si="180"/>
        <v>402.52222479288201</v>
      </c>
      <c r="Q2345" s="849">
        <v>42.3</v>
      </c>
      <c r="R2345" s="71">
        <v>89425</v>
      </c>
      <c r="S2345" s="845">
        <v>7.0208333333333331E-2</v>
      </c>
      <c r="T2345" s="845">
        <v>2.3E-2</v>
      </c>
      <c r="U2345" s="845">
        <v>0</v>
      </c>
      <c r="V2345" s="845">
        <v>0</v>
      </c>
      <c r="W2345" s="845">
        <v>0.19726858877086495</v>
      </c>
      <c r="X2345" s="845">
        <v>0.29487179487179488</v>
      </c>
      <c r="Y2345" s="845">
        <v>0.9455516745428395</v>
      </c>
      <c r="Z2345" s="845">
        <v>9.4514074378467226E-3</v>
      </c>
      <c r="AA2345" s="845">
        <v>0</v>
      </c>
      <c r="AB2345" s="845">
        <v>1.212245736593384E-2</v>
      </c>
      <c r="AC2345" s="845">
        <v>0</v>
      </c>
      <c r="AD2345" s="845">
        <v>1.3766180398602836E-2</v>
      </c>
      <c r="AE2345" s="845">
        <v>1.9108280254777069E-2</v>
      </c>
      <c r="AF2345" s="845">
        <v>1.3766180398602836E-2</v>
      </c>
      <c r="AG2345" s="845">
        <v>0.9455516745428395</v>
      </c>
      <c r="AH2345" s="20" t="str">
        <f t="shared" si="181"/>
        <v>Yes</v>
      </c>
      <c r="AI2345" s="25"/>
      <c r="AJ2345" s="25"/>
      <c r="AK2345" s="25"/>
      <c r="AL2345" s="25"/>
      <c r="AM2345" s="25"/>
      <c r="AN2345" s="25"/>
      <c r="AO2345" s="25"/>
      <c r="AP2345" s="25"/>
      <c r="AQ2345" s="25"/>
      <c r="AR2345" s="25"/>
      <c r="AS2345" s="25"/>
      <c r="AT2345" s="25"/>
      <c r="AU2345" s="36"/>
      <c r="AV2345" s="36"/>
      <c r="AW2345" s="36"/>
      <c r="AX2345" s="25"/>
      <c r="AY2345" s="25"/>
      <c r="AZ2345" s="25"/>
      <c r="BA2345" s="25"/>
      <c r="BB2345" s="25"/>
      <c r="BC2345" s="25"/>
      <c r="BD2345" s="25"/>
      <c r="BE2345" s="25"/>
      <c r="BF2345" s="25"/>
      <c r="BG2345" s="25"/>
      <c r="BH2345" s="25"/>
      <c r="BI2345" s="25"/>
      <c r="BJ2345" s="25"/>
      <c r="BK2345" s="25"/>
      <c r="BL2345" s="25"/>
      <c r="BM2345" s="25"/>
      <c r="BN2345" s="25"/>
      <c r="BO2345" s="25"/>
      <c r="BP2345" s="25"/>
      <c r="BQ2345" s="25"/>
      <c r="BR2345" s="25"/>
      <c r="BS2345" s="25"/>
      <c r="BT2345" s="25"/>
      <c r="BU2345"/>
      <c r="BV2345"/>
      <c r="BW2345"/>
      <c r="BX2345"/>
      <c r="BY2345"/>
      <c r="BZ2345"/>
      <c r="CA2345"/>
      <c r="CB2345"/>
      <c r="CC2345"/>
      <c r="CD2345" s="25"/>
    </row>
    <row r="2346" spans="1:82" s="17" customFormat="1" x14ac:dyDescent="0.2">
      <c r="A2346" s="25"/>
      <c r="B2346" s="20">
        <v>39113080600</v>
      </c>
      <c r="C2346" s="20">
        <v>806</v>
      </c>
      <c r="D2346" s="20" t="s">
        <v>62</v>
      </c>
      <c r="E2346" s="20" t="s">
        <v>2833</v>
      </c>
      <c r="F2346" s="20" t="s">
        <v>8</v>
      </c>
      <c r="G2346" s="861">
        <v>39.299396614798603</v>
      </c>
      <c r="H2346" s="861">
        <v>46.6454630082074</v>
      </c>
      <c r="I2346" s="861">
        <v>59.8158494647979</v>
      </c>
      <c r="J2346" s="861">
        <v>56.0676620490012</v>
      </c>
      <c r="K2346" s="982">
        <v>0</v>
      </c>
      <c r="L2346" s="735">
        <v>1622</v>
      </c>
      <c r="M2346" s="735">
        <v>1272</v>
      </c>
      <c r="N2346" s="845">
        <f t="shared" si="179"/>
        <v>-0.21578298397040691</v>
      </c>
      <c r="O2346" s="735">
        <v>0.69135606958442763</v>
      </c>
      <c r="P2346" s="735">
        <f t="shared" si="180"/>
        <v>1839.8623458453123</v>
      </c>
      <c r="Q2346" s="849">
        <v>45.2</v>
      </c>
      <c r="R2346" s="71">
        <v>46648</v>
      </c>
      <c r="S2346" s="845">
        <v>0.24959349593495936</v>
      </c>
      <c r="T2346" s="845">
        <v>0.114</v>
      </c>
      <c r="U2346" s="845">
        <v>0</v>
      </c>
      <c r="V2346" s="845">
        <v>0</v>
      </c>
      <c r="W2346" s="845">
        <v>0.3231597845601436</v>
      </c>
      <c r="X2346" s="845">
        <v>0.7944444444444444</v>
      </c>
      <c r="Y2346" s="845">
        <v>0.74371069182389937</v>
      </c>
      <c r="Z2346" s="845">
        <v>0.19496855345911951</v>
      </c>
      <c r="AA2346" s="845">
        <v>0</v>
      </c>
      <c r="AB2346" s="845">
        <v>0</v>
      </c>
      <c r="AC2346" s="845">
        <v>0</v>
      </c>
      <c r="AD2346" s="845">
        <v>0</v>
      </c>
      <c r="AE2346" s="845">
        <v>6.1320754716981132E-2</v>
      </c>
      <c r="AF2346" s="845">
        <v>0</v>
      </c>
      <c r="AG2346" s="845">
        <v>0.74371069182389937</v>
      </c>
      <c r="AH2346" s="20" t="str">
        <f t="shared" si="181"/>
        <v>No</v>
      </c>
      <c r="AI2346" s="25"/>
      <c r="AJ2346" s="25"/>
      <c r="AK2346" s="25"/>
      <c r="AL2346" s="25"/>
      <c r="AM2346" s="25"/>
      <c r="AN2346" s="25"/>
      <c r="AO2346" s="25"/>
      <c r="AP2346" s="25"/>
      <c r="AQ2346" s="25"/>
      <c r="AR2346" s="25"/>
      <c r="AS2346" s="25"/>
      <c r="AT2346" s="25"/>
      <c r="AU2346" s="36"/>
      <c r="AV2346" s="36"/>
      <c r="AW2346" s="36"/>
      <c r="AX2346" s="25"/>
      <c r="AY2346" s="25"/>
      <c r="AZ2346" s="25"/>
      <c r="BA2346" s="25"/>
      <c r="BB2346" s="25"/>
      <c r="BC2346" s="25"/>
      <c r="BD2346" s="25"/>
      <c r="BE2346" s="25"/>
      <c r="BF2346" s="25"/>
      <c r="BG2346" s="25"/>
      <c r="BH2346" s="25"/>
      <c r="BI2346" s="25"/>
      <c r="BJ2346" s="25"/>
      <c r="BK2346" s="25"/>
      <c r="BL2346" s="25"/>
      <c r="BM2346" s="25"/>
      <c r="BN2346" s="25"/>
      <c r="BO2346" s="25"/>
      <c r="BP2346" s="25"/>
      <c r="BQ2346" s="25"/>
      <c r="BR2346" s="25"/>
      <c r="BS2346" s="25"/>
      <c r="BT2346" s="25"/>
      <c r="BU2346"/>
      <c r="BV2346"/>
      <c r="BW2346"/>
      <c r="BX2346"/>
      <c r="BY2346"/>
      <c r="BZ2346"/>
      <c r="CA2346"/>
      <c r="CB2346"/>
      <c r="CC2346"/>
      <c r="CD2346" s="25"/>
    </row>
    <row r="2347" spans="1:82" s="17" customFormat="1" x14ac:dyDescent="0.2">
      <c r="A2347" s="25"/>
      <c r="B2347" s="20">
        <v>39049000720</v>
      </c>
      <c r="C2347" s="20">
        <v>7.2</v>
      </c>
      <c r="D2347" s="20" t="s">
        <v>31</v>
      </c>
      <c r="E2347" s="20" t="s">
        <v>2830</v>
      </c>
      <c r="F2347" s="20" t="s">
        <v>6</v>
      </c>
      <c r="G2347" s="861">
        <v>39.2903383525992</v>
      </c>
      <c r="H2347" s="861">
        <v>37.649456628819799</v>
      </c>
      <c r="I2347" s="861">
        <v>66.076033970173995</v>
      </c>
      <c r="J2347" s="861">
        <v>51.606685670354501</v>
      </c>
      <c r="K2347" s="982">
        <v>0</v>
      </c>
      <c r="L2347" s="735">
        <v>2354</v>
      </c>
      <c r="M2347" s="735">
        <v>2959</v>
      </c>
      <c r="N2347" s="845">
        <f t="shared" si="179"/>
        <v>0.2570093457943925</v>
      </c>
      <c r="O2347" s="735">
        <v>0.84425986032808475</v>
      </c>
      <c r="P2347" s="735">
        <f t="shared" si="180"/>
        <v>3504.8450590202333</v>
      </c>
      <c r="Q2347" s="849">
        <v>31.2</v>
      </c>
      <c r="R2347" s="71">
        <v>36023</v>
      </c>
      <c r="S2347" s="845">
        <v>0.41491525423728814</v>
      </c>
      <c r="T2347" s="845">
        <v>0.14499999999999999</v>
      </c>
      <c r="U2347" s="845">
        <v>0</v>
      </c>
      <c r="V2347" s="845">
        <v>0</v>
      </c>
      <c r="W2347" s="845">
        <v>0.61428571428571432</v>
      </c>
      <c r="X2347" s="845">
        <v>0.53488372093023251</v>
      </c>
      <c r="Y2347" s="845">
        <v>0.15511997296383914</v>
      </c>
      <c r="Z2347" s="845">
        <v>0.58837445082798245</v>
      </c>
      <c r="AA2347" s="845">
        <v>0</v>
      </c>
      <c r="AB2347" s="845">
        <v>0</v>
      </c>
      <c r="AC2347" s="845">
        <v>0</v>
      </c>
      <c r="AD2347" s="845">
        <v>5.2720513687056436E-2</v>
      </c>
      <c r="AE2347" s="845">
        <v>0.203785062521122</v>
      </c>
      <c r="AF2347" s="845">
        <v>0.15038864481243663</v>
      </c>
      <c r="AG2347" s="845">
        <v>0.15511997296383914</v>
      </c>
      <c r="AH2347" s="20" t="str">
        <f t="shared" si="181"/>
        <v>No</v>
      </c>
      <c r="AI2347" s="25"/>
      <c r="AJ2347" s="25"/>
      <c r="AK2347" s="25"/>
      <c r="AL2347" s="25"/>
      <c r="AM2347" s="25"/>
      <c r="AN2347" s="25"/>
      <c r="AO2347" s="25"/>
      <c r="AP2347" s="25"/>
      <c r="AQ2347" s="25"/>
      <c r="AR2347" s="25"/>
      <c r="AS2347" s="25"/>
      <c r="AT2347" s="25"/>
      <c r="AU2347" s="36"/>
      <c r="AV2347" s="36"/>
      <c r="AW2347" s="36"/>
      <c r="AX2347" s="25"/>
      <c r="AY2347" s="25"/>
      <c r="AZ2347" s="25"/>
      <c r="BA2347" s="25"/>
      <c r="BB2347" s="25"/>
      <c r="BC2347" s="25"/>
      <c r="BD2347" s="25"/>
      <c r="BE2347" s="25"/>
      <c r="BF2347" s="25"/>
      <c r="BG2347" s="25"/>
      <c r="BH2347" s="25"/>
      <c r="BI2347" s="25"/>
      <c r="BJ2347" s="25"/>
      <c r="BK2347" s="25"/>
      <c r="BL2347" s="25"/>
      <c r="BM2347" s="25"/>
      <c r="BN2347" s="25"/>
      <c r="BO2347" s="25"/>
      <c r="BP2347" s="25"/>
      <c r="BQ2347" s="25"/>
      <c r="BR2347" s="25"/>
      <c r="BS2347" s="25"/>
      <c r="BT2347" s="25"/>
      <c r="BU2347"/>
      <c r="BV2347"/>
      <c r="BW2347"/>
      <c r="BX2347"/>
      <c r="BY2347"/>
      <c r="BZ2347"/>
      <c r="CA2347"/>
      <c r="CB2347"/>
      <c r="CC2347"/>
      <c r="CD2347" s="25"/>
    </row>
    <row r="2348" spans="1:82" s="17" customFormat="1" x14ac:dyDescent="0.2">
      <c r="A2348" s="25"/>
      <c r="B2348" s="20">
        <v>39081011500</v>
      </c>
      <c r="C2348" s="20">
        <v>115</v>
      </c>
      <c r="D2348" s="20" t="s">
        <v>47</v>
      </c>
      <c r="E2348" s="20" t="s">
        <v>2840</v>
      </c>
      <c r="F2348" s="20" t="s">
        <v>8</v>
      </c>
      <c r="G2348" s="861">
        <v>39.2876191358298</v>
      </c>
      <c r="H2348" s="861">
        <v>42.028555643756299</v>
      </c>
      <c r="I2348" s="861">
        <v>11.7052108095407</v>
      </c>
      <c r="J2348" s="861">
        <v>44.762112665842402</v>
      </c>
      <c r="K2348" s="982">
        <v>0</v>
      </c>
      <c r="L2348" s="735">
        <v>4973</v>
      </c>
      <c r="M2348" s="735">
        <v>4749</v>
      </c>
      <c r="N2348" s="845">
        <f t="shared" si="179"/>
        <v>-4.5043233460687712E-2</v>
      </c>
      <c r="O2348" s="735">
        <v>68.993888547233524</v>
      </c>
      <c r="P2348" s="735">
        <f t="shared" si="180"/>
        <v>68.832183545486259</v>
      </c>
      <c r="Q2348" s="849">
        <v>49.6</v>
      </c>
      <c r="R2348" s="71">
        <v>66700</v>
      </c>
      <c r="S2348" s="845">
        <v>0.11707727942724784</v>
      </c>
      <c r="T2348" s="845">
        <v>1.6E-2</v>
      </c>
      <c r="U2348" s="845">
        <v>0</v>
      </c>
      <c r="V2348" s="845">
        <v>0</v>
      </c>
      <c r="W2348" s="845">
        <v>0.16361788617886178</v>
      </c>
      <c r="X2348" s="845">
        <v>0.20186335403726707</v>
      </c>
      <c r="Y2348" s="845">
        <v>0.95325331648768163</v>
      </c>
      <c r="Z2348" s="845">
        <v>3.3691303432301536E-3</v>
      </c>
      <c r="AA2348" s="845">
        <v>0</v>
      </c>
      <c r="AB2348" s="845">
        <v>1.5161086544535692E-2</v>
      </c>
      <c r="AC2348" s="845">
        <v>0</v>
      </c>
      <c r="AD2348" s="845">
        <v>0</v>
      </c>
      <c r="AE2348" s="845">
        <v>2.8216466624552537E-2</v>
      </c>
      <c r="AF2348" s="845">
        <v>1.4529374605180037E-2</v>
      </c>
      <c r="AG2348" s="845">
        <v>0.95325331648768163</v>
      </c>
      <c r="AH2348" s="20" t="str">
        <f t="shared" si="181"/>
        <v>Yes</v>
      </c>
      <c r="AI2348" s="25"/>
      <c r="AJ2348" s="25"/>
      <c r="AK2348" s="25"/>
      <c r="AL2348" s="25"/>
      <c r="AM2348" s="25"/>
      <c r="AN2348" s="25"/>
      <c r="AO2348" s="25"/>
      <c r="AP2348" s="25"/>
      <c r="AQ2348" s="25"/>
      <c r="AR2348" s="25"/>
      <c r="AS2348" s="25"/>
      <c r="AT2348" s="25"/>
      <c r="AU2348" s="36"/>
      <c r="AV2348" s="36"/>
      <c r="AW2348" s="36"/>
      <c r="AX2348" s="25"/>
      <c r="AY2348" s="25"/>
      <c r="AZ2348" s="25"/>
      <c r="BA2348" s="25"/>
      <c r="BB2348" s="25"/>
      <c r="BC2348" s="25"/>
      <c r="BD2348" s="25"/>
      <c r="BE2348" s="25"/>
      <c r="BF2348" s="25"/>
      <c r="BG2348" s="25"/>
      <c r="BH2348" s="25"/>
      <c r="BI2348" s="25"/>
      <c r="BJ2348" s="25"/>
      <c r="BK2348" s="25"/>
      <c r="BL2348" s="25"/>
      <c r="BM2348" s="25"/>
      <c r="BN2348" s="25"/>
      <c r="BO2348" s="25"/>
      <c r="BP2348" s="25"/>
      <c r="BQ2348" s="25"/>
      <c r="BR2348" s="25"/>
      <c r="BS2348" s="25"/>
      <c r="BT2348" s="25"/>
      <c r="BU2348"/>
      <c r="BV2348"/>
      <c r="BW2348"/>
      <c r="BX2348"/>
      <c r="BY2348"/>
      <c r="BZ2348"/>
      <c r="CA2348"/>
      <c r="CB2348"/>
      <c r="CC2348"/>
      <c r="CD2348" s="25"/>
    </row>
    <row r="2349" spans="1:82" s="17" customFormat="1" x14ac:dyDescent="0.2">
      <c r="A2349" s="25"/>
      <c r="B2349" s="20">
        <v>39035106200</v>
      </c>
      <c r="C2349" s="20">
        <v>1062</v>
      </c>
      <c r="D2349" s="20" t="s">
        <v>24</v>
      </c>
      <c r="E2349" s="20" t="s">
        <v>2829</v>
      </c>
      <c r="F2349" s="20" t="s">
        <v>6</v>
      </c>
      <c r="G2349" s="861">
        <v>39.2873989959905</v>
      </c>
      <c r="H2349" s="861">
        <v>50.467885533959802</v>
      </c>
      <c r="I2349" s="861">
        <v>45.552545811572301</v>
      </c>
      <c r="J2349" s="861">
        <v>37.154761503503899</v>
      </c>
      <c r="K2349" s="982">
        <v>0</v>
      </c>
      <c r="L2349" s="735">
        <v>3791</v>
      </c>
      <c r="M2349" s="735">
        <v>3652</v>
      </c>
      <c r="N2349" s="845">
        <f t="shared" si="179"/>
        <v>-3.6665787391189662E-2</v>
      </c>
      <c r="O2349" s="735">
        <v>0.40113929326107989</v>
      </c>
      <c r="P2349" s="735">
        <f t="shared" si="180"/>
        <v>9104.0694874613309</v>
      </c>
      <c r="Q2349" s="849">
        <v>38.299999999999997</v>
      </c>
      <c r="R2349" s="71">
        <v>42491</v>
      </c>
      <c r="S2349" s="845">
        <v>0.297645125958379</v>
      </c>
      <c r="T2349" s="845">
        <v>7.6999999999999999E-2</v>
      </c>
      <c r="U2349" s="845">
        <v>0</v>
      </c>
      <c r="V2349" s="845">
        <v>5.2999999999999999E-2</v>
      </c>
      <c r="W2349" s="845">
        <v>0.55788842231553692</v>
      </c>
      <c r="X2349" s="845">
        <v>0.49247311827956991</v>
      </c>
      <c r="Y2349" s="845">
        <v>0.58187294633077769</v>
      </c>
      <c r="Z2349" s="845">
        <v>7.4205914567360351E-2</v>
      </c>
      <c r="AA2349" s="845">
        <v>2.3001095290251915E-2</v>
      </c>
      <c r="AB2349" s="845">
        <v>2.7382256297918948E-3</v>
      </c>
      <c r="AC2349" s="845">
        <v>2.6013143483023003E-2</v>
      </c>
      <c r="AD2349" s="845">
        <v>0.14622124863088717</v>
      </c>
      <c r="AE2349" s="845">
        <v>0.145947426067908</v>
      </c>
      <c r="AF2349" s="845">
        <v>0.39238773274917854</v>
      </c>
      <c r="AG2349" s="845">
        <v>0.53504928806133623</v>
      </c>
      <c r="AH2349" s="20" t="str">
        <f t="shared" si="181"/>
        <v>No</v>
      </c>
      <c r="AI2349" s="25"/>
      <c r="AJ2349" s="25"/>
      <c r="AK2349" s="25"/>
      <c r="AL2349" s="25"/>
      <c r="AM2349" s="25"/>
      <c r="AN2349" s="25"/>
      <c r="AO2349" s="25"/>
      <c r="AP2349" s="25"/>
      <c r="AQ2349" s="25"/>
      <c r="AR2349" s="25"/>
      <c r="AS2349" s="25"/>
      <c r="AT2349" s="25"/>
      <c r="AU2349" s="36"/>
      <c r="AV2349" s="36"/>
      <c r="AW2349" s="36"/>
      <c r="AX2349" s="25"/>
      <c r="AY2349" s="25"/>
      <c r="AZ2349" s="25"/>
      <c r="BA2349" s="25"/>
      <c r="BB2349" s="25"/>
      <c r="BC2349" s="25"/>
      <c r="BD2349" s="25"/>
      <c r="BE2349" s="25"/>
      <c r="BF2349" s="25"/>
      <c r="BG2349" s="25"/>
      <c r="BH2349" s="25"/>
      <c r="BI2349" s="25"/>
      <c r="BJ2349" s="25"/>
      <c r="BK2349" s="25"/>
      <c r="BL2349" s="25"/>
      <c r="BM2349" s="25"/>
      <c r="BN2349" s="25"/>
      <c r="BO2349" s="25"/>
      <c r="BP2349" s="25"/>
      <c r="BQ2349" s="25"/>
      <c r="BR2349" s="25"/>
      <c r="BS2349" s="25"/>
      <c r="BT2349" s="25"/>
      <c r="BU2349"/>
      <c r="BV2349"/>
      <c r="BW2349"/>
      <c r="BX2349"/>
      <c r="BY2349"/>
      <c r="BZ2349"/>
      <c r="CA2349"/>
      <c r="CB2349"/>
      <c r="CC2349"/>
      <c r="CD2349" s="25"/>
    </row>
    <row r="2350" spans="1:82" s="17" customFormat="1" x14ac:dyDescent="0.2">
      <c r="A2350" s="25"/>
      <c r="B2350" s="20">
        <v>39035171103</v>
      </c>
      <c r="C2350" s="20">
        <v>1711.03</v>
      </c>
      <c r="D2350" s="20" t="s">
        <v>24</v>
      </c>
      <c r="E2350" s="20" t="s">
        <v>2829</v>
      </c>
      <c r="F2350" s="20" t="s">
        <v>6</v>
      </c>
      <c r="G2350" s="861">
        <v>39.278426838899797</v>
      </c>
      <c r="H2350" s="861">
        <v>40.935290499104902</v>
      </c>
      <c r="I2350" s="861">
        <v>47.968663563176101</v>
      </c>
      <c r="J2350" s="861">
        <v>30.865581983613598</v>
      </c>
      <c r="K2350" s="982">
        <v>0</v>
      </c>
      <c r="L2350" s="735">
        <v>3903</v>
      </c>
      <c r="M2350" s="735">
        <v>3316</v>
      </c>
      <c r="N2350" s="845">
        <f t="shared" si="179"/>
        <v>-0.15039713041250322</v>
      </c>
      <c r="O2350" s="735">
        <v>0.73664585278733197</v>
      </c>
      <c r="P2350" s="735">
        <f t="shared" si="180"/>
        <v>4501.4846516176913</v>
      </c>
      <c r="Q2350" s="849">
        <v>34.799999999999997</v>
      </c>
      <c r="R2350" s="71">
        <v>42063</v>
      </c>
      <c r="S2350" s="845">
        <v>0.34397273008986673</v>
      </c>
      <c r="T2350" s="845">
        <v>0.16800000000000001</v>
      </c>
      <c r="U2350" s="845">
        <v>7.2999999999999995E-2</v>
      </c>
      <c r="V2350" s="845">
        <v>3.7999999999999999E-2</v>
      </c>
      <c r="W2350" s="845">
        <v>0.42822774659182039</v>
      </c>
      <c r="X2350" s="845">
        <v>0.46816479400749061</v>
      </c>
      <c r="Y2350" s="845">
        <v>0.17129071170084439</v>
      </c>
      <c r="Z2350" s="845">
        <v>0.79553679131483712</v>
      </c>
      <c r="AA2350" s="845">
        <v>0</v>
      </c>
      <c r="AB2350" s="845">
        <v>0</v>
      </c>
      <c r="AC2350" s="845">
        <v>0</v>
      </c>
      <c r="AD2350" s="845">
        <v>1.0554885404101327E-2</v>
      </c>
      <c r="AE2350" s="845">
        <v>2.2617611580217131E-2</v>
      </c>
      <c r="AF2350" s="845">
        <v>1.0554885404101327E-2</v>
      </c>
      <c r="AG2350" s="845">
        <v>0.17129071170084439</v>
      </c>
      <c r="AH2350" s="20" t="str">
        <f t="shared" si="181"/>
        <v>No</v>
      </c>
      <c r="AI2350" s="25"/>
      <c r="AJ2350" s="25"/>
      <c r="AK2350" s="25"/>
      <c r="AL2350" s="25"/>
      <c r="AM2350" s="25"/>
      <c r="AN2350" s="25"/>
      <c r="AO2350" s="25"/>
      <c r="AP2350" s="25"/>
      <c r="AQ2350" s="25"/>
      <c r="AR2350" s="25"/>
      <c r="AS2350" s="25"/>
      <c r="AT2350" s="25"/>
      <c r="AU2350" s="36"/>
      <c r="AV2350" s="36"/>
      <c r="AW2350" s="36"/>
      <c r="AX2350" s="25"/>
      <c r="AY2350" s="25"/>
      <c r="AZ2350" s="25"/>
      <c r="BA2350" s="25"/>
      <c r="BB2350" s="25"/>
      <c r="BC2350" s="25"/>
      <c r="BD2350" s="25"/>
      <c r="BE2350" s="25"/>
      <c r="BF2350" s="25"/>
      <c r="BG2350" s="25"/>
      <c r="BH2350" s="25"/>
      <c r="BI2350" s="25"/>
      <c r="BJ2350" s="25"/>
      <c r="BK2350" s="25"/>
      <c r="BL2350" s="25"/>
      <c r="BM2350" s="25"/>
      <c r="BN2350" s="25"/>
      <c r="BO2350" s="25"/>
      <c r="BP2350" s="25"/>
      <c r="BQ2350" s="25"/>
      <c r="BR2350" s="25"/>
      <c r="BS2350" s="25"/>
      <c r="BT2350" s="25"/>
      <c r="BU2350"/>
      <c r="BV2350"/>
      <c r="BW2350"/>
      <c r="BX2350"/>
      <c r="BY2350"/>
      <c r="BZ2350"/>
      <c r="CA2350"/>
      <c r="CB2350"/>
      <c r="CC2350"/>
      <c r="CD2350" s="25"/>
    </row>
    <row r="2351" spans="1:82" s="17" customFormat="1" x14ac:dyDescent="0.2">
      <c r="A2351" s="25"/>
      <c r="B2351" s="20">
        <v>39101010300</v>
      </c>
      <c r="C2351" s="20">
        <v>103</v>
      </c>
      <c r="D2351" s="20" t="s">
        <v>56</v>
      </c>
      <c r="E2351" s="20" t="s">
        <v>265</v>
      </c>
      <c r="F2351" s="20" t="s">
        <v>8</v>
      </c>
      <c r="G2351" s="861">
        <v>39.265359496176501</v>
      </c>
      <c r="H2351" s="861">
        <v>45.041630848314298</v>
      </c>
      <c r="I2351" s="861">
        <v>22.854987447288401</v>
      </c>
      <c r="J2351" s="861">
        <v>51.595071573208998</v>
      </c>
      <c r="K2351" s="982">
        <v>0</v>
      </c>
      <c r="L2351" s="735">
        <v>4786</v>
      </c>
      <c r="M2351" s="735">
        <v>4799</v>
      </c>
      <c r="N2351" s="845">
        <f t="shared" si="179"/>
        <v>2.7162557459256163E-3</v>
      </c>
      <c r="O2351" s="735">
        <v>116.72593354106171</v>
      </c>
      <c r="P2351" s="735">
        <f t="shared" si="180"/>
        <v>41.113400033864913</v>
      </c>
      <c r="Q2351" s="849">
        <v>50.7</v>
      </c>
      <c r="R2351" s="71">
        <v>68324</v>
      </c>
      <c r="S2351" s="845">
        <v>0.10867751355861494</v>
      </c>
      <c r="T2351" s="845">
        <v>4.2999999999999997E-2</v>
      </c>
      <c r="U2351" s="845">
        <v>1.7000000000000001E-2</v>
      </c>
      <c r="V2351" s="845">
        <v>4.8000000000000001E-2</v>
      </c>
      <c r="W2351" s="845">
        <v>0.12821782178217822</v>
      </c>
      <c r="X2351" s="845">
        <v>0.50965250965250963</v>
      </c>
      <c r="Y2351" s="845">
        <v>0.96395082308814339</v>
      </c>
      <c r="Z2351" s="845">
        <v>0</v>
      </c>
      <c r="AA2351" s="845">
        <v>0</v>
      </c>
      <c r="AB2351" s="845">
        <v>0</v>
      </c>
      <c r="AC2351" s="845">
        <v>0</v>
      </c>
      <c r="AD2351" s="845">
        <v>2.0629297770368826E-2</v>
      </c>
      <c r="AE2351" s="845">
        <v>1.541987914148781E-2</v>
      </c>
      <c r="AF2351" s="845">
        <v>2.146280475098979E-2</v>
      </c>
      <c r="AG2351" s="845">
        <v>0.960200041675349</v>
      </c>
      <c r="AH2351" s="20" t="str">
        <f t="shared" si="181"/>
        <v>Yes</v>
      </c>
      <c r="AI2351" s="25"/>
      <c r="AJ2351" s="25"/>
      <c r="AK2351" s="25"/>
      <c r="AL2351" s="25"/>
      <c r="AM2351" s="25"/>
      <c r="AN2351" s="25"/>
      <c r="AO2351" s="25"/>
      <c r="AP2351" s="25"/>
      <c r="AQ2351" s="25"/>
      <c r="AR2351" s="25"/>
      <c r="AS2351" s="25"/>
      <c r="AT2351" s="25"/>
      <c r="AU2351" s="36"/>
      <c r="AV2351" s="36"/>
      <c r="AW2351" s="36"/>
      <c r="AX2351" s="25"/>
      <c r="AY2351" s="25"/>
      <c r="AZ2351" s="25"/>
      <c r="BA2351" s="25"/>
      <c r="BB2351" s="25"/>
      <c r="BC2351" s="25"/>
      <c r="BD2351" s="25"/>
      <c r="BE2351" s="25"/>
      <c r="BF2351" s="25"/>
      <c r="BG2351" s="25"/>
      <c r="BH2351" s="25"/>
      <c r="BI2351" s="25"/>
      <c r="BJ2351" s="25"/>
      <c r="BK2351" s="25"/>
      <c r="BL2351" s="25"/>
      <c r="BM2351" s="25"/>
      <c r="BN2351" s="25"/>
      <c r="BO2351" s="25"/>
      <c r="BP2351" s="25"/>
      <c r="BQ2351" s="25"/>
      <c r="BR2351" s="25"/>
      <c r="BS2351" s="25"/>
      <c r="BT2351" s="25"/>
      <c r="BU2351"/>
      <c r="BV2351"/>
      <c r="BW2351"/>
      <c r="BX2351"/>
      <c r="BY2351"/>
      <c r="BZ2351"/>
      <c r="CA2351"/>
      <c r="CB2351"/>
      <c r="CC2351"/>
      <c r="CD2351" s="25"/>
    </row>
    <row r="2352" spans="1:82" s="17" customFormat="1" x14ac:dyDescent="0.2">
      <c r="A2352" s="25"/>
      <c r="B2352" s="20">
        <v>39145003600</v>
      </c>
      <c r="C2352" s="20">
        <v>36</v>
      </c>
      <c r="D2352" s="20" t="s">
        <v>78</v>
      </c>
      <c r="E2352" s="20" t="s">
        <v>265</v>
      </c>
      <c r="F2352" s="20" t="s">
        <v>6</v>
      </c>
      <c r="G2352" s="861">
        <v>39.263171554421099</v>
      </c>
      <c r="H2352" s="861">
        <v>43.424855446103003</v>
      </c>
      <c r="I2352" s="861">
        <v>34.368870234225497</v>
      </c>
      <c r="J2352" s="861">
        <v>46.147660889097203</v>
      </c>
      <c r="K2352" s="982">
        <v>0</v>
      </c>
      <c r="L2352" s="735">
        <v>2343</v>
      </c>
      <c r="M2352" s="735">
        <v>2147</v>
      </c>
      <c r="N2352" s="845">
        <f t="shared" si="179"/>
        <v>-8.3653435766111825E-2</v>
      </c>
      <c r="O2352" s="735">
        <v>0.76437107659154468</v>
      </c>
      <c r="P2352" s="735">
        <f t="shared" si="180"/>
        <v>2808.8451614022647</v>
      </c>
      <c r="Q2352" s="849">
        <v>29.2</v>
      </c>
      <c r="R2352" s="71">
        <v>21580</v>
      </c>
      <c r="S2352" s="845">
        <v>0.29959785522788202</v>
      </c>
      <c r="T2352" s="845">
        <v>0.10099999999999999</v>
      </c>
      <c r="U2352" s="845">
        <v>0</v>
      </c>
      <c r="V2352" s="845">
        <v>0</v>
      </c>
      <c r="W2352" s="845">
        <v>0.80401416765053124</v>
      </c>
      <c r="X2352" s="845">
        <v>0.3788546255506608</v>
      </c>
      <c r="Y2352" s="845">
        <v>0.90638099673963668</v>
      </c>
      <c r="Z2352" s="845">
        <v>4.6110852352119237E-2</v>
      </c>
      <c r="AA2352" s="845">
        <v>0</v>
      </c>
      <c r="AB2352" s="845">
        <v>0</v>
      </c>
      <c r="AC2352" s="845">
        <v>0</v>
      </c>
      <c r="AD2352" s="845">
        <v>0</v>
      </c>
      <c r="AE2352" s="845">
        <v>4.7508150908244062E-2</v>
      </c>
      <c r="AF2352" s="845">
        <v>7.4522589659990687E-2</v>
      </c>
      <c r="AG2352" s="845">
        <v>0.84489986027014441</v>
      </c>
      <c r="AH2352" s="20" t="str">
        <f t="shared" si="181"/>
        <v>No</v>
      </c>
      <c r="AI2352" s="25"/>
      <c r="AJ2352" s="25"/>
      <c r="AK2352" s="25"/>
      <c r="AL2352" s="25"/>
      <c r="AM2352" s="25"/>
      <c r="AN2352" s="25"/>
      <c r="AO2352" s="25"/>
      <c r="AP2352" s="25"/>
      <c r="AQ2352" s="25"/>
      <c r="AR2352" s="25"/>
      <c r="AS2352" s="25"/>
      <c r="AT2352" s="25"/>
      <c r="AU2352" s="36"/>
      <c r="AV2352" s="36"/>
      <c r="AW2352" s="36"/>
      <c r="AX2352" s="25"/>
      <c r="AY2352" s="25"/>
      <c r="AZ2352" s="25"/>
      <c r="BA2352" s="25"/>
      <c r="BB2352" s="25"/>
      <c r="BC2352" s="25"/>
      <c r="BD2352" s="25"/>
      <c r="BE2352" s="25"/>
      <c r="BF2352" s="25"/>
      <c r="BG2352" s="25"/>
      <c r="BH2352" s="25"/>
      <c r="BI2352" s="25"/>
      <c r="BJ2352" s="25"/>
      <c r="BK2352" s="25"/>
      <c r="BL2352" s="25"/>
      <c r="BM2352" s="25"/>
      <c r="BN2352" s="25"/>
      <c r="BO2352" s="25"/>
      <c r="BP2352" s="25"/>
      <c r="BQ2352" s="25"/>
      <c r="BR2352" s="25"/>
      <c r="BS2352" s="25"/>
      <c r="BT2352" s="25"/>
      <c r="BU2352"/>
      <c r="BV2352"/>
      <c r="BW2352"/>
      <c r="BX2352"/>
      <c r="BY2352"/>
      <c r="BZ2352"/>
      <c r="CA2352"/>
      <c r="CB2352"/>
      <c r="CC2352"/>
      <c r="CD2352" s="25"/>
    </row>
    <row r="2353" spans="1:82" s="17" customFormat="1" x14ac:dyDescent="0.2">
      <c r="A2353" s="25"/>
      <c r="B2353" s="20">
        <v>39035102900</v>
      </c>
      <c r="C2353" s="20">
        <v>1029</v>
      </c>
      <c r="D2353" s="20" t="s">
        <v>24</v>
      </c>
      <c r="E2353" s="20" t="s">
        <v>2829</v>
      </c>
      <c r="F2353" s="20" t="s">
        <v>6</v>
      </c>
      <c r="G2353" s="861">
        <v>39.206953895924002</v>
      </c>
      <c r="H2353" s="861">
        <v>46.076401946832398</v>
      </c>
      <c r="I2353" s="861">
        <v>73.015545396067495</v>
      </c>
      <c r="J2353" s="861">
        <v>37.135204787221703</v>
      </c>
      <c r="K2353" s="982">
        <v>0</v>
      </c>
      <c r="L2353" s="735">
        <v>2106</v>
      </c>
      <c r="M2353" s="735">
        <v>2090</v>
      </c>
      <c r="N2353" s="845">
        <f t="shared" si="179"/>
        <v>-7.5973409306742644E-3</v>
      </c>
      <c r="O2353" s="735">
        <v>0.19872716712973637</v>
      </c>
      <c r="P2353" s="735">
        <f t="shared" si="180"/>
        <v>10516.931480412899</v>
      </c>
      <c r="Q2353" s="849">
        <v>30.6</v>
      </c>
      <c r="R2353" s="71">
        <v>38347</v>
      </c>
      <c r="S2353" s="845">
        <v>0.32392344497607656</v>
      </c>
      <c r="T2353" s="845">
        <v>0.151</v>
      </c>
      <c r="U2353" s="845">
        <v>0</v>
      </c>
      <c r="V2353" s="845">
        <v>3.3000000000000002E-2</v>
      </c>
      <c r="W2353" s="845">
        <v>0.5712143928035982</v>
      </c>
      <c r="X2353" s="845">
        <v>0.49343832020997375</v>
      </c>
      <c r="Y2353" s="845">
        <v>0.25933014354066986</v>
      </c>
      <c r="Z2353" s="845">
        <v>0.20047846889952153</v>
      </c>
      <c r="AA2353" s="845">
        <v>3.8277511961722487E-2</v>
      </c>
      <c r="AB2353" s="845">
        <v>0</v>
      </c>
      <c r="AC2353" s="845">
        <v>0</v>
      </c>
      <c r="AD2353" s="845">
        <v>0.21339712918660286</v>
      </c>
      <c r="AE2353" s="845">
        <v>0.28851674641148323</v>
      </c>
      <c r="AF2353" s="845">
        <v>0.61483253588516751</v>
      </c>
      <c r="AG2353" s="845">
        <v>0.18899521531100477</v>
      </c>
      <c r="AH2353" s="20" t="str">
        <f t="shared" si="181"/>
        <v>No</v>
      </c>
      <c r="AI2353" s="25"/>
      <c r="AJ2353" s="25"/>
      <c r="AK2353" s="25"/>
      <c r="AL2353" s="25"/>
      <c r="AM2353" s="25"/>
      <c r="AN2353" s="25"/>
      <c r="AO2353" s="25"/>
      <c r="AP2353" s="25"/>
      <c r="AQ2353" s="25"/>
      <c r="AR2353" s="25"/>
      <c r="AS2353" s="25"/>
      <c r="AT2353" s="25"/>
      <c r="AU2353" s="36"/>
      <c r="AV2353" s="36"/>
      <c r="AW2353" s="36"/>
      <c r="AX2353" s="25"/>
      <c r="AY2353" s="25"/>
      <c r="AZ2353" s="25"/>
      <c r="BA2353" s="25"/>
      <c r="BB2353" s="25"/>
      <c r="BC2353" s="25"/>
      <c r="BD2353" s="25"/>
      <c r="BE2353" s="25"/>
      <c r="BF2353" s="25"/>
      <c r="BG2353" s="25"/>
      <c r="BH2353" s="25"/>
      <c r="BI2353" s="25"/>
      <c r="BJ2353" s="25"/>
      <c r="BK2353" s="25"/>
      <c r="BL2353" s="25"/>
      <c r="BM2353" s="25"/>
      <c r="BN2353" s="25"/>
      <c r="BO2353" s="25"/>
      <c r="BP2353" s="25"/>
      <c r="BQ2353" s="25"/>
      <c r="BR2353" s="25"/>
      <c r="BS2353" s="25"/>
      <c r="BT2353" s="25"/>
      <c r="BU2353"/>
      <c r="BV2353"/>
      <c r="BW2353"/>
      <c r="BX2353"/>
      <c r="BY2353"/>
      <c r="BZ2353"/>
      <c r="CA2353"/>
      <c r="CB2353"/>
      <c r="CC2353"/>
      <c r="CD2353" s="25"/>
    </row>
    <row r="2354" spans="1:82" s="17" customFormat="1" x14ac:dyDescent="0.2">
      <c r="A2354" s="25"/>
      <c r="B2354" s="20">
        <v>39015951800</v>
      </c>
      <c r="C2354" s="20">
        <v>9518</v>
      </c>
      <c r="D2354" s="20" t="s">
        <v>14</v>
      </c>
      <c r="E2354" s="20" t="s">
        <v>265</v>
      </c>
      <c r="F2354" s="20" t="s">
        <v>6</v>
      </c>
      <c r="G2354" s="861">
        <v>39.177143748832897</v>
      </c>
      <c r="H2354" s="861">
        <v>38.275575331928202</v>
      </c>
      <c r="I2354" s="861">
        <v>34.383286408119297</v>
      </c>
      <c r="J2354" s="861">
        <v>38.001161770738697</v>
      </c>
      <c r="K2354" s="982">
        <v>0</v>
      </c>
      <c r="L2354" s="735">
        <v>5425</v>
      </c>
      <c r="M2354" s="735">
        <v>4904</v>
      </c>
      <c r="N2354" s="845">
        <f t="shared" si="179"/>
        <v>-9.6036866359446998E-2</v>
      </c>
      <c r="O2354" s="735">
        <v>30.096432759299425</v>
      </c>
      <c r="P2354" s="735">
        <f t="shared" si="180"/>
        <v>162.94289888839816</v>
      </c>
      <c r="Q2354" s="849">
        <v>49.7</v>
      </c>
      <c r="R2354" s="71">
        <v>44096</v>
      </c>
      <c r="S2354" s="845">
        <v>0.2857142857142857</v>
      </c>
      <c r="T2354" s="845">
        <v>6.2E-2</v>
      </c>
      <c r="U2354" s="845">
        <v>0</v>
      </c>
      <c r="V2354" s="845">
        <v>4.4999999999999998E-2</v>
      </c>
      <c r="W2354" s="845">
        <v>0.35190741534504927</v>
      </c>
      <c r="X2354" s="845">
        <v>0.4348355663824604</v>
      </c>
      <c r="Y2354" s="845">
        <v>0.96513050570962478</v>
      </c>
      <c r="Z2354" s="845">
        <v>2.3246329526916801E-2</v>
      </c>
      <c r="AA2354" s="845">
        <v>6.1174551386623159E-4</v>
      </c>
      <c r="AB2354" s="845">
        <v>6.1174551386623159E-4</v>
      </c>
      <c r="AC2354" s="845">
        <v>0</v>
      </c>
      <c r="AD2354" s="845">
        <v>7.1370309951060357E-3</v>
      </c>
      <c r="AE2354" s="845">
        <v>3.2626427406199023E-3</v>
      </c>
      <c r="AF2354" s="845">
        <v>1.5497553017944535E-2</v>
      </c>
      <c r="AG2354" s="845">
        <v>0.95676998368678634</v>
      </c>
      <c r="AH2354" s="20" t="str">
        <f t="shared" si="181"/>
        <v>Yes</v>
      </c>
      <c r="AI2354" s="25"/>
      <c r="AJ2354" s="25"/>
      <c r="AK2354" s="25"/>
      <c r="AL2354" s="25"/>
      <c r="AM2354" s="25"/>
      <c r="AN2354" s="25"/>
      <c r="AO2354" s="25"/>
      <c r="AP2354" s="25"/>
      <c r="AQ2354" s="25"/>
      <c r="AR2354" s="25"/>
      <c r="AS2354" s="25"/>
      <c r="AT2354" s="25"/>
      <c r="AU2354" s="36"/>
      <c r="AV2354" s="36"/>
      <c r="AW2354" s="36"/>
      <c r="AX2354" s="25"/>
      <c r="AY2354" s="25"/>
      <c r="AZ2354" s="25"/>
      <c r="BA2354" s="25"/>
      <c r="BB2354" s="25"/>
      <c r="BC2354" s="25"/>
      <c r="BD2354" s="25"/>
      <c r="BE2354" s="25"/>
      <c r="BF2354" s="25"/>
      <c r="BG2354" s="25"/>
      <c r="BH2354" s="25"/>
      <c r="BI2354" s="25"/>
      <c r="BJ2354" s="25"/>
      <c r="BK2354" s="25"/>
      <c r="BL2354" s="25"/>
      <c r="BM2354" s="25"/>
      <c r="BN2354" s="25"/>
      <c r="BO2354" s="25"/>
      <c r="BP2354" s="25"/>
      <c r="BQ2354" s="25"/>
      <c r="BR2354" s="25"/>
      <c r="BS2354" s="25"/>
      <c r="BT2354" s="25"/>
      <c r="BU2354"/>
      <c r="BV2354"/>
      <c r="BW2354"/>
      <c r="BX2354"/>
      <c r="BY2354"/>
      <c r="BZ2354"/>
      <c r="CA2354"/>
      <c r="CB2354"/>
      <c r="CC2354"/>
      <c r="CD2354" s="25"/>
    </row>
    <row r="2355" spans="1:82" s="17" customFormat="1" x14ac:dyDescent="0.2">
      <c r="A2355" s="25"/>
      <c r="B2355" s="20">
        <v>39153520202</v>
      </c>
      <c r="C2355" s="20">
        <v>5202.0200000000004</v>
      </c>
      <c r="D2355" s="20" t="s">
        <v>82</v>
      </c>
      <c r="E2355" s="20" t="s">
        <v>2843</v>
      </c>
      <c r="F2355" s="20" t="s">
        <v>6</v>
      </c>
      <c r="G2355" s="861">
        <v>39.1315755201367</v>
      </c>
      <c r="H2355" s="861">
        <v>47.691043228754602</v>
      </c>
      <c r="I2355" s="861">
        <v>31.866531559908498</v>
      </c>
      <c r="J2355" s="861">
        <v>26.5617842519299</v>
      </c>
      <c r="K2355" s="982">
        <v>0</v>
      </c>
      <c r="L2355" s="735">
        <v>4454</v>
      </c>
      <c r="M2355" s="735">
        <v>4411</v>
      </c>
      <c r="N2355" s="845">
        <f t="shared" si="179"/>
        <v>-9.6542433767400088E-3</v>
      </c>
      <c r="O2355" s="735">
        <v>0.67577298646363282</v>
      </c>
      <c r="P2355" s="735">
        <f t="shared" si="180"/>
        <v>6527.3399327236657</v>
      </c>
      <c r="Q2355" s="849">
        <v>40.200000000000003</v>
      </c>
      <c r="R2355" s="71">
        <v>44474</v>
      </c>
      <c r="S2355" s="845">
        <v>0.15858930602957907</v>
      </c>
      <c r="T2355" s="845">
        <v>1.3999999999999999E-2</v>
      </c>
      <c r="U2355" s="845">
        <v>1.3999999999999999E-2</v>
      </c>
      <c r="V2355" s="845">
        <v>0</v>
      </c>
      <c r="W2355" s="845">
        <v>0.42732290708371667</v>
      </c>
      <c r="X2355" s="845">
        <v>0.40365984930032295</v>
      </c>
      <c r="Y2355" s="845">
        <v>0.86669689412831552</v>
      </c>
      <c r="Z2355" s="845">
        <v>1.5642711403309906E-2</v>
      </c>
      <c r="AA2355" s="845">
        <v>0</v>
      </c>
      <c r="AB2355" s="845">
        <v>1.3375651779641805E-2</v>
      </c>
      <c r="AC2355" s="845">
        <v>0</v>
      </c>
      <c r="AD2355" s="845">
        <v>1.1562004080707322E-2</v>
      </c>
      <c r="AE2355" s="845">
        <v>9.2722738608025393E-2</v>
      </c>
      <c r="AF2355" s="845">
        <v>2.720471548401723E-2</v>
      </c>
      <c r="AG2355" s="845">
        <v>0.86397642257991381</v>
      </c>
      <c r="AH2355" s="20" t="str">
        <f t="shared" si="181"/>
        <v>No</v>
      </c>
      <c r="AI2355" s="25"/>
      <c r="AJ2355" s="25"/>
      <c r="AK2355" s="25"/>
      <c r="AL2355" s="25"/>
      <c r="AM2355" s="25"/>
      <c r="AN2355" s="25"/>
      <c r="AO2355" s="25"/>
      <c r="AP2355" s="25"/>
      <c r="AQ2355" s="25"/>
      <c r="AR2355" s="25"/>
      <c r="AS2355" s="25"/>
      <c r="AT2355" s="25"/>
      <c r="AU2355" s="36"/>
      <c r="AV2355" s="36"/>
      <c r="AW2355" s="36"/>
      <c r="AX2355" s="25"/>
      <c r="AY2355" s="25"/>
      <c r="AZ2355" s="25"/>
      <c r="BA2355" s="25"/>
      <c r="BB2355" s="25"/>
      <c r="BC2355" s="25"/>
      <c r="BD2355" s="25"/>
      <c r="BE2355" s="25"/>
      <c r="BF2355" s="25"/>
      <c r="BG2355" s="25"/>
      <c r="BH2355" s="25"/>
      <c r="BI2355" s="25"/>
      <c r="BJ2355" s="25"/>
      <c r="BK2355" s="25"/>
      <c r="BL2355" s="25"/>
      <c r="BM2355" s="25"/>
      <c r="BN2355" s="25"/>
      <c r="BO2355" s="25"/>
      <c r="BP2355" s="25"/>
      <c r="BQ2355" s="25"/>
      <c r="BR2355" s="25"/>
      <c r="BS2355" s="25"/>
      <c r="BT2355" s="25"/>
      <c r="BU2355"/>
      <c r="BV2355"/>
      <c r="BW2355"/>
      <c r="BX2355"/>
      <c r="BY2355"/>
      <c r="BZ2355"/>
      <c r="CA2355"/>
      <c r="CB2355"/>
      <c r="CC2355"/>
      <c r="CD2355" s="25"/>
    </row>
    <row r="2356" spans="1:82" s="17" customFormat="1" x14ac:dyDescent="0.2">
      <c r="A2356" s="25"/>
      <c r="B2356" s="20">
        <v>39071954700</v>
      </c>
      <c r="C2356" s="20">
        <v>9547</v>
      </c>
      <c r="D2356" s="20" t="s">
        <v>42</v>
      </c>
      <c r="E2356" s="20" t="s">
        <v>265</v>
      </c>
      <c r="F2356" s="20" t="s">
        <v>8</v>
      </c>
      <c r="G2356" s="861">
        <v>39.093488644033201</v>
      </c>
      <c r="H2356" s="861">
        <v>50.887333235224297</v>
      </c>
      <c r="I2356" s="861">
        <v>23.947464910919901</v>
      </c>
      <c r="J2356" s="861">
        <v>51.381381936231399</v>
      </c>
      <c r="K2356" s="982">
        <v>0</v>
      </c>
      <c r="L2356" s="735">
        <v>6214</v>
      </c>
      <c r="M2356" s="735">
        <v>6036</v>
      </c>
      <c r="N2356" s="845">
        <f t="shared" si="179"/>
        <v>-2.8644995172191826E-2</v>
      </c>
      <c r="O2356" s="735">
        <v>82.350891564517653</v>
      </c>
      <c r="P2356" s="735">
        <f t="shared" si="180"/>
        <v>73.296109918507767</v>
      </c>
      <c r="Q2356" s="849">
        <v>42.9</v>
      </c>
      <c r="R2356" s="71">
        <v>63689</v>
      </c>
      <c r="S2356" s="845">
        <v>4.9676025917926567E-2</v>
      </c>
      <c r="T2356" s="845">
        <v>4.2999999999999997E-2</v>
      </c>
      <c r="U2356" s="845">
        <v>0</v>
      </c>
      <c r="V2356" s="845">
        <v>0</v>
      </c>
      <c r="W2356" s="845">
        <v>0.21777386713594368</v>
      </c>
      <c r="X2356" s="845">
        <v>0.32727272727272727</v>
      </c>
      <c r="Y2356" s="845">
        <v>0.98840291583830353</v>
      </c>
      <c r="Z2356" s="845">
        <v>0</v>
      </c>
      <c r="AA2356" s="845">
        <v>0</v>
      </c>
      <c r="AB2356" s="845">
        <v>0</v>
      </c>
      <c r="AC2356" s="845">
        <v>0</v>
      </c>
      <c r="AD2356" s="845">
        <v>1.6567263088137839E-3</v>
      </c>
      <c r="AE2356" s="845">
        <v>9.9403578528827041E-3</v>
      </c>
      <c r="AF2356" s="845">
        <v>4.1418157720344599E-3</v>
      </c>
      <c r="AG2356" s="845">
        <v>0.98591782637508285</v>
      </c>
      <c r="AH2356" s="20" t="str">
        <f t="shared" si="181"/>
        <v>Yes</v>
      </c>
      <c r="AI2356" s="25"/>
      <c r="AJ2356" s="25"/>
      <c r="AK2356" s="25"/>
      <c r="AL2356" s="25"/>
      <c r="AM2356" s="25"/>
      <c r="AN2356" s="25"/>
      <c r="AO2356" s="25"/>
      <c r="AP2356" s="25"/>
      <c r="AQ2356" s="25"/>
      <c r="AR2356" s="25"/>
      <c r="AS2356" s="25"/>
      <c r="AT2356" s="25"/>
      <c r="AU2356" s="36"/>
      <c r="AV2356" s="36"/>
      <c r="AW2356" s="36"/>
      <c r="AX2356" s="25"/>
      <c r="AY2356" s="25"/>
      <c r="AZ2356" s="25"/>
      <c r="BA2356" s="25"/>
      <c r="BB2356" s="25"/>
      <c r="BC2356" s="25"/>
      <c r="BD2356" s="25"/>
      <c r="BE2356" s="25"/>
      <c r="BF2356" s="25"/>
      <c r="BG2356" s="25"/>
      <c r="BH2356" s="25"/>
      <c r="BI2356" s="25"/>
      <c r="BJ2356" s="25"/>
      <c r="BK2356" s="25"/>
      <c r="BL2356" s="25"/>
      <c r="BM2356" s="25"/>
      <c r="BN2356" s="25"/>
      <c r="BO2356" s="25"/>
      <c r="BP2356" s="25"/>
      <c r="BQ2356" s="25"/>
      <c r="BR2356" s="25"/>
      <c r="BS2356" s="25"/>
      <c r="BT2356" s="25"/>
      <c r="BU2356"/>
      <c r="BV2356"/>
      <c r="BW2356"/>
      <c r="BX2356"/>
      <c r="BY2356"/>
      <c r="BZ2356"/>
      <c r="CA2356"/>
      <c r="CB2356"/>
      <c r="CC2356"/>
      <c r="CD2356" s="25"/>
    </row>
    <row r="2357" spans="1:82" s="17" customFormat="1" x14ac:dyDescent="0.2">
      <c r="A2357" s="25"/>
      <c r="B2357" s="20">
        <v>39035198700</v>
      </c>
      <c r="C2357" s="20">
        <v>1987</v>
      </c>
      <c r="D2357" s="20" t="s">
        <v>24</v>
      </c>
      <c r="E2357" s="20" t="s">
        <v>2829</v>
      </c>
      <c r="F2357" s="20" t="s">
        <v>6</v>
      </c>
      <c r="G2357" s="861">
        <v>39.092450835873002</v>
      </c>
      <c r="H2357" s="861">
        <v>37.6566111052569</v>
      </c>
      <c r="I2357" s="861">
        <v>60.292244075499497</v>
      </c>
      <c r="J2357" s="861">
        <v>44.770181741930799</v>
      </c>
      <c r="K2357" s="982">
        <v>1</v>
      </c>
      <c r="L2357" s="735" t="s">
        <v>2466</v>
      </c>
      <c r="M2357" s="735">
        <v>1786</v>
      </c>
      <c r="N2357" s="845" t="str">
        <f t="shared" si="179"/>
        <v/>
      </c>
      <c r="O2357" s="735">
        <v>0.46803535325882251</v>
      </c>
      <c r="P2357" s="735">
        <f t="shared" si="180"/>
        <v>3815.9510549032093</v>
      </c>
      <c r="Q2357" s="849">
        <v>43.9</v>
      </c>
      <c r="R2357" s="71">
        <v>19408</v>
      </c>
      <c r="S2357" s="845">
        <v>0.35666293393057114</v>
      </c>
      <c r="T2357" s="845">
        <v>0.11199999999999999</v>
      </c>
      <c r="U2357" s="845">
        <v>0</v>
      </c>
      <c r="V2357" s="845">
        <v>0.111</v>
      </c>
      <c r="W2357" s="845">
        <v>0.68111455108359131</v>
      </c>
      <c r="X2357" s="845">
        <v>0.26212121212121214</v>
      </c>
      <c r="Y2357" s="845">
        <v>2.5755879059350503E-2</v>
      </c>
      <c r="Z2357" s="845">
        <v>0.88689809630459127</v>
      </c>
      <c r="AA2357" s="845">
        <v>1.6797312430011197E-3</v>
      </c>
      <c r="AB2357" s="845">
        <v>1.7357222844344905E-2</v>
      </c>
      <c r="AC2357" s="845">
        <v>0</v>
      </c>
      <c r="AD2357" s="845">
        <v>2.9115341545352745E-2</v>
      </c>
      <c r="AE2357" s="845">
        <v>3.9193729003359462E-2</v>
      </c>
      <c r="AF2357" s="845">
        <v>8.3986562150055993E-3</v>
      </c>
      <c r="AG2357" s="845">
        <v>2.295632698768197E-2</v>
      </c>
      <c r="AH2357" s="20" t="str">
        <f t="shared" si="181"/>
        <v>No</v>
      </c>
      <c r="AI2357" s="25"/>
      <c r="AJ2357" s="25"/>
      <c r="AK2357" s="25"/>
      <c r="AL2357" s="25"/>
      <c r="AM2357" s="25"/>
      <c r="AN2357" s="25"/>
      <c r="AO2357" s="25"/>
      <c r="AP2357" s="25"/>
      <c r="AQ2357" s="25"/>
      <c r="AR2357" s="25"/>
      <c r="AS2357" s="25"/>
      <c r="AT2357" s="25"/>
      <c r="AU2357" s="36"/>
      <c r="AV2357" s="36"/>
      <c r="AW2357" s="36"/>
      <c r="AX2357" s="25"/>
      <c r="AY2357" s="25"/>
      <c r="AZ2357" s="25"/>
      <c r="BA2357" s="25"/>
      <c r="BB2357" s="25"/>
      <c r="BC2357" s="25"/>
      <c r="BD2357" s="25"/>
      <c r="BE2357" s="25"/>
      <c r="BF2357" s="25"/>
      <c r="BG2357" s="25"/>
      <c r="BH2357" s="25"/>
      <c r="BI2357" s="25"/>
      <c r="BJ2357" s="25"/>
      <c r="BK2357" s="25"/>
      <c r="BL2357" s="25"/>
      <c r="BM2357" s="25"/>
      <c r="BN2357" s="25"/>
      <c r="BO2357" s="25"/>
      <c r="BP2357" s="25"/>
      <c r="BQ2357" s="25"/>
      <c r="BR2357" s="25"/>
      <c r="BS2357" s="25"/>
      <c r="BT2357" s="25"/>
      <c r="BU2357"/>
      <c r="BV2357"/>
      <c r="BW2357"/>
      <c r="BX2357"/>
      <c r="BY2357"/>
      <c r="BZ2357"/>
      <c r="CA2357"/>
      <c r="CB2357"/>
      <c r="CC2357"/>
      <c r="CD2357" s="25"/>
    </row>
    <row r="2358" spans="1:82" s="17" customFormat="1" x14ac:dyDescent="0.2">
      <c r="A2358" s="25"/>
      <c r="B2358" s="20">
        <v>39129020100</v>
      </c>
      <c r="C2358" s="20">
        <v>201</v>
      </c>
      <c r="D2358" s="20" t="s">
        <v>70</v>
      </c>
      <c r="E2358" s="20" t="s">
        <v>2830</v>
      </c>
      <c r="F2358" s="20" t="s">
        <v>6</v>
      </c>
      <c r="G2358" s="861">
        <v>39.088161428649798</v>
      </c>
      <c r="H2358" s="861">
        <v>42.825587628787403</v>
      </c>
      <c r="I2358" s="861">
        <v>45.947241369119602</v>
      </c>
      <c r="J2358" s="861">
        <v>39.9038435045629</v>
      </c>
      <c r="K2358" s="982">
        <v>0</v>
      </c>
      <c r="L2358" s="735">
        <v>1743</v>
      </c>
      <c r="M2358" s="735">
        <v>2069</v>
      </c>
      <c r="N2358" s="845">
        <f t="shared" si="179"/>
        <v>0.18703384968445208</v>
      </c>
      <c r="O2358" s="735">
        <v>0.64720065452346809</v>
      </c>
      <c r="P2358" s="735">
        <f t="shared" si="180"/>
        <v>3196.844727425992</v>
      </c>
      <c r="Q2358" s="849">
        <v>32.299999999999997</v>
      </c>
      <c r="R2358" s="71">
        <v>48295</v>
      </c>
      <c r="S2358" s="845">
        <v>0.30024813895781638</v>
      </c>
      <c r="T2358" s="845">
        <v>0.151</v>
      </c>
      <c r="U2358" s="845">
        <v>0</v>
      </c>
      <c r="V2358" s="845">
        <v>0</v>
      </c>
      <c r="W2358" s="845">
        <v>0.59273670557717251</v>
      </c>
      <c r="X2358" s="845">
        <v>0.39387308533916848</v>
      </c>
      <c r="Y2358" s="845">
        <v>0.85935234412759787</v>
      </c>
      <c r="Z2358" s="845">
        <v>2.9966167230546157E-2</v>
      </c>
      <c r="AA2358" s="845">
        <v>3.8666022232962784E-3</v>
      </c>
      <c r="AB2358" s="845">
        <v>0</v>
      </c>
      <c r="AC2358" s="845">
        <v>0</v>
      </c>
      <c r="AD2358" s="845">
        <v>0</v>
      </c>
      <c r="AE2358" s="845">
        <v>0.10681488641855968</v>
      </c>
      <c r="AF2358" s="845">
        <v>5.7032382793620107E-2</v>
      </c>
      <c r="AG2358" s="845">
        <v>0.85935234412759787</v>
      </c>
      <c r="AH2358" s="20" t="str">
        <f t="shared" si="181"/>
        <v>No</v>
      </c>
      <c r="AI2358" s="25"/>
      <c r="AJ2358" s="25"/>
      <c r="AK2358" s="25"/>
      <c r="AL2358" s="25"/>
      <c r="AM2358" s="25"/>
      <c r="AN2358" s="25"/>
      <c r="AO2358" s="25"/>
      <c r="AP2358" s="25"/>
      <c r="AQ2358" s="25"/>
      <c r="AR2358" s="25"/>
      <c r="AS2358" s="25"/>
      <c r="AT2358" s="25"/>
      <c r="AU2358" s="36"/>
      <c r="AV2358" s="36"/>
      <c r="AW2358" s="36"/>
      <c r="AX2358" s="25"/>
      <c r="AY2358" s="25"/>
      <c r="AZ2358" s="25"/>
      <c r="BA2358" s="25"/>
      <c r="BB2358" s="25"/>
      <c r="BC2358" s="25"/>
      <c r="BD2358" s="25"/>
      <c r="BE2358" s="25"/>
      <c r="BF2358" s="25"/>
      <c r="BG2358" s="25"/>
      <c r="BH2358" s="25"/>
      <c r="BI2358" s="25"/>
      <c r="BJ2358" s="25"/>
      <c r="BK2358" s="25"/>
      <c r="BL2358" s="25"/>
      <c r="BM2358" s="25"/>
      <c r="BN2358" s="25"/>
      <c r="BO2358" s="25"/>
      <c r="BP2358" s="25"/>
      <c r="BQ2358" s="25"/>
      <c r="BR2358" s="25"/>
      <c r="BS2358" s="25"/>
      <c r="BT2358" s="25"/>
      <c r="BU2358"/>
      <c r="BV2358"/>
      <c r="BW2358"/>
      <c r="BX2358"/>
      <c r="BY2358"/>
      <c r="BZ2358"/>
      <c r="CA2358"/>
      <c r="CB2358"/>
      <c r="CC2358"/>
      <c r="CD2358" s="25"/>
    </row>
    <row r="2359" spans="1:82" s="17" customFormat="1" x14ac:dyDescent="0.2">
      <c r="A2359" s="25"/>
      <c r="B2359" s="20">
        <v>39063001300</v>
      </c>
      <c r="C2359" s="20">
        <v>13</v>
      </c>
      <c r="D2359" s="20" t="s">
        <v>38</v>
      </c>
      <c r="E2359" s="20" t="s">
        <v>265</v>
      </c>
      <c r="F2359" s="20" t="s">
        <v>8</v>
      </c>
      <c r="G2359" s="861">
        <v>39.041914832939703</v>
      </c>
      <c r="H2359" s="861">
        <v>44.620373884499102</v>
      </c>
      <c r="I2359" s="861">
        <v>19.395560700790298</v>
      </c>
      <c r="J2359" s="861">
        <v>38.813525157774599</v>
      </c>
      <c r="K2359" s="982">
        <v>0</v>
      </c>
      <c r="L2359" s="735">
        <v>5279</v>
      </c>
      <c r="M2359" s="735">
        <v>5546</v>
      </c>
      <c r="N2359" s="845">
        <f t="shared" si="179"/>
        <v>5.0577760939571892E-2</v>
      </c>
      <c r="O2359" s="735">
        <v>124.08248854856713</v>
      </c>
      <c r="P2359" s="735">
        <f t="shared" si="180"/>
        <v>44.696073272492761</v>
      </c>
      <c r="Q2359" s="849">
        <v>38.5</v>
      </c>
      <c r="R2359" s="71">
        <v>91029</v>
      </c>
      <c r="S2359" s="845">
        <v>5.605095541401274E-2</v>
      </c>
      <c r="T2359" s="845">
        <v>0.04</v>
      </c>
      <c r="U2359" s="845">
        <v>0</v>
      </c>
      <c r="V2359" s="845">
        <v>0</v>
      </c>
      <c r="W2359" s="845">
        <v>0.20384615384615384</v>
      </c>
      <c r="X2359" s="845">
        <v>0.19339622641509435</v>
      </c>
      <c r="Y2359" s="845">
        <v>0.97890371438874868</v>
      </c>
      <c r="Z2359" s="845">
        <v>7.7533357374684458E-3</v>
      </c>
      <c r="AA2359" s="845">
        <v>5.4093040028849626E-4</v>
      </c>
      <c r="AB2359" s="845">
        <v>0</v>
      </c>
      <c r="AC2359" s="845">
        <v>0</v>
      </c>
      <c r="AD2359" s="845">
        <v>1.2621709340064912E-3</v>
      </c>
      <c r="AE2359" s="845">
        <v>1.153984853948792E-2</v>
      </c>
      <c r="AF2359" s="845">
        <v>1.1900468806346917E-2</v>
      </c>
      <c r="AG2359" s="845">
        <v>0.96826541651640818</v>
      </c>
      <c r="AH2359" s="20" t="str">
        <f t="shared" si="181"/>
        <v>Yes</v>
      </c>
      <c r="AI2359" s="25"/>
      <c r="AJ2359" s="25"/>
      <c r="AK2359" s="25"/>
      <c r="AL2359" s="25"/>
      <c r="AM2359" s="25"/>
      <c r="AN2359" s="25"/>
      <c r="AO2359" s="25"/>
      <c r="AP2359" s="25"/>
      <c r="AQ2359" s="25"/>
      <c r="AR2359" s="25"/>
      <c r="AS2359" s="25"/>
      <c r="AT2359" s="25"/>
      <c r="AU2359" s="36"/>
      <c r="AV2359" s="36"/>
      <c r="AW2359" s="36"/>
      <c r="AX2359" s="25"/>
      <c r="AY2359" s="25"/>
      <c r="AZ2359" s="25"/>
      <c r="BA2359" s="25"/>
      <c r="BB2359" s="25"/>
      <c r="BC2359" s="25"/>
      <c r="BD2359" s="25"/>
      <c r="BE2359" s="25"/>
      <c r="BF2359" s="25"/>
      <c r="BG2359" s="25"/>
      <c r="BH2359" s="25"/>
      <c r="BI2359" s="25"/>
      <c r="BJ2359" s="25"/>
      <c r="BK2359" s="25"/>
      <c r="BL2359" s="25"/>
      <c r="BM2359" s="25"/>
      <c r="BN2359" s="25"/>
      <c r="BO2359" s="25"/>
      <c r="BP2359" s="25"/>
      <c r="BQ2359" s="25"/>
      <c r="BR2359" s="25"/>
      <c r="BS2359" s="25"/>
      <c r="BT2359" s="25"/>
      <c r="BU2359"/>
      <c r="BV2359"/>
      <c r="BW2359"/>
      <c r="BX2359"/>
      <c r="BY2359"/>
      <c r="BZ2359"/>
      <c r="CA2359"/>
      <c r="CB2359"/>
      <c r="CC2359"/>
      <c r="CD2359" s="25"/>
    </row>
    <row r="2360" spans="1:82" s="17" customFormat="1" x14ac:dyDescent="0.2">
      <c r="A2360" s="25"/>
      <c r="B2360" s="20">
        <v>39023003400</v>
      </c>
      <c r="C2360" s="20">
        <v>34</v>
      </c>
      <c r="D2360" s="20" t="s">
        <v>18</v>
      </c>
      <c r="E2360" s="20" t="s">
        <v>2838</v>
      </c>
      <c r="F2360" s="20" t="s">
        <v>8</v>
      </c>
      <c r="G2360" s="861">
        <v>39.041269293138797</v>
      </c>
      <c r="H2360" s="861">
        <v>37.6586481121888</v>
      </c>
      <c r="I2360" s="861">
        <v>44.1714477623729</v>
      </c>
      <c r="J2360" s="861">
        <v>50.171100387347302</v>
      </c>
      <c r="K2360" s="982">
        <v>0</v>
      </c>
      <c r="L2360" s="735">
        <v>3711</v>
      </c>
      <c r="M2360" s="735">
        <v>3575</v>
      </c>
      <c r="N2360" s="845">
        <f t="shared" si="179"/>
        <v>-3.6647803826461871E-2</v>
      </c>
      <c r="O2360" s="735">
        <v>1.4559267609919646</v>
      </c>
      <c r="P2360" s="735">
        <f t="shared" si="180"/>
        <v>2455.4806572579587</v>
      </c>
      <c r="Q2360" s="849">
        <v>34.700000000000003</v>
      </c>
      <c r="R2360" s="71">
        <v>52775</v>
      </c>
      <c r="S2360" s="845">
        <v>0.25015733165512899</v>
      </c>
      <c r="T2360" s="845">
        <v>0.11</v>
      </c>
      <c r="U2360" s="845">
        <v>0</v>
      </c>
      <c r="V2360" s="845">
        <v>0</v>
      </c>
      <c r="W2360" s="845">
        <v>0.51345119139123752</v>
      </c>
      <c r="X2360" s="845">
        <v>0.46706586826347307</v>
      </c>
      <c r="Y2360" s="845">
        <v>0.72363636363636363</v>
      </c>
      <c r="Z2360" s="845">
        <v>0.14377622377622379</v>
      </c>
      <c r="AA2360" s="845">
        <v>1.6783216783216783E-3</v>
      </c>
      <c r="AB2360" s="845">
        <v>0</v>
      </c>
      <c r="AC2360" s="845">
        <v>0</v>
      </c>
      <c r="AD2360" s="845">
        <v>2.6293706293706295E-2</v>
      </c>
      <c r="AE2360" s="845">
        <v>0.10461538461538461</v>
      </c>
      <c r="AF2360" s="845">
        <v>4.783216783216783E-2</v>
      </c>
      <c r="AG2360" s="845">
        <v>0.713006993006993</v>
      </c>
      <c r="AH2360" s="20" t="str">
        <f t="shared" si="181"/>
        <v>No</v>
      </c>
      <c r="AI2360" s="25"/>
      <c r="AJ2360" s="25"/>
      <c r="AK2360" s="25"/>
      <c r="AL2360" s="25"/>
      <c r="AM2360" s="25"/>
      <c r="AN2360" s="25"/>
      <c r="AO2360" s="25"/>
      <c r="AP2360" s="25"/>
      <c r="AQ2360" s="25"/>
      <c r="AR2360" s="25"/>
      <c r="AS2360" s="25"/>
      <c r="AT2360" s="25"/>
      <c r="AU2360" s="36"/>
      <c r="AV2360" s="36"/>
      <c r="AW2360" s="36"/>
      <c r="AX2360" s="25"/>
      <c r="AY2360" s="25"/>
      <c r="AZ2360" s="25"/>
      <c r="BA2360" s="25"/>
      <c r="BB2360" s="25"/>
      <c r="BC2360" s="25"/>
      <c r="BD2360" s="25"/>
      <c r="BE2360" s="25"/>
      <c r="BF2360" s="25"/>
      <c r="BG2360" s="25"/>
      <c r="BH2360" s="25"/>
      <c r="BI2360" s="25"/>
      <c r="BJ2360" s="25"/>
      <c r="BK2360" s="25"/>
      <c r="BL2360" s="25"/>
      <c r="BM2360" s="25"/>
      <c r="BN2360" s="25"/>
      <c r="BO2360" s="25"/>
      <c r="BP2360" s="25"/>
      <c r="BQ2360" s="25"/>
      <c r="BR2360" s="25"/>
      <c r="BS2360" s="25"/>
      <c r="BT2360" s="25"/>
      <c r="BU2360"/>
      <c r="BV2360"/>
      <c r="BW2360"/>
      <c r="BX2360"/>
      <c r="BY2360"/>
      <c r="BZ2360"/>
      <c r="CA2360"/>
      <c r="CB2360"/>
      <c r="CC2360"/>
      <c r="CD2360" s="25"/>
    </row>
    <row r="2361" spans="1:82" s="17" customFormat="1" x14ac:dyDescent="0.2">
      <c r="A2361" s="25"/>
      <c r="B2361" s="20">
        <v>39047925800</v>
      </c>
      <c r="C2361" s="20">
        <v>9258</v>
      </c>
      <c r="D2361" s="20" t="s">
        <v>30</v>
      </c>
      <c r="E2361" s="20" t="s">
        <v>265</v>
      </c>
      <c r="F2361" s="20" t="s">
        <v>8</v>
      </c>
      <c r="G2361" s="861">
        <v>39.039119888907102</v>
      </c>
      <c r="H2361" s="861">
        <v>47.604765851117598</v>
      </c>
      <c r="I2361" s="861">
        <v>20.589185306884101</v>
      </c>
      <c r="J2361" s="861">
        <v>46.948812053315599</v>
      </c>
      <c r="K2361" s="982">
        <v>0</v>
      </c>
      <c r="L2361" s="735">
        <v>4035</v>
      </c>
      <c r="M2361" s="735">
        <v>3583</v>
      </c>
      <c r="N2361" s="845">
        <f t="shared" si="179"/>
        <v>-0.11201982651796778</v>
      </c>
      <c r="O2361" s="735">
        <v>124.1823592773173</v>
      </c>
      <c r="P2361" s="735">
        <f t="shared" si="180"/>
        <v>28.852729331697095</v>
      </c>
      <c r="Q2361" s="849">
        <v>41.7</v>
      </c>
      <c r="R2361" s="71">
        <v>80313</v>
      </c>
      <c r="S2361" s="845">
        <v>8.9310633547306728E-2</v>
      </c>
      <c r="T2361" s="845">
        <v>2.6000000000000002E-2</v>
      </c>
      <c r="U2361" s="845">
        <v>0</v>
      </c>
      <c r="V2361" s="845">
        <v>0</v>
      </c>
      <c r="W2361" s="845">
        <v>0.17655897821187078</v>
      </c>
      <c r="X2361" s="845">
        <v>0.1276595744680851</v>
      </c>
      <c r="Y2361" s="845">
        <v>0.94306447111359193</v>
      </c>
      <c r="Z2361" s="845">
        <v>5.5819145967066705E-3</v>
      </c>
      <c r="AA2361" s="845">
        <v>2.7909572983533354E-4</v>
      </c>
      <c r="AB2361" s="845">
        <v>3.0700530281886685E-3</v>
      </c>
      <c r="AC2361" s="845">
        <v>0</v>
      </c>
      <c r="AD2361" s="845">
        <v>5.5819145967066705E-3</v>
      </c>
      <c r="AE2361" s="845">
        <v>4.2422550934970694E-2</v>
      </c>
      <c r="AF2361" s="845">
        <v>4.1864359475300025E-2</v>
      </c>
      <c r="AG2361" s="845">
        <v>0.93999441808540329</v>
      </c>
      <c r="AH2361" s="20" t="str">
        <f t="shared" si="181"/>
        <v>Yes</v>
      </c>
      <c r="AI2361" s="25"/>
      <c r="AJ2361" s="25"/>
      <c r="AK2361" s="25"/>
      <c r="AL2361" s="25"/>
      <c r="AM2361" s="25"/>
      <c r="AN2361" s="25"/>
      <c r="AO2361" s="25"/>
      <c r="AP2361" s="25"/>
      <c r="AQ2361" s="25"/>
      <c r="AR2361" s="25"/>
      <c r="AS2361" s="25"/>
      <c r="AT2361" s="25"/>
      <c r="AU2361" s="36"/>
      <c r="AV2361" s="36"/>
      <c r="AW2361" s="36"/>
      <c r="AX2361" s="25"/>
      <c r="AY2361" s="25"/>
      <c r="AZ2361" s="25"/>
      <c r="BA2361" s="25"/>
      <c r="BB2361" s="25"/>
      <c r="BC2361" s="25"/>
      <c r="BD2361" s="25"/>
      <c r="BE2361" s="25"/>
      <c r="BF2361" s="25"/>
      <c r="BG2361" s="25"/>
      <c r="BH2361" s="25"/>
      <c r="BI2361" s="25"/>
      <c r="BJ2361" s="25"/>
      <c r="BK2361" s="25"/>
      <c r="BL2361" s="25"/>
      <c r="BM2361" s="25"/>
      <c r="BN2361" s="25"/>
      <c r="BO2361" s="25"/>
      <c r="BP2361" s="25"/>
      <c r="BQ2361" s="25"/>
      <c r="BR2361" s="25"/>
      <c r="BS2361" s="25"/>
      <c r="BT2361" s="25"/>
      <c r="BU2361"/>
      <c r="BV2361"/>
      <c r="BW2361"/>
      <c r="BX2361"/>
      <c r="BY2361"/>
      <c r="BZ2361"/>
      <c r="CA2361"/>
      <c r="CB2361"/>
      <c r="CC2361"/>
      <c r="CD2361" s="25"/>
    </row>
    <row r="2362" spans="1:82" s="17" customFormat="1" x14ac:dyDescent="0.2">
      <c r="A2362" s="25"/>
      <c r="B2362" s="20">
        <v>39095007501</v>
      </c>
      <c r="C2362" s="20">
        <v>75.010000000000005</v>
      </c>
      <c r="D2362" s="20" t="s">
        <v>53</v>
      </c>
      <c r="E2362" s="20" t="s">
        <v>2839</v>
      </c>
      <c r="F2362" s="20" t="s">
        <v>8</v>
      </c>
      <c r="G2362" s="861">
        <v>39.038421792814702</v>
      </c>
      <c r="H2362" s="861">
        <v>39.849697641048799</v>
      </c>
      <c r="I2362" s="861">
        <v>50.217725918763499</v>
      </c>
      <c r="J2362" s="861">
        <v>38.990841348036497</v>
      </c>
      <c r="K2362" s="982">
        <v>0</v>
      </c>
      <c r="L2362" s="735" t="s">
        <v>2466</v>
      </c>
      <c r="M2362" s="735">
        <v>2188</v>
      </c>
      <c r="N2362" s="845" t="str">
        <f t="shared" si="179"/>
        <v/>
      </c>
      <c r="O2362" s="735">
        <v>0.91443354155011936</v>
      </c>
      <c r="P2362" s="735">
        <f t="shared" si="180"/>
        <v>2392.7381275745533</v>
      </c>
      <c r="Q2362" s="849">
        <v>34.200000000000003</v>
      </c>
      <c r="R2362" s="71">
        <v>49746</v>
      </c>
      <c r="S2362" s="845">
        <v>0.19218390804597701</v>
      </c>
      <c r="T2362" s="845">
        <v>5.9000000000000004E-2</v>
      </c>
      <c r="U2362" s="845">
        <v>0</v>
      </c>
      <c r="V2362" s="845">
        <v>0.09</v>
      </c>
      <c r="W2362" s="845">
        <v>0.54743083003952564</v>
      </c>
      <c r="X2362" s="845">
        <v>0.51985559566786999</v>
      </c>
      <c r="Y2362" s="845">
        <v>0.3327239488117002</v>
      </c>
      <c r="Z2362" s="845">
        <v>0.50548446069469832</v>
      </c>
      <c r="AA2362" s="845">
        <v>0</v>
      </c>
      <c r="AB2362" s="845">
        <v>0.1010054844606947</v>
      </c>
      <c r="AC2362" s="845">
        <v>0</v>
      </c>
      <c r="AD2362" s="845">
        <v>3.9305301645338207E-2</v>
      </c>
      <c r="AE2362" s="845">
        <v>2.1480804387568556E-2</v>
      </c>
      <c r="AF2362" s="845">
        <v>2.7422303473491772E-2</v>
      </c>
      <c r="AG2362" s="845">
        <v>0.3327239488117002</v>
      </c>
      <c r="AH2362" s="20" t="str">
        <f t="shared" si="181"/>
        <v>No</v>
      </c>
      <c r="AI2362" s="25"/>
      <c r="AJ2362" s="25"/>
      <c r="AK2362" s="25"/>
      <c r="AL2362" s="25"/>
      <c r="AM2362" s="25"/>
      <c r="AN2362" s="25"/>
      <c r="AO2362" s="25"/>
      <c r="AP2362" s="25"/>
      <c r="AQ2362" s="25"/>
      <c r="AR2362" s="25"/>
      <c r="AS2362" s="25"/>
      <c r="AT2362" s="25"/>
      <c r="AU2362" s="36"/>
      <c r="AV2362" s="36"/>
      <c r="AW2362" s="36"/>
      <c r="AX2362" s="25"/>
      <c r="AY2362" s="25"/>
      <c r="AZ2362" s="25"/>
      <c r="BA2362" s="25"/>
      <c r="BB2362" s="25"/>
      <c r="BC2362" s="25"/>
      <c r="BD2362" s="25"/>
      <c r="BE2362" s="25"/>
      <c r="BF2362" s="25"/>
      <c r="BG2362" s="25"/>
      <c r="BH2362" s="25"/>
      <c r="BI2362" s="25"/>
      <c r="BJ2362" s="25"/>
      <c r="BK2362" s="25"/>
      <c r="BL2362" s="25"/>
      <c r="BM2362" s="25"/>
      <c r="BN2362" s="25"/>
      <c r="BO2362" s="25"/>
      <c r="BP2362" s="25"/>
      <c r="BQ2362" s="25"/>
      <c r="BR2362" s="25"/>
      <c r="BS2362" s="25"/>
      <c r="BT2362" s="25"/>
      <c r="BU2362"/>
      <c r="BV2362"/>
      <c r="BW2362"/>
      <c r="BX2362"/>
      <c r="BY2362"/>
      <c r="BZ2362"/>
      <c r="CA2362"/>
      <c r="CB2362"/>
      <c r="CC2362"/>
      <c r="CD2362" s="25"/>
    </row>
    <row r="2363" spans="1:82" s="17" customFormat="1" x14ac:dyDescent="0.2">
      <c r="A2363" s="25"/>
      <c r="B2363" s="20">
        <v>39045032602</v>
      </c>
      <c r="C2363" s="20">
        <v>326.02</v>
      </c>
      <c r="D2363" s="20" t="s">
        <v>29</v>
      </c>
      <c r="E2363" s="20" t="s">
        <v>2830</v>
      </c>
      <c r="F2363" s="20" t="s">
        <v>8</v>
      </c>
      <c r="G2363" s="861">
        <v>39.030703669199802</v>
      </c>
      <c r="H2363" s="861">
        <v>51.966678419942802</v>
      </c>
      <c r="I2363" s="861">
        <v>31.804999068870799</v>
      </c>
      <c r="J2363" s="861">
        <v>49.753998310076099</v>
      </c>
      <c r="K2363" s="982">
        <v>0</v>
      </c>
      <c r="L2363" s="735" t="s">
        <v>2466</v>
      </c>
      <c r="M2363" s="735">
        <v>3473</v>
      </c>
      <c r="N2363" s="845" t="str">
        <f t="shared" si="179"/>
        <v/>
      </c>
      <c r="O2363" s="735">
        <v>45.894430766325023</v>
      </c>
      <c r="P2363" s="735">
        <f t="shared" si="180"/>
        <v>75.673669811551719</v>
      </c>
      <c r="Q2363" s="849">
        <v>46</v>
      </c>
      <c r="R2363" s="71">
        <v>82083</v>
      </c>
      <c r="S2363" s="845">
        <v>0.10274170274170275</v>
      </c>
      <c r="T2363" s="845">
        <v>3.7999999999999999E-2</v>
      </c>
      <c r="U2363" s="845">
        <v>0</v>
      </c>
      <c r="V2363" s="845">
        <v>0</v>
      </c>
      <c r="W2363" s="845">
        <v>0.15128593040847202</v>
      </c>
      <c r="X2363" s="845">
        <v>0.53500000000000003</v>
      </c>
      <c r="Y2363" s="845">
        <v>0.9355024474517708</v>
      </c>
      <c r="Z2363" s="845">
        <v>9.7898070832133609E-3</v>
      </c>
      <c r="AA2363" s="845">
        <v>0</v>
      </c>
      <c r="AB2363" s="845">
        <v>7.4863230636337463E-3</v>
      </c>
      <c r="AC2363" s="845">
        <v>0</v>
      </c>
      <c r="AD2363" s="845">
        <v>8.6380650734235523E-3</v>
      </c>
      <c r="AE2363" s="845">
        <v>3.8583357327958534E-2</v>
      </c>
      <c r="AF2363" s="845">
        <v>0</v>
      </c>
      <c r="AG2363" s="845">
        <v>0.9355024474517708</v>
      </c>
      <c r="AH2363" s="20" t="str">
        <f t="shared" si="181"/>
        <v>Yes</v>
      </c>
      <c r="AI2363" s="25"/>
      <c r="AJ2363" s="25"/>
      <c r="AK2363" s="25"/>
      <c r="AL2363" s="25"/>
      <c r="AM2363" s="25"/>
      <c r="AN2363" s="25"/>
      <c r="AO2363" s="25"/>
      <c r="AP2363" s="25"/>
      <c r="AQ2363" s="25"/>
      <c r="AR2363" s="25"/>
      <c r="AS2363" s="25"/>
      <c r="AT2363" s="25"/>
      <c r="AU2363" s="36"/>
      <c r="AV2363" s="36"/>
      <c r="AW2363" s="36"/>
      <c r="AX2363" s="25"/>
      <c r="AY2363" s="25"/>
      <c r="AZ2363" s="25"/>
      <c r="BA2363" s="25"/>
      <c r="BB2363" s="25"/>
      <c r="BC2363" s="25"/>
      <c r="BD2363" s="25"/>
      <c r="BE2363" s="25"/>
      <c r="BF2363" s="25"/>
      <c r="BG2363" s="25"/>
      <c r="BH2363" s="25"/>
      <c r="BI2363" s="25"/>
      <c r="BJ2363" s="25"/>
      <c r="BK2363" s="25"/>
      <c r="BL2363" s="25"/>
      <c r="BM2363" s="25"/>
      <c r="BN2363" s="25"/>
      <c r="BO2363" s="25"/>
      <c r="BP2363" s="25"/>
      <c r="BQ2363" s="25"/>
      <c r="BR2363" s="25"/>
      <c r="BS2363" s="25"/>
      <c r="BT2363" s="25"/>
      <c r="BU2363"/>
      <c r="BV2363"/>
      <c r="BW2363"/>
      <c r="BX2363"/>
      <c r="BY2363"/>
      <c r="BZ2363"/>
      <c r="CA2363"/>
      <c r="CB2363"/>
      <c r="CC2363"/>
      <c r="CD2363" s="25"/>
    </row>
    <row r="2364" spans="1:82" s="17" customFormat="1" x14ac:dyDescent="0.2">
      <c r="A2364" s="25"/>
      <c r="B2364" s="20">
        <v>39033974800</v>
      </c>
      <c r="C2364" s="20">
        <v>9748</v>
      </c>
      <c r="D2364" s="20" t="s">
        <v>23</v>
      </c>
      <c r="E2364" s="20" t="s">
        <v>265</v>
      </c>
      <c r="F2364" s="20" t="s">
        <v>8</v>
      </c>
      <c r="G2364" s="861">
        <v>39.025855173254698</v>
      </c>
      <c r="H2364" s="861">
        <v>50.084365037517301</v>
      </c>
      <c r="I2364" s="861">
        <v>48.348023798631097</v>
      </c>
      <c r="J2364" s="861">
        <v>21.267270879037401</v>
      </c>
      <c r="K2364" s="982">
        <v>0</v>
      </c>
      <c r="L2364" s="735">
        <v>2134</v>
      </c>
      <c r="M2364" s="735">
        <v>2097</v>
      </c>
      <c r="N2364" s="845">
        <f t="shared" si="179"/>
        <v>-1.7338331771321464E-2</v>
      </c>
      <c r="O2364" s="735">
        <v>11.874751811119319</v>
      </c>
      <c r="P2364" s="735">
        <f t="shared" si="180"/>
        <v>176.59316450188072</v>
      </c>
      <c r="Q2364" s="849">
        <v>48.4</v>
      </c>
      <c r="R2364" s="71">
        <v>53190</v>
      </c>
      <c r="S2364" s="845">
        <v>0.20193236714975846</v>
      </c>
      <c r="T2364" s="845">
        <v>0.121</v>
      </c>
      <c r="U2364" s="845">
        <v>0</v>
      </c>
      <c r="V2364" s="845">
        <v>0.105</v>
      </c>
      <c r="W2364" s="845">
        <v>0.30434782608695654</v>
      </c>
      <c r="X2364" s="845">
        <v>0.70129870129870131</v>
      </c>
      <c r="Y2364" s="845">
        <v>0.87935145445875063</v>
      </c>
      <c r="Z2364" s="845">
        <v>3.1473533619456366E-2</v>
      </c>
      <c r="AA2364" s="845">
        <v>0</v>
      </c>
      <c r="AB2364" s="845">
        <v>0</v>
      </c>
      <c r="AC2364" s="845">
        <v>0</v>
      </c>
      <c r="AD2364" s="845">
        <v>1.9074868860276585E-3</v>
      </c>
      <c r="AE2364" s="845">
        <v>8.7267525035765375E-2</v>
      </c>
      <c r="AF2364" s="845">
        <v>2.9566046733428709E-2</v>
      </c>
      <c r="AG2364" s="845">
        <v>0.87935145445875063</v>
      </c>
      <c r="AH2364" s="20" t="str">
        <f t="shared" si="181"/>
        <v>No</v>
      </c>
      <c r="AI2364" s="25"/>
      <c r="AJ2364" s="25"/>
      <c r="AK2364" s="25"/>
      <c r="AL2364" s="25"/>
      <c r="AM2364" s="25"/>
      <c r="AN2364" s="25"/>
      <c r="AO2364" s="25"/>
      <c r="AP2364" s="25"/>
      <c r="AQ2364" s="25"/>
      <c r="AR2364" s="25"/>
      <c r="AS2364" s="25"/>
      <c r="AT2364" s="25"/>
      <c r="AU2364" s="36"/>
      <c r="AV2364" s="36"/>
      <c r="AW2364" s="36"/>
      <c r="AX2364" s="25"/>
      <c r="AY2364" s="25"/>
      <c r="AZ2364" s="25"/>
      <c r="BA2364" s="25"/>
      <c r="BB2364" s="25"/>
      <c r="BC2364" s="25"/>
      <c r="BD2364" s="25"/>
      <c r="BE2364" s="25"/>
      <c r="BF2364" s="25"/>
      <c r="BG2364" s="25"/>
      <c r="BH2364" s="25"/>
      <c r="BI2364" s="25"/>
      <c r="BJ2364" s="25"/>
      <c r="BK2364" s="25"/>
      <c r="BL2364" s="25"/>
      <c r="BM2364" s="25"/>
      <c r="BN2364" s="25"/>
      <c r="BO2364" s="25"/>
      <c r="BP2364" s="25"/>
      <c r="BQ2364" s="25"/>
      <c r="BR2364" s="25"/>
      <c r="BS2364" s="25"/>
      <c r="BT2364" s="25"/>
      <c r="BU2364"/>
      <c r="BV2364"/>
      <c r="BW2364"/>
      <c r="BX2364"/>
      <c r="BY2364"/>
      <c r="BZ2364"/>
      <c r="CA2364"/>
      <c r="CB2364"/>
      <c r="CC2364"/>
      <c r="CD2364" s="25"/>
    </row>
    <row r="2365" spans="1:82" s="17" customFormat="1" x14ac:dyDescent="0.2">
      <c r="A2365" s="25"/>
      <c r="B2365" s="20">
        <v>39001770301</v>
      </c>
      <c r="C2365" s="20">
        <v>7703.01</v>
      </c>
      <c r="D2365" s="20" t="s">
        <v>5</v>
      </c>
      <c r="E2365" s="20" t="s">
        <v>265</v>
      </c>
      <c r="F2365" s="20" t="s">
        <v>8</v>
      </c>
      <c r="G2365" s="861">
        <v>39.023316825366997</v>
      </c>
      <c r="H2365" s="861">
        <v>48.799390022343196</v>
      </c>
      <c r="I2365" s="861">
        <v>18.656488573789801</v>
      </c>
      <c r="J2365" s="861">
        <v>60.1491478996235</v>
      </c>
      <c r="K2365" s="982">
        <v>0</v>
      </c>
      <c r="L2365" s="735" t="s">
        <v>2466</v>
      </c>
      <c r="M2365" s="735">
        <v>3870</v>
      </c>
      <c r="N2365" s="845" t="str">
        <f t="shared" si="179"/>
        <v/>
      </c>
      <c r="O2365" s="735">
        <v>83.292810560431491</v>
      </c>
      <c r="P2365" s="735">
        <f t="shared" si="180"/>
        <v>46.462593517506484</v>
      </c>
      <c r="Q2365" s="849">
        <v>37.1</v>
      </c>
      <c r="R2365" s="71">
        <v>84375</v>
      </c>
      <c r="S2365" s="845">
        <v>9.7157622739018082E-2</v>
      </c>
      <c r="T2365" s="845">
        <v>4.0000000000000001E-3</v>
      </c>
      <c r="U2365" s="845">
        <v>0</v>
      </c>
      <c r="V2365" s="845">
        <v>4.5999999999999999E-2</v>
      </c>
      <c r="W2365" s="845">
        <v>0.11151079136690648</v>
      </c>
      <c r="X2365" s="845">
        <v>0.25806451612903225</v>
      </c>
      <c r="Y2365" s="845">
        <v>0.96537467700258395</v>
      </c>
      <c r="Z2365" s="845">
        <v>1.3436692506459949E-2</v>
      </c>
      <c r="AA2365" s="845">
        <v>0</v>
      </c>
      <c r="AB2365" s="845">
        <v>0</v>
      </c>
      <c r="AC2365" s="845">
        <v>0</v>
      </c>
      <c r="AD2365" s="845">
        <v>9.5607235142118868E-3</v>
      </c>
      <c r="AE2365" s="845">
        <v>1.1627906976744186E-2</v>
      </c>
      <c r="AF2365" s="845">
        <v>6.9767441860465115E-3</v>
      </c>
      <c r="AG2365" s="845">
        <v>0.96537467700258395</v>
      </c>
      <c r="AH2365" s="20" t="str">
        <f t="shared" si="181"/>
        <v>Yes</v>
      </c>
      <c r="AI2365" s="25"/>
      <c r="AJ2365" s="25"/>
      <c r="AK2365" s="25"/>
      <c r="AL2365" s="25"/>
      <c r="AM2365" s="25"/>
      <c r="AN2365" s="25"/>
      <c r="AO2365" s="25"/>
      <c r="AP2365" s="25"/>
      <c r="AQ2365" s="25"/>
      <c r="AR2365" s="25"/>
      <c r="AS2365" s="25"/>
      <c r="AT2365" s="25"/>
      <c r="AU2365" s="36"/>
      <c r="AV2365" s="36"/>
      <c r="AW2365" s="36"/>
      <c r="AX2365" s="25"/>
      <c r="AY2365" s="25"/>
      <c r="AZ2365" s="25"/>
      <c r="BA2365" s="25"/>
      <c r="BB2365" s="25"/>
      <c r="BC2365" s="25"/>
      <c r="BD2365" s="25"/>
      <c r="BE2365" s="25"/>
      <c r="BF2365" s="25"/>
      <c r="BG2365" s="25"/>
      <c r="BH2365" s="25"/>
      <c r="BI2365" s="25"/>
      <c r="BJ2365" s="25"/>
      <c r="BK2365" s="25"/>
      <c r="BL2365" s="25"/>
      <c r="BM2365" s="25"/>
      <c r="BN2365" s="25"/>
      <c r="BO2365" s="25"/>
      <c r="BP2365" s="25"/>
      <c r="BQ2365" s="25"/>
      <c r="BR2365" s="25"/>
      <c r="BS2365" s="25"/>
      <c r="BT2365" s="25"/>
      <c r="BU2365"/>
      <c r="BV2365"/>
      <c r="BW2365"/>
      <c r="BX2365"/>
      <c r="BY2365"/>
      <c r="BZ2365"/>
      <c r="CA2365"/>
      <c r="CB2365"/>
      <c r="CC2365"/>
      <c r="CD2365" s="25"/>
    </row>
    <row r="2366" spans="1:82" s="17" customFormat="1" x14ac:dyDescent="0.2">
      <c r="A2366" s="25"/>
      <c r="B2366" s="20">
        <v>39035118301</v>
      </c>
      <c r="C2366" s="20">
        <v>1183.01</v>
      </c>
      <c r="D2366" s="20" t="s">
        <v>24</v>
      </c>
      <c r="E2366" s="20" t="s">
        <v>2829</v>
      </c>
      <c r="F2366" s="20" t="s">
        <v>6</v>
      </c>
      <c r="G2366" s="861">
        <v>39.018035177730802</v>
      </c>
      <c r="H2366" s="861">
        <v>56.535279869141803</v>
      </c>
      <c r="I2366" s="861">
        <v>74.985997357191096</v>
      </c>
      <c r="J2366" s="861">
        <v>36.868210484168699</v>
      </c>
      <c r="K2366" s="982">
        <v>4</v>
      </c>
      <c r="L2366" s="735">
        <v>2619</v>
      </c>
      <c r="M2366" s="735">
        <v>2829</v>
      </c>
      <c r="N2366" s="845">
        <f t="shared" si="179"/>
        <v>8.0183276059564726E-2</v>
      </c>
      <c r="O2366" s="735">
        <v>0.36015068810489637</v>
      </c>
      <c r="P2366" s="735">
        <f t="shared" si="180"/>
        <v>7855.0453836035276</v>
      </c>
      <c r="Q2366" s="849">
        <v>25.6</v>
      </c>
      <c r="R2366" s="71">
        <v>43969</v>
      </c>
      <c r="S2366" s="845">
        <v>0.26795284030010719</v>
      </c>
      <c r="T2366" s="845">
        <v>0.13400000000000001</v>
      </c>
      <c r="U2366" s="845">
        <v>0</v>
      </c>
      <c r="V2366" s="845">
        <v>5.0999999999999997E-2</v>
      </c>
      <c r="W2366" s="845">
        <v>0.6004273504273504</v>
      </c>
      <c r="X2366" s="845">
        <v>0.43238434163701067</v>
      </c>
      <c r="Y2366" s="845">
        <v>7.8826440438317422E-2</v>
      </c>
      <c r="Z2366" s="845">
        <v>0.85825379992930362</v>
      </c>
      <c r="AA2366" s="845">
        <v>0</v>
      </c>
      <c r="AB2366" s="845">
        <v>3.8529515729939907E-2</v>
      </c>
      <c r="AC2366" s="845">
        <v>0</v>
      </c>
      <c r="AD2366" s="845">
        <v>0</v>
      </c>
      <c r="AE2366" s="845">
        <v>2.4390243902439025E-2</v>
      </c>
      <c r="AF2366" s="845">
        <v>1.519971721456345E-2</v>
      </c>
      <c r="AG2366" s="845">
        <v>6.5747613997879109E-2</v>
      </c>
      <c r="AH2366" s="20" t="str">
        <f t="shared" si="181"/>
        <v>No</v>
      </c>
      <c r="AI2366" s="25"/>
      <c r="AJ2366" s="25"/>
      <c r="AK2366" s="25"/>
      <c r="AL2366" s="25"/>
      <c r="AM2366" s="25"/>
      <c r="AN2366" s="25"/>
      <c r="AO2366" s="25"/>
      <c r="AP2366" s="25"/>
      <c r="AQ2366" s="25"/>
      <c r="AR2366" s="25"/>
      <c r="AS2366" s="25"/>
      <c r="AT2366" s="25"/>
      <c r="AU2366" s="36"/>
      <c r="AV2366" s="36"/>
      <c r="AW2366" s="36"/>
      <c r="AX2366" s="25"/>
      <c r="AY2366" s="25"/>
      <c r="AZ2366" s="25"/>
      <c r="BA2366" s="25"/>
      <c r="BB2366" s="25"/>
      <c r="BC2366" s="25"/>
      <c r="BD2366" s="25"/>
      <c r="BE2366" s="25"/>
      <c r="BF2366" s="25"/>
      <c r="BG2366" s="25"/>
      <c r="BH2366" s="25"/>
      <c r="BI2366" s="25"/>
      <c r="BJ2366" s="25"/>
      <c r="BK2366" s="25"/>
      <c r="BL2366" s="25"/>
      <c r="BM2366" s="25"/>
      <c r="BN2366" s="25"/>
      <c r="BO2366" s="25"/>
      <c r="BP2366" s="25"/>
      <c r="BQ2366" s="25"/>
      <c r="BR2366" s="25"/>
      <c r="BS2366" s="25"/>
      <c r="BT2366" s="25"/>
      <c r="BU2366"/>
      <c r="BV2366"/>
      <c r="BW2366"/>
      <c r="BX2366"/>
      <c r="BY2366"/>
      <c r="BZ2366"/>
      <c r="CA2366"/>
      <c r="CB2366"/>
      <c r="CC2366"/>
      <c r="CD2366" s="25"/>
    </row>
    <row r="2367" spans="1:82" s="17" customFormat="1" x14ac:dyDescent="0.2">
      <c r="A2367" s="25"/>
      <c r="B2367" s="20">
        <v>39151713201</v>
      </c>
      <c r="C2367" s="20">
        <v>7132.01</v>
      </c>
      <c r="D2367" s="20" t="s">
        <v>81</v>
      </c>
      <c r="E2367" s="20" t="s">
        <v>2844</v>
      </c>
      <c r="F2367" s="20" t="s">
        <v>8</v>
      </c>
      <c r="G2367" s="861">
        <v>39.014737379595203</v>
      </c>
      <c r="H2367" s="861">
        <v>35.172362458670499</v>
      </c>
      <c r="I2367" s="861">
        <v>31.572078095322901</v>
      </c>
      <c r="J2367" s="861">
        <v>33.327077262634901</v>
      </c>
      <c r="K2367" s="982">
        <v>0</v>
      </c>
      <c r="L2367" s="735">
        <v>7163</v>
      </c>
      <c r="M2367" s="735">
        <v>7178</v>
      </c>
      <c r="N2367" s="845">
        <f t="shared" si="179"/>
        <v>2.0940946530783192E-3</v>
      </c>
      <c r="O2367" s="735">
        <v>14.29940155207894</v>
      </c>
      <c r="P2367" s="735">
        <f t="shared" si="180"/>
        <v>501.97904953276981</v>
      </c>
      <c r="Q2367" s="849">
        <v>43.2</v>
      </c>
      <c r="R2367" s="71">
        <v>67308</v>
      </c>
      <c r="S2367" s="845">
        <v>9.7735740899971335E-2</v>
      </c>
      <c r="T2367" s="845">
        <v>2.8999999999999998E-2</v>
      </c>
      <c r="U2367" s="845">
        <v>0</v>
      </c>
      <c r="V2367" s="845">
        <v>0</v>
      </c>
      <c r="W2367" s="845">
        <v>0.13549075391180654</v>
      </c>
      <c r="X2367" s="845">
        <v>0.45931758530183725</v>
      </c>
      <c r="Y2367" s="845">
        <v>0.90833101142379491</v>
      </c>
      <c r="Z2367" s="845">
        <v>2.4101421008637502E-2</v>
      </c>
      <c r="AA2367" s="845">
        <v>8.3588743382557811E-4</v>
      </c>
      <c r="AB2367" s="845">
        <v>0</v>
      </c>
      <c r="AC2367" s="845">
        <v>0</v>
      </c>
      <c r="AD2367" s="845">
        <v>7.3836723321259404E-3</v>
      </c>
      <c r="AE2367" s="845">
        <v>5.9348007801616046E-2</v>
      </c>
      <c r="AF2367" s="845">
        <v>4.8342156589579272E-2</v>
      </c>
      <c r="AG2367" s="845">
        <v>0.88910560044580667</v>
      </c>
      <c r="AH2367" s="20" t="str">
        <f t="shared" si="181"/>
        <v>No</v>
      </c>
      <c r="AI2367" s="25"/>
      <c r="AJ2367" s="25"/>
      <c r="AK2367" s="25"/>
      <c r="AL2367" s="25"/>
      <c r="AM2367" s="25"/>
      <c r="AN2367" s="25"/>
      <c r="AO2367" s="25"/>
      <c r="AP2367" s="25"/>
      <c r="AQ2367" s="25"/>
      <c r="AR2367" s="25"/>
      <c r="AS2367" s="25"/>
      <c r="AT2367" s="25"/>
      <c r="AU2367" s="36"/>
      <c r="AV2367" s="36"/>
      <c r="AW2367" s="36"/>
      <c r="AX2367" s="25"/>
      <c r="AY2367" s="25"/>
      <c r="AZ2367" s="25"/>
      <c r="BA2367" s="25"/>
      <c r="BB2367" s="25"/>
      <c r="BC2367" s="25"/>
      <c r="BD2367" s="25"/>
      <c r="BE2367" s="25"/>
      <c r="BF2367" s="25"/>
      <c r="BG2367" s="25"/>
      <c r="BH2367" s="25"/>
      <c r="BI2367" s="25"/>
      <c r="BJ2367" s="25"/>
      <c r="BK2367" s="25"/>
      <c r="BL2367" s="25"/>
      <c r="BM2367" s="25"/>
      <c r="BN2367" s="25"/>
      <c r="BO2367" s="25"/>
      <c r="BP2367" s="25"/>
      <c r="BQ2367" s="25"/>
      <c r="BR2367" s="25"/>
      <c r="BS2367" s="25"/>
      <c r="BT2367" s="25"/>
      <c r="BU2367"/>
      <c r="BV2367"/>
      <c r="BW2367"/>
      <c r="BX2367"/>
      <c r="BY2367"/>
      <c r="BZ2367"/>
      <c r="CA2367"/>
      <c r="CB2367"/>
      <c r="CC2367"/>
      <c r="CD2367" s="25"/>
    </row>
    <row r="2368" spans="1:82" s="17" customFormat="1" x14ac:dyDescent="0.2">
      <c r="A2368" s="25"/>
      <c r="B2368" s="20">
        <v>39099802800</v>
      </c>
      <c r="C2368" s="20">
        <v>8028</v>
      </c>
      <c r="D2368" s="20" t="s">
        <v>55</v>
      </c>
      <c r="E2368" s="20" t="s">
        <v>2842</v>
      </c>
      <c r="F2368" s="20" t="s">
        <v>6</v>
      </c>
      <c r="G2368" s="861">
        <v>39.007994519338602</v>
      </c>
      <c r="H2368" s="861">
        <v>50.486827432755597</v>
      </c>
      <c r="I2368" s="861">
        <v>36.717725884175699</v>
      </c>
      <c r="J2368" s="861">
        <v>40.145256073693197</v>
      </c>
      <c r="K2368" s="982">
        <v>0</v>
      </c>
      <c r="L2368" s="735">
        <v>2553</v>
      </c>
      <c r="M2368" s="735">
        <v>2415</v>
      </c>
      <c r="N2368" s="845">
        <f t="shared" si="179"/>
        <v>-5.4054054054054057E-2</v>
      </c>
      <c r="O2368" s="735">
        <v>1.1146143833069566</v>
      </c>
      <c r="P2368" s="735">
        <f t="shared" si="180"/>
        <v>2166.6686130811636</v>
      </c>
      <c r="Q2368" s="849">
        <v>40</v>
      </c>
      <c r="R2368" s="71">
        <v>43665</v>
      </c>
      <c r="S2368" s="845">
        <v>0.30413016270337923</v>
      </c>
      <c r="T2368" s="845">
        <v>2.8999999999999998E-2</v>
      </c>
      <c r="U2368" s="845">
        <v>0</v>
      </c>
      <c r="V2368" s="845">
        <v>0</v>
      </c>
      <c r="W2368" s="845">
        <v>0.31654072208228379</v>
      </c>
      <c r="X2368" s="845">
        <v>0.44827586206896552</v>
      </c>
      <c r="Y2368" s="845">
        <v>0.62443064182194619</v>
      </c>
      <c r="Z2368" s="845">
        <v>0.30973084886128366</v>
      </c>
      <c r="AA2368" s="845">
        <v>1.2422360248447204E-2</v>
      </c>
      <c r="AB2368" s="845">
        <v>1.2422360248447205E-3</v>
      </c>
      <c r="AC2368" s="845">
        <v>0</v>
      </c>
      <c r="AD2368" s="845">
        <v>0</v>
      </c>
      <c r="AE2368" s="845">
        <v>5.2173913043478258E-2</v>
      </c>
      <c r="AF2368" s="845">
        <v>6.3768115942028983E-2</v>
      </c>
      <c r="AG2368" s="845">
        <v>0.60414078674948235</v>
      </c>
      <c r="AH2368" s="20" t="str">
        <f t="shared" si="181"/>
        <v>No</v>
      </c>
      <c r="AI2368" s="25"/>
      <c r="AJ2368" s="25"/>
      <c r="AK2368" s="25"/>
      <c r="AL2368" s="25"/>
      <c r="AM2368" s="25"/>
      <c r="AN2368" s="25"/>
      <c r="AO2368" s="25"/>
      <c r="AP2368" s="25"/>
      <c r="AQ2368" s="25"/>
      <c r="AR2368" s="25"/>
      <c r="AS2368" s="25"/>
      <c r="AT2368" s="25"/>
      <c r="AU2368" s="36"/>
      <c r="AV2368" s="36"/>
      <c r="AW2368" s="36"/>
      <c r="AX2368" s="25"/>
      <c r="AY2368" s="25"/>
      <c r="AZ2368" s="25"/>
      <c r="BA2368" s="25"/>
      <c r="BB2368" s="25"/>
      <c r="BC2368" s="25"/>
      <c r="BD2368" s="25"/>
      <c r="BE2368" s="25"/>
      <c r="BF2368" s="25"/>
      <c r="BG2368" s="25"/>
      <c r="BH2368" s="25"/>
      <c r="BI2368" s="25"/>
      <c r="BJ2368" s="25"/>
      <c r="BK2368" s="25"/>
      <c r="BL2368" s="25"/>
      <c r="BM2368" s="25"/>
      <c r="BN2368" s="25"/>
      <c r="BO2368" s="25"/>
      <c r="BP2368" s="25"/>
      <c r="BQ2368" s="25"/>
      <c r="BR2368" s="25"/>
      <c r="BS2368" s="25"/>
      <c r="BT2368" s="25"/>
      <c r="BU2368"/>
      <c r="BV2368"/>
      <c r="BW2368"/>
      <c r="BX2368"/>
      <c r="BY2368"/>
      <c r="BZ2368"/>
      <c r="CA2368"/>
      <c r="CB2368"/>
      <c r="CC2368"/>
      <c r="CD2368" s="25"/>
    </row>
    <row r="2369" spans="1:82" s="17" customFormat="1" x14ac:dyDescent="0.2">
      <c r="A2369" s="25"/>
      <c r="B2369" s="20">
        <v>39095007305</v>
      </c>
      <c r="C2369" s="20">
        <v>73.05</v>
      </c>
      <c r="D2369" s="20" t="s">
        <v>53</v>
      </c>
      <c r="E2369" s="20" t="s">
        <v>2839</v>
      </c>
      <c r="F2369" s="20" t="s">
        <v>8</v>
      </c>
      <c r="G2369" s="861">
        <v>39.000359292148097</v>
      </c>
      <c r="H2369" s="861">
        <v>39.450263261387398</v>
      </c>
      <c r="I2369" s="861">
        <v>24.7179149567717</v>
      </c>
      <c r="J2369" s="861">
        <v>31.023830382270202</v>
      </c>
      <c r="K2369" s="982">
        <v>0</v>
      </c>
      <c r="L2369" s="735" t="s">
        <v>2466</v>
      </c>
      <c r="M2369" s="735">
        <v>2222</v>
      </c>
      <c r="N2369" s="845" t="str">
        <f t="shared" si="179"/>
        <v/>
      </c>
      <c r="O2369" s="735">
        <v>1.407662832861422</v>
      </c>
      <c r="P2369" s="735">
        <f t="shared" si="180"/>
        <v>1578.5029966893683</v>
      </c>
      <c r="Q2369" s="849">
        <v>37.4</v>
      </c>
      <c r="R2369" s="71">
        <v>57914</v>
      </c>
      <c r="S2369" s="845">
        <v>0.14041404140414041</v>
      </c>
      <c r="T2369" s="845">
        <v>1.4999999999999999E-2</v>
      </c>
      <c r="U2369" s="845">
        <v>0</v>
      </c>
      <c r="V2369" s="845">
        <v>0</v>
      </c>
      <c r="W2369" s="845">
        <v>0.27783452502553624</v>
      </c>
      <c r="X2369" s="845">
        <v>0.45588235294117646</v>
      </c>
      <c r="Y2369" s="845">
        <v>0.8460846084608461</v>
      </c>
      <c r="Z2369" s="845">
        <v>7.8307830783078305E-2</v>
      </c>
      <c r="AA2369" s="845">
        <v>0</v>
      </c>
      <c r="AB2369" s="845">
        <v>0</v>
      </c>
      <c r="AC2369" s="845">
        <v>4.9504950495049506E-3</v>
      </c>
      <c r="AD2369" s="845">
        <v>7.2007200720072004E-3</v>
      </c>
      <c r="AE2369" s="845">
        <v>6.3456345634563455E-2</v>
      </c>
      <c r="AF2369" s="845">
        <v>1.3051305130513051E-2</v>
      </c>
      <c r="AG2369" s="845">
        <v>0.84023402340234021</v>
      </c>
      <c r="AH2369" s="20" t="str">
        <f t="shared" si="181"/>
        <v>No</v>
      </c>
      <c r="AI2369" s="25"/>
      <c r="AJ2369" s="25"/>
      <c r="AK2369" s="25"/>
      <c r="AL2369" s="25"/>
      <c r="AM2369" s="25"/>
      <c r="AN2369" s="25"/>
      <c r="AO2369" s="25"/>
      <c r="AP2369" s="25"/>
      <c r="AQ2369" s="25"/>
      <c r="AR2369" s="25"/>
      <c r="AS2369" s="25"/>
      <c r="AT2369" s="25"/>
      <c r="AU2369" s="36"/>
      <c r="AV2369" s="36"/>
      <c r="AW2369" s="36"/>
      <c r="AX2369" s="25"/>
      <c r="AY2369" s="25"/>
      <c r="AZ2369" s="25"/>
      <c r="BA2369" s="25"/>
      <c r="BB2369" s="25"/>
      <c r="BC2369" s="25"/>
      <c r="BD2369" s="25"/>
      <c r="BE2369" s="25"/>
      <c r="BF2369" s="25"/>
      <c r="BG2369" s="25"/>
      <c r="BH2369" s="25"/>
      <c r="BI2369" s="25"/>
      <c r="BJ2369" s="25"/>
      <c r="BK2369" s="25"/>
      <c r="BL2369" s="25"/>
      <c r="BM2369" s="25"/>
      <c r="BN2369" s="25"/>
      <c r="BO2369" s="25"/>
      <c r="BP2369" s="25"/>
      <c r="BQ2369" s="25"/>
      <c r="BR2369" s="25"/>
      <c r="BS2369" s="25"/>
      <c r="BT2369" s="25"/>
      <c r="BU2369"/>
      <c r="BV2369"/>
      <c r="BW2369"/>
      <c r="BX2369"/>
      <c r="BY2369"/>
      <c r="BZ2369"/>
      <c r="CA2369"/>
      <c r="CB2369"/>
      <c r="CC2369"/>
      <c r="CD2369" s="25"/>
    </row>
    <row r="2370" spans="1:82" s="17" customFormat="1" x14ac:dyDescent="0.2">
      <c r="A2370" s="25"/>
      <c r="B2370" s="20">
        <v>39049008813</v>
      </c>
      <c r="C2370" s="20">
        <v>88.13</v>
      </c>
      <c r="D2370" s="20" t="s">
        <v>31</v>
      </c>
      <c r="E2370" s="20" t="s">
        <v>2830</v>
      </c>
      <c r="F2370" s="20" t="s">
        <v>8</v>
      </c>
      <c r="G2370" s="861">
        <v>38.993584981333001</v>
      </c>
      <c r="H2370" s="861">
        <v>52.538483859639101</v>
      </c>
      <c r="I2370" s="861">
        <v>38.129385205681203</v>
      </c>
      <c r="J2370" s="861">
        <v>32.935285525569597</v>
      </c>
      <c r="K2370" s="982">
        <v>0</v>
      </c>
      <c r="L2370" s="735">
        <v>2583</v>
      </c>
      <c r="M2370" s="735">
        <v>2156</v>
      </c>
      <c r="N2370" s="845">
        <f t="shared" si="179"/>
        <v>-0.16531165311653118</v>
      </c>
      <c r="O2370" s="735">
        <v>0.76314636054448914</v>
      </c>
      <c r="P2370" s="735">
        <f t="shared" si="180"/>
        <v>2825.146146882937</v>
      </c>
      <c r="Q2370" s="849">
        <v>40.5</v>
      </c>
      <c r="R2370" s="71">
        <v>54583</v>
      </c>
      <c r="S2370" s="845">
        <v>0.25324675324675322</v>
      </c>
      <c r="T2370" s="845">
        <v>0.129</v>
      </c>
      <c r="U2370" s="845">
        <v>0</v>
      </c>
      <c r="V2370" s="845">
        <v>8.4000000000000005E-2</v>
      </c>
      <c r="W2370" s="845">
        <v>0.40525739320920046</v>
      </c>
      <c r="X2370" s="845">
        <v>0.50270270270270268</v>
      </c>
      <c r="Y2370" s="845">
        <v>0.17532467532467533</v>
      </c>
      <c r="Z2370" s="845">
        <v>0.71753246753246758</v>
      </c>
      <c r="AA2370" s="845">
        <v>1.2987012987012988E-2</v>
      </c>
      <c r="AB2370" s="845">
        <v>0</v>
      </c>
      <c r="AC2370" s="845">
        <v>0</v>
      </c>
      <c r="AD2370" s="845">
        <v>2.1799628942486084E-2</v>
      </c>
      <c r="AE2370" s="845">
        <v>7.2356215213358069E-2</v>
      </c>
      <c r="AF2370" s="845">
        <v>4.4063079777365489E-2</v>
      </c>
      <c r="AG2370" s="845">
        <v>0.15306122448979592</v>
      </c>
      <c r="AH2370" s="20" t="str">
        <f t="shared" si="181"/>
        <v>No</v>
      </c>
      <c r="AI2370" s="25"/>
      <c r="AJ2370" s="25"/>
      <c r="AK2370" s="25"/>
      <c r="AL2370" s="25"/>
      <c r="AM2370" s="25"/>
      <c r="AN2370" s="25"/>
      <c r="AO2370" s="25"/>
      <c r="AP2370" s="25"/>
      <c r="AQ2370" s="25"/>
      <c r="AR2370" s="25"/>
      <c r="AS2370" s="25"/>
      <c r="AT2370" s="25"/>
      <c r="AU2370" s="36"/>
      <c r="AV2370" s="36"/>
      <c r="AW2370" s="36"/>
      <c r="AX2370" s="25"/>
      <c r="AY2370" s="25"/>
      <c r="AZ2370" s="25"/>
      <c r="BA2370" s="25"/>
      <c r="BB2370" s="25"/>
      <c r="BC2370" s="25"/>
      <c r="BD2370" s="25"/>
      <c r="BE2370" s="25"/>
      <c r="BF2370" s="25"/>
      <c r="BG2370" s="25"/>
      <c r="BH2370" s="25"/>
      <c r="BI2370" s="25"/>
      <c r="BJ2370" s="25"/>
      <c r="BK2370" s="25"/>
      <c r="BL2370" s="25"/>
      <c r="BM2370" s="25"/>
      <c r="BN2370" s="25"/>
      <c r="BO2370" s="25"/>
      <c r="BP2370" s="25"/>
      <c r="BQ2370" s="25"/>
      <c r="BR2370" s="25"/>
      <c r="BS2370" s="25"/>
      <c r="BT2370" s="25"/>
      <c r="BU2370"/>
      <c r="BV2370"/>
      <c r="BW2370"/>
      <c r="BX2370"/>
      <c r="BY2370"/>
      <c r="BZ2370"/>
      <c r="CA2370"/>
      <c r="CB2370"/>
      <c r="CC2370"/>
      <c r="CD2370" s="25"/>
    </row>
    <row r="2371" spans="1:82" s="17" customFormat="1" x14ac:dyDescent="0.2">
      <c r="A2371" s="25"/>
      <c r="B2371" s="20">
        <v>39035151600</v>
      </c>
      <c r="C2371" s="20">
        <v>1516</v>
      </c>
      <c r="D2371" s="20" t="s">
        <v>24</v>
      </c>
      <c r="E2371" s="20" t="s">
        <v>2829</v>
      </c>
      <c r="F2371" s="20" t="s">
        <v>6</v>
      </c>
      <c r="G2371" s="861">
        <v>38.9524009498016</v>
      </c>
      <c r="H2371" s="861">
        <v>42.066434475938102</v>
      </c>
      <c r="I2371" s="861">
        <v>94.901809145608894</v>
      </c>
      <c r="J2371" s="861">
        <v>53.047711583612603</v>
      </c>
      <c r="K2371" s="982">
        <v>0</v>
      </c>
      <c r="L2371" s="735">
        <v>1338</v>
      </c>
      <c r="M2371" s="735">
        <v>1535</v>
      </c>
      <c r="N2371" s="845">
        <f t="shared" si="179"/>
        <v>0.14723467862481315</v>
      </c>
      <c r="O2371" s="735">
        <v>0.34046102242531145</v>
      </c>
      <c r="P2371" s="735">
        <f t="shared" si="180"/>
        <v>4508.5924640220455</v>
      </c>
      <c r="Q2371" s="849">
        <v>29.6</v>
      </c>
      <c r="R2371" s="71">
        <v>23766</v>
      </c>
      <c r="S2371" s="845">
        <v>0.55540631296171927</v>
      </c>
      <c r="T2371" s="845">
        <v>0.215</v>
      </c>
      <c r="U2371" s="845">
        <v>0</v>
      </c>
      <c r="V2371" s="845">
        <v>9.5000000000000001E-2</v>
      </c>
      <c r="W2371" s="845">
        <v>0.955952380952381</v>
      </c>
      <c r="X2371" s="845">
        <v>0.61145703611457036</v>
      </c>
      <c r="Y2371" s="845">
        <v>0.12377850162866449</v>
      </c>
      <c r="Z2371" s="845">
        <v>0.82149837133550485</v>
      </c>
      <c r="AA2371" s="845">
        <v>0</v>
      </c>
      <c r="AB2371" s="845">
        <v>5.8631921824104233E-3</v>
      </c>
      <c r="AC2371" s="845">
        <v>0</v>
      </c>
      <c r="AD2371" s="845">
        <v>0</v>
      </c>
      <c r="AE2371" s="845">
        <v>4.8859934853420196E-2</v>
      </c>
      <c r="AF2371" s="845">
        <v>1.4332247557003257E-2</v>
      </c>
      <c r="AG2371" s="845">
        <v>0.12377850162866449</v>
      </c>
      <c r="AH2371" s="20" t="str">
        <f t="shared" si="181"/>
        <v>No</v>
      </c>
      <c r="AI2371" s="25"/>
      <c r="AJ2371" s="25"/>
      <c r="AK2371" s="25"/>
      <c r="AL2371" s="25"/>
      <c r="AM2371" s="25"/>
      <c r="AN2371" s="25"/>
      <c r="AO2371" s="25"/>
      <c r="AP2371" s="25"/>
      <c r="AQ2371" s="25"/>
      <c r="AR2371" s="25"/>
      <c r="AS2371" s="25"/>
      <c r="AT2371" s="25"/>
      <c r="AU2371" s="36"/>
      <c r="AV2371" s="36"/>
      <c r="AW2371" s="36"/>
      <c r="AX2371" s="25"/>
      <c r="AY2371" s="25"/>
      <c r="AZ2371" s="25"/>
      <c r="BA2371" s="25"/>
      <c r="BB2371" s="25"/>
      <c r="BC2371" s="25"/>
      <c r="BD2371" s="25"/>
      <c r="BE2371" s="25"/>
      <c r="BF2371" s="25"/>
      <c r="BG2371" s="25"/>
      <c r="BH2371" s="25"/>
      <c r="BI2371" s="25"/>
      <c r="BJ2371" s="25"/>
      <c r="BK2371" s="25"/>
      <c r="BL2371" s="25"/>
      <c r="BM2371" s="25"/>
      <c r="BN2371" s="25"/>
      <c r="BO2371" s="25"/>
      <c r="BP2371" s="25"/>
      <c r="BQ2371" s="25"/>
      <c r="BR2371" s="25"/>
      <c r="BS2371" s="25"/>
      <c r="BT2371" s="25"/>
      <c r="BU2371"/>
      <c r="BV2371"/>
      <c r="BW2371"/>
      <c r="BX2371"/>
      <c r="BY2371"/>
      <c r="BZ2371"/>
      <c r="CA2371"/>
      <c r="CB2371"/>
      <c r="CC2371"/>
      <c r="CD2371" s="25"/>
    </row>
    <row r="2372" spans="1:82" s="17" customFormat="1" x14ac:dyDescent="0.2">
      <c r="A2372" s="25"/>
      <c r="B2372" s="20">
        <v>39157021200</v>
      </c>
      <c r="C2372" s="20">
        <v>212</v>
      </c>
      <c r="D2372" s="20" t="s">
        <v>84</v>
      </c>
      <c r="E2372" s="20" t="s">
        <v>265</v>
      </c>
      <c r="F2372" s="20" t="s">
        <v>8</v>
      </c>
      <c r="G2372" s="861">
        <v>38.937046117400897</v>
      </c>
      <c r="H2372" s="861">
        <v>43.638990259212598</v>
      </c>
      <c r="I2372" s="861">
        <v>17.8583416290166</v>
      </c>
      <c r="J2372" s="861">
        <v>47.033147077701997</v>
      </c>
      <c r="K2372" s="982">
        <v>0</v>
      </c>
      <c r="L2372" s="735">
        <v>2949</v>
      </c>
      <c r="M2372" s="735">
        <v>3109</v>
      </c>
      <c r="N2372" s="845">
        <f t="shared" si="179"/>
        <v>5.4255679891488641E-2</v>
      </c>
      <c r="O2372" s="735">
        <v>13.887803909648065</v>
      </c>
      <c r="P2372" s="735">
        <f t="shared" si="180"/>
        <v>223.86548803732254</v>
      </c>
      <c r="Q2372" s="849">
        <v>39.4</v>
      </c>
      <c r="R2372" s="71">
        <v>59835</v>
      </c>
      <c r="S2372" s="845">
        <v>6.8768869506876884E-2</v>
      </c>
      <c r="T2372" s="845">
        <v>3.3000000000000002E-2</v>
      </c>
      <c r="U2372" s="845">
        <v>0.04</v>
      </c>
      <c r="V2372" s="845">
        <v>0.121</v>
      </c>
      <c r="W2372" s="845">
        <v>0.14765694076038904</v>
      </c>
      <c r="X2372" s="845">
        <v>0.26347305389221559</v>
      </c>
      <c r="Y2372" s="845">
        <v>0.92955934384046313</v>
      </c>
      <c r="Z2372" s="845">
        <v>1.0292698616918623E-2</v>
      </c>
      <c r="AA2372" s="845">
        <v>0</v>
      </c>
      <c r="AB2372" s="845">
        <v>0</v>
      </c>
      <c r="AC2372" s="845">
        <v>1.2865873271148279E-3</v>
      </c>
      <c r="AD2372" s="845">
        <v>0</v>
      </c>
      <c r="AE2372" s="845">
        <v>5.8861370215503375E-2</v>
      </c>
      <c r="AF2372" s="845">
        <v>1.5439047925377935E-2</v>
      </c>
      <c r="AG2372" s="845">
        <v>0.92634287552267613</v>
      </c>
      <c r="AH2372" s="20" t="str">
        <f t="shared" si="181"/>
        <v>Yes</v>
      </c>
      <c r="AI2372" s="25"/>
      <c r="AJ2372" s="25"/>
      <c r="AK2372" s="25"/>
      <c r="AL2372" s="25"/>
      <c r="AM2372" s="25"/>
      <c r="AN2372" s="25"/>
      <c r="AO2372" s="25"/>
      <c r="AP2372" s="25"/>
      <c r="AQ2372" s="25"/>
      <c r="AR2372" s="25"/>
      <c r="AS2372" s="25"/>
      <c r="AT2372" s="25"/>
      <c r="AU2372" s="36"/>
      <c r="AV2372" s="36"/>
      <c r="AW2372" s="36"/>
      <c r="AX2372" s="25"/>
      <c r="AY2372" s="25"/>
      <c r="AZ2372" s="25"/>
      <c r="BA2372" s="25"/>
      <c r="BB2372" s="25"/>
      <c r="BC2372" s="25"/>
      <c r="BD2372" s="25"/>
      <c r="BE2372" s="25"/>
      <c r="BF2372" s="25"/>
      <c r="BG2372" s="25"/>
      <c r="BH2372" s="25"/>
      <c r="BI2372" s="25"/>
      <c r="BJ2372" s="25"/>
      <c r="BK2372" s="25"/>
      <c r="BL2372" s="25"/>
      <c r="BM2372" s="25"/>
      <c r="BN2372" s="25"/>
      <c r="BO2372" s="25"/>
      <c r="BP2372" s="25"/>
      <c r="BQ2372" s="25"/>
      <c r="BR2372" s="25"/>
      <c r="BS2372" s="25"/>
      <c r="BT2372" s="25"/>
      <c r="BU2372"/>
      <c r="BV2372"/>
      <c r="BW2372"/>
      <c r="BX2372"/>
      <c r="BY2372"/>
      <c r="BZ2372"/>
      <c r="CA2372"/>
      <c r="CB2372"/>
      <c r="CC2372"/>
      <c r="CD2372" s="25"/>
    </row>
    <row r="2373" spans="1:82" s="17" customFormat="1" x14ac:dyDescent="0.2">
      <c r="A2373" s="25"/>
      <c r="B2373" s="20">
        <v>39013012100</v>
      </c>
      <c r="C2373" s="20">
        <v>121</v>
      </c>
      <c r="D2373" s="20" t="s">
        <v>13</v>
      </c>
      <c r="E2373" s="20" t="s">
        <v>2841</v>
      </c>
      <c r="F2373" s="20" t="s">
        <v>6</v>
      </c>
      <c r="G2373" s="861">
        <v>38.928425043629296</v>
      </c>
      <c r="H2373" s="861">
        <v>39.621574548722201</v>
      </c>
      <c r="I2373" s="861">
        <v>36.386414642646002</v>
      </c>
      <c r="J2373" s="861">
        <v>27.149777467900201</v>
      </c>
      <c r="K2373" s="982">
        <v>0</v>
      </c>
      <c r="L2373" s="735">
        <v>1303</v>
      </c>
      <c r="M2373" s="735">
        <v>1268</v>
      </c>
      <c r="N2373" s="845">
        <f t="shared" si="179"/>
        <v>-2.686108979278588E-2</v>
      </c>
      <c r="O2373" s="735">
        <v>0.70661559909632177</v>
      </c>
      <c r="P2373" s="735">
        <f t="shared" si="180"/>
        <v>1794.4693007366704</v>
      </c>
      <c r="Q2373" s="849">
        <v>45.1</v>
      </c>
      <c r="R2373" s="71">
        <v>36420</v>
      </c>
      <c r="S2373" s="845">
        <v>0.3012345679012346</v>
      </c>
      <c r="T2373" s="845">
        <v>0.254</v>
      </c>
      <c r="U2373" s="845">
        <v>0</v>
      </c>
      <c r="V2373" s="845">
        <v>3.9E-2</v>
      </c>
      <c r="W2373" s="845">
        <v>0.50273224043715847</v>
      </c>
      <c r="X2373" s="845">
        <v>0.14945652173913043</v>
      </c>
      <c r="Y2373" s="845">
        <v>0.78706624605678233</v>
      </c>
      <c r="Z2373" s="845">
        <v>2.365930599369085E-2</v>
      </c>
      <c r="AA2373" s="845">
        <v>5.5205047318611991E-3</v>
      </c>
      <c r="AB2373" s="845">
        <v>0.11198738170347003</v>
      </c>
      <c r="AC2373" s="845">
        <v>9.4637223974763408E-3</v>
      </c>
      <c r="AD2373" s="845">
        <v>2.2870662460567823E-2</v>
      </c>
      <c r="AE2373" s="845">
        <v>3.9432176656151417E-2</v>
      </c>
      <c r="AF2373" s="845">
        <v>2.1293375394321766E-2</v>
      </c>
      <c r="AG2373" s="845">
        <v>0.78706624605678233</v>
      </c>
      <c r="AH2373" s="20" t="str">
        <f t="shared" si="181"/>
        <v>No</v>
      </c>
      <c r="AI2373" s="25"/>
      <c r="AJ2373" s="25"/>
      <c r="AK2373" s="25"/>
      <c r="AL2373" s="25"/>
      <c r="AM2373" s="25"/>
      <c r="AN2373" s="25"/>
      <c r="AO2373" s="25"/>
      <c r="AP2373" s="25"/>
      <c r="AQ2373" s="25"/>
      <c r="AR2373" s="25"/>
      <c r="AS2373" s="25"/>
      <c r="AT2373" s="25"/>
      <c r="AU2373" s="36"/>
      <c r="AV2373" s="36"/>
      <c r="AW2373" s="36"/>
      <c r="AX2373" s="25"/>
      <c r="AY2373" s="25"/>
      <c r="AZ2373" s="25"/>
      <c r="BA2373" s="25"/>
      <c r="BB2373" s="25"/>
      <c r="BC2373" s="25"/>
      <c r="BD2373" s="25"/>
      <c r="BE2373" s="25"/>
      <c r="BF2373" s="25"/>
      <c r="BG2373" s="25"/>
      <c r="BH2373" s="25"/>
      <c r="BI2373" s="25"/>
      <c r="BJ2373" s="25"/>
      <c r="BK2373" s="25"/>
      <c r="BL2373" s="25"/>
      <c r="BM2373" s="25"/>
      <c r="BN2373" s="25"/>
      <c r="BO2373" s="25"/>
      <c r="BP2373" s="25"/>
      <c r="BQ2373" s="25"/>
      <c r="BR2373" s="25"/>
      <c r="BS2373" s="25"/>
      <c r="BT2373" s="25"/>
      <c r="BU2373"/>
      <c r="BV2373"/>
      <c r="BW2373"/>
      <c r="BX2373"/>
      <c r="BY2373"/>
      <c r="BZ2373"/>
      <c r="CA2373"/>
      <c r="CB2373"/>
      <c r="CC2373"/>
      <c r="CD2373" s="25"/>
    </row>
    <row r="2374" spans="1:82" s="17" customFormat="1" x14ac:dyDescent="0.2">
      <c r="A2374" s="25"/>
      <c r="B2374" s="20">
        <v>39103411001</v>
      </c>
      <c r="C2374" s="20">
        <v>4110.01</v>
      </c>
      <c r="D2374" s="20" t="s">
        <v>57</v>
      </c>
      <c r="E2374" s="20" t="s">
        <v>2829</v>
      </c>
      <c r="F2374" s="20" t="s">
        <v>8</v>
      </c>
      <c r="G2374" s="861">
        <v>38.909605606511697</v>
      </c>
      <c r="H2374" s="861">
        <v>52.981637422988001</v>
      </c>
      <c r="I2374" s="861">
        <v>27.1990892740099</v>
      </c>
      <c r="J2374" s="861">
        <v>41.8575041770411</v>
      </c>
      <c r="K2374" s="982">
        <v>0</v>
      </c>
      <c r="L2374" s="735">
        <v>1748</v>
      </c>
      <c r="M2374" s="735">
        <v>1786</v>
      </c>
      <c r="N2374" s="845">
        <f t="shared" si="179"/>
        <v>2.1739130434782608E-2</v>
      </c>
      <c r="O2374" s="735">
        <v>21.848685243578203</v>
      </c>
      <c r="P2374" s="735">
        <f t="shared" si="180"/>
        <v>81.74404913105441</v>
      </c>
      <c r="Q2374" s="849">
        <v>52</v>
      </c>
      <c r="R2374" s="71">
        <v>84615</v>
      </c>
      <c r="S2374" s="845">
        <v>0.17189249720044794</v>
      </c>
      <c r="T2374" s="845">
        <v>4.0999999999999995E-2</v>
      </c>
      <c r="U2374" s="845">
        <v>0</v>
      </c>
      <c r="V2374" s="845">
        <v>0</v>
      </c>
      <c r="W2374" s="845">
        <v>0.06</v>
      </c>
      <c r="X2374" s="845">
        <v>0.48717948717948717</v>
      </c>
      <c r="Y2374" s="845">
        <v>0.9300111982082867</v>
      </c>
      <c r="Z2374" s="845">
        <v>0</v>
      </c>
      <c r="AA2374" s="845">
        <v>0</v>
      </c>
      <c r="AB2374" s="845">
        <v>2.7995520716685329E-3</v>
      </c>
      <c r="AC2374" s="845">
        <v>0</v>
      </c>
      <c r="AD2374" s="845">
        <v>5.1511758118701005E-2</v>
      </c>
      <c r="AE2374" s="845">
        <v>1.5677491601343786E-2</v>
      </c>
      <c r="AF2374" s="845">
        <v>7.7267637178051518E-2</v>
      </c>
      <c r="AG2374" s="845">
        <v>0.91825307950727886</v>
      </c>
      <c r="AH2374" s="20" t="str">
        <f t="shared" si="181"/>
        <v>Yes</v>
      </c>
      <c r="AI2374" s="25"/>
      <c r="AJ2374" s="25"/>
      <c r="AK2374" s="25"/>
      <c r="AL2374" s="25"/>
      <c r="AM2374" s="25"/>
      <c r="AN2374" s="25"/>
      <c r="AO2374" s="25"/>
      <c r="AP2374" s="25"/>
      <c r="AQ2374" s="25"/>
      <c r="AR2374" s="25"/>
      <c r="AS2374" s="25"/>
      <c r="AT2374" s="25"/>
      <c r="AU2374" s="36"/>
      <c r="AV2374" s="36"/>
      <c r="AW2374" s="36"/>
      <c r="AX2374" s="25"/>
      <c r="AY2374" s="25"/>
      <c r="AZ2374" s="25"/>
      <c r="BA2374" s="25"/>
      <c r="BB2374" s="25"/>
      <c r="BC2374" s="25"/>
      <c r="BD2374" s="25"/>
      <c r="BE2374" s="25"/>
      <c r="BF2374" s="25"/>
      <c r="BG2374" s="25"/>
      <c r="BH2374" s="25"/>
      <c r="BI2374" s="25"/>
      <c r="BJ2374" s="25"/>
      <c r="BK2374" s="25"/>
      <c r="BL2374" s="25"/>
      <c r="BM2374" s="25"/>
      <c r="BN2374" s="25"/>
      <c r="BO2374" s="25"/>
      <c r="BP2374" s="25"/>
      <c r="BQ2374" s="25"/>
      <c r="BR2374" s="25"/>
      <c r="BS2374" s="25"/>
      <c r="BT2374" s="25"/>
      <c r="BU2374"/>
      <c r="BV2374"/>
      <c r="BW2374"/>
      <c r="BX2374"/>
      <c r="BY2374"/>
      <c r="BZ2374"/>
      <c r="CA2374"/>
      <c r="CB2374"/>
      <c r="CC2374"/>
      <c r="CD2374" s="25"/>
    </row>
    <row r="2375" spans="1:82" s="17" customFormat="1" x14ac:dyDescent="0.2">
      <c r="A2375" s="25"/>
      <c r="B2375" s="20">
        <v>39069000500</v>
      </c>
      <c r="C2375" s="20">
        <v>5</v>
      </c>
      <c r="D2375" s="20" t="s">
        <v>41</v>
      </c>
      <c r="E2375" s="20" t="s">
        <v>265</v>
      </c>
      <c r="F2375" s="20" t="s">
        <v>8</v>
      </c>
      <c r="G2375" s="861">
        <v>38.905074175518997</v>
      </c>
      <c r="H2375" s="861">
        <v>47.537020733136202</v>
      </c>
      <c r="I2375" s="861">
        <v>18.549383497042701</v>
      </c>
      <c r="J2375" s="861">
        <v>36.318187750755001</v>
      </c>
      <c r="K2375" s="982">
        <v>0</v>
      </c>
      <c r="L2375" s="735">
        <v>3299</v>
      </c>
      <c r="M2375" s="735">
        <v>3008</v>
      </c>
      <c r="N2375" s="845">
        <f t="shared" si="179"/>
        <v>-8.8208548044862084E-2</v>
      </c>
      <c r="O2375" s="735">
        <v>97.79917136376352</v>
      </c>
      <c r="P2375" s="735">
        <f t="shared" si="180"/>
        <v>30.756906812755695</v>
      </c>
      <c r="Q2375" s="849">
        <v>43.9</v>
      </c>
      <c r="R2375" s="71">
        <v>80625</v>
      </c>
      <c r="S2375" s="845">
        <v>9.9300233255581474E-2</v>
      </c>
      <c r="T2375" s="845">
        <v>5.7000000000000002E-2</v>
      </c>
      <c r="U2375" s="845">
        <v>1E-3</v>
      </c>
      <c r="V2375" s="845">
        <v>0.12</v>
      </c>
      <c r="W2375" s="845">
        <v>0.17809364548494983</v>
      </c>
      <c r="X2375" s="845">
        <v>0.20187793427230047</v>
      </c>
      <c r="Y2375" s="845">
        <v>0.82347074468085102</v>
      </c>
      <c r="Z2375" s="845">
        <v>1.0305851063829786E-2</v>
      </c>
      <c r="AA2375" s="845">
        <v>0</v>
      </c>
      <c r="AB2375" s="845">
        <v>9.3085106382978719E-3</v>
      </c>
      <c r="AC2375" s="845">
        <v>1.0305851063829786E-2</v>
      </c>
      <c r="AD2375" s="845">
        <v>4.3218085106382982E-2</v>
      </c>
      <c r="AE2375" s="845">
        <v>0.10339095744680851</v>
      </c>
      <c r="AF2375" s="845">
        <v>0.11602393617021277</v>
      </c>
      <c r="AG2375" s="845">
        <v>0.81017287234042556</v>
      </c>
      <c r="AH2375" s="20" t="str">
        <f t="shared" si="181"/>
        <v>No</v>
      </c>
      <c r="AI2375" s="25"/>
      <c r="AJ2375" s="25"/>
      <c r="AK2375" s="25"/>
      <c r="AL2375" s="25"/>
      <c r="AM2375" s="25"/>
      <c r="AN2375" s="25"/>
      <c r="AO2375" s="25"/>
      <c r="AP2375" s="25"/>
      <c r="AQ2375" s="25"/>
      <c r="AR2375" s="25"/>
      <c r="AS2375" s="25"/>
      <c r="AT2375" s="25"/>
      <c r="AU2375" s="36"/>
      <c r="AV2375" s="36"/>
      <c r="AW2375" s="36"/>
      <c r="AX2375" s="25"/>
      <c r="AY2375" s="25"/>
      <c r="AZ2375" s="25"/>
      <c r="BA2375" s="25"/>
      <c r="BB2375" s="25"/>
      <c r="BC2375" s="25"/>
      <c r="BD2375" s="25"/>
      <c r="BE2375" s="25"/>
      <c r="BF2375" s="25"/>
      <c r="BG2375" s="25"/>
      <c r="BH2375" s="25"/>
      <c r="BI2375" s="25"/>
      <c r="BJ2375" s="25"/>
      <c r="BK2375" s="25"/>
      <c r="BL2375" s="25"/>
      <c r="BM2375" s="25"/>
      <c r="BN2375" s="25"/>
      <c r="BO2375" s="25"/>
      <c r="BP2375" s="25"/>
      <c r="BQ2375" s="25"/>
      <c r="BR2375" s="25"/>
      <c r="BS2375" s="25"/>
      <c r="BT2375" s="25"/>
      <c r="BU2375"/>
      <c r="BV2375"/>
      <c r="BW2375"/>
      <c r="BX2375"/>
      <c r="BY2375"/>
      <c r="BZ2375"/>
      <c r="CA2375"/>
      <c r="CB2375"/>
      <c r="CC2375"/>
      <c r="CD2375" s="25"/>
    </row>
    <row r="2376" spans="1:82" s="17" customFormat="1" x14ac:dyDescent="0.2">
      <c r="A2376" s="25"/>
      <c r="B2376" s="20">
        <v>39153503400</v>
      </c>
      <c r="C2376" s="20">
        <v>5034</v>
      </c>
      <c r="D2376" s="20" t="s">
        <v>82</v>
      </c>
      <c r="E2376" s="20" t="s">
        <v>2843</v>
      </c>
      <c r="F2376" s="20" t="s">
        <v>6</v>
      </c>
      <c r="G2376" s="861">
        <v>38.8928089553239</v>
      </c>
      <c r="H2376" s="861">
        <v>30.858021601080299</v>
      </c>
      <c r="I2376" s="861">
        <v>64.287904439117796</v>
      </c>
      <c r="J2376" s="861">
        <v>42.8120603433795</v>
      </c>
      <c r="K2376" s="982">
        <v>0</v>
      </c>
      <c r="L2376" s="735">
        <v>1403</v>
      </c>
      <c r="M2376" s="735">
        <v>1096</v>
      </c>
      <c r="N2376" s="845">
        <f t="shared" si="179"/>
        <v>-0.21881682109764788</v>
      </c>
      <c r="O2376" s="735">
        <v>0.40733584680433149</v>
      </c>
      <c r="P2376" s="735">
        <f t="shared" si="180"/>
        <v>2690.6544282769109</v>
      </c>
      <c r="Q2376" s="849">
        <v>41.9</v>
      </c>
      <c r="R2376" s="71">
        <v>31397</v>
      </c>
      <c r="S2376" s="845">
        <v>0.29223744292237441</v>
      </c>
      <c r="T2376" s="845">
        <v>0.35499999999999998</v>
      </c>
      <c r="U2376" s="845">
        <v>0.19399999999999998</v>
      </c>
      <c r="V2376" s="845">
        <v>0</v>
      </c>
      <c r="W2376" s="845">
        <v>0.60707269155206289</v>
      </c>
      <c r="X2376" s="845">
        <v>0.46601941747572817</v>
      </c>
      <c r="Y2376" s="845">
        <v>8.485401459854014E-2</v>
      </c>
      <c r="Z2376" s="845">
        <v>0.87591240875912413</v>
      </c>
      <c r="AA2376" s="845">
        <v>0</v>
      </c>
      <c r="AB2376" s="845">
        <v>2.281021897810219E-2</v>
      </c>
      <c r="AC2376" s="845">
        <v>0</v>
      </c>
      <c r="AD2376" s="845">
        <v>0</v>
      </c>
      <c r="AE2376" s="845">
        <v>1.6423357664233577E-2</v>
      </c>
      <c r="AF2376" s="845">
        <v>3.6496350364963502E-3</v>
      </c>
      <c r="AG2376" s="845">
        <v>8.485401459854014E-2</v>
      </c>
      <c r="AH2376" s="20" t="str">
        <f t="shared" si="181"/>
        <v>No</v>
      </c>
      <c r="AI2376" s="25"/>
      <c r="AJ2376" s="25"/>
      <c r="AK2376" s="25"/>
      <c r="AL2376" s="25"/>
      <c r="AM2376" s="25"/>
      <c r="AN2376" s="25"/>
      <c r="AO2376" s="25"/>
      <c r="AP2376" s="25"/>
      <c r="AQ2376" s="25"/>
      <c r="AR2376" s="25"/>
      <c r="AS2376" s="25"/>
      <c r="AT2376" s="25"/>
      <c r="AU2376" s="36"/>
      <c r="AV2376" s="36"/>
      <c r="AW2376" s="36"/>
      <c r="AX2376" s="25"/>
      <c r="AY2376" s="25"/>
      <c r="AZ2376" s="25"/>
      <c r="BA2376" s="25"/>
      <c r="BB2376" s="25"/>
      <c r="BC2376" s="25"/>
      <c r="BD2376" s="25"/>
      <c r="BE2376" s="25"/>
      <c r="BF2376" s="25"/>
      <c r="BG2376" s="25"/>
      <c r="BH2376" s="25"/>
      <c r="BI2376" s="25"/>
      <c r="BJ2376" s="25"/>
      <c r="BK2376" s="25"/>
      <c r="BL2376" s="25"/>
      <c r="BM2376" s="25"/>
      <c r="BN2376" s="25"/>
      <c r="BO2376" s="25"/>
      <c r="BP2376" s="25"/>
      <c r="BQ2376" s="25"/>
      <c r="BR2376" s="25"/>
      <c r="BS2376" s="25"/>
      <c r="BT2376" s="25"/>
      <c r="BU2376"/>
      <c r="BV2376"/>
      <c r="BW2376"/>
      <c r="BX2376"/>
      <c r="BY2376"/>
      <c r="BZ2376"/>
      <c r="CA2376"/>
      <c r="CB2376"/>
      <c r="CC2376"/>
      <c r="CD2376" s="25"/>
    </row>
    <row r="2377" spans="1:82" s="17" customFormat="1" x14ac:dyDescent="0.2">
      <c r="A2377" s="25"/>
      <c r="B2377" s="20">
        <v>39049008821</v>
      </c>
      <c r="C2377" s="20">
        <v>88.21</v>
      </c>
      <c r="D2377" s="20" t="s">
        <v>31</v>
      </c>
      <c r="E2377" s="20" t="s">
        <v>2830</v>
      </c>
      <c r="F2377" s="20" t="s">
        <v>6</v>
      </c>
      <c r="G2377" s="861">
        <v>38.886921920279597</v>
      </c>
      <c r="H2377" s="861">
        <v>56.894980470277098</v>
      </c>
      <c r="I2377" s="861">
        <v>35.294695283690203</v>
      </c>
      <c r="J2377" s="861">
        <v>32.3915048807402</v>
      </c>
      <c r="K2377" s="982">
        <v>1</v>
      </c>
      <c r="L2377" s="735">
        <v>2809</v>
      </c>
      <c r="M2377" s="735">
        <v>2213</v>
      </c>
      <c r="N2377" s="845">
        <f t="shared" si="179"/>
        <v>-0.21217515129939479</v>
      </c>
      <c r="O2377" s="735">
        <v>1.5565870686564658</v>
      </c>
      <c r="P2377" s="735">
        <f t="shared" si="180"/>
        <v>1421.700105674206</v>
      </c>
      <c r="Q2377" s="849">
        <v>47.8</v>
      </c>
      <c r="R2377" s="71">
        <v>53704</v>
      </c>
      <c r="S2377" s="845">
        <v>0.18752824220515138</v>
      </c>
      <c r="T2377" s="845">
        <v>5.9000000000000004E-2</v>
      </c>
      <c r="U2377" s="845">
        <v>0</v>
      </c>
      <c r="V2377" s="845">
        <v>0</v>
      </c>
      <c r="W2377" s="845">
        <v>0.37374749498997994</v>
      </c>
      <c r="X2377" s="845">
        <v>0.24396782841823056</v>
      </c>
      <c r="Y2377" s="845">
        <v>0.73791233619521013</v>
      </c>
      <c r="Z2377" s="845">
        <v>1.2200632625395391E-2</v>
      </c>
      <c r="AA2377" s="845">
        <v>0</v>
      </c>
      <c r="AB2377" s="845">
        <v>0</v>
      </c>
      <c r="AC2377" s="845">
        <v>0</v>
      </c>
      <c r="AD2377" s="845">
        <v>5.3321283325802077E-2</v>
      </c>
      <c r="AE2377" s="845">
        <v>0.1965657478535924</v>
      </c>
      <c r="AF2377" s="845">
        <v>9.0375056484410299E-2</v>
      </c>
      <c r="AG2377" s="845">
        <v>0.71667419792137366</v>
      </c>
      <c r="AH2377" s="20" t="str">
        <f t="shared" si="181"/>
        <v>No</v>
      </c>
      <c r="AI2377" s="25"/>
      <c r="AJ2377" s="25"/>
      <c r="AK2377" s="25"/>
      <c r="AL2377" s="25"/>
      <c r="AM2377" s="25"/>
      <c r="AN2377" s="25"/>
      <c r="AO2377" s="25"/>
      <c r="AP2377" s="25"/>
      <c r="AQ2377" s="25"/>
      <c r="AR2377" s="25"/>
      <c r="AS2377" s="25"/>
      <c r="AT2377" s="25"/>
      <c r="AU2377" s="36"/>
      <c r="AV2377" s="36"/>
      <c r="AW2377" s="36"/>
      <c r="AX2377" s="25"/>
      <c r="AY2377" s="25"/>
      <c r="AZ2377" s="25"/>
      <c r="BA2377" s="25"/>
      <c r="BB2377" s="25"/>
      <c r="BC2377" s="25"/>
      <c r="BD2377" s="25"/>
      <c r="BE2377" s="25"/>
      <c r="BF2377" s="25"/>
      <c r="BG2377" s="25"/>
      <c r="BH2377" s="25"/>
      <c r="BI2377" s="25"/>
      <c r="BJ2377" s="25"/>
      <c r="BK2377" s="25"/>
      <c r="BL2377" s="25"/>
      <c r="BM2377" s="25"/>
      <c r="BN2377" s="25"/>
      <c r="BO2377" s="25"/>
      <c r="BP2377" s="25"/>
      <c r="BQ2377" s="25"/>
      <c r="BR2377" s="25"/>
      <c r="BS2377" s="25"/>
      <c r="BT2377" s="25"/>
      <c r="BU2377"/>
      <c r="BV2377"/>
      <c r="BW2377"/>
      <c r="BX2377"/>
      <c r="BY2377"/>
      <c r="BZ2377"/>
      <c r="CA2377"/>
      <c r="CB2377"/>
      <c r="CC2377"/>
      <c r="CD2377" s="25"/>
    </row>
    <row r="2378" spans="1:82" s="17" customFormat="1" x14ac:dyDescent="0.2">
      <c r="A2378" s="25"/>
      <c r="B2378" s="20">
        <v>39127966100</v>
      </c>
      <c r="C2378" s="20">
        <v>9661</v>
      </c>
      <c r="D2378" s="20" t="s">
        <v>69</v>
      </c>
      <c r="E2378" s="20" t="s">
        <v>2830</v>
      </c>
      <c r="F2378" s="20" t="s">
        <v>8</v>
      </c>
      <c r="G2378" s="861">
        <v>38.880616037278699</v>
      </c>
      <c r="H2378" s="861">
        <v>53.2722673262979</v>
      </c>
      <c r="I2378" s="861">
        <v>22.8048317556804</v>
      </c>
      <c r="J2378" s="861">
        <v>48.421000847900899</v>
      </c>
      <c r="K2378" s="982">
        <v>0</v>
      </c>
      <c r="L2378" s="735">
        <v>4613</v>
      </c>
      <c r="M2378" s="735">
        <v>4440</v>
      </c>
      <c r="N2378" s="845">
        <f t="shared" si="179"/>
        <v>-3.7502709733362234E-2</v>
      </c>
      <c r="O2378" s="735">
        <v>86.480119787113622</v>
      </c>
      <c r="P2378" s="735">
        <f t="shared" si="180"/>
        <v>51.341279486312679</v>
      </c>
      <c r="Q2378" s="849">
        <v>43.3</v>
      </c>
      <c r="R2378" s="71">
        <v>68750</v>
      </c>
      <c r="S2378" s="845">
        <v>0.12788835506749027</v>
      </c>
      <c r="T2378" s="845">
        <v>3.1E-2</v>
      </c>
      <c r="U2378" s="845">
        <v>0</v>
      </c>
      <c r="V2378" s="845">
        <v>9.3000000000000013E-2</v>
      </c>
      <c r="W2378" s="845">
        <v>0.113915857605178</v>
      </c>
      <c r="X2378" s="845">
        <v>0.47159090909090912</v>
      </c>
      <c r="Y2378" s="845">
        <v>0.94842342342342345</v>
      </c>
      <c r="Z2378" s="845">
        <v>2.0270270270270271E-3</v>
      </c>
      <c r="AA2378" s="845">
        <v>0</v>
      </c>
      <c r="AB2378" s="845">
        <v>6.7567567567567571E-4</v>
      </c>
      <c r="AC2378" s="845">
        <v>0</v>
      </c>
      <c r="AD2378" s="845">
        <v>6.7567567567567571E-4</v>
      </c>
      <c r="AE2378" s="845">
        <v>4.8198198198198199E-2</v>
      </c>
      <c r="AF2378" s="845">
        <v>1.1036036036036036E-2</v>
      </c>
      <c r="AG2378" s="845">
        <v>0.93738738738738736</v>
      </c>
      <c r="AH2378" s="20" t="str">
        <f t="shared" si="181"/>
        <v>Yes</v>
      </c>
      <c r="AI2378" s="25"/>
      <c r="AJ2378" s="25"/>
      <c r="AK2378" s="25"/>
      <c r="AL2378" s="25"/>
      <c r="AM2378" s="25"/>
      <c r="AN2378" s="25"/>
      <c r="AO2378" s="25"/>
      <c r="AP2378" s="25"/>
      <c r="AQ2378" s="25"/>
      <c r="AR2378" s="25"/>
      <c r="AS2378" s="25"/>
      <c r="AT2378" s="25"/>
      <c r="AU2378" s="36"/>
      <c r="AV2378" s="36"/>
      <c r="AW2378" s="36"/>
      <c r="AX2378" s="25"/>
      <c r="AY2378" s="25"/>
      <c r="AZ2378" s="25"/>
      <c r="BA2378" s="25"/>
      <c r="BB2378" s="25"/>
      <c r="BC2378" s="25"/>
      <c r="BD2378" s="25"/>
      <c r="BE2378" s="25"/>
      <c r="BF2378" s="25"/>
      <c r="BG2378" s="25"/>
      <c r="BH2378" s="25"/>
      <c r="BI2378" s="25"/>
      <c r="BJ2378" s="25"/>
      <c r="BK2378" s="25"/>
      <c r="BL2378" s="25"/>
      <c r="BM2378" s="25"/>
      <c r="BN2378" s="25"/>
      <c r="BO2378" s="25"/>
      <c r="BP2378" s="25"/>
      <c r="BQ2378" s="25"/>
      <c r="BR2378" s="25"/>
      <c r="BS2378" s="25"/>
      <c r="BT2378" s="25"/>
      <c r="BU2378"/>
      <c r="BV2378"/>
      <c r="BW2378"/>
      <c r="BX2378"/>
      <c r="BY2378"/>
      <c r="BZ2378"/>
      <c r="CA2378"/>
      <c r="CB2378"/>
      <c r="CC2378"/>
      <c r="CD2378" s="25"/>
    </row>
    <row r="2379" spans="1:82" s="17" customFormat="1" x14ac:dyDescent="0.2">
      <c r="A2379" s="25"/>
      <c r="B2379" s="20">
        <v>39165032300</v>
      </c>
      <c r="C2379" s="20">
        <v>323</v>
      </c>
      <c r="D2379" s="20" t="s">
        <v>88</v>
      </c>
      <c r="E2379" s="20" t="s">
        <v>2828</v>
      </c>
      <c r="F2379" s="20" t="s">
        <v>8</v>
      </c>
      <c r="G2379" s="861">
        <v>38.836665930174398</v>
      </c>
      <c r="H2379" s="861">
        <v>44.328987975417903</v>
      </c>
      <c r="I2379" s="861">
        <v>31.511950571192301</v>
      </c>
      <c r="J2379" s="861">
        <v>53.881105586579601</v>
      </c>
      <c r="K2379" s="982">
        <v>0</v>
      </c>
      <c r="L2379" s="735">
        <v>4517</v>
      </c>
      <c r="M2379" s="735">
        <v>5329</v>
      </c>
      <c r="N2379" s="845">
        <f t="shared" ref="N2379:N2442" si="182">IF(OR(L2379="",M2379=""),"",(M2379-L2379)/L2379)</f>
        <v>0.17976533097188399</v>
      </c>
      <c r="O2379" s="735">
        <v>22.131876891125962</v>
      </c>
      <c r="P2379" s="735">
        <f t="shared" ref="P2379:P2442" si="183">M2379/O2379</f>
        <v>240.78391662013652</v>
      </c>
      <c r="Q2379" s="849">
        <v>41.9</v>
      </c>
      <c r="R2379" s="71">
        <v>93009</v>
      </c>
      <c r="S2379" s="845">
        <v>7.4776997532738657E-2</v>
      </c>
      <c r="T2379" s="845">
        <v>6.6000000000000003E-2</v>
      </c>
      <c r="U2379" s="845">
        <v>2.7000000000000003E-2</v>
      </c>
      <c r="V2379" s="845">
        <v>0</v>
      </c>
      <c r="W2379" s="845">
        <v>0.18155197657393851</v>
      </c>
      <c r="X2379" s="845">
        <v>0.41397849462365593</v>
      </c>
      <c r="Y2379" s="845">
        <v>0.8808406830549822</v>
      </c>
      <c r="Z2379" s="845">
        <v>3.6779883655470066E-2</v>
      </c>
      <c r="AA2379" s="845">
        <v>0</v>
      </c>
      <c r="AB2379" s="845">
        <v>1.8765246762994934E-2</v>
      </c>
      <c r="AC2379" s="845">
        <v>9.3826233814974663E-4</v>
      </c>
      <c r="AD2379" s="845">
        <v>1.8577594295364985E-2</v>
      </c>
      <c r="AE2379" s="845">
        <v>4.4098329893038093E-2</v>
      </c>
      <c r="AF2379" s="845">
        <v>4.8414336648526929E-2</v>
      </c>
      <c r="AG2379" s="845">
        <v>0.85738412460123847</v>
      </c>
      <c r="AH2379" s="20" t="str">
        <f t="shared" ref="AH2379:AH2442" si="184">IF(AG2379&gt;=0.9,"Yes","No")</f>
        <v>No</v>
      </c>
      <c r="AI2379" s="25"/>
      <c r="AJ2379" s="25"/>
      <c r="AK2379" s="25"/>
      <c r="AL2379" s="25"/>
      <c r="AM2379" s="25"/>
      <c r="AN2379" s="25"/>
      <c r="AO2379" s="25"/>
      <c r="AP2379" s="25"/>
      <c r="AQ2379" s="25"/>
      <c r="AR2379" s="25"/>
      <c r="AS2379" s="25"/>
      <c r="AT2379" s="25"/>
      <c r="AU2379" s="36"/>
      <c r="AV2379" s="36"/>
      <c r="AW2379" s="36"/>
      <c r="AX2379" s="25"/>
      <c r="AY2379" s="25"/>
      <c r="AZ2379" s="25"/>
      <c r="BA2379" s="25"/>
      <c r="BB2379" s="25"/>
      <c r="BC2379" s="25"/>
      <c r="BD2379" s="25"/>
      <c r="BE2379" s="25"/>
      <c r="BF2379" s="25"/>
      <c r="BG2379" s="25"/>
      <c r="BH2379" s="25"/>
      <c r="BI2379" s="25"/>
      <c r="BJ2379" s="25"/>
      <c r="BK2379" s="25"/>
      <c r="BL2379" s="25"/>
      <c r="BM2379" s="25"/>
      <c r="BN2379" s="25"/>
      <c r="BO2379" s="25"/>
      <c r="BP2379" s="25"/>
      <c r="BQ2379" s="25"/>
      <c r="BR2379" s="25"/>
      <c r="BS2379" s="25"/>
      <c r="BT2379" s="25"/>
      <c r="BU2379"/>
      <c r="BV2379"/>
      <c r="BW2379"/>
      <c r="BX2379"/>
      <c r="BY2379"/>
      <c r="BZ2379"/>
      <c r="CA2379"/>
      <c r="CB2379"/>
      <c r="CC2379"/>
      <c r="CD2379" s="25"/>
    </row>
    <row r="2380" spans="1:82" s="17" customFormat="1" x14ac:dyDescent="0.2">
      <c r="A2380" s="25"/>
      <c r="B2380" s="20">
        <v>39151714000</v>
      </c>
      <c r="C2380" s="20">
        <v>7140</v>
      </c>
      <c r="D2380" s="20" t="s">
        <v>81</v>
      </c>
      <c r="E2380" s="20" t="s">
        <v>2844</v>
      </c>
      <c r="F2380" s="20" t="s">
        <v>8</v>
      </c>
      <c r="G2380" s="861">
        <v>38.8353140226994</v>
      </c>
      <c r="H2380" s="861">
        <v>50.182492356805298</v>
      </c>
      <c r="I2380" s="861">
        <v>26.4802922950803</v>
      </c>
      <c r="J2380" s="861">
        <v>38.791313070386998</v>
      </c>
      <c r="K2380" s="982">
        <v>0</v>
      </c>
      <c r="L2380" s="735">
        <v>4286</v>
      </c>
      <c r="M2380" s="735">
        <v>3657</v>
      </c>
      <c r="N2380" s="845">
        <f t="shared" si="182"/>
        <v>-0.14675688287447503</v>
      </c>
      <c r="O2380" s="735">
        <v>1.6187479717812296</v>
      </c>
      <c r="P2380" s="735">
        <f t="shared" si="183"/>
        <v>2259.1534097651588</v>
      </c>
      <c r="Q2380" s="849">
        <v>48.5</v>
      </c>
      <c r="R2380" s="71">
        <v>61958</v>
      </c>
      <c r="S2380" s="845">
        <v>9.5159967186218206E-2</v>
      </c>
      <c r="T2380" s="845">
        <v>2.6000000000000002E-2</v>
      </c>
      <c r="U2380" s="845">
        <v>6.9999999999999993E-3</v>
      </c>
      <c r="V2380" s="845">
        <v>4.0999999999999995E-2</v>
      </c>
      <c r="W2380" s="845">
        <v>0.20543981481481483</v>
      </c>
      <c r="X2380" s="845">
        <v>0.43943661971830988</v>
      </c>
      <c r="Y2380" s="845">
        <v>0.93792726278370253</v>
      </c>
      <c r="Z2380" s="845">
        <v>1.1211375444353295E-2</v>
      </c>
      <c r="AA2380" s="845">
        <v>5.1955154498222588E-3</v>
      </c>
      <c r="AB2380" s="845">
        <v>0</v>
      </c>
      <c r="AC2380" s="845">
        <v>0</v>
      </c>
      <c r="AD2380" s="845">
        <v>0</v>
      </c>
      <c r="AE2380" s="845">
        <v>4.5665846322121957E-2</v>
      </c>
      <c r="AF2380" s="845">
        <v>1.8594476346732294E-2</v>
      </c>
      <c r="AG2380" s="845">
        <v>0.93601312551271532</v>
      </c>
      <c r="AH2380" s="20" t="str">
        <f t="shared" si="184"/>
        <v>Yes</v>
      </c>
      <c r="AI2380" s="25"/>
      <c r="AJ2380" s="25"/>
      <c r="AK2380" s="25"/>
      <c r="AL2380" s="25"/>
      <c r="AM2380" s="25"/>
      <c r="AN2380" s="25"/>
      <c r="AO2380" s="25"/>
      <c r="AP2380" s="25"/>
      <c r="AQ2380" s="25"/>
      <c r="AR2380" s="25"/>
      <c r="AS2380" s="25"/>
      <c r="AT2380" s="25"/>
      <c r="AU2380" s="36"/>
      <c r="AV2380" s="36"/>
      <c r="AW2380" s="36"/>
      <c r="AX2380" s="25"/>
      <c r="AY2380" s="25"/>
      <c r="AZ2380" s="25"/>
      <c r="BA2380" s="25"/>
      <c r="BB2380" s="25"/>
      <c r="BC2380" s="25"/>
      <c r="BD2380" s="25"/>
      <c r="BE2380" s="25"/>
      <c r="BF2380" s="25"/>
      <c r="BG2380" s="25"/>
      <c r="BH2380" s="25"/>
      <c r="BI2380" s="25"/>
      <c r="BJ2380" s="25"/>
      <c r="BK2380" s="25"/>
      <c r="BL2380" s="25"/>
      <c r="BM2380" s="25"/>
      <c r="BN2380" s="25"/>
      <c r="BO2380" s="25"/>
      <c r="BP2380" s="25"/>
      <c r="BQ2380" s="25"/>
      <c r="BR2380" s="25"/>
      <c r="BS2380" s="25"/>
      <c r="BT2380" s="25"/>
      <c r="BU2380"/>
      <c r="BV2380"/>
      <c r="BW2380"/>
      <c r="BX2380"/>
      <c r="BY2380"/>
      <c r="BZ2380"/>
      <c r="CA2380"/>
      <c r="CB2380"/>
      <c r="CC2380"/>
      <c r="CD2380" s="25"/>
    </row>
    <row r="2381" spans="1:82" s="17" customFormat="1" x14ac:dyDescent="0.2">
      <c r="A2381" s="25"/>
      <c r="B2381" s="20">
        <v>39151700400</v>
      </c>
      <c r="C2381" s="20">
        <v>7004</v>
      </c>
      <c r="D2381" s="20" t="s">
        <v>81</v>
      </c>
      <c r="E2381" s="20" t="s">
        <v>2844</v>
      </c>
      <c r="F2381" s="20" t="s">
        <v>8</v>
      </c>
      <c r="G2381" s="861">
        <v>38.834845226282901</v>
      </c>
      <c r="H2381" s="861">
        <v>48.083166409657998</v>
      </c>
      <c r="I2381" s="861">
        <v>39.820255899538601</v>
      </c>
      <c r="J2381" s="861">
        <v>32.371883162268396</v>
      </c>
      <c r="K2381" s="982">
        <v>0</v>
      </c>
      <c r="L2381" s="735">
        <v>4816</v>
      </c>
      <c r="M2381" s="735">
        <v>5050</v>
      </c>
      <c r="N2381" s="845">
        <f t="shared" si="182"/>
        <v>4.8588039867109634E-2</v>
      </c>
      <c r="O2381" s="735">
        <v>0.82544510213987043</v>
      </c>
      <c r="P2381" s="735">
        <f t="shared" si="183"/>
        <v>6117.9113994479612</v>
      </c>
      <c r="Q2381" s="849">
        <v>31.8</v>
      </c>
      <c r="R2381" s="71">
        <v>55638</v>
      </c>
      <c r="S2381" s="845">
        <v>0.15189616710606368</v>
      </c>
      <c r="T2381" s="845">
        <v>5.4000000000000006E-2</v>
      </c>
      <c r="U2381" s="845">
        <v>1.2E-2</v>
      </c>
      <c r="V2381" s="845">
        <v>3.7000000000000005E-2</v>
      </c>
      <c r="W2381" s="845">
        <v>0.35569201700519604</v>
      </c>
      <c r="X2381" s="845">
        <v>0.27357237715803451</v>
      </c>
      <c r="Y2381" s="845">
        <v>0.62415841584158416</v>
      </c>
      <c r="Z2381" s="845">
        <v>0.29663366336633662</v>
      </c>
      <c r="AA2381" s="845">
        <v>0</v>
      </c>
      <c r="AB2381" s="845">
        <v>0</v>
      </c>
      <c r="AC2381" s="845">
        <v>0</v>
      </c>
      <c r="AD2381" s="845">
        <v>8.1188118811881191E-3</v>
      </c>
      <c r="AE2381" s="845">
        <v>7.1089108910891083E-2</v>
      </c>
      <c r="AF2381" s="845">
        <v>3.8217821782178217E-2</v>
      </c>
      <c r="AG2381" s="845">
        <v>0.6194059405940594</v>
      </c>
      <c r="AH2381" s="20" t="str">
        <f t="shared" si="184"/>
        <v>No</v>
      </c>
      <c r="AI2381" s="25"/>
      <c r="AJ2381" s="25"/>
      <c r="AK2381" s="25"/>
      <c r="AL2381" s="25"/>
      <c r="AM2381" s="25"/>
      <c r="AN2381" s="25"/>
      <c r="AO2381" s="25"/>
      <c r="AP2381" s="25"/>
      <c r="AQ2381" s="25"/>
      <c r="AR2381" s="25"/>
      <c r="AS2381" s="25"/>
      <c r="AT2381" s="25"/>
      <c r="AU2381" s="36"/>
      <c r="AV2381" s="36"/>
      <c r="AW2381" s="36"/>
      <c r="AX2381" s="25"/>
      <c r="AY2381" s="25"/>
      <c r="AZ2381" s="25"/>
      <c r="BA2381" s="25"/>
      <c r="BB2381" s="25"/>
      <c r="BC2381" s="25"/>
      <c r="BD2381" s="25"/>
      <c r="BE2381" s="25"/>
      <c r="BF2381" s="25"/>
      <c r="BG2381" s="25"/>
      <c r="BH2381" s="25"/>
      <c r="BI2381" s="25"/>
      <c r="BJ2381" s="25"/>
      <c r="BK2381" s="25"/>
      <c r="BL2381" s="25"/>
      <c r="BM2381" s="25"/>
      <c r="BN2381" s="25"/>
      <c r="BO2381" s="25"/>
      <c r="BP2381" s="25"/>
      <c r="BQ2381" s="25"/>
      <c r="BR2381" s="25"/>
      <c r="BS2381" s="25"/>
      <c r="BT2381" s="25"/>
      <c r="BU2381"/>
      <c r="BV2381"/>
      <c r="BW2381"/>
      <c r="BX2381"/>
      <c r="BY2381"/>
      <c r="BZ2381"/>
      <c r="CA2381"/>
      <c r="CB2381"/>
      <c r="CC2381"/>
      <c r="CD2381" s="25"/>
    </row>
    <row r="2382" spans="1:82" s="17" customFormat="1" x14ac:dyDescent="0.2">
      <c r="A2382" s="25"/>
      <c r="B2382" s="20">
        <v>39049007520</v>
      </c>
      <c r="C2382" s="20">
        <v>75.2</v>
      </c>
      <c r="D2382" s="20" t="s">
        <v>31</v>
      </c>
      <c r="E2382" s="20" t="s">
        <v>2830</v>
      </c>
      <c r="F2382" s="20" t="s">
        <v>6</v>
      </c>
      <c r="G2382" s="861">
        <v>38.818510676925598</v>
      </c>
      <c r="H2382" s="861">
        <v>50.435381727400902</v>
      </c>
      <c r="I2382" s="861">
        <v>68.440793544374898</v>
      </c>
      <c r="J2382" s="861">
        <v>36.080047227859701</v>
      </c>
      <c r="K2382" s="982">
        <v>0</v>
      </c>
      <c r="L2382" s="735">
        <v>3244</v>
      </c>
      <c r="M2382" s="735">
        <v>3050</v>
      </c>
      <c r="N2382" s="845">
        <f t="shared" si="182"/>
        <v>-5.9802712700369916E-2</v>
      </c>
      <c r="O2382" s="735">
        <v>0.98017361168503592</v>
      </c>
      <c r="P2382" s="735">
        <f t="shared" si="183"/>
        <v>3111.6936465537819</v>
      </c>
      <c r="Q2382" s="849">
        <v>29</v>
      </c>
      <c r="R2382" s="71">
        <v>35086</v>
      </c>
      <c r="S2382" s="845">
        <v>0.36696340257171117</v>
      </c>
      <c r="T2382" s="845">
        <v>0.13699999999999998</v>
      </c>
      <c r="U2382" s="845">
        <v>1.6E-2</v>
      </c>
      <c r="V2382" s="845">
        <v>0</v>
      </c>
      <c r="W2382" s="845">
        <v>0.66142969363707782</v>
      </c>
      <c r="X2382" s="845">
        <v>0.5997624703087886</v>
      </c>
      <c r="Y2382" s="845">
        <v>0.25836065573770489</v>
      </c>
      <c r="Z2382" s="845">
        <v>0.5534426229508197</v>
      </c>
      <c r="AA2382" s="845">
        <v>0</v>
      </c>
      <c r="AB2382" s="845">
        <v>1.9344262295081967E-2</v>
      </c>
      <c r="AC2382" s="845">
        <v>0</v>
      </c>
      <c r="AD2382" s="845">
        <v>3.2786885245901639E-3</v>
      </c>
      <c r="AE2382" s="845">
        <v>0.16557377049180327</v>
      </c>
      <c r="AF2382" s="845">
        <v>0.12819672131147541</v>
      </c>
      <c r="AG2382" s="845">
        <v>0.19278688524590165</v>
      </c>
      <c r="AH2382" s="20" t="str">
        <f t="shared" si="184"/>
        <v>No</v>
      </c>
      <c r="AI2382" s="25"/>
      <c r="AJ2382" s="25"/>
      <c r="AK2382" s="25"/>
      <c r="AL2382" s="25"/>
      <c r="AM2382" s="25"/>
      <c r="AN2382" s="25"/>
      <c r="AO2382" s="25"/>
      <c r="AP2382" s="25"/>
      <c r="AQ2382" s="25"/>
      <c r="AR2382" s="25"/>
      <c r="AS2382" s="25"/>
      <c r="AT2382" s="25"/>
      <c r="AU2382" s="36"/>
      <c r="AV2382" s="36"/>
      <c r="AW2382" s="36"/>
      <c r="AX2382" s="25"/>
      <c r="AY2382" s="25"/>
      <c r="AZ2382" s="25"/>
      <c r="BA2382" s="25"/>
      <c r="BB2382" s="25"/>
      <c r="BC2382" s="25"/>
      <c r="BD2382" s="25"/>
      <c r="BE2382" s="25"/>
      <c r="BF2382" s="25"/>
      <c r="BG2382" s="25"/>
      <c r="BH2382" s="25"/>
      <c r="BI2382" s="25"/>
      <c r="BJ2382" s="25"/>
      <c r="BK2382" s="25"/>
      <c r="BL2382" s="25"/>
      <c r="BM2382" s="25"/>
      <c r="BN2382" s="25"/>
      <c r="BO2382" s="25"/>
      <c r="BP2382" s="25"/>
      <c r="BQ2382" s="25"/>
      <c r="BR2382" s="25"/>
      <c r="BS2382" s="25"/>
      <c r="BT2382" s="25"/>
      <c r="BU2382"/>
      <c r="BV2382"/>
      <c r="BW2382"/>
      <c r="BX2382"/>
      <c r="BY2382"/>
      <c r="BZ2382"/>
      <c r="CA2382"/>
      <c r="CB2382"/>
      <c r="CC2382"/>
      <c r="CD2382" s="25"/>
    </row>
    <row r="2383" spans="1:82" s="17" customFormat="1" x14ac:dyDescent="0.2">
      <c r="A2383" s="25"/>
      <c r="B2383" s="20">
        <v>39089750700</v>
      </c>
      <c r="C2383" s="20">
        <v>7507</v>
      </c>
      <c r="D2383" s="20" t="s">
        <v>50</v>
      </c>
      <c r="E2383" s="20" t="s">
        <v>2830</v>
      </c>
      <c r="F2383" s="20" t="s">
        <v>6</v>
      </c>
      <c r="G2383" s="861">
        <v>38.794012406595201</v>
      </c>
      <c r="H2383" s="861">
        <v>48.551852179025502</v>
      </c>
      <c r="I2383" s="861">
        <v>31.301763486410199</v>
      </c>
      <c r="J2383" s="861">
        <v>55.573376155727097</v>
      </c>
      <c r="K2383" s="982">
        <v>0</v>
      </c>
      <c r="L2383" s="735">
        <v>3575</v>
      </c>
      <c r="M2383" s="735">
        <v>3045</v>
      </c>
      <c r="N2383" s="845">
        <f t="shared" si="182"/>
        <v>-0.14825174825174825</v>
      </c>
      <c r="O2383" s="735">
        <v>0.99985941634303488</v>
      </c>
      <c r="P2383" s="735">
        <f t="shared" si="183"/>
        <v>3045.4281374245838</v>
      </c>
      <c r="Q2383" s="849">
        <v>43.5</v>
      </c>
      <c r="R2383" s="71">
        <v>47294</v>
      </c>
      <c r="S2383" s="845">
        <v>0.1660541262946876</v>
      </c>
      <c r="T2383" s="845">
        <v>3.4000000000000002E-2</v>
      </c>
      <c r="U2383" s="845">
        <v>0</v>
      </c>
      <c r="V2383" s="845">
        <v>0.11900000000000001</v>
      </c>
      <c r="W2383" s="845">
        <v>0.56930358350236643</v>
      </c>
      <c r="X2383" s="845">
        <v>0.28147268408551068</v>
      </c>
      <c r="Y2383" s="845">
        <v>0.8896551724137931</v>
      </c>
      <c r="Z2383" s="845">
        <v>5.5172413793103448E-2</v>
      </c>
      <c r="AA2383" s="845">
        <v>0</v>
      </c>
      <c r="AB2383" s="845">
        <v>3.2840722495894911E-4</v>
      </c>
      <c r="AC2383" s="845">
        <v>0</v>
      </c>
      <c r="AD2383" s="845">
        <v>5.9113300492610842E-3</v>
      </c>
      <c r="AE2383" s="845">
        <v>4.8932676518883417E-2</v>
      </c>
      <c r="AF2383" s="845">
        <v>4.0065681444991792E-2</v>
      </c>
      <c r="AG2383" s="845">
        <v>0.85615763546798029</v>
      </c>
      <c r="AH2383" s="20" t="str">
        <f t="shared" si="184"/>
        <v>No</v>
      </c>
      <c r="AI2383" s="25"/>
      <c r="AJ2383" s="25"/>
      <c r="AK2383" s="25"/>
      <c r="AL2383" s="25"/>
      <c r="AM2383" s="25"/>
      <c r="AN2383" s="25"/>
      <c r="AO2383" s="25"/>
      <c r="AP2383" s="25"/>
      <c r="AQ2383" s="25"/>
      <c r="AR2383" s="25"/>
      <c r="AS2383" s="25"/>
      <c r="AT2383" s="25"/>
      <c r="AU2383" s="36"/>
      <c r="AV2383" s="36"/>
      <c r="AW2383" s="36"/>
      <c r="AX2383" s="25"/>
      <c r="AY2383" s="25"/>
      <c r="AZ2383" s="25"/>
      <c r="BA2383" s="25"/>
      <c r="BB2383" s="25"/>
      <c r="BC2383" s="25"/>
      <c r="BD2383" s="25"/>
      <c r="BE2383" s="25"/>
      <c r="BF2383" s="25"/>
      <c r="BG2383" s="25"/>
      <c r="BH2383" s="25"/>
      <c r="BI2383" s="25"/>
      <c r="BJ2383" s="25"/>
      <c r="BK2383" s="25"/>
      <c r="BL2383" s="25"/>
      <c r="BM2383" s="25"/>
      <c r="BN2383" s="25"/>
      <c r="BO2383" s="25"/>
      <c r="BP2383" s="25"/>
      <c r="BQ2383" s="25"/>
      <c r="BR2383" s="25"/>
      <c r="BS2383" s="25"/>
      <c r="BT2383" s="25"/>
      <c r="BU2383"/>
      <c r="BV2383"/>
      <c r="BW2383"/>
      <c r="BX2383"/>
      <c r="BY2383"/>
      <c r="BZ2383"/>
      <c r="CA2383"/>
      <c r="CB2383"/>
      <c r="CC2383"/>
      <c r="CD2383" s="25"/>
    </row>
    <row r="2384" spans="1:82" s="17" customFormat="1" x14ac:dyDescent="0.2">
      <c r="A2384" s="25"/>
      <c r="B2384" s="20">
        <v>39017013200</v>
      </c>
      <c r="C2384" s="20">
        <v>132</v>
      </c>
      <c r="D2384" s="20" t="s">
        <v>15</v>
      </c>
      <c r="E2384" s="20" t="s">
        <v>2828</v>
      </c>
      <c r="F2384" s="20" t="s">
        <v>8</v>
      </c>
      <c r="G2384" s="861">
        <v>38.787605048236898</v>
      </c>
      <c r="H2384" s="861">
        <v>42.048058198867899</v>
      </c>
      <c r="I2384" s="861">
        <v>46.680613584402501</v>
      </c>
      <c r="J2384" s="861">
        <v>49.331358543341899</v>
      </c>
      <c r="K2384" s="982">
        <v>1</v>
      </c>
      <c r="L2384" s="735">
        <v>3750</v>
      </c>
      <c r="M2384" s="735">
        <v>3523</v>
      </c>
      <c r="N2384" s="845">
        <f t="shared" si="182"/>
        <v>-6.0533333333333335E-2</v>
      </c>
      <c r="O2384" s="735">
        <v>0.45437351447918423</v>
      </c>
      <c r="P2384" s="735">
        <f t="shared" si="183"/>
        <v>7753.5329145189335</v>
      </c>
      <c r="Q2384" s="849">
        <v>29.9</v>
      </c>
      <c r="R2384" s="71">
        <v>61122</v>
      </c>
      <c r="S2384" s="845">
        <v>0.15862870424171993</v>
      </c>
      <c r="T2384" s="845">
        <v>9.0999999999999998E-2</v>
      </c>
      <c r="U2384" s="845">
        <v>3.5000000000000003E-2</v>
      </c>
      <c r="V2384" s="845">
        <v>4.4000000000000004E-2</v>
      </c>
      <c r="W2384" s="845">
        <v>0.46472392638036808</v>
      </c>
      <c r="X2384" s="845">
        <v>0.49174917491749176</v>
      </c>
      <c r="Y2384" s="845">
        <v>0.57848424638092533</v>
      </c>
      <c r="Z2384" s="845">
        <v>0.21572523417541867</v>
      </c>
      <c r="AA2384" s="845">
        <v>0</v>
      </c>
      <c r="AB2384" s="845">
        <v>0</v>
      </c>
      <c r="AC2384" s="845">
        <v>0</v>
      </c>
      <c r="AD2384" s="845">
        <v>4.2293499858075505E-2</v>
      </c>
      <c r="AE2384" s="845">
        <v>0.16349701958558047</v>
      </c>
      <c r="AF2384" s="845">
        <v>0.20124893556627874</v>
      </c>
      <c r="AG2384" s="845">
        <v>0.55833096792506387</v>
      </c>
      <c r="AH2384" s="20" t="str">
        <f t="shared" si="184"/>
        <v>No</v>
      </c>
      <c r="AI2384" s="25"/>
      <c r="AJ2384" s="25"/>
      <c r="AK2384" s="25"/>
      <c r="AL2384" s="25"/>
      <c r="AM2384" s="25"/>
      <c r="AN2384" s="25"/>
      <c r="AO2384" s="25"/>
      <c r="AP2384" s="25"/>
      <c r="AQ2384" s="25"/>
      <c r="AR2384" s="25"/>
      <c r="AS2384" s="25"/>
      <c r="AT2384" s="25"/>
      <c r="AU2384" s="36"/>
      <c r="AV2384" s="36"/>
      <c r="AW2384" s="36"/>
      <c r="AX2384" s="25"/>
      <c r="AY2384" s="25"/>
      <c r="AZ2384" s="25"/>
      <c r="BA2384" s="25"/>
      <c r="BB2384" s="25"/>
      <c r="BC2384" s="25"/>
      <c r="BD2384" s="25"/>
      <c r="BE2384" s="25"/>
      <c r="BF2384" s="25"/>
      <c r="BG2384" s="25"/>
      <c r="BH2384" s="25"/>
      <c r="BI2384" s="25"/>
      <c r="BJ2384" s="25"/>
      <c r="BK2384" s="25"/>
      <c r="BL2384" s="25"/>
      <c r="BM2384" s="25"/>
      <c r="BN2384" s="25"/>
      <c r="BO2384" s="25"/>
      <c r="BP2384" s="25"/>
      <c r="BQ2384" s="25"/>
      <c r="BR2384" s="25"/>
      <c r="BS2384" s="25"/>
      <c r="BT2384" s="25"/>
      <c r="BU2384"/>
      <c r="BV2384"/>
      <c r="BW2384"/>
      <c r="BX2384"/>
      <c r="BY2384"/>
      <c r="BZ2384"/>
      <c r="CA2384"/>
      <c r="CB2384"/>
      <c r="CC2384"/>
      <c r="CD2384" s="25"/>
    </row>
    <row r="2385" spans="1:82" s="17" customFormat="1" x14ac:dyDescent="0.2">
      <c r="A2385" s="25"/>
      <c r="B2385" s="20">
        <v>39023002702</v>
      </c>
      <c r="C2385" s="20">
        <v>27.02</v>
      </c>
      <c r="D2385" s="20" t="s">
        <v>18</v>
      </c>
      <c r="E2385" s="20" t="s">
        <v>2838</v>
      </c>
      <c r="F2385" s="20" t="s">
        <v>8</v>
      </c>
      <c r="G2385" s="861">
        <v>38.782159827111599</v>
      </c>
      <c r="H2385" s="861">
        <v>45.672565916460201</v>
      </c>
      <c r="I2385" s="861">
        <v>37.456999833770098</v>
      </c>
      <c r="J2385" s="861">
        <v>34.4505511883984</v>
      </c>
      <c r="K2385" s="982">
        <v>0</v>
      </c>
      <c r="L2385" s="735">
        <v>2373</v>
      </c>
      <c r="M2385" s="735">
        <v>2438</v>
      </c>
      <c r="N2385" s="845">
        <f t="shared" si="182"/>
        <v>2.7391487568478718E-2</v>
      </c>
      <c r="O2385" s="735">
        <v>2.1282750213088817</v>
      </c>
      <c r="P2385" s="735">
        <f t="shared" si="183"/>
        <v>1145.5286443669477</v>
      </c>
      <c r="Q2385" s="849">
        <v>32.4</v>
      </c>
      <c r="R2385" s="71">
        <v>61521</v>
      </c>
      <c r="S2385" s="845">
        <v>0.22446457990115321</v>
      </c>
      <c r="T2385" s="845">
        <v>0.14499999999999999</v>
      </c>
      <c r="U2385" s="845">
        <v>0</v>
      </c>
      <c r="V2385" s="845">
        <v>0</v>
      </c>
      <c r="W2385" s="845">
        <v>0.34410844629822734</v>
      </c>
      <c r="X2385" s="845">
        <v>0.4</v>
      </c>
      <c r="Y2385" s="845">
        <v>0.73092698933552092</v>
      </c>
      <c r="Z2385" s="845">
        <v>8.2034454470877774E-4</v>
      </c>
      <c r="AA2385" s="845">
        <v>0</v>
      </c>
      <c r="AB2385" s="845">
        <v>5.742411812961444E-3</v>
      </c>
      <c r="AC2385" s="845">
        <v>0</v>
      </c>
      <c r="AD2385" s="845">
        <v>0.11689909762100081</v>
      </c>
      <c r="AE2385" s="845">
        <v>0.14561115668580804</v>
      </c>
      <c r="AF2385" s="845">
        <v>0.24446267432321575</v>
      </c>
      <c r="AG2385" s="845">
        <v>0.71123872026251023</v>
      </c>
      <c r="AH2385" s="20" t="str">
        <f t="shared" si="184"/>
        <v>No</v>
      </c>
      <c r="AI2385" s="25"/>
      <c r="AJ2385" s="25"/>
      <c r="AK2385" s="25"/>
      <c r="AL2385" s="25"/>
      <c r="AM2385" s="25"/>
      <c r="AN2385" s="25"/>
      <c r="AO2385" s="25"/>
      <c r="AP2385" s="25"/>
      <c r="AQ2385" s="25"/>
      <c r="AR2385" s="25"/>
      <c r="AS2385" s="25"/>
      <c r="AT2385" s="25"/>
      <c r="AU2385" s="36"/>
      <c r="AV2385" s="36"/>
      <c r="AW2385" s="36"/>
      <c r="AX2385" s="25"/>
      <c r="AY2385" s="25"/>
      <c r="AZ2385" s="25"/>
      <c r="BA2385" s="25"/>
      <c r="BB2385" s="25"/>
      <c r="BC2385" s="25"/>
      <c r="BD2385" s="25"/>
      <c r="BE2385" s="25"/>
      <c r="BF2385" s="25"/>
      <c r="BG2385" s="25"/>
      <c r="BH2385" s="25"/>
      <c r="BI2385" s="25"/>
      <c r="BJ2385" s="25"/>
      <c r="BK2385" s="25"/>
      <c r="BL2385" s="25"/>
      <c r="BM2385" s="25"/>
      <c r="BN2385" s="25"/>
      <c r="BO2385" s="25"/>
      <c r="BP2385" s="25"/>
      <c r="BQ2385" s="25"/>
      <c r="BR2385" s="25"/>
      <c r="BS2385" s="25"/>
      <c r="BT2385" s="25"/>
      <c r="BU2385"/>
      <c r="BV2385"/>
      <c r="BW2385"/>
      <c r="BX2385"/>
      <c r="BY2385"/>
      <c r="BZ2385"/>
      <c r="CA2385"/>
      <c r="CB2385"/>
      <c r="CC2385"/>
      <c r="CD2385" s="25"/>
    </row>
    <row r="2386" spans="1:82" s="17" customFormat="1" x14ac:dyDescent="0.2">
      <c r="A2386" s="25"/>
      <c r="B2386" s="20">
        <v>39093094101</v>
      </c>
      <c r="C2386" s="20">
        <v>941.01</v>
      </c>
      <c r="D2386" s="20" t="s">
        <v>52</v>
      </c>
      <c r="E2386" s="20" t="s">
        <v>2829</v>
      </c>
      <c r="F2386" s="20" t="s">
        <v>8</v>
      </c>
      <c r="G2386" s="861">
        <v>38.765171635809097</v>
      </c>
      <c r="H2386" s="861">
        <v>50.666966112994302</v>
      </c>
      <c r="I2386" s="861">
        <v>29.762738168918698</v>
      </c>
      <c r="J2386" s="861">
        <v>29.981849597325098</v>
      </c>
      <c r="K2386" s="982">
        <v>0</v>
      </c>
      <c r="L2386" s="735" t="s">
        <v>2466</v>
      </c>
      <c r="M2386" s="735">
        <v>5276</v>
      </c>
      <c r="N2386" s="845" t="str">
        <f t="shared" si="182"/>
        <v/>
      </c>
      <c r="O2386" s="735">
        <v>34.542022665887842</v>
      </c>
      <c r="P2386" s="735">
        <f t="shared" si="183"/>
        <v>152.74148972203477</v>
      </c>
      <c r="Q2386" s="849">
        <v>42.1</v>
      </c>
      <c r="R2386" s="71">
        <v>79679</v>
      </c>
      <c r="S2386" s="845">
        <v>0.12833813640730068</v>
      </c>
      <c r="T2386" s="845">
        <v>6.0999999999999999E-2</v>
      </c>
      <c r="U2386" s="845">
        <v>4.0000000000000001E-3</v>
      </c>
      <c r="V2386" s="845">
        <v>0</v>
      </c>
      <c r="W2386" s="845">
        <v>0.1104225352112676</v>
      </c>
      <c r="X2386" s="845">
        <v>0.4642857142857143</v>
      </c>
      <c r="Y2386" s="845">
        <v>0.92911296436694468</v>
      </c>
      <c r="Z2386" s="845">
        <v>1.7816527672479151E-2</v>
      </c>
      <c r="AA2386" s="845">
        <v>5.1175132676269898E-3</v>
      </c>
      <c r="AB2386" s="845">
        <v>0</v>
      </c>
      <c r="AC2386" s="845">
        <v>0</v>
      </c>
      <c r="AD2386" s="845">
        <v>4.9279757391963606E-3</v>
      </c>
      <c r="AE2386" s="845">
        <v>4.3025018953752846E-2</v>
      </c>
      <c r="AF2386" s="845">
        <v>4.5489006823351025E-2</v>
      </c>
      <c r="AG2386" s="845">
        <v>0.90750568612585292</v>
      </c>
      <c r="AH2386" s="20" t="str">
        <f t="shared" si="184"/>
        <v>Yes</v>
      </c>
      <c r="AI2386" s="25"/>
      <c r="AJ2386" s="25"/>
      <c r="AK2386" s="25"/>
      <c r="AL2386" s="25"/>
      <c r="AM2386" s="25"/>
      <c r="AN2386" s="25"/>
      <c r="AO2386" s="25"/>
      <c r="AP2386" s="25"/>
      <c r="AQ2386" s="25"/>
      <c r="AR2386" s="25"/>
      <c r="AS2386" s="25"/>
      <c r="AT2386" s="25"/>
      <c r="AU2386" s="36"/>
      <c r="AV2386" s="36"/>
      <c r="AW2386" s="36"/>
      <c r="AX2386" s="25"/>
      <c r="AY2386" s="25"/>
      <c r="AZ2386" s="25"/>
      <c r="BA2386" s="25"/>
      <c r="BB2386" s="25"/>
      <c r="BC2386" s="25"/>
      <c r="BD2386" s="25"/>
      <c r="BE2386" s="25"/>
      <c r="BF2386" s="25"/>
      <c r="BG2386" s="25"/>
      <c r="BH2386" s="25"/>
      <c r="BI2386" s="25"/>
      <c r="BJ2386" s="25"/>
      <c r="BK2386" s="25"/>
      <c r="BL2386" s="25"/>
      <c r="BM2386" s="25"/>
      <c r="BN2386" s="25"/>
      <c r="BO2386" s="25"/>
      <c r="BP2386" s="25"/>
      <c r="BQ2386" s="25"/>
      <c r="BR2386" s="25"/>
      <c r="BS2386" s="25"/>
      <c r="BT2386" s="25"/>
      <c r="BU2386"/>
      <c r="BV2386"/>
      <c r="BW2386"/>
      <c r="BX2386"/>
      <c r="BY2386"/>
      <c r="BZ2386"/>
      <c r="CA2386"/>
      <c r="CB2386"/>
      <c r="CC2386"/>
      <c r="CD2386" s="25"/>
    </row>
    <row r="2387" spans="1:82" s="17" customFormat="1" x14ac:dyDescent="0.2">
      <c r="A2387" s="25"/>
      <c r="B2387" s="20">
        <v>39049004700</v>
      </c>
      <c r="C2387" s="20">
        <v>47</v>
      </c>
      <c r="D2387" s="20" t="s">
        <v>31</v>
      </c>
      <c r="E2387" s="20" t="s">
        <v>2830</v>
      </c>
      <c r="F2387" s="20" t="s">
        <v>6</v>
      </c>
      <c r="G2387" s="861">
        <v>38.727544088593</v>
      </c>
      <c r="H2387" s="861">
        <v>50.773319883844898</v>
      </c>
      <c r="I2387" s="861">
        <v>62.545990049014399</v>
      </c>
      <c r="J2387" s="861">
        <v>55.148053545995801</v>
      </c>
      <c r="K2387" s="982">
        <v>0</v>
      </c>
      <c r="L2387" s="735">
        <v>4702</v>
      </c>
      <c r="M2387" s="735">
        <v>5871</v>
      </c>
      <c r="N2387" s="845">
        <f t="shared" si="182"/>
        <v>0.24861760952786049</v>
      </c>
      <c r="O2387" s="735">
        <v>0.51251007480493804</v>
      </c>
      <c r="P2387" s="735">
        <f t="shared" si="183"/>
        <v>11455.384564361022</v>
      </c>
      <c r="Q2387" s="849">
        <v>28.4</v>
      </c>
      <c r="R2387" s="71">
        <v>51371</v>
      </c>
      <c r="S2387" s="845">
        <v>0.28736033519553073</v>
      </c>
      <c r="T2387" s="845">
        <v>7.0999999999999994E-2</v>
      </c>
      <c r="U2387" s="845">
        <v>0</v>
      </c>
      <c r="V2387" s="845">
        <v>4.4000000000000004E-2</v>
      </c>
      <c r="W2387" s="845">
        <v>0.67439409905163328</v>
      </c>
      <c r="X2387" s="845">
        <v>0.46640625000000002</v>
      </c>
      <c r="Y2387" s="845">
        <v>0.45034917390563789</v>
      </c>
      <c r="Z2387" s="845">
        <v>0.24084483052290923</v>
      </c>
      <c r="AA2387" s="845">
        <v>1.0049395332992676E-2</v>
      </c>
      <c r="AB2387" s="845">
        <v>6.3021631749276101E-3</v>
      </c>
      <c r="AC2387" s="845">
        <v>0</v>
      </c>
      <c r="AD2387" s="845">
        <v>0.10901039005280191</v>
      </c>
      <c r="AE2387" s="845">
        <v>0.18344404701073072</v>
      </c>
      <c r="AF2387" s="845">
        <v>0.26383920967467211</v>
      </c>
      <c r="AG2387" s="845">
        <v>0.42190427525123486</v>
      </c>
      <c r="AH2387" s="20" t="str">
        <f t="shared" si="184"/>
        <v>No</v>
      </c>
      <c r="AI2387" s="25"/>
      <c r="AJ2387" s="25"/>
      <c r="AK2387" s="25"/>
      <c r="AL2387" s="25"/>
      <c r="AM2387" s="25"/>
      <c r="AN2387" s="25"/>
      <c r="AO2387" s="25"/>
      <c r="AP2387" s="25"/>
      <c r="AQ2387" s="25"/>
      <c r="AR2387" s="25"/>
      <c r="AS2387" s="25"/>
      <c r="AT2387" s="25"/>
      <c r="AU2387" s="36"/>
      <c r="AV2387" s="36"/>
      <c r="AW2387" s="36"/>
      <c r="AX2387" s="25"/>
      <c r="AY2387" s="25"/>
      <c r="AZ2387" s="25"/>
      <c r="BA2387" s="25"/>
      <c r="BB2387" s="25"/>
      <c r="BC2387" s="25"/>
      <c r="BD2387" s="25"/>
      <c r="BE2387" s="25"/>
      <c r="BF2387" s="25"/>
      <c r="BG2387" s="25"/>
      <c r="BH2387" s="25"/>
      <c r="BI2387" s="25"/>
      <c r="BJ2387" s="25"/>
      <c r="BK2387" s="25"/>
      <c r="BL2387" s="25"/>
      <c r="BM2387" s="25"/>
      <c r="BN2387" s="25"/>
      <c r="BO2387" s="25"/>
      <c r="BP2387" s="25"/>
      <c r="BQ2387" s="25"/>
      <c r="BR2387" s="25"/>
      <c r="BS2387" s="25"/>
      <c r="BT2387" s="25"/>
      <c r="BU2387"/>
      <c r="BV2387"/>
      <c r="BW2387"/>
      <c r="BX2387"/>
      <c r="BY2387"/>
      <c r="BZ2387"/>
      <c r="CA2387"/>
      <c r="CB2387"/>
      <c r="CC2387"/>
      <c r="CD2387" s="25"/>
    </row>
    <row r="2388" spans="1:82" s="17" customFormat="1" x14ac:dyDescent="0.2">
      <c r="A2388" s="25"/>
      <c r="B2388" s="20">
        <v>39035110901</v>
      </c>
      <c r="C2388" s="20">
        <v>1109.01</v>
      </c>
      <c r="D2388" s="20" t="s">
        <v>24</v>
      </c>
      <c r="E2388" s="20" t="s">
        <v>2829</v>
      </c>
      <c r="F2388" s="20" t="s">
        <v>6</v>
      </c>
      <c r="G2388" s="861">
        <v>38.696128135978803</v>
      </c>
      <c r="H2388" s="861">
        <v>59.376428331451301</v>
      </c>
      <c r="I2388" s="861">
        <v>64.796758685684907</v>
      </c>
      <c r="J2388" s="861">
        <v>29.8203632058644</v>
      </c>
      <c r="K2388" s="982">
        <v>0</v>
      </c>
      <c r="L2388" s="735">
        <v>3079</v>
      </c>
      <c r="M2388" s="735">
        <v>2602</v>
      </c>
      <c r="N2388" s="845">
        <f t="shared" si="182"/>
        <v>-0.15492042871062034</v>
      </c>
      <c r="O2388" s="735">
        <v>1.2878545608458412</v>
      </c>
      <c r="P2388" s="735">
        <f t="shared" si="183"/>
        <v>2020.4144777738336</v>
      </c>
      <c r="Q2388" s="849">
        <v>38.299999999999997</v>
      </c>
      <c r="R2388" s="71">
        <v>40695</v>
      </c>
      <c r="S2388" s="845">
        <v>0.37086856264411988</v>
      </c>
      <c r="T2388" s="845">
        <v>0.14000000000000001</v>
      </c>
      <c r="U2388" s="845">
        <v>0</v>
      </c>
      <c r="V2388" s="845">
        <v>5.5999999999999994E-2</v>
      </c>
      <c r="W2388" s="845">
        <v>0.4393414211438475</v>
      </c>
      <c r="X2388" s="845">
        <v>0.33333333333333331</v>
      </c>
      <c r="Y2388" s="845">
        <v>0.36817832436587239</v>
      </c>
      <c r="Z2388" s="845">
        <v>0.34127594158339741</v>
      </c>
      <c r="AA2388" s="845">
        <v>1.1529592621060721E-3</v>
      </c>
      <c r="AB2388" s="845">
        <v>0</v>
      </c>
      <c r="AC2388" s="845">
        <v>0</v>
      </c>
      <c r="AD2388" s="845">
        <v>7.6479631053036123E-2</v>
      </c>
      <c r="AE2388" s="845">
        <v>0.21291314373558801</v>
      </c>
      <c r="AF2388" s="845">
        <v>0.23366641045349731</v>
      </c>
      <c r="AG2388" s="845">
        <v>0.36817832436587239</v>
      </c>
      <c r="AH2388" s="20" t="str">
        <f t="shared" si="184"/>
        <v>No</v>
      </c>
      <c r="AI2388" s="25"/>
      <c r="AJ2388" s="25"/>
      <c r="AK2388" s="25"/>
      <c r="AL2388" s="25"/>
      <c r="AM2388" s="25"/>
      <c r="AN2388" s="25"/>
      <c r="AO2388" s="25"/>
      <c r="AP2388" s="25"/>
      <c r="AQ2388" s="25"/>
      <c r="AR2388" s="25"/>
      <c r="AS2388" s="25"/>
      <c r="AT2388" s="25"/>
      <c r="AU2388" s="36"/>
      <c r="AV2388" s="36"/>
      <c r="AW2388" s="36"/>
      <c r="AX2388" s="25"/>
      <c r="AY2388" s="25"/>
      <c r="AZ2388" s="25"/>
      <c r="BA2388" s="25"/>
      <c r="BB2388" s="25"/>
      <c r="BC2388" s="25"/>
      <c r="BD2388" s="25"/>
      <c r="BE2388" s="25"/>
      <c r="BF2388" s="25"/>
      <c r="BG2388" s="25"/>
      <c r="BH2388" s="25"/>
      <c r="BI2388" s="25"/>
      <c r="BJ2388" s="25"/>
      <c r="BK2388" s="25"/>
      <c r="BL2388" s="25"/>
      <c r="BM2388" s="25"/>
      <c r="BN2388" s="25"/>
      <c r="BO2388" s="25"/>
      <c r="BP2388" s="25"/>
      <c r="BQ2388" s="25"/>
      <c r="BR2388" s="25"/>
      <c r="BS2388" s="25"/>
      <c r="BT2388" s="25"/>
      <c r="BU2388"/>
      <c r="BV2388"/>
      <c r="BW2388"/>
      <c r="BX2388"/>
      <c r="BY2388"/>
      <c r="BZ2388"/>
      <c r="CA2388"/>
      <c r="CB2388"/>
      <c r="CC2388"/>
      <c r="CD2388" s="25"/>
    </row>
    <row r="2389" spans="1:82" s="17" customFormat="1" x14ac:dyDescent="0.2">
      <c r="A2389" s="25"/>
      <c r="B2389" s="20">
        <v>39061006800</v>
      </c>
      <c r="C2389" s="20">
        <v>68</v>
      </c>
      <c r="D2389" s="20" t="s">
        <v>37</v>
      </c>
      <c r="E2389" s="20" t="s">
        <v>2828</v>
      </c>
      <c r="F2389" s="20" t="s">
        <v>6</v>
      </c>
      <c r="G2389" s="861">
        <v>38.695450020755999</v>
      </c>
      <c r="H2389" s="861">
        <v>38.8017786928039</v>
      </c>
      <c r="I2389" s="861">
        <v>69.542467614746897</v>
      </c>
      <c r="J2389" s="861">
        <v>45.404442884211498</v>
      </c>
      <c r="K2389" s="982">
        <v>0</v>
      </c>
      <c r="L2389" s="735">
        <v>3789</v>
      </c>
      <c r="M2389" s="735">
        <v>4469</v>
      </c>
      <c r="N2389" s="845">
        <f t="shared" si="182"/>
        <v>0.17946687780416998</v>
      </c>
      <c r="O2389" s="735">
        <v>0.66140535293808744</v>
      </c>
      <c r="P2389" s="735">
        <f t="shared" si="183"/>
        <v>6756.8246615299659</v>
      </c>
      <c r="Q2389" s="849">
        <v>37.5</v>
      </c>
      <c r="R2389" s="71">
        <v>23440</v>
      </c>
      <c r="S2389" s="845">
        <v>0.49029475197699496</v>
      </c>
      <c r="T2389" s="845">
        <v>3.7000000000000005E-2</v>
      </c>
      <c r="U2389" s="845">
        <v>0</v>
      </c>
      <c r="V2389" s="845">
        <v>1.9E-2</v>
      </c>
      <c r="W2389" s="845">
        <v>0.7863677950594693</v>
      </c>
      <c r="X2389" s="845">
        <v>0.68819080860965676</v>
      </c>
      <c r="Y2389" s="845">
        <v>0.17274558066681583</v>
      </c>
      <c r="Z2389" s="845">
        <v>0.7907809353322891</v>
      </c>
      <c r="AA2389" s="845">
        <v>0</v>
      </c>
      <c r="AB2389" s="845">
        <v>1.3202058626090848E-2</v>
      </c>
      <c r="AC2389" s="845">
        <v>0</v>
      </c>
      <c r="AD2389" s="845">
        <v>0</v>
      </c>
      <c r="AE2389" s="845">
        <v>2.3271425374804207E-2</v>
      </c>
      <c r="AF2389" s="845">
        <v>6.6905347952562089E-2</v>
      </c>
      <c r="AG2389" s="845">
        <v>0.10584023271425375</v>
      </c>
      <c r="AH2389" s="20" t="str">
        <f t="shared" si="184"/>
        <v>No</v>
      </c>
      <c r="AI2389" s="25"/>
      <c r="AJ2389" s="25"/>
      <c r="AK2389" s="25"/>
      <c r="AL2389" s="25"/>
      <c r="AM2389" s="25"/>
      <c r="AN2389" s="25"/>
      <c r="AO2389" s="25"/>
      <c r="AP2389" s="25"/>
      <c r="AQ2389" s="25"/>
      <c r="AR2389" s="25"/>
      <c r="AS2389" s="25"/>
      <c r="AT2389" s="25"/>
      <c r="AU2389" s="36"/>
      <c r="AV2389" s="36"/>
      <c r="AW2389" s="36"/>
      <c r="AX2389" s="25"/>
      <c r="AY2389" s="25"/>
      <c r="AZ2389" s="25"/>
      <c r="BA2389" s="25"/>
      <c r="BB2389" s="25"/>
      <c r="BC2389" s="25"/>
      <c r="BD2389" s="25"/>
      <c r="BE2389" s="25"/>
      <c r="BF2389" s="25"/>
      <c r="BG2389" s="25"/>
      <c r="BH2389" s="25"/>
      <c r="BI2389" s="25"/>
      <c r="BJ2389" s="25"/>
      <c r="BK2389" s="25"/>
      <c r="BL2389" s="25"/>
      <c r="BM2389" s="25"/>
      <c r="BN2389" s="25"/>
      <c r="BO2389" s="25"/>
      <c r="BP2389" s="25"/>
      <c r="BQ2389" s="25"/>
      <c r="BR2389" s="25"/>
      <c r="BS2389" s="25"/>
      <c r="BT2389" s="25"/>
      <c r="BU2389"/>
      <c r="BV2389"/>
      <c r="BW2389"/>
      <c r="BX2389"/>
      <c r="BY2389"/>
      <c r="BZ2389"/>
      <c r="CA2389"/>
      <c r="CB2389"/>
      <c r="CC2389"/>
      <c r="CD2389" s="25"/>
    </row>
    <row r="2390" spans="1:82" s="17" customFormat="1" x14ac:dyDescent="0.2">
      <c r="A2390" s="25"/>
      <c r="B2390" s="20">
        <v>39029952200</v>
      </c>
      <c r="C2390" s="20">
        <v>9522</v>
      </c>
      <c r="D2390" s="20" t="s">
        <v>21</v>
      </c>
      <c r="E2390" s="20" t="s">
        <v>265</v>
      </c>
      <c r="F2390" s="20" t="s">
        <v>6</v>
      </c>
      <c r="G2390" s="861">
        <v>38.6952877485488</v>
      </c>
      <c r="H2390" s="861">
        <v>38.391674699473597</v>
      </c>
      <c r="I2390" s="861">
        <v>55.771836632189803</v>
      </c>
      <c r="J2390" s="861">
        <v>35.6377083677407</v>
      </c>
      <c r="K2390" s="982">
        <v>0</v>
      </c>
      <c r="L2390" s="735">
        <v>2014</v>
      </c>
      <c r="M2390" s="735">
        <v>1587</v>
      </c>
      <c r="N2390" s="845">
        <f t="shared" si="182"/>
        <v>-0.21201588877855015</v>
      </c>
      <c r="O2390" s="735">
        <v>0.83207061518131842</v>
      </c>
      <c r="P2390" s="735">
        <f t="shared" si="183"/>
        <v>1907.2900437112219</v>
      </c>
      <c r="Q2390" s="849">
        <v>38.5</v>
      </c>
      <c r="R2390" s="71">
        <v>41164</v>
      </c>
      <c r="S2390" s="845">
        <v>0.33963453056080656</v>
      </c>
      <c r="T2390" s="845">
        <v>7.2000000000000008E-2</v>
      </c>
      <c r="U2390" s="845">
        <v>0</v>
      </c>
      <c r="V2390" s="845">
        <v>0</v>
      </c>
      <c r="W2390" s="845">
        <v>0.38860971524288107</v>
      </c>
      <c r="X2390" s="845">
        <v>0.43965517241379309</v>
      </c>
      <c r="Y2390" s="845">
        <v>0.78512917454316322</v>
      </c>
      <c r="Z2390" s="845">
        <v>0.1033396345305608</v>
      </c>
      <c r="AA2390" s="845">
        <v>1.260239445494644E-3</v>
      </c>
      <c r="AB2390" s="845">
        <v>0</v>
      </c>
      <c r="AC2390" s="845">
        <v>0</v>
      </c>
      <c r="AD2390" s="845">
        <v>0</v>
      </c>
      <c r="AE2390" s="845">
        <v>0.11027095148078135</v>
      </c>
      <c r="AF2390" s="845">
        <v>0</v>
      </c>
      <c r="AG2390" s="845">
        <v>0.78512917454316322</v>
      </c>
      <c r="AH2390" s="20" t="str">
        <f t="shared" si="184"/>
        <v>No</v>
      </c>
      <c r="AI2390" s="25"/>
      <c r="AJ2390" s="25"/>
      <c r="AK2390" s="25"/>
      <c r="AL2390" s="25"/>
      <c r="AM2390" s="25"/>
      <c r="AN2390" s="25"/>
      <c r="AO2390" s="25"/>
      <c r="AP2390" s="25"/>
      <c r="AQ2390" s="25"/>
      <c r="AR2390" s="25"/>
      <c r="AS2390" s="25"/>
      <c r="AT2390" s="25"/>
      <c r="AU2390" s="36"/>
      <c r="AV2390" s="36"/>
      <c r="AW2390" s="36"/>
      <c r="AX2390" s="25"/>
      <c r="AY2390" s="25"/>
      <c r="AZ2390" s="25"/>
      <c r="BA2390" s="25"/>
      <c r="BB2390" s="25"/>
      <c r="BC2390" s="25"/>
      <c r="BD2390" s="25"/>
      <c r="BE2390" s="25"/>
      <c r="BF2390" s="25"/>
      <c r="BG2390" s="25"/>
      <c r="BH2390" s="25"/>
      <c r="BI2390" s="25"/>
      <c r="BJ2390" s="25"/>
      <c r="BK2390" s="25"/>
      <c r="BL2390" s="25"/>
      <c r="BM2390" s="25"/>
      <c r="BN2390" s="25"/>
      <c r="BO2390" s="25"/>
      <c r="BP2390" s="25"/>
      <c r="BQ2390" s="25"/>
      <c r="BR2390" s="25"/>
      <c r="BS2390" s="25"/>
      <c r="BT2390" s="25"/>
      <c r="BU2390"/>
      <c r="BV2390"/>
      <c r="BW2390"/>
      <c r="BX2390"/>
      <c r="BY2390"/>
      <c r="BZ2390"/>
      <c r="CA2390"/>
      <c r="CB2390"/>
      <c r="CC2390"/>
      <c r="CD2390" s="25"/>
    </row>
    <row r="2391" spans="1:82" s="17" customFormat="1" x14ac:dyDescent="0.2">
      <c r="A2391" s="25"/>
      <c r="B2391" s="20">
        <v>39065000700</v>
      </c>
      <c r="C2391" s="20">
        <v>7</v>
      </c>
      <c r="D2391" s="20" t="s">
        <v>39</v>
      </c>
      <c r="E2391" s="20" t="s">
        <v>265</v>
      </c>
      <c r="F2391" s="20" t="s">
        <v>8</v>
      </c>
      <c r="G2391" s="861">
        <v>38.691750458332997</v>
      </c>
      <c r="H2391" s="861">
        <v>47.124989588582899</v>
      </c>
      <c r="I2391" s="861">
        <v>17.657479955111398</v>
      </c>
      <c r="J2391" s="861">
        <v>51.193101143526803</v>
      </c>
      <c r="K2391" s="982">
        <v>0</v>
      </c>
      <c r="L2391" s="735">
        <v>5011</v>
      </c>
      <c r="M2391" s="735">
        <v>5268</v>
      </c>
      <c r="N2391" s="845">
        <f t="shared" si="182"/>
        <v>5.128716822989423E-2</v>
      </c>
      <c r="O2391" s="735">
        <v>146.83028100851013</v>
      </c>
      <c r="P2391" s="735">
        <f t="shared" si="183"/>
        <v>35.878157855562996</v>
      </c>
      <c r="Q2391" s="849">
        <v>36.700000000000003</v>
      </c>
      <c r="R2391" s="71">
        <v>81739</v>
      </c>
      <c r="S2391" s="845">
        <v>0.1808834729626809</v>
      </c>
      <c r="T2391" s="845">
        <v>0.03</v>
      </c>
      <c r="U2391" s="845">
        <v>0</v>
      </c>
      <c r="V2391" s="845">
        <v>0</v>
      </c>
      <c r="W2391" s="845">
        <v>0.18660022148394242</v>
      </c>
      <c r="X2391" s="845">
        <v>7.71513353115727E-2</v>
      </c>
      <c r="Y2391" s="845">
        <v>0.9855732725892179</v>
      </c>
      <c r="Z2391" s="845">
        <v>0</v>
      </c>
      <c r="AA2391" s="845">
        <v>1.8982536066818528E-4</v>
      </c>
      <c r="AB2391" s="845">
        <v>2.2779043280182231E-3</v>
      </c>
      <c r="AC2391" s="845">
        <v>0</v>
      </c>
      <c r="AD2391" s="845">
        <v>2.6575550493545936E-3</v>
      </c>
      <c r="AE2391" s="845">
        <v>9.3014426727410782E-3</v>
      </c>
      <c r="AF2391" s="845">
        <v>6.0744115413819289E-3</v>
      </c>
      <c r="AG2391" s="845">
        <v>0.98177676537585423</v>
      </c>
      <c r="AH2391" s="20" t="str">
        <f t="shared" si="184"/>
        <v>Yes</v>
      </c>
      <c r="AI2391" s="25"/>
      <c r="AJ2391" s="25"/>
      <c r="AK2391" s="25"/>
      <c r="AL2391" s="25"/>
      <c r="AM2391" s="25"/>
      <c r="AN2391" s="25"/>
      <c r="AO2391" s="25"/>
      <c r="AP2391" s="25"/>
      <c r="AQ2391" s="25"/>
      <c r="AR2391" s="25"/>
      <c r="AS2391" s="25"/>
      <c r="AT2391" s="25"/>
      <c r="AU2391" s="36"/>
      <c r="AV2391" s="36"/>
      <c r="AW2391" s="36"/>
      <c r="AX2391" s="25"/>
      <c r="AY2391" s="25"/>
      <c r="AZ2391" s="25"/>
      <c r="BA2391" s="25"/>
      <c r="BB2391" s="25"/>
      <c r="BC2391" s="25"/>
      <c r="BD2391" s="25"/>
      <c r="BE2391" s="25"/>
      <c r="BF2391" s="25"/>
      <c r="BG2391" s="25"/>
      <c r="BH2391" s="25"/>
      <c r="BI2391" s="25"/>
      <c r="BJ2391" s="25"/>
      <c r="BK2391" s="25"/>
      <c r="BL2391" s="25"/>
      <c r="BM2391" s="25"/>
      <c r="BN2391" s="25"/>
      <c r="BO2391" s="25"/>
      <c r="BP2391" s="25"/>
      <c r="BQ2391" s="25"/>
      <c r="BR2391" s="25"/>
      <c r="BS2391" s="25"/>
      <c r="BT2391" s="25"/>
      <c r="BU2391"/>
      <c r="BV2391"/>
      <c r="BW2391"/>
      <c r="BX2391"/>
      <c r="BY2391"/>
      <c r="BZ2391"/>
      <c r="CA2391"/>
      <c r="CB2391"/>
      <c r="CC2391"/>
      <c r="CD2391" s="25"/>
    </row>
    <row r="2392" spans="1:82" s="17" customFormat="1" x14ac:dyDescent="0.2">
      <c r="A2392" s="25"/>
      <c r="B2392" s="20">
        <v>39003012900</v>
      </c>
      <c r="C2392" s="20">
        <v>129</v>
      </c>
      <c r="D2392" s="20" t="s">
        <v>7</v>
      </c>
      <c r="E2392" s="20" t="s">
        <v>2835</v>
      </c>
      <c r="F2392" s="20" t="s">
        <v>6</v>
      </c>
      <c r="G2392" s="861">
        <v>38.691368509661501</v>
      </c>
      <c r="H2392" s="861">
        <v>46.533864163368399</v>
      </c>
      <c r="I2392" s="861">
        <v>52.045163512105098</v>
      </c>
      <c r="J2392" s="861">
        <v>59.769156885157699</v>
      </c>
      <c r="K2392" s="982">
        <v>0</v>
      </c>
      <c r="L2392" s="735">
        <v>1686</v>
      </c>
      <c r="M2392" s="735">
        <v>1430</v>
      </c>
      <c r="N2392" s="845">
        <f t="shared" si="182"/>
        <v>-0.15183867141162516</v>
      </c>
      <c r="O2392" s="735">
        <v>0.31829991682857572</v>
      </c>
      <c r="P2392" s="735">
        <f t="shared" si="183"/>
        <v>4492.6182018770169</v>
      </c>
      <c r="Q2392" s="849">
        <v>41.5</v>
      </c>
      <c r="R2392" s="71">
        <v>42639</v>
      </c>
      <c r="S2392" s="845">
        <v>0.36654804270462632</v>
      </c>
      <c r="T2392" s="845">
        <v>0.161</v>
      </c>
      <c r="U2392" s="845">
        <v>0</v>
      </c>
      <c r="V2392" s="845">
        <v>0</v>
      </c>
      <c r="W2392" s="845">
        <v>0.54545454545454541</v>
      </c>
      <c r="X2392" s="845">
        <v>0.4576271186440678</v>
      </c>
      <c r="Y2392" s="845">
        <v>0.53426573426573432</v>
      </c>
      <c r="Z2392" s="845">
        <v>0.32377622377622378</v>
      </c>
      <c r="AA2392" s="845">
        <v>0</v>
      </c>
      <c r="AB2392" s="845">
        <v>9.2307692307692313E-2</v>
      </c>
      <c r="AC2392" s="845">
        <v>0</v>
      </c>
      <c r="AD2392" s="845">
        <v>9.0909090909090905E-3</v>
      </c>
      <c r="AE2392" s="845">
        <v>4.0559440559440559E-2</v>
      </c>
      <c r="AF2392" s="845">
        <v>3.4965034965034968E-2</v>
      </c>
      <c r="AG2392" s="845">
        <v>0.50279720279720275</v>
      </c>
      <c r="AH2392" s="20" t="str">
        <f t="shared" si="184"/>
        <v>No</v>
      </c>
      <c r="AI2392" s="25"/>
      <c r="AJ2392" s="25"/>
      <c r="AK2392" s="25"/>
      <c r="AL2392" s="25"/>
      <c r="AM2392" s="25"/>
      <c r="AN2392" s="25"/>
      <c r="AO2392" s="25"/>
      <c r="AP2392" s="25"/>
      <c r="AQ2392" s="25"/>
      <c r="AR2392" s="25"/>
      <c r="AS2392" s="25"/>
      <c r="AT2392" s="25"/>
      <c r="AU2392" s="36"/>
      <c r="AV2392" s="36"/>
      <c r="AW2392" s="36"/>
      <c r="AX2392" s="25"/>
      <c r="AY2392" s="25"/>
      <c r="AZ2392" s="25"/>
      <c r="BA2392" s="25"/>
      <c r="BB2392" s="25"/>
      <c r="BC2392" s="25"/>
      <c r="BD2392" s="25"/>
      <c r="BE2392" s="25"/>
      <c r="BF2392" s="25"/>
      <c r="BG2392" s="25"/>
      <c r="BH2392" s="25"/>
      <c r="BI2392" s="25"/>
      <c r="BJ2392" s="25"/>
      <c r="BK2392" s="25"/>
      <c r="BL2392" s="25"/>
      <c r="BM2392" s="25"/>
      <c r="BN2392" s="25"/>
      <c r="BO2392" s="25"/>
      <c r="BP2392" s="25"/>
      <c r="BQ2392" s="25"/>
      <c r="BR2392" s="25"/>
      <c r="BS2392" s="25"/>
      <c r="BT2392" s="25"/>
      <c r="BU2392"/>
      <c r="BV2392"/>
      <c r="BW2392"/>
      <c r="BX2392"/>
      <c r="BY2392"/>
      <c r="BZ2392"/>
      <c r="CA2392"/>
      <c r="CB2392"/>
      <c r="CC2392"/>
      <c r="CD2392" s="25"/>
    </row>
    <row r="2393" spans="1:82" s="17" customFormat="1" x14ac:dyDescent="0.2">
      <c r="A2393" s="25"/>
      <c r="B2393" s="20">
        <v>39153502600</v>
      </c>
      <c r="C2393" s="20">
        <v>5026</v>
      </c>
      <c r="D2393" s="20" t="s">
        <v>82</v>
      </c>
      <c r="E2393" s="20" t="s">
        <v>2843</v>
      </c>
      <c r="F2393" s="20" t="s">
        <v>6</v>
      </c>
      <c r="G2393" s="861">
        <v>38.682168627297202</v>
      </c>
      <c r="H2393" s="861">
        <v>52.044667601209298</v>
      </c>
      <c r="I2393" s="861">
        <v>55.163259822740798</v>
      </c>
      <c r="J2393" s="861">
        <v>30.883227679444499</v>
      </c>
      <c r="K2393" s="982">
        <v>0</v>
      </c>
      <c r="L2393" s="735">
        <v>2974</v>
      </c>
      <c r="M2393" s="735">
        <v>2977</v>
      </c>
      <c r="N2393" s="845">
        <f t="shared" si="182"/>
        <v>1.0087424344317419E-3</v>
      </c>
      <c r="O2393" s="735">
        <v>0.45472139252407612</v>
      </c>
      <c r="P2393" s="735">
        <f t="shared" si="183"/>
        <v>6546.8659468058277</v>
      </c>
      <c r="Q2393" s="849">
        <v>33.200000000000003</v>
      </c>
      <c r="R2393" s="71">
        <v>57622</v>
      </c>
      <c r="S2393" s="845">
        <v>0.2408464897547867</v>
      </c>
      <c r="T2393" s="845">
        <v>7.2999999999999995E-2</v>
      </c>
      <c r="U2393" s="845">
        <v>0</v>
      </c>
      <c r="V2393" s="845">
        <v>0</v>
      </c>
      <c r="W2393" s="845">
        <v>0.56642728904847395</v>
      </c>
      <c r="X2393" s="845">
        <v>0.45800316957210774</v>
      </c>
      <c r="Y2393" s="845">
        <v>0.46422573060127648</v>
      </c>
      <c r="Z2393" s="845">
        <v>0.26671145448438027</v>
      </c>
      <c r="AA2393" s="845">
        <v>0</v>
      </c>
      <c r="AB2393" s="845">
        <v>4.8706751763520323E-2</v>
      </c>
      <c r="AC2393" s="845">
        <v>0</v>
      </c>
      <c r="AD2393" s="845">
        <v>0</v>
      </c>
      <c r="AE2393" s="845">
        <v>0.22035606315082298</v>
      </c>
      <c r="AF2393" s="845">
        <v>1.4779979845482029E-2</v>
      </c>
      <c r="AG2393" s="845">
        <v>0.46422573060127648</v>
      </c>
      <c r="AH2393" s="20" t="str">
        <f t="shared" si="184"/>
        <v>No</v>
      </c>
      <c r="AI2393" s="25"/>
      <c r="AJ2393" s="25"/>
      <c r="AK2393" s="25"/>
      <c r="AL2393" s="25"/>
      <c r="AM2393" s="25"/>
      <c r="AN2393" s="25"/>
      <c r="AO2393" s="25"/>
      <c r="AP2393" s="25"/>
      <c r="AQ2393" s="25"/>
      <c r="AR2393" s="25"/>
      <c r="AS2393" s="25"/>
      <c r="AT2393" s="25"/>
      <c r="AU2393" s="36"/>
      <c r="AV2393" s="36"/>
      <c r="AW2393" s="36"/>
      <c r="AX2393" s="25"/>
      <c r="AY2393" s="25"/>
      <c r="AZ2393" s="25"/>
      <c r="BA2393" s="25"/>
      <c r="BB2393" s="25"/>
      <c r="BC2393" s="25"/>
      <c r="BD2393" s="25"/>
      <c r="BE2393" s="25"/>
      <c r="BF2393" s="25"/>
      <c r="BG2393" s="25"/>
      <c r="BH2393" s="25"/>
      <c r="BI2393" s="25"/>
      <c r="BJ2393" s="25"/>
      <c r="BK2393" s="25"/>
      <c r="BL2393" s="25"/>
      <c r="BM2393" s="25"/>
      <c r="BN2393" s="25"/>
      <c r="BO2393" s="25"/>
      <c r="BP2393" s="25"/>
      <c r="BQ2393" s="25"/>
      <c r="BR2393" s="25"/>
      <c r="BS2393" s="25"/>
      <c r="BT2393" s="25"/>
      <c r="BU2393"/>
      <c r="BV2393"/>
      <c r="BW2393"/>
      <c r="BX2393"/>
      <c r="BY2393"/>
      <c r="BZ2393"/>
      <c r="CA2393"/>
      <c r="CB2393"/>
      <c r="CC2393"/>
      <c r="CD2393" s="25"/>
    </row>
    <row r="2394" spans="1:82" s="17" customFormat="1" x14ac:dyDescent="0.2">
      <c r="A2394" s="25"/>
      <c r="B2394" s="20">
        <v>39003010801</v>
      </c>
      <c r="C2394" s="20">
        <v>108.01</v>
      </c>
      <c r="D2394" s="20" t="s">
        <v>7</v>
      </c>
      <c r="E2394" s="20" t="s">
        <v>2835</v>
      </c>
      <c r="F2394" s="20" t="s">
        <v>8</v>
      </c>
      <c r="G2394" s="861">
        <v>38.672063961284202</v>
      </c>
      <c r="H2394" s="861">
        <v>42.096108095983801</v>
      </c>
      <c r="I2394" s="861">
        <v>25.308266849162202</v>
      </c>
      <c r="J2394" s="861">
        <v>26.172847804208399</v>
      </c>
      <c r="K2394" s="982">
        <v>0</v>
      </c>
      <c r="L2394" s="735" t="s">
        <v>2466</v>
      </c>
      <c r="M2394" s="735">
        <v>4348</v>
      </c>
      <c r="N2394" s="845" t="str">
        <f t="shared" si="182"/>
        <v/>
      </c>
      <c r="O2394" s="735">
        <v>4.556193503143148</v>
      </c>
      <c r="P2394" s="735">
        <f t="shared" si="183"/>
        <v>954.30538606415132</v>
      </c>
      <c r="Q2394" s="849">
        <v>42.8</v>
      </c>
      <c r="R2394" s="71">
        <v>72962</v>
      </c>
      <c r="S2394" s="845">
        <v>6.2065771190365909E-2</v>
      </c>
      <c r="T2394" s="845">
        <v>3.2000000000000001E-2</v>
      </c>
      <c r="U2394" s="845">
        <v>0</v>
      </c>
      <c r="V2394" s="845">
        <v>0.191</v>
      </c>
      <c r="W2394" s="845">
        <v>0.16116396194739788</v>
      </c>
      <c r="X2394" s="845">
        <v>0.44791666666666669</v>
      </c>
      <c r="Y2394" s="845">
        <v>0.86200551977920881</v>
      </c>
      <c r="Z2394" s="845">
        <v>5.6347746090156393E-2</v>
      </c>
      <c r="AA2394" s="845">
        <v>0</v>
      </c>
      <c r="AB2394" s="845">
        <v>3.219871205151794E-3</v>
      </c>
      <c r="AC2394" s="845">
        <v>0</v>
      </c>
      <c r="AD2394" s="845">
        <v>1.7709291628334865E-2</v>
      </c>
      <c r="AE2394" s="845">
        <v>6.0717571297148117E-2</v>
      </c>
      <c r="AF2394" s="845">
        <v>2.1389144434222632E-2</v>
      </c>
      <c r="AG2394" s="845">
        <v>0.86108555657773689</v>
      </c>
      <c r="AH2394" s="20" t="str">
        <f t="shared" si="184"/>
        <v>No</v>
      </c>
      <c r="AI2394" s="25"/>
      <c r="AJ2394" s="25"/>
      <c r="AK2394" s="25"/>
      <c r="AL2394" s="25"/>
      <c r="AM2394" s="25"/>
      <c r="AN2394" s="25"/>
      <c r="AO2394" s="25"/>
      <c r="AP2394" s="25"/>
      <c r="AQ2394" s="25"/>
      <c r="AR2394" s="25"/>
      <c r="AS2394" s="25"/>
      <c r="AT2394" s="25"/>
      <c r="AU2394" s="36"/>
      <c r="AV2394" s="36"/>
      <c r="AW2394" s="36"/>
      <c r="AX2394" s="25"/>
      <c r="AY2394" s="25"/>
      <c r="AZ2394" s="25"/>
      <c r="BA2394" s="25"/>
      <c r="BB2394" s="25"/>
      <c r="BC2394" s="25"/>
      <c r="BD2394" s="25"/>
      <c r="BE2394" s="25"/>
      <c r="BF2394" s="25"/>
      <c r="BG2394" s="25"/>
      <c r="BH2394" s="25"/>
      <c r="BI2394" s="25"/>
      <c r="BJ2394" s="25"/>
      <c r="BK2394" s="25"/>
      <c r="BL2394" s="25"/>
      <c r="BM2394" s="25"/>
      <c r="BN2394" s="25"/>
      <c r="BO2394" s="25"/>
      <c r="BP2394" s="25"/>
      <c r="BQ2394" s="25"/>
      <c r="BR2394" s="25"/>
      <c r="BS2394" s="25"/>
      <c r="BT2394" s="25"/>
      <c r="BU2394"/>
      <c r="BV2394"/>
      <c r="BW2394"/>
      <c r="BX2394"/>
      <c r="BY2394"/>
      <c r="BZ2394"/>
      <c r="CA2394"/>
      <c r="CB2394"/>
      <c r="CC2394"/>
      <c r="CD2394" s="25"/>
    </row>
    <row r="2395" spans="1:82" s="17" customFormat="1" x14ac:dyDescent="0.2">
      <c r="A2395" s="25"/>
      <c r="B2395" s="20">
        <v>39017010800</v>
      </c>
      <c r="C2395" s="20">
        <v>108</v>
      </c>
      <c r="D2395" s="20" t="s">
        <v>15</v>
      </c>
      <c r="E2395" s="20" t="s">
        <v>2828</v>
      </c>
      <c r="F2395" s="20" t="s">
        <v>8</v>
      </c>
      <c r="G2395" s="861">
        <v>38.656544964055101</v>
      </c>
      <c r="H2395" s="861">
        <v>31.1660212467118</v>
      </c>
      <c r="I2395" s="861">
        <v>28.320788642633701</v>
      </c>
      <c r="J2395" s="861">
        <v>43.261370174730096</v>
      </c>
      <c r="K2395" s="982">
        <v>0</v>
      </c>
      <c r="L2395" s="735">
        <v>6609</v>
      </c>
      <c r="M2395" s="735">
        <v>6654</v>
      </c>
      <c r="N2395" s="845">
        <f t="shared" si="182"/>
        <v>6.8088969586926921E-3</v>
      </c>
      <c r="O2395" s="735">
        <v>28.914664399752787</v>
      </c>
      <c r="P2395" s="735">
        <f t="shared" si="183"/>
        <v>230.12544458433658</v>
      </c>
      <c r="Q2395" s="849">
        <v>39.6</v>
      </c>
      <c r="R2395" s="71">
        <v>96154</v>
      </c>
      <c r="S2395" s="845">
        <v>5.4253080853621884E-2</v>
      </c>
      <c r="T2395" s="845">
        <v>2.5000000000000001E-2</v>
      </c>
      <c r="U2395" s="845">
        <v>0</v>
      </c>
      <c r="V2395" s="845">
        <v>0.14000000000000001</v>
      </c>
      <c r="W2395" s="845">
        <v>0.12881915772089184</v>
      </c>
      <c r="X2395" s="845">
        <v>0.22435897435897437</v>
      </c>
      <c r="Y2395" s="845">
        <v>0.92711151187255791</v>
      </c>
      <c r="Z2395" s="845">
        <v>0</v>
      </c>
      <c r="AA2395" s="845">
        <v>1.0519987977156598E-3</v>
      </c>
      <c r="AB2395" s="845">
        <v>1.6681695220919748E-2</v>
      </c>
      <c r="AC2395" s="845">
        <v>0</v>
      </c>
      <c r="AD2395" s="845">
        <v>5.4102795311091077E-3</v>
      </c>
      <c r="AE2395" s="845">
        <v>4.9744514577697622E-2</v>
      </c>
      <c r="AF2395" s="845">
        <v>7.6645626690712357E-3</v>
      </c>
      <c r="AG2395" s="845">
        <v>0.92485722873459575</v>
      </c>
      <c r="AH2395" s="20" t="str">
        <f t="shared" si="184"/>
        <v>Yes</v>
      </c>
      <c r="AI2395" s="25"/>
      <c r="AJ2395" s="25"/>
      <c r="AK2395" s="25"/>
      <c r="AL2395" s="25"/>
      <c r="AM2395" s="25"/>
      <c r="AN2395" s="25"/>
      <c r="AO2395" s="25"/>
      <c r="AP2395" s="25"/>
      <c r="AQ2395" s="25"/>
      <c r="AR2395" s="25"/>
      <c r="AS2395" s="25"/>
      <c r="AT2395" s="25"/>
      <c r="AU2395" s="36"/>
      <c r="AV2395" s="36"/>
      <c r="AW2395" s="36"/>
      <c r="AX2395" s="25"/>
      <c r="AY2395" s="25"/>
      <c r="AZ2395" s="25"/>
      <c r="BA2395" s="25"/>
      <c r="BB2395" s="25"/>
      <c r="BC2395" s="25"/>
      <c r="BD2395" s="25"/>
      <c r="BE2395" s="25"/>
      <c r="BF2395" s="25"/>
      <c r="BG2395" s="25"/>
      <c r="BH2395" s="25"/>
      <c r="BI2395" s="25"/>
      <c r="BJ2395" s="25"/>
      <c r="BK2395" s="25"/>
      <c r="BL2395" s="25"/>
      <c r="BM2395" s="25"/>
      <c r="BN2395" s="25"/>
      <c r="BO2395" s="25"/>
      <c r="BP2395" s="25"/>
      <c r="BQ2395" s="25"/>
      <c r="BR2395" s="25"/>
      <c r="BS2395" s="25"/>
      <c r="BT2395" s="25"/>
      <c r="BU2395"/>
      <c r="BV2395"/>
      <c r="BW2395"/>
      <c r="BX2395"/>
      <c r="BY2395"/>
      <c r="BZ2395"/>
      <c r="CA2395"/>
      <c r="CB2395"/>
      <c r="CC2395"/>
      <c r="CD2395" s="25"/>
    </row>
    <row r="2396" spans="1:82" s="17" customFormat="1" x14ac:dyDescent="0.2">
      <c r="A2396" s="25"/>
      <c r="B2396" s="20">
        <v>39007001304</v>
      </c>
      <c r="C2396" s="20">
        <v>13.04</v>
      </c>
      <c r="D2396" s="20" t="s">
        <v>10</v>
      </c>
      <c r="E2396" s="20" t="s">
        <v>2829</v>
      </c>
      <c r="F2396" s="20" t="s">
        <v>8</v>
      </c>
      <c r="G2396" s="861">
        <v>38.6383186677106</v>
      </c>
      <c r="H2396" s="861">
        <v>51.961094372706299</v>
      </c>
      <c r="I2396" s="861">
        <v>15.1489344216711</v>
      </c>
      <c r="J2396" s="861">
        <v>56.185713246992897</v>
      </c>
      <c r="K2396" s="982">
        <v>0</v>
      </c>
      <c r="L2396" s="735" t="s">
        <v>2466</v>
      </c>
      <c r="M2396" s="735">
        <v>1081</v>
      </c>
      <c r="N2396" s="845" t="str">
        <f t="shared" si="182"/>
        <v/>
      </c>
      <c r="O2396" s="735">
        <v>9.4188030847755524</v>
      </c>
      <c r="P2396" s="735">
        <f t="shared" si="183"/>
        <v>114.7704214930787</v>
      </c>
      <c r="Q2396" s="849">
        <v>29.3</v>
      </c>
      <c r="R2396" s="71">
        <v>68333</v>
      </c>
      <c r="S2396" s="845">
        <v>0.41720629047178537</v>
      </c>
      <c r="T2396" s="845">
        <v>0.106</v>
      </c>
      <c r="U2396" s="845">
        <v>0</v>
      </c>
      <c r="V2396" s="845">
        <v>0.185</v>
      </c>
      <c r="W2396" s="845">
        <v>0.36363636363636365</v>
      </c>
      <c r="X2396" s="845">
        <v>1.5625E-2</v>
      </c>
      <c r="Y2396" s="845">
        <v>0.98797409805735426</v>
      </c>
      <c r="Z2396" s="845">
        <v>0</v>
      </c>
      <c r="AA2396" s="845">
        <v>1.8501387604070306E-3</v>
      </c>
      <c r="AB2396" s="845">
        <v>0</v>
      </c>
      <c r="AC2396" s="845">
        <v>0</v>
      </c>
      <c r="AD2396" s="845">
        <v>0</v>
      </c>
      <c r="AE2396" s="845">
        <v>1.0175763182238668E-2</v>
      </c>
      <c r="AF2396" s="845">
        <v>4.3478260869565216E-2</v>
      </c>
      <c r="AG2396" s="845">
        <v>0.94449583718778907</v>
      </c>
      <c r="AH2396" s="20" t="str">
        <f t="shared" si="184"/>
        <v>Yes</v>
      </c>
      <c r="AI2396" s="25"/>
      <c r="AJ2396" s="25"/>
      <c r="AK2396" s="25"/>
      <c r="AL2396" s="25"/>
      <c r="AM2396" s="25"/>
      <c r="AN2396" s="25"/>
      <c r="AO2396" s="25"/>
      <c r="AP2396" s="25"/>
      <c r="AQ2396" s="25"/>
      <c r="AR2396" s="25"/>
      <c r="AS2396" s="25"/>
      <c r="AT2396" s="25"/>
      <c r="AU2396" s="36"/>
      <c r="AV2396" s="36"/>
      <c r="AW2396" s="36"/>
      <c r="AX2396" s="25"/>
      <c r="AY2396" s="25"/>
      <c r="AZ2396" s="25"/>
      <c r="BA2396" s="25"/>
      <c r="BB2396" s="25"/>
      <c r="BC2396" s="25"/>
      <c r="BD2396" s="25"/>
      <c r="BE2396" s="25"/>
      <c r="BF2396" s="25"/>
      <c r="BG2396" s="25"/>
      <c r="BH2396" s="25"/>
      <c r="BI2396" s="25"/>
      <c r="BJ2396" s="25"/>
      <c r="BK2396" s="25"/>
      <c r="BL2396" s="25"/>
      <c r="BM2396" s="25"/>
      <c r="BN2396" s="25"/>
      <c r="BO2396" s="25"/>
      <c r="BP2396" s="25"/>
      <c r="BQ2396" s="25"/>
      <c r="BR2396" s="25"/>
      <c r="BS2396" s="25"/>
      <c r="BT2396" s="25"/>
      <c r="BU2396"/>
      <c r="BV2396"/>
      <c r="BW2396"/>
      <c r="BX2396"/>
      <c r="BY2396"/>
      <c r="BZ2396"/>
      <c r="CA2396"/>
      <c r="CB2396"/>
      <c r="CC2396"/>
      <c r="CD2396" s="25"/>
    </row>
    <row r="2397" spans="1:82" s="17" customFormat="1" x14ac:dyDescent="0.2">
      <c r="A2397" s="25"/>
      <c r="B2397" s="20">
        <v>39035124202</v>
      </c>
      <c r="C2397" s="20">
        <v>1242.02</v>
      </c>
      <c r="D2397" s="20" t="s">
        <v>24</v>
      </c>
      <c r="E2397" s="20" t="s">
        <v>2829</v>
      </c>
      <c r="F2397" s="20" t="s">
        <v>6</v>
      </c>
      <c r="G2397" s="861">
        <v>38.628092489816403</v>
      </c>
      <c r="H2397" s="861">
        <v>56.447584136140001</v>
      </c>
      <c r="I2397" s="861">
        <v>37.7834009920333</v>
      </c>
      <c r="J2397" s="861">
        <v>35.780115843218603</v>
      </c>
      <c r="K2397" s="982">
        <v>0</v>
      </c>
      <c r="L2397" s="735">
        <v>1654</v>
      </c>
      <c r="M2397" s="735">
        <v>1697</v>
      </c>
      <c r="N2397" s="845">
        <f t="shared" si="182"/>
        <v>2.5997581620314389E-2</v>
      </c>
      <c r="O2397" s="735">
        <v>0.33820193869538656</v>
      </c>
      <c r="P2397" s="735">
        <f t="shared" si="183"/>
        <v>5017.7122181681598</v>
      </c>
      <c r="Q2397" s="849">
        <v>47</v>
      </c>
      <c r="R2397" s="71">
        <v>42813</v>
      </c>
      <c r="S2397" s="845">
        <v>0.16440129449838187</v>
      </c>
      <c r="T2397" s="845">
        <v>3.6000000000000004E-2</v>
      </c>
      <c r="U2397" s="845">
        <v>0</v>
      </c>
      <c r="V2397" s="845">
        <v>0</v>
      </c>
      <c r="W2397" s="845">
        <v>0.47361111111111109</v>
      </c>
      <c r="X2397" s="845">
        <v>0.44868035190615835</v>
      </c>
      <c r="Y2397" s="845">
        <v>0.61579257513258689</v>
      </c>
      <c r="Z2397" s="845">
        <v>0.11431938715380083</v>
      </c>
      <c r="AA2397" s="845">
        <v>0</v>
      </c>
      <c r="AB2397" s="845">
        <v>6.7766647024160284E-2</v>
      </c>
      <c r="AC2397" s="845">
        <v>0</v>
      </c>
      <c r="AD2397" s="845">
        <v>2.1803182086034177E-2</v>
      </c>
      <c r="AE2397" s="845">
        <v>0.1803182086034178</v>
      </c>
      <c r="AF2397" s="845">
        <v>0.15380082498526812</v>
      </c>
      <c r="AG2397" s="845">
        <v>0.57336476134354741</v>
      </c>
      <c r="AH2397" s="20" t="str">
        <f t="shared" si="184"/>
        <v>No</v>
      </c>
      <c r="AI2397" s="25"/>
      <c r="AJ2397" s="25"/>
      <c r="AK2397" s="25"/>
      <c r="AL2397" s="25"/>
      <c r="AM2397" s="25"/>
      <c r="AN2397" s="25"/>
      <c r="AO2397" s="25"/>
      <c r="AP2397" s="25"/>
      <c r="AQ2397" s="25"/>
      <c r="AR2397" s="25"/>
      <c r="AS2397" s="25"/>
      <c r="AT2397" s="25"/>
      <c r="AU2397" s="36"/>
      <c r="AV2397" s="36"/>
      <c r="AW2397" s="36"/>
      <c r="AX2397" s="25"/>
      <c r="AY2397" s="25"/>
      <c r="AZ2397" s="25"/>
      <c r="BA2397" s="25"/>
      <c r="BB2397" s="25"/>
      <c r="BC2397" s="25"/>
      <c r="BD2397" s="25"/>
      <c r="BE2397" s="25"/>
      <c r="BF2397" s="25"/>
      <c r="BG2397" s="25"/>
      <c r="BH2397" s="25"/>
      <c r="BI2397" s="25"/>
      <c r="BJ2397" s="25"/>
      <c r="BK2397" s="25"/>
      <c r="BL2397" s="25"/>
      <c r="BM2397" s="25"/>
      <c r="BN2397" s="25"/>
      <c r="BO2397" s="25"/>
      <c r="BP2397" s="25"/>
      <c r="BQ2397" s="25"/>
      <c r="BR2397" s="25"/>
      <c r="BS2397" s="25"/>
      <c r="BT2397" s="25"/>
      <c r="BU2397"/>
      <c r="BV2397"/>
      <c r="BW2397"/>
      <c r="BX2397"/>
      <c r="BY2397"/>
      <c r="BZ2397"/>
      <c r="CA2397"/>
      <c r="CB2397"/>
      <c r="CC2397"/>
      <c r="CD2397" s="25"/>
    </row>
    <row r="2398" spans="1:82" s="17" customFormat="1" x14ac:dyDescent="0.2">
      <c r="A2398" s="25"/>
      <c r="B2398" s="20">
        <v>39047925900</v>
      </c>
      <c r="C2398" s="20">
        <v>9259</v>
      </c>
      <c r="D2398" s="20" t="s">
        <v>30</v>
      </c>
      <c r="E2398" s="20" t="s">
        <v>265</v>
      </c>
      <c r="F2398" s="20" t="s">
        <v>8</v>
      </c>
      <c r="G2398" s="861">
        <v>38.568957057232602</v>
      </c>
      <c r="H2398" s="861">
        <v>33.540885423219798</v>
      </c>
      <c r="I2398" s="861">
        <v>39.867090896597503</v>
      </c>
      <c r="J2398" s="861">
        <v>28.901908056081101</v>
      </c>
      <c r="K2398" s="982">
        <v>0</v>
      </c>
      <c r="L2398" s="735">
        <v>3783</v>
      </c>
      <c r="M2398" s="735">
        <v>3575</v>
      </c>
      <c r="N2398" s="845">
        <f t="shared" si="182"/>
        <v>-5.4982817869415807E-2</v>
      </c>
      <c r="O2398" s="735">
        <v>106.11645317553216</v>
      </c>
      <c r="P2398" s="735">
        <f t="shared" si="183"/>
        <v>33.689403415005081</v>
      </c>
      <c r="Q2398" s="849">
        <v>41.4</v>
      </c>
      <c r="R2398" s="71">
        <v>47463</v>
      </c>
      <c r="S2398" s="845">
        <v>0.20472440944881889</v>
      </c>
      <c r="T2398" s="845">
        <v>2.1000000000000001E-2</v>
      </c>
      <c r="U2398" s="845">
        <v>0</v>
      </c>
      <c r="V2398" s="845">
        <v>1.9E-2</v>
      </c>
      <c r="W2398" s="845">
        <v>0.37690776376907764</v>
      </c>
      <c r="X2398" s="845">
        <v>0.34683098591549294</v>
      </c>
      <c r="Y2398" s="845">
        <v>0.95608391608391607</v>
      </c>
      <c r="Z2398" s="845">
        <v>4.4755244755244755E-3</v>
      </c>
      <c r="AA2398" s="845">
        <v>0</v>
      </c>
      <c r="AB2398" s="845">
        <v>1.3986013986013986E-3</v>
      </c>
      <c r="AC2398" s="845">
        <v>0</v>
      </c>
      <c r="AD2398" s="845">
        <v>5.034965034965035E-3</v>
      </c>
      <c r="AE2398" s="845">
        <v>3.3006993006993009E-2</v>
      </c>
      <c r="AF2398" s="845">
        <v>1.0349650349650351E-2</v>
      </c>
      <c r="AG2398" s="845">
        <v>0.9546853146853147</v>
      </c>
      <c r="AH2398" s="20" t="str">
        <f t="shared" si="184"/>
        <v>Yes</v>
      </c>
      <c r="AI2398" s="25"/>
      <c r="AJ2398" s="25"/>
      <c r="AK2398" s="25"/>
      <c r="AL2398" s="25"/>
      <c r="AM2398" s="25"/>
      <c r="AN2398" s="25"/>
      <c r="AO2398" s="25"/>
      <c r="AP2398" s="25"/>
      <c r="AQ2398" s="25"/>
      <c r="AR2398" s="25"/>
      <c r="AS2398" s="25"/>
      <c r="AT2398" s="25"/>
      <c r="AU2398" s="36"/>
      <c r="AV2398" s="36"/>
      <c r="AW2398" s="36"/>
      <c r="AX2398" s="25"/>
      <c r="AY2398" s="25"/>
      <c r="AZ2398" s="25"/>
      <c r="BA2398" s="25"/>
      <c r="BB2398" s="25"/>
      <c r="BC2398" s="25"/>
      <c r="BD2398" s="25"/>
      <c r="BE2398" s="25"/>
      <c r="BF2398" s="25"/>
      <c r="BG2398" s="25"/>
      <c r="BH2398" s="25"/>
      <c r="BI2398" s="25"/>
      <c r="BJ2398" s="25"/>
      <c r="BK2398" s="25"/>
      <c r="BL2398" s="25"/>
      <c r="BM2398" s="25"/>
      <c r="BN2398" s="25"/>
      <c r="BO2398" s="25"/>
      <c r="BP2398" s="25"/>
      <c r="BQ2398" s="25"/>
      <c r="BR2398" s="25"/>
      <c r="BS2398" s="25"/>
      <c r="BT2398" s="25"/>
      <c r="BU2398"/>
      <c r="BV2398"/>
      <c r="BW2398"/>
      <c r="BX2398"/>
      <c r="BY2398"/>
      <c r="BZ2398"/>
      <c r="CA2398"/>
      <c r="CB2398"/>
      <c r="CC2398"/>
      <c r="CD2398" s="25"/>
    </row>
    <row r="2399" spans="1:82" s="17" customFormat="1" x14ac:dyDescent="0.2">
      <c r="A2399" s="25"/>
      <c r="B2399" s="20">
        <v>39017000200</v>
      </c>
      <c r="C2399" s="20">
        <v>2</v>
      </c>
      <c r="D2399" s="20" t="s">
        <v>15</v>
      </c>
      <c r="E2399" s="20" t="s">
        <v>2828</v>
      </c>
      <c r="F2399" s="20" t="s">
        <v>6</v>
      </c>
      <c r="G2399" s="861">
        <v>38.547551152738599</v>
      </c>
      <c r="H2399" s="861">
        <v>50.072946020887898</v>
      </c>
      <c r="I2399" s="861">
        <v>45.427027312833403</v>
      </c>
      <c r="J2399" s="861">
        <v>49.6016756996341</v>
      </c>
      <c r="K2399" s="982">
        <v>0</v>
      </c>
      <c r="L2399" s="735">
        <v>4470</v>
      </c>
      <c r="M2399" s="735">
        <v>4282</v>
      </c>
      <c r="N2399" s="845">
        <f t="shared" si="182"/>
        <v>-4.2058165548098436E-2</v>
      </c>
      <c r="O2399" s="735">
        <v>1.3928060079009399</v>
      </c>
      <c r="P2399" s="735">
        <f t="shared" si="183"/>
        <v>3074.3692773506095</v>
      </c>
      <c r="Q2399" s="849">
        <v>33.200000000000003</v>
      </c>
      <c r="R2399" s="71">
        <v>48469</v>
      </c>
      <c r="S2399" s="845">
        <v>0.18880299836027173</v>
      </c>
      <c r="T2399" s="845">
        <v>5.9000000000000004E-2</v>
      </c>
      <c r="U2399" s="845">
        <v>0</v>
      </c>
      <c r="V2399" s="845">
        <v>0</v>
      </c>
      <c r="W2399" s="845">
        <v>0.56274620146314014</v>
      </c>
      <c r="X2399" s="845">
        <v>0.54800000000000004</v>
      </c>
      <c r="Y2399" s="845">
        <v>0.710415693601121</v>
      </c>
      <c r="Z2399" s="845">
        <v>2.4287716020551145E-2</v>
      </c>
      <c r="AA2399" s="845">
        <v>3.1060252218589445E-2</v>
      </c>
      <c r="AB2399" s="845">
        <v>0</v>
      </c>
      <c r="AC2399" s="845">
        <v>1.7281644091546006E-2</v>
      </c>
      <c r="AD2399" s="845">
        <v>8.944418496029892E-2</v>
      </c>
      <c r="AE2399" s="845">
        <v>0.12751050910789352</v>
      </c>
      <c r="AF2399" s="845">
        <v>0.14012143858010276</v>
      </c>
      <c r="AG2399" s="845">
        <v>0.69079869219990664</v>
      </c>
      <c r="AH2399" s="20" t="str">
        <f t="shared" si="184"/>
        <v>No</v>
      </c>
      <c r="AI2399" s="25"/>
      <c r="AJ2399" s="25"/>
      <c r="AK2399" s="25"/>
      <c r="AL2399" s="25"/>
      <c r="AM2399" s="25"/>
      <c r="AN2399" s="25"/>
      <c r="AO2399" s="25"/>
      <c r="AP2399" s="25"/>
      <c r="AQ2399" s="25"/>
      <c r="AR2399" s="25"/>
      <c r="AS2399" s="25"/>
      <c r="AT2399" s="25"/>
      <c r="AU2399" s="36"/>
      <c r="AV2399" s="36"/>
      <c r="AW2399" s="36"/>
      <c r="AX2399" s="25"/>
      <c r="AY2399" s="25"/>
      <c r="AZ2399" s="25"/>
      <c r="BA2399" s="25"/>
      <c r="BB2399" s="25"/>
      <c r="BC2399" s="25"/>
      <c r="BD2399" s="25"/>
      <c r="BE2399" s="25"/>
      <c r="BF2399" s="25"/>
      <c r="BG2399" s="25"/>
      <c r="BH2399" s="25"/>
      <c r="BI2399" s="25"/>
      <c r="BJ2399" s="25"/>
      <c r="BK2399" s="25"/>
      <c r="BL2399" s="25"/>
      <c r="BM2399" s="25"/>
      <c r="BN2399" s="25"/>
      <c r="BO2399" s="25"/>
      <c r="BP2399" s="25"/>
      <c r="BQ2399" s="25"/>
      <c r="BR2399" s="25"/>
      <c r="BS2399" s="25"/>
      <c r="BT2399" s="25"/>
      <c r="BU2399"/>
      <c r="BV2399"/>
      <c r="BW2399"/>
      <c r="BX2399"/>
      <c r="BY2399"/>
      <c r="BZ2399"/>
      <c r="CA2399"/>
      <c r="CB2399"/>
      <c r="CC2399"/>
      <c r="CD2399" s="25"/>
    </row>
    <row r="2400" spans="1:82" s="17" customFormat="1" x14ac:dyDescent="0.2">
      <c r="A2400" s="25"/>
      <c r="B2400" s="20">
        <v>39001770302</v>
      </c>
      <c r="C2400" s="20">
        <v>7703.02</v>
      </c>
      <c r="D2400" s="20" t="s">
        <v>5</v>
      </c>
      <c r="E2400" s="20" t="s">
        <v>265</v>
      </c>
      <c r="F2400" s="20" t="s">
        <v>8</v>
      </c>
      <c r="G2400" s="861">
        <v>38.531182471185502</v>
      </c>
      <c r="H2400" s="861">
        <v>31.837319484753099</v>
      </c>
      <c r="I2400" s="861">
        <v>28.533872763126698</v>
      </c>
      <c r="J2400" s="861">
        <v>66.265527032609199</v>
      </c>
      <c r="K2400" s="982">
        <v>0</v>
      </c>
      <c r="L2400" s="735" t="s">
        <v>2466</v>
      </c>
      <c r="M2400" s="735">
        <v>3569</v>
      </c>
      <c r="N2400" s="845" t="str">
        <f t="shared" si="182"/>
        <v/>
      </c>
      <c r="O2400" s="735">
        <v>66.960338671207268</v>
      </c>
      <c r="P2400" s="735">
        <f t="shared" si="183"/>
        <v>53.300208314726738</v>
      </c>
      <c r="Q2400" s="849">
        <v>40.6</v>
      </c>
      <c r="R2400" s="71">
        <v>68214</v>
      </c>
      <c r="S2400" s="845">
        <v>6.4724012328383304E-2</v>
      </c>
      <c r="T2400" s="845">
        <v>9.6000000000000002E-2</v>
      </c>
      <c r="U2400" s="845">
        <v>0</v>
      </c>
      <c r="V2400" s="845">
        <v>0</v>
      </c>
      <c r="W2400" s="845">
        <v>0.1793103448275862</v>
      </c>
      <c r="X2400" s="845">
        <v>0.22115384615384615</v>
      </c>
      <c r="Y2400" s="845">
        <v>0.93275427290557578</v>
      </c>
      <c r="Z2400" s="845">
        <v>5.3236200616419167E-3</v>
      </c>
      <c r="AA2400" s="845">
        <v>8.6859064163631265E-3</v>
      </c>
      <c r="AB2400" s="845">
        <v>7.845334827682824E-3</v>
      </c>
      <c r="AC2400" s="845">
        <v>0</v>
      </c>
      <c r="AD2400" s="845">
        <v>3.3622863547212102E-3</v>
      </c>
      <c r="AE2400" s="845">
        <v>4.2028579434015133E-2</v>
      </c>
      <c r="AF2400" s="845">
        <v>2.4096385542168676E-2</v>
      </c>
      <c r="AG2400" s="845">
        <v>0.91202017371812838</v>
      </c>
      <c r="AH2400" s="20" t="str">
        <f t="shared" si="184"/>
        <v>Yes</v>
      </c>
      <c r="AI2400" s="25"/>
      <c r="AJ2400" s="25"/>
      <c r="AK2400" s="25"/>
      <c r="AL2400" s="25"/>
      <c r="AM2400" s="25"/>
      <c r="AN2400" s="25"/>
      <c r="AO2400" s="25"/>
      <c r="AP2400" s="25"/>
      <c r="AQ2400" s="25"/>
      <c r="AR2400" s="25"/>
      <c r="AS2400" s="25"/>
      <c r="AT2400" s="25"/>
      <c r="AU2400" s="36"/>
      <c r="AV2400" s="36"/>
      <c r="AW2400" s="36"/>
      <c r="AX2400" s="25"/>
      <c r="AY2400" s="25"/>
      <c r="AZ2400" s="25"/>
      <c r="BA2400" s="25"/>
      <c r="BB2400" s="25"/>
      <c r="BC2400" s="25"/>
      <c r="BD2400" s="25"/>
      <c r="BE2400" s="25"/>
      <c r="BF2400" s="25"/>
      <c r="BG2400" s="25"/>
      <c r="BH2400" s="25"/>
      <c r="BI2400" s="25"/>
      <c r="BJ2400" s="25"/>
      <c r="BK2400" s="25"/>
      <c r="BL2400" s="25"/>
      <c r="BM2400" s="25"/>
      <c r="BN2400" s="25"/>
      <c r="BO2400" s="25"/>
      <c r="BP2400" s="25"/>
      <c r="BQ2400" s="25"/>
      <c r="BR2400" s="25"/>
      <c r="BS2400" s="25"/>
      <c r="BT2400" s="25"/>
      <c r="BU2400"/>
      <c r="BV2400"/>
      <c r="BW2400"/>
      <c r="BX2400"/>
      <c r="BY2400"/>
      <c r="BZ2400"/>
      <c r="CA2400"/>
      <c r="CB2400"/>
      <c r="CC2400"/>
      <c r="CD2400" s="25"/>
    </row>
    <row r="2401" spans="1:82" s="17" customFormat="1" x14ac:dyDescent="0.2">
      <c r="A2401" s="25"/>
      <c r="B2401" s="20">
        <v>39061002500</v>
      </c>
      <c r="C2401" s="20">
        <v>25</v>
      </c>
      <c r="D2401" s="20" t="s">
        <v>37</v>
      </c>
      <c r="E2401" s="20" t="s">
        <v>2828</v>
      </c>
      <c r="F2401" s="20" t="s">
        <v>6</v>
      </c>
      <c r="G2401" s="861">
        <v>38.497808678179297</v>
      </c>
      <c r="H2401" s="861">
        <v>62.772631429857903</v>
      </c>
      <c r="I2401" s="861">
        <v>64.185032830754693</v>
      </c>
      <c r="J2401" s="861">
        <v>45.080650894007</v>
      </c>
      <c r="K2401" s="982">
        <v>1</v>
      </c>
      <c r="L2401" s="735">
        <v>2369</v>
      </c>
      <c r="M2401" s="735">
        <v>3062</v>
      </c>
      <c r="N2401" s="845">
        <f t="shared" si="182"/>
        <v>0.29252849303503586</v>
      </c>
      <c r="O2401" s="735">
        <v>0.18570201080961721</v>
      </c>
      <c r="P2401" s="735">
        <f t="shared" si="183"/>
        <v>16488.782144309575</v>
      </c>
      <c r="Q2401" s="849">
        <v>21.3</v>
      </c>
      <c r="R2401" s="71">
        <v>40343</v>
      </c>
      <c r="S2401" s="845">
        <v>0.55672823218997358</v>
      </c>
      <c r="T2401" s="845">
        <v>7.8E-2</v>
      </c>
      <c r="U2401" s="845">
        <v>0.154</v>
      </c>
      <c r="V2401" s="845">
        <v>3.6000000000000004E-2</v>
      </c>
      <c r="W2401" s="845">
        <v>0.90468986384266259</v>
      </c>
      <c r="X2401" s="845">
        <v>0.75</v>
      </c>
      <c r="Y2401" s="845">
        <v>0.85793598954931416</v>
      </c>
      <c r="Z2401" s="845">
        <v>4.7681254082299153E-2</v>
      </c>
      <c r="AA2401" s="845">
        <v>0</v>
      </c>
      <c r="AB2401" s="845">
        <v>3.167864141084259E-2</v>
      </c>
      <c r="AC2401" s="845">
        <v>0</v>
      </c>
      <c r="AD2401" s="845">
        <v>0</v>
      </c>
      <c r="AE2401" s="845">
        <v>6.2704114957544091E-2</v>
      </c>
      <c r="AF2401" s="845">
        <v>1.4696276943174396E-2</v>
      </c>
      <c r="AG2401" s="845">
        <v>0.84323971260613972</v>
      </c>
      <c r="AH2401" s="20" t="str">
        <f t="shared" si="184"/>
        <v>No</v>
      </c>
      <c r="AI2401" s="25"/>
      <c r="AJ2401" s="25"/>
      <c r="AK2401" s="25"/>
      <c r="AL2401" s="25"/>
      <c r="AM2401" s="25"/>
      <c r="AN2401" s="25"/>
      <c r="AO2401" s="25"/>
      <c r="AP2401" s="25"/>
      <c r="AQ2401" s="25"/>
      <c r="AR2401" s="25"/>
      <c r="AS2401" s="25"/>
      <c r="AT2401" s="25"/>
      <c r="AU2401" s="36"/>
      <c r="AV2401" s="36"/>
      <c r="AW2401" s="36"/>
      <c r="AX2401" s="25"/>
      <c r="AY2401" s="25"/>
      <c r="AZ2401" s="25"/>
      <c r="BA2401" s="25"/>
      <c r="BB2401" s="25"/>
      <c r="BC2401" s="25"/>
      <c r="BD2401" s="25"/>
      <c r="BE2401" s="25"/>
      <c r="BF2401" s="25"/>
      <c r="BG2401" s="25"/>
      <c r="BH2401" s="25"/>
      <c r="BI2401" s="25"/>
      <c r="BJ2401" s="25"/>
      <c r="BK2401" s="25"/>
      <c r="BL2401" s="25"/>
      <c r="BM2401" s="25"/>
      <c r="BN2401" s="25"/>
      <c r="BO2401" s="25"/>
      <c r="BP2401" s="25"/>
      <c r="BQ2401" s="25"/>
      <c r="BR2401" s="25"/>
      <c r="BS2401" s="25"/>
      <c r="BT2401" s="25"/>
      <c r="BU2401"/>
      <c r="BV2401"/>
      <c r="BW2401"/>
      <c r="BX2401"/>
      <c r="BY2401"/>
      <c r="BZ2401"/>
      <c r="CA2401"/>
      <c r="CB2401"/>
      <c r="CC2401"/>
      <c r="CD2401" s="25"/>
    </row>
    <row r="2402" spans="1:82" s="17" customFormat="1" x14ac:dyDescent="0.2">
      <c r="A2402" s="25"/>
      <c r="B2402" s="20">
        <v>39173020902</v>
      </c>
      <c r="C2402" s="20">
        <v>209.02</v>
      </c>
      <c r="D2402" s="20" t="s">
        <v>92</v>
      </c>
      <c r="E2402" s="20" t="s">
        <v>2839</v>
      </c>
      <c r="F2402" s="20" t="s">
        <v>8</v>
      </c>
      <c r="G2402" s="861">
        <v>38.478307859501598</v>
      </c>
      <c r="H2402" s="861">
        <v>52.556743976268002</v>
      </c>
      <c r="I2402" s="861">
        <v>15.9386368732891</v>
      </c>
      <c r="J2402" s="861">
        <v>39.629462817039197</v>
      </c>
      <c r="K2402" s="982">
        <v>0</v>
      </c>
      <c r="L2402" s="735" t="s">
        <v>2466</v>
      </c>
      <c r="M2402" s="735">
        <v>2957</v>
      </c>
      <c r="N2402" s="845" t="str">
        <f t="shared" si="182"/>
        <v/>
      </c>
      <c r="O2402" s="735">
        <v>15.701667448967557</v>
      </c>
      <c r="P2402" s="735">
        <f t="shared" si="183"/>
        <v>188.32394773425378</v>
      </c>
      <c r="Q2402" s="849">
        <v>40.9</v>
      </c>
      <c r="R2402" s="71">
        <v>69161</v>
      </c>
      <c r="S2402" s="845">
        <v>0.10449780182617517</v>
      </c>
      <c r="T2402" s="845">
        <v>2E-3</v>
      </c>
      <c r="U2402" s="845">
        <v>0</v>
      </c>
      <c r="V2402" s="845">
        <v>0</v>
      </c>
      <c r="W2402" s="845">
        <v>5.6338028169014086E-2</v>
      </c>
      <c r="X2402" s="845">
        <v>0.45</v>
      </c>
      <c r="Y2402" s="845">
        <v>0.95265471761920861</v>
      </c>
      <c r="Z2402" s="845">
        <v>0</v>
      </c>
      <c r="AA2402" s="845">
        <v>0</v>
      </c>
      <c r="AB2402" s="845">
        <v>2.3334460601961447E-2</v>
      </c>
      <c r="AC2402" s="845">
        <v>0</v>
      </c>
      <c r="AD2402" s="845">
        <v>1.5218126479540075E-2</v>
      </c>
      <c r="AE2402" s="845">
        <v>8.79269529928982E-3</v>
      </c>
      <c r="AF2402" s="845">
        <v>4.7345282380791345E-2</v>
      </c>
      <c r="AG2402" s="845">
        <v>0.92357118701386542</v>
      </c>
      <c r="AH2402" s="20" t="str">
        <f t="shared" si="184"/>
        <v>Yes</v>
      </c>
      <c r="AI2402" s="25"/>
      <c r="AJ2402" s="25"/>
      <c r="AK2402" s="25"/>
      <c r="AL2402" s="25"/>
      <c r="AM2402" s="25"/>
      <c r="AN2402" s="25"/>
      <c r="AO2402" s="25"/>
      <c r="AP2402" s="25"/>
      <c r="AQ2402" s="25"/>
      <c r="AR2402" s="25"/>
      <c r="AS2402" s="25"/>
      <c r="AT2402" s="25"/>
      <c r="AU2402" s="36"/>
      <c r="AV2402" s="36"/>
      <c r="AW2402" s="36"/>
      <c r="AX2402" s="25"/>
      <c r="AY2402" s="25"/>
      <c r="AZ2402" s="25"/>
      <c r="BA2402" s="25"/>
      <c r="BB2402" s="25"/>
      <c r="BC2402" s="25"/>
      <c r="BD2402" s="25"/>
      <c r="BE2402" s="25"/>
      <c r="BF2402" s="25"/>
      <c r="BG2402" s="25"/>
      <c r="BH2402" s="25"/>
      <c r="BI2402" s="25"/>
      <c r="BJ2402" s="25"/>
      <c r="BK2402" s="25"/>
      <c r="BL2402" s="25"/>
      <c r="BM2402" s="25"/>
      <c r="BN2402" s="25"/>
      <c r="BO2402" s="25"/>
      <c r="BP2402" s="25"/>
      <c r="BQ2402" s="25"/>
      <c r="BR2402" s="25"/>
      <c r="BS2402" s="25"/>
      <c r="BT2402" s="25"/>
      <c r="BU2402"/>
      <c r="BV2402"/>
      <c r="BW2402"/>
      <c r="BX2402"/>
      <c r="BY2402"/>
      <c r="BZ2402"/>
      <c r="CA2402"/>
      <c r="CB2402"/>
      <c r="CC2402"/>
      <c r="CD2402" s="25"/>
    </row>
    <row r="2403" spans="1:82" s="17" customFormat="1" x14ac:dyDescent="0.2">
      <c r="A2403" s="25"/>
      <c r="B2403" s="20">
        <v>39017013900</v>
      </c>
      <c r="C2403" s="20">
        <v>139</v>
      </c>
      <c r="D2403" s="20" t="s">
        <v>15</v>
      </c>
      <c r="E2403" s="20" t="s">
        <v>2828</v>
      </c>
      <c r="F2403" s="20" t="s">
        <v>6</v>
      </c>
      <c r="G2403" s="861">
        <v>38.477936600707402</v>
      </c>
      <c r="H2403" s="861">
        <v>50.427288719078497</v>
      </c>
      <c r="I2403" s="861">
        <v>38.020320049882997</v>
      </c>
      <c r="J2403" s="861">
        <v>48.146582986647097</v>
      </c>
      <c r="K2403" s="982">
        <v>0</v>
      </c>
      <c r="L2403" s="735">
        <v>2715</v>
      </c>
      <c r="M2403" s="735">
        <v>2668</v>
      </c>
      <c r="N2403" s="845">
        <f t="shared" si="182"/>
        <v>-1.7311233885819521E-2</v>
      </c>
      <c r="O2403" s="735">
        <v>1.5322298139816557</v>
      </c>
      <c r="P2403" s="735">
        <f t="shared" si="183"/>
        <v>1741.2531564484634</v>
      </c>
      <c r="Q2403" s="849">
        <v>39.799999999999997</v>
      </c>
      <c r="R2403" s="71">
        <v>68341</v>
      </c>
      <c r="S2403" s="845">
        <v>0.14979299962363568</v>
      </c>
      <c r="T2403" s="845">
        <v>0.05</v>
      </c>
      <c r="U2403" s="845">
        <v>1.3999999999999999E-2</v>
      </c>
      <c r="V2403" s="845">
        <v>0</v>
      </c>
      <c r="W2403" s="845">
        <v>0.38212927756653992</v>
      </c>
      <c r="X2403" s="845">
        <v>0.1417910447761194</v>
      </c>
      <c r="Y2403" s="845">
        <v>0.91641679160419787</v>
      </c>
      <c r="Z2403" s="845">
        <v>0</v>
      </c>
      <c r="AA2403" s="845">
        <v>0</v>
      </c>
      <c r="AB2403" s="845">
        <v>7.3088455772113939E-2</v>
      </c>
      <c r="AC2403" s="845">
        <v>0</v>
      </c>
      <c r="AD2403" s="845">
        <v>0</v>
      </c>
      <c r="AE2403" s="845">
        <v>1.0494752623688156E-2</v>
      </c>
      <c r="AF2403" s="845">
        <v>0</v>
      </c>
      <c r="AG2403" s="845">
        <v>0.91641679160419787</v>
      </c>
      <c r="AH2403" s="20" t="str">
        <f t="shared" si="184"/>
        <v>Yes</v>
      </c>
      <c r="AI2403" s="25"/>
      <c r="AJ2403" s="25"/>
      <c r="AK2403" s="25"/>
      <c r="AL2403" s="25"/>
      <c r="AM2403" s="25"/>
      <c r="AN2403" s="25"/>
      <c r="AO2403" s="25"/>
      <c r="AP2403" s="25"/>
      <c r="AQ2403" s="25"/>
      <c r="AR2403" s="25"/>
      <c r="AS2403" s="25"/>
      <c r="AT2403" s="25"/>
      <c r="AU2403" s="36"/>
      <c r="AV2403" s="36"/>
      <c r="AW2403" s="36"/>
      <c r="AX2403" s="25"/>
      <c r="AY2403" s="25"/>
      <c r="AZ2403" s="25"/>
      <c r="BA2403" s="25"/>
      <c r="BB2403" s="25"/>
      <c r="BC2403" s="25"/>
      <c r="BD2403" s="25"/>
      <c r="BE2403" s="25"/>
      <c r="BF2403" s="25"/>
      <c r="BG2403" s="25"/>
      <c r="BH2403" s="25"/>
      <c r="BI2403" s="25"/>
      <c r="BJ2403" s="25"/>
      <c r="BK2403" s="25"/>
      <c r="BL2403" s="25"/>
      <c r="BM2403" s="25"/>
      <c r="BN2403" s="25"/>
      <c r="BO2403" s="25"/>
      <c r="BP2403" s="25"/>
      <c r="BQ2403" s="25"/>
      <c r="BR2403" s="25"/>
      <c r="BS2403" s="25"/>
      <c r="BT2403" s="25"/>
      <c r="BU2403"/>
      <c r="BV2403"/>
      <c r="BW2403"/>
      <c r="BX2403"/>
      <c r="BY2403"/>
      <c r="BZ2403"/>
      <c r="CA2403"/>
      <c r="CB2403"/>
      <c r="CC2403"/>
      <c r="CD2403" s="25"/>
    </row>
    <row r="2404" spans="1:82" s="17" customFormat="1" x14ac:dyDescent="0.2">
      <c r="A2404" s="25"/>
      <c r="B2404" s="20">
        <v>39035152201</v>
      </c>
      <c r="C2404" s="20">
        <v>1522.01</v>
      </c>
      <c r="D2404" s="20" t="s">
        <v>24</v>
      </c>
      <c r="E2404" s="20" t="s">
        <v>2829</v>
      </c>
      <c r="F2404" s="20" t="s">
        <v>6</v>
      </c>
      <c r="G2404" s="861">
        <v>38.4667422033123</v>
      </c>
      <c r="H2404" s="861">
        <v>57.743789946529198</v>
      </c>
      <c r="I2404" s="861">
        <v>41.390824544310099</v>
      </c>
      <c r="J2404" s="861">
        <v>58.018918139954202</v>
      </c>
      <c r="K2404" s="982">
        <v>0</v>
      </c>
      <c r="L2404" s="735">
        <v>3185</v>
      </c>
      <c r="M2404" s="735">
        <v>3680</v>
      </c>
      <c r="N2404" s="845">
        <f t="shared" si="182"/>
        <v>0.15541601255886969</v>
      </c>
      <c r="O2404" s="735">
        <v>0.29455231746218324</v>
      </c>
      <c r="P2404" s="735">
        <f t="shared" si="183"/>
        <v>12493.536060779645</v>
      </c>
      <c r="Q2404" s="849">
        <v>38.299999999999997</v>
      </c>
      <c r="R2404" s="71">
        <v>50887</v>
      </c>
      <c r="S2404" s="845">
        <v>0.1428962496578155</v>
      </c>
      <c r="T2404" s="845">
        <v>1.4999999999999999E-2</v>
      </c>
      <c r="U2404" s="845">
        <v>0</v>
      </c>
      <c r="V2404" s="845">
        <v>9.8000000000000004E-2</v>
      </c>
      <c r="W2404" s="845">
        <v>0.91690009337068157</v>
      </c>
      <c r="X2404" s="845">
        <v>0.37881873727087578</v>
      </c>
      <c r="Y2404" s="845">
        <v>0.2</v>
      </c>
      <c r="Z2404" s="845">
        <v>0.75217391304347825</v>
      </c>
      <c r="AA2404" s="845">
        <v>0</v>
      </c>
      <c r="AB2404" s="845">
        <v>8.152173913043478E-3</v>
      </c>
      <c r="AC2404" s="845">
        <v>0</v>
      </c>
      <c r="AD2404" s="845">
        <v>0</v>
      </c>
      <c r="AE2404" s="845">
        <v>3.9673913043478261E-2</v>
      </c>
      <c r="AF2404" s="845">
        <v>3.5326086956521739E-3</v>
      </c>
      <c r="AG2404" s="845">
        <v>0.19646739130434782</v>
      </c>
      <c r="AH2404" s="20" t="str">
        <f t="shared" si="184"/>
        <v>No</v>
      </c>
      <c r="AI2404" s="25"/>
      <c r="AJ2404" s="25"/>
      <c r="AK2404" s="25"/>
      <c r="AL2404" s="25"/>
      <c r="AM2404" s="25"/>
      <c r="AN2404" s="25"/>
      <c r="AO2404" s="25"/>
      <c r="AP2404" s="25"/>
      <c r="AQ2404" s="25"/>
      <c r="AR2404" s="25"/>
      <c r="AS2404" s="25"/>
      <c r="AT2404" s="25"/>
      <c r="AU2404" s="36"/>
      <c r="AV2404" s="36"/>
      <c r="AW2404" s="36"/>
      <c r="AX2404" s="25"/>
      <c r="AY2404" s="25"/>
      <c r="AZ2404" s="25"/>
      <c r="BA2404" s="25"/>
      <c r="BB2404" s="25"/>
      <c r="BC2404" s="25"/>
      <c r="BD2404" s="25"/>
      <c r="BE2404" s="25"/>
      <c r="BF2404" s="25"/>
      <c r="BG2404" s="25"/>
      <c r="BH2404" s="25"/>
      <c r="BI2404" s="25"/>
      <c r="BJ2404" s="25"/>
      <c r="BK2404" s="25"/>
      <c r="BL2404" s="25"/>
      <c r="BM2404" s="25"/>
      <c r="BN2404" s="25"/>
      <c r="BO2404" s="25"/>
      <c r="BP2404" s="25"/>
      <c r="BQ2404" s="25"/>
      <c r="BR2404" s="25"/>
      <c r="BS2404" s="25"/>
      <c r="BT2404" s="25"/>
      <c r="BU2404"/>
      <c r="BV2404"/>
      <c r="BW2404"/>
      <c r="BX2404"/>
      <c r="BY2404"/>
      <c r="BZ2404"/>
      <c r="CA2404"/>
      <c r="CB2404"/>
      <c r="CC2404"/>
      <c r="CD2404" s="25"/>
    </row>
    <row r="2405" spans="1:82" s="17" customFormat="1" x14ac:dyDescent="0.2">
      <c r="A2405" s="25"/>
      <c r="B2405" s="20">
        <v>39061021509</v>
      </c>
      <c r="C2405" s="20">
        <v>215.09</v>
      </c>
      <c r="D2405" s="20" t="s">
        <v>37</v>
      </c>
      <c r="E2405" s="20" t="s">
        <v>2828</v>
      </c>
      <c r="F2405" s="20" t="s">
        <v>6</v>
      </c>
      <c r="G2405" s="861">
        <v>38.466049739849502</v>
      </c>
      <c r="H2405" s="861">
        <v>44.190951286441503</v>
      </c>
      <c r="I2405" s="861">
        <v>47.048836593537899</v>
      </c>
      <c r="J2405" s="861">
        <v>36.0027824056192</v>
      </c>
      <c r="K2405" s="982">
        <v>0</v>
      </c>
      <c r="L2405" s="735">
        <v>7008</v>
      </c>
      <c r="M2405" s="735">
        <v>7650</v>
      </c>
      <c r="N2405" s="845">
        <f t="shared" si="182"/>
        <v>9.1609589041095896E-2</v>
      </c>
      <c r="O2405" s="735">
        <v>3.0165447361841364</v>
      </c>
      <c r="P2405" s="735">
        <f t="shared" si="183"/>
        <v>2536.0141052232775</v>
      </c>
      <c r="Q2405" s="849">
        <v>28.6</v>
      </c>
      <c r="R2405" s="71">
        <v>54418</v>
      </c>
      <c r="S2405" s="845">
        <v>0.31071620893914914</v>
      </c>
      <c r="T2405" s="845">
        <v>7.9000000000000001E-2</v>
      </c>
      <c r="U2405" s="845">
        <v>0</v>
      </c>
      <c r="V2405" s="845">
        <v>0.15</v>
      </c>
      <c r="W2405" s="845">
        <v>0.39874353288987435</v>
      </c>
      <c r="X2405" s="845">
        <v>0.65801668211306763</v>
      </c>
      <c r="Y2405" s="845">
        <v>0.39254901960784316</v>
      </c>
      <c r="Z2405" s="845">
        <v>0.4884967320261438</v>
      </c>
      <c r="AA2405" s="845">
        <v>1.2026143790849673E-2</v>
      </c>
      <c r="AB2405" s="845">
        <v>0</v>
      </c>
      <c r="AC2405" s="845">
        <v>0</v>
      </c>
      <c r="AD2405" s="845">
        <v>1.6993464052287581E-3</v>
      </c>
      <c r="AE2405" s="845">
        <v>0.10522875816993464</v>
      </c>
      <c r="AF2405" s="845">
        <v>9.8300653594771248E-2</v>
      </c>
      <c r="AG2405" s="845">
        <v>0.3077124183006536</v>
      </c>
      <c r="AH2405" s="20" t="str">
        <f t="shared" si="184"/>
        <v>No</v>
      </c>
      <c r="AI2405" s="25"/>
      <c r="AJ2405" s="25"/>
      <c r="AK2405" s="25"/>
      <c r="AL2405" s="25"/>
      <c r="AM2405" s="25"/>
      <c r="AN2405" s="25"/>
      <c r="AO2405" s="25"/>
      <c r="AP2405" s="25"/>
      <c r="AQ2405" s="25"/>
      <c r="AR2405" s="25"/>
      <c r="AS2405" s="25"/>
      <c r="AT2405" s="25"/>
      <c r="AU2405" s="36"/>
      <c r="AV2405" s="36"/>
      <c r="AW2405" s="36"/>
      <c r="AX2405" s="25"/>
      <c r="AY2405" s="25"/>
      <c r="AZ2405" s="25"/>
      <c r="BA2405" s="25"/>
      <c r="BB2405" s="25"/>
      <c r="BC2405" s="25"/>
      <c r="BD2405" s="25"/>
      <c r="BE2405" s="25"/>
      <c r="BF2405" s="25"/>
      <c r="BG2405" s="25"/>
      <c r="BH2405" s="25"/>
      <c r="BI2405" s="25"/>
      <c r="BJ2405" s="25"/>
      <c r="BK2405" s="25"/>
      <c r="BL2405" s="25"/>
      <c r="BM2405" s="25"/>
      <c r="BN2405" s="25"/>
      <c r="BO2405" s="25"/>
      <c r="BP2405" s="25"/>
      <c r="BQ2405" s="25"/>
      <c r="BR2405" s="25"/>
      <c r="BS2405" s="25"/>
      <c r="BT2405" s="25"/>
      <c r="BU2405"/>
      <c r="BV2405"/>
      <c r="BW2405"/>
      <c r="BX2405"/>
      <c r="BY2405"/>
      <c r="BZ2405"/>
      <c r="CA2405"/>
      <c r="CB2405"/>
      <c r="CC2405"/>
      <c r="CD2405" s="25"/>
    </row>
    <row r="2406" spans="1:82" s="17" customFormat="1" x14ac:dyDescent="0.2">
      <c r="A2406" s="25"/>
      <c r="B2406" s="20">
        <v>39133601801</v>
      </c>
      <c r="C2406" s="20">
        <v>6018.01</v>
      </c>
      <c r="D2406" s="20" t="s">
        <v>72</v>
      </c>
      <c r="E2406" s="20" t="s">
        <v>2843</v>
      </c>
      <c r="F2406" s="20" t="s">
        <v>8</v>
      </c>
      <c r="G2406" s="861">
        <v>38.411275286046198</v>
      </c>
      <c r="H2406" s="861">
        <v>42.810106767747399</v>
      </c>
      <c r="I2406" s="861">
        <v>24.6969654861132</v>
      </c>
      <c r="J2406" s="861">
        <v>34.258657626069599</v>
      </c>
      <c r="K2406" s="982">
        <v>0</v>
      </c>
      <c r="L2406" s="735">
        <v>3878</v>
      </c>
      <c r="M2406" s="735">
        <v>3953</v>
      </c>
      <c r="N2406" s="845">
        <f t="shared" si="182"/>
        <v>1.9339865910263022E-2</v>
      </c>
      <c r="O2406" s="735">
        <v>9.302917996793429</v>
      </c>
      <c r="P2406" s="735">
        <f t="shared" si="183"/>
        <v>424.92043908830942</v>
      </c>
      <c r="Q2406" s="849">
        <v>38.1</v>
      </c>
      <c r="R2406" s="71">
        <v>92625</v>
      </c>
      <c r="S2406" s="845">
        <v>8.423981785985328E-2</v>
      </c>
      <c r="T2406" s="845">
        <v>4.2999999999999997E-2</v>
      </c>
      <c r="U2406" s="845">
        <v>2.3E-2</v>
      </c>
      <c r="V2406" s="845">
        <v>0</v>
      </c>
      <c r="W2406" s="845">
        <v>0.27348777348777348</v>
      </c>
      <c r="X2406" s="845">
        <v>0.37411764705882355</v>
      </c>
      <c r="Y2406" s="845">
        <v>0.95497090817100938</v>
      </c>
      <c r="Z2406" s="845">
        <v>5.3124209461168732E-3</v>
      </c>
      <c r="AA2406" s="845">
        <v>0</v>
      </c>
      <c r="AB2406" s="845">
        <v>0</v>
      </c>
      <c r="AC2406" s="845">
        <v>0</v>
      </c>
      <c r="AD2406" s="845">
        <v>1.4419428282317227E-2</v>
      </c>
      <c r="AE2406" s="845">
        <v>2.529724260055654E-2</v>
      </c>
      <c r="AF2406" s="845">
        <v>5.6159878573235518E-2</v>
      </c>
      <c r="AG2406" s="845">
        <v>0.90766506450796858</v>
      </c>
      <c r="AH2406" s="20" t="str">
        <f t="shared" si="184"/>
        <v>Yes</v>
      </c>
      <c r="AI2406" s="25"/>
      <c r="AJ2406" s="25"/>
      <c r="AK2406" s="25"/>
      <c r="AL2406" s="25"/>
      <c r="AM2406" s="25"/>
      <c r="AN2406" s="25"/>
      <c r="AO2406" s="25"/>
      <c r="AP2406" s="25"/>
      <c r="AQ2406" s="25"/>
      <c r="AR2406" s="25"/>
      <c r="AS2406" s="25"/>
      <c r="AT2406" s="25"/>
      <c r="AU2406" s="36"/>
      <c r="AV2406" s="36"/>
      <c r="AW2406" s="36"/>
      <c r="AX2406" s="25"/>
      <c r="AY2406" s="25"/>
      <c r="AZ2406" s="25"/>
      <c r="BA2406" s="25"/>
      <c r="BB2406" s="25"/>
      <c r="BC2406" s="25"/>
      <c r="BD2406" s="25"/>
      <c r="BE2406" s="25"/>
      <c r="BF2406" s="25"/>
      <c r="BG2406" s="25"/>
      <c r="BH2406" s="25"/>
      <c r="BI2406" s="25"/>
      <c r="BJ2406" s="25"/>
      <c r="BK2406" s="25"/>
      <c r="BL2406" s="25"/>
      <c r="BM2406" s="25"/>
      <c r="BN2406" s="25"/>
      <c r="BO2406" s="25"/>
      <c r="BP2406" s="25"/>
      <c r="BQ2406" s="25"/>
      <c r="BR2406" s="25"/>
      <c r="BS2406" s="25"/>
      <c r="BT2406" s="25"/>
      <c r="BU2406"/>
      <c r="BV2406"/>
      <c r="BW2406"/>
      <c r="BX2406"/>
      <c r="BY2406"/>
      <c r="BZ2406"/>
      <c r="CA2406"/>
      <c r="CB2406"/>
      <c r="CC2406"/>
      <c r="CD2406" s="25"/>
    </row>
    <row r="2407" spans="1:82" s="17" customFormat="1" x14ac:dyDescent="0.2">
      <c r="A2407" s="25"/>
      <c r="B2407" s="20">
        <v>39173020800</v>
      </c>
      <c r="C2407" s="20">
        <v>208</v>
      </c>
      <c r="D2407" s="20" t="s">
        <v>92</v>
      </c>
      <c r="E2407" s="20" t="s">
        <v>2839</v>
      </c>
      <c r="F2407" s="20" t="s">
        <v>8</v>
      </c>
      <c r="G2407" s="861">
        <v>38.4099927668546</v>
      </c>
      <c r="H2407" s="861">
        <v>42.066181002580997</v>
      </c>
      <c r="I2407" s="861">
        <v>30.986415423539899</v>
      </c>
      <c r="J2407" s="861">
        <v>39.649693222272099</v>
      </c>
      <c r="K2407" s="982">
        <v>0</v>
      </c>
      <c r="L2407" s="735">
        <v>4123</v>
      </c>
      <c r="M2407" s="735">
        <v>3960</v>
      </c>
      <c r="N2407" s="845">
        <f t="shared" si="182"/>
        <v>-3.9534319670143099E-2</v>
      </c>
      <c r="O2407" s="735">
        <v>8.1061325798904935</v>
      </c>
      <c r="P2407" s="735">
        <f t="shared" si="183"/>
        <v>488.51902691844401</v>
      </c>
      <c r="Q2407" s="849">
        <v>39.200000000000003</v>
      </c>
      <c r="R2407" s="71">
        <v>63350</v>
      </c>
      <c r="S2407" s="845">
        <v>0.1304679552390641</v>
      </c>
      <c r="T2407" s="845">
        <v>6.8000000000000005E-2</v>
      </c>
      <c r="U2407" s="845">
        <v>0</v>
      </c>
      <c r="V2407" s="845">
        <v>4.7E-2</v>
      </c>
      <c r="W2407" s="845">
        <v>0.29103214890016921</v>
      </c>
      <c r="X2407" s="845">
        <v>0.30813953488372092</v>
      </c>
      <c r="Y2407" s="845">
        <v>0.8136363636363636</v>
      </c>
      <c r="Z2407" s="845">
        <v>8.5858585858585856E-3</v>
      </c>
      <c r="AA2407" s="845">
        <v>0</v>
      </c>
      <c r="AB2407" s="845">
        <v>1.7676767676767678E-3</v>
      </c>
      <c r="AC2407" s="845">
        <v>0</v>
      </c>
      <c r="AD2407" s="845">
        <v>5.3282828282828286E-2</v>
      </c>
      <c r="AE2407" s="845">
        <v>0.12272727272727273</v>
      </c>
      <c r="AF2407" s="845">
        <v>0.15782828282828282</v>
      </c>
      <c r="AG2407" s="845">
        <v>0.80757575757575761</v>
      </c>
      <c r="AH2407" s="20" t="str">
        <f t="shared" si="184"/>
        <v>No</v>
      </c>
      <c r="AI2407" s="25"/>
      <c r="AJ2407" s="25"/>
      <c r="AK2407" s="25"/>
      <c r="AL2407" s="25"/>
      <c r="AM2407" s="25"/>
      <c r="AN2407" s="25"/>
      <c r="AO2407" s="25"/>
      <c r="AP2407" s="25"/>
      <c r="AQ2407" s="25"/>
      <c r="AR2407" s="25"/>
      <c r="AS2407" s="25"/>
      <c r="AT2407" s="25"/>
      <c r="AU2407" s="36"/>
      <c r="AV2407" s="36"/>
      <c r="AW2407" s="36"/>
      <c r="AX2407" s="25"/>
      <c r="AY2407" s="25"/>
      <c r="AZ2407" s="25"/>
      <c r="BA2407" s="25"/>
      <c r="BB2407" s="25"/>
      <c r="BC2407" s="25"/>
      <c r="BD2407" s="25"/>
      <c r="BE2407" s="25"/>
      <c r="BF2407" s="25"/>
      <c r="BG2407" s="25"/>
      <c r="BH2407" s="25"/>
      <c r="BI2407" s="25"/>
      <c r="BJ2407" s="25"/>
      <c r="BK2407" s="25"/>
      <c r="BL2407" s="25"/>
      <c r="BM2407" s="25"/>
      <c r="BN2407" s="25"/>
      <c r="BO2407" s="25"/>
      <c r="BP2407" s="25"/>
      <c r="BQ2407" s="25"/>
      <c r="BR2407" s="25"/>
      <c r="BS2407" s="25"/>
      <c r="BT2407" s="25"/>
      <c r="BU2407"/>
      <c r="BV2407"/>
      <c r="BW2407"/>
      <c r="BX2407"/>
      <c r="BY2407"/>
      <c r="BZ2407"/>
      <c r="CA2407"/>
      <c r="CB2407"/>
      <c r="CC2407"/>
      <c r="CD2407" s="25"/>
    </row>
    <row r="2408" spans="1:82" s="17" customFormat="1" x14ac:dyDescent="0.2">
      <c r="A2408" s="25"/>
      <c r="B2408" s="20">
        <v>39071955002</v>
      </c>
      <c r="C2408" s="20">
        <v>9550.02</v>
      </c>
      <c r="D2408" s="20" t="s">
        <v>42</v>
      </c>
      <c r="E2408" s="20" t="s">
        <v>265</v>
      </c>
      <c r="F2408" s="20" t="s">
        <v>6</v>
      </c>
      <c r="G2408" s="861">
        <v>38.362375150260497</v>
      </c>
      <c r="H2408" s="861">
        <v>46.8037638456994</v>
      </c>
      <c r="I2408" s="861">
        <v>39.903882629947098</v>
      </c>
      <c r="J2408" s="861">
        <v>52.713454461864004</v>
      </c>
      <c r="K2408" s="982">
        <v>0</v>
      </c>
      <c r="L2408" s="735" t="s">
        <v>2466</v>
      </c>
      <c r="M2408" s="735">
        <v>2966</v>
      </c>
      <c r="N2408" s="845" t="str">
        <f t="shared" si="182"/>
        <v/>
      </c>
      <c r="O2408" s="735">
        <v>8.987265582466323</v>
      </c>
      <c r="P2408" s="735">
        <f t="shared" si="183"/>
        <v>330.0225160572208</v>
      </c>
      <c r="Q2408" s="849">
        <v>33.1</v>
      </c>
      <c r="R2408" s="71">
        <v>48049</v>
      </c>
      <c r="S2408" s="845">
        <v>0.27911714770797963</v>
      </c>
      <c r="T2408" s="845">
        <v>8.5999999999999993E-2</v>
      </c>
      <c r="U2408" s="845">
        <v>0</v>
      </c>
      <c r="V2408" s="845">
        <v>0.13800000000000001</v>
      </c>
      <c r="W2408" s="845">
        <v>0.26010362694300521</v>
      </c>
      <c r="X2408" s="845">
        <v>0.62549800796812749</v>
      </c>
      <c r="Y2408" s="845">
        <v>0.94133513149022252</v>
      </c>
      <c r="Z2408" s="845">
        <v>0</v>
      </c>
      <c r="AA2408" s="845">
        <v>0</v>
      </c>
      <c r="AB2408" s="845">
        <v>0</v>
      </c>
      <c r="AC2408" s="845">
        <v>0</v>
      </c>
      <c r="AD2408" s="845">
        <v>5.0573162508428865E-3</v>
      </c>
      <c r="AE2408" s="845">
        <v>5.3607552258934592E-2</v>
      </c>
      <c r="AF2408" s="845">
        <v>2.2589345920431558E-2</v>
      </c>
      <c r="AG2408" s="845">
        <v>0.94133513149022252</v>
      </c>
      <c r="AH2408" s="20" t="str">
        <f t="shared" si="184"/>
        <v>Yes</v>
      </c>
      <c r="AI2408" s="25"/>
      <c r="AJ2408" s="25"/>
      <c r="AK2408" s="25"/>
      <c r="AL2408" s="25"/>
      <c r="AM2408" s="25"/>
      <c r="AN2408" s="25"/>
      <c r="AO2408" s="25"/>
      <c r="AP2408" s="25"/>
      <c r="AQ2408" s="25"/>
      <c r="AR2408" s="25"/>
      <c r="AS2408" s="25"/>
      <c r="AT2408" s="25"/>
      <c r="AU2408" s="36"/>
      <c r="AV2408" s="36"/>
      <c r="AW2408" s="36"/>
      <c r="AX2408" s="25"/>
      <c r="AY2408" s="25"/>
      <c r="AZ2408" s="25"/>
      <c r="BA2408" s="25"/>
      <c r="BB2408" s="25"/>
      <c r="BC2408" s="25"/>
      <c r="BD2408" s="25"/>
      <c r="BE2408" s="25"/>
      <c r="BF2408" s="25"/>
      <c r="BG2408" s="25"/>
      <c r="BH2408" s="25"/>
      <c r="BI2408" s="25"/>
      <c r="BJ2408" s="25"/>
      <c r="BK2408" s="25"/>
      <c r="BL2408" s="25"/>
      <c r="BM2408" s="25"/>
      <c r="BN2408" s="25"/>
      <c r="BO2408" s="25"/>
      <c r="BP2408" s="25"/>
      <c r="BQ2408" s="25"/>
      <c r="BR2408" s="25"/>
      <c r="BS2408" s="25"/>
      <c r="BT2408" s="25"/>
      <c r="BU2408"/>
      <c r="BV2408"/>
      <c r="BW2408"/>
      <c r="BX2408"/>
      <c r="BY2408"/>
      <c r="BZ2408"/>
      <c r="CA2408"/>
      <c r="CB2408"/>
      <c r="CC2408"/>
      <c r="CD2408" s="25"/>
    </row>
    <row r="2409" spans="1:82" s="17" customFormat="1" x14ac:dyDescent="0.2">
      <c r="A2409" s="25"/>
      <c r="B2409" s="20">
        <v>39035197200</v>
      </c>
      <c r="C2409" s="20">
        <v>1972</v>
      </c>
      <c r="D2409" s="20" t="s">
        <v>24</v>
      </c>
      <c r="E2409" s="20" t="s">
        <v>2829</v>
      </c>
      <c r="F2409" s="20" t="s">
        <v>6</v>
      </c>
      <c r="G2409" s="861">
        <v>38.3552508402718</v>
      </c>
      <c r="H2409" s="861">
        <v>35.590584681273199</v>
      </c>
      <c r="I2409" s="861">
        <v>77.590723797491705</v>
      </c>
      <c r="J2409" s="861">
        <v>36.806181986203804</v>
      </c>
      <c r="K2409" s="982">
        <v>1</v>
      </c>
      <c r="L2409" s="735" t="s">
        <v>2466</v>
      </c>
      <c r="M2409" s="735">
        <v>2346</v>
      </c>
      <c r="N2409" s="845" t="str">
        <f t="shared" si="182"/>
        <v/>
      </c>
      <c r="O2409" s="735">
        <v>0.97690873183197746</v>
      </c>
      <c r="P2409" s="735">
        <f t="shared" si="183"/>
        <v>2401.4525856479886</v>
      </c>
      <c r="Q2409" s="849">
        <v>43.6</v>
      </c>
      <c r="R2409" s="71">
        <v>15769</v>
      </c>
      <c r="S2409" s="845">
        <v>0.57933922754769662</v>
      </c>
      <c r="T2409" s="845">
        <v>0.25600000000000001</v>
      </c>
      <c r="U2409" s="845">
        <v>0</v>
      </c>
      <c r="V2409" s="845">
        <v>2.3E-2</v>
      </c>
      <c r="W2409" s="845">
        <v>0.68800813008130079</v>
      </c>
      <c r="X2409" s="845">
        <v>0.48153618906942391</v>
      </c>
      <c r="Y2409" s="845">
        <v>0.10315430520034101</v>
      </c>
      <c r="Z2409" s="845">
        <v>0.86743393009377667</v>
      </c>
      <c r="AA2409" s="845">
        <v>3.8363171355498722E-3</v>
      </c>
      <c r="AB2409" s="845">
        <v>0</v>
      </c>
      <c r="AC2409" s="845">
        <v>0</v>
      </c>
      <c r="AD2409" s="845">
        <v>9.3776641091219103E-3</v>
      </c>
      <c r="AE2409" s="845">
        <v>1.619778346121057E-2</v>
      </c>
      <c r="AF2409" s="845">
        <v>1.5771526001705029E-2</v>
      </c>
      <c r="AG2409" s="845">
        <v>0.10315430520034101</v>
      </c>
      <c r="AH2409" s="20" t="str">
        <f t="shared" si="184"/>
        <v>No</v>
      </c>
      <c r="AI2409" s="25"/>
      <c r="AJ2409" s="25"/>
      <c r="AK2409" s="25"/>
      <c r="AL2409" s="25"/>
      <c r="AM2409" s="25"/>
      <c r="AN2409" s="25"/>
      <c r="AO2409" s="25"/>
      <c r="AP2409" s="25"/>
      <c r="AQ2409" s="25"/>
      <c r="AR2409" s="25"/>
      <c r="AS2409" s="25"/>
      <c r="AT2409" s="25"/>
      <c r="AU2409" s="36"/>
      <c r="AV2409" s="36"/>
      <c r="AW2409" s="36"/>
      <c r="AX2409" s="25"/>
      <c r="AY2409" s="25"/>
      <c r="AZ2409" s="25"/>
      <c r="BA2409" s="25"/>
      <c r="BB2409" s="25"/>
      <c r="BC2409" s="25"/>
      <c r="BD2409" s="25"/>
      <c r="BE2409" s="25"/>
      <c r="BF2409" s="25"/>
      <c r="BG2409" s="25"/>
      <c r="BH2409" s="25"/>
      <c r="BI2409" s="25"/>
      <c r="BJ2409" s="25"/>
      <c r="BK2409" s="25"/>
      <c r="BL2409" s="25"/>
      <c r="BM2409" s="25"/>
      <c r="BN2409" s="25"/>
      <c r="BO2409" s="25"/>
      <c r="BP2409" s="25"/>
      <c r="BQ2409" s="25"/>
      <c r="BR2409" s="25"/>
      <c r="BS2409" s="25"/>
      <c r="BT2409" s="25"/>
      <c r="BU2409"/>
      <c r="BV2409"/>
      <c r="BW2409"/>
      <c r="BX2409"/>
      <c r="BY2409"/>
      <c r="BZ2409"/>
      <c r="CA2409"/>
      <c r="CB2409"/>
      <c r="CC2409"/>
      <c r="CD2409" s="25"/>
    </row>
    <row r="2410" spans="1:82" s="17" customFormat="1" x14ac:dyDescent="0.2">
      <c r="A2410" s="25"/>
      <c r="B2410" s="20">
        <v>39035150100</v>
      </c>
      <c r="C2410" s="20">
        <v>1501</v>
      </c>
      <c r="D2410" s="20" t="s">
        <v>24</v>
      </c>
      <c r="E2410" s="20" t="s">
        <v>2829</v>
      </c>
      <c r="F2410" s="20" t="s">
        <v>6</v>
      </c>
      <c r="G2410" s="861">
        <v>38.352581672978602</v>
      </c>
      <c r="H2410" s="861">
        <v>26.162058254231098</v>
      </c>
      <c r="I2410" s="861">
        <v>93.8950307929492</v>
      </c>
      <c r="J2410" s="861">
        <v>46.891844653313001</v>
      </c>
      <c r="K2410" s="982">
        <v>0</v>
      </c>
      <c r="L2410" s="735">
        <v>2302</v>
      </c>
      <c r="M2410" s="735">
        <v>1622</v>
      </c>
      <c r="N2410" s="845">
        <f t="shared" si="182"/>
        <v>-0.29539530842745437</v>
      </c>
      <c r="O2410" s="735">
        <v>0.33892935516217487</v>
      </c>
      <c r="P2410" s="735">
        <f t="shared" si="183"/>
        <v>4785.6580591075872</v>
      </c>
      <c r="Q2410" s="849">
        <v>47.4</v>
      </c>
      <c r="R2410" s="71">
        <v>19392</v>
      </c>
      <c r="S2410" s="845">
        <v>0.33353884093711467</v>
      </c>
      <c r="T2410" s="845">
        <v>0.124</v>
      </c>
      <c r="U2410" s="845">
        <v>0</v>
      </c>
      <c r="V2410" s="845">
        <v>6.8000000000000005E-2</v>
      </c>
      <c r="W2410" s="845">
        <v>0.38274605103280679</v>
      </c>
      <c r="X2410" s="845">
        <v>0.44444444444444442</v>
      </c>
      <c r="Y2410" s="845">
        <v>1.1097410604192354E-2</v>
      </c>
      <c r="Z2410" s="845">
        <v>0.9432799013563502</v>
      </c>
      <c r="AA2410" s="845">
        <v>3.0826140567200987E-3</v>
      </c>
      <c r="AB2410" s="845">
        <v>6.1652281134401974E-3</v>
      </c>
      <c r="AC2410" s="845">
        <v>0</v>
      </c>
      <c r="AD2410" s="845">
        <v>6.7817509247842167E-3</v>
      </c>
      <c r="AE2410" s="845">
        <v>2.9593094944512947E-2</v>
      </c>
      <c r="AF2410" s="845">
        <v>3.6991368680641186E-2</v>
      </c>
      <c r="AG2410" s="845">
        <v>1.1097410604192354E-2</v>
      </c>
      <c r="AH2410" s="20" t="str">
        <f t="shared" si="184"/>
        <v>No</v>
      </c>
      <c r="AI2410" s="25"/>
      <c r="AJ2410" s="25"/>
      <c r="AK2410" s="25"/>
      <c r="AL2410" s="25"/>
      <c r="AM2410" s="25"/>
      <c r="AN2410" s="25"/>
      <c r="AO2410" s="25"/>
      <c r="AP2410" s="25"/>
      <c r="AQ2410" s="25"/>
      <c r="AR2410" s="25"/>
      <c r="AS2410" s="25"/>
      <c r="AT2410" s="25"/>
      <c r="AU2410" s="36"/>
      <c r="AV2410" s="36"/>
      <c r="AW2410" s="36"/>
      <c r="AX2410" s="25"/>
      <c r="AY2410" s="25"/>
      <c r="AZ2410" s="25"/>
      <c r="BA2410" s="25"/>
      <c r="BB2410" s="25"/>
      <c r="BC2410" s="25"/>
      <c r="BD2410" s="25"/>
      <c r="BE2410" s="25"/>
      <c r="BF2410" s="25"/>
      <c r="BG2410" s="25"/>
      <c r="BH2410" s="25"/>
      <c r="BI2410" s="25"/>
      <c r="BJ2410" s="25"/>
      <c r="BK2410" s="25"/>
      <c r="BL2410" s="25"/>
      <c r="BM2410" s="25"/>
      <c r="BN2410" s="25"/>
      <c r="BO2410" s="25"/>
      <c r="BP2410" s="25"/>
      <c r="BQ2410" s="25"/>
      <c r="BR2410" s="25"/>
      <c r="BS2410" s="25"/>
      <c r="BT2410" s="25"/>
      <c r="BU2410"/>
      <c r="BV2410"/>
      <c r="BW2410"/>
      <c r="BX2410"/>
      <c r="BY2410"/>
      <c r="BZ2410"/>
      <c r="CA2410"/>
      <c r="CB2410"/>
      <c r="CC2410"/>
      <c r="CD2410" s="25"/>
    </row>
    <row r="2411" spans="1:82" s="17" customFormat="1" x14ac:dyDescent="0.2">
      <c r="A2411" s="25"/>
      <c r="B2411" s="20">
        <v>39151713202</v>
      </c>
      <c r="C2411" s="20">
        <v>7132.02</v>
      </c>
      <c r="D2411" s="20" t="s">
        <v>81</v>
      </c>
      <c r="E2411" s="20" t="s">
        <v>2844</v>
      </c>
      <c r="F2411" s="20" t="s">
        <v>8</v>
      </c>
      <c r="G2411" s="861">
        <v>38.321430551552297</v>
      </c>
      <c r="H2411" s="861">
        <v>46.722220434650197</v>
      </c>
      <c r="I2411" s="861">
        <v>16.327412259442902</v>
      </c>
      <c r="J2411" s="861">
        <v>39.420854768061503</v>
      </c>
      <c r="K2411" s="982">
        <v>0</v>
      </c>
      <c r="L2411" s="735">
        <v>2043</v>
      </c>
      <c r="M2411" s="735">
        <v>1862</v>
      </c>
      <c r="N2411" s="845">
        <f t="shared" si="182"/>
        <v>-8.859520313264807E-2</v>
      </c>
      <c r="O2411" s="735">
        <v>5.3316974493755493</v>
      </c>
      <c r="P2411" s="735">
        <f t="shared" si="183"/>
        <v>349.2321193540489</v>
      </c>
      <c r="Q2411" s="849">
        <v>47</v>
      </c>
      <c r="R2411" s="71">
        <v>70245</v>
      </c>
      <c r="S2411" s="845">
        <v>5.4779806659505909E-2</v>
      </c>
      <c r="T2411" s="845">
        <v>2.6000000000000002E-2</v>
      </c>
      <c r="U2411" s="845">
        <v>0</v>
      </c>
      <c r="V2411" s="845">
        <v>0</v>
      </c>
      <c r="W2411" s="845">
        <v>0.15515151515151515</v>
      </c>
      <c r="X2411" s="845">
        <v>7.8125E-2</v>
      </c>
      <c r="Y2411" s="845">
        <v>0.93609022556390975</v>
      </c>
      <c r="Z2411" s="845">
        <v>4.6186895810955961E-2</v>
      </c>
      <c r="AA2411" s="845">
        <v>0</v>
      </c>
      <c r="AB2411" s="845">
        <v>0</v>
      </c>
      <c r="AC2411" s="845">
        <v>0</v>
      </c>
      <c r="AD2411" s="845">
        <v>0</v>
      </c>
      <c r="AE2411" s="845">
        <v>1.7722878625134265E-2</v>
      </c>
      <c r="AF2411" s="845">
        <v>1.020408163265306E-2</v>
      </c>
      <c r="AG2411" s="845">
        <v>0.93609022556390975</v>
      </c>
      <c r="AH2411" s="20" t="str">
        <f t="shared" si="184"/>
        <v>Yes</v>
      </c>
      <c r="AI2411" s="25"/>
      <c r="AJ2411" s="25"/>
      <c r="AK2411" s="25"/>
      <c r="AL2411" s="25"/>
      <c r="AM2411" s="25"/>
      <c r="AN2411" s="25"/>
      <c r="AO2411" s="25"/>
      <c r="AP2411" s="25"/>
      <c r="AQ2411" s="25"/>
      <c r="AR2411" s="25"/>
      <c r="AS2411" s="25"/>
      <c r="AT2411" s="25"/>
      <c r="AU2411" s="36"/>
      <c r="AV2411" s="36"/>
      <c r="AW2411" s="36"/>
      <c r="AX2411" s="25"/>
      <c r="AY2411" s="25"/>
      <c r="AZ2411" s="25"/>
      <c r="BA2411" s="25"/>
      <c r="BB2411" s="25"/>
      <c r="BC2411" s="25"/>
      <c r="BD2411" s="25"/>
      <c r="BE2411" s="25"/>
      <c r="BF2411" s="25"/>
      <c r="BG2411" s="25"/>
      <c r="BH2411" s="25"/>
      <c r="BI2411" s="25"/>
      <c r="BJ2411" s="25"/>
      <c r="BK2411" s="25"/>
      <c r="BL2411" s="25"/>
      <c r="BM2411" s="25"/>
      <c r="BN2411" s="25"/>
      <c r="BO2411" s="25"/>
      <c r="BP2411" s="25"/>
      <c r="BQ2411" s="25"/>
      <c r="BR2411" s="25"/>
      <c r="BS2411" s="25"/>
      <c r="BT2411" s="25"/>
      <c r="BU2411"/>
      <c r="BV2411"/>
      <c r="BW2411"/>
      <c r="BX2411"/>
      <c r="BY2411"/>
      <c r="BZ2411"/>
      <c r="CA2411"/>
      <c r="CB2411"/>
      <c r="CC2411"/>
      <c r="CD2411" s="25"/>
    </row>
    <row r="2412" spans="1:82" s="17" customFormat="1" x14ac:dyDescent="0.2">
      <c r="A2412" s="25"/>
      <c r="B2412" s="20">
        <v>39035152301</v>
      </c>
      <c r="C2412" s="20">
        <v>1523.01</v>
      </c>
      <c r="D2412" s="20" t="s">
        <v>24</v>
      </c>
      <c r="E2412" s="20" t="s">
        <v>2829</v>
      </c>
      <c r="F2412" s="20" t="s">
        <v>6</v>
      </c>
      <c r="G2412" s="861">
        <v>38.316185003621698</v>
      </c>
      <c r="H2412" s="861">
        <v>53.792479005846801</v>
      </c>
      <c r="I2412" s="861">
        <v>63.929109398764901</v>
      </c>
      <c r="J2412" s="861">
        <v>33.122743145738902</v>
      </c>
      <c r="K2412" s="982">
        <v>0</v>
      </c>
      <c r="L2412" s="735">
        <v>2678</v>
      </c>
      <c r="M2412" s="735">
        <v>1958</v>
      </c>
      <c r="N2412" s="845">
        <f t="shared" si="182"/>
        <v>-0.26885735623599699</v>
      </c>
      <c r="O2412" s="735">
        <v>0.24184396738408195</v>
      </c>
      <c r="P2412" s="735">
        <f t="shared" si="183"/>
        <v>8096.1291744375949</v>
      </c>
      <c r="Q2412" s="849">
        <v>40.700000000000003</v>
      </c>
      <c r="R2412" s="71">
        <v>45478</v>
      </c>
      <c r="S2412" s="845">
        <v>0.20480081716036772</v>
      </c>
      <c r="T2412" s="845">
        <v>3.4000000000000002E-2</v>
      </c>
      <c r="U2412" s="845">
        <v>0</v>
      </c>
      <c r="V2412" s="845">
        <v>0.19899999999999998</v>
      </c>
      <c r="W2412" s="845">
        <v>0.67535971223021585</v>
      </c>
      <c r="X2412" s="845">
        <v>0.440745672436751</v>
      </c>
      <c r="Y2412" s="845">
        <v>0.4550561797752809</v>
      </c>
      <c r="Z2412" s="845">
        <v>0.46986721144024512</v>
      </c>
      <c r="AA2412" s="845">
        <v>0</v>
      </c>
      <c r="AB2412" s="845">
        <v>5.6179775280898875E-3</v>
      </c>
      <c r="AC2412" s="845">
        <v>0</v>
      </c>
      <c r="AD2412" s="845">
        <v>6.1287027579162408E-3</v>
      </c>
      <c r="AE2412" s="845">
        <v>6.332992849846783E-2</v>
      </c>
      <c r="AF2412" s="845">
        <v>4.8518896833503578E-2</v>
      </c>
      <c r="AG2412" s="845">
        <v>0.44994892747701737</v>
      </c>
      <c r="AH2412" s="20" t="str">
        <f t="shared" si="184"/>
        <v>No</v>
      </c>
      <c r="AI2412" s="25"/>
      <c r="AJ2412" s="25"/>
      <c r="AK2412" s="25"/>
      <c r="AL2412" s="25"/>
      <c r="AM2412" s="25"/>
      <c r="AN2412" s="25"/>
      <c r="AO2412" s="25"/>
      <c r="AP2412" s="25"/>
      <c r="AQ2412" s="25"/>
      <c r="AR2412" s="25"/>
      <c r="AS2412" s="25"/>
      <c r="AT2412" s="25"/>
      <c r="AU2412" s="36"/>
      <c r="AV2412" s="36"/>
      <c r="AW2412" s="36"/>
      <c r="AX2412" s="25"/>
      <c r="AY2412" s="25"/>
      <c r="AZ2412" s="25"/>
      <c r="BA2412" s="25"/>
      <c r="BB2412" s="25"/>
      <c r="BC2412" s="25"/>
      <c r="BD2412" s="25"/>
      <c r="BE2412" s="25"/>
      <c r="BF2412" s="25"/>
      <c r="BG2412" s="25"/>
      <c r="BH2412" s="25"/>
      <c r="BI2412" s="25"/>
      <c r="BJ2412" s="25"/>
      <c r="BK2412" s="25"/>
      <c r="BL2412" s="25"/>
      <c r="BM2412" s="25"/>
      <c r="BN2412" s="25"/>
      <c r="BO2412" s="25"/>
      <c r="BP2412" s="25"/>
      <c r="BQ2412" s="25"/>
      <c r="BR2412" s="25"/>
      <c r="BS2412" s="25"/>
      <c r="BT2412" s="25"/>
      <c r="BU2412"/>
      <c r="BV2412"/>
      <c r="BW2412"/>
      <c r="BX2412"/>
      <c r="BY2412"/>
      <c r="BZ2412"/>
      <c r="CA2412"/>
      <c r="CB2412"/>
      <c r="CC2412"/>
      <c r="CD2412" s="25"/>
    </row>
    <row r="2413" spans="1:82" s="17" customFormat="1" x14ac:dyDescent="0.2">
      <c r="A2413" s="25"/>
      <c r="B2413" s="20">
        <v>39099811301</v>
      </c>
      <c r="C2413" s="20">
        <v>8113.01</v>
      </c>
      <c r="D2413" s="20" t="s">
        <v>55</v>
      </c>
      <c r="E2413" s="20" t="s">
        <v>2842</v>
      </c>
      <c r="F2413" s="20" t="s">
        <v>8</v>
      </c>
      <c r="G2413" s="861">
        <v>38.308811299165697</v>
      </c>
      <c r="H2413" s="861">
        <v>32.8705743778415</v>
      </c>
      <c r="I2413" s="861">
        <v>31.365994190326699</v>
      </c>
      <c r="J2413" s="861">
        <v>27.649339577129499</v>
      </c>
      <c r="K2413" s="982">
        <v>0</v>
      </c>
      <c r="L2413" s="735" t="s">
        <v>2466</v>
      </c>
      <c r="M2413" s="735">
        <v>4132</v>
      </c>
      <c r="N2413" s="845" t="str">
        <f t="shared" si="182"/>
        <v/>
      </c>
      <c r="O2413" s="735">
        <v>1.0506341668109049</v>
      </c>
      <c r="P2413" s="735">
        <f t="shared" si="183"/>
        <v>3932.8627704372811</v>
      </c>
      <c r="Q2413" s="849">
        <v>33.4</v>
      </c>
      <c r="R2413" s="71">
        <v>48684</v>
      </c>
      <c r="S2413" s="845">
        <v>0.34244917715392059</v>
      </c>
      <c r="T2413" s="845">
        <v>6.9000000000000006E-2</v>
      </c>
      <c r="U2413" s="845">
        <v>4.0999999999999995E-2</v>
      </c>
      <c r="V2413" s="845">
        <v>0</v>
      </c>
      <c r="W2413" s="845">
        <v>0.35933806146572106</v>
      </c>
      <c r="X2413" s="845">
        <v>0.35526315789473684</v>
      </c>
      <c r="Y2413" s="845">
        <v>0.79501452081316559</v>
      </c>
      <c r="Z2413" s="845">
        <v>0.12826718296224587</v>
      </c>
      <c r="AA2413" s="845">
        <v>0</v>
      </c>
      <c r="AB2413" s="845">
        <v>4.5982575024201356E-3</v>
      </c>
      <c r="AC2413" s="845">
        <v>0</v>
      </c>
      <c r="AD2413" s="845">
        <v>1.0890609874152952E-2</v>
      </c>
      <c r="AE2413" s="845">
        <v>6.1229428848015487E-2</v>
      </c>
      <c r="AF2413" s="845">
        <v>2.6863504356243951E-2</v>
      </c>
      <c r="AG2413" s="845">
        <v>0.79501452081316559</v>
      </c>
      <c r="AH2413" s="20" t="str">
        <f t="shared" si="184"/>
        <v>No</v>
      </c>
      <c r="AI2413" s="25"/>
      <c r="AJ2413" s="25"/>
      <c r="AK2413" s="25"/>
      <c r="AL2413" s="25"/>
      <c r="AM2413" s="25"/>
      <c r="AN2413" s="25"/>
      <c r="AO2413" s="25"/>
      <c r="AP2413" s="25"/>
      <c r="AQ2413" s="25"/>
      <c r="AR2413" s="25"/>
      <c r="AS2413" s="25"/>
      <c r="AT2413" s="25"/>
      <c r="AU2413" s="36"/>
      <c r="AV2413" s="36"/>
      <c r="AW2413" s="36"/>
      <c r="AX2413" s="25"/>
      <c r="AY2413" s="25"/>
      <c r="AZ2413" s="25"/>
      <c r="BA2413" s="25"/>
      <c r="BB2413" s="25"/>
      <c r="BC2413" s="25"/>
      <c r="BD2413" s="25"/>
      <c r="BE2413" s="25"/>
      <c r="BF2413" s="25"/>
      <c r="BG2413" s="25"/>
      <c r="BH2413" s="25"/>
      <c r="BI2413" s="25"/>
      <c r="BJ2413" s="25"/>
      <c r="BK2413" s="25"/>
      <c r="BL2413" s="25"/>
      <c r="BM2413" s="25"/>
      <c r="BN2413" s="25"/>
      <c r="BO2413" s="25"/>
      <c r="BP2413" s="25"/>
      <c r="BQ2413" s="25"/>
      <c r="BR2413" s="25"/>
      <c r="BS2413" s="25"/>
      <c r="BT2413" s="25"/>
      <c r="BU2413"/>
      <c r="BV2413"/>
      <c r="BW2413"/>
      <c r="BX2413"/>
      <c r="BY2413"/>
      <c r="BZ2413"/>
      <c r="CA2413"/>
      <c r="CB2413"/>
      <c r="CC2413"/>
      <c r="CD2413" s="25"/>
    </row>
    <row r="2414" spans="1:82" s="17" customFormat="1" x14ac:dyDescent="0.2">
      <c r="A2414" s="25"/>
      <c r="B2414" s="20">
        <v>39097040202</v>
      </c>
      <c r="C2414" s="20">
        <v>402.02</v>
      </c>
      <c r="D2414" s="20" t="s">
        <v>54</v>
      </c>
      <c r="E2414" s="20" t="s">
        <v>2830</v>
      </c>
      <c r="F2414" s="20" t="s">
        <v>8</v>
      </c>
      <c r="G2414" s="861">
        <v>38.296715800343001</v>
      </c>
      <c r="H2414" s="861">
        <v>42.455402216769301</v>
      </c>
      <c r="I2414" s="861">
        <v>29.125816684180801</v>
      </c>
      <c r="J2414" s="861">
        <v>37.678012858465102</v>
      </c>
      <c r="K2414" s="982">
        <v>0</v>
      </c>
      <c r="L2414" s="735">
        <v>2660</v>
      </c>
      <c r="M2414" s="735">
        <v>2296</v>
      </c>
      <c r="N2414" s="845">
        <f t="shared" si="182"/>
        <v>-0.1368421052631579</v>
      </c>
      <c r="O2414" s="735">
        <v>64.769178419124103</v>
      </c>
      <c r="P2414" s="735">
        <f t="shared" si="183"/>
        <v>35.448959768217016</v>
      </c>
      <c r="Q2414" s="849">
        <v>40.6</v>
      </c>
      <c r="R2414" s="71">
        <v>80417</v>
      </c>
      <c r="S2414" s="845">
        <v>0.11454703832752614</v>
      </c>
      <c r="T2414" s="845">
        <v>0.14000000000000001</v>
      </c>
      <c r="U2414" s="845">
        <v>2.7000000000000003E-2</v>
      </c>
      <c r="V2414" s="845">
        <v>0</v>
      </c>
      <c r="W2414" s="845">
        <v>0.17951807228915662</v>
      </c>
      <c r="X2414" s="845">
        <v>0.48322147651006714</v>
      </c>
      <c r="Y2414" s="845">
        <v>0.92813588850174211</v>
      </c>
      <c r="Z2414" s="845">
        <v>6.9686411149825784E-3</v>
      </c>
      <c r="AA2414" s="845">
        <v>0</v>
      </c>
      <c r="AB2414" s="845">
        <v>0</v>
      </c>
      <c r="AC2414" s="845">
        <v>0</v>
      </c>
      <c r="AD2414" s="845">
        <v>0</v>
      </c>
      <c r="AE2414" s="845">
        <v>6.4895470383275256E-2</v>
      </c>
      <c r="AF2414" s="845">
        <v>3.9198606271777002E-3</v>
      </c>
      <c r="AG2414" s="845">
        <v>0.92421602787456447</v>
      </c>
      <c r="AH2414" s="20" t="str">
        <f t="shared" si="184"/>
        <v>Yes</v>
      </c>
      <c r="AI2414" s="25"/>
      <c r="AJ2414" s="25"/>
      <c r="AK2414" s="25"/>
      <c r="AL2414" s="25"/>
      <c r="AM2414" s="25"/>
      <c r="AN2414" s="25"/>
      <c r="AO2414" s="25"/>
      <c r="AP2414" s="25"/>
      <c r="AQ2414" s="25"/>
      <c r="AR2414" s="25"/>
      <c r="AS2414" s="25"/>
      <c r="AT2414" s="25"/>
      <c r="AU2414" s="36"/>
      <c r="AV2414" s="36"/>
      <c r="AW2414" s="36"/>
      <c r="AX2414" s="25"/>
      <c r="AY2414" s="25"/>
      <c r="AZ2414" s="25"/>
      <c r="BA2414" s="25"/>
      <c r="BB2414" s="25"/>
      <c r="BC2414" s="25"/>
      <c r="BD2414" s="25"/>
      <c r="BE2414" s="25"/>
      <c r="BF2414" s="25"/>
      <c r="BG2414" s="25"/>
      <c r="BH2414" s="25"/>
      <c r="BI2414" s="25"/>
      <c r="BJ2414" s="25"/>
      <c r="BK2414" s="25"/>
      <c r="BL2414" s="25"/>
      <c r="BM2414" s="25"/>
      <c r="BN2414" s="25"/>
      <c r="BO2414" s="25"/>
      <c r="BP2414" s="25"/>
      <c r="BQ2414" s="25"/>
      <c r="BR2414" s="25"/>
      <c r="BS2414" s="25"/>
      <c r="BT2414" s="25"/>
      <c r="BU2414"/>
      <c r="BV2414"/>
      <c r="BW2414"/>
      <c r="BX2414"/>
      <c r="BY2414"/>
      <c r="BZ2414"/>
      <c r="CA2414"/>
      <c r="CB2414"/>
      <c r="CC2414"/>
      <c r="CD2414" s="25"/>
    </row>
    <row r="2415" spans="1:82" s="17" customFormat="1" x14ac:dyDescent="0.2">
      <c r="A2415" s="25"/>
      <c r="B2415" s="20">
        <v>39113002500</v>
      </c>
      <c r="C2415" s="20">
        <v>25</v>
      </c>
      <c r="D2415" s="20" t="s">
        <v>62</v>
      </c>
      <c r="E2415" s="20" t="s">
        <v>2833</v>
      </c>
      <c r="F2415" s="20" t="s">
        <v>8</v>
      </c>
      <c r="G2415" s="861">
        <v>38.281098061698003</v>
      </c>
      <c r="H2415" s="861">
        <v>66.981165275683296</v>
      </c>
      <c r="I2415" s="861">
        <v>39.040130524431603</v>
      </c>
      <c r="J2415" s="861">
        <v>49.004615827811598</v>
      </c>
      <c r="K2415" s="982">
        <v>0</v>
      </c>
      <c r="L2415" s="735">
        <v>5356</v>
      </c>
      <c r="M2415" s="735">
        <v>5270</v>
      </c>
      <c r="N2415" s="845">
        <f t="shared" si="182"/>
        <v>-1.6056758775205376E-2</v>
      </c>
      <c r="O2415" s="735">
        <v>1.1616783059285938</v>
      </c>
      <c r="P2415" s="735">
        <f t="shared" si="183"/>
        <v>4536.5399122155395</v>
      </c>
      <c r="Q2415" s="849">
        <v>38.1</v>
      </c>
      <c r="R2415" s="71">
        <v>46852</v>
      </c>
      <c r="S2415" s="845">
        <v>0.22049335863377609</v>
      </c>
      <c r="T2415" s="845">
        <v>5.2999999999999999E-2</v>
      </c>
      <c r="U2415" s="845">
        <v>6.5000000000000002E-2</v>
      </c>
      <c r="V2415" s="845">
        <v>0</v>
      </c>
      <c r="W2415" s="845">
        <v>0.51045150501672243</v>
      </c>
      <c r="X2415" s="845">
        <v>0.41850941850941853</v>
      </c>
      <c r="Y2415" s="845">
        <v>0.85313092979127136</v>
      </c>
      <c r="Z2415" s="845">
        <v>3.4535104364326379E-2</v>
      </c>
      <c r="AA2415" s="845">
        <v>4.9335863377609106E-3</v>
      </c>
      <c r="AB2415" s="845">
        <v>3.9848197343453507E-3</v>
      </c>
      <c r="AC2415" s="845">
        <v>0</v>
      </c>
      <c r="AD2415" s="845">
        <v>8.9943074003795073E-2</v>
      </c>
      <c r="AE2415" s="845">
        <v>1.3472485768500948E-2</v>
      </c>
      <c r="AF2415" s="845">
        <v>0.10436432637571158</v>
      </c>
      <c r="AG2415" s="845">
        <v>0.822011385199241</v>
      </c>
      <c r="AH2415" s="20" t="str">
        <f t="shared" si="184"/>
        <v>No</v>
      </c>
      <c r="AI2415" s="25"/>
      <c r="AJ2415" s="25"/>
      <c r="AK2415" s="25"/>
      <c r="AL2415" s="25"/>
      <c r="AM2415" s="25"/>
      <c r="AN2415" s="25"/>
      <c r="AO2415" s="25"/>
      <c r="AP2415" s="25"/>
      <c r="AQ2415" s="25"/>
      <c r="AR2415" s="25"/>
      <c r="AS2415" s="25"/>
      <c r="AT2415" s="25"/>
      <c r="AU2415" s="36"/>
      <c r="AV2415" s="36"/>
      <c r="AW2415" s="36"/>
      <c r="AX2415" s="25"/>
      <c r="AY2415" s="25"/>
      <c r="AZ2415" s="25"/>
      <c r="BA2415" s="25"/>
      <c r="BB2415" s="25"/>
      <c r="BC2415" s="25"/>
      <c r="BD2415" s="25"/>
      <c r="BE2415" s="25"/>
      <c r="BF2415" s="25"/>
      <c r="BG2415" s="25"/>
      <c r="BH2415" s="25"/>
      <c r="BI2415" s="25"/>
      <c r="BJ2415" s="25"/>
      <c r="BK2415" s="25"/>
      <c r="BL2415" s="25"/>
      <c r="BM2415" s="25"/>
      <c r="BN2415" s="25"/>
      <c r="BO2415" s="25"/>
      <c r="BP2415" s="25"/>
      <c r="BQ2415" s="25"/>
      <c r="BR2415" s="25"/>
      <c r="BS2415" s="25"/>
      <c r="BT2415" s="25"/>
      <c r="BU2415"/>
      <c r="BV2415"/>
      <c r="BW2415"/>
      <c r="BX2415"/>
      <c r="BY2415"/>
      <c r="BZ2415"/>
      <c r="CA2415"/>
      <c r="CB2415"/>
      <c r="CC2415"/>
      <c r="CD2415" s="25"/>
    </row>
    <row r="2416" spans="1:82" s="17" customFormat="1" x14ac:dyDescent="0.2">
      <c r="A2416" s="25"/>
      <c r="B2416" s="20">
        <v>39081011401</v>
      </c>
      <c r="C2416" s="20">
        <v>114.01</v>
      </c>
      <c r="D2416" s="20" t="s">
        <v>47</v>
      </c>
      <c r="E2416" s="20" t="s">
        <v>2840</v>
      </c>
      <c r="F2416" s="20" t="s">
        <v>8</v>
      </c>
      <c r="G2416" s="861">
        <v>38.2654453028902</v>
      </c>
      <c r="H2416" s="861">
        <v>48.342030332730097</v>
      </c>
      <c r="I2416" s="861">
        <v>22.263470092341301</v>
      </c>
      <c r="J2416" s="861">
        <v>52.849048918693498</v>
      </c>
      <c r="K2416" s="982">
        <v>0</v>
      </c>
      <c r="L2416" s="735">
        <v>4384</v>
      </c>
      <c r="M2416" s="735">
        <v>3952</v>
      </c>
      <c r="N2416" s="845">
        <f t="shared" si="182"/>
        <v>-9.8540145985401464E-2</v>
      </c>
      <c r="O2416" s="735">
        <v>34.695391323630439</v>
      </c>
      <c r="P2416" s="735">
        <f t="shared" si="183"/>
        <v>113.90561827467731</v>
      </c>
      <c r="Q2416" s="849">
        <v>47</v>
      </c>
      <c r="R2416" s="71">
        <v>62712</v>
      </c>
      <c r="S2416" s="845">
        <v>8.8815789473684209E-2</v>
      </c>
      <c r="T2416" s="845">
        <v>2.1000000000000001E-2</v>
      </c>
      <c r="U2416" s="845">
        <v>0</v>
      </c>
      <c r="V2416" s="845">
        <v>3.5000000000000003E-2</v>
      </c>
      <c r="W2416" s="845">
        <v>8.189910979228486E-2</v>
      </c>
      <c r="X2416" s="845">
        <v>0.25362318840579712</v>
      </c>
      <c r="Y2416" s="845">
        <v>0.94964574898785425</v>
      </c>
      <c r="Z2416" s="845">
        <v>7.3380566801619432E-3</v>
      </c>
      <c r="AA2416" s="845">
        <v>0</v>
      </c>
      <c r="AB2416" s="845">
        <v>1.1892712550607287E-2</v>
      </c>
      <c r="AC2416" s="845">
        <v>0</v>
      </c>
      <c r="AD2416" s="845">
        <v>1.2651821862348178E-2</v>
      </c>
      <c r="AE2416" s="845">
        <v>1.8471659919028341E-2</v>
      </c>
      <c r="AF2416" s="845">
        <v>5.0607287449392713E-3</v>
      </c>
      <c r="AG2416" s="845">
        <v>0.94585020242914974</v>
      </c>
      <c r="AH2416" s="20" t="str">
        <f t="shared" si="184"/>
        <v>Yes</v>
      </c>
      <c r="AI2416" s="25"/>
      <c r="AJ2416" s="25"/>
      <c r="AK2416" s="25"/>
      <c r="AL2416" s="25"/>
      <c r="AM2416" s="25"/>
      <c r="AN2416" s="25"/>
      <c r="AO2416" s="25"/>
      <c r="AP2416" s="25"/>
      <c r="AQ2416" s="25"/>
      <c r="AR2416" s="25"/>
      <c r="AS2416" s="25"/>
      <c r="AT2416" s="25"/>
      <c r="AU2416" s="36"/>
      <c r="AV2416" s="36"/>
      <c r="AW2416" s="36"/>
      <c r="AX2416" s="25"/>
      <c r="AY2416" s="25"/>
      <c r="AZ2416" s="25"/>
      <c r="BA2416" s="25"/>
      <c r="BB2416" s="25"/>
      <c r="BC2416" s="25"/>
      <c r="BD2416" s="25"/>
      <c r="BE2416" s="25"/>
      <c r="BF2416" s="25"/>
      <c r="BG2416" s="25"/>
      <c r="BH2416" s="25"/>
      <c r="BI2416" s="25"/>
      <c r="BJ2416" s="25"/>
      <c r="BK2416" s="25"/>
      <c r="BL2416" s="25"/>
      <c r="BM2416" s="25"/>
      <c r="BN2416" s="25"/>
      <c r="BO2416" s="25"/>
      <c r="BP2416" s="25"/>
      <c r="BQ2416" s="25"/>
      <c r="BR2416" s="25"/>
      <c r="BS2416" s="25"/>
      <c r="BT2416" s="25"/>
      <c r="BU2416"/>
      <c r="BV2416"/>
      <c r="BW2416"/>
      <c r="BX2416"/>
      <c r="BY2416"/>
      <c r="BZ2416"/>
      <c r="CA2416"/>
      <c r="CB2416"/>
      <c r="CC2416"/>
      <c r="CD2416" s="25"/>
    </row>
    <row r="2417" spans="1:82" s="17" customFormat="1" x14ac:dyDescent="0.2">
      <c r="A2417" s="25"/>
      <c r="B2417" s="20">
        <v>39151700600</v>
      </c>
      <c r="C2417" s="20">
        <v>7006</v>
      </c>
      <c r="D2417" s="20" t="s">
        <v>81</v>
      </c>
      <c r="E2417" s="20" t="s">
        <v>2844</v>
      </c>
      <c r="F2417" s="20" t="s">
        <v>8</v>
      </c>
      <c r="G2417" s="861">
        <v>38.257312576093597</v>
      </c>
      <c r="H2417" s="861">
        <v>44.629781274948201</v>
      </c>
      <c r="I2417" s="861">
        <v>55.831701955971504</v>
      </c>
      <c r="J2417" s="861">
        <v>40.035413380654298</v>
      </c>
      <c r="K2417" s="982">
        <v>0</v>
      </c>
      <c r="L2417" s="735">
        <v>3225</v>
      </c>
      <c r="M2417" s="735">
        <v>3454</v>
      </c>
      <c r="N2417" s="845">
        <f t="shared" si="182"/>
        <v>7.100775193798449E-2</v>
      </c>
      <c r="O2417" s="735">
        <v>0.43863521829063534</v>
      </c>
      <c r="P2417" s="735">
        <f t="shared" si="183"/>
        <v>7874.4247063887469</v>
      </c>
      <c r="Q2417" s="849">
        <v>34.799999999999997</v>
      </c>
      <c r="R2417" s="71">
        <v>44344</v>
      </c>
      <c r="S2417" s="845">
        <v>0.17808219178082191</v>
      </c>
      <c r="T2417" s="845">
        <v>3.7999999999999999E-2</v>
      </c>
      <c r="U2417" s="845">
        <v>0</v>
      </c>
      <c r="V2417" s="845">
        <v>1.3000000000000001E-2</v>
      </c>
      <c r="W2417" s="845">
        <v>0.58228782287822878</v>
      </c>
      <c r="X2417" s="845">
        <v>0.54499366286438533</v>
      </c>
      <c r="Y2417" s="845">
        <v>0.64331210191082799</v>
      </c>
      <c r="Z2417" s="845">
        <v>0.13665315576143602</v>
      </c>
      <c r="AA2417" s="845">
        <v>0</v>
      </c>
      <c r="AB2417" s="845">
        <v>2.6056745801968733E-3</v>
      </c>
      <c r="AC2417" s="845">
        <v>3.0689056166763172E-2</v>
      </c>
      <c r="AD2417" s="845">
        <v>0</v>
      </c>
      <c r="AE2417" s="845">
        <v>0.18674001158077591</v>
      </c>
      <c r="AF2417" s="845">
        <v>2.7214823393167342E-2</v>
      </c>
      <c r="AG2417" s="845">
        <v>0.6386797915460336</v>
      </c>
      <c r="AH2417" s="20" t="str">
        <f t="shared" si="184"/>
        <v>No</v>
      </c>
      <c r="AI2417" s="25"/>
      <c r="AJ2417" s="25"/>
      <c r="AK2417" s="25"/>
      <c r="AL2417" s="25"/>
      <c r="AM2417" s="25"/>
      <c r="AN2417" s="25"/>
      <c r="AO2417" s="25"/>
      <c r="AP2417" s="25"/>
      <c r="AQ2417" s="25"/>
      <c r="AR2417" s="25"/>
      <c r="AS2417" s="25"/>
      <c r="AT2417" s="25"/>
      <c r="AU2417" s="36"/>
      <c r="AV2417" s="36"/>
      <c r="AW2417" s="36"/>
      <c r="AX2417" s="25"/>
      <c r="AY2417" s="25"/>
      <c r="AZ2417" s="25"/>
      <c r="BA2417" s="25"/>
      <c r="BB2417" s="25"/>
      <c r="BC2417" s="25"/>
      <c r="BD2417" s="25"/>
      <c r="BE2417" s="25"/>
      <c r="BF2417" s="25"/>
      <c r="BG2417" s="25"/>
      <c r="BH2417" s="25"/>
      <c r="BI2417" s="25"/>
      <c r="BJ2417" s="25"/>
      <c r="BK2417" s="25"/>
      <c r="BL2417" s="25"/>
      <c r="BM2417" s="25"/>
      <c r="BN2417" s="25"/>
      <c r="BO2417" s="25"/>
      <c r="BP2417" s="25"/>
      <c r="BQ2417" s="25"/>
      <c r="BR2417" s="25"/>
      <c r="BS2417" s="25"/>
      <c r="BT2417" s="25"/>
      <c r="BU2417"/>
      <c r="BV2417"/>
      <c r="BW2417"/>
      <c r="BX2417"/>
      <c r="BY2417"/>
      <c r="BZ2417"/>
      <c r="CA2417"/>
      <c r="CB2417"/>
      <c r="CC2417"/>
      <c r="CD2417" s="25"/>
    </row>
    <row r="2418" spans="1:82" s="17" customFormat="1" x14ac:dyDescent="0.2">
      <c r="A2418" s="25"/>
      <c r="B2418" s="20">
        <v>39155933600</v>
      </c>
      <c r="C2418" s="20">
        <v>9336</v>
      </c>
      <c r="D2418" s="20" t="s">
        <v>83</v>
      </c>
      <c r="E2418" s="20" t="s">
        <v>2842</v>
      </c>
      <c r="F2418" s="20" t="s">
        <v>8</v>
      </c>
      <c r="G2418" s="861">
        <v>38.214153692412602</v>
      </c>
      <c r="H2418" s="861">
        <v>35.112974400635899</v>
      </c>
      <c r="I2418" s="861">
        <v>38.060833175913999</v>
      </c>
      <c r="J2418" s="861">
        <v>39.416685997383802</v>
      </c>
      <c r="K2418" s="982">
        <v>0</v>
      </c>
      <c r="L2418" s="735">
        <v>4963</v>
      </c>
      <c r="M2418" s="735">
        <v>4622</v>
      </c>
      <c r="N2418" s="845">
        <f t="shared" si="182"/>
        <v>-6.8708442474309891E-2</v>
      </c>
      <c r="O2418" s="735">
        <v>3.0247026886930382</v>
      </c>
      <c r="P2418" s="735">
        <f t="shared" si="183"/>
        <v>1528.0840716272671</v>
      </c>
      <c r="Q2418" s="849">
        <v>50</v>
      </c>
      <c r="R2418" s="71">
        <v>52472</v>
      </c>
      <c r="S2418" s="845">
        <v>0.12989010989010988</v>
      </c>
      <c r="T2418" s="845">
        <v>7.2000000000000008E-2</v>
      </c>
      <c r="U2418" s="845">
        <v>3.2000000000000001E-2</v>
      </c>
      <c r="V2418" s="845">
        <v>3.9E-2</v>
      </c>
      <c r="W2418" s="845">
        <v>0.46655082536924414</v>
      </c>
      <c r="X2418" s="845">
        <v>0.46182495344506519</v>
      </c>
      <c r="Y2418" s="845">
        <v>0.9392038078753786</v>
      </c>
      <c r="Z2418" s="845">
        <v>3.3318909562959756E-2</v>
      </c>
      <c r="AA2418" s="845">
        <v>0</v>
      </c>
      <c r="AB2418" s="845">
        <v>9.5196884465599315E-3</v>
      </c>
      <c r="AC2418" s="845">
        <v>0</v>
      </c>
      <c r="AD2418" s="845">
        <v>0</v>
      </c>
      <c r="AE2418" s="845">
        <v>1.7957594115101689E-2</v>
      </c>
      <c r="AF2418" s="845">
        <v>2.1852012115967115E-2</v>
      </c>
      <c r="AG2418" s="845">
        <v>0.93141497187364775</v>
      </c>
      <c r="AH2418" s="20" t="str">
        <f t="shared" si="184"/>
        <v>Yes</v>
      </c>
      <c r="AI2418" s="25"/>
      <c r="AJ2418" s="25"/>
      <c r="AK2418" s="25"/>
      <c r="AL2418" s="25"/>
      <c r="AM2418" s="25"/>
      <c r="AN2418" s="25"/>
      <c r="AO2418" s="25"/>
      <c r="AP2418" s="25"/>
      <c r="AQ2418" s="25"/>
      <c r="AR2418" s="25"/>
      <c r="AS2418" s="25"/>
      <c r="AT2418" s="25"/>
      <c r="AU2418" s="36"/>
      <c r="AV2418" s="36"/>
      <c r="AW2418" s="36"/>
      <c r="AX2418" s="25"/>
      <c r="AY2418" s="25"/>
      <c r="AZ2418" s="25"/>
      <c r="BA2418" s="25"/>
      <c r="BB2418" s="25"/>
      <c r="BC2418" s="25"/>
      <c r="BD2418" s="25"/>
      <c r="BE2418" s="25"/>
      <c r="BF2418" s="25"/>
      <c r="BG2418" s="25"/>
      <c r="BH2418" s="25"/>
      <c r="BI2418" s="25"/>
      <c r="BJ2418" s="25"/>
      <c r="BK2418" s="25"/>
      <c r="BL2418" s="25"/>
      <c r="BM2418" s="25"/>
      <c r="BN2418" s="25"/>
      <c r="BO2418" s="25"/>
      <c r="BP2418" s="25"/>
      <c r="BQ2418" s="25"/>
      <c r="BR2418" s="25"/>
      <c r="BS2418" s="25"/>
      <c r="BT2418" s="25"/>
      <c r="BU2418"/>
      <c r="BV2418"/>
      <c r="BW2418"/>
      <c r="BX2418"/>
      <c r="BY2418"/>
      <c r="BZ2418"/>
      <c r="CA2418"/>
      <c r="CB2418"/>
      <c r="CC2418"/>
      <c r="CD2418" s="25"/>
    </row>
    <row r="2419" spans="1:82" s="17" customFormat="1" x14ac:dyDescent="0.2">
      <c r="A2419" s="25"/>
      <c r="B2419" s="20">
        <v>39157020801</v>
      </c>
      <c r="C2419" s="20">
        <v>208.01</v>
      </c>
      <c r="D2419" s="20" t="s">
        <v>84</v>
      </c>
      <c r="E2419" s="20" t="s">
        <v>265</v>
      </c>
      <c r="F2419" s="20" t="s">
        <v>6</v>
      </c>
      <c r="G2419" s="861">
        <v>38.2117283161814</v>
      </c>
      <c r="H2419" s="861">
        <v>41.780222627043798</v>
      </c>
      <c r="I2419" s="861">
        <v>61.209707361741501</v>
      </c>
      <c r="J2419" s="861">
        <v>17.108350705880699</v>
      </c>
      <c r="K2419" s="982">
        <v>0</v>
      </c>
      <c r="L2419" s="735" t="s">
        <v>2466</v>
      </c>
      <c r="M2419" s="735">
        <v>2665</v>
      </c>
      <c r="N2419" s="845" t="str">
        <f t="shared" si="182"/>
        <v/>
      </c>
      <c r="O2419" s="735">
        <v>1.129930669836164</v>
      </c>
      <c r="P2419" s="735">
        <f t="shared" si="183"/>
        <v>2358.5517865325451</v>
      </c>
      <c r="Q2419" s="849">
        <v>36</v>
      </c>
      <c r="R2419" s="71">
        <v>30038</v>
      </c>
      <c r="S2419" s="845">
        <v>0.26737967914438504</v>
      </c>
      <c r="T2419" s="845">
        <v>1.8000000000000002E-2</v>
      </c>
      <c r="U2419" s="845">
        <v>0</v>
      </c>
      <c r="V2419" s="845">
        <v>0</v>
      </c>
      <c r="W2419" s="845">
        <v>0.59771754636233954</v>
      </c>
      <c r="X2419" s="845">
        <v>0.64200477326968974</v>
      </c>
      <c r="Y2419" s="845">
        <v>0.87392120075046908</v>
      </c>
      <c r="Z2419" s="845">
        <v>1.2382739212007506E-2</v>
      </c>
      <c r="AA2419" s="845">
        <v>0</v>
      </c>
      <c r="AB2419" s="845">
        <v>1.275797373358349E-2</v>
      </c>
      <c r="AC2419" s="845">
        <v>0</v>
      </c>
      <c r="AD2419" s="845">
        <v>6.9418386491557224E-2</v>
      </c>
      <c r="AE2419" s="845">
        <v>3.1519699812382743E-2</v>
      </c>
      <c r="AF2419" s="845">
        <v>0.10469043151969981</v>
      </c>
      <c r="AG2419" s="845">
        <v>0.85853658536585364</v>
      </c>
      <c r="AH2419" s="20" t="str">
        <f t="shared" si="184"/>
        <v>No</v>
      </c>
      <c r="AI2419" s="25"/>
      <c r="AJ2419" s="25"/>
      <c r="AK2419" s="25"/>
      <c r="AL2419" s="25"/>
      <c r="AM2419" s="25"/>
      <c r="AN2419" s="25"/>
      <c r="AO2419" s="25"/>
      <c r="AP2419" s="25"/>
      <c r="AQ2419" s="25"/>
      <c r="AR2419" s="25"/>
      <c r="AS2419" s="25"/>
      <c r="AT2419" s="25"/>
      <c r="AU2419" s="36"/>
      <c r="AV2419" s="36"/>
      <c r="AW2419" s="36"/>
      <c r="AX2419" s="25"/>
      <c r="AY2419" s="25"/>
      <c r="AZ2419" s="25"/>
      <c r="BA2419" s="25"/>
      <c r="BB2419" s="25"/>
      <c r="BC2419" s="25"/>
      <c r="BD2419" s="25"/>
      <c r="BE2419" s="25"/>
      <c r="BF2419" s="25"/>
      <c r="BG2419" s="25"/>
      <c r="BH2419" s="25"/>
      <c r="BI2419" s="25"/>
      <c r="BJ2419" s="25"/>
      <c r="BK2419" s="25"/>
      <c r="BL2419" s="25"/>
      <c r="BM2419" s="25"/>
      <c r="BN2419" s="25"/>
      <c r="BO2419" s="25"/>
      <c r="BP2419" s="25"/>
      <c r="BQ2419" s="25"/>
      <c r="BR2419" s="25"/>
      <c r="BS2419" s="25"/>
      <c r="BT2419" s="25"/>
      <c r="BU2419"/>
      <c r="BV2419"/>
      <c r="BW2419"/>
      <c r="BX2419"/>
      <c r="BY2419"/>
      <c r="BZ2419"/>
      <c r="CA2419"/>
      <c r="CB2419"/>
      <c r="CC2419"/>
      <c r="CD2419" s="25"/>
    </row>
    <row r="2420" spans="1:82" s="17" customFormat="1" x14ac:dyDescent="0.2">
      <c r="A2420" s="25"/>
      <c r="B2420" s="20">
        <v>39127966000</v>
      </c>
      <c r="C2420" s="20">
        <v>9660</v>
      </c>
      <c r="D2420" s="20" t="s">
        <v>69</v>
      </c>
      <c r="E2420" s="20" t="s">
        <v>2830</v>
      </c>
      <c r="F2420" s="20" t="s">
        <v>6</v>
      </c>
      <c r="G2420" s="861">
        <v>38.2076198030501</v>
      </c>
      <c r="H2420" s="861">
        <v>30.219222893657101</v>
      </c>
      <c r="I2420" s="861">
        <v>35.974901794435098</v>
      </c>
      <c r="J2420" s="861">
        <v>47.323621332719298</v>
      </c>
      <c r="K2420" s="982">
        <v>0</v>
      </c>
      <c r="L2420" s="735">
        <v>5073</v>
      </c>
      <c r="M2420" s="735">
        <v>5011</v>
      </c>
      <c r="N2420" s="845">
        <f t="shared" si="182"/>
        <v>-1.2221565148827124E-2</v>
      </c>
      <c r="O2420" s="735">
        <v>20.290943729467546</v>
      </c>
      <c r="P2420" s="735">
        <f t="shared" si="183"/>
        <v>246.95746372421158</v>
      </c>
      <c r="Q2420" s="849">
        <v>39.299999999999997</v>
      </c>
      <c r="R2420" s="71">
        <v>47718</v>
      </c>
      <c r="S2420" s="845">
        <v>0.22590301337058472</v>
      </c>
      <c r="T2420" s="845">
        <v>0.11199999999999999</v>
      </c>
      <c r="U2420" s="845">
        <v>1.9E-2</v>
      </c>
      <c r="V2420" s="845">
        <v>4.4000000000000004E-2</v>
      </c>
      <c r="W2420" s="845">
        <v>0.37915176290240166</v>
      </c>
      <c r="X2420" s="845">
        <v>0.3423180592991914</v>
      </c>
      <c r="Y2420" s="845">
        <v>0.97006585511873877</v>
      </c>
      <c r="Z2420" s="845">
        <v>0</v>
      </c>
      <c r="AA2420" s="845">
        <v>1.197365795250449E-3</v>
      </c>
      <c r="AB2420" s="845">
        <v>0</v>
      </c>
      <c r="AC2420" s="845">
        <v>0</v>
      </c>
      <c r="AD2420" s="845">
        <v>1.9956096587507481E-3</v>
      </c>
      <c r="AE2420" s="845">
        <v>2.6741169427260028E-2</v>
      </c>
      <c r="AF2420" s="845">
        <v>6.1863899421273202E-3</v>
      </c>
      <c r="AG2420" s="845">
        <v>0.9686689283576132</v>
      </c>
      <c r="AH2420" s="20" t="str">
        <f t="shared" si="184"/>
        <v>Yes</v>
      </c>
      <c r="AI2420" s="25"/>
      <c r="AJ2420" s="25"/>
      <c r="AK2420" s="25"/>
      <c r="AL2420" s="25"/>
      <c r="AM2420" s="25"/>
      <c r="AN2420" s="25"/>
      <c r="AO2420" s="25"/>
      <c r="AP2420" s="25"/>
      <c r="AQ2420" s="25"/>
      <c r="AR2420" s="25"/>
      <c r="AS2420" s="25"/>
      <c r="AT2420" s="25"/>
      <c r="AU2420" s="36"/>
      <c r="AV2420" s="36"/>
      <c r="AW2420" s="36"/>
      <c r="AX2420" s="25"/>
      <c r="AY2420" s="25"/>
      <c r="AZ2420" s="25"/>
      <c r="BA2420" s="25"/>
      <c r="BB2420" s="25"/>
      <c r="BC2420" s="25"/>
      <c r="BD2420" s="25"/>
      <c r="BE2420" s="25"/>
      <c r="BF2420" s="25"/>
      <c r="BG2420" s="25"/>
      <c r="BH2420" s="25"/>
      <c r="BI2420" s="25"/>
      <c r="BJ2420" s="25"/>
      <c r="BK2420" s="25"/>
      <c r="BL2420" s="25"/>
      <c r="BM2420" s="25"/>
      <c r="BN2420" s="25"/>
      <c r="BO2420" s="25"/>
      <c r="BP2420" s="25"/>
      <c r="BQ2420" s="25"/>
      <c r="BR2420" s="25"/>
      <c r="BS2420" s="25"/>
      <c r="BT2420" s="25"/>
      <c r="BU2420"/>
      <c r="BV2420"/>
      <c r="BW2420"/>
      <c r="BX2420"/>
      <c r="BY2420"/>
      <c r="BZ2420"/>
      <c r="CA2420"/>
      <c r="CB2420"/>
      <c r="CC2420"/>
      <c r="CD2420" s="25"/>
    </row>
    <row r="2421" spans="1:82" s="17" customFormat="1" x14ac:dyDescent="0.2">
      <c r="A2421" s="25"/>
      <c r="B2421" s="20">
        <v>39093070600</v>
      </c>
      <c r="C2421" s="20">
        <v>706</v>
      </c>
      <c r="D2421" s="20" t="s">
        <v>52</v>
      </c>
      <c r="E2421" s="20" t="s">
        <v>2829</v>
      </c>
      <c r="F2421" s="20" t="s">
        <v>8</v>
      </c>
      <c r="G2421" s="861">
        <v>38.177014723488703</v>
      </c>
      <c r="H2421" s="861">
        <v>48.131693450882103</v>
      </c>
      <c r="I2421" s="861">
        <v>34.073109894509997</v>
      </c>
      <c r="J2421" s="861">
        <v>33.535263153517597</v>
      </c>
      <c r="K2421" s="982">
        <v>0</v>
      </c>
      <c r="L2421" s="735">
        <v>4357</v>
      </c>
      <c r="M2421" s="735">
        <v>4558</v>
      </c>
      <c r="N2421" s="845">
        <f t="shared" si="182"/>
        <v>4.6132660087215976E-2</v>
      </c>
      <c r="O2421" s="735">
        <v>1.1582358190825826</v>
      </c>
      <c r="P2421" s="735">
        <f t="shared" si="183"/>
        <v>3935.2953214746099</v>
      </c>
      <c r="Q2421" s="849">
        <v>39.5</v>
      </c>
      <c r="R2421" s="71">
        <v>67019</v>
      </c>
      <c r="S2421" s="845">
        <v>8.7099605089951737E-2</v>
      </c>
      <c r="T2421" s="845">
        <v>0.06</v>
      </c>
      <c r="U2421" s="845">
        <v>0</v>
      </c>
      <c r="V2421" s="845">
        <v>0.14099999999999999</v>
      </c>
      <c r="W2421" s="845">
        <v>0.3545183714001986</v>
      </c>
      <c r="X2421" s="845">
        <v>0.48319327731092437</v>
      </c>
      <c r="Y2421" s="845">
        <v>0.86551118911803426</v>
      </c>
      <c r="Z2421" s="845">
        <v>7.1522597630539711E-2</v>
      </c>
      <c r="AA2421" s="845">
        <v>0</v>
      </c>
      <c r="AB2421" s="845">
        <v>2.8521281263712155E-2</v>
      </c>
      <c r="AC2421" s="845">
        <v>0</v>
      </c>
      <c r="AD2421" s="845">
        <v>2.4572180781044319E-2</v>
      </c>
      <c r="AE2421" s="845">
        <v>9.872751206669592E-3</v>
      </c>
      <c r="AF2421" s="845">
        <v>0.10706450197455024</v>
      </c>
      <c r="AG2421" s="845">
        <v>0.78960070206230804</v>
      </c>
      <c r="AH2421" s="20" t="str">
        <f t="shared" si="184"/>
        <v>No</v>
      </c>
      <c r="AI2421" s="25"/>
      <c r="AJ2421" s="25"/>
      <c r="AK2421" s="25"/>
      <c r="AL2421" s="25"/>
      <c r="AM2421" s="25"/>
      <c r="AN2421" s="25"/>
      <c r="AO2421" s="25"/>
      <c r="AP2421" s="25"/>
      <c r="AQ2421" s="25"/>
      <c r="AR2421" s="25"/>
      <c r="AS2421" s="25"/>
      <c r="AT2421" s="25"/>
      <c r="AU2421" s="36"/>
      <c r="AV2421" s="36"/>
      <c r="AW2421" s="36"/>
      <c r="AX2421" s="25"/>
      <c r="AY2421" s="25"/>
      <c r="AZ2421" s="25"/>
      <c r="BA2421" s="25"/>
      <c r="BB2421" s="25"/>
      <c r="BC2421" s="25"/>
      <c r="BD2421" s="25"/>
      <c r="BE2421" s="25"/>
      <c r="BF2421" s="25"/>
      <c r="BG2421" s="25"/>
      <c r="BH2421" s="25"/>
      <c r="BI2421" s="25"/>
      <c r="BJ2421" s="25"/>
      <c r="BK2421" s="25"/>
      <c r="BL2421" s="25"/>
      <c r="BM2421" s="25"/>
      <c r="BN2421" s="25"/>
      <c r="BO2421" s="25"/>
      <c r="BP2421" s="25"/>
      <c r="BQ2421" s="25"/>
      <c r="BR2421" s="25"/>
      <c r="BS2421" s="25"/>
      <c r="BT2421" s="25"/>
      <c r="BU2421"/>
      <c r="BV2421"/>
      <c r="BW2421"/>
      <c r="BX2421"/>
      <c r="BY2421"/>
      <c r="BZ2421"/>
      <c r="CA2421"/>
      <c r="CB2421"/>
      <c r="CC2421"/>
      <c r="CD2421" s="25"/>
    </row>
    <row r="2422" spans="1:82" s="17" customFormat="1" x14ac:dyDescent="0.2">
      <c r="A2422" s="25"/>
      <c r="B2422" s="20">
        <v>39083007301</v>
      </c>
      <c r="C2422" s="20">
        <v>73.010000000000005</v>
      </c>
      <c r="D2422" s="20" t="s">
        <v>114</v>
      </c>
      <c r="E2422" s="20" t="s">
        <v>265</v>
      </c>
      <c r="F2422" s="20" t="s">
        <v>8</v>
      </c>
      <c r="G2422" s="861">
        <v>38.152129891096301</v>
      </c>
      <c r="H2422" s="861">
        <v>59.438352716551599</v>
      </c>
      <c r="I2422" s="861">
        <v>30.756098875016601</v>
      </c>
      <c r="J2422" s="861">
        <v>47.151012615221802</v>
      </c>
      <c r="K2422" s="982">
        <v>0</v>
      </c>
      <c r="L2422" s="735" t="s">
        <v>2466</v>
      </c>
      <c r="M2422" s="735">
        <v>3118</v>
      </c>
      <c r="N2422" s="845" t="str">
        <f t="shared" si="182"/>
        <v/>
      </c>
      <c r="O2422" s="735">
        <v>14.039521208458368</v>
      </c>
      <c r="P2422" s="735">
        <f t="shared" si="183"/>
        <v>222.08734569391893</v>
      </c>
      <c r="Q2422" s="849">
        <v>21.5</v>
      </c>
      <c r="R2422" s="71">
        <v>89138</v>
      </c>
      <c r="S2422" s="845">
        <v>0.11316725978647686</v>
      </c>
      <c r="T2422" s="845">
        <v>4.2999999999999997E-2</v>
      </c>
      <c r="U2422" s="845">
        <v>0</v>
      </c>
      <c r="V2422" s="845">
        <v>0.14599999999999999</v>
      </c>
      <c r="W2422" s="845">
        <v>0.21597633136094674</v>
      </c>
      <c r="X2422" s="845">
        <v>0.78082191780821919</v>
      </c>
      <c r="Y2422" s="845">
        <v>0.9310455420141116</v>
      </c>
      <c r="Z2422" s="845">
        <v>1.3470173187940988E-2</v>
      </c>
      <c r="AA2422" s="845">
        <v>0</v>
      </c>
      <c r="AB2422" s="845">
        <v>2.8864656831302116E-2</v>
      </c>
      <c r="AC2422" s="845">
        <v>0</v>
      </c>
      <c r="AD2422" s="845">
        <v>9.9422706863373962E-3</v>
      </c>
      <c r="AE2422" s="845">
        <v>1.6677357280307888E-2</v>
      </c>
      <c r="AF2422" s="845">
        <v>5.2277100705580504E-2</v>
      </c>
      <c r="AG2422" s="845">
        <v>0.89255933290570877</v>
      </c>
      <c r="AH2422" s="20" t="str">
        <f t="shared" si="184"/>
        <v>No</v>
      </c>
      <c r="AI2422" s="25"/>
      <c r="AJ2422" s="25"/>
      <c r="AK2422" s="25"/>
      <c r="AL2422" s="25"/>
      <c r="AM2422" s="25"/>
      <c r="AN2422" s="25"/>
      <c r="AO2422" s="25"/>
      <c r="AP2422" s="25"/>
      <c r="AQ2422" s="25"/>
      <c r="AR2422" s="25"/>
      <c r="AS2422" s="25"/>
      <c r="AT2422" s="25"/>
      <c r="AU2422" s="36"/>
      <c r="AV2422" s="36"/>
      <c r="AW2422" s="36"/>
      <c r="AX2422" s="25"/>
      <c r="AY2422" s="25"/>
      <c r="AZ2422" s="25"/>
      <c r="BA2422" s="25"/>
      <c r="BB2422" s="25"/>
      <c r="BC2422" s="25"/>
      <c r="BD2422" s="25"/>
      <c r="BE2422" s="25"/>
      <c r="BF2422" s="25"/>
      <c r="BG2422" s="25"/>
      <c r="BH2422" s="25"/>
      <c r="BI2422" s="25"/>
      <c r="BJ2422" s="25"/>
      <c r="BK2422" s="25"/>
      <c r="BL2422" s="25"/>
      <c r="BM2422" s="25"/>
      <c r="BN2422" s="25"/>
      <c r="BO2422" s="25"/>
      <c r="BP2422" s="25"/>
      <c r="BQ2422" s="25"/>
      <c r="BR2422" s="25"/>
      <c r="BS2422" s="25"/>
      <c r="BT2422" s="25"/>
      <c r="BU2422"/>
      <c r="BV2422"/>
      <c r="BW2422"/>
      <c r="BX2422"/>
      <c r="BY2422"/>
      <c r="BZ2422"/>
      <c r="CA2422"/>
      <c r="CB2422"/>
      <c r="CC2422"/>
      <c r="CD2422" s="25"/>
    </row>
    <row r="2423" spans="1:82" s="17" customFormat="1" x14ac:dyDescent="0.2">
      <c r="A2423" s="25"/>
      <c r="B2423" s="20">
        <v>39145003800</v>
      </c>
      <c r="C2423" s="20">
        <v>38</v>
      </c>
      <c r="D2423" s="20" t="s">
        <v>78</v>
      </c>
      <c r="E2423" s="20" t="s">
        <v>265</v>
      </c>
      <c r="F2423" s="20" t="s">
        <v>8</v>
      </c>
      <c r="G2423" s="861">
        <v>38.137814396163897</v>
      </c>
      <c r="H2423" s="861">
        <v>36.644847054349</v>
      </c>
      <c r="I2423" s="861">
        <v>41.098874172437199</v>
      </c>
      <c r="J2423" s="861">
        <v>26.741766788122199</v>
      </c>
      <c r="K2423" s="982">
        <v>0</v>
      </c>
      <c r="L2423" s="735">
        <v>4579</v>
      </c>
      <c r="M2423" s="735">
        <v>4234</v>
      </c>
      <c r="N2423" s="845">
        <f t="shared" si="182"/>
        <v>-7.5343961563660189E-2</v>
      </c>
      <c r="O2423" s="735">
        <v>9.5217012405512556</v>
      </c>
      <c r="P2423" s="735">
        <f t="shared" si="183"/>
        <v>444.66843613703577</v>
      </c>
      <c r="Q2423" s="849">
        <v>47.7</v>
      </c>
      <c r="R2423" s="71">
        <v>44107</v>
      </c>
      <c r="S2423" s="845">
        <v>0.17342995169082126</v>
      </c>
      <c r="T2423" s="845">
        <v>6.3E-2</v>
      </c>
      <c r="U2423" s="845">
        <v>5.2000000000000005E-2</v>
      </c>
      <c r="V2423" s="845">
        <v>0</v>
      </c>
      <c r="W2423" s="845">
        <v>0.32485110990795885</v>
      </c>
      <c r="X2423" s="845">
        <v>0.71499999999999997</v>
      </c>
      <c r="Y2423" s="845">
        <v>0.85829003306565899</v>
      </c>
      <c r="Z2423" s="845">
        <v>1.3934813415210204E-2</v>
      </c>
      <c r="AA2423" s="845">
        <v>0</v>
      </c>
      <c r="AB2423" s="845">
        <v>1.1336797354747285E-2</v>
      </c>
      <c r="AC2423" s="845">
        <v>0</v>
      </c>
      <c r="AD2423" s="845">
        <v>1.5351913084553614E-2</v>
      </c>
      <c r="AE2423" s="845">
        <v>0.10108644307982995</v>
      </c>
      <c r="AF2423" s="845">
        <v>2.9759093056211619E-2</v>
      </c>
      <c r="AG2423" s="845">
        <v>0.85829003306565899</v>
      </c>
      <c r="AH2423" s="20" t="str">
        <f t="shared" si="184"/>
        <v>No</v>
      </c>
      <c r="AI2423" s="25"/>
      <c r="AJ2423" s="25"/>
      <c r="AK2423" s="25"/>
      <c r="AL2423" s="25"/>
      <c r="AM2423" s="25"/>
      <c r="AN2423" s="25"/>
      <c r="AO2423" s="25"/>
      <c r="AP2423" s="25"/>
      <c r="AQ2423" s="25"/>
      <c r="AR2423" s="25"/>
      <c r="AS2423" s="25"/>
      <c r="AT2423" s="25"/>
      <c r="AU2423" s="36"/>
      <c r="AV2423" s="36"/>
      <c r="AW2423" s="36"/>
      <c r="AX2423" s="25"/>
      <c r="AY2423" s="25"/>
      <c r="AZ2423" s="25"/>
      <c r="BA2423" s="25"/>
      <c r="BB2423" s="25"/>
      <c r="BC2423" s="25"/>
      <c r="BD2423" s="25"/>
      <c r="BE2423" s="25"/>
      <c r="BF2423" s="25"/>
      <c r="BG2423" s="25"/>
      <c r="BH2423" s="25"/>
      <c r="BI2423" s="25"/>
      <c r="BJ2423" s="25"/>
      <c r="BK2423" s="25"/>
      <c r="BL2423" s="25"/>
      <c r="BM2423" s="25"/>
      <c r="BN2423" s="25"/>
      <c r="BO2423" s="25"/>
      <c r="BP2423" s="25"/>
      <c r="BQ2423" s="25"/>
      <c r="BR2423" s="25"/>
      <c r="BS2423" s="25"/>
      <c r="BT2423" s="25"/>
      <c r="BU2423"/>
      <c r="BV2423"/>
      <c r="BW2423"/>
      <c r="BX2423"/>
      <c r="BY2423"/>
      <c r="BZ2423"/>
      <c r="CA2423"/>
      <c r="CB2423"/>
      <c r="CC2423"/>
      <c r="CD2423" s="25"/>
    </row>
    <row r="2424" spans="1:82" s="17" customFormat="1" x14ac:dyDescent="0.2">
      <c r="A2424" s="25"/>
      <c r="B2424" s="20">
        <v>39113070400</v>
      </c>
      <c r="C2424" s="20">
        <v>704</v>
      </c>
      <c r="D2424" s="20" t="s">
        <v>62</v>
      </c>
      <c r="E2424" s="20" t="s">
        <v>2833</v>
      </c>
      <c r="F2424" s="20" t="s">
        <v>8</v>
      </c>
      <c r="G2424" s="861">
        <v>38.132348670324099</v>
      </c>
      <c r="H2424" s="861">
        <v>46.568582375290902</v>
      </c>
      <c r="I2424" s="861">
        <v>24.834425767941202</v>
      </c>
      <c r="J2424" s="861">
        <v>35.268363036562803</v>
      </c>
      <c r="K2424" s="982">
        <v>3</v>
      </c>
      <c r="L2424" s="735">
        <v>2392</v>
      </c>
      <c r="M2424" s="735">
        <v>2656</v>
      </c>
      <c r="N2424" s="845">
        <f t="shared" si="182"/>
        <v>0.11036789297658862</v>
      </c>
      <c r="O2424" s="735">
        <v>2.9723607495634412</v>
      </c>
      <c r="P2424" s="735">
        <f t="shared" si="183"/>
        <v>893.5658299182204</v>
      </c>
      <c r="Q2424" s="849">
        <v>43.9</v>
      </c>
      <c r="R2424" s="71">
        <v>73607</v>
      </c>
      <c r="S2424" s="845">
        <v>0.14871987951807228</v>
      </c>
      <c r="T2424" s="845">
        <v>9.5000000000000001E-2</v>
      </c>
      <c r="U2424" s="845">
        <v>4.0999999999999995E-2</v>
      </c>
      <c r="V2424" s="845">
        <v>0</v>
      </c>
      <c r="W2424" s="845">
        <v>0.33609576427255983</v>
      </c>
      <c r="X2424" s="845">
        <v>0.15342465753424658</v>
      </c>
      <c r="Y2424" s="845">
        <v>0.27033132530120479</v>
      </c>
      <c r="Z2424" s="845">
        <v>0.66453313253012047</v>
      </c>
      <c r="AA2424" s="845">
        <v>0</v>
      </c>
      <c r="AB2424" s="845">
        <v>0</v>
      </c>
      <c r="AC2424" s="845">
        <v>0</v>
      </c>
      <c r="AD2424" s="845">
        <v>0</v>
      </c>
      <c r="AE2424" s="845">
        <v>6.5135542168674704E-2</v>
      </c>
      <c r="AF2424" s="845">
        <v>3.4262048192771087E-2</v>
      </c>
      <c r="AG2424" s="845">
        <v>0.27033132530120479</v>
      </c>
      <c r="AH2424" s="20" t="str">
        <f t="shared" si="184"/>
        <v>No</v>
      </c>
      <c r="AI2424" s="25"/>
      <c r="AJ2424" s="25"/>
      <c r="AK2424" s="25"/>
      <c r="AL2424" s="25"/>
      <c r="AM2424" s="25"/>
      <c r="AN2424" s="25"/>
      <c r="AO2424" s="25"/>
      <c r="AP2424" s="25"/>
      <c r="AQ2424" s="25"/>
      <c r="AR2424" s="25"/>
      <c r="AS2424" s="25"/>
      <c r="AT2424" s="25"/>
      <c r="AU2424" s="36"/>
      <c r="AV2424" s="36"/>
      <c r="AW2424" s="36"/>
      <c r="AX2424" s="25"/>
      <c r="AY2424" s="25"/>
      <c r="AZ2424" s="25"/>
      <c r="BA2424" s="25"/>
      <c r="BB2424" s="25"/>
      <c r="BC2424" s="25"/>
      <c r="BD2424" s="25"/>
      <c r="BE2424" s="25"/>
      <c r="BF2424" s="25"/>
      <c r="BG2424" s="25"/>
      <c r="BH2424" s="25"/>
      <c r="BI2424" s="25"/>
      <c r="BJ2424" s="25"/>
      <c r="BK2424" s="25"/>
      <c r="BL2424" s="25"/>
      <c r="BM2424" s="25"/>
      <c r="BN2424" s="25"/>
      <c r="BO2424" s="25"/>
      <c r="BP2424" s="25"/>
      <c r="BQ2424" s="25"/>
      <c r="BR2424" s="25"/>
      <c r="BS2424" s="25"/>
      <c r="BT2424" s="25"/>
      <c r="BU2424"/>
      <c r="BV2424"/>
      <c r="BW2424"/>
      <c r="BX2424"/>
      <c r="BY2424"/>
      <c r="BZ2424"/>
      <c r="CA2424"/>
      <c r="CB2424"/>
      <c r="CC2424"/>
      <c r="CD2424" s="25"/>
    </row>
    <row r="2425" spans="1:82" s="17" customFormat="1" x14ac:dyDescent="0.2">
      <c r="A2425" s="25"/>
      <c r="B2425" s="20">
        <v>39035121401</v>
      </c>
      <c r="C2425" s="20">
        <v>1214.01</v>
      </c>
      <c r="D2425" s="20" t="s">
        <v>24</v>
      </c>
      <c r="E2425" s="20" t="s">
        <v>2829</v>
      </c>
      <c r="F2425" s="20" t="s">
        <v>6</v>
      </c>
      <c r="G2425" s="861">
        <v>38.071479391398697</v>
      </c>
      <c r="H2425" s="861">
        <v>55.768512174513198</v>
      </c>
      <c r="I2425" s="861">
        <v>78.774664655098704</v>
      </c>
      <c r="J2425" s="861">
        <v>26.203429634270801</v>
      </c>
      <c r="K2425" s="982">
        <v>0</v>
      </c>
      <c r="L2425" s="735">
        <v>2004</v>
      </c>
      <c r="M2425" s="735">
        <v>1249</v>
      </c>
      <c r="N2425" s="845">
        <f t="shared" si="182"/>
        <v>-0.37674650698602796</v>
      </c>
      <c r="O2425" s="735">
        <v>0.30207165700077288</v>
      </c>
      <c r="P2425" s="735">
        <f t="shared" si="183"/>
        <v>4134.7805100324404</v>
      </c>
      <c r="Q2425" s="849">
        <v>35.799999999999997</v>
      </c>
      <c r="R2425" s="71">
        <v>34619</v>
      </c>
      <c r="S2425" s="845">
        <v>0.32666132906325063</v>
      </c>
      <c r="T2425" s="845">
        <v>0.17899999999999999</v>
      </c>
      <c r="U2425" s="845">
        <v>0</v>
      </c>
      <c r="V2425" s="845">
        <v>0.115</v>
      </c>
      <c r="W2425" s="845">
        <v>0.52941176470588236</v>
      </c>
      <c r="X2425" s="845">
        <v>0.33333333333333331</v>
      </c>
      <c r="Y2425" s="845">
        <v>2.4819855884707767E-2</v>
      </c>
      <c r="Z2425" s="845">
        <v>0.89831865492393914</v>
      </c>
      <c r="AA2425" s="845">
        <v>8.0064051240992789E-3</v>
      </c>
      <c r="AB2425" s="845">
        <v>4.8038430744595673E-3</v>
      </c>
      <c r="AC2425" s="845">
        <v>0</v>
      </c>
      <c r="AD2425" s="845">
        <v>0</v>
      </c>
      <c r="AE2425" s="845">
        <v>6.4051240992794231E-2</v>
      </c>
      <c r="AF2425" s="845">
        <v>5.6044835868694952E-3</v>
      </c>
      <c r="AG2425" s="845">
        <v>2.4819855884707767E-2</v>
      </c>
      <c r="AH2425" s="20" t="str">
        <f t="shared" si="184"/>
        <v>No</v>
      </c>
      <c r="AI2425" s="25"/>
      <c r="AJ2425" s="25"/>
      <c r="AK2425" s="25"/>
      <c r="AL2425" s="25"/>
      <c r="AM2425" s="25"/>
      <c r="AN2425" s="25"/>
      <c r="AO2425" s="25"/>
      <c r="AP2425" s="25"/>
      <c r="AQ2425" s="25"/>
      <c r="AR2425" s="25"/>
      <c r="AS2425" s="25"/>
      <c r="AT2425" s="25"/>
      <c r="AU2425" s="36"/>
      <c r="AV2425" s="36"/>
      <c r="AW2425" s="36"/>
      <c r="AX2425" s="25"/>
      <c r="AY2425" s="25"/>
      <c r="AZ2425" s="25"/>
      <c r="BA2425" s="25"/>
      <c r="BB2425" s="25"/>
      <c r="BC2425" s="25"/>
      <c r="BD2425" s="25"/>
      <c r="BE2425" s="25"/>
      <c r="BF2425" s="25"/>
      <c r="BG2425" s="25"/>
      <c r="BH2425" s="25"/>
      <c r="BI2425" s="25"/>
      <c r="BJ2425" s="25"/>
      <c r="BK2425" s="25"/>
      <c r="BL2425" s="25"/>
      <c r="BM2425" s="25"/>
      <c r="BN2425" s="25"/>
      <c r="BO2425" s="25"/>
      <c r="BP2425" s="25"/>
      <c r="BQ2425" s="25"/>
      <c r="BR2425" s="25"/>
      <c r="BS2425" s="25"/>
      <c r="BT2425" s="25"/>
      <c r="BU2425"/>
      <c r="BV2425"/>
      <c r="BW2425"/>
      <c r="BX2425"/>
      <c r="BY2425"/>
      <c r="BZ2425"/>
      <c r="CA2425"/>
      <c r="CB2425"/>
      <c r="CC2425"/>
      <c r="CD2425" s="25"/>
    </row>
    <row r="2426" spans="1:82" s="17" customFormat="1" x14ac:dyDescent="0.2">
      <c r="A2426" s="25"/>
      <c r="B2426" s="20">
        <v>39169003700</v>
      </c>
      <c r="C2426" s="20">
        <v>37</v>
      </c>
      <c r="D2426" s="20" t="s">
        <v>90</v>
      </c>
      <c r="E2426" s="20" t="s">
        <v>265</v>
      </c>
      <c r="F2426" s="20" t="s">
        <v>8</v>
      </c>
      <c r="G2426" s="861">
        <v>38.042222515941198</v>
      </c>
      <c r="H2426" s="861">
        <v>34.900883204151697</v>
      </c>
      <c r="I2426" s="861">
        <v>20.837888494921799</v>
      </c>
      <c r="J2426" s="861">
        <v>40.088806212220703</v>
      </c>
      <c r="K2426" s="982">
        <v>0</v>
      </c>
      <c r="L2426" s="735">
        <v>3635</v>
      </c>
      <c r="M2426" s="735">
        <v>3980</v>
      </c>
      <c r="N2426" s="845">
        <f t="shared" si="182"/>
        <v>9.4910591471801919E-2</v>
      </c>
      <c r="O2426" s="735">
        <v>18.257243273599432</v>
      </c>
      <c r="P2426" s="735">
        <f t="shared" si="183"/>
        <v>217.99567110743436</v>
      </c>
      <c r="Q2426" s="849">
        <v>29.4</v>
      </c>
      <c r="R2426" s="71">
        <v>72525</v>
      </c>
      <c r="S2426" s="845">
        <v>9.8662629321221301E-2</v>
      </c>
      <c r="T2426" s="845">
        <v>0.01</v>
      </c>
      <c r="U2426" s="845">
        <v>3.0000000000000001E-3</v>
      </c>
      <c r="V2426" s="845">
        <v>0</v>
      </c>
      <c r="W2426" s="845">
        <v>0.24745497259201252</v>
      </c>
      <c r="X2426" s="845">
        <v>8.2278481012658222E-2</v>
      </c>
      <c r="Y2426" s="845">
        <v>0.99195979899497488</v>
      </c>
      <c r="Z2426" s="845">
        <v>0</v>
      </c>
      <c r="AA2426" s="845">
        <v>0</v>
      </c>
      <c r="AB2426" s="845">
        <v>0</v>
      </c>
      <c r="AC2426" s="845">
        <v>0</v>
      </c>
      <c r="AD2426" s="845">
        <v>3.2663316582914573E-3</v>
      </c>
      <c r="AE2426" s="845">
        <v>4.7738693467336687E-3</v>
      </c>
      <c r="AF2426" s="845">
        <v>1.507537688442211E-3</v>
      </c>
      <c r="AG2426" s="845">
        <v>0.99195979899497488</v>
      </c>
      <c r="AH2426" s="20" t="str">
        <f t="shared" si="184"/>
        <v>Yes</v>
      </c>
      <c r="AI2426" s="25"/>
      <c r="AJ2426" s="25"/>
      <c r="AK2426" s="25"/>
      <c r="AL2426" s="25"/>
      <c r="AM2426" s="25"/>
      <c r="AN2426" s="25"/>
      <c r="AO2426" s="25"/>
      <c r="AP2426" s="25"/>
      <c r="AQ2426" s="25"/>
      <c r="AR2426" s="25"/>
      <c r="AS2426" s="25"/>
      <c r="AT2426" s="25"/>
      <c r="AU2426" s="36"/>
      <c r="AV2426" s="36"/>
      <c r="AW2426" s="36"/>
      <c r="AX2426" s="25"/>
      <c r="AY2426" s="25"/>
      <c r="AZ2426" s="25"/>
      <c r="BA2426" s="25"/>
      <c r="BB2426" s="25"/>
      <c r="BC2426" s="25"/>
      <c r="BD2426" s="25"/>
      <c r="BE2426" s="25"/>
      <c r="BF2426" s="25"/>
      <c r="BG2426" s="25"/>
      <c r="BH2426" s="25"/>
      <c r="BI2426" s="25"/>
      <c r="BJ2426" s="25"/>
      <c r="BK2426" s="25"/>
      <c r="BL2426" s="25"/>
      <c r="BM2426" s="25"/>
      <c r="BN2426" s="25"/>
      <c r="BO2426" s="25"/>
      <c r="BP2426" s="25"/>
      <c r="BQ2426" s="25"/>
      <c r="BR2426" s="25"/>
      <c r="BS2426" s="25"/>
      <c r="BT2426" s="25"/>
      <c r="BU2426"/>
      <c r="BV2426"/>
      <c r="BW2426"/>
      <c r="BX2426"/>
      <c r="BY2426"/>
      <c r="BZ2426"/>
      <c r="CA2426"/>
      <c r="CB2426"/>
      <c r="CC2426"/>
      <c r="CD2426" s="25"/>
    </row>
    <row r="2427" spans="1:82" s="17" customFormat="1" x14ac:dyDescent="0.2">
      <c r="A2427" s="25"/>
      <c r="B2427" s="20">
        <v>39113130101</v>
      </c>
      <c r="C2427" s="20">
        <v>1301.01</v>
      </c>
      <c r="D2427" s="20" t="s">
        <v>62</v>
      </c>
      <c r="E2427" s="20" t="s">
        <v>2833</v>
      </c>
      <c r="F2427" s="20" t="s">
        <v>8</v>
      </c>
      <c r="G2427" s="861">
        <v>38.026477406923497</v>
      </c>
      <c r="H2427" s="861">
        <v>36.809325278208902</v>
      </c>
      <c r="I2427" s="861">
        <v>19.851913147625599</v>
      </c>
      <c r="J2427" s="861">
        <v>48.762842014315403</v>
      </c>
      <c r="K2427" s="982">
        <v>0</v>
      </c>
      <c r="L2427" s="735">
        <v>2471</v>
      </c>
      <c r="M2427" s="735">
        <v>2676</v>
      </c>
      <c r="N2427" s="845">
        <f t="shared" si="182"/>
        <v>8.2962363415621201E-2</v>
      </c>
      <c r="O2427" s="735">
        <v>22.849997562344022</v>
      </c>
      <c r="P2427" s="735">
        <f t="shared" si="183"/>
        <v>117.11160986773811</v>
      </c>
      <c r="Q2427" s="849">
        <v>51.5</v>
      </c>
      <c r="R2427" s="71">
        <v>83492</v>
      </c>
      <c r="S2427" s="845">
        <v>4.7130368681109841E-2</v>
      </c>
      <c r="T2427" s="845">
        <v>0.106</v>
      </c>
      <c r="U2427" s="845">
        <v>8.0000000000000002E-3</v>
      </c>
      <c r="V2427" s="845">
        <v>9.9000000000000005E-2</v>
      </c>
      <c r="W2427" s="845">
        <v>9.7122302158273388E-2</v>
      </c>
      <c r="X2427" s="845">
        <v>0.51851851851851849</v>
      </c>
      <c r="Y2427" s="845">
        <v>0.97010463378176381</v>
      </c>
      <c r="Z2427" s="845">
        <v>0</v>
      </c>
      <c r="AA2427" s="845">
        <v>0</v>
      </c>
      <c r="AB2427" s="845">
        <v>2.9895366218236174E-3</v>
      </c>
      <c r="AC2427" s="845">
        <v>0</v>
      </c>
      <c r="AD2427" s="845">
        <v>0</v>
      </c>
      <c r="AE2427" s="845">
        <v>2.6905829596412557E-2</v>
      </c>
      <c r="AF2427" s="845">
        <v>5.2316890881913304E-3</v>
      </c>
      <c r="AG2427" s="845">
        <v>0.96674140508221229</v>
      </c>
      <c r="AH2427" s="20" t="str">
        <f t="shared" si="184"/>
        <v>Yes</v>
      </c>
      <c r="AI2427" s="25"/>
      <c r="AJ2427" s="25"/>
      <c r="AK2427" s="25"/>
      <c r="AL2427" s="25"/>
      <c r="AM2427" s="25"/>
      <c r="AN2427" s="25"/>
      <c r="AO2427" s="25"/>
      <c r="AP2427" s="25"/>
      <c r="AQ2427" s="25"/>
      <c r="AR2427" s="25"/>
      <c r="AS2427" s="25"/>
      <c r="AT2427" s="25"/>
      <c r="AU2427" s="36"/>
      <c r="AV2427" s="36"/>
      <c r="AW2427" s="36"/>
      <c r="AX2427" s="25"/>
      <c r="AY2427" s="25"/>
      <c r="AZ2427" s="25"/>
      <c r="BA2427" s="25"/>
      <c r="BB2427" s="25"/>
      <c r="BC2427" s="25"/>
      <c r="BD2427" s="25"/>
      <c r="BE2427" s="25"/>
      <c r="BF2427" s="25"/>
      <c r="BG2427" s="25"/>
      <c r="BH2427" s="25"/>
      <c r="BI2427" s="25"/>
      <c r="BJ2427" s="25"/>
      <c r="BK2427" s="25"/>
      <c r="BL2427" s="25"/>
      <c r="BM2427" s="25"/>
      <c r="BN2427" s="25"/>
      <c r="BO2427" s="25"/>
      <c r="BP2427" s="25"/>
      <c r="BQ2427" s="25"/>
      <c r="BR2427" s="25"/>
      <c r="BS2427" s="25"/>
      <c r="BT2427" s="25"/>
      <c r="BU2427"/>
      <c r="BV2427"/>
      <c r="BW2427"/>
      <c r="BX2427"/>
      <c r="BY2427"/>
      <c r="BZ2427"/>
      <c r="CA2427"/>
      <c r="CB2427"/>
      <c r="CC2427"/>
      <c r="CD2427" s="25"/>
    </row>
    <row r="2428" spans="1:82" s="17" customFormat="1" x14ac:dyDescent="0.2">
      <c r="A2428" s="25"/>
      <c r="B2428" s="20">
        <v>39061010900</v>
      </c>
      <c r="C2428" s="20">
        <v>109</v>
      </c>
      <c r="D2428" s="20" t="s">
        <v>37</v>
      </c>
      <c r="E2428" s="20" t="s">
        <v>2828</v>
      </c>
      <c r="F2428" s="20" t="s">
        <v>6</v>
      </c>
      <c r="G2428" s="861">
        <v>38.018555215255603</v>
      </c>
      <c r="H2428" s="861">
        <v>40.230765625023501</v>
      </c>
      <c r="I2428" s="861">
        <v>50.821128875134697</v>
      </c>
      <c r="J2428" s="861">
        <v>31.311904024629701</v>
      </c>
      <c r="K2428" s="982">
        <v>0</v>
      </c>
      <c r="L2428" s="735">
        <v>2570</v>
      </c>
      <c r="M2428" s="735">
        <v>2567</v>
      </c>
      <c r="N2428" s="845">
        <f t="shared" si="182"/>
        <v>-1.1673151750972762E-3</v>
      </c>
      <c r="O2428" s="735">
        <v>0.61060357531911602</v>
      </c>
      <c r="P2428" s="735">
        <f t="shared" si="183"/>
        <v>4204.0369623751785</v>
      </c>
      <c r="Q2428" s="849">
        <v>34.9</v>
      </c>
      <c r="R2428" s="71">
        <v>34682</v>
      </c>
      <c r="S2428" s="845">
        <v>0.30625990491283678</v>
      </c>
      <c r="T2428" s="845">
        <v>0.111</v>
      </c>
      <c r="U2428" s="845">
        <v>0</v>
      </c>
      <c r="V2428" s="845">
        <v>0</v>
      </c>
      <c r="W2428" s="845">
        <v>0.59963099630996308</v>
      </c>
      <c r="X2428" s="845">
        <v>0.57846153846153847</v>
      </c>
      <c r="Y2428" s="845">
        <v>0.32528243085313596</v>
      </c>
      <c r="Z2428" s="845">
        <v>0.56213478768991043</v>
      </c>
      <c r="AA2428" s="845">
        <v>0</v>
      </c>
      <c r="AB2428" s="845">
        <v>1.9477989871445266E-3</v>
      </c>
      <c r="AC2428" s="845">
        <v>0</v>
      </c>
      <c r="AD2428" s="845">
        <v>8.0638878067783401E-2</v>
      </c>
      <c r="AE2428" s="845">
        <v>2.999610440202571E-2</v>
      </c>
      <c r="AF2428" s="845">
        <v>8.0638878067783401E-2</v>
      </c>
      <c r="AG2428" s="845">
        <v>0.32528243085313596</v>
      </c>
      <c r="AH2428" s="20" t="str">
        <f t="shared" si="184"/>
        <v>No</v>
      </c>
      <c r="AI2428" s="25"/>
      <c r="AJ2428" s="25"/>
      <c r="AK2428" s="25"/>
      <c r="AL2428" s="25"/>
      <c r="AM2428" s="25"/>
      <c r="AN2428" s="25"/>
      <c r="AO2428" s="25"/>
      <c r="AP2428" s="25"/>
      <c r="AQ2428" s="25"/>
      <c r="AR2428" s="25"/>
      <c r="AS2428" s="25"/>
      <c r="AT2428" s="25"/>
      <c r="AU2428" s="36"/>
      <c r="AV2428" s="36"/>
      <c r="AW2428" s="36"/>
      <c r="AX2428" s="25"/>
      <c r="AY2428" s="25"/>
      <c r="AZ2428" s="25"/>
      <c r="BA2428" s="25"/>
      <c r="BB2428" s="25"/>
      <c r="BC2428" s="25"/>
      <c r="BD2428" s="25"/>
      <c r="BE2428" s="25"/>
      <c r="BF2428" s="25"/>
      <c r="BG2428" s="25"/>
      <c r="BH2428" s="25"/>
      <c r="BI2428" s="25"/>
      <c r="BJ2428" s="25"/>
      <c r="BK2428" s="25"/>
      <c r="BL2428" s="25"/>
      <c r="BM2428" s="25"/>
      <c r="BN2428" s="25"/>
      <c r="BO2428" s="25"/>
      <c r="BP2428" s="25"/>
      <c r="BQ2428" s="25"/>
      <c r="BR2428" s="25"/>
      <c r="BS2428" s="25"/>
      <c r="BT2428" s="25"/>
      <c r="BU2428"/>
      <c r="BV2428"/>
      <c r="BW2428"/>
      <c r="BX2428"/>
      <c r="BY2428"/>
      <c r="BZ2428"/>
      <c r="CA2428"/>
      <c r="CB2428"/>
      <c r="CC2428"/>
      <c r="CD2428" s="25"/>
    </row>
    <row r="2429" spans="1:82" s="17" customFormat="1" x14ac:dyDescent="0.2">
      <c r="A2429" s="25"/>
      <c r="B2429" s="20">
        <v>39139002101</v>
      </c>
      <c r="C2429" s="20">
        <v>21.01</v>
      </c>
      <c r="D2429" s="20" t="s">
        <v>75</v>
      </c>
      <c r="E2429" s="20" t="s">
        <v>2836</v>
      </c>
      <c r="F2429" s="20" t="s">
        <v>8</v>
      </c>
      <c r="G2429" s="861">
        <v>38.010035761828803</v>
      </c>
      <c r="H2429" s="861">
        <v>32.534992598595203</v>
      </c>
      <c r="I2429" s="861">
        <v>38.898023589885497</v>
      </c>
      <c r="J2429" s="861">
        <v>47.387093645415298</v>
      </c>
      <c r="K2429" s="982">
        <v>0</v>
      </c>
      <c r="L2429" s="735">
        <v>5359</v>
      </c>
      <c r="M2429" s="735">
        <v>5045</v>
      </c>
      <c r="N2429" s="845">
        <f t="shared" si="182"/>
        <v>-5.859302108602351E-2</v>
      </c>
      <c r="O2429" s="735">
        <v>3.6103563425239047</v>
      </c>
      <c r="P2429" s="735">
        <f t="shared" si="183"/>
        <v>1397.3689911376375</v>
      </c>
      <c r="Q2429" s="849">
        <v>50.3</v>
      </c>
      <c r="R2429" s="71">
        <v>51972</v>
      </c>
      <c r="S2429" s="845">
        <v>0.11026767878545746</v>
      </c>
      <c r="T2429" s="845">
        <v>1.9E-2</v>
      </c>
      <c r="U2429" s="845">
        <v>0</v>
      </c>
      <c r="V2429" s="845">
        <v>0.184</v>
      </c>
      <c r="W2429" s="845">
        <v>0.39473684210526316</v>
      </c>
      <c r="X2429" s="845">
        <v>0.42705314009661838</v>
      </c>
      <c r="Y2429" s="845">
        <v>0.88622398414271553</v>
      </c>
      <c r="Z2429" s="845">
        <v>5.8077304261645195E-2</v>
      </c>
      <c r="AA2429" s="845">
        <v>0</v>
      </c>
      <c r="AB2429" s="845">
        <v>3.2903865213082258E-2</v>
      </c>
      <c r="AC2429" s="845">
        <v>2.1803766105054508E-3</v>
      </c>
      <c r="AD2429" s="845">
        <v>1.3875123885034688E-3</v>
      </c>
      <c r="AE2429" s="845">
        <v>1.9226957383548068E-2</v>
      </c>
      <c r="AF2429" s="845">
        <v>2.5966303270564917E-2</v>
      </c>
      <c r="AG2429" s="845">
        <v>0.87234886025768088</v>
      </c>
      <c r="AH2429" s="20" t="str">
        <f t="shared" si="184"/>
        <v>No</v>
      </c>
      <c r="AI2429" s="25"/>
      <c r="AJ2429" s="25"/>
      <c r="AK2429" s="25"/>
      <c r="AL2429" s="25"/>
      <c r="AM2429" s="25"/>
      <c r="AN2429" s="25"/>
      <c r="AO2429" s="25"/>
      <c r="AP2429" s="25"/>
      <c r="AQ2429" s="25"/>
      <c r="AR2429" s="25"/>
      <c r="AS2429" s="25"/>
      <c r="AT2429" s="25"/>
      <c r="AU2429" s="36"/>
      <c r="AV2429" s="36"/>
      <c r="AW2429" s="36"/>
      <c r="AX2429" s="25"/>
      <c r="AY2429" s="25"/>
      <c r="AZ2429" s="25"/>
      <c r="BA2429" s="25"/>
      <c r="BB2429" s="25"/>
      <c r="BC2429" s="25"/>
      <c r="BD2429" s="25"/>
      <c r="BE2429" s="25"/>
      <c r="BF2429" s="25"/>
      <c r="BG2429" s="25"/>
      <c r="BH2429" s="25"/>
      <c r="BI2429" s="25"/>
      <c r="BJ2429" s="25"/>
      <c r="BK2429" s="25"/>
      <c r="BL2429" s="25"/>
      <c r="BM2429" s="25"/>
      <c r="BN2429" s="25"/>
      <c r="BO2429" s="25"/>
      <c r="BP2429" s="25"/>
      <c r="BQ2429" s="25"/>
      <c r="BR2429" s="25"/>
      <c r="BS2429" s="25"/>
      <c r="BT2429" s="25"/>
      <c r="BU2429"/>
      <c r="BV2429"/>
      <c r="BW2429"/>
      <c r="BX2429"/>
      <c r="BY2429"/>
      <c r="BZ2429"/>
      <c r="CA2429"/>
      <c r="CB2429"/>
      <c r="CC2429"/>
      <c r="CD2429" s="25"/>
    </row>
    <row r="2430" spans="1:82" s="17" customFormat="1" x14ac:dyDescent="0.2">
      <c r="A2430" s="25"/>
      <c r="B2430" s="20">
        <v>39037555102</v>
      </c>
      <c r="C2430" s="20">
        <v>5551.02</v>
      </c>
      <c r="D2430" s="20" t="s">
        <v>25</v>
      </c>
      <c r="E2430" s="20" t="s">
        <v>265</v>
      </c>
      <c r="F2430" s="20" t="s">
        <v>6</v>
      </c>
      <c r="G2430" s="861">
        <v>37.992516215886802</v>
      </c>
      <c r="H2430" s="861">
        <v>36.287065380099499</v>
      </c>
      <c r="I2430" s="861">
        <v>56.875412015917902</v>
      </c>
      <c r="J2430" s="861">
        <v>28.9397079455252</v>
      </c>
      <c r="K2430" s="982">
        <v>0</v>
      </c>
      <c r="L2430" s="735">
        <v>4097</v>
      </c>
      <c r="M2430" s="735">
        <v>3547</v>
      </c>
      <c r="N2430" s="845">
        <f t="shared" si="182"/>
        <v>-0.13424456919697339</v>
      </c>
      <c r="O2430" s="735">
        <v>4.1665816759290069</v>
      </c>
      <c r="P2430" s="735">
        <f t="shared" si="183"/>
        <v>851.29736457383592</v>
      </c>
      <c r="Q2430" s="849">
        <v>35.5</v>
      </c>
      <c r="R2430" s="71">
        <v>38587</v>
      </c>
      <c r="S2430" s="845">
        <v>0.18579080913447985</v>
      </c>
      <c r="T2430" s="845">
        <v>5.2000000000000005E-2</v>
      </c>
      <c r="U2430" s="845">
        <v>4.9000000000000002E-2</v>
      </c>
      <c r="V2430" s="845">
        <v>0</v>
      </c>
      <c r="W2430" s="845">
        <v>0.62363636363636366</v>
      </c>
      <c r="X2430" s="845">
        <v>0.50631681243926141</v>
      </c>
      <c r="Y2430" s="845">
        <v>0.94981674654637727</v>
      </c>
      <c r="Z2430" s="845">
        <v>0</v>
      </c>
      <c r="AA2430" s="845">
        <v>0</v>
      </c>
      <c r="AB2430" s="845">
        <v>0</v>
      </c>
      <c r="AC2430" s="845">
        <v>0</v>
      </c>
      <c r="AD2430" s="845">
        <v>1.7479560191711305E-2</v>
      </c>
      <c r="AE2430" s="845">
        <v>3.2703693261911478E-2</v>
      </c>
      <c r="AF2430" s="845">
        <v>2.0580772483789117E-2</v>
      </c>
      <c r="AG2430" s="845">
        <v>0.94671553425429944</v>
      </c>
      <c r="AH2430" s="20" t="str">
        <f t="shared" si="184"/>
        <v>Yes</v>
      </c>
      <c r="AI2430" s="25"/>
      <c r="AJ2430" s="25"/>
      <c r="AK2430" s="25"/>
      <c r="AL2430" s="25"/>
      <c r="AM2430" s="25"/>
      <c r="AN2430" s="25"/>
      <c r="AO2430" s="25"/>
      <c r="AP2430" s="25"/>
      <c r="AQ2430" s="25"/>
      <c r="AR2430" s="25"/>
      <c r="AS2430" s="25"/>
      <c r="AT2430" s="25"/>
      <c r="AU2430" s="36"/>
      <c r="AV2430" s="36"/>
      <c r="AW2430" s="36"/>
      <c r="AX2430" s="25"/>
      <c r="AY2430" s="25"/>
      <c r="AZ2430" s="25"/>
      <c r="BA2430" s="25"/>
      <c r="BB2430" s="25"/>
      <c r="BC2430" s="25"/>
      <c r="BD2430" s="25"/>
      <c r="BE2430" s="25"/>
      <c r="BF2430" s="25"/>
      <c r="BG2430" s="25"/>
      <c r="BH2430" s="25"/>
      <c r="BI2430" s="25"/>
      <c r="BJ2430" s="25"/>
      <c r="BK2430" s="25"/>
      <c r="BL2430" s="25"/>
      <c r="BM2430" s="25"/>
      <c r="BN2430" s="25"/>
      <c r="BO2430" s="25"/>
      <c r="BP2430" s="25"/>
      <c r="BQ2430" s="25"/>
      <c r="BR2430" s="25"/>
      <c r="BS2430" s="25"/>
      <c r="BT2430" s="25"/>
      <c r="BU2430"/>
      <c r="BV2430"/>
      <c r="BW2430"/>
      <c r="BX2430"/>
      <c r="BY2430"/>
      <c r="BZ2430"/>
      <c r="CA2430"/>
      <c r="CB2430"/>
      <c r="CC2430"/>
      <c r="CD2430" s="25"/>
    </row>
    <row r="2431" spans="1:82" s="17" customFormat="1" x14ac:dyDescent="0.2">
      <c r="A2431" s="25"/>
      <c r="B2431" s="20">
        <v>39045030300</v>
      </c>
      <c r="C2431" s="20">
        <v>303</v>
      </c>
      <c r="D2431" s="20" t="s">
        <v>29</v>
      </c>
      <c r="E2431" s="20" t="s">
        <v>2830</v>
      </c>
      <c r="F2431" s="20" t="s">
        <v>8</v>
      </c>
      <c r="G2431" s="861">
        <v>37.9860035965458</v>
      </c>
      <c r="H2431" s="861">
        <v>39.067138887340398</v>
      </c>
      <c r="I2431" s="861">
        <v>43.116408322637298</v>
      </c>
      <c r="J2431" s="861">
        <v>44.581516889351299</v>
      </c>
      <c r="K2431" s="982">
        <v>0</v>
      </c>
      <c r="L2431" s="735">
        <v>3355</v>
      </c>
      <c r="M2431" s="735">
        <v>3493</v>
      </c>
      <c r="N2431" s="845">
        <f t="shared" si="182"/>
        <v>4.1132637853949328E-2</v>
      </c>
      <c r="O2431" s="735">
        <v>7.0912723224818208</v>
      </c>
      <c r="P2431" s="735">
        <f t="shared" si="183"/>
        <v>492.57733184579087</v>
      </c>
      <c r="Q2431" s="849">
        <v>37.200000000000003</v>
      </c>
      <c r="R2431" s="71">
        <v>59408</v>
      </c>
      <c r="S2431" s="845">
        <v>0.13360560093348892</v>
      </c>
      <c r="T2431" s="845">
        <v>3.7999999999999999E-2</v>
      </c>
      <c r="U2431" s="845">
        <v>0</v>
      </c>
      <c r="V2431" s="845">
        <v>0</v>
      </c>
      <c r="W2431" s="845">
        <v>0.44146005509641872</v>
      </c>
      <c r="X2431" s="845">
        <v>0.53666146645865831</v>
      </c>
      <c r="Y2431" s="845">
        <v>0.93043229315774401</v>
      </c>
      <c r="Z2431" s="845">
        <v>1.2596621815058689E-2</v>
      </c>
      <c r="AA2431" s="845">
        <v>0</v>
      </c>
      <c r="AB2431" s="845">
        <v>5.4394503292298883E-3</v>
      </c>
      <c r="AC2431" s="845">
        <v>0</v>
      </c>
      <c r="AD2431" s="845">
        <v>4.2943028914972804E-3</v>
      </c>
      <c r="AE2431" s="845">
        <v>4.7237331806470086E-2</v>
      </c>
      <c r="AF2431" s="845">
        <v>4.2943028914972804E-3</v>
      </c>
      <c r="AG2431" s="845">
        <v>0.93043229315774401</v>
      </c>
      <c r="AH2431" s="20" t="str">
        <f t="shared" si="184"/>
        <v>Yes</v>
      </c>
      <c r="AI2431" s="25"/>
      <c r="AJ2431" s="25"/>
      <c r="AK2431" s="25"/>
      <c r="AL2431" s="25"/>
      <c r="AM2431" s="25"/>
      <c r="AN2431" s="25"/>
      <c r="AO2431" s="25"/>
      <c r="AP2431" s="25"/>
      <c r="AQ2431" s="25"/>
      <c r="AR2431" s="25"/>
      <c r="AS2431" s="25"/>
      <c r="AT2431" s="25"/>
      <c r="AU2431" s="36"/>
      <c r="AV2431" s="36"/>
      <c r="AW2431" s="36"/>
      <c r="AX2431" s="25"/>
      <c r="AY2431" s="25"/>
      <c r="AZ2431" s="25"/>
      <c r="BA2431" s="25"/>
      <c r="BB2431" s="25"/>
      <c r="BC2431" s="25"/>
      <c r="BD2431" s="25"/>
      <c r="BE2431" s="25"/>
      <c r="BF2431" s="25"/>
      <c r="BG2431" s="25"/>
      <c r="BH2431" s="25"/>
      <c r="BI2431" s="25"/>
      <c r="BJ2431" s="25"/>
      <c r="BK2431" s="25"/>
      <c r="BL2431" s="25"/>
      <c r="BM2431" s="25"/>
      <c r="BN2431" s="25"/>
      <c r="BO2431" s="25"/>
      <c r="BP2431" s="25"/>
      <c r="BQ2431" s="25"/>
      <c r="BR2431" s="25"/>
      <c r="BS2431" s="25"/>
      <c r="BT2431" s="25"/>
      <c r="BU2431"/>
      <c r="BV2431"/>
      <c r="BW2431"/>
      <c r="BX2431"/>
      <c r="BY2431"/>
      <c r="BZ2431"/>
      <c r="CA2431"/>
      <c r="CB2431"/>
      <c r="CC2431"/>
      <c r="CD2431" s="25"/>
    </row>
    <row r="2432" spans="1:82" s="17" customFormat="1" x14ac:dyDescent="0.2">
      <c r="A2432" s="25"/>
      <c r="B2432" s="20">
        <v>39073965500</v>
      </c>
      <c r="C2432" s="20">
        <v>9655</v>
      </c>
      <c r="D2432" s="20" t="s">
        <v>43</v>
      </c>
      <c r="E2432" s="20" t="s">
        <v>2830</v>
      </c>
      <c r="F2432" s="20" t="s">
        <v>8</v>
      </c>
      <c r="G2432" s="861">
        <v>37.976368180153599</v>
      </c>
      <c r="H2432" s="861">
        <v>54.2134959895807</v>
      </c>
      <c r="I2432" s="861">
        <v>22.118252446204899</v>
      </c>
      <c r="J2432" s="861">
        <v>50.268404836158297</v>
      </c>
      <c r="K2432" s="982">
        <v>0</v>
      </c>
      <c r="L2432" s="735">
        <v>4088</v>
      </c>
      <c r="M2432" s="735">
        <v>3424</v>
      </c>
      <c r="N2432" s="845">
        <f t="shared" si="182"/>
        <v>-0.16242661448140899</v>
      </c>
      <c r="O2432" s="735">
        <v>73.894073977042311</v>
      </c>
      <c r="P2432" s="735">
        <f t="shared" si="183"/>
        <v>46.336597993822636</v>
      </c>
      <c r="Q2432" s="849">
        <v>45.6</v>
      </c>
      <c r="R2432" s="71">
        <v>65179</v>
      </c>
      <c r="S2432" s="845">
        <v>0.19140164899882214</v>
      </c>
      <c r="T2432" s="845">
        <v>4.0999999999999995E-2</v>
      </c>
      <c r="U2432" s="845">
        <v>0</v>
      </c>
      <c r="V2432" s="845">
        <v>0</v>
      </c>
      <c r="W2432" s="845">
        <v>0.14791666666666667</v>
      </c>
      <c r="X2432" s="845">
        <v>0.38967136150234744</v>
      </c>
      <c r="Y2432" s="845">
        <v>0.98160046728971961</v>
      </c>
      <c r="Z2432" s="845">
        <v>4.0887850467289715E-3</v>
      </c>
      <c r="AA2432" s="845">
        <v>0</v>
      </c>
      <c r="AB2432" s="845">
        <v>0</v>
      </c>
      <c r="AC2432" s="845">
        <v>0</v>
      </c>
      <c r="AD2432" s="845">
        <v>0</v>
      </c>
      <c r="AE2432" s="845">
        <v>1.4310747663551402E-2</v>
      </c>
      <c r="AF2432" s="845">
        <v>0</v>
      </c>
      <c r="AG2432" s="845">
        <v>0.98160046728971961</v>
      </c>
      <c r="AH2432" s="20" t="str">
        <f t="shared" si="184"/>
        <v>Yes</v>
      </c>
      <c r="AI2432" s="25"/>
      <c r="AJ2432" s="25"/>
      <c r="AK2432" s="25"/>
      <c r="AL2432" s="25"/>
      <c r="AM2432" s="25"/>
      <c r="AN2432" s="25"/>
      <c r="AO2432" s="25"/>
      <c r="AP2432" s="25"/>
      <c r="AQ2432" s="25"/>
      <c r="AR2432" s="25"/>
      <c r="AS2432" s="25"/>
      <c r="AT2432" s="25"/>
      <c r="AU2432" s="36"/>
      <c r="AV2432" s="36"/>
      <c r="AW2432" s="36"/>
      <c r="AX2432" s="25"/>
      <c r="AY2432" s="25"/>
      <c r="AZ2432" s="25"/>
      <c r="BA2432" s="25"/>
      <c r="BB2432" s="25"/>
      <c r="BC2432" s="25"/>
      <c r="BD2432" s="25"/>
      <c r="BE2432" s="25"/>
      <c r="BF2432" s="25"/>
      <c r="BG2432" s="25"/>
      <c r="BH2432" s="25"/>
      <c r="BI2432" s="25"/>
      <c r="BJ2432" s="25"/>
      <c r="BK2432" s="25"/>
      <c r="BL2432" s="25"/>
      <c r="BM2432" s="25"/>
      <c r="BN2432" s="25"/>
      <c r="BO2432" s="25"/>
      <c r="BP2432" s="25"/>
      <c r="BQ2432" s="25"/>
      <c r="BR2432" s="25"/>
      <c r="BS2432" s="25"/>
      <c r="BT2432" s="25"/>
      <c r="BU2432"/>
      <c r="BV2432"/>
      <c r="BW2432"/>
      <c r="BX2432"/>
      <c r="BY2432"/>
      <c r="BZ2432"/>
      <c r="CA2432"/>
      <c r="CB2432"/>
      <c r="CC2432"/>
      <c r="CD2432" s="25"/>
    </row>
    <row r="2433" spans="1:82" s="17" customFormat="1" x14ac:dyDescent="0.2">
      <c r="A2433" s="25"/>
      <c r="B2433" s="20">
        <v>39013010802</v>
      </c>
      <c r="C2433" s="20">
        <v>108.02</v>
      </c>
      <c r="D2433" s="20" t="s">
        <v>13</v>
      </c>
      <c r="E2433" s="20" t="s">
        <v>2841</v>
      </c>
      <c r="F2433" s="20" t="s">
        <v>8</v>
      </c>
      <c r="G2433" s="861">
        <v>37.961775329735303</v>
      </c>
      <c r="H2433" s="861">
        <v>50.355037257771002</v>
      </c>
      <c r="I2433" s="861">
        <v>18.9929800868093</v>
      </c>
      <c r="J2433" s="861">
        <v>40.896916238461301</v>
      </c>
      <c r="K2433" s="982">
        <v>0</v>
      </c>
      <c r="L2433" s="735">
        <v>2583</v>
      </c>
      <c r="M2433" s="735">
        <v>2067</v>
      </c>
      <c r="N2433" s="845">
        <f t="shared" si="182"/>
        <v>-0.19976771196283391</v>
      </c>
      <c r="O2433" s="735">
        <v>5.5177403883912044</v>
      </c>
      <c r="P2433" s="735">
        <f t="shared" si="183"/>
        <v>374.60986826215481</v>
      </c>
      <c r="Q2433" s="849">
        <v>40.6</v>
      </c>
      <c r="R2433" s="71">
        <v>44841</v>
      </c>
      <c r="S2433" s="845">
        <v>0.15164728682170542</v>
      </c>
      <c r="T2433" s="845">
        <v>4.2999999999999997E-2</v>
      </c>
      <c r="U2433" s="845">
        <v>0</v>
      </c>
      <c r="V2433" s="845">
        <v>0</v>
      </c>
      <c r="W2433" s="845">
        <v>0.26162162162162161</v>
      </c>
      <c r="X2433" s="845">
        <v>0.2975206611570248</v>
      </c>
      <c r="Y2433" s="845">
        <v>0.9879051765844219</v>
      </c>
      <c r="Z2433" s="845">
        <v>9.6758587324625057E-4</v>
      </c>
      <c r="AA2433" s="845">
        <v>0</v>
      </c>
      <c r="AB2433" s="845">
        <v>0</v>
      </c>
      <c r="AC2433" s="845">
        <v>0</v>
      </c>
      <c r="AD2433" s="845">
        <v>0</v>
      </c>
      <c r="AE2433" s="845">
        <v>1.1127237542331882E-2</v>
      </c>
      <c r="AF2433" s="845">
        <v>1.1611030478955007E-2</v>
      </c>
      <c r="AG2433" s="845">
        <v>0.97726173197871313</v>
      </c>
      <c r="AH2433" s="20" t="str">
        <f t="shared" si="184"/>
        <v>Yes</v>
      </c>
      <c r="AI2433" s="25"/>
      <c r="AJ2433" s="25"/>
      <c r="AK2433" s="25"/>
      <c r="AL2433" s="25"/>
      <c r="AM2433" s="25"/>
      <c r="AN2433" s="25"/>
      <c r="AO2433" s="25"/>
      <c r="AP2433" s="25"/>
      <c r="AQ2433" s="25"/>
      <c r="AR2433" s="25"/>
      <c r="AS2433" s="25"/>
      <c r="AT2433" s="25"/>
      <c r="AU2433" s="36"/>
      <c r="AV2433" s="36"/>
      <c r="AW2433" s="36"/>
      <c r="AX2433" s="25"/>
      <c r="AY2433" s="25"/>
      <c r="AZ2433" s="25"/>
      <c r="BA2433" s="25"/>
      <c r="BB2433" s="25"/>
      <c r="BC2433" s="25"/>
      <c r="BD2433" s="25"/>
      <c r="BE2433" s="25"/>
      <c r="BF2433" s="25"/>
      <c r="BG2433" s="25"/>
      <c r="BH2433" s="25"/>
      <c r="BI2433" s="25"/>
      <c r="BJ2433" s="25"/>
      <c r="BK2433" s="25"/>
      <c r="BL2433" s="25"/>
      <c r="BM2433" s="25"/>
      <c r="BN2433" s="25"/>
      <c r="BO2433" s="25"/>
      <c r="BP2433" s="25"/>
      <c r="BQ2433" s="25"/>
      <c r="BR2433" s="25"/>
      <c r="BS2433" s="25"/>
      <c r="BT2433" s="25"/>
      <c r="BU2433"/>
      <c r="BV2433"/>
      <c r="BW2433"/>
      <c r="BX2433"/>
      <c r="BY2433"/>
      <c r="BZ2433"/>
      <c r="CA2433"/>
      <c r="CB2433"/>
      <c r="CC2433"/>
      <c r="CD2433" s="25"/>
    </row>
    <row r="2434" spans="1:82" s="17" customFormat="1" x14ac:dyDescent="0.2">
      <c r="A2434" s="25"/>
      <c r="B2434" s="20">
        <v>39131952400</v>
      </c>
      <c r="C2434" s="20">
        <v>9524</v>
      </c>
      <c r="D2434" s="20" t="s">
        <v>71</v>
      </c>
      <c r="E2434" s="20" t="s">
        <v>265</v>
      </c>
      <c r="F2434" s="20" t="s">
        <v>8</v>
      </c>
      <c r="G2434" s="861">
        <v>37.936467411327797</v>
      </c>
      <c r="H2434" s="861">
        <v>46.2617128449494</v>
      </c>
      <c r="I2434" s="861">
        <v>31.0037212338828</v>
      </c>
      <c r="J2434" s="861">
        <v>35.962435762924699</v>
      </c>
      <c r="K2434" s="982">
        <v>0</v>
      </c>
      <c r="L2434" s="735">
        <v>3158</v>
      </c>
      <c r="M2434" s="735">
        <v>3460</v>
      </c>
      <c r="N2434" s="845">
        <f t="shared" si="182"/>
        <v>9.5630145661811272E-2</v>
      </c>
      <c r="O2434" s="735">
        <v>19.691472251584969</v>
      </c>
      <c r="P2434" s="735">
        <f t="shared" si="183"/>
        <v>175.71057947287329</v>
      </c>
      <c r="Q2434" s="849">
        <v>46.5</v>
      </c>
      <c r="R2434" s="71">
        <v>46859</v>
      </c>
      <c r="S2434" s="845">
        <v>0.14661543009163464</v>
      </c>
      <c r="T2434" s="845">
        <v>2.7999999999999997E-2</v>
      </c>
      <c r="U2434" s="845">
        <v>0</v>
      </c>
      <c r="V2434" s="845">
        <v>0.111</v>
      </c>
      <c r="W2434" s="845">
        <v>0.56502525252525249</v>
      </c>
      <c r="X2434" s="845">
        <v>0.30614525139664805</v>
      </c>
      <c r="Y2434" s="845">
        <v>0.97832369942196529</v>
      </c>
      <c r="Z2434" s="845">
        <v>2.6011560693641619E-3</v>
      </c>
      <c r="AA2434" s="845">
        <v>0</v>
      </c>
      <c r="AB2434" s="845">
        <v>2.6011560693641619E-3</v>
      </c>
      <c r="AC2434" s="845">
        <v>0</v>
      </c>
      <c r="AD2434" s="845">
        <v>0</v>
      </c>
      <c r="AE2434" s="845">
        <v>1.6473988439306357E-2</v>
      </c>
      <c r="AF2434" s="845">
        <v>0</v>
      </c>
      <c r="AG2434" s="845">
        <v>0.97832369942196529</v>
      </c>
      <c r="AH2434" s="20" t="str">
        <f t="shared" si="184"/>
        <v>Yes</v>
      </c>
      <c r="AI2434" s="25"/>
      <c r="AJ2434" s="25"/>
      <c r="AK2434" s="25"/>
      <c r="AL2434" s="25"/>
      <c r="AM2434" s="25"/>
      <c r="AN2434" s="25"/>
      <c r="AO2434" s="25"/>
      <c r="AP2434" s="25"/>
      <c r="AQ2434" s="25"/>
      <c r="AR2434" s="25"/>
      <c r="AS2434" s="25"/>
      <c r="AT2434" s="25"/>
      <c r="AU2434" s="36"/>
      <c r="AV2434" s="36"/>
      <c r="AW2434" s="36"/>
      <c r="AX2434" s="25"/>
      <c r="AY2434" s="25"/>
      <c r="AZ2434" s="25"/>
      <c r="BA2434" s="25"/>
      <c r="BB2434" s="25"/>
      <c r="BC2434" s="25"/>
      <c r="BD2434" s="25"/>
      <c r="BE2434" s="25"/>
      <c r="BF2434" s="25"/>
      <c r="BG2434" s="25"/>
      <c r="BH2434" s="25"/>
      <c r="BI2434" s="25"/>
      <c r="BJ2434" s="25"/>
      <c r="BK2434" s="25"/>
      <c r="BL2434" s="25"/>
      <c r="BM2434" s="25"/>
      <c r="BN2434" s="25"/>
      <c r="BO2434" s="25"/>
      <c r="BP2434" s="25"/>
      <c r="BQ2434" s="25"/>
      <c r="BR2434" s="25"/>
      <c r="BS2434" s="25"/>
      <c r="BT2434" s="25"/>
      <c r="BU2434"/>
      <c r="BV2434"/>
      <c r="BW2434"/>
      <c r="BX2434"/>
      <c r="BY2434"/>
      <c r="BZ2434"/>
      <c r="CA2434"/>
      <c r="CB2434"/>
      <c r="CC2434"/>
      <c r="CD2434" s="25"/>
    </row>
    <row r="2435" spans="1:82" s="17" customFormat="1" x14ac:dyDescent="0.2">
      <c r="A2435" s="25"/>
      <c r="B2435" s="20">
        <v>39113100101</v>
      </c>
      <c r="C2435" s="20">
        <v>1001.01</v>
      </c>
      <c r="D2435" s="20" t="s">
        <v>62</v>
      </c>
      <c r="E2435" s="20" t="s">
        <v>2833</v>
      </c>
      <c r="F2435" s="20" t="s">
        <v>8</v>
      </c>
      <c r="G2435" s="861">
        <v>37.8956629185775</v>
      </c>
      <c r="H2435" s="861">
        <v>46.460828971129899</v>
      </c>
      <c r="I2435" s="861">
        <v>29.555515244085001</v>
      </c>
      <c r="J2435" s="861">
        <v>34.501104485921203</v>
      </c>
      <c r="K2435" s="982">
        <v>0</v>
      </c>
      <c r="L2435" s="735">
        <v>6253</v>
      </c>
      <c r="M2435" s="735">
        <v>5723</v>
      </c>
      <c r="N2435" s="845">
        <f t="shared" si="182"/>
        <v>-8.4759315528546292E-2</v>
      </c>
      <c r="O2435" s="735">
        <v>6.1845561908776485</v>
      </c>
      <c r="P2435" s="735">
        <f t="shared" si="183"/>
        <v>925.3695533466971</v>
      </c>
      <c r="Q2435" s="849">
        <v>49.9</v>
      </c>
      <c r="R2435" s="71">
        <v>58415</v>
      </c>
      <c r="S2435" s="845">
        <v>0.17150956768249467</v>
      </c>
      <c r="T2435" s="845">
        <v>7.2999999999999995E-2</v>
      </c>
      <c r="U2435" s="845">
        <v>0</v>
      </c>
      <c r="V2435" s="845">
        <v>0.17800000000000002</v>
      </c>
      <c r="W2435" s="845">
        <v>0.33222713864306785</v>
      </c>
      <c r="X2435" s="845">
        <v>0.46614872364039955</v>
      </c>
      <c r="Y2435" s="845">
        <v>0.71902848156561239</v>
      </c>
      <c r="Z2435" s="845">
        <v>0.19308055215795911</v>
      </c>
      <c r="AA2435" s="845">
        <v>5.5914730036694038E-3</v>
      </c>
      <c r="AB2435" s="845">
        <v>7.5135418486807623E-3</v>
      </c>
      <c r="AC2435" s="845">
        <v>0</v>
      </c>
      <c r="AD2435" s="845">
        <v>4.1936047527520535E-3</v>
      </c>
      <c r="AE2435" s="845">
        <v>7.0592346671326231E-2</v>
      </c>
      <c r="AF2435" s="845">
        <v>4.5605451686178577E-2</v>
      </c>
      <c r="AG2435" s="845">
        <v>0.69718679014502882</v>
      </c>
      <c r="AH2435" s="20" t="str">
        <f t="shared" si="184"/>
        <v>No</v>
      </c>
      <c r="AI2435" s="25"/>
      <c r="AJ2435" s="25"/>
      <c r="AK2435" s="25"/>
      <c r="AL2435" s="25"/>
      <c r="AM2435" s="25"/>
      <c r="AN2435" s="25"/>
      <c r="AO2435" s="25"/>
      <c r="AP2435" s="25"/>
      <c r="AQ2435" s="25"/>
      <c r="AR2435" s="25"/>
      <c r="AS2435" s="25"/>
      <c r="AT2435" s="25"/>
      <c r="AU2435" s="36"/>
      <c r="AV2435" s="36"/>
      <c r="AW2435" s="36"/>
      <c r="AX2435" s="25"/>
      <c r="AY2435" s="25"/>
      <c r="AZ2435" s="25"/>
      <c r="BA2435" s="25"/>
      <c r="BB2435" s="25"/>
      <c r="BC2435" s="25"/>
      <c r="BD2435" s="25"/>
      <c r="BE2435" s="25"/>
      <c r="BF2435" s="25"/>
      <c r="BG2435" s="25"/>
      <c r="BH2435" s="25"/>
      <c r="BI2435" s="25"/>
      <c r="BJ2435" s="25"/>
      <c r="BK2435" s="25"/>
      <c r="BL2435" s="25"/>
      <c r="BM2435" s="25"/>
      <c r="BN2435" s="25"/>
      <c r="BO2435" s="25"/>
      <c r="BP2435" s="25"/>
      <c r="BQ2435" s="25"/>
      <c r="BR2435" s="25"/>
      <c r="BS2435" s="25"/>
      <c r="BT2435" s="25"/>
      <c r="BU2435"/>
      <c r="BV2435"/>
      <c r="BW2435"/>
      <c r="BX2435"/>
      <c r="BY2435"/>
      <c r="BZ2435"/>
      <c r="CA2435"/>
      <c r="CB2435"/>
      <c r="CC2435"/>
      <c r="CD2435" s="25"/>
    </row>
    <row r="2436" spans="1:82" s="17" customFormat="1" x14ac:dyDescent="0.2">
      <c r="A2436" s="25"/>
      <c r="B2436" s="20">
        <v>39145003700</v>
      </c>
      <c r="C2436" s="20">
        <v>37</v>
      </c>
      <c r="D2436" s="20" t="s">
        <v>78</v>
      </c>
      <c r="E2436" s="20" t="s">
        <v>265</v>
      </c>
      <c r="F2436" s="20" t="s">
        <v>6</v>
      </c>
      <c r="G2436" s="861">
        <v>37.881291176385602</v>
      </c>
      <c r="H2436" s="861">
        <v>39.290530079415298</v>
      </c>
      <c r="I2436" s="861">
        <v>31.198845205236601</v>
      </c>
      <c r="J2436" s="861">
        <v>37.879175252517598</v>
      </c>
      <c r="K2436" s="982">
        <v>0</v>
      </c>
      <c r="L2436" s="735">
        <v>3422</v>
      </c>
      <c r="M2436" s="735">
        <v>2718</v>
      </c>
      <c r="N2436" s="845">
        <f t="shared" si="182"/>
        <v>-0.20572764465225016</v>
      </c>
      <c r="O2436" s="735">
        <v>0.49446752093390889</v>
      </c>
      <c r="P2436" s="735">
        <f t="shared" si="183"/>
        <v>5496.8221064681238</v>
      </c>
      <c r="Q2436" s="849">
        <v>39.799999999999997</v>
      </c>
      <c r="R2436" s="71">
        <v>28644</v>
      </c>
      <c r="S2436" s="845">
        <v>0.51291939838025458</v>
      </c>
      <c r="T2436" s="845">
        <v>0.121</v>
      </c>
      <c r="U2436" s="845">
        <v>5.0999999999999997E-2</v>
      </c>
      <c r="V2436" s="845">
        <v>0</v>
      </c>
      <c r="W2436" s="845">
        <v>0.65407220822837953</v>
      </c>
      <c r="X2436" s="845">
        <v>0.24775353016688062</v>
      </c>
      <c r="Y2436" s="845">
        <v>0.72774098601913173</v>
      </c>
      <c r="Z2436" s="845">
        <v>0.15562913907284767</v>
      </c>
      <c r="AA2436" s="845">
        <v>0</v>
      </c>
      <c r="AB2436" s="845">
        <v>2.9433406916850625E-2</v>
      </c>
      <c r="AC2436" s="845">
        <v>4.0470934510669614E-3</v>
      </c>
      <c r="AD2436" s="845">
        <v>5.5187637969094927E-3</v>
      </c>
      <c r="AE2436" s="845">
        <v>7.7630610743193523E-2</v>
      </c>
      <c r="AF2436" s="845">
        <v>4.3046357615894038E-2</v>
      </c>
      <c r="AG2436" s="845">
        <v>0.69720382634289924</v>
      </c>
      <c r="AH2436" s="20" t="str">
        <f t="shared" si="184"/>
        <v>No</v>
      </c>
      <c r="AI2436" s="25"/>
      <c r="AJ2436" s="25"/>
      <c r="AK2436" s="25"/>
      <c r="AL2436" s="25"/>
      <c r="AM2436" s="25"/>
      <c r="AN2436" s="25"/>
      <c r="AO2436" s="25"/>
      <c r="AP2436" s="25"/>
      <c r="AQ2436" s="25"/>
      <c r="AR2436" s="25"/>
      <c r="AS2436" s="25"/>
      <c r="AT2436" s="25"/>
      <c r="AU2436" s="36"/>
      <c r="AV2436" s="36"/>
      <c r="AW2436" s="36"/>
      <c r="AX2436" s="25"/>
      <c r="AY2436" s="25"/>
      <c r="AZ2436" s="25"/>
      <c r="BA2436" s="25"/>
      <c r="BB2436" s="25"/>
      <c r="BC2436" s="25"/>
      <c r="BD2436" s="25"/>
      <c r="BE2436" s="25"/>
      <c r="BF2436" s="25"/>
      <c r="BG2436" s="25"/>
      <c r="BH2436" s="25"/>
      <c r="BI2436" s="25"/>
      <c r="BJ2436" s="25"/>
      <c r="BK2436" s="25"/>
      <c r="BL2436" s="25"/>
      <c r="BM2436" s="25"/>
      <c r="BN2436" s="25"/>
      <c r="BO2436" s="25"/>
      <c r="BP2436" s="25"/>
      <c r="BQ2436" s="25"/>
      <c r="BR2436" s="25"/>
      <c r="BS2436" s="25"/>
      <c r="BT2436" s="25"/>
      <c r="BU2436"/>
      <c r="BV2436"/>
      <c r="BW2436"/>
      <c r="BX2436"/>
      <c r="BY2436"/>
      <c r="BZ2436"/>
      <c r="CA2436"/>
      <c r="CB2436"/>
      <c r="CC2436"/>
      <c r="CD2436" s="25"/>
    </row>
    <row r="2437" spans="1:82" s="17" customFormat="1" x14ac:dyDescent="0.2">
      <c r="A2437" s="25"/>
      <c r="B2437" s="20">
        <v>39045032601</v>
      </c>
      <c r="C2437" s="20">
        <v>326.01</v>
      </c>
      <c r="D2437" s="20" t="s">
        <v>29</v>
      </c>
      <c r="E2437" s="20" t="s">
        <v>2830</v>
      </c>
      <c r="F2437" s="20" t="s">
        <v>8</v>
      </c>
      <c r="G2437" s="861">
        <v>37.852491314031603</v>
      </c>
      <c r="H2437" s="861">
        <v>57.340315601467204</v>
      </c>
      <c r="I2437" s="861">
        <v>19.226997930254999</v>
      </c>
      <c r="J2437" s="861">
        <v>51.163540716724199</v>
      </c>
      <c r="K2437" s="982">
        <v>0</v>
      </c>
      <c r="L2437" s="735" t="s">
        <v>2466</v>
      </c>
      <c r="M2437" s="735">
        <v>3343</v>
      </c>
      <c r="N2437" s="845" t="str">
        <f t="shared" si="182"/>
        <v/>
      </c>
      <c r="O2437" s="735">
        <v>27.277856113401231</v>
      </c>
      <c r="P2437" s="735">
        <f t="shared" si="183"/>
        <v>122.55361954041655</v>
      </c>
      <c r="Q2437" s="849">
        <v>33.9</v>
      </c>
      <c r="R2437" s="71">
        <v>89671</v>
      </c>
      <c r="S2437" s="845">
        <v>7.5579644685335748E-2</v>
      </c>
      <c r="T2437" s="845">
        <v>5.2000000000000005E-2</v>
      </c>
      <c r="U2437" s="845">
        <v>8.0000000000000002E-3</v>
      </c>
      <c r="V2437" s="845">
        <v>0</v>
      </c>
      <c r="W2437" s="845">
        <v>0.13063477460901565</v>
      </c>
      <c r="X2437" s="845">
        <v>0.35915492957746481</v>
      </c>
      <c r="Y2437" s="845">
        <v>0.99162428956027515</v>
      </c>
      <c r="Z2437" s="845">
        <v>0</v>
      </c>
      <c r="AA2437" s="845">
        <v>0</v>
      </c>
      <c r="AB2437" s="845">
        <v>3.8887227041579419E-3</v>
      </c>
      <c r="AC2437" s="845">
        <v>0</v>
      </c>
      <c r="AD2437" s="845">
        <v>1.7947950942267424E-3</v>
      </c>
      <c r="AE2437" s="845">
        <v>2.6921926413401138E-3</v>
      </c>
      <c r="AF2437" s="845">
        <v>0</v>
      </c>
      <c r="AG2437" s="845">
        <v>0.99162428956027515</v>
      </c>
      <c r="AH2437" s="20" t="str">
        <f t="shared" si="184"/>
        <v>Yes</v>
      </c>
      <c r="AI2437" s="25"/>
      <c r="AJ2437" s="25"/>
      <c r="AK2437" s="25"/>
      <c r="AL2437" s="25"/>
      <c r="AM2437" s="25"/>
      <c r="AN2437" s="25"/>
      <c r="AO2437" s="25"/>
      <c r="AP2437" s="25"/>
      <c r="AQ2437" s="25"/>
      <c r="AR2437" s="25"/>
      <c r="AS2437" s="25"/>
      <c r="AT2437" s="25"/>
      <c r="AU2437" s="36"/>
      <c r="AV2437" s="36"/>
      <c r="AW2437" s="36"/>
      <c r="AX2437" s="25"/>
      <c r="AY2437" s="25"/>
      <c r="AZ2437" s="25"/>
      <c r="BA2437" s="25"/>
      <c r="BB2437" s="25"/>
      <c r="BC2437" s="25"/>
      <c r="BD2437" s="25"/>
      <c r="BE2437" s="25"/>
      <c r="BF2437" s="25"/>
      <c r="BG2437" s="25"/>
      <c r="BH2437" s="25"/>
      <c r="BI2437" s="25"/>
      <c r="BJ2437" s="25"/>
      <c r="BK2437" s="25"/>
      <c r="BL2437" s="25"/>
      <c r="BM2437" s="25"/>
      <c r="BN2437" s="25"/>
      <c r="BO2437" s="25"/>
      <c r="BP2437" s="25"/>
      <c r="BQ2437" s="25"/>
      <c r="BR2437" s="25"/>
      <c r="BS2437" s="25"/>
      <c r="BT2437" s="25"/>
      <c r="BU2437"/>
      <c r="BV2437"/>
      <c r="BW2437"/>
      <c r="BX2437"/>
      <c r="BY2437"/>
      <c r="BZ2437"/>
      <c r="CA2437"/>
      <c r="CB2437"/>
      <c r="CC2437"/>
      <c r="CD2437" s="25"/>
    </row>
    <row r="2438" spans="1:82" s="17" customFormat="1" x14ac:dyDescent="0.2">
      <c r="A2438" s="25"/>
      <c r="B2438" s="20">
        <v>39007001202</v>
      </c>
      <c r="C2438" s="20">
        <v>12.02</v>
      </c>
      <c r="D2438" s="20" t="s">
        <v>10</v>
      </c>
      <c r="E2438" s="20" t="s">
        <v>2829</v>
      </c>
      <c r="F2438" s="20" t="s">
        <v>8</v>
      </c>
      <c r="G2438" s="861">
        <v>37.759647600847202</v>
      </c>
      <c r="H2438" s="861">
        <v>43.847328215002698</v>
      </c>
      <c r="I2438" s="861">
        <v>17.295349833151299</v>
      </c>
      <c r="J2438" s="861">
        <v>51.722788926093898</v>
      </c>
      <c r="K2438" s="982">
        <v>0</v>
      </c>
      <c r="L2438" s="735" t="s">
        <v>2466</v>
      </c>
      <c r="M2438" s="735">
        <v>3754</v>
      </c>
      <c r="N2438" s="845" t="str">
        <f t="shared" si="182"/>
        <v/>
      </c>
      <c r="O2438" s="735">
        <v>67.58784386851876</v>
      </c>
      <c r="P2438" s="735">
        <f t="shared" si="183"/>
        <v>55.542532282917634</v>
      </c>
      <c r="Q2438" s="849">
        <v>37.6</v>
      </c>
      <c r="R2438" s="71">
        <v>70293</v>
      </c>
      <c r="S2438" s="845">
        <v>0.11933937133724028</v>
      </c>
      <c r="T2438" s="845">
        <v>8.6999999999999994E-2</v>
      </c>
      <c r="U2438" s="845">
        <v>0</v>
      </c>
      <c r="V2438" s="845">
        <v>0.156</v>
      </c>
      <c r="W2438" s="845">
        <v>0.12025769506084466</v>
      </c>
      <c r="X2438" s="845">
        <v>0.68452380952380953</v>
      </c>
      <c r="Y2438" s="845">
        <v>0.97815663292488009</v>
      </c>
      <c r="Z2438" s="845">
        <v>0</v>
      </c>
      <c r="AA2438" s="845">
        <v>0</v>
      </c>
      <c r="AB2438" s="845">
        <v>0</v>
      </c>
      <c r="AC2438" s="845">
        <v>0</v>
      </c>
      <c r="AD2438" s="845">
        <v>0</v>
      </c>
      <c r="AE2438" s="845">
        <v>2.1843367075119871E-2</v>
      </c>
      <c r="AF2438" s="845">
        <v>6.9259456579648373E-3</v>
      </c>
      <c r="AG2438" s="845">
        <v>0.97815663292488009</v>
      </c>
      <c r="AH2438" s="20" t="str">
        <f t="shared" si="184"/>
        <v>Yes</v>
      </c>
      <c r="AI2438" s="25"/>
      <c r="AJ2438" s="25"/>
      <c r="AK2438" s="25"/>
      <c r="AL2438" s="25"/>
      <c r="AM2438" s="25"/>
      <c r="AN2438" s="25"/>
      <c r="AO2438" s="25"/>
      <c r="AP2438" s="25"/>
      <c r="AQ2438" s="25"/>
      <c r="AR2438" s="25"/>
      <c r="AS2438" s="25"/>
      <c r="AT2438" s="25"/>
      <c r="AU2438" s="36"/>
      <c r="AV2438" s="36"/>
      <c r="AW2438" s="36"/>
      <c r="AX2438" s="25"/>
      <c r="AY2438" s="25"/>
      <c r="AZ2438" s="25"/>
      <c r="BA2438" s="25"/>
      <c r="BB2438" s="25"/>
      <c r="BC2438" s="25"/>
      <c r="BD2438" s="25"/>
      <c r="BE2438" s="25"/>
      <c r="BF2438" s="25"/>
      <c r="BG2438" s="25"/>
      <c r="BH2438" s="25"/>
      <c r="BI2438" s="25"/>
      <c r="BJ2438" s="25"/>
      <c r="BK2438" s="25"/>
      <c r="BL2438" s="25"/>
      <c r="BM2438" s="25"/>
      <c r="BN2438" s="25"/>
      <c r="BO2438" s="25"/>
      <c r="BP2438" s="25"/>
      <c r="BQ2438" s="25"/>
      <c r="BR2438" s="25"/>
      <c r="BS2438" s="25"/>
      <c r="BT2438" s="25"/>
      <c r="BU2438"/>
      <c r="BV2438"/>
      <c r="BW2438"/>
      <c r="BX2438"/>
      <c r="BY2438"/>
      <c r="BZ2438"/>
      <c r="CA2438"/>
      <c r="CB2438"/>
      <c r="CC2438"/>
      <c r="CD2438" s="25"/>
    </row>
    <row r="2439" spans="1:82" s="17" customFormat="1" x14ac:dyDescent="0.2">
      <c r="A2439" s="25"/>
      <c r="B2439" s="20">
        <v>39153508900</v>
      </c>
      <c r="C2439" s="20">
        <v>5089</v>
      </c>
      <c r="D2439" s="20" t="s">
        <v>82</v>
      </c>
      <c r="E2439" s="20" t="s">
        <v>2843</v>
      </c>
      <c r="F2439" s="20" t="s">
        <v>6</v>
      </c>
      <c r="G2439" s="861">
        <v>37.693878750583501</v>
      </c>
      <c r="H2439" s="861">
        <v>65.125067162915002</v>
      </c>
      <c r="I2439" s="861">
        <v>70.745174908030606</v>
      </c>
      <c r="J2439" s="861">
        <v>45.400015139773998</v>
      </c>
      <c r="K2439" s="982">
        <v>0</v>
      </c>
      <c r="L2439" s="735">
        <v>4531</v>
      </c>
      <c r="M2439" s="735">
        <v>4129</v>
      </c>
      <c r="N2439" s="845">
        <f t="shared" si="182"/>
        <v>-8.8722136393732068E-2</v>
      </c>
      <c r="O2439" s="735">
        <v>0.99311150891731315</v>
      </c>
      <c r="P2439" s="735">
        <f t="shared" si="183"/>
        <v>4157.6398651360132</v>
      </c>
      <c r="Q2439" s="849">
        <v>20.6</v>
      </c>
      <c r="R2439" s="71">
        <v>31788</v>
      </c>
      <c r="S2439" s="845">
        <v>0.40826873385012918</v>
      </c>
      <c r="T2439" s="845">
        <v>8.3000000000000004E-2</v>
      </c>
      <c r="U2439" s="845">
        <v>0</v>
      </c>
      <c r="V2439" s="845">
        <v>9.0999999999999998E-2</v>
      </c>
      <c r="W2439" s="845">
        <v>0.99056603773584906</v>
      </c>
      <c r="X2439" s="845">
        <v>0.62095238095238092</v>
      </c>
      <c r="Y2439" s="845">
        <v>0.62727052555098084</v>
      </c>
      <c r="Z2439" s="845">
        <v>0.20755630903366432</v>
      </c>
      <c r="AA2439" s="845">
        <v>2.4218939210462581E-4</v>
      </c>
      <c r="AB2439" s="845">
        <v>9.0336643255025426E-2</v>
      </c>
      <c r="AC2439" s="845">
        <v>0</v>
      </c>
      <c r="AD2439" s="845">
        <v>1.2351658997335917E-2</v>
      </c>
      <c r="AE2439" s="845">
        <v>6.2242673770888837E-2</v>
      </c>
      <c r="AF2439" s="845">
        <v>3.7297166384112374E-2</v>
      </c>
      <c r="AG2439" s="845">
        <v>0.61734076047469122</v>
      </c>
      <c r="AH2439" s="20" t="str">
        <f t="shared" si="184"/>
        <v>No</v>
      </c>
      <c r="AI2439" s="25"/>
      <c r="AJ2439" s="25"/>
      <c r="AK2439" s="25"/>
      <c r="AL2439" s="25"/>
      <c r="AM2439" s="25"/>
      <c r="AN2439" s="25"/>
      <c r="AO2439" s="25"/>
      <c r="AP2439" s="25"/>
      <c r="AQ2439" s="25"/>
      <c r="AR2439" s="25"/>
      <c r="AS2439" s="25"/>
      <c r="AT2439" s="25"/>
      <c r="AU2439" s="36"/>
      <c r="AV2439" s="36"/>
      <c r="AW2439" s="36"/>
      <c r="AX2439" s="25"/>
      <c r="AY2439" s="25"/>
      <c r="AZ2439" s="25"/>
      <c r="BA2439" s="25"/>
      <c r="BB2439" s="25"/>
      <c r="BC2439" s="25"/>
      <c r="BD2439" s="25"/>
      <c r="BE2439" s="25"/>
      <c r="BF2439" s="25"/>
      <c r="BG2439" s="25"/>
      <c r="BH2439" s="25"/>
      <c r="BI2439" s="25"/>
      <c r="BJ2439" s="25"/>
      <c r="BK2439" s="25"/>
      <c r="BL2439" s="25"/>
      <c r="BM2439" s="25"/>
      <c r="BN2439" s="25"/>
      <c r="BO2439" s="25"/>
      <c r="BP2439" s="25"/>
      <c r="BQ2439" s="25"/>
      <c r="BR2439" s="25"/>
      <c r="BS2439" s="25"/>
      <c r="BT2439" s="25"/>
      <c r="BU2439"/>
      <c r="BV2439"/>
      <c r="BW2439"/>
      <c r="BX2439"/>
      <c r="BY2439"/>
      <c r="BZ2439"/>
      <c r="CA2439"/>
      <c r="CB2439"/>
      <c r="CC2439"/>
      <c r="CD2439" s="25"/>
    </row>
    <row r="2440" spans="1:82" s="17" customFormat="1" x14ac:dyDescent="0.2">
      <c r="A2440" s="25"/>
      <c r="B2440" s="20">
        <v>39007001201</v>
      </c>
      <c r="C2440" s="20">
        <v>12.01</v>
      </c>
      <c r="D2440" s="20" t="s">
        <v>10</v>
      </c>
      <c r="E2440" s="20" t="s">
        <v>2829</v>
      </c>
      <c r="F2440" s="20" t="s">
        <v>8</v>
      </c>
      <c r="G2440" s="861">
        <v>37.661840541756497</v>
      </c>
      <c r="H2440" s="861">
        <v>53.0061276475152</v>
      </c>
      <c r="I2440" s="861">
        <v>25.9812742970716</v>
      </c>
      <c r="J2440" s="861">
        <v>49.849233161056198</v>
      </c>
      <c r="K2440" s="982">
        <v>0</v>
      </c>
      <c r="L2440" s="735" t="s">
        <v>2466</v>
      </c>
      <c r="M2440" s="735">
        <v>3365</v>
      </c>
      <c r="N2440" s="845" t="str">
        <f t="shared" si="182"/>
        <v/>
      </c>
      <c r="O2440" s="735">
        <v>64.047974336067512</v>
      </c>
      <c r="P2440" s="735">
        <f t="shared" si="183"/>
        <v>52.53874201147152</v>
      </c>
      <c r="Q2440" s="849">
        <v>41.4</v>
      </c>
      <c r="R2440" s="71">
        <v>70670</v>
      </c>
      <c r="S2440" s="845">
        <v>6.5081723625557211E-2</v>
      </c>
      <c r="T2440" s="845">
        <v>8.0000000000000002E-3</v>
      </c>
      <c r="U2440" s="845">
        <v>0</v>
      </c>
      <c r="V2440" s="845">
        <v>0</v>
      </c>
      <c r="W2440" s="845">
        <v>0.17140661029976942</v>
      </c>
      <c r="X2440" s="845">
        <v>0.3094170403587444</v>
      </c>
      <c r="Y2440" s="845">
        <v>0.83833580980683509</v>
      </c>
      <c r="Z2440" s="845">
        <v>1.099554234769688E-2</v>
      </c>
      <c r="AA2440" s="845">
        <v>1.7830609212481426E-3</v>
      </c>
      <c r="AB2440" s="845">
        <v>4.1604754829123328E-3</v>
      </c>
      <c r="AC2440" s="845">
        <v>0</v>
      </c>
      <c r="AD2440" s="845">
        <v>0</v>
      </c>
      <c r="AE2440" s="845">
        <v>0.14472511144130759</v>
      </c>
      <c r="AF2440" s="845">
        <v>1.1589895988112928E-2</v>
      </c>
      <c r="AG2440" s="845">
        <v>0.83833580980683509</v>
      </c>
      <c r="AH2440" s="20" t="str">
        <f t="shared" si="184"/>
        <v>No</v>
      </c>
      <c r="AI2440" s="25"/>
      <c r="AJ2440" s="25"/>
      <c r="AK2440" s="25"/>
      <c r="AL2440" s="25"/>
      <c r="AM2440" s="25"/>
      <c r="AN2440" s="25"/>
      <c r="AO2440" s="25"/>
      <c r="AP2440" s="25"/>
      <c r="AQ2440" s="25"/>
      <c r="AR2440" s="25"/>
      <c r="AS2440" s="25"/>
      <c r="AT2440" s="25"/>
      <c r="AU2440" s="36"/>
      <c r="AV2440" s="36"/>
      <c r="AW2440" s="36"/>
      <c r="AX2440" s="25"/>
      <c r="AY2440" s="25"/>
      <c r="AZ2440" s="25"/>
      <c r="BA2440" s="25"/>
      <c r="BB2440" s="25"/>
      <c r="BC2440" s="25"/>
      <c r="BD2440" s="25"/>
      <c r="BE2440" s="25"/>
      <c r="BF2440" s="25"/>
      <c r="BG2440" s="25"/>
      <c r="BH2440" s="25"/>
      <c r="BI2440" s="25"/>
      <c r="BJ2440" s="25"/>
      <c r="BK2440" s="25"/>
      <c r="BL2440" s="25"/>
      <c r="BM2440" s="25"/>
      <c r="BN2440" s="25"/>
      <c r="BO2440" s="25"/>
      <c r="BP2440" s="25"/>
      <c r="BQ2440" s="25"/>
      <c r="BR2440" s="25"/>
      <c r="BS2440" s="25"/>
      <c r="BT2440" s="25"/>
      <c r="BU2440"/>
      <c r="BV2440"/>
      <c r="BW2440"/>
      <c r="BX2440"/>
      <c r="BY2440"/>
      <c r="BZ2440"/>
      <c r="CA2440"/>
      <c r="CB2440"/>
      <c r="CC2440"/>
      <c r="CD2440" s="25"/>
    </row>
    <row r="2441" spans="1:82" s="17" customFormat="1" x14ac:dyDescent="0.2">
      <c r="A2441" s="25"/>
      <c r="B2441" s="20">
        <v>39017014900</v>
      </c>
      <c r="C2441" s="20">
        <v>149</v>
      </c>
      <c r="D2441" s="20" t="s">
        <v>15</v>
      </c>
      <c r="E2441" s="20" t="s">
        <v>2828</v>
      </c>
      <c r="F2441" s="20" t="s">
        <v>8</v>
      </c>
      <c r="G2441" s="861">
        <v>37.6601738440012</v>
      </c>
      <c r="H2441" s="861">
        <v>55.395586514885601</v>
      </c>
      <c r="I2441" s="861">
        <v>21.406106744528099</v>
      </c>
      <c r="J2441" s="861">
        <v>40.147694848321102</v>
      </c>
      <c r="K2441" s="982">
        <v>0</v>
      </c>
      <c r="L2441" s="735">
        <v>5006</v>
      </c>
      <c r="M2441" s="735">
        <v>5419</v>
      </c>
      <c r="N2441" s="845">
        <f t="shared" si="182"/>
        <v>8.2500998801438269E-2</v>
      </c>
      <c r="O2441" s="735">
        <v>5.3291194452626272</v>
      </c>
      <c r="P2441" s="735">
        <f t="shared" si="183"/>
        <v>1016.8659298521209</v>
      </c>
      <c r="Q2441" s="849">
        <v>32.200000000000003</v>
      </c>
      <c r="R2441" s="71">
        <v>97393</v>
      </c>
      <c r="S2441" s="845">
        <v>5.1571164510166356E-2</v>
      </c>
      <c r="T2441" s="845">
        <v>5.2999999999999999E-2</v>
      </c>
      <c r="U2441" s="845">
        <v>0</v>
      </c>
      <c r="V2441" s="845">
        <v>0.21100000000000002</v>
      </c>
      <c r="W2441" s="845">
        <v>0.22429378531073446</v>
      </c>
      <c r="X2441" s="845">
        <v>0.19899244332493704</v>
      </c>
      <c r="Y2441" s="845">
        <v>0.91658977671157038</v>
      </c>
      <c r="Z2441" s="845">
        <v>3.3031924709355967E-2</v>
      </c>
      <c r="AA2441" s="845">
        <v>3.5061819523897397E-3</v>
      </c>
      <c r="AB2441" s="845">
        <v>8.857722827089869E-3</v>
      </c>
      <c r="AC2441" s="845">
        <v>0</v>
      </c>
      <c r="AD2441" s="845">
        <v>1.5316479055176233E-2</v>
      </c>
      <c r="AE2441" s="845">
        <v>2.2697914744417791E-2</v>
      </c>
      <c r="AF2441" s="845">
        <v>1.6792766193024545E-2</v>
      </c>
      <c r="AG2441" s="845">
        <v>0.91658977671157038</v>
      </c>
      <c r="AH2441" s="20" t="str">
        <f t="shared" si="184"/>
        <v>Yes</v>
      </c>
      <c r="AI2441" s="25"/>
      <c r="AJ2441" s="25"/>
      <c r="AK2441" s="25"/>
      <c r="AL2441" s="25"/>
      <c r="AM2441" s="25"/>
      <c r="AN2441" s="25"/>
      <c r="AO2441" s="25"/>
      <c r="AP2441" s="25"/>
      <c r="AQ2441" s="25"/>
      <c r="AR2441" s="25"/>
      <c r="AS2441" s="25"/>
      <c r="AT2441" s="25"/>
      <c r="AU2441" s="36"/>
      <c r="AV2441" s="36"/>
      <c r="AW2441" s="36"/>
      <c r="AX2441" s="25"/>
      <c r="AY2441" s="25"/>
      <c r="AZ2441" s="25"/>
      <c r="BA2441" s="25"/>
      <c r="BB2441" s="25"/>
      <c r="BC2441" s="25"/>
      <c r="BD2441" s="25"/>
      <c r="BE2441" s="25"/>
      <c r="BF2441" s="25"/>
      <c r="BG2441" s="25"/>
      <c r="BH2441" s="25"/>
      <c r="BI2441" s="25"/>
      <c r="BJ2441" s="25"/>
      <c r="BK2441" s="25"/>
      <c r="BL2441" s="25"/>
      <c r="BM2441" s="25"/>
      <c r="BN2441" s="25"/>
      <c r="BO2441" s="25"/>
      <c r="BP2441" s="25"/>
      <c r="BQ2441" s="25"/>
      <c r="BR2441" s="25"/>
      <c r="BS2441" s="25"/>
      <c r="BT2441" s="25"/>
      <c r="BU2441"/>
      <c r="BV2441"/>
      <c r="BW2441"/>
      <c r="BX2441"/>
      <c r="BY2441"/>
      <c r="BZ2441"/>
      <c r="CA2441"/>
      <c r="CB2441"/>
      <c r="CC2441"/>
      <c r="CD2441" s="25"/>
    </row>
    <row r="2442" spans="1:82" s="17" customFormat="1" x14ac:dyDescent="0.2">
      <c r="A2442" s="25"/>
      <c r="B2442" s="20">
        <v>39153508800</v>
      </c>
      <c r="C2442" s="20">
        <v>5088</v>
      </c>
      <c r="D2442" s="20" t="s">
        <v>82</v>
      </c>
      <c r="E2442" s="20" t="s">
        <v>2843</v>
      </c>
      <c r="F2442" s="20" t="s">
        <v>6</v>
      </c>
      <c r="G2442" s="861">
        <v>37.641526539167501</v>
      </c>
      <c r="H2442" s="861">
        <v>45.457575160162001</v>
      </c>
      <c r="I2442" s="861">
        <v>58.470679757501699</v>
      </c>
      <c r="J2442" s="861">
        <v>37.800345111653698</v>
      </c>
      <c r="K2442" s="982">
        <v>0</v>
      </c>
      <c r="L2442" s="735">
        <v>6303</v>
      </c>
      <c r="M2442" s="735">
        <v>5438</v>
      </c>
      <c r="N2442" s="845">
        <f t="shared" si="182"/>
        <v>-0.13723623671267651</v>
      </c>
      <c r="O2442" s="735">
        <v>2.1646863853749507</v>
      </c>
      <c r="P2442" s="735">
        <f t="shared" si="183"/>
        <v>2512.1421914694911</v>
      </c>
      <c r="Q2442" s="849">
        <v>46.1</v>
      </c>
      <c r="R2442" s="71">
        <v>40600</v>
      </c>
      <c r="S2442" s="845">
        <v>0.29073188672305994</v>
      </c>
      <c r="T2442" s="845">
        <v>3.6000000000000004E-2</v>
      </c>
      <c r="U2442" s="845">
        <v>0.01</v>
      </c>
      <c r="V2442" s="845">
        <v>0</v>
      </c>
      <c r="W2442" s="845">
        <v>0.44471744471744473</v>
      </c>
      <c r="X2442" s="845">
        <v>0.74217311233885819</v>
      </c>
      <c r="Y2442" s="845">
        <v>0.14141228392791466</v>
      </c>
      <c r="Z2442" s="845">
        <v>0.75303420375137919</v>
      </c>
      <c r="AA2442" s="845">
        <v>0</v>
      </c>
      <c r="AB2442" s="845">
        <v>1.1217359323280617E-2</v>
      </c>
      <c r="AC2442" s="845">
        <v>0</v>
      </c>
      <c r="AD2442" s="845">
        <v>0</v>
      </c>
      <c r="AE2442" s="845">
        <v>9.4336152997425524E-2</v>
      </c>
      <c r="AF2442" s="845">
        <v>2.4641412283927914E-2</v>
      </c>
      <c r="AG2442" s="845">
        <v>0.13424052960647298</v>
      </c>
      <c r="AH2442" s="20" t="str">
        <f t="shared" si="184"/>
        <v>No</v>
      </c>
      <c r="AI2442" s="25"/>
      <c r="AJ2442" s="25"/>
      <c r="AK2442" s="25"/>
      <c r="AL2442" s="25"/>
      <c r="AM2442" s="25"/>
      <c r="AN2442" s="25"/>
      <c r="AO2442" s="25"/>
      <c r="AP2442" s="25"/>
      <c r="AQ2442" s="25"/>
      <c r="AR2442" s="25"/>
      <c r="AS2442" s="25"/>
      <c r="AT2442" s="25"/>
      <c r="AU2442" s="36"/>
      <c r="AV2442" s="36"/>
      <c r="AW2442" s="36"/>
      <c r="AX2442" s="25"/>
      <c r="AY2442" s="25"/>
      <c r="AZ2442" s="25"/>
      <c r="BA2442" s="25"/>
      <c r="BB2442" s="25"/>
      <c r="BC2442" s="25"/>
      <c r="BD2442" s="25"/>
      <c r="BE2442" s="25"/>
      <c r="BF2442" s="25"/>
      <c r="BG2442" s="25"/>
      <c r="BH2442" s="25"/>
      <c r="BI2442" s="25"/>
      <c r="BJ2442" s="25"/>
      <c r="BK2442" s="25"/>
      <c r="BL2442" s="25"/>
      <c r="BM2442" s="25"/>
      <c r="BN2442" s="25"/>
      <c r="BO2442" s="25"/>
      <c r="BP2442" s="25"/>
      <c r="BQ2442" s="25"/>
      <c r="BR2442" s="25"/>
      <c r="BS2442" s="25"/>
      <c r="BT2442" s="25"/>
      <c r="BU2442"/>
      <c r="BV2442"/>
      <c r="BW2442"/>
      <c r="BX2442"/>
      <c r="BY2442"/>
      <c r="BZ2442"/>
      <c r="CA2442"/>
      <c r="CB2442"/>
      <c r="CC2442"/>
      <c r="CD2442" s="25"/>
    </row>
    <row r="2443" spans="1:82" s="17" customFormat="1" x14ac:dyDescent="0.2">
      <c r="A2443" s="25"/>
      <c r="B2443" s="20">
        <v>39049007534</v>
      </c>
      <c r="C2443" s="20">
        <v>75.34</v>
      </c>
      <c r="D2443" s="20" t="s">
        <v>31</v>
      </c>
      <c r="E2443" s="20" t="s">
        <v>2830</v>
      </c>
      <c r="F2443" s="20" t="s">
        <v>6</v>
      </c>
      <c r="G2443" s="861">
        <v>37.637049324371503</v>
      </c>
      <c r="H2443" s="861">
        <v>33.722997233651299</v>
      </c>
      <c r="I2443" s="861">
        <v>54.586462158584197</v>
      </c>
      <c r="J2443" s="861">
        <v>52.516308116890002</v>
      </c>
      <c r="K2443" s="982">
        <v>0</v>
      </c>
      <c r="L2443" s="735">
        <v>3262</v>
      </c>
      <c r="M2443" s="735">
        <v>4126</v>
      </c>
      <c r="N2443" s="845">
        <f t="shared" ref="N2443:N2506" si="185">IF(OR(L2443="",M2443=""),"",(M2443-L2443)/L2443)</f>
        <v>0.26486817903126914</v>
      </c>
      <c r="O2443" s="735">
        <v>0.88968516538865505</v>
      </c>
      <c r="P2443" s="735">
        <f t="shared" ref="P2443:P2506" si="186">M2443/O2443</f>
        <v>4637.5955905677883</v>
      </c>
      <c r="Q2443" s="849">
        <v>32.9</v>
      </c>
      <c r="R2443" s="71">
        <v>39712</v>
      </c>
      <c r="S2443" s="845">
        <v>0.2949499878019029</v>
      </c>
      <c r="T2443" s="845">
        <v>0.157</v>
      </c>
      <c r="U2443" s="845">
        <v>0</v>
      </c>
      <c r="V2443" s="845">
        <v>2.1000000000000001E-2</v>
      </c>
      <c r="W2443" s="845">
        <v>0.60942028985507246</v>
      </c>
      <c r="X2443" s="845">
        <v>0.50059453032104639</v>
      </c>
      <c r="Y2443" s="845">
        <v>0.11269995152690257</v>
      </c>
      <c r="Z2443" s="845">
        <v>0.77823557925351428</v>
      </c>
      <c r="AA2443" s="845">
        <v>5.3320407174018416E-3</v>
      </c>
      <c r="AB2443" s="845">
        <v>3.3931168201648087E-3</v>
      </c>
      <c r="AC2443" s="845">
        <v>0</v>
      </c>
      <c r="AD2443" s="845">
        <v>3.32040717401842E-2</v>
      </c>
      <c r="AE2443" s="845">
        <v>6.7135239941832278E-2</v>
      </c>
      <c r="AF2443" s="845">
        <v>9.331071255453223E-2</v>
      </c>
      <c r="AG2443" s="845">
        <v>9.3795443528841491E-2</v>
      </c>
      <c r="AH2443" s="20" t="str">
        <f t="shared" ref="AH2443:AH2506" si="187">IF(AG2443&gt;=0.9,"Yes","No")</f>
        <v>No</v>
      </c>
      <c r="AI2443" s="25"/>
      <c r="AJ2443" s="25"/>
      <c r="AK2443" s="25"/>
      <c r="AL2443" s="25"/>
      <c r="AM2443" s="25"/>
      <c r="AN2443" s="25"/>
      <c r="AO2443" s="25"/>
      <c r="AP2443" s="25"/>
      <c r="AQ2443" s="25"/>
      <c r="AR2443" s="25"/>
      <c r="AS2443" s="25"/>
      <c r="AT2443" s="25"/>
      <c r="AU2443" s="36"/>
      <c r="AV2443" s="36"/>
      <c r="AW2443" s="36"/>
      <c r="AX2443" s="25"/>
      <c r="AY2443" s="25"/>
      <c r="AZ2443" s="25"/>
      <c r="BA2443" s="25"/>
      <c r="BB2443" s="25"/>
      <c r="BC2443" s="25"/>
      <c r="BD2443" s="25"/>
      <c r="BE2443" s="25"/>
      <c r="BF2443" s="25"/>
      <c r="BG2443" s="25"/>
      <c r="BH2443" s="25"/>
      <c r="BI2443" s="25"/>
      <c r="BJ2443" s="25"/>
      <c r="BK2443" s="25"/>
      <c r="BL2443" s="25"/>
      <c r="BM2443" s="25"/>
      <c r="BN2443" s="25"/>
      <c r="BO2443" s="25"/>
      <c r="BP2443" s="25"/>
      <c r="BQ2443" s="25"/>
      <c r="BR2443" s="25"/>
      <c r="BS2443" s="25"/>
      <c r="BT2443" s="25"/>
      <c r="BU2443"/>
      <c r="BV2443"/>
      <c r="BW2443"/>
      <c r="BX2443"/>
      <c r="BY2443"/>
      <c r="BZ2443"/>
      <c r="CA2443"/>
      <c r="CB2443"/>
      <c r="CC2443"/>
      <c r="CD2443" s="25"/>
    </row>
    <row r="2444" spans="1:82" s="17" customFormat="1" x14ac:dyDescent="0.2">
      <c r="A2444" s="25"/>
      <c r="B2444" s="20">
        <v>39049008811</v>
      </c>
      <c r="C2444" s="20">
        <v>88.11</v>
      </c>
      <c r="D2444" s="20" t="s">
        <v>31</v>
      </c>
      <c r="E2444" s="20" t="s">
        <v>2830</v>
      </c>
      <c r="F2444" s="20" t="s">
        <v>6</v>
      </c>
      <c r="G2444" s="861">
        <v>37.587683758744802</v>
      </c>
      <c r="H2444" s="861">
        <v>52.426197838543303</v>
      </c>
      <c r="I2444" s="861">
        <v>36.229613788768098</v>
      </c>
      <c r="J2444" s="861">
        <v>51.016504410426698</v>
      </c>
      <c r="K2444" s="982">
        <v>1</v>
      </c>
      <c r="L2444" s="735">
        <v>1909</v>
      </c>
      <c r="M2444" s="735">
        <v>1800</v>
      </c>
      <c r="N2444" s="845">
        <f t="shared" si="185"/>
        <v>-5.7097957045573598E-2</v>
      </c>
      <c r="O2444" s="735">
        <v>2.0163930405070469</v>
      </c>
      <c r="P2444" s="735">
        <f t="shared" si="186"/>
        <v>892.68310485110965</v>
      </c>
      <c r="Q2444" s="849">
        <v>47</v>
      </c>
      <c r="R2444" s="71">
        <v>43676</v>
      </c>
      <c r="S2444" s="845">
        <v>0.29888888888888887</v>
      </c>
      <c r="T2444" s="845">
        <v>0.05</v>
      </c>
      <c r="U2444" s="845">
        <v>1.9E-2</v>
      </c>
      <c r="V2444" s="845">
        <v>0</v>
      </c>
      <c r="W2444" s="845">
        <v>0.2703081232492997</v>
      </c>
      <c r="X2444" s="845">
        <v>0.38341968911917096</v>
      </c>
      <c r="Y2444" s="845">
        <v>0.65611111111111109</v>
      </c>
      <c r="Z2444" s="845">
        <v>0.10666666666666667</v>
      </c>
      <c r="AA2444" s="845">
        <v>5.5555555555555558E-3</v>
      </c>
      <c r="AB2444" s="845">
        <v>0</v>
      </c>
      <c r="AC2444" s="845">
        <v>0</v>
      </c>
      <c r="AD2444" s="845">
        <v>0.17944444444444443</v>
      </c>
      <c r="AE2444" s="845">
        <v>5.2222222222222225E-2</v>
      </c>
      <c r="AF2444" s="845">
        <v>0.20499999999999999</v>
      </c>
      <c r="AG2444" s="845">
        <v>0.65611111111111109</v>
      </c>
      <c r="AH2444" s="20" t="str">
        <f t="shared" si="187"/>
        <v>No</v>
      </c>
      <c r="AI2444" s="25"/>
      <c r="AJ2444" s="25"/>
      <c r="AK2444" s="25"/>
      <c r="AL2444" s="25"/>
      <c r="AM2444" s="25"/>
      <c r="AN2444" s="25"/>
      <c r="AO2444" s="25"/>
      <c r="AP2444" s="25"/>
      <c r="AQ2444" s="25"/>
      <c r="AR2444" s="25"/>
      <c r="AS2444" s="25"/>
      <c r="AT2444" s="25"/>
      <c r="AU2444" s="36"/>
      <c r="AV2444" s="36"/>
      <c r="AW2444" s="36"/>
      <c r="AX2444" s="25"/>
      <c r="AY2444" s="25"/>
      <c r="AZ2444" s="25"/>
      <c r="BA2444" s="25"/>
      <c r="BB2444" s="25"/>
      <c r="BC2444" s="25"/>
      <c r="BD2444" s="25"/>
      <c r="BE2444" s="25"/>
      <c r="BF2444" s="25"/>
      <c r="BG2444" s="25"/>
      <c r="BH2444" s="25"/>
      <c r="BI2444" s="25"/>
      <c r="BJ2444" s="25"/>
      <c r="BK2444" s="25"/>
      <c r="BL2444" s="25"/>
      <c r="BM2444" s="25"/>
      <c r="BN2444" s="25"/>
      <c r="BO2444" s="25"/>
      <c r="BP2444" s="25"/>
      <c r="BQ2444" s="25"/>
      <c r="BR2444" s="25"/>
      <c r="BS2444" s="25"/>
      <c r="BT2444" s="25"/>
      <c r="BU2444"/>
      <c r="BV2444"/>
      <c r="BW2444"/>
      <c r="BX2444"/>
      <c r="BY2444"/>
      <c r="BZ2444"/>
      <c r="CA2444"/>
      <c r="CB2444"/>
      <c r="CC2444"/>
      <c r="CD2444" s="25"/>
    </row>
    <row r="2445" spans="1:82" s="17" customFormat="1" x14ac:dyDescent="0.2">
      <c r="A2445" s="25"/>
      <c r="B2445" s="20">
        <v>39061009500</v>
      </c>
      <c r="C2445" s="20">
        <v>95</v>
      </c>
      <c r="D2445" s="20" t="s">
        <v>37</v>
      </c>
      <c r="E2445" s="20" t="s">
        <v>2828</v>
      </c>
      <c r="F2445" s="20" t="s">
        <v>6</v>
      </c>
      <c r="G2445" s="861">
        <v>37.581236054746199</v>
      </c>
      <c r="H2445" s="861">
        <v>55.992152315778497</v>
      </c>
      <c r="I2445" s="861">
        <v>54.8400725551531</v>
      </c>
      <c r="J2445" s="861">
        <v>45.642578992344497</v>
      </c>
      <c r="K2445" s="982">
        <v>0</v>
      </c>
      <c r="L2445" s="735">
        <v>2479</v>
      </c>
      <c r="M2445" s="735">
        <v>2219</v>
      </c>
      <c r="N2445" s="845">
        <f t="shared" si="185"/>
        <v>-0.10488100040338846</v>
      </c>
      <c r="O2445" s="735">
        <v>0.25263127559299881</v>
      </c>
      <c r="P2445" s="735">
        <f t="shared" si="186"/>
        <v>8783.5522137604057</v>
      </c>
      <c r="Q2445" s="849">
        <v>30.4</v>
      </c>
      <c r="R2445" s="71">
        <v>45762</v>
      </c>
      <c r="S2445" s="845">
        <v>0.32565492321589884</v>
      </c>
      <c r="T2445" s="845">
        <v>0.14199999999999999</v>
      </c>
      <c r="U2445" s="845">
        <v>6.9000000000000006E-2</v>
      </c>
      <c r="V2445" s="845">
        <v>0</v>
      </c>
      <c r="W2445" s="845">
        <v>0.74496644295302017</v>
      </c>
      <c r="X2445" s="845">
        <v>0.36756756756756759</v>
      </c>
      <c r="Y2445" s="845">
        <v>0.33258224425416855</v>
      </c>
      <c r="Z2445" s="845">
        <v>0.4605678233438486</v>
      </c>
      <c r="AA2445" s="845">
        <v>4.5065344749887338E-4</v>
      </c>
      <c r="AB2445" s="845">
        <v>0</v>
      </c>
      <c r="AC2445" s="845">
        <v>0</v>
      </c>
      <c r="AD2445" s="845">
        <v>0.17665615141955837</v>
      </c>
      <c r="AE2445" s="845">
        <v>2.9743127534925643E-2</v>
      </c>
      <c r="AF2445" s="845">
        <v>0.20549797205948625</v>
      </c>
      <c r="AG2445" s="845">
        <v>0.305993690851735</v>
      </c>
      <c r="AH2445" s="20" t="str">
        <f t="shared" si="187"/>
        <v>No</v>
      </c>
      <c r="AI2445" s="25"/>
      <c r="AJ2445" s="25"/>
      <c r="AK2445" s="25"/>
      <c r="AL2445" s="25"/>
      <c r="AM2445" s="25"/>
      <c r="AN2445" s="25"/>
      <c r="AO2445" s="25"/>
      <c r="AP2445" s="25"/>
      <c r="AQ2445" s="25"/>
      <c r="AR2445" s="25"/>
      <c r="AS2445" s="25"/>
      <c r="AT2445" s="25"/>
      <c r="AU2445" s="36"/>
      <c r="AV2445" s="36"/>
      <c r="AW2445" s="36"/>
      <c r="AX2445" s="25"/>
      <c r="AY2445" s="25"/>
      <c r="AZ2445" s="25"/>
      <c r="BA2445" s="25"/>
      <c r="BB2445" s="25"/>
      <c r="BC2445" s="25"/>
      <c r="BD2445" s="25"/>
      <c r="BE2445" s="25"/>
      <c r="BF2445" s="25"/>
      <c r="BG2445" s="25"/>
      <c r="BH2445" s="25"/>
      <c r="BI2445" s="25"/>
      <c r="BJ2445" s="25"/>
      <c r="BK2445" s="25"/>
      <c r="BL2445" s="25"/>
      <c r="BM2445" s="25"/>
      <c r="BN2445" s="25"/>
      <c r="BO2445" s="25"/>
      <c r="BP2445" s="25"/>
      <c r="BQ2445" s="25"/>
      <c r="BR2445" s="25"/>
      <c r="BS2445" s="25"/>
      <c r="BT2445" s="25"/>
      <c r="BU2445"/>
      <c r="BV2445"/>
      <c r="BW2445"/>
      <c r="BX2445"/>
      <c r="BY2445"/>
      <c r="BZ2445"/>
      <c r="CA2445"/>
      <c r="CB2445"/>
      <c r="CC2445"/>
      <c r="CD2445" s="25"/>
    </row>
    <row r="2446" spans="1:82" s="17" customFormat="1" x14ac:dyDescent="0.2">
      <c r="A2446" s="25"/>
      <c r="B2446" s="20">
        <v>39141956400</v>
      </c>
      <c r="C2446" s="20">
        <v>9564</v>
      </c>
      <c r="D2446" s="20" t="s">
        <v>76</v>
      </c>
      <c r="E2446" s="20" t="s">
        <v>265</v>
      </c>
      <c r="F2446" s="20" t="s">
        <v>6</v>
      </c>
      <c r="G2446" s="861">
        <v>37.580389258646399</v>
      </c>
      <c r="H2446" s="861">
        <v>43.442382914978502</v>
      </c>
      <c r="I2446" s="861">
        <v>72.806860190857805</v>
      </c>
      <c r="J2446" s="861">
        <v>33.614563969204703</v>
      </c>
      <c r="K2446" s="982">
        <v>0</v>
      </c>
      <c r="L2446" s="735">
        <v>3447</v>
      </c>
      <c r="M2446" s="735">
        <v>2964</v>
      </c>
      <c r="N2446" s="845">
        <f t="shared" si="185"/>
        <v>-0.14012184508268058</v>
      </c>
      <c r="O2446" s="735">
        <v>0.90956865435185341</v>
      </c>
      <c r="P2446" s="735">
        <f t="shared" si="186"/>
        <v>3258.6874952414751</v>
      </c>
      <c r="Q2446" s="849">
        <v>45.4</v>
      </c>
      <c r="R2446" s="71">
        <v>30969</v>
      </c>
      <c r="S2446" s="845">
        <v>0.23043184885290149</v>
      </c>
      <c r="T2446" s="845">
        <v>2.3E-2</v>
      </c>
      <c r="U2446" s="845">
        <v>0</v>
      </c>
      <c r="V2446" s="845">
        <v>0</v>
      </c>
      <c r="W2446" s="845">
        <v>0.39985538684020244</v>
      </c>
      <c r="X2446" s="845">
        <v>0.73598553345388784</v>
      </c>
      <c r="Y2446" s="845">
        <v>0.84480431848852899</v>
      </c>
      <c r="Z2446" s="845">
        <v>7.0175438596491224E-2</v>
      </c>
      <c r="AA2446" s="845">
        <v>0</v>
      </c>
      <c r="AB2446" s="845">
        <v>2.260458839406208E-2</v>
      </c>
      <c r="AC2446" s="845">
        <v>0</v>
      </c>
      <c r="AD2446" s="845">
        <v>0</v>
      </c>
      <c r="AE2446" s="845">
        <v>6.2415654520917678E-2</v>
      </c>
      <c r="AF2446" s="845">
        <v>2.0242914979757085E-3</v>
      </c>
      <c r="AG2446" s="845">
        <v>0.84278002699055332</v>
      </c>
      <c r="AH2446" s="20" t="str">
        <f t="shared" si="187"/>
        <v>No</v>
      </c>
      <c r="AI2446" s="25"/>
      <c r="AJ2446" s="25"/>
      <c r="AK2446" s="25"/>
      <c r="AL2446" s="25"/>
      <c r="AM2446" s="25"/>
      <c r="AN2446" s="25"/>
      <c r="AO2446" s="25"/>
      <c r="AP2446" s="25"/>
      <c r="AQ2446" s="25"/>
      <c r="AR2446" s="25"/>
      <c r="AS2446" s="25"/>
      <c r="AT2446" s="25"/>
      <c r="AU2446" s="36"/>
      <c r="AV2446" s="36"/>
      <c r="AW2446" s="36"/>
      <c r="AX2446" s="25"/>
      <c r="AY2446" s="25"/>
      <c r="AZ2446" s="25"/>
      <c r="BA2446" s="25"/>
      <c r="BB2446" s="25"/>
      <c r="BC2446" s="25"/>
      <c r="BD2446" s="25"/>
      <c r="BE2446" s="25"/>
      <c r="BF2446" s="25"/>
      <c r="BG2446" s="25"/>
      <c r="BH2446" s="25"/>
      <c r="BI2446" s="25"/>
      <c r="BJ2446" s="25"/>
      <c r="BK2446" s="25"/>
      <c r="BL2446" s="25"/>
      <c r="BM2446" s="25"/>
      <c r="BN2446" s="25"/>
      <c r="BO2446" s="25"/>
      <c r="BP2446" s="25"/>
      <c r="BQ2446" s="25"/>
      <c r="BR2446" s="25"/>
      <c r="BS2446" s="25"/>
      <c r="BT2446" s="25"/>
      <c r="BU2446"/>
      <c r="BV2446"/>
      <c r="BW2446"/>
      <c r="BX2446"/>
      <c r="BY2446"/>
      <c r="BZ2446"/>
      <c r="CA2446"/>
      <c r="CB2446"/>
      <c r="CC2446"/>
      <c r="CD2446" s="25"/>
    </row>
    <row r="2447" spans="1:82" s="17" customFormat="1" x14ac:dyDescent="0.2">
      <c r="A2447" s="25"/>
      <c r="B2447" s="20">
        <v>39091004200</v>
      </c>
      <c r="C2447" s="20">
        <v>42</v>
      </c>
      <c r="D2447" s="20" t="s">
        <v>51</v>
      </c>
      <c r="E2447" s="20" t="s">
        <v>265</v>
      </c>
      <c r="F2447" s="20" t="s">
        <v>6</v>
      </c>
      <c r="G2447" s="861">
        <v>37.578278851999301</v>
      </c>
      <c r="H2447" s="861">
        <v>32.466955950589202</v>
      </c>
      <c r="I2447" s="861">
        <v>38.451099352196699</v>
      </c>
      <c r="J2447" s="861">
        <v>49.2214176925049</v>
      </c>
      <c r="K2447" s="982">
        <v>0</v>
      </c>
      <c r="L2447" s="735">
        <v>1516</v>
      </c>
      <c r="M2447" s="735">
        <v>1821</v>
      </c>
      <c r="N2447" s="845">
        <f t="shared" si="185"/>
        <v>0.20118733509234829</v>
      </c>
      <c r="O2447" s="735">
        <v>2.8867711674552825</v>
      </c>
      <c r="P2447" s="735">
        <f t="shared" si="186"/>
        <v>630.8085727505827</v>
      </c>
      <c r="Q2447" s="849">
        <v>47.1</v>
      </c>
      <c r="R2447" s="71">
        <v>48333</v>
      </c>
      <c r="S2447" s="845">
        <v>0.25852585258525851</v>
      </c>
      <c r="T2447" s="845">
        <v>7.8E-2</v>
      </c>
      <c r="U2447" s="845">
        <v>1.3999999999999999E-2</v>
      </c>
      <c r="V2447" s="845">
        <v>2.4E-2</v>
      </c>
      <c r="W2447" s="845">
        <v>0.36983471074380164</v>
      </c>
      <c r="X2447" s="845">
        <v>0.48044692737430167</v>
      </c>
      <c r="Y2447" s="845">
        <v>0.8846787479406919</v>
      </c>
      <c r="Z2447" s="845">
        <v>3.2948929159802305E-2</v>
      </c>
      <c r="AA2447" s="845">
        <v>0</v>
      </c>
      <c r="AB2447" s="845">
        <v>1.0982976386600769E-3</v>
      </c>
      <c r="AC2447" s="845">
        <v>6.0406370126304225E-3</v>
      </c>
      <c r="AD2447" s="845">
        <v>3.6792970895112576E-2</v>
      </c>
      <c r="AE2447" s="845">
        <v>3.844041735310269E-2</v>
      </c>
      <c r="AF2447" s="845">
        <v>6.0406370126304232E-2</v>
      </c>
      <c r="AG2447" s="845">
        <v>0.86326194398682043</v>
      </c>
      <c r="AH2447" s="20" t="str">
        <f t="shared" si="187"/>
        <v>No</v>
      </c>
      <c r="AI2447" s="25"/>
      <c r="AJ2447" s="25"/>
      <c r="AK2447" s="25"/>
      <c r="AL2447" s="25"/>
      <c r="AM2447" s="25"/>
      <c r="AN2447" s="25"/>
      <c r="AO2447" s="25"/>
      <c r="AP2447" s="25"/>
      <c r="AQ2447" s="25"/>
      <c r="AR2447" s="25"/>
      <c r="AS2447" s="25"/>
      <c r="AT2447" s="25"/>
      <c r="AU2447" s="36"/>
      <c r="AV2447" s="36"/>
      <c r="AW2447" s="36"/>
      <c r="AX2447" s="25"/>
      <c r="AY2447" s="25"/>
      <c r="AZ2447" s="25"/>
      <c r="BA2447" s="25"/>
      <c r="BB2447" s="25"/>
      <c r="BC2447" s="25"/>
      <c r="BD2447" s="25"/>
      <c r="BE2447" s="25"/>
      <c r="BF2447" s="25"/>
      <c r="BG2447" s="25"/>
      <c r="BH2447" s="25"/>
      <c r="BI2447" s="25"/>
      <c r="BJ2447" s="25"/>
      <c r="BK2447" s="25"/>
      <c r="BL2447" s="25"/>
      <c r="BM2447" s="25"/>
      <c r="BN2447" s="25"/>
      <c r="BO2447" s="25"/>
      <c r="BP2447" s="25"/>
      <c r="BQ2447" s="25"/>
      <c r="BR2447" s="25"/>
      <c r="BS2447" s="25"/>
      <c r="BT2447" s="25"/>
      <c r="BU2447"/>
      <c r="BV2447"/>
      <c r="BW2447"/>
      <c r="BX2447"/>
      <c r="BY2447"/>
      <c r="BZ2447"/>
      <c r="CA2447"/>
      <c r="CB2447"/>
      <c r="CC2447"/>
      <c r="CD2447" s="25"/>
    </row>
    <row r="2448" spans="1:82" s="17" customFormat="1" x14ac:dyDescent="0.2">
      <c r="A2448" s="25"/>
      <c r="B2448" s="20">
        <v>39139001900</v>
      </c>
      <c r="C2448" s="20">
        <v>19</v>
      </c>
      <c r="D2448" s="20" t="s">
        <v>75</v>
      </c>
      <c r="E2448" s="20" t="s">
        <v>2836</v>
      </c>
      <c r="F2448" s="20" t="s">
        <v>8</v>
      </c>
      <c r="G2448" s="861">
        <v>37.546055179484597</v>
      </c>
      <c r="H2448" s="861">
        <v>35.683830042420098</v>
      </c>
      <c r="I2448" s="861">
        <v>19.868308029979399</v>
      </c>
      <c r="J2448" s="861">
        <v>46.200875559446303</v>
      </c>
      <c r="K2448" s="982">
        <v>0</v>
      </c>
      <c r="L2448" s="735">
        <v>6152</v>
      </c>
      <c r="M2448" s="735">
        <v>6116</v>
      </c>
      <c r="N2448" s="845">
        <f t="shared" si="185"/>
        <v>-5.8517555266579977E-3</v>
      </c>
      <c r="O2448" s="735">
        <v>22.022737393956607</v>
      </c>
      <c r="P2448" s="735">
        <f t="shared" si="186"/>
        <v>277.71297866351205</v>
      </c>
      <c r="Q2448" s="849">
        <v>41.4</v>
      </c>
      <c r="R2448" s="71">
        <v>70290</v>
      </c>
      <c r="S2448" s="845">
        <v>6.6053511705685616E-2</v>
      </c>
      <c r="T2448" s="845">
        <v>6.9999999999999993E-3</v>
      </c>
      <c r="U2448" s="845">
        <v>0</v>
      </c>
      <c r="V2448" s="845">
        <v>0</v>
      </c>
      <c r="W2448" s="845">
        <v>0.17700513630975898</v>
      </c>
      <c r="X2448" s="845">
        <v>0.38392857142857145</v>
      </c>
      <c r="Y2448" s="845">
        <v>0.93279921517331588</v>
      </c>
      <c r="Z2448" s="845">
        <v>1.0464355788096796E-2</v>
      </c>
      <c r="AA2448" s="845">
        <v>0</v>
      </c>
      <c r="AB2448" s="845">
        <v>1.3734466971877043E-2</v>
      </c>
      <c r="AC2448" s="845">
        <v>0</v>
      </c>
      <c r="AD2448" s="845">
        <v>8.502289077828646E-3</v>
      </c>
      <c r="AE2448" s="845">
        <v>3.4499672988881624E-2</v>
      </c>
      <c r="AF2448" s="845">
        <v>1.1772400261608895E-2</v>
      </c>
      <c r="AG2448" s="845">
        <v>0.92102681491170701</v>
      </c>
      <c r="AH2448" s="20" t="str">
        <f t="shared" si="187"/>
        <v>Yes</v>
      </c>
      <c r="AI2448" s="25"/>
      <c r="AJ2448" s="25"/>
      <c r="AK2448" s="25"/>
      <c r="AL2448" s="25"/>
      <c r="AM2448" s="25"/>
      <c r="AN2448" s="25"/>
      <c r="AO2448" s="25"/>
      <c r="AP2448" s="25"/>
      <c r="AQ2448" s="25"/>
      <c r="AR2448" s="25"/>
      <c r="AS2448" s="25"/>
      <c r="AT2448" s="25"/>
      <c r="AU2448" s="36"/>
      <c r="AV2448" s="36"/>
      <c r="AW2448" s="36"/>
      <c r="AX2448" s="25"/>
      <c r="AY2448" s="25"/>
      <c r="AZ2448" s="25"/>
      <c r="BA2448" s="25"/>
      <c r="BB2448" s="25"/>
      <c r="BC2448" s="25"/>
      <c r="BD2448" s="25"/>
      <c r="BE2448" s="25"/>
      <c r="BF2448" s="25"/>
      <c r="BG2448" s="25"/>
      <c r="BH2448" s="25"/>
      <c r="BI2448" s="25"/>
      <c r="BJ2448" s="25"/>
      <c r="BK2448" s="25"/>
      <c r="BL2448" s="25"/>
      <c r="BM2448" s="25"/>
      <c r="BN2448" s="25"/>
      <c r="BO2448" s="25"/>
      <c r="BP2448" s="25"/>
      <c r="BQ2448" s="25"/>
      <c r="BR2448" s="25"/>
      <c r="BS2448" s="25"/>
      <c r="BT2448" s="25"/>
      <c r="BU2448"/>
      <c r="BV2448"/>
      <c r="BW2448"/>
      <c r="BX2448"/>
      <c r="BY2448"/>
      <c r="BZ2448"/>
      <c r="CA2448"/>
      <c r="CB2448"/>
      <c r="CC2448"/>
      <c r="CD2448" s="25"/>
    </row>
    <row r="2449" spans="1:82" s="17" customFormat="1" x14ac:dyDescent="0.2">
      <c r="A2449" s="25"/>
      <c r="B2449" s="20">
        <v>39093097202</v>
      </c>
      <c r="C2449" s="20">
        <v>972.02</v>
      </c>
      <c r="D2449" s="20" t="s">
        <v>52</v>
      </c>
      <c r="E2449" s="20" t="s">
        <v>2829</v>
      </c>
      <c r="F2449" s="20" t="s">
        <v>8</v>
      </c>
      <c r="G2449" s="861">
        <v>37.528241303670697</v>
      </c>
      <c r="H2449" s="861">
        <v>37.180029013089602</v>
      </c>
      <c r="I2449" s="861">
        <v>32.145232083566398</v>
      </c>
      <c r="J2449" s="861">
        <v>51.220387638207796</v>
      </c>
      <c r="K2449" s="982">
        <v>1</v>
      </c>
      <c r="L2449" s="735" t="s">
        <v>2466</v>
      </c>
      <c r="M2449" s="735">
        <v>5306</v>
      </c>
      <c r="N2449" s="845" t="str">
        <f t="shared" si="185"/>
        <v/>
      </c>
      <c r="O2449" s="735">
        <v>2.0604268333880498</v>
      </c>
      <c r="P2449" s="735">
        <f t="shared" si="186"/>
        <v>2575.1945732890272</v>
      </c>
      <c r="Q2449" s="849">
        <v>46.1</v>
      </c>
      <c r="R2449" s="71">
        <v>80211</v>
      </c>
      <c r="S2449" s="845">
        <v>0.15378816434225406</v>
      </c>
      <c r="T2449" s="845">
        <v>1.9E-2</v>
      </c>
      <c r="U2449" s="845">
        <v>1.4999999999999999E-2</v>
      </c>
      <c r="V2449" s="845">
        <v>0.15</v>
      </c>
      <c r="W2449" s="845">
        <v>0.25605381165919283</v>
      </c>
      <c r="X2449" s="845">
        <v>0.39054290718038531</v>
      </c>
      <c r="Y2449" s="845">
        <v>0.71334338484734261</v>
      </c>
      <c r="Z2449" s="845">
        <v>3.3735393893705237E-2</v>
      </c>
      <c r="AA2449" s="845">
        <v>0</v>
      </c>
      <c r="AB2449" s="845">
        <v>3.203920090463626E-3</v>
      </c>
      <c r="AC2449" s="845">
        <v>0</v>
      </c>
      <c r="AD2449" s="845">
        <v>4.5420278929513759E-2</v>
      </c>
      <c r="AE2449" s="845">
        <v>0.20429702223897475</v>
      </c>
      <c r="AF2449" s="845">
        <v>0.25122502826988313</v>
      </c>
      <c r="AG2449" s="845">
        <v>0.6509611760271391</v>
      </c>
      <c r="AH2449" s="20" t="str">
        <f t="shared" si="187"/>
        <v>No</v>
      </c>
      <c r="AI2449" s="25"/>
      <c r="AJ2449" s="25"/>
      <c r="AK2449" s="25"/>
      <c r="AL2449" s="25"/>
      <c r="AM2449" s="25"/>
      <c r="AN2449" s="25"/>
      <c r="AO2449" s="25"/>
      <c r="AP2449" s="25"/>
      <c r="AQ2449" s="25"/>
      <c r="AR2449" s="25"/>
      <c r="AS2449" s="25"/>
      <c r="AT2449" s="25"/>
      <c r="AU2449" s="36"/>
      <c r="AV2449" s="36"/>
      <c r="AW2449" s="36"/>
      <c r="AX2449" s="25"/>
      <c r="AY2449" s="25"/>
      <c r="AZ2449" s="25"/>
      <c r="BA2449" s="25"/>
      <c r="BB2449" s="25"/>
      <c r="BC2449" s="25"/>
      <c r="BD2449" s="25"/>
      <c r="BE2449" s="25"/>
      <c r="BF2449" s="25"/>
      <c r="BG2449" s="25"/>
      <c r="BH2449" s="25"/>
      <c r="BI2449" s="25"/>
      <c r="BJ2449" s="25"/>
      <c r="BK2449" s="25"/>
      <c r="BL2449" s="25"/>
      <c r="BM2449" s="25"/>
      <c r="BN2449" s="25"/>
      <c r="BO2449" s="25"/>
      <c r="BP2449" s="25"/>
      <c r="BQ2449" s="25"/>
      <c r="BR2449" s="25"/>
      <c r="BS2449" s="25"/>
      <c r="BT2449" s="25"/>
      <c r="BU2449"/>
      <c r="BV2449"/>
      <c r="BW2449"/>
      <c r="BX2449"/>
      <c r="BY2449"/>
      <c r="BZ2449"/>
      <c r="CA2449"/>
      <c r="CB2449"/>
      <c r="CC2449"/>
      <c r="CD2449" s="25"/>
    </row>
    <row r="2450" spans="1:82" s="17" customFormat="1" x14ac:dyDescent="0.2">
      <c r="A2450" s="25"/>
      <c r="B2450" s="20">
        <v>39085204500</v>
      </c>
      <c r="C2450" s="20">
        <v>2045</v>
      </c>
      <c r="D2450" s="20" t="s">
        <v>48</v>
      </c>
      <c r="E2450" s="20" t="s">
        <v>2829</v>
      </c>
      <c r="F2450" s="20" t="s">
        <v>6</v>
      </c>
      <c r="G2450" s="861">
        <v>37.523953572036099</v>
      </c>
      <c r="H2450" s="861">
        <v>50.086358520040903</v>
      </c>
      <c r="I2450" s="861">
        <v>48.880724418890097</v>
      </c>
      <c r="J2450" s="861">
        <v>28.2118481343193</v>
      </c>
      <c r="K2450" s="982">
        <v>0</v>
      </c>
      <c r="L2450" s="735">
        <v>3549</v>
      </c>
      <c r="M2450" s="735">
        <v>4660</v>
      </c>
      <c r="N2450" s="845">
        <f t="shared" si="185"/>
        <v>0.3130459284305438</v>
      </c>
      <c r="O2450" s="735">
        <v>0.5725315858689406</v>
      </c>
      <c r="P2450" s="735">
        <f t="shared" si="186"/>
        <v>8139.2889318541984</v>
      </c>
      <c r="Q2450" s="849">
        <v>28.1</v>
      </c>
      <c r="R2450" s="71">
        <v>45727</v>
      </c>
      <c r="S2450" s="845">
        <v>0.2645146307477938</v>
      </c>
      <c r="T2450" s="845">
        <v>7.0999999999999994E-2</v>
      </c>
      <c r="U2450" s="845">
        <v>0</v>
      </c>
      <c r="V2450" s="845">
        <v>0</v>
      </c>
      <c r="W2450" s="845">
        <v>0.73167622689611223</v>
      </c>
      <c r="X2450" s="845">
        <v>0.52090592334494779</v>
      </c>
      <c r="Y2450" s="845">
        <v>0.44914163090128756</v>
      </c>
      <c r="Z2450" s="845">
        <v>0.14721030042918454</v>
      </c>
      <c r="AA2450" s="845">
        <v>3.8626609442060085E-3</v>
      </c>
      <c r="AB2450" s="845">
        <v>2.1673819742489272E-2</v>
      </c>
      <c r="AC2450" s="845">
        <v>1.0729613733905579E-3</v>
      </c>
      <c r="AD2450" s="845">
        <v>0.19978540772532188</v>
      </c>
      <c r="AE2450" s="845">
        <v>0.17725321888412018</v>
      </c>
      <c r="AF2450" s="845">
        <v>0.40557939914163088</v>
      </c>
      <c r="AG2450" s="845">
        <v>0.35557939914163089</v>
      </c>
      <c r="AH2450" s="20" t="str">
        <f t="shared" si="187"/>
        <v>No</v>
      </c>
      <c r="AI2450" s="25"/>
      <c r="AJ2450" s="25"/>
      <c r="AK2450" s="25"/>
      <c r="AL2450" s="25"/>
      <c r="AM2450" s="25"/>
      <c r="AN2450" s="25"/>
      <c r="AO2450" s="25"/>
      <c r="AP2450" s="25"/>
      <c r="AQ2450" s="25"/>
      <c r="AR2450" s="25"/>
      <c r="AS2450" s="25"/>
      <c r="AT2450" s="25"/>
      <c r="AU2450" s="36"/>
      <c r="AV2450" s="36"/>
      <c r="AW2450" s="36"/>
      <c r="AX2450" s="25"/>
      <c r="AY2450" s="25"/>
      <c r="AZ2450" s="25"/>
      <c r="BA2450" s="25"/>
      <c r="BB2450" s="25"/>
      <c r="BC2450" s="25"/>
      <c r="BD2450" s="25"/>
      <c r="BE2450" s="25"/>
      <c r="BF2450" s="25"/>
      <c r="BG2450" s="25"/>
      <c r="BH2450" s="25"/>
      <c r="BI2450" s="25"/>
      <c r="BJ2450" s="25"/>
      <c r="BK2450" s="25"/>
      <c r="BL2450" s="25"/>
      <c r="BM2450" s="25"/>
      <c r="BN2450" s="25"/>
      <c r="BO2450" s="25"/>
      <c r="BP2450" s="25"/>
      <c r="BQ2450" s="25"/>
      <c r="BR2450" s="25"/>
      <c r="BS2450" s="25"/>
      <c r="BT2450" s="25"/>
      <c r="BU2450"/>
      <c r="BV2450"/>
      <c r="BW2450"/>
      <c r="BX2450"/>
      <c r="BY2450"/>
      <c r="BZ2450"/>
      <c r="CA2450"/>
      <c r="CB2450"/>
      <c r="CC2450"/>
      <c r="CD2450" s="25"/>
    </row>
    <row r="2451" spans="1:82" s="17" customFormat="1" x14ac:dyDescent="0.2">
      <c r="A2451" s="25"/>
      <c r="B2451" s="20">
        <v>39049006933</v>
      </c>
      <c r="C2451" s="20">
        <v>69.33</v>
      </c>
      <c r="D2451" s="20" t="s">
        <v>31</v>
      </c>
      <c r="E2451" s="20" t="s">
        <v>2830</v>
      </c>
      <c r="F2451" s="20" t="s">
        <v>6</v>
      </c>
      <c r="G2451" s="861">
        <v>37.518061396610001</v>
      </c>
      <c r="H2451" s="861">
        <v>50.273584631158997</v>
      </c>
      <c r="I2451" s="861">
        <v>44.380913133772502</v>
      </c>
      <c r="J2451" s="861">
        <v>48.180844829034498</v>
      </c>
      <c r="K2451" s="982">
        <v>0</v>
      </c>
      <c r="L2451" s="735">
        <v>5272</v>
      </c>
      <c r="M2451" s="735">
        <v>5972</v>
      </c>
      <c r="N2451" s="845">
        <f t="shared" si="185"/>
        <v>0.13277693474962063</v>
      </c>
      <c r="O2451" s="735">
        <v>0.58406870446984405</v>
      </c>
      <c r="P2451" s="735">
        <f t="shared" si="186"/>
        <v>10224.824501461266</v>
      </c>
      <c r="Q2451" s="849">
        <v>29.4</v>
      </c>
      <c r="R2451" s="71">
        <v>40161</v>
      </c>
      <c r="S2451" s="845">
        <v>0.33700067704807041</v>
      </c>
      <c r="T2451" s="845">
        <v>0.11800000000000001</v>
      </c>
      <c r="U2451" s="845">
        <v>0</v>
      </c>
      <c r="V2451" s="845">
        <v>0.03</v>
      </c>
      <c r="W2451" s="845">
        <v>0.84724122207022345</v>
      </c>
      <c r="X2451" s="845">
        <v>0.44241119483315394</v>
      </c>
      <c r="Y2451" s="845">
        <v>0.14802411252511721</v>
      </c>
      <c r="Z2451" s="845">
        <v>0.64199598124581381</v>
      </c>
      <c r="AA2451" s="845">
        <v>0</v>
      </c>
      <c r="AB2451" s="845">
        <v>0.13362357669122571</v>
      </c>
      <c r="AC2451" s="845">
        <v>0</v>
      </c>
      <c r="AD2451" s="845">
        <v>3.5666443402545212E-2</v>
      </c>
      <c r="AE2451" s="845">
        <v>4.0689886135298059E-2</v>
      </c>
      <c r="AF2451" s="845">
        <v>7.3677160080375087E-2</v>
      </c>
      <c r="AG2451" s="845">
        <v>0.11001339584728734</v>
      </c>
      <c r="AH2451" s="20" t="str">
        <f t="shared" si="187"/>
        <v>No</v>
      </c>
      <c r="AI2451" s="25"/>
      <c r="AJ2451" s="25"/>
      <c r="AK2451" s="25"/>
      <c r="AL2451" s="25"/>
      <c r="AM2451" s="25"/>
      <c r="AN2451" s="25"/>
      <c r="AO2451" s="25"/>
      <c r="AP2451" s="25"/>
      <c r="AQ2451" s="25"/>
      <c r="AR2451" s="25"/>
      <c r="AS2451" s="25"/>
      <c r="AT2451" s="25"/>
      <c r="AU2451" s="36"/>
      <c r="AV2451" s="36"/>
      <c r="AW2451" s="36"/>
      <c r="AX2451" s="25"/>
      <c r="AY2451" s="25"/>
      <c r="AZ2451" s="25"/>
      <c r="BA2451" s="25"/>
      <c r="BB2451" s="25"/>
      <c r="BC2451" s="25"/>
      <c r="BD2451" s="25"/>
      <c r="BE2451" s="25"/>
      <c r="BF2451" s="25"/>
      <c r="BG2451" s="25"/>
      <c r="BH2451" s="25"/>
      <c r="BI2451" s="25"/>
      <c r="BJ2451" s="25"/>
      <c r="BK2451" s="25"/>
      <c r="BL2451" s="25"/>
      <c r="BM2451" s="25"/>
      <c r="BN2451" s="25"/>
      <c r="BO2451" s="25"/>
      <c r="BP2451" s="25"/>
      <c r="BQ2451" s="25"/>
      <c r="BR2451" s="25"/>
      <c r="BS2451" s="25"/>
      <c r="BT2451" s="25"/>
      <c r="BU2451"/>
      <c r="BV2451"/>
      <c r="BW2451"/>
      <c r="BX2451"/>
      <c r="BY2451"/>
      <c r="BZ2451"/>
      <c r="CA2451"/>
      <c r="CB2451"/>
      <c r="CC2451"/>
      <c r="CD2451" s="25"/>
    </row>
    <row r="2452" spans="1:82" s="17" customFormat="1" x14ac:dyDescent="0.2">
      <c r="A2452" s="25"/>
      <c r="B2452" s="20">
        <v>39117965402</v>
      </c>
      <c r="C2452" s="20">
        <v>9654.02</v>
      </c>
      <c r="D2452" s="20" t="s">
        <v>64</v>
      </c>
      <c r="E2452" s="20" t="s">
        <v>2830</v>
      </c>
      <c r="F2452" s="20" t="s">
        <v>8</v>
      </c>
      <c r="G2452" s="861">
        <v>37.506746362070899</v>
      </c>
      <c r="H2452" s="861">
        <v>52.702425907657499</v>
      </c>
      <c r="I2452" s="861">
        <v>21.440964806459601</v>
      </c>
      <c r="J2452" s="861">
        <v>47.633707771559202</v>
      </c>
      <c r="K2452" s="982">
        <v>0</v>
      </c>
      <c r="L2452" s="735" t="s">
        <v>2466</v>
      </c>
      <c r="M2452" s="735">
        <v>3776</v>
      </c>
      <c r="N2452" s="845" t="str">
        <f t="shared" si="185"/>
        <v/>
      </c>
      <c r="O2452" s="735">
        <v>45.486212289986149</v>
      </c>
      <c r="P2452" s="735">
        <f t="shared" si="186"/>
        <v>83.014166489111943</v>
      </c>
      <c r="Q2452" s="849">
        <v>42.4</v>
      </c>
      <c r="R2452" s="71">
        <v>75354</v>
      </c>
      <c r="S2452" s="845">
        <v>0.17928945194161389</v>
      </c>
      <c r="T2452" s="845">
        <v>3.3000000000000002E-2</v>
      </c>
      <c r="U2452" s="845">
        <v>0</v>
      </c>
      <c r="V2452" s="845">
        <v>0</v>
      </c>
      <c r="W2452" s="845">
        <v>0.16605437178545188</v>
      </c>
      <c r="X2452" s="845">
        <v>0.57079646017699115</v>
      </c>
      <c r="Y2452" s="845">
        <v>0.93167372881355937</v>
      </c>
      <c r="Z2452" s="845">
        <v>2.0391949152542374E-2</v>
      </c>
      <c r="AA2452" s="845">
        <v>0</v>
      </c>
      <c r="AB2452" s="845">
        <v>0</v>
      </c>
      <c r="AC2452" s="845">
        <v>0</v>
      </c>
      <c r="AD2452" s="845">
        <v>0</v>
      </c>
      <c r="AE2452" s="845">
        <v>4.7934322033898302E-2</v>
      </c>
      <c r="AF2452" s="845">
        <v>1.3241525423728813E-3</v>
      </c>
      <c r="AG2452" s="845">
        <v>0.93034957627118642</v>
      </c>
      <c r="AH2452" s="20" t="str">
        <f t="shared" si="187"/>
        <v>Yes</v>
      </c>
      <c r="AI2452" s="25"/>
      <c r="AJ2452" s="25"/>
      <c r="AK2452" s="25"/>
      <c r="AL2452" s="25"/>
      <c r="AM2452" s="25"/>
      <c r="AN2452" s="25"/>
      <c r="AO2452" s="25"/>
      <c r="AP2452" s="25"/>
      <c r="AQ2452" s="25"/>
      <c r="AR2452" s="25"/>
      <c r="AS2452" s="25"/>
      <c r="AT2452" s="25"/>
      <c r="AU2452" s="36"/>
      <c r="AV2452" s="36"/>
      <c r="AW2452" s="36"/>
      <c r="AX2452" s="25"/>
      <c r="AY2452" s="25"/>
      <c r="AZ2452" s="25"/>
      <c r="BA2452" s="25"/>
      <c r="BB2452" s="25"/>
      <c r="BC2452" s="25"/>
      <c r="BD2452" s="25"/>
      <c r="BE2452" s="25"/>
      <c r="BF2452" s="25"/>
      <c r="BG2452" s="25"/>
      <c r="BH2452" s="25"/>
      <c r="BI2452" s="25"/>
      <c r="BJ2452" s="25"/>
      <c r="BK2452" s="25"/>
      <c r="BL2452" s="25"/>
      <c r="BM2452" s="25"/>
      <c r="BN2452" s="25"/>
      <c r="BO2452" s="25"/>
      <c r="BP2452" s="25"/>
      <c r="BQ2452" s="25"/>
      <c r="BR2452" s="25"/>
      <c r="BS2452" s="25"/>
      <c r="BT2452" s="25"/>
      <c r="BU2452"/>
      <c r="BV2452"/>
      <c r="BW2452"/>
      <c r="BX2452"/>
      <c r="BY2452"/>
      <c r="BZ2452"/>
      <c r="CA2452"/>
      <c r="CB2452"/>
      <c r="CC2452"/>
      <c r="CD2452" s="25"/>
    </row>
    <row r="2453" spans="1:82" s="17" customFormat="1" x14ac:dyDescent="0.2">
      <c r="A2453" s="25"/>
      <c r="B2453" s="20">
        <v>39049007532</v>
      </c>
      <c r="C2453" s="20">
        <v>75.319999999999993</v>
      </c>
      <c r="D2453" s="20" t="s">
        <v>31</v>
      </c>
      <c r="E2453" s="20" t="s">
        <v>2830</v>
      </c>
      <c r="F2453" s="20" t="s">
        <v>6</v>
      </c>
      <c r="G2453" s="861">
        <v>37.453167171379299</v>
      </c>
      <c r="H2453" s="861">
        <v>58.346881266824298</v>
      </c>
      <c r="I2453" s="861">
        <v>54.214888244025602</v>
      </c>
      <c r="J2453" s="861">
        <v>41.594548408278797</v>
      </c>
      <c r="K2453" s="982">
        <v>1</v>
      </c>
      <c r="L2453" s="735">
        <v>2273</v>
      </c>
      <c r="M2453" s="735">
        <v>3175</v>
      </c>
      <c r="N2453" s="845">
        <f t="shared" si="185"/>
        <v>0.39683238011438626</v>
      </c>
      <c r="O2453" s="735">
        <v>0.32554473773240605</v>
      </c>
      <c r="P2453" s="735">
        <f t="shared" si="186"/>
        <v>9752.8838036688303</v>
      </c>
      <c r="Q2453" s="849">
        <v>29.5</v>
      </c>
      <c r="R2453" s="71">
        <v>37314</v>
      </c>
      <c r="S2453" s="845">
        <v>0.28125984251968505</v>
      </c>
      <c r="T2453" s="845">
        <v>0.03</v>
      </c>
      <c r="U2453" s="845">
        <v>0</v>
      </c>
      <c r="V2453" s="845">
        <v>6.0000000000000001E-3</v>
      </c>
      <c r="W2453" s="845">
        <v>0.83683767872161485</v>
      </c>
      <c r="X2453" s="845">
        <v>0.51356783919597992</v>
      </c>
      <c r="Y2453" s="845">
        <v>7.716535433070866E-2</v>
      </c>
      <c r="Z2453" s="845">
        <v>0.85732283464566927</v>
      </c>
      <c r="AA2453" s="845">
        <v>5.6692913385826774E-3</v>
      </c>
      <c r="AB2453" s="845">
        <v>4.4094488188976379E-3</v>
      </c>
      <c r="AC2453" s="845">
        <v>0</v>
      </c>
      <c r="AD2453" s="845">
        <v>3.0866141732283466E-2</v>
      </c>
      <c r="AE2453" s="845">
        <v>2.4566929133858266E-2</v>
      </c>
      <c r="AF2453" s="845">
        <v>4.3464566929133856E-2</v>
      </c>
      <c r="AG2453" s="845">
        <v>7.0236220472440949E-2</v>
      </c>
      <c r="AH2453" s="20" t="str">
        <f t="shared" si="187"/>
        <v>No</v>
      </c>
      <c r="AI2453" s="25"/>
      <c r="AJ2453" s="25"/>
      <c r="AK2453" s="25"/>
      <c r="AL2453" s="25"/>
      <c r="AM2453" s="25"/>
      <c r="AN2453" s="25"/>
      <c r="AO2453" s="25"/>
      <c r="AP2453" s="25"/>
      <c r="AQ2453" s="25"/>
      <c r="AR2453" s="25"/>
      <c r="AS2453" s="25"/>
      <c r="AT2453" s="25"/>
      <c r="AU2453" s="36"/>
      <c r="AV2453" s="36"/>
      <c r="AW2453" s="36"/>
      <c r="AX2453" s="25"/>
      <c r="AY2453" s="25"/>
      <c r="AZ2453" s="25"/>
      <c r="BA2453" s="25"/>
      <c r="BB2453" s="25"/>
      <c r="BC2453" s="25"/>
      <c r="BD2453" s="25"/>
      <c r="BE2453" s="25"/>
      <c r="BF2453" s="25"/>
      <c r="BG2453" s="25"/>
      <c r="BH2453" s="25"/>
      <c r="BI2453" s="25"/>
      <c r="BJ2453" s="25"/>
      <c r="BK2453" s="25"/>
      <c r="BL2453" s="25"/>
      <c r="BM2453" s="25"/>
      <c r="BN2453" s="25"/>
      <c r="BO2453" s="25"/>
      <c r="BP2453" s="25"/>
      <c r="BQ2453" s="25"/>
      <c r="BR2453" s="25"/>
      <c r="BS2453" s="25"/>
      <c r="BT2453" s="25"/>
      <c r="BU2453"/>
      <c r="BV2453"/>
      <c r="BW2453"/>
      <c r="BX2453"/>
      <c r="BY2453"/>
      <c r="BZ2453"/>
      <c r="CA2453"/>
      <c r="CB2453"/>
      <c r="CC2453"/>
      <c r="CD2453" s="25"/>
    </row>
    <row r="2454" spans="1:82" s="17" customFormat="1" x14ac:dyDescent="0.2">
      <c r="A2454" s="25"/>
      <c r="B2454" s="20">
        <v>39001770600</v>
      </c>
      <c r="C2454" s="20">
        <v>7706</v>
      </c>
      <c r="D2454" s="20" t="s">
        <v>5</v>
      </c>
      <c r="E2454" s="20" t="s">
        <v>265</v>
      </c>
      <c r="F2454" s="20" t="s">
        <v>6</v>
      </c>
      <c r="G2454" s="861">
        <v>37.447394506301102</v>
      </c>
      <c r="H2454" s="861">
        <v>47.088527527981803</v>
      </c>
      <c r="I2454" s="861">
        <v>43.190086065571499</v>
      </c>
      <c r="J2454" s="861">
        <v>51.282213542489401</v>
      </c>
      <c r="K2454" s="982">
        <v>0</v>
      </c>
      <c r="L2454" s="735">
        <v>3397</v>
      </c>
      <c r="M2454" s="735">
        <v>3203</v>
      </c>
      <c r="N2454" s="845">
        <f t="shared" si="185"/>
        <v>-5.7109214012363851E-2</v>
      </c>
      <c r="O2454" s="735">
        <v>47.226243830130947</v>
      </c>
      <c r="P2454" s="735">
        <f t="shared" si="186"/>
        <v>67.822459298709774</v>
      </c>
      <c r="Q2454" s="849">
        <v>43.1</v>
      </c>
      <c r="R2454" s="71">
        <v>36648</v>
      </c>
      <c r="S2454" s="845">
        <v>0.28517469310670446</v>
      </c>
      <c r="T2454" s="845">
        <v>8.3000000000000004E-2</v>
      </c>
      <c r="U2454" s="845">
        <v>2.3E-2</v>
      </c>
      <c r="V2454" s="845">
        <v>4.8000000000000001E-2</v>
      </c>
      <c r="W2454" s="845">
        <v>0.36304347826086958</v>
      </c>
      <c r="X2454" s="845">
        <v>0.32934131736526945</v>
      </c>
      <c r="Y2454" s="845">
        <v>0.97564783015922574</v>
      </c>
      <c r="Z2454" s="845">
        <v>9.3662191695285675E-4</v>
      </c>
      <c r="AA2454" s="845">
        <v>0</v>
      </c>
      <c r="AB2454" s="845">
        <v>4.0586949734623791E-3</v>
      </c>
      <c r="AC2454" s="845">
        <v>0</v>
      </c>
      <c r="AD2454" s="845">
        <v>2.497658445207618E-3</v>
      </c>
      <c r="AE2454" s="845">
        <v>1.6859194505151422E-2</v>
      </c>
      <c r="AF2454" s="845">
        <v>1.1551670309085233E-2</v>
      </c>
      <c r="AG2454" s="845">
        <v>0.96659381829534807</v>
      </c>
      <c r="AH2454" s="20" t="str">
        <f t="shared" si="187"/>
        <v>Yes</v>
      </c>
      <c r="AI2454" s="25"/>
      <c r="AJ2454" s="25"/>
      <c r="AK2454" s="25"/>
      <c r="AL2454" s="25"/>
      <c r="AM2454" s="25"/>
      <c r="AN2454" s="25"/>
      <c r="AO2454" s="25"/>
      <c r="AP2454" s="25"/>
      <c r="AQ2454" s="25"/>
      <c r="AR2454" s="25"/>
      <c r="AS2454" s="25"/>
      <c r="AT2454" s="25"/>
      <c r="AU2454" s="36"/>
      <c r="AV2454" s="36"/>
      <c r="AW2454" s="36"/>
      <c r="AX2454" s="25"/>
      <c r="AY2454" s="25"/>
      <c r="AZ2454" s="25"/>
      <c r="BA2454" s="25"/>
      <c r="BB2454" s="25"/>
      <c r="BC2454" s="25"/>
      <c r="BD2454" s="25"/>
      <c r="BE2454" s="25"/>
      <c r="BF2454" s="25"/>
      <c r="BG2454" s="25"/>
      <c r="BH2454" s="25"/>
      <c r="BI2454" s="25"/>
      <c r="BJ2454" s="25"/>
      <c r="BK2454" s="25"/>
      <c r="BL2454" s="25"/>
      <c r="BM2454" s="25"/>
      <c r="BN2454" s="25"/>
      <c r="BO2454" s="25"/>
      <c r="BP2454" s="25"/>
      <c r="BQ2454" s="25"/>
      <c r="BR2454" s="25"/>
      <c r="BS2454" s="25"/>
      <c r="BT2454" s="25"/>
      <c r="BU2454"/>
      <c r="BV2454"/>
      <c r="BW2454"/>
      <c r="BX2454"/>
      <c r="BY2454"/>
      <c r="BZ2454"/>
      <c r="CA2454"/>
      <c r="CB2454"/>
      <c r="CC2454"/>
      <c r="CD2454" s="25"/>
    </row>
    <row r="2455" spans="1:82" s="17" customFormat="1" x14ac:dyDescent="0.2">
      <c r="A2455" s="25"/>
      <c r="B2455" s="20">
        <v>39115968800</v>
      </c>
      <c r="C2455" s="20">
        <v>9688</v>
      </c>
      <c r="D2455" s="20" t="s">
        <v>63</v>
      </c>
      <c r="E2455" s="20" t="s">
        <v>265</v>
      </c>
      <c r="F2455" s="20" t="s">
        <v>8</v>
      </c>
      <c r="G2455" s="861">
        <v>37.442955575396098</v>
      </c>
      <c r="H2455" s="861">
        <v>36.195382893965899</v>
      </c>
      <c r="I2455" s="861">
        <v>28.089686761983501</v>
      </c>
      <c r="J2455" s="861">
        <v>58.773507818185699</v>
      </c>
      <c r="K2455" s="982">
        <v>0</v>
      </c>
      <c r="L2455" s="735">
        <v>3752</v>
      </c>
      <c r="M2455" s="735">
        <v>3264</v>
      </c>
      <c r="N2455" s="845">
        <f t="shared" si="185"/>
        <v>-0.13006396588486141</v>
      </c>
      <c r="O2455" s="735">
        <v>148.72665033199709</v>
      </c>
      <c r="P2455" s="735">
        <f t="shared" si="186"/>
        <v>21.946302110038058</v>
      </c>
      <c r="Q2455" s="849">
        <v>46.6</v>
      </c>
      <c r="R2455" s="71">
        <v>62756</v>
      </c>
      <c r="S2455" s="845">
        <v>0.14307598039215685</v>
      </c>
      <c r="T2455" s="845">
        <v>6.0000000000000001E-3</v>
      </c>
      <c r="U2455" s="845">
        <v>0</v>
      </c>
      <c r="V2455" s="845">
        <v>0</v>
      </c>
      <c r="W2455" s="845">
        <v>0.19549929676511954</v>
      </c>
      <c r="X2455" s="845">
        <v>0.30215827338129497</v>
      </c>
      <c r="Y2455" s="845">
        <v>0.93903186274509809</v>
      </c>
      <c r="Z2455" s="845">
        <v>1.8075980392156864E-2</v>
      </c>
      <c r="AA2455" s="845">
        <v>0</v>
      </c>
      <c r="AB2455" s="845">
        <v>0</v>
      </c>
      <c r="AC2455" s="845">
        <v>0</v>
      </c>
      <c r="AD2455" s="845">
        <v>0</v>
      </c>
      <c r="AE2455" s="845">
        <v>4.2892156862745098E-2</v>
      </c>
      <c r="AF2455" s="845">
        <v>9.1911764705882356E-3</v>
      </c>
      <c r="AG2455" s="845">
        <v>0.93474264705882348</v>
      </c>
      <c r="AH2455" s="20" t="str">
        <f t="shared" si="187"/>
        <v>Yes</v>
      </c>
      <c r="AI2455" s="25"/>
      <c r="AJ2455" s="25"/>
      <c r="AK2455" s="25"/>
      <c r="AL2455" s="25"/>
      <c r="AM2455" s="25"/>
      <c r="AN2455" s="25"/>
      <c r="AO2455" s="25"/>
      <c r="AP2455" s="25"/>
      <c r="AQ2455" s="25"/>
      <c r="AR2455" s="25"/>
      <c r="AS2455" s="25"/>
      <c r="AT2455" s="25"/>
      <c r="AU2455" s="36"/>
      <c r="AV2455" s="36"/>
      <c r="AW2455" s="36"/>
      <c r="AX2455" s="25"/>
      <c r="AY2455" s="25"/>
      <c r="AZ2455" s="25"/>
      <c r="BA2455" s="25"/>
      <c r="BB2455" s="25"/>
      <c r="BC2455" s="25"/>
      <c r="BD2455" s="25"/>
      <c r="BE2455" s="25"/>
      <c r="BF2455" s="25"/>
      <c r="BG2455" s="25"/>
      <c r="BH2455" s="25"/>
      <c r="BI2455" s="25"/>
      <c r="BJ2455" s="25"/>
      <c r="BK2455" s="25"/>
      <c r="BL2455" s="25"/>
      <c r="BM2455" s="25"/>
      <c r="BN2455" s="25"/>
      <c r="BO2455" s="25"/>
      <c r="BP2455" s="25"/>
      <c r="BQ2455" s="25"/>
      <c r="BR2455" s="25"/>
      <c r="BS2455" s="25"/>
      <c r="BT2455" s="25"/>
      <c r="BU2455"/>
      <c r="BV2455"/>
      <c r="BW2455"/>
      <c r="BX2455"/>
      <c r="BY2455"/>
      <c r="BZ2455"/>
      <c r="CA2455"/>
      <c r="CB2455"/>
      <c r="CC2455"/>
      <c r="CD2455" s="25"/>
    </row>
    <row r="2456" spans="1:82" s="17" customFormat="1" x14ac:dyDescent="0.2">
      <c r="A2456" s="25"/>
      <c r="B2456" s="20">
        <v>39035105300</v>
      </c>
      <c r="C2456" s="20">
        <v>1053</v>
      </c>
      <c r="D2456" s="20" t="s">
        <v>24</v>
      </c>
      <c r="E2456" s="20" t="s">
        <v>2829</v>
      </c>
      <c r="F2456" s="20" t="s">
        <v>6</v>
      </c>
      <c r="G2456" s="861">
        <v>37.375382207156299</v>
      </c>
      <c r="H2456" s="861">
        <v>50.197760247945602</v>
      </c>
      <c r="I2456" s="861">
        <v>89.4996699109671</v>
      </c>
      <c r="J2456" s="861">
        <v>37.987843746995502</v>
      </c>
      <c r="K2456" s="982">
        <v>0</v>
      </c>
      <c r="L2456" s="735">
        <v>2911</v>
      </c>
      <c r="M2456" s="735">
        <v>3641</v>
      </c>
      <c r="N2456" s="845">
        <f t="shared" si="185"/>
        <v>0.25077293026451392</v>
      </c>
      <c r="O2456" s="735">
        <v>0.24930423329240689</v>
      </c>
      <c r="P2456" s="735">
        <f t="shared" si="186"/>
        <v>14604.645705031013</v>
      </c>
      <c r="Q2456" s="849">
        <v>30.3</v>
      </c>
      <c r="R2456" s="71">
        <v>39099</v>
      </c>
      <c r="S2456" s="845">
        <v>0.48084397556912828</v>
      </c>
      <c r="T2456" s="845">
        <v>7.400000000000001E-2</v>
      </c>
      <c r="U2456" s="845">
        <v>0.05</v>
      </c>
      <c r="V2456" s="845">
        <v>0.11199999999999999</v>
      </c>
      <c r="W2456" s="845">
        <v>0.55105485232067508</v>
      </c>
      <c r="X2456" s="845">
        <v>0.72281776416539045</v>
      </c>
      <c r="Y2456" s="845">
        <v>0.55671518813512766</v>
      </c>
      <c r="Z2456" s="845">
        <v>0.17577588574567427</v>
      </c>
      <c r="AA2456" s="845">
        <v>6.0422960725075532E-2</v>
      </c>
      <c r="AB2456" s="845">
        <v>0</v>
      </c>
      <c r="AC2456" s="845">
        <v>0</v>
      </c>
      <c r="AD2456" s="845">
        <v>6.4268058225762148E-2</v>
      </c>
      <c r="AE2456" s="845">
        <v>0.14281790716836035</v>
      </c>
      <c r="AF2456" s="845">
        <v>0.3584180170282889</v>
      </c>
      <c r="AG2456" s="845">
        <v>0.43559461686349904</v>
      </c>
      <c r="AH2456" s="20" t="str">
        <f t="shared" si="187"/>
        <v>No</v>
      </c>
      <c r="AI2456" s="25"/>
      <c r="AJ2456" s="25"/>
      <c r="AK2456" s="25"/>
      <c r="AL2456" s="25"/>
      <c r="AM2456" s="25"/>
      <c r="AN2456" s="25"/>
      <c r="AO2456" s="25"/>
      <c r="AP2456" s="25"/>
      <c r="AQ2456" s="25"/>
      <c r="AR2456" s="25"/>
      <c r="AS2456" s="25"/>
      <c r="AT2456" s="25"/>
      <c r="AU2456" s="36"/>
      <c r="AV2456" s="36"/>
      <c r="AW2456" s="36"/>
      <c r="AX2456" s="25"/>
      <c r="AY2456" s="25"/>
      <c r="AZ2456" s="25"/>
      <c r="BA2456" s="25"/>
      <c r="BB2456" s="25"/>
      <c r="BC2456" s="25"/>
      <c r="BD2456" s="25"/>
      <c r="BE2456" s="25"/>
      <c r="BF2456" s="25"/>
      <c r="BG2456" s="25"/>
      <c r="BH2456" s="25"/>
      <c r="BI2456" s="25"/>
      <c r="BJ2456" s="25"/>
      <c r="BK2456" s="25"/>
      <c r="BL2456" s="25"/>
      <c r="BM2456" s="25"/>
      <c r="BN2456" s="25"/>
      <c r="BO2456" s="25"/>
      <c r="BP2456" s="25"/>
      <c r="BQ2456" s="25"/>
      <c r="BR2456" s="25"/>
      <c r="BS2456" s="25"/>
      <c r="BT2456" s="25"/>
      <c r="BU2456"/>
      <c r="BV2456"/>
      <c r="BW2456"/>
      <c r="BX2456"/>
      <c r="BY2456"/>
      <c r="BZ2456"/>
      <c r="CA2456"/>
      <c r="CB2456"/>
      <c r="CC2456"/>
      <c r="CD2456" s="25"/>
    </row>
    <row r="2457" spans="1:82" s="17" customFormat="1" x14ac:dyDescent="0.2">
      <c r="A2457" s="25"/>
      <c r="B2457" s="20">
        <v>39095005602</v>
      </c>
      <c r="C2457" s="20">
        <v>56.02</v>
      </c>
      <c r="D2457" s="20" t="s">
        <v>53</v>
      </c>
      <c r="E2457" s="20" t="s">
        <v>2839</v>
      </c>
      <c r="F2457" s="20" t="s">
        <v>8</v>
      </c>
      <c r="G2457" s="861">
        <v>37.374662636668702</v>
      </c>
      <c r="H2457" s="861">
        <v>33.768345690399599</v>
      </c>
      <c r="I2457" s="861">
        <v>60.598084341121002</v>
      </c>
      <c r="J2457" s="861">
        <v>15.872833391560199</v>
      </c>
      <c r="K2457" s="982">
        <v>0</v>
      </c>
      <c r="L2457" s="735" t="s">
        <v>2466</v>
      </c>
      <c r="M2457" s="735">
        <v>769</v>
      </c>
      <c r="N2457" s="845" t="str">
        <f t="shared" si="185"/>
        <v/>
      </c>
      <c r="O2457" s="735">
        <v>2.4185543461819212</v>
      </c>
      <c r="P2457" s="735">
        <f t="shared" si="186"/>
        <v>317.95853635209426</v>
      </c>
      <c r="Q2457" s="849">
        <v>49.8</v>
      </c>
      <c r="R2457" s="71">
        <v>55184</v>
      </c>
      <c r="S2457" s="845">
        <v>0.1599479843953186</v>
      </c>
      <c r="T2457" s="845">
        <v>9.0999999999999998E-2</v>
      </c>
      <c r="U2457" s="845">
        <v>0</v>
      </c>
      <c r="V2457" s="845">
        <v>0</v>
      </c>
      <c r="W2457" s="845">
        <v>0.12655086848635236</v>
      </c>
      <c r="X2457" s="845">
        <v>0.19607843137254902</v>
      </c>
      <c r="Y2457" s="845">
        <v>0.95188556566970095</v>
      </c>
      <c r="Z2457" s="845">
        <v>1.4304291287386216E-2</v>
      </c>
      <c r="AA2457" s="845">
        <v>0</v>
      </c>
      <c r="AB2457" s="845">
        <v>0</v>
      </c>
      <c r="AC2457" s="845">
        <v>0</v>
      </c>
      <c r="AD2457" s="845">
        <v>1.1703511053315995E-2</v>
      </c>
      <c r="AE2457" s="845">
        <v>2.2106631989596878E-2</v>
      </c>
      <c r="AF2457" s="845">
        <v>4.1612483745123538E-2</v>
      </c>
      <c r="AG2457" s="845">
        <v>0.91027308192457734</v>
      </c>
      <c r="AH2457" s="20" t="str">
        <f t="shared" si="187"/>
        <v>Yes</v>
      </c>
      <c r="AI2457" s="25"/>
      <c r="AJ2457" s="25"/>
      <c r="AK2457" s="25"/>
      <c r="AL2457" s="25"/>
      <c r="AM2457" s="25"/>
      <c r="AN2457" s="25"/>
      <c r="AO2457" s="25"/>
      <c r="AP2457" s="25"/>
      <c r="AQ2457" s="25"/>
      <c r="AR2457" s="25"/>
      <c r="AS2457" s="25"/>
      <c r="AT2457" s="25"/>
      <c r="AU2457" s="36"/>
      <c r="AV2457" s="36"/>
      <c r="AW2457" s="36"/>
      <c r="AX2457" s="25"/>
      <c r="AY2457" s="25"/>
      <c r="AZ2457" s="25"/>
      <c r="BA2457" s="25"/>
      <c r="BB2457" s="25"/>
      <c r="BC2457" s="25"/>
      <c r="BD2457" s="25"/>
      <c r="BE2457" s="25"/>
      <c r="BF2457" s="25"/>
      <c r="BG2457" s="25"/>
      <c r="BH2457" s="25"/>
      <c r="BI2457" s="25"/>
      <c r="BJ2457" s="25"/>
      <c r="BK2457" s="25"/>
      <c r="BL2457" s="25"/>
      <c r="BM2457" s="25"/>
      <c r="BN2457" s="25"/>
      <c r="BO2457" s="25"/>
      <c r="BP2457" s="25"/>
      <c r="BQ2457" s="25"/>
      <c r="BR2457" s="25"/>
      <c r="BS2457" s="25"/>
      <c r="BT2457" s="25"/>
      <c r="BU2457"/>
      <c r="BV2457"/>
      <c r="BW2457"/>
      <c r="BX2457"/>
      <c r="BY2457"/>
      <c r="BZ2457"/>
      <c r="CA2457"/>
      <c r="CB2457"/>
      <c r="CC2457"/>
      <c r="CD2457" s="25"/>
    </row>
    <row r="2458" spans="1:82" s="17" customFormat="1" x14ac:dyDescent="0.2">
      <c r="A2458" s="25"/>
      <c r="B2458" s="20">
        <v>39007001001</v>
      </c>
      <c r="C2458" s="20">
        <v>10.01</v>
      </c>
      <c r="D2458" s="20" t="s">
        <v>10</v>
      </c>
      <c r="E2458" s="20" t="s">
        <v>2829</v>
      </c>
      <c r="F2458" s="20" t="s">
        <v>8</v>
      </c>
      <c r="G2458" s="861">
        <v>37.370846437535199</v>
      </c>
      <c r="H2458" s="861">
        <v>45.225279997971597</v>
      </c>
      <c r="I2458" s="861">
        <v>32.054460366606499</v>
      </c>
      <c r="J2458" s="861">
        <v>50.709213310522799</v>
      </c>
      <c r="K2458" s="982">
        <v>0</v>
      </c>
      <c r="L2458" s="735">
        <v>5535</v>
      </c>
      <c r="M2458" s="735">
        <v>5420</v>
      </c>
      <c r="N2458" s="845">
        <f t="shared" si="185"/>
        <v>-2.077687443541102E-2</v>
      </c>
      <c r="O2458" s="735">
        <v>67.602774438991545</v>
      </c>
      <c r="P2458" s="735">
        <f t="shared" si="186"/>
        <v>80.174224282633631</v>
      </c>
      <c r="Q2458" s="849">
        <v>43.1</v>
      </c>
      <c r="R2458" s="71">
        <v>71532</v>
      </c>
      <c r="S2458" s="845">
        <v>0.10467911965970039</v>
      </c>
      <c r="T2458" s="845">
        <v>0.02</v>
      </c>
      <c r="U2458" s="845">
        <v>1E-3</v>
      </c>
      <c r="V2458" s="845">
        <v>0</v>
      </c>
      <c r="W2458" s="845">
        <v>0.11330049261083744</v>
      </c>
      <c r="X2458" s="845">
        <v>0.49802371541501977</v>
      </c>
      <c r="Y2458" s="845">
        <v>0.91586715867158675</v>
      </c>
      <c r="Z2458" s="845">
        <v>2.5830258302583026E-2</v>
      </c>
      <c r="AA2458" s="845">
        <v>3.6900369003690036E-4</v>
      </c>
      <c r="AB2458" s="845">
        <v>2.0295202952029519E-3</v>
      </c>
      <c r="AC2458" s="845">
        <v>0</v>
      </c>
      <c r="AD2458" s="845">
        <v>8.6715867158671592E-3</v>
      </c>
      <c r="AE2458" s="845">
        <v>4.7232472324723246E-2</v>
      </c>
      <c r="AF2458" s="845">
        <v>2.5092250922509225E-2</v>
      </c>
      <c r="AG2458" s="845">
        <v>0.91365313653136526</v>
      </c>
      <c r="AH2458" s="20" t="str">
        <f t="shared" si="187"/>
        <v>Yes</v>
      </c>
      <c r="AI2458" s="25"/>
      <c r="AJ2458" s="25"/>
      <c r="AK2458" s="25"/>
      <c r="AL2458" s="25"/>
      <c r="AM2458" s="25"/>
      <c r="AN2458" s="25"/>
      <c r="AO2458" s="25"/>
      <c r="AP2458" s="25"/>
      <c r="AQ2458" s="25"/>
      <c r="AR2458" s="25"/>
      <c r="AS2458" s="25"/>
      <c r="AT2458" s="25"/>
      <c r="AU2458" s="36"/>
      <c r="AV2458" s="36"/>
      <c r="AW2458" s="36"/>
      <c r="AX2458" s="25"/>
      <c r="AY2458" s="25"/>
      <c r="AZ2458" s="25"/>
      <c r="BA2458" s="25"/>
      <c r="BB2458" s="25"/>
      <c r="BC2458" s="25"/>
      <c r="BD2458" s="25"/>
      <c r="BE2458" s="25"/>
      <c r="BF2458" s="25"/>
      <c r="BG2458" s="25"/>
      <c r="BH2458" s="25"/>
      <c r="BI2458" s="25"/>
      <c r="BJ2458" s="25"/>
      <c r="BK2458" s="25"/>
      <c r="BL2458" s="25"/>
      <c r="BM2458" s="25"/>
      <c r="BN2458" s="25"/>
      <c r="BO2458" s="25"/>
      <c r="BP2458" s="25"/>
      <c r="BQ2458" s="25"/>
      <c r="BR2458" s="25"/>
      <c r="BS2458" s="25"/>
      <c r="BT2458" s="25"/>
      <c r="BU2458"/>
      <c r="BV2458"/>
      <c r="BW2458"/>
      <c r="BX2458"/>
      <c r="BY2458"/>
      <c r="BZ2458"/>
      <c r="CA2458"/>
      <c r="CB2458"/>
      <c r="CC2458"/>
      <c r="CD2458" s="25"/>
    </row>
    <row r="2459" spans="1:82" s="17" customFormat="1" x14ac:dyDescent="0.2">
      <c r="A2459" s="25"/>
      <c r="B2459" s="20">
        <v>39089754102</v>
      </c>
      <c r="C2459" s="20">
        <v>7541.02</v>
      </c>
      <c r="D2459" s="20" t="s">
        <v>50</v>
      </c>
      <c r="E2459" s="20" t="s">
        <v>2830</v>
      </c>
      <c r="F2459" s="20" t="s">
        <v>8</v>
      </c>
      <c r="G2459" s="861">
        <v>37.3339604666931</v>
      </c>
      <c r="H2459" s="861">
        <v>37.668546033462</v>
      </c>
      <c r="I2459" s="861">
        <v>23.860305838670801</v>
      </c>
      <c r="J2459" s="861">
        <v>57.251000951747997</v>
      </c>
      <c r="K2459" s="982">
        <v>0</v>
      </c>
      <c r="L2459" s="735">
        <v>2253</v>
      </c>
      <c r="M2459" s="735">
        <v>2792</v>
      </c>
      <c r="N2459" s="845">
        <f t="shared" si="185"/>
        <v>0.23923657345761207</v>
      </c>
      <c r="O2459" s="735">
        <v>8.2658572513678461</v>
      </c>
      <c r="P2459" s="735">
        <f t="shared" si="186"/>
        <v>337.7750080958603</v>
      </c>
      <c r="Q2459" s="849">
        <v>38.200000000000003</v>
      </c>
      <c r="R2459" s="71">
        <v>85125</v>
      </c>
      <c r="S2459" s="845">
        <v>3.7249283667621778E-2</v>
      </c>
      <c r="T2459" s="845">
        <v>3.6000000000000004E-2</v>
      </c>
      <c r="U2459" s="845">
        <v>1.4999999999999999E-2</v>
      </c>
      <c r="V2459" s="845">
        <v>0</v>
      </c>
      <c r="W2459" s="845">
        <v>8.9340101522842635E-2</v>
      </c>
      <c r="X2459" s="845">
        <v>0.19318181818181818</v>
      </c>
      <c r="Y2459" s="845">
        <v>0.98459885386819479</v>
      </c>
      <c r="Z2459" s="845">
        <v>3.5816618911174787E-3</v>
      </c>
      <c r="AA2459" s="845">
        <v>0</v>
      </c>
      <c r="AB2459" s="845">
        <v>0</v>
      </c>
      <c r="AC2459" s="845">
        <v>0</v>
      </c>
      <c r="AD2459" s="845">
        <v>0</v>
      </c>
      <c r="AE2459" s="845">
        <v>1.181948424068768E-2</v>
      </c>
      <c r="AF2459" s="845">
        <v>6.0888252148997134E-3</v>
      </c>
      <c r="AG2459" s="845">
        <v>0.98173352435530081</v>
      </c>
      <c r="AH2459" s="20" t="str">
        <f t="shared" si="187"/>
        <v>Yes</v>
      </c>
      <c r="AI2459" s="25"/>
      <c r="AJ2459" s="25"/>
      <c r="AK2459" s="25"/>
      <c r="AL2459" s="25"/>
      <c r="AM2459" s="25"/>
      <c r="AN2459" s="25"/>
      <c r="AO2459" s="25"/>
      <c r="AP2459" s="25"/>
      <c r="AQ2459" s="25"/>
      <c r="AR2459" s="25"/>
      <c r="AS2459" s="25"/>
      <c r="AT2459" s="25"/>
      <c r="AU2459" s="36"/>
      <c r="AV2459" s="36"/>
      <c r="AW2459" s="36"/>
      <c r="AX2459" s="25"/>
      <c r="AY2459" s="25"/>
      <c r="AZ2459" s="25"/>
      <c r="BA2459" s="25"/>
      <c r="BB2459" s="25"/>
      <c r="BC2459" s="25"/>
      <c r="BD2459" s="25"/>
      <c r="BE2459" s="25"/>
      <c r="BF2459" s="25"/>
      <c r="BG2459" s="25"/>
      <c r="BH2459" s="25"/>
      <c r="BI2459" s="25"/>
      <c r="BJ2459" s="25"/>
      <c r="BK2459" s="25"/>
      <c r="BL2459" s="25"/>
      <c r="BM2459" s="25"/>
      <c r="BN2459" s="25"/>
      <c r="BO2459" s="25"/>
      <c r="BP2459" s="25"/>
      <c r="BQ2459" s="25"/>
      <c r="BR2459" s="25"/>
      <c r="BS2459" s="25"/>
      <c r="BT2459" s="25"/>
      <c r="BU2459"/>
      <c r="BV2459"/>
      <c r="BW2459"/>
      <c r="BX2459"/>
      <c r="BY2459"/>
      <c r="BZ2459"/>
      <c r="CA2459"/>
      <c r="CB2459"/>
      <c r="CC2459"/>
      <c r="CD2459" s="25"/>
    </row>
    <row r="2460" spans="1:82" s="17" customFormat="1" x14ac:dyDescent="0.2">
      <c r="A2460" s="25"/>
      <c r="B2460" s="20">
        <v>39153510301</v>
      </c>
      <c r="C2460" s="20">
        <v>5103.01</v>
      </c>
      <c r="D2460" s="20" t="s">
        <v>82</v>
      </c>
      <c r="E2460" s="20" t="s">
        <v>2843</v>
      </c>
      <c r="F2460" s="20" t="s">
        <v>6</v>
      </c>
      <c r="G2460" s="861">
        <v>37.2984084234851</v>
      </c>
      <c r="H2460" s="861">
        <v>48.058785424404199</v>
      </c>
      <c r="I2460" s="861">
        <v>40.123643002844297</v>
      </c>
      <c r="J2460" s="861">
        <v>34.9448549055843</v>
      </c>
      <c r="K2460" s="982">
        <v>0</v>
      </c>
      <c r="L2460" s="735">
        <v>5257</v>
      </c>
      <c r="M2460" s="735">
        <v>5334</v>
      </c>
      <c r="N2460" s="845">
        <f t="shared" si="185"/>
        <v>1.4647137150466045E-2</v>
      </c>
      <c r="O2460" s="735">
        <v>2.2640953359434537</v>
      </c>
      <c r="P2460" s="735">
        <f t="shared" si="186"/>
        <v>2355.9078609988437</v>
      </c>
      <c r="Q2460" s="849">
        <v>36.5</v>
      </c>
      <c r="R2460" s="71">
        <v>32974</v>
      </c>
      <c r="S2460" s="845">
        <v>0.30377764728909767</v>
      </c>
      <c r="T2460" s="845">
        <v>3.3000000000000002E-2</v>
      </c>
      <c r="U2460" s="845">
        <v>0</v>
      </c>
      <c r="V2460" s="845">
        <v>0</v>
      </c>
      <c r="W2460" s="845">
        <v>0.63918402039948996</v>
      </c>
      <c r="X2460" s="845">
        <v>0.35372340425531917</v>
      </c>
      <c r="Y2460" s="845">
        <v>0.63835770528683911</v>
      </c>
      <c r="Z2460" s="845">
        <v>0.2945256842894638</v>
      </c>
      <c r="AA2460" s="845">
        <v>0</v>
      </c>
      <c r="AB2460" s="845">
        <v>0</v>
      </c>
      <c r="AC2460" s="845">
        <v>0</v>
      </c>
      <c r="AD2460" s="845">
        <v>0</v>
      </c>
      <c r="AE2460" s="845">
        <v>6.7116610423697043E-2</v>
      </c>
      <c r="AF2460" s="845">
        <v>0</v>
      </c>
      <c r="AG2460" s="845">
        <v>0.63835770528683911</v>
      </c>
      <c r="AH2460" s="20" t="str">
        <f t="shared" si="187"/>
        <v>No</v>
      </c>
      <c r="AI2460" s="25"/>
      <c r="AJ2460" s="25"/>
      <c r="AK2460" s="25"/>
      <c r="AL2460" s="25"/>
      <c r="AM2460" s="25"/>
      <c r="AN2460" s="25"/>
      <c r="AO2460" s="25"/>
      <c r="AP2460" s="25"/>
      <c r="AQ2460" s="25"/>
      <c r="AR2460" s="25"/>
      <c r="AS2460" s="25"/>
      <c r="AT2460" s="25"/>
      <c r="AU2460" s="36"/>
      <c r="AV2460" s="36"/>
      <c r="AW2460" s="36"/>
      <c r="AX2460" s="25"/>
      <c r="AY2460" s="25"/>
      <c r="AZ2460" s="25"/>
      <c r="BA2460" s="25"/>
      <c r="BB2460" s="25"/>
      <c r="BC2460" s="25"/>
      <c r="BD2460" s="25"/>
      <c r="BE2460" s="25"/>
      <c r="BF2460" s="25"/>
      <c r="BG2460" s="25"/>
      <c r="BH2460" s="25"/>
      <c r="BI2460" s="25"/>
      <c r="BJ2460" s="25"/>
      <c r="BK2460" s="25"/>
      <c r="BL2460" s="25"/>
      <c r="BM2460" s="25"/>
      <c r="BN2460" s="25"/>
      <c r="BO2460" s="25"/>
      <c r="BP2460" s="25"/>
      <c r="BQ2460" s="25"/>
      <c r="BR2460" s="25"/>
      <c r="BS2460" s="25"/>
      <c r="BT2460" s="25"/>
      <c r="BU2460"/>
      <c r="BV2460"/>
      <c r="BW2460"/>
      <c r="BX2460"/>
      <c r="BY2460"/>
      <c r="BZ2460"/>
      <c r="CA2460"/>
      <c r="CB2460"/>
      <c r="CC2460"/>
      <c r="CD2460" s="25"/>
    </row>
    <row r="2461" spans="1:82" s="17" customFormat="1" x14ac:dyDescent="0.2">
      <c r="A2461" s="25"/>
      <c r="B2461" s="20">
        <v>39175938200</v>
      </c>
      <c r="C2461" s="20">
        <v>9382</v>
      </c>
      <c r="D2461" s="20" t="s">
        <v>93</v>
      </c>
      <c r="E2461" s="20" t="s">
        <v>265</v>
      </c>
      <c r="F2461" s="20" t="s">
        <v>8</v>
      </c>
      <c r="G2461" s="861">
        <v>37.289155810181903</v>
      </c>
      <c r="H2461" s="861">
        <v>45.936989357188203</v>
      </c>
      <c r="I2461" s="861">
        <v>21.321117770916601</v>
      </c>
      <c r="J2461" s="861">
        <v>44.121053401628899</v>
      </c>
      <c r="K2461" s="982">
        <v>0</v>
      </c>
      <c r="L2461" s="735">
        <v>3897</v>
      </c>
      <c r="M2461" s="735">
        <v>3386</v>
      </c>
      <c r="N2461" s="845">
        <f t="shared" si="185"/>
        <v>-0.13112650756992558</v>
      </c>
      <c r="O2461" s="735">
        <v>149.48372523609771</v>
      </c>
      <c r="P2461" s="735">
        <f t="shared" si="186"/>
        <v>22.651295280821248</v>
      </c>
      <c r="Q2461" s="849">
        <v>46.5</v>
      </c>
      <c r="R2461" s="71">
        <v>73056</v>
      </c>
      <c r="S2461" s="845">
        <v>8.31606984314886E-2</v>
      </c>
      <c r="T2461" s="845">
        <v>2.4E-2</v>
      </c>
      <c r="U2461" s="845">
        <v>3.1E-2</v>
      </c>
      <c r="V2461" s="845">
        <v>0</v>
      </c>
      <c r="W2461" s="845">
        <v>0.1777434312210201</v>
      </c>
      <c r="X2461" s="845">
        <v>6.5217391304347824E-2</v>
      </c>
      <c r="Y2461" s="845">
        <v>0.95953927938570582</v>
      </c>
      <c r="Z2461" s="845">
        <v>5.6113408151210872E-3</v>
      </c>
      <c r="AA2461" s="845">
        <v>5.9066745422327229E-4</v>
      </c>
      <c r="AB2461" s="845">
        <v>0</v>
      </c>
      <c r="AC2461" s="845">
        <v>0</v>
      </c>
      <c r="AD2461" s="845">
        <v>0</v>
      </c>
      <c r="AE2461" s="845">
        <v>3.4258712344949795E-2</v>
      </c>
      <c r="AF2461" s="845">
        <v>1.6538688718251624E-2</v>
      </c>
      <c r="AG2461" s="845">
        <v>0.95097460129946842</v>
      </c>
      <c r="AH2461" s="20" t="str">
        <f t="shared" si="187"/>
        <v>Yes</v>
      </c>
      <c r="AI2461" s="25"/>
      <c r="AJ2461" s="25"/>
      <c r="AK2461" s="25"/>
      <c r="AL2461" s="25"/>
      <c r="AM2461" s="25"/>
      <c r="AN2461" s="25"/>
      <c r="AO2461" s="25"/>
      <c r="AP2461" s="25"/>
      <c r="AQ2461" s="25"/>
      <c r="AR2461" s="25"/>
      <c r="AS2461" s="25"/>
      <c r="AT2461" s="25"/>
      <c r="AU2461" s="36"/>
      <c r="AV2461" s="36"/>
      <c r="AW2461" s="36"/>
      <c r="AX2461" s="25"/>
      <c r="AY2461" s="25"/>
      <c r="AZ2461" s="25"/>
      <c r="BA2461" s="25"/>
      <c r="BB2461" s="25"/>
      <c r="BC2461" s="25"/>
      <c r="BD2461" s="25"/>
      <c r="BE2461" s="25"/>
      <c r="BF2461" s="25"/>
      <c r="BG2461" s="25"/>
      <c r="BH2461" s="25"/>
      <c r="BI2461" s="25"/>
      <c r="BJ2461" s="25"/>
      <c r="BK2461" s="25"/>
      <c r="BL2461" s="25"/>
      <c r="BM2461" s="25"/>
      <c r="BN2461" s="25"/>
      <c r="BO2461" s="25"/>
      <c r="BP2461" s="25"/>
      <c r="BQ2461" s="25"/>
      <c r="BR2461" s="25"/>
      <c r="BS2461" s="25"/>
      <c r="BT2461" s="25"/>
      <c r="BU2461"/>
      <c r="BV2461"/>
      <c r="BW2461"/>
      <c r="BX2461"/>
      <c r="BY2461"/>
      <c r="BZ2461"/>
      <c r="CA2461"/>
      <c r="CB2461"/>
      <c r="CC2461"/>
      <c r="CD2461" s="25"/>
    </row>
    <row r="2462" spans="1:82" s="17" customFormat="1" x14ac:dyDescent="0.2">
      <c r="A2462" s="25"/>
      <c r="B2462" s="20">
        <v>39061008100</v>
      </c>
      <c r="C2462" s="20">
        <v>81</v>
      </c>
      <c r="D2462" s="20" t="s">
        <v>37</v>
      </c>
      <c r="E2462" s="20" t="s">
        <v>2828</v>
      </c>
      <c r="F2462" s="20" t="s">
        <v>6</v>
      </c>
      <c r="G2462" s="861">
        <v>37.275323238811403</v>
      </c>
      <c r="H2462" s="861">
        <v>47.996520110634499</v>
      </c>
      <c r="I2462" s="861">
        <v>54.182356333892102</v>
      </c>
      <c r="J2462" s="861">
        <v>46.424443945955801</v>
      </c>
      <c r="K2462" s="982">
        <v>0</v>
      </c>
      <c r="L2462" s="735">
        <v>2672</v>
      </c>
      <c r="M2462" s="735">
        <v>2867</v>
      </c>
      <c r="N2462" s="845">
        <f t="shared" si="185"/>
        <v>7.2979041916167664E-2</v>
      </c>
      <c r="O2462" s="735">
        <v>1.0905860876712674</v>
      </c>
      <c r="P2462" s="735">
        <f t="shared" si="186"/>
        <v>2628.8617032717848</v>
      </c>
      <c r="Q2462" s="849">
        <v>41.7</v>
      </c>
      <c r="R2462" s="71">
        <v>45704</v>
      </c>
      <c r="S2462" s="845">
        <v>0.30010756543563999</v>
      </c>
      <c r="T2462" s="845">
        <v>4.2000000000000003E-2</v>
      </c>
      <c r="U2462" s="845">
        <v>3.1E-2</v>
      </c>
      <c r="V2462" s="845">
        <v>3.5000000000000003E-2</v>
      </c>
      <c r="W2462" s="845">
        <v>0.47950219619326501</v>
      </c>
      <c r="X2462" s="845">
        <v>0.62442748091603051</v>
      </c>
      <c r="Y2462" s="845">
        <v>0.17928147889780258</v>
      </c>
      <c r="Z2462" s="845">
        <v>0.66271363794907567</v>
      </c>
      <c r="AA2462" s="845">
        <v>0</v>
      </c>
      <c r="AB2462" s="845">
        <v>0</v>
      </c>
      <c r="AC2462" s="845">
        <v>2.0927799093128706E-3</v>
      </c>
      <c r="AD2462" s="845">
        <v>0.12138123474014649</v>
      </c>
      <c r="AE2462" s="845">
        <v>3.4530868503662368E-2</v>
      </c>
      <c r="AF2462" s="845">
        <v>9.7663062434600635E-3</v>
      </c>
      <c r="AG2462" s="845">
        <v>0.17928147889780258</v>
      </c>
      <c r="AH2462" s="20" t="str">
        <f t="shared" si="187"/>
        <v>No</v>
      </c>
      <c r="AI2462" s="25"/>
      <c r="AJ2462" s="25"/>
      <c r="AK2462" s="25"/>
      <c r="AL2462" s="25"/>
      <c r="AM2462" s="25"/>
      <c r="AN2462" s="25"/>
      <c r="AO2462" s="25"/>
      <c r="AP2462" s="25"/>
      <c r="AQ2462" s="25"/>
      <c r="AR2462" s="25"/>
      <c r="AS2462" s="25"/>
      <c r="AT2462" s="25"/>
      <c r="AU2462" s="36"/>
      <c r="AV2462" s="36"/>
      <c r="AW2462" s="36"/>
      <c r="AX2462" s="25"/>
      <c r="AY2462" s="25"/>
      <c r="AZ2462" s="25"/>
      <c r="BA2462" s="25"/>
      <c r="BB2462" s="25"/>
      <c r="BC2462" s="25"/>
      <c r="BD2462" s="25"/>
      <c r="BE2462" s="25"/>
      <c r="BF2462" s="25"/>
      <c r="BG2462" s="25"/>
      <c r="BH2462" s="25"/>
      <c r="BI2462" s="25"/>
      <c r="BJ2462" s="25"/>
      <c r="BK2462" s="25"/>
      <c r="BL2462" s="25"/>
      <c r="BM2462" s="25"/>
      <c r="BN2462" s="25"/>
      <c r="BO2462" s="25"/>
      <c r="BP2462" s="25"/>
      <c r="BQ2462" s="25"/>
      <c r="BR2462" s="25"/>
      <c r="BS2462" s="25"/>
      <c r="BT2462" s="25"/>
      <c r="BU2462"/>
      <c r="BV2462"/>
      <c r="BW2462"/>
      <c r="BX2462"/>
      <c r="BY2462"/>
      <c r="BZ2462"/>
      <c r="CA2462"/>
      <c r="CB2462"/>
      <c r="CC2462"/>
      <c r="CD2462" s="25"/>
    </row>
    <row r="2463" spans="1:82" s="17" customFormat="1" x14ac:dyDescent="0.2">
      <c r="A2463" s="25"/>
      <c r="B2463" s="20">
        <v>39055311500</v>
      </c>
      <c r="C2463" s="20">
        <v>3115</v>
      </c>
      <c r="D2463" s="20" t="s">
        <v>34</v>
      </c>
      <c r="E2463" s="20" t="s">
        <v>2829</v>
      </c>
      <c r="F2463" s="20" t="s">
        <v>8</v>
      </c>
      <c r="G2463" s="861">
        <v>37.229297937966301</v>
      </c>
      <c r="H2463" s="861">
        <v>39.1346053936415</v>
      </c>
      <c r="I2463" s="861">
        <v>26.5369038953867</v>
      </c>
      <c r="J2463" s="861">
        <v>29.251734130439399</v>
      </c>
      <c r="K2463" s="982">
        <v>0</v>
      </c>
      <c r="L2463" s="735">
        <v>5340</v>
      </c>
      <c r="M2463" s="735">
        <v>5555</v>
      </c>
      <c r="N2463" s="845">
        <f t="shared" si="185"/>
        <v>4.0262172284644196E-2</v>
      </c>
      <c r="O2463" s="735">
        <v>20.130215192377854</v>
      </c>
      <c r="P2463" s="735">
        <f t="shared" si="186"/>
        <v>275.9533341751536</v>
      </c>
      <c r="Q2463" s="849">
        <v>48.9</v>
      </c>
      <c r="R2463" s="71">
        <v>100667</v>
      </c>
      <c r="S2463" s="845">
        <v>4.1160471441523121E-2</v>
      </c>
      <c r="T2463" s="845">
        <v>4.8000000000000001E-2</v>
      </c>
      <c r="U2463" s="845">
        <v>0</v>
      </c>
      <c r="V2463" s="845">
        <v>2.5000000000000001E-2</v>
      </c>
      <c r="W2463" s="845">
        <v>0.18601583113456466</v>
      </c>
      <c r="X2463" s="845">
        <v>0.20094562647754138</v>
      </c>
      <c r="Y2463" s="845">
        <v>0.89054905490549052</v>
      </c>
      <c r="Z2463" s="845">
        <v>1.602160216021602E-2</v>
      </c>
      <c r="AA2463" s="845">
        <v>0</v>
      </c>
      <c r="AB2463" s="845">
        <v>8.4608460846084602E-3</v>
      </c>
      <c r="AC2463" s="845">
        <v>0</v>
      </c>
      <c r="AD2463" s="845">
        <v>7.2007200720072004E-3</v>
      </c>
      <c r="AE2463" s="845">
        <v>7.7767776777677766E-2</v>
      </c>
      <c r="AF2463" s="845">
        <v>5.0405040504050404E-2</v>
      </c>
      <c r="AG2463" s="845">
        <v>0.88298829882988294</v>
      </c>
      <c r="AH2463" s="20" t="str">
        <f t="shared" si="187"/>
        <v>No</v>
      </c>
      <c r="AI2463" s="25"/>
      <c r="AJ2463" s="25"/>
      <c r="AK2463" s="25"/>
      <c r="AL2463" s="25"/>
      <c r="AM2463" s="25"/>
      <c r="AN2463" s="25"/>
      <c r="AO2463" s="25"/>
      <c r="AP2463" s="25"/>
      <c r="AQ2463" s="25"/>
      <c r="AR2463" s="25"/>
      <c r="AS2463" s="25"/>
      <c r="AT2463" s="25"/>
      <c r="AU2463" s="36"/>
      <c r="AV2463" s="36"/>
      <c r="AW2463" s="36"/>
      <c r="AX2463" s="25"/>
      <c r="AY2463" s="25"/>
      <c r="AZ2463" s="25"/>
      <c r="BA2463" s="25"/>
      <c r="BB2463" s="25"/>
      <c r="BC2463" s="25"/>
      <c r="BD2463" s="25"/>
      <c r="BE2463" s="25"/>
      <c r="BF2463" s="25"/>
      <c r="BG2463" s="25"/>
      <c r="BH2463" s="25"/>
      <c r="BI2463" s="25"/>
      <c r="BJ2463" s="25"/>
      <c r="BK2463" s="25"/>
      <c r="BL2463" s="25"/>
      <c r="BM2463" s="25"/>
      <c r="BN2463" s="25"/>
      <c r="BO2463" s="25"/>
      <c r="BP2463" s="25"/>
      <c r="BQ2463" s="25"/>
      <c r="BR2463" s="25"/>
      <c r="BS2463" s="25"/>
      <c r="BT2463" s="25"/>
      <c r="BU2463"/>
      <c r="BV2463"/>
      <c r="BW2463"/>
      <c r="BX2463"/>
      <c r="BY2463"/>
      <c r="BZ2463"/>
      <c r="CA2463"/>
      <c r="CB2463"/>
      <c r="CC2463"/>
      <c r="CD2463" s="25"/>
    </row>
    <row r="2464" spans="1:82" s="17" customFormat="1" x14ac:dyDescent="0.2">
      <c r="A2464" s="25"/>
      <c r="B2464" s="20">
        <v>39113000500</v>
      </c>
      <c r="C2464" s="20">
        <v>5</v>
      </c>
      <c r="D2464" s="20" t="s">
        <v>62</v>
      </c>
      <c r="E2464" s="20" t="s">
        <v>2833</v>
      </c>
      <c r="F2464" s="20" t="s">
        <v>8</v>
      </c>
      <c r="G2464" s="861">
        <v>37.204495417298901</v>
      </c>
      <c r="H2464" s="861">
        <v>55.106311226361797</v>
      </c>
      <c r="I2464" s="861">
        <v>54.828002480181702</v>
      </c>
      <c r="J2464" s="861">
        <v>43.595670542952</v>
      </c>
      <c r="K2464" s="982">
        <v>0</v>
      </c>
      <c r="L2464" s="735">
        <v>4088</v>
      </c>
      <c r="M2464" s="735">
        <v>3958</v>
      </c>
      <c r="N2464" s="845">
        <f t="shared" si="185"/>
        <v>-3.1800391389432484E-2</v>
      </c>
      <c r="O2464" s="735">
        <v>1.1209599722834249</v>
      </c>
      <c r="P2464" s="735">
        <f t="shared" si="186"/>
        <v>3530.902171232261</v>
      </c>
      <c r="Q2464" s="849">
        <v>38.700000000000003</v>
      </c>
      <c r="R2464" s="71">
        <v>46051</v>
      </c>
      <c r="S2464" s="845">
        <v>0.27219685438863522</v>
      </c>
      <c r="T2464" s="845">
        <v>0.156</v>
      </c>
      <c r="U2464" s="845">
        <v>0</v>
      </c>
      <c r="V2464" s="845">
        <v>7.400000000000001E-2</v>
      </c>
      <c r="W2464" s="845">
        <v>0.51697273233166385</v>
      </c>
      <c r="X2464" s="845">
        <v>0.55543595263724432</v>
      </c>
      <c r="Y2464" s="845">
        <v>0.14426478019201616</v>
      </c>
      <c r="Z2464" s="845">
        <v>0.7945932289034866</v>
      </c>
      <c r="AA2464" s="845">
        <v>2.5265285497726126E-4</v>
      </c>
      <c r="AB2464" s="845">
        <v>0</v>
      </c>
      <c r="AC2464" s="845">
        <v>0</v>
      </c>
      <c r="AD2464" s="845">
        <v>2.425467407781708E-2</v>
      </c>
      <c r="AE2464" s="845">
        <v>3.6634663971702883E-2</v>
      </c>
      <c r="AF2464" s="845">
        <v>2.425467407781708E-2</v>
      </c>
      <c r="AG2464" s="845">
        <v>0.14426478019201616</v>
      </c>
      <c r="AH2464" s="20" t="str">
        <f t="shared" si="187"/>
        <v>No</v>
      </c>
      <c r="AI2464" s="25"/>
      <c r="AJ2464" s="25"/>
      <c r="AK2464" s="25"/>
      <c r="AL2464" s="25"/>
      <c r="AM2464" s="25"/>
      <c r="AN2464" s="25"/>
      <c r="AO2464" s="25"/>
      <c r="AP2464" s="25"/>
      <c r="AQ2464" s="25"/>
      <c r="AR2464" s="25"/>
      <c r="AS2464" s="25"/>
      <c r="AT2464" s="25"/>
      <c r="AU2464" s="36"/>
      <c r="AV2464" s="36"/>
      <c r="AW2464" s="36"/>
      <c r="AX2464" s="25"/>
      <c r="AY2464" s="25"/>
      <c r="AZ2464" s="25"/>
      <c r="BA2464" s="25"/>
      <c r="BB2464" s="25"/>
      <c r="BC2464" s="25"/>
      <c r="BD2464" s="25"/>
      <c r="BE2464" s="25"/>
      <c r="BF2464" s="25"/>
      <c r="BG2464" s="25"/>
      <c r="BH2464" s="25"/>
      <c r="BI2464" s="25"/>
      <c r="BJ2464" s="25"/>
      <c r="BK2464" s="25"/>
      <c r="BL2464" s="25"/>
      <c r="BM2464" s="25"/>
      <c r="BN2464" s="25"/>
      <c r="BO2464" s="25"/>
      <c r="BP2464" s="25"/>
      <c r="BQ2464" s="25"/>
      <c r="BR2464" s="25"/>
      <c r="BS2464" s="25"/>
      <c r="BT2464" s="25"/>
      <c r="BU2464"/>
      <c r="BV2464"/>
      <c r="BW2464"/>
      <c r="BX2464"/>
      <c r="BY2464"/>
      <c r="BZ2464"/>
      <c r="CA2464"/>
      <c r="CB2464"/>
      <c r="CC2464"/>
      <c r="CD2464" s="25"/>
    </row>
    <row r="2465" spans="1:82" s="17" customFormat="1" x14ac:dyDescent="0.2">
      <c r="A2465" s="25"/>
      <c r="B2465" s="20">
        <v>39099801100</v>
      </c>
      <c r="C2465" s="20">
        <v>8011</v>
      </c>
      <c r="D2465" s="20" t="s">
        <v>55</v>
      </c>
      <c r="E2465" s="20" t="s">
        <v>2842</v>
      </c>
      <c r="F2465" s="20" t="s">
        <v>6</v>
      </c>
      <c r="G2465" s="861">
        <v>37.1833305467391</v>
      </c>
      <c r="H2465" s="861">
        <v>42.618276787158997</v>
      </c>
      <c r="I2465" s="861">
        <v>55.431376283271597</v>
      </c>
      <c r="J2465" s="861">
        <v>57.947806397310302</v>
      </c>
      <c r="K2465" s="982">
        <v>0</v>
      </c>
      <c r="L2465" s="735">
        <v>2529</v>
      </c>
      <c r="M2465" s="735">
        <v>2373</v>
      </c>
      <c r="N2465" s="845">
        <f t="shared" si="185"/>
        <v>-6.1684460260972719E-2</v>
      </c>
      <c r="O2465" s="735">
        <v>0.53032096738081169</v>
      </c>
      <c r="P2465" s="735">
        <f t="shared" si="186"/>
        <v>4474.6486485721043</v>
      </c>
      <c r="Q2465" s="849">
        <v>40.700000000000003</v>
      </c>
      <c r="R2465" s="71">
        <v>36857</v>
      </c>
      <c r="S2465" s="845">
        <v>0.34324442501093133</v>
      </c>
      <c r="T2465" s="845">
        <v>7.6999999999999999E-2</v>
      </c>
      <c r="U2465" s="845">
        <v>0</v>
      </c>
      <c r="V2465" s="845">
        <v>2.5000000000000001E-2</v>
      </c>
      <c r="W2465" s="845">
        <v>0.56041666666666667</v>
      </c>
      <c r="X2465" s="845">
        <v>0.56133828996282531</v>
      </c>
      <c r="Y2465" s="845">
        <v>0.36451748841129372</v>
      </c>
      <c r="Z2465" s="845">
        <v>0.43699957859249894</v>
      </c>
      <c r="AA2465" s="845">
        <v>4.2140750105351877E-4</v>
      </c>
      <c r="AB2465" s="845">
        <v>0</v>
      </c>
      <c r="AC2465" s="845">
        <v>0</v>
      </c>
      <c r="AD2465" s="845">
        <v>5.646860514117151E-2</v>
      </c>
      <c r="AE2465" s="845">
        <v>0.1415929203539823</v>
      </c>
      <c r="AF2465" s="845">
        <v>0.16561314791403287</v>
      </c>
      <c r="AG2465" s="845">
        <v>0.35398230088495575</v>
      </c>
      <c r="AH2465" s="20" t="str">
        <f t="shared" si="187"/>
        <v>No</v>
      </c>
      <c r="AI2465" s="25"/>
      <c r="AJ2465" s="25"/>
      <c r="AK2465" s="25"/>
      <c r="AL2465" s="25"/>
      <c r="AM2465" s="25"/>
      <c r="AN2465" s="25"/>
      <c r="AO2465" s="25"/>
      <c r="AP2465" s="25"/>
      <c r="AQ2465" s="25"/>
      <c r="AR2465" s="25"/>
      <c r="AS2465" s="25"/>
      <c r="AT2465" s="25"/>
      <c r="AU2465" s="36"/>
      <c r="AV2465" s="36"/>
      <c r="AW2465" s="36"/>
      <c r="AX2465" s="25"/>
      <c r="AY2465" s="25"/>
      <c r="AZ2465" s="25"/>
      <c r="BA2465" s="25"/>
      <c r="BB2465" s="25"/>
      <c r="BC2465" s="25"/>
      <c r="BD2465" s="25"/>
      <c r="BE2465" s="25"/>
      <c r="BF2465" s="25"/>
      <c r="BG2465" s="25"/>
      <c r="BH2465" s="25"/>
      <c r="BI2465" s="25"/>
      <c r="BJ2465" s="25"/>
      <c r="BK2465" s="25"/>
      <c r="BL2465" s="25"/>
      <c r="BM2465" s="25"/>
      <c r="BN2465" s="25"/>
      <c r="BO2465" s="25"/>
      <c r="BP2465" s="25"/>
      <c r="BQ2465" s="25"/>
      <c r="BR2465" s="25"/>
      <c r="BS2465" s="25"/>
      <c r="BT2465" s="25"/>
      <c r="BU2465"/>
      <c r="BV2465"/>
      <c r="BW2465"/>
      <c r="BX2465"/>
      <c r="BY2465"/>
      <c r="BZ2465"/>
      <c r="CA2465"/>
      <c r="CB2465"/>
      <c r="CC2465"/>
      <c r="CD2465" s="25"/>
    </row>
    <row r="2466" spans="1:82" s="17" customFormat="1" x14ac:dyDescent="0.2">
      <c r="A2466" s="25"/>
      <c r="B2466" s="20">
        <v>39017013100</v>
      </c>
      <c r="C2466" s="20">
        <v>131</v>
      </c>
      <c r="D2466" s="20" t="s">
        <v>15</v>
      </c>
      <c r="E2466" s="20" t="s">
        <v>2828</v>
      </c>
      <c r="F2466" s="20" t="s">
        <v>6</v>
      </c>
      <c r="G2466" s="861">
        <v>37.1420930023043</v>
      </c>
      <c r="H2466" s="861">
        <v>36.248190111916898</v>
      </c>
      <c r="I2466" s="861">
        <v>54.267928910184601</v>
      </c>
      <c r="J2466" s="861">
        <v>40.8134660609417</v>
      </c>
      <c r="K2466" s="982">
        <v>0</v>
      </c>
      <c r="L2466" s="735">
        <v>2041</v>
      </c>
      <c r="M2466" s="735">
        <v>2558</v>
      </c>
      <c r="N2466" s="845">
        <f t="shared" si="185"/>
        <v>0.25330720235178833</v>
      </c>
      <c r="O2466" s="735">
        <v>0.51324559941705683</v>
      </c>
      <c r="P2466" s="735">
        <f t="shared" si="186"/>
        <v>4983.9686943353636</v>
      </c>
      <c r="Q2466" s="849">
        <v>28.1</v>
      </c>
      <c r="R2466" s="71">
        <v>46750</v>
      </c>
      <c r="S2466" s="845">
        <v>0.37218490715132357</v>
      </c>
      <c r="T2466" s="845">
        <v>0.114</v>
      </c>
      <c r="U2466" s="845">
        <v>6.5000000000000002E-2</v>
      </c>
      <c r="V2466" s="845">
        <v>3.2000000000000001E-2</v>
      </c>
      <c r="W2466" s="845">
        <v>0.62806539509536785</v>
      </c>
      <c r="X2466" s="845">
        <v>0.48373101952277658</v>
      </c>
      <c r="Y2466" s="845">
        <v>0.51954652071931196</v>
      </c>
      <c r="Z2466" s="845">
        <v>0.33307271305707586</v>
      </c>
      <c r="AA2466" s="845">
        <v>3.9093041438623924E-4</v>
      </c>
      <c r="AB2466" s="845">
        <v>0</v>
      </c>
      <c r="AC2466" s="845">
        <v>0</v>
      </c>
      <c r="AD2466" s="845">
        <v>3.5183737294761531E-3</v>
      </c>
      <c r="AE2466" s="845">
        <v>0.14347146207974981</v>
      </c>
      <c r="AF2466" s="845">
        <v>1.4073494917904612E-2</v>
      </c>
      <c r="AG2466" s="845">
        <v>0.51954652071931196</v>
      </c>
      <c r="AH2466" s="20" t="str">
        <f t="shared" si="187"/>
        <v>No</v>
      </c>
      <c r="AI2466" s="25"/>
      <c r="AJ2466" s="25"/>
      <c r="AK2466" s="25"/>
      <c r="AL2466" s="25"/>
      <c r="AM2466" s="25"/>
      <c r="AN2466" s="25"/>
      <c r="AO2466" s="25"/>
      <c r="AP2466" s="25"/>
      <c r="AQ2466" s="25"/>
      <c r="AR2466" s="25"/>
      <c r="AS2466" s="25"/>
      <c r="AT2466" s="25"/>
      <c r="AU2466" s="36"/>
      <c r="AV2466" s="36"/>
      <c r="AW2466" s="36"/>
      <c r="AX2466" s="25"/>
      <c r="AY2466" s="25"/>
      <c r="AZ2466" s="25"/>
      <c r="BA2466" s="25"/>
      <c r="BB2466" s="25"/>
      <c r="BC2466" s="25"/>
      <c r="BD2466" s="25"/>
      <c r="BE2466" s="25"/>
      <c r="BF2466" s="25"/>
      <c r="BG2466" s="25"/>
      <c r="BH2466" s="25"/>
      <c r="BI2466" s="25"/>
      <c r="BJ2466" s="25"/>
      <c r="BK2466" s="25"/>
      <c r="BL2466" s="25"/>
      <c r="BM2466" s="25"/>
      <c r="BN2466" s="25"/>
      <c r="BO2466" s="25"/>
      <c r="BP2466" s="25"/>
      <c r="BQ2466" s="25"/>
      <c r="BR2466" s="25"/>
      <c r="BS2466" s="25"/>
      <c r="BT2466" s="25"/>
      <c r="BU2466"/>
      <c r="BV2466"/>
      <c r="BW2466"/>
      <c r="BX2466"/>
      <c r="BY2466"/>
      <c r="BZ2466"/>
      <c r="CA2466"/>
      <c r="CB2466"/>
      <c r="CC2466"/>
      <c r="CD2466" s="25"/>
    </row>
    <row r="2467" spans="1:82" s="17" customFormat="1" x14ac:dyDescent="0.2">
      <c r="A2467" s="25"/>
      <c r="B2467" s="20">
        <v>39145002800</v>
      </c>
      <c r="C2467" s="20">
        <v>28</v>
      </c>
      <c r="D2467" s="20" t="s">
        <v>78</v>
      </c>
      <c r="E2467" s="20" t="s">
        <v>265</v>
      </c>
      <c r="F2467" s="20" t="s">
        <v>8</v>
      </c>
      <c r="G2467" s="861">
        <v>37.133132592236798</v>
      </c>
      <c r="H2467" s="861">
        <v>46.091714468952297</v>
      </c>
      <c r="I2467" s="861">
        <v>20.438847281833599</v>
      </c>
      <c r="J2467" s="861">
        <v>59.022669398419403</v>
      </c>
      <c r="K2467" s="982">
        <v>0</v>
      </c>
      <c r="L2467" s="735">
        <v>4862</v>
      </c>
      <c r="M2467" s="735">
        <v>4841</v>
      </c>
      <c r="N2467" s="845">
        <f t="shared" si="185"/>
        <v>-4.3192102015631425E-3</v>
      </c>
      <c r="O2467" s="735">
        <v>37.81865817136898</v>
      </c>
      <c r="P2467" s="735">
        <f t="shared" si="186"/>
        <v>128.00559919560897</v>
      </c>
      <c r="Q2467" s="849">
        <v>40.6</v>
      </c>
      <c r="R2467" s="71">
        <v>60991</v>
      </c>
      <c r="S2467" s="845">
        <v>0.118491921005386</v>
      </c>
      <c r="T2467" s="845">
        <v>5.2999999999999999E-2</v>
      </c>
      <c r="U2467" s="845">
        <v>0</v>
      </c>
      <c r="V2467" s="845">
        <v>0.14400000000000002</v>
      </c>
      <c r="W2467" s="845">
        <v>0.19582850521436848</v>
      </c>
      <c r="X2467" s="845">
        <v>0.23668639053254437</v>
      </c>
      <c r="Y2467" s="845">
        <v>0.95207601735178682</v>
      </c>
      <c r="Z2467" s="845">
        <v>1.8384631274530057E-2</v>
      </c>
      <c r="AA2467" s="845">
        <v>1.4459822350753977E-3</v>
      </c>
      <c r="AB2467" s="845">
        <v>0</v>
      </c>
      <c r="AC2467" s="845">
        <v>1.4459822350753977E-3</v>
      </c>
      <c r="AD2467" s="845">
        <v>1.8591200165255113E-3</v>
      </c>
      <c r="AE2467" s="845">
        <v>2.4788266887006818E-2</v>
      </c>
      <c r="AF2467" s="845">
        <v>1.6525511258004544E-3</v>
      </c>
      <c r="AG2467" s="845">
        <v>0.95186944846106181</v>
      </c>
      <c r="AH2467" s="20" t="str">
        <f t="shared" si="187"/>
        <v>Yes</v>
      </c>
      <c r="AI2467" s="25"/>
      <c r="AJ2467" s="25"/>
      <c r="AK2467" s="25"/>
      <c r="AL2467" s="25"/>
      <c r="AM2467" s="25"/>
      <c r="AN2467" s="25"/>
      <c r="AO2467" s="25"/>
      <c r="AP2467" s="25"/>
      <c r="AQ2467" s="25"/>
      <c r="AR2467" s="25"/>
      <c r="AS2467" s="25"/>
      <c r="AT2467" s="25"/>
      <c r="AU2467" s="36"/>
      <c r="AV2467" s="36"/>
      <c r="AW2467" s="36"/>
      <c r="AX2467" s="25"/>
      <c r="AY2467" s="25"/>
      <c r="AZ2467" s="25"/>
      <c r="BA2467" s="25"/>
      <c r="BB2467" s="25"/>
      <c r="BC2467" s="25"/>
      <c r="BD2467" s="25"/>
      <c r="BE2467" s="25"/>
      <c r="BF2467" s="25"/>
      <c r="BG2467" s="25"/>
      <c r="BH2467" s="25"/>
      <c r="BI2467" s="25"/>
      <c r="BJ2467" s="25"/>
      <c r="BK2467" s="25"/>
      <c r="BL2467" s="25"/>
      <c r="BM2467" s="25"/>
      <c r="BN2467" s="25"/>
      <c r="BO2467" s="25"/>
      <c r="BP2467" s="25"/>
      <c r="BQ2467" s="25"/>
      <c r="BR2467" s="25"/>
      <c r="BS2467" s="25"/>
      <c r="BT2467" s="25"/>
      <c r="BU2467"/>
      <c r="BV2467"/>
      <c r="BW2467"/>
      <c r="BX2467"/>
      <c r="BY2467"/>
      <c r="BZ2467"/>
      <c r="CA2467"/>
      <c r="CB2467"/>
      <c r="CC2467"/>
      <c r="CD2467" s="25"/>
    </row>
    <row r="2468" spans="1:82" s="17" customFormat="1" x14ac:dyDescent="0.2">
      <c r="A2468" s="25"/>
      <c r="B2468" s="20">
        <v>39035121900</v>
      </c>
      <c r="C2468" s="20">
        <v>1219</v>
      </c>
      <c r="D2468" s="20" t="s">
        <v>24</v>
      </c>
      <c r="E2468" s="20" t="s">
        <v>2829</v>
      </c>
      <c r="F2468" s="20" t="s">
        <v>6</v>
      </c>
      <c r="G2468" s="861">
        <v>37.132997538351802</v>
      </c>
      <c r="H2468" s="861">
        <v>51.190466188341901</v>
      </c>
      <c r="I2468" s="861">
        <v>59.881214404359802</v>
      </c>
      <c r="J2468" s="861">
        <v>38.0589342035112</v>
      </c>
      <c r="K2468" s="982">
        <v>0</v>
      </c>
      <c r="L2468" s="735">
        <v>1296</v>
      </c>
      <c r="M2468" s="735">
        <v>877</v>
      </c>
      <c r="N2468" s="845">
        <f t="shared" si="185"/>
        <v>-0.32330246913580246</v>
      </c>
      <c r="O2468" s="735">
        <v>0.27655107652212352</v>
      </c>
      <c r="P2468" s="735">
        <f t="shared" si="186"/>
        <v>3171.2044336585391</v>
      </c>
      <c r="Q2468" s="849">
        <v>54.9</v>
      </c>
      <c r="R2468" s="71">
        <v>49167</v>
      </c>
      <c r="S2468" s="845">
        <v>0.22909507445589919</v>
      </c>
      <c r="T2468" s="845">
        <v>0.34299999999999997</v>
      </c>
      <c r="U2468" s="845">
        <v>0</v>
      </c>
      <c r="V2468" s="845">
        <v>0</v>
      </c>
      <c r="W2468" s="845">
        <v>0.40267175572519082</v>
      </c>
      <c r="X2468" s="845">
        <v>0.28436018957345971</v>
      </c>
      <c r="Y2468" s="845">
        <v>3.0786773090079819E-2</v>
      </c>
      <c r="Z2468" s="845">
        <v>0.96921322690992018</v>
      </c>
      <c r="AA2468" s="845">
        <v>0</v>
      </c>
      <c r="AB2468" s="845">
        <v>0</v>
      </c>
      <c r="AC2468" s="845">
        <v>0</v>
      </c>
      <c r="AD2468" s="845">
        <v>0</v>
      </c>
      <c r="AE2468" s="845">
        <v>0</v>
      </c>
      <c r="AF2468" s="845">
        <v>0</v>
      </c>
      <c r="AG2468" s="845">
        <v>3.0786773090079819E-2</v>
      </c>
      <c r="AH2468" s="20" t="str">
        <f t="shared" si="187"/>
        <v>No</v>
      </c>
      <c r="AI2468" s="25"/>
      <c r="AJ2468" s="25"/>
      <c r="AK2468" s="25"/>
      <c r="AL2468" s="25"/>
      <c r="AM2468" s="25"/>
      <c r="AN2468" s="25"/>
      <c r="AO2468" s="25"/>
      <c r="AP2468" s="25"/>
      <c r="AQ2468" s="25"/>
      <c r="AR2468" s="25"/>
      <c r="AS2468" s="25"/>
      <c r="AT2468" s="25"/>
      <c r="AU2468" s="36"/>
      <c r="AV2468" s="36"/>
      <c r="AW2468" s="36"/>
      <c r="AX2468" s="25"/>
      <c r="AY2468" s="25"/>
      <c r="AZ2468" s="25"/>
      <c r="BA2468" s="25"/>
      <c r="BB2468" s="25"/>
      <c r="BC2468" s="25"/>
      <c r="BD2468" s="25"/>
      <c r="BE2468" s="25"/>
      <c r="BF2468" s="25"/>
      <c r="BG2468" s="25"/>
      <c r="BH2468" s="25"/>
      <c r="BI2468" s="25"/>
      <c r="BJ2468" s="25"/>
      <c r="BK2468" s="25"/>
      <c r="BL2468" s="25"/>
      <c r="BM2468" s="25"/>
      <c r="BN2468" s="25"/>
      <c r="BO2468" s="25"/>
      <c r="BP2468" s="25"/>
      <c r="BQ2468" s="25"/>
      <c r="BR2468" s="25"/>
      <c r="BS2468" s="25"/>
      <c r="BT2468" s="25"/>
      <c r="BU2468"/>
      <c r="BV2468"/>
      <c r="BW2468"/>
      <c r="BX2468"/>
      <c r="BY2468"/>
      <c r="BZ2468"/>
      <c r="CA2468"/>
      <c r="CB2468"/>
      <c r="CC2468"/>
      <c r="CD2468" s="25"/>
    </row>
    <row r="2469" spans="1:82" s="17" customFormat="1" x14ac:dyDescent="0.2">
      <c r="A2469" s="25"/>
      <c r="B2469" s="20">
        <v>39079957300</v>
      </c>
      <c r="C2469" s="20">
        <v>9573</v>
      </c>
      <c r="D2469" s="20" t="s">
        <v>46</v>
      </c>
      <c r="E2469" s="20" t="s">
        <v>265</v>
      </c>
      <c r="F2469" s="20" t="s">
        <v>8</v>
      </c>
      <c r="G2469" s="861">
        <v>37.127207666337</v>
      </c>
      <c r="H2469" s="861">
        <v>43.106264463885097</v>
      </c>
      <c r="I2469" s="861">
        <v>31.184116807187699</v>
      </c>
      <c r="J2469" s="861">
        <v>45.226795214402998</v>
      </c>
      <c r="K2469" s="982">
        <v>0</v>
      </c>
      <c r="L2469" s="735">
        <v>3477</v>
      </c>
      <c r="M2469" s="735">
        <v>3296</v>
      </c>
      <c r="N2469" s="845">
        <f t="shared" si="185"/>
        <v>-5.2056370434282427E-2</v>
      </c>
      <c r="O2469" s="735">
        <v>29.769528555866614</v>
      </c>
      <c r="P2469" s="735">
        <f t="shared" si="186"/>
        <v>110.71723873001895</v>
      </c>
      <c r="Q2469" s="849">
        <v>44.6</v>
      </c>
      <c r="R2469" s="71">
        <v>49375</v>
      </c>
      <c r="S2469" s="845">
        <v>0.24215384615384616</v>
      </c>
      <c r="T2469" s="845">
        <v>9.1999999999999998E-2</v>
      </c>
      <c r="U2469" s="845">
        <v>0</v>
      </c>
      <c r="V2469" s="845">
        <v>5.9000000000000004E-2</v>
      </c>
      <c r="W2469" s="845">
        <v>0.29327902240325865</v>
      </c>
      <c r="X2469" s="845">
        <v>0.46990740740740738</v>
      </c>
      <c r="Y2469" s="845">
        <v>0.97906553398058249</v>
      </c>
      <c r="Z2469" s="845">
        <v>3.0339805825242718E-3</v>
      </c>
      <c r="AA2469" s="845">
        <v>0</v>
      </c>
      <c r="AB2469" s="845">
        <v>0</v>
      </c>
      <c r="AC2469" s="845">
        <v>0</v>
      </c>
      <c r="AD2469" s="845">
        <v>0</v>
      </c>
      <c r="AE2469" s="845">
        <v>1.7900485436893203E-2</v>
      </c>
      <c r="AF2469" s="845">
        <v>0</v>
      </c>
      <c r="AG2469" s="845">
        <v>0.97906553398058249</v>
      </c>
      <c r="AH2469" s="20" t="str">
        <f t="shared" si="187"/>
        <v>Yes</v>
      </c>
      <c r="AI2469" s="25"/>
      <c r="AJ2469" s="25"/>
      <c r="AK2469" s="25"/>
      <c r="AL2469" s="25"/>
      <c r="AM2469" s="25"/>
      <c r="AN2469" s="25"/>
      <c r="AO2469" s="25"/>
      <c r="AP2469" s="25"/>
      <c r="AQ2469" s="25"/>
      <c r="AR2469" s="25"/>
      <c r="AS2469" s="25"/>
      <c r="AT2469" s="25"/>
      <c r="AU2469" s="36"/>
      <c r="AV2469" s="36"/>
      <c r="AW2469" s="36"/>
      <c r="AX2469" s="25"/>
      <c r="AY2469" s="25"/>
      <c r="AZ2469" s="25"/>
      <c r="BA2469" s="25"/>
      <c r="BB2469" s="25"/>
      <c r="BC2469" s="25"/>
      <c r="BD2469" s="25"/>
      <c r="BE2469" s="25"/>
      <c r="BF2469" s="25"/>
      <c r="BG2469" s="25"/>
      <c r="BH2469" s="25"/>
      <c r="BI2469" s="25"/>
      <c r="BJ2469" s="25"/>
      <c r="BK2469" s="25"/>
      <c r="BL2469" s="25"/>
      <c r="BM2469" s="25"/>
      <c r="BN2469" s="25"/>
      <c r="BO2469" s="25"/>
      <c r="BP2469" s="25"/>
      <c r="BQ2469" s="25"/>
      <c r="BR2469" s="25"/>
      <c r="BS2469" s="25"/>
      <c r="BT2469" s="25"/>
      <c r="BU2469"/>
      <c r="BV2469"/>
      <c r="BW2469"/>
      <c r="BX2469"/>
      <c r="BY2469"/>
      <c r="BZ2469"/>
      <c r="CA2469"/>
      <c r="CB2469"/>
      <c r="CC2469"/>
      <c r="CD2469" s="25"/>
    </row>
    <row r="2470" spans="1:82" s="17" customFormat="1" x14ac:dyDescent="0.2">
      <c r="A2470" s="25"/>
      <c r="B2470" s="20">
        <v>39145002300</v>
      </c>
      <c r="C2470" s="20">
        <v>23</v>
      </c>
      <c r="D2470" s="20" t="s">
        <v>78</v>
      </c>
      <c r="E2470" s="20" t="s">
        <v>265</v>
      </c>
      <c r="F2470" s="20" t="s">
        <v>8</v>
      </c>
      <c r="G2470" s="861">
        <v>37.1156454091321</v>
      </c>
      <c r="H2470" s="861">
        <v>37.613537281498203</v>
      </c>
      <c r="I2470" s="861">
        <v>17.634053651454099</v>
      </c>
      <c r="J2470" s="861">
        <v>56.353426845620902</v>
      </c>
      <c r="K2470" s="982">
        <v>0</v>
      </c>
      <c r="L2470" s="735">
        <v>4908</v>
      </c>
      <c r="M2470" s="735">
        <v>4304</v>
      </c>
      <c r="N2470" s="845">
        <f t="shared" si="185"/>
        <v>-0.12306438467807661</v>
      </c>
      <c r="O2470" s="735">
        <v>120.1728304459282</v>
      </c>
      <c r="P2470" s="735">
        <f t="shared" si="186"/>
        <v>35.815083859047377</v>
      </c>
      <c r="Q2470" s="849">
        <v>44</v>
      </c>
      <c r="R2470" s="71">
        <v>66849</v>
      </c>
      <c r="S2470" s="845">
        <v>8.9624939113492452E-2</v>
      </c>
      <c r="T2470" s="845">
        <v>2.5000000000000001E-2</v>
      </c>
      <c r="U2470" s="845">
        <v>4.0000000000000001E-3</v>
      </c>
      <c r="V2470" s="845">
        <v>0</v>
      </c>
      <c r="W2470" s="845">
        <v>0.16007777057679845</v>
      </c>
      <c r="X2470" s="845">
        <v>8.0971659919028341E-2</v>
      </c>
      <c r="Y2470" s="845">
        <v>0.98768587360594795</v>
      </c>
      <c r="Z2470" s="845">
        <v>0</v>
      </c>
      <c r="AA2470" s="845">
        <v>0</v>
      </c>
      <c r="AB2470" s="845">
        <v>1.6263940520446097E-3</v>
      </c>
      <c r="AC2470" s="845">
        <v>0</v>
      </c>
      <c r="AD2470" s="845">
        <v>0</v>
      </c>
      <c r="AE2470" s="845">
        <v>1.0687732342007435E-2</v>
      </c>
      <c r="AF2470" s="845">
        <v>6.9702602230483268E-4</v>
      </c>
      <c r="AG2470" s="845">
        <v>0.98768587360594795</v>
      </c>
      <c r="AH2470" s="20" t="str">
        <f t="shared" si="187"/>
        <v>Yes</v>
      </c>
      <c r="AI2470" s="25"/>
      <c r="AJ2470" s="25"/>
      <c r="AK2470" s="25"/>
      <c r="AL2470" s="25"/>
      <c r="AM2470" s="25"/>
      <c r="AN2470" s="25"/>
      <c r="AO2470" s="25"/>
      <c r="AP2470" s="25"/>
      <c r="AQ2470" s="25"/>
      <c r="AR2470" s="25"/>
      <c r="AS2470" s="25"/>
      <c r="AT2470" s="25"/>
      <c r="AU2470" s="36"/>
      <c r="AV2470" s="36"/>
      <c r="AW2470" s="36"/>
      <c r="AX2470" s="25"/>
      <c r="AY2470" s="25"/>
      <c r="AZ2470" s="25"/>
      <c r="BA2470" s="25"/>
      <c r="BB2470" s="25"/>
      <c r="BC2470" s="25"/>
      <c r="BD2470" s="25"/>
      <c r="BE2470" s="25"/>
      <c r="BF2470" s="25"/>
      <c r="BG2470" s="25"/>
      <c r="BH2470" s="25"/>
      <c r="BI2470" s="25"/>
      <c r="BJ2470" s="25"/>
      <c r="BK2470" s="25"/>
      <c r="BL2470" s="25"/>
      <c r="BM2470" s="25"/>
      <c r="BN2470" s="25"/>
      <c r="BO2470" s="25"/>
      <c r="BP2470" s="25"/>
      <c r="BQ2470" s="25"/>
      <c r="BR2470" s="25"/>
      <c r="BS2470" s="25"/>
      <c r="BT2470" s="25"/>
      <c r="BU2470"/>
      <c r="BV2470"/>
      <c r="BW2470"/>
      <c r="BX2470"/>
      <c r="BY2470"/>
      <c r="BZ2470"/>
      <c r="CA2470"/>
      <c r="CB2470"/>
      <c r="CC2470"/>
      <c r="CD2470" s="25"/>
    </row>
    <row r="2471" spans="1:82" s="17" customFormat="1" x14ac:dyDescent="0.2">
      <c r="A2471" s="25"/>
      <c r="B2471" s="20">
        <v>39035102101</v>
      </c>
      <c r="C2471" s="20">
        <v>1021.01</v>
      </c>
      <c r="D2471" s="20" t="s">
        <v>24</v>
      </c>
      <c r="E2471" s="20" t="s">
        <v>2829</v>
      </c>
      <c r="F2471" s="20" t="s">
        <v>6</v>
      </c>
      <c r="G2471" s="861">
        <v>37.100766915816799</v>
      </c>
      <c r="H2471" s="861">
        <v>54.732743760003999</v>
      </c>
      <c r="I2471" s="861">
        <v>56.295400963983496</v>
      </c>
      <c r="J2471" s="861">
        <v>43.373423089817003</v>
      </c>
      <c r="K2471" s="982">
        <v>0</v>
      </c>
      <c r="L2471" s="735">
        <v>3161</v>
      </c>
      <c r="M2471" s="735">
        <v>3440</v>
      </c>
      <c r="N2471" s="845">
        <f t="shared" si="185"/>
        <v>8.8263207845618474E-2</v>
      </c>
      <c r="O2471" s="735">
        <v>0.263843682278526</v>
      </c>
      <c r="P2471" s="735">
        <f t="shared" si="186"/>
        <v>13038.023007761738</v>
      </c>
      <c r="Q2471" s="849">
        <v>28.7</v>
      </c>
      <c r="R2471" s="71">
        <v>36932</v>
      </c>
      <c r="S2471" s="845">
        <v>0.48323529411764704</v>
      </c>
      <c r="T2471" s="845">
        <v>0.14300000000000002</v>
      </c>
      <c r="U2471" s="845">
        <v>5.5999999999999994E-2</v>
      </c>
      <c r="V2471" s="845">
        <v>5.5999999999999994E-2</v>
      </c>
      <c r="W2471" s="845">
        <v>0.70728190338860852</v>
      </c>
      <c r="X2471" s="845">
        <v>0.3781855249745158</v>
      </c>
      <c r="Y2471" s="845">
        <v>0.39098837209302323</v>
      </c>
      <c r="Z2471" s="845">
        <v>0.2491279069767442</v>
      </c>
      <c r="AA2471" s="845">
        <v>2.6162790697674418E-3</v>
      </c>
      <c r="AB2471" s="845">
        <v>3.5755813953488369E-2</v>
      </c>
      <c r="AC2471" s="845">
        <v>0</v>
      </c>
      <c r="AD2471" s="845">
        <v>0.15494186046511627</v>
      </c>
      <c r="AE2471" s="845">
        <v>0.16656976744186047</v>
      </c>
      <c r="AF2471" s="845">
        <v>0.29941860465116277</v>
      </c>
      <c r="AG2471" s="845">
        <v>0.31918604651162791</v>
      </c>
      <c r="AH2471" s="20" t="str">
        <f t="shared" si="187"/>
        <v>No</v>
      </c>
      <c r="AI2471" s="25"/>
      <c r="AJ2471" s="25"/>
      <c r="AK2471" s="25"/>
      <c r="AL2471" s="25"/>
      <c r="AM2471" s="25"/>
      <c r="AN2471" s="25"/>
      <c r="AO2471" s="25"/>
      <c r="AP2471" s="25"/>
      <c r="AQ2471" s="25"/>
      <c r="AR2471" s="25"/>
      <c r="AS2471" s="25"/>
      <c r="AT2471" s="25"/>
      <c r="AU2471" s="36"/>
      <c r="AV2471" s="36"/>
      <c r="AW2471" s="36"/>
      <c r="AX2471" s="25"/>
      <c r="AY2471" s="25"/>
      <c r="AZ2471" s="25"/>
      <c r="BA2471" s="25"/>
      <c r="BB2471" s="25"/>
      <c r="BC2471" s="25"/>
      <c r="BD2471" s="25"/>
      <c r="BE2471" s="25"/>
      <c r="BF2471" s="25"/>
      <c r="BG2471" s="25"/>
      <c r="BH2471" s="25"/>
      <c r="BI2471" s="25"/>
      <c r="BJ2471" s="25"/>
      <c r="BK2471" s="25"/>
      <c r="BL2471" s="25"/>
      <c r="BM2471" s="25"/>
      <c r="BN2471" s="25"/>
      <c r="BO2471" s="25"/>
      <c r="BP2471" s="25"/>
      <c r="BQ2471" s="25"/>
      <c r="BR2471" s="25"/>
      <c r="BS2471" s="25"/>
      <c r="BT2471" s="25"/>
      <c r="BU2471"/>
      <c r="BV2471"/>
      <c r="BW2471"/>
      <c r="BX2471"/>
      <c r="BY2471"/>
      <c r="BZ2471"/>
      <c r="CA2471"/>
      <c r="CB2471"/>
      <c r="CC2471"/>
      <c r="CD2471" s="25"/>
    </row>
    <row r="2472" spans="1:82" s="17" customFormat="1" x14ac:dyDescent="0.2">
      <c r="A2472" s="25"/>
      <c r="B2472" s="20">
        <v>39057200300</v>
      </c>
      <c r="C2472" s="20">
        <v>2003</v>
      </c>
      <c r="D2472" s="20" t="s">
        <v>35</v>
      </c>
      <c r="E2472" s="20" t="s">
        <v>2833</v>
      </c>
      <c r="F2472" s="20" t="s">
        <v>8</v>
      </c>
      <c r="G2472" s="861">
        <v>37.092336670577303</v>
      </c>
      <c r="H2472" s="861">
        <v>46.433235337864403</v>
      </c>
      <c r="I2472" s="861">
        <v>38.448312952542899</v>
      </c>
      <c r="J2472" s="861">
        <v>31.7660460238578</v>
      </c>
      <c r="K2472" s="982">
        <v>0</v>
      </c>
      <c r="L2472" s="735">
        <v>3608</v>
      </c>
      <c r="M2472" s="735">
        <v>3959</v>
      </c>
      <c r="N2472" s="845">
        <f t="shared" si="185"/>
        <v>9.7283813747228387E-2</v>
      </c>
      <c r="O2472" s="735">
        <v>2.0524607736519687</v>
      </c>
      <c r="P2472" s="735">
        <f t="shared" si="186"/>
        <v>1928.9040993244917</v>
      </c>
      <c r="Q2472" s="849">
        <v>37.700000000000003</v>
      </c>
      <c r="R2472" s="71">
        <v>53970</v>
      </c>
      <c r="S2472" s="845">
        <v>0.12089049961170074</v>
      </c>
      <c r="T2472" s="845">
        <v>4.8000000000000001E-2</v>
      </c>
      <c r="U2472" s="845">
        <v>3.2000000000000001E-2</v>
      </c>
      <c r="V2472" s="845">
        <v>4.5999999999999999E-2</v>
      </c>
      <c r="W2472" s="845">
        <v>0.44668587896253603</v>
      </c>
      <c r="X2472" s="845">
        <v>0.25032258064516127</v>
      </c>
      <c r="Y2472" s="845">
        <v>0.73225562010608736</v>
      </c>
      <c r="Z2472" s="845">
        <v>0.12427380651679718</v>
      </c>
      <c r="AA2472" s="845">
        <v>0</v>
      </c>
      <c r="AB2472" s="845">
        <v>8.3354382419802975E-3</v>
      </c>
      <c r="AC2472" s="845">
        <v>0</v>
      </c>
      <c r="AD2472" s="845">
        <v>1.9954533973225563E-2</v>
      </c>
      <c r="AE2472" s="845">
        <v>0.11518060116190958</v>
      </c>
      <c r="AF2472" s="845">
        <v>5.8095478656226317E-3</v>
      </c>
      <c r="AG2472" s="845">
        <v>0.72644607224046476</v>
      </c>
      <c r="AH2472" s="20" t="str">
        <f t="shared" si="187"/>
        <v>No</v>
      </c>
      <c r="AI2472" s="25"/>
      <c r="AJ2472" s="25"/>
      <c r="AK2472" s="25"/>
      <c r="AL2472" s="25"/>
      <c r="AM2472" s="25"/>
      <c r="AN2472" s="25"/>
      <c r="AO2472" s="25"/>
      <c r="AP2472" s="25"/>
      <c r="AQ2472" s="25"/>
      <c r="AR2472" s="25"/>
      <c r="AS2472" s="25"/>
      <c r="AT2472" s="25"/>
      <c r="AU2472" s="36"/>
      <c r="AV2472" s="36"/>
      <c r="AW2472" s="36"/>
      <c r="AX2472" s="25"/>
      <c r="AY2472" s="25"/>
      <c r="AZ2472" s="25"/>
      <c r="BA2472" s="25"/>
      <c r="BB2472" s="25"/>
      <c r="BC2472" s="25"/>
      <c r="BD2472" s="25"/>
      <c r="BE2472" s="25"/>
      <c r="BF2472" s="25"/>
      <c r="BG2472" s="25"/>
      <c r="BH2472" s="25"/>
      <c r="BI2472" s="25"/>
      <c r="BJ2472" s="25"/>
      <c r="BK2472" s="25"/>
      <c r="BL2472" s="25"/>
      <c r="BM2472" s="25"/>
      <c r="BN2472" s="25"/>
      <c r="BO2472" s="25"/>
      <c r="BP2472" s="25"/>
      <c r="BQ2472" s="25"/>
      <c r="BR2472" s="25"/>
      <c r="BS2472" s="25"/>
      <c r="BT2472" s="25"/>
      <c r="BU2472"/>
      <c r="BV2472"/>
      <c r="BW2472"/>
      <c r="BX2472"/>
      <c r="BY2472"/>
      <c r="BZ2472"/>
      <c r="CA2472"/>
      <c r="CB2472"/>
      <c r="CC2472"/>
      <c r="CD2472" s="25"/>
    </row>
    <row r="2473" spans="1:82" s="17" customFormat="1" x14ac:dyDescent="0.2">
      <c r="A2473" s="25"/>
      <c r="B2473" s="20">
        <v>39145004000</v>
      </c>
      <c r="C2473" s="20">
        <v>40</v>
      </c>
      <c r="D2473" s="20" t="s">
        <v>78</v>
      </c>
      <c r="E2473" s="20" t="s">
        <v>265</v>
      </c>
      <c r="F2473" s="20" t="s">
        <v>8</v>
      </c>
      <c r="G2473" s="861">
        <v>37.0875225790965</v>
      </c>
      <c r="H2473" s="861">
        <v>35.092645169971803</v>
      </c>
      <c r="I2473" s="861">
        <v>24.1386362060415</v>
      </c>
      <c r="J2473" s="861">
        <v>40.885716240797898</v>
      </c>
      <c r="K2473" s="982">
        <v>0</v>
      </c>
      <c r="L2473" s="735">
        <v>4031</v>
      </c>
      <c r="M2473" s="735">
        <v>3870</v>
      </c>
      <c r="N2473" s="845">
        <f t="shared" si="185"/>
        <v>-3.9940461423964277E-2</v>
      </c>
      <c r="O2473" s="735">
        <v>112.71245720120314</v>
      </c>
      <c r="P2473" s="735">
        <f t="shared" si="186"/>
        <v>34.335157764253672</v>
      </c>
      <c r="Q2473" s="849">
        <v>37</v>
      </c>
      <c r="R2473" s="71">
        <v>45089</v>
      </c>
      <c r="S2473" s="845">
        <v>0.21036269430051813</v>
      </c>
      <c r="T2473" s="845">
        <v>4.0999999999999995E-2</v>
      </c>
      <c r="U2473" s="845">
        <v>0</v>
      </c>
      <c r="V2473" s="845">
        <v>0</v>
      </c>
      <c r="W2473" s="845">
        <v>0.2595196250732279</v>
      </c>
      <c r="X2473" s="845">
        <v>0.1309255079006772</v>
      </c>
      <c r="Y2473" s="845">
        <v>0.96847545219638242</v>
      </c>
      <c r="Z2473" s="845">
        <v>0</v>
      </c>
      <c r="AA2473" s="845">
        <v>0</v>
      </c>
      <c r="AB2473" s="845">
        <v>0</v>
      </c>
      <c r="AC2473" s="845">
        <v>0</v>
      </c>
      <c r="AD2473" s="845">
        <v>1.5503875968992248E-3</v>
      </c>
      <c r="AE2473" s="845">
        <v>2.9974160206718347E-2</v>
      </c>
      <c r="AF2473" s="845">
        <v>1.0852713178294573E-2</v>
      </c>
      <c r="AG2473" s="845">
        <v>0.96847545219638242</v>
      </c>
      <c r="AH2473" s="20" t="str">
        <f t="shared" si="187"/>
        <v>Yes</v>
      </c>
      <c r="AI2473" s="25"/>
      <c r="AJ2473" s="25"/>
      <c r="AK2473" s="25"/>
      <c r="AL2473" s="25"/>
      <c r="AM2473" s="25"/>
      <c r="AN2473" s="25"/>
      <c r="AO2473" s="25"/>
      <c r="AP2473" s="25"/>
      <c r="AQ2473" s="25"/>
      <c r="AR2473" s="25"/>
      <c r="AS2473" s="25"/>
      <c r="AT2473" s="25"/>
      <c r="AU2473" s="36"/>
      <c r="AV2473" s="36"/>
      <c r="AW2473" s="36"/>
      <c r="AX2473" s="25"/>
      <c r="AY2473" s="25"/>
      <c r="AZ2473" s="25"/>
      <c r="BA2473" s="25"/>
      <c r="BB2473" s="25"/>
      <c r="BC2473" s="25"/>
      <c r="BD2473" s="25"/>
      <c r="BE2473" s="25"/>
      <c r="BF2473" s="25"/>
      <c r="BG2473" s="25"/>
      <c r="BH2473" s="25"/>
      <c r="BI2473" s="25"/>
      <c r="BJ2473" s="25"/>
      <c r="BK2473" s="25"/>
      <c r="BL2473" s="25"/>
      <c r="BM2473" s="25"/>
      <c r="BN2473" s="25"/>
      <c r="BO2473" s="25"/>
      <c r="BP2473" s="25"/>
      <c r="BQ2473" s="25"/>
      <c r="BR2473" s="25"/>
      <c r="BS2473" s="25"/>
      <c r="BT2473" s="25"/>
      <c r="BU2473"/>
      <c r="BV2473"/>
      <c r="BW2473"/>
      <c r="BX2473"/>
      <c r="BY2473"/>
      <c r="BZ2473"/>
      <c r="CA2473"/>
      <c r="CB2473"/>
      <c r="CC2473"/>
      <c r="CD2473" s="25"/>
    </row>
    <row r="2474" spans="1:82" s="17" customFormat="1" x14ac:dyDescent="0.2">
      <c r="A2474" s="25"/>
      <c r="B2474" s="20">
        <v>39099810800</v>
      </c>
      <c r="C2474" s="20">
        <v>8108</v>
      </c>
      <c r="D2474" s="20" t="s">
        <v>55</v>
      </c>
      <c r="E2474" s="20" t="s">
        <v>2842</v>
      </c>
      <c r="F2474" s="20" t="s">
        <v>8</v>
      </c>
      <c r="G2474" s="861">
        <v>37.086295702174198</v>
      </c>
      <c r="H2474" s="861">
        <v>38.983102090456299</v>
      </c>
      <c r="I2474" s="861">
        <v>35.317948453836003</v>
      </c>
      <c r="J2474" s="861">
        <v>42.7206761406498</v>
      </c>
      <c r="K2474" s="982">
        <v>0</v>
      </c>
      <c r="L2474" s="735">
        <v>2134</v>
      </c>
      <c r="M2474" s="735">
        <v>2253</v>
      </c>
      <c r="N2474" s="845">
        <f t="shared" si="185"/>
        <v>5.5763823805060918E-2</v>
      </c>
      <c r="O2474" s="735">
        <v>1.5107080935595494</v>
      </c>
      <c r="P2474" s="735">
        <f t="shared" si="186"/>
        <v>1491.3536305292791</v>
      </c>
      <c r="Q2474" s="849">
        <v>43</v>
      </c>
      <c r="R2474" s="71">
        <v>52051</v>
      </c>
      <c r="S2474" s="845">
        <v>0.24543429844097994</v>
      </c>
      <c r="T2474" s="845">
        <v>7.0999999999999994E-2</v>
      </c>
      <c r="U2474" s="845">
        <v>0</v>
      </c>
      <c r="V2474" s="845">
        <v>0</v>
      </c>
      <c r="W2474" s="845">
        <v>0.35367114788004139</v>
      </c>
      <c r="X2474" s="845">
        <v>0.33333333333333331</v>
      </c>
      <c r="Y2474" s="845">
        <v>0.87394584997780733</v>
      </c>
      <c r="Z2474" s="845">
        <v>5.5925432756324903E-2</v>
      </c>
      <c r="AA2474" s="845">
        <v>0</v>
      </c>
      <c r="AB2474" s="845">
        <v>0</v>
      </c>
      <c r="AC2474" s="845">
        <v>1.4647137150466045E-2</v>
      </c>
      <c r="AD2474" s="845">
        <v>1.5534842432312472E-2</v>
      </c>
      <c r="AE2474" s="845">
        <v>3.9946737683089213E-2</v>
      </c>
      <c r="AF2474" s="845">
        <v>7.2347980470483797E-2</v>
      </c>
      <c r="AG2474" s="845">
        <v>0.85086551264980026</v>
      </c>
      <c r="AH2474" s="20" t="str">
        <f t="shared" si="187"/>
        <v>No</v>
      </c>
      <c r="AI2474" s="25"/>
      <c r="AJ2474" s="25"/>
      <c r="AK2474" s="25"/>
      <c r="AL2474" s="25"/>
      <c r="AM2474" s="25"/>
      <c r="AN2474" s="25"/>
      <c r="AO2474" s="25"/>
      <c r="AP2474" s="25"/>
      <c r="AQ2474" s="25"/>
      <c r="AR2474" s="25"/>
      <c r="AS2474" s="25"/>
      <c r="AT2474" s="25"/>
      <c r="AU2474" s="36"/>
      <c r="AV2474" s="36"/>
      <c r="AW2474" s="36"/>
      <c r="AX2474" s="25"/>
      <c r="AY2474" s="25"/>
      <c r="AZ2474" s="25"/>
      <c r="BA2474" s="25"/>
      <c r="BB2474" s="25"/>
      <c r="BC2474" s="25"/>
      <c r="BD2474" s="25"/>
      <c r="BE2474" s="25"/>
      <c r="BF2474" s="25"/>
      <c r="BG2474" s="25"/>
      <c r="BH2474" s="25"/>
      <c r="BI2474" s="25"/>
      <c r="BJ2474" s="25"/>
      <c r="BK2474" s="25"/>
      <c r="BL2474" s="25"/>
      <c r="BM2474" s="25"/>
      <c r="BN2474" s="25"/>
      <c r="BO2474" s="25"/>
      <c r="BP2474" s="25"/>
      <c r="BQ2474" s="25"/>
      <c r="BR2474" s="25"/>
      <c r="BS2474" s="25"/>
      <c r="BT2474" s="25"/>
      <c r="BU2474"/>
      <c r="BV2474"/>
      <c r="BW2474"/>
      <c r="BX2474"/>
      <c r="BY2474"/>
      <c r="BZ2474"/>
      <c r="CA2474"/>
      <c r="CB2474"/>
      <c r="CC2474"/>
      <c r="CD2474" s="25"/>
    </row>
    <row r="2475" spans="1:82" s="17" customFormat="1" x14ac:dyDescent="0.2">
      <c r="A2475" s="25"/>
      <c r="B2475" s="20">
        <v>39049007533</v>
      </c>
      <c r="C2475" s="20">
        <v>75.33</v>
      </c>
      <c r="D2475" s="20" t="s">
        <v>31</v>
      </c>
      <c r="E2475" s="20" t="s">
        <v>2830</v>
      </c>
      <c r="F2475" s="20" t="s">
        <v>6</v>
      </c>
      <c r="G2475" s="861">
        <v>37.082946619230498</v>
      </c>
      <c r="H2475" s="861">
        <v>53.433665090747198</v>
      </c>
      <c r="I2475" s="861">
        <v>47.696118462260799</v>
      </c>
      <c r="J2475" s="861">
        <v>40.319478866025598</v>
      </c>
      <c r="K2475" s="982">
        <v>1</v>
      </c>
      <c r="L2475" s="735">
        <v>1833</v>
      </c>
      <c r="M2475" s="735">
        <v>1810</v>
      </c>
      <c r="N2475" s="845">
        <f t="shared" si="185"/>
        <v>-1.2547735951991271E-2</v>
      </c>
      <c r="O2475" s="735">
        <v>0.81622073546893625</v>
      </c>
      <c r="P2475" s="735">
        <f t="shared" si="186"/>
        <v>2217.537390740406</v>
      </c>
      <c r="Q2475" s="849">
        <v>34.299999999999997</v>
      </c>
      <c r="R2475" s="71">
        <v>42245</v>
      </c>
      <c r="S2475" s="845">
        <v>0.25847693162868263</v>
      </c>
      <c r="T2475" s="845">
        <v>0.126</v>
      </c>
      <c r="U2475" s="845">
        <v>4.5999999999999999E-2</v>
      </c>
      <c r="V2475" s="845">
        <v>0.10800000000000001</v>
      </c>
      <c r="W2475" s="845">
        <v>0.42521994134897362</v>
      </c>
      <c r="X2475" s="845">
        <v>0.52413793103448281</v>
      </c>
      <c r="Y2475" s="845">
        <v>0.17016574585635358</v>
      </c>
      <c r="Z2475" s="845">
        <v>0.58839779005524862</v>
      </c>
      <c r="AA2475" s="845">
        <v>0</v>
      </c>
      <c r="AB2475" s="845">
        <v>4.0883977900552489E-2</v>
      </c>
      <c r="AC2475" s="845">
        <v>0</v>
      </c>
      <c r="AD2475" s="845">
        <v>8.342541436464089E-2</v>
      </c>
      <c r="AE2475" s="845">
        <v>0.11712707182320442</v>
      </c>
      <c r="AF2475" s="845">
        <v>0.21325966850828729</v>
      </c>
      <c r="AG2475" s="845">
        <v>0.13535911602209943</v>
      </c>
      <c r="AH2475" s="20" t="str">
        <f t="shared" si="187"/>
        <v>No</v>
      </c>
      <c r="AI2475" s="25"/>
      <c r="AJ2475" s="25"/>
      <c r="AK2475" s="25"/>
      <c r="AL2475" s="25"/>
      <c r="AM2475" s="25"/>
      <c r="AN2475" s="25"/>
      <c r="AO2475" s="25"/>
      <c r="AP2475" s="25"/>
      <c r="AQ2475" s="25"/>
      <c r="AR2475" s="25"/>
      <c r="AS2475" s="25"/>
      <c r="AT2475" s="25"/>
      <c r="AU2475" s="36"/>
      <c r="AV2475" s="36"/>
      <c r="AW2475" s="36"/>
      <c r="AX2475" s="25"/>
      <c r="AY2475" s="25"/>
      <c r="AZ2475" s="25"/>
      <c r="BA2475" s="25"/>
      <c r="BB2475" s="25"/>
      <c r="BC2475" s="25"/>
      <c r="BD2475" s="25"/>
      <c r="BE2475" s="25"/>
      <c r="BF2475" s="25"/>
      <c r="BG2475" s="25"/>
      <c r="BH2475" s="25"/>
      <c r="BI2475" s="25"/>
      <c r="BJ2475" s="25"/>
      <c r="BK2475" s="25"/>
      <c r="BL2475" s="25"/>
      <c r="BM2475" s="25"/>
      <c r="BN2475" s="25"/>
      <c r="BO2475" s="25"/>
      <c r="BP2475" s="25"/>
      <c r="BQ2475" s="25"/>
      <c r="BR2475" s="25"/>
      <c r="BS2475" s="25"/>
      <c r="BT2475" s="25"/>
      <c r="BU2475"/>
      <c r="BV2475"/>
      <c r="BW2475"/>
      <c r="BX2475"/>
      <c r="BY2475"/>
      <c r="BZ2475"/>
      <c r="CA2475"/>
      <c r="CB2475"/>
      <c r="CC2475"/>
      <c r="CD2475" s="25"/>
    </row>
    <row r="2476" spans="1:82" s="17" customFormat="1" x14ac:dyDescent="0.2">
      <c r="A2476" s="25"/>
      <c r="B2476" s="20">
        <v>39025040102</v>
      </c>
      <c r="C2476" s="20">
        <v>401.02</v>
      </c>
      <c r="D2476" s="20" t="s">
        <v>19</v>
      </c>
      <c r="E2476" s="20" t="s">
        <v>2828</v>
      </c>
      <c r="F2476" s="20" t="s">
        <v>8</v>
      </c>
      <c r="G2476" s="861">
        <v>37.081206813189503</v>
      </c>
      <c r="H2476" s="861">
        <v>61.959489640482303</v>
      </c>
      <c r="I2476" s="861">
        <v>22.789481930964399</v>
      </c>
      <c r="J2476" s="861">
        <v>45.236250816505503</v>
      </c>
      <c r="K2476" s="982">
        <v>0</v>
      </c>
      <c r="L2476" s="735">
        <v>3074</v>
      </c>
      <c r="M2476" s="735">
        <v>2612</v>
      </c>
      <c r="N2476" s="845">
        <f t="shared" si="185"/>
        <v>-0.15029277813923228</v>
      </c>
      <c r="O2476" s="735">
        <v>13.069602856207707</v>
      </c>
      <c r="P2476" s="735">
        <f t="shared" si="186"/>
        <v>199.85305052780322</v>
      </c>
      <c r="Q2476" s="849">
        <v>46.9</v>
      </c>
      <c r="R2476" s="71">
        <v>72083</v>
      </c>
      <c r="S2476" s="845">
        <v>6.363285769379097E-2</v>
      </c>
      <c r="T2476" s="845">
        <v>9.6000000000000002E-2</v>
      </c>
      <c r="U2476" s="845">
        <v>0</v>
      </c>
      <c r="V2476" s="845">
        <v>0</v>
      </c>
      <c r="W2476" s="845">
        <v>0.12844036697247707</v>
      </c>
      <c r="X2476" s="845">
        <v>0.2857142857142857</v>
      </c>
      <c r="Y2476" s="845">
        <v>0.95712098009188362</v>
      </c>
      <c r="Z2476" s="845">
        <v>1.1868300153139357E-2</v>
      </c>
      <c r="AA2476" s="845">
        <v>0</v>
      </c>
      <c r="AB2476" s="845">
        <v>0</v>
      </c>
      <c r="AC2476" s="845">
        <v>0</v>
      </c>
      <c r="AD2476" s="845">
        <v>3.8284839203675345E-3</v>
      </c>
      <c r="AE2476" s="845">
        <v>2.7182235834609495E-2</v>
      </c>
      <c r="AF2476" s="845">
        <v>4.9770290964777945E-3</v>
      </c>
      <c r="AG2476" s="845">
        <v>0.95712098009188362</v>
      </c>
      <c r="AH2476" s="20" t="str">
        <f t="shared" si="187"/>
        <v>Yes</v>
      </c>
      <c r="AI2476" s="25"/>
      <c r="AJ2476" s="25"/>
      <c r="AK2476" s="25"/>
      <c r="AL2476" s="25"/>
      <c r="AM2476" s="25"/>
      <c r="AN2476" s="25"/>
      <c r="AO2476" s="25"/>
      <c r="AP2476" s="25"/>
      <c r="AQ2476" s="25"/>
      <c r="AR2476" s="25"/>
      <c r="AS2476" s="25"/>
      <c r="AT2476" s="25"/>
      <c r="AU2476" s="36"/>
      <c r="AV2476" s="36"/>
      <c r="AW2476" s="36"/>
      <c r="AX2476" s="25"/>
      <c r="AY2476" s="25"/>
      <c r="AZ2476" s="25"/>
      <c r="BA2476" s="25"/>
      <c r="BB2476" s="25"/>
      <c r="BC2476" s="25"/>
      <c r="BD2476" s="25"/>
      <c r="BE2476" s="25"/>
      <c r="BF2476" s="25"/>
      <c r="BG2476" s="25"/>
      <c r="BH2476" s="25"/>
      <c r="BI2476" s="25"/>
      <c r="BJ2476" s="25"/>
      <c r="BK2476" s="25"/>
      <c r="BL2476" s="25"/>
      <c r="BM2476" s="25"/>
      <c r="BN2476" s="25"/>
      <c r="BO2476" s="25"/>
      <c r="BP2476" s="25"/>
      <c r="BQ2476" s="25"/>
      <c r="BR2476" s="25"/>
      <c r="BS2476" s="25"/>
      <c r="BT2476" s="25"/>
      <c r="BU2476"/>
      <c r="BV2476"/>
      <c r="BW2476"/>
      <c r="BX2476"/>
      <c r="BY2476"/>
      <c r="BZ2476"/>
      <c r="CA2476"/>
      <c r="CB2476"/>
      <c r="CC2476"/>
      <c r="CD2476" s="25"/>
    </row>
    <row r="2477" spans="1:82" s="17" customFormat="1" x14ac:dyDescent="0.2">
      <c r="A2477" s="25"/>
      <c r="B2477" s="20">
        <v>39083007400</v>
      </c>
      <c r="C2477" s="20">
        <v>74</v>
      </c>
      <c r="D2477" s="20" t="s">
        <v>114</v>
      </c>
      <c r="E2477" s="20" t="s">
        <v>265</v>
      </c>
      <c r="F2477" s="20" t="s">
        <v>8</v>
      </c>
      <c r="G2477" s="861">
        <v>37.075305504062001</v>
      </c>
      <c r="H2477" s="861">
        <v>48.786871547613998</v>
      </c>
      <c r="I2477" s="861">
        <v>25.457053394919601</v>
      </c>
      <c r="J2477" s="861">
        <v>44.970250340498701</v>
      </c>
      <c r="K2477" s="982">
        <v>0</v>
      </c>
      <c r="L2477" s="735">
        <v>5695</v>
      </c>
      <c r="M2477" s="735">
        <v>5894</v>
      </c>
      <c r="N2477" s="845">
        <f t="shared" si="185"/>
        <v>3.4942932396839335E-2</v>
      </c>
      <c r="O2477" s="735">
        <v>114.68656664991408</v>
      </c>
      <c r="P2477" s="735">
        <f t="shared" si="186"/>
        <v>51.392243853560466</v>
      </c>
      <c r="Q2477" s="849">
        <v>37.4</v>
      </c>
      <c r="R2477" s="71">
        <v>80175</v>
      </c>
      <c r="S2477" s="845">
        <v>6.383350821965722E-2</v>
      </c>
      <c r="T2477" s="845">
        <v>0.01</v>
      </c>
      <c r="U2477" s="845">
        <v>0</v>
      </c>
      <c r="V2477" s="845">
        <v>0</v>
      </c>
      <c r="W2477" s="845">
        <v>0.15550239234449761</v>
      </c>
      <c r="X2477" s="845">
        <v>0.51692307692307693</v>
      </c>
      <c r="Y2477" s="845">
        <v>0.98557855446216491</v>
      </c>
      <c r="Z2477" s="845">
        <v>1.170682049541907E-2</v>
      </c>
      <c r="AA2477" s="845">
        <v>0</v>
      </c>
      <c r="AB2477" s="845">
        <v>0</v>
      </c>
      <c r="AC2477" s="845">
        <v>0</v>
      </c>
      <c r="AD2477" s="845">
        <v>0</v>
      </c>
      <c r="AE2477" s="845">
        <v>2.7146250424160165E-3</v>
      </c>
      <c r="AF2477" s="845">
        <v>0</v>
      </c>
      <c r="AG2477" s="845">
        <v>0.98557855446216491</v>
      </c>
      <c r="AH2477" s="20" t="str">
        <f t="shared" si="187"/>
        <v>Yes</v>
      </c>
      <c r="AI2477" s="25"/>
      <c r="AJ2477" s="25"/>
      <c r="AK2477" s="25"/>
      <c r="AL2477" s="25"/>
      <c r="AM2477" s="25"/>
      <c r="AN2477" s="25"/>
      <c r="AO2477" s="25"/>
      <c r="AP2477" s="25"/>
      <c r="AQ2477" s="25"/>
      <c r="AR2477" s="25"/>
      <c r="AS2477" s="25"/>
      <c r="AT2477" s="25"/>
      <c r="AU2477" s="36"/>
      <c r="AV2477" s="36"/>
      <c r="AW2477" s="36"/>
      <c r="AX2477" s="25"/>
      <c r="AY2477" s="25"/>
      <c r="AZ2477" s="25"/>
      <c r="BA2477" s="25"/>
      <c r="BB2477" s="25"/>
      <c r="BC2477" s="25"/>
      <c r="BD2477" s="25"/>
      <c r="BE2477" s="25"/>
      <c r="BF2477" s="25"/>
      <c r="BG2477" s="25"/>
      <c r="BH2477" s="25"/>
      <c r="BI2477" s="25"/>
      <c r="BJ2477" s="25"/>
      <c r="BK2477" s="25"/>
      <c r="BL2477" s="25"/>
      <c r="BM2477" s="25"/>
      <c r="BN2477" s="25"/>
      <c r="BO2477" s="25"/>
      <c r="BP2477" s="25"/>
      <c r="BQ2477" s="25"/>
      <c r="BR2477" s="25"/>
      <c r="BS2477" s="25"/>
      <c r="BT2477" s="25"/>
      <c r="BU2477"/>
      <c r="BV2477"/>
      <c r="BW2477"/>
      <c r="BX2477"/>
      <c r="BY2477"/>
      <c r="BZ2477"/>
      <c r="CA2477"/>
      <c r="CB2477"/>
      <c r="CC2477"/>
      <c r="CD2477" s="25"/>
    </row>
    <row r="2478" spans="1:82" s="17" customFormat="1" x14ac:dyDescent="0.2">
      <c r="A2478" s="25"/>
      <c r="B2478" s="20">
        <v>39103400100</v>
      </c>
      <c r="C2478" s="20">
        <v>4001</v>
      </c>
      <c r="D2478" s="20" t="s">
        <v>57</v>
      </c>
      <c r="E2478" s="20" t="s">
        <v>2829</v>
      </c>
      <c r="F2478" s="20" t="s">
        <v>8</v>
      </c>
      <c r="G2478" s="861">
        <v>37.074526924551201</v>
      </c>
      <c r="H2478" s="861">
        <v>52.595093083721899</v>
      </c>
      <c r="I2478" s="861">
        <v>21.612439525243801</v>
      </c>
      <c r="J2478" s="861">
        <v>58.331830628016903</v>
      </c>
      <c r="K2478" s="982">
        <v>0</v>
      </c>
      <c r="L2478" s="735">
        <v>7779</v>
      </c>
      <c r="M2478" s="735">
        <v>8073</v>
      </c>
      <c r="N2478" s="845">
        <f t="shared" si="185"/>
        <v>3.7794060933281914E-2</v>
      </c>
      <c r="O2478" s="735">
        <v>26.703905988201623</v>
      </c>
      <c r="P2478" s="735">
        <f t="shared" si="186"/>
        <v>302.31532434119674</v>
      </c>
      <c r="Q2478" s="849">
        <v>43.3</v>
      </c>
      <c r="R2478" s="71">
        <v>138268</v>
      </c>
      <c r="S2478" s="845">
        <v>3.9965139442231075E-2</v>
      </c>
      <c r="T2478" s="845">
        <v>0.04</v>
      </c>
      <c r="U2478" s="845">
        <v>0</v>
      </c>
      <c r="V2478" s="845">
        <v>0</v>
      </c>
      <c r="W2478" s="845">
        <v>3.8668098818474758E-2</v>
      </c>
      <c r="X2478" s="845">
        <v>0.37962962962962965</v>
      </c>
      <c r="Y2478" s="845">
        <v>0.93199554069119284</v>
      </c>
      <c r="Z2478" s="845">
        <v>4.9547875634832158E-4</v>
      </c>
      <c r="AA2478" s="845">
        <v>7.5560510343119043E-3</v>
      </c>
      <c r="AB2478" s="845">
        <v>7.9276601015731453E-3</v>
      </c>
      <c r="AC2478" s="845">
        <v>0</v>
      </c>
      <c r="AD2478" s="845">
        <v>0</v>
      </c>
      <c r="AE2478" s="845">
        <v>5.2025269416573768E-2</v>
      </c>
      <c r="AF2478" s="845">
        <v>2.6879722531896445E-2</v>
      </c>
      <c r="AG2478" s="845">
        <v>0.93199554069119284</v>
      </c>
      <c r="AH2478" s="20" t="str">
        <f t="shared" si="187"/>
        <v>Yes</v>
      </c>
      <c r="AI2478" s="25"/>
      <c r="AJ2478" s="25"/>
      <c r="AK2478" s="25"/>
      <c r="AL2478" s="25"/>
      <c r="AM2478" s="25"/>
      <c r="AN2478" s="25"/>
      <c r="AO2478" s="25"/>
      <c r="AP2478" s="25"/>
      <c r="AQ2478" s="25"/>
      <c r="AR2478" s="25"/>
      <c r="AS2478" s="25"/>
      <c r="AT2478" s="25"/>
      <c r="AU2478" s="36"/>
      <c r="AV2478" s="36"/>
      <c r="AW2478" s="36"/>
      <c r="AX2478" s="25"/>
      <c r="AY2478" s="25"/>
      <c r="AZ2478" s="25"/>
      <c r="BA2478" s="25"/>
      <c r="BB2478" s="25"/>
      <c r="BC2478" s="25"/>
      <c r="BD2478" s="25"/>
      <c r="BE2478" s="25"/>
      <c r="BF2478" s="25"/>
      <c r="BG2478" s="25"/>
      <c r="BH2478" s="25"/>
      <c r="BI2478" s="25"/>
      <c r="BJ2478" s="25"/>
      <c r="BK2478" s="25"/>
      <c r="BL2478" s="25"/>
      <c r="BM2478" s="25"/>
      <c r="BN2478" s="25"/>
      <c r="BO2478" s="25"/>
      <c r="BP2478" s="25"/>
      <c r="BQ2478" s="25"/>
      <c r="BR2478" s="25"/>
      <c r="BS2478" s="25"/>
      <c r="BT2478" s="25"/>
      <c r="BU2478"/>
      <c r="BV2478"/>
      <c r="BW2478"/>
      <c r="BX2478"/>
      <c r="BY2478"/>
      <c r="BZ2478"/>
      <c r="CA2478"/>
      <c r="CB2478"/>
      <c r="CC2478"/>
      <c r="CD2478" s="25"/>
    </row>
    <row r="2479" spans="1:82" s="17" customFormat="1" x14ac:dyDescent="0.2">
      <c r="A2479" s="25"/>
      <c r="B2479" s="20">
        <v>39103415802</v>
      </c>
      <c r="C2479" s="20">
        <v>4158.0200000000004</v>
      </c>
      <c r="D2479" s="20" t="s">
        <v>57</v>
      </c>
      <c r="E2479" s="20" t="s">
        <v>2829</v>
      </c>
      <c r="F2479" s="20" t="s">
        <v>8</v>
      </c>
      <c r="G2479" s="861">
        <v>37.067234245522599</v>
      </c>
      <c r="H2479" s="861">
        <v>38.335691625228002</v>
      </c>
      <c r="I2479" s="861">
        <v>26.2608581662757</v>
      </c>
      <c r="J2479" s="861">
        <v>16.513239252772301</v>
      </c>
      <c r="K2479" s="982">
        <v>0</v>
      </c>
      <c r="L2479" s="735" t="s">
        <v>2466</v>
      </c>
      <c r="M2479" s="735">
        <v>1976</v>
      </c>
      <c r="N2479" s="845" t="str">
        <f t="shared" si="185"/>
        <v/>
      </c>
      <c r="O2479" s="735">
        <v>2.0145474721889749</v>
      </c>
      <c r="P2479" s="735">
        <f t="shared" si="186"/>
        <v>980.86544361891367</v>
      </c>
      <c r="Q2479" s="849">
        <v>53.5</v>
      </c>
      <c r="R2479" s="71">
        <v>77054</v>
      </c>
      <c r="S2479" s="845">
        <v>5.7692307692307696E-2</v>
      </c>
      <c r="T2479" s="845">
        <v>1.9E-2</v>
      </c>
      <c r="U2479" s="845">
        <v>0</v>
      </c>
      <c r="V2479" s="845">
        <v>0</v>
      </c>
      <c r="W2479" s="845">
        <v>3.2258064516129031E-2</v>
      </c>
      <c r="X2479" s="845">
        <v>0</v>
      </c>
      <c r="Y2479" s="845">
        <v>0.79048582995951422</v>
      </c>
      <c r="Z2479" s="845">
        <v>0</v>
      </c>
      <c r="AA2479" s="845">
        <v>0</v>
      </c>
      <c r="AB2479" s="845">
        <v>0.12196356275303644</v>
      </c>
      <c r="AC2479" s="845">
        <v>0</v>
      </c>
      <c r="AD2479" s="845">
        <v>2.0242914979757085E-2</v>
      </c>
      <c r="AE2479" s="845">
        <v>6.7307692307692304E-2</v>
      </c>
      <c r="AF2479" s="845">
        <v>8.7044534412955468E-2</v>
      </c>
      <c r="AG2479" s="845">
        <v>0.77935222672064774</v>
      </c>
      <c r="AH2479" s="20" t="str">
        <f t="shared" si="187"/>
        <v>No</v>
      </c>
      <c r="AI2479" s="25"/>
      <c r="AJ2479" s="25"/>
      <c r="AK2479" s="25"/>
      <c r="AL2479" s="25"/>
      <c r="AM2479" s="25"/>
      <c r="AN2479" s="25"/>
      <c r="AO2479" s="25"/>
      <c r="AP2479" s="25"/>
      <c r="AQ2479" s="25"/>
      <c r="AR2479" s="25"/>
      <c r="AS2479" s="25"/>
      <c r="AT2479" s="25"/>
      <c r="AU2479" s="36"/>
      <c r="AV2479" s="36"/>
      <c r="AW2479" s="36"/>
      <c r="AX2479" s="25"/>
      <c r="AY2479" s="25"/>
      <c r="AZ2479" s="25"/>
      <c r="BA2479" s="25"/>
      <c r="BB2479" s="25"/>
      <c r="BC2479" s="25"/>
      <c r="BD2479" s="25"/>
      <c r="BE2479" s="25"/>
      <c r="BF2479" s="25"/>
      <c r="BG2479" s="25"/>
      <c r="BH2479" s="25"/>
      <c r="BI2479" s="25"/>
      <c r="BJ2479" s="25"/>
      <c r="BK2479" s="25"/>
      <c r="BL2479" s="25"/>
      <c r="BM2479" s="25"/>
      <c r="BN2479" s="25"/>
      <c r="BO2479" s="25"/>
      <c r="BP2479" s="25"/>
      <c r="BQ2479" s="25"/>
      <c r="BR2479" s="25"/>
      <c r="BS2479" s="25"/>
      <c r="BT2479" s="25"/>
      <c r="BU2479"/>
      <c r="BV2479"/>
      <c r="BW2479"/>
      <c r="BX2479"/>
      <c r="BY2479"/>
      <c r="BZ2479"/>
      <c r="CA2479"/>
      <c r="CB2479"/>
      <c r="CC2479"/>
      <c r="CD2479" s="25"/>
    </row>
    <row r="2480" spans="1:82" s="17" customFormat="1" x14ac:dyDescent="0.2">
      <c r="A2480" s="25"/>
      <c r="B2480" s="20">
        <v>39035101101</v>
      </c>
      <c r="C2480" s="20">
        <v>1011.01</v>
      </c>
      <c r="D2480" s="20" t="s">
        <v>24</v>
      </c>
      <c r="E2480" s="20" t="s">
        <v>2829</v>
      </c>
      <c r="F2480" s="20" t="s">
        <v>6</v>
      </c>
      <c r="G2480" s="861">
        <v>37.065613903565001</v>
      </c>
      <c r="H2480" s="861">
        <v>28.437500353085099</v>
      </c>
      <c r="I2480" s="861">
        <v>50.740770204370897</v>
      </c>
      <c r="J2480" s="861">
        <v>50.793618483725602</v>
      </c>
      <c r="K2480" s="982">
        <v>0</v>
      </c>
      <c r="L2480" s="735">
        <v>1720</v>
      </c>
      <c r="M2480" s="735">
        <v>1964</v>
      </c>
      <c r="N2480" s="845">
        <f t="shared" si="185"/>
        <v>0.14186046511627906</v>
      </c>
      <c r="O2480" s="735">
        <v>0.11814301340557121</v>
      </c>
      <c r="P2480" s="735">
        <f t="shared" si="186"/>
        <v>16623.91997111007</v>
      </c>
      <c r="Q2480" s="849">
        <v>41.7</v>
      </c>
      <c r="R2480" s="71">
        <v>36186</v>
      </c>
      <c r="S2480" s="845">
        <v>0.42077087794432549</v>
      </c>
      <c r="T2480" s="845">
        <v>0.19399999999999998</v>
      </c>
      <c r="U2480" s="845">
        <v>0</v>
      </c>
      <c r="V2480" s="845">
        <v>1.1000000000000001E-2</v>
      </c>
      <c r="W2480" s="845">
        <v>0.75127942681678606</v>
      </c>
      <c r="X2480" s="845">
        <v>0.35694822888283378</v>
      </c>
      <c r="Y2480" s="845">
        <v>0.55549898167006106</v>
      </c>
      <c r="Z2480" s="845">
        <v>0.28818737270875766</v>
      </c>
      <c r="AA2480" s="845">
        <v>0</v>
      </c>
      <c r="AB2480" s="845">
        <v>1.0183299389002037E-2</v>
      </c>
      <c r="AC2480" s="845">
        <v>0</v>
      </c>
      <c r="AD2480" s="845">
        <v>5.3971486761710798E-2</v>
      </c>
      <c r="AE2480" s="845">
        <v>9.2158859470468438E-2</v>
      </c>
      <c r="AF2480" s="845">
        <v>0.15784114052953158</v>
      </c>
      <c r="AG2480" s="845">
        <v>0.51527494908350302</v>
      </c>
      <c r="AH2480" s="20" t="str">
        <f t="shared" si="187"/>
        <v>No</v>
      </c>
      <c r="AI2480" s="25"/>
      <c r="AJ2480" s="25"/>
      <c r="AK2480" s="25"/>
      <c r="AL2480" s="25"/>
      <c r="AM2480" s="25"/>
      <c r="AN2480" s="25"/>
      <c r="AO2480" s="25"/>
      <c r="AP2480" s="25"/>
      <c r="AQ2480" s="25"/>
      <c r="AR2480" s="25"/>
      <c r="AS2480" s="25"/>
      <c r="AT2480" s="25"/>
      <c r="AU2480" s="36"/>
      <c r="AV2480" s="36"/>
      <c r="AW2480" s="36"/>
      <c r="AX2480" s="25"/>
      <c r="AY2480" s="25"/>
      <c r="AZ2480" s="25"/>
      <c r="BA2480" s="25"/>
      <c r="BB2480" s="25"/>
      <c r="BC2480" s="25"/>
      <c r="BD2480" s="25"/>
      <c r="BE2480" s="25"/>
      <c r="BF2480" s="25"/>
      <c r="BG2480" s="25"/>
      <c r="BH2480" s="25"/>
      <c r="BI2480" s="25"/>
      <c r="BJ2480" s="25"/>
      <c r="BK2480" s="25"/>
      <c r="BL2480" s="25"/>
      <c r="BM2480" s="25"/>
      <c r="BN2480" s="25"/>
      <c r="BO2480" s="25"/>
      <c r="BP2480" s="25"/>
      <c r="BQ2480" s="25"/>
      <c r="BR2480" s="25"/>
      <c r="BS2480" s="25"/>
      <c r="BT2480" s="25"/>
      <c r="BU2480"/>
      <c r="BV2480"/>
      <c r="BW2480"/>
      <c r="BX2480"/>
      <c r="BY2480"/>
      <c r="BZ2480"/>
      <c r="CA2480"/>
      <c r="CB2480"/>
      <c r="CC2480"/>
      <c r="CD2480" s="25"/>
    </row>
    <row r="2481" spans="1:82" s="17" customFormat="1" x14ac:dyDescent="0.2">
      <c r="A2481" s="25"/>
      <c r="B2481" s="20">
        <v>39079957200</v>
      </c>
      <c r="C2481" s="20">
        <v>9572</v>
      </c>
      <c r="D2481" s="20" t="s">
        <v>46</v>
      </c>
      <c r="E2481" s="20" t="s">
        <v>265</v>
      </c>
      <c r="F2481" s="20" t="s">
        <v>8</v>
      </c>
      <c r="G2481" s="861">
        <v>37.065128855332198</v>
      </c>
      <c r="H2481" s="861">
        <v>41.620178950159399</v>
      </c>
      <c r="I2481" s="861">
        <v>28.281814520207899</v>
      </c>
      <c r="J2481" s="861">
        <v>42.187535415005698</v>
      </c>
      <c r="K2481" s="982">
        <v>0</v>
      </c>
      <c r="L2481" s="735">
        <v>5140</v>
      </c>
      <c r="M2481" s="735">
        <v>4677</v>
      </c>
      <c r="N2481" s="845">
        <f t="shared" si="185"/>
        <v>-9.0077821011673151E-2</v>
      </c>
      <c r="O2481" s="735">
        <v>18.885258897964594</v>
      </c>
      <c r="P2481" s="735">
        <f t="shared" si="186"/>
        <v>247.6534754047812</v>
      </c>
      <c r="Q2481" s="849">
        <v>40.4</v>
      </c>
      <c r="R2481" s="71">
        <v>55964</v>
      </c>
      <c r="S2481" s="845">
        <v>0.22276676319893071</v>
      </c>
      <c r="T2481" s="845">
        <v>2.8999999999999998E-2</v>
      </c>
      <c r="U2481" s="845">
        <v>0</v>
      </c>
      <c r="V2481" s="845">
        <v>0</v>
      </c>
      <c r="W2481" s="845">
        <v>0.32949790794979078</v>
      </c>
      <c r="X2481" s="845">
        <v>0.13015873015873017</v>
      </c>
      <c r="Y2481" s="845">
        <v>0.99294419499679276</v>
      </c>
      <c r="Z2481" s="845">
        <v>0</v>
      </c>
      <c r="AA2481" s="845">
        <v>0</v>
      </c>
      <c r="AB2481" s="845">
        <v>0</v>
      </c>
      <c r="AC2481" s="845">
        <v>0</v>
      </c>
      <c r="AD2481" s="845">
        <v>0</v>
      </c>
      <c r="AE2481" s="845">
        <v>7.0558050032071837E-3</v>
      </c>
      <c r="AF2481" s="845">
        <v>0</v>
      </c>
      <c r="AG2481" s="845">
        <v>0.99294419499679276</v>
      </c>
      <c r="AH2481" s="20" t="str">
        <f t="shared" si="187"/>
        <v>Yes</v>
      </c>
      <c r="AI2481" s="25"/>
      <c r="AJ2481" s="25"/>
      <c r="AK2481" s="25"/>
      <c r="AL2481" s="25"/>
      <c r="AM2481" s="25"/>
      <c r="AN2481" s="25"/>
      <c r="AO2481" s="25"/>
      <c r="AP2481" s="25"/>
      <c r="AQ2481" s="25"/>
      <c r="AR2481" s="25"/>
      <c r="AS2481" s="25"/>
      <c r="AT2481" s="25"/>
      <c r="AU2481" s="36"/>
      <c r="AV2481" s="36"/>
      <c r="AW2481" s="36"/>
      <c r="AX2481" s="25"/>
      <c r="AY2481" s="25"/>
      <c r="AZ2481" s="25"/>
      <c r="BA2481" s="25"/>
      <c r="BB2481" s="25"/>
      <c r="BC2481" s="25"/>
      <c r="BD2481" s="25"/>
      <c r="BE2481" s="25"/>
      <c r="BF2481" s="25"/>
      <c r="BG2481" s="25"/>
      <c r="BH2481" s="25"/>
      <c r="BI2481" s="25"/>
      <c r="BJ2481" s="25"/>
      <c r="BK2481" s="25"/>
      <c r="BL2481" s="25"/>
      <c r="BM2481" s="25"/>
      <c r="BN2481" s="25"/>
      <c r="BO2481" s="25"/>
      <c r="BP2481" s="25"/>
      <c r="BQ2481" s="25"/>
      <c r="BR2481" s="25"/>
      <c r="BS2481" s="25"/>
      <c r="BT2481" s="25"/>
      <c r="BU2481"/>
      <c r="BV2481"/>
      <c r="BW2481"/>
      <c r="BX2481"/>
      <c r="BY2481"/>
      <c r="BZ2481"/>
      <c r="CA2481"/>
      <c r="CB2481"/>
      <c r="CC2481"/>
      <c r="CD2481" s="25"/>
    </row>
    <row r="2482" spans="1:82" s="17" customFormat="1" x14ac:dyDescent="0.2">
      <c r="A2482" s="25"/>
      <c r="B2482" s="20">
        <v>39155930400</v>
      </c>
      <c r="C2482" s="20">
        <v>9304</v>
      </c>
      <c r="D2482" s="20" t="s">
        <v>83</v>
      </c>
      <c r="E2482" s="20" t="s">
        <v>2842</v>
      </c>
      <c r="F2482" s="20" t="s">
        <v>8</v>
      </c>
      <c r="G2482" s="861">
        <v>37.055052961143403</v>
      </c>
      <c r="H2482" s="861">
        <v>45.2024852035279</v>
      </c>
      <c r="I2482" s="861">
        <v>29.3469150458697</v>
      </c>
      <c r="J2482" s="861">
        <v>45.542789971754303</v>
      </c>
      <c r="K2482" s="982">
        <v>0</v>
      </c>
      <c r="L2482" s="735">
        <v>4120</v>
      </c>
      <c r="M2482" s="735">
        <v>4061</v>
      </c>
      <c r="N2482" s="845">
        <f t="shared" si="185"/>
        <v>-1.4320388349514563E-2</v>
      </c>
      <c r="O2482" s="735">
        <v>51.50273296042274</v>
      </c>
      <c r="P2482" s="735">
        <f t="shared" si="186"/>
        <v>78.850184574101618</v>
      </c>
      <c r="Q2482" s="849">
        <v>43.3</v>
      </c>
      <c r="R2482" s="71">
        <v>70380</v>
      </c>
      <c r="S2482" s="845">
        <v>0.19133218419108594</v>
      </c>
      <c r="T2482" s="845">
        <v>2.5000000000000001E-2</v>
      </c>
      <c r="U2482" s="845">
        <v>0</v>
      </c>
      <c r="V2482" s="845">
        <v>0</v>
      </c>
      <c r="W2482" s="845">
        <v>0.14829142488716957</v>
      </c>
      <c r="X2482" s="845">
        <v>0.14782608695652175</v>
      </c>
      <c r="Y2482" s="845">
        <v>0.92095542969711897</v>
      </c>
      <c r="Z2482" s="845">
        <v>0</v>
      </c>
      <c r="AA2482" s="845">
        <v>1.2312238364934746E-3</v>
      </c>
      <c r="AB2482" s="845">
        <v>0</v>
      </c>
      <c r="AC2482" s="845">
        <v>0</v>
      </c>
      <c r="AD2482" s="845">
        <v>0</v>
      </c>
      <c r="AE2482" s="845">
        <v>7.7813346466387587E-2</v>
      </c>
      <c r="AF2482" s="845">
        <v>2.954937207584339E-3</v>
      </c>
      <c r="AG2482" s="845">
        <v>0.92095542969711897</v>
      </c>
      <c r="AH2482" s="20" t="str">
        <f t="shared" si="187"/>
        <v>Yes</v>
      </c>
      <c r="AI2482" s="25"/>
      <c r="AJ2482" s="25"/>
      <c r="AK2482" s="25"/>
      <c r="AL2482" s="25"/>
      <c r="AM2482" s="25"/>
      <c r="AN2482" s="25"/>
      <c r="AO2482" s="25"/>
      <c r="AP2482" s="25"/>
      <c r="AQ2482" s="25"/>
      <c r="AR2482" s="25"/>
      <c r="AS2482" s="25"/>
      <c r="AT2482" s="25"/>
      <c r="AU2482" s="36"/>
      <c r="AV2482" s="36"/>
      <c r="AW2482" s="36"/>
      <c r="AX2482" s="25"/>
      <c r="AY2482" s="25"/>
      <c r="AZ2482" s="25"/>
      <c r="BA2482" s="25"/>
      <c r="BB2482" s="25"/>
      <c r="BC2482" s="25"/>
      <c r="BD2482" s="25"/>
      <c r="BE2482" s="25"/>
      <c r="BF2482" s="25"/>
      <c r="BG2482" s="25"/>
      <c r="BH2482" s="25"/>
      <c r="BI2482" s="25"/>
      <c r="BJ2482" s="25"/>
      <c r="BK2482" s="25"/>
      <c r="BL2482" s="25"/>
      <c r="BM2482" s="25"/>
      <c r="BN2482" s="25"/>
      <c r="BO2482" s="25"/>
      <c r="BP2482" s="25"/>
      <c r="BQ2482" s="25"/>
      <c r="BR2482" s="25"/>
      <c r="BS2482" s="25"/>
      <c r="BT2482" s="25"/>
      <c r="BU2482"/>
      <c r="BV2482"/>
      <c r="BW2482"/>
      <c r="BX2482"/>
      <c r="BY2482"/>
      <c r="BZ2482"/>
      <c r="CA2482"/>
      <c r="CB2482"/>
      <c r="CC2482"/>
      <c r="CD2482" s="25"/>
    </row>
    <row r="2483" spans="1:82" s="17" customFormat="1" x14ac:dyDescent="0.2">
      <c r="A2483" s="25"/>
      <c r="B2483" s="20">
        <v>39145003000</v>
      </c>
      <c r="C2483" s="20">
        <v>30</v>
      </c>
      <c r="D2483" s="20" t="s">
        <v>78</v>
      </c>
      <c r="E2483" s="20" t="s">
        <v>265</v>
      </c>
      <c r="F2483" s="20" t="s">
        <v>8</v>
      </c>
      <c r="G2483" s="861">
        <v>37.053429962313601</v>
      </c>
      <c r="H2483" s="861">
        <v>43.848992581732297</v>
      </c>
      <c r="I2483" s="861">
        <v>33.7325382965969</v>
      </c>
      <c r="J2483" s="861">
        <v>38.223100929919703</v>
      </c>
      <c r="K2483" s="982">
        <v>0</v>
      </c>
      <c r="L2483" s="735">
        <v>3560</v>
      </c>
      <c r="M2483" s="735">
        <v>3499</v>
      </c>
      <c r="N2483" s="845">
        <f t="shared" si="185"/>
        <v>-1.7134831460674158E-2</v>
      </c>
      <c r="O2483" s="735">
        <v>4.9985600126944219</v>
      </c>
      <c r="P2483" s="735">
        <f t="shared" si="186"/>
        <v>700.0015986831977</v>
      </c>
      <c r="Q2483" s="849">
        <v>43.7</v>
      </c>
      <c r="R2483" s="71">
        <v>49371</v>
      </c>
      <c r="S2483" s="845">
        <v>0.19115958668197475</v>
      </c>
      <c r="T2483" s="845">
        <v>9.6000000000000002E-2</v>
      </c>
      <c r="U2483" s="845">
        <v>0.13500000000000001</v>
      </c>
      <c r="V2483" s="845">
        <v>0</v>
      </c>
      <c r="W2483" s="845">
        <v>0.35354838709677422</v>
      </c>
      <c r="X2483" s="845">
        <v>0.50182481751824815</v>
      </c>
      <c r="Y2483" s="845">
        <v>0.93340954558445266</v>
      </c>
      <c r="Z2483" s="845">
        <v>5.7159188339525576E-3</v>
      </c>
      <c r="AA2483" s="845">
        <v>8.8596741926264648E-3</v>
      </c>
      <c r="AB2483" s="845">
        <v>0</v>
      </c>
      <c r="AC2483" s="845">
        <v>0</v>
      </c>
      <c r="AD2483" s="845">
        <v>6.0017147756501856E-3</v>
      </c>
      <c r="AE2483" s="845">
        <v>4.6013146613318089E-2</v>
      </c>
      <c r="AF2483" s="845">
        <v>6.0017147756501856E-3</v>
      </c>
      <c r="AG2483" s="845">
        <v>0.93340954558445266</v>
      </c>
      <c r="AH2483" s="20" t="str">
        <f t="shared" si="187"/>
        <v>Yes</v>
      </c>
      <c r="AI2483" s="25"/>
      <c r="AJ2483" s="25"/>
      <c r="AK2483" s="25"/>
      <c r="AL2483" s="25"/>
      <c r="AM2483" s="25"/>
      <c r="AN2483" s="25"/>
      <c r="AO2483" s="25"/>
      <c r="AP2483" s="25"/>
      <c r="AQ2483" s="25"/>
      <c r="AR2483" s="25"/>
      <c r="AS2483" s="25"/>
      <c r="AT2483" s="25"/>
      <c r="AU2483" s="36"/>
      <c r="AV2483" s="36"/>
      <c r="AW2483" s="36"/>
      <c r="AX2483" s="25"/>
      <c r="AY2483" s="25"/>
      <c r="AZ2483" s="25"/>
      <c r="BA2483" s="25"/>
      <c r="BB2483" s="25"/>
      <c r="BC2483" s="25"/>
      <c r="BD2483" s="25"/>
      <c r="BE2483" s="25"/>
      <c r="BF2483" s="25"/>
      <c r="BG2483" s="25"/>
      <c r="BH2483" s="25"/>
      <c r="BI2483" s="25"/>
      <c r="BJ2483" s="25"/>
      <c r="BK2483" s="25"/>
      <c r="BL2483" s="25"/>
      <c r="BM2483" s="25"/>
      <c r="BN2483" s="25"/>
      <c r="BO2483" s="25"/>
      <c r="BP2483" s="25"/>
      <c r="BQ2483" s="25"/>
      <c r="BR2483" s="25"/>
      <c r="BS2483" s="25"/>
      <c r="BT2483" s="25"/>
      <c r="BU2483"/>
      <c r="BV2483"/>
      <c r="BW2483"/>
      <c r="BX2483"/>
      <c r="BY2483"/>
      <c r="BZ2483"/>
      <c r="CA2483"/>
      <c r="CB2483"/>
      <c r="CC2483"/>
      <c r="CD2483" s="25"/>
    </row>
    <row r="2484" spans="1:82" s="17" customFormat="1" x14ac:dyDescent="0.2">
      <c r="A2484" s="25"/>
      <c r="B2484" s="20">
        <v>39083007702</v>
      </c>
      <c r="C2484" s="20">
        <v>77.02</v>
      </c>
      <c r="D2484" s="20" t="s">
        <v>114</v>
      </c>
      <c r="E2484" s="20" t="s">
        <v>265</v>
      </c>
      <c r="F2484" s="20" t="s">
        <v>8</v>
      </c>
      <c r="G2484" s="861">
        <v>37.044399708030603</v>
      </c>
      <c r="H2484" s="861">
        <v>51.501148667558397</v>
      </c>
      <c r="I2484" s="861">
        <v>9.8624943267907899</v>
      </c>
      <c r="J2484" s="861">
        <v>54.801047944782098</v>
      </c>
      <c r="K2484" s="982">
        <v>0</v>
      </c>
      <c r="L2484" s="735" t="s">
        <v>2466</v>
      </c>
      <c r="M2484" s="735">
        <v>3398</v>
      </c>
      <c r="N2484" s="845" t="str">
        <f t="shared" si="185"/>
        <v/>
      </c>
      <c r="O2484" s="735">
        <v>47.405012218376555</v>
      </c>
      <c r="P2484" s="735">
        <f t="shared" si="186"/>
        <v>71.680184035112745</v>
      </c>
      <c r="Q2484" s="849">
        <v>40.799999999999997</v>
      </c>
      <c r="R2484" s="71">
        <v>107788</v>
      </c>
      <c r="S2484" s="845">
        <v>1.5858767205266307E-2</v>
      </c>
      <c r="T2484" s="845">
        <v>1.9E-2</v>
      </c>
      <c r="U2484" s="845">
        <v>0</v>
      </c>
      <c r="V2484" s="845">
        <v>0</v>
      </c>
      <c r="W2484" s="845">
        <v>6.372934697088907E-2</v>
      </c>
      <c r="X2484" s="845">
        <v>0.20987654320987653</v>
      </c>
      <c r="Y2484" s="845">
        <v>0.9487934078869924</v>
      </c>
      <c r="Z2484" s="845">
        <v>0</v>
      </c>
      <c r="AA2484" s="845">
        <v>2.942907592701589E-4</v>
      </c>
      <c r="AB2484" s="845">
        <v>0</v>
      </c>
      <c r="AC2484" s="845">
        <v>0</v>
      </c>
      <c r="AD2484" s="845">
        <v>0</v>
      </c>
      <c r="AE2484" s="845">
        <v>5.0912301353737491E-2</v>
      </c>
      <c r="AF2484" s="845">
        <v>7.0629782224838136E-3</v>
      </c>
      <c r="AG2484" s="845">
        <v>0.9487934078869924</v>
      </c>
      <c r="AH2484" s="20" t="str">
        <f t="shared" si="187"/>
        <v>Yes</v>
      </c>
      <c r="AI2484" s="25"/>
      <c r="AJ2484" s="25"/>
      <c r="AK2484" s="25"/>
      <c r="AL2484" s="25"/>
      <c r="AM2484" s="25"/>
      <c r="AN2484" s="25"/>
      <c r="AO2484" s="25"/>
      <c r="AP2484" s="25"/>
      <c r="AQ2484" s="25"/>
      <c r="AR2484" s="25"/>
      <c r="AS2484" s="25"/>
      <c r="AT2484" s="25"/>
      <c r="AU2484" s="36"/>
      <c r="AV2484" s="36"/>
      <c r="AW2484" s="36"/>
      <c r="AX2484" s="25"/>
      <c r="AY2484" s="25"/>
      <c r="AZ2484" s="25"/>
      <c r="BA2484" s="25"/>
      <c r="BB2484" s="25"/>
      <c r="BC2484" s="25"/>
      <c r="BD2484" s="25"/>
      <c r="BE2484" s="25"/>
      <c r="BF2484" s="25"/>
      <c r="BG2484" s="25"/>
      <c r="BH2484" s="25"/>
      <c r="BI2484" s="25"/>
      <c r="BJ2484" s="25"/>
      <c r="BK2484" s="25"/>
      <c r="BL2484" s="25"/>
      <c r="BM2484" s="25"/>
      <c r="BN2484" s="25"/>
      <c r="BO2484" s="25"/>
      <c r="BP2484" s="25"/>
      <c r="BQ2484" s="25"/>
      <c r="BR2484" s="25"/>
      <c r="BS2484" s="25"/>
      <c r="BT2484" s="25"/>
      <c r="BU2484"/>
      <c r="BV2484"/>
      <c r="BW2484"/>
      <c r="BX2484"/>
      <c r="BY2484"/>
      <c r="BZ2484"/>
      <c r="CA2484"/>
      <c r="CB2484"/>
      <c r="CC2484"/>
      <c r="CD2484" s="25"/>
    </row>
    <row r="2485" spans="1:82" s="17" customFormat="1" x14ac:dyDescent="0.2">
      <c r="A2485" s="25"/>
      <c r="B2485" s="20">
        <v>39133601503</v>
      </c>
      <c r="C2485" s="20">
        <v>6015.03</v>
      </c>
      <c r="D2485" s="20" t="s">
        <v>72</v>
      </c>
      <c r="E2485" s="20" t="s">
        <v>2843</v>
      </c>
      <c r="F2485" s="20" t="s">
        <v>6</v>
      </c>
      <c r="G2485" s="861">
        <v>37.0372644737553</v>
      </c>
      <c r="H2485" s="861">
        <v>46.654431192551897</v>
      </c>
      <c r="I2485" s="861">
        <v>58.296600717340702</v>
      </c>
      <c r="J2485" s="861">
        <v>38.4613398257002</v>
      </c>
      <c r="K2485" s="982">
        <v>0</v>
      </c>
      <c r="L2485" s="735">
        <v>4642</v>
      </c>
      <c r="M2485" s="735">
        <v>3238</v>
      </c>
      <c r="N2485" s="845">
        <f t="shared" si="185"/>
        <v>-0.30245583800086168</v>
      </c>
      <c r="O2485" s="735">
        <v>1.5472781456127997</v>
      </c>
      <c r="P2485" s="735">
        <f t="shared" si="186"/>
        <v>2092.7071252063665</v>
      </c>
      <c r="Q2485" s="849">
        <v>22.5</v>
      </c>
      <c r="R2485" s="71">
        <v>28159</v>
      </c>
      <c r="S2485" s="845">
        <v>0.51423027166882274</v>
      </c>
      <c r="T2485" s="845">
        <v>9.5000000000000001E-2</v>
      </c>
      <c r="U2485" s="845">
        <v>0</v>
      </c>
      <c r="V2485" s="845">
        <v>0.109</v>
      </c>
      <c r="W2485" s="845">
        <v>0.67468069120961682</v>
      </c>
      <c r="X2485" s="845">
        <v>0.76280623608017817</v>
      </c>
      <c r="Y2485" s="845">
        <v>0.88233477455219267</v>
      </c>
      <c r="Z2485" s="845">
        <v>3.1809759110562073E-2</v>
      </c>
      <c r="AA2485" s="845">
        <v>1.0809141445336628E-2</v>
      </c>
      <c r="AB2485" s="845">
        <v>9.2649783817171094E-3</v>
      </c>
      <c r="AC2485" s="845">
        <v>0</v>
      </c>
      <c r="AD2485" s="845">
        <v>0</v>
      </c>
      <c r="AE2485" s="845">
        <v>6.5781346510191477E-2</v>
      </c>
      <c r="AF2485" s="845">
        <v>1.0809141445336628E-2</v>
      </c>
      <c r="AG2485" s="845">
        <v>0.87430512662137116</v>
      </c>
      <c r="AH2485" s="20" t="str">
        <f t="shared" si="187"/>
        <v>No</v>
      </c>
      <c r="AI2485" s="25"/>
      <c r="AJ2485" s="25"/>
      <c r="AK2485" s="25"/>
      <c r="AL2485" s="25"/>
      <c r="AM2485" s="25"/>
      <c r="AN2485" s="25"/>
      <c r="AO2485" s="25"/>
      <c r="AP2485" s="25"/>
      <c r="AQ2485" s="25"/>
      <c r="AR2485" s="25"/>
      <c r="AS2485" s="25"/>
      <c r="AT2485" s="25"/>
      <c r="AU2485" s="36"/>
      <c r="AV2485" s="36"/>
      <c r="AW2485" s="36"/>
      <c r="AX2485" s="25"/>
      <c r="AY2485" s="25"/>
      <c r="AZ2485" s="25"/>
      <c r="BA2485" s="25"/>
      <c r="BB2485" s="25"/>
      <c r="BC2485" s="25"/>
      <c r="BD2485" s="25"/>
      <c r="BE2485" s="25"/>
      <c r="BF2485" s="25"/>
      <c r="BG2485" s="25"/>
      <c r="BH2485" s="25"/>
      <c r="BI2485" s="25"/>
      <c r="BJ2485" s="25"/>
      <c r="BK2485" s="25"/>
      <c r="BL2485" s="25"/>
      <c r="BM2485" s="25"/>
      <c r="BN2485" s="25"/>
      <c r="BO2485" s="25"/>
      <c r="BP2485" s="25"/>
      <c r="BQ2485" s="25"/>
      <c r="BR2485" s="25"/>
      <c r="BS2485" s="25"/>
      <c r="BT2485" s="25"/>
      <c r="BU2485"/>
      <c r="BV2485"/>
      <c r="BW2485"/>
      <c r="BX2485"/>
      <c r="BY2485"/>
      <c r="BZ2485"/>
      <c r="CA2485"/>
      <c r="CB2485"/>
      <c r="CC2485"/>
      <c r="CD2485" s="25"/>
    </row>
    <row r="2486" spans="1:82" s="17" customFormat="1" x14ac:dyDescent="0.2">
      <c r="A2486" s="25"/>
      <c r="B2486" s="20">
        <v>39093070300</v>
      </c>
      <c r="C2486" s="20">
        <v>703</v>
      </c>
      <c r="D2486" s="20" t="s">
        <v>52</v>
      </c>
      <c r="E2486" s="20" t="s">
        <v>2829</v>
      </c>
      <c r="F2486" s="20" t="s">
        <v>8</v>
      </c>
      <c r="G2486" s="861">
        <v>37.010404860452503</v>
      </c>
      <c r="H2486" s="861">
        <v>38.2373758880968</v>
      </c>
      <c r="I2486" s="861">
        <v>41.719238252734598</v>
      </c>
      <c r="J2486" s="861">
        <v>34.227482534824603</v>
      </c>
      <c r="K2486" s="982">
        <v>0</v>
      </c>
      <c r="L2486" s="735">
        <v>3135</v>
      </c>
      <c r="M2486" s="735">
        <v>3181</v>
      </c>
      <c r="N2486" s="845">
        <f t="shared" si="185"/>
        <v>1.4673046251993621E-2</v>
      </c>
      <c r="O2486" s="735">
        <v>3.9953052139687237</v>
      </c>
      <c r="P2486" s="735">
        <f t="shared" si="186"/>
        <v>796.1844789425146</v>
      </c>
      <c r="Q2486" s="849">
        <v>52.7</v>
      </c>
      <c r="R2486" s="71">
        <v>48267</v>
      </c>
      <c r="S2486" s="845">
        <v>0.1068846274756366</v>
      </c>
      <c r="T2486" s="845">
        <v>3.2000000000000001E-2</v>
      </c>
      <c r="U2486" s="845">
        <v>0</v>
      </c>
      <c r="V2486" s="845">
        <v>0.27</v>
      </c>
      <c r="W2486" s="845">
        <v>0.33987730061349691</v>
      </c>
      <c r="X2486" s="845">
        <v>0.5126353790613718</v>
      </c>
      <c r="Y2486" s="845">
        <v>0.79786230745048725</v>
      </c>
      <c r="Z2486" s="845">
        <v>8.0792203709525306E-2</v>
      </c>
      <c r="AA2486" s="845">
        <v>0</v>
      </c>
      <c r="AB2486" s="845">
        <v>0</v>
      </c>
      <c r="AC2486" s="845">
        <v>0</v>
      </c>
      <c r="AD2486" s="845">
        <v>1.2889028607356178E-2</v>
      </c>
      <c r="AE2486" s="845">
        <v>0.10845646023263125</v>
      </c>
      <c r="AF2486" s="845">
        <v>5.7843445457403331E-2</v>
      </c>
      <c r="AG2486" s="845">
        <v>0.78057214712354606</v>
      </c>
      <c r="AH2486" s="20" t="str">
        <f t="shared" si="187"/>
        <v>No</v>
      </c>
      <c r="AI2486" s="25"/>
      <c r="AJ2486" s="25"/>
      <c r="AK2486" s="25"/>
      <c r="AL2486" s="25"/>
      <c r="AM2486" s="25"/>
      <c r="AN2486" s="25"/>
      <c r="AO2486" s="25"/>
      <c r="AP2486" s="25"/>
      <c r="AQ2486" s="25"/>
      <c r="AR2486" s="25"/>
      <c r="AS2486" s="25"/>
      <c r="AT2486" s="25"/>
      <c r="AU2486" s="36"/>
      <c r="AV2486" s="36"/>
      <c r="AW2486" s="36"/>
      <c r="AX2486" s="25"/>
      <c r="AY2486" s="25"/>
      <c r="AZ2486" s="25"/>
      <c r="BA2486" s="25"/>
      <c r="BB2486" s="25"/>
      <c r="BC2486" s="25"/>
      <c r="BD2486" s="25"/>
      <c r="BE2486" s="25"/>
      <c r="BF2486" s="25"/>
      <c r="BG2486" s="25"/>
      <c r="BH2486" s="25"/>
      <c r="BI2486" s="25"/>
      <c r="BJ2486" s="25"/>
      <c r="BK2486" s="25"/>
      <c r="BL2486" s="25"/>
      <c r="BM2486" s="25"/>
      <c r="BN2486" s="25"/>
      <c r="BO2486" s="25"/>
      <c r="BP2486" s="25"/>
      <c r="BQ2486" s="25"/>
      <c r="BR2486" s="25"/>
      <c r="BS2486" s="25"/>
      <c r="BT2486" s="25"/>
      <c r="BU2486"/>
      <c r="BV2486"/>
      <c r="BW2486"/>
      <c r="BX2486"/>
      <c r="BY2486"/>
      <c r="BZ2486"/>
      <c r="CA2486"/>
      <c r="CB2486"/>
      <c r="CC2486"/>
      <c r="CD2486" s="25"/>
    </row>
    <row r="2487" spans="1:82" s="17" customFormat="1" x14ac:dyDescent="0.2">
      <c r="A2487" s="25"/>
      <c r="B2487" s="20">
        <v>39003013800</v>
      </c>
      <c r="C2487" s="20">
        <v>138</v>
      </c>
      <c r="D2487" s="20" t="s">
        <v>7</v>
      </c>
      <c r="E2487" s="20" t="s">
        <v>2835</v>
      </c>
      <c r="F2487" s="20" t="s">
        <v>6</v>
      </c>
      <c r="G2487" s="861">
        <v>36.993111586106799</v>
      </c>
      <c r="H2487" s="861">
        <v>37.154748572317203</v>
      </c>
      <c r="I2487" s="861">
        <v>47.719635060818298</v>
      </c>
      <c r="J2487" s="861">
        <v>48.2215395561362</v>
      </c>
      <c r="K2487" s="982">
        <v>0</v>
      </c>
      <c r="L2487" s="735">
        <v>2761</v>
      </c>
      <c r="M2487" s="735">
        <v>2304</v>
      </c>
      <c r="N2487" s="845">
        <f t="shared" si="185"/>
        <v>-0.1655197392249185</v>
      </c>
      <c r="O2487" s="735">
        <v>2.5520541868433519</v>
      </c>
      <c r="P2487" s="735">
        <f t="shared" si="186"/>
        <v>902.80214733599701</v>
      </c>
      <c r="Q2487" s="849">
        <v>49.1</v>
      </c>
      <c r="R2487" s="71">
        <v>34770</v>
      </c>
      <c r="S2487" s="845">
        <v>0.24452234881682736</v>
      </c>
      <c r="T2487" s="845">
        <v>0.193</v>
      </c>
      <c r="U2487" s="845">
        <v>0</v>
      </c>
      <c r="V2487" s="845">
        <v>7.2999999999999995E-2</v>
      </c>
      <c r="W2487" s="845">
        <v>0.49094375595805528</v>
      </c>
      <c r="X2487" s="845">
        <v>0.33203883495145631</v>
      </c>
      <c r="Y2487" s="845">
        <v>0.44010416666666669</v>
      </c>
      <c r="Z2487" s="845">
        <v>0.41840277777777779</v>
      </c>
      <c r="AA2487" s="845">
        <v>0</v>
      </c>
      <c r="AB2487" s="845">
        <v>0</v>
      </c>
      <c r="AC2487" s="845">
        <v>0</v>
      </c>
      <c r="AD2487" s="845">
        <v>0</v>
      </c>
      <c r="AE2487" s="845">
        <v>0.14149305555555555</v>
      </c>
      <c r="AF2487" s="845">
        <v>1.0850694444444444E-2</v>
      </c>
      <c r="AG2487" s="845">
        <v>0.42925347222222221</v>
      </c>
      <c r="AH2487" s="20" t="str">
        <f t="shared" si="187"/>
        <v>No</v>
      </c>
      <c r="AI2487" s="25"/>
      <c r="AJ2487" s="25"/>
      <c r="AK2487" s="25"/>
      <c r="AL2487" s="25"/>
      <c r="AM2487" s="25"/>
      <c r="AN2487" s="25"/>
      <c r="AO2487" s="25"/>
      <c r="AP2487" s="25"/>
      <c r="AQ2487" s="25"/>
      <c r="AR2487" s="25"/>
      <c r="AS2487" s="25"/>
      <c r="AT2487" s="25"/>
      <c r="AU2487" s="36"/>
      <c r="AV2487" s="36"/>
      <c r="AW2487" s="36"/>
      <c r="AX2487" s="25"/>
      <c r="AY2487" s="25"/>
      <c r="AZ2487" s="25"/>
      <c r="BA2487" s="25"/>
      <c r="BB2487" s="25"/>
      <c r="BC2487" s="25"/>
      <c r="BD2487" s="25"/>
      <c r="BE2487" s="25"/>
      <c r="BF2487" s="25"/>
      <c r="BG2487" s="25"/>
      <c r="BH2487" s="25"/>
      <c r="BI2487" s="25"/>
      <c r="BJ2487" s="25"/>
      <c r="BK2487" s="25"/>
      <c r="BL2487" s="25"/>
      <c r="BM2487" s="25"/>
      <c r="BN2487" s="25"/>
      <c r="BO2487" s="25"/>
      <c r="BP2487" s="25"/>
      <c r="BQ2487" s="25"/>
      <c r="BR2487" s="25"/>
      <c r="BS2487" s="25"/>
      <c r="BT2487" s="25"/>
      <c r="BU2487"/>
      <c r="BV2487"/>
      <c r="BW2487"/>
      <c r="BX2487"/>
      <c r="BY2487"/>
      <c r="BZ2487"/>
      <c r="CA2487"/>
      <c r="CB2487"/>
      <c r="CC2487"/>
      <c r="CD2487" s="25"/>
    </row>
    <row r="2488" spans="1:82" s="17" customFormat="1" x14ac:dyDescent="0.2">
      <c r="A2488" s="25"/>
      <c r="B2488" s="20">
        <v>39027964300</v>
      </c>
      <c r="C2488" s="20">
        <v>9643</v>
      </c>
      <c r="D2488" s="20" t="s">
        <v>20</v>
      </c>
      <c r="E2488" s="20" t="s">
        <v>265</v>
      </c>
      <c r="F2488" s="20" t="s">
        <v>8</v>
      </c>
      <c r="G2488" s="861">
        <v>36.987266043302</v>
      </c>
      <c r="H2488" s="861">
        <v>40.0417986950266</v>
      </c>
      <c r="I2488" s="861">
        <v>34.382251245280898</v>
      </c>
      <c r="J2488" s="861">
        <v>36.708631345062102</v>
      </c>
      <c r="K2488" s="982">
        <v>0</v>
      </c>
      <c r="L2488" s="735">
        <v>3895</v>
      </c>
      <c r="M2488" s="735">
        <v>3596</v>
      </c>
      <c r="N2488" s="845">
        <f t="shared" si="185"/>
        <v>-7.6765083440308093E-2</v>
      </c>
      <c r="O2488" s="735">
        <v>44.677102011869856</v>
      </c>
      <c r="P2488" s="735">
        <f t="shared" si="186"/>
        <v>80.488658352204922</v>
      </c>
      <c r="Q2488" s="849">
        <v>46.4</v>
      </c>
      <c r="R2488" s="71">
        <v>48836</v>
      </c>
      <c r="S2488" s="845">
        <v>0.25126760563380279</v>
      </c>
      <c r="T2488" s="845">
        <v>2.7999999999999997E-2</v>
      </c>
      <c r="U2488" s="845">
        <v>0</v>
      </c>
      <c r="V2488" s="845">
        <v>0</v>
      </c>
      <c r="W2488" s="845">
        <v>0.36879432624113473</v>
      </c>
      <c r="X2488" s="845">
        <v>0.35664335664335667</v>
      </c>
      <c r="Y2488" s="845">
        <v>0.96440489432703003</v>
      </c>
      <c r="Z2488" s="845">
        <v>0</v>
      </c>
      <c r="AA2488" s="845">
        <v>0</v>
      </c>
      <c r="AB2488" s="845">
        <v>0</v>
      </c>
      <c r="AC2488" s="845">
        <v>0</v>
      </c>
      <c r="AD2488" s="845">
        <v>3.615127919911012E-3</v>
      </c>
      <c r="AE2488" s="845">
        <v>3.1979977753058955E-2</v>
      </c>
      <c r="AF2488" s="845">
        <v>2.5583982202447165E-2</v>
      </c>
      <c r="AG2488" s="845">
        <v>0.95161290322580649</v>
      </c>
      <c r="AH2488" s="20" t="str">
        <f t="shared" si="187"/>
        <v>Yes</v>
      </c>
      <c r="AI2488" s="25"/>
      <c r="AJ2488" s="25"/>
      <c r="AK2488" s="25"/>
      <c r="AL2488" s="25"/>
      <c r="AM2488" s="25"/>
      <c r="AN2488" s="25"/>
      <c r="AO2488" s="25"/>
      <c r="AP2488" s="25"/>
      <c r="AQ2488" s="25"/>
      <c r="AR2488" s="25"/>
      <c r="AS2488" s="25"/>
      <c r="AT2488" s="25"/>
      <c r="AU2488" s="36"/>
      <c r="AV2488" s="36"/>
      <c r="AW2488" s="36"/>
      <c r="AX2488" s="25"/>
      <c r="AY2488" s="25"/>
      <c r="AZ2488" s="25"/>
      <c r="BA2488" s="25"/>
      <c r="BB2488" s="25"/>
      <c r="BC2488" s="25"/>
      <c r="BD2488" s="25"/>
      <c r="BE2488" s="25"/>
      <c r="BF2488" s="25"/>
      <c r="BG2488" s="25"/>
      <c r="BH2488" s="25"/>
      <c r="BI2488" s="25"/>
      <c r="BJ2488" s="25"/>
      <c r="BK2488" s="25"/>
      <c r="BL2488" s="25"/>
      <c r="BM2488" s="25"/>
      <c r="BN2488" s="25"/>
      <c r="BO2488" s="25"/>
      <c r="BP2488" s="25"/>
      <c r="BQ2488" s="25"/>
      <c r="BR2488" s="25"/>
      <c r="BS2488" s="25"/>
      <c r="BT2488" s="25"/>
      <c r="BU2488"/>
      <c r="BV2488"/>
      <c r="BW2488"/>
      <c r="BX2488"/>
      <c r="BY2488"/>
      <c r="BZ2488"/>
      <c r="CA2488"/>
      <c r="CB2488"/>
      <c r="CC2488"/>
      <c r="CD2488" s="25"/>
    </row>
    <row r="2489" spans="1:82" s="17" customFormat="1" x14ac:dyDescent="0.2">
      <c r="A2489" s="25"/>
      <c r="B2489" s="20">
        <v>39061009400</v>
      </c>
      <c r="C2489" s="20">
        <v>94</v>
      </c>
      <c r="D2489" s="20" t="s">
        <v>37</v>
      </c>
      <c r="E2489" s="20" t="s">
        <v>2828</v>
      </c>
      <c r="F2489" s="20" t="s">
        <v>6</v>
      </c>
      <c r="G2489" s="861">
        <v>36.928866678585202</v>
      </c>
      <c r="H2489" s="861">
        <v>52.920246834226198</v>
      </c>
      <c r="I2489" s="861">
        <v>72.089579749026598</v>
      </c>
      <c r="J2489" s="861">
        <v>47.918981335876602</v>
      </c>
      <c r="K2489" s="982">
        <v>0</v>
      </c>
      <c r="L2489" s="735">
        <v>1785</v>
      </c>
      <c r="M2489" s="735">
        <v>1672</v>
      </c>
      <c r="N2489" s="845">
        <f t="shared" si="185"/>
        <v>-6.3305322128851538E-2</v>
      </c>
      <c r="O2489" s="735">
        <v>0.16923745646075572</v>
      </c>
      <c r="P2489" s="735">
        <f t="shared" si="186"/>
        <v>9879.6096027815111</v>
      </c>
      <c r="Q2489" s="849">
        <v>32.299999999999997</v>
      </c>
      <c r="R2489" s="71">
        <v>36991</v>
      </c>
      <c r="S2489" s="845">
        <v>0.41208133971291866</v>
      </c>
      <c r="T2489" s="845">
        <v>0.18600000000000003</v>
      </c>
      <c r="U2489" s="845">
        <v>0</v>
      </c>
      <c r="V2489" s="845">
        <v>0</v>
      </c>
      <c r="W2489" s="845">
        <v>0.60260115606936415</v>
      </c>
      <c r="X2489" s="845">
        <v>0.38848920863309355</v>
      </c>
      <c r="Y2489" s="845">
        <v>0.29724880382775121</v>
      </c>
      <c r="Z2489" s="845">
        <v>0.43181818181818182</v>
      </c>
      <c r="AA2489" s="845">
        <v>0</v>
      </c>
      <c r="AB2489" s="845">
        <v>9.7488038277511957E-2</v>
      </c>
      <c r="AC2489" s="845">
        <v>0</v>
      </c>
      <c r="AD2489" s="845">
        <v>0.10167464114832536</v>
      </c>
      <c r="AE2489" s="845">
        <v>7.1770334928229665E-2</v>
      </c>
      <c r="AF2489" s="845">
        <v>0.23086124401913877</v>
      </c>
      <c r="AG2489" s="845">
        <v>0.26913875598086123</v>
      </c>
      <c r="AH2489" s="20" t="str">
        <f t="shared" si="187"/>
        <v>No</v>
      </c>
      <c r="AI2489" s="25"/>
      <c r="AJ2489" s="25"/>
      <c r="AK2489" s="25"/>
      <c r="AL2489" s="25"/>
      <c r="AM2489" s="25"/>
      <c r="AN2489" s="25"/>
      <c r="AO2489" s="25"/>
      <c r="AP2489" s="25"/>
      <c r="AQ2489" s="25"/>
      <c r="AR2489" s="25"/>
      <c r="AS2489" s="25"/>
      <c r="AT2489" s="25"/>
      <c r="AU2489" s="36"/>
      <c r="AV2489" s="36"/>
      <c r="AW2489" s="36"/>
      <c r="AX2489" s="25"/>
      <c r="AY2489" s="25"/>
      <c r="AZ2489" s="25"/>
      <c r="BA2489" s="25"/>
      <c r="BB2489" s="25"/>
      <c r="BC2489" s="25"/>
      <c r="BD2489" s="25"/>
      <c r="BE2489" s="25"/>
      <c r="BF2489" s="25"/>
      <c r="BG2489" s="25"/>
      <c r="BH2489" s="25"/>
      <c r="BI2489" s="25"/>
      <c r="BJ2489" s="25"/>
      <c r="BK2489" s="25"/>
      <c r="BL2489" s="25"/>
      <c r="BM2489" s="25"/>
      <c r="BN2489" s="25"/>
      <c r="BO2489" s="25"/>
      <c r="BP2489" s="25"/>
      <c r="BQ2489" s="25"/>
      <c r="BR2489" s="25"/>
      <c r="BS2489" s="25"/>
      <c r="BT2489" s="25"/>
      <c r="BU2489"/>
      <c r="BV2489"/>
      <c r="BW2489"/>
      <c r="BX2489"/>
      <c r="BY2489"/>
      <c r="BZ2489"/>
      <c r="CA2489"/>
      <c r="CB2489"/>
      <c r="CC2489"/>
      <c r="CD2489" s="25"/>
    </row>
    <row r="2490" spans="1:82" s="17" customFormat="1" x14ac:dyDescent="0.2">
      <c r="A2490" s="25"/>
      <c r="B2490" s="20">
        <v>39035124100</v>
      </c>
      <c r="C2490" s="20">
        <v>1241</v>
      </c>
      <c r="D2490" s="20" t="s">
        <v>24</v>
      </c>
      <c r="E2490" s="20" t="s">
        <v>2829</v>
      </c>
      <c r="F2490" s="20" t="s">
        <v>8</v>
      </c>
      <c r="G2490" s="861">
        <v>36.924989500170497</v>
      </c>
      <c r="H2490" s="861">
        <v>58.827600374137603</v>
      </c>
      <c r="I2490" s="861">
        <v>42.451763152895801</v>
      </c>
      <c r="J2490" s="861">
        <v>38.592417335426902</v>
      </c>
      <c r="K2490" s="982">
        <v>0</v>
      </c>
      <c r="L2490" s="735">
        <v>4920</v>
      </c>
      <c r="M2490" s="735">
        <v>5508</v>
      </c>
      <c r="N2490" s="845">
        <f t="shared" si="185"/>
        <v>0.11951219512195121</v>
      </c>
      <c r="O2490" s="735">
        <v>0.44528312525728159</v>
      </c>
      <c r="P2490" s="735">
        <f t="shared" si="186"/>
        <v>12369.658061525495</v>
      </c>
      <c r="Q2490" s="849">
        <v>34.299999999999997</v>
      </c>
      <c r="R2490" s="71">
        <v>56388</v>
      </c>
      <c r="S2490" s="845">
        <v>0.24382716049382716</v>
      </c>
      <c r="T2490" s="845">
        <v>6.5000000000000002E-2</v>
      </c>
      <c r="U2490" s="845">
        <v>0</v>
      </c>
      <c r="V2490" s="845">
        <v>0</v>
      </c>
      <c r="W2490" s="845">
        <v>0.36401028277634961</v>
      </c>
      <c r="X2490" s="845">
        <v>0.30790960451977401</v>
      </c>
      <c r="Y2490" s="845">
        <v>0.49582425562817722</v>
      </c>
      <c r="Z2490" s="845">
        <v>0.20315904139433552</v>
      </c>
      <c r="AA2490" s="845">
        <v>8.3514887436456058E-3</v>
      </c>
      <c r="AB2490" s="845">
        <v>1.8700072621641251E-2</v>
      </c>
      <c r="AC2490" s="845">
        <v>0</v>
      </c>
      <c r="AD2490" s="845">
        <v>7.5708061002178653E-2</v>
      </c>
      <c r="AE2490" s="845">
        <v>0.19825708061002179</v>
      </c>
      <c r="AF2490" s="845">
        <v>0.26633986928104575</v>
      </c>
      <c r="AG2490" s="845">
        <v>0.45515613652868553</v>
      </c>
      <c r="AH2490" s="20" t="str">
        <f t="shared" si="187"/>
        <v>No</v>
      </c>
      <c r="AI2490" s="25"/>
      <c r="AJ2490" s="25"/>
      <c r="AK2490" s="25"/>
      <c r="AL2490" s="25"/>
      <c r="AM2490" s="25"/>
      <c r="AN2490" s="25"/>
      <c r="AO2490" s="25"/>
      <c r="AP2490" s="25"/>
      <c r="AQ2490" s="25"/>
      <c r="AR2490" s="25"/>
      <c r="AS2490" s="25"/>
      <c r="AT2490" s="25"/>
      <c r="AU2490" s="36"/>
      <c r="AV2490" s="36"/>
      <c r="AW2490" s="36"/>
      <c r="AX2490" s="25"/>
      <c r="AY2490" s="25"/>
      <c r="AZ2490" s="25"/>
      <c r="BA2490" s="25"/>
      <c r="BB2490" s="25"/>
      <c r="BC2490" s="25"/>
      <c r="BD2490" s="25"/>
      <c r="BE2490" s="25"/>
      <c r="BF2490" s="25"/>
      <c r="BG2490" s="25"/>
      <c r="BH2490" s="25"/>
      <c r="BI2490" s="25"/>
      <c r="BJ2490" s="25"/>
      <c r="BK2490" s="25"/>
      <c r="BL2490" s="25"/>
      <c r="BM2490" s="25"/>
      <c r="BN2490" s="25"/>
      <c r="BO2490" s="25"/>
      <c r="BP2490" s="25"/>
      <c r="BQ2490" s="25"/>
      <c r="BR2490" s="25"/>
      <c r="BS2490" s="25"/>
      <c r="BT2490" s="25"/>
      <c r="BU2490"/>
      <c r="BV2490"/>
      <c r="BW2490"/>
      <c r="BX2490"/>
      <c r="BY2490"/>
      <c r="BZ2490"/>
      <c r="CA2490"/>
      <c r="CB2490"/>
      <c r="CC2490"/>
      <c r="CD2490" s="25"/>
    </row>
    <row r="2491" spans="1:82" s="17" customFormat="1" x14ac:dyDescent="0.2">
      <c r="A2491" s="25"/>
      <c r="B2491" s="20">
        <v>39095000301</v>
      </c>
      <c r="C2491" s="20">
        <v>3.01</v>
      </c>
      <c r="D2491" s="20" t="s">
        <v>53</v>
      </c>
      <c r="E2491" s="20" t="s">
        <v>2839</v>
      </c>
      <c r="F2491" s="20" t="s">
        <v>8</v>
      </c>
      <c r="G2491" s="861">
        <v>36.904285256513198</v>
      </c>
      <c r="H2491" s="861">
        <v>49.3386666464041</v>
      </c>
      <c r="I2491" s="861">
        <v>81.460039899301293</v>
      </c>
      <c r="J2491" s="861">
        <v>44.283085788860802</v>
      </c>
      <c r="K2491" s="982">
        <v>0</v>
      </c>
      <c r="L2491" s="735" t="s">
        <v>2466</v>
      </c>
      <c r="M2491" s="735">
        <v>2289</v>
      </c>
      <c r="N2491" s="845" t="str">
        <f t="shared" si="185"/>
        <v/>
      </c>
      <c r="O2491" s="735">
        <v>0.3460336348802775</v>
      </c>
      <c r="P2491" s="735">
        <f t="shared" si="186"/>
        <v>6614.9638915649339</v>
      </c>
      <c r="Q2491" s="849">
        <v>39.200000000000003</v>
      </c>
      <c r="R2491" s="71">
        <v>45540</v>
      </c>
      <c r="S2491" s="845">
        <v>0.23779385171790235</v>
      </c>
      <c r="T2491" s="845">
        <v>0.109</v>
      </c>
      <c r="U2491" s="845">
        <v>0</v>
      </c>
      <c r="V2491" s="845">
        <v>0.105</v>
      </c>
      <c r="W2491" s="845">
        <v>0.64450354609929073</v>
      </c>
      <c r="X2491" s="845">
        <v>0.50068775790921594</v>
      </c>
      <c r="Y2491" s="845">
        <v>0.54740061162079512</v>
      </c>
      <c r="Z2491" s="845">
        <v>0.36260375709916992</v>
      </c>
      <c r="AA2491" s="845">
        <v>0</v>
      </c>
      <c r="AB2491" s="845">
        <v>0</v>
      </c>
      <c r="AC2491" s="845">
        <v>0</v>
      </c>
      <c r="AD2491" s="845">
        <v>1.3979903888160769E-2</v>
      </c>
      <c r="AE2491" s="845">
        <v>7.6015727391874177E-2</v>
      </c>
      <c r="AF2491" s="845">
        <v>5.9851463521188294E-2</v>
      </c>
      <c r="AG2491" s="845">
        <v>0.54041065967671476</v>
      </c>
      <c r="AH2491" s="20" t="str">
        <f t="shared" si="187"/>
        <v>No</v>
      </c>
      <c r="AI2491" s="25"/>
      <c r="AJ2491" s="25"/>
      <c r="AK2491" s="25"/>
      <c r="AL2491" s="25"/>
      <c r="AM2491" s="25"/>
      <c r="AN2491" s="25"/>
      <c r="AO2491" s="25"/>
      <c r="AP2491" s="25"/>
      <c r="AQ2491" s="25"/>
      <c r="AR2491" s="25"/>
      <c r="AS2491" s="25"/>
      <c r="AT2491" s="25"/>
      <c r="AU2491" s="36"/>
      <c r="AV2491" s="36"/>
      <c r="AW2491" s="36"/>
      <c r="AX2491" s="25"/>
      <c r="AY2491" s="25"/>
      <c r="AZ2491" s="25"/>
      <c r="BA2491" s="25"/>
      <c r="BB2491" s="25"/>
      <c r="BC2491" s="25"/>
      <c r="BD2491" s="25"/>
      <c r="BE2491" s="25"/>
      <c r="BF2491" s="25"/>
      <c r="BG2491" s="25"/>
      <c r="BH2491" s="25"/>
      <c r="BI2491" s="25"/>
      <c r="BJ2491" s="25"/>
      <c r="BK2491" s="25"/>
      <c r="BL2491" s="25"/>
      <c r="BM2491" s="25"/>
      <c r="BN2491" s="25"/>
      <c r="BO2491" s="25"/>
      <c r="BP2491" s="25"/>
      <c r="BQ2491" s="25"/>
      <c r="BR2491" s="25"/>
      <c r="BS2491" s="25"/>
      <c r="BT2491" s="25"/>
      <c r="BU2491"/>
      <c r="BV2491"/>
      <c r="BW2491"/>
      <c r="BX2491"/>
      <c r="BY2491"/>
      <c r="BZ2491"/>
      <c r="CA2491"/>
      <c r="CB2491"/>
      <c r="CC2491"/>
      <c r="CD2491" s="25"/>
    </row>
    <row r="2492" spans="1:82" s="17" customFormat="1" x14ac:dyDescent="0.2">
      <c r="A2492" s="25"/>
      <c r="B2492" s="20">
        <v>39095009104</v>
      </c>
      <c r="C2492" s="20">
        <v>91.04</v>
      </c>
      <c r="D2492" s="20" t="s">
        <v>53</v>
      </c>
      <c r="E2492" s="20" t="s">
        <v>2839</v>
      </c>
      <c r="F2492" s="20" t="s">
        <v>8</v>
      </c>
      <c r="G2492" s="861">
        <v>36.893096791936102</v>
      </c>
      <c r="H2492" s="861">
        <v>42.879011511909901</v>
      </c>
      <c r="I2492" s="861">
        <v>37.974681536710598</v>
      </c>
      <c r="J2492" s="861">
        <v>13.7558437981289</v>
      </c>
      <c r="K2492" s="982">
        <v>0</v>
      </c>
      <c r="L2492" s="735" t="s">
        <v>2466</v>
      </c>
      <c r="M2492" s="735">
        <v>2501</v>
      </c>
      <c r="N2492" s="845" t="str">
        <f t="shared" si="185"/>
        <v/>
      </c>
      <c r="O2492" s="735">
        <v>6.8881435907441295</v>
      </c>
      <c r="P2492" s="735">
        <f t="shared" si="186"/>
        <v>363.08766898539869</v>
      </c>
      <c r="Q2492" s="849">
        <v>34.5</v>
      </c>
      <c r="R2492" s="71">
        <v>69741</v>
      </c>
      <c r="S2492" s="845">
        <v>0.23160992013451029</v>
      </c>
      <c r="T2492" s="845">
        <v>9.4E-2</v>
      </c>
      <c r="U2492" s="845">
        <v>0</v>
      </c>
      <c r="V2492" s="845">
        <v>0</v>
      </c>
      <c r="W2492" s="845">
        <v>0.37951807228915663</v>
      </c>
      <c r="X2492" s="845">
        <v>0.54603174603174598</v>
      </c>
      <c r="Y2492" s="845">
        <v>0.88924430227908835</v>
      </c>
      <c r="Z2492" s="845">
        <v>4.9580167932826873E-2</v>
      </c>
      <c r="AA2492" s="845">
        <v>7.5969612155137945E-3</v>
      </c>
      <c r="AB2492" s="845">
        <v>4.3982407037185126E-3</v>
      </c>
      <c r="AC2492" s="845">
        <v>0</v>
      </c>
      <c r="AD2492" s="845">
        <v>0</v>
      </c>
      <c r="AE2492" s="845">
        <v>4.9180327868852458E-2</v>
      </c>
      <c r="AF2492" s="845">
        <v>5.7576969212315074E-2</v>
      </c>
      <c r="AG2492" s="845">
        <v>0.85845661735305878</v>
      </c>
      <c r="AH2492" s="20" t="str">
        <f t="shared" si="187"/>
        <v>No</v>
      </c>
      <c r="AI2492" s="25"/>
      <c r="AJ2492" s="25"/>
      <c r="AK2492" s="25"/>
      <c r="AL2492" s="25"/>
      <c r="AM2492" s="25"/>
      <c r="AN2492" s="25"/>
      <c r="AO2492" s="25"/>
      <c r="AP2492" s="25"/>
      <c r="AQ2492" s="25"/>
      <c r="AR2492" s="25"/>
      <c r="AS2492" s="25"/>
      <c r="AT2492" s="25"/>
      <c r="AU2492" s="36"/>
      <c r="AV2492" s="36"/>
      <c r="AW2492" s="36"/>
      <c r="AX2492" s="25"/>
      <c r="AY2492" s="25"/>
      <c r="AZ2492" s="25"/>
      <c r="BA2492" s="25"/>
      <c r="BB2492" s="25"/>
      <c r="BC2492" s="25"/>
      <c r="BD2492" s="25"/>
      <c r="BE2492" s="25"/>
      <c r="BF2492" s="25"/>
      <c r="BG2492" s="25"/>
      <c r="BH2492" s="25"/>
      <c r="BI2492" s="25"/>
      <c r="BJ2492" s="25"/>
      <c r="BK2492" s="25"/>
      <c r="BL2492" s="25"/>
      <c r="BM2492" s="25"/>
      <c r="BN2492" s="25"/>
      <c r="BO2492" s="25"/>
      <c r="BP2492" s="25"/>
      <c r="BQ2492" s="25"/>
      <c r="BR2492" s="25"/>
      <c r="BS2492" s="25"/>
      <c r="BT2492" s="25"/>
      <c r="BU2492"/>
      <c r="BV2492"/>
      <c r="BW2492"/>
      <c r="BX2492"/>
      <c r="BY2492"/>
      <c r="BZ2492"/>
      <c r="CA2492"/>
      <c r="CB2492"/>
      <c r="CC2492"/>
      <c r="CD2492" s="25"/>
    </row>
    <row r="2493" spans="1:82" s="17" customFormat="1" x14ac:dyDescent="0.2">
      <c r="A2493" s="25"/>
      <c r="B2493" s="20">
        <v>39169000500</v>
      </c>
      <c r="C2493" s="20">
        <v>5</v>
      </c>
      <c r="D2493" s="20" t="s">
        <v>90</v>
      </c>
      <c r="E2493" s="20" t="s">
        <v>265</v>
      </c>
      <c r="F2493" s="20" t="s">
        <v>8</v>
      </c>
      <c r="G2493" s="861">
        <v>36.887990471564997</v>
      </c>
      <c r="H2493" s="861">
        <v>45.494770646431398</v>
      </c>
      <c r="I2493" s="861">
        <v>31.6991893945847</v>
      </c>
      <c r="J2493" s="861">
        <v>44.826135103666203</v>
      </c>
      <c r="K2493" s="982">
        <v>0</v>
      </c>
      <c r="L2493" s="735">
        <v>4114</v>
      </c>
      <c r="M2493" s="735">
        <v>4286</v>
      </c>
      <c r="N2493" s="845">
        <f t="shared" si="185"/>
        <v>4.1808458920758386E-2</v>
      </c>
      <c r="O2493" s="735">
        <v>10.712883542928697</v>
      </c>
      <c r="P2493" s="735">
        <f t="shared" si="186"/>
        <v>400.07902473924304</v>
      </c>
      <c r="Q2493" s="849">
        <v>24</v>
      </c>
      <c r="R2493" s="71">
        <v>62031</v>
      </c>
      <c r="S2493" s="845">
        <v>8.882428940568475E-2</v>
      </c>
      <c r="T2493" s="845">
        <v>4.2000000000000003E-2</v>
      </c>
      <c r="U2493" s="845">
        <v>0</v>
      </c>
      <c r="V2493" s="845">
        <v>7.8E-2</v>
      </c>
      <c r="W2493" s="845">
        <v>0.40671641791044777</v>
      </c>
      <c r="X2493" s="845">
        <v>0.26788990825688075</v>
      </c>
      <c r="Y2493" s="845">
        <v>0.8971068595426972</v>
      </c>
      <c r="Z2493" s="845">
        <v>3.0097993467102194E-2</v>
      </c>
      <c r="AA2493" s="845">
        <v>0</v>
      </c>
      <c r="AB2493" s="845">
        <v>2.3331777881474567E-3</v>
      </c>
      <c r="AC2493" s="845">
        <v>0</v>
      </c>
      <c r="AD2493" s="845">
        <v>0</v>
      </c>
      <c r="AE2493" s="845">
        <v>7.0461969202053193E-2</v>
      </c>
      <c r="AF2493" s="845">
        <v>5.3196453569762013E-2</v>
      </c>
      <c r="AG2493" s="845">
        <v>0.87820811945870281</v>
      </c>
      <c r="AH2493" s="20" t="str">
        <f t="shared" si="187"/>
        <v>No</v>
      </c>
      <c r="AI2493" s="25"/>
      <c r="AJ2493" s="25"/>
      <c r="AK2493" s="25"/>
      <c r="AL2493" s="25"/>
      <c r="AM2493" s="25"/>
      <c r="AN2493" s="25"/>
      <c r="AO2493" s="25"/>
      <c r="AP2493" s="25"/>
      <c r="AQ2493" s="25"/>
      <c r="AR2493" s="25"/>
      <c r="AS2493" s="25"/>
      <c r="AT2493" s="25"/>
      <c r="AU2493" s="36"/>
      <c r="AV2493" s="36"/>
      <c r="AW2493" s="36"/>
      <c r="AX2493" s="25"/>
      <c r="AY2493" s="25"/>
      <c r="AZ2493" s="25"/>
      <c r="BA2493" s="25"/>
      <c r="BB2493" s="25"/>
      <c r="BC2493" s="25"/>
      <c r="BD2493" s="25"/>
      <c r="BE2493" s="25"/>
      <c r="BF2493" s="25"/>
      <c r="BG2493" s="25"/>
      <c r="BH2493" s="25"/>
      <c r="BI2493" s="25"/>
      <c r="BJ2493" s="25"/>
      <c r="BK2493" s="25"/>
      <c r="BL2493" s="25"/>
      <c r="BM2493" s="25"/>
      <c r="BN2493" s="25"/>
      <c r="BO2493" s="25"/>
      <c r="BP2493" s="25"/>
      <c r="BQ2493" s="25"/>
      <c r="BR2493" s="25"/>
      <c r="BS2493" s="25"/>
      <c r="BT2493" s="25"/>
      <c r="BU2493"/>
      <c r="BV2493"/>
      <c r="BW2493"/>
      <c r="BX2493"/>
      <c r="BY2493"/>
      <c r="BZ2493"/>
      <c r="CA2493"/>
      <c r="CB2493"/>
      <c r="CC2493"/>
      <c r="CD2493" s="25"/>
    </row>
    <row r="2494" spans="1:82" s="17" customFormat="1" x14ac:dyDescent="0.2">
      <c r="A2494" s="25"/>
      <c r="B2494" s="20">
        <v>39061009200</v>
      </c>
      <c r="C2494" s="20">
        <v>92</v>
      </c>
      <c r="D2494" s="20" t="s">
        <v>37</v>
      </c>
      <c r="E2494" s="20" t="s">
        <v>2828</v>
      </c>
      <c r="F2494" s="20" t="s">
        <v>6</v>
      </c>
      <c r="G2494" s="861">
        <v>36.8224730710104</v>
      </c>
      <c r="H2494" s="861">
        <v>67.271951040469403</v>
      </c>
      <c r="I2494" s="861">
        <v>53.277067773202198</v>
      </c>
      <c r="J2494" s="861">
        <v>54.961677758300198</v>
      </c>
      <c r="K2494" s="982">
        <v>0</v>
      </c>
      <c r="L2494" s="735">
        <v>3877</v>
      </c>
      <c r="M2494" s="735">
        <v>4532</v>
      </c>
      <c r="N2494" s="845">
        <f t="shared" si="185"/>
        <v>0.16894506061387671</v>
      </c>
      <c r="O2494" s="735">
        <v>1.201833316524376</v>
      </c>
      <c r="P2494" s="735">
        <f t="shared" si="186"/>
        <v>3770.9056136888016</v>
      </c>
      <c r="Q2494" s="849">
        <v>25.7</v>
      </c>
      <c r="R2494" s="71">
        <v>39688</v>
      </c>
      <c r="S2494" s="845">
        <v>0.38449473448353128</v>
      </c>
      <c r="T2494" s="845">
        <v>0.04</v>
      </c>
      <c r="U2494" s="845">
        <v>0</v>
      </c>
      <c r="V2494" s="845">
        <v>5.9000000000000004E-2</v>
      </c>
      <c r="W2494" s="845">
        <v>0.65214899713467045</v>
      </c>
      <c r="X2494" s="845">
        <v>0.49560632688927941</v>
      </c>
      <c r="Y2494" s="845">
        <v>0.38217122683142102</v>
      </c>
      <c r="Z2494" s="845">
        <v>0.40864960282436008</v>
      </c>
      <c r="AA2494" s="845">
        <v>0</v>
      </c>
      <c r="AB2494" s="845">
        <v>1.6769638128861428E-2</v>
      </c>
      <c r="AC2494" s="845">
        <v>0</v>
      </c>
      <c r="AD2494" s="845">
        <v>8.5613415710503085E-2</v>
      </c>
      <c r="AE2494" s="845">
        <v>0.10679611650485436</v>
      </c>
      <c r="AF2494" s="845">
        <v>0.28199470432480139</v>
      </c>
      <c r="AG2494" s="845">
        <v>0.22969991173874668</v>
      </c>
      <c r="AH2494" s="20" t="str">
        <f t="shared" si="187"/>
        <v>No</v>
      </c>
      <c r="AI2494" s="25"/>
      <c r="AJ2494" s="25"/>
      <c r="AK2494" s="25"/>
      <c r="AL2494" s="25"/>
      <c r="AM2494" s="25"/>
      <c r="AN2494" s="25"/>
      <c r="AO2494" s="25"/>
      <c r="AP2494" s="25"/>
      <c r="AQ2494" s="25"/>
      <c r="AR2494" s="25"/>
      <c r="AS2494" s="25"/>
      <c r="AT2494" s="25"/>
      <c r="AU2494" s="36"/>
      <c r="AV2494" s="36"/>
      <c r="AW2494" s="36"/>
      <c r="AX2494" s="25"/>
      <c r="AY2494" s="25"/>
      <c r="AZ2494" s="25"/>
      <c r="BA2494" s="25"/>
      <c r="BB2494" s="25"/>
      <c r="BC2494" s="25"/>
      <c r="BD2494" s="25"/>
      <c r="BE2494" s="25"/>
      <c r="BF2494" s="25"/>
      <c r="BG2494" s="25"/>
      <c r="BH2494" s="25"/>
      <c r="BI2494" s="25"/>
      <c r="BJ2494" s="25"/>
      <c r="BK2494" s="25"/>
      <c r="BL2494" s="25"/>
      <c r="BM2494" s="25"/>
      <c r="BN2494" s="25"/>
      <c r="BO2494" s="25"/>
      <c r="BP2494" s="25"/>
      <c r="BQ2494" s="25"/>
      <c r="BR2494" s="25"/>
      <c r="BS2494" s="25"/>
      <c r="BT2494" s="25"/>
      <c r="BU2494"/>
      <c r="BV2494"/>
      <c r="BW2494"/>
      <c r="BX2494"/>
      <c r="BY2494"/>
      <c r="BZ2494"/>
      <c r="CA2494"/>
      <c r="CB2494"/>
      <c r="CC2494"/>
      <c r="CD2494" s="25"/>
    </row>
    <row r="2495" spans="1:82" s="17" customFormat="1" x14ac:dyDescent="0.2">
      <c r="A2495" s="25"/>
      <c r="B2495" s="20">
        <v>39099812605</v>
      </c>
      <c r="C2495" s="20">
        <v>8126.05</v>
      </c>
      <c r="D2495" s="20" t="s">
        <v>55</v>
      </c>
      <c r="E2495" s="20" t="s">
        <v>2842</v>
      </c>
      <c r="F2495" s="20" t="s">
        <v>8</v>
      </c>
      <c r="G2495" s="861">
        <v>36.800864378525297</v>
      </c>
      <c r="H2495" s="861">
        <v>37.5141446838606</v>
      </c>
      <c r="I2495" s="861">
        <v>13.655361349812701</v>
      </c>
      <c r="J2495" s="861">
        <v>43.488301543669898</v>
      </c>
      <c r="K2495" s="982">
        <v>0</v>
      </c>
      <c r="L2495" s="735" t="s">
        <v>2466</v>
      </c>
      <c r="M2495" s="735">
        <v>2501</v>
      </c>
      <c r="N2495" s="845" t="str">
        <f t="shared" si="185"/>
        <v/>
      </c>
      <c r="O2495" s="735">
        <v>5.2177702854396504</v>
      </c>
      <c r="P2495" s="735">
        <f t="shared" si="186"/>
        <v>479.32351621134376</v>
      </c>
      <c r="Q2495" s="849">
        <v>49.5</v>
      </c>
      <c r="R2495" s="71">
        <v>93317</v>
      </c>
      <c r="S2495" s="845">
        <v>5.0379848060775688E-2</v>
      </c>
      <c r="T2495" s="845">
        <v>4.8000000000000001E-2</v>
      </c>
      <c r="U2495" s="845">
        <v>0</v>
      </c>
      <c r="V2495" s="845">
        <v>0</v>
      </c>
      <c r="W2495" s="845">
        <v>4.2515500442869794E-2</v>
      </c>
      <c r="X2495" s="845">
        <v>0</v>
      </c>
      <c r="Y2495" s="845">
        <v>0.92562974810075971</v>
      </c>
      <c r="Z2495" s="845">
        <v>0</v>
      </c>
      <c r="AA2495" s="845">
        <v>0</v>
      </c>
      <c r="AB2495" s="845">
        <v>0</v>
      </c>
      <c r="AC2495" s="845">
        <v>0</v>
      </c>
      <c r="AD2495" s="845">
        <v>2.6789284286285485E-2</v>
      </c>
      <c r="AE2495" s="845">
        <v>4.7580967612954821E-2</v>
      </c>
      <c r="AF2495" s="845">
        <v>0.11955217912834866</v>
      </c>
      <c r="AG2495" s="845">
        <v>0.85645741703318667</v>
      </c>
      <c r="AH2495" s="20" t="str">
        <f t="shared" si="187"/>
        <v>No</v>
      </c>
      <c r="AI2495" s="25"/>
      <c r="AJ2495" s="25"/>
      <c r="AK2495" s="25"/>
      <c r="AL2495" s="25"/>
      <c r="AM2495" s="25"/>
      <c r="AN2495" s="25"/>
      <c r="AO2495" s="25"/>
      <c r="AP2495" s="25"/>
      <c r="AQ2495" s="25"/>
      <c r="AR2495" s="25"/>
      <c r="AS2495" s="25"/>
      <c r="AT2495" s="25"/>
      <c r="AU2495" s="36"/>
      <c r="AV2495" s="36"/>
      <c r="AW2495" s="36"/>
      <c r="AX2495" s="25"/>
      <c r="AY2495" s="25"/>
      <c r="AZ2495" s="25"/>
      <c r="BA2495" s="25"/>
      <c r="BB2495" s="25"/>
      <c r="BC2495" s="25"/>
      <c r="BD2495" s="25"/>
      <c r="BE2495" s="25"/>
      <c r="BF2495" s="25"/>
      <c r="BG2495" s="25"/>
      <c r="BH2495" s="25"/>
      <c r="BI2495" s="25"/>
      <c r="BJ2495" s="25"/>
      <c r="BK2495" s="25"/>
      <c r="BL2495" s="25"/>
      <c r="BM2495" s="25"/>
      <c r="BN2495" s="25"/>
      <c r="BO2495" s="25"/>
      <c r="BP2495" s="25"/>
      <c r="BQ2495" s="25"/>
      <c r="BR2495" s="25"/>
      <c r="BS2495" s="25"/>
      <c r="BT2495" s="25"/>
      <c r="BU2495"/>
      <c r="BV2495"/>
      <c r="BW2495"/>
      <c r="BX2495"/>
      <c r="BY2495"/>
      <c r="BZ2495"/>
      <c r="CA2495"/>
      <c r="CB2495"/>
      <c r="CC2495"/>
      <c r="CD2495" s="25"/>
    </row>
    <row r="2496" spans="1:82" s="17" customFormat="1" x14ac:dyDescent="0.2">
      <c r="A2496" s="25"/>
      <c r="B2496" s="20">
        <v>39095003902</v>
      </c>
      <c r="C2496" s="20">
        <v>39.020000000000003</v>
      </c>
      <c r="D2496" s="20" t="s">
        <v>53</v>
      </c>
      <c r="E2496" s="20" t="s">
        <v>2839</v>
      </c>
      <c r="F2496" s="20" t="s">
        <v>8</v>
      </c>
      <c r="G2496" s="861">
        <v>36.794532723035601</v>
      </c>
      <c r="H2496" s="861">
        <v>54.641482203260601</v>
      </c>
      <c r="I2496" s="861">
        <v>47.794156290335501</v>
      </c>
      <c r="J2496" s="861">
        <v>31.034879690141999</v>
      </c>
      <c r="K2496" s="982">
        <v>0</v>
      </c>
      <c r="L2496" s="735" t="s">
        <v>2466</v>
      </c>
      <c r="M2496" s="735">
        <v>1996</v>
      </c>
      <c r="N2496" s="845" t="str">
        <f t="shared" si="185"/>
        <v/>
      </c>
      <c r="O2496" s="735">
        <v>0.34149732061897381</v>
      </c>
      <c r="P2496" s="735">
        <f t="shared" si="186"/>
        <v>5844.8482008063547</v>
      </c>
      <c r="Q2496" s="849">
        <v>36.700000000000003</v>
      </c>
      <c r="R2496" s="71">
        <v>39976</v>
      </c>
      <c r="S2496" s="845">
        <v>0.13264248704663212</v>
      </c>
      <c r="T2496" s="845">
        <v>0</v>
      </c>
      <c r="U2496" s="845">
        <v>0</v>
      </c>
      <c r="V2496" s="845">
        <v>8.8000000000000009E-2</v>
      </c>
      <c r="W2496" s="845">
        <v>0.36507936507936506</v>
      </c>
      <c r="X2496" s="845">
        <v>0.40468227424749165</v>
      </c>
      <c r="Y2496" s="845">
        <v>0.48747494989979961</v>
      </c>
      <c r="Z2496" s="845">
        <v>0.25250501002004005</v>
      </c>
      <c r="AA2496" s="845">
        <v>1.002004008016032E-3</v>
      </c>
      <c r="AB2496" s="845">
        <v>2.9559118236472944E-2</v>
      </c>
      <c r="AC2496" s="845">
        <v>0</v>
      </c>
      <c r="AD2496" s="845">
        <v>8.6673346693386777E-2</v>
      </c>
      <c r="AE2496" s="845">
        <v>0.14278557114228457</v>
      </c>
      <c r="AF2496" s="845">
        <v>0.26402805611222446</v>
      </c>
      <c r="AG2496" s="845">
        <v>0.45040080160320639</v>
      </c>
      <c r="AH2496" s="20" t="str">
        <f t="shared" si="187"/>
        <v>No</v>
      </c>
      <c r="AI2496" s="25"/>
      <c r="AJ2496" s="25"/>
      <c r="AK2496" s="25"/>
      <c r="AL2496" s="25"/>
      <c r="AM2496" s="25"/>
      <c r="AN2496" s="25"/>
      <c r="AO2496" s="25"/>
      <c r="AP2496" s="25"/>
      <c r="AQ2496" s="25"/>
      <c r="AR2496" s="25"/>
      <c r="AS2496" s="25"/>
      <c r="AT2496" s="25"/>
      <c r="AU2496" s="36"/>
      <c r="AV2496" s="36"/>
      <c r="AW2496" s="36"/>
      <c r="AX2496" s="25"/>
      <c r="AY2496" s="25"/>
      <c r="AZ2496" s="25"/>
      <c r="BA2496" s="25"/>
      <c r="BB2496" s="25"/>
      <c r="BC2496" s="25"/>
      <c r="BD2496" s="25"/>
      <c r="BE2496" s="25"/>
      <c r="BF2496" s="25"/>
      <c r="BG2496" s="25"/>
      <c r="BH2496" s="25"/>
      <c r="BI2496" s="25"/>
      <c r="BJ2496" s="25"/>
      <c r="BK2496" s="25"/>
      <c r="BL2496" s="25"/>
      <c r="BM2496" s="25"/>
      <c r="BN2496" s="25"/>
      <c r="BO2496" s="25"/>
      <c r="BP2496" s="25"/>
      <c r="BQ2496" s="25"/>
      <c r="BR2496" s="25"/>
      <c r="BS2496" s="25"/>
      <c r="BT2496" s="25"/>
      <c r="BU2496"/>
      <c r="BV2496"/>
      <c r="BW2496"/>
      <c r="BX2496"/>
      <c r="BY2496"/>
      <c r="BZ2496"/>
      <c r="CA2496"/>
      <c r="CB2496"/>
      <c r="CC2496"/>
      <c r="CD2496" s="25"/>
    </row>
    <row r="2497" spans="1:82" s="17" customFormat="1" x14ac:dyDescent="0.2">
      <c r="A2497" s="25"/>
      <c r="B2497" s="20">
        <v>39095003200</v>
      </c>
      <c r="C2497" s="20">
        <v>32</v>
      </c>
      <c r="D2497" s="20" t="s">
        <v>53</v>
      </c>
      <c r="E2497" s="20" t="s">
        <v>2839</v>
      </c>
      <c r="F2497" s="20" t="s">
        <v>8</v>
      </c>
      <c r="G2497" s="861">
        <v>36.780692075298496</v>
      </c>
      <c r="H2497" s="861">
        <v>31.133883946316899</v>
      </c>
      <c r="I2497" s="861">
        <v>86.0982200626881</v>
      </c>
      <c r="J2497" s="861">
        <v>50.389561222483501</v>
      </c>
      <c r="K2497" s="982">
        <v>0</v>
      </c>
      <c r="L2497" s="735">
        <v>1390</v>
      </c>
      <c r="M2497" s="735">
        <v>792</v>
      </c>
      <c r="N2497" s="845">
        <f t="shared" si="185"/>
        <v>-0.43021582733812952</v>
      </c>
      <c r="O2497" s="735">
        <v>0.29921836204877406</v>
      </c>
      <c r="P2497" s="735">
        <f t="shared" si="186"/>
        <v>2646.8963822176802</v>
      </c>
      <c r="Q2497" s="849">
        <v>49.6</v>
      </c>
      <c r="R2497" s="71">
        <v>26643</v>
      </c>
      <c r="S2497" s="845">
        <v>0.4255050505050505</v>
      </c>
      <c r="T2497" s="845">
        <v>3.6000000000000004E-2</v>
      </c>
      <c r="U2497" s="845">
        <v>0</v>
      </c>
      <c r="V2497" s="845">
        <v>0</v>
      </c>
      <c r="W2497" s="845">
        <v>0.40384615384615385</v>
      </c>
      <c r="X2497" s="845">
        <v>0.24338624338624337</v>
      </c>
      <c r="Y2497" s="845">
        <v>4.5454545454545456E-2</v>
      </c>
      <c r="Z2497" s="845">
        <v>0.95328282828282829</v>
      </c>
      <c r="AA2497" s="845">
        <v>0</v>
      </c>
      <c r="AB2497" s="845">
        <v>0</v>
      </c>
      <c r="AC2497" s="845">
        <v>1.2626262626262627E-3</v>
      </c>
      <c r="AD2497" s="845">
        <v>0</v>
      </c>
      <c r="AE2497" s="845">
        <v>0</v>
      </c>
      <c r="AF2497" s="845">
        <v>6.691919191919192E-2</v>
      </c>
      <c r="AG2497" s="845">
        <v>4.5454545454545456E-2</v>
      </c>
      <c r="AH2497" s="20" t="str">
        <f t="shared" si="187"/>
        <v>No</v>
      </c>
      <c r="AI2497" s="25"/>
      <c r="AJ2497" s="25"/>
      <c r="AK2497" s="25"/>
      <c r="AL2497" s="25"/>
      <c r="AM2497" s="25"/>
      <c r="AN2497" s="25"/>
      <c r="AO2497" s="25"/>
      <c r="AP2497" s="25"/>
      <c r="AQ2497" s="25"/>
      <c r="AR2497" s="25"/>
      <c r="AS2497" s="25"/>
      <c r="AT2497" s="25"/>
      <c r="AU2497" s="36"/>
      <c r="AV2497" s="36"/>
      <c r="AW2497" s="36"/>
      <c r="AX2497" s="25"/>
      <c r="AY2497" s="25"/>
      <c r="AZ2497" s="25"/>
      <c r="BA2497" s="25"/>
      <c r="BB2497" s="25"/>
      <c r="BC2497" s="25"/>
      <c r="BD2497" s="25"/>
      <c r="BE2497" s="25"/>
      <c r="BF2497" s="25"/>
      <c r="BG2497" s="25"/>
      <c r="BH2497" s="25"/>
      <c r="BI2497" s="25"/>
      <c r="BJ2497" s="25"/>
      <c r="BK2497" s="25"/>
      <c r="BL2497" s="25"/>
      <c r="BM2497" s="25"/>
      <c r="BN2497" s="25"/>
      <c r="BO2497" s="25"/>
      <c r="BP2497" s="25"/>
      <c r="BQ2497" s="25"/>
      <c r="BR2497" s="25"/>
      <c r="BS2497" s="25"/>
      <c r="BT2497" s="25"/>
      <c r="BU2497"/>
      <c r="BV2497"/>
      <c r="BW2497"/>
      <c r="BX2497"/>
      <c r="BY2497"/>
      <c r="BZ2497"/>
      <c r="CA2497"/>
      <c r="CB2497"/>
      <c r="CC2497"/>
      <c r="CD2497" s="25"/>
    </row>
    <row r="2498" spans="1:82" s="17" customFormat="1" x14ac:dyDescent="0.2">
      <c r="A2498" s="25"/>
      <c r="B2498" s="20">
        <v>39087050100</v>
      </c>
      <c r="C2498" s="20">
        <v>501</v>
      </c>
      <c r="D2498" s="20" t="s">
        <v>49</v>
      </c>
      <c r="E2498" s="20" t="s">
        <v>2834</v>
      </c>
      <c r="F2498" s="20" t="s">
        <v>8</v>
      </c>
      <c r="G2498" s="861">
        <v>36.7498449472142</v>
      </c>
      <c r="H2498" s="861">
        <v>45.009424672859303</v>
      </c>
      <c r="I2498" s="861">
        <v>44.006241845694902</v>
      </c>
      <c r="J2498" s="861">
        <v>23.831589185453499</v>
      </c>
      <c r="K2498" s="982">
        <v>0</v>
      </c>
      <c r="L2498" s="735">
        <v>2375</v>
      </c>
      <c r="M2498" s="735">
        <v>2582</v>
      </c>
      <c r="N2498" s="845">
        <f t="shared" si="185"/>
        <v>8.7157894736842101E-2</v>
      </c>
      <c r="O2498" s="735">
        <v>0.89642535077120489</v>
      </c>
      <c r="P2498" s="735">
        <f t="shared" si="186"/>
        <v>2880.3290734456318</v>
      </c>
      <c r="Q2498" s="849">
        <v>41.3</v>
      </c>
      <c r="R2498" s="71">
        <v>50588</v>
      </c>
      <c r="S2498" s="845">
        <v>0.27435133985538068</v>
      </c>
      <c r="T2498" s="845">
        <v>4.0999999999999995E-2</v>
      </c>
      <c r="U2498" s="845">
        <v>0.05</v>
      </c>
      <c r="V2498" s="845">
        <v>0</v>
      </c>
      <c r="W2498" s="845">
        <v>0.31578947368421051</v>
      </c>
      <c r="X2498" s="845">
        <v>9.7222222222222224E-2</v>
      </c>
      <c r="Y2498" s="845">
        <v>0.96204492641363282</v>
      </c>
      <c r="Z2498" s="845">
        <v>2.0914020139426802E-2</v>
      </c>
      <c r="AA2498" s="845">
        <v>0</v>
      </c>
      <c r="AB2498" s="845">
        <v>0</v>
      </c>
      <c r="AC2498" s="845">
        <v>0</v>
      </c>
      <c r="AD2498" s="845">
        <v>0</v>
      </c>
      <c r="AE2498" s="845">
        <v>1.7041053446940357E-2</v>
      </c>
      <c r="AF2498" s="845">
        <v>0</v>
      </c>
      <c r="AG2498" s="845">
        <v>0.96204492641363282</v>
      </c>
      <c r="AH2498" s="20" t="str">
        <f t="shared" si="187"/>
        <v>Yes</v>
      </c>
      <c r="AI2498" s="25"/>
      <c r="AJ2498" s="25"/>
      <c r="AK2498" s="25"/>
      <c r="AL2498" s="25"/>
      <c r="AM2498" s="25"/>
      <c r="AN2498" s="25"/>
      <c r="AO2498" s="25"/>
      <c r="AP2498" s="25"/>
      <c r="AQ2498" s="25"/>
      <c r="AR2498" s="25"/>
      <c r="AS2498" s="25"/>
      <c r="AT2498" s="25"/>
      <c r="AU2498" s="36"/>
      <c r="AV2498" s="36"/>
      <c r="AW2498" s="36"/>
      <c r="AX2498" s="25"/>
      <c r="AY2498" s="25"/>
      <c r="AZ2498" s="25"/>
      <c r="BA2498" s="25"/>
      <c r="BB2498" s="25"/>
      <c r="BC2498" s="25"/>
      <c r="BD2498" s="25"/>
      <c r="BE2498" s="25"/>
      <c r="BF2498" s="25"/>
      <c r="BG2498" s="25"/>
      <c r="BH2498" s="25"/>
      <c r="BI2498" s="25"/>
      <c r="BJ2498" s="25"/>
      <c r="BK2498" s="25"/>
      <c r="BL2498" s="25"/>
      <c r="BM2498" s="25"/>
      <c r="BN2498" s="25"/>
      <c r="BO2498" s="25"/>
      <c r="BP2498" s="25"/>
      <c r="BQ2498" s="25"/>
      <c r="BR2498" s="25"/>
      <c r="BS2498" s="25"/>
      <c r="BT2498" s="25"/>
      <c r="BU2498"/>
      <c r="BV2498"/>
      <c r="BW2498"/>
      <c r="BX2498"/>
      <c r="BY2498"/>
      <c r="BZ2498"/>
      <c r="CA2498"/>
      <c r="CB2498"/>
      <c r="CC2498"/>
      <c r="CD2498" s="25"/>
    </row>
    <row r="2499" spans="1:82" s="17" customFormat="1" x14ac:dyDescent="0.2">
      <c r="A2499" s="25"/>
      <c r="B2499" s="20">
        <v>39151714100</v>
      </c>
      <c r="C2499" s="20">
        <v>7141</v>
      </c>
      <c r="D2499" s="20" t="s">
        <v>81</v>
      </c>
      <c r="E2499" s="20" t="s">
        <v>2844</v>
      </c>
      <c r="F2499" s="20" t="s">
        <v>8</v>
      </c>
      <c r="G2499" s="861">
        <v>36.744198335645898</v>
      </c>
      <c r="H2499" s="861">
        <v>47.399656352971299</v>
      </c>
      <c r="I2499" s="861">
        <v>41.388926814365597</v>
      </c>
      <c r="J2499" s="861">
        <v>34.780285085549401</v>
      </c>
      <c r="K2499" s="982">
        <v>0</v>
      </c>
      <c r="L2499" s="735">
        <v>3564</v>
      </c>
      <c r="M2499" s="735">
        <v>3012</v>
      </c>
      <c r="N2499" s="845">
        <f t="shared" si="185"/>
        <v>-0.15488215488215487</v>
      </c>
      <c r="O2499" s="735">
        <v>0.86908159589968159</v>
      </c>
      <c r="P2499" s="735">
        <f t="shared" si="186"/>
        <v>3465.7275153571154</v>
      </c>
      <c r="Q2499" s="849">
        <v>42.1</v>
      </c>
      <c r="R2499" s="71">
        <v>57375</v>
      </c>
      <c r="S2499" s="845">
        <v>0.11140939597315436</v>
      </c>
      <c r="T2499" s="845">
        <v>3.2000000000000001E-2</v>
      </c>
      <c r="U2499" s="845">
        <v>0</v>
      </c>
      <c r="V2499" s="845">
        <v>0</v>
      </c>
      <c r="W2499" s="845">
        <v>0.36136363636363639</v>
      </c>
      <c r="X2499" s="845">
        <v>0.49895178197064988</v>
      </c>
      <c r="Y2499" s="845">
        <v>0.93393094289508627</v>
      </c>
      <c r="Z2499" s="845">
        <v>2.2576361221779549E-2</v>
      </c>
      <c r="AA2499" s="845">
        <v>0</v>
      </c>
      <c r="AB2499" s="845">
        <v>0</v>
      </c>
      <c r="AC2499" s="845">
        <v>0</v>
      </c>
      <c r="AD2499" s="845">
        <v>0</v>
      </c>
      <c r="AE2499" s="845">
        <v>4.3492695883134133E-2</v>
      </c>
      <c r="AF2499" s="845">
        <v>2.6892430278884463E-2</v>
      </c>
      <c r="AG2499" s="845">
        <v>0.91367861885790169</v>
      </c>
      <c r="AH2499" s="20" t="str">
        <f t="shared" si="187"/>
        <v>Yes</v>
      </c>
      <c r="AI2499" s="25"/>
      <c r="AJ2499" s="25"/>
      <c r="AK2499" s="25"/>
      <c r="AL2499" s="25"/>
      <c r="AM2499" s="25"/>
      <c r="AN2499" s="25"/>
      <c r="AO2499" s="25"/>
      <c r="AP2499" s="25"/>
      <c r="AQ2499" s="25"/>
      <c r="AR2499" s="25"/>
      <c r="AS2499" s="25"/>
      <c r="AT2499" s="25"/>
      <c r="AU2499" s="36"/>
      <c r="AV2499" s="36"/>
      <c r="AW2499" s="36"/>
      <c r="AX2499" s="25"/>
      <c r="AY2499" s="25"/>
      <c r="AZ2499" s="25"/>
      <c r="BA2499" s="25"/>
      <c r="BB2499" s="25"/>
      <c r="BC2499" s="25"/>
      <c r="BD2499" s="25"/>
      <c r="BE2499" s="25"/>
      <c r="BF2499" s="25"/>
      <c r="BG2499" s="25"/>
      <c r="BH2499" s="25"/>
      <c r="BI2499" s="25"/>
      <c r="BJ2499" s="25"/>
      <c r="BK2499" s="25"/>
      <c r="BL2499" s="25"/>
      <c r="BM2499" s="25"/>
      <c r="BN2499" s="25"/>
      <c r="BO2499" s="25"/>
      <c r="BP2499" s="25"/>
      <c r="BQ2499" s="25"/>
      <c r="BR2499" s="25"/>
      <c r="BS2499" s="25"/>
      <c r="BT2499" s="25"/>
      <c r="BU2499"/>
      <c r="BV2499"/>
      <c r="BW2499"/>
      <c r="BX2499"/>
      <c r="BY2499"/>
      <c r="BZ2499"/>
      <c r="CA2499"/>
      <c r="CB2499"/>
      <c r="CC2499"/>
      <c r="CD2499" s="25"/>
    </row>
    <row r="2500" spans="1:82" s="17" customFormat="1" x14ac:dyDescent="0.2">
      <c r="A2500" s="25"/>
      <c r="B2500" s="20">
        <v>39153531002</v>
      </c>
      <c r="C2500" s="20">
        <v>5310.02</v>
      </c>
      <c r="D2500" s="20" t="s">
        <v>82</v>
      </c>
      <c r="E2500" s="20" t="s">
        <v>2843</v>
      </c>
      <c r="F2500" s="20" t="s">
        <v>8</v>
      </c>
      <c r="G2500" s="861">
        <v>36.742400530374901</v>
      </c>
      <c r="H2500" s="861">
        <v>39.587881592364099</v>
      </c>
      <c r="I2500" s="861">
        <v>44.365827811646803</v>
      </c>
      <c r="J2500" s="861">
        <v>35.497705164524596</v>
      </c>
      <c r="K2500" s="982">
        <v>0</v>
      </c>
      <c r="L2500" s="735">
        <v>5861</v>
      </c>
      <c r="M2500" s="735">
        <v>5648</v>
      </c>
      <c r="N2500" s="845">
        <f t="shared" si="185"/>
        <v>-3.6341921173861119E-2</v>
      </c>
      <c r="O2500" s="735">
        <v>3.0636121337252011</v>
      </c>
      <c r="P2500" s="735">
        <f t="shared" si="186"/>
        <v>1843.5754114644762</v>
      </c>
      <c r="Q2500" s="849">
        <v>48.6</v>
      </c>
      <c r="R2500" s="71">
        <v>46862</v>
      </c>
      <c r="S2500" s="845">
        <v>9.8936170212765961E-2</v>
      </c>
      <c r="T2500" s="845">
        <v>7.5999999999999998E-2</v>
      </c>
      <c r="U2500" s="845">
        <v>0</v>
      </c>
      <c r="V2500" s="845">
        <v>0.15</v>
      </c>
      <c r="W2500" s="845">
        <v>0.14088397790055249</v>
      </c>
      <c r="X2500" s="845">
        <v>0.27170868347338933</v>
      </c>
      <c r="Y2500" s="845">
        <v>0.92315864022662886</v>
      </c>
      <c r="Z2500" s="845">
        <v>1.3987252124645893E-2</v>
      </c>
      <c r="AA2500" s="845">
        <v>1.2393767705382436E-3</v>
      </c>
      <c r="AB2500" s="845">
        <v>1.4164305949008499E-3</v>
      </c>
      <c r="AC2500" s="845">
        <v>0</v>
      </c>
      <c r="AD2500" s="845">
        <v>6.0198300283286115E-3</v>
      </c>
      <c r="AE2500" s="845">
        <v>5.4178470254957506E-2</v>
      </c>
      <c r="AF2500" s="845">
        <v>3.0276203966005666E-2</v>
      </c>
      <c r="AG2500" s="845">
        <v>0.8992563739376771</v>
      </c>
      <c r="AH2500" s="20" t="str">
        <f t="shared" si="187"/>
        <v>No</v>
      </c>
      <c r="AI2500" s="25"/>
      <c r="AJ2500" s="25"/>
      <c r="AK2500" s="25"/>
      <c r="AL2500" s="25"/>
      <c r="AM2500" s="25"/>
      <c r="AN2500" s="25"/>
      <c r="AO2500" s="25"/>
      <c r="AP2500" s="25"/>
      <c r="AQ2500" s="25"/>
      <c r="AR2500" s="25"/>
      <c r="AS2500" s="25"/>
      <c r="AT2500" s="25"/>
      <c r="AU2500" s="36"/>
      <c r="AV2500" s="36"/>
      <c r="AW2500" s="36"/>
      <c r="AX2500" s="25"/>
      <c r="AY2500" s="25"/>
      <c r="AZ2500" s="25"/>
      <c r="BA2500" s="25"/>
      <c r="BB2500" s="25"/>
      <c r="BC2500" s="25"/>
      <c r="BD2500" s="25"/>
      <c r="BE2500" s="25"/>
      <c r="BF2500" s="25"/>
      <c r="BG2500" s="25"/>
      <c r="BH2500" s="25"/>
      <c r="BI2500" s="25"/>
      <c r="BJ2500" s="25"/>
      <c r="BK2500" s="25"/>
      <c r="BL2500" s="25"/>
      <c r="BM2500" s="25"/>
      <c r="BN2500" s="25"/>
      <c r="BO2500" s="25"/>
      <c r="BP2500" s="25"/>
      <c r="BQ2500" s="25"/>
      <c r="BR2500" s="25"/>
      <c r="BS2500" s="25"/>
      <c r="BT2500" s="25"/>
      <c r="BU2500"/>
      <c r="BV2500"/>
      <c r="BW2500"/>
      <c r="BX2500"/>
      <c r="BY2500"/>
      <c r="BZ2500"/>
      <c r="CA2500"/>
      <c r="CB2500"/>
      <c r="CC2500"/>
      <c r="CD2500" s="25"/>
    </row>
    <row r="2501" spans="1:82" s="17" customFormat="1" x14ac:dyDescent="0.2">
      <c r="A2501" s="25"/>
      <c r="B2501" s="20">
        <v>39113090302</v>
      </c>
      <c r="C2501" s="20">
        <v>903.02</v>
      </c>
      <c r="D2501" s="20" t="s">
        <v>62</v>
      </c>
      <c r="E2501" s="20" t="s">
        <v>2833</v>
      </c>
      <c r="F2501" s="20" t="s">
        <v>8</v>
      </c>
      <c r="G2501" s="861">
        <v>36.737408935733903</v>
      </c>
      <c r="H2501" s="861">
        <v>43.231587653259901</v>
      </c>
      <c r="I2501" s="861">
        <v>44.2658546881188</v>
      </c>
      <c r="J2501" s="861">
        <v>45.536893203057097</v>
      </c>
      <c r="K2501" s="982">
        <v>0</v>
      </c>
      <c r="L2501" s="735">
        <v>5975</v>
      </c>
      <c r="M2501" s="735">
        <v>5877</v>
      </c>
      <c r="N2501" s="845">
        <f t="shared" si="185"/>
        <v>-1.6401673640167366E-2</v>
      </c>
      <c r="O2501" s="735">
        <v>6.0572343708558574</v>
      </c>
      <c r="P2501" s="735">
        <f t="shared" si="186"/>
        <v>970.244775119971</v>
      </c>
      <c r="Q2501" s="849">
        <v>42</v>
      </c>
      <c r="R2501" s="71">
        <v>52708</v>
      </c>
      <c r="S2501" s="845">
        <v>0.23477222317010749</v>
      </c>
      <c r="T2501" s="845">
        <v>4.0999999999999995E-2</v>
      </c>
      <c r="U2501" s="845">
        <v>4.4999999999999998E-2</v>
      </c>
      <c r="V2501" s="845">
        <v>0</v>
      </c>
      <c r="W2501" s="845">
        <v>0.40637898686679175</v>
      </c>
      <c r="X2501" s="845">
        <v>0.4118190212373038</v>
      </c>
      <c r="Y2501" s="845">
        <v>0.75718904202824566</v>
      </c>
      <c r="Z2501" s="845">
        <v>0.10617662072485962</v>
      </c>
      <c r="AA2501" s="845">
        <v>0</v>
      </c>
      <c r="AB2501" s="845">
        <v>2.8245703590267145E-2</v>
      </c>
      <c r="AC2501" s="845">
        <v>0</v>
      </c>
      <c r="AD2501" s="845">
        <v>1.3612387272417901E-3</v>
      </c>
      <c r="AE2501" s="845">
        <v>0.10702739492938575</v>
      </c>
      <c r="AF2501" s="845">
        <v>2.6374000340309681E-2</v>
      </c>
      <c r="AG2501" s="845">
        <v>0.73217628041517779</v>
      </c>
      <c r="AH2501" s="20" t="str">
        <f t="shared" si="187"/>
        <v>No</v>
      </c>
      <c r="AI2501" s="25"/>
      <c r="AJ2501" s="25"/>
      <c r="AK2501" s="25"/>
      <c r="AL2501" s="25"/>
      <c r="AM2501" s="25"/>
      <c r="AN2501" s="25"/>
      <c r="AO2501" s="25"/>
      <c r="AP2501" s="25"/>
      <c r="AQ2501" s="25"/>
      <c r="AR2501" s="25"/>
      <c r="AS2501" s="25"/>
      <c r="AT2501" s="25"/>
      <c r="AU2501" s="36"/>
      <c r="AV2501" s="36"/>
      <c r="AW2501" s="36"/>
      <c r="AX2501" s="25"/>
      <c r="AY2501" s="25"/>
      <c r="AZ2501" s="25"/>
      <c r="BA2501" s="25"/>
      <c r="BB2501" s="25"/>
      <c r="BC2501" s="25"/>
      <c r="BD2501" s="25"/>
      <c r="BE2501" s="25"/>
      <c r="BF2501" s="25"/>
      <c r="BG2501" s="25"/>
      <c r="BH2501" s="25"/>
      <c r="BI2501" s="25"/>
      <c r="BJ2501" s="25"/>
      <c r="BK2501" s="25"/>
      <c r="BL2501" s="25"/>
      <c r="BM2501" s="25"/>
      <c r="BN2501" s="25"/>
      <c r="BO2501" s="25"/>
      <c r="BP2501" s="25"/>
      <c r="BQ2501" s="25"/>
      <c r="BR2501" s="25"/>
      <c r="BS2501" s="25"/>
      <c r="BT2501" s="25"/>
      <c r="BU2501"/>
      <c r="BV2501"/>
      <c r="BW2501"/>
      <c r="BX2501"/>
      <c r="BY2501"/>
      <c r="BZ2501"/>
      <c r="CA2501"/>
      <c r="CB2501"/>
      <c r="CC2501"/>
      <c r="CD2501" s="25"/>
    </row>
    <row r="2502" spans="1:82" s="17" customFormat="1" x14ac:dyDescent="0.2">
      <c r="A2502" s="25"/>
      <c r="B2502" s="20">
        <v>39035198800</v>
      </c>
      <c r="C2502" s="20">
        <v>1988</v>
      </c>
      <c r="D2502" s="20" t="s">
        <v>24</v>
      </c>
      <c r="E2502" s="20" t="s">
        <v>2829</v>
      </c>
      <c r="F2502" s="20" t="s">
        <v>6</v>
      </c>
      <c r="G2502" s="861">
        <v>36.709008503549001</v>
      </c>
      <c r="H2502" s="861">
        <v>48.530903930322602</v>
      </c>
      <c r="I2502" s="861">
        <v>64.515469709722694</v>
      </c>
      <c r="J2502" s="861">
        <v>31.7933094307527</v>
      </c>
      <c r="K2502" s="982">
        <v>1</v>
      </c>
      <c r="L2502" s="735" t="s">
        <v>2466</v>
      </c>
      <c r="M2502" s="735">
        <v>1984</v>
      </c>
      <c r="N2502" s="845" t="str">
        <f t="shared" si="185"/>
        <v/>
      </c>
      <c r="O2502" s="735">
        <v>0.30908018338354459</v>
      </c>
      <c r="P2502" s="735">
        <f t="shared" si="186"/>
        <v>6419.0462755679473</v>
      </c>
      <c r="Q2502" s="849">
        <v>45.5</v>
      </c>
      <c r="R2502" s="71">
        <v>33497</v>
      </c>
      <c r="S2502" s="845">
        <v>0.28799999999999998</v>
      </c>
      <c r="T2502" s="845">
        <v>0.10300000000000001</v>
      </c>
      <c r="U2502" s="845">
        <v>0</v>
      </c>
      <c r="V2502" s="845">
        <v>8.4000000000000005E-2</v>
      </c>
      <c r="W2502" s="845">
        <v>0.73651191969887075</v>
      </c>
      <c r="X2502" s="845">
        <v>0.44804088586030666</v>
      </c>
      <c r="Y2502" s="845">
        <v>8.7701612903225812E-2</v>
      </c>
      <c r="Z2502" s="845">
        <v>0.84576612903225812</v>
      </c>
      <c r="AA2502" s="845">
        <v>0</v>
      </c>
      <c r="AB2502" s="845">
        <v>7.5604838709677422E-3</v>
      </c>
      <c r="AC2502" s="845">
        <v>0</v>
      </c>
      <c r="AD2502" s="845">
        <v>3.3266129032258063E-2</v>
      </c>
      <c r="AE2502" s="845">
        <v>2.5705645161290324E-2</v>
      </c>
      <c r="AF2502" s="845">
        <v>0</v>
      </c>
      <c r="AG2502" s="845">
        <v>8.7701612903225812E-2</v>
      </c>
      <c r="AH2502" s="20" t="str">
        <f t="shared" si="187"/>
        <v>No</v>
      </c>
      <c r="AI2502" s="25"/>
      <c r="AJ2502" s="25"/>
      <c r="AK2502" s="25"/>
      <c r="AL2502" s="25"/>
      <c r="AM2502" s="25"/>
      <c r="AN2502" s="25"/>
      <c r="AO2502" s="25"/>
      <c r="AP2502" s="25"/>
      <c r="AQ2502" s="25"/>
      <c r="AR2502" s="25"/>
      <c r="AS2502" s="25"/>
      <c r="AT2502" s="25"/>
      <c r="AU2502" s="36"/>
      <c r="AV2502" s="36"/>
      <c r="AW2502" s="36"/>
      <c r="AX2502" s="25"/>
      <c r="AY2502" s="25"/>
      <c r="AZ2502" s="25"/>
      <c r="BA2502" s="25"/>
      <c r="BB2502" s="25"/>
      <c r="BC2502" s="25"/>
      <c r="BD2502" s="25"/>
      <c r="BE2502" s="25"/>
      <c r="BF2502" s="25"/>
      <c r="BG2502" s="25"/>
      <c r="BH2502" s="25"/>
      <c r="BI2502" s="25"/>
      <c r="BJ2502" s="25"/>
      <c r="BK2502" s="25"/>
      <c r="BL2502" s="25"/>
      <c r="BM2502" s="25"/>
      <c r="BN2502" s="25"/>
      <c r="BO2502" s="25"/>
      <c r="BP2502" s="25"/>
      <c r="BQ2502" s="25"/>
      <c r="BR2502" s="25"/>
      <c r="BS2502" s="25"/>
      <c r="BT2502" s="25"/>
      <c r="BU2502"/>
      <c r="BV2502"/>
      <c r="BW2502"/>
      <c r="BX2502"/>
      <c r="BY2502"/>
      <c r="BZ2502"/>
      <c r="CA2502"/>
      <c r="CB2502"/>
      <c r="CC2502"/>
      <c r="CD2502" s="25"/>
    </row>
    <row r="2503" spans="1:82" s="17" customFormat="1" x14ac:dyDescent="0.2">
      <c r="A2503" s="25"/>
      <c r="B2503" s="20">
        <v>39025040101</v>
      </c>
      <c r="C2503" s="20">
        <v>401.01</v>
      </c>
      <c r="D2503" s="20" t="s">
        <v>19</v>
      </c>
      <c r="E2503" s="20" t="s">
        <v>2828</v>
      </c>
      <c r="F2503" s="20" t="s">
        <v>8</v>
      </c>
      <c r="G2503" s="861">
        <v>36.670250629431401</v>
      </c>
      <c r="H2503" s="861">
        <v>54.944248274236699</v>
      </c>
      <c r="I2503" s="861">
        <v>21.373924609661898</v>
      </c>
      <c r="J2503" s="861">
        <v>58.780995891156898</v>
      </c>
      <c r="K2503" s="982">
        <v>0</v>
      </c>
      <c r="L2503" s="735">
        <v>4846</v>
      </c>
      <c r="M2503" s="735">
        <v>5195</v>
      </c>
      <c r="N2503" s="845">
        <f t="shared" si="185"/>
        <v>7.2018159306644652E-2</v>
      </c>
      <c r="O2503" s="735">
        <v>49.952603064266576</v>
      </c>
      <c r="P2503" s="735">
        <f t="shared" si="186"/>
        <v>103.99858428431381</v>
      </c>
      <c r="Q2503" s="849">
        <v>44.4</v>
      </c>
      <c r="R2503" s="71">
        <v>81639</v>
      </c>
      <c r="S2503" s="845">
        <v>6.4870067372473528E-2</v>
      </c>
      <c r="T2503" s="845">
        <v>0.02</v>
      </c>
      <c r="U2503" s="845">
        <v>0</v>
      </c>
      <c r="V2503" s="845">
        <v>3.4000000000000002E-2</v>
      </c>
      <c r="W2503" s="845">
        <v>0.13260530421216848</v>
      </c>
      <c r="X2503" s="845">
        <v>0.29019607843137257</v>
      </c>
      <c r="Y2503" s="845">
        <v>0.97651588065447548</v>
      </c>
      <c r="Z2503" s="845">
        <v>0</v>
      </c>
      <c r="AA2503" s="845">
        <v>7.6997112608277187E-4</v>
      </c>
      <c r="AB2503" s="845">
        <v>0</v>
      </c>
      <c r="AC2503" s="845">
        <v>0</v>
      </c>
      <c r="AD2503" s="845">
        <v>0</v>
      </c>
      <c r="AE2503" s="845">
        <v>2.271414821944177E-2</v>
      </c>
      <c r="AF2503" s="845">
        <v>6.9297401347449472E-3</v>
      </c>
      <c r="AG2503" s="845">
        <v>0.97651588065447548</v>
      </c>
      <c r="AH2503" s="20" t="str">
        <f t="shared" si="187"/>
        <v>Yes</v>
      </c>
      <c r="AI2503" s="25"/>
      <c r="AJ2503" s="25"/>
      <c r="AK2503" s="25"/>
      <c r="AL2503" s="25"/>
      <c r="AM2503" s="25"/>
      <c r="AN2503" s="25"/>
      <c r="AO2503" s="25"/>
      <c r="AP2503" s="25"/>
      <c r="AQ2503" s="25"/>
      <c r="AR2503" s="25"/>
      <c r="AS2503" s="25"/>
      <c r="AT2503" s="25"/>
      <c r="AU2503" s="36"/>
      <c r="AV2503" s="36"/>
      <c r="AW2503" s="36"/>
      <c r="AX2503" s="25"/>
      <c r="AY2503" s="25"/>
      <c r="AZ2503" s="25"/>
      <c r="BA2503" s="25"/>
      <c r="BB2503" s="25"/>
      <c r="BC2503" s="25"/>
      <c r="BD2503" s="25"/>
      <c r="BE2503" s="25"/>
      <c r="BF2503" s="25"/>
      <c r="BG2503" s="25"/>
      <c r="BH2503" s="25"/>
      <c r="BI2503" s="25"/>
      <c r="BJ2503" s="25"/>
      <c r="BK2503" s="25"/>
      <c r="BL2503" s="25"/>
      <c r="BM2503" s="25"/>
      <c r="BN2503" s="25"/>
      <c r="BO2503" s="25"/>
      <c r="BP2503" s="25"/>
      <c r="BQ2503" s="25"/>
      <c r="BR2503" s="25"/>
      <c r="BS2503" s="25"/>
      <c r="BT2503" s="25"/>
      <c r="BU2503"/>
      <c r="BV2503"/>
      <c r="BW2503"/>
      <c r="BX2503"/>
      <c r="BY2503"/>
      <c r="BZ2503"/>
      <c r="CA2503"/>
      <c r="CB2503"/>
      <c r="CC2503"/>
      <c r="CD2503" s="25"/>
    </row>
    <row r="2504" spans="1:82" s="17" customFormat="1" x14ac:dyDescent="0.2">
      <c r="A2504" s="25"/>
      <c r="B2504" s="20">
        <v>39049008170</v>
      </c>
      <c r="C2504" s="20">
        <v>81.7</v>
      </c>
      <c r="D2504" s="20" t="s">
        <v>31</v>
      </c>
      <c r="E2504" s="20" t="s">
        <v>2830</v>
      </c>
      <c r="F2504" s="20" t="s">
        <v>8</v>
      </c>
      <c r="G2504" s="861">
        <v>36.660526787431102</v>
      </c>
      <c r="H2504" s="861">
        <v>55.301770231975297</v>
      </c>
      <c r="I2504" s="861">
        <v>24.858904027995202</v>
      </c>
      <c r="J2504" s="861">
        <v>61.161290250331298</v>
      </c>
      <c r="K2504" s="982">
        <v>0</v>
      </c>
      <c r="L2504" s="735" t="s">
        <v>2466</v>
      </c>
      <c r="M2504" s="735">
        <v>5796</v>
      </c>
      <c r="N2504" s="845" t="str">
        <f t="shared" si="185"/>
        <v/>
      </c>
      <c r="O2504" s="735">
        <v>12.879192329574055</v>
      </c>
      <c r="P2504" s="735">
        <f t="shared" si="186"/>
        <v>450.0282200686483</v>
      </c>
      <c r="Q2504" s="849">
        <v>34.700000000000003</v>
      </c>
      <c r="R2504" s="71">
        <v>93265</v>
      </c>
      <c r="S2504" s="845">
        <v>0.13423283169001904</v>
      </c>
      <c r="T2504" s="845">
        <v>4.2999999999999997E-2</v>
      </c>
      <c r="U2504" s="845">
        <v>2.7999999999999997E-2</v>
      </c>
      <c r="V2504" s="845">
        <v>0</v>
      </c>
      <c r="W2504" s="845">
        <v>0.12161415146489774</v>
      </c>
      <c r="X2504" s="845">
        <v>0.57727272727272727</v>
      </c>
      <c r="Y2504" s="845">
        <v>0.63578329882677709</v>
      </c>
      <c r="Z2504" s="845">
        <v>0.15821256038647344</v>
      </c>
      <c r="AA2504" s="845">
        <v>0</v>
      </c>
      <c r="AB2504" s="845">
        <v>3.7094547964113184E-2</v>
      </c>
      <c r="AC2504" s="845">
        <v>0</v>
      </c>
      <c r="AD2504" s="845">
        <v>8.3850931677018639E-2</v>
      </c>
      <c r="AE2504" s="845">
        <v>8.5058661145617664E-2</v>
      </c>
      <c r="AF2504" s="845">
        <v>0.20082815734989648</v>
      </c>
      <c r="AG2504" s="845">
        <v>0.59385783298826778</v>
      </c>
      <c r="AH2504" s="20" t="str">
        <f t="shared" si="187"/>
        <v>No</v>
      </c>
      <c r="AI2504" s="25"/>
      <c r="AJ2504" s="25"/>
      <c r="AK2504" s="25"/>
      <c r="AL2504" s="25"/>
      <c r="AM2504" s="25"/>
      <c r="AN2504" s="25"/>
      <c r="AO2504" s="25"/>
      <c r="AP2504" s="25"/>
      <c r="AQ2504" s="25"/>
      <c r="AR2504" s="25"/>
      <c r="AS2504" s="25"/>
      <c r="AT2504" s="25"/>
      <c r="AU2504" s="36"/>
      <c r="AV2504" s="36"/>
      <c r="AW2504" s="36"/>
      <c r="AX2504" s="25"/>
      <c r="AY2504" s="25"/>
      <c r="AZ2504" s="25"/>
      <c r="BA2504" s="25"/>
      <c r="BB2504" s="25"/>
      <c r="BC2504" s="25"/>
      <c r="BD2504" s="25"/>
      <c r="BE2504" s="25"/>
      <c r="BF2504" s="25"/>
      <c r="BG2504" s="25"/>
      <c r="BH2504" s="25"/>
      <c r="BI2504" s="25"/>
      <c r="BJ2504" s="25"/>
      <c r="BK2504" s="25"/>
      <c r="BL2504" s="25"/>
      <c r="BM2504" s="25"/>
      <c r="BN2504" s="25"/>
      <c r="BO2504" s="25"/>
      <c r="BP2504" s="25"/>
      <c r="BQ2504" s="25"/>
      <c r="BR2504" s="25"/>
      <c r="BS2504" s="25"/>
      <c r="BT2504" s="25"/>
      <c r="BU2504"/>
      <c r="BV2504"/>
      <c r="BW2504"/>
      <c r="BX2504"/>
      <c r="BY2504"/>
      <c r="BZ2504"/>
      <c r="CA2504"/>
      <c r="CB2504"/>
      <c r="CC2504"/>
      <c r="CD2504" s="25"/>
    </row>
    <row r="2505" spans="1:82" s="17" customFormat="1" x14ac:dyDescent="0.2">
      <c r="A2505" s="25"/>
      <c r="B2505" s="20">
        <v>39151710200</v>
      </c>
      <c r="C2505" s="20">
        <v>7102</v>
      </c>
      <c r="D2505" s="20" t="s">
        <v>81</v>
      </c>
      <c r="E2505" s="20" t="s">
        <v>2844</v>
      </c>
      <c r="F2505" s="20" t="s">
        <v>6</v>
      </c>
      <c r="G2505" s="861">
        <v>36.637728137609102</v>
      </c>
      <c r="H2505" s="861">
        <v>41.157327093582097</v>
      </c>
      <c r="I2505" s="861">
        <v>38.8183551768551</v>
      </c>
      <c r="J2505" s="861">
        <v>34.0595069636761</v>
      </c>
      <c r="K2505" s="982">
        <v>0</v>
      </c>
      <c r="L2505" s="735">
        <v>4824</v>
      </c>
      <c r="M2505" s="735">
        <v>3662</v>
      </c>
      <c r="N2505" s="845">
        <f t="shared" si="185"/>
        <v>-0.24087893864013268</v>
      </c>
      <c r="O2505" s="735">
        <v>2.1731532196107266</v>
      </c>
      <c r="P2505" s="735">
        <f t="shared" si="186"/>
        <v>1685.1089775694547</v>
      </c>
      <c r="Q2505" s="849">
        <v>39</v>
      </c>
      <c r="R2505" s="71">
        <v>41063</v>
      </c>
      <c r="S2505" s="845">
        <v>0.31718664477285169</v>
      </c>
      <c r="T2505" s="845">
        <v>0.126</v>
      </c>
      <c r="U2505" s="845">
        <v>0</v>
      </c>
      <c r="V2505" s="845">
        <v>3.7000000000000005E-2</v>
      </c>
      <c r="W2505" s="845">
        <v>0.5197666882696047</v>
      </c>
      <c r="X2505" s="845">
        <v>0.26184538653366585</v>
      </c>
      <c r="Y2505" s="845">
        <v>0.83096668487165481</v>
      </c>
      <c r="Z2505" s="845">
        <v>5.4341889677771711E-2</v>
      </c>
      <c r="AA2505" s="845">
        <v>1.9115237575095577E-3</v>
      </c>
      <c r="AB2505" s="845">
        <v>0</v>
      </c>
      <c r="AC2505" s="845">
        <v>0</v>
      </c>
      <c r="AD2505" s="845">
        <v>0</v>
      </c>
      <c r="AE2505" s="845">
        <v>0.1127799016930639</v>
      </c>
      <c r="AF2505" s="845">
        <v>2.0480611687602401E-2</v>
      </c>
      <c r="AG2505" s="845">
        <v>0.82441288913162203</v>
      </c>
      <c r="AH2505" s="20" t="str">
        <f t="shared" si="187"/>
        <v>No</v>
      </c>
      <c r="AI2505" s="25"/>
      <c r="AJ2505" s="25"/>
      <c r="AK2505" s="25"/>
      <c r="AL2505" s="25"/>
      <c r="AM2505" s="25"/>
      <c r="AN2505" s="25"/>
      <c r="AO2505" s="25"/>
      <c r="AP2505" s="25"/>
      <c r="AQ2505" s="25"/>
      <c r="AR2505" s="25"/>
      <c r="AS2505" s="25"/>
      <c r="AT2505" s="25"/>
      <c r="AU2505" s="36"/>
      <c r="AV2505" s="36"/>
      <c r="AW2505" s="36"/>
      <c r="AX2505" s="25"/>
      <c r="AY2505" s="25"/>
      <c r="AZ2505" s="25"/>
      <c r="BA2505" s="25"/>
      <c r="BB2505" s="25"/>
      <c r="BC2505" s="25"/>
      <c r="BD2505" s="25"/>
      <c r="BE2505" s="25"/>
      <c r="BF2505" s="25"/>
      <c r="BG2505" s="25"/>
      <c r="BH2505" s="25"/>
      <c r="BI2505" s="25"/>
      <c r="BJ2505" s="25"/>
      <c r="BK2505" s="25"/>
      <c r="BL2505" s="25"/>
      <c r="BM2505" s="25"/>
      <c r="BN2505" s="25"/>
      <c r="BO2505" s="25"/>
      <c r="BP2505" s="25"/>
      <c r="BQ2505" s="25"/>
      <c r="BR2505" s="25"/>
      <c r="BS2505" s="25"/>
      <c r="BT2505" s="25"/>
      <c r="BU2505"/>
      <c r="BV2505"/>
      <c r="BW2505"/>
      <c r="BX2505"/>
      <c r="BY2505"/>
      <c r="BZ2505"/>
      <c r="CA2505"/>
      <c r="CB2505"/>
      <c r="CC2505"/>
      <c r="CD2505" s="25"/>
    </row>
    <row r="2506" spans="1:82" s="17" customFormat="1" x14ac:dyDescent="0.2">
      <c r="A2506" s="25"/>
      <c r="B2506" s="20">
        <v>39153504600</v>
      </c>
      <c r="C2506" s="20">
        <v>5046</v>
      </c>
      <c r="D2506" s="20" t="s">
        <v>82</v>
      </c>
      <c r="E2506" s="20" t="s">
        <v>2843</v>
      </c>
      <c r="F2506" s="20" t="s">
        <v>8</v>
      </c>
      <c r="G2506" s="861">
        <v>36.633516227189503</v>
      </c>
      <c r="H2506" s="861">
        <v>51.4539400312986</v>
      </c>
      <c r="I2506" s="861">
        <v>40.684349704745202</v>
      </c>
      <c r="J2506" s="861">
        <v>32.928691697177001</v>
      </c>
      <c r="K2506" s="982">
        <v>0</v>
      </c>
      <c r="L2506" s="735">
        <v>3432</v>
      </c>
      <c r="M2506" s="735">
        <v>3716</v>
      </c>
      <c r="N2506" s="845">
        <f t="shared" si="185"/>
        <v>8.2750582750582752E-2</v>
      </c>
      <c r="O2506" s="735">
        <v>0.49933626915376073</v>
      </c>
      <c r="P2506" s="735">
        <f t="shared" si="186"/>
        <v>7441.8788090390672</v>
      </c>
      <c r="Q2506" s="849">
        <v>35.9</v>
      </c>
      <c r="R2506" s="71">
        <v>54310</v>
      </c>
      <c r="S2506" s="845">
        <v>0.18137782561894511</v>
      </c>
      <c r="T2506" s="845">
        <v>0.15</v>
      </c>
      <c r="U2506" s="845">
        <v>0</v>
      </c>
      <c r="V2506" s="845">
        <v>0</v>
      </c>
      <c r="W2506" s="845">
        <v>0.51102464332036313</v>
      </c>
      <c r="X2506" s="845">
        <v>0.14974619289340102</v>
      </c>
      <c r="Y2506" s="845">
        <v>0.41738428417653389</v>
      </c>
      <c r="Z2506" s="845">
        <v>0.36598493003229277</v>
      </c>
      <c r="AA2506" s="845">
        <v>0</v>
      </c>
      <c r="AB2506" s="845">
        <v>6.7545748116254037E-2</v>
      </c>
      <c r="AC2506" s="845">
        <v>0</v>
      </c>
      <c r="AD2506" s="845">
        <v>3.363832077502691E-2</v>
      </c>
      <c r="AE2506" s="845">
        <v>0.11544671689989236</v>
      </c>
      <c r="AF2506" s="845">
        <v>1.883745963401507E-2</v>
      </c>
      <c r="AG2506" s="845">
        <v>0.40904198062432723</v>
      </c>
      <c r="AH2506" s="20" t="str">
        <f t="shared" si="187"/>
        <v>No</v>
      </c>
      <c r="AI2506" s="25"/>
      <c r="AJ2506" s="25"/>
      <c r="AK2506" s="25"/>
      <c r="AL2506" s="25"/>
      <c r="AM2506" s="25"/>
      <c r="AN2506" s="25"/>
      <c r="AO2506" s="25"/>
      <c r="AP2506" s="25"/>
      <c r="AQ2506" s="25"/>
      <c r="AR2506" s="25"/>
      <c r="AS2506" s="25"/>
      <c r="AT2506" s="25"/>
      <c r="AU2506" s="36"/>
      <c r="AV2506" s="36"/>
      <c r="AW2506" s="36"/>
      <c r="AX2506" s="25"/>
      <c r="AY2506" s="25"/>
      <c r="AZ2506" s="25"/>
      <c r="BA2506" s="25"/>
      <c r="BB2506" s="25"/>
      <c r="BC2506" s="25"/>
      <c r="BD2506" s="25"/>
      <c r="BE2506" s="25"/>
      <c r="BF2506" s="25"/>
      <c r="BG2506" s="25"/>
      <c r="BH2506" s="25"/>
      <c r="BI2506" s="25"/>
      <c r="BJ2506" s="25"/>
      <c r="BK2506" s="25"/>
      <c r="BL2506" s="25"/>
      <c r="BM2506" s="25"/>
      <c r="BN2506" s="25"/>
      <c r="BO2506" s="25"/>
      <c r="BP2506" s="25"/>
      <c r="BQ2506" s="25"/>
      <c r="BR2506" s="25"/>
      <c r="BS2506" s="25"/>
      <c r="BT2506" s="25"/>
      <c r="BU2506"/>
      <c r="BV2506"/>
      <c r="BW2506"/>
      <c r="BX2506"/>
      <c r="BY2506"/>
      <c r="BZ2506"/>
      <c r="CA2506"/>
      <c r="CB2506"/>
      <c r="CC2506"/>
      <c r="CD2506" s="25"/>
    </row>
    <row r="2507" spans="1:82" s="17" customFormat="1" x14ac:dyDescent="0.2">
      <c r="A2507" s="25"/>
      <c r="B2507" s="20">
        <v>39061007700</v>
      </c>
      <c r="C2507" s="20">
        <v>77</v>
      </c>
      <c r="D2507" s="20" t="s">
        <v>37</v>
      </c>
      <c r="E2507" s="20" t="s">
        <v>2828</v>
      </c>
      <c r="F2507" s="20" t="s">
        <v>6</v>
      </c>
      <c r="G2507" s="861">
        <v>36.625342136750596</v>
      </c>
      <c r="H2507" s="861">
        <v>25.000355640297698</v>
      </c>
      <c r="I2507" s="861">
        <v>56.948688472415498</v>
      </c>
      <c r="J2507" s="861">
        <v>50.0735425612149</v>
      </c>
      <c r="K2507" s="982">
        <v>0</v>
      </c>
      <c r="L2507" s="735">
        <v>2734</v>
      </c>
      <c r="M2507" s="735">
        <v>3197</v>
      </c>
      <c r="N2507" s="845">
        <f t="shared" ref="N2507:N2570" si="188">IF(OR(L2507="",M2507=""),"",(M2507-L2507)/L2507)</f>
        <v>0.16934893928310168</v>
      </c>
      <c r="O2507" s="735">
        <v>0.84621817047646608</v>
      </c>
      <c r="P2507" s="735">
        <f t="shared" ref="P2507:P2570" si="189">M2507/O2507</f>
        <v>3777.9855261201942</v>
      </c>
      <c r="Q2507" s="849">
        <v>22.7</v>
      </c>
      <c r="R2507" s="71">
        <v>21336</v>
      </c>
      <c r="S2507" s="845">
        <v>0.6105724116359087</v>
      </c>
      <c r="T2507" s="845">
        <v>0.44500000000000001</v>
      </c>
      <c r="U2507" s="845">
        <v>0</v>
      </c>
      <c r="V2507" s="845">
        <v>8.4000000000000005E-2</v>
      </c>
      <c r="W2507" s="845">
        <v>0.77554744525547448</v>
      </c>
      <c r="X2507" s="845">
        <v>0.5776470588235294</v>
      </c>
      <c r="Y2507" s="845">
        <v>0.18892711917422583</v>
      </c>
      <c r="Z2507" s="845">
        <v>0.76665624022521117</v>
      </c>
      <c r="AA2507" s="845">
        <v>0</v>
      </c>
      <c r="AB2507" s="845">
        <v>2.8151391929934315E-3</v>
      </c>
      <c r="AC2507" s="845">
        <v>0</v>
      </c>
      <c r="AD2507" s="845">
        <v>0</v>
      </c>
      <c r="AE2507" s="845">
        <v>4.1601501407569595E-2</v>
      </c>
      <c r="AF2507" s="845">
        <v>6.2558648733187366E-4</v>
      </c>
      <c r="AG2507" s="845">
        <v>0.18892711917422583</v>
      </c>
      <c r="AH2507" s="20" t="str">
        <f t="shared" ref="AH2507:AH2570" si="190">IF(AG2507&gt;=0.9,"Yes","No")</f>
        <v>No</v>
      </c>
      <c r="AI2507" s="25"/>
      <c r="AJ2507" s="25"/>
      <c r="AK2507" s="25"/>
      <c r="AL2507" s="25"/>
      <c r="AM2507" s="25"/>
      <c r="AN2507" s="25"/>
      <c r="AO2507" s="25"/>
      <c r="AP2507" s="25"/>
      <c r="AQ2507" s="25"/>
      <c r="AR2507" s="25"/>
      <c r="AS2507" s="25"/>
      <c r="AT2507" s="25"/>
      <c r="AU2507" s="36"/>
      <c r="AV2507" s="36"/>
      <c r="AW2507" s="36"/>
      <c r="AX2507" s="25"/>
      <c r="AY2507" s="25"/>
      <c r="AZ2507" s="25"/>
      <c r="BA2507" s="25"/>
      <c r="BB2507" s="25"/>
      <c r="BC2507" s="25"/>
      <c r="BD2507" s="25"/>
      <c r="BE2507" s="25"/>
      <c r="BF2507" s="25"/>
      <c r="BG2507" s="25"/>
      <c r="BH2507" s="25"/>
      <c r="BI2507" s="25"/>
      <c r="BJ2507" s="25"/>
      <c r="BK2507" s="25"/>
      <c r="BL2507" s="25"/>
      <c r="BM2507" s="25"/>
      <c r="BN2507" s="25"/>
      <c r="BO2507" s="25"/>
      <c r="BP2507" s="25"/>
      <c r="BQ2507" s="25"/>
      <c r="BR2507" s="25"/>
      <c r="BS2507" s="25"/>
      <c r="BT2507" s="25"/>
      <c r="BU2507"/>
      <c r="BV2507"/>
      <c r="BW2507"/>
      <c r="BX2507"/>
      <c r="BY2507"/>
      <c r="BZ2507"/>
      <c r="CA2507"/>
      <c r="CB2507"/>
      <c r="CC2507"/>
      <c r="CD2507" s="25"/>
    </row>
    <row r="2508" spans="1:82" s="17" customFormat="1" x14ac:dyDescent="0.2">
      <c r="A2508" s="25"/>
      <c r="B2508" s="20">
        <v>39017001100</v>
      </c>
      <c r="C2508" s="20">
        <v>11</v>
      </c>
      <c r="D2508" s="20" t="s">
        <v>15</v>
      </c>
      <c r="E2508" s="20" t="s">
        <v>2828</v>
      </c>
      <c r="F2508" s="20" t="s">
        <v>6</v>
      </c>
      <c r="G2508" s="861">
        <v>36.606432052260601</v>
      </c>
      <c r="H2508" s="861">
        <v>53.051347579705201</v>
      </c>
      <c r="I2508" s="861">
        <v>38.4053691751107</v>
      </c>
      <c r="J2508" s="861">
        <v>45.085345087899299</v>
      </c>
      <c r="K2508" s="982">
        <v>1</v>
      </c>
      <c r="L2508" s="735">
        <v>4479</v>
      </c>
      <c r="M2508" s="735">
        <v>4228</v>
      </c>
      <c r="N2508" s="845">
        <f t="shared" si="188"/>
        <v>-5.6039294485376201E-2</v>
      </c>
      <c r="O2508" s="735">
        <v>0.66160110673249384</v>
      </c>
      <c r="P2508" s="735">
        <f t="shared" si="189"/>
        <v>6390.5576290239087</v>
      </c>
      <c r="Q2508" s="849">
        <v>33</v>
      </c>
      <c r="R2508" s="71">
        <v>52028</v>
      </c>
      <c r="S2508" s="845">
        <v>0.16698202459791864</v>
      </c>
      <c r="T2508" s="845">
        <v>5.0999999999999997E-2</v>
      </c>
      <c r="U2508" s="845">
        <v>0</v>
      </c>
      <c r="V2508" s="845">
        <v>3.3000000000000002E-2</v>
      </c>
      <c r="W2508" s="845">
        <v>0.58141909137314962</v>
      </c>
      <c r="X2508" s="845">
        <v>0.36259877085162423</v>
      </c>
      <c r="Y2508" s="845">
        <v>0.85619678334910121</v>
      </c>
      <c r="Z2508" s="845">
        <v>3.4295175023651842E-2</v>
      </c>
      <c r="AA2508" s="845">
        <v>3.8789025543992432E-2</v>
      </c>
      <c r="AB2508" s="845">
        <v>0</v>
      </c>
      <c r="AC2508" s="845">
        <v>0</v>
      </c>
      <c r="AD2508" s="845">
        <v>2.696310312204352E-2</v>
      </c>
      <c r="AE2508" s="845">
        <v>4.3755912961210973E-2</v>
      </c>
      <c r="AF2508" s="845">
        <v>9.8864711447492898E-2</v>
      </c>
      <c r="AG2508" s="845">
        <v>0.83372753074739825</v>
      </c>
      <c r="AH2508" s="20" t="str">
        <f t="shared" si="190"/>
        <v>No</v>
      </c>
      <c r="AI2508" s="25"/>
      <c r="AJ2508" s="25"/>
      <c r="AK2508" s="25"/>
      <c r="AL2508" s="25"/>
      <c r="AM2508" s="25"/>
      <c r="AN2508" s="25"/>
      <c r="AO2508" s="25"/>
      <c r="AP2508" s="25"/>
      <c r="AQ2508" s="25"/>
      <c r="AR2508" s="25"/>
      <c r="AS2508" s="25"/>
      <c r="AT2508" s="25"/>
      <c r="AU2508" s="36"/>
      <c r="AV2508" s="36"/>
      <c r="AW2508" s="36"/>
      <c r="AX2508" s="25"/>
      <c r="AY2508" s="25"/>
      <c r="AZ2508" s="25"/>
      <c r="BA2508" s="25"/>
      <c r="BB2508" s="25"/>
      <c r="BC2508" s="25"/>
      <c r="BD2508" s="25"/>
      <c r="BE2508" s="25"/>
      <c r="BF2508" s="25"/>
      <c r="BG2508" s="25"/>
      <c r="BH2508" s="25"/>
      <c r="BI2508" s="25"/>
      <c r="BJ2508" s="25"/>
      <c r="BK2508" s="25"/>
      <c r="BL2508" s="25"/>
      <c r="BM2508" s="25"/>
      <c r="BN2508" s="25"/>
      <c r="BO2508" s="25"/>
      <c r="BP2508" s="25"/>
      <c r="BQ2508" s="25"/>
      <c r="BR2508" s="25"/>
      <c r="BS2508" s="25"/>
      <c r="BT2508" s="25"/>
      <c r="BU2508"/>
      <c r="BV2508"/>
      <c r="BW2508"/>
      <c r="BX2508"/>
      <c r="BY2508"/>
      <c r="BZ2508"/>
      <c r="CA2508"/>
      <c r="CB2508"/>
      <c r="CC2508"/>
      <c r="CD2508" s="25"/>
    </row>
    <row r="2509" spans="1:82" s="17" customFormat="1" x14ac:dyDescent="0.2">
      <c r="A2509" s="25"/>
      <c r="B2509" s="20">
        <v>39145002600</v>
      </c>
      <c r="C2509" s="20">
        <v>26</v>
      </c>
      <c r="D2509" s="20" t="s">
        <v>78</v>
      </c>
      <c r="E2509" s="20" t="s">
        <v>265</v>
      </c>
      <c r="F2509" s="20" t="s">
        <v>6</v>
      </c>
      <c r="G2509" s="861">
        <v>36.587264973771298</v>
      </c>
      <c r="H2509" s="861">
        <v>41.178977414020302</v>
      </c>
      <c r="I2509" s="861">
        <v>26.271057574073801</v>
      </c>
      <c r="J2509" s="861">
        <v>42.48432064755</v>
      </c>
      <c r="K2509" s="982">
        <v>0</v>
      </c>
      <c r="L2509" s="735">
        <v>4145</v>
      </c>
      <c r="M2509" s="735">
        <v>4034</v>
      </c>
      <c r="N2509" s="845">
        <f t="shared" si="188"/>
        <v>-2.6779252110977082E-2</v>
      </c>
      <c r="O2509" s="735">
        <v>59.80813440877148</v>
      </c>
      <c r="P2509" s="735">
        <f t="shared" si="189"/>
        <v>67.449019098786209</v>
      </c>
      <c r="Q2509" s="849">
        <v>39.5</v>
      </c>
      <c r="R2509" s="71">
        <v>46231</v>
      </c>
      <c r="S2509" s="845">
        <v>0.23004462072384729</v>
      </c>
      <c r="T2509" s="845">
        <v>3.4000000000000002E-2</v>
      </c>
      <c r="U2509" s="845">
        <v>0.03</v>
      </c>
      <c r="V2509" s="845">
        <v>0</v>
      </c>
      <c r="W2509" s="845">
        <v>0.2628048780487805</v>
      </c>
      <c r="X2509" s="845">
        <v>0.43155452436194897</v>
      </c>
      <c r="Y2509" s="845">
        <v>0.9826474962816063</v>
      </c>
      <c r="Z2509" s="845">
        <v>3.4705007436787306E-3</v>
      </c>
      <c r="AA2509" s="845">
        <v>0</v>
      </c>
      <c r="AB2509" s="845">
        <v>0</v>
      </c>
      <c r="AC2509" s="845">
        <v>0</v>
      </c>
      <c r="AD2509" s="845">
        <v>0</v>
      </c>
      <c r="AE2509" s="845">
        <v>1.3882002974714923E-2</v>
      </c>
      <c r="AF2509" s="845">
        <v>8.1804660386712944E-3</v>
      </c>
      <c r="AG2509" s="845">
        <v>0.97669806643529999</v>
      </c>
      <c r="AH2509" s="20" t="str">
        <f t="shared" si="190"/>
        <v>Yes</v>
      </c>
      <c r="AI2509" s="25"/>
      <c r="AJ2509" s="25"/>
      <c r="AK2509" s="25"/>
      <c r="AL2509" s="25"/>
      <c r="AM2509" s="25"/>
      <c r="AN2509" s="25"/>
      <c r="AO2509" s="25"/>
      <c r="AP2509" s="25"/>
      <c r="AQ2509" s="25"/>
      <c r="AR2509" s="25"/>
      <c r="AS2509" s="25"/>
      <c r="AT2509" s="25"/>
      <c r="AU2509" s="36"/>
      <c r="AV2509" s="36"/>
      <c r="AW2509" s="36"/>
      <c r="AX2509" s="25"/>
      <c r="AY2509" s="25"/>
      <c r="AZ2509" s="25"/>
      <c r="BA2509" s="25"/>
      <c r="BB2509" s="25"/>
      <c r="BC2509" s="25"/>
      <c r="BD2509" s="25"/>
      <c r="BE2509" s="25"/>
      <c r="BF2509" s="25"/>
      <c r="BG2509" s="25"/>
      <c r="BH2509" s="25"/>
      <c r="BI2509" s="25"/>
      <c r="BJ2509" s="25"/>
      <c r="BK2509" s="25"/>
      <c r="BL2509" s="25"/>
      <c r="BM2509" s="25"/>
      <c r="BN2509" s="25"/>
      <c r="BO2509" s="25"/>
      <c r="BP2509" s="25"/>
      <c r="BQ2509" s="25"/>
      <c r="BR2509" s="25"/>
      <c r="BS2509" s="25"/>
      <c r="BT2509" s="25"/>
      <c r="BU2509"/>
      <c r="BV2509"/>
      <c r="BW2509"/>
      <c r="BX2509"/>
      <c r="BY2509"/>
      <c r="BZ2509"/>
      <c r="CA2509"/>
      <c r="CB2509"/>
      <c r="CC2509"/>
      <c r="CD2509" s="25"/>
    </row>
    <row r="2510" spans="1:82" s="17" customFormat="1" x14ac:dyDescent="0.2">
      <c r="A2510" s="25"/>
      <c r="B2510" s="20">
        <v>39119912400</v>
      </c>
      <c r="C2510" s="20">
        <v>9124</v>
      </c>
      <c r="D2510" s="20" t="s">
        <v>65</v>
      </c>
      <c r="E2510" s="20" t="s">
        <v>265</v>
      </c>
      <c r="F2510" s="20" t="s">
        <v>8</v>
      </c>
      <c r="G2510" s="861">
        <v>36.554257452744203</v>
      </c>
      <c r="H2510" s="861">
        <v>33.526071597360101</v>
      </c>
      <c r="I2510" s="861">
        <v>28.073546758664499</v>
      </c>
      <c r="J2510" s="861">
        <v>47.1726824173316</v>
      </c>
      <c r="K2510" s="982">
        <v>0</v>
      </c>
      <c r="L2510" s="735">
        <v>4090</v>
      </c>
      <c r="M2510" s="735">
        <v>4673</v>
      </c>
      <c r="N2510" s="845">
        <f t="shared" si="188"/>
        <v>0.14254278728606357</v>
      </c>
      <c r="O2510" s="735">
        <v>22.24166697043254</v>
      </c>
      <c r="P2510" s="735">
        <f t="shared" si="189"/>
        <v>210.10115861424225</v>
      </c>
      <c r="Q2510" s="849">
        <v>42.7</v>
      </c>
      <c r="R2510" s="71">
        <v>54071</v>
      </c>
      <c r="S2510" s="845">
        <v>0.11214548603593852</v>
      </c>
      <c r="T2510" s="845">
        <v>6.5000000000000002E-2</v>
      </c>
      <c r="U2510" s="845">
        <v>0</v>
      </c>
      <c r="V2510" s="845">
        <v>0</v>
      </c>
      <c r="W2510" s="845">
        <v>0.16528008874098724</v>
      </c>
      <c r="X2510" s="845">
        <v>6.0402684563758392E-2</v>
      </c>
      <c r="Y2510" s="845">
        <v>0.95591696982666385</v>
      </c>
      <c r="Z2510" s="845">
        <v>4.2799058420714745E-4</v>
      </c>
      <c r="AA2510" s="845">
        <v>0</v>
      </c>
      <c r="AB2510" s="845">
        <v>0</v>
      </c>
      <c r="AC2510" s="845">
        <v>0</v>
      </c>
      <c r="AD2510" s="845">
        <v>6.4198587631072112E-4</v>
      </c>
      <c r="AE2510" s="845">
        <v>4.3013053712818321E-2</v>
      </c>
      <c r="AF2510" s="845">
        <v>8.5598116841429494E-3</v>
      </c>
      <c r="AG2510" s="845">
        <v>0.95591696982666385</v>
      </c>
      <c r="AH2510" s="20" t="str">
        <f t="shared" si="190"/>
        <v>Yes</v>
      </c>
      <c r="AI2510" s="25"/>
      <c r="AJ2510" s="25"/>
      <c r="AK2510" s="25"/>
      <c r="AL2510" s="25"/>
      <c r="AM2510" s="25"/>
      <c r="AN2510" s="25"/>
      <c r="AO2510" s="25"/>
      <c r="AP2510" s="25"/>
      <c r="AQ2510" s="25"/>
      <c r="AR2510" s="25"/>
      <c r="AS2510" s="25"/>
      <c r="AT2510" s="25"/>
      <c r="AU2510" s="36"/>
      <c r="AV2510" s="36"/>
      <c r="AW2510" s="36"/>
      <c r="AX2510" s="25"/>
      <c r="AY2510" s="25"/>
      <c r="AZ2510" s="25"/>
      <c r="BA2510" s="25"/>
      <c r="BB2510" s="25"/>
      <c r="BC2510" s="25"/>
      <c r="BD2510" s="25"/>
      <c r="BE2510" s="25"/>
      <c r="BF2510" s="25"/>
      <c r="BG2510" s="25"/>
      <c r="BH2510" s="25"/>
      <c r="BI2510" s="25"/>
      <c r="BJ2510" s="25"/>
      <c r="BK2510" s="25"/>
      <c r="BL2510" s="25"/>
      <c r="BM2510" s="25"/>
      <c r="BN2510" s="25"/>
      <c r="BO2510" s="25"/>
      <c r="BP2510" s="25"/>
      <c r="BQ2510" s="25"/>
      <c r="BR2510" s="25"/>
      <c r="BS2510" s="25"/>
      <c r="BT2510" s="25"/>
      <c r="BU2510"/>
      <c r="BV2510"/>
      <c r="BW2510"/>
      <c r="BX2510"/>
      <c r="BY2510"/>
      <c r="BZ2510"/>
      <c r="CA2510"/>
      <c r="CB2510"/>
      <c r="CC2510"/>
      <c r="CD2510" s="25"/>
    </row>
    <row r="2511" spans="1:82" s="17" customFormat="1" x14ac:dyDescent="0.2">
      <c r="A2511" s="25"/>
      <c r="B2511" s="20">
        <v>39081011700</v>
      </c>
      <c r="C2511" s="20">
        <v>117</v>
      </c>
      <c r="D2511" s="20" t="s">
        <v>47</v>
      </c>
      <c r="E2511" s="20" t="s">
        <v>2840</v>
      </c>
      <c r="F2511" s="20" t="s">
        <v>8</v>
      </c>
      <c r="G2511" s="861">
        <v>36.5450771377987</v>
      </c>
      <c r="H2511" s="861">
        <v>36.379003900623204</v>
      </c>
      <c r="I2511" s="861">
        <v>31.343237553944299</v>
      </c>
      <c r="J2511" s="861">
        <v>44.560099565621002</v>
      </c>
      <c r="K2511" s="982">
        <v>0</v>
      </c>
      <c r="L2511" s="735">
        <v>4381</v>
      </c>
      <c r="M2511" s="735">
        <v>4120</v>
      </c>
      <c r="N2511" s="845">
        <f t="shared" si="188"/>
        <v>-5.9575439397397852E-2</v>
      </c>
      <c r="O2511" s="735">
        <v>25.13145629846154</v>
      </c>
      <c r="P2511" s="735">
        <f t="shared" si="189"/>
        <v>163.93797283654479</v>
      </c>
      <c r="Q2511" s="849">
        <v>41.7</v>
      </c>
      <c r="R2511" s="71">
        <v>76389</v>
      </c>
      <c r="S2511" s="845">
        <v>9.9429704934292096E-2</v>
      </c>
      <c r="T2511" s="845">
        <v>5.4000000000000006E-2</v>
      </c>
      <c r="U2511" s="845">
        <v>0</v>
      </c>
      <c r="V2511" s="845">
        <v>0</v>
      </c>
      <c r="W2511" s="845">
        <v>0.24044389642416769</v>
      </c>
      <c r="X2511" s="845">
        <v>0.47179487179487178</v>
      </c>
      <c r="Y2511" s="845">
        <v>0.85024271844660193</v>
      </c>
      <c r="Z2511" s="845">
        <v>0.11674757281553398</v>
      </c>
      <c r="AA2511" s="845">
        <v>0</v>
      </c>
      <c r="AB2511" s="845">
        <v>9.4660194174757285E-3</v>
      </c>
      <c r="AC2511" s="845">
        <v>0</v>
      </c>
      <c r="AD2511" s="845">
        <v>0</v>
      </c>
      <c r="AE2511" s="845">
        <v>2.3543689320388351E-2</v>
      </c>
      <c r="AF2511" s="845">
        <v>8.9805825242718438E-3</v>
      </c>
      <c r="AG2511" s="845">
        <v>0.85024271844660193</v>
      </c>
      <c r="AH2511" s="20" t="str">
        <f t="shared" si="190"/>
        <v>No</v>
      </c>
      <c r="AI2511" s="25"/>
      <c r="AJ2511" s="25"/>
      <c r="AK2511" s="25"/>
      <c r="AL2511" s="25"/>
      <c r="AM2511" s="25"/>
      <c r="AN2511" s="25"/>
      <c r="AO2511" s="25"/>
      <c r="AP2511" s="25"/>
      <c r="AQ2511" s="25"/>
      <c r="AR2511" s="25"/>
      <c r="AS2511" s="25"/>
      <c r="AT2511" s="25"/>
      <c r="AU2511" s="36"/>
      <c r="AV2511" s="36"/>
      <c r="AW2511" s="36"/>
      <c r="AX2511" s="25"/>
      <c r="AY2511" s="25"/>
      <c r="AZ2511" s="25"/>
      <c r="BA2511" s="25"/>
      <c r="BB2511" s="25"/>
      <c r="BC2511" s="25"/>
      <c r="BD2511" s="25"/>
      <c r="BE2511" s="25"/>
      <c r="BF2511" s="25"/>
      <c r="BG2511" s="25"/>
      <c r="BH2511" s="25"/>
      <c r="BI2511" s="25"/>
      <c r="BJ2511" s="25"/>
      <c r="BK2511" s="25"/>
      <c r="BL2511" s="25"/>
      <c r="BM2511" s="25"/>
      <c r="BN2511" s="25"/>
      <c r="BO2511" s="25"/>
      <c r="BP2511" s="25"/>
      <c r="BQ2511" s="25"/>
      <c r="BR2511" s="25"/>
      <c r="BS2511" s="25"/>
      <c r="BT2511" s="25"/>
      <c r="BU2511"/>
      <c r="BV2511"/>
      <c r="BW2511"/>
      <c r="BX2511"/>
      <c r="BY2511"/>
      <c r="BZ2511"/>
      <c r="CA2511"/>
      <c r="CB2511"/>
      <c r="CC2511"/>
      <c r="CD2511" s="25"/>
    </row>
    <row r="2512" spans="1:82" s="17" customFormat="1" x14ac:dyDescent="0.2">
      <c r="A2512" s="25"/>
      <c r="B2512" s="20">
        <v>39113070101</v>
      </c>
      <c r="C2512" s="20">
        <v>701.01</v>
      </c>
      <c r="D2512" s="20" t="s">
        <v>62</v>
      </c>
      <c r="E2512" s="20" t="s">
        <v>2833</v>
      </c>
      <c r="F2512" s="20" t="s">
        <v>8</v>
      </c>
      <c r="G2512" s="861">
        <v>36.542742373384797</v>
      </c>
      <c r="H2512" s="861">
        <v>46.033168792409903</v>
      </c>
      <c r="I2512" s="861">
        <v>37.677820694508398</v>
      </c>
      <c r="J2512" s="861">
        <v>44.261513900140898</v>
      </c>
      <c r="K2512" s="982">
        <v>0</v>
      </c>
      <c r="L2512" s="735">
        <v>4788</v>
      </c>
      <c r="M2512" s="735">
        <v>4087</v>
      </c>
      <c r="N2512" s="845">
        <f t="shared" si="188"/>
        <v>-0.1464076858813701</v>
      </c>
      <c r="O2512" s="735">
        <v>16.937476211039442</v>
      </c>
      <c r="P2512" s="735">
        <f t="shared" si="189"/>
        <v>241.299231897146</v>
      </c>
      <c r="Q2512" s="849">
        <v>43.3</v>
      </c>
      <c r="R2512" s="71">
        <v>49953</v>
      </c>
      <c r="S2512" s="845">
        <v>0.23342304869097139</v>
      </c>
      <c r="T2512" s="845">
        <v>0.08</v>
      </c>
      <c r="U2512" s="845">
        <v>0</v>
      </c>
      <c r="V2512" s="845">
        <v>8.3000000000000004E-2</v>
      </c>
      <c r="W2512" s="845">
        <v>0.40671865626874626</v>
      </c>
      <c r="X2512" s="845">
        <v>0.33628318584070799</v>
      </c>
      <c r="Y2512" s="845">
        <v>0.50012233912405191</v>
      </c>
      <c r="Z2512" s="845">
        <v>0.39393197944702718</v>
      </c>
      <c r="AA2512" s="845">
        <v>0</v>
      </c>
      <c r="AB2512" s="845">
        <v>5.1137753853682411E-2</v>
      </c>
      <c r="AC2512" s="845">
        <v>0</v>
      </c>
      <c r="AD2512" s="845">
        <v>5.8722779544898461E-3</v>
      </c>
      <c r="AE2512" s="845">
        <v>4.8935649620748714E-2</v>
      </c>
      <c r="AF2512" s="845">
        <v>6.6063126988010765E-3</v>
      </c>
      <c r="AG2512" s="845">
        <v>0.4964521654024957</v>
      </c>
      <c r="AH2512" s="20" t="str">
        <f t="shared" si="190"/>
        <v>No</v>
      </c>
      <c r="AI2512" s="25"/>
      <c r="AJ2512" s="25"/>
      <c r="AK2512" s="25"/>
      <c r="AL2512" s="25"/>
      <c r="AM2512" s="25"/>
      <c r="AN2512" s="25"/>
      <c r="AO2512" s="25"/>
      <c r="AP2512" s="25"/>
      <c r="AQ2512" s="25"/>
      <c r="AR2512" s="25"/>
      <c r="AS2512" s="25"/>
      <c r="AT2512" s="25"/>
      <c r="AU2512" s="36"/>
      <c r="AV2512" s="36"/>
      <c r="AW2512" s="36"/>
      <c r="AX2512" s="25"/>
      <c r="AY2512" s="25"/>
      <c r="AZ2512" s="25"/>
      <c r="BA2512" s="25"/>
      <c r="BB2512" s="25"/>
      <c r="BC2512" s="25"/>
      <c r="BD2512" s="25"/>
      <c r="BE2512" s="25"/>
      <c r="BF2512" s="25"/>
      <c r="BG2512" s="25"/>
      <c r="BH2512" s="25"/>
      <c r="BI2512" s="25"/>
      <c r="BJ2512" s="25"/>
      <c r="BK2512" s="25"/>
      <c r="BL2512" s="25"/>
      <c r="BM2512" s="25"/>
      <c r="BN2512" s="25"/>
      <c r="BO2512" s="25"/>
      <c r="BP2512" s="25"/>
      <c r="BQ2512" s="25"/>
      <c r="BR2512" s="25"/>
      <c r="BS2512" s="25"/>
      <c r="BT2512" s="25"/>
      <c r="BU2512"/>
      <c r="BV2512"/>
      <c r="BW2512"/>
      <c r="BX2512"/>
      <c r="BY2512"/>
      <c r="BZ2512"/>
      <c r="CA2512"/>
      <c r="CB2512"/>
      <c r="CC2512"/>
      <c r="CD2512" s="25"/>
    </row>
    <row r="2513" spans="1:82" s="17" customFormat="1" x14ac:dyDescent="0.2">
      <c r="A2513" s="25"/>
      <c r="B2513" s="20">
        <v>39049008002</v>
      </c>
      <c r="C2513" s="20">
        <v>80.02</v>
      </c>
      <c r="D2513" s="20" t="s">
        <v>31</v>
      </c>
      <c r="E2513" s="20" t="s">
        <v>2830</v>
      </c>
      <c r="F2513" s="20" t="s">
        <v>8</v>
      </c>
      <c r="G2513" s="861">
        <v>36.539137382377596</v>
      </c>
      <c r="H2513" s="861">
        <v>64.933255204423304</v>
      </c>
      <c r="I2513" s="861">
        <v>39.881127920986501</v>
      </c>
      <c r="J2513" s="861">
        <v>29.575632005592499</v>
      </c>
      <c r="K2513" s="982">
        <v>0</v>
      </c>
      <c r="L2513" s="735" t="s">
        <v>2466</v>
      </c>
      <c r="M2513" s="735">
        <v>3293</v>
      </c>
      <c r="N2513" s="845" t="str">
        <f t="shared" si="188"/>
        <v/>
      </c>
      <c r="O2513" s="735">
        <v>3.3727444409001555</v>
      </c>
      <c r="P2513" s="735">
        <f t="shared" si="189"/>
        <v>976.35621604378889</v>
      </c>
      <c r="Q2513" s="849">
        <v>37</v>
      </c>
      <c r="R2513" s="71">
        <v>95066</v>
      </c>
      <c r="S2513" s="845">
        <v>1.579107197084725E-2</v>
      </c>
      <c r="T2513" s="845">
        <v>0.02</v>
      </c>
      <c r="U2513" s="845">
        <v>0</v>
      </c>
      <c r="V2513" s="845">
        <v>0</v>
      </c>
      <c r="W2513" s="845">
        <v>3.5357417371252885E-2</v>
      </c>
      <c r="X2513" s="845">
        <v>0</v>
      </c>
      <c r="Y2513" s="845">
        <v>0.92225933798967508</v>
      </c>
      <c r="Z2513" s="845">
        <v>2.4293956878226543E-3</v>
      </c>
      <c r="AA2513" s="845">
        <v>1.5183723048891589E-3</v>
      </c>
      <c r="AB2513" s="845">
        <v>2.763437594898269E-2</v>
      </c>
      <c r="AC2513" s="845">
        <v>0</v>
      </c>
      <c r="AD2513" s="845">
        <v>1.3058001822046765E-2</v>
      </c>
      <c r="AE2513" s="845">
        <v>3.310051624658366E-2</v>
      </c>
      <c r="AF2513" s="845">
        <v>3.2493167324628001E-2</v>
      </c>
      <c r="AG2513" s="845">
        <v>0.92225933798967508</v>
      </c>
      <c r="AH2513" s="20" t="str">
        <f t="shared" si="190"/>
        <v>Yes</v>
      </c>
      <c r="AI2513" s="25"/>
      <c r="AJ2513" s="25"/>
      <c r="AK2513" s="25"/>
      <c r="AL2513" s="25"/>
      <c r="AM2513" s="25"/>
      <c r="AN2513" s="25"/>
      <c r="AO2513" s="25"/>
      <c r="AP2513" s="25"/>
      <c r="AQ2513" s="25"/>
      <c r="AR2513" s="25"/>
      <c r="AS2513" s="25"/>
      <c r="AT2513" s="25"/>
      <c r="AU2513" s="36"/>
      <c r="AV2513" s="36"/>
      <c r="AW2513" s="36"/>
      <c r="AX2513" s="25"/>
      <c r="AY2513" s="25"/>
      <c r="AZ2513" s="25"/>
      <c r="BA2513" s="25"/>
      <c r="BB2513" s="25"/>
      <c r="BC2513" s="25"/>
      <c r="BD2513" s="25"/>
      <c r="BE2513" s="25"/>
      <c r="BF2513" s="25"/>
      <c r="BG2513" s="25"/>
      <c r="BH2513" s="25"/>
      <c r="BI2513" s="25"/>
      <c r="BJ2513" s="25"/>
      <c r="BK2513" s="25"/>
      <c r="BL2513" s="25"/>
      <c r="BM2513" s="25"/>
      <c r="BN2513" s="25"/>
      <c r="BO2513" s="25"/>
      <c r="BP2513" s="25"/>
      <c r="BQ2513" s="25"/>
      <c r="BR2513" s="25"/>
      <c r="BS2513" s="25"/>
      <c r="BT2513" s="25"/>
      <c r="BU2513"/>
      <c r="BV2513"/>
      <c r="BW2513"/>
      <c r="BX2513"/>
      <c r="BY2513"/>
      <c r="BZ2513"/>
      <c r="CA2513"/>
      <c r="CB2513"/>
      <c r="CC2513"/>
      <c r="CD2513" s="25"/>
    </row>
    <row r="2514" spans="1:82" s="17" customFormat="1" x14ac:dyDescent="0.2">
      <c r="A2514" s="25"/>
      <c r="B2514" s="20">
        <v>39095005300</v>
      </c>
      <c r="C2514" s="20">
        <v>53</v>
      </c>
      <c r="D2514" s="20" t="s">
        <v>53</v>
      </c>
      <c r="E2514" s="20" t="s">
        <v>2839</v>
      </c>
      <c r="F2514" s="20" t="s">
        <v>6</v>
      </c>
      <c r="G2514" s="861">
        <v>36.532257399275402</v>
      </c>
      <c r="H2514" s="861">
        <v>41.067984048522199</v>
      </c>
      <c r="I2514" s="861">
        <v>54.826732743364801</v>
      </c>
      <c r="J2514" s="861">
        <v>54.709947248090401</v>
      </c>
      <c r="K2514" s="982">
        <v>0</v>
      </c>
      <c r="L2514" s="735">
        <v>2237</v>
      </c>
      <c r="M2514" s="735">
        <v>2025</v>
      </c>
      <c r="N2514" s="845">
        <f t="shared" si="188"/>
        <v>-9.476978095663835E-2</v>
      </c>
      <c r="O2514" s="735">
        <v>0.46037431422802944</v>
      </c>
      <c r="P2514" s="735">
        <f t="shared" si="189"/>
        <v>4398.5946596425247</v>
      </c>
      <c r="Q2514" s="849">
        <v>31.2</v>
      </c>
      <c r="R2514" s="71">
        <v>56875</v>
      </c>
      <c r="S2514" s="845">
        <v>0.45653253849975162</v>
      </c>
      <c r="T2514" s="845">
        <v>0.16399999999999998</v>
      </c>
      <c r="U2514" s="845">
        <v>0</v>
      </c>
      <c r="V2514" s="845">
        <v>0</v>
      </c>
      <c r="W2514" s="845">
        <v>0.52340425531914891</v>
      </c>
      <c r="X2514" s="845">
        <v>0.31707317073170732</v>
      </c>
      <c r="Y2514" s="845">
        <v>0.62271604938271607</v>
      </c>
      <c r="Z2514" s="845">
        <v>0.1111111111111111</v>
      </c>
      <c r="AA2514" s="845">
        <v>3.0617283950617285E-2</v>
      </c>
      <c r="AB2514" s="845">
        <v>0</v>
      </c>
      <c r="AC2514" s="845">
        <v>0</v>
      </c>
      <c r="AD2514" s="845">
        <v>0.13283950617283952</v>
      </c>
      <c r="AE2514" s="845">
        <v>0.10271604938271604</v>
      </c>
      <c r="AF2514" s="845">
        <v>0.1728395061728395</v>
      </c>
      <c r="AG2514" s="845">
        <v>0.61135802469135803</v>
      </c>
      <c r="AH2514" s="20" t="str">
        <f t="shared" si="190"/>
        <v>No</v>
      </c>
      <c r="AI2514" s="25"/>
      <c r="AJ2514" s="25"/>
      <c r="AK2514" s="25"/>
      <c r="AL2514" s="25"/>
      <c r="AM2514" s="25"/>
      <c r="AN2514" s="25"/>
      <c r="AO2514" s="25"/>
      <c r="AP2514" s="25"/>
      <c r="AQ2514" s="25"/>
      <c r="AR2514" s="25"/>
      <c r="AS2514" s="25"/>
      <c r="AT2514" s="25"/>
      <c r="AU2514" s="36"/>
      <c r="AV2514" s="36"/>
      <c r="AW2514" s="36"/>
      <c r="AX2514" s="25"/>
      <c r="AY2514" s="25"/>
      <c r="AZ2514" s="25"/>
      <c r="BA2514" s="25"/>
      <c r="BB2514" s="25"/>
      <c r="BC2514" s="25"/>
      <c r="BD2514" s="25"/>
      <c r="BE2514" s="25"/>
      <c r="BF2514" s="25"/>
      <c r="BG2514" s="25"/>
      <c r="BH2514" s="25"/>
      <c r="BI2514" s="25"/>
      <c r="BJ2514" s="25"/>
      <c r="BK2514" s="25"/>
      <c r="BL2514" s="25"/>
      <c r="BM2514" s="25"/>
      <c r="BN2514" s="25"/>
      <c r="BO2514" s="25"/>
      <c r="BP2514" s="25"/>
      <c r="BQ2514" s="25"/>
      <c r="BR2514" s="25"/>
      <c r="BS2514" s="25"/>
      <c r="BT2514" s="25"/>
      <c r="BU2514"/>
      <c r="BV2514"/>
      <c r="BW2514"/>
      <c r="BX2514"/>
      <c r="BY2514"/>
      <c r="BZ2514"/>
      <c r="CA2514"/>
      <c r="CB2514"/>
      <c r="CC2514"/>
      <c r="CD2514" s="25"/>
    </row>
    <row r="2515" spans="1:82" s="17" customFormat="1" x14ac:dyDescent="0.2">
      <c r="A2515" s="25"/>
      <c r="B2515" s="20">
        <v>39169001400</v>
      </c>
      <c r="C2515" s="20">
        <v>14</v>
      </c>
      <c r="D2515" s="20" t="s">
        <v>90</v>
      </c>
      <c r="E2515" s="20" t="s">
        <v>265</v>
      </c>
      <c r="F2515" s="20" t="s">
        <v>8</v>
      </c>
      <c r="G2515" s="861">
        <v>36.5247577015394</v>
      </c>
      <c r="H2515" s="861">
        <v>40.567230882457501</v>
      </c>
      <c r="I2515" s="861">
        <v>22.962899532268601</v>
      </c>
      <c r="J2515" s="861">
        <v>33.004652624063503</v>
      </c>
      <c r="K2515" s="982">
        <v>0</v>
      </c>
      <c r="L2515" s="735">
        <v>3193</v>
      </c>
      <c r="M2515" s="735">
        <v>2962</v>
      </c>
      <c r="N2515" s="845">
        <f t="shared" si="188"/>
        <v>-7.2345756341998121E-2</v>
      </c>
      <c r="O2515" s="735">
        <v>17.23934053118105</v>
      </c>
      <c r="P2515" s="735">
        <f t="shared" si="189"/>
        <v>171.81631714058824</v>
      </c>
      <c r="Q2515" s="849">
        <v>36</v>
      </c>
      <c r="R2515" s="71">
        <v>63684</v>
      </c>
      <c r="S2515" s="845">
        <v>6.5395095367847406E-2</v>
      </c>
      <c r="T2515" s="845">
        <v>5.0999999999999997E-2</v>
      </c>
      <c r="U2515" s="845">
        <v>0</v>
      </c>
      <c r="V2515" s="845">
        <v>0</v>
      </c>
      <c r="W2515" s="845">
        <v>0.17739130434782607</v>
      </c>
      <c r="X2515" s="845">
        <v>0.29411764705882354</v>
      </c>
      <c r="Y2515" s="845">
        <v>0.98480756245779877</v>
      </c>
      <c r="Z2515" s="845">
        <v>0</v>
      </c>
      <c r="AA2515" s="845">
        <v>0</v>
      </c>
      <c r="AB2515" s="845">
        <v>0</v>
      </c>
      <c r="AC2515" s="845">
        <v>0</v>
      </c>
      <c r="AD2515" s="845">
        <v>2.3632680621201892E-3</v>
      </c>
      <c r="AE2515" s="845">
        <v>1.2829169480081027E-2</v>
      </c>
      <c r="AF2515" s="845">
        <v>0</v>
      </c>
      <c r="AG2515" s="845">
        <v>0.98480756245779877</v>
      </c>
      <c r="AH2515" s="20" t="str">
        <f t="shared" si="190"/>
        <v>Yes</v>
      </c>
      <c r="AI2515" s="25"/>
      <c r="AJ2515" s="25"/>
      <c r="AK2515" s="25"/>
      <c r="AL2515" s="25"/>
      <c r="AM2515" s="25"/>
      <c r="AN2515" s="25"/>
      <c r="AO2515" s="25"/>
      <c r="AP2515" s="25"/>
      <c r="AQ2515" s="25"/>
      <c r="AR2515" s="25"/>
      <c r="AS2515" s="25"/>
      <c r="AT2515" s="25"/>
      <c r="AU2515" s="36"/>
      <c r="AV2515" s="36"/>
      <c r="AW2515" s="36"/>
      <c r="AX2515" s="25"/>
      <c r="AY2515" s="25"/>
      <c r="AZ2515" s="25"/>
      <c r="BA2515" s="25"/>
      <c r="BB2515" s="25"/>
      <c r="BC2515" s="25"/>
      <c r="BD2515" s="25"/>
      <c r="BE2515" s="25"/>
      <c r="BF2515" s="25"/>
      <c r="BG2515" s="25"/>
      <c r="BH2515" s="25"/>
      <c r="BI2515" s="25"/>
      <c r="BJ2515" s="25"/>
      <c r="BK2515" s="25"/>
      <c r="BL2515" s="25"/>
      <c r="BM2515" s="25"/>
      <c r="BN2515" s="25"/>
      <c r="BO2515" s="25"/>
      <c r="BP2515" s="25"/>
      <c r="BQ2515" s="25"/>
      <c r="BR2515" s="25"/>
      <c r="BS2515" s="25"/>
      <c r="BT2515" s="25"/>
      <c r="BU2515"/>
      <c r="BV2515"/>
      <c r="BW2515"/>
      <c r="BX2515"/>
      <c r="BY2515"/>
      <c r="BZ2515"/>
      <c r="CA2515"/>
      <c r="CB2515"/>
      <c r="CC2515"/>
      <c r="CD2515" s="25"/>
    </row>
    <row r="2516" spans="1:82" s="17" customFormat="1" x14ac:dyDescent="0.2">
      <c r="A2516" s="25"/>
      <c r="B2516" s="20">
        <v>39153508600</v>
      </c>
      <c r="C2516" s="20">
        <v>5086</v>
      </c>
      <c r="D2516" s="20" t="s">
        <v>82</v>
      </c>
      <c r="E2516" s="20" t="s">
        <v>2843</v>
      </c>
      <c r="F2516" s="20" t="s">
        <v>6</v>
      </c>
      <c r="G2516" s="861">
        <v>36.520689144457798</v>
      </c>
      <c r="H2516" s="861">
        <v>31.5811249537769</v>
      </c>
      <c r="I2516" s="861">
        <v>58.705582872485699</v>
      </c>
      <c r="J2516" s="861">
        <v>49.193286133868902</v>
      </c>
      <c r="K2516" s="982">
        <v>0</v>
      </c>
      <c r="L2516" s="735">
        <v>2933</v>
      </c>
      <c r="M2516" s="735">
        <v>2558</v>
      </c>
      <c r="N2516" s="845">
        <f t="shared" si="188"/>
        <v>-0.12785543811796796</v>
      </c>
      <c r="O2516" s="735">
        <v>0.65620224024889451</v>
      </c>
      <c r="P2516" s="735">
        <f t="shared" si="189"/>
        <v>3898.1884594447015</v>
      </c>
      <c r="Q2516" s="849">
        <v>38.799999999999997</v>
      </c>
      <c r="R2516" s="71">
        <v>26496</v>
      </c>
      <c r="S2516" s="845">
        <v>0.39288506645817045</v>
      </c>
      <c r="T2516" s="845">
        <v>0.22699999999999998</v>
      </c>
      <c r="U2516" s="845">
        <v>0</v>
      </c>
      <c r="V2516" s="845">
        <v>0</v>
      </c>
      <c r="W2516" s="845">
        <v>0.62447257383966248</v>
      </c>
      <c r="X2516" s="845">
        <v>0.5</v>
      </c>
      <c r="Y2516" s="845">
        <v>0.21266614542611414</v>
      </c>
      <c r="Z2516" s="845">
        <v>0.73221266614542613</v>
      </c>
      <c r="AA2516" s="845">
        <v>0</v>
      </c>
      <c r="AB2516" s="845">
        <v>3.9093041438623924E-4</v>
      </c>
      <c r="AC2516" s="845">
        <v>0</v>
      </c>
      <c r="AD2516" s="845">
        <v>1.4855355746677092E-2</v>
      </c>
      <c r="AE2516" s="845">
        <v>3.98749022673964E-2</v>
      </c>
      <c r="AF2516" s="845">
        <v>2.150117279124316E-2</v>
      </c>
      <c r="AG2516" s="845">
        <v>0.20602032838154807</v>
      </c>
      <c r="AH2516" s="20" t="str">
        <f t="shared" si="190"/>
        <v>No</v>
      </c>
      <c r="AI2516" s="25"/>
      <c r="AJ2516" s="25"/>
      <c r="AK2516" s="25"/>
      <c r="AL2516" s="25"/>
      <c r="AM2516" s="25"/>
      <c r="AN2516" s="25"/>
      <c r="AO2516" s="25"/>
      <c r="AP2516" s="25"/>
      <c r="AQ2516" s="25"/>
      <c r="AR2516" s="25"/>
      <c r="AS2516" s="25"/>
      <c r="AT2516" s="25"/>
      <c r="AU2516" s="36"/>
      <c r="AV2516" s="36"/>
      <c r="AW2516" s="36"/>
      <c r="AX2516" s="25"/>
      <c r="AY2516" s="25"/>
      <c r="AZ2516" s="25"/>
      <c r="BA2516" s="25"/>
      <c r="BB2516" s="25"/>
      <c r="BC2516" s="25"/>
      <c r="BD2516" s="25"/>
      <c r="BE2516" s="25"/>
      <c r="BF2516" s="25"/>
      <c r="BG2516" s="25"/>
      <c r="BH2516" s="25"/>
      <c r="BI2516" s="25"/>
      <c r="BJ2516" s="25"/>
      <c r="BK2516" s="25"/>
      <c r="BL2516" s="25"/>
      <c r="BM2516" s="25"/>
      <c r="BN2516" s="25"/>
      <c r="BO2516" s="25"/>
      <c r="BP2516" s="25"/>
      <c r="BQ2516" s="25"/>
      <c r="BR2516" s="25"/>
      <c r="BS2516" s="25"/>
      <c r="BT2516" s="25"/>
      <c r="BU2516"/>
      <c r="BV2516"/>
      <c r="BW2516"/>
      <c r="BX2516"/>
      <c r="BY2516"/>
      <c r="BZ2516"/>
      <c r="CA2516"/>
      <c r="CB2516"/>
      <c r="CC2516"/>
      <c r="CD2516" s="25"/>
    </row>
    <row r="2517" spans="1:82" s="17" customFormat="1" x14ac:dyDescent="0.2">
      <c r="A2517" s="25"/>
      <c r="B2517" s="20">
        <v>39111966900</v>
      </c>
      <c r="C2517" s="20">
        <v>9669</v>
      </c>
      <c r="D2517" s="20" t="s">
        <v>61</v>
      </c>
      <c r="E2517" s="20" t="s">
        <v>265</v>
      </c>
      <c r="F2517" s="20" t="s">
        <v>8</v>
      </c>
      <c r="G2517" s="861">
        <v>36.5144874338677</v>
      </c>
      <c r="H2517" s="861">
        <v>43.469383926683598</v>
      </c>
      <c r="I2517" s="861">
        <v>19.4967136166728</v>
      </c>
      <c r="J2517" s="861">
        <v>53.784211939261198</v>
      </c>
      <c r="K2517" s="982">
        <v>0</v>
      </c>
      <c r="L2517" s="735">
        <v>3709</v>
      </c>
      <c r="M2517" s="735">
        <v>3063</v>
      </c>
      <c r="N2517" s="845">
        <f t="shared" si="188"/>
        <v>-0.17417093556214613</v>
      </c>
      <c r="O2517" s="735">
        <v>176.86024975612727</v>
      </c>
      <c r="P2517" s="735">
        <f t="shared" si="189"/>
        <v>17.318758761358602</v>
      </c>
      <c r="Q2517" s="849">
        <v>45.9</v>
      </c>
      <c r="R2517" s="71">
        <v>62589</v>
      </c>
      <c r="S2517" s="845">
        <v>0.15540983606557376</v>
      </c>
      <c r="T2517" s="845">
        <v>2.5000000000000001E-2</v>
      </c>
      <c r="U2517" s="845">
        <v>0</v>
      </c>
      <c r="V2517" s="845">
        <v>0</v>
      </c>
      <c r="W2517" s="845">
        <v>0.1314935064935065</v>
      </c>
      <c r="X2517" s="845">
        <v>3.7037037037037035E-2</v>
      </c>
      <c r="Y2517" s="845">
        <v>0.95298726738491679</v>
      </c>
      <c r="Z2517" s="845">
        <v>1.7303297420829252E-2</v>
      </c>
      <c r="AA2517" s="845">
        <v>0</v>
      </c>
      <c r="AB2517" s="845">
        <v>2.9382957884427031E-3</v>
      </c>
      <c r="AC2517" s="845">
        <v>0</v>
      </c>
      <c r="AD2517" s="845">
        <v>1.4038524322559582E-2</v>
      </c>
      <c r="AE2517" s="845">
        <v>1.2732615083251714E-2</v>
      </c>
      <c r="AF2517" s="845">
        <v>0</v>
      </c>
      <c r="AG2517" s="845">
        <v>0.95298726738491679</v>
      </c>
      <c r="AH2517" s="20" t="str">
        <f t="shared" si="190"/>
        <v>Yes</v>
      </c>
      <c r="AI2517" s="25"/>
      <c r="AJ2517" s="25"/>
      <c r="AK2517" s="25"/>
      <c r="AL2517" s="25"/>
      <c r="AM2517" s="25"/>
      <c r="AN2517" s="25"/>
      <c r="AO2517" s="25"/>
      <c r="AP2517" s="25"/>
      <c r="AQ2517" s="25"/>
      <c r="AR2517" s="25"/>
      <c r="AS2517" s="25"/>
      <c r="AT2517" s="25"/>
      <c r="AU2517" s="36"/>
      <c r="AV2517" s="36"/>
      <c r="AW2517" s="36"/>
      <c r="AX2517" s="25"/>
      <c r="AY2517" s="25"/>
      <c r="AZ2517" s="25"/>
      <c r="BA2517" s="25"/>
      <c r="BB2517" s="25"/>
      <c r="BC2517" s="25"/>
      <c r="BD2517" s="25"/>
      <c r="BE2517" s="25"/>
      <c r="BF2517" s="25"/>
      <c r="BG2517" s="25"/>
      <c r="BH2517" s="25"/>
      <c r="BI2517" s="25"/>
      <c r="BJ2517" s="25"/>
      <c r="BK2517" s="25"/>
      <c r="BL2517" s="25"/>
      <c r="BM2517" s="25"/>
      <c r="BN2517" s="25"/>
      <c r="BO2517" s="25"/>
      <c r="BP2517" s="25"/>
      <c r="BQ2517" s="25"/>
      <c r="BR2517" s="25"/>
      <c r="BS2517" s="25"/>
      <c r="BT2517" s="25"/>
      <c r="BU2517"/>
      <c r="BV2517"/>
      <c r="BW2517"/>
      <c r="BX2517"/>
      <c r="BY2517"/>
      <c r="BZ2517"/>
      <c r="CA2517"/>
      <c r="CB2517"/>
      <c r="CC2517"/>
      <c r="CD2517" s="25"/>
    </row>
    <row r="2518" spans="1:82" s="17" customFormat="1" x14ac:dyDescent="0.2">
      <c r="A2518" s="25"/>
      <c r="B2518" s="20">
        <v>39061026102</v>
      </c>
      <c r="C2518" s="20">
        <v>261.02</v>
      </c>
      <c r="D2518" s="20" t="s">
        <v>37</v>
      </c>
      <c r="E2518" s="20" t="s">
        <v>2828</v>
      </c>
      <c r="F2518" s="20" t="s">
        <v>6</v>
      </c>
      <c r="G2518" s="861">
        <v>36.510024166776802</v>
      </c>
      <c r="H2518" s="861">
        <v>47.082125026305903</v>
      </c>
      <c r="I2518" s="861">
        <v>31.756418681625199</v>
      </c>
      <c r="J2518" s="861">
        <v>31.210010376957602</v>
      </c>
      <c r="K2518" s="982">
        <v>0</v>
      </c>
      <c r="L2518" s="735">
        <v>3256</v>
      </c>
      <c r="M2518" s="735">
        <v>2917</v>
      </c>
      <c r="N2518" s="845">
        <f t="shared" si="188"/>
        <v>-0.10411547911547911</v>
      </c>
      <c r="O2518" s="735">
        <v>13.852294866326627</v>
      </c>
      <c r="P2518" s="735">
        <f t="shared" si="189"/>
        <v>210.57882669613824</v>
      </c>
      <c r="Q2518" s="849">
        <v>50.5</v>
      </c>
      <c r="R2518" s="71">
        <v>47500</v>
      </c>
      <c r="S2518" s="845">
        <v>0.12432432432432433</v>
      </c>
      <c r="T2518" s="845">
        <v>3.2000000000000001E-2</v>
      </c>
      <c r="U2518" s="845">
        <v>0</v>
      </c>
      <c r="V2518" s="845">
        <v>0</v>
      </c>
      <c r="W2518" s="845">
        <v>0.1625207296849088</v>
      </c>
      <c r="X2518" s="845">
        <v>0.29081632653061223</v>
      </c>
      <c r="Y2518" s="845">
        <v>0.92115186835790197</v>
      </c>
      <c r="Z2518" s="845">
        <v>2.3997257456290708E-3</v>
      </c>
      <c r="AA2518" s="845">
        <v>0</v>
      </c>
      <c r="AB2518" s="845">
        <v>0</v>
      </c>
      <c r="AC2518" s="845">
        <v>0</v>
      </c>
      <c r="AD2518" s="845">
        <v>3.3938978402468289E-2</v>
      </c>
      <c r="AE2518" s="845">
        <v>4.2509427494000683E-2</v>
      </c>
      <c r="AF2518" s="845">
        <v>3.7024340075419951E-2</v>
      </c>
      <c r="AG2518" s="845">
        <v>0.92115186835790197</v>
      </c>
      <c r="AH2518" s="20" t="str">
        <f t="shared" si="190"/>
        <v>Yes</v>
      </c>
      <c r="AI2518" s="25"/>
      <c r="AJ2518" s="25"/>
      <c r="AK2518" s="25"/>
      <c r="AL2518" s="25"/>
      <c r="AM2518" s="25"/>
      <c r="AN2518" s="25"/>
      <c r="AO2518" s="25"/>
      <c r="AP2518" s="25"/>
      <c r="AQ2518" s="25"/>
      <c r="AR2518" s="25"/>
      <c r="AS2518" s="25"/>
      <c r="AT2518" s="25"/>
      <c r="AU2518" s="36"/>
      <c r="AV2518" s="36"/>
      <c r="AW2518" s="36"/>
      <c r="AX2518" s="25"/>
      <c r="AY2518" s="25"/>
      <c r="AZ2518" s="25"/>
      <c r="BA2518" s="25"/>
      <c r="BB2518" s="25"/>
      <c r="BC2518" s="25"/>
      <c r="BD2518" s="25"/>
      <c r="BE2518" s="25"/>
      <c r="BF2518" s="25"/>
      <c r="BG2518" s="25"/>
      <c r="BH2518" s="25"/>
      <c r="BI2518" s="25"/>
      <c r="BJ2518" s="25"/>
      <c r="BK2518" s="25"/>
      <c r="BL2518" s="25"/>
      <c r="BM2518" s="25"/>
      <c r="BN2518" s="25"/>
      <c r="BO2518" s="25"/>
      <c r="BP2518" s="25"/>
      <c r="BQ2518" s="25"/>
      <c r="BR2518" s="25"/>
      <c r="BS2518" s="25"/>
      <c r="BT2518" s="25"/>
      <c r="BU2518"/>
      <c r="BV2518"/>
      <c r="BW2518"/>
      <c r="BX2518"/>
      <c r="BY2518"/>
      <c r="BZ2518"/>
      <c r="CA2518"/>
      <c r="CB2518"/>
      <c r="CC2518"/>
      <c r="CD2518" s="25"/>
    </row>
    <row r="2519" spans="1:82" s="17" customFormat="1" x14ac:dyDescent="0.2">
      <c r="A2519" s="25"/>
      <c r="B2519" s="20">
        <v>39013010200</v>
      </c>
      <c r="C2519" s="20">
        <v>102</v>
      </c>
      <c r="D2519" s="20" t="s">
        <v>13</v>
      </c>
      <c r="E2519" s="20" t="s">
        <v>2841</v>
      </c>
      <c r="F2519" s="20" t="s">
        <v>8</v>
      </c>
      <c r="G2519" s="861">
        <v>36.487055896820003</v>
      </c>
      <c r="H2519" s="861">
        <v>32.882834837905698</v>
      </c>
      <c r="I2519" s="861">
        <v>47.183783609534601</v>
      </c>
      <c r="J2519" s="861">
        <v>40.396584121217003</v>
      </c>
      <c r="K2519" s="982">
        <v>0</v>
      </c>
      <c r="L2519" s="735">
        <v>4090</v>
      </c>
      <c r="M2519" s="735">
        <v>3081</v>
      </c>
      <c r="N2519" s="845">
        <f t="shared" si="188"/>
        <v>-0.24669926650366747</v>
      </c>
      <c r="O2519" s="735">
        <v>10.122954965997895</v>
      </c>
      <c r="P2519" s="735">
        <f t="shared" si="189"/>
        <v>304.35777007294854</v>
      </c>
      <c r="Q2519" s="849">
        <v>37.799999999999997</v>
      </c>
      <c r="R2519" s="71">
        <v>51711</v>
      </c>
      <c r="S2519" s="845">
        <v>0.15339425587467362</v>
      </c>
      <c r="T2519" s="845">
        <v>9.6000000000000002E-2</v>
      </c>
      <c r="U2519" s="845">
        <v>1.2E-2</v>
      </c>
      <c r="V2519" s="845">
        <v>0.16500000000000001</v>
      </c>
      <c r="W2519" s="845">
        <v>0.32203389830508472</v>
      </c>
      <c r="X2519" s="845">
        <v>0.31798245614035087</v>
      </c>
      <c r="Y2519" s="845">
        <v>0.87925998052580334</v>
      </c>
      <c r="Z2519" s="845">
        <v>4.9010061668289515E-2</v>
      </c>
      <c r="AA2519" s="845">
        <v>0</v>
      </c>
      <c r="AB2519" s="845">
        <v>0</v>
      </c>
      <c r="AC2519" s="845">
        <v>0</v>
      </c>
      <c r="AD2519" s="845">
        <v>4.8685491723466411E-3</v>
      </c>
      <c r="AE2519" s="845">
        <v>6.6861408633560535E-2</v>
      </c>
      <c r="AF2519" s="845">
        <v>1.9798766634209673E-2</v>
      </c>
      <c r="AG2519" s="845">
        <v>0.87309315157416423</v>
      </c>
      <c r="AH2519" s="20" t="str">
        <f t="shared" si="190"/>
        <v>No</v>
      </c>
      <c r="AI2519" s="25"/>
      <c r="AJ2519" s="25"/>
      <c r="AK2519" s="25"/>
      <c r="AL2519" s="25"/>
      <c r="AM2519" s="25"/>
      <c r="AN2519" s="25"/>
      <c r="AO2519" s="25"/>
      <c r="AP2519" s="25"/>
      <c r="AQ2519" s="25"/>
      <c r="AR2519" s="25"/>
      <c r="AS2519" s="25"/>
      <c r="AT2519" s="25"/>
      <c r="AU2519" s="36"/>
      <c r="AV2519" s="36"/>
      <c r="AW2519" s="36"/>
      <c r="AX2519" s="25"/>
      <c r="AY2519" s="25"/>
      <c r="AZ2519" s="25"/>
      <c r="BA2519" s="25"/>
      <c r="BB2519" s="25"/>
      <c r="BC2519" s="25"/>
      <c r="BD2519" s="25"/>
      <c r="BE2519" s="25"/>
      <c r="BF2519" s="25"/>
      <c r="BG2519" s="25"/>
      <c r="BH2519" s="25"/>
      <c r="BI2519" s="25"/>
      <c r="BJ2519" s="25"/>
      <c r="BK2519" s="25"/>
      <c r="BL2519" s="25"/>
      <c r="BM2519" s="25"/>
      <c r="BN2519" s="25"/>
      <c r="BO2519" s="25"/>
      <c r="BP2519" s="25"/>
      <c r="BQ2519" s="25"/>
      <c r="BR2519" s="25"/>
      <c r="BS2519" s="25"/>
      <c r="BT2519" s="25"/>
      <c r="BU2519"/>
      <c r="BV2519"/>
      <c r="BW2519"/>
      <c r="BX2519"/>
      <c r="BY2519"/>
      <c r="BZ2519"/>
      <c r="CA2519"/>
      <c r="CB2519"/>
      <c r="CC2519"/>
      <c r="CD2519" s="25"/>
    </row>
    <row r="2520" spans="1:82" s="17" customFormat="1" x14ac:dyDescent="0.2">
      <c r="A2520" s="25"/>
      <c r="B2520" s="20">
        <v>39157021800</v>
      </c>
      <c r="C2520" s="20">
        <v>218</v>
      </c>
      <c r="D2520" s="20" t="s">
        <v>84</v>
      </c>
      <c r="E2520" s="20" t="s">
        <v>265</v>
      </c>
      <c r="F2520" s="20" t="s">
        <v>8</v>
      </c>
      <c r="G2520" s="861">
        <v>36.433749256507603</v>
      </c>
      <c r="H2520" s="861">
        <v>43.7485113374223</v>
      </c>
      <c r="I2520" s="861">
        <v>28.130442173425699</v>
      </c>
      <c r="J2520" s="861">
        <v>50.717181658430803</v>
      </c>
      <c r="K2520" s="982">
        <v>0</v>
      </c>
      <c r="L2520" s="735">
        <v>2824</v>
      </c>
      <c r="M2520" s="735">
        <v>2991</v>
      </c>
      <c r="N2520" s="845">
        <f t="shared" si="188"/>
        <v>5.9135977337110485E-2</v>
      </c>
      <c r="O2520" s="735">
        <v>72.373537653035797</v>
      </c>
      <c r="P2520" s="735">
        <f t="shared" si="189"/>
        <v>41.327259893513563</v>
      </c>
      <c r="Q2520" s="849">
        <v>33.9</v>
      </c>
      <c r="R2520" s="71">
        <v>71141</v>
      </c>
      <c r="S2520" s="845">
        <v>0.17530282637954239</v>
      </c>
      <c r="T2520" s="845">
        <v>4.9000000000000002E-2</v>
      </c>
      <c r="U2520" s="845">
        <v>2.8999999999999998E-2</v>
      </c>
      <c r="V2520" s="845">
        <v>2.8999999999999998E-2</v>
      </c>
      <c r="W2520" s="845">
        <v>0.24007220216606498</v>
      </c>
      <c r="X2520" s="845">
        <v>0.2932330827067669</v>
      </c>
      <c r="Y2520" s="845">
        <v>0.93513874958207954</v>
      </c>
      <c r="Z2520" s="845">
        <v>1.0030090270812437E-2</v>
      </c>
      <c r="AA2520" s="845">
        <v>0</v>
      </c>
      <c r="AB2520" s="845">
        <v>1.671681711802073E-3</v>
      </c>
      <c r="AC2520" s="845">
        <v>0</v>
      </c>
      <c r="AD2520" s="845">
        <v>3.3433634236041459E-3</v>
      </c>
      <c r="AE2520" s="845">
        <v>4.9816115011701773E-2</v>
      </c>
      <c r="AF2520" s="845">
        <v>8.6927449013707789E-3</v>
      </c>
      <c r="AG2520" s="845">
        <v>0.9297893681043129</v>
      </c>
      <c r="AH2520" s="20" t="str">
        <f t="shared" si="190"/>
        <v>Yes</v>
      </c>
      <c r="AI2520" s="25"/>
      <c r="AJ2520" s="25"/>
      <c r="AK2520" s="25"/>
      <c r="AL2520" s="25"/>
      <c r="AM2520" s="25"/>
      <c r="AN2520" s="25"/>
      <c r="AO2520" s="25"/>
      <c r="AP2520" s="25"/>
      <c r="AQ2520" s="25"/>
      <c r="AR2520" s="25"/>
      <c r="AS2520" s="25"/>
      <c r="AT2520" s="25"/>
      <c r="AU2520" s="36"/>
      <c r="AV2520" s="36"/>
      <c r="AW2520" s="36"/>
      <c r="AX2520" s="25"/>
      <c r="AY2520" s="25"/>
      <c r="AZ2520" s="25"/>
      <c r="BA2520" s="25"/>
      <c r="BB2520" s="25"/>
      <c r="BC2520" s="25"/>
      <c r="BD2520" s="25"/>
      <c r="BE2520" s="25"/>
      <c r="BF2520" s="25"/>
      <c r="BG2520" s="25"/>
      <c r="BH2520" s="25"/>
      <c r="BI2520" s="25"/>
      <c r="BJ2520" s="25"/>
      <c r="BK2520" s="25"/>
      <c r="BL2520" s="25"/>
      <c r="BM2520" s="25"/>
      <c r="BN2520" s="25"/>
      <c r="BO2520" s="25"/>
      <c r="BP2520" s="25"/>
      <c r="BQ2520" s="25"/>
      <c r="BR2520" s="25"/>
      <c r="BS2520" s="25"/>
      <c r="BT2520" s="25"/>
      <c r="BU2520"/>
      <c r="BV2520"/>
      <c r="BW2520"/>
      <c r="BX2520"/>
      <c r="BY2520"/>
      <c r="BZ2520"/>
      <c r="CA2520"/>
      <c r="CB2520"/>
      <c r="CC2520"/>
      <c r="CD2520" s="25"/>
    </row>
    <row r="2521" spans="1:82" s="17" customFormat="1" x14ac:dyDescent="0.2">
      <c r="A2521" s="25"/>
      <c r="B2521" s="20">
        <v>39155920900</v>
      </c>
      <c r="C2521" s="20">
        <v>9209</v>
      </c>
      <c r="D2521" s="20" t="s">
        <v>83</v>
      </c>
      <c r="E2521" s="20" t="s">
        <v>2842</v>
      </c>
      <c r="F2521" s="20" t="s">
        <v>6</v>
      </c>
      <c r="G2521" s="861">
        <v>36.432238726257502</v>
      </c>
      <c r="H2521" s="861">
        <v>40.553427482690203</v>
      </c>
      <c r="I2521" s="861">
        <v>48.595941033454999</v>
      </c>
      <c r="J2521" s="861">
        <v>49.089001064309102</v>
      </c>
      <c r="K2521" s="982">
        <v>0</v>
      </c>
      <c r="L2521" s="735">
        <v>3454</v>
      </c>
      <c r="M2521" s="735">
        <v>2965</v>
      </c>
      <c r="N2521" s="845">
        <f t="shared" si="188"/>
        <v>-0.14157498552403011</v>
      </c>
      <c r="O2521" s="735">
        <v>1.105799671026289</v>
      </c>
      <c r="P2521" s="735">
        <f t="shared" si="189"/>
        <v>2681.3174914839624</v>
      </c>
      <c r="Q2521" s="849">
        <v>39.1</v>
      </c>
      <c r="R2521" s="71">
        <v>38542</v>
      </c>
      <c r="S2521" s="845">
        <v>0.29597019979681682</v>
      </c>
      <c r="T2521" s="845">
        <v>2.4E-2</v>
      </c>
      <c r="U2521" s="845">
        <v>0</v>
      </c>
      <c r="V2521" s="845">
        <v>8.4000000000000005E-2</v>
      </c>
      <c r="W2521" s="845">
        <v>0.56321839080459768</v>
      </c>
      <c r="X2521" s="845">
        <v>0.43129251700680271</v>
      </c>
      <c r="Y2521" s="845">
        <v>0.48870151770657672</v>
      </c>
      <c r="Z2521" s="845">
        <v>0.4725126475548061</v>
      </c>
      <c r="AA2521" s="845">
        <v>0</v>
      </c>
      <c r="AB2521" s="845">
        <v>0</v>
      </c>
      <c r="AC2521" s="845">
        <v>0</v>
      </c>
      <c r="AD2521" s="845">
        <v>4.7217537942664421E-3</v>
      </c>
      <c r="AE2521" s="845">
        <v>3.4064080944350761E-2</v>
      </c>
      <c r="AF2521" s="845">
        <v>5.9359190556492414E-2</v>
      </c>
      <c r="AG2521" s="845">
        <v>0.4451939291736931</v>
      </c>
      <c r="AH2521" s="20" t="str">
        <f t="shared" si="190"/>
        <v>No</v>
      </c>
      <c r="AI2521" s="25"/>
      <c r="AJ2521" s="25"/>
      <c r="AK2521" s="25"/>
      <c r="AL2521" s="25"/>
      <c r="AM2521" s="25"/>
      <c r="AN2521" s="25"/>
      <c r="AO2521" s="25"/>
      <c r="AP2521" s="25"/>
      <c r="AQ2521" s="25"/>
      <c r="AR2521" s="25"/>
      <c r="AS2521" s="25"/>
      <c r="AT2521" s="25"/>
      <c r="AU2521" s="36"/>
      <c r="AV2521" s="36"/>
      <c r="AW2521" s="36"/>
      <c r="AX2521" s="25"/>
      <c r="AY2521" s="25"/>
      <c r="AZ2521" s="25"/>
      <c r="BA2521" s="25"/>
      <c r="BB2521" s="25"/>
      <c r="BC2521" s="25"/>
      <c r="BD2521" s="25"/>
      <c r="BE2521" s="25"/>
      <c r="BF2521" s="25"/>
      <c r="BG2521" s="25"/>
      <c r="BH2521" s="25"/>
      <c r="BI2521" s="25"/>
      <c r="BJ2521" s="25"/>
      <c r="BK2521" s="25"/>
      <c r="BL2521" s="25"/>
      <c r="BM2521" s="25"/>
      <c r="BN2521" s="25"/>
      <c r="BO2521" s="25"/>
      <c r="BP2521" s="25"/>
      <c r="BQ2521" s="25"/>
      <c r="BR2521" s="25"/>
      <c r="BS2521" s="25"/>
      <c r="BT2521" s="25"/>
      <c r="BU2521"/>
      <c r="BV2521"/>
      <c r="BW2521"/>
      <c r="BX2521"/>
      <c r="BY2521"/>
      <c r="BZ2521"/>
      <c r="CA2521"/>
      <c r="CB2521"/>
      <c r="CC2521"/>
      <c r="CD2521" s="25"/>
    </row>
    <row r="2522" spans="1:82" s="17" customFormat="1" x14ac:dyDescent="0.2">
      <c r="A2522" s="25"/>
      <c r="B2522" s="20">
        <v>39011040200</v>
      </c>
      <c r="C2522" s="20">
        <v>402</v>
      </c>
      <c r="D2522" s="20" t="s">
        <v>12</v>
      </c>
      <c r="E2522" s="20" t="s">
        <v>265</v>
      </c>
      <c r="F2522" s="20" t="s">
        <v>8</v>
      </c>
      <c r="G2522" s="861">
        <v>36.426766137688297</v>
      </c>
      <c r="H2522" s="861">
        <v>40.179523718902701</v>
      </c>
      <c r="I2522" s="861">
        <v>32.080107366139998</v>
      </c>
      <c r="J2522" s="861">
        <v>42.840773030633798</v>
      </c>
      <c r="K2522" s="982">
        <v>0</v>
      </c>
      <c r="L2522" s="735">
        <v>4289</v>
      </c>
      <c r="M2522" s="735">
        <v>4443</v>
      </c>
      <c r="N2522" s="845">
        <f t="shared" si="188"/>
        <v>3.5905805549079038E-2</v>
      </c>
      <c r="O2522" s="735">
        <v>35.189114825704742</v>
      </c>
      <c r="P2522" s="735">
        <f t="shared" si="189"/>
        <v>126.26063548363265</v>
      </c>
      <c r="Q2522" s="849">
        <v>44.4</v>
      </c>
      <c r="R2522" s="71">
        <v>77813</v>
      </c>
      <c r="S2522" s="845">
        <v>7.464788732394366E-2</v>
      </c>
      <c r="T2522" s="845">
        <v>2.6000000000000002E-2</v>
      </c>
      <c r="U2522" s="845">
        <v>0</v>
      </c>
      <c r="V2522" s="845">
        <v>7.2999999999999995E-2</v>
      </c>
      <c r="W2522" s="845">
        <v>0.25751776927282666</v>
      </c>
      <c r="X2522" s="845">
        <v>0.46496815286624205</v>
      </c>
      <c r="Y2522" s="845">
        <v>0.91514742291244655</v>
      </c>
      <c r="Z2522" s="845">
        <v>3.4886338059869459E-2</v>
      </c>
      <c r="AA2522" s="845">
        <v>0</v>
      </c>
      <c r="AB2522" s="845">
        <v>0</v>
      </c>
      <c r="AC2522" s="845">
        <v>0</v>
      </c>
      <c r="AD2522" s="845">
        <v>1.1253657438667567E-3</v>
      </c>
      <c r="AE2522" s="845">
        <v>4.884087328381724E-2</v>
      </c>
      <c r="AF2522" s="845">
        <v>3.1285167679495837E-2</v>
      </c>
      <c r="AG2522" s="845">
        <v>0.90681971640783254</v>
      </c>
      <c r="AH2522" s="20" t="str">
        <f t="shared" si="190"/>
        <v>Yes</v>
      </c>
      <c r="AI2522" s="25"/>
      <c r="AJ2522" s="25"/>
      <c r="AK2522" s="25"/>
      <c r="AL2522" s="25"/>
      <c r="AM2522" s="25"/>
      <c r="AN2522" s="25"/>
      <c r="AO2522" s="25"/>
      <c r="AP2522" s="25"/>
      <c r="AQ2522" s="25"/>
      <c r="AR2522" s="25"/>
      <c r="AS2522" s="25"/>
      <c r="AT2522" s="25"/>
      <c r="AU2522" s="36"/>
      <c r="AV2522" s="36"/>
      <c r="AW2522" s="36"/>
      <c r="AX2522" s="25"/>
      <c r="AY2522" s="25"/>
      <c r="AZ2522" s="25"/>
      <c r="BA2522" s="25"/>
      <c r="BB2522" s="25"/>
      <c r="BC2522" s="25"/>
      <c r="BD2522" s="25"/>
      <c r="BE2522" s="25"/>
      <c r="BF2522" s="25"/>
      <c r="BG2522" s="25"/>
      <c r="BH2522" s="25"/>
      <c r="BI2522" s="25"/>
      <c r="BJ2522" s="25"/>
      <c r="BK2522" s="25"/>
      <c r="BL2522" s="25"/>
      <c r="BM2522" s="25"/>
      <c r="BN2522" s="25"/>
      <c r="BO2522" s="25"/>
      <c r="BP2522" s="25"/>
      <c r="BQ2522" s="25"/>
      <c r="BR2522" s="25"/>
      <c r="BS2522" s="25"/>
      <c r="BT2522" s="25"/>
      <c r="BU2522"/>
      <c r="BV2522"/>
      <c r="BW2522"/>
      <c r="BX2522"/>
      <c r="BY2522"/>
      <c r="BZ2522"/>
      <c r="CA2522"/>
      <c r="CB2522"/>
      <c r="CC2522"/>
      <c r="CD2522" s="25"/>
    </row>
    <row r="2523" spans="1:82" s="17" customFormat="1" x14ac:dyDescent="0.2">
      <c r="A2523" s="25"/>
      <c r="B2523" s="20">
        <v>39151710400</v>
      </c>
      <c r="C2523" s="20">
        <v>7104</v>
      </c>
      <c r="D2523" s="20" t="s">
        <v>81</v>
      </c>
      <c r="E2523" s="20" t="s">
        <v>2844</v>
      </c>
      <c r="F2523" s="20" t="s">
        <v>6</v>
      </c>
      <c r="G2523" s="861">
        <v>36.396207543663898</v>
      </c>
      <c r="H2523" s="861">
        <v>23.921990307319199</v>
      </c>
      <c r="I2523" s="861">
        <v>32.461056370790097</v>
      </c>
      <c r="J2523" s="861">
        <v>47.554651628189099</v>
      </c>
      <c r="K2523" s="982">
        <v>0</v>
      </c>
      <c r="L2523" s="735">
        <v>842</v>
      </c>
      <c r="M2523" s="735">
        <v>913</v>
      </c>
      <c r="N2523" s="845">
        <f t="shared" si="188"/>
        <v>8.4323040380047509E-2</v>
      </c>
      <c r="O2523" s="735">
        <v>0.22071568506158123</v>
      </c>
      <c r="P2523" s="735">
        <f t="shared" si="189"/>
        <v>4136.5433532522466</v>
      </c>
      <c r="Q2523" s="849">
        <v>34.9</v>
      </c>
      <c r="R2523" s="71">
        <v>17727</v>
      </c>
      <c r="S2523" s="845">
        <v>0.45414364640883975</v>
      </c>
      <c r="T2523" s="845">
        <v>6.5000000000000002E-2</v>
      </c>
      <c r="U2523" s="845">
        <v>0</v>
      </c>
      <c r="V2523" s="845">
        <v>0</v>
      </c>
      <c r="W2523" s="845">
        <v>0.92616033755274263</v>
      </c>
      <c r="X2523" s="845">
        <v>0.25968109339407747</v>
      </c>
      <c r="Y2523" s="845">
        <v>0.68346111719605696</v>
      </c>
      <c r="Z2523" s="845">
        <v>0.20153340635268346</v>
      </c>
      <c r="AA2523" s="845">
        <v>0</v>
      </c>
      <c r="AB2523" s="845">
        <v>0</v>
      </c>
      <c r="AC2523" s="845">
        <v>0</v>
      </c>
      <c r="AD2523" s="845">
        <v>0</v>
      </c>
      <c r="AE2523" s="845">
        <v>0.11500547645125958</v>
      </c>
      <c r="AF2523" s="845">
        <v>1.0952902519167579E-2</v>
      </c>
      <c r="AG2523" s="845">
        <v>0.67250821467688937</v>
      </c>
      <c r="AH2523" s="20" t="str">
        <f t="shared" si="190"/>
        <v>No</v>
      </c>
      <c r="AI2523" s="25"/>
      <c r="AJ2523" s="25"/>
      <c r="AK2523" s="25"/>
      <c r="AL2523" s="25"/>
      <c r="AM2523" s="25"/>
      <c r="AN2523" s="25"/>
      <c r="AO2523" s="25"/>
      <c r="AP2523" s="25"/>
      <c r="AQ2523" s="25"/>
      <c r="AR2523" s="25"/>
      <c r="AS2523" s="25"/>
      <c r="AT2523" s="25"/>
      <c r="AU2523" s="36"/>
      <c r="AV2523" s="36"/>
      <c r="AW2523" s="36"/>
      <c r="AX2523" s="25"/>
      <c r="AY2523" s="25"/>
      <c r="AZ2523" s="25"/>
      <c r="BA2523" s="25"/>
      <c r="BB2523" s="25"/>
      <c r="BC2523" s="25"/>
      <c r="BD2523" s="25"/>
      <c r="BE2523" s="25"/>
      <c r="BF2523" s="25"/>
      <c r="BG2523" s="25"/>
      <c r="BH2523" s="25"/>
      <c r="BI2523" s="25"/>
      <c r="BJ2523" s="25"/>
      <c r="BK2523" s="25"/>
      <c r="BL2523" s="25"/>
      <c r="BM2523" s="25"/>
      <c r="BN2523" s="25"/>
      <c r="BO2523" s="25"/>
      <c r="BP2523" s="25"/>
      <c r="BQ2523" s="25"/>
      <c r="BR2523" s="25"/>
      <c r="BS2523" s="25"/>
      <c r="BT2523" s="25"/>
      <c r="BU2523"/>
      <c r="BV2523"/>
      <c r="BW2523"/>
      <c r="BX2523"/>
      <c r="BY2523"/>
      <c r="BZ2523"/>
      <c r="CA2523"/>
      <c r="CB2523"/>
      <c r="CC2523"/>
      <c r="CD2523" s="25"/>
    </row>
    <row r="2524" spans="1:82" s="17" customFormat="1" x14ac:dyDescent="0.2">
      <c r="A2524" s="25"/>
      <c r="B2524" s="20">
        <v>39151700701</v>
      </c>
      <c r="C2524" s="20">
        <v>7007.01</v>
      </c>
      <c r="D2524" s="20" t="s">
        <v>81</v>
      </c>
      <c r="E2524" s="20" t="s">
        <v>2844</v>
      </c>
      <c r="F2524" s="20" t="s">
        <v>8</v>
      </c>
      <c r="G2524" s="861">
        <v>36.3821112973704</v>
      </c>
      <c r="H2524" s="861">
        <v>29.315606973030899</v>
      </c>
      <c r="I2524" s="861">
        <v>30.781027181407499</v>
      </c>
      <c r="J2524" s="861">
        <v>38.817331471386801</v>
      </c>
      <c r="K2524" s="982">
        <v>0</v>
      </c>
      <c r="L2524" s="735" t="s">
        <v>2466</v>
      </c>
      <c r="M2524" s="735">
        <v>3155</v>
      </c>
      <c r="N2524" s="845" t="str">
        <f t="shared" si="188"/>
        <v/>
      </c>
      <c r="O2524" s="735">
        <v>0.73692307413720137</v>
      </c>
      <c r="P2524" s="735">
        <f t="shared" si="189"/>
        <v>4281.3152562686582</v>
      </c>
      <c r="Q2524" s="849">
        <v>54.7</v>
      </c>
      <c r="R2524" s="71">
        <v>46494</v>
      </c>
      <c r="S2524" s="845">
        <v>0.20578345662407532</v>
      </c>
      <c r="T2524" s="845">
        <v>8.4000000000000005E-2</v>
      </c>
      <c r="U2524" s="845">
        <v>0</v>
      </c>
      <c r="V2524" s="845">
        <v>0</v>
      </c>
      <c r="W2524" s="845">
        <v>0.42176870748299322</v>
      </c>
      <c r="X2524" s="845">
        <v>0.41129032258064518</v>
      </c>
      <c r="Y2524" s="845">
        <v>0.91505546751188593</v>
      </c>
      <c r="Z2524" s="845">
        <v>2.9477020602218702E-2</v>
      </c>
      <c r="AA2524" s="845">
        <v>6.0221870047543584E-3</v>
      </c>
      <c r="AB2524" s="845">
        <v>0</v>
      </c>
      <c r="AC2524" s="845">
        <v>0</v>
      </c>
      <c r="AD2524" s="845">
        <v>6.0221870047543584E-3</v>
      </c>
      <c r="AE2524" s="845">
        <v>4.3423137876386686E-2</v>
      </c>
      <c r="AF2524" s="845">
        <v>2.5673534072900159E-2</v>
      </c>
      <c r="AG2524" s="845">
        <v>0.9014263074484945</v>
      </c>
      <c r="AH2524" s="20" t="str">
        <f t="shared" si="190"/>
        <v>Yes</v>
      </c>
      <c r="AI2524" s="25"/>
      <c r="AJ2524" s="25"/>
      <c r="AK2524" s="25"/>
      <c r="AL2524" s="25"/>
      <c r="AM2524" s="25"/>
      <c r="AN2524" s="25"/>
      <c r="AO2524" s="25"/>
      <c r="AP2524" s="25"/>
      <c r="AQ2524" s="25"/>
      <c r="AR2524" s="25"/>
      <c r="AS2524" s="25"/>
      <c r="AT2524" s="25"/>
      <c r="AU2524" s="36"/>
      <c r="AV2524" s="36"/>
      <c r="AW2524" s="36"/>
      <c r="AX2524" s="25"/>
      <c r="AY2524" s="25"/>
      <c r="AZ2524" s="25"/>
      <c r="BA2524" s="25"/>
      <c r="BB2524" s="25"/>
      <c r="BC2524" s="25"/>
      <c r="BD2524" s="25"/>
      <c r="BE2524" s="25"/>
      <c r="BF2524" s="25"/>
      <c r="BG2524" s="25"/>
      <c r="BH2524" s="25"/>
      <c r="BI2524" s="25"/>
      <c r="BJ2524" s="25"/>
      <c r="BK2524" s="25"/>
      <c r="BL2524" s="25"/>
      <c r="BM2524" s="25"/>
      <c r="BN2524" s="25"/>
      <c r="BO2524" s="25"/>
      <c r="BP2524" s="25"/>
      <c r="BQ2524" s="25"/>
      <c r="BR2524" s="25"/>
      <c r="BS2524" s="25"/>
      <c r="BT2524" s="25"/>
      <c r="BU2524"/>
      <c r="BV2524"/>
      <c r="BW2524"/>
      <c r="BX2524"/>
      <c r="BY2524"/>
      <c r="BZ2524"/>
      <c r="CA2524"/>
      <c r="CB2524"/>
      <c r="CC2524"/>
      <c r="CD2524" s="25"/>
    </row>
    <row r="2525" spans="1:82" s="17" customFormat="1" x14ac:dyDescent="0.2">
      <c r="A2525" s="25"/>
      <c r="B2525" s="20">
        <v>39115968900</v>
      </c>
      <c r="C2525" s="20">
        <v>9689</v>
      </c>
      <c r="D2525" s="20" t="s">
        <v>63</v>
      </c>
      <c r="E2525" s="20" t="s">
        <v>265</v>
      </c>
      <c r="F2525" s="20" t="s">
        <v>8</v>
      </c>
      <c r="G2525" s="861">
        <v>36.351671246752602</v>
      </c>
      <c r="H2525" s="861">
        <v>40.796438381833099</v>
      </c>
      <c r="I2525" s="861">
        <v>27.500130377050699</v>
      </c>
      <c r="J2525" s="861">
        <v>46.970543814772</v>
      </c>
      <c r="K2525" s="982">
        <v>0</v>
      </c>
      <c r="L2525" s="735">
        <v>4204</v>
      </c>
      <c r="M2525" s="735">
        <v>3841</v>
      </c>
      <c r="N2525" s="845">
        <f t="shared" si="188"/>
        <v>-8.634633682207421E-2</v>
      </c>
      <c r="O2525" s="735">
        <v>30.367254465890195</v>
      </c>
      <c r="P2525" s="735">
        <f t="shared" si="189"/>
        <v>126.48492817532703</v>
      </c>
      <c r="Q2525" s="849">
        <v>42.7</v>
      </c>
      <c r="R2525" s="71">
        <v>48059</v>
      </c>
      <c r="S2525" s="845">
        <v>0.14971366239432779</v>
      </c>
      <c r="T2525" s="845">
        <v>0.04</v>
      </c>
      <c r="U2525" s="845">
        <v>5.5E-2</v>
      </c>
      <c r="V2525" s="845">
        <v>0</v>
      </c>
      <c r="W2525" s="845">
        <v>0.40407903123008287</v>
      </c>
      <c r="X2525" s="845">
        <v>0.35646687697160884</v>
      </c>
      <c r="Y2525" s="845">
        <v>0.90158812809164279</v>
      </c>
      <c r="Z2525" s="845">
        <v>3.1762561832856029E-2</v>
      </c>
      <c r="AA2525" s="845">
        <v>1.0413954699297059E-3</v>
      </c>
      <c r="AB2525" s="845">
        <v>5.9880239520958087E-3</v>
      </c>
      <c r="AC2525" s="845">
        <v>0</v>
      </c>
      <c r="AD2525" s="845">
        <v>1.7964071856287425E-2</v>
      </c>
      <c r="AE2525" s="845">
        <v>4.1655818797188229E-2</v>
      </c>
      <c r="AF2525" s="845">
        <v>8.3311637594376473E-3</v>
      </c>
      <c r="AG2525" s="845">
        <v>0.89325696433220514</v>
      </c>
      <c r="AH2525" s="20" t="str">
        <f t="shared" si="190"/>
        <v>No</v>
      </c>
      <c r="AI2525" s="25"/>
      <c r="AJ2525" s="25"/>
      <c r="AK2525" s="25"/>
      <c r="AL2525" s="25"/>
      <c r="AM2525" s="25"/>
      <c r="AN2525" s="25"/>
      <c r="AO2525" s="25"/>
      <c r="AP2525" s="25"/>
      <c r="AQ2525" s="25"/>
      <c r="AR2525" s="25"/>
      <c r="AS2525" s="25"/>
      <c r="AT2525" s="25"/>
      <c r="AU2525" s="36"/>
      <c r="AV2525" s="36"/>
      <c r="AW2525" s="36"/>
      <c r="AX2525" s="25"/>
      <c r="AY2525" s="25"/>
      <c r="AZ2525" s="25"/>
      <c r="BA2525" s="25"/>
      <c r="BB2525" s="25"/>
      <c r="BC2525" s="25"/>
      <c r="BD2525" s="25"/>
      <c r="BE2525" s="25"/>
      <c r="BF2525" s="25"/>
      <c r="BG2525" s="25"/>
      <c r="BH2525" s="25"/>
      <c r="BI2525" s="25"/>
      <c r="BJ2525" s="25"/>
      <c r="BK2525" s="25"/>
      <c r="BL2525" s="25"/>
      <c r="BM2525" s="25"/>
      <c r="BN2525" s="25"/>
      <c r="BO2525" s="25"/>
      <c r="BP2525" s="25"/>
      <c r="BQ2525" s="25"/>
      <c r="BR2525" s="25"/>
      <c r="BS2525" s="25"/>
      <c r="BT2525" s="25"/>
      <c r="BU2525"/>
      <c r="BV2525"/>
      <c r="BW2525"/>
      <c r="BX2525"/>
      <c r="BY2525"/>
      <c r="BZ2525"/>
      <c r="CA2525"/>
      <c r="CB2525"/>
      <c r="CC2525"/>
      <c r="CD2525" s="25"/>
    </row>
    <row r="2526" spans="1:82" s="17" customFormat="1" x14ac:dyDescent="0.2">
      <c r="A2526" s="25"/>
      <c r="B2526" s="20">
        <v>39145002100</v>
      </c>
      <c r="C2526" s="20">
        <v>21</v>
      </c>
      <c r="D2526" s="20" t="s">
        <v>78</v>
      </c>
      <c r="E2526" s="20" t="s">
        <v>265</v>
      </c>
      <c r="F2526" s="20" t="s">
        <v>8</v>
      </c>
      <c r="G2526" s="861">
        <v>36.339440263652797</v>
      </c>
      <c r="H2526" s="861">
        <v>39.075201745249302</v>
      </c>
      <c r="I2526" s="861">
        <v>27.849083943798401</v>
      </c>
      <c r="J2526" s="861">
        <v>37.021159758247698</v>
      </c>
      <c r="K2526" s="982">
        <v>0</v>
      </c>
      <c r="L2526" s="735">
        <v>4881</v>
      </c>
      <c r="M2526" s="735">
        <v>4684</v>
      </c>
      <c r="N2526" s="845">
        <f t="shared" si="188"/>
        <v>-4.0360581847981969E-2</v>
      </c>
      <c r="O2526" s="735">
        <v>50.577366936252076</v>
      </c>
      <c r="P2526" s="735">
        <f t="shared" si="189"/>
        <v>92.610594100395403</v>
      </c>
      <c r="Q2526" s="849">
        <v>41.8</v>
      </c>
      <c r="R2526" s="71">
        <v>80057</v>
      </c>
      <c r="S2526" s="845">
        <v>0.24114236633025554</v>
      </c>
      <c r="T2526" s="845">
        <v>3.9E-2</v>
      </c>
      <c r="U2526" s="845">
        <v>0</v>
      </c>
      <c r="V2526" s="845">
        <v>0</v>
      </c>
      <c r="W2526" s="845">
        <v>0.19862585883822612</v>
      </c>
      <c r="X2526" s="845">
        <v>0.42452830188679247</v>
      </c>
      <c r="Y2526" s="845">
        <v>0.95495303159692568</v>
      </c>
      <c r="Z2526" s="845">
        <v>1.0247651579846286E-2</v>
      </c>
      <c r="AA2526" s="845">
        <v>0</v>
      </c>
      <c r="AB2526" s="845">
        <v>2.1989752348420155E-2</v>
      </c>
      <c r="AC2526" s="845">
        <v>0</v>
      </c>
      <c r="AD2526" s="845">
        <v>0</v>
      </c>
      <c r="AE2526" s="845">
        <v>1.2809564474807857E-2</v>
      </c>
      <c r="AF2526" s="845">
        <v>4.269854824935952E-3</v>
      </c>
      <c r="AG2526" s="845">
        <v>0.95495303159692568</v>
      </c>
      <c r="AH2526" s="20" t="str">
        <f t="shared" si="190"/>
        <v>Yes</v>
      </c>
      <c r="AI2526" s="25"/>
      <c r="AJ2526" s="25"/>
      <c r="AK2526" s="25"/>
      <c r="AL2526" s="25"/>
      <c r="AM2526" s="25"/>
      <c r="AN2526" s="25"/>
      <c r="AO2526" s="25"/>
      <c r="AP2526" s="25"/>
      <c r="AQ2526" s="25"/>
      <c r="AR2526" s="25"/>
      <c r="AS2526" s="25"/>
      <c r="AT2526" s="25"/>
      <c r="AU2526" s="36"/>
      <c r="AV2526" s="36"/>
      <c r="AW2526" s="36"/>
      <c r="AX2526" s="25"/>
      <c r="AY2526" s="25"/>
      <c r="AZ2526" s="25"/>
      <c r="BA2526" s="25"/>
      <c r="BB2526" s="25"/>
      <c r="BC2526" s="25"/>
      <c r="BD2526" s="25"/>
      <c r="BE2526" s="25"/>
      <c r="BF2526" s="25"/>
      <c r="BG2526" s="25"/>
      <c r="BH2526" s="25"/>
      <c r="BI2526" s="25"/>
      <c r="BJ2526" s="25"/>
      <c r="BK2526" s="25"/>
      <c r="BL2526" s="25"/>
      <c r="BM2526" s="25"/>
      <c r="BN2526" s="25"/>
      <c r="BO2526" s="25"/>
      <c r="BP2526" s="25"/>
      <c r="BQ2526" s="25"/>
      <c r="BR2526" s="25"/>
      <c r="BS2526" s="25"/>
      <c r="BT2526" s="25"/>
      <c r="BU2526"/>
      <c r="BV2526"/>
      <c r="BW2526"/>
      <c r="BX2526"/>
      <c r="BY2526"/>
      <c r="BZ2526"/>
      <c r="CA2526"/>
      <c r="CB2526"/>
      <c r="CC2526"/>
      <c r="CD2526" s="25"/>
    </row>
    <row r="2527" spans="1:82" s="17" customFormat="1" x14ac:dyDescent="0.2">
      <c r="A2527" s="25"/>
      <c r="B2527" s="20">
        <v>39061008800</v>
      </c>
      <c r="C2527" s="20">
        <v>88</v>
      </c>
      <c r="D2527" s="20" t="s">
        <v>37</v>
      </c>
      <c r="E2527" s="20" t="s">
        <v>2828</v>
      </c>
      <c r="F2527" s="20" t="s">
        <v>6</v>
      </c>
      <c r="G2527" s="861">
        <v>36.336287903804603</v>
      </c>
      <c r="H2527" s="861">
        <v>47.895193203217502</v>
      </c>
      <c r="I2527" s="861">
        <v>54.233169804923101</v>
      </c>
      <c r="J2527" s="861">
        <v>50.098954360231097</v>
      </c>
      <c r="K2527" s="982">
        <v>0</v>
      </c>
      <c r="L2527" s="735">
        <v>3495</v>
      </c>
      <c r="M2527" s="735">
        <v>3200</v>
      </c>
      <c r="N2527" s="845">
        <f t="shared" si="188"/>
        <v>-8.4406294706723894E-2</v>
      </c>
      <c r="O2527" s="735">
        <v>0.5473137094826277</v>
      </c>
      <c r="P2527" s="735">
        <f t="shared" si="189"/>
        <v>5846.7382500338617</v>
      </c>
      <c r="Q2527" s="849">
        <v>37.5</v>
      </c>
      <c r="R2527" s="71">
        <v>32283</v>
      </c>
      <c r="S2527" s="845">
        <v>0.45946791862284819</v>
      </c>
      <c r="T2527" s="845">
        <v>0.16399999999999998</v>
      </c>
      <c r="U2527" s="845">
        <v>0</v>
      </c>
      <c r="V2527" s="845">
        <v>0.152</v>
      </c>
      <c r="W2527" s="845">
        <v>0.75818452380952384</v>
      </c>
      <c r="X2527" s="845">
        <v>0.61727183513248285</v>
      </c>
      <c r="Y2527" s="845">
        <v>0.12343750000000001</v>
      </c>
      <c r="Z2527" s="845">
        <v>0.791875</v>
      </c>
      <c r="AA2527" s="845">
        <v>0</v>
      </c>
      <c r="AB2527" s="845">
        <v>0</v>
      </c>
      <c r="AC2527" s="845">
        <v>0</v>
      </c>
      <c r="AD2527" s="845">
        <v>0</v>
      </c>
      <c r="AE2527" s="845">
        <v>8.4687499999999999E-2</v>
      </c>
      <c r="AF2527" s="845">
        <v>7.2187500000000002E-2</v>
      </c>
      <c r="AG2527" s="845">
        <v>0.12343750000000001</v>
      </c>
      <c r="AH2527" s="20" t="str">
        <f t="shared" si="190"/>
        <v>No</v>
      </c>
      <c r="AI2527" s="25"/>
      <c r="AJ2527" s="25"/>
      <c r="AK2527" s="25"/>
      <c r="AL2527" s="25"/>
      <c r="AM2527" s="25"/>
      <c r="AN2527" s="25"/>
      <c r="AO2527" s="25"/>
      <c r="AP2527" s="25"/>
      <c r="AQ2527" s="25"/>
      <c r="AR2527" s="25"/>
      <c r="AS2527" s="25"/>
      <c r="AT2527" s="25"/>
      <c r="AU2527" s="36"/>
      <c r="AV2527" s="36"/>
      <c r="AW2527" s="36"/>
      <c r="AX2527" s="25"/>
      <c r="AY2527" s="25"/>
      <c r="AZ2527" s="25"/>
      <c r="BA2527" s="25"/>
      <c r="BB2527" s="25"/>
      <c r="BC2527" s="25"/>
      <c r="BD2527" s="25"/>
      <c r="BE2527" s="25"/>
      <c r="BF2527" s="25"/>
      <c r="BG2527" s="25"/>
      <c r="BH2527" s="25"/>
      <c r="BI2527" s="25"/>
      <c r="BJ2527" s="25"/>
      <c r="BK2527" s="25"/>
      <c r="BL2527" s="25"/>
      <c r="BM2527" s="25"/>
      <c r="BN2527" s="25"/>
      <c r="BO2527" s="25"/>
      <c r="BP2527" s="25"/>
      <c r="BQ2527" s="25"/>
      <c r="BR2527" s="25"/>
      <c r="BS2527" s="25"/>
      <c r="BT2527" s="25"/>
      <c r="BU2527"/>
      <c r="BV2527"/>
      <c r="BW2527"/>
      <c r="BX2527"/>
      <c r="BY2527"/>
      <c r="BZ2527"/>
      <c r="CA2527"/>
      <c r="CB2527"/>
      <c r="CC2527"/>
      <c r="CD2527" s="25"/>
    </row>
    <row r="2528" spans="1:82" s="17" customFormat="1" x14ac:dyDescent="0.2">
      <c r="A2528" s="25"/>
      <c r="B2528" s="20">
        <v>39095007208</v>
      </c>
      <c r="C2528" s="20">
        <v>72.08</v>
      </c>
      <c r="D2528" s="20" t="s">
        <v>53</v>
      </c>
      <c r="E2528" s="20" t="s">
        <v>2839</v>
      </c>
      <c r="F2528" s="20" t="s">
        <v>6</v>
      </c>
      <c r="G2528" s="861">
        <v>36.282055074097997</v>
      </c>
      <c r="H2528" s="861">
        <v>41.791028888305298</v>
      </c>
      <c r="I2528" s="861">
        <v>54.087919109684996</v>
      </c>
      <c r="J2528" s="861">
        <v>36.4147936209934</v>
      </c>
      <c r="K2528" s="982">
        <v>0</v>
      </c>
      <c r="L2528" s="735" t="s">
        <v>2466</v>
      </c>
      <c r="M2528" s="735">
        <v>2437</v>
      </c>
      <c r="N2528" s="845" t="str">
        <f t="shared" si="188"/>
        <v/>
      </c>
      <c r="O2528" s="735">
        <v>0.6707254729443527</v>
      </c>
      <c r="P2528" s="735">
        <f t="shared" si="189"/>
        <v>3633.3792263801315</v>
      </c>
      <c r="Q2528" s="849">
        <v>48.5</v>
      </c>
      <c r="R2528" s="71">
        <v>53180</v>
      </c>
      <c r="S2528" s="845">
        <v>0.12935323383084577</v>
      </c>
      <c r="T2528" s="845">
        <v>2.7000000000000003E-2</v>
      </c>
      <c r="U2528" s="845">
        <v>0</v>
      </c>
      <c r="V2528" s="845">
        <v>0</v>
      </c>
      <c r="W2528" s="845">
        <v>0.71532316630355841</v>
      </c>
      <c r="X2528" s="845">
        <v>0.5015228426395939</v>
      </c>
      <c r="Y2528" s="845">
        <v>0.50882232252769799</v>
      </c>
      <c r="Z2528" s="845">
        <v>0.428395568321707</v>
      </c>
      <c r="AA2528" s="845">
        <v>0</v>
      </c>
      <c r="AB2528" s="845">
        <v>4.1444398851046366E-2</v>
      </c>
      <c r="AC2528" s="845">
        <v>0</v>
      </c>
      <c r="AD2528" s="845">
        <v>0</v>
      </c>
      <c r="AE2528" s="845">
        <v>2.1337710299548625E-2</v>
      </c>
      <c r="AF2528" s="845">
        <v>0</v>
      </c>
      <c r="AG2528" s="845">
        <v>0.50882232252769799</v>
      </c>
      <c r="AH2528" s="20" t="str">
        <f t="shared" si="190"/>
        <v>No</v>
      </c>
      <c r="AI2528" s="25"/>
      <c r="AJ2528" s="25"/>
      <c r="AK2528" s="25"/>
      <c r="AL2528" s="25"/>
      <c r="AM2528" s="25"/>
      <c r="AN2528" s="25"/>
      <c r="AO2528" s="25"/>
      <c r="AP2528" s="25"/>
      <c r="AQ2528" s="25"/>
      <c r="AR2528" s="25"/>
      <c r="AS2528" s="25"/>
      <c r="AT2528" s="25"/>
      <c r="AU2528" s="36"/>
      <c r="AV2528" s="36"/>
      <c r="AW2528" s="36"/>
      <c r="AX2528" s="25"/>
      <c r="AY2528" s="25"/>
      <c r="AZ2528" s="25"/>
      <c r="BA2528" s="25"/>
      <c r="BB2528" s="25"/>
      <c r="BC2528" s="25"/>
      <c r="BD2528" s="25"/>
      <c r="BE2528" s="25"/>
      <c r="BF2528" s="25"/>
      <c r="BG2528" s="25"/>
      <c r="BH2528" s="25"/>
      <c r="BI2528" s="25"/>
      <c r="BJ2528" s="25"/>
      <c r="BK2528" s="25"/>
      <c r="BL2528" s="25"/>
      <c r="BM2528" s="25"/>
      <c r="BN2528" s="25"/>
      <c r="BO2528" s="25"/>
      <c r="BP2528" s="25"/>
      <c r="BQ2528" s="25"/>
      <c r="BR2528" s="25"/>
      <c r="BS2528" s="25"/>
      <c r="BT2528" s="25"/>
      <c r="BU2528"/>
      <c r="BV2528"/>
      <c r="BW2528"/>
      <c r="BX2528"/>
      <c r="BY2528"/>
      <c r="BZ2528"/>
      <c r="CA2528"/>
      <c r="CB2528"/>
      <c r="CC2528"/>
      <c r="CD2528" s="25"/>
    </row>
    <row r="2529" spans="1:82" s="17" customFormat="1" x14ac:dyDescent="0.2">
      <c r="A2529" s="25"/>
      <c r="B2529" s="20">
        <v>39087050400</v>
      </c>
      <c r="C2529" s="20">
        <v>504</v>
      </c>
      <c r="D2529" s="20" t="s">
        <v>49</v>
      </c>
      <c r="E2529" s="20" t="s">
        <v>2834</v>
      </c>
      <c r="F2529" s="20" t="s">
        <v>8</v>
      </c>
      <c r="G2529" s="861">
        <v>36.277234448474502</v>
      </c>
      <c r="H2529" s="861">
        <v>41.259108990901801</v>
      </c>
      <c r="I2529" s="861">
        <v>28.900791311313899</v>
      </c>
      <c r="J2529" s="861">
        <v>29.2259339141089</v>
      </c>
      <c r="K2529" s="982">
        <v>0</v>
      </c>
      <c r="L2529" s="735">
        <v>3289</v>
      </c>
      <c r="M2529" s="735">
        <v>3132</v>
      </c>
      <c r="N2529" s="845">
        <f t="shared" si="188"/>
        <v>-4.7734873821830344E-2</v>
      </c>
      <c r="O2529" s="735">
        <v>0.93628151829623651</v>
      </c>
      <c r="P2529" s="735">
        <f t="shared" si="189"/>
        <v>3345.1477347319005</v>
      </c>
      <c r="Q2529" s="849">
        <v>40.4</v>
      </c>
      <c r="R2529" s="71">
        <v>40893</v>
      </c>
      <c r="S2529" s="845">
        <v>0.18582375478927204</v>
      </c>
      <c r="T2529" s="845">
        <v>2.8999999999999998E-2</v>
      </c>
      <c r="U2529" s="845">
        <v>0</v>
      </c>
      <c r="V2529" s="845">
        <v>0</v>
      </c>
      <c r="W2529" s="845">
        <v>0.38031319910514544</v>
      </c>
      <c r="X2529" s="845">
        <v>0.4137254901960784</v>
      </c>
      <c r="Y2529" s="845">
        <v>0.97733077905491694</v>
      </c>
      <c r="Z2529" s="845">
        <v>9.5785440613026813E-3</v>
      </c>
      <c r="AA2529" s="845">
        <v>0</v>
      </c>
      <c r="AB2529" s="845">
        <v>0</v>
      </c>
      <c r="AC2529" s="845">
        <v>0</v>
      </c>
      <c r="AD2529" s="845">
        <v>0</v>
      </c>
      <c r="AE2529" s="845">
        <v>1.3090676883780333E-2</v>
      </c>
      <c r="AF2529" s="845">
        <v>1.1174968071519796E-2</v>
      </c>
      <c r="AG2529" s="845">
        <v>0.97733077905491694</v>
      </c>
      <c r="AH2529" s="20" t="str">
        <f t="shared" si="190"/>
        <v>Yes</v>
      </c>
      <c r="AI2529" s="25"/>
      <c r="AJ2529" s="25"/>
      <c r="AK2529" s="25"/>
      <c r="AL2529" s="25"/>
      <c r="AM2529" s="25"/>
      <c r="AN2529" s="25"/>
      <c r="AO2529" s="25"/>
      <c r="AP2529" s="25"/>
      <c r="AQ2529" s="25"/>
      <c r="AR2529" s="25"/>
      <c r="AS2529" s="25"/>
      <c r="AT2529" s="25"/>
      <c r="AU2529" s="36"/>
      <c r="AV2529" s="36"/>
      <c r="AW2529" s="36"/>
      <c r="AX2529" s="25"/>
      <c r="AY2529" s="25"/>
      <c r="AZ2529" s="25"/>
      <c r="BA2529" s="25"/>
      <c r="BB2529" s="25"/>
      <c r="BC2529" s="25"/>
      <c r="BD2529" s="25"/>
      <c r="BE2529" s="25"/>
      <c r="BF2529" s="25"/>
      <c r="BG2529" s="25"/>
      <c r="BH2529" s="25"/>
      <c r="BI2529" s="25"/>
      <c r="BJ2529" s="25"/>
      <c r="BK2529" s="25"/>
      <c r="BL2529" s="25"/>
      <c r="BM2529" s="25"/>
      <c r="BN2529" s="25"/>
      <c r="BO2529" s="25"/>
      <c r="BP2529" s="25"/>
      <c r="BQ2529" s="25"/>
      <c r="BR2529" s="25"/>
      <c r="BS2529" s="25"/>
      <c r="BT2529" s="25"/>
      <c r="BU2529"/>
      <c r="BV2529"/>
      <c r="BW2529"/>
      <c r="BX2529"/>
      <c r="BY2529"/>
      <c r="BZ2529"/>
      <c r="CA2529"/>
      <c r="CB2529"/>
      <c r="CC2529"/>
      <c r="CD2529" s="25"/>
    </row>
    <row r="2530" spans="1:82" s="17" customFormat="1" x14ac:dyDescent="0.2">
      <c r="A2530" s="25"/>
      <c r="B2530" s="20">
        <v>39053953700</v>
      </c>
      <c r="C2530" s="20">
        <v>9537</v>
      </c>
      <c r="D2530" s="20" t="s">
        <v>33</v>
      </c>
      <c r="E2530" s="20" t="s">
        <v>265</v>
      </c>
      <c r="F2530" s="20" t="s">
        <v>8</v>
      </c>
      <c r="G2530" s="861">
        <v>36.260463862331001</v>
      </c>
      <c r="H2530" s="861">
        <v>45.253623958153</v>
      </c>
      <c r="I2530" s="861">
        <v>22.824272678636401</v>
      </c>
      <c r="J2530" s="861">
        <v>49.557190521186598</v>
      </c>
      <c r="K2530" s="982">
        <v>0</v>
      </c>
      <c r="L2530" s="735">
        <v>4460</v>
      </c>
      <c r="M2530" s="735">
        <v>3812</v>
      </c>
      <c r="N2530" s="845">
        <f t="shared" si="188"/>
        <v>-0.14529147982062779</v>
      </c>
      <c r="O2530" s="735">
        <v>122.88725912336332</v>
      </c>
      <c r="P2530" s="735">
        <f t="shared" si="189"/>
        <v>31.020302895463168</v>
      </c>
      <c r="Q2530" s="849">
        <v>30.9</v>
      </c>
      <c r="R2530" s="71">
        <v>42440</v>
      </c>
      <c r="S2530" s="845">
        <v>0.19185393258426967</v>
      </c>
      <c r="T2530" s="845">
        <v>4.2000000000000003E-2</v>
      </c>
      <c r="U2530" s="845">
        <v>0</v>
      </c>
      <c r="V2530" s="845">
        <v>0</v>
      </c>
      <c r="W2530" s="845">
        <v>0.20761762509335324</v>
      </c>
      <c r="X2530" s="845">
        <v>0.23741007194244604</v>
      </c>
      <c r="Y2530" s="845">
        <v>0.94648478488982157</v>
      </c>
      <c r="Z2530" s="845">
        <v>7.0828961175236098E-3</v>
      </c>
      <c r="AA2530" s="845">
        <v>0</v>
      </c>
      <c r="AB2530" s="845">
        <v>1.7838405036726127E-2</v>
      </c>
      <c r="AC2530" s="845">
        <v>0</v>
      </c>
      <c r="AD2530" s="845">
        <v>7.8698845750262332E-4</v>
      </c>
      <c r="AE2530" s="845">
        <v>2.7806925498426022E-2</v>
      </c>
      <c r="AF2530" s="845">
        <v>8.1322140608604404E-3</v>
      </c>
      <c r="AG2530" s="845">
        <v>0.9435991605456453</v>
      </c>
      <c r="AH2530" s="20" t="str">
        <f t="shared" si="190"/>
        <v>Yes</v>
      </c>
      <c r="AI2530" s="25"/>
      <c r="AJ2530" s="25"/>
      <c r="AK2530" s="25"/>
      <c r="AL2530" s="25"/>
      <c r="AM2530" s="25"/>
      <c r="AN2530" s="25"/>
      <c r="AO2530" s="25"/>
      <c r="AP2530" s="25"/>
      <c r="AQ2530" s="25"/>
      <c r="AR2530" s="25"/>
      <c r="AS2530" s="25"/>
      <c r="AT2530" s="25"/>
      <c r="AU2530" s="36"/>
      <c r="AV2530" s="36"/>
      <c r="AW2530" s="36"/>
      <c r="AX2530" s="25"/>
      <c r="AY2530" s="25"/>
      <c r="AZ2530" s="25"/>
      <c r="BA2530" s="25"/>
      <c r="BB2530" s="25"/>
      <c r="BC2530" s="25"/>
      <c r="BD2530" s="25"/>
      <c r="BE2530" s="25"/>
      <c r="BF2530" s="25"/>
      <c r="BG2530" s="25"/>
      <c r="BH2530" s="25"/>
      <c r="BI2530" s="25"/>
      <c r="BJ2530" s="25"/>
      <c r="BK2530" s="25"/>
      <c r="BL2530" s="25"/>
      <c r="BM2530" s="25"/>
      <c r="BN2530" s="25"/>
      <c r="BO2530" s="25"/>
      <c r="BP2530" s="25"/>
      <c r="BQ2530" s="25"/>
      <c r="BR2530" s="25"/>
      <c r="BS2530" s="25"/>
      <c r="BT2530" s="25"/>
      <c r="BU2530"/>
      <c r="BV2530"/>
      <c r="BW2530"/>
      <c r="BX2530"/>
      <c r="BY2530"/>
      <c r="BZ2530"/>
      <c r="CA2530"/>
      <c r="CB2530"/>
      <c r="CC2530"/>
      <c r="CD2530" s="25"/>
    </row>
    <row r="2531" spans="1:82" s="17" customFormat="1" x14ac:dyDescent="0.2">
      <c r="A2531" s="25"/>
      <c r="B2531" s="20">
        <v>39095003901</v>
      </c>
      <c r="C2531" s="20">
        <v>39.01</v>
      </c>
      <c r="D2531" s="20" t="s">
        <v>53</v>
      </c>
      <c r="E2531" s="20" t="s">
        <v>2839</v>
      </c>
      <c r="F2531" s="20" t="s">
        <v>8</v>
      </c>
      <c r="G2531" s="861">
        <v>36.256849350125997</v>
      </c>
      <c r="H2531" s="861">
        <v>51.381503808065197</v>
      </c>
      <c r="I2531" s="861">
        <v>50.473474307243897</v>
      </c>
      <c r="J2531" s="861">
        <v>34.0580043260005</v>
      </c>
      <c r="K2531" s="982">
        <v>0</v>
      </c>
      <c r="L2531" s="735" t="s">
        <v>2466</v>
      </c>
      <c r="M2531" s="735">
        <v>3192</v>
      </c>
      <c r="N2531" s="845" t="str">
        <f t="shared" si="188"/>
        <v/>
      </c>
      <c r="O2531" s="735">
        <v>0.51526645811513017</v>
      </c>
      <c r="P2531" s="735">
        <f t="shared" si="189"/>
        <v>6194.8530701503287</v>
      </c>
      <c r="Q2531" s="849">
        <v>44.5</v>
      </c>
      <c r="R2531" s="71">
        <v>51613</v>
      </c>
      <c r="S2531" s="845">
        <v>0.20269423558897243</v>
      </c>
      <c r="T2531" s="845">
        <v>5.7000000000000002E-2</v>
      </c>
      <c r="U2531" s="845">
        <v>0</v>
      </c>
      <c r="V2531" s="845">
        <v>0</v>
      </c>
      <c r="W2531" s="845">
        <v>0.41623231571109459</v>
      </c>
      <c r="X2531" s="845">
        <v>0.481216457960644</v>
      </c>
      <c r="Y2531" s="845">
        <v>0.65194235588972427</v>
      </c>
      <c r="Z2531" s="845">
        <v>0.21303258145363407</v>
      </c>
      <c r="AA2531" s="845">
        <v>0</v>
      </c>
      <c r="AB2531" s="845">
        <v>1.5664160401002505E-3</v>
      </c>
      <c r="AC2531" s="845">
        <v>0</v>
      </c>
      <c r="AD2531" s="845">
        <v>2.7255639097744359E-2</v>
      </c>
      <c r="AE2531" s="845">
        <v>0.10620300751879699</v>
      </c>
      <c r="AF2531" s="845">
        <v>7.2368421052631582E-2</v>
      </c>
      <c r="AG2531" s="845">
        <v>0.62938596491228072</v>
      </c>
      <c r="AH2531" s="20" t="str">
        <f t="shared" si="190"/>
        <v>No</v>
      </c>
      <c r="AI2531" s="25"/>
      <c r="AJ2531" s="25"/>
      <c r="AK2531" s="25"/>
      <c r="AL2531" s="25"/>
      <c r="AM2531" s="25"/>
      <c r="AN2531" s="25"/>
      <c r="AO2531" s="25"/>
      <c r="AP2531" s="25"/>
      <c r="AQ2531" s="25"/>
      <c r="AR2531" s="25"/>
      <c r="AS2531" s="25"/>
      <c r="AT2531" s="25"/>
      <c r="AU2531" s="36"/>
      <c r="AV2531" s="36"/>
      <c r="AW2531" s="36"/>
      <c r="AX2531" s="25"/>
      <c r="AY2531" s="25"/>
      <c r="AZ2531" s="25"/>
      <c r="BA2531" s="25"/>
      <c r="BB2531" s="25"/>
      <c r="BC2531" s="25"/>
      <c r="BD2531" s="25"/>
      <c r="BE2531" s="25"/>
      <c r="BF2531" s="25"/>
      <c r="BG2531" s="25"/>
      <c r="BH2531" s="25"/>
      <c r="BI2531" s="25"/>
      <c r="BJ2531" s="25"/>
      <c r="BK2531" s="25"/>
      <c r="BL2531" s="25"/>
      <c r="BM2531" s="25"/>
      <c r="BN2531" s="25"/>
      <c r="BO2531" s="25"/>
      <c r="BP2531" s="25"/>
      <c r="BQ2531" s="25"/>
      <c r="BR2531" s="25"/>
      <c r="BS2531" s="25"/>
      <c r="BT2531" s="25"/>
      <c r="BU2531"/>
      <c r="BV2531"/>
      <c r="BW2531"/>
      <c r="BX2531"/>
      <c r="BY2531"/>
      <c r="BZ2531"/>
      <c r="CA2531"/>
      <c r="CB2531"/>
      <c r="CC2531"/>
      <c r="CD2531" s="25"/>
    </row>
    <row r="2532" spans="1:82" s="17" customFormat="1" x14ac:dyDescent="0.2">
      <c r="A2532" s="25"/>
      <c r="B2532" s="20">
        <v>39155932702</v>
      </c>
      <c r="C2532" s="20">
        <v>9327.02</v>
      </c>
      <c r="D2532" s="20" t="s">
        <v>83</v>
      </c>
      <c r="E2532" s="20" t="s">
        <v>2842</v>
      </c>
      <c r="F2532" s="20" t="s">
        <v>8</v>
      </c>
      <c r="G2532" s="861">
        <v>36.243155839972196</v>
      </c>
      <c r="H2532" s="861">
        <v>31.431921539574802</v>
      </c>
      <c r="I2532" s="861">
        <v>40.187938732817898</v>
      </c>
      <c r="J2532" s="861">
        <v>25.645671235721402</v>
      </c>
      <c r="K2532" s="982">
        <v>0</v>
      </c>
      <c r="L2532" s="735">
        <v>2346</v>
      </c>
      <c r="M2532" s="735">
        <v>2375</v>
      </c>
      <c r="N2532" s="845">
        <f t="shared" si="188"/>
        <v>1.23614663256607E-2</v>
      </c>
      <c r="O2532" s="735">
        <v>0.5245545316422322</v>
      </c>
      <c r="P2532" s="735">
        <f t="shared" si="189"/>
        <v>4527.6512864440328</v>
      </c>
      <c r="Q2532" s="849">
        <v>39.9</v>
      </c>
      <c r="R2532" s="71">
        <v>44485</v>
      </c>
      <c r="S2532" s="845">
        <v>0.13140887548470487</v>
      </c>
      <c r="T2532" s="845">
        <v>6.0999999999999999E-2</v>
      </c>
      <c r="U2532" s="845">
        <v>0</v>
      </c>
      <c r="V2532" s="845">
        <v>1.6E-2</v>
      </c>
      <c r="W2532" s="845">
        <v>0.45751633986928103</v>
      </c>
      <c r="X2532" s="845">
        <v>0.37346938775510202</v>
      </c>
      <c r="Y2532" s="845">
        <v>0.89431578947368418</v>
      </c>
      <c r="Z2532" s="845">
        <v>1.7684210526315788E-2</v>
      </c>
      <c r="AA2532" s="845">
        <v>0</v>
      </c>
      <c r="AB2532" s="845">
        <v>0</v>
      </c>
      <c r="AC2532" s="845">
        <v>9.6842105263157899E-3</v>
      </c>
      <c r="AD2532" s="845">
        <v>0</v>
      </c>
      <c r="AE2532" s="845">
        <v>7.8315789473684214E-2</v>
      </c>
      <c r="AF2532" s="845">
        <v>8.4210526315789478E-4</v>
      </c>
      <c r="AG2532" s="845">
        <v>0.89347368421052631</v>
      </c>
      <c r="AH2532" s="20" t="str">
        <f t="shared" si="190"/>
        <v>No</v>
      </c>
      <c r="AI2532" s="25"/>
      <c r="AJ2532" s="25"/>
      <c r="AK2532" s="25"/>
      <c r="AL2532" s="25"/>
      <c r="AM2532" s="25"/>
      <c r="AN2532" s="25"/>
      <c r="AO2532" s="25"/>
      <c r="AP2532" s="25"/>
      <c r="AQ2532" s="25"/>
      <c r="AR2532" s="25"/>
      <c r="AS2532" s="25"/>
      <c r="AT2532" s="25"/>
      <c r="AU2532" s="36"/>
      <c r="AV2532" s="36"/>
      <c r="AW2532" s="36"/>
      <c r="AX2532" s="25"/>
      <c r="AY2532" s="25"/>
      <c r="AZ2532" s="25"/>
      <c r="BA2532" s="25"/>
      <c r="BB2532" s="25"/>
      <c r="BC2532" s="25"/>
      <c r="BD2532" s="25"/>
      <c r="BE2532" s="25"/>
      <c r="BF2532" s="25"/>
      <c r="BG2532" s="25"/>
      <c r="BH2532" s="25"/>
      <c r="BI2532" s="25"/>
      <c r="BJ2532" s="25"/>
      <c r="BK2532" s="25"/>
      <c r="BL2532" s="25"/>
      <c r="BM2532" s="25"/>
      <c r="BN2532" s="25"/>
      <c r="BO2532" s="25"/>
      <c r="BP2532" s="25"/>
      <c r="BQ2532" s="25"/>
      <c r="BR2532" s="25"/>
      <c r="BS2532" s="25"/>
      <c r="BT2532" s="25"/>
      <c r="BU2532"/>
      <c r="BV2532"/>
      <c r="BW2532"/>
      <c r="BX2532"/>
      <c r="BY2532"/>
      <c r="BZ2532"/>
      <c r="CA2532"/>
      <c r="CB2532"/>
      <c r="CC2532"/>
      <c r="CD2532" s="25"/>
    </row>
    <row r="2533" spans="1:82" s="17" customFormat="1" x14ac:dyDescent="0.2">
      <c r="A2533" s="25"/>
      <c r="B2533" s="20">
        <v>39143961600</v>
      </c>
      <c r="C2533" s="20">
        <v>9616</v>
      </c>
      <c r="D2533" s="20" t="s">
        <v>77</v>
      </c>
      <c r="E2533" s="20" t="s">
        <v>265</v>
      </c>
      <c r="F2533" s="20" t="s">
        <v>6</v>
      </c>
      <c r="G2533" s="861">
        <v>36.229741214375899</v>
      </c>
      <c r="H2533" s="861">
        <v>30.042218529052999</v>
      </c>
      <c r="I2533" s="861">
        <v>32.993543926949201</v>
      </c>
      <c r="J2533" s="861">
        <v>26.115615101292601</v>
      </c>
      <c r="K2533" s="982">
        <v>0</v>
      </c>
      <c r="L2533" s="735">
        <v>3272</v>
      </c>
      <c r="M2533" s="735">
        <v>3123</v>
      </c>
      <c r="N2533" s="845">
        <f t="shared" si="188"/>
        <v>-4.5537897310513449E-2</v>
      </c>
      <c r="O2533" s="735">
        <v>3.4116909517395433</v>
      </c>
      <c r="P2533" s="735">
        <f t="shared" si="189"/>
        <v>915.38185731848125</v>
      </c>
      <c r="Q2533" s="849">
        <v>37.9</v>
      </c>
      <c r="R2533" s="71">
        <v>39342</v>
      </c>
      <c r="S2533" s="845">
        <v>0.36989537630779618</v>
      </c>
      <c r="T2533" s="845">
        <v>5.0999999999999997E-2</v>
      </c>
      <c r="U2533" s="845">
        <v>0.09</v>
      </c>
      <c r="V2533" s="845">
        <v>0</v>
      </c>
      <c r="W2533" s="845">
        <v>0.46696696696696699</v>
      </c>
      <c r="X2533" s="845">
        <v>0.27652733118971062</v>
      </c>
      <c r="Y2533" s="845">
        <v>0.71533781620236947</v>
      </c>
      <c r="Z2533" s="845">
        <v>2.6577009285943004E-2</v>
      </c>
      <c r="AA2533" s="845">
        <v>0</v>
      </c>
      <c r="AB2533" s="845">
        <v>0</v>
      </c>
      <c r="AC2533" s="845">
        <v>0</v>
      </c>
      <c r="AD2533" s="845">
        <v>0.15049631764329172</v>
      </c>
      <c r="AE2533" s="845">
        <v>0.10758885686839577</v>
      </c>
      <c r="AF2533" s="845">
        <v>0.25232148575088054</v>
      </c>
      <c r="AG2533" s="845">
        <v>0.68331732308677551</v>
      </c>
      <c r="AH2533" s="20" t="str">
        <f t="shared" si="190"/>
        <v>No</v>
      </c>
      <c r="AI2533" s="25"/>
      <c r="AJ2533" s="25"/>
      <c r="AK2533" s="25"/>
      <c r="AL2533" s="25"/>
      <c r="AM2533" s="25"/>
      <c r="AN2533" s="25"/>
      <c r="AO2533" s="25"/>
      <c r="AP2533" s="25"/>
      <c r="AQ2533" s="25"/>
      <c r="AR2533" s="25"/>
      <c r="AS2533" s="25"/>
      <c r="AT2533" s="25"/>
      <c r="AU2533" s="36"/>
      <c r="AV2533" s="36"/>
      <c r="AW2533" s="36"/>
      <c r="AX2533" s="25"/>
      <c r="AY2533" s="25"/>
      <c r="AZ2533" s="25"/>
      <c r="BA2533" s="25"/>
      <c r="BB2533" s="25"/>
      <c r="BC2533" s="25"/>
      <c r="BD2533" s="25"/>
      <c r="BE2533" s="25"/>
      <c r="BF2533" s="25"/>
      <c r="BG2533" s="25"/>
      <c r="BH2533" s="25"/>
      <c r="BI2533" s="25"/>
      <c r="BJ2533" s="25"/>
      <c r="BK2533" s="25"/>
      <c r="BL2533" s="25"/>
      <c r="BM2533" s="25"/>
      <c r="BN2533" s="25"/>
      <c r="BO2533" s="25"/>
      <c r="BP2533" s="25"/>
      <c r="BQ2533" s="25"/>
      <c r="BR2533" s="25"/>
      <c r="BS2533" s="25"/>
      <c r="BT2533" s="25"/>
      <c r="BU2533"/>
      <c r="BV2533"/>
      <c r="BW2533"/>
      <c r="BX2533"/>
      <c r="BY2533"/>
      <c r="BZ2533"/>
      <c r="CA2533"/>
      <c r="CB2533"/>
      <c r="CC2533"/>
      <c r="CD2533" s="25"/>
    </row>
    <row r="2534" spans="1:82" s="17" customFormat="1" x14ac:dyDescent="0.2">
      <c r="A2534" s="25"/>
      <c r="B2534" s="20">
        <v>39139001300</v>
      </c>
      <c r="C2534" s="20">
        <v>13</v>
      </c>
      <c r="D2534" s="20" t="s">
        <v>75</v>
      </c>
      <c r="E2534" s="20" t="s">
        <v>2836</v>
      </c>
      <c r="F2534" s="20" t="s">
        <v>8</v>
      </c>
      <c r="G2534" s="861">
        <v>36.1930177348356</v>
      </c>
      <c r="H2534" s="861">
        <v>36.387146535634997</v>
      </c>
      <c r="I2534" s="861">
        <v>38.194537698079898</v>
      </c>
      <c r="J2534" s="861">
        <v>37.668441035101303</v>
      </c>
      <c r="K2534" s="982">
        <v>0</v>
      </c>
      <c r="L2534" s="735">
        <v>3395</v>
      </c>
      <c r="M2534" s="735">
        <v>3472</v>
      </c>
      <c r="N2534" s="845">
        <f t="shared" si="188"/>
        <v>2.268041237113402E-2</v>
      </c>
      <c r="O2534" s="735">
        <v>0.70100090150606909</v>
      </c>
      <c r="P2534" s="735">
        <f t="shared" si="189"/>
        <v>4952.918024128875</v>
      </c>
      <c r="Q2534" s="849">
        <v>40.299999999999997</v>
      </c>
      <c r="R2534" s="71">
        <v>54495</v>
      </c>
      <c r="S2534" s="845">
        <v>0.20623916811091855</v>
      </c>
      <c r="T2534" s="845">
        <v>3.6000000000000004E-2</v>
      </c>
      <c r="U2534" s="845">
        <v>2.4E-2</v>
      </c>
      <c r="V2534" s="845">
        <v>0</v>
      </c>
      <c r="W2534" s="845">
        <v>0.38295165394402036</v>
      </c>
      <c r="X2534" s="845">
        <v>0.4019933554817276</v>
      </c>
      <c r="Y2534" s="845">
        <v>0.72263824884792627</v>
      </c>
      <c r="Z2534" s="845">
        <v>0.10714285714285714</v>
      </c>
      <c r="AA2534" s="845">
        <v>6.3364055299539174E-3</v>
      </c>
      <c r="AB2534" s="845">
        <v>0</v>
      </c>
      <c r="AC2534" s="845">
        <v>3.1970046082949309E-2</v>
      </c>
      <c r="AD2534" s="845">
        <v>2.0161290322580645E-3</v>
      </c>
      <c r="AE2534" s="845">
        <v>0.1298963133640553</v>
      </c>
      <c r="AF2534" s="845">
        <v>1.9297235023041474E-2</v>
      </c>
      <c r="AG2534" s="845">
        <v>0.71889400921658986</v>
      </c>
      <c r="AH2534" s="20" t="str">
        <f t="shared" si="190"/>
        <v>No</v>
      </c>
      <c r="AI2534" s="25"/>
      <c r="AJ2534" s="25"/>
      <c r="AK2534" s="25"/>
      <c r="AL2534" s="25"/>
      <c r="AM2534" s="25"/>
      <c r="AN2534" s="25"/>
      <c r="AO2534" s="25"/>
      <c r="AP2534" s="25"/>
      <c r="AQ2534" s="25"/>
      <c r="AR2534" s="25"/>
      <c r="AS2534" s="25"/>
      <c r="AT2534" s="25"/>
      <c r="AU2534" s="36"/>
      <c r="AV2534" s="36"/>
      <c r="AW2534" s="36"/>
      <c r="AX2534" s="25"/>
      <c r="AY2534" s="25"/>
      <c r="AZ2534" s="25"/>
      <c r="BA2534" s="25"/>
      <c r="BB2534" s="25"/>
      <c r="BC2534" s="25"/>
      <c r="BD2534" s="25"/>
      <c r="BE2534" s="25"/>
      <c r="BF2534" s="25"/>
      <c r="BG2534" s="25"/>
      <c r="BH2534" s="25"/>
      <c r="BI2534" s="25"/>
      <c r="BJ2534" s="25"/>
      <c r="BK2534" s="25"/>
      <c r="BL2534" s="25"/>
      <c r="BM2534" s="25"/>
      <c r="BN2534" s="25"/>
      <c r="BO2534" s="25"/>
      <c r="BP2534" s="25"/>
      <c r="BQ2534" s="25"/>
      <c r="BR2534" s="25"/>
      <c r="BS2534" s="25"/>
      <c r="BT2534" s="25"/>
      <c r="BU2534"/>
      <c r="BV2534"/>
      <c r="BW2534"/>
      <c r="BX2534"/>
      <c r="BY2534"/>
      <c r="BZ2534"/>
      <c r="CA2534"/>
      <c r="CB2534"/>
      <c r="CC2534"/>
      <c r="CD2534" s="25"/>
    </row>
    <row r="2535" spans="1:82" s="17" customFormat="1" x14ac:dyDescent="0.2">
      <c r="A2535" s="25"/>
      <c r="B2535" s="20">
        <v>39093070200</v>
      </c>
      <c r="C2535" s="20">
        <v>702</v>
      </c>
      <c r="D2535" s="20" t="s">
        <v>52</v>
      </c>
      <c r="E2535" s="20" t="s">
        <v>2829</v>
      </c>
      <c r="F2535" s="20" t="s">
        <v>8</v>
      </c>
      <c r="G2535" s="861">
        <v>36.181812505899501</v>
      </c>
      <c r="H2535" s="861">
        <v>44.867848103606597</v>
      </c>
      <c r="I2535" s="861">
        <v>26.831490817737599</v>
      </c>
      <c r="J2535" s="861">
        <v>33.0074172546299</v>
      </c>
      <c r="K2535" s="982">
        <v>0</v>
      </c>
      <c r="L2535" s="735">
        <v>2001</v>
      </c>
      <c r="M2535" s="735">
        <v>1870</v>
      </c>
      <c r="N2535" s="845">
        <f t="shared" si="188"/>
        <v>-6.5467266366816587E-2</v>
      </c>
      <c r="O2535" s="735">
        <v>3.086539652106743</v>
      </c>
      <c r="P2535" s="735">
        <f t="shared" si="189"/>
        <v>605.8564641227324</v>
      </c>
      <c r="Q2535" s="849">
        <v>46.3</v>
      </c>
      <c r="R2535" s="71">
        <v>64276</v>
      </c>
      <c r="S2535" s="845">
        <v>9.4117647058823528E-2</v>
      </c>
      <c r="T2535" s="845">
        <v>4.5999999999999999E-2</v>
      </c>
      <c r="U2535" s="845">
        <v>1.1000000000000001E-2</v>
      </c>
      <c r="V2535" s="845">
        <v>0.129</v>
      </c>
      <c r="W2535" s="845">
        <v>0.30577576443941112</v>
      </c>
      <c r="X2535" s="845">
        <v>0.22962962962962963</v>
      </c>
      <c r="Y2535" s="845">
        <v>0.80374331550802136</v>
      </c>
      <c r="Z2535" s="845">
        <v>7.7005347593582893E-2</v>
      </c>
      <c r="AA2535" s="845">
        <v>0</v>
      </c>
      <c r="AB2535" s="845">
        <v>3.1016042780748664E-2</v>
      </c>
      <c r="AC2535" s="845">
        <v>0</v>
      </c>
      <c r="AD2535" s="845">
        <v>1.1229946524064172E-2</v>
      </c>
      <c r="AE2535" s="845">
        <v>7.7005347593582893E-2</v>
      </c>
      <c r="AF2535" s="845">
        <v>6.310160427807486E-2</v>
      </c>
      <c r="AG2535" s="845">
        <v>0.78823529411764703</v>
      </c>
      <c r="AH2535" s="20" t="str">
        <f t="shared" si="190"/>
        <v>No</v>
      </c>
      <c r="AI2535" s="25"/>
      <c r="AJ2535" s="25"/>
      <c r="AK2535" s="25"/>
      <c r="AL2535" s="25"/>
      <c r="AM2535" s="25"/>
      <c r="AN2535" s="25"/>
      <c r="AO2535" s="25"/>
      <c r="AP2535" s="25"/>
      <c r="AQ2535" s="25"/>
      <c r="AR2535" s="25"/>
      <c r="AS2535" s="25"/>
      <c r="AT2535" s="25"/>
      <c r="AU2535" s="36"/>
      <c r="AV2535" s="36"/>
      <c r="AW2535" s="36"/>
      <c r="AX2535" s="25"/>
      <c r="AY2535" s="25"/>
      <c r="AZ2535" s="25"/>
      <c r="BA2535" s="25"/>
      <c r="BB2535" s="25"/>
      <c r="BC2535" s="25"/>
      <c r="BD2535" s="25"/>
      <c r="BE2535" s="25"/>
      <c r="BF2535" s="25"/>
      <c r="BG2535" s="25"/>
      <c r="BH2535" s="25"/>
      <c r="BI2535" s="25"/>
      <c r="BJ2535" s="25"/>
      <c r="BK2535" s="25"/>
      <c r="BL2535" s="25"/>
      <c r="BM2535" s="25"/>
      <c r="BN2535" s="25"/>
      <c r="BO2535" s="25"/>
      <c r="BP2535" s="25"/>
      <c r="BQ2535" s="25"/>
      <c r="BR2535" s="25"/>
      <c r="BS2535" s="25"/>
      <c r="BT2535" s="25"/>
      <c r="BU2535"/>
      <c r="BV2535"/>
      <c r="BW2535"/>
      <c r="BX2535"/>
      <c r="BY2535"/>
      <c r="BZ2535"/>
      <c r="CA2535"/>
      <c r="CB2535"/>
      <c r="CC2535"/>
      <c r="CD2535" s="25"/>
    </row>
    <row r="2536" spans="1:82" s="17" customFormat="1" x14ac:dyDescent="0.2">
      <c r="A2536" s="25"/>
      <c r="B2536" s="20">
        <v>39113002800</v>
      </c>
      <c r="C2536" s="20">
        <v>28</v>
      </c>
      <c r="D2536" s="20" t="s">
        <v>62</v>
      </c>
      <c r="E2536" s="20" t="s">
        <v>2833</v>
      </c>
      <c r="F2536" s="20" t="s">
        <v>8</v>
      </c>
      <c r="G2536" s="861">
        <v>36.180775478777697</v>
      </c>
      <c r="H2536" s="861">
        <v>54.6765184020066</v>
      </c>
      <c r="I2536" s="861">
        <v>33.965422896521503</v>
      </c>
      <c r="J2536" s="861">
        <v>39.129914923804698</v>
      </c>
      <c r="K2536" s="982">
        <v>0</v>
      </c>
      <c r="L2536" s="735">
        <v>2059</v>
      </c>
      <c r="M2536" s="735">
        <v>2117</v>
      </c>
      <c r="N2536" s="845">
        <f t="shared" si="188"/>
        <v>2.8169014084507043E-2</v>
      </c>
      <c r="O2536" s="735">
        <v>0.45338200413591861</v>
      </c>
      <c r="P2536" s="735">
        <f t="shared" si="189"/>
        <v>4669.3516299454805</v>
      </c>
      <c r="Q2536" s="849">
        <v>34.5</v>
      </c>
      <c r="R2536" s="71">
        <v>52117</v>
      </c>
      <c r="S2536" s="845">
        <v>0.27434908389585344</v>
      </c>
      <c r="T2536" s="845">
        <v>2.1000000000000001E-2</v>
      </c>
      <c r="U2536" s="845">
        <v>0</v>
      </c>
      <c r="V2536" s="845">
        <v>0</v>
      </c>
      <c r="W2536" s="845">
        <v>0.2226680040120361</v>
      </c>
      <c r="X2536" s="845">
        <v>0.79729729729729726</v>
      </c>
      <c r="Y2536" s="845">
        <v>0.88332546055739258</v>
      </c>
      <c r="Z2536" s="845">
        <v>2.550779404818139E-2</v>
      </c>
      <c r="AA2536" s="845">
        <v>0</v>
      </c>
      <c r="AB2536" s="845">
        <v>5.1960321209258385E-3</v>
      </c>
      <c r="AC2536" s="845">
        <v>1.3698630136986301E-2</v>
      </c>
      <c r="AD2536" s="845">
        <v>2.3145961265942372E-2</v>
      </c>
      <c r="AE2536" s="845">
        <v>4.9126121870571561E-2</v>
      </c>
      <c r="AF2536" s="845">
        <v>2.3145961265942372E-2</v>
      </c>
      <c r="AG2536" s="845">
        <v>0.88332546055739258</v>
      </c>
      <c r="AH2536" s="20" t="str">
        <f t="shared" si="190"/>
        <v>No</v>
      </c>
      <c r="AI2536" s="25"/>
      <c r="AJ2536" s="25"/>
      <c r="AK2536" s="25"/>
      <c r="AL2536" s="25"/>
      <c r="AM2536" s="25"/>
      <c r="AN2536" s="25"/>
      <c r="AO2536" s="25"/>
      <c r="AP2536" s="25"/>
      <c r="AQ2536" s="25"/>
      <c r="AR2536" s="25"/>
      <c r="AS2536" s="25"/>
      <c r="AT2536" s="25"/>
      <c r="AU2536" s="36"/>
      <c r="AV2536" s="36"/>
      <c r="AW2536" s="36"/>
      <c r="AX2536" s="25"/>
      <c r="AY2536" s="25"/>
      <c r="AZ2536" s="25"/>
      <c r="BA2536" s="25"/>
      <c r="BB2536" s="25"/>
      <c r="BC2536" s="25"/>
      <c r="BD2536" s="25"/>
      <c r="BE2536" s="25"/>
      <c r="BF2536" s="25"/>
      <c r="BG2536" s="25"/>
      <c r="BH2536" s="25"/>
      <c r="BI2536" s="25"/>
      <c r="BJ2536" s="25"/>
      <c r="BK2536" s="25"/>
      <c r="BL2536" s="25"/>
      <c r="BM2536" s="25"/>
      <c r="BN2536" s="25"/>
      <c r="BO2536" s="25"/>
      <c r="BP2536" s="25"/>
      <c r="BQ2536" s="25"/>
      <c r="BR2536" s="25"/>
      <c r="BS2536" s="25"/>
      <c r="BT2536" s="25"/>
      <c r="BU2536"/>
      <c r="BV2536"/>
      <c r="BW2536"/>
      <c r="BX2536"/>
      <c r="BY2536"/>
      <c r="BZ2536"/>
      <c r="CA2536"/>
      <c r="CB2536"/>
      <c r="CC2536"/>
      <c r="CD2536" s="25"/>
    </row>
    <row r="2537" spans="1:82" s="17" customFormat="1" x14ac:dyDescent="0.2">
      <c r="A2537" s="25"/>
      <c r="B2537" s="20">
        <v>39153510100</v>
      </c>
      <c r="C2537" s="20">
        <v>5101</v>
      </c>
      <c r="D2537" s="20" t="s">
        <v>82</v>
      </c>
      <c r="E2537" s="20" t="s">
        <v>2843</v>
      </c>
      <c r="F2537" s="20" t="s">
        <v>6</v>
      </c>
      <c r="G2537" s="861">
        <v>36.1729653822213</v>
      </c>
      <c r="H2537" s="861">
        <v>45.054248660607598</v>
      </c>
      <c r="I2537" s="861">
        <v>61.951756084833796</v>
      </c>
      <c r="J2537" s="861">
        <v>29.716593722985198</v>
      </c>
      <c r="K2537" s="982">
        <v>0</v>
      </c>
      <c r="L2537" s="735">
        <v>2711</v>
      </c>
      <c r="M2537" s="735">
        <v>2548</v>
      </c>
      <c r="N2537" s="845">
        <f t="shared" si="188"/>
        <v>-6.0125414976023604E-2</v>
      </c>
      <c r="O2537" s="735">
        <v>1.0045142639670266</v>
      </c>
      <c r="P2537" s="735">
        <f t="shared" si="189"/>
        <v>2536.5493466836811</v>
      </c>
      <c r="Q2537" s="849">
        <v>38.299999999999997</v>
      </c>
      <c r="R2537" s="71">
        <v>38531</v>
      </c>
      <c r="S2537" s="845">
        <v>0.22761341222879686</v>
      </c>
      <c r="T2537" s="845">
        <v>9.3000000000000013E-2</v>
      </c>
      <c r="U2537" s="845">
        <v>0</v>
      </c>
      <c r="V2537" s="845">
        <v>0</v>
      </c>
      <c r="W2537" s="845">
        <v>0.70203359858532277</v>
      </c>
      <c r="X2537" s="845">
        <v>0.51511335012594461</v>
      </c>
      <c r="Y2537" s="845">
        <v>0.90031397174254313</v>
      </c>
      <c r="Z2537" s="845">
        <v>2.7080062794348509E-2</v>
      </c>
      <c r="AA2537" s="845">
        <v>0</v>
      </c>
      <c r="AB2537" s="845">
        <v>3.9246467817896386E-3</v>
      </c>
      <c r="AC2537" s="845">
        <v>0</v>
      </c>
      <c r="AD2537" s="845">
        <v>0</v>
      </c>
      <c r="AE2537" s="845">
        <v>6.8681318681318687E-2</v>
      </c>
      <c r="AF2537" s="845">
        <v>1.4913657770800628E-2</v>
      </c>
      <c r="AG2537" s="845">
        <v>0.90031397174254313</v>
      </c>
      <c r="AH2537" s="20" t="str">
        <f t="shared" si="190"/>
        <v>Yes</v>
      </c>
      <c r="AI2537" s="25"/>
      <c r="AJ2537" s="25"/>
      <c r="AK2537" s="25"/>
      <c r="AL2537" s="25"/>
      <c r="AM2537" s="25"/>
      <c r="AN2537" s="25"/>
      <c r="AO2537" s="25"/>
      <c r="AP2537" s="25"/>
      <c r="AQ2537" s="25"/>
      <c r="AR2537" s="25"/>
      <c r="AS2537" s="25"/>
      <c r="AT2537" s="25"/>
      <c r="AU2537" s="36"/>
      <c r="AV2537" s="36"/>
      <c r="AW2537" s="36"/>
      <c r="AX2537" s="25"/>
      <c r="AY2537" s="25"/>
      <c r="AZ2537" s="25"/>
      <c r="BA2537" s="25"/>
      <c r="BB2537" s="25"/>
      <c r="BC2537" s="25"/>
      <c r="BD2537" s="25"/>
      <c r="BE2537" s="25"/>
      <c r="BF2537" s="25"/>
      <c r="BG2537" s="25"/>
      <c r="BH2537" s="25"/>
      <c r="BI2537" s="25"/>
      <c r="BJ2537" s="25"/>
      <c r="BK2537" s="25"/>
      <c r="BL2537" s="25"/>
      <c r="BM2537" s="25"/>
      <c r="BN2537" s="25"/>
      <c r="BO2537" s="25"/>
      <c r="BP2537" s="25"/>
      <c r="BQ2537" s="25"/>
      <c r="BR2537" s="25"/>
      <c r="BS2537" s="25"/>
      <c r="BT2537" s="25"/>
      <c r="BU2537"/>
      <c r="BV2537"/>
      <c r="BW2537"/>
      <c r="BX2537"/>
      <c r="BY2537"/>
      <c r="BZ2537"/>
      <c r="CA2537"/>
      <c r="CB2537"/>
      <c r="CC2537"/>
      <c r="CD2537" s="25"/>
    </row>
    <row r="2538" spans="1:82" s="17" customFormat="1" x14ac:dyDescent="0.2">
      <c r="A2538" s="25"/>
      <c r="B2538" s="20">
        <v>39155921000</v>
      </c>
      <c r="C2538" s="20">
        <v>9210</v>
      </c>
      <c r="D2538" s="20" t="s">
        <v>83</v>
      </c>
      <c r="E2538" s="20" t="s">
        <v>2842</v>
      </c>
      <c r="F2538" s="20" t="s">
        <v>6</v>
      </c>
      <c r="G2538" s="861">
        <v>36.136018365758098</v>
      </c>
      <c r="H2538" s="861">
        <v>22.490150768420001</v>
      </c>
      <c r="I2538" s="861">
        <v>41.923886002381998</v>
      </c>
      <c r="J2538" s="861">
        <v>38.910568565565299</v>
      </c>
      <c r="K2538" s="982">
        <v>0</v>
      </c>
      <c r="L2538" s="735">
        <v>5281</v>
      </c>
      <c r="M2538" s="735">
        <v>5267</v>
      </c>
      <c r="N2538" s="845">
        <f t="shared" si="188"/>
        <v>-2.6510130657072524E-3</v>
      </c>
      <c r="O2538" s="735">
        <v>1.7473759754055398</v>
      </c>
      <c r="P2538" s="735">
        <f t="shared" si="189"/>
        <v>3014.233956591745</v>
      </c>
      <c r="Q2538" s="849">
        <v>46.1</v>
      </c>
      <c r="R2538" s="71">
        <v>41402</v>
      </c>
      <c r="S2538" s="845">
        <v>0.2732469512195122</v>
      </c>
      <c r="T2538" s="845">
        <v>0.13600000000000001</v>
      </c>
      <c r="U2538" s="845">
        <v>0</v>
      </c>
      <c r="V2538" s="845">
        <v>9.8000000000000004E-2</v>
      </c>
      <c r="W2538" s="845">
        <v>0.34613845538215288</v>
      </c>
      <c r="X2538" s="845">
        <v>0.37109826589595374</v>
      </c>
      <c r="Y2538" s="845">
        <v>0.61875830643630148</v>
      </c>
      <c r="Z2538" s="845">
        <v>0.33738370989177902</v>
      </c>
      <c r="AA2538" s="845">
        <v>0</v>
      </c>
      <c r="AB2538" s="845">
        <v>0</v>
      </c>
      <c r="AC2538" s="845">
        <v>0</v>
      </c>
      <c r="AD2538" s="845">
        <v>4.7465350294285174E-3</v>
      </c>
      <c r="AE2538" s="845">
        <v>3.9111448642490984E-2</v>
      </c>
      <c r="AF2538" s="845">
        <v>0</v>
      </c>
      <c r="AG2538" s="845">
        <v>0.61875830643630148</v>
      </c>
      <c r="AH2538" s="20" t="str">
        <f t="shared" si="190"/>
        <v>No</v>
      </c>
      <c r="AI2538" s="25"/>
      <c r="AJ2538" s="25"/>
      <c r="AK2538" s="25"/>
      <c r="AL2538" s="25"/>
      <c r="AM2538" s="25"/>
      <c r="AN2538" s="25"/>
      <c r="AO2538" s="25"/>
      <c r="AP2538" s="25"/>
      <c r="AQ2538" s="25"/>
      <c r="AR2538" s="25"/>
      <c r="AS2538" s="25"/>
      <c r="AT2538" s="25"/>
      <c r="AU2538" s="36"/>
      <c r="AV2538" s="36"/>
      <c r="AW2538" s="36"/>
      <c r="AX2538" s="25"/>
      <c r="AY2538" s="25"/>
      <c r="AZ2538" s="25"/>
      <c r="BA2538" s="25"/>
      <c r="BB2538" s="25"/>
      <c r="BC2538" s="25"/>
      <c r="BD2538" s="25"/>
      <c r="BE2538" s="25"/>
      <c r="BF2538" s="25"/>
      <c r="BG2538" s="25"/>
      <c r="BH2538" s="25"/>
      <c r="BI2538" s="25"/>
      <c r="BJ2538" s="25"/>
      <c r="BK2538" s="25"/>
      <c r="BL2538" s="25"/>
      <c r="BM2538" s="25"/>
      <c r="BN2538" s="25"/>
      <c r="BO2538" s="25"/>
      <c r="BP2538" s="25"/>
      <c r="BQ2538" s="25"/>
      <c r="BR2538" s="25"/>
      <c r="BS2538" s="25"/>
      <c r="BT2538" s="25"/>
      <c r="BU2538"/>
      <c r="BV2538"/>
      <c r="BW2538"/>
      <c r="BX2538"/>
      <c r="BY2538"/>
      <c r="BZ2538"/>
      <c r="CA2538"/>
      <c r="CB2538"/>
      <c r="CC2538"/>
      <c r="CD2538" s="25"/>
    </row>
    <row r="2539" spans="1:82" s="17" customFormat="1" x14ac:dyDescent="0.2">
      <c r="A2539" s="25"/>
      <c r="B2539" s="20">
        <v>39023002000</v>
      </c>
      <c r="C2539" s="20">
        <v>20</v>
      </c>
      <c r="D2539" s="20" t="s">
        <v>18</v>
      </c>
      <c r="E2539" s="20" t="s">
        <v>2838</v>
      </c>
      <c r="F2539" s="20" t="s">
        <v>8</v>
      </c>
      <c r="G2539" s="861">
        <v>36.130249413011803</v>
      </c>
      <c r="H2539" s="861">
        <v>49.015809242883599</v>
      </c>
      <c r="I2539" s="861">
        <v>22.756684296060701</v>
      </c>
      <c r="J2539" s="861">
        <v>45.370055866913397</v>
      </c>
      <c r="K2539" s="982">
        <v>0</v>
      </c>
      <c r="L2539" s="735">
        <v>2165</v>
      </c>
      <c r="M2539" s="735">
        <v>2040</v>
      </c>
      <c r="N2539" s="845">
        <f t="shared" si="188"/>
        <v>-5.7736720554272515E-2</v>
      </c>
      <c r="O2539" s="735">
        <v>3.7473071642788356</v>
      </c>
      <c r="P2539" s="735">
        <f t="shared" si="189"/>
        <v>544.3909214185262</v>
      </c>
      <c r="Q2539" s="849">
        <v>38.799999999999997</v>
      </c>
      <c r="R2539" s="71">
        <v>97313</v>
      </c>
      <c r="S2539" s="845">
        <v>6.0294117647058824E-2</v>
      </c>
      <c r="T2539" s="845">
        <v>1.3999999999999999E-2</v>
      </c>
      <c r="U2539" s="845">
        <v>0</v>
      </c>
      <c r="V2539" s="845">
        <v>0</v>
      </c>
      <c r="W2539" s="845">
        <v>7.4270557029177717E-2</v>
      </c>
      <c r="X2539" s="845">
        <v>0.21428571428571427</v>
      </c>
      <c r="Y2539" s="845">
        <v>0.96666666666666667</v>
      </c>
      <c r="Z2539" s="845">
        <v>6.8627450980392156E-3</v>
      </c>
      <c r="AA2539" s="845">
        <v>4.9019607843137254E-4</v>
      </c>
      <c r="AB2539" s="845">
        <v>5.392156862745098E-3</v>
      </c>
      <c r="AC2539" s="845">
        <v>0</v>
      </c>
      <c r="AD2539" s="845">
        <v>2.4509803921568627E-3</v>
      </c>
      <c r="AE2539" s="845">
        <v>1.8137254901960786E-2</v>
      </c>
      <c r="AF2539" s="845">
        <v>4.4117647058823529E-3</v>
      </c>
      <c r="AG2539" s="845">
        <v>0.96225490196078434</v>
      </c>
      <c r="AH2539" s="20" t="str">
        <f t="shared" si="190"/>
        <v>Yes</v>
      </c>
      <c r="AI2539" s="25"/>
      <c r="AJ2539" s="25"/>
      <c r="AK2539" s="25"/>
      <c r="AL2539" s="25"/>
      <c r="AM2539" s="25"/>
      <c r="AN2539" s="25"/>
      <c r="AO2539" s="25"/>
      <c r="AP2539" s="25"/>
      <c r="AQ2539" s="25"/>
      <c r="AR2539" s="25"/>
      <c r="AS2539" s="25"/>
      <c r="AT2539" s="25"/>
      <c r="AU2539" s="36"/>
      <c r="AV2539" s="36"/>
      <c r="AW2539" s="36"/>
      <c r="AX2539" s="25"/>
      <c r="AY2539" s="25"/>
      <c r="AZ2539" s="25"/>
      <c r="BA2539" s="25"/>
      <c r="BB2539" s="25"/>
      <c r="BC2539" s="25"/>
      <c r="BD2539" s="25"/>
      <c r="BE2539" s="25"/>
      <c r="BF2539" s="25"/>
      <c r="BG2539" s="25"/>
      <c r="BH2539" s="25"/>
      <c r="BI2539" s="25"/>
      <c r="BJ2539" s="25"/>
      <c r="BK2539" s="25"/>
      <c r="BL2539" s="25"/>
      <c r="BM2539" s="25"/>
      <c r="BN2539" s="25"/>
      <c r="BO2539" s="25"/>
      <c r="BP2539" s="25"/>
      <c r="BQ2539" s="25"/>
      <c r="BR2539" s="25"/>
      <c r="BS2539" s="25"/>
      <c r="BT2539" s="25"/>
      <c r="BU2539"/>
      <c r="BV2539"/>
      <c r="BW2539"/>
      <c r="BX2539"/>
      <c r="BY2539"/>
      <c r="BZ2539"/>
      <c r="CA2539"/>
      <c r="CB2539"/>
      <c r="CC2539"/>
      <c r="CD2539" s="25"/>
    </row>
    <row r="2540" spans="1:82" s="17" customFormat="1" x14ac:dyDescent="0.2">
      <c r="A2540" s="25"/>
      <c r="B2540" s="20">
        <v>39105964500</v>
      </c>
      <c r="C2540" s="20">
        <v>9645</v>
      </c>
      <c r="D2540" s="20" t="s">
        <v>58</v>
      </c>
      <c r="E2540" s="20" t="s">
        <v>265</v>
      </c>
      <c r="F2540" s="20" t="s">
        <v>6</v>
      </c>
      <c r="G2540" s="861">
        <v>36.066312491013903</v>
      </c>
      <c r="H2540" s="861">
        <v>33.414743951239899</v>
      </c>
      <c r="I2540" s="861">
        <v>43.2487794031032</v>
      </c>
      <c r="J2540" s="861">
        <v>33.374991155664901</v>
      </c>
      <c r="K2540" s="982">
        <v>0</v>
      </c>
      <c r="L2540" s="735">
        <v>3160</v>
      </c>
      <c r="M2540" s="735">
        <v>2574</v>
      </c>
      <c r="N2540" s="845">
        <f t="shared" si="188"/>
        <v>-0.18544303797468353</v>
      </c>
      <c r="O2540" s="735">
        <v>17.388252411707018</v>
      </c>
      <c r="P2540" s="735">
        <f t="shared" si="189"/>
        <v>148.03097741248561</v>
      </c>
      <c r="Q2540" s="849">
        <v>44.4</v>
      </c>
      <c r="R2540" s="71">
        <v>37054</v>
      </c>
      <c r="S2540" s="845">
        <v>0.28298126743722601</v>
      </c>
      <c r="T2540" s="845">
        <v>6.9999999999999993E-3</v>
      </c>
      <c r="U2540" s="845">
        <v>4.4999999999999998E-2</v>
      </c>
      <c r="V2540" s="845">
        <v>2.7999999999999997E-2</v>
      </c>
      <c r="W2540" s="845">
        <v>0.33183047790802522</v>
      </c>
      <c r="X2540" s="845">
        <v>0.47826086956521741</v>
      </c>
      <c r="Y2540" s="845">
        <v>0.98873348873348876</v>
      </c>
      <c r="Z2540" s="845">
        <v>1.9425019425019425E-3</v>
      </c>
      <c r="AA2540" s="845">
        <v>1.9425019425019425E-3</v>
      </c>
      <c r="AB2540" s="845">
        <v>0</v>
      </c>
      <c r="AC2540" s="845">
        <v>0</v>
      </c>
      <c r="AD2540" s="845">
        <v>0</v>
      </c>
      <c r="AE2540" s="845">
        <v>7.3815073815073819E-3</v>
      </c>
      <c r="AF2540" s="845">
        <v>1.9425019425019424E-2</v>
      </c>
      <c r="AG2540" s="845">
        <v>0.96930846930846926</v>
      </c>
      <c r="AH2540" s="20" t="str">
        <f t="shared" si="190"/>
        <v>Yes</v>
      </c>
      <c r="AI2540" s="25"/>
      <c r="AJ2540" s="25"/>
      <c r="AK2540" s="25"/>
      <c r="AL2540" s="25"/>
      <c r="AM2540" s="25"/>
      <c r="AN2540" s="25"/>
      <c r="AO2540" s="25"/>
      <c r="AP2540" s="25"/>
      <c r="AQ2540" s="25"/>
      <c r="AR2540" s="25"/>
      <c r="AS2540" s="25"/>
      <c r="AT2540" s="25"/>
      <c r="AU2540" s="36"/>
      <c r="AV2540" s="36"/>
      <c r="AW2540" s="36"/>
      <c r="AX2540" s="25"/>
      <c r="AY2540" s="25"/>
      <c r="AZ2540" s="25"/>
      <c r="BA2540" s="25"/>
      <c r="BB2540" s="25"/>
      <c r="BC2540" s="25"/>
      <c r="BD2540" s="25"/>
      <c r="BE2540" s="25"/>
      <c r="BF2540" s="25"/>
      <c r="BG2540" s="25"/>
      <c r="BH2540" s="25"/>
      <c r="BI2540" s="25"/>
      <c r="BJ2540" s="25"/>
      <c r="BK2540" s="25"/>
      <c r="BL2540" s="25"/>
      <c r="BM2540" s="25"/>
      <c r="BN2540" s="25"/>
      <c r="BO2540" s="25"/>
      <c r="BP2540" s="25"/>
      <c r="BQ2540" s="25"/>
      <c r="BR2540" s="25"/>
      <c r="BS2540" s="25"/>
      <c r="BT2540" s="25"/>
      <c r="BU2540"/>
      <c r="BV2540"/>
      <c r="BW2540"/>
      <c r="BX2540"/>
      <c r="BY2540"/>
      <c r="BZ2540"/>
      <c r="CA2540"/>
      <c r="CB2540"/>
      <c r="CC2540"/>
      <c r="CD2540" s="25"/>
    </row>
    <row r="2541" spans="1:82" s="17" customFormat="1" x14ac:dyDescent="0.2">
      <c r="A2541" s="25"/>
      <c r="B2541" s="20">
        <v>39169001800</v>
      </c>
      <c r="C2541" s="20">
        <v>18</v>
      </c>
      <c r="D2541" s="20" t="s">
        <v>90</v>
      </c>
      <c r="E2541" s="20" t="s">
        <v>265</v>
      </c>
      <c r="F2541" s="20" t="s">
        <v>8</v>
      </c>
      <c r="G2541" s="861">
        <v>36.063908694900597</v>
      </c>
      <c r="H2541" s="861">
        <v>42.118380119023598</v>
      </c>
      <c r="I2541" s="861">
        <v>24.2735910006427</v>
      </c>
      <c r="J2541" s="861">
        <v>50.444781699681698</v>
      </c>
      <c r="K2541" s="982">
        <v>0</v>
      </c>
      <c r="L2541" s="735">
        <v>3890</v>
      </c>
      <c r="M2541" s="735">
        <v>4219</v>
      </c>
      <c r="N2541" s="845">
        <f t="shared" si="188"/>
        <v>8.4575835475578412E-2</v>
      </c>
      <c r="O2541" s="735">
        <v>35.960878986429016</v>
      </c>
      <c r="P2541" s="735">
        <f t="shared" si="189"/>
        <v>117.32193758645816</v>
      </c>
      <c r="Q2541" s="849">
        <v>40.5</v>
      </c>
      <c r="R2541" s="71">
        <v>80143</v>
      </c>
      <c r="S2541" s="845">
        <v>5.5792972459639129E-2</v>
      </c>
      <c r="T2541" s="845">
        <v>3.3000000000000002E-2</v>
      </c>
      <c r="U2541" s="845">
        <v>1.9E-2</v>
      </c>
      <c r="V2541" s="845">
        <v>0</v>
      </c>
      <c r="W2541" s="845">
        <v>0.15265200517464425</v>
      </c>
      <c r="X2541" s="845">
        <v>6.7796610169491525E-2</v>
      </c>
      <c r="Y2541" s="845">
        <v>0.97155724105238206</v>
      </c>
      <c r="Z2541" s="845">
        <v>0</v>
      </c>
      <c r="AA2541" s="845">
        <v>9.7179426404361228E-3</v>
      </c>
      <c r="AB2541" s="845">
        <v>2.6072529035316427E-3</v>
      </c>
      <c r="AC2541" s="845">
        <v>0</v>
      </c>
      <c r="AD2541" s="845">
        <v>0</v>
      </c>
      <c r="AE2541" s="845">
        <v>1.6117563403650153E-2</v>
      </c>
      <c r="AF2541" s="845">
        <v>0</v>
      </c>
      <c r="AG2541" s="845">
        <v>0.97155724105238206</v>
      </c>
      <c r="AH2541" s="20" t="str">
        <f t="shared" si="190"/>
        <v>Yes</v>
      </c>
      <c r="AI2541" s="25"/>
      <c r="AJ2541" s="25"/>
      <c r="AK2541" s="25"/>
      <c r="AL2541" s="25"/>
      <c r="AM2541" s="25"/>
      <c r="AN2541" s="25"/>
      <c r="AO2541" s="25"/>
      <c r="AP2541" s="25"/>
      <c r="AQ2541" s="25"/>
      <c r="AR2541" s="25"/>
      <c r="AS2541" s="25"/>
      <c r="AT2541" s="25"/>
      <c r="AU2541" s="36"/>
      <c r="AV2541" s="36"/>
      <c r="AW2541" s="36"/>
      <c r="AX2541" s="25"/>
      <c r="AY2541" s="25"/>
      <c r="AZ2541" s="25"/>
      <c r="BA2541" s="25"/>
      <c r="BB2541" s="25"/>
      <c r="BC2541" s="25"/>
      <c r="BD2541" s="25"/>
      <c r="BE2541" s="25"/>
      <c r="BF2541" s="25"/>
      <c r="BG2541" s="25"/>
      <c r="BH2541" s="25"/>
      <c r="BI2541" s="25"/>
      <c r="BJ2541" s="25"/>
      <c r="BK2541" s="25"/>
      <c r="BL2541" s="25"/>
      <c r="BM2541" s="25"/>
      <c r="BN2541" s="25"/>
      <c r="BO2541" s="25"/>
      <c r="BP2541" s="25"/>
      <c r="BQ2541" s="25"/>
      <c r="BR2541" s="25"/>
      <c r="BS2541" s="25"/>
      <c r="BT2541" s="25"/>
      <c r="BU2541"/>
      <c r="BV2541"/>
      <c r="BW2541"/>
      <c r="BX2541"/>
      <c r="BY2541"/>
      <c r="BZ2541"/>
      <c r="CA2541"/>
      <c r="CB2541"/>
      <c r="CC2541"/>
      <c r="CD2541" s="25"/>
    </row>
    <row r="2542" spans="1:82" s="17" customFormat="1" x14ac:dyDescent="0.2">
      <c r="A2542" s="25"/>
      <c r="B2542" s="20">
        <v>39061022700</v>
      </c>
      <c r="C2542" s="20">
        <v>227</v>
      </c>
      <c r="D2542" s="20" t="s">
        <v>37</v>
      </c>
      <c r="E2542" s="20" t="s">
        <v>2828</v>
      </c>
      <c r="F2542" s="20" t="s">
        <v>6</v>
      </c>
      <c r="G2542" s="861">
        <v>36.055695063714097</v>
      </c>
      <c r="H2542" s="861">
        <v>34.172678818093203</v>
      </c>
      <c r="I2542" s="861">
        <v>55.934825760170803</v>
      </c>
      <c r="J2542" s="861">
        <v>39.854266538595503</v>
      </c>
      <c r="K2542" s="982">
        <v>1</v>
      </c>
      <c r="L2542" s="735">
        <v>3348</v>
      </c>
      <c r="M2542" s="735">
        <v>3125</v>
      </c>
      <c r="N2542" s="845">
        <f t="shared" si="188"/>
        <v>-6.6606929510155316E-2</v>
      </c>
      <c r="O2542" s="735">
        <v>0.75054166947507728</v>
      </c>
      <c r="P2542" s="735">
        <f t="shared" si="189"/>
        <v>4163.659563613036</v>
      </c>
      <c r="Q2542" s="849">
        <v>30.2</v>
      </c>
      <c r="R2542" s="71">
        <v>17333</v>
      </c>
      <c r="S2542" s="845">
        <v>0.56544000000000005</v>
      </c>
      <c r="T2542" s="845">
        <v>0.26</v>
      </c>
      <c r="U2542" s="845">
        <v>0</v>
      </c>
      <c r="V2542" s="845">
        <v>5.7000000000000002E-2</v>
      </c>
      <c r="W2542" s="845">
        <v>0.76248108925869895</v>
      </c>
      <c r="X2542" s="845">
        <v>0.53769841269841268</v>
      </c>
      <c r="Y2542" s="845">
        <v>9.9839999999999998E-2</v>
      </c>
      <c r="Z2542" s="845">
        <v>0.74336000000000002</v>
      </c>
      <c r="AA2542" s="845">
        <v>0</v>
      </c>
      <c r="AB2542" s="845">
        <v>0</v>
      </c>
      <c r="AC2542" s="845">
        <v>0</v>
      </c>
      <c r="AD2542" s="845">
        <v>2.24E-2</v>
      </c>
      <c r="AE2542" s="845">
        <v>0.13439999999999999</v>
      </c>
      <c r="AF2542" s="845">
        <v>0</v>
      </c>
      <c r="AG2542" s="845">
        <v>9.9839999999999998E-2</v>
      </c>
      <c r="AH2542" s="20" t="str">
        <f t="shared" si="190"/>
        <v>No</v>
      </c>
      <c r="AI2542" s="25"/>
      <c r="AJ2542" s="25"/>
      <c r="AK2542" s="25"/>
      <c r="AL2542" s="25"/>
      <c r="AM2542" s="25"/>
      <c r="AN2542" s="25"/>
      <c r="AO2542" s="25"/>
      <c r="AP2542" s="25"/>
      <c r="AQ2542" s="25"/>
      <c r="AR2542" s="25"/>
      <c r="AS2542" s="25"/>
      <c r="AT2542" s="25"/>
      <c r="AU2542" s="36"/>
      <c r="AV2542" s="36"/>
      <c r="AW2542" s="36"/>
      <c r="AX2542" s="25"/>
      <c r="AY2542" s="25"/>
      <c r="AZ2542" s="25"/>
      <c r="BA2542" s="25"/>
      <c r="BB2542" s="25"/>
      <c r="BC2542" s="25"/>
      <c r="BD2542" s="25"/>
      <c r="BE2542" s="25"/>
      <c r="BF2542" s="25"/>
      <c r="BG2542" s="25"/>
      <c r="BH2542" s="25"/>
      <c r="BI2542" s="25"/>
      <c r="BJ2542" s="25"/>
      <c r="BK2542" s="25"/>
      <c r="BL2542" s="25"/>
      <c r="BM2542" s="25"/>
      <c r="BN2542" s="25"/>
      <c r="BO2542" s="25"/>
      <c r="BP2542" s="25"/>
      <c r="BQ2542" s="25"/>
      <c r="BR2542" s="25"/>
      <c r="BS2542" s="25"/>
      <c r="BT2542" s="25"/>
      <c r="BU2542"/>
      <c r="BV2542"/>
      <c r="BW2542"/>
      <c r="BX2542"/>
      <c r="BY2542"/>
      <c r="BZ2542"/>
      <c r="CA2542"/>
      <c r="CB2542"/>
      <c r="CC2542"/>
      <c r="CD2542" s="25"/>
    </row>
    <row r="2543" spans="1:82" s="17" customFormat="1" x14ac:dyDescent="0.2">
      <c r="A2543" s="25"/>
      <c r="B2543" s="20">
        <v>39017000300</v>
      </c>
      <c r="C2543" s="20">
        <v>3</v>
      </c>
      <c r="D2543" s="20" t="s">
        <v>15</v>
      </c>
      <c r="E2543" s="20" t="s">
        <v>2828</v>
      </c>
      <c r="F2543" s="20" t="s">
        <v>6</v>
      </c>
      <c r="G2543" s="861">
        <v>36.053251910581402</v>
      </c>
      <c r="H2543" s="861">
        <v>42.862764746524597</v>
      </c>
      <c r="I2543" s="861">
        <v>43.3207774125786</v>
      </c>
      <c r="J2543" s="861">
        <v>54.276984369927398</v>
      </c>
      <c r="K2543" s="982">
        <v>0</v>
      </c>
      <c r="L2543" s="735">
        <v>3131</v>
      </c>
      <c r="M2543" s="735">
        <v>3650</v>
      </c>
      <c r="N2543" s="845">
        <f t="shared" si="188"/>
        <v>0.165761737464069</v>
      </c>
      <c r="O2543" s="735">
        <v>1.0423634724716941</v>
      </c>
      <c r="P2543" s="735">
        <f t="shared" si="189"/>
        <v>3501.6576236549936</v>
      </c>
      <c r="Q2543" s="849">
        <v>32.200000000000003</v>
      </c>
      <c r="R2543" s="71">
        <v>44583</v>
      </c>
      <c r="S2543" s="845">
        <v>0.32164383561643833</v>
      </c>
      <c r="T2543" s="845">
        <v>9.1999999999999998E-2</v>
      </c>
      <c r="U2543" s="845">
        <v>0</v>
      </c>
      <c r="V2543" s="845">
        <v>9.3000000000000013E-2</v>
      </c>
      <c r="W2543" s="845">
        <v>0.6323411102172164</v>
      </c>
      <c r="X2543" s="845">
        <v>0.16284987277353691</v>
      </c>
      <c r="Y2543" s="845">
        <v>0.3117808219178082</v>
      </c>
      <c r="Z2543" s="845">
        <v>0.39095890410958906</v>
      </c>
      <c r="AA2543" s="845">
        <v>0</v>
      </c>
      <c r="AB2543" s="845">
        <v>0</v>
      </c>
      <c r="AC2543" s="845">
        <v>0</v>
      </c>
      <c r="AD2543" s="845">
        <v>6.7397260273972609E-2</v>
      </c>
      <c r="AE2543" s="845">
        <v>0.22986301369863013</v>
      </c>
      <c r="AF2543" s="845">
        <v>0.37452054794520551</v>
      </c>
      <c r="AG2543" s="845">
        <v>0.23452054794520549</v>
      </c>
      <c r="AH2543" s="20" t="str">
        <f t="shared" si="190"/>
        <v>No</v>
      </c>
      <c r="AI2543" s="25"/>
      <c r="AJ2543" s="25"/>
      <c r="AK2543" s="25"/>
      <c r="AL2543" s="25"/>
      <c r="AM2543" s="25"/>
      <c r="AN2543" s="25"/>
      <c r="AO2543" s="25"/>
      <c r="AP2543" s="25"/>
      <c r="AQ2543" s="25"/>
      <c r="AR2543" s="25"/>
      <c r="AS2543" s="25"/>
      <c r="AT2543" s="25"/>
      <c r="AU2543" s="36"/>
      <c r="AV2543" s="36"/>
      <c r="AW2543" s="36"/>
      <c r="AX2543" s="25"/>
      <c r="AY2543" s="25"/>
      <c r="AZ2543" s="25"/>
      <c r="BA2543" s="25"/>
      <c r="BB2543" s="25"/>
      <c r="BC2543" s="25"/>
      <c r="BD2543" s="25"/>
      <c r="BE2543" s="25"/>
      <c r="BF2543" s="25"/>
      <c r="BG2543" s="25"/>
      <c r="BH2543" s="25"/>
      <c r="BI2543" s="25"/>
      <c r="BJ2543" s="25"/>
      <c r="BK2543" s="25"/>
      <c r="BL2543" s="25"/>
      <c r="BM2543" s="25"/>
      <c r="BN2543" s="25"/>
      <c r="BO2543" s="25"/>
      <c r="BP2543" s="25"/>
      <c r="BQ2543" s="25"/>
      <c r="BR2543" s="25"/>
      <c r="BS2543" s="25"/>
      <c r="BT2543" s="25"/>
      <c r="BU2543"/>
      <c r="BV2543"/>
      <c r="BW2543"/>
      <c r="BX2543"/>
      <c r="BY2543"/>
      <c r="BZ2543"/>
      <c r="CA2543"/>
      <c r="CB2543"/>
      <c r="CC2543"/>
      <c r="CD2543" s="25"/>
    </row>
    <row r="2544" spans="1:82" s="17" customFormat="1" x14ac:dyDescent="0.2">
      <c r="A2544" s="25"/>
      <c r="B2544" s="20">
        <v>39113100302</v>
      </c>
      <c r="C2544" s="20">
        <v>1003.02</v>
      </c>
      <c r="D2544" s="20" t="s">
        <v>62</v>
      </c>
      <c r="E2544" s="20" t="s">
        <v>2833</v>
      </c>
      <c r="F2544" s="20" t="s">
        <v>8</v>
      </c>
      <c r="G2544" s="861">
        <v>36.048685262505998</v>
      </c>
      <c r="H2544" s="861">
        <v>57.293296645777197</v>
      </c>
      <c r="I2544" s="861">
        <v>25.934267949572899</v>
      </c>
      <c r="J2544" s="861">
        <v>41.648066352429403</v>
      </c>
      <c r="K2544" s="982">
        <v>0</v>
      </c>
      <c r="L2544" s="735">
        <v>3064</v>
      </c>
      <c r="M2544" s="735">
        <v>3356</v>
      </c>
      <c r="N2544" s="845">
        <f t="shared" si="188"/>
        <v>9.5300261096605748E-2</v>
      </c>
      <c r="O2544" s="735">
        <v>0.79672412086864763</v>
      </c>
      <c r="P2544" s="735">
        <f t="shared" si="189"/>
        <v>4212.2485212836791</v>
      </c>
      <c r="Q2544" s="849">
        <v>36.6</v>
      </c>
      <c r="R2544" s="71">
        <v>70787</v>
      </c>
      <c r="S2544" s="845">
        <v>0.15879186602870812</v>
      </c>
      <c r="T2544" s="845">
        <v>1.4999999999999999E-2</v>
      </c>
      <c r="U2544" s="845">
        <v>0</v>
      </c>
      <c r="V2544" s="845">
        <v>0</v>
      </c>
      <c r="W2544" s="845">
        <v>0.17418899858956277</v>
      </c>
      <c r="X2544" s="845">
        <v>0.25506072874493929</v>
      </c>
      <c r="Y2544" s="845">
        <v>0.62336114421930866</v>
      </c>
      <c r="Z2544" s="845">
        <v>0.11859356376638856</v>
      </c>
      <c r="AA2544" s="845">
        <v>1.4898688915375446E-3</v>
      </c>
      <c r="AB2544" s="845">
        <v>2.0858164481525627E-2</v>
      </c>
      <c r="AC2544" s="845">
        <v>0</v>
      </c>
      <c r="AD2544" s="845">
        <v>8.522050059594756E-2</v>
      </c>
      <c r="AE2544" s="845">
        <v>0.15047675804529201</v>
      </c>
      <c r="AF2544" s="845">
        <v>0.13110846245530394</v>
      </c>
      <c r="AG2544" s="845">
        <v>0.61859356376638852</v>
      </c>
      <c r="AH2544" s="20" t="str">
        <f t="shared" si="190"/>
        <v>No</v>
      </c>
      <c r="AI2544" s="25"/>
      <c r="AJ2544" s="25"/>
      <c r="AK2544" s="25"/>
      <c r="AL2544" s="25"/>
      <c r="AM2544" s="25"/>
      <c r="AN2544" s="25"/>
      <c r="AO2544" s="25"/>
      <c r="AP2544" s="25"/>
      <c r="AQ2544" s="25"/>
      <c r="AR2544" s="25"/>
      <c r="AS2544" s="25"/>
      <c r="AT2544" s="25"/>
      <c r="AU2544" s="36"/>
      <c r="AV2544" s="36"/>
      <c r="AW2544" s="36"/>
      <c r="AX2544" s="25"/>
      <c r="AY2544" s="25"/>
      <c r="AZ2544" s="25"/>
      <c r="BA2544" s="25"/>
      <c r="BB2544" s="25"/>
      <c r="BC2544" s="25"/>
      <c r="BD2544" s="25"/>
      <c r="BE2544" s="25"/>
      <c r="BF2544" s="25"/>
      <c r="BG2544" s="25"/>
      <c r="BH2544" s="25"/>
      <c r="BI2544" s="25"/>
      <c r="BJ2544" s="25"/>
      <c r="BK2544" s="25"/>
      <c r="BL2544" s="25"/>
      <c r="BM2544" s="25"/>
      <c r="BN2544" s="25"/>
      <c r="BO2544" s="25"/>
      <c r="BP2544" s="25"/>
      <c r="BQ2544" s="25"/>
      <c r="BR2544" s="25"/>
      <c r="BS2544" s="25"/>
      <c r="BT2544" s="25"/>
      <c r="BU2544"/>
      <c r="BV2544"/>
      <c r="BW2544"/>
      <c r="BX2544"/>
      <c r="BY2544"/>
      <c r="BZ2544"/>
      <c r="CA2544"/>
      <c r="CB2544"/>
      <c r="CC2544"/>
      <c r="CD2544" s="25"/>
    </row>
    <row r="2545" spans="1:82" s="17" customFormat="1" x14ac:dyDescent="0.2">
      <c r="A2545" s="25"/>
      <c r="B2545" s="20">
        <v>39057200500</v>
      </c>
      <c r="C2545" s="20">
        <v>2005</v>
      </c>
      <c r="D2545" s="20" t="s">
        <v>35</v>
      </c>
      <c r="E2545" s="20" t="s">
        <v>2833</v>
      </c>
      <c r="F2545" s="20" t="s">
        <v>8</v>
      </c>
      <c r="G2545" s="861">
        <v>36.024261732763797</v>
      </c>
      <c r="H2545" s="861">
        <v>49.494013996625199</v>
      </c>
      <c r="I2545" s="861">
        <v>37.9662050542454</v>
      </c>
      <c r="J2545" s="861">
        <v>38.582216324787403</v>
      </c>
      <c r="K2545" s="982">
        <v>0</v>
      </c>
      <c r="L2545" s="735">
        <v>5678</v>
      </c>
      <c r="M2545" s="735">
        <v>4771</v>
      </c>
      <c r="N2545" s="845">
        <f t="shared" si="188"/>
        <v>-0.15973934483973229</v>
      </c>
      <c r="O2545" s="735">
        <v>1.5148830162004103</v>
      </c>
      <c r="P2545" s="735">
        <f t="shared" si="189"/>
        <v>3149.4181062023499</v>
      </c>
      <c r="Q2545" s="849">
        <v>42.4</v>
      </c>
      <c r="R2545" s="71">
        <v>63797</v>
      </c>
      <c r="S2545" s="845">
        <v>0.14399496960804864</v>
      </c>
      <c r="T2545" s="845">
        <v>9.9000000000000005E-2</v>
      </c>
      <c r="U2545" s="845">
        <v>0</v>
      </c>
      <c r="V2545" s="845">
        <v>3.7999999999999999E-2</v>
      </c>
      <c r="W2545" s="845">
        <v>0.40973534971644615</v>
      </c>
      <c r="X2545" s="845">
        <v>0.41753171856978083</v>
      </c>
      <c r="Y2545" s="845">
        <v>0.86858101027038359</v>
      </c>
      <c r="Z2545" s="845">
        <v>9.3062251100398244E-2</v>
      </c>
      <c r="AA2545" s="845">
        <v>0</v>
      </c>
      <c r="AB2545" s="845">
        <v>0</v>
      </c>
      <c r="AC2545" s="845">
        <v>0</v>
      </c>
      <c r="AD2545" s="845">
        <v>0</v>
      </c>
      <c r="AE2545" s="845">
        <v>3.8356738629218193E-2</v>
      </c>
      <c r="AF2545" s="845">
        <v>3.9823936281701946E-3</v>
      </c>
      <c r="AG2545" s="845">
        <v>0.86858101027038359</v>
      </c>
      <c r="AH2545" s="20" t="str">
        <f t="shared" si="190"/>
        <v>No</v>
      </c>
      <c r="AI2545" s="25"/>
      <c r="AJ2545" s="25"/>
      <c r="AK2545" s="25"/>
      <c r="AL2545" s="25"/>
      <c r="AM2545" s="25"/>
      <c r="AN2545" s="25"/>
      <c r="AO2545" s="25"/>
      <c r="AP2545" s="25"/>
      <c r="AQ2545" s="25"/>
      <c r="AR2545" s="25"/>
      <c r="AS2545" s="25"/>
      <c r="AT2545" s="25"/>
      <c r="AU2545" s="36"/>
      <c r="AV2545" s="36"/>
      <c r="AW2545" s="36"/>
      <c r="AX2545" s="25"/>
      <c r="AY2545" s="25"/>
      <c r="AZ2545" s="25"/>
      <c r="BA2545" s="25"/>
      <c r="BB2545" s="25"/>
      <c r="BC2545" s="25"/>
      <c r="BD2545" s="25"/>
      <c r="BE2545" s="25"/>
      <c r="BF2545" s="25"/>
      <c r="BG2545" s="25"/>
      <c r="BH2545" s="25"/>
      <c r="BI2545" s="25"/>
      <c r="BJ2545" s="25"/>
      <c r="BK2545" s="25"/>
      <c r="BL2545" s="25"/>
      <c r="BM2545" s="25"/>
      <c r="BN2545" s="25"/>
      <c r="BO2545" s="25"/>
      <c r="BP2545" s="25"/>
      <c r="BQ2545" s="25"/>
      <c r="BR2545" s="25"/>
      <c r="BS2545" s="25"/>
      <c r="BT2545" s="25"/>
      <c r="BU2545"/>
      <c r="BV2545"/>
      <c r="BW2545"/>
      <c r="BX2545"/>
      <c r="BY2545"/>
      <c r="BZ2545"/>
      <c r="CA2545"/>
      <c r="CB2545"/>
      <c r="CC2545"/>
      <c r="CD2545" s="25"/>
    </row>
    <row r="2546" spans="1:82" s="17" customFormat="1" x14ac:dyDescent="0.2">
      <c r="A2546" s="25"/>
      <c r="B2546" s="20">
        <v>39047926000</v>
      </c>
      <c r="C2546" s="20">
        <v>9260</v>
      </c>
      <c r="D2546" s="20" t="s">
        <v>30</v>
      </c>
      <c r="E2546" s="20" t="s">
        <v>265</v>
      </c>
      <c r="F2546" s="20" t="s">
        <v>8</v>
      </c>
      <c r="G2546" s="861">
        <v>36.012958532006202</v>
      </c>
      <c r="H2546" s="861">
        <v>39.493683030858499</v>
      </c>
      <c r="I2546" s="861">
        <v>31.0343657922962</v>
      </c>
      <c r="J2546" s="861">
        <v>36.330281747689803</v>
      </c>
      <c r="K2546" s="982">
        <v>1</v>
      </c>
      <c r="L2546" s="735">
        <v>3760</v>
      </c>
      <c r="M2546" s="735">
        <v>4182</v>
      </c>
      <c r="N2546" s="845">
        <f t="shared" si="188"/>
        <v>0.11223404255319148</v>
      </c>
      <c r="O2546" s="735">
        <v>15.484790005464543</v>
      </c>
      <c r="P2546" s="735">
        <f t="shared" si="189"/>
        <v>270.07147003764226</v>
      </c>
      <c r="Q2546" s="849">
        <v>44.1</v>
      </c>
      <c r="R2546" s="71">
        <v>55625</v>
      </c>
      <c r="S2546" s="845">
        <v>0.18659107715060388</v>
      </c>
      <c r="T2546" s="845">
        <v>9.4E-2</v>
      </c>
      <c r="U2546" s="845">
        <v>0</v>
      </c>
      <c r="V2546" s="845">
        <v>0</v>
      </c>
      <c r="W2546" s="845">
        <v>0.36062717770034841</v>
      </c>
      <c r="X2546" s="845">
        <v>0.322061191626409</v>
      </c>
      <c r="Y2546" s="845">
        <v>0.90961262553802014</v>
      </c>
      <c r="Z2546" s="845">
        <v>2.3672883787661407E-2</v>
      </c>
      <c r="AA2546" s="845">
        <v>0</v>
      </c>
      <c r="AB2546" s="845">
        <v>1.6499282639885222E-2</v>
      </c>
      <c r="AC2546" s="845">
        <v>0</v>
      </c>
      <c r="AD2546" s="845">
        <v>1.1956001912960305E-2</v>
      </c>
      <c r="AE2546" s="845">
        <v>3.8259206121472981E-2</v>
      </c>
      <c r="AF2546" s="845">
        <v>0</v>
      </c>
      <c r="AG2546" s="845">
        <v>0.90961262553802014</v>
      </c>
      <c r="AH2546" s="20" t="str">
        <f t="shared" si="190"/>
        <v>Yes</v>
      </c>
      <c r="AI2546" s="25"/>
      <c r="AJ2546" s="25"/>
      <c r="AK2546" s="25"/>
      <c r="AL2546" s="25"/>
      <c r="AM2546" s="25"/>
      <c r="AN2546" s="25"/>
      <c r="AO2546" s="25"/>
      <c r="AP2546" s="25"/>
      <c r="AQ2546" s="25"/>
      <c r="AR2546" s="25"/>
      <c r="AS2546" s="25"/>
      <c r="AT2546" s="25"/>
      <c r="AU2546" s="36"/>
      <c r="AV2546" s="36"/>
      <c r="AW2546" s="36"/>
      <c r="AX2546" s="25"/>
      <c r="AY2546" s="25"/>
      <c r="AZ2546" s="25"/>
      <c r="BA2546" s="25"/>
      <c r="BB2546" s="25"/>
      <c r="BC2546" s="25"/>
      <c r="BD2546" s="25"/>
      <c r="BE2546" s="25"/>
      <c r="BF2546" s="25"/>
      <c r="BG2546" s="25"/>
      <c r="BH2546" s="25"/>
      <c r="BI2546" s="25"/>
      <c r="BJ2546" s="25"/>
      <c r="BK2546" s="25"/>
      <c r="BL2546" s="25"/>
      <c r="BM2546" s="25"/>
      <c r="BN2546" s="25"/>
      <c r="BO2546" s="25"/>
      <c r="BP2546" s="25"/>
      <c r="BQ2546" s="25"/>
      <c r="BR2546" s="25"/>
      <c r="BS2546" s="25"/>
      <c r="BT2546" s="25"/>
      <c r="BU2546"/>
      <c r="BV2546"/>
      <c r="BW2546"/>
      <c r="BX2546"/>
      <c r="BY2546"/>
      <c r="BZ2546"/>
      <c r="CA2546"/>
      <c r="CB2546"/>
      <c r="CC2546"/>
      <c r="CD2546" s="25"/>
    </row>
    <row r="2547" spans="1:82" s="17" customFormat="1" x14ac:dyDescent="0.2">
      <c r="A2547" s="25"/>
      <c r="B2547" s="20">
        <v>39009972800</v>
      </c>
      <c r="C2547" s="20">
        <v>9728</v>
      </c>
      <c r="D2547" s="20" t="s">
        <v>11</v>
      </c>
      <c r="E2547" s="20" t="s">
        <v>265</v>
      </c>
      <c r="F2547" s="20" t="s">
        <v>6</v>
      </c>
      <c r="G2547" s="861">
        <v>35.978460053941099</v>
      </c>
      <c r="H2547" s="861">
        <v>46.169673951260798</v>
      </c>
      <c r="I2547" s="861">
        <v>35.839768658690801</v>
      </c>
      <c r="J2547" s="861">
        <v>36.876390881621099</v>
      </c>
      <c r="K2547" s="982">
        <v>0</v>
      </c>
      <c r="L2547" s="735">
        <v>4610</v>
      </c>
      <c r="M2547" s="735">
        <v>3915</v>
      </c>
      <c r="N2547" s="845">
        <f t="shared" si="188"/>
        <v>-0.15075921908893708</v>
      </c>
      <c r="O2547" s="735">
        <v>28.834950134191931</v>
      </c>
      <c r="P2547" s="735">
        <f t="shared" si="189"/>
        <v>135.77273349807766</v>
      </c>
      <c r="Q2547" s="849">
        <v>32.9</v>
      </c>
      <c r="R2547" s="71">
        <v>34280</v>
      </c>
      <c r="S2547" s="845">
        <v>0.21490954460386774</v>
      </c>
      <c r="T2547" s="845">
        <v>0.10199999999999999</v>
      </c>
      <c r="U2547" s="845">
        <v>0</v>
      </c>
      <c r="V2547" s="845">
        <v>0.10199999999999999</v>
      </c>
      <c r="W2547" s="845">
        <v>0.48508033664881406</v>
      </c>
      <c r="X2547" s="845">
        <v>0.34384858044164041</v>
      </c>
      <c r="Y2547" s="845">
        <v>0.93384418901660282</v>
      </c>
      <c r="Z2547" s="845">
        <v>4.0102171136653895E-2</v>
      </c>
      <c r="AA2547" s="845">
        <v>0</v>
      </c>
      <c r="AB2547" s="845">
        <v>2.0434227330779057E-3</v>
      </c>
      <c r="AC2547" s="845">
        <v>0</v>
      </c>
      <c r="AD2547" s="845">
        <v>2.80970625798212E-3</v>
      </c>
      <c r="AE2547" s="845">
        <v>2.120051085568327E-2</v>
      </c>
      <c r="AF2547" s="845">
        <v>3.0651340996168583E-3</v>
      </c>
      <c r="AG2547" s="845">
        <v>0.9323116219667944</v>
      </c>
      <c r="AH2547" s="20" t="str">
        <f t="shared" si="190"/>
        <v>Yes</v>
      </c>
      <c r="AI2547" s="25"/>
      <c r="AJ2547" s="25"/>
      <c r="AK2547" s="25"/>
      <c r="AL2547" s="25"/>
      <c r="AM2547" s="25"/>
      <c r="AN2547" s="25"/>
      <c r="AO2547" s="25"/>
      <c r="AP2547" s="25"/>
      <c r="AQ2547" s="25"/>
      <c r="AR2547" s="25"/>
      <c r="AS2547" s="25"/>
      <c r="AT2547" s="25"/>
      <c r="AU2547" s="36"/>
      <c r="AV2547" s="36"/>
      <c r="AW2547" s="36"/>
      <c r="AX2547" s="25"/>
      <c r="AY2547" s="25"/>
      <c r="AZ2547" s="25"/>
      <c r="BA2547" s="25"/>
      <c r="BB2547" s="25"/>
      <c r="BC2547" s="25"/>
      <c r="BD2547" s="25"/>
      <c r="BE2547" s="25"/>
      <c r="BF2547" s="25"/>
      <c r="BG2547" s="25"/>
      <c r="BH2547" s="25"/>
      <c r="BI2547" s="25"/>
      <c r="BJ2547" s="25"/>
      <c r="BK2547" s="25"/>
      <c r="BL2547" s="25"/>
      <c r="BM2547" s="25"/>
      <c r="BN2547" s="25"/>
      <c r="BO2547" s="25"/>
      <c r="BP2547" s="25"/>
      <c r="BQ2547" s="25"/>
      <c r="BR2547" s="25"/>
      <c r="BS2547" s="25"/>
      <c r="BT2547" s="25"/>
      <c r="BU2547"/>
      <c r="BV2547"/>
      <c r="BW2547"/>
      <c r="BX2547"/>
      <c r="BY2547"/>
      <c r="BZ2547"/>
      <c r="CA2547"/>
      <c r="CB2547"/>
      <c r="CC2547"/>
      <c r="CD2547" s="25"/>
    </row>
    <row r="2548" spans="1:82" s="17" customFormat="1" x14ac:dyDescent="0.2">
      <c r="A2548" s="25"/>
      <c r="B2548" s="20">
        <v>39049002510</v>
      </c>
      <c r="C2548" s="20">
        <v>25.1</v>
      </c>
      <c r="D2548" s="20" t="s">
        <v>31</v>
      </c>
      <c r="E2548" s="20" t="s">
        <v>2830</v>
      </c>
      <c r="F2548" s="20" t="s">
        <v>6</v>
      </c>
      <c r="G2548" s="861">
        <v>35.930672777798499</v>
      </c>
      <c r="H2548" s="861">
        <v>40.079761504624798</v>
      </c>
      <c r="I2548" s="861">
        <v>52.886763704224201</v>
      </c>
      <c r="J2548" s="861">
        <v>37.057681048459898</v>
      </c>
      <c r="K2548" s="982">
        <v>1</v>
      </c>
      <c r="L2548" s="735">
        <v>3192</v>
      </c>
      <c r="M2548" s="735">
        <v>2735</v>
      </c>
      <c r="N2548" s="845">
        <f t="shared" si="188"/>
        <v>-0.14317042606516292</v>
      </c>
      <c r="O2548" s="735">
        <v>1.9058060463451318</v>
      </c>
      <c r="P2548" s="735">
        <f t="shared" si="189"/>
        <v>1435.0883214192013</v>
      </c>
      <c r="Q2548" s="849">
        <v>36.1</v>
      </c>
      <c r="R2548" s="71">
        <v>37917</v>
      </c>
      <c r="S2548" s="845">
        <v>0.28319235012872379</v>
      </c>
      <c r="T2548" s="845">
        <v>0.127</v>
      </c>
      <c r="U2548" s="845">
        <v>1.3000000000000001E-2</v>
      </c>
      <c r="V2548" s="845">
        <v>3.7999999999999999E-2</v>
      </c>
      <c r="W2548" s="845">
        <v>0.40156794425087106</v>
      </c>
      <c r="X2548" s="845">
        <v>0.5488069414316703</v>
      </c>
      <c r="Y2548" s="845">
        <v>0.12102376599634369</v>
      </c>
      <c r="Z2548" s="845">
        <v>0.69469835466179164</v>
      </c>
      <c r="AA2548" s="845">
        <v>3.9488117001828152E-2</v>
      </c>
      <c r="AB2548" s="845">
        <v>0</v>
      </c>
      <c r="AC2548" s="845">
        <v>0</v>
      </c>
      <c r="AD2548" s="845">
        <v>0.10859232175502742</v>
      </c>
      <c r="AE2548" s="845">
        <v>3.6197440585009143E-2</v>
      </c>
      <c r="AF2548" s="845">
        <v>0.16819012797074953</v>
      </c>
      <c r="AG2548" s="845">
        <v>0.10054844606946983</v>
      </c>
      <c r="AH2548" s="20" t="str">
        <f t="shared" si="190"/>
        <v>No</v>
      </c>
      <c r="AI2548" s="25"/>
      <c r="AJ2548" s="25"/>
      <c r="AK2548" s="25"/>
      <c r="AL2548" s="25"/>
      <c r="AM2548" s="25"/>
      <c r="AN2548" s="25"/>
      <c r="AO2548" s="25"/>
      <c r="AP2548" s="25"/>
      <c r="AQ2548" s="25"/>
      <c r="AR2548" s="25"/>
      <c r="AS2548" s="25"/>
      <c r="AT2548" s="25"/>
      <c r="AU2548" s="36"/>
      <c r="AV2548" s="36"/>
      <c r="AW2548" s="36"/>
      <c r="AX2548" s="25"/>
      <c r="AY2548" s="25"/>
      <c r="AZ2548" s="25"/>
      <c r="BA2548" s="25"/>
      <c r="BB2548" s="25"/>
      <c r="BC2548" s="25"/>
      <c r="BD2548" s="25"/>
      <c r="BE2548" s="25"/>
      <c r="BF2548" s="25"/>
      <c r="BG2548" s="25"/>
      <c r="BH2548" s="25"/>
      <c r="BI2548" s="25"/>
      <c r="BJ2548" s="25"/>
      <c r="BK2548" s="25"/>
      <c r="BL2548" s="25"/>
      <c r="BM2548" s="25"/>
      <c r="BN2548" s="25"/>
      <c r="BO2548" s="25"/>
      <c r="BP2548" s="25"/>
      <c r="BQ2548" s="25"/>
      <c r="BR2548" s="25"/>
      <c r="BS2548" s="25"/>
      <c r="BT2548" s="25"/>
      <c r="BU2548"/>
      <c r="BV2548"/>
      <c r="BW2548"/>
      <c r="BX2548"/>
      <c r="BY2548"/>
      <c r="BZ2548"/>
      <c r="CA2548"/>
      <c r="CB2548"/>
      <c r="CC2548"/>
      <c r="CD2548" s="25"/>
    </row>
    <row r="2549" spans="1:82" s="17" customFormat="1" x14ac:dyDescent="0.2">
      <c r="A2549" s="25"/>
      <c r="B2549" s="20">
        <v>39035120200</v>
      </c>
      <c r="C2549" s="20">
        <v>1202</v>
      </c>
      <c r="D2549" s="20" t="s">
        <v>24</v>
      </c>
      <c r="E2549" s="20" t="s">
        <v>2829</v>
      </c>
      <c r="F2549" s="20" t="s">
        <v>6</v>
      </c>
      <c r="G2549" s="861">
        <v>35.930162858444596</v>
      </c>
      <c r="H2549" s="861">
        <v>31.103608847561802</v>
      </c>
      <c r="I2549" s="861">
        <v>69.753356510899494</v>
      </c>
      <c r="J2549" s="861">
        <v>41.886870808827602</v>
      </c>
      <c r="K2549" s="982">
        <v>0</v>
      </c>
      <c r="L2549" s="735">
        <v>2465</v>
      </c>
      <c r="M2549" s="735">
        <v>1293</v>
      </c>
      <c r="N2549" s="845">
        <f t="shared" si="188"/>
        <v>-0.47545638945233265</v>
      </c>
      <c r="O2549" s="735">
        <v>0.27788004015199902</v>
      </c>
      <c r="P2549" s="735">
        <f t="shared" si="189"/>
        <v>4653.0869913964862</v>
      </c>
      <c r="Q2549" s="849">
        <v>55.4</v>
      </c>
      <c r="R2549" s="71">
        <v>29574</v>
      </c>
      <c r="S2549" s="845">
        <v>0.29311678267594743</v>
      </c>
      <c r="T2549" s="845">
        <v>0.316</v>
      </c>
      <c r="U2549" s="845">
        <v>0</v>
      </c>
      <c r="V2549" s="845">
        <v>0.11900000000000001</v>
      </c>
      <c r="W2549" s="845">
        <v>0.62968299711815567</v>
      </c>
      <c r="X2549" s="845">
        <v>0.56979405034324948</v>
      </c>
      <c r="Y2549" s="845">
        <v>7.7339520494972931E-3</v>
      </c>
      <c r="Z2549" s="845">
        <v>0.97834493426140756</v>
      </c>
      <c r="AA2549" s="845">
        <v>0</v>
      </c>
      <c r="AB2549" s="845">
        <v>0</v>
      </c>
      <c r="AC2549" s="845">
        <v>0</v>
      </c>
      <c r="AD2549" s="845">
        <v>0</v>
      </c>
      <c r="AE2549" s="845">
        <v>1.3921113689095127E-2</v>
      </c>
      <c r="AF2549" s="845">
        <v>1.3921113689095127E-2</v>
      </c>
      <c r="AG2549" s="845">
        <v>7.7339520494972931E-3</v>
      </c>
      <c r="AH2549" s="20" t="str">
        <f t="shared" si="190"/>
        <v>No</v>
      </c>
      <c r="AI2549" s="25"/>
      <c r="AJ2549" s="25"/>
      <c r="AK2549" s="25"/>
      <c r="AL2549" s="25"/>
      <c r="AM2549" s="25"/>
      <c r="AN2549" s="25"/>
      <c r="AO2549" s="25"/>
      <c r="AP2549" s="25"/>
      <c r="AQ2549" s="25"/>
      <c r="AR2549" s="25"/>
      <c r="AS2549" s="25"/>
      <c r="AT2549" s="25"/>
      <c r="AU2549" s="36"/>
      <c r="AV2549" s="36"/>
      <c r="AW2549" s="36"/>
      <c r="AX2549" s="25"/>
      <c r="AY2549" s="25"/>
      <c r="AZ2549" s="25"/>
      <c r="BA2549" s="25"/>
      <c r="BB2549" s="25"/>
      <c r="BC2549" s="25"/>
      <c r="BD2549" s="25"/>
      <c r="BE2549" s="25"/>
      <c r="BF2549" s="25"/>
      <c r="BG2549" s="25"/>
      <c r="BH2549" s="25"/>
      <c r="BI2549" s="25"/>
      <c r="BJ2549" s="25"/>
      <c r="BK2549" s="25"/>
      <c r="BL2549" s="25"/>
      <c r="BM2549" s="25"/>
      <c r="BN2549" s="25"/>
      <c r="BO2549" s="25"/>
      <c r="BP2549" s="25"/>
      <c r="BQ2549" s="25"/>
      <c r="BR2549" s="25"/>
      <c r="BS2549" s="25"/>
      <c r="BT2549" s="25"/>
      <c r="BU2549"/>
      <c r="BV2549"/>
      <c r="BW2549"/>
      <c r="BX2549"/>
      <c r="BY2549"/>
      <c r="BZ2549"/>
      <c r="CA2549"/>
      <c r="CB2549"/>
      <c r="CC2549"/>
      <c r="CD2549" s="25"/>
    </row>
    <row r="2550" spans="1:82" s="17" customFormat="1" x14ac:dyDescent="0.2">
      <c r="A2550" s="25"/>
      <c r="B2550" s="20">
        <v>39095002401</v>
      </c>
      <c r="C2550" s="20">
        <v>24.01</v>
      </c>
      <c r="D2550" s="20" t="s">
        <v>53</v>
      </c>
      <c r="E2550" s="20" t="s">
        <v>2839</v>
      </c>
      <c r="F2550" s="20" t="s">
        <v>6</v>
      </c>
      <c r="G2550" s="861">
        <v>35.903601680189702</v>
      </c>
      <c r="H2550" s="861">
        <v>36.070838452447198</v>
      </c>
      <c r="I2550" s="861">
        <v>55.8423180171228</v>
      </c>
      <c r="J2550" s="861">
        <v>50.200966629194497</v>
      </c>
      <c r="K2550" s="982">
        <v>0</v>
      </c>
      <c r="L2550" s="735">
        <v>3511</v>
      </c>
      <c r="M2550" s="735">
        <v>3915</v>
      </c>
      <c r="N2550" s="845">
        <f t="shared" si="188"/>
        <v>0.11506693249786386</v>
      </c>
      <c r="O2550" s="735">
        <v>0.70850788577558377</v>
      </c>
      <c r="P2550" s="735">
        <f t="shared" si="189"/>
        <v>5525.6971426850941</v>
      </c>
      <c r="Q2550" s="849">
        <v>22.9</v>
      </c>
      <c r="R2550" s="71">
        <v>43571</v>
      </c>
      <c r="S2550" s="845">
        <v>0.36025806451612902</v>
      </c>
      <c r="T2550" s="845">
        <v>0.10199999999999999</v>
      </c>
      <c r="U2550" s="845">
        <v>6.0999999999999999E-2</v>
      </c>
      <c r="V2550" s="845">
        <v>0</v>
      </c>
      <c r="W2550" s="845">
        <v>0.62361111111111112</v>
      </c>
      <c r="X2550" s="845">
        <v>0.52227171492204905</v>
      </c>
      <c r="Y2550" s="845">
        <v>0.53716475095785443</v>
      </c>
      <c r="Z2550" s="845">
        <v>0.38365261813537677</v>
      </c>
      <c r="AA2550" s="845">
        <v>4.0868454661558114E-3</v>
      </c>
      <c r="AB2550" s="845">
        <v>2.1711366538952746E-2</v>
      </c>
      <c r="AC2550" s="845">
        <v>0</v>
      </c>
      <c r="AD2550" s="845">
        <v>0</v>
      </c>
      <c r="AE2550" s="845">
        <v>5.3384418901660284E-2</v>
      </c>
      <c r="AF2550" s="845">
        <v>0.12669220945083015</v>
      </c>
      <c r="AG2550" s="845">
        <v>0.43984674329501916</v>
      </c>
      <c r="AH2550" s="20" t="str">
        <f t="shared" si="190"/>
        <v>No</v>
      </c>
      <c r="AI2550" s="25"/>
      <c r="AJ2550" s="25"/>
      <c r="AK2550" s="25"/>
      <c r="AL2550" s="25"/>
      <c r="AM2550" s="25"/>
      <c r="AN2550" s="25"/>
      <c r="AO2550" s="25"/>
      <c r="AP2550" s="25"/>
      <c r="AQ2550" s="25"/>
      <c r="AR2550" s="25"/>
      <c r="AS2550" s="25"/>
      <c r="AT2550" s="25"/>
      <c r="AU2550" s="36"/>
      <c r="AV2550" s="36"/>
      <c r="AW2550" s="36"/>
      <c r="AX2550" s="25"/>
      <c r="AY2550" s="25"/>
      <c r="AZ2550" s="25"/>
      <c r="BA2550" s="25"/>
      <c r="BB2550" s="25"/>
      <c r="BC2550" s="25"/>
      <c r="BD2550" s="25"/>
      <c r="BE2550" s="25"/>
      <c r="BF2550" s="25"/>
      <c r="BG2550" s="25"/>
      <c r="BH2550" s="25"/>
      <c r="BI2550" s="25"/>
      <c r="BJ2550" s="25"/>
      <c r="BK2550" s="25"/>
      <c r="BL2550" s="25"/>
      <c r="BM2550" s="25"/>
      <c r="BN2550" s="25"/>
      <c r="BO2550" s="25"/>
      <c r="BP2550" s="25"/>
      <c r="BQ2550" s="25"/>
      <c r="BR2550" s="25"/>
      <c r="BS2550" s="25"/>
      <c r="BT2550" s="25"/>
      <c r="BU2550"/>
      <c r="BV2550"/>
      <c r="BW2550"/>
      <c r="BX2550"/>
      <c r="BY2550"/>
      <c r="BZ2550"/>
      <c r="CA2550"/>
      <c r="CB2550"/>
      <c r="CC2550"/>
      <c r="CD2550" s="25"/>
    </row>
    <row r="2551" spans="1:82" s="17" customFormat="1" x14ac:dyDescent="0.2">
      <c r="A2551" s="25"/>
      <c r="B2551" s="20">
        <v>39035119701</v>
      </c>
      <c r="C2551" s="20">
        <v>1197.01</v>
      </c>
      <c r="D2551" s="20" t="s">
        <v>24</v>
      </c>
      <c r="E2551" s="20" t="s">
        <v>2829</v>
      </c>
      <c r="F2551" s="20" t="s">
        <v>6</v>
      </c>
      <c r="G2551" s="861">
        <v>35.890730893017</v>
      </c>
      <c r="H2551" s="861">
        <v>31.990740430512801</v>
      </c>
      <c r="I2551" s="861">
        <v>64.672401560555898</v>
      </c>
      <c r="J2551" s="861">
        <v>29.639157220176401</v>
      </c>
      <c r="K2551" s="982">
        <v>0</v>
      </c>
      <c r="L2551" s="735">
        <v>1432</v>
      </c>
      <c r="M2551" s="735">
        <v>2308</v>
      </c>
      <c r="N2551" s="845">
        <f t="shared" si="188"/>
        <v>0.61173184357541899</v>
      </c>
      <c r="O2551" s="735">
        <v>0.20354031663875091</v>
      </c>
      <c r="P2551" s="735">
        <f t="shared" si="189"/>
        <v>11339.276847526495</v>
      </c>
      <c r="Q2551" s="849">
        <v>40.6</v>
      </c>
      <c r="R2551" s="71">
        <v>30280</v>
      </c>
      <c r="S2551" s="845">
        <v>0.32885615251299827</v>
      </c>
      <c r="T2551" s="845">
        <v>0.218</v>
      </c>
      <c r="U2551" s="845">
        <v>0</v>
      </c>
      <c r="V2551" s="845">
        <v>6.4000000000000001E-2</v>
      </c>
      <c r="W2551" s="845">
        <v>0.5380811078140455</v>
      </c>
      <c r="X2551" s="845">
        <v>0.78492647058823528</v>
      </c>
      <c r="Y2551" s="845">
        <v>1.9064124783362217E-2</v>
      </c>
      <c r="Z2551" s="845">
        <v>0.97010398613518201</v>
      </c>
      <c r="AA2551" s="845">
        <v>0</v>
      </c>
      <c r="AB2551" s="845">
        <v>0</v>
      </c>
      <c r="AC2551" s="845">
        <v>0</v>
      </c>
      <c r="AD2551" s="845">
        <v>0</v>
      </c>
      <c r="AE2551" s="845">
        <v>1.0831889081455806E-2</v>
      </c>
      <c r="AF2551" s="845">
        <v>5.1993067590987872E-3</v>
      </c>
      <c r="AG2551" s="845">
        <v>1.9064124783362217E-2</v>
      </c>
      <c r="AH2551" s="20" t="str">
        <f t="shared" si="190"/>
        <v>No</v>
      </c>
      <c r="AI2551" s="25"/>
      <c r="AJ2551" s="25"/>
      <c r="AK2551" s="25"/>
      <c r="AL2551" s="25"/>
      <c r="AM2551" s="25"/>
      <c r="AN2551" s="25"/>
      <c r="AO2551" s="25"/>
      <c r="AP2551" s="25"/>
      <c r="AQ2551" s="25"/>
      <c r="AR2551" s="25"/>
      <c r="AS2551" s="25"/>
      <c r="AT2551" s="25"/>
      <c r="AU2551" s="36"/>
      <c r="AV2551" s="36"/>
      <c r="AW2551" s="36"/>
      <c r="AX2551" s="25"/>
      <c r="AY2551" s="25"/>
      <c r="AZ2551" s="25"/>
      <c r="BA2551" s="25"/>
      <c r="BB2551" s="25"/>
      <c r="BC2551" s="25"/>
      <c r="BD2551" s="25"/>
      <c r="BE2551" s="25"/>
      <c r="BF2551" s="25"/>
      <c r="BG2551" s="25"/>
      <c r="BH2551" s="25"/>
      <c r="BI2551" s="25"/>
      <c r="BJ2551" s="25"/>
      <c r="BK2551" s="25"/>
      <c r="BL2551" s="25"/>
      <c r="BM2551" s="25"/>
      <c r="BN2551" s="25"/>
      <c r="BO2551" s="25"/>
      <c r="BP2551" s="25"/>
      <c r="BQ2551" s="25"/>
      <c r="BR2551" s="25"/>
      <c r="BS2551" s="25"/>
      <c r="BT2551" s="25"/>
      <c r="BU2551"/>
      <c r="BV2551"/>
      <c r="BW2551"/>
      <c r="BX2551"/>
      <c r="BY2551"/>
      <c r="BZ2551"/>
      <c r="CA2551"/>
      <c r="CB2551"/>
      <c r="CC2551"/>
      <c r="CD2551" s="25"/>
    </row>
    <row r="2552" spans="1:82" s="17" customFormat="1" x14ac:dyDescent="0.2">
      <c r="A2552" s="25"/>
      <c r="B2552" s="20">
        <v>39035124600</v>
      </c>
      <c r="C2552" s="20">
        <v>1246</v>
      </c>
      <c r="D2552" s="20" t="s">
        <v>24</v>
      </c>
      <c r="E2552" s="20" t="s">
        <v>2829</v>
      </c>
      <c r="F2552" s="20" t="s">
        <v>6</v>
      </c>
      <c r="G2552" s="861">
        <v>35.860034636578597</v>
      </c>
      <c r="H2552" s="861">
        <v>33.700872081972101</v>
      </c>
      <c r="I2552" s="861">
        <v>51.650913157883402</v>
      </c>
      <c r="J2552" s="861">
        <v>37.175878345838299</v>
      </c>
      <c r="K2552" s="982">
        <v>0</v>
      </c>
      <c r="L2552" s="735">
        <v>3940</v>
      </c>
      <c r="M2552" s="735">
        <v>3732</v>
      </c>
      <c r="N2552" s="845">
        <f t="shared" si="188"/>
        <v>-5.2791878172588833E-2</v>
      </c>
      <c r="O2552" s="735">
        <v>1.089885312253422</v>
      </c>
      <c r="P2552" s="735">
        <f t="shared" si="189"/>
        <v>3424.2135003028916</v>
      </c>
      <c r="Q2552" s="849">
        <v>41.2</v>
      </c>
      <c r="R2552" s="71">
        <v>42785</v>
      </c>
      <c r="S2552" s="845">
        <v>0.21382289416846653</v>
      </c>
      <c r="T2552" s="845">
        <v>0.11800000000000001</v>
      </c>
      <c r="U2552" s="845">
        <v>0</v>
      </c>
      <c r="V2552" s="845">
        <v>4.4999999999999998E-2</v>
      </c>
      <c r="W2552" s="845">
        <v>0.43312883435582822</v>
      </c>
      <c r="X2552" s="845">
        <v>0.54815864022662886</v>
      </c>
      <c r="Y2552" s="845">
        <v>0.59833869239013937</v>
      </c>
      <c r="Z2552" s="845">
        <v>0.19399785637727759</v>
      </c>
      <c r="AA2552" s="845">
        <v>0</v>
      </c>
      <c r="AB2552" s="845">
        <v>2.4383708467309754E-2</v>
      </c>
      <c r="AC2552" s="845">
        <v>0</v>
      </c>
      <c r="AD2552" s="845">
        <v>3.7513397642015008E-2</v>
      </c>
      <c r="AE2552" s="845">
        <v>0.14576634512325831</v>
      </c>
      <c r="AF2552" s="845">
        <v>0.23954983922829581</v>
      </c>
      <c r="AG2552" s="845">
        <v>0.51580921757770637</v>
      </c>
      <c r="AH2552" s="20" t="str">
        <f t="shared" si="190"/>
        <v>No</v>
      </c>
      <c r="AI2552" s="25"/>
      <c r="AJ2552" s="25"/>
      <c r="AK2552" s="25"/>
      <c r="AL2552" s="25"/>
      <c r="AM2552" s="25"/>
      <c r="AN2552" s="25"/>
      <c r="AO2552" s="25"/>
      <c r="AP2552" s="25"/>
      <c r="AQ2552" s="25"/>
      <c r="AR2552" s="25"/>
      <c r="AS2552" s="25"/>
      <c r="AT2552" s="25"/>
      <c r="AU2552" s="36"/>
      <c r="AV2552" s="36"/>
      <c r="AW2552" s="36"/>
      <c r="AX2552" s="25"/>
      <c r="AY2552" s="25"/>
      <c r="AZ2552" s="25"/>
      <c r="BA2552" s="25"/>
      <c r="BB2552" s="25"/>
      <c r="BC2552" s="25"/>
      <c r="BD2552" s="25"/>
      <c r="BE2552" s="25"/>
      <c r="BF2552" s="25"/>
      <c r="BG2552" s="25"/>
      <c r="BH2552" s="25"/>
      <c r="BI2552" s="25"/>
      <c r="BJ2552" s="25"/>
      <c r="BK2552" s="25"/>
      <c r="BL2552" s="25"/>
      <c r="BM2552" s="25"/>
      <c r="BN2552" s="25"/>
      <c r="BO2552" s="25"/>
      <c r="BP2552" s="25"/>
      <c r="BQ2552" s="25"/>
      <c r="BR2552" s="25"/>
      <c r="BS2552" s="25"/>
      <c r="BT2552" s="25"/>
      <c r="BU2552"/>
      <c r="BV2552"/>
      <c r="BW2552"/>
      <c r="BX2552"/>
      <c r="BY2552"/>
      <c r="BZ2552"/>
      <c r="CA2552"/>
      <c r="CB2552"/>
      <c r="CC2552"/>
      <c r="CD2552" s="25"/>
    </row>
    <row r="2553" spans="1:82" s="17" customFormat="1" x14ac:dyDescent="0.2">
      <c r="A2553" s="25"/>
      <c r="B2553" s="20">
        <v>39013011400</v>
      </c>
      <c r="C2553" s="20">
        <v>114</v>
      </c>
      <c r="D2553" s="20" t="s">
        <v>13</v>
      </c>
      <c r="E2553" s="20" t="s">
        <v>2841</v>
      </c>
      <c r="F2553" s="20" t="s">
        <v>8</v>
      </c>
      <c r="G2553" s="861">
        <v>35.810557733195502</v>
      </c>
      <c r="H2553" s="861">
        <v>33.839164532170003</v>
      </c>
      <c r="I2553" s="861">
        <v>17.138997570026099</v>
      </c>
      <c r="J2553" s="861">
        <v>37.117412176727498</v>
      </c>
      <c r="K2553" s="982">
        <v>0</v>
      </c>
      <c r="L2553" s="735">
        <v>4467</v>
      </c>
      <c r="M2553" s="735">
        <v>4259</v>
      </c>
      <c r="N2553" s="845">
        <f t="shared" si="188"/>
        <v>-4.6563689276919631E-2</v>
      </c>
      <c r="O2553" s="735">
        <v>24.186597520712173</v>
      </c>
      <c r="P2553" s="735">
        <f t="shared" si="189"/>
        <v>176.08925754657344</v>
      </c>
      <c r="Q2553" s="849">
        <v>53.7</v>
      </c>
      <c r="R2553" s="71">
        <v>51795</v>
      </c>
      <c r="S2553" s="845">
        <v>0.10343183984747378</v>
      </c>
      <c r="T2553" s="845">
        <v>3.3000000000000002E-2</v>
      </c>
      <c r="U2553" s="845">
        <v>0</v>
      </c>
      <c r="V2553" s="845">
        <v>0</v>
      </c>
      <c r="W2553" s="845">
        <v>0.11548839719373988</v>
      </c>
      <c r="X2553" s="845">
        <v>0.5280373831775701</v>
      </c>
      <c r="Y2553" s="845">
        <v>0.96947640291148152</v>
      </c>
      <c r="Z2553" s="845">
        <v>3.7567504108945763E-3</v>
      </c>
      <c r="AA2553" s="845">
        <v>0</v>
      </c>
      <c r="AB2553" s="845">
        <v>1.8783752054472881E-3</v>
      </c>
      <c r="AC2553" s="845">
        <v>0</v>
      </c>
      <c r="AD2553" s="845">
        <v>0</v>
      </c>
      <c r="AE2553" s="845">
        <v>2.4888471472176567E-2</v>
      </c>
      <c r="AF2553" s="845">
        <v>4.6959380136182205E-3</v>
      </c>
      <c r="AG2553" s="845">
        <v>0.96947640291148152</v>
      </c>
      <c r="AH2553" s="20" t="str">
        <f t="shared" si="190"/>
        <v>Yes</v>
      </c>
      <c r="AI2553" s="25"/>
      <c r="AJ2553" s="25"/>
      <c r="AK2553" s="25"/>
      <c r="AL2553" s="25"/>
      <c r="AM2553" s="25"/>
      <c r="AN2553" s="25"/>
      <c r="AO2553" s="25"/>
      <c r="AP2553" s="25"/>
      <c r="AQ2553" s="25"/>
      <c r="AR2553" s="25"/>
      <c r="AS2553" s="25"/>
      <c r="AT2553" s="25"/>
      <c r="AU2553" s="36"/>
      <c r="AV2553" s="36"/>
      <c r="AW2553" s="36"/>
      <c r="AX2553" s="25"/>
      <c r="AY2553" s="25"/>
      <c r="AZ2553" s="25"/>
      <c r="BA2553" s="25"/>
      <c r="BB2553" s="25"/>
      <c r="BC2553" s="25"/>
      <c r="BD2553" s="25"/>
      <c r="BE2553" s="25"/>
      <c r="BF2553" s="25"/>
      <c r="BG2553" s="25"/>
      <c r="BH2553" s="25"/>
      <c r="BI2553" s="25"/>
      <c r="BJ2553" s="25"/>
      <c r="BK2553" s="25"/>
      <c r="BL2553" s="25"/>
      <c r="BM2553" s="25"/>
      <c r="BN2553" s="25"/>
      <c r="BO2553" s="25"/>
      <c r="BP2553" s="25"/>
      <c r="BQ2553" s="25"/>
      <c r="BR2553" s="25"/>
      <c r="BS2553" s="25"/>
      <c r="BT2553" s="25"/>
      <c r="BU2553"/>
      <c r="BV2553"/>
      <c r="BW2553"/>
      <c r="BX2553"/>
      <c r="BY2553"/>
      <c r="BZ2553"/>
      <c r="CA2553"/>
      <c r="CB2553"/>
      <c r="CC2553"/>
      <c r="CD2553" s="25"/>
    </row>
    <row r="2554" spans="1:82" s="17" customFormat="1" x14ac:dyDescent="0.2">
      <c r="A2554" s="25"/>
      <c r="B2554" s="20">
        <v>39001770400</v>
      </c>
      <c r="C2554" s="20">
        <v>7704</v>
      </c>
      <c r="D2554" s="20" t="s">
        <v>5</v>
      </c>
      <c r="E2554" s="20" t="s">
        <v>265</v>
      </c>
      <c r="F2554" s="20" t="s">
        <v>6</v>
      </c>
      <c r="G2554" s="861">
        <v>35.7689425558887</v>
      </c>
      <c r="H2554" s="861">
        <v>47.100438122643801</v>
      </c>
      <c r="I2554" s="861">
        <v>34.315931647426602</v>
      </c>
      <c r="J2554" s="861">
        <v>32.904845994812803</v>
      </c>
      <c r="K2554" s="982">
        <v>0</v>
      </c>
      <c r="L2554" s="735">
        <v>4769</v>
      </c>
      <c r="M2554" s="735">
        <v>4210</v>
      </c>
      <c r="N2554" s="845">
        <f t="shared" si="188"/>
        <v>-0.1172153491297966</v>
      </c>
      <c r="O2554" s="735">
        <v>37.253261367288673</v>
      </c>
      <c r="P2554" s="735">
        <f t="shared" si="189"/>
        <v>113.01023978793746</v>
      </c>
      <c r="Q2554" s="849">
        <v>42.8</v>
      </c>
      <c r="R2554" s="71">
        <v>36331</v>
      </c>
      <c r="S2554" s="845">
        <v>0.25918419052444897</v>
      </c>
      <c r="T2554" s="845">
        <v>9.8000000000000004E-2</v>
      </c>
      <c r="U2554" s="845">
        <v>0.01</v>
      </c>
      <c r="V2554" s="845">
        <v>0</v>
      </c>
      <c r="W2554" s="845">
        <v>0.43185840707964601</v>
      </c>
      <c r="X2554" s="845">
        <v>0.50819672131147542</v>
      </c>
      <c r="Y2554" s="845">
        <v>0.96745843230403805</v>
      </c>
      <c r="Z2554" s="845">
        <v>3.3254156769596198E-3</v>
      </c>
      <c r="AA2554" s="845">
        <v>0</v>
      </c>
      <c r="AB2554" s="845">
        <v>0</v>
      </c>
      <c r="AC2554" s="845">
        <v>0</v>
      </c>
      <c r="AD2554" s="845">
        <v>7.1258907363420431E-3</v>
      </c>
      <c r="AE2554" s="845">
        <v>2.2090261282660333E-2</v>
      </c>
      <c r="AF2554" s="845">
        <v>7.1258907363420431E-3</v>
      </c>
      <c r="AG2554" s="845">
        <v>0.96745843230403805</v>
      </c>
      <c r="AH2554" s="20" t="str">
        <f t="shared" si="190"/>
        <v>Yes</v>
      </c>
      <c r="AI2554" s="25"/>
      <c r="AJ2554" s="25"/>
      <c r="AK2554" s="25"/>
      <c r="AL2554" s="25"/>
      <c r="AM2554" s="25"/>
      <c r="AN2554" s="25"/>
      <c r="AO2554" s="25"/>
      <c r="AP2554" s="25"/>
      <c r="AQ2554" s="25"/>
      <c r="AR2554" s="25"/>
      <c r="AS2554" s="25"/>
      <c r="AT2554" s="25"/>
      <c r="AU2554" s="36"/>
      <c r="AV2554" s="36"/>
      <c r="AW2554" s="36"/>
      <c r="AX2554" s="25"/>
      <c r="AY2554" s="25"/>
      <c r="AZ2554" s="25"/>
      <c r="BA2554" s="25"/>
      <c r="BB2554" s="25"/>
      <c r="BC2554" s="25"/>
      <c r="BD2554" s="25"/>
      <c r="BE2554" s="25"/>
      <c r="BF2554" s="25"/>
      <c r="BG2554" s="25"/>
      <c r="BH2554" s="25"/>
      <c r="BI2554" s="25"/>
      <c r="BJ2554" s="25"/>
      <c r="BK2554" s="25"/>
      <c r="BL2554" s="25"/>
      <c r="BM2554" s="25"/>
      <c r="BN2554" s="25"/>
      <c r="BO2554" s="25"/>
      <c r="BP2554" s="25"/>
      <c r="BQ2554" s="25"/>
      <c r="BR2554" s="25"/>
      <c r="BS2554" s="25"/>
      <c r="BT2554" s="25"/>
      <c r="BU2554"/>
      <c r="BV2554"/>
      <c r="BW2554"/>
      <c r="BX2554"/>
      <c r="BY2554"/>
      <c r="BZ2554"/>
      <c r="CA2554"/>
      <c r="CB2554"/>
      <c r="CC2554"/>
      <c r="CD2554" s="25"/>
    </row>
    <row r="2555" spans="1:82" s="17" customFormat="1" x14ac:dyDescent="0.2">
      <c r="A2555" s="25"/>
      <c r="B2555" s="20">
        <v>39089756802</v>
      </c>
      <c r="C2555" s="20">
        <v>7568.02</v>
      </c>
      <c r="D2555" s="20" t="s">
        <v>50</v>
      </c>
      <c r="E2555" s="20" t="s">
        <v>2830</v>
      </c>
      <c r="F2555" s="20" t="s">
        <v>8</v>
      </c>
      <c r="G2555" s="861">
        <v>35.744071972282597</v>
      </c>
      <c r="H2555" s="861">
        <v>48.461418204966698</v>
      </c>
      <c r="I2555" s="861">
        <v>15.610852832300001</v>
      </c>
      <c r="J2555" s="861">
        <v>62.274669334567498</v>
      </c>
      <c r="K2555" s="982">
        <v>0</v>
      </c>
      <c r="L2555" s="735" t="s">
        <v>2466</v>
      </c>
      <c r="M2555" s="735">
        <v>1902</v>
      </c>
      <c r="N2555" s="845" t="str">
        <f t="shared" si="188"/>
        <v/>
      </c>
      <c r="O2555" s="735">
        <v>5.9246229512613482</v>
      </c>
      <c r="P2555" s="735">
        <f t="shared" si="189"/>
        <v>321.03308778410371</v>
      </c>
      <c r="Q2555" s="849">
        <v>30.4</v>
      </c>
      <c r="R2555" s="71">
        <v>163186</v>
      </c>
      <c r="S2555" s="845">
        <v>1.6824395373291272E-2</v>
      </c>
      <c r="T2555" s="845">
        <v>0</v>
      </c>
      <c r="U2555" s="845">
        <v>0</v>
      </c>
      <c r="V2555" s="845">
        <v>0</v>
      </c>
      <c r="W2555" s="845">
        <v>5.2521008403361345E-2</v>
      </c>
      <c r="X2555" s="845">
        <v>0.16</v>
      </c>
      <c r="Y2555" s="845">
        <v>0.94584647739221872</v>
      </c>
      <c r="Z2555" s="845">
        <v>0</v>
      </c>
      <c r="AA2555" s="845">
        <v>0</v>
      </c>
      <c r="AB2555" s="845">
        <v>0</v>
      </c>
      <c r="AC2555" s="845">
        <v>0</v>
      </c>
      <c r="AD2555" s="845">
        <v>0</v>
      </c>
      <c r="AE2555" s="845">
        <v>5.4153522607781286E-2</v>
      </c>
      <c r="AF2555" s="845">
        <v>3.9957939011566773E-2</v>
      </c>
      <c r="AG2555" s="845">
        <v>0.94584647739221872</v>
      </c>
      <c r="AH2555" s="20" t="str">
        <f t="shared" si="190"/>
        <v>Yes</v>
      </c>
      <c r="AI2555" s="25"/>
      <c r="AJ2555" s="25"/>
      <c r="AK2555" s="25"/>
      <c r="AL2555" s="25"/>
      <c r="AM2555" s="25"/>
      <c r="AN2555" s="25"/>
      <c r="AO2555" s="25"/>
      <c r="AP2555" s="25"/>
      <c r="AQ2555" s="25"/>
      <c r="AR2555" s="25"/>
      <c r="AS2555" s="25"/>
      <c r="AT2555" s="25"/>
      <c r="AU2555" s="36"/>
      <c r="AV2555" s="36"/>
      <c r="AW2555" s="36"/>
      <c r="AX2555" s="25"/>
      <c r="AY2555" s="25"/>
      <c r="AZ2555" s="25"/>
      <c r="BA2555" s="25"/>
      <c r="BB2555" s="25"/>
      <c r="BC2555" s="25"/>
      <c r="BD2555" s="25"/>
      <c r="BE2555" s="25"/>
      <c r="BF2555" s="25"/>
      <c r="BG2555" s="25"/>
      <c r="BH2555" s="25"/>
      <c r="BI2555" s="25"/>
      <c r="BJ2555" s="25"/>
      <c r="BK2555" s="25"/>
      <c r="BL2555" s="25"/>
      <c r="BM2555" s="25"/>
      <c r="BN2555" s="25"/>
      <c r="BO2555" s="25"/>
      <c r="BP2555" s="25"/>
      <c r="BQ2555" s="25"/>
      <c r="BR2555" s="25"/>
      <c r="BS2555" s="25"/>
      <c r="BT2555" s="25"/>
      <c r="BU2555"/>
      <c r="BV2555"/>
      <c r="BW2555"/>
      <c r="BX2555"/>
      <c r="BY2555"/>
      <c r="BZ2555"/>
      <c r="CA2555"/>
      <c r="CB2555"/>
      <c r="CC2555"/>
      <c r="CD2555" s="25"/>
    </row>
    <row r="2556" spans="1:82" s="17" customFormat="1" x14ac:dyDescent="0.2">
      <c r="A2556" s="25"/>
      <c r="B2556" s="20">
        <v>39049004900</v>
      </c>
      <c r="C2556" s="20">
        <v>49</v>
      </c>
      <c r="D2556" s="20" t="s">
        <v>31</v>
      </c>
      <c r="E2556" s="20" t="s">
        <v>2830</v>
      </c>
      <c r="F2556" s="20" t="s">
        <v>6</v>
      </c>
      <c r="G2556" s="861">
        <v>35.743511563338998</v>
      </c>
      <c r="H2556" s="861">
        <v>39.402210976031299</v>
      </c>
      <c r="I2556" s="861">
        <v>70.617644897381894</v>
      </c>
      <c r="J2556" s="861">
        <v>57.647843178546999</v>
      </c>
      <c r="K2556" s="982">
        <v>0</v>
      </c>
      <c r="L2556" s="735">
        <v>5030</v>
      </c>
      <c r="M2556" s="735">
        <v>5693</v>
      </c>
      <c r="N2556" s="845">
        <f t="shared" si="188"/>
        <v>0.13180914512922465</v>
      </c>
      <c r="O2556" s="735">
        <v>0.93885913630700035</v>
      </c>
      <c r="P2556" s="735">
        <f t="shared" si="189"/>
        <v>6063.7424506442985</v>
      </c>
      <c r="Q2556" s="849">
        <v>34</v>
      </c>
      <c r="R2556" s="71">
        <v>36190</v>
      </c>
      <c r="S2556" s="845">
        <v>0.38433163534164766</v>
      </c>
      <c r="T2556" s="845">
        <v>0.14099999999999999</v>
      </c>
      <c r="U2556" s="845">
        <v>4.2999999999999997E-2</v>
      </c>
      <c r="V2556" s="845">
        <v>0</v>
      </c>
      <c r="W2556" s="845">
        <v>0.57845433255269318</v>
      </c>
      <c r="X2556" s="845">
        <v>0.70931174089068827</v>
      </c>
      <c r="Y2556" s="845">
        <v>0.64886702968557874</v>
      </c>
      <c r="Z2556" s="845">
        <v>0.18496399086597576</v>
      </c>
      <c r="AA2556" s="845">
        <v>4.7426664324609173E-3</v>
      </c>
      <c r="AB2556" s="845">
        <v>2.5294220973124889E-2</v>
      </c>
      <c r="AC2556" s="845">
        <v>0</v>
      </c>
      <c r="AD2556" s="845">
        <v>3.8819603021254173E-2</v>
      </c>
      <c r="AE2556" s="845">
        <v>9.7312489021605483E-2</v>
      </c>
      <c r="AF2556" s="845">
        <v>0.14772527665554189</v>
      </c>
      <c r="AG2556" s="845">
        <v>0.57649745301247146</v>
      </c>
      <c r="AH2556" s="20" t="str">
        <f t="shared" si="190"/>
        <v>No</v>
      </c>
      <c r="AI2556" s="25"/>
      <c r="AJ2556" s="25"/>
      <c r="AK2556" s="25"/>
      <c r="AL2556" s="25"/>
      <c r="AM2556" s="25"/>
      <c r="AN2556" s="25"/>
      <c r="AO2556" s="25"/>
      <c r="AP2556" s="25"/>
      <c r="AQ2556" s="25"/>
      <c r="AR2556" s="25"/>
      <c r="AS2556" s="25"/>
      <c r="AT2556" s="25"/>
      <c r="AU2556" s="36"/>
      <c r="AV2556" s="36"/>
      <c r="AW2556" s="36"/>
      <c r="AX2556" s="25"/>
      <c r="AY2556" s="25"/>
      <c r="AZ2556" s="25"/>
      <c r="BA2556" s="25"/>
      <c r="BB2556" s="25"/>
      <c r="BC2556" s="25"/>
      <c r="BD2556" s="25"/>
      <c r="BE2556" s="25"/>
      <c r="BF2556" s="25"/>
      <c r="BG2556" s="25"/>
      <c r="BH2556" s="25"/>
      <c r="BI2556" s="25"/>
      <c r="BJ2556" s="25"/>
      <c r="BK2556" s="25"/>
      <c r="BL2556" s="25"/>
      <c r="BM2556" s="25"/>
      <c r="BN2556" s="25"/>
      <c r="BO2556" s="25"/>
      <c r="BP2556" s="25"/>
      <c r="BQ2556" s="25"/>
      <c r="BR2556" s="25"/>
      <c r="BS2556" s="25"/>
      <c r="BT2556" s="25"/>
      <c r="BU2556"/>
      <c r="BV2556"/>
      <c r="BW2556"/>
      <c r="BX2556"/>
      <c r="BY2556"/>
      <c r="BZ2556"/>
      <c r="CA2556"/>
      <c r="CB2556"/>
      <c r="CC2556"/>
      <c r="CD2556" s="25"/>
    </row>
    <row r="2557" spans="1:82" s="17" customFormat="1" x14ac:dyDescent="0.2">
      <c r="A2557" s="25"/>
      <c r="B2557" s="20">
        <v>39053953901</v>
      </c>
      <c r="C2557" s="20">
        <v>9539.01</v>
      </c>
      <c r="D2557" s="20" t="s">
        <v>33</v>
      </c>
      <c r="E2557" s="20" t="s">
        <v>265</v>
      </c>
      <c r="F2557" s="20" t="s">
        <v>8</v>
      </c>
      <c r="G2557" s="861">
        <v>35.739578024002697</v>
      </c>
      <c r="H2557" s="861">
        <v>47.119798312971298</v>
      </c>
      <c r="I2557" s="861">
        <v>28.263456952021102</v>
      </c>
      <c r="J2557" s="861">
        <v>39.801886592152997</v>
      </c>
      <c r="K2557" s="982">
        <v>0</v>
      </c>
      <c r="L2557" s="735" t="s">
        <v>2466</v>
      </c>
      <c r="M2557" s="735">
        <v>4158</v>
      </c>
      <c r="N2557" s="845" t="str">
        <f t="shared" si="188"/>
        <v/>
      </c>
      <c r="O2557" s="735">
        <v>34.137857490009871</v>
      </c>
      <c r="P2557" s="735">
        <f t="shared" si="189"/>
        <v>121.80026239833008</v>
      </c>
      <c r="Q2557" s="849">
        <v>45.7</v>
      </c>
      <c r="R2557" s="71">
        <v>44375</v>
      </c>
      <c r="S2557" s="845">
        <v>0.19600725952813067</v>
      </c>
      <c r="T2557" s="845">
        <v>2.7999999999999997E-2</v>
      </c>
      <c r="U2557" s="845">
        <v>0</v>
      </c>
      <c r="V2557" s="845">
        <v>0</v>
      </c>
      <c r="W2557" s="845">
        <v>0.28792769528728213</v>
      </c>
      <c r="X2557" s="845">
        <v>0.23094170403587444</v>
      </c>
      <c r="Y2557" s="845">
        <v>0.93746993746993745</v>
      </c>
      <c r="Z2557" s="845">
        <v>2.7176527176527177E-2</v>
      </c>
      <c r="AA2557" s="845">
        <v>0</v>
      </c>
      <c r="AB2557" s="845">
        <v>2.886002886002886E-3</v>
      </c>
      <c r="AC2557" s="845">
        <v>0</v>
      </c>
      <c r="AD2557" s="845">
        <v>2.1885521885521887E-2</v>
      </c>
      <c r="AE2557" s="845">
        <v>1.0582010582010581E-2</v>
      </c>
      <c r="AF2557" s="845">
        <v>3.8480038480038481E-3</v>
      </c>
      <c r="AG2557" s="845">
        <v>0.93362193362193358</v>
      </c>
      <c r="AH2557" s="20" t="str">
        <f t="shared" si="190"/>
        <v>Yes</v>
      </c>
      <c r="AI2557" s="25"/>
      <c r="AJ2557" s="25"/>
      <c r="AK2557" s="25"/>
      <c r="AL2557" s="25"/>
      <c r="AM2557" s="25"/>
      <c r="AN2557" s="25"/>
      <c r="AO2557" s="25"/>
      <c r="AP2557" s="25"/>
      <c r="AQ2557" s="25"/>
      <c r="AR2557" s="25"/>
      <c r="AS2557" s="25"/>
      <c r="AT2557" s="25"/>
      <c r="AU2557" s="36"/>
      <c r="AV2557" s="36"/>
      <c r="AW2557" s="36"/>
      <c r="AX2557" s="25"/>
      <c r="AY2557" s="25"/>
      <c r="AZ2557" s="25"/>
      <c r="BA2557" s="25"/>
      <c r="BB2557" s="25"/>
      <c r="BC2557" s="25"/>
      <c r="BD2557" s="25"/>
      <c r="BE2557" s="25"/>
      <c r="BF2557" s="25"/>
      <c r="BG2557" s="25"/>
      <c r="BH2557" s="25"/>
      <c r="BI2557" s="25"/>
      <c r="BJ2557" s="25"/>
      <c r="BK2557" s="25"/>
      <c r="BL2557" s="25"/>
      <c r="BM2557" s="25"/>
      <c r="BN2557" s="25"/>
      <c r="BO2557" s="25"/>
      <c r="BP2557" s="25"/>
      <c r="BQ2557" s="25"/>
      <c r="BR2557" s="25"/>
      <c r="BS2557" s="25"/>
      <c r="BT2557" s="25"/>
      <c r="BU2557"/>
      <c r="BV2557"/>
      <c r="BW2557"/>
      <c r="BX2557"/>
      <c r="BY2557"/>
      <c r="BZ2557"/>
      <c r="CA2557"/>
      <c r="CB2557"/>
      <c r="CC2557"/>
      <c r="CD2557" s="25"/>
    </row>
    <row r="2558" spans="1:82" s="17" customFormat="1" x14ac:dyDescent="0.2">
      <c r="A2558" s="25"/>
      <c r="B2558" s="20">
        <v>39035118101</v>
      </c>
      <c r="C2558" s="20">
        <v>1181.01</v>
      </c>
      <c r="D2558" s="20" t="s">
        <v>24</v>
      </c>
      <c r="E2558" s="20" t="s">
        <v>2829</v>
      </c>
      <c r="F2558" s="20" t="s">
        <v>6</v>
      </c>
      <c r="G2558" s="861">
        <v>35.730185440337799</v>
      </c>
      <c r="H2558" s="861">
        <v>56.904675051589699</v>
      </c>
      <c r="I2558" s="861">
        <v>74.901099018344695</v>
      </c>
      <c r="J2558" s="861">
        <v>27.921731860979801</v>
      </c>
      <c r="K2558" s="982">
        <v>0</v>
      </c>
      <c r="L2558" s="735">
        <v>2017</v>
      </c>
      <c r="M2558" s="735">
        <v>1681</v>
      </c>
      <c r="N2558" s="845">
        <f t="shared" si="188"/>
        <v>-0.16658403569657909</v>
      </c>
      <c r="O2558" s="735">
        <v>0.2404285168706817</v>
      </c>
      <c r="P2558" s="735">
        <f t="shared" si="189"/>
        <v>6991.6831076413146</v>
      </c>
      <c r="Q2558" s="849">
        <v>40.6</v>
      </c>
      <c r="R2558" s="71">
        <v>37466</v>
      </c>
      <c r="S2558" s="845">
        <v>0.25698988697204045</v>
      </c>
      <c r="T2558" s="845">
        <v>0.23300000000000001</v>
      </c>
      <c r="U2558" s="845">
        <v>0</v>
      </c>
      <c r="V2558" s="845">
        <v>6.3E-2</v>
      </c>
      <c r="W2558" s="845">
        <v>0.52155771905424197</v>
      </c>
      <c r="X2558" s="845">
        <v>0.376</v>
      </c>
      <c r="Y2558" s="845">
        <v>5.5324211778703156E-2</v>
      </c>
      <c r="Z2558" s="845">
        <v>0.9298036882807853</v>
      </c>
      <c r="AA2558" s="845">
        <v>0</v>
      </c>
      <c r="AB2558" s="845">
        <v>0</v>
      </c>
      <c r="AC2558" s="845">
        <v>0</v>
      </c>
      <c r="AD2558" s="845">
        <v>0</v>
      </c>
      <c r="AE2558" s="845">
        <v>1.4872099940511601E-2</v>
      </c>
      <c r="AF2558" s="845">
        <v>5.1754907792980372E-2</v>
      </c>
      <c r="AG2558" s="845">
        <v>1.9631171921475312E-2</v>
      </c>
      <c r="AH2558" s="20" t="str">
        <f t="shared" si="190"/>
        <v>No</v>
      </c>
      <c r="AI2558" s="25"/>
      <c r="AJ2558" s="25"/>
      <c r="AK2558" s="25"/>
      <c r="AL2558" s="25"/>
      <c r="AM2558" s="25"/>
      <c r="AN2558" s="25"/>
      <c r="AO2558" s="25"/>
      <c r="AP2558" s="25"/>
      <c r="AQ2558" s="25"/>
      <c r="AR2558" s="25"/>
      <c r="AS2558" s="25"/>
      <c r="AT2558" s="25"/>
      <c r="AU2558" s="36"/>
      <c r="AV2558" s="36"/>
      <c r="AW2558" s="36"/>
      <c r="AX2558" s="25"/>
      <c r="AY2558" s="25"/>
      <c r="AZ2558" s="25"/>
      <c r="BA2558" s="25"/>
      <c r="BB2558" s="25"/>
      <c r="BC2558" s="25"/>
      <c r="BD2558" s="25"/>
      <c r="BE2558" s="25"/>
      <c r="BF2558" s="25"/>
      <c r="BG2558" s="25"/>
      <c r="BH2558" s="25"/>
      <c r="BI2558" s="25"/>
      <c r="BJ2558" s="25"/>
      <c r="BK2558" s="25"/>
      <c r="BL2558" s="25"/>
      <c r="BM2558" s="25"/>
      <c r="BN2558" s="25"/>
      <c r="BO2558" s="25"/>
      <c r="BP2558" s="25"/>
      <c r="BQ2558" s="25"/>
      <c r="BR2558" s="25"/>
      <c r="BS2558" s="25"/>
      <c r="BT2558" s="25"/>
      <c r="BU2558"/>
      <c r="BV2558"/>
      <c r="BW2558"/>
      <c r="BX2558"/>
      <c r="BY2558"/>
      <c r="BZ2558"/>
      <c r="CA2558"/>
      <c r="CB2558"/>
      <c r="CC2558"/>
      <c r="CD2558" s="25"/>
    </row>
    <row r="2559" spans="1:82" s="17" customFormat="1" x14ac:dyDescent="0.2">
      <c r="A2559" s="25"/>
      <c r="B2559" s="20">
        <v>39119911201</v>
      </c>
      <c r="C2559" s="20">
        <v>9112.01</v>
      </c>
      <c r="D2559" s="20" t="s">
        <v>65</v>
      </c>
      <c r="E2559" s="20" t="s">
        <v>265</v>
      </c>
      <c r="F2559" s="20" t="s">
        <v>8</v>
      </c>
      <c r="G2559" s="861">
        <v>35.724954777707197</v>
      </c>
      <c r="H2559" s="861">
        <v>35.245325513860301</v>
      </c>
      <c r="I2559" s="861">
        <v>27.149184765289299</v>
      </c>
      <c r="J2559" s="861">
        <v>40.681317178672501</v>
      </c>
      <c r="K2559" s="982">
        <v>0</v>
      </c>
      <c r="L2559" s="735" t="s">
        <v>2466</v>
      </c>
      <c r="M2559" s="735">
        <v>2927</v>
      </c>
      <c r="N2559" s="845" t="str">
        <f t="shared" si="188"/>
        <v/>
      </c>
      <c r="O2559" s="735">
        <v>29.000801088619671</v>
      </c>
      <c r="P2559" s="735">
        <f t="shared" si="189"/>
        <v>100.92824646656388</v>
      </c>
      <c r="Q2559" s="849">
        <v>42.3</v>
      </c>
      <c r="R2559" s="71">
        <v>56806</v>
      </c>
      <c r="S2559" s="845">
        <v>0.11562500000000001</v>
      </c>
      <c r="T2559" s="845">
        <v>0.107</v>
      </c>
      <c r="U2559" s="845">
        <v>0</v>
      </c>
      <c r="V2559" s="845">
        <v>0</v>
      </c>
      <c r="W2559" s="845">
        <v>0.34352517985611508</v>
      </c>
      <c r="X2559" s="845">
        <v>0.26963350785340312</v>
      </c>
      <c r="Y2559" s="845">
        <v>0.94328664161257259</v>
      </c>
      <c r="Z2559" s="845">
        <v>1.2299282541851725E-2</v>
      </c>
      <c r="AA2559" s="845">
        <v>0</v>
      </c>
      <c r="AB2559" s="845">
        <v>3.4164673727365904E-4</v>
      </c>
      <c r="AC2559" s="845">
        <v>0</v>
      </c>
      <c r="AD2559" s="845">
        <v>0</v>
      </c>
      <c r="AE2559" s="845">
        <v>4.4072429108302016E-2</v>
      </c>
      <c r="AF2559" s="845">
        <v>0</v>
      </c>
      <c r="AG2559" s="845">
        <v>0.94328664161257259</v>
      </c>
      <c r="AH2559" s="20" t="str">
        <f t="shared" si="190"/>
        <v>Yes</v>
      </c>
      <c r="AI2559" s="25"/>
      <c r="AJ2559" s="25"/>
      <c r="AK2559" s="25"/>
      <c r="AL2559" s="25"/>
      <c r="AM2559" s="25"/>
      <c r="AN2559" s="25"/>
      <c r="AO2559" s="25"/>
      <c r="AP2559" s="25"/>
      <c r="AQ2559" s="25"/>
      <c r="AR2559" s="25"/>
      <c r="AS2559" s="25"/>
      <c r="AT2559" s="25"/>
      <c r="AU2559" s="36"/>
      <c r="AV2559" s="36"/>
      <c r="AW2559" s="36"/>
      <c r="AX2559" s="25"/>
      <c r="AY2559" s="25"/>
      <c r="AZ2559" s="25"/>
      <c r="BA2559" s="25"/>
      <c r="BB2559" s="25"/>
      <c r="BC2559" s="25"/>
      <c r="BD2559" s="25"/>
      <c r="BE2559" s="25"/>
      <c r="BF2559" s="25"/>
      <c r="BG2559" s="25"/>
      <c r="BH2559" s="25"/>
      <c r="BI2559" s="25"/>
      <c r="BJ2559" s="25"/>
      <c r="BK2559" s="25"/>
      <c r="BL2559" s="25"/>
      <c r="BM2559" s="25"/>
      <c r="BN2559" s="25"/>
      <c r="BO2559" s="25"/>
      <c r="BP2559" s="25"/>
      <c r="BQ2559" s="25"/>
      <c r="BR2559" s="25"/>
      <c r="BS2559" s="25"/>
      <c r="BT2559" s="25"/>
      <c r="BU2559"/>
      <c r="BV2559"/>
      <c r="BW2559"/>
      <c r="BX2559"/>
      <c r="BY2559"/>
      <c r="BZ2559"/>
      <c r="CA2559"/>
      <c r="CB2559"/>
      <c r="CC2559"/>
      <c r="CD2559" s="25"/>
    </row>
    <row r="2560" spans="1:82" s="17" customFormat="1" x14ac:dyDescent="0.2">
      <c r="A2560" s="25"/>
      <c r="B2560" s="20">
        <v>39005970200</v>
      </c>
      <c r="C2560" s="20">
        <v>9702</v>
      </c>
      <c r="D2560" s="20" t="s">
        <v>9</v>
      </c>
      <c r="E2560" s="20" t="s">
        <v>265</v>
      </c>
      <c r="F2560" s="20" t="s">
        <v>8</v>
      </c>
      <c r="G2560" s="861">
        <v>35.697851587897503</v>
      </c>
      <c r="H2560" s="861">
        <v>47.905111134580501</v>
      </c>
      <c r="I2560" s="861">
        <v>17.986754270932199</v>
      </c>
      <c r="J2560" s="861">
        <v>48.399523032915702</v>
      </c>
      <c r="K2560" s="982">
        <v>0</v>
      </c>
      <c r="L2560" s="735">
        <v>5944</v>
      </c>
      <c r="M2560" s="735">
        <v>6200</v>
      </c>
      <c r="N2560" s="845">
        <f t="shared" si="188"/>
        <v>4.306864064602961E-2</v>
      </c>
      <c r="O2560" s="735">
        <v>89.403129730970079</v>
      </c>
      <c r="P2560" s="735">
        <f t="shared" si="189"/>
        <v>69.348802649939699</v>
      </c>
      <c r="Q2560" s="849">
        <v>37.799999999999997</v>
      </c>
      <c r="R2560" s="71">
        <v>80599</v>
      </c>
      <c r="S2560" s="845">
        <v>0.15258064516129033</v>
      </c>
      <c r="T2560" s="845">
        <v>3.4000000000000002E-2</v>
      </c>
      <c r="U2560" s="845">
        <v>0</v>
      </c>
      <c r="V2560" s="845">
        <v>1.4999999999999999E-2</v>
      </c>
      <c r="W2560" s="845">
        <v>0.12186216339570972</v>
      </c>
      <c r="X2560" s="845">
        <v>5.9925093632958802E-2</v>
      </c>
      <c r="Y2560" s="845">
        <v>0.9716129032258064</v>
      </c>
      <c r="Z2560" s="845">
        <v>0</v>
      </c>
      <c r="AA2560" s="845">
        <v>0</v>
      </c>
      <c r="AB2560" s="845">
        <v>0</v>
      </c>
      <c r="AC2560" s="845">
        <v>0</v>
      </c>
      <c r="AD2560" s="845">
        <v>0</v>
      </c>
      <c r="AE2560" s="845">
        <v>2.838709677419355E-2</v>
      </c>
      <c r="AF2560" s="845">
        <v>7.0967741935483875E-3</v>
      </c>
      <c r="AG2560" s="845">
        <v>0.9716129032258064</v>
      </c>
      <c r="AH2560" s="20" t="str">
        <f t="shared" si="190"/>
        <v>Yes</v>
      </c>
      <c r="AI2560" s="25"/>
      <c r="AJ2560" s="25"/>
      <c r="AK2560" s="25"/>
      <c r="AL2560" s="25"/>
      <c r="AM2560" s="25"/>
      <c r="AN2560" s="25"/>
      <c r="AO2560" s="25"/>
      <c r="AP2560" s="25"/>
      <c r="AQ2560" s="25"/>
      <c r="AR2560" s="25"/>
      <c r="AS2560" s="25"/>
      <c r="AT2560" s="25"/>
      <c r="AU2560" s="36"/>
      <c r="AV2560" s="36"/>
      <c r="AW2560" s="36"/>
      <c r="AX2560" s="25"/>
      <c r="AY2560" s="25"/>
      <c r="AZ2560" s="25"/>
      <c r="BA2560" s="25"/>
      <c r="BB2560" s="25"/>
      <c r="BC2560" s="25"/>
      <c r="BD2560" s="25"/>
      <c r="BE2560" s="25"/>
      <c r="BF2560" s="25"/>
      <c r="BG2560" s="25"/>
      <c r="BH2560" s="25"/>
      <c r="BI2560" s="25"/>
      <c r="BJ2560" s="25"/>
      <c r="BK2560" s="25"/>
      <c r="BL2560" s="25"/>
      <c r="BM2560" s="25"/>
      <c r="BN2560" s="25"/>
      <c r="BO2560" s="25"/>
      <c r="BP2560" s="25"/>
      <c r="BQ2560" s="25"/>
      <c r="BR2560" s="25"/>
      <c r="BS2560" s="25"/>
      <c r="BT2560" s="25"/>
      <c r="BU2560"/>
      <c r="BV2560"/>
      <c r="BW2560"/>
      <c r="BX2560"/>
      <c r="BY2560"/>
      <c r="BZ2560"/>
      <c r="CA2560"/>
      <c r="CB2560"/>
      <c r="CC2560"/>
      <c r="CD2560" s="25"/>
    </row>
    <row r="2561" spans="1:82" s="17" customFormat="1" x14ac:dyDescent="0.2">
      <c r="A2561" s="25"/>
      <c r="B2561" s="20">
        <v>39023001300</v>
      </c>
      <c r="C2561" s="20">
        <v>13</v>
      </c>
      <c r="D2561" s="20" t="s">
        <v>18</v>
      </c>
      <c r="E2561" s="20" t="s">
        <v>2838</v>
      </c>
      <c r="F2561" s="20" t="s">
        <v>8</v>
      </c>
      <c r="G2561" s="861">
        <v>35.680193270705999</v>
      </c>
      <c r="H2561" s="861">
        <v>48.075257161620499</v>
      </c>
      <c r="I2561" s="861">
        <v>32.628778401783798</v>
      </c>
      <c r="J2561" s="861">
        <v>40.796754666969598</v>
      </c>
      <c r="K2561" s="982">
        <v>0</v>
      </c>
      <c r="L2561" s="735">
        <v>3614</v>
      </c>
      <c r="M2561" s="735">
        <v>3999</v>
      </c>
      <c r="N2561" s="845">
        <f t="shared" si="188"/>
        <v>0.10653016048699501</v>
      </c>
      <c r="O2561" s="735">
        <v>2.0180942066178056</v>
      </c>
      <c r="P2561" s="735">
        <f t="shared" si="189"/>
        <v>1981.5725087988155</v>
      </c>
      <c r="Q2561" s="849">
        <v>30.9</v>
      </c>
      <c r="R2561" s="71">
        <v>54597</v>
      </c>
      <c r="S2561" s="845">
        <v>0.20170383362565772</v>
      </c>
      <c r="T2561" s="845">
        <v>7.2000000000000008E-2</v>
      </c>
      <c r="U2561" s="845">
        <v>0</v>
      </c>
      <c r="V2561" s="845">
        <v>0</v>
      </c>
      <c r="W2561" s="845">
        <v>0.36585365853658536</v>
      </c>
      <c r="X2561" s="845">
        <v>0.30085470085470084</v>
      </c>
      <c r="Y2561" s="845">
        <v>0.84371092773193301</v>
      </c>
      <c r="Z2561" s="845">
        <v>0.11852963240810202</v>
      </c>
      <c r="AA2561" s="845">
        <v>0</v>
      </c>
      <c r="AB2561" s="845">
        <v>1.8504626156539136E-2</v>
      </c>
      <c r="AC2561" s="845">
        <v>0</v>
      </c>
      <c r="AD2561" s="845">
        <v>2.000500125031258E-3</v>
      </c>
      <c r="AE2561" s="845">
        <v>1.72543135783946E-2</v>
      </c>
      <c r="AF2561" s="845">
        <v>2.2505626406601649E-3</v>
      </c>
      <c r="AG2561" s="845">
        <v>0.84146036509127287</v>
      </c>
      <c r="AH2561" s="20" t="str">
        <f t="shared" si="190"/>
        <v>No</v>
      </c>
      <c r="AI2561" s="25"/>
      <c r="AJ2561" s="25"/>
      <c r="AK2561" s="25"/>
      <c r="AL2561" s="25"/>
      <c r="AM2561" s="25"/>
      <c r="AN2561" s="25"/>
      <c r="AO2561" s="25"/>
      <c r="AP2561" s="25"/>
      <c r="AQ2561" s="25"/>
      <c r="AR2561" s="25"/>
      <c r="AS2561" s="25"/>
      <c r="AT2561" s="25"/>
      <c r="AU2561" s="36"/>
      <c r="AV2561" s="36"/>
      <c r="AW2561" s="36"/>
      <c r="AX2561" s="25"/>
      <c r="AY2561" s="25"/>
      <c r="AZ2561" s="25"/>
      <c r="BA2561" s="25"/>
      <c r="BB2561" s="25"/>
      <c r="BC2561" s="25"/>
      <c r="BD2561" s="25"/>
      <c r="BE2561" s="25"/>
      <c r="BF2561" s="25"/>
      <c r="BG2561" s="25"/>
      <c r="BH2561" s="25"/>
      <c r="BI2561" s="25"/>
      <c r="BJ2561" s="25"/>
      <c r="BK2561" s="25"/>
      <c r="BL2561" s="25"/>
      <c r="BM2561" s="25"/>
      <c r="BN2561" s="25"/>
      <c r="BO2561" s="25"/>
      <c r="BP2561" s="25"/>
      <c r="BQ2561" s="25"/>
      <c r="BR2561" s="25"/>
      <c r="BS2561" s="25"/>
      <c r="BT2561" s="25"/>
      <c r="BU2561"/>
      <c r="BV2561"/>
      <c r="BW2561"/>
      <c r="BX2561"/>
      <c r="BY2561"/>
      <c r="BZ2561"/>
      <c r="CA2561"/>
      <c r="CB2561"/>
      <c r="CC2561"/>
      <c r="CD2561" s="25"/>
    </row>
    <row r="2562" spans="1:82" s="17" customFormat="1" x14ac:dyDescent="0.2">
      <c r="A2562" s="25"/>
      <c r="B2562" s="20">
        <v>39151713000</v>
      </c>
      <c r="C2562" s="20">
        <v>7130</v>
      </c>
      <c r="D2562" s="20" t="s">
        <v>81</v>
      </c>
      <c r="E2562" s="20" t="s">
        <v>2844</v>
      </c>
      <c r="F2562" s="20" t="s">
        <v>8</v>
      </c>
      <c r="G2562" s="861">
        <v>35.670392774917303</v>
      </c>
      <c r="H2562" s="861">
        <v>42.616127533243102</v>
      </c>
      <c r="I2562" s="861">
        <v>17.586605722407899</v>
      </c>
      <c r="J2562" s="861">
        <v>45.434637312429302</v>
      </c>
      <c r="K2562" s="982">
        <v>0</v>
      </c>
      <c r="L2562" s="735">
        <v>3703</v>
      </c>
      <c r="M2562" s="735">
        <v>4028</v>
      </c>
      <c r="N2562" s="845">
        <f t="shared" si="188"/>
        <v>8.7766675668376995E-2</v>
      </c>
      <c r="O2562" s="735">
        <v>46.796269269359698</v>
      </c>
      <c r="P2562" s="735">
        <f t="shared" si="189"/>
        <v>86.075237682192139</v>
      </c>
      <c r="Q2562" s="849">
        <v>39.700000000000003</v>
      </c>
      <c r="R2562" s="71">
        <v>78109</v>
      </c>
      <c r="S2562" s="845">
        <v>6.1891689543299225E-2</v>
      </c>
      <c r="T2562" s="845">
        <v>1.2E-2</v>
      </c>
      <c r="U2562" s="845">
        <v>0</v>
      </c>
      <c r="V2562" s="845">
        <v>0</v>
      </c>
      <c r="W2562" s="845">
        <v>0.11768488745980707</v>
      </c>
      <c r="X2562" s="845">
        <v>0.27322404371584702</v>
      </c>
      <c r="Y2562" s="845">
        <v>0.97244289970208542</v>
      </c>
      <c r="Z2562" s="845">
        <v>9.9304865938430985E-3</v>
      </c>
      <c r="AA2562" s="845">
        <v>0</v>
      </c>
      <c r="AB2562" s="845">
        <v>0</v>
      </c>
      <c r="AC2562" s="845">
        <v>0</v>
      </c>
      <c r="AD2562" s="845">
        <v>0</v>
      </c>
      <c r="AE2562" s="845">
        <v>1.7626613704071498E-2</v>
      </c>
      <c r="AF2562" s="845">
        <v>0</v>
      </c>
      <c r="AG2562" s="845">
        <v>0.97244289970208542</v>
      </c>
      <c r="AH2562" s="20" t="str">
        <f t="shared" si="190"/>
        <v>Yes</v>
      </c>
      <c r="AI2562" s="25"/>
      <c r="AJ2562" s="25"/>
      <c r="AK2562" s="25"/>
      <c r="AL2562" s="25"/>
      <c r="AM2562" s="25"/>
      <c r="AN2562" s="25"/>
      <c r="AO2562" s="25"/>
      <c r="AP2562" s="25"/>
      <c r="AQ2562" s="25"/>
      <c r="AR2562" s="25"/>
      <c r="AS2562" s="25"/>
      <c r="AT2562" s="25"/>
      <c r="AU2562" s="36"/>
      <c r="AV2562" s="36"/>
      <c r="AW2562" s="36"/>
      <c r="AX2562" s="25"/>
      <c r="AY2562" s="25"/>
      <c r="AZ2562" s="25"/>
      <c r="BA2562" s="25"/>
      <c r="BB2562" s="25"/>
      <c r="BC2562" s="25"/>
      <c r="BD2562" s="25"/>
      <c r="BE2562" s="25"/>
      <c r="BF2562" s="25"/>
      <c r="BG2562" s="25"/>
      <c r="BH2562" s="25"/>
      <c r="BI2562" s="25"/>
      <c r="BJ2562" s="25"/>
      <c r="BK2562" s="25"/>
      <c r="BL2562" s="25"/>
      <c r="BM2562" s="25"/>
      <c r="BN2562" s="25"/>
      <c r="BO2562" s="25"/>
      <c r="BP2562" s="25"/>
      <c r="BQ2562" s="25"/>
      <c r="BR2562" s="25"/>
      <c r="BS2562" s="25"/>
      <c r="BT2562" s="25"/>
      <c r="BU2562"/>
      <c r="BV2562"/>
      <c r="BW2562"/>
      <c r="BX2562"/>
      <c r="BY2562"/>
      <c r="BZ2562"/>
      <c r="CA2562"/>
      <c r="CB2562"/>
      <c r="CC2562"/>
      <c r="CD2562" s="25"/>
    </row>
    <row r="2563" spans="1:82" s="17" customFormat="1" x14ac:dyDescent="0.2">
      <c r="A2563" s="25"/>
      <c r="B2563" s="20">
        <v>39155932802</v>
      </c>
      <c r="C2563" s="20">
        <v>9328.02</v>
      </c>
      <c r="D2563" s="20" t="s">
        <v>83</v>
      </c>
      <c r="E2563" s="20" t="s">
        <v>2842</v>
      </c>
      <c r="F2563" s="20" t="s">
        <v>8</v>
      </c>
      <c r="G2563" s="861">
        <v>35.640001368233499</v>
      </c>
      <c r="H2563" s="861">
        <v>26.005882302747199</v>
      </c>
      <c r="I2563" s="861">
        <v>44.032957861908798</v>
      </c>
      <c r="J2563" s="861">
        <v>33.576492748089599</v>
      </c>
      <c r="K2563" s="982">
        <v>0</v>
      </c>
      <c r="L2563" s="735">
        <v>3649</v>
      </c>
      <c r="M2563" s="735">
        <v>3417</v>
      </c>
      <c r="N2563" s="845">
        <f t="shared" si="188"/>
        <v>-6.3579062756919699E-2</v>
      </c>
      <c r="O2563" s="735">
        <v>2.3043067174543901</v>
      </c>
      <c r="P2563" s="735">
        <f t="shared" si="189"/>
        <v>1482.8755105027089</v>
      </c>
      <c r="Q2563" s="849">
        <v>37.4</v>
      </c>
      <c r="R2563" s="71">
        <v>46500</v>
      </c>
      <c r="S2563" s="845">
        <v>0.21817112613937079</v>
      </c>
      <c r="T2563" s="845">
        <v>2.2000000000000002E-2</v>
      </c>
      <c r="U2563" s="845">
        <v>0.03</v>
      </c>
      <c r="V2563" s="845">
        <v>6.3E-2</v>
      </c>
      <c r="W2563" s="845">
        <v>0.46715328467153283</v>
      </c>
      <c r="X2563" s="845">
        <v>0.47187499999999999</v>
      </c>
      <c r="Y2563" s="845">
        <v>0.94615159496634471</v>
      </c>
      <c r="Z2563" s="845">
        <v>4.6824700029265438E-3</v>
      </c>
      <c r="AA2563" s="845">
        <v>0</v>
      </c>
      <c r="AB2563" s="845">
        <v>0</v>
      </c>
      <c r="AC2563" s="845">
        <v>0</v>
      </c>
      <c r="AD2563" s="845">
        <v>0</v>
      </c>
      <c r="AE2563" s="845">
        <v>4.9165935030728712E-2</v>
      </c>
      <c r="AF2563" s="845">
        <v>1.6388645010242904E-2</v>
      </c>
      <c r="AG2563" s="845">
        <v>0.94615159496634471</v>
      </c>
      <c r="AH2563" s="20" t="str">
        <f t="shared" si="190"/>
        <v>Yes</v>
      </c>
      <c r="AI2563" s="25"/>
      <c r="AJ2563" s="25"/>
      <c r="AK2563" s="25"/>
      <c r="AL2563" s="25"/>
      <c r="AM2563" s="25"/>
      <c r="AN2563" s="25"/>
      <c r="AO2563" s="25"/>
      <c r="AP2563" s="25"/>
      <c r="AQ2563" s="25"/>
      <c r="AR2563" s="25"/>
      <c r="AS2563" s="25"/>
      <c r="AT2563" s="25"/>
      <c r="AU2563" s="36"/>
      <c r="AV2563" s="36"/>
      <c r="AW2563" s="36"/>
      <c r="AX2563" s="25"/>
      <c r="AY2563" s="25"/>
      <c r="AZ2563" s="25"/>
      <c r="BA2563" s="25"/>
      <c r="BB2563" s="25"/>
      <c r="BC2563" s="25"/>
      <c r="BD2563" s="25"/>
      <c r="BE2563" s="25"/>
      <c r="BF2563" s="25"/>
      <c r="BG2563" s="25"/>
      <c r="BH2563" s="25"/>
      <c r="BI2563" s="25"/>
      <c r="BJ2563" s="25"/>
      <c r="BK2563" s="25"/>
      <c r="BL2563" s="25"/>
      <c r="BM2563" s="25"/>
      <c r="BN2563" s="25"/>
      <c r="BO2563" s="25"/>
      <c r="BP2563" s="25"/>
      <c r="BQ2563" s="25"/>
      <c r="BR2563" s="25"/>
      <c r="BS2563" s="25"/>
      <c r="BT2563" s="25"/>
      <c r="BU2563"/>
      <c r="BV2563"/>
      <c r="BW2563"/>
      <c r="BX2563"/>
      <c r="BY2563"/>
      <c r="BZ2563"/>
      <c r="CA2563"/>
      <c r="CB2563"/>
      <c r="CC2563"/>
      <c r="CD2563" s="25"/>
    </row>
    <row r="2564" spans="1:82" s="17" customFormat="1" x14ac:dyDescent="0.2">
      <c r="A2564" s="25"/>
      <c r="B2564" s="20">
        <v>39113004400</v>
      </c>
      <c r="C2564" s="20">
        <v>44</v>
      </c>
      <c r="D2564" s="20" t="s">
        <v>62</v>
      </c>
      <c r="E2564" s="20" t="s">
        <v>2833</v>
      </c>
      <c r="F2564" s="20" t="s">
        <v>6</v>
      </c>
      <c r="G2564" s="861">
        <v>35.626536668097103</v>
      </c>
      <c r="H2564" s="861">
        <v>46.825945104467799</v>
      </c>
      <c r="I2564" s="861">
        <v>46.241941046635603</v>
      </c>
      <c r="J2564" s="861">
        <v>50.951420981322798</v>
      </c>
      <c r="K2564" s="982">
        <v>0</v>
      </c>
      <c r="L2564" s="735">
        <v>2342</v>
      </c>
      <c r="M2564" s="735">
        <v>1423</v>
      </c>
      <c r="N2564" s="845">
        <f t="shared" si="188"/>
        <v>-0.39239965841161401</v>
      </c>
      <c r="O2564" s="735">
        <v>0.51746839872558337</v>
      </c>
      <c r="P2564" s="735">
        <f t="shared" si="189"/>
        <v>2749.926379088176</v>
      </c>
      <c r="Q2564" s="849">
        <v>53.9</v>
      </c>
      <c r="R2564" s="71">
        <v>31656</v>
      </c>
      <c r="S2564" s="845">
        <v>0.28952916373858045</v>
      </c>
      <c r="T2564" s="845">
        <v>6.0999999999999999E-2</v>
      </c>
      <c r="U2564" s="845">
        <v>0</v>
      </c>
      <c r="V2564" s="845">
        <v>8.900000000000001E-2</v>
      </c>
      <c r="W2564" s="845">
        <v>0.50313676286072773</v>
      </c>
      <c r="X2564" s="845">
        <v>0.39900249376558605</v>
      </c>
      <c r="Y2564" s="845">
        <v>1.7568517217146872E-2</v>
      </c>
      <c r="Z2564" s="845">
        <v>0.9065354884047786</v>
      </c>
      <c r="AA2564" s="845">
        <v>0</v>
      </c>
      <c r="AB2564" s="845">
        <v>0</v>
      </c>
      <c r="AC2564" s="845">
        <v>0</v>
      </c>
      <c r="AD2564" s="845">
        <v>3.7245256500351369E-2</v>
      </c>
      <c r="AE2564" s="845">
        <v>3.8650737877723121E-2</v>
      </c>
      <c r="AF2564" s="845">
        <v>0</v>
      </c>
      <c r="AG2564" s="845">
        <v>1.7568517217146872E-2</v>
      </c>
      <c r="AH2564" s="20" t="str">
        <f t="shared" si="190"/>
        <v>No</v>
      </c>
      <c r="AI2564" s="25"/>
      <c r="AJ2564" s="25"/>
      <c r="AK2564" s="25"/>
      <c r="AL2564" s="25"/>
      <c r="AM2564" s="25"/>
      <c r="AN2564" s="25"/>
      <c r="AO2564" s="25"/>
      <c r="AP2564" s="25"/>
      <c r="AQ2564" s="25"/>
      <c r="AR2564" s="25"/>
      <c r="AS2564" s="25"/>
      <c r="AT2564" s="25"/>
      <c r="AU2564" s="36"/>
      <c r="AV2564" s="36"/>
      <c r="AW2564" s="36"/>
      <c r="AX2564" s="25"/>
      <c r="AY2564" s="25"/>
      <c r="AZ2564" s="25"/>
      <c r="BA2564" s="25"/>
      <c r="BB2564" s="25"/>
      <c r="BC2564" s="25"/>
      <c r="BD2564" s="25"/>
      <c r="BE2564" s="25"/>
      <c r="BF2564" s="25"/>
      <c r="BG2564" s="25"/>
      <c r="BH2564" s="25"/>
      <c r="BI2564" s="25"/>
      <c r="BJ2564" s="25"/>
      <c r="BK2564" s="25"/>
      <c r="BL2564" s="25"/>
      <c r="BM2564" s="25"/>
      <c r="BN2564" s="25"/>
      <c r="BO2564" s="25"/>
      <c r="BP2564" s="25"/>
      <c r="BQ2564" s="25"/>
      <c r="BR2564" s="25"/>
      <c r="BS2564" s="25"/>
      <c r="BT2564" s="25"/>
      <c r="BU2564"/>
      <c r="BV2564"/>
      <c r="BW2564"/>
      <c r="BX2564"/>
      <c r="BY2564"/>
      <c r="BZ2564"/>
      <c r="CA2564"/>
      <c r="CB2564"/>
      <c r="CC2564"/>
      <c r="CD2564" s="25"/>
    </row>
    <row r="2565" spans="1:82" s="17" customFormat="1" x14ac:dyDescent="0.2">
      <c r="A2565" s="25"/>
      <c r="B2565" s="20">
        <v>39061010500</v>
      </c>
      <c r="C2565" s="20">
        <v>105</v>
      </c>
      <c r="D2565" s="20" t="s">
        <v>37</v>
      </c>
      <c r="E2565" s="20" t="s">
        <v>2828</v>
      </c>
      <c r="F2565" s="20" t="s">
        <v>8</v>
      </c>
      <c r="G2565" s="861">
        <v>35.594663623806298</v>
      </c>
      <c r="H2565" s="861">
        <v>46.287823290036798</v>
      </c>
      <c r="I2565" s="861">
        <v>50.650586592232798</v>
      </c>
      <c r="J2565" s="861">
        <v>49.965717909041501</v>
      </c>
      <c r="K2565" s="982">
        <v>0</v>
      </c>
      <c r="L2565" s="735">
        <v>1414</v>
      </c>
      <c r="M2565" s="735">
        <v>1515</v>
      </c>
      <c r="N2565" s="845">
        <f t="shared" si="188"/>
        <v>7.1428571428571425E-2</v>
      </c>
      <c r="O2565" s="735">
        <v>0.35026724504924467</v>
      </c>
      <c r="P2565" s="735">
        <f t="shared" si="189"/>
        <v>4325.2688380467989</v>
      </c>
      <c r="Q2565" s="849">
        <v>36.4</v>
      </c>
      <c r="R2565" s="71">
        <v>53333</v>
      </c>
      <c r="S2565" s="845">
        <v>0.27326732673267329</v>
      </c>
      <c r="T2565" s="845">
        <v>0.13500000000000001</v>
      </c>
      <c r="U2565" s="845">
        <v>0</v>
      </c>
      <c r="V2565" s="845">
        <v>0</v>
      </c>
      <c r="W2565" s="845">
        <v>0.48058252427184467</v>
      </c>
      <c r="X2565" s="845">
        <v>0.54545454545454541</v>
      </c>
      <c r="Y2565" s="845">
        <v>0.86864686468646868</v>
      </c>
      <c r="Z2565" s="845">
        <v>2.0462046204620461E-2</v>
      </c>
      <c r="AA2565" s="845">
        <v>0</v>
      </c>
      <c r="AB2565" s="845">
        <v>0</v>
      </c>
      <c r="AC2565" s="845">
        <v>0</v>
      </c>
      <c r="AD2565" s="845">
        <v>5.2805280528052806E-3</v>
      </c>
      <c r="AE2565" s="845">
        <v>0.10561056105610561</v>
      </c>
      <c r="AF2565" s="845">
        <v>6.4686468646864684E-2</v>
      </c>
      <c r="AG2565" s="845">
        <v>0.84158415841584155</v>
      </c>
      <c r="AH2565" s="20" t="str">
        <f t="shared" si="190"/>
        <v>No</v>
      </c>
      <c r="AI2565" s="25"/>
      <c r="AJ2565" s="25"/>
      <c r="AK2565" s="25"/>
      <c r="AL2565" s="25"/>
      <c r="AM2565" s="25"/>
      <c r="AN2565" s="25"/>
      <c r="AO2565" s="25"/>
      <c r="AP2565" s="25"/>
      <c r="AQ2565" s="25"/>
      <c r="AR2565" s="25"/>
      <c r="AS2565" s="25"/>
      <c r="AT2565" s="25"/>
      <c r="AU2565" s="36"/>
      <c r="AV2565" s="36"/>
      <c r="AW2565" s="36"/>
      <c r="AX2565" s="25"/>
      <c r="AY2565" s="25"/>
      <c r="AZ2565" s="25"/>
      <c r="BA2565" s="25"/>
      <c r="BB2565" s="25"/>
      <c r="BC2565" s="25"/>
      <c r="BD2565" s="25"/>
      <c r="BE2565" s="25"/>
      <c r="BF2565" s="25"/>
      <c r="BG2565" s="25"/>
      <c r="BH2565" s="25"/>
      <c r="BI2565" s="25"/>
      <c r="BJ2565" s="25"/>
      <c r="BK2565" s="25"/>
      <c r="BL2565" s="25"/>
      <c r="BM2565" s="25"/>
      <c r="BN2565" s="25"/>
      <c r="BO2565" s="25"/>
      <c r="BP2565" s="25"/>
      <c r="BQ2565" s="25"/>
      <c r="BR2565" s="25"/>
      <c r="BS2565" s="25"/>
      <c r="BT2565" s="25"/>
      <c r="BU2565"/>
      <c r="BV2565"/>
      <c r="BW2565"/>
      <c r="BX2565"/>
      <c r="BY2565"/>
      <c r="BZ2565"/>
      <c r="CA2565"/>
      <c r="CB2565"/>
      <c r="CC2565"/>
      <c r="CD2565" s="25"/>
    </row>
    <row r="2566" spans="1:82" s="17" customFormat="1" x14ac:dyDescent="0.2">
      <c r="A2566" s="25"/>
      <c r="B2566" s="20">
        <v>39169003300</v>
      </c>
      <c r="C2566" s="20">
        <v>33</v>
      </c>
      <c r="D2566" s="20" t="s">
        <v>90</v>
      </c>
      <c r="E2566" s="20" t="s">
        <v>265</v>
      </c>
      <c r="F2566" s="20" t="s">
        <v>8</v>
      </c>
      <c r="G2566" s="861">
        <v>35.566925523829902</v>
      </c>
      <c r="H2566" s="861">
        <v>45.292809487402302</v>
      </c>
      <c r="I2566" s="861">
        <v>19.565290382634998</v>
      </c>
      <c r="J2566" s="861">
        <v>36.212400997875498</v>
      </c>
      <c r="K2566" s="982">
        <v>0</v>
      </c>
      <c r="L2566" s="735">
        <v>3014</v>
      </c>
      <c r="M2566" s="735">
        <v>3305</v>
      </c>
      <c r="N2566" s="845">
        <f t="shared" si="188"/>
        <v>9.6549435965494354E-2</v>
      </c>
      <c r="O2566" s="735">
        <v>22.332753488972582</v>
      </c>
      <c r="P2566" s="735">
        <f t="shared" si="189"/>
        <v>147.98891688980206</v>
      </c>
      <c r="Q2566" s="849">
        <v>32</v>
      </c>
      <c r="R2566" s="71">
        <v>72043</v>
      </c>
      <c r="S2566" s="845">
        <v>6.5980629539951569E-2</v>
      </c>
      <c r="T2566" s="845">
        <v>2.6000000000000002E-2</v>
      </c>
      <c r="U2566" s="845">
        <v>0</v>
      </c>
      <c r="V2566" s="845">
        <v>0</v>
      </c>
      <c r="W2566" s="845">
        <v>0.17098445595854922</v>
      </c>
      <c r="X2566" s="845">
        <v>0.10909090909090909</v>
      </c>
      <c r="Y2566" s="845">
        <v>0.96338880484114975</v>
      </c>
      <c r="Z2566" s="845">
        <v>1.8154311649016641E-3</v>
      </c>
      <c r="AA2566" s="845">
        <v>3.6308623298033282E-3</v>
      </c>
      <c r="AB2566" s="845">
        <v>0</v>
      </c>
      <c r="AC2566" s="845">
        <v>0</v>
      </c>
      <c r="AD2566" s="845">
        <v>3.9334341906202726E-3</v>
      </c>
      <c r="AE2566" s="845">
        <v>2.7231467473524961E-2</v>
      </c>
      <c r="AF2566" s="845">
        <v>3.9939485627836613E-2</v>
      </c>
      <c r="AG2566" s="845">
        <v>0.95824508320726176</v>
      </c>
      <c r="AH2566" s="20" t="str">
        <f t="shared" si="190"/>
        <v>Yes</v>
      </c>
      <c r="AI2566" s="25"/>
      <c r="AJ2566" s="25"/>
      <c r="AK2566" s="25"/>
      <c r="AL2566" s="25"/>
      <c r="AM2566" s="25"/>
      <c r="AN2566" s="25"/>
      <c r="AO2566" s="25"/>
      <c r="AP2566" s="25"/>
      <c r="AQ2566" s="25"/>
      <c r="AR2566" s="25"/>
      <c r="AS2566" s="25"/>
      <c r="AT2566" s="25"/>
      <c r="AU2566" s="36"/>
      <c r="AV2566" s="36"/>
      <c r="AW2566" s="36"/>
      <c r="AX2566" s="25"/>
      <c r="AY2566" s="25"/>
      <c r="AZ2566" s="25"/>
      <c r="BA2566" s="25"/>
      <c r="BB2566" s="25"/>
      <c r="BC2566" s="25"/>
      <c r="BD2566" s="25"/>
      <c r="BE2566" s="25"/>
      <c r="BF2566" s="25"/>
      <c r="BG2566" s="25"/>
      <c r="BH2566" s="25"/>
      <c r="BI2566" s="25"/>
      <c r="BJ2566" s="25"/>
      <c r="BK2566" s="25"/>
      <c r="BL2566" s="25"/>
      <c r="BM2566" s="25"/>
      <c r="BN2566" s="25"/>
      <c r="BO2566" s="25"/>
      <c r="BP2566" s="25"/>
      <c r="BQ2566" s="25"/>
      <c r="BR2566" s="25"/>
      <c r="BS2566" s="25"/>
      <c r="BT2566" s="25"/>
      <c r="BU2566"/>
      <c r="BV2566"/>
      <c r="BW2566"/>
      <c r="BX2566"/>
      <c r="BY2566"/>
      <c r="BZ2566"/>
      <c r="CA2566"/>
      <c r="CB2566"/>
      <c r="CC2566"/>
      <c r="CD2566" s="25"/>
    </row>
    <row r="2567" spans="1:82" s="17" customFormat="1" x14ac:dyDescent="0.2">
      <c r="A2567" s="25"/>
      <c r="B2567" s="20">
        <v>39145003900</v>
      </c>
      <c r="C2567" s="20">
        <v>39</v>
      </c>
      <c r="D2567" s="20" t="s">
        <v>78</v>
      </c>
      <c r="E2567" s="20" t="s">
        <v>265</v>
      </c>
      <c r="F2567" s="20" t="s">
        <v>6</v>
      </c>
      <c r="G2567" s="861">
        <v>35.527576165900697</v>
      </c>
      <c r="H2567" s="861">
        <v>46.073365304150997</v>
      </c>
      <c r="I2567" s="861">
        <v>49.086367459691097</v>
      </c>
      <c r="J2567" s="861">
        <v>44.552072509116002</v>
      </c>
      <c r="K2567" s="982">
        <v>1</v>
      </c>
      <c r="L2567" s="735">
        <v>2809</v>
      </c>
      <c r="M2567" s="735">
        <v>2857</v>
      </c>
      <c r="N2567" s="845">
        <f t="shared" si="188"/>
        <v>1.7087931648273408E-2</v>
      </c>
      <c r="O2567" s="735">
        <v>8.5839239624926318</v>
      </c>
      <c r="P2567" s="735">
        <f t="shared" si="189"/>
        <v>332.83146641135596</v>
      </c>
      <c r="Q2567" s="849">
        <v>39.700000000000003</v>
      </c>
      <c r="R2567" s="71">
        <v>48048</v>
      </c>
      <c r="S2567" s="845">
        <v>0.14980749037451874</v>
      </c>
      <c r="T2567" s="845">
        <v>2.2000000000000002E-2</v>
      </c>
      <c r="U2567" s="845">
        <v>0</v>
      </c>
      <c r="V2567" s="845">
        <v>0</v>
      </c>
      <c r="W2567" s="845">
        <v>0.26804123711340205</v>
      </c>
      <c r="X2567" s="845">
        <v>0.44082840236686388</v>
      </c>
      <c r="Y2567" s="845">
        <v>0.9625481274063703</v>
      </c>
      <c r="Z2567" s="845">
        <v>0</v>
      </c>
      <c r="AA2567" s="845">
        <v>0</v>
      </c>
      <c r="AB2567" s="845">
        <v>0</v>
      </c>
      <c r="AC2567" s="845">
        <v>0</v>
      </c>
      <c r="AD2567" s="845">
        <v>9.8004900245012242E-3</v>
      </c>
      <c r="AE2567" s="845">
        <v>2.7651382569128455E-2</v>
      </c>
      <c r="AF2567" s="845">
        <v>0</v>
      </c>
      <c r="AG2567" s="845">
        <v>0.9625481274063703</v>
      </c>
      <c r="AH2567" s="20" t="str">
        <f t="shared" si="190"/>
        <v>Yes</v>
      </c>
      <c r="AI2567" s="25"/>
      <c r="AJ2567" s="25"/>
      <c r="AK2567" s="25"/>
      <c r="AL2567" s="25"/>
      <c r="AM2567" s="25"/>
      <c r="AN2567" s="25"/>
      <c r="AO2567" s="25"/>
      <c r="AP2567" s="25"/>
      <c r="AQ2567" s="25"/>
      <c r="AR2567" s="25"/>
      <c r="AS2567" s="25"/>
      <c r="AT2567" s="25"/>
      <c r="AU2567" s="36"/>
      <c r="AV2567" s="36"/>
      <c r="AW2567" s="36"/>
      <c r="AX2567" s="25"/>
      <c r="AY2567" s="25"/>
      <c r="AZ2567" s="25"/>
      <c r="BA2567" s="25"/>
      <c r="BB2567" s="25"/>
      <c r="BC2567" s="25"/>
      <c r="BD2567" s="25"/>
      <c r="BE2567" s="25"/>
      <c r="BF2567" s="25"/>
      <c r="BG2567" s="25"/>
      <c r="BH2567" s="25"/>
      <c r="BI2567" s="25"/>
      <c r="BJ2567" s="25"/>
      <c r="BK2567" s="25"/>
      <c r="BL2567" s="25"/>
      <c r="BM2567" s="25"/>
      <c r="BN2567" s="25"/>
      <c r="BO2567" s="25"/>
      <c r="BP2567" s="25"/>
      <c r="BQ2567" s="25"/>
      <c r="BR2567" s="25"/>
      <c r="BS2567" s="25"/>
      <c r="BT2567" s="25"/>
      <c r="BU2567"/>
      <c r="BV2567"/>
      <c r="BW2567"/>
      <c r="BX2567"/>
      <c r="BY2567"/>
      <c r="BZ2567"/>
      <c r="CA2567"/>
      <c r="CB2567"/>
      <c r="CC2567"/>
      <c r="CD2567" s="25"/>
    </row>
    <row r="2568" spans="1:82" s="17" customFormat="1" x14ac:dyDescent="0.2">
      <c r="A2568" s="25"/>
      <c r="B2568" s="20">
        <v>39099801600</v>
      </c>
      <c r="C2568" s="20">
        <v>8016</v>
      </c>
      <c r="D2568" s="20" t="s">
        <v>55</v>
      </c>
      <c r="E2568" s="20" t="s">
        <v>2842</v>
      </c>
      <c r="F2568" s="20" t="s">
        <v>6</v>
      </c>
      <c r="G2568" s="861">
        <v>35.526761617284102</v>
      </c>
      <c r="H2568" s="861">
        <v>37.827957377986102</v>
      </c>
      <c r="I2568" s="861">
        <v>66.460935350239097</v>
      </c>
      <c r="J2568" s="861">
        <v>35.307655330686401</v>
      </c>
      <c r="K2568" s="982">
        <v>0</v>
      </c>
      <c r="L2568" s="735">
        <v>3151</v>
      </c>
      <c r="M2568" s="735">
        <v>2558</v>
      </c>
      <c r="N2568" s="845">
        <f t="shared" si="188"/>
        <v>-0.18819422405585529</v>
      </c>
      <c r="O2568" s="735">
        <v>0.60071047970949953</v>
      </c>
      <c r="P2568" s="735">
        <f t="shared" si="189"/>
        <v>4258.2909511367861</v>
      </c>
      <c r="Q2568" s="849">
        <v>20.9</v>
      </c>
      <c r="R2568" s="71">
        <v>29120</v>
      </c>
      <c r="S2568" s="845">
        <v>0.48152515723270439</v>
      </c>
      <c r="T2568" s="845">
        <v>0.155</v>
      </c>
      <c r="U2568" s="845">
        <v>0</v>
      </c>
      <c r="V2568" s="845">
        <v>4.0999999999999995E-2</v>
      </c>
      <c r="W2568" s="845">
        <v>0.55462184873949583</v>
      </c>
      <c r="X2568" s="845">
        <v>0.55194805194805197</v>
      </c>
      <c r="Y2568" s="845">
        <v>0.2529319781078968</v>
      </c>
      <c r="Z2568" s="845">
        <v>0.60359655981235338</v>
      </c>
      <c r="AA2568" s="845">
        <v>0</v>
      </c>
      <c r="AB2568" s="845">
        <v>0</v>
      </c>
      <c r="AC2568" s="845">
        <v>0</v>
      </c>
      <c r="AD2568" s="845">
        <v>4.0265832681782646E-2</v>
      </c>
      <c r="AE2568" s="845">
        <v>0.10320562939796717</v>
      </c>
      <c r="AF2568" s="845">
        <v>9.3041438623924944E-2</v>
      </c>
      <c r="AG2568" s="845">
        <v>0.21853010164190775</v>
      </c>
      <c r="AH2568" s="20" t="str">
        <f t="shared" si="190"/>
        <v>No</v>
      </c>
      <c r="AI2568" s="25"/>
      <c r="AJ2568" s="25"/>
      <c r="AK2568" s="25"/>
      <c r="AL2568" s="25"/>
      <c r="AM2568" s="25"/>
      <c r="AN2568" s="25"/>
      <c r="AO2568" s="25"/>
      <c r="AP2568" s="25"/>
      <c r="AQ2568" s="25"/>
      <c r="AR2568" s="25"/>
      <c r="AS2568" s="25"/>
      <c r="AT2568" s="25"/>
      <c r="AU2568" s="36"/>
      <c r="AV2568" s="36"/>
      <c r="AW2568" s="36"/>
      <c r="AX2568" s="25"/>
      <c r="AY2568" s="25"/>
      <c r="AZ2568" s="25"/>
      <c r="BA2568" s="25"/>
      <c r="BB2568" s="25"/>
      <c r="BC2568" s="25"/>
      <c r="BD2568" s="25"/>
      <c r="BE2568" s="25"/>
      <c r="BF2568" s="25"/>
      <c r="BG2568" s="25"/>
      <c r="BH2568" s="25"/>
      <c r="BI2568" s="25"/>
      <c r="BJ2568" s="25"/>
      <c r="BK2568" s="25"/>
      <c r="BL2568" s="25"/>
      <c r="BM2568" s="25"/>
      <c r="BN2568" s="25"/>
      <c r="BO2568" s="25"/>
      <c r="BP2568" s="25"/>
      <c r="BQ2568" s="25"/>
      <c r="BR2568" s="25"/>
      <c r="BS2568" s="25"/>
      <c r="BT2568" s="25"/>
      <c r="BU2568"/>
      <c r="BV2568"/>
      <c r="BW2568"/>
      <c r="BX2568"/>
      <c r="BY2568"/>
      <c r="BZ2568"/>
      <c r="CA2568"/>
      <c r="CB2568"/>
      <c r="CC2568"/>
      <c r="CD2568" s="25"/>
    </row>
    <row r="2569" spans="1:82" s="17" customFormat="1" x14ac:dyDescent="0.2">
      <c r="A2569" s="25"/>
      <c r="B2569" s="20">
        <v>39087050700</v>
      </c>
      <c r="C2569" s="20">
        <v>507</v>
      </c>
      <c r="D2569" s="20" t="s">
        <v>49</v>
      </c>
      <c r="E2569" s="20" t="s">
        <v>2834</v>
      </c>
      <c r="F2569" s="20" t="s">
        <v>8</v>
      </c>
      <c r="G2569" s="861">
        <v>35.522519749320701</v>
      </c>
      <c r="H2569" s="861">
        <v>43.260492159937399</v>
      </c>
      <c r="I2569" s="861">
        <v>29.108284293689799</v>
      </c>
      <c r="J2569" s="861">
        <v>46.219461271642999</v>
      </c>
      <c r="K2569" s="982">
        <v>0</v>
      </c>
      <c r="L2569" s="735">
        <v>3605</v>
      </c>
      <c r="M2569" s="735">
        <v>3545</v>
      </c>
      <c r="N2569" s="845">
        <f t="shared" si="188"/>
        <v>-1.6643550624133148E-2</v>
      </c>
      <c r="O2569" s="735">
        <v>61.71903777581435</v>
      </c>
      <c r="P2569" s="735">
        <f t="shared" si="189"/>
        <v>57.437706868935798</v>
      </c>
      <c r="Q2569" s="849">
        <v>35.200000000000003</v>
      </c>
      <c r="R2569" s="71">
        <v>55219</v>
      </c>
      <c r="S2569" s="845">
        <v>0.1883720930232558</v>
      </c>
      <c r="T2569" s="845">
        <v>5.0999999999999997E-2</v>
      </c>
      <c r="U2569" s="845">
        <v>0</v>
      </c>
      <c r="V2569" s="845">
        <v>0.14800000000000002</v>
      </c>
      <c r="W2569" s="845">
        <v>0.16199095022624435</v>
      </c>
      <c r="X2569" s="845">
        <v>0.37430167597765363</v>
      </c>
      <c r="Y2569" s="845">
        <v>0.99238363892806769</v>
      </c>
      <c r="Z2569" s="845">
        <v>2.5387870239774331E-3</v>
      </c>
      <c r="AA2569" s="845">
        <v>0</v>
      </c>
      <c r="AB2569" s="845">
        <v>0</v>
      </c>
      <c r="AC2569" s="845">
        <v>0</v>
      </c>
      <c r="AD2569" s="845">
        <v>0</v>
      </c>
      <c r="AE2569" s="845">
        <v>5.0775740479548663E-3</v>
      </c>
      <c r="AF2569" s="845">
        <v>5.641748942172073E-4</v>
      </c>
      <c r="AG2569" s="845">
        <v>0.99238363892806769</v>
      </c>
      <c r="AH2569" s="20" t="str">
        <f t="shared" si="190"/>
        <v>Yes</v>
      </c>
      <c r="AI2569" s="25"/>
      <c r="AJ2569" s="25"/>
      <c r="AK2569" s="25"/>
      <c r="AL2569" s="25"/>
      <c r="AM2569" s="25"/>
      <c r="AN2569" s="25"/>
      <c r="AO2569" s="25"/>
      <c r="AP2569" s="25"/>
      <c r="AQ2569" s="25"/>
      <c r="AR2569" s="25"/>
      <c r="AS2569" s="25"/>
      <c r="AT2569" s="25"/>
      <c r="AU2569" s="36"/>
      <c r="AV2569" s="36"/>
      <c r="AW2569" s="36"/>
      <c r="AX2569" s="25"/>
      <c r="AY2569" s="25"/>
      <c r="AZ2569" s="25"/>
      <c r="BA2569" s="25"/>
      <c r="BB2569" s="25"/>
      <c r="BC2569" s="25"/>
      <c r="BD2569" s="25"/>
      <c r="BE2569" s="25"/>
      <c r="BF2569" s="25"/>
      <c r="BG2569" s="25"/>
      <c r="BH2569" s="25"/>
      <c r="BI2569" s="25"/>
      <c r="BJ2569" s="25"/>
      <c r="BK2569" s="25"/>
      <c r="BL2569" s="25"/>
      <c r="BM2569" s="25"/>
      <c r="BN2569" s="25"/>
      <c r="BO2569" s="25"/>
      <c r="BP2569" s="25"/>
      <c r="BQ2569" s="25"/>
      <c r="BR2569" s="25"/>
      <c r="BS2569" s="25"/>
      <c r="BT2569" s="25"/>
      <c r="BU2569"/>
      <c r="BV2569"/>
      <c r="BW2569"/>
      <c r="BX2569"/>
      <c r="BY2569"/>
      <c r="BZ2569"/>
      <c r="CA2569"/>
      <c r="CB2569"/>
      <c r="CC2569"/>
      <c r="CD2569" s="25"/>
    </row>
    <row r="2570" spans="1:82" s="17" customFormat="1" x14ac:dyDescent="0.2">
      <c r="A2570" s="25"/>
      <c r="B2570" s="20">
        <v>39023002902</v>
      </c>
      <c r="C2570" s="20">
        <v>29.02</v>
      </c>
      <c r="D2570" s="20" t="s">
        <v>18</v>
      </c>
      <c r="E2570" s="20" t="s">
        <v>2838</v>
      </c>
      <c r="F2570" s="20" t="s">
        <v>8</v>
      </c>
      <c r="G2570" s="861">
        <v>35.520266822704201</v>
      </c>
      <c r="H2570" s="861">
        <v>40.714381646122497</v>
      </c>
      <c r="I2570" s="861">
        <v>24.739094425628299</v>
      </c>
      <c r="J2570" s="861">
        <v>52.714177254687002</v>
      </c>
      <c r="K2570" s="982">
        <v>0</v>
      </c>
      <c r="L2570" s="735">
        <v>4358</v>
      </c>
      <c r="M2570" s="735">
        <v>4399</v>
      </c>
      <c r="N2570" s="845">
        <f t="shared" si="188"/>
        <v>9.4079853143643876E-3</v>
      </c>
      <c r="O2570" s="735">
        <v>5.7400460421418691</v>
      </c>
      <c r="P2570" s="735">
        <f t="shared" si="189"/>
        <v>766.37015935128898</v>
      </c>
      <c r="Q2570" s="849">
        <v>44.8</v>
      </c>
      <c r="R2570" s="71">
        <v>63306</v>
      </c>
      <c r="S2570" s="845">
        <v>0.17266514806378133</v>
      </c>
      <c r="T2570" s="845">
        <v>3.2000000000000001E-2</v>
      </c>
      <c r="U2570" s="845">
        <v>6.9999999999999993E-3</v>
      </c>
      <c r="V2570" s="845">
        <v>0</v>
      </c>
      <c r="W2570" s="845">
        <v>0.11987041036717062</v>
      </c>
      <c r="X2570" s="845">
        <v>0.36036036036036034</v>
      </c>
      <c r="Y2570" s="845">
        <v>0.9090702432370994</v>
      </c>
      <c r="Z2570" s="845">
        <v>2.2732439190725163E-3</v>
      </c>
      <c r="AA2570" s="845">
        <v>0</v>
      </c>
      <c r="AB2570" s="845">
        <v>4.7738122300522842E-3</v>
      </c>
      <c r="AC2570" s="845">
        <v>0</v>
      </c>
      <c r="AD2570" s="845">
        <v>5.0238690611502615E-2</v>
      </c>
      <c r="AE2570" s="845">
        <v>3.3644010002273246E-2</v>
      </c>
      <c r="AF2570" s="845">
        <v>8.0927483518981588E-2</v>
      </c>
      <c r="AG2570" s="845">
        <v>0.88110934303250743</v>
      </c>
      <c r="AH2570" s="20" t="str">
        <f t="shared" si="190"/>
        <v>No</v>
      </c>
      <c r="AI2570" s="25"/>
      <c r="AJ2570" s="25"/>
      <c r="AK2570" s="25"/>
      <c r="AL2570" s="25"/>
      <c r="AM2570" s="25"/>
      <c r="AN2570" s="25"/>
      <c r="AO2570" s="25"/>
      <c r="AP2570" s="25"/>
      <c r="AQ2570" s="25"/>
      <c r="AR2570" s="25"/>
      <c r="AS2570" s="25"/>
      <c r="AT2570" s="25"/>
      <c r="AU2570" s="36"/>
      <c r="AV2570" s="36"/>
      <c r="AW2570" s="36"/>
      <c r="AX2570" s="25"/>
      <c r="AY2570" s="25"/>
      <c r="AZ2570" s="25"/>
      <c r="BA2570" s="25"/>
      <c r="BB2570" s="25"/>
      <c r="BC2570" s="25"/>
      <c r="BD2570" s="25"/>
      <c r="BE2570" s="25"/>
      <c r="BF2570" s="25"/>
      <c r="BG2570" s="25"/>
      <c r="BH2570" s="25"/>
      <c r="BI2570" s="25"/>
      <c r="BJ2570" s="25"/>
      <c r="BK2570" s="25"/>
      <c r="BL2570" s="25"/>
      <c r="BM2570" s="25"/>
      <c r="BN2570" s="25"/>
      <c r="BO2570" s="25"/>
      <c r="BP2570" s="25"/>
      <c r="BQ2570" s="25"/>
      <c r="BR2570" s="25"/>
      <c r="BS2570" s="25"/>
      <c r="BT2570" s="25"/>
      <c r="BU2570"/>
      <c r="BV2570"/>
      <c r="BW2570"/>
      <c r="BX2570"/>
      <c r="BY2570"/>
      <c r="BZ2570"/>
      <c r="CA2570"/>
      <c r="CB2570"/>
      <c r="CC2570"/>
      <c r="CD2570" s="25"/>
    </row>
    <row r="2571" spans="1:82" s="17" customFormat="1" x14ac:dyDescent="0.2">
      <c r="A2571" s="25"/>
      <c r="B2571" s="20">
        <v>39113002200</v>
      </c>
      <c r="C2571" s="20">
        <v>22</v>
      </c>
      <c r="D2571" s="20" t="s">
        <v>62</v>
      </c>
      <c r="E2571" s="20" t="s">
        <v>2833</v>
      </c>
      <c r="F2571" s="20" t="s">
        <v>6</v>
      </c>
      <c r="G2571" s="861">
        <v>35.473017931233201</v>
      </c>
      <c r="H2571" s="861">
        <v>50.0177300008503</v>
      </c>
      <c r="I2571" s="861">
        <v>65.095261604859999</v>
      </c>
      <c r="J2571" s="861">
        <v>52.872416801595399</v>
      </c>
      <c r="K2571" s="982">
        <v>0</v>
      </c>
      <c r="L2571" s="735">
        <v>3335</v>
      </c>
      <c r="M2571" s="735">
        <v>2667</v>
      </c>
      <c r="N2571" s="845">
        <f t="shared" ref="N2571:N2634" si="191">IF(OR(L2571="",M2571=""),"",(M2571-L2571)/L2571)</f>
        <v>-0.20029985007496251</v>
      </c>
      <c r="O2571" s="735">
        <v>0.45503143255742595</v>
      </c>
      <c r="P2571" s="735">
        <f t="shared" ref="P2571:P2634" si="192">M2571/O2571</f>
        <v>5861.1335595226574</v>
      </c>
      <c r="Q2571" s="849">
        <v>33.700000000000003</v>
      </c>
      <c r="R2571" s="71">
        <v>33261</v>
      </c>
      <c r="S2571" s="845">
        <v>0.33082706766917291</v>
      </c>
      <c r="T2571" s="845">
        <v>2.5000000000000001E-2</v>
      </c>
      <c r="U2571" s="845">
        <v>0</v>
      </c>
      <c r="V2571" s="845">
        <v>0</v>
      </c>
      <c r="W2571" s="845">
        <v>0.58551483420593364</v>
      </c>
      <c r="X2571" s="845">
        <v>0.70044709388971682</v>
      </c>
      <c r="Y2571" s="845">
        <v>0.66291713535808028</v>
      </c>
      <c r="Z2571" s="845">
        <v>0.20547431571053618</v>
      </c>
      <c r="AA2571" s="845">
        <v>0</v>
      </c>
      <c r="AB2571" s="845">
        <v>0</v>
      </c>
      <c r="AC2571" s="845">
        <v>0</v>
      </c>
      <c r="AD2571" s="845">
        <v>2.1372328458942633E-2</v>
      </c>
      <c r="AE2571" s="845">
        <v>0.11023622047244094</v>
      </c>
      <c r="AF2571" s="845">
        <v>5.8492688413948259E-2</v>
      </c>
      <c r="AG2571" s="845">
        <v>0.66291713535808028</v>
      </c>
      <c r="AH2571" s="20" t="str">
        <f t="shared" ref="AH2571:AH2634" si="193">IF(AG2571&gt;=0.9,"Yes","No")</f>
        <v>No</v>
      </c>
      <c r="AI2571" s="25"/>
      <c r="AJ2571" s="25"/>
      <c r="AK2571" s="25"/>
      <c r="AL2571" s="25"/>
      <c r="AM2571" s="25"/>
      <c r="AN2571" s="25"/>
      <c r="AO2571" s="25"/>
      <c r="AP2571" s="25"/>
      <c r="AQ2571" s="25"/>
      <c r="AR2571" s="25"/>
      <c r="AS2571" s="25"/>
      <c r="AT2571" s="25"/>
      <c r="AU2571" s="36"/>
      <c r="AV2571" s="36"/>
      <c r="AW2571" s="36"/>
      <c r="AX2571" s="25"/>
      <c r="AY2571" s="25"/>
      <c r="AZ2571" s="25"/>
      <c r="BA2571" s="25"/>
      <c r="BB2571" s="25"/>
      <c r="BC2571" s="25"/>
      <c r="BD2571" s="25"/>
      <c r="BE2571" s="25"/>
      <c r="BF2571" s="25"/>
      <c r="BG2571" s="25"/>
      <c r="BH2571" s="25"/>
      <c r="BI2571" s="25"/>
      <c r="BJ2571" s="25"/>
      <c r="BK2571" s="25"/>
      <c r="BL2571" s="25"/>
      <c r="BM2571" s="25"/>
      <c r="BN2571" s="25"/>
      <c r="BO2571" s="25"/>
      <c r="BP2571" s="25"/>
      <c r="BQ2571" s="25"/>
      <c r="BR2571" s="25"/>
      <c r="BS2571" s="25"/>
      <c r="BT2571" s="25"/>
      <c r="BU2571"/>
      <c r="BV2571"/>
      <c r="BW2571"/>
      <c r="BX2571"/>
      <c r="BY2571"/>
      <c r="BZ2571"/>
      <c r="CA2571"/>
      <c r="CB2571"/>
      <c r="CC2571"/>
      <c r="CD2571" s="25"/>
    </row>
    <row r="2572" spans="1:82" s="17" customFormat="1" x14ac:dyDescent="0.2">
      <c r="A2572" s="25"/>
      <c r="B2572" s="20">
        <v>39061008601</v>
      </c>
      <c r="C2572" s="20">
        <v>86.01</v>
      </c>
      <c r="D2572" s="20" t="s">
        <v>37</v>
      </c>
      <c r="E2572" s="20" t="s">
        <v>2828</v>
      </c>
      <c r="F2572" s="20" t="s">
        <v>6</v>
      </c>
      <c r="G2572" s="861">
        <v>35.383104204041899</v>
      </c>
      <c r="H2572" s="861">
        <v>45.213675513123398</v>
      </c>
      <c r="I2572" s="861">
        <v>67.095527491876396</v>
      </c>
      <c r="J2572" s="861">
        <v>50.2666834730096</v>
      </c>
      <c r="K2572" s="982">
        <v>1</v>
      </c>
      <c r="L2572" s="735">
        <v>2545</v>
      </c>
      <c r="M2572" s="735">
        <v>2187</v>
      </c>
      <c r="N2572" s="845">
        <f t="shared" si="191"/>
        <v>-0.14066797642436149</v>
      </c>
      <c r="O2572" s="735">
        <v>1.0253444754230938</v>
      </c>
      <c r="P2572" s="735">
        <f t="shared" si="192"/>
        <v>2132.9417112210658</v>
      </c>
      <c r="Q2572" s="849">
        <v>35.5</v>
      </c>
      <c r="R2572" s="71">
        <v>30482</v>
      </c>
      <c r="S2572" s="845">
        <v>0.27226813590449955</v>
      </c>
      <c r="T2572" s="845">
        <v>0.33</v>
      </c>
      <c r="U2572" s="845">
        <v>6.3E-2</v>
      </c>
      <c r="V2572" s="845">
        <v>1.8000000000000002E-2</v>
      </c>
      <c r="W2572" s="845">
        <v>0.59121951219512192</v>
      </c>
      <c r="X2572" s="845">
        <v>0.35148514851485146</v>
      </c>
      <c r="Y2572" s="845">
        <v>0.1678097850937357</v>
      </c>
      <c r="Z2572" s="845">
        <v>0.62962962962962965</v>
      </c>
      <c r="AA2572" s="845">
        <v>0</v>
      </c>
      <c r="AB2572" s="845">
        <v>0</v>
      </c>
      <c r="AC2572" s="845">
        <v>0</v>
      </c>
      <c r="AD2572" s="845">
        <v>4.5724737082761773E-4</v>
      </c>
      <c r="AE2572" s="845">
        <v>0.20210333790580703</v>
      </c>
      <c r="AF2572" s="845">
        <v>4.9382716049382713E-2</v>
      </c>
      <c r="AG2572" s="845">
        <v>0.1678097850937357</v>
      </c>
      <c r="AH2572" s="20" t="str">
        <f t="shared" si="193"/>
        <v>No</v>
      </c>
      <c r="AI2572" s="25"/>
      <c r="AJ2572" s="25"/>
      <c r="AK2572" s="25"/>
      <c r="AL2572" s="25"/>
      <c r="AM2572" s="25"/>
      <c r="AN2572" s="25"/>
      <c r="AO2572" s="25"/>
      <c r="AP2572" s="25"/>
      <c r="AQ2572" s="25"/>
      <c r="AR2572" s="25"/>
      <c r="AS2572" s="25"/>
      <c r="AT2572" s="25"/>
      <c r="AU2572" s="36"/>
      <c r="AV2572" s="36"/>
      <c r="AW2572" s="36"/>
      <c r="AX2572" s="25"/>
      <c r="AY2572" s="25"/>
      <c r="AZ2572" s="25"/>
      <c r="BA2572" s="25"/>
      <c r="BB2572" s="25"/>
      <c r="BC2572" s="25"/>
      <c r="BD2572" s="25"/>
      <c r="BE2572" s="25"/>
      <c r="BF2572" s="25"/>
      <c r="BG2572" s="25"/>
      <c r="BH2572" s="25"/>
      <c r="BI2572" s="25"/>
      <c r="BJ2572" s="25"/>
      <c r="BK2572" s="25"/>
      <c r="BL2572" s="25"/>
      <c r="BM2572" s="25"/>
      <c r="BN2572" s="25"/>
      <c r="BO2572" s="25"/>
      <c r="BP2572" s="25"/>
      <c r="BQ2572" s="25"/>
      <c r="BR2572" s="25"/>
      <c r="BS2572" s="25"/>
      <c r="BT2572" s="25"/>
      <c r="BU2572"/>
      <c r="BV2572"/>
      <c r="BW2572"/>
      <c r="BX2572"/>
      <c r="BY2572"/>
      <c r="BZ2572"/>
      <c r="CA2572"/>
      <c r="CB2572"/>
      <c r="CC2572"/>
      <c r="CD2572" s="25"/>
    </row>
    <row r="2573" spans="1:82" s="17" customFormat="1" x14ac:dyDescent="0.2">
      <c r="A2573" s="25"/>
      <c r="B2573" s="20">
        <v>39035117300</v>
      </c>
      <c r="C2573" s="20">
        <v>1173</v>
      </c>
      <c r="D2573" s="20" t="s">
        <v>24</v>
      </c>
      <c r="E2573" s="20" t="s">
        <v>2829</v>
      </c>
      <c r="F2573" s="20" t="s">
        <v>6</v>
      </c>
      <c r="G2573" s="861">
        <v>35.377159528445603</v>
      </c>
      <c r="H2573" s="861">
        <v>26.055322015311798</v>
      </c>
      <c r="I2573" s="861">
        <v>86.336293757850797</v>
      </c>
      <c r="J2573" s="861">
        <v>35.069851453719302</v>
      </c>
      <c r="K2573" s="982">
        <v>0</v>
      </c>
      <c r="L2573" s="735">
        <v>2514</v>
      </c>
      <c r="M2573" s="735">
        <v>2015</v>
      </c>
      <c r="N2573" s="845">
        <f t="shared" si="191"/>
        <v>-0.19848846459824981</v>
      </c>
      <c r="O2573" s="735">
        <v>0.53947429125456492</v>
      </c>
      <c r="P2573" s="735">
        <f t="shared" si="192"/>
        <v>3735.1177482694352</v>
      </c>
      <c r="Q2573" s="849">
        <v>30.3</v>
      </c>
      <c r="R2573" s="71">
        <v>25709</v>
      </c>
      <c r="S2573" s="845">
        <v>0.47491130258489611</v>
      </c>
      <c r="T2573" s="845">
        <v>0.126</v>
      </c>
      <c r="U2573" s="845">
        <v>0</v>
      </c>
      <c r="V2573" s="845">
        <v>9.6000000000000002E-2</v>
      </c>
      <c r="W2573" s="845">
        <v>0.60700876095118894</v>
      </c>
      <c r="X2573" s="845">
        <v>0.82680412371134016</v>
      </c>
      <c r="Y2573" s="845">
        <v>6.1042183622828781E-2</v>
      </c>
      <c r="Z2573" s="845">
        <v>0.90074441687344908</v>
      </c>
      <c r="AA2573" s="845">
        <v>0</v>
      </c>
      <c r="AB2573" s="845">
        <v>0</v>
      </c>
      <c r="AC2573" s="845">
        <v>0</v>
      </c>
      <c r="AD2573" s="845">
        <v>8.9330024813895782E-3</v>
      </c>
      <c r="AE2573" s="845">
        <v>2.9280397022332507E-2</v>
      </c>
      <c r="AF2573" s="845">
        <v>2.3821339950372208E-2</v>
      </c>
      <c r="AG2573" s="845">
        <v>6.1042183622828781E-2</v>
      </c>
      <c r="AH2573" s="20" t="str">
        <f t="shared" si="193"/>
        <v>No</v>
      </c>
      <c r="AI2573" s="25"/>
      <c r="AJ2573" s="25"/>
      <c r="AK2573" s="25"/>
      <c r="AL2573" s="25"/>
      <c r="AM2573" s="25"/>
      <c r="AN2573" s="25"/>
      <c r="AO2573" s="25"/>
      <c r="AP2573" s="25"/>
      <c r="AQ2573" s="25"/>
      <c r="AR2573" s="25"/>
      <c r="AS2573" s="25"/>
      <c r="AT2573" s="25"/>
      <c r="AU2573" s="36"/>
      <c r="AV2573" s="36"/>
      <c r="AW2573" s="36"/>
      <c r="AX2573" s="25"/>
      <c r="AY2573" s="25"/>
      <c r="AZ2573" s="25"/>
      <c r="BA2573" s="25"/>
      <c r="BB2573" s="25"/>
      <c r="BC2573" s="25"/>
      <c r="BD2573" s="25"/>
      <c r="BE2573" s="25"/>
      <c r="BF2573" s="25"/>
      <c r="BG2573" s="25"/>
      <c r="BH2573" s="25"/>
      <c r="BI2573" s="25"/>
      <c r="BJ2573" s="25"/>
      <c r="BK2573" s="25"/>
      <c r="BL2573" s="25"/>
      <c r="BM2573" s="25"/>
      <c r="BN2573" s="25"/>
      <c r="BO2573" s="25"/>
      <c r="BP2573" s="25"/>
      <c r="BQ2573" s="25"/>
      <c r="BR2573" s="25"/>
      <c r="BS2573" s="25"/>
      <c r="BT2573" s="25"/>
      <c r="BU2573"/>
      <c r="BV2573"/>
      <c r="BW2573"/>
      <c r="BX2573"/>
      <c r="BY2573"/>
      <c r="BZ2573"/>
      <c r="CA2573"/>
      <c r="CB2573"/>
      <c r="CC2573"/>
      <c r="CD2573" s="25"/>
    </row>
    <row r="2574" spans="1:82" s="17" customFormat="1" x14ac:dyDescent="0.2">
      <c r="A2574" s="25"/>
      <c r="B2574" s="20">
        <v>39025040206</v>
      </c>
      <c r="C2574" s="20">
        <v>402.06</v>
      </c>
      <c r="D2574" s="20" t="s">
        <v>19</v>
      </c>
      <c r="E2574" s="20" t="s">
        <v>2828</v>
      </c>
      <c r="F2574" s="20" t="s">
        <v>8</v>
      </c>
      <c r="G2574" s="861">
        <v>35.315951732901503</v>
      </c>
      <c r="H2574" s="861">
        <v>47.528553534253497</v>
      </c>
      <c r="I2574" s="861">
        <v>22.375124069942</v>
      </c>
      <c r="J2574" s="861">
        <v>62.361313692927503</v>
      </c>
      <c r="K2574" s="982">
        <v>0</v>
      </c>
      <c r="L2574" s="735" t="s">
        <v>2466</v>
      </c>
      <c r="M2574" s="735">
        <v>4694</v>
      </c>
      <c r="N2574" s="845" t="str">
        <f t="shared" si="191"/>
        <v/>
      </c>
      <c r="O2574" s="735">
        <v>9.0974599107329492</v>
      </c>
      <c r="P2574" s="735">
        <f t="shared" si="192"/>
        <v>515.96819838273098</v>
      </c>
      <c r="Q2574" s="849">
        <v>33.700000000000003</v>
      </c>
      <c r="R2574" s="71">
        <v>96133</v>
      </c>
      <c r="S2574" s="845">
        <v>0.12362932702644593</v>
      </c>
      <c r="T2574" s="845">
        <v>3.2000000000000001E-2</v>
      </c>
      <c r="U2574" s="845">
        <v>0</v>
      </c>
      <c r="V2574" s="845">
        <v>0.10099999999999999</v>
      </c>
      <c r="W2574" s="845">
        <v>0.23911710606989578</v>
      </c>
      <c r="X2574" s="845">
        <v>0.43333333333333335</v>
      </c>
      <c r="Y2574" s="845">
        <v>0.9326800170430336</v>
      </c>
      <c r="Z2574" s="845">
        <v>2.9825308904985089E-3</v>
      </c>
      <c r="AA2574" s="845">
        <v>0</v>
      </c>
      <c r="AB2574" s="845">
        <v>7.4563272262462722E-3</v>
      </c>
      <c r="AC2574" s="845">
        <v>0</v>
      </c>
      <c r="AD2574" s="845">
        <v>0</v>
      </c>
      <c r="AE2574" s="845">
        <v>5.6881124840221557E-2</v>
      </c>
      <c r="AF2574" s="845">
        <v>1.8747337025990626E-2</v>
      </c>
      <c r="AG2574" s="845">
        <v>0.9326800170430336</v>
      </c>
      <c r="AH2574" s="20" t="str">
        <f t="shared" si="193"/>
        <v>Yes</v>
      </c>
      <c r="AI2574" s="25"/>
      <c r="AJ2574" s="25"/>
      <c r="AK2574" s="25"/>
      <c r="AL2574" s="25"/>
      <c r="AM2574" s="25"/>
      <c r="AN2574" s="25"/>
      <c r="AO2574" s="25"/>
      <c r="AP2574" s="25"/>
      <c r="AQ2574" s="25"/>
      <c r="AR2574" s="25"/>
      <c r="AS2574" s="25"/>
      <c r="AT2574" s="25"/>
      <c r="AU2574" s="36"/>
      <c r="AV2574" s="36"/>
      <c r="AW2574" s="36"/>
      <c r="AX2574" s="25"/>
      <c r="AY2574" s="25"/>
      <c r="AZ2574" s="25"/>
      <c r="BA2574" s="25"/>
      <c r="BB2574" s="25"/>
      <c r="BC2574" s="25"/>
      <c r="BD2574" s="25"/>
      <c r="BE2574" s="25"/>
      <c r="BF2574" s="25"/>
      <c r="BG2574" s="25"/>
      <c r="BH2574" s="25"/>
      <c r="BI2574" s="25"/>
      <c r="BJ2574" s="25"/>
      <c r="BK2574" s="25"/>
      <c r="BL2574" s="25"/>
      <c r="BM2574" s="25"/>
      <c r="BN2574" s="25"/>
      <c r="BO2574" s="25"/>
      <c r="BP2574" s="25"/>
      <c r="BQ2574" s="25"/>
      <c r="BR2574" s="25"/>
      <c r="BS2574" s="25"/>
      <c r="BT2574" s="25"/>
      <c r="BU2574"/>
      <c r="BV2574"/>
      <c r="BW2574"/>
      <c r="BX2574"/>
      <c r="BY2574"/>
      <c r="BZ2574"/>
      <c r="CA2574"/>
      <c r="CB2574"/>
      <c r="CC2574"/>
      <c r="CD2574" s="25"/>
    </row>
    <row r="2575" spans="1:82" s="17" customFormat="1" x14ac:dyDescent="0.2">
      <c r="A2575" s="25"/>
      <c r="B2575" s="20">
        <v>39157022001</v>
      </c>
      <c r="C2575" s="20">
        <v>220.01</v>
      </c>
      <c r="D2575" s="20" t="s">
        <v>84</v>
      </c>
      <c r="E2575" s="20" t="s">
        <v>265</v>
      </c>
      <c r="F2575" s="20" t="s">
        <v>8</v>
      </c>
      <c r="G2575" s="861">
        <v>35.290606886917203</v>
      </c>
      <c r="H2575" s="861">
        <v>43.934244729174402</v>
      </c>
      <c r="I2575" s="861">
        <v>53.003484259306802</v>
      </c>
      <c r="J2575" s="861">
        <v>33.8688979030239</v>
      </c>
      <c r="K2575" s="982">
        <v>0</v>
      </c>
      <c r="L2575" s="735">
        <v>3569</v>
      </c>
      <c r="M2575" s="735">
        <v>3166</v>
      </c>
      <c r="N2575" s="845">
        <f t="shared" si="191"/>
        <v>-0.11291678341272066</v>
      </c>
      <c r="O2575" s="735">
        <v>4.9117221623075329</v>
      </c>
      <c r="P2575" s="735">
        <f t="shared" si="192"/>
        <v>644.58043337545166</v>
      </c>
      <c r="Q2575" s="849">
        <v>41.2</v>
      </c>
      <c r="R2575" s="71">
        <v>49899</v>
      </c>
      <c r="S2575" s="845">
        <v>0.15230719586963537</v>
      </c>
      <c r="T2575" s="845">
        <v>8.4000000000000005E-2</v>
      </c>
      <c r="U2575" s="845">
        <v>0</v>
      </c>
      <c r="V2575" s="845">
        <v>6.9999999999999993E-3</v>
      </c>
      <c r="W2575" s="845">
        <v>0.42120765832106039</v>
      </c>
      <c r="X2575" s="845">
        <v>0.40734265734265734</v>
      </c>
      <c r="Y2575" s="845">
        <v>0.95546430827542639</v>
      </c>
      <c r="Z2575" s="845">
        <v>9.7915350600126343E-3</v>
      </c>
      <c r="AA2575" s="845">
        <v>0</v>
      </c>
      <c r="AB2575" s="845">
        <v>8.2122552116234999E-3</v>
      </c>
      <c r="AC2575" s="845">
        <v>0</v>
      </c>
      <c r="AD2575" s="845">
        <v>1.2634238787113077E-2</v>
      </c>
      <c r="AE2575" s="845">
        <v>1.3897662665824383E-2</v>
      </c>
      <c r="AF2575" s="845">
        <v>1.2634238787113077E-2</v>
      </c>
      <c r="AG2575" s="845">
        <v>0.95546430827542639</v>
      </c>
      <c r="AH2575" s="20" t="str">
        <f t="shared" si="193"/>
        <v>Yes</v>
      </c>
      <c r="AI2575" s="25"/>
      <c r="AJ2575" s="25"/>
      <c r="AK2575" s="25"/>
      <c r="AL2575" s="25"/>
      <c r="AM2575" s="25"/>
      <c r="AN2575" s="25"/>
      <c r="AO2575" s="25"/>
      <c r="AP2575" s="25"/>
      <c r="AQ2575" s="25"/>
      <c r="AR2575" s="25"/>
      <c r="AS2575" s="25"/>
      <c r="AT2575" s="25"/>
      <c r="AU2575" s="36"/>
      <c r="AV2575" s="36"/>
      <c r="AW2575" s="36"/>
      <c r="AX2575" s="25"/>
      <c r="AY2575" s="25"/>
      <c r="AZ2575" s="25"/>
      <c r="BA2575" s="25"/>
      <c r="BB2575" s="25"/>
      <c r="BC2575" s="25"/>
      <c r="BD2575" s="25"/>
      <c r="BE2575" s="25"/>
      <c r="BF2575" s="25"/>
      <c r="BG2575" s="25"/>
      <c r="BH2575" s="25"/>
      <c r="BI2575" s="25"/>
      <c r="BJ2575" s="25"/>
      <c r="BK2575" s="25"/>
      <c r="BL2575" s="25"/>
      <c r="BM2575" s="25"/>
      <c r="BN2575" s="25"/>
      <c r="BO2575" s="25"/>
      <c r="BP2575" s="25"/>
      <c r="BQ2575" s="25"/>
      <c r="BR2575" s="25"/>
      <c r="BS2575" s="25"/>
      <c r="BT2575" s="25"/>
      <c r="BU2575"/>
      <c r="BV2575"/>
      <c r="BW2575"/>
      <c r="BX2575"/>
      <c r="BY2575"/>
      <c r="BZ2575"/>
      <c r="CA2575"/>
      <c r="CB2575"/>
      <c r="CC2575"/>
      <c r="CD2575" s="25"/>
    </row>
    <row r="2576" spans="1:82" s="17" customFormat="1" x14ac:dyDescent="0.2">
      <c r="A2576" s="25"/>
      <c r="B2576" s="20">
        <v>39035117700</v>
      </c>
      <c r="C2576" s="20">
        <v>1177</v>
      </c>
      <c r="D2576" s="20" t="s">
        <v>24</v>
      </c>
      <c r="E2576" s="20" t="s">
        <v>2829</v>
      </c>
      <c r="F2576" s="20" t="s">
        <v>8</v>
      </c>
      <c r="G2576" s="861">
        <v>35.288056624682497</v>
      </c>
      <c r="H2576" s="861">
        <v>48.312386303972502</v>
      </c>
      <c r="I2576" s="861">
        <v>56.887510998911203</v>
      </c>
      <c r="J2576" s="861">
        <v>63.048252345652998</v>
      </c>
      <c r="K2576" s="982">
        <v>0</v>
      </c>
      <c r="L2576" s="735">
        <v>4795</v>
      </c>
      <c r="M2576" s="735">
        <v>4851</v>
      </c>
      <c r="N2576" s="845">
        <f t="shared" si="191"/>
        <v>1.167883211678832E-2</v>
      </c>
      <c r="O2576" s="735">
        <v>0.72683229422238549</v>
      </c>
      <c r="P2576" s="735">
        <f t="shared" si="192"/>
        <v>6674.1668450353172</v>
      </c>
      <c r="Q2576" s="849">
        <v>49.1</v>
      </c>
      <c r="R2576" s="71">
        <v>36409</v>
      </c>
      <c r="S2576" s="845">
        <v>0.20659387711410832</v>
      </c>
      <c r="T2576" s="845">
        <v>1.6E-2</v>
      </c>
      <c r="U2576" s="845">
        <v>0</v>
      </c>
      <c r="V2576" s="845">
        <v>4.9000000000000002E-2</v>
      </c>
      <c r="W2576" s="845">
        <v>0.44400317712470216</v>
      </c>
      <c r="X2576" s="845">
        <v>0.65742397137745978</v>
      </c>
      <c r="Y2576" s="845">
        <v>0.52690166975881259</v>
      </c>
      <c r="Z2576" s="845">
        <v>0.43661100803957947</v>
      </c>
      <c r="AA2576" s="845">
        <v>0</v>
      </c>
      <c r="AB2576" s="845">
        <v>0</v>
      </c>
      <c r="AC2576" s="845">
        <v>0</v>
      </c>
      <c r="AD2576" s="845">
        <v>1.1544011544011544E-2</v>
      </c>
      <c r="AE2576" s="845">
        <v>2.4943310657596373E-2</v>
      </c>
      <c r="AF2576" s="845">
        <v>2.1232735518449803E-2</v>
      </c>
      <c r="AG2576" s="845">
        <v>0.5130900845186559</v>
      </c>
      <c r="AH2576" s="20" t="str">
        <f t="shared" si="193"/>
        <v>No</v>
      </c>
      <c r="AI2576" s="25"/>
      <c r="AJ2576" s="25"/>
      <c r="AK2576" s="25"/>
      <c r="AL2576" s="25"/>
      <c r="AM2576" s="25"/>
      <c r="AN2576" s="25"/>
      <c r="AO2576" s="25"/>
      <c r="AP2576" s="25"/>
      <c r="AQ2576" s="25"/>
      <c r="AR2576" s="25"/>
      <c r="AS2576" s="25"/>
      <c r="AT2576" s="25"/>
      <c r="AU2576" s="36"/>
      <c r="AV2576" s="36"/>
      <c r="AW2576" s="36"/>
      <c r="AX2576" s="25"/>
      <c r="AY2576" s="25"/>
      <c r="AZ2576" s="25"/>
      <c r="BA2576" s="25"/>
      <c r="BB2576" s="25"/>
      <c r="BC2576" s="25"/>
      <c r="BD2576" s="25"/>
      <c r="BE2576" s="25"/>
      <c r="BF2576" s="25"/>
      <c r="BG2576" s="25"/>
      <c r="BH2576" s="25"/>
      <c r="BI2576" s="25"/>
      <c r="BJ2576" s="25"/>
      <c r="BK2576" s="25"/>
      <c r="BL2576" s="25"/>
      <c r="BM2576" s="25"/>
      <c r="BN2576" s="25"/>
      <c r="BO2576" s="25"/>
      <c r="BP2576" s="25"/>
      <c r="BQ2576" s="25"/>
      <c r="BR2576" s="25"/>
      <c r="BS2576" s="25"/>
      <c r="BT2576" s="25"/>
      <c r="BU2576"/>
      <c r="BV2576"/>
      <c r="BW2576"/>
      <c r="BX2576"/>
      <c r="BY2576"/>
      <c r="BZ2576"/>
      <c r="CA2576"/>
      <c r="CB2576"/>
      <c r="CC2576"/>
      <c r="CD2576" s="25"/>
    </row>
    <row r="2577" spans="1:82" s="17" customFormat="1" x14ac:dyDescent="0.2">
      <c r="A2577" s="25"/>
      <c r="B2577" s="20">
        <v>39035105700</v>
      </c>
      <c r="C2577" s="20">
        <v>1057</v>
      </c>
      <c r="D2577" s="20" t="s">
        <v>24</v>
      </c>
      <c r="E2577" s="20" t="s">
        <v>2829</v>
      </c>
      <c r="F2577" s="20" t="s">
        <v>6</v>
      </c>
      <c r="G2577" s="861">
        <v>35.287049979421397</v>
      </c>
      <c r="H2577" s="861">
        <v>32.437054622908498</v>
      </c>
      <c r="I2577" s="861">
        <v>40.464149438904897</v>
      </c>
      <c r="J2577" s="861">
        <v>48.493727600918703</v>
      </c>
      <c r="K2577" s="982">
        <v>0</v>
      </c>
      <c r="L2577" s="735">
        <v>4272</v>
      </c>
      <c r="M2577" s="735">
        <v>3763</v>
      </c>
      <c r="N2577" s="845">
        <f t="shared" si="191"/>
        <v>-0.11914794007490637</v>
      </c>
      <c r="O2577" s="735">
        <v>0.62676272286053081</v>
      </c>
      <c r="P2577" s="735">
        <f t="shared" si="192"/>
        <v>6003.866954348774</v>
      </c>
      <c r="Q2577" s="849">
        <v>39.5</v>
      </c>
      <c r="R2577" s="71">
        <v>36120</v>
      </c>
      <c r="S2577" s="845">
        <v>0.2035609885729471</v>
      </c>
      <c r="T2577" s="845">
        <v>0.152</v>
      </c>
      <c r="U2577" s="845">
        <v>0</v>
      </c>
      <c r="V2577" s="845">
        <v>6.5000000000000002E-2</v>
      </c>
      <c r="W2577" s="845">
        <v>0.66557069046500705</v>
      </c>
      <c r="X2577" s="845">
        <v>0.2985179957657022</v>
      </c>
      <c r="Y2577" s="845">
        <v>0.51182567100717513</v>
      </c>
      <c r="Z2577" s="845">
        <v>0.2423598192931172</v>
      </c>
      <c r="AA2577" s="845">
        <v>0</v>
      </c>
      <c r="AB2577" s="845">
        <v>0</v>
      </c>
      <c r="AC2577" s="845">
        <v>0</v>
      </c>
      <c r="AD2577" s="845">
        <v>0.1254318363008238</v>
      </c>
      <c r="AE2577" s="845">
        <v>0.12038267339888387</v>
      </c>
      <c r="AF2577" s="845">
        <v>0.22614934892373106</v>
      </c>
      <c r="AG2577" s="845">
        <v>0.47036938612808932</v>
      </c>
      <c r="AH2577" s="20" t="str">
        <f t="shared" si="193"/>
        <v>No</v>
      </c>
      <c r="AI2577" s="25"/>
      <c r="AJ2577" s="25"/>
      <c r="AK2577" s="25"/>
      <c r="AL2577" s="25"/>
      <c r="AM2577" s="25"/>
      <c r="AN2577" s="25"/>
      <c r="AO2577" s="25"/>
      <c r="AP2577" s="25"/>
      <c r="AQ2577" s="25"/>
      <c r="AR2577" s="25"/>
      <c r="AS2577" s="25"/>
      <c r="AT2577" s="25"/>
      <c r="AU2577" s="36"/>
      <c r="AV2577" s="36"/>
      <c r="AW2577" s="36"/>
      <c r="AX2577" s="25"/>
      <c r="AY2577" s="25"/>
      <c r="AZ2577" s="25"/>
      <c r="BA2577" s="25"/>
      <c r="BB2577" s="25"/>
      <c r="BC2577" s="25"/>
      <c r="BD2577" s="25"/>
      <c r="BE2577" s="25"/>
      <c r="BF2577" s="25"/>
      <c r="BG2577" s="25"/>
      <c r="BH2577" s="25"/>
      <c r="BI2577" s="25"/>
      <c r="BJ2577" s="25"/>
      <c r="BK2577" s="25"/>
      <c r="BL2577" s="25"/>
      <c r="BM2577" s="25"/>
      <c r="BN2577" s="25"/>
      <c r="BO2577" s="25"/>
      <c r="BP2577" s="25"/>
      <c r="BQ2577" s="25"/>
      <c r="BR2577" s="25"/>
      <c r="BS2577" s="25"/>
      <c r="BT2577" s="25"/>
      <c r="BU2577"/>
      <c r="BV2577"/>
      <c r="BW2577"/>
      <c r="BX2577"/>
      <c r="BY2577"/>
      <c r="BZ2577"/>
      <c r="CA2577"/>
      <c r="CB2577"/>
      <c r="CC2577"/>
      <c r="CD2577" s="25"/>
    </row>
    <row r="2578" spans="1:82" s="17" customFormat="1" x14ac:dyDescent="0.2">
      <c r="A2578" s="25"/>
      <c r="B2578" s="20">
        <v>39153509000</v>
      </c>
      <c r="C2578" s="20">
        <v>5090</v>
      </c>
      <c r="D2578" s="20" t="s">
        <v>82</v>
      </c>
      <c r="E2578" s="20" t="s">
        <v>2843</v>
      </c>
      <c r="F2578" s="20" t="s">
        <v>6</v>
      </c>
      <c r="G2578" s="861">
        <v>35.284562615718698</v>
      </c>
      <c r="H2578" s="861">
        <v>29.9473520005245</v>
      </c>
      <c r="I2578" s="861">
        <v>88.296658539212103</v>
      </c>
      <c r="J2578" s="861">
        <v>71.414193898887305</v>
      </c>
      <c r="K2578" s="982">
        <v>0</v>
      </c>
      <c r="L2578" s="735">
        <v>1752</v>
      </c>
      <c r="M2578" s="735">
        <v>1385</v>
      </c>
      <c r="N2578" s="845">
        <f t="shared" si="191"/>
        <v>-0.20947488584474885</v>
      </c>
      <c r="O2578" s="735">
        <v>0.24444397932004408</v>
      </c>
      <c r="P2578" s="735">
        <f t="shared" si="192"/>
        <v>5665.9198719173846</v>
      </c>
      <c r="Q2578" s="849">
        <v>25.6</v>
      </c>
      <c r="R2578" s="71">
        <v>35603</v>
      </c>
      <c r="S2578" s="845">
        <v>0.38596491228070173</v>
      </c>
      <c r="T2578" s="845">
        <v>7.2000000000000008E-2</v>
      </c>
      <c r="U2578" s="845">
        <v>0</v>
      </c>
      <c r="V2578" s="845">
        <v>7.0000000000000007E-2</v>
      </c>
      <c r="W2578" s="845">
        <v>0.80840336134453783</v>
      </c>
      <c r="X2578" s="845">
        <v>0.62785862785862789</v>
      </c>
      <c r="Y2578" s="845">
        <v>0.52996389891696749</v>
      </c>
      <c r="Z2578" s="845">
        <v>0.37617328519855597</v>
      </c>
      <c r="AA2578" s="845">
        <v>0</v>
      </c>
      <c r="AB2578" s="845">
        <v>0</v>
      </c>
      <c r="AC2578" s="845">
        <v>0</v>
      </c>
      <c r="AD2578" s="845">
        <v>1.3718411552346571E-2</v>
      </c>
      <c r="AE2578" s="845">
        <v>8.0144404332129965E-2</v>
      </c>
      <c r="AF2578" s="845">
        <v>2.7436823104693142E-2</v>
      </c>
      <c r="AG2578" s="845">
        <v>0.52996389891696749</v>
      </c>
      <c r="AH2578" s="20" t="str">
        <f t="shared" si="193"/>
        <v>No</v>
      </c>
      <c r="AI2578" s="25"/>
      <c r="AJ2578" s="25"/>
      <c r="AK2578" s="25"/>
      <c r="AL2578" s="25"/>
      <c r="AM2578" s="25"/>
      <c r="AN2578" s="25"/>
      <c r="AO2578" s="25"/>
      <c r="AP2578" s="25"/>
      <c r="AQ2578" s="25"/>
      <c r="AR2578" s="25"/>
      <c r="AS2578" s="25"/>
      <c r="AT2578" s="25"/>
      <c r="AU2578" s="36"/>
      <c r="AV2578" s="36"/>
      <c r="AW2578" s="36"/>
      <c r="AX2578" s="25"/>
      <c r="AY2578" s="25"/>
      <c r="AZ2578" s="25"/>
      <c r="BA2578" s="25"/>
      <c r="BB2578" s="25"/>
      <c r="BC2578" s="25"/>
      <c r="BD2578" s="25"/>
      <c r="BE2578" s="25"/>
      <c r="BF2578" s="25"/>
      <c r="BG2578" s="25"/>
      <c r="BH2578" s="25"/>
      <c r="BI2578" s="25"/>
      <c r="BJ2578" s="25"/>
      <c r="BK2578" s="25"/>
      <c r="BL2578" s="25"/>
      <c r="BM2578" s="25"/>
      <c r="BN2578" s="25"/>
      <c r="BO2578" s="25"/>
      <c r="BP2578" s="25"/>
      <c r="BQ2578" s="25"/>
      <c r="BR2578" s="25"/>
      <c r="BS2578" s="25"/>
      <c r="BT2578" s="25"/>
      <c r="BU2578"/>
      <c r="BV2578"/>
      <c r="BW2578"/>
      <c r="BX2578"/>
      <c r="BY2578"/>
      <c r="BZ2578"/>
      <c r="CA2578"/>
      <c r="CB2578"/>
      <c r="CC2578"/>
      <c r="CD2578" s="25"/>
    </row>
    <row r="2579" spans="1:82" s="17" customFormat="1" x14ac:dyDescent="0.2">
      <c r="A2579" s="25"/>
      <c r="B2579" s="20">
        <v>39151714902</v>
      </c>
      <c r="C2579" s="20">
        <v>7149.02</v>
      </c>
      <c r="D2579" s="20" t="s">
        <v>81</v>
      </c>
      <c r="E2579" s="20" t="s">
        <v>2844</v>
      </c>
      <c r="F2579" s="20" t="s">
        <v>8</v>
      </c>
      <c r="G2579" s="861">
        <v>35.280022536984802</v>
      </c>
      <c r="H2579" s="861">
        <v>40.455252625645599</v>
      </c>
      <c r="I2579" s="861">
        <v>25.117707963536901</v>
      </c>
      <c r="J2579" s="861">
        <v>40.581139685488203</v>
      </c>
      <c r="K2579" s="982">
        <v>0</v>
      </c>
      <c r="L2579" s="735">
        <v>3673</v>
      </c>
      <c r="M2579" s="735">
        <v>3563</v>
      </c>
      <c r="N2579" s="845">
        <f t="shared" si="191"/>
        <v>-2.9948271167982574E-2</v>
      </c>
      <c r="O2579" s="735">
        <v>20.456449894667664</v>
      </c>
      <c r="P2579" s="735">
        <f t="shared" si="192"/>
        <v>174.17489439009449</v>
      </c>
      <c r="Q2579" s="849">
        <v>42.3</v>
      </c>
      <c r="R2579" s="71">
        <v>61776</v>
      </c>
      <c r="S2579" s="845">
        <v>0.16591166477916194</v>
      </c>
      <c r="T2579" s="845">
        <v>2.7000000000000003E-2</v>
      </c>
      <c r="U2579" s="845">
        <v>1.7000000000000001E-2</v>
      </c>
      <c r="V2579" s="845">
        <v>0</v>
      </c>
      <c r="W2579" s="845">
        <v>0.28749136143745679</v>
      </c>
      <c r="X2579" s="845">
        <v>0.42788461538461536</v>
      </c>
      <c r="Y2579" s="845">
        <v>0.92225652539994385</v>
      </c>
      <c r="Z2579" s="845">
        <v>1.4033118158854897E-2</v>
      </c>
      <c r="AA2579" s="845">
        <v>0</v>
      </c>
      <c r="AB2579" s="845">
        <v>3.0872859949480774E-3</v>
      </c>
      <c r="AC2579" s="845">
        <v>0</v>
      </c>
      <c r="AD2579" s="845">
        <v>2.5259612685938817E-3</v>
      </c>
      <c r="AE2579" s="845">
        <v>5.8097109177659277E-2</v>
      </c>
      <c r="AF2579" s="845">
        <v>8.9811956216671353E-3</v>
      </c>
      <c r="AG2579" s="845">
        <v>0.91495930395733938</v>
      </c>
      <c r="AH2579" s="20" t="str">
        <f t="shared" si="193"/>
        <v>Yes</v>
      </c>
      <c r="AI2579" s="25"/>
      <c r="AJ2579" s="25"/>
      <c r="AK2579" s="25"/>
      <c r="AL2579" s="25"/>
      <c r="AM2579" s="25"/>
      <c r="AN2579" s="25"/>
      <c r="AO2579" s="25"/>
      <c r="AP2579" s="25"/>
      <c r="AQ2579" s="25"/>
      <c r="AR2579" s="25"/>
      <c r="AS2579" s="25"/>
      <c r="AT2579" s="25"/>
      <c r="AU2579" s="36"/>
      <c r="AV2579" s="36"/>
      <c r="AW2579" s="36"/>
      <c r="AX2579" s="25"/>
      <c r="AY2579" s="25"/>
      <c r="AZ2579" s="25"/>
      <c r="BA2579" s="25"/>
      <c r="BB2579" s="25"/>
      <c r="BC2579" s="25"/>
      <c r="BD2579" s="25"/>
      <c r="BE2579" s="25"/>
      <c r="BF2579" s="25"/>
      <c r="BG2579" s="25"/>
      <c r="BH2579" s="25"/>
      <c r="BI2579" s="25"/>
      <c r="BJ2579" s="25"/>
      <c r="BK2579" s="25"/>
      <c r="BL2579" s="25"/>
      <c r="BM2579" s="25"/>
      <c r="BN2579" s="25"/>
      <c r="BO2579" s="25"/>
      <c r="BP2579" s="25"/>
      <c r="BQ2579" s="25"/>
      <c r="BR2579" s="25"/>
      <c r="BS2579" s="25"/>
      <c r="BT2579" s="25"/>
      <c r="BU2579"/>
      <c r="BV2579"/>
      <c r="BW2579"/>
      <c r="BX2579"/>
      <c r="BY2579"/>
      <c r="BZ2579"/>
      <c r="CA2579"/>
      <c r="CB2579"/>
      <c r="CC2579"/>
      <c r="CD2579" s="25"/>
    </row>
    <row r="2580" spans="1:82" s="17" customFormat="1" x14ac:dyDescent="0.2">
      <c r="A2580" s="25"/>
      <c r="B2580" s="20">
        <v>39151713100</v>
      </c>
      <c r="C2580" s="20">
        <v>7131</v>
      </c>
      <c r="D2580" s="20" t="s">
        <v>81</v>
      </c>
      <c r="E2580" s="20" t="s">
        <v>2844</v>
      </c>
      <c r="F2580" s="20" t="s">
        <v>8</v>
      </c>
      <c r="G2580" s="861">
        <v>35.271660989261299</v>
      </c>
      <c r="H2580" s="861">
        <v>40.156996842555401</v>
      </c>
      <c r="I2580" s="861">
        <v>29.278983900378599</v>
      </c>
      <c r="J2580" s="861">
        <v>35.7256100542456</v>
      </c>
      <c r="K2580" s="982">
        <v>0</v>
      </c>
      <c r="L2580" s="735">
        <v>5823</v>
      </c>
      <c r="M2580" s="735">
        <v>5018</v>
      </c>
      <c r="N2580" s="845">
        <f t="shared" si="191"/>
        <v>-0.13824489094968229</v>
      </c>
      <c r="O2580" s="735">
        <v>13.657042232522064</v>
      </c>
      <c r="P2580" s="735">
        <f t="shared" si="192"/>
        <v>367.42948543063261</v>
      </c>
      <c r="Q2580" s="849">
        <v>44.6</v>
      </c>
      <c r="R2580" s="71">
        <v>59676</v>
      </c>
      <c r="S2580" s="845">
        <v>6.0910582444626743E-2</v>
      </c>
      <c r="T2580" s="845">
        <v>2.2000000000000002E-2</v>
      </c>
      <c r="U2580" s="845">
        <v>6.9999999999999993E-3</v>
      </c>
      <c r="V2580" s="845">
        <v>0</v>
      </c>
      <c r="W2580" s="845">
        <v>0.26744690073688776</v>
      </c>
      <c r="X2580" s="845">
        <v>0.29659643435980548</v>
      </c>
      <c r="Y2580" s="845">
        <v>0.88780390593862102</v>
      </c>
      <c r="Z2580" s="845">
        <v>8.2303706656038256E-2</v>
      </c>
      <c r="AA2580" s="845">
        <v>1.5942606616181746E-3</v>
      </c>
      <c r="AB2580" s="845">
        <v>1.1956954962136308E-3</v>
      </c>
      <c r="AC2580" s="845">
        <v>0</v>
      </c>
      <c r="AD2580" s="845">
        <v>2.3913909924272616E-3</v>
      </c>
      <c r="AE2580" s="845">
        <v>2.4711040255081706E-2</v>
      </c>
      <c r="AF2580" s="845">
        <v>2.8298126743722597E-2</v>
      </c>
      <c r="AG2580" s="845">
        <v>0.8840175368672778</v>
      </c>
      <c r="AH2580" s="20" t="str">
        <f t="shared" si="193"/>
        <v>No</v>
      </c>
      <c r="AI2580" s="25"/>
      <c r="AJ2580" s="25"/>
      <c r="AK2580" s="25"/>
      <c r="AL2580" s="25"/>
      <c r="AM2580" s="25"/>
      <c r="AN2580" s="25"/>
      <c r="AO2580" s="25"/>
      <c r="AP2580" s="25"/>
      <c r="AQ2580" s="25"/>
      <c r="AR2580" s="25"/>
      <c r="AS2580" s="25"/>
      <c r="AT2580" s="25"/>
      <c r="AU2580" s="36"/>
      <c r="AV2580" s="36"/>
      <c r="AW2580" s="36"/>
      <c r="AX2580" s="25"/>
      <c r="AY2580" s="25"/>
      <c r="AZ2580" s="25"/>
      <c r="BA2580" s="25"/>
      <c r="BB2580" s="25"/>
      <c r="BC2580" s="25"/>
      <c r="BD2580" s="25"/>
      <c r="BE2580" s="25"/>
      <c r="BF2580" s="25"/>
      <c r="BG2580" s="25"/>
      <c r="BH2580" s="25"/>
      <c r="BI2580" s="25"/>
      <c r="BJ2580" s="25"/>
      <c r="BK2580" s="25"/>
      <c r="BL2580" s="25"/>
      <c r="BM2580" s="25"/>
      <c r="BN2580" s="25"/>
      <c r="BO2580" s="25"/>
      <c r="BP2580" s="25"/>
      <c r="BQ2580" s="25"/>
      <c r="BR2580" s="25"/>
      <c r="BS2580" s="25"/>
      <c r="BT2580" s="25"/>
      <c r="BU2580"/>
      <c r="BV2580"/>
      <c r="BW2580"/>
      <c r="BX2580"/>
      <c r="BY2580"/>
      <c r="BZ2580"/>
      <c r="CA2580"/>
      <c r="CB2580"/>
      <c r="CC2580"/>
      <c r="CD2580" s="25"/>
    </row>
    <row r="2581" spans="1:82" s="17" customFormat="1" x14ac:dyDescent="0.2">
      <c r="A2581" s="25"/>
      <c r="B2581" s="20">
        <v>39151710900</v>
      </c>
      <c r="C2581" s="20">
        <v>7109</v>
      </c>
      <c r="D2581" s="20" t="s">
        <v>81</v>
      </c>
      <c r="E2581" s="20" t="s">
        <v>2844</v>
      </c>
      <c r="F2581" s="20" t="s">
        <v>8</v>
      </c>
      <c r="G2581" s="861">
        <v>35.239354551767804</v>
      </c>
      <c r="H2581" s="861">
        <v>40.402769980535602</v>
      </c>
      <c r="I2581" s="861">
        <v>25.668840542245398</v>
      </c>
      <c r="J2581" s="861">
        <v>33.288045042881699</v>
      </c>
      <c r="K2581" s="982">
        <v>0</v>
      </c>
      <c r="L2581" s="735">
        <v>4357</v>
      </c>
      <c r="M2581" s="735">
        <v>4262</v>
      </c>
      <c r="N2581" s="845">
        <f t="shared" si="191"/>
        <v>-2.1803993573559787E-2</v>
      </c>
      <c r="O2581" s="735">
        <v>35.899812296821707</v>
      </c>
      <c r="P2581" s="735">
        <f t="shared" si="192"/>
        <v>118.71928367651451</v>
      </c>
      <c r="Q2581" s="849">
        <v>45.5</v>
      </c>
      <c r="R2581" s="71">
        <v>93258</v>
      </c>
      <c r="S2581" s="845">
        <v>7.883622712341623E-2</v>
      </c>
      <c r="T2581" s="845">
        <v>7.2999999999999995E-2</v>
      </c>
      <c r="U2581" s="845">
        <v>0</v>
      </c>
      <c r="V2581" s="845">
        <v>0</v>
      </c>
      <c r="W2581" s="845">
        <v>0.2152956298200514</v>
      </c>
      <c r="X2581" s="845">
        <v>0.58805970149253728</v>
      </c>
      <c r="Y2581" s="845">
        <v>0.94556546222430782</v>
      </c>
      <c r="Z2581" s="845">
        <v>2.3463162834350071E-2</v>
      </c>
      <c r="AA2581" s="845">
        <v>0</v>
      </c>
      <c r="AB2581" s="845">
        <v>3.9887376818395119E-3</v>
      </c>
      <c r="AC2581" s="845">
        <v>0</v>
      </c>
      <c r="AD2581" s="845">
        <v>2.1116846550915062E-3</v>
      </c>
      <c r="AE2581" s="845">
        <v>2.4870952604411075E-2</v>
      </c>
      <c r="AF2581" s="845">
        <v>3.7541060534960111E-3</v>
      </c>
      <c r="AG2581" s="845">
        <v>0.94556546222430782</v>
      </c>
      <c r="AH2581" s="20" t="str">
        <f t="shared" si="193"/>
        <v>Yes</v>
      </c>
      <c r="AI2581" s="25"/>
      <c r="AJ2581" s="25"/>
      <c r="AK2581" s="25"/>
      <c r="AL2581" s="25"/>
      <c r="AM2581" s="25"/>
      <c r="AN2581" s="25"/>
      <c r="AO2581" s="25"/>
      <c r="AP2581" s="25"/>
      <c r="AQ2581" s="25"/>
      <c r="AR2581" s="25"/>
      <c r="AS2581" s="25"/>
      <c r="AT2581" s="25"/>
      <c r="AU2581" s="36"/>
      <c r="AV2581" s="36"/>
      <c r="AW2581" s="36"/>
      <c r="AX2581" s="25"/>
      <c r="AY2581" s="25"/>
      <c r="AZ2581" s="25"/>
      <c r="BA2581" s="25"/>
      <c r="BB2581" s="25"/>
      <c r="BC2581" s="25"/>
      <c r="BD2581" s="25"/>
      <c r="BE2581" s="25"/>
      <c r="BF2581" s="25"/>
      <c r="BG2581" s="25"/>
      <c r="BH2581" s="25"/>
      <c r="BI2581" s="25"/>
      <c r="BJ2581" s="25"/>
      <c r="BK2581" s="25"/>
      <c r="BL2581" s="25"/>
      <c r="BM2581" s="25"/>
      <c r="BN2581" s="25"/>
      <c r="BO2581" s="25"/>
      <c r="BP2581" s="25"/>
      <c r="BQ2581" s="25"/>
      <c r="BR2581" s="25"/>
      <c r="BS2581" s="25"/>
      <c r="BT2581" s="25"/>
      <c r="BU2581"/>
      <c r="BV2581"/>
      <c r="BW2581"/>
      <c r="BX2581"/>
      <c r="BY2581"/>
      <c r="BZ2581"/>
      <c r="CA2581"/>
      <c r="CB2581"/>
      <c r="CC2581"/>
      <c r="CD2581" s="25"/>
    </row>
    <row r="2582" spans="1:82" s="17" customFormat="1" x14ac:dyDescent="0.2">
      <c r="A2582" s="25"/>
      <c r="B2582" s="20">
        <v>39015951600</v>
      </c>
      <c r="C2582" s="20">
        <v>9516</v>
      </c>
      <c r="D2582" s="20" t="s">
        <v>14</v>
      </c>
      <c r="E2582" s="20" t="s">
        <v>265</v>
      </c>
      <c r="F2582" s="20" t="s">
        <v>6</v>
      </c>
      <c r="G2582" s="861">
        <v>35.237514231637498</v>
      </c>
      <c r="H2582" s="861">
        <v>45.057084529416599</v>
      </c>
      <c r="I2582" s="861">
        <v>33.803716072998597</v>
      </c>
      <c r="J2582" s="861">
        <v>45.950684185162601</v>
      </c>
      <c r="K2582" s="982">
        <v>0</v>
      </c>
      <c r="L2582" s="735">
        <v>3668</v>
      </c>
      <c r="M2582" s="735">
        <v>3259</v>
      </c>
      <c r="N2582" s="845">
        <f t="shared" si="191"/>
        <v>-0.11150490730643402</v>
      </c>
      <c r="O2582" s="735">
        <v>58.674033835622517</v>
      </c>
      <c r="P2582" s="735">
        <f t="shared" si="192"/>
        <v>55.544161308735127</v>
      </c>
      <c r="Q2582" s="849">
        <v>46.5</v>
      </c>
      <c r="R2582" s="71">
        <v>64722</v>
      </c>
      <c r="S2582" s="845">
        <v>0.28235672891178365</v>
      </c>
      <c r="T2582" s="845">
        <v>5.9000000000000004E-2</v>
      </c>
      <c r="U2582" s="845">
        <v>9.0000000000000011E-3</v>
      </c>
      <c r="V2582" s="845">
        <v>0.109</v>
      </c>
      <c r="W2582" s="845">
        <v>0.25111441307578009</v>
      </c>
      <c r="X2582" s="845">
        <v>0.47041420118343197</v>
      </c>
      <c r="Y2582" s="845">
        <v>0.94169990794722302</v>
      </c>
      <c r="Z2582" s="845">
        <v>3.0684258975145749E-3</v>
      </c>
      <c r="AA2582" s="845">
        <v>6.1368517950291502E-4</v>
      </c>
      <c r="AB2582" s="845">
        <v>0</v>
      </c>
      <c r="AC2582" s="845">
        <v>0</v>
      </c>
      <c r="AD2582" s="845">
        <v>8.2847499232893522E-3</v>
      </c>
      <c r="AE2582" s="845">
        <v>4.6333231052470079E-2</v>
      </c>
      <c r="AF2582" s="845">
        <v>4.5719545872967171E-2</v>
      </c>
      <c r="AG2582" s="845">
        <v>0.92236882479288129</v>
      </c>
      <c r="AH2582" s="20" t="str">
        <f t="shared" si="193"/>
        <v>Yes</v>
      </c>
      <c r="AI2582" s="25"/>
      <c r="AJ2582" s="25"/>
      <c r="AK2582" s="25"/>
      <c r="AL2582" s="25"/>
      <c r="AM2582" s="25"/>
      <c r="AN2582" s="25"/>
      <c r="AO2582" s="25"/>
      <c r="AP2582" s="25"/>
      <c r="AQ2582" s="25"/>
      <c r="AR2582" s="25"/>
      <c r="AS2582" s="25"/>
      <c r="AT2582" s="25"/>
      <c r="AU2582" s="36"/>
      <c r="AV2582" s="36"/>
      <c r="AW2582" s="36"/>
      <c r="AX2582" s="25"/>
      <c r="AY2582" s="25"/>
      <c r="AZ2582" s="25"/>
      <c r="BA2582" s="25"/>
      <c r="BB2582" s="25"/>
      <c r="BC2582" s="25"/>
      <c r="BD2582" s="25"/>
      <c r="BE2582" s="25"/>
      <c r="BF2582" s="25"/>
      <c r="BG2582" s="25"/>
      <c r="BH2582" s="25"/>
      <c r="BI2582" s="25"/>
      <c r="BJ2582" s="25"/>
      <c r="BK2582" s="25"/>
      <c r="BL2582" s="25"/>
      <c r="BM2582" s="25"/>
      <c r="BN2582" s="25"/>
      <c r="BO2582" s="25"/>
      <c r="BP2582" s="25"/>
      <c r="BQ2582" s="25"/>
      <c r="BR2582" s="25"/>
      <c r="BS2582" s="25"/>
      <c r="BT2582" s="25"/>
      <c r="BU2582"/>
      <c r="BV2582"/>
      <c r="BW2582"/>
      <c r="BX2582"/>
      <c r="BY2582"/>
      <c r="BZ2582"/>
      <c r="CA2582"/>
      <c r="CB2582"/>
      <c r="CC2582"/>
      <c r="CD2582" s="25"/>
    </row>
    <row r="2583" spans="1:82" s="17" customFormat="1" x14ac:dyDescent="0.2">
      <c r="A2583" s="25"/>
      <c r="B2583" s="20">
        <v>39031961200</v>
      </c>
      <c r="C2583" s="20">
        <v>9612</v>
      </c>
      <c r="D2583" s="20" t="s">
        <v>22</v>
      </c>
      <c r="E2583" s="20" t="s">
        <v>265</v>
      </c>
      <c r="F2583" s="20" t="s">
        <v>8</v>
      </c>
      <c r="G2583" s="861">
        <v>35.227960953493898</v>
      </c>
      <c r="H2583" s="861">
        <v>36.6442252397134</v>
      </c>
      <c r="I2583" s="861">
        <v>22.599531561764799</v>
      </c>
      <c r="J2583" s="861">
        <v>52.892503769212603</v>
      </c>
      <c r="K2583" s="982">
        <v>0</v>
      </c>
      <c r="L2583" s="735">
        <v>2673</v>
      </c>
      <c r="M2583" s="735">
        <v>3050</v>
      </c>
      <c r="N2583" s="845">
        <f t="shared" si="191"/>
        <v>0.14104002992891881</v>
      </c>
      <c r="O2583" s="735">
        <v>111.6707945041493</v>
      </c>
      <c r="P2583" s="735">
        <f t="shared" si="192"/>
        <v>27.312423212737798</v>
      </c>
      <c r="Q2583" s="849">
        <v>47.5</v>
      </c>
      <c r="R2583" s="71">
        <v>56250</v>
      </c>
      <c r="S2583" s="845">
        <v>7.7226421294774888E-2</v>
      </c>
      <c r="T2583" s="845">
        <v>4.2999999999999997E-2</v>
      </c>
      <c r="U2583" s="845">
        <v>0</v>
      </c>
      <c r="V2583" s="845">
        <v>2.7000000000000003E-2</v>
      </c>
      <c r="W2583" s="845">
        <v>0.18618181818181817</v>
      </c>
      <c r="X2583" s="845">
        <v>0.1484375</v>
      </c>
      <c r="Y2583" s="845">
        <v>0.94721311475409831</v>
      </c>
      <c r="Z2583" s="845">
        <v>0</v>
      </c>
      <c r="AA2583" s="845">
        <v>6.5573770491803279E-4</v>
      </c>
      <c r="AB2583" s="845">
        <v>3.2786885245901639E-4</v>
      </c>
      <c r="AC2583" s="845">
        <v>0</v>
      </c>
      <c r="AD2583" s="845">
        <v>2.6229508196721311E-3</v>
      </c>
      <c r="AE2583" s="845">
        <v>4.9180327868852458E-2</v>
      </c>
      <c r="AF2583" s="845">
        <v>3.2786885245901639E-3</v>
      </c>
      <c r="AG2583" s="845">
        <v>0.94557377049180324</v>
      </c>
      <c r="AH2583" s="20" t="str">
        <f t="shared" si="193"/>
        <v>Yes</v>
      </c>
      <c r="AI2583" s="25"/>
      <c r="AJ2583" s="25"/>
      <c r="AK2583" s="25"/>
      <c r="AL2583" s="25"/>
      <c r="AM2583" s="25"/>
      <c r="AN2583" s="25"/>
      <c r="AO2583" s="25"/>
      <c r="AP2583" s="25"/>
      <c r="AQ2583" s="25"/>
      <c r="AR2583" s="25"/>
      <c r="AS2583" s="25"/>
      <c r="AT2583" s="25"/>
      <c r="AU2583" s="36"/>
      <c r="AV2583" s="36"/>
      <c r="AW2583" s="36"/>
      <c r="AX2583" s="25"/>
      <c r="AY2583" s="25"/>
      <c r="AZ2583" s="25"/>
      <c r="BA2583" s="25"/>
      <c r="BB2583" s="25"/>
      <c r="BC2583" s="25"/>
      <c r="BD2583" s="25"/>
      <c r="BE2583" s="25"/>
      <c r="BF2583" s="25"/>
      <c r="BG2583" s="25"/>
      <c r="BH2583" s="25"/>
      <c r="BI2583" s="25"/>
      <c r="BJ2583" s="25"/>
      <c r="BK2583" s="25"/>
      <c r="BL2583" s="25"/>
      <c r="BM2583" s="25"/>
      <c r="BN2583" s="25"/>
      <c r="BO2583" s="25"/>
      <c r="BP2583" s="25"/>
      <c r="BQ2583" s="25"/>
      <c r="BR2583" s="25"/>
      <c r="BS2583" s="25"/>
      <c r="BT2583" s="25"/>
      <c r="BU2583"/>
      <c r="BV2583"/>
      <c r="BW2583"/>
      <c r="BX2583"/>
      <c r="BY2583"/>
      <c r="BZ2583"/>
      <c r="CA2583"/>
      <c r="CB2583"/>
      <c r="CC2583"/>
      <c r="CD2583" s="25"/>
    </row>
    <row r="2584" spans="1:82" s="17" customFormat="1" x14ac:dyDescent="0.2">
      <c r="A2584" s="25"/>
      <c r="B2584" s="20">
        <v>39035196200</v>
      </c>
      <c r="C2584" s="20">
        <v>1962</v>
      </c>
      <c r="D2584" s="20" t="s">
        <v>24</v>
      </c>
      <c r="E2584" s="20" t="s">
        <v>2829</v>
      </c>
      <c r="F2584" s="20" t="s">
        <v>6</v>
      </c>
      <c r="G2584" s="861">
        <v>35.222356717410101</v>
      </c>
      <c r="H2584" s="861">
        <v>46.6734140629775</v>
      </c>
      <c r="I2584" s="861">
        <v>85.349129716064098</v>
      </c>
      <c r="J2584" s="861">
        <v>26.050632647531899</v>
      </c>
      <c r="K2584" s="982">
        <v>0</v>
      </c>
      <c r="L2584" s="735">
        <v>3877</v>
      </c>
      <c r="M2584" s="735">
        <v>3578</v>
      </c>
      <c r="N2584" s="845">
        <f t="shared" si="191"/>
        <v>-7.7121485684807839E-2</v>
      </c>
      <c r="O2584" s="735">
        <v>0.78046728948110888</v>
      </c>
      <c r="P2584" s="735">
        <f t="shared" si="192"/>
        <v>4584.4330034367249</v>
      </c>
      <c r="Q2584" s="849">
        <v>31.4</v>
      </c>
      <c r="R2584" s="71">
        <v>18421</v>
      </c>
      <c r="S2584" s="845">
        <v>0.43963107881498042</v>
      </c>
      <c r="T2584" s="845">
        <v>0.08</v>
      </c>
      <c r="U2584" s="845">
        <v>0</v>
      </c>
      <c r="V2584" s="845">
        <v>5.9000000000000004E-2</v>
      </c>
      <c r="W2584" s="845">
        <v>0.91521486643437866</v>
      </c>
      <c r="X2584" s="845">
        <v>0.61294416243654826</v>
      </c>
      <c r="Y2584" s="845">
        <v>6.6238121855785356E-2</v>
      </c>
      <c r="Z2584" s="845">
        <v>0.91475684740078256</v>
      </c>
      <c r="AA2584" s="845">
        <v>0</v>
      </c>
      <c r="AB2584" s="845">
        <v>4.4717719396310789E-3</v>
      </c>
      <c r="AC2584" s="845">
        <v>0</v>
      </c>
      <c r="AD2584" s="845">
        <v>0</v>
      </c>
      <c r="AE2584" s="845">
        <v>1.4533258803801007E-2</v>
      </c>
      <c r="AF2584" s="845">
        <v>0</v>
      </c>
      <c r="AG2584" s="845">
        <v>6.6238121855785356E-2</v>
      </c>
      <c r="AH2584" s="20" t="str">
        <f t="shared" si="193"/>
        <v>No</v>
      </c>
      <c r="AI2584" s="25"/>
      <c r="AJ2584" s="25"/>
      <c r="AK2584" s="25"/>
      <c r="AL2584" s="25"/>
      <c r="AM2584" s="25"/>
      <c r="AN2584" s="25"/>
      <c r="AO2584" s="25"/>
      <c r="AP2584" s="25"/>
      <c r="AQ2584" s="25"/>
      <c r="AR2584" s="25"/>
      <c r="AS2584" s="25"/>
      <c r="AT2584" s="25"/>
      <c r="AU2584" s="36"/>
      <c r="AV2584" s="36"/>
      <c r="AW2584" s="36"/>
      <c r="AX2584" s="25"/>
      <c r="AY2584" s="25"/>
      <c r="AZ2584" s="25"/>
      <c r="BA2584" s="25"/>
      <c r="BB2584" s="25"/>
      <c r="BC2584" s="25"/>
      <c r="BD2584" s="25"/>
      <c r="BE2584" s="25"/>
      <c r="BF2584" s="25"/>
      <c r="BG2584" s="25"/>
      <c r="BH2584" s="25"/>
      <c r="BI2584" s="25"/>
      <c r="BJ2584" s="25"/>
      <c r="BK2584" s="25"/>
      <c r="BL2584" s="25"/>
      <c r="BM2584" s="25"/>
      <c r="BN2584" s="25"/>
      <c r="BO2584" s="25"/>
      <c r="BP2584" s="25"/>
      <c r="BQ2584" s="25"/>
      <c r="BR2584" s="25"/>
      <c r="BS2584" s="25"/>
      <c r="BT2584" s="25"/>
      <c r="BU2584"/>
      <c r="BV2584"/>
      <c r="BW2584"/>
      <c r="BX2584"/>
      <c r="BY2584"/>
      <c r="BZ2584"/>
      <c r="CA2584"/>
      <c r="CB2584"/>
      <c r="CC2584"/>
      <c r="CD2584" s="25"/>
    </row>
    <row r="2585" spans="1:82" s="17" customFormat="1" x14ac:dyDescent="0.2">
      <c r="A2585" s="25"/>
      <c r="B2585" s="20">
        <v>39113080100</v>
      </c>
      <c r="C2585" s="20">
        <v>801</v>
      </c>
      <c r="D2585" s="20" t="s">
        <v>62</v>
      </c>
      <c r="E2585" s="20" t="s">
        <v>2833</v>
      </c>
      <c r="F2585" s="20" t="s">
        <v>8</v>
      </c>
      <c r="G2585" s="861">
        <v>35.201772577486999</v>
      </c>
      <c r="H2585" s="861">
        <v>52.824134540137997</v>
      </c>
      <c r="I2585" s="861">
        <v>46.7258211439799</v>
      </c>
      <c r="J2585" s="861">
        <v>40.405063843670398</v>
      </c>
      <c r="K2585" s="982">
        <v>0</v>
      </c>
      <c r="L2585" s="735">
        <v>5780</v>
      </c>
      <c r="M2585" s="735">
        <v>6145</v>
      </c>
      <c r="N2585" s="845">
        <f t="shared" si="191"/>
        <v>6.3148788927335636E-2</v>
      </c>
      <c r="O2585" s="735">
        <v>2.3578482759907344</v>
      </c>
      <c r="P2585" s="735">
        <f t="shared" si="192"/>
        <v>2606.1897462074644</v>
      </c>
      <c r="Q2585" s="849">
        <v>31.1</v>
      </c>
      <c r="R2585" s="71">
        <v>45563</v>
      </c>
      <c r="S2585" s="845">
        <v>0.20934516831351532</v>
      </c>
      <c r="T2585" s="845">
        <v>7.400000000000001E-2</v>
      </c>
      <c r="U2585" s="845">
        <v>0</v>
      </c>
      <c r="V2585" s="845">
        <v>0</v>
      </c>
      <c r="W2585" s="845">
        <v>0.63716166788588147</v>
      </c>
      <c r="X2585" s="845">
        <v>0.40068886337543053</v>
      </c>
      <c r="Y2585" s="845">
        <v>0.18291293734743694</v>
      </c>
      <c r="Z2585" s="845">
        <v>0.65956061838893409</v>
      </c>
      <c r="AA2585" s="845">
        <v>0</v>
      </c>
      <c r="AB2585" s="845">
        <v>0</v>
      </c>
      <c r="AC2585" s="845">
        <v>8.1366965012205042E-4</v>
      </c>
      <c r="AD2585" s="845">
        <v>1.5296989422294549E-2</v>
      </c>
      <c r="AE2585" s="845">
        <v>0.14141578519121237</v>
      </c>
      <c r="AF2585" s="845">
        <v>1.5296989422294549E-2</v>
      </c>
      <c r="AG2585" s="845">
        <v>0.18291293734743694</v>
      </c>
      <c r="AH2585" s="20" t="str">
        <f t="shared" si="193"/>
        <v>No</v>
      </c>
      <c r="AI2585" s="25"/>
      <c r="AJ2585" s="25"/>
      <c r="AK2585" s="25"/>
      <c r="AL2585" s="25"/>
      <c r="AM2585" s="25"/>
      <c r="AN2585" s="25"/>
      <c r="AO2585" s="25"/>
      <c r="AP2585" s="25"/>
      <c r="AQ2585" s="25"/>
      <c r="AR2585" s="25"/>
      <c r="AS2585" s="25"/>
      <c r="AT2585" s="25"/>
      <c r="AU2585" s="36"/>
      <c r="AV2585" s="36"/>
      <c r="AW2585" s="36"/>
      <c r="AX2585" s="25"/>
      <c r="AY2585" s="25"/>
      <c r="AZ2585" s="25"/>
      <c r="BA2585" s="25"/>
      <c r="BB2585" s="25"/>
      <c r="BC2585" s="25"/>
      <c r="BD2585" s="25"/>
      <c r="BE2585" s="25"/>
      <c r="BF2585" s="25"/>
      <c r="BG2585" s="25"/>
      <c r="BH2585" s="25"/>
      <c r="BI2585" s="25"/>
      <c r="BJ2585" s="25"/>
      <c r="BK2585" s="25"/>
      <c r="BL2585" s="25"/>
      <c r="BM2585" s="25"/>
      <c r="BN2585" s="25"/>
      <c r="BO2585" s="25"/>
      <c r="BP2585" s="25"/>
      <c r="BQ2585" s="25"/>
      <c r="BR2585" s="25"/>
      <c r="BS2585" s="25"/>
      <c r="BT2585" s="25"/>
      <c r="BU2585"/>
      <c r="BV2585"/>
      <c r="BW2585"/>
      <c r="BX2585"/>
      <c r="BY2585"/>
      <c r="BZ2585"/>
      <c r="CA2585"/>
      <c r="CB2585"/>
      <c r="CC2585"/>
      <c r="CD2585" s="25"/>
    </row>
    <row r="2586" spans="1:82" s="17" customFormat="1" x14ac:dyDescent="0.2">
      <c r="A2586" s="25"/>
      <c r="B2586" s="20">
        <v>39035109801</v>
      </c>
      <c r="C2586" s="20">
        <v>1098.01</v>
      </c>
      <c r="D2586" s="20" t="s">
        <v>24</v>
      </c>
      <c r="E2586" s="20" t="s">
        <v>2829</v>
      </c>
      <c r="F2586" s="20" t="s">
        <v>6</v>
      </c>
      <c r="G2586" s="861">
        <v>35.1999874940974</v>
      </c>
      <c r="H2586" s="861">
        <v>21.445262971866502</v>
      </c>
      <c r="I2586" s="861">
        <v>78.838471672271893</v>
      </c>
      <c r="J2586" s="861">
        <v>56.416572281157201</v>
      </c>
      <c r="K2586" s="982">
        <v>0</v>
      </c>
      <c r="L2586" s="735">
        <v>1781</v>
      </c>
      <c r="M2586" s="735">
        <v>2168</v>
      </c>
      <c r="N2586" s="845">
        <f t="shared" si="191"/>
        <v>0.21729365524985964</v>
      </c>
      <c r="O2586" s="735">
        <v>0.2880136774064187</v>
      </c>
      <c r="P2586" s="735">
        <f t="shared" si="192"/>
        <v>7527.4202931019681</v>
      </c>
      <c r="Q2586" s="849">
        <v>27.3</v>
      </c>
      <c r="R2586" s="71">
        <v>15921</v>
      </c>
      <c r="S2586" s="845">
        <v>0.65728782287822873</v>
      </c>
      <c r="T2586" s="845">
        <v>0.36799999999999999</v>
      </c>
      <c r="U2586" s="845">
        <v>0</v>
      </c>
      <c r="V2586" s="845">
        <v>1.6E-2</v>
      </c>
      <c r="W2586" s="845">
        <v>0.95580110497237569</v>
      </c>
      <c r="X2586" s="845">
        <v>0.30173410404624279</v>
      </c>
      <c r="Y2586" s="845">
        <v>1.7066420664206643E-2</v>
      </c>
      <c r="Z2586" s="845">
        <v>0.90682656826568264</v>
      </c>
      <c r="AA2586" s="845">
        <v>0</v>
      </c>
      <c r="AB2586" s="845">
        <v>3.7361623616236163E-2</v>
      </c>
      <c r="AC2586" s="845">
        <v>0</v>
      </c>
      <c r="AD2586" s="845">
        <v>2.9981549815498155E-2</v>
      </c>
      <c r="AE2586" s="845">
        <v>8.763837638376383E-3</v>
      </c>
      <c r="AF2586" s="845">
        <v>2.9981549815498155E-2</v>
      </c>
      <c r="AG2586" s="845">
        <v>1.7066420664206643E-2</v>
      </c>
      <c r="AH2586" s="20" t="str">
        <f t="shared" si="193"/>
        <v>No</v>
      </c>
      <c r="AI2586" s="25"/>
      <c r="AJ2586" s="25"/>
      <c r="AK2586" s="25"/>
      <c r="AL2586" s="25"/>
      <c r="AM2586" s="25"/>
      <c r="AN2586" s="25"/>
      <c r="AO2586" s="25"/>
      <c r="AP2586" s="25"/>
      <c r="AQ2586" s="25"/>
      <c r="AR2586" s="25"/>
      <c r="AS2586" s="25"/>
      <c r="AT2586" s="25"/>
      <c r="AU2586" s="36"/>
      <c r="AV2586" s="36"/>
      <c r="AW2586" s="36"/>
      <c r="AX2586" s="25"/>
      <c r="AY2586" s="25"/>
      <c r="AZ2586" s="25"/>
      <c r="BA2586" s="25"/>
      <c r="BB2586" s="25"/>
      <c r="BC2586" s="25"/>
      <c r="BD2586" s="25"/>
      <c r="BE2586" s="25"/>
      <c r="BF2586" s="25"/>
      <c r="BG2586" s="25"/>
      <c r="BH2586" s="25"/>
      <c r="BI2586" s="25"/>
      <c r="BJ2586" s="25"/>
      <c r="BK2586" s="25"/>
      <c r="BL2586" s="25"/>
      <c r="BM2586" s="25"/>
      <c r="BN2586" s="25"/>
      <c r="BO2586" s="25"/>
      <c r="BP2586" s="25"/>
      <c r="BQ2586" s="25"/>
      <c r="BR2586" s="25"/>
      <c r="BS2586" s="25"/>
      <c r="BT2586" s="25"/>
      <c r="BU2586"/>
      <c r="BV2586"/>
      <c r="BW2586"/>
      <c r="BX2586"/>
      <c r="BY2586"/>
      <c r="BZ2586"/>
      <c r="CA2586"/>
      <c r="CB2586"/>
      <c r="CC2586"/>
      <c r="CD2586" s="25"/>
    </row>
    <row r="2587" spans="1:82" s="17" customFormat="1" x14ac:dyDescent="0.2">
      <c r="A2587" s="25"/>
      <c r="B2587" s="20">
        <v>39007001101</v>
      </c>
      <c r="C2587" s="20">
        <v>11.01</v>
      </c>
      <c r="D2587" s="20" t="s">
        <v>10</v>
      </c>
      <c r="E2587" s="20" t="s">
        <v>2829</v>
      </c>
      <c r="F2587" s="20" t="s">
        <v>8</v>
      </c>
      <c r="G2587" s="861">
        <v>35.182203488056203</v>
      </c>
      <c r="H2587" s="861">
        <v>25.8715541318895</v>
      </c>
      <c r="I2587" s="861">
        <v>29.417869379251499</v>
      </c>
      <c r="J2587" s="861">
        <v>42.014814149642703</v>
      </c>
      <c r="K2587" s="982">
        <v>0</v>
      </c>
      <c r="L2587" s="735">
        <v>2123</v>
      </c>
      <c r="M2587" s="735">
        <v>1954</v>
      </c>
      <c r="N2587" s="845">
        <f t="shared" si="191"/>
        <v>-7.9604333490343848E-2</v>
      </c>
      <c r="O2587" s="735">
        <v>38.820963544886702</v>
      </c>
      <c r="P2587" s="735">
        <f t="shared" si="192"/>
        <v>50.333629605578679</v>
      </c>
      <c r="Q2587" s="849">
        <v>42.5</v>
      </c>
      <c r="R2587" s="71">
        <v>58125</v>
      </c>
      <c r="S2587" s="845">
        <v>0.31427099433281813</v>
      </c>
      <c r="T2587" s="845">
        <v>9.0999999999999998E-2</v>
      </c>
      <c r="U2587" s="845">
        <v>0</v>
      </c>
      <c r="V2587" s="845">
        <v>0</v>
      </c>
      <c r="W2587" s="845">
        <v>0.18403247631935046</v>
      </c>
      <c r="X2587" s="845">
        <v>0.33088235294117646</v>
      </c>
      <c r="Y2587" s="845">
        <v>0.95649948822927333</v>
      </c>
      <c r="Z2587" s="845">
        <v>0</v>
      </c>
      <c r="AA2587" s="845">
        <v>0</v>
      </c>
      <c r="AB2587" s="845">
        <v>0</v>
      </c>
      <c r="AC2587" s="845">
        <v>0</v>
      </c>
      <c r="AD2587" s="845">
        <v>0</v>
      </c>
      <c r="AE2587" s="845">
        <v>4.3500511770726717E-2</v>
      </c>
      <c r="AF2587" s="845">
        <v>0</v>
      </c>
      <c r="AG2587" s="845">
        <v>0.95649948822927333</v>
      </c>
      <c r="AH2587" s="20" t="str">
        <f t="shared" si="193"/>
        <v>Yes</v>
      </c>
      <c r="AI2587" s="25"/>
      <c r="AJ2587" s="25"/>
      <c r="AK2587" s="25"/>
      <c r="AL2587" s="25"/>
      <c r="AM2587" s="25"/>
      <c r="AN2587" s="25"/>
      <c r="AO2587" s="25"/>
      <c r="AP2587" s="25"/>
      <c r="AQ2587" s="25"/>
      <c r="AR2587" s="25"/>
      <c r="AS2587" s="25"/>
      <c r="AT2587" s="25"/>
      <c r="AU2587" s="36"/>
      <c r="AV2587" s="36"/>
      <c r="AW2587" s="36"/>
      <c r="AX2587" s="25"/>
      <c r="AY2587" s="25"/>
      <c r="AZ2587" s="25"/>
      <c r="BA2587" s="25"/>
      <c r="BB2587" s="25"/>
      <c r="BC2587" s="25"/>
      <c r="BD2587" s="25"/>
      <c r="BE2587" s="25"/>
      <c r="BF2587" s="25"/>
      <c r="BG2587" s="25"/>
      <c r="BH2587" s="25"/>
      <c r="BI2587" s="25"/>
      <c r="BJ2587" s="25"/>
      <c r="BK2587" s="25"/>
      <c r="BL2587" s="25"/>
      <c r="BM2587" s="25"/>
      <c r="BN2587" s="25"/>
      <c r="BO2587" s="25"/>
      <c r="BP2587" s="25"/>
      <c r="BQ2587" s="25"/>
      <c r="BR2587" s="25"/>
      <c r="BS2587" s="25"/>
      <c r="BT2587" s="25"/>
      <c r="BU2587"/>
      <c r="BV2587"/>
      <c r="BW2587"/>
      <c r="BX2587"/>
      <c r="BY2587"/>
      <c r="BZ2587"/>
      <c r="CA2587"/>
      <c r="CB2587"/>
      <c r="CC2587"/>
      <c r="CD2587" s="25"/>
    </row>
    <row r="2588" spans="1:82" s="17" customFormat="1" x14ac:dyDescent="0.2">
      <c r="A2588" s="25"/>
      <c r="B2588" s="20">
        <v>39095006801</v>
      </c>
      <c r="C2588" s="20">
        <v>68.010000000000005</v>
      </c>
      <c r="D2588" s="20" t="s">
        <v>53</v>
      </c>
      <c r="E2588" s="20" t="s">
        <v>2839</v>
      </c>
      <c r="F2588" s="20" t="s">
        <v>6</v>
      </c>
      <c r="G2588" s="861">
        <v>35.1581727720815</v>
      </c>
      <c r="H2588" s="861">
        <v>56.873554651308403</v>
      </c>
      <c r="I2588" s="861">
        <v>38.355235348914597</v>
      </c>
      <c r="J2588" s="861">
        <v>42.537179875148396</v>
      </c>
      <c r="K2588" s="982">
        <v>0</v>
      </c>
      <c r="L2588" s="735" t="s">
        <v>2466</v>
      </c>
      <c r="M2588" s="735">
        <v>3246</v>
      </c>
      <c r="N2588" s="845" t="str">
        <f t="shared" si="191"/>
        <v/>
      </c>
      <c r="O2588" s="735">
        <v>0.79496812825136876</v>
      </c>
      <c r="P2588" s="735">
        <f t="shared" si="192"/>
        <v>4083.1825637336942</v>
      </c>
      <c r="Q2588" s="849">
        <v>29.1</v>
      </c>
      <c r="R2588" s="71">
        <v>35352</v>
      </c>
      <c r="S2588" s="845">
        <v>0.37359900373599003</v>
      </c>
      <c r="T2588" s="845">
        <v>0.126</v>
      </c>
      <c r="U2588" s="845">
        <v>0</v>
      </c>
      <c r="V2588" s="845">
        <v>6.8000000000000005E-2</v>
      </c>
      <c r="W2588" s="845">
        <v>0.83494519664732436</v>
      </c>
      <c r="X2588" s="845">
        <v>0.28803088803088805</v>
      </c>
      <c r="Y2588" s="845">
        <v>0.48921749845964263</v>
      </c>
      <c r="Z2588" s="845">
        <v>0.45132470733210106</v>
      </c>
      <c r="AA2588" s="845">
        <v>0</v>
      </c>
      <c r="AB2588" s="845">
        <v>6.4695009242144181E-3</v>
      </c>
      <c r="AC2588" s="845">
        <v>6.7775723967960569E-3</v>
      </c>
      <c r="AD2588" s="845">
        <v>1.8484288354898336E-3</v>
      </c>
      <c r="AE2588" s="845">
        <v>4.4362292051756007E-2</v>
      </c>
      <c r="AF2588" s="845">
        <v>0.18576709796672827</v>
      </c>
      <c r="AG2588" s="845">
        <v>0.33918669131238449</v>
      </c>
      <c r="AH2588" s="20" t="str">
        <f t="shared" si="193"/>
        <v>No</v>
      </c>
      <c r="AI2588" s="25"/>
      <c r="AJ2588" s="25"/>
      <c r="AK2588" s="25"/>
      <c r="AL2588" s="25"/>
      <c r="AM2588" s="25"/>
      <c r="AN2588" s="25"/>
      <c r="AO2588" s="25"/>
      <c r="AP2588" s="25"/>
      <c r="AQ2588" s="25"/>
      <c r="AR2588" s="25"/>
      <c r="AS2588" s="25"/>
      <c r="AT2588" s="25"/>
      <c r="AU2588" s="36"/>
      <c r="AV2588" s="36"/>
      <c r="AW2588" s="36"/>
      <c r="AX2588" s="25"/>
      <c r="AY2588" s="25"/>
      <c r="AZ2588" s="25"/>
      <c r="BA2588" s="25"/>
      <c r="BB2588" s="25"/>
      <c r="BC2588" s="25"/>
      <c r="BD2588" s="25"/>
      <c r="BE2588" s="25"/>
      <c r="BF2588" s="25"/>
      <c r="BG2588" s="25"/>
      <c r="BH2588" s="25"/>
      <c r="BI2588" s="25"/>
      <c r="BJ2588" s="25"/>
      <c r="BK2588" s="25"/>
      <c r="BL2588" s="25"/>
      <c r="BM2588" s="25"/>
      <c r="BN2588" s="25"/>
      <c r="BO2588" s="25"/>
      <c r="BP2588" s="25"/>
      <c r="BQ2588" s="25"/>
      <c r="BR2588" s="25"/>
      <c r="BS2588" s="25"/>
      <c r="BT2588" s="25"/>
      <c r="BU2588"/>
      <c r="BV2588"/>
      <c r="BW2588"/>
      <c r="BX2588"/>
      <c r="BY2588"/>
      <c r="BZ2588"/>
      <c r="CA2588"/>
      <c r="CB2588"/>
      <c r="CC2588"/>
      <c r="CD2588" s="25"/>
    </row>
    <row r="2589" spans="1:82" s="17" customFormat="1" x14ac:dyDescent="0.2">
      <c r="A2589" s="25"/>
      <c r="B2589" s="20">
        <v>39093093100</v>
      </c>
      <c r="C2589" s="20">
        <v>931</v>
      </c>
      <c r="D2589" s="20" t="s">
        <v>52</v>
      </c>
      <c r="E2589" s="20" t="s">
        <v>2829</v>
      </c>
      <c r="F2589" s="20" t="s">
        <v>8</v>
      </c>
      <c r="G2589" s="861">
        <v>35.157442719564102</v>
      </c>
      <c r="H2589" s="861">
        <v>43.995166334441699</v>
      </c>
      <c r="I2589" s="861">
        <v>31.359388101038501</v>
      </c>
      <c r="J2589" s="861">
        <v>29.275144252651799</v>
      </c>
      <c r="K2589" s="982">
        <v>0</v>
      </c>
      <c r="L2589" s="735">
        <v>3133</v>
      </c>
      <c r="M2589" s="735">
        <v>2905</v>
      </c>
      <c r="N2589" s="845">
        <f t="shared" si="191"/>
        <v>-7.2773699329715932E-2</v>
      </c>
      <c r="O2589" s="735">
        <v>45.02732871619245</v>
      </c>
      <c r="P2589" s="735">
        <f t="shared" si="192"/>
        <v>64.516374451396715</v>
      </c>
      <c r="Q2589" s="849">
        <v>47.4</v>
      </c>
      <c r="R2589" s="71">
        <v>61154</v>
      </c>
      <c r="S2589" s="845">
        <v>0.11068965517241379</v>
      </c>
      <c r="T2589" s="845">
        <v>4.9000000000000002E-2</v>
      </c>
      <c r="U2589" s="845">
        <v>0</v>
      </c>
      <c r="V2589" s="845">
        <v>0</v>
      </c>
      <c r="W2589" s="845">
        <v>0.11578947368421053</v>
      </c>
      <c r="X2589" s="845">
        <v>0.31060606060606061</v>
      </c>
      <c r="Y2589" s="845">
        <v>0.90740103270223749</v>
      </c>
      <c r="Z2589" s="845">
        <v>0</v>
      </c>
      <c r="AA2589" s="845">
        <v>0</v>
      </c>
      <c r="AB2589" s="845">
        <v>4.8192771084337354E-3</v>
      </c>
      <c r="AC2589" s="845">
        <v>0</v>
      </c>
      <c r="AD2589" s="845">
        <v>1.2392426850258176E-2</v>
      </c>
      <c r="AE2589" s="845">
        <v>7.5387263339070573E-2</v>
      </c>
      <c r="AF2589" s="845">
        <v>2.6506024096385541E-2</v>
      </c>
      <c r="AG2589" s="845">
        <v>0.88846815834767645</v>
      </c>
      <c r="AH2589" s="20" t="str">
        <f t="shared" si="193"/>
        <v>No</v>
      </c>
      <c r="AI2589" s="25"/>
      <c r="AJ2589" s="25"/>
      <c r="AK2589" s="25"/>
      <c r="AL2589" s="25"/>
      <c r="AM2589" s="25"/>
      <c r="AN2589" s="25"/>
      <c r="AO2589" s="25"/>
      <c r="AP2589" s="25"/>
      <c r="AQ2589" s="25"/>
      <c r="AR2589" s="25"/>
      <c r="AS2589" s="25"/>
      <c r="AT2589" s="25"/>
      <c r="AU2589" s="36"/>
      <c r="AV2589" s="36"/>
      <c r="AW2589" s="36"/>
      <c r="AX2589" s="25"/>
      <c r="AY2589" s="25"/>
      <c r="AZ2589" s="25"/>
      <c r="BA2589" s="25"/>
      <c r="BB2589" s="25"/>
      <c r="BC2589" s="25"/>
      <c r="BD2589" s="25"/>
      <c r="BE2589" s="25"/>
      <c r="BF2589" s="25"/>
      <c r="BG2589" s="25"/>
      <c r="BH2589" s="25"/>
      <c r="BI2589" s="25"/>
      <c r="BJ2589" s="25"/>
      <c r="BK2589" s="25"/>
      <c r="BL2589" s="25"/>
      <c r="BM2589" s="25"/>
      <c r="BN2589" s="25"/>
      <c r="BO2589" s="25"/>
      <c r="BP2589" s="25"/>
      <c r="BQ2589" s="25"/>
      <c r="BR2589" s="25"/>
      <c r="BS2589" s="25"/>
      <c r="BT2589" s="25"/>
      <c r="BU2589"/>
      <c r="BV2589"/>
      <c r="BW2589"/>
      <c r="BX2589"/>
      <c r="BY2589"/>
      <c r="BZ2589"/>
      <c r="CA2589"/>
      <c r="CB2589"/>
      <c r="CC2589"/>
      <c r="CD2589" s="25"/>
    </row>
    <row r="2590" spans="1:82" s="17" customFormat="1" x14ac:dyDescent="0.2">
      <c r="A2590" s="25"/>
      <c r="B2590" s="20">
        <v>39151714400</v>
      </c>
      <c r="C2590" s="20">
        <v>7144</v>
      </c>
      <c r="D2590" s="20" t="s">
        <v>81</v>
      </c>
      <c r="E2590" s="20" t="s">
        <v>2844</v>
      </c>
      <c r="F2590" s="20" t="s">
        <v>8</v>
      </c>
      <c r="G2590" s="861">
        <v>35.156771665910597</v>
      </c>
      <c r="H2590" s="861">
        <v>40.299772749468197</v>
      </c>
      <c r="I2590" s="861">
        <v>21.947880036076899</v>
      </c>
      <c r="J2590" s="861">
        <v>27.598072497913002</v>
      </c>
      <c r="K2590" s="982">
        <v>0</v>
      </c>
      <c r="L2590" s="735">
        <v>3719</v>
      </c>
      <c r="M2590" s="735">
        <v>4070</v>
      </c>
      <c r="N2590" s="845">
        <f t="shared" si="191"/>
        <v>9.4380209733799403E-2</v>
      </c>
      <c r="O2590" s="735">
        <v>6.2742017761618225</v>
      </c>
      <c r="P2590" s="735">
        <f t="shared" si="192"/>
        <v>648.68809534681236</v>
      </c>
      <c r="Q2590" s="849">
        <v>41.8</v>
      </c>
      <c r="R2590" s="71">
        <v>66780</v>
      </c>
      <c r="S2590" s="845">
        <v>0.12529304506381869</v>
      </c>
      <c r="T2590" s="845">
        <v>1.9E-2</v>
      </c>
      <c r="U2590" s="845">
        <v>2.3E-2</v>
      </c>
      <c r="V2590" s="845">
        <v>0</v>
      </c>
      <c r="W2590" s="845">
        <v>0.26143344709897609</v>
      </c>
      <c r="X2590" s="845">
        <v>0.36031331592689297</v>
      </c>
      <c r="Y2590" s="845">
        <v>0.82088452088452091</v>
      </c>
      <c r="Z2590" s="845">
        <v>0.13464373464373464</v>
      </c>
      <c r="AA2590" s="845">
        <v>0</v>
      </c>
      <c r="AB2590" s="845">
        <v>0</v>
      </c>
      <c r="AC2590" s="845">
        <v>0</v>
      </c>
      <c r="AD2590" s="845">
        <v>4.4226044226044229E-3</v>
      </c>
      <c r="AE2590" s="845">
        <v>4.004914004914005E-2</v>
      </c>
      <c r="AF2590" s="845">
        <v>2.8255528255528257E-2</v>
      </c>
      <c r="AG2590" s="845">
        <v>0.80835380835380832</v>
      </c>
      <c r="AH2590" s="20" t="str">
        <f t="shared" si="193"/>
        <v>No</v>
      </c>
      <c r="AI2590" s="25"/>
      <c r="AJ2590" s="25"/>
      <c r="AK2590" s="25"/>
      <c r="AL2590" s="25"/>
      <c r="AM2590" s="25"/>
      <c r="AN2590" s="25"/>
      <c r="AO2590" s="25"/>
      <c r="AP2590" s="25"/>
      <c r="AQ2590" s="25"/>
      <c r="AR2590" s="25"/>
      <c r="AS2590" s="25"/>
      <c r="AT2590" s="25"/>
      <c r="AU2590" s="36"/>
      <c r="AV2590" s="36"/>
      <c r="AW2590" s="36"/>
      <c r="AX2590" s="25"/>
      <c r="AY2590" s="25"/>
      <c r="AZ2590" s="25"/>
      <c r="BA2590" s="25"/>
      <c r="BB2590" s="25"/>
      <c r="BC2590" s="25"/>
      <c r="BD2590" s="25"/>
      <c r="BE2590" s="25"/>
      <c r="BF2590" s="25"/>
      <c r="BG2590" s="25"/>
      <c r="BH2590" s="25"/>
      <c r="BI2590" s="25"/>
      <c r="BJ2590" s="25"/>
      <c r="BK2590" s="25"/>
      <c r="BL2590" s="25"/>
      <c r="BM2590" s="25"/>
      <c r="BN2590" s="25"/>
      <c r="BO2590" s="25"/>
      <c r="BP2590" s="25"/>
      <c r="BQ2590" s="25"/>
      <c r="BR2590" s="25"/>
      <c r="BS2590" s="25"/>
      <c r="BT2590" s="25"/>
      <c r="BU2590"/>
      <c r="BV2590"/>
      <c r="BW2590"/>
      <c r="BX2590"/>
      <c r="BY2590"/>
      <c r="BZ2590"/>
      <c r="CA2590"/>
      <c r="CB2590"/>
      <c r="CC2590"/>
      <c r="CD2590" s="25"/>
    </row>
    <row r="2591" spans="1:82" s="17" customFormat="1" x14ac:dyDescent="0.2">
      <c r="A2591" s="25"/>
      <c r="B2591" s="20">
        <v>39095004200</v>
      </c>
      <c r="C2591" s="20">
        <v>42</v>
      </c>
      <c r="D2591" s="20" t="s">
        <v>53</v>
      </c>
      <c r="E2591" s="20" t="s">
        <v>2839</v>
      </c>
      <c r="F2591" s="20" t="s">
        <v>6</v>
      </c>
      <c r="G2591" s="861">
        <v>35.128720871216998</v>
      </c>
      <c r="H2591" s="861">
        <v>42.760288858422797</v>
      </c>
      <c r="I2591" s="861">
        <v>97.589368416459294</v>
      </c>
      <c r="J2591" s="861">
        <v>35.975571386006997</v>
      </c>
      <c r="K2591" s="982">
        <v>0</v>
      </c>
      <c r="L2591" s="735">
        <v>1600</v>
      </c>
      <c r="M2591" s="735">
        <v>1584</v>
      </c>
      <c r="N2591" s="845">
        <f t="shared" si="191"/>
        <v>-0.01</v>
      </c>
      <c r="O2591" s="735">
        <v>0.25727801507165993</v>
      </c>
      <c r="P2591" s="735">
        <f t="shared" si="192"/>
        <v>6156.7639176585171</v>
      </c>
      <c r="Q2591" s="849">
        <v>31.3</v>
      </c>
      <c r="R2591" s="71">
        <v>38063</v>
      </c>
      <c r="S2591" s="845">
        <v>0.33185560481317289</v>
      </c>
      <c r="T2591" s="845">
        <v>0.30299999999999999</v>
      </c>
      <c r="U2591" s="845">
        <v>7.8E-2</v>
      </c>
      <c r="V2591" s="845">
        <v>3.6000000000000004E-2</v>
      </c>
      <c r="W2591" s="845">
        <v>0.64571428571428569</v>
      </c>
      <c r="X2591" s="845">
        <v>0.51327433628318586</v>
      </c>
      <c r="Y2591" s="845">
        <v>0.35984848484848486</v>
      </c>
      <c r="Z2591" s="845">
        <v>0.10353535353535354</v>
      </c>
      <c r="AA2591" s="845">
        <v>0</v>
      </c>
      <c r="AB2591" s="845">
        <v>1.1363636363636364E-2</v>
      </c>
      <c r="AC2591" s="845">
        <v>4.671717171717172E-2</v>
      </c>
      <c r="AD2591" s="845">
        <v>0.35227272727272729</v>
      </c>
      <c r="AE2591" s="845">
        <v>0.12626262626262627</v>
      </c>
      <c r="AF2591" s="845">
        <v>0.46590909090909088</v>
      </c>
      <c r="AG2591" s="845">
        <v>0.33017676767676768</v>
      </c>
      <c r="AH2591" s="20" t="str">
        <f t="shared" si="193"/>
        <v>No</v>
      </c>
      <c r="AI2591" s="25"/>
      <c r="AJ2591" s="25"/>
      <c r="AK2591" s="25"/>
      <c r="AL2591" s="25"/>
      <c r="AM2591" s="25"/>
      <c r="AN2591" s="25"/>
      <c r="AO2591" s="25"/>
      <c r="AP2591" s="25"/>
      <c r="AQ2591" s="25"/>
      <c r="AR2591" s="25"/>
      <c r="AS2591" s="25"/>
      <c r="AT2591" s="25"/>
      <c r="AU2591" s="36"/>
      <c r="AV2591" s="36"/>
      <c r="AW2591" s="36"/>
      <c r="AX2591" s="25"/>
      <c r="AY2591" s="25"/>
      <c r="AZ2591" s="25"/>
      <c r="BA2591" s="25"/>
      <c r="BB2591" s="25"/>
      <c r="BC2591" s="25"/>
      <c r="BD2591" s="25"/>
      <c r="BE2591" s="25"/>
      <c r="BF2591" s="25"/>
      <c r="BG2591" s="25"/>
      <c r="BH2591" s="25"/>
      <c r="BI2591" s="25"/>
      <c r="BJ2591" s="25"/>
      <c r="BK2591" s="25"/>
      <c r="BL2591" s="25"/>
      <c r="BM2591" s="25"/>
      <c r="BN2591" s="25"/>
      <c r="BO2591" s="25"/>
      <c r="BP2591" s="25"/>
      <c r="BQ2591" s="25"/>
      <c r="BR2591" s="25"/>
      <c r="BS2591" s="25"/>
      <c r="BT2591" s="25"/>
      <c r="BU2591"/>
      <c r="BV2591"/>
      <c r="BW2591"/>
      <c r="BX2591"/>
      <c r="BY2591"/>
      <c r="BZ2591"/>
      <c r="CA2591"/>
      <c r="CB2591"/>
      <c r="CC2591"/>
      <c r="CD2591" s="25"/>
    </row>
    <row r="2592" spans="1:82" s="17" customFormat="1" x14ac:dyDescent="0.2">
      <c r="A2592" s="25"/>
      <c r="B2592" s="20">
        <v>39025042001</v>
      </c>
      <c r="C2592" s="20">
        <v>420.01</v>
      </c>
      <c r="D2592" s="20" t="s">
        <v>19</v>
      </c>
      <c r="E2592" s="20" t="s">
        <v>2828</v>
      </c>
      <c r="F2592" s="20" t="s">
        <v>8</v>
      </c>
      <c r="G2592" s="861">
        <v>35.119907780595099</v>
      </c>
      <c r="H2592" s="861">
        <v>53.185139797470498</v>
      </c>
      <c r="I2592" s="861">
        <v>31.051321951230001</v>
      </c>
      <c r="J2592" s="861">
        <v>53.014067503273502</v>
      </c>
      <c r="K2592" s="982">
        <v>0</v>
      </c>
      <c r="L2592" s="735" t="s">
        <v>2466</v>
      </c>
      <c r="M2592" s="735">
        <v>3446</v>
      </c>
      <c r="N2592" s="845" t="str">
        <f t="shared" si="191"/>
        <v/>
      </c>
      <c r="O2592" s="735">
        <v>36.536180469183698</v>
      </c>
      <c r="P2592" s="735">
        <f t="shared" si="192"/>
        <v>94.317467117464986</v>
      </c>
      <c r="Q2592" s="849">
        <v>42.1</v>
      </c>
      <c r="R2592" s="71">
        <v>61155</v>
      </c>
      <c r="S2592" s="845">
        <v>0.17846778874056879</v>
      </c>
      <c r="T2592" s="845">
        <v>3.1E-2</v>
      </c>
      <c r="U2592" s="845">
        <v>0</v>
      </c>
      <c r="V2592" s="845">
        <v>0</v>
      </c>
      <c r="W2592" s="845">
        <v>0.24904214559386972</v>
      </c>
      <c r="X2592" s="845">
        <v>0.4276923076923077</v>
      </c>
      <c r="Y2592" s="845">
        <v>0.99158444573418458</v>
      </c>
      <c r="Z2592" s="845">
        <v>0</v>
      </c>
      <c r="AA2592" s="845">
        <v>0</v>
      </c>
      <c r="AB2592" s="845">
        <v>2.6117237376668601E-3</v>
      </c>
      <c r="AC2592" s="845">
        <v>0</v>
      </c>
      <c r="AD2592" s="845">
        <v>0</v>
      </c>
      <c r="AE2592" s="845">
        <v>5.8038305281485781E-3</v>
      </c>
      <c r="AF2592" s="845">
        <v>4.323853743470691E-2</v>
      </c>
      <c r="AG2592" s="845">
        <v>0.94834590829947762</v>
      </c>
      <c r="AH2592" s="20" t="str">
        <f t="shared" si="193"/>
        <v>Yes</v>
      </c>
      <c r="AI2592" s="25"/>
      <c r="AJ2592" s="25"/>
      <c r="AK2592" s="25"/>
      <c r="AL2592" s="25"/>
      <c r="AM2592" s="25"/>
      <c r="AN2592" s="25"/>
      <c r="AO2592" s="25"/>
      <c r="AP2592" s="25"/>
      <c r="AQ2592" s="25"/>
      <c r="AR2592" s="25"/>
      <c r="AS2592" s="25"/>
      <c r="AT2592" s="25"/>
      <c r="AU2592" s="36"/>
      <c r="AV2592" s="36"/>
      <c r="AW2592" s="36"/>
      <c r="AX2592" s="25"/>
      <c r="AY2592" s="25"/>
      <c r="AZ2592" s="25"/>
      <c r="BA2592" s="25"/>
      <c r="BB2592" s="25"/>
      <c r="BC2592" s="25"/>
      <c r="BD2592" s="25"/>
      <c r="BE2592" s="25"/>
      <c r="BF2592" s="25"/>
      <c r="BG2592" s="25"/>
      <c r="BH2592" s="25"/>
      <c r="BI2592" s="25"/>
      <c r="BJ2592" s="25"/>
      <c r="BK2592" s="25"/>
      <c r="BL2592" s="25"/>
      <c r="BM2592" s="25"/>
      <c r="BN2592" s="25"/>
      <c r="BO2592" s="25"/>
      <c r="BP2592" s="25"/>
      <c r="BQ2592" s="25"/>
      <c r="BR2592" s="25"/>
      <c r="BS2592" s="25"/>
      <c r="BT2592" s="25"/>
      <c r="BU2592"/>
      <c r="BV2592"/>
      <c r="BW2592"/>
      <c r="BX2592"/>
      <c r="BY2592"/>
      <c r="BZ2592"/>
      <c r="CA2592"/>
      <c r="CB2592"/>
      <c r="CC2592"/>
      <c r="CD2592" s="25"/>
    </row>
    <row r="2593" spans="1:82" s="17" customFormat="1" x14ac:dyDescent="0.2">
      <c r="A2593" s="25"/>
      <c r="B2593" s="20">
        <v>39153507400</v>
      </c>
      <c r="C2593" s="20">
        <v>5074</v>
      </c>
      <c r="D2593" s="20" t="s">
        <v>82</v>
      </c>
      <c r="E2593" s="20" t="s">
        <v>2843</v>
      </c>
      <c r="F2593" s="20" t="s">
        <v>6</v>
      </c>
      <c r="G2593" s="861">
        <v>35.113333699888898</v>
      </c>
      <c r="H2593" s="861">
        <v>37.3371396097345</v>
      </c>
      <c r="I2593" s="861">
        <v>72.4863971570784</v>
      </c>
      <c r="J2593" s="861">
        <v>33.955151051757902</v>
      </c>
      <c r="K2593" s="982">
        <v>1</v>
      </c>
      <c r="L2593" s="735">
        <v>980</v>
      </c>
      <c r="M2593" s="735">
        <v>1343</v>
      </c>
      <c r="N2593" s="845">
        <f t="shared" si="191"/>
        <v>0.37040816326530612</v>
      </c>
      <c r="O2593" s="735">
        <v>0.77083519893070096</v>
      </c>
      <c r="P2593" s="735">
        <f t="shared" si="192"/>
        <v>1742.2660535779937</v>
      </c>
      <c r="Q2593" s="849">
        <v>47.2</v>
      </c>
      <c r="R2593" s="71">
        <v>36406</v>
      </c>
      <c r="S2593" s="845">
        <v>0.25141242937853109</v>
      </c>
      <c r="T2593" s="845">
        <v>0.185</v>
      </c>
      <c r="U2593" s="845">
        <v>0</v>
      </c>
      <c r="V2593" s="845">
        <v>9.5000000000000001E-2</v>
      </c>
      <c r="W2593" s="845">
        <v>0.55754475703324813</v>
      </c>
      <c r="X2593" s="845">
        <v>0.71100917431192656</v>
      </c>
      <c r="Y2593" s="845">
        <v>0.308265078183172</v>
      </c>
      <c r="Z2593" s="845">
        <v>0.48399106478034254</v>
      </c>
      <c r="AA2593" s="845">
        <v>0</v>
      </c>
      <c r="AB2593" s="845">
        <v>9.6053611317944904E-2</v>
      </c>
      <c r="AC2593" s="845">
        <v>0</v>
      </c>
      <c r="AD2593" s="845">
        <v>3.1273268801191363E-2</v>
      </c>
      <c r="AE2593" s="845">
        <v>8.0416976917349212E-2</v>
      </c>
      <c r="AF2593" s="845">
        <v>6.3291139240506333E-2</v>
      </c>
      <c r="AG2593" s="845">
        <v>0.308265078183172</v>
      </c>
      <c r="AH2593" s="20" t="str">
        <f t="shared" si="193"/>
        <v>No</v>
      </c>
      <c r="AI2593" s="25"/>
      <c r="AJ2593" s="25"/>
      <c r="AK2593" s="25"/>
      <c r="AL2593" s="25"/>
      <c r="AM2593" s="25"/>
      <c r="AN2593" s="25"/>
      <c r="AO2593" s="25"/>
      <c r="AP2593" s="25"/>
      <c r="AQ2593" s="25"/>
      <c r="AR2593" s="25"/>
      <c r="AS2593" s="25"/>
      <c r="AT2593" s="25"/>
      <c r="AU2593" s="36"/>
      <c r="AV2593" s="36"/>
      <c r="AW2593" s="36"/>
      <c r="AX2593" s="25"/>
      <c r="AY2593" s="25"/>
      <c r="AZ2593" s="25"/>
      <c r="BA2593" s="25"/>
      <c r="BB2593" s="25"/>
      <c r="BC2593" s="25"/>
      <c r="BD2593" s="25"/>
      <c r="BE2593" s="25"/>
      <c r="BF2593" s="25"/>
      <c r="BG2593" s="25"/>
      <c r="BH2593" s="25"/>
      <c r="BI2593" s="25"/>
      <c r="BJ2593" s="25"/>
      <c r="BK2593" s="25"/>
      <c r="BL2593" s="25"/>
      <c r="BM2593" s="25"/>
      <c r="BN2593" s="25"/>
      <c r="BO2593" s="25"/>
      <c r="BP2593" s="25"/>
      <c r="BQ2593" s="25"/>
      <c r="BR2593" s="25"/>
      <c r="BS2593" s="25"/>
      <c r="BT2593" s="25"/>
      <c r="BU2593"/>
      <c r="BV2593"/>
      <c r="BW2593"/>
      <c r="BX2593"/>
      <c r="BY2593"/>
      <c r="BZ2593"/>
      <c r="CA2593"/>
      <c r="CB2593"/>
      <c r="CC2593"/>
      <c r="CD2593" s="25"/>
    </row>
    <row r="2594" spans="1:82" s="17" customFormat="1" x14ac:dyDescent="0.2">
      <c r="A2594" s="25"/>
      <c r="B2594" s="20">
        <v>39095009700</v>
      </c>
      <c r="C2594" s="20">
        <v>97</v>
      </c>
      <c r="D2594" s="20" t="s">
        <v>53</v>
      </c>
      <c r="E2594" s="20" t="s">
        <v>2839</v>
      </c>
      <c r="F2594" s="20" t="s">
        <v>8</v>
      </c>
      <c r="G2594" s="861">
        <v>35.094819731858102</v>
      </c>
      <c r="H2594" s="861">
        <v>41.055447349858298</v>
      </c>
      <c r="I2594" s="861">
        <v>13.240662764776999</v>
      </c>
      <c r="J2594" s="861">
        <v>30.807461023217598</v>
      </c>
      <c r="K2594" s="982">
        <v>0</v>
      </c>
      <c r="L2594" s="735">
        <v>3093</v>
      </c>
      <c r="M2594" s="735">
        <v>2910</v>
      </c>
      <c r="N2594" s="845">
        <f t="shared" si="191"/>
        <v>-5.9165858389912708E-2</v>
      </c>
      <c r="O2594" s="735">
        <v>29.670984474133359</v>
      </c>
      <c r="P2594" s="735">
        <f t="shared" si="192"/>
        <v>98.075613316332209</v>
      </c>
      <c r="Q2594" s="849">
        <v>49.1</v>
      </c>
      <c r="R2594" s="71">
        <v>91136</v>
      </c>
      <c r="S2594" s="845">
        <v>0.10309278350515463</v>
      </c>
      <c r="T2594" s="845">
        <v>1.6E-2</v>
      </c>
      <c r="U2594" s="845">
        <v>3.7999999999999999E-2</v>
      </c>
      <c r="V2594" s="845">
        <v>0</v>
      </c>
      <c r="W2594" s="845">
        <v>7.0446735395189003E-2</v>
      </c>
      <c r="X2594" s="845">
        <v>0.26829268292682928</v>
      </c>
      <c r="Y2594" s="845">
        <v>0.91924398625429549</v>
      </c>
      <c r="Z2594" s="845">
        <v>0</v>
      </c>
      <c r="AA2594" s="845">
        <v>0</v>
      </c>
      <c r="AB2594" s="845">
        <v>0</v>
      </c>
      <c r="AC2594" s="845">
        <v>0</v>
      </c>
      <c r="AD2594" s="845">
        <v>2.6116838487972509E-2</v>
      </c>
      <c r="AE2594" s="845">
        <v>5.4639175257731959E-2</v>
      </c>
      <c r="AF2594" s="845">
        <v>6.5635738831615123E-2</v>
      </c>
      <c r="AG2594" s="845">
        <v>0.91924398625429549</v>
      </c>
      <c r="AH2594" s="20" t="str">
        <f t="shared" si="193"/>
        <v>Yes</v>
      </c>
      <c r="AI2594" s="25"/>
      <c r="AJ2594" s="25"/>
      <c r="AK2594" s="25"/>
      <c r="AL2594" s="25"/>
      <c r="AM2594" s="25"/>
      <c r="AN2594" s="25"/>
      <c r="AO2594" s="25"/>
      <c r="AP2594" s="25"/>
      <c r="AQ2594" s="25"/>
      <c r="AR2594" s="25"/>
      <c r="AS2594" s="25"/>
      <c r="AT2594" s="25"/>
      <c r="AU2594" s="36"/>
      <c r="AV2594" s="36"/>
      <c r="AW2594" s="36"/>
      <c r="AX2594" s="25"/>
      <c r="AY2594" s="25"/>
      <c r="AZ2594" s="25"/>
      <c r="BA2594" s="25"/>
      <c r="BB2594" s="25"/>
      <c r="BC2594" s="25"/>
      <c r="BD2594" s="25"/>
      <c r="BE2594" s="25"/>
      <c r="BF2594" s="25"/>
      <c r="BG2594" s="25"/>
      <c r="BH2594" s="25"/>
      <c r="BI2594" s="25"/>
      <c r="BJ2594" s="25"/>
      <c r="BK2594" s="25"/>
      <c r="BL2594" s="25"/>
      <c r="BM2594" s="25"/>
      <c r="BN2594" s="25"/>
      <c r="BO2594" s="25"/>
      <c r="BP2594" s="25"/>
      <c r="BQ2594" s="25"/>
      <c r="BR2594" s="25"/>
      <c r="BS2594" s="25"/>
      <c r="BT2594" s="25"/>
      <c r="BU2594"/>
      <c r="BV2594"/>
      <c r="BW2594"/>
      <c r="BX2594"/>
      <c r="BY2594"/>
      <c r="BZ2594"/>
      <c r="CA2594"/>
      <c r="CB2594"/>
      <c r="CC2594"/>
      <c r="CD2594" s="25"/>
    </row>
    <row r="2595" spans="1:82" s="17" customFormat="1" x14ac:dyDescent="0.2">
      <c r="A2595" s="25"/>
      <c r="B2595" s="20">
        <v>39003011000</v>
      </c>
      <c r="C2595" s="20">
        <v>110</v>
      </c>
      <c r="D2595" s="20" t="s">
        <v>7</v>
      </c>
      <c r="E2595" s="20" t="s">
        <v>2835</v>
      </c>
      <c r="F2595" s="20" t="s">
        <v>8</v>
      </c>
      <c r="G2595" s="861">
        <v>35.049831537187004</v>
      </c>
      <c r="H2595" s="861">
        <v>31.916010477557499</v>
      </c>
      <c r="I2595" s="861">
        <v>30.433160987657701</v>
      </c>
      <c r="J2595" s="861">
        <v>40.989931339964002</v>
      </c>
      <c r="K2595" s="982">
        <v>0</v>
      </c>
      <c r="L2595" s="735">
        <v>6456</v>
      </c>
      <c r="M2595" s="735">
        <v>5618</v>
      </c>
      <c r="N2595" s="845">
        <f t="shared" si="191"/>
        <v>-0.12980173482032217</v>
      </c>
      <c r="O2595" s="735">
        <v>5.2162142937405225</v>
      </c>
      <c r="P2595" s="735">
        <f t="shared" si="192"/>
        <v>1077.0263036818908</v>
      </c>
      <c r="Q2595" s="849">
        <v>40.1</v>
      </c>
      <c r="R2595" s="71">
        <v>56646</v>
      </c>
      <c r="S2595" s="845">
        <v>0.18732996502137583</v>
      </c>
      <c r="T2595" s="845">
        <v>0.10400000000000001</v>
      </c>
      <c r="U2595" s="845">
        <v>0</v>
      </c>
      <c r="V2595" s="845">
        <v>3.9E-2</v>
      </c>
      <c r="W2595" s="845">
        <v>0.40306946688206785</v>
      </c>
      <c r="X2595" s="845">
        <v>0.26052104208416832</v>
      </c>
      <c r="Y2595" s="845">
        <v>0.76237095051619796</v>
      </c>
      <c r="Z2595" s="845">
        <v>0.15112139551441794</v>
      </c>
      <c r="AA2595" s="845">
        <v>1.067995728017088E-3</v>
      </c>
      <c r="AB2595" s="845">
        <v>1.2637949448202207E-2</v>
      </c>
      <c r="AC2595" s="845">
        <v>0</v>
      </c>
      <c r="AD2595" s="845">
        <v>1.77999288002848E-2</v>
      </c>
      <c r="AE2595" s="845">
        <v>5.5001779992880029E-2</v>
      </c>
      <c r="AF2595" s="845">
        <v>5.2153791384834461E-2</v>
      </c>
      <c r="AG2595" s="845">
        <v>0.7415450338198647</v>
      </c>
      <c r="AH2595" s="20" t="str">
        <f t="shared" si="193"/>
        <v>No</v>
      </c>
      <c r="AI2595" s="25"/>
      <c r="AJ2595" s="25"/>
      <c r="AK2595" s="25"/>
      <c r="AL2595" s="25"/>
      <c r="AM2595" s="25"/>
      <c r="AN2595" s="25"/>
      <c r="AO2595" s="25"/>
      <c r="AP2595" s="25"/>
      <c r="AQ2595" s="25"/>
      <c r="AR2595" s="25"/>
      <c r="AS2595" s="25"/>
      <c r="AT2595" s="25"/>
      <c r="AU2595" s="36"/>
      <c r="AV2595" s="36"/>
      <c r="AW2595" s="36"/>
      <c r="AX2595" s="25"/>
      <c r="AY2595" s="25"/>
      <c r="AZ2595" s="25"/>
      <c r="BA2595" s="25"/>
      <c r="BB2595" s="25"/>
      <c r="BC2595" s="25"/>
      <c r="BD2595" s="25"/>
      <c r="BE2595" s="25"/>
      <c r="BF2595" s="25"/>
      <c r="BG2595" s="25"/>
      <c r="BH2595" s="25"/>
      <c r="BI2595" s="25"/>
      <c r="BJ2595" s="25"/>
      <c r="BK2595" s="25"/>
      <c r="BL2595" s="25"/>
      <c r="BM2595" s="25"/>
      <c r="BN2595" s="25"/>
      <c r="BO2595" s="25"/>
      <c r="BP2595" s="25"/>
      <c r="BQ2595" s="25"/>
      <c r="BR2595" s="25"/>
      <c r="BS2595" s="25"/>
      <c r="BT2595" s="25"/>
      <c r="BU2595"/>
      <c r="BV2595"/>
      <c r="BW2595"/>
      <c r="BX2595"/>
      <c r="BY2595"/>
      <c r="BZ2595"/>
      <c r="CA2595"/>
      <c r="CB2595"/>
      <c r="CC2595"/>
      <c r="CD2595" s="25"/>
    </row>
    <row r="2596" spans="1:82" s="17" customFormat="1" x14ac:dyDescent="0.2">
      <c r="A2596" s="25"/>
      <c r="B2596" s="20">
        <v>39153506600</v>
      </c>
      <c r="C2596" s="20">
        <v>5066</v>
      </c>
      <c r="D2596" s="20" t="s">
        <v>82</v>
      </c>
      <c r="E2596" s="20" t="s">
        <v>2843</v>
      </c>
      <c r="F2596" s="20" t="s">
        <v>6</v>
      </c>
      <c r="G2596" s="861">
        <v>35.037778604270798</v>
      </c>
      <c r="H2596" s="861">
        <v>27.806393234538799</v>
      </c>
      <c r="I2596" s="861">
        <v>48.122727064406</v>
      </c>
      <c r="J2596" s="861">
        <v>26.283196503585899</v>
      </c>
      <c r="K2596" s="982">
        <v>0</v>
      </c>
      <c r="L2596" s="735">
        <v>2802</v>
      </c>
      <c r="M2596" s="735">
        <v>2304</v>
      </c>
      <c r="N2596" s="845">
        <f t="shared" si="191"/>
        <v>-0.17773019271948609</v>
      </c>
      <c r="O2596" s="735">
        <v>0.31603311105547893</v>
      </c>
      <c r="P2596" s="735">
        <f t="shared" si="192"/>
        <v>7290.3753417012613</v>
      </c>
      <c r="Q2596" s="849">
        <v>41.6</v>
      </c>
      <c r="R2596" s="71">
        <v>21703</v>
      </c>
      <c r="S2596" s="845">
        <v>0.27647569444444442</v>
      </c>
      <c r="T2596" s="845">
        <v>0.155</v>
      </c>
      <c r="U2596" s="845">
        <v>0</v>
      </c>
      <c r="V2596" s="845">
        <v>3.2000000000000001E-2</v>
      </c>
      <c r="W2596" s="845">
        <v>0.76738609112709832</v>
      </c>
      <c r="X2596" s="845">
        <v>0.39374999999999999</v>
      </c>
      <c r="Y2596" s="845">
        <v>0.63368055555555558</v>
      </c>
      <c r="Z2596" s="845">
        <v>0.27300347222222221</v>
      </c>
      <c r="AA2596" s="845">
        <v>0</v>
      </c>
      <c r="AB2596" s="845">
        <v>3.6024305555555552E-2</v>
      </c>
      <c r="AC2596" s="845">
        <v>0</v>
      </c>
      <c r="AD2596" s="845">
        <v>1.2586805555555556E-2</v>
      </c>
      <c r="AE2596" s="845">
        <v>4.4704861111111112E-2</v>
      </c>
      <c r="AF2596" s="845">
        <v>2.6909722222222224E-2</v>
      </c>
      <c r="AG2596" s="845">
        <v>0.61935763888888884</v>
      </c>
      <c r="AH2596" s="20" t="str">
        <f t="shared" si="193"/>
        <v>No</v>
      </c>
      <c r="AI2596" s="25"/>
      <c r="AJ2596" s="25"/>
      <c r="AK2596" s="25"/>
      <c r="AL2596" s="25"/>
      <c r="AM2596" s="25"/>
      <c r="AN2596" s="25"/>
      <c r="AO2596" s="25"/>
      <c r="AP2596" s="25"/>
      <c r="AQ2596" s="25"/>
      <c r="AR2596" s="25"/>
      <c r="AS2596" s="25"/>
      <c r="AT2596" s="25"/>
      <c r="AU2596" s="36"/>
      <c r="AV2596" s="36"/>
      <c r="AW2596" s="36"/>
      <c r="AX2596" s="25"/>
      <c r="AY2596" s="25"/>
      <c r="AZ2596" s="25"/>
      <c r="BA2596" s="25"/>
      <c r="BB2596" s="25"/>
      <c r="BC2596" s="25"/>
      <c r="BD2596" s="25"/>
      <c r="BE2596" s="25"/>
      <c r="BF2596" s="25"/>
      <c r="BG2596" s="25"/>
      <c r="BH2596" s="25"/>
      <c r="BI2596" s="25"/>
      <c r="BJ2596" s="25"/>
      <c r="BK2596" s="25"/>
      <c r="BL2596" s="25"/>
      <c r="BM2596" s="25"/>
      <c r="BN2596" s="25"/>
      <c r="BO2596" s="25"/>
      <c r="BP2596" s="25"/>
      <c r="BQ2596" s="25"/>
      <c r="BR2596" s="25"/>
      <c r="BS2596" s="25"/>
      <c r="BT2596" s="25"/>
      <c r="BU2596"/>
      <c r="BV2596"/>
      <c r="BW2596"/>
      <c r="BX2596"/>
      <c r="BY2596"/>
      <c r="BZ2596"/>
      <c r="CA2596"/>
      <c r="CB2596"/>
      <c r="CC2596"/>
      <c r="CD2596" s="25"/>
    </row>
    <row r="2597" spans="1:82" s="17" customFormat="1" x14ac:dyDescent="0.2">
      <c r="A2597" s="25"/>
      <c r="B2597" s="20">
        <v>39057240700</v>
      </c>
      <c r="C2597" s="20">
        <v>2407</v>
      </c>
      <c r="D2597" s="20" t="s">
        <v>35</v>
      </c>
      <c r="E2597" s="20" t="s">
        <v>2833</v>
      </c>
      <c r="F2597" s="20" t="s">
        <v>8</v>
      </c>
      <c r="G2597" s="861">
        <v>35.011102768770499</v>
      </c>
      <c r="H2597" s="861">
        <v>44.354934913757397</v>
      </c>
      <c r="I2597" s="861">
        <v>31.1090675602182</v>
      </c>
      <c r="J2597" s="861">
        <v>46.807465626759097</v>
      </c>
      <c r="K2597" s="982">
        <v>0</v>
      </c>
      <c r="L2597" s="735">
        <v>2297</v>
      </c>
      <c r="M2597" s="735">
        <v>2903</v>
      </c>
      <c r="N2597" s="845">
        <f t="shared" si="191"/>
        <v>0.26382237701349587</v>
      </c>
      <c r="O2597" s="735">
        <v>14.049566428318469</v>
      </c>
      <c r="P2597" s="735">
        <f t="shared" si="192"/>
        <v>206.62559338120781</v>
      </c>
      <c r="Q2597" s="849">
        <v>36.200000000000003</v>
      </c>
      <c r="R2597" s="71">
        <v>66417</v>
      </c>
      <c r="S2597" s="845">
        <v>0.16096139839766935</v>
      </c>
      <c r="T2597" s="845">
        <v>2.7999999999999997E-2</v>
      </c>
      <c r="U2597" s="845">
        <v>9.5000000000000001E-2</v>
      </c>
      <c r="V2597" s="845">
        <v>0</v>
      </c>
      <c r="W2597" s="845">
        <v>0.20292504570383912</v>
      </c>
      <c r="X2597" s="845">
        <v>9.0090090090090086E-2</v>
      </c>
      <c r="Y2597" s="845">
        <v>0.9059593523940751</v>
      </c>
      <c r="Z2597" s="845">
        <v>1.1712022046159145E-2</v>
      </c>
      <c r="AA2597" s="845">
        <v>0</v>
      </c>
      <c r="AB2597" s="845">
        <v>0</v>
      </c>
      <c r="AC2597" s="845">
        <v>0</v>
      </c>
      <c r="AD2597" s="845">
        <v>6.2693765070616608E-2</v>
      </c>
      <c r="AE2597" s="845">
        <v>1.9634860489149156E-2</v>
      </c>
      <c r="AF2597" s="845">
        <v>4.4781260764726147E-2</v>
      </c>
      <c r="AG2597" s="845">
        <v>0.9059593523940751</v>
      </c>
      <c r="AH2597" s="20" t="str">
        <f t="shared" si="193"/>
        <v>Yes</v>
      </c>
      <c r="AI2597" s="25"/>
      <c r="AJ2597" s="25"/>
      <c r="AK2597" s="25"/>
      <c r="AL2597" s="25"/>
      <c r="AM2597" s="25"/>
      <c r="AN2597" s="25"/>
      <c r="AO2597" s="25"/>
      <c r="AP2597" s="25"/>
      <c r="AQ2597" s="25"/>
      <c r="AR2597" s="25"/>
      <c r="AS2597" s="25"/>
      <c r="AT2597" s="25"/>
      <c r="AU2597" s="36"/>
      <c r="AV2597" s="36"/>
      <c r="AW2597" s="36"/>
      <c r="AX2597" s="25"/>
      <c r="AY2597" s="25"/>
      <c r="AZ2597" s="25"/>
      <c r="BA2597" s="25"/>
      <c r="BB2597" s="25"/>
      <c r="BC2597" s="25"/>
      <c r="BD2597" s="25"/>
      <c r="BE2597" s="25"/>
      <c r="BF2597" s="25"/>
      <c r="BG2597" s="25"/>
      <c r="BH2597" s="25"/>
      <c r="BI2597" s="25"/>
      <c r="BJ2597" s="25"/>
      <c r="BK2597" s="25"/>
      <c r="BL2597" s="25"/>
      <c r="BM2597" s="25"/>
      <c r="BN2597" s="25"/>
      <c r="BO2597" s="25"/>
      <c r="BP2597" s="25"/>
      <c r="BQ2597" s="25"/>
      <c r="BR2597" s="25"/>
      <c r="BS2597" s="25"/>
      <c r="BT2597" s="25"/>
      <c r="BU2597"/>
      <c r="BV2597"/>
      <c r="BW2597"/>
      <c r="BX2597"/>
      <c r="BY2597"/>
      <c r="BZ2597"/>
      <c r="CA2597"/>
      <c r="CB2597"/>
      <c r="CC2597"/>
      <c r="CD2597" s="25"/>
    </row>
    <row r="2598" spans="1:82" s="17" customFormat="1" x14ac:dyDescent="0.2">
      <c r="A2598" s="25"/>
      <c r="B2598" s="20">
        <v>39099814100</v>
      </c>
      <c r="C2598" s="20">
        <v>8141</v>
      </c>
      <c r="D2598" s="20" t="s">
        <v>55</v>
      </c>
      <c r="E2598" s="20" t="s">
        <v>2842</v>
      </c>
      <c r="F2598" s="20" t="s">
        <v>6</v>
      </c>
      <c r="G2598" s="861">
        <v>34.990194964316103</v>
      </c>
      <c r="H2598" s="861">
        <v>15.659699676308</v>
      </c>
      <c r="I2598" s="861">
        <v>52.408730314640003</v>
      </c>
      <c r="J2598" s="861">
        <v>44.702093129159401</v>
      </c>
      <c r="K2598" s="982">
        <v>0</v>
      </c>
      <c r="L2598" s="735">
        <v>2596</v>
      </c>
      <c r="M2598" s="735">
        <v>2393</v>
      </c>
      <c r="N2598" s="845">
        <f t="shared" si="191"/>
        <v>-7.8197226502311243E-2</v>
      </c>
      <c r="O2598" s="735">
        <v>2.3367539706581897</v>
      </c>
      <c r="P2598" s="735">
        <f t="shared" si="192"/>
        <v>1024.0701546025266</v>
      </c>
      <c r="Q2598" s="849">
        <v>37.1</v>
      </c>
      <c r="R2598" s="71">
        <v>33479</v>
      </c>
      <c r="S2598" s="845">
        <v>0.29608446986361636</v>
      </c>
      <c r="T2598" s="845">
        <v>8.5000000000000006E-2</v>
      </c>
      <c r="U2598" s="845">
        <v>0</v>
      </c>
      <c r="V2598" s="845">
        <v>1.7000000000000001E-2</v>
      </c>
      <c r="W2598" s="845">
        <v>0.56280428432327168</v>
      </c>
      <c r="X2598" s="845">
        <v>0.3217993079584775</v>
      </c>
      <c r="Y2598" s="845">
        <v>0.48976180526535729</v>
      </c>
      <c r="Z2598" s="845">
        <v>0.43209360635185962</v>
      </c>
      <c r="AA2598" s="845">
        <v>0</v>
      </c>
      <c r="AB2598" s="845">
        <v>0</v>
      </c>
      <c r="AC2598" s="845">
        <v>0</v>
      </c>
      <c r="AD2598" s="845">
        <v>8.3577099874634353E-3</v>
      </c>
      <c r="AE2598" s="845">
        <v>6.9786878395319676E-2</v>
      </c>
      <c r="AF2598" s="845">
        <v>7.6890931884663602E-2</v>
      </c>
      <c r="AG2598" s="845">
        <v>0.45633096531550355</v>
      </c>
      <c r="AH2598" s="20" t="str">
        <f t="shared" si="193"/>
        <v>No</v>
      </c>
      <c r="AI2598" s="25"/>
      <c r="AJ2598" s="25"/>
      <c r="AK2598" s="25"/>
      <c r="AL2598" s="25"/>
      <c r="AM2598" s="25"/>
      <c r="AN2598" s="25"/>
      <c r="AO2598" s="25"/>
      <c r="AP2598" s="25"/>
      <c r="AQ2598" s="25"/>
      <c r="AR2598" s="25"/>
      <c r="AS2598" s="25"/>
      <c r="AT2598" s="25"/>
      <c r="AU2598" s="36"/>
      <c r="AV2598" s="36"/>
      <c r="AW2598" s="36"/>
      <c r="AX2598" s="25"/>
      <c r="AY2598" s="25"/>
      <c r="AZ2598" s="25"/>
      <c r="BA2598" s="25"/>
      <c r="BB2598" s="25"/>
      <c r="BC2598" s="25"/>
      <c r="BD2598" s="25"/>
      <c r="BE2598" s="25"/>
      <c r="BF2598" s="25"/>
      <c r="BG2598" s="25"/>
      <c r="BH2598" s="25"/>
      <c r="BI2598" s="25"/>
      <c r="BJ2598" s="25"/>
      <c r="BK2598" s="25"/>
      <c r="BL2598" s="25"/>
      <c r="BM2598" s="25"/>
      <c r="BN2598" s="25"/>
      <c r="BO2598" s="25"/>
      <c r="BP2598" s="25"/>
      <c r="BQ2598" s="25"/>
      <c r="BR2598" s="25"/>
      <c r="BS2598" s="25"/>
      <c r="BT2598" s="25"/>
      <c r="BU2598"/>
      <c r="BV2598"/>
      <c r="BW2598"/>
      <c r="BX2598"/>
      <c r="BY2598"/>
      <c r="BZ2598"/>
      <c r="CA2598"/>
      <c r="CB2598"/>
      <c r="CC2598"/>
      <c r="CD2598" s="25"/>
    </row>
    <row r="2599" spans="1:82" s="17" customFormat="1" x14ac:dyDescent="0.2">
      <c r="A2599" s="25"/>
      <c r="B2599" s="20">
        <v>39151711202</v>
      </c>
      <c r="C2599" s="20">
        <v>7112.02</v>
      </c>
      <c r="D2599" s="20" t="s">
        <v>81</v>
      </c>
      <c r="E2599" s="20" t="s">
        <v>2844</v>
      </c>
      <c r="F2599" s="20" t="s">
        <v>8</v>
      </c>
      <c r="G2599" s="861">
        <v>34.980776027938603</v>
      </c>
      <c r="H2599" s="861">
        <v>45.626434918928197</v>
      </c>
      <c r="I2599" s="861">
        <v>18.210235329342801</v>
      </c>
      <c r="J2599" s="861">
        <v>42.8392661300933</v>
      </c>
      <c r="K2599" s="982">
        <v>0</v>
      </c>
      <c r="L2599" s="735">
        <v>4152</v>
      </c>
      <c r="M2599" s="735">
        <v>4010</v>
      </c>
      <c r="N2599" s="845">
        <f t="shared" si="191"/>
        <v>-3.420038535645472E-2</v>
      </c>
      <c r="O2599" s="735">
        <v>22.010541971175304</v>
      </c>
      <c r="P2599" s="735">
        <f t="shared" si="192"/>
        <v>182.18542756700128</v>
      </c>
      <c r="Q2599" s="849">
        <v>46.5</v>
      </c>
      <c r="R2599" s="71">
        <v>81818</v>
      </c>
      <c r="S2599" s="845">
        <v>5.1987003249187702E-2</v>
      </c>
      <c r="T2599" s="845">
        <v>0.01</v>
      </c>
      <c r="U2599" s="845">
        <v>0</v>
      </c>
      <c r="V2599" s="845">
        <v>0</v>
      </c>
      <c r="W2599" s="845">
        <v>8.1012658227848103E-2</v>
      </c>
      <c r="X2599" s="845">
        <v>0.234375</v>
      </c>
      <c r="Y2599" s="845">
        <v>0.95660847880299249</v>
      </c>
      <c r="Z2599" s="845">
        <v>0</v>
      </c>
      <c r="AA2599" s="845">
        <v>0</v>
      </c>
      <c r="AB2599" s="845">
        <v>0</v>
      </c>
      <c r="AC2599" s="845">
        <v>0</v>
      </c>
      <c r="AD2599" s="845">
        <v>7.7306733167082295E-3</v>
      </c>
      <c r="AE2599" s="845">
        <v>3.5660847880299253E-2</v>
      </c>
      <c r="AF2599" s="845">
        <v>1.9950124688279301E-2</v>
      </c>
      <c r="AG2599" s="845">
        <v>0.95286783042394019</v>
      </c>
      <c r="AH2599" s="20" t="str">
        <f t="shared" si="193"/>
        <v>Yes</v>
      </c>
      <c r="AI2599" s="25"/>
      <c r="AJ2599" s="25"/>
      <c r="AK2599" s="25"/>
      <c r="AL2599" s="25"/>
      <c r="AM2599" s="25"/>
      <c r="AN2599" s="25"/>
      <c r="AO2599" s="25"/>
      <c r="AP2599" s="25"/>
      <c r="AQ2599" s="25"/>
      <c r="AR2599" s="25"/>
      <c r="AS2599" s="25"/>
      <c r="AT2599" s="25"/>
      <c r="AU2599" s="36"/>
      <c r="AV2599" s="36"/>
      <c r="AW2599" s="36"/>
      <c r="AX2599" s="25"/>
      <c r="AY2599" s="25"/>
      <c r="AZ2599" s="25"/>
      <c r="BA2599" s="25"/>
      <c r="BB2599" s="25"/>
      <c r="BC2599" s="25"/>
      <c r="BD2599" s="25"/>
      <c r="BE2599" s="25"/>
      <c r="BF2599" s="25"/>
      <c r="BG2599" s="25"/>
      <c r="BH2599" s="25"/>
      <c r="BI2599" s="25"/>
      <c r="BJ2599" s="25"/>
      <c r="BK2599" s="25"/>
      <c r="BL2599" s="25"/>
      <c r="BM2599" s="25"/>
      <c r="BN2599" s="25"/>
      <c r="BO2599" s="25"/>
      <c r="BP2599" s="25"/>
      <c r="BQ2599" s="25"/>
      <c r="BR2599" s="25"/>
      <c r="BS2599" s="25"/>
      <c r="BT2599" s="25"/>
      <c r="BU2599"/>
      <c r="BV2599"/>
      <c r="BW2599"/>
      <c r="BX2599"/>
      <c r="BY2599"/>
      <c r="BZ2599"/>
      <c r="CA2599"/>
      <c r="CB2599"/>
      <c r="CC2599"/>
      <c r="CD2599" s="25"/>
    </row>
    <row r="2600" spans="1:82" s="17" customFormat="1" x14ac:dyDescent="0.2">
      <c r="A2600" s="25"/>
      <c r="B2600" s="20">
        <v>39099813601</v>
      </c>
      <c r="C2600" s="20">
        <v>8136.01</v>
      </c>
      <c r="D2600" s="20" t="s">
        <v>55</v>
      </c>
      <c r="E2600" s="20" t="s">
        <v>2842</v>
      </c>
      <c r="F2600" s="20" t="s">
        <v>8</v>
      </c>
      <c r="G2600" s="861">
        <v>34.970182601868402</v>
      </c>
      <c r="H2600" s="861">
        <v>26.3110760762941</v>
      </c>
      <c r="I2600" s="861">
        <v>32.988884783847702</v>
      </c>
      <c r="J2600" s="861">
        <v>35.892937810178402</v>
      </c>
      <c r="K2600" s="982">
        <v>0</v>
      </c>
      <c r="L2600" s="735" t="s">
        <v>2466</v>
      </c>
      <c r="M2600" s="735">
        <v>5957</v>
      </c>
      <c r="N2600" s="845" t="str">
        <f t="shared" si="191"/>
        <v/>
      </c>
      <c r="O2600" s="735">
        <v>15.950701410748948</v>
      </c>
      <c r="P2600" s="735">
        <f t="shared" si="192"/>
        <v>373.46320055779262</v>
      </c>
      <c r="Q2600" s="849">
        <v>55.4</v>
      </c>
      <c r="R2600" s="71">
        <v>57681</v>
      </c>
      <c r="S2600" s="845">
        <v>6.4075993091537137E-2</v>
      </c>
      <c r="T2600" s="845">
        <v>2.7000000000000003E-2</v>
      </c>
      <c r="U2600" s="845">
        <v>1.4999999999999999E-2</v>
      </c>
      <c r="V2600" s="845">
        <v>0</v>
      </c>
      <c r="W2600" s="845">
        <v>0.21062839410395656</v>
      </c>
      <c r="X2600" s="845">
        <v>0.44935543278084716</v>
      </c>
      <c r="Y2600" s="845">
        <v>0.96189357058922276</v>
      </c>
      <c r="Z2600" s="845">
        <v>1.1079402383750209E-2</v>
      </c>
      <c r="AA2600" s="845">
        <v>0</v>
      </c>
      <c r="AB2600" s="845">
        <v>0</v>
      </c>
      <c r="AC2600" s="845">
        <v>0</v>
      </c>
      <c r="AD2600" s="845">
        <v>2.1823065301326172E-3</v>
      </c>
      <c r="AE2600" s="845">
        <v>2.4844720496894408E-2</v>
      </c>
      <c r="AF2600" s="845">
        <v>1.0407923451401712E-2</v>
      </c>
      <c r="AG2600" s="845">
        <v>0.96189357058922276</v>
      </c>
      <c r="AH2600" s="20" t="str">
        <f t="shared" si="193"/>
        <v>Yes</v>
      </c>
      <c r="AI2600" s="25"/>
      <c r="AJ2600" s="25"/>
      <c r="AK2600" s="25"/>
      <c r="AL2600" s="25"/>
      <c r="AM2600" s="25"/>
      <c r="AN2600" s="25"/>
      <c r="AO2600" s="25"/>
      <c r="AP2600" s="25"/>
      <c r="AQ2600" s="25"/>
      <c r="AR2600" s="25"/>
      <c r="AS2600" s="25"/>
      <c r="AT2600" s="25"/>
      <c r="AU2600" s="36"/>
      <c r="AV2600" s="36"/>
      <c r="AW2600" s="36"/>
      <c r="AX2600" s="25"/>
      <c r="AY2600" s="25"/>
      <c r="AZ2600" s="25"/>
      <c r="BA2600" s="25"/>
      <c r="BB2600" s="25"/>
      <c r="BC2600" s="25"/>
      <c r="BD2600" s="25"/>
      <c r="BE2600" s="25"/>
      <c r="BF2600" s="25"/>
      <c r="BG2600" s="25"/>
      <c r="BH2600" s="25"/>
      <c r="BI2600" s="25"/>
      <c r="BJ2600" s="25"/>
      <c r="BK2600" s="25"/>
      <c r="BL2600" s="25"/>
      <c r="BM2600" s="25"/>
      <c r="BN2600" s="25"/>
      <c r="BO2600" s="25"/>
      <c r="BP2600" s="25"/>
      <c r="BQ2600" s="25"/>
      <c r="BR2600" s="25"/>
      <c r="BS2600" s="25"/>
      <c r="BT2600" s="25"/>
      <c r="BU2600"/>
      <c r="BV2600"/>
      <c r="BW2600"/>
      <c r="BX2600"/>
      <c r="BY2600"/>
      <c r="BZ2600"/>
      <c r="CA2600"/>
      <c r="CB2600"/>
      <c r="CC2600"/>
      <c r="CD2600" s="25"/>
    </row>
    <row r="2601" spans="1:82" s="17" customFormat="1" x14ac:dyDescent="0.2">
      <c r="A2601" s="25"/>
      <c r="B2601" s="20">
        <v>39119912200</v>
      </c>
      <c r="C2601" s="20">
        <v>9122</v>
      </c>
      <c r="D2601" s="20" t="s">
        <v>65</v>
      </c>
      <c r="E2601" s="20" t="s">
        <v>265</v>
      </c>
      <c r="F2601" s="20" t="s">
        <v>8</v>
      </c>
      <c r="G2601" s="861">
        <v>34.927066536595298</v>
      </c>
      <c r="H2601" s="861">
        <v>38.752666717136002</v>
      </c>
      <c r="I2601" s="861">
        <v>47.817489874533301</v>
      </c>
      <c r="J2601" s="861">
        <v>52.959886826041704</v>
      </c>
      <c r="K2601" s="982">
        <v>0</v>
      </c>
      <c r="L2601" s="735">
        <v>3365</v>
      </c>
      <c r="M2601" s="735">
        <v>3492</v>
      </c>
      <c r="N2601" s="845">
        <f t="shared" si="191"/>
        <v>3.7741456166419017E-2</v>
      </c>
      <c r="O2601" s="735">
        <v>1.2032738636780846</v>
      </c>
      <c r="P2601" s="735">
        <f t="shared" si="192"/>
        <v>2902.0824813113577</v>
      </c>
      <c r="Q2601" s="849">
        <v>30.3</v>
      </c>
      <c r="R2601" s="71">
        <v>49359</v>
      </c>
      <c r="S2601" s="845">
        <v>0.20733468091250362</v>
      </c>
      <c r="T2601" s="845">
        <v>6.9000000000000006E-2</v>
      </c>
      <c r="U2601" s="845">
        <v>0</v>
      </c>
      <c r="V2601" s="845">
        <v>3.2000000000000001E-2</v>
      </c>
      <c r="W2601" s="845">
        <v>0.5</v>
      </c>
      <c r="X2601" s="845">
        <v>0.48159509202453987</v>
      </c>
      <c r="Y2601" s="845">
        <v>0.74112256586483394</v>
      </c>
      <c r="Z2601" s="845">
        <v>0.1234249713631157</v>
      </c>
      <c r="AA2601" s="845">
        <v>1.145475372279496E-3</v>
      </c>
      <c r="AB2601" s="845">
        <v>0</v>
      </c>
      <c r="AC2601" s="845">
        <v>0</v>
      </c>
      <c r="AD2601" s="845">
        <v>1.2600229095074456E-2</v>
      </c>
      <c r="AE2601" s="845">
        <v>0.12170675830469645</v>
      </c>
      <c r="AF2601" s="845">
        <v>1.6036655211912942E-2</v>
      </c>
      <c r="AG2601" s="845">
        <v>0.74112256586483394</v>
      </c>
      <c r="AH2601" s="20" t="str">
        <f t="shared" si="193"/>
        <v>No</v>
      </c>
      <c r="AI2601" s="25"/>
      <c r="AJ2601" s="25"/>
      <c r="AK2601" s="25"/>
      <c r="AL2601" s="25"/>
      <c r="AM2601" s="25"/>
      <c r="AN2601" s="25"/>
      <c r="AO2601" s="25"/>
      <c r="AP2601" s="25"/>
      <c r="AQ2601" s="25"/>
      <c r="AR2601" s="25"/>
      <c r="AS2601" s="25"/>
      <c r="AT2601" s="25"/>
      <c r="AU2601" s="36"/>
      <c r="AV2601" s="36"/>
      <c r="AW2601" s="36"/>
      <c r="AX2601" s="25"/>
      <c r="AY2601" s="25"/>
      <c r="AZ2601" s="25"/>
      <c r="BA2601" s="25"/>
      <c r="BB2601" s="25"/>
      <c r="BC2601" s="25"/>
      <c r="BD2601" s="25"/>
      <c r="BE2601" s="25"/>
      <c r="BF2601" s="25"/>
      <c r="BG2601" s="25"/>
      <c r="BH2601" s="25"/>
      <c r="BI2601" s="25"/>
      <c r="BJ2601" s="25"/>
      <c r="BK2601" s="25"/>
      <c r="BL2601" s="25"/>
      <c r="BM2601" s="25"/>
      <c r="BN2601" s="25"/>
      <c r="BO2601" s="25"/>
      <c r="BP2601" s="25"/>
      <c r="BQ2601" s="25"/>
      <c r="BR2601" s="25"/>
      <c r="BS2601" s="25"/>
      <c r="BT2601" s="25"/>
      <c r="BU2601"/>
      <c r="BV2601"/>
      <c r="BW2601"/>
      <c r="BX2601"/>
      <c r="BY2601"/>
      <c r="BZ2601"/>
      <c r="CA2601"/>
      <c r="CB2601"/>
      <c r="CC2601"/>
      <c r="CD2601" s="25"/>
    </row>
    <row r="2602" spans="1:82" s="17" customFormat="1" x14ac:dyDescent="0.2">
      <c r="A2602" s="25"/>
      <c r="B2602" s="20">
        <v>39029951800</v>
      </c>
      <c r="C2602" s="20">
        <v>9518</v>
      </c>
      <c r="D2602" s="20" t="s">
        <v>21</v>
      </c>
      <c r="E2602" s="20" t="s">
        <v>265</v>
      </c>
      <c r="F2602" s="20" t="s">
        <v>6</v>
      </c>
      <c r="G2602" s="861">
        <v>34.887324834511801</v>
      </c>
      <c r="H2602" s="861">
        <v>37.081278128469499</v>
      </c>
      <c r="I2602" s="861">
        <v>82.312113518691604</v>
      </c>
      <c r="J2602" s="861">
        <v>40.489141677294597</v>
      </c>
      <c r="K2602" s="982">
        <v>0</v>
      </c>
      <c r="L2602" s="735">
        <v>3289</v>
      </c>
      <c r="M2602" s="735">
        <v>2688</v>
      </c>
      <c r="N2602" s="845">
        <f t="shared" si="191"/>
        <v>-0.18273031316509578</v>
      </c>
      <c r="O2602" s="735">
        <v>0.80967475947215839</v>
      </c>
      <c r="P2602" s="735">
        <f t="shared" si="192"/>
        <v>3319.8515435412064</v>
      </c>
      <c r="Q2602" s="849">
        <v>39.4</v>
      </c>
      <c r="R2602" s="71">
        <v>27386</v>
      </c>
      <c r="S2602" s="845">
        <v>0.32403273809523808</v>
      </c>
      <c r="T2602" s="845">
        <v>3.6000000000000004E-2</v>
      </c>
      <c r="U2602" s="845">
        <v>0</v>
      </c>
      <c r="V2602" s="845">
        <v>0.04</v>
      </c>
      <c r="W2602" s="845">
        <v>0.44367283950617287</v>
      </c>
      <c r="X2602" s="845">
        <v>0.54434782608695653</v>
      </c>
      <c r="Y2602" s="845">
        <v>0.87686011904761907</v>
      </c>
      <c r="Z2602" s="845">
        <v>8.0357142857142863E-2</v>
      </c>
      <c r="AA2602" s="845">
        <v>0</v>
      </c>
      <c r="AB2602" s="845">
        <v>0</v>
      </c>
      <c r="AC2602" s="845">
        <v>0</v>
      </c>
      <c r="AD2602" s="845">
        <v>0</v>
      </c>
      <c r="AE2602" s="845">
        <v>4.2782738095238096E-2</v>
      </c>
      <c r="AF2602" s="845">
        <v>1.8229166666666668E-2</v>
      </c>
      <c r="AG2602" s="845">
        <v>0.85863095238095233</v>
      </c>
      <c r="AH2602" s="20" t="str">
        <f t="shared" si="193"/>
        <v>No</v>
      </c>
      <c r="AI2602" s="25"/>
      <c r="AJ2602" s="25"/>
      <c r="AK2602" s="25"/>
      <c r="AL2602" s="25"/>
      <c r="AM2602" s="25"/>
      <c r="AN2602" s="25"/>
      <c r="AO2602" s="25"/>
      <c r="AP2602" s="25"/>
      <c r="AQ2602" s="25"/>
      <c r="AR2602" s="25"/>
      <c r="AS2602" s="25"/>
      <c r="AT2602" s="25"/>
      <c r="AU2602" s="36"/>
      <c r="AV2602" s="36"/>
      <c r="AW2602" s="36"/>
      <c r="AX2602" s="25"/>
      <c r="AY2602" s="25"/>
      <c r="AZ2602" s="25"/>
      <c r="BA2602" s="25"/>
      <c r="BB2602" s="25"/>
      <c r="BC2602" s="25"/>
      <c r="BD2602" s="25"/>
      <c r="BE2602" s="25"/>
      <c r="BF2602" s="25"/>
      <c r="BG2602" s="25"/>
      <c r="BH2602" s="25"/>
      <c r="BI2602" s="25"/>
      <c r="BJ2602" s="25"/>
      <c r="BK2602" s="25"/>
      <c r="BL2602" s="25"/>
      <c r="BM2602" s="25"/>
      <c r="BN2602" s="25"/>
      <c r="BO2602" s="25"/>
      <c r="BP2602" s="25"/>
      <c r="BQ2602" s="25"/>
      <c r="BR2602" s="25"/>
      <c r="BS2602" s="25"/>
      <c r="BT2602" s="25"/>
      <c r="BU2602"/>
      <c r="BV2602"/>
      <c r="BW2602"/>
      <c r="BX2602"/>
      <c r="BY2602"/>
      <c r="BZ2602"/>
      <c r="CA2602"/>
      <c r="CB2602"/>
      <c r="CC2602"/>
      <c r="CD2602" s="25"/>
    </row>
    <row r="2603" spans="1:82" s="17" customFormat="1" x14ac:dyDescent="0.2">
      <c r="A2603" s="25"/>
      <c r="B2603" s="20">
        <v>39167021300</v>
      </c>
      <c r="C2603" s="20">
        <v>213</v>
      </c>
      <c r="D2603" s="20" t="s">
        <v>89</v>
      </c>
      <c r="E2603" s="20" t="s">
        <v>265</v>
      </c>
      <c r="F2603" s="20" t="s">
        <v>8</v>
      </c>
      <c r="G2603" s="861">
        <v>34.887070066760003</v>
      </c>
      <c r="H2603" s="861">
        <v>29.8899402497747</v>
      </c>
      <c r="I2603" s="861">
        <v>22.048304509405899</v>
      </c>
      <c r="J2603" s="861">
        <v>45.155967013786302</v>
      </c>
      <c r="K2603" s="982">
        <v>0</v>
      </c>
      <c r="L2603" s="735">
        <v>4972</v>
      </c>
      <c r="M2603" s="735">
        <v>4702</v>
      </c>
      <c r="N2603" s="845">
        <f t="shared" si="191"/>
        <v>-5.4304102976669349E-2</v>
      </c>
      <c r="O2603" s="735">
        <v>84.132050320493562</v>
      </c>
      <c r="P2603" s="735">
        <f t="shared" si="192"/>
        <v>55.888332473631024</v>
      </c>
      <c r="Q2603" s="849">
        <v>44.3</v>
      </c>
      <c r="R2603" s="71">
        <v>51894</v>
      </c>
      <c r="S2603" s="845">
        <v>0.13442481688927185</v>
      </c>
      <c r="T2603" s="845">
        <v>0.02</v>
      </c>
      <c r="U2603" s="845">
        <v>2.8999999999999998E-2</v>
      </c>
      <c r="V2603" s="845">
        <v>4.0999999999999995E-2</v>
      </c>
      <c r="W2603" s="845">
        <v>0.23667377398720682</v>
      </c>
      <c r="X2603" s="845">
        <v>0.26576576576576577</v>
      </c>
      <c r="Y2603" s="845">
        <v>0.9510846448319864</v>
      </c>
      <c r="Z2603" s="845">
        <v>2.3394300297745639E-3</v>
      </c>
      <c r="AA2603" s="845">
        <v>1.2760527435133985E-2</v>
      </c>
      <c r="AB2603" s="845">
        <v>1.0633772862611655E-3</v>
      </c>
      <c r="AC2603" s="845">
        <v>0</v>
      </c>
      <c r="AD2603" s="845">
        <v>9.5703955763504888E-3</v>
      </c>
      <c r="AE2603" s="845">
        <v>2.3181624840493405E-2</v>
      </c>
      <c r="AF2603" s="845">
        <v>2.6159081242024672E-2</v>
      </c>
      <c r="AG2603" s="845">
        <v>0.94130157379838364</v>
      </c>
      <c r="AH2603" s="20" t="str">
        <f t="shared" si="193"/>
        <v>Yes</v>
      </c>
      <c r="AI2603" s="25"/>
      <c r="AJ2603" s="25"/>
      <c r="AK2603" s="25"/>
      <c r="AL2603" s="25"/>
      <c r="AM2603" s="25"/>
      <c r="AN2603" s="25"/>
      <c r="AO2603" s="25"/>
      <c r="AP2603" s="25"/>
      <c r="AQ2603" s="25"/>
      <c r="AR2603" s="25"/>
      <c r="AS2603" s="25"/>
      <c r="AT2603" s="25"/>
      <c r="AU2603" s="36"/>
      <c r="AV2603" s="36"/>
      <c r="AW2603" s="36"/>
      <c r="AX2603" s="25"/>
      <c r="AY2603" s="25"/>
      <c r="AZ2603" s="25"/>
      <c r="BA2603" s="25"/>
      <c r="BB2603" s="25"/>
      <c r="BC2603" s="25"/>
      <c r="BD2603" s="25"/>
      <c r="BE2603" s="25"/>
      <c r="BF2603" s="25"/>
      <c r="BG2603" s="25"/>
      <c r="BH2603" s="25"/>
      <c r="BI2603" s="25"/>
      <c r="BJ2603" s="25"/>
      <c r="BK2603" s="25"/>
      <c r="BL2603" s="25"/>
      <c r="BM2603" s="25"/>
      <c r="BN2603" s="25"/>
      <c r="BO2603" s="25"/>
      <c r="BP2603" s="25"/>
      <c r="BQ2603" s="25"/>
      <c r="BR2603" s="25"/>
      <c r="BS2603" s="25"/>
      <c r="BT2603" s="25"/>
      <c r="BU2603"/>
      <c r="BV2603"/>
      <c r="BW2603"/>
      <c r="BX2603"/>
      <c r="BY2603"/>
      <c r="BZ2603"/>
      <c r="CA2603"/>
      <c r="CB2603"/>
      <c r="CC2603"/>
      <c r="CD2603" s="25"/>
    </row>
    <row r="2604" spans="1:82" s="17" customFormat="1" x14ac:dyDescent="0.2">
      <c r="A2604" s="25"/>
      <c r="B2604" s="20">
        <v>39035118800</v>
      </c>
      <c r="C2604" s="20">
        <v>1188</v>
      </c>
      <c r="D2604" s="20" t="s">
        <v>24</v>
      </c>
      <c r="E2604" s="20" t="s">
        <v>2829</v>
      </c>
      <c r="F2604" s="20" t="s">
        <v>6</v>
      </c>
      <c r="G2604" s="861">
        <v>34.883807310582</v>
      </c>
      <c r="H2604" s="861">
        <v>59.543700986418202</v>
      </c>
      <c r="I2604" s="861">
        <v>64.670704334011006</v>
      </c>
      <c r="J2604" s="861">
        <v>30.583904124739899</v>
      </c>
      <c r="K2604" s="982">
        <v>0</v>
      </c>
      <c r="L2604" s="735">
        <v>2740</v>
      </c>
      <c r="M2604" s="735">
        <v>2888</v>
      </c>
      <c r="N2604" s="845">
        <f t="shared" si="191"/>
        <v>5.4014598540145987E-2</v>
      </c>
      <c r="O2604" s="735">
        <v>0.44542945797538819</v>
      </c>
      <c r="P2604" s="735">
        <f t="shared" si="192"/>
        <v>6483.6304566088529</v>
      </c>
      <c r="Q2604" s="849">
        <v>25.7</v>
      </c>
      <c r="R2604" s="71">
        <v>23472</v>
      </c>
      <c r="S2604" s="845">
        <v>0.41922739244951712</v>
      </c>
      <c r="T2604" s="845">
        <v>2.5000000000000001E-2</v>
      </c>
      <c r="U2604" s="845">
        <v>0</v>
      </c>
      <c r="V2604" s="845">
        <v>2.2000000000000002E-2</v>
      </c>
      <c r="W2604" s="845">
        <v>0.84294871794871795</v>
      </c>
      <c r="X2604" s="845">
        <v>0.57262357414448672</v>
      </c>
      <c r="Y2604" s="845">
        <v>0.58275623268698062</v>
      </c>
      <c r="Z2604" s="845">
        <v>0.16620498614958448</v>
      </c>
      <c r="AA2604" s="845">
        <v>6.9252077562326868E-3</v>
      </c>
      <c r="AB2604" s="845">
        <v>0.17105263157894737</v>
      </c>
      <c r="AC2604" s="845">
        <v>0</v>
      </c>
      <c r="AD2604" s="845">
        <v>5.5401662049861496E-3</v>
      </c>
      <c r="AE2604" s="845">
        <v>6.7520775623268692E-2</v>
      </c>
      <c r="AF2604" s="845">
        <v>6.3365650969529091E-2</v>
      </c>
      <c r="AG2604" s="845">
        <v>0.55297783933518008</v>
      </c>
      <c r="AH2604" s="20" t="str">
        <f t="shared" si="193"/>
        <v>No</v>
      </c>
      <c r="AI2604" s="25"/>
      <c r="AJ2604" s="25"/>
      <c r="AK2604" s="25"/>
      <c r="AL2604" s="25"/>
      <c r="AM2604" s="25"/>
      <c r="AN2604" s="25"/>
      <c r="AO2604" s="25"/>
      <c r="AP2604" s="25"/>
      <c r="AQ2604" s="25"/>
      <c r="AR2604" s="25"/>
      <c r="AS2604" s="25"/>
      <c r="AT2604" s="25"/>
      <c r="AU2604" s="36"/>
      <c r="AV2604" s="36"/>
      <c r="AW2604" s="36"/>
      <c r="AX2604" s="25"/>
      <c r="AY2604" s="25"/>
      <c r="AZ2604" s="25"/>
      <c r="BA2604" s="25"/>
      <c r="BB2604" s="25"/>
      <c r="BC2604" s="25"/>
      <c r="BD2604" s="25"/>
      <c r="BE2604" s="25"/>
      <c r="BF2604" s="25"/>
      <c r="BG2604" s="25"/>
      <c r="BH2604" s="25"/>
      <c r="BI2604" s="25"/>
      <c r="BJ2604" s="25"/>
      <c r="BK2604" s="25"/>
      <c r="BL2604" s="25"/>
      <c r="BM2604" s="25"/>
      <c r="BN2604" s="25"/>
      <c r="BO2604" s="25"/>
      <c r="BP2604" s="25"/>
      <c r="BQ2604" s="25"/>
      <c r="BR2604" s="25"/>
      <c r="BS2604" s="25"/>
      <c r="BT2604" s="25"/>
      <c r="BU2604"/>
      <c r="BV2604"/>
      <c r="BW2604"/>
      <c r="BX2604"/>
      <c r="BY2604"/>
      <c r="BZ2604"/>
      <c r="CA2604"/>
      <c r="CB2604"/>
      <c r="CC2604"/>
      <c r="CD2604" s="25"/>
    </row>
    <row r="2605" spans="1:82" s="17" customFormat="1" x14ac:dyDescent="0.2">
      <c r="A2605" s="25"/>
      <c r="B2605" s="20">
        <v>39025040203</v>
      </c>
      <c r="C2605" s="20">
        <v>402.03</v>
      </c>
      <c r="D2605" s="20" t="s">
        <v>19</v>
      </c>
      <c r="E2605" s="20" t="s">
        <v>2828</v>
      </c>
      <c r="F2605" s="20" t="s">
        <v>8</v>
      </c>
      <c r="G2605" s="861">
        <v>34.8778730789547</v>
      </c>
      <c r="H2605" s="861">
        <v>56.851034697942097</v>
      </c>
      <c r="I2605" s="861">
        <v>17.224865870269799</v>
      </c>
      <c r="J2605" s="861">
        <v>57.4023334725144</v>
      </c>
      <c r="K2605" s="982">
        <v>0</v>
      </c>
      <c r="L2605" s="735">
        <v>6511</v>
      </c>
      <c r="M2605" s="735">
        <v>6192</v>
      </c>
      <c r="N2605" s="845">
        <f t="shared" si="191"/>
        <v>-4.8994010136691753E-2</v>
      </c>
      <c r="O2605" s="735">
        <v>12.16362611023724</v>
      </c>
      <c r="P2605" s="735">
        <f t="shared" si="192"/>
        <v>509.05872507776638</v>
      </c>
      <c r="Q2605" s="849">
        <v>45.7</v>
      </c>
      <c r="R2605" s="71">
        <v>80833</v>
      </c>
      <c r="S2605" s="845">
        <v>5.4650205761316871E-2</v>
      </c>
      <c r="T2605" s="845">
        <v>1.4999999999999999E-2</v>
      </c>
      <c r="U2605" s="845">
        <v>0</v>
      </c>
      <c r="V2605" s="845">
        <v>0</v>
      </c>
      <c r="W2605" s="845">
        <v>6.8593615185504747E-2</v>
      </c>
      <c r="X2605" s="845">
        <v>0</v>
      </c>
      <c r="Y2605" s="845">
        <v>0.95914082687338498</v>
      </c>
      <c r="Z2605" s="845">
        <v>0</v>
      </c>
      <c r="AA2605" s="845">
        <v>0</v>
      </c>
      <c r="AB2605" s="845">
        <v>0</v>
      </c>
      <c r="AC2605" s="845">
        <v>0</v>
      </c>
      <c r="AD2605" s="845">
        <v>0</v>
      </c>
      <c r="AE2605" s="845">
        <v>4.0859173126614988E-2</v>
      </c>
      <c r="AF2605" s="845">
        <v>8.3979328165374682E-3</v>
      </c>
      <c r="AG2605" s="845">
        <v>0.95914082687338498</v>
      </c>
      <c r="AH2605" s="20" t="str">
        <f t="shared" si="193"/>
        <v>Yes</v>
      </c>
      <c r="AI2605" s="25"/>
      <c r="AJ2605" s="25"/>
      <c r="AK2605" s="25"/>
      <c r="AL2605" s="25"/>
      <c r="AM2605" s="25"/>
      <c r="AN2605" s="25"/>
      <c r="AO2605" s="25"/>
      <c r="AP2605" s="25"/>
      <c r="AQ2605" s="25"/>
      <c r="AR2605" s="25"/>
      <c r="AS2605" s="25"/>
      <c r="AT2605" s="25"/>
      <c r="AU2605" s="36"/>
      <c r="AV2605" s="36"/>
      <c r="AW2605" s="36"/>
      <c r="AX2605" s="25"/>
      <c r="AY2605" s="25"/>
      <c r="AZ2605" s="25"/>
      <c r="BA2605" s="25"/>
      <c r="BB2605" s="25"/>
      <c r="BC2605" s="25"/>
      <c r="BD2605" s="25"/>
      <c r="BE2605" s="25"/>
      <c r="BF2605" s="25"/>
      <c r="BG2605" s="25"/>
      <c r="BH2605" s="25"/>
      <c r="BI2605" s="25"/>
      <c r="BJ2605" s="25"/>
      <c r="BK2605" s="25"/>
      <c r="BL2605" s="25"/>
      <c r="BM2605" s="25"/>
      <c r="BN2605" s="25"/>
      <c r="BO2605" s="25"/>
      <c r="BP2605" s="25"/>
      <c r="BQ2605" s="25"/>
      <c r="BR2605" s="25"/>
      <c r="BS2605" s="25"/>
      <c r="BT2605" s="25"/>
      <c r="BU2605"/>
      <c r="BV2605"/>
      <c r="BW2605"/>
      <c r="BX2605"/>
      <c r="BY2605"/>
      <c r="BZ2605"/>
      <c r="CA2605"/>
      <c r="CB2605"/>
      <c r="CC2605"/>
      <c r="CD2605" s="25"/>
    </row>
    <row r="2606" spans="1:82" s="17" customFormat="1" x14ac:dyDescent="0.2">
      <c r="A2606" s="25"/>
      <c r="B2606" s="20">
        <v>39061021702</v>
      </c>
      <c r="C2606" s="20">
        <v>217.02</v>
      </c>
      <c r="D2606" s="20" t="s">
        <v>37</v>
      </c>
      <c r="E2606" s="20" t="s">
        <v>2828</v>
      </c>
      <c r="F2606" s="20" t="s">
        <v>6</v>
      </c>
      <c r="G2606" s="861">
        <v>34.876033202943603</v>
      </c>
      <c r="H2606" s="861">
        <v>40.761148070792203</v>
      </c>
      <c r="I2606" s="861">
        <v>40.271564072231001</v>
      </c>
      <c r="J2606" s="861">
        <v>32.425213392538303</v>
      </c>
      <c r="K2606" s="982">
        <v>0</v>
      </c>
      <c r="L2606" s="735">
        <v>4491</v>
      </c>
      <c r="M2606" s="735">
        <v>4374</v>
      </c>
      <c r="N2606" s="845">
        <f t="shared" si="191"/>
        <v>-2.6052104208416832E-2</v>
      </c>
      <c r="O2606" s="735">
        <v>0.84324132283371755</v>
      </c>
      <c r="P2606" s="735">
        <f t="shared" si="192"/>
        <v>5187.1271978241612</v>
      </c>
      <c r="Q2606" s="849">
        <v>34.299999999999997</v>
      </c>
      <c r="R2606" s="71">
        <v>42021</v>
      </c>
      <c r="S2606" s="845">
        <v>0.26969981238273921</v>
      </c>
      <c r="T2606" s="845">
        <v>8.6999999999999994E-2</v>
      </c>
      <c r="U2606" s="845">
        <v>0</v>
      </c>
      <c r="V2606" s="845">
        <v>0.02</v>
      </c>
      <c r="W2606" s="845">
        <v>0.59290629962943353</v>
      </c>
      <c r="X2606" s="845">
        <v>0.49107142857142855</v>
      </c>
      <c r="Y2606" s="845">
        <v>0.37379972565157749</v>
      </c>
      <c r="Z2606" s="845">
        <v>0.6056241426611797</v>
      </c>
      <c r="AA2606" s="845">
        <v>0</v>
      </c>
      <c r="AB2606" s="845">
        <v>1.3717421124828531E-3</v>
      </c>
      <c r="AC2606" s="845">
        <v>0</v>
      </c>
      <c r="AD2606" s="845">
        <v>0</v>
      </c>
      <c r="AE2606" s="845">
        <v>1.9204389574759947E-2</v>
      </c>
      <c r="AF2606" s="845">
        <v>1.0516689529035207E-2</v>
      </c>
      <c r="AG2606" s="845">
        <v>0.37379972565157749</v>
      </c>
      <c r="AH2606" s="20" t="str">
        <f t="shared" si="193"/>
        <v>No</v>
      </c>
      <c r="AI2606" s="25"/>
      <c r="AJ2606" s="25"/>
      <c r="AK2606" s="25"/>
      <c r="AL2606" s="25"/>
      <c r="AM2606" s="25"/>
      <c r="AN2606" s="25"/>
      <c r="AO2606" s="25"/>
      <c r="AP2606" s="25"/>
      <c r="AQ2606" s="25"/>
      <c r="AR2606" s="25"/>
      <c r="AS2606" s="25"/>
      <c r="AT2606" s="25"/>
      <c r="AU2606" s="36"/>
      <c r="AV2606" s="36"/>
      <c r="AW2606" s="36"/>
      <c r="AX2606" s="25"/>
      <c r="AY2606" s="25"/>
      <c r="AZ2606" s="25"/>
      <c r="BA2606" s="25"/>
      <c r="BB2606" s="25"/>
      <c r="BC2606" s="25"/>
      <c r="BD2606" s="25"/>
      <c r="BE2606" s="25"/>
      <c r="BF2606" s="25"/>
      <c r="BG2606" s="25"/>
      <c r="BH2606" s="25"/>
      <c r="BI2606" s="25"/>
      <c r="BJ2606" s="25"/>
      <c r="BK2606" s="25"/>
      <c r="BL2606" s="25"/>
      <c r="BM2606" s="25"/>
      <c r="BN2606" s="25"/>
      <c r="BO2606" s="25"/>
      <c r="BP2606" s="25"/>
      <c r="BQ2606" s="25"/>
      <c r="BR2606" s="25"/>
      <c r="BS2606" s="25"/>
      <c r="BT2606" s="25"/>
      <c r="BU2606"/>
      <c r="BV2606"/>
      <c r="BW2606"/>
      <c r="BX2606"/>
      <c r="BY2606"/>
      <c r="BZ2606"/>
      <c r="CA2606"/>
      <c r="CB2606"/>
      <c r="CC2606"/>
      <c r="CD2606" s="25"/>
    </row>
    <row r="2607" spans="1:82" s="17" customFormat="1" x14ac:dyDescent="0.2">
      <c r="A2607" s="25"/>
      <c r="B2607" s="20">
        <v>39035101501</v>
      </c>
      <c r="C2607" s="20">
        <v>1015.01</v>
      </c>
      <c r="D2607" s="20" t="s">
        <v>24</v>
      </c>
      <c r="E2607" s="20" t="s">
        <v>2829</v>
      </c>
      <c r="F2607" s="20" t="s">
        <v>6</v>
      </c>
      <c r="G2607" s="861">
        <v>34.847805648326997</v>
      </c>
      <c r="H2607" s="861">
        <v>32.191239406168499</v>
      </c>
      <c r="I2607" s="861">
        <v>68.549582175497093</v>
      </c>
      <c r="J2607" s="861">
        <v>44.6558758715762</v>
      </c>
      <c r="K2607" s="982">
        <v>0</v>
      </c>
      <c r="L2607" s="735">
        <v>2398</v>
      </c>
      <c r="M2607" s="735">
        <v>1993</v>
      </c>
      <c r="N2607" s="845">
        <f t="shared" si="191"/>
        <v>-0.1688907422852377</v>
      </c>
      <c r="O2607" s="735">
        <v>0.18939546405871338</v>
      </c>
      <c r="P2607" s="735">
        <f t="shared" si="192"/>
        <v>10522.955287789584</v>
      </c>
      <c r="Q2607" s="849">
        <v>33.4</v>
      </c>
      <c r="R2607" s="71">
        <v>24699</v>
      </c>
      <c r="S2607" s="845">
        <v>0.37411526794742161</v>
      </c>
      <c r="T2607" s="845">
        <v>0.17199999999999999</v>
      </c>
      <c r="U2607" s="845">
        <v>0</v>
      </c>
      <c r="V2607" s="845">
        <v>0.04</v>
      </c>
      <c r="W2607" s="845">
        <v>0.7615112160566706</v>
      </c>
      <c r="X2607" s="845">
        <v>0.52093023255813953</v>
      </c>
      <c r="Y2607" s="845">
        <v>0.47265429001505266</v>
      </c>
      <c r="Z2607" s="845">
        <v>0.25439036628198697</v>
      </c>
      <c r="AA2607" s="845">
        <v>4.014049172102358E-3</v>
      </c>
      <c r="AB2607" s="845">
        <v>4.9172102358253887E-2</v>
      </c>
      <c r="AC2607" s="845">
        <v>0</v>
      </c>
      <c r="AD2607" s="845">
        <v>7.3256397390868033E-2</v>
      </c>
      <c r="AE2607" s="845">
        <v>0.14651279478173607</v>
      </c>
      <c r="AF2607" s="845">
        <v>0.20572002007024587</v>
      </c>
      <c r="AG2607" s="845">
        <v>0.43452082288008026</v>
      </c>
      <c r="AH2607" s="20" t="str">
        <f t="shared" si="193"/>
        <v>No</v>
      </c>
      <c r="AI2607" s="25"/>
      <c r="AJ2607" s="25"/>
      <c r="AK2607" s="25"/>
      <c r="AL2607" s="25"/>
      <c r="AM2607" s="25"/>
      <c r="AN2607" s="25"/>
      <c r="AO2607" s="25"/>
      <c r="AP2607" s="25"/>
      <c r="AQ2607" s="25"/>
      <c r="AR2607" s="25"/>
      <c r="AS2607" s="25"/>
      <c r="AT2607" s="25"/>
      <c r="AU2607" s="36"/>
      <c r="AV2607" s="36"/>
      <c r="AW2607" s="36"/>
      <c r="AX2607" s="25"/>
      <c r="AY2607" s="25"/>
      <c r="AZ2607" s="25"/>
      <c r="BA2607" s="25"/>
      <c r="BB2607" s="25"/>
      <c r="BC2607" s="25"/>
      <c r="BD2607" s="25"/>
      <c r="BE2607" s="25"/>
      <c r="BF2607" s="25"/>
      <c r="BG2607" s="25"/>
      <c r="BH2607" s="25"/>
      <c r="BI2607" s="25"/>
      <c r="BJ2607" s="25"/>
      <c r="BK2607" s="25"/>
      <c r="BL2607" s="25"/>
      <c r="BM2607" s="25"/>
      <c r="BN2607" s="25"/>
      <c r="BO2607" s="25"/>
      <c r="BP2607" s="25"/>
      <c r="BQ2607" s="25"/>
      <c r="BR2607" s="25"/>
      <c r="BS2607" s="25"/>
      <c r="BT2607" s="25"/>
      <c r="BU2607"/>
      <c r="BV2607"/>
      <c r="BW2607"/>
      <c r="BX2607"/>
      <c r="BY2607"/>
      <c r="BZ2607"/>
      <c r="CA2607"/>
      <c r="CB2607"/>
      <c r="CC2607"/>
      <c r="CD2607" s="25"/>
    </row>
    <row r="2608" spans="1:82" s="17" customFormat="1" x14ac:dyDescent="0.2">
      <c r="A2608" s="25"/>
      <c r="B2608" s="20">
        <v>39035151300</v>
      </c>
      <c r="C2608" s="20">
        <v>1513</v>
      </c>
      <c r="D2608" s="20" t="s">
        <v>24</v>
      </c>
      <c r="E2608" s="20" t="s">
        <v>2829</v>
      </c>
      <c r="F2608" s="20" t="s">
        <v>6</v>
      </c>
      <c r="G2608" s="861">
        <v>34.839363882610598</v>
      </c>
      <c r="H2608" s="861">
        <v>21.349163593265299</v>
      </c>
      <c r="I2608" s="861">
        <v>69.490968569150496</v>
      </c>
      <c r="J2608" s="861">
        <v>53.9137928575704</v>
      </c>
      <c r="K2608" s="982">
        <v>1</v>
      </c>
      <c r="L2608" s="735">
        <v>2016</v>
      </c>
      <c r="M2608" s="735">
        <v>1704</v>
      </c>
      <c r="N2608" s="845">
        <f t="shared" si="191"/>
        <v>-0.15476190476190477</v>
      </c>
      <c r="O2608" s="735">
        <v>0.54607895477944879</v>
      </c>
      <c r="P2608" s="735">
        <f t="shared" si="192"/>
        <v>3120.4278888356248</v>
      </c>
      <c r="Q2608" s="849">
        <v>64.599999999999994</v>
      </c>
      <c r="R2608" s="71">
        <v>14195</v>
      </c>
      <c r="S2608" s="845">
        <v>0.41763942931258108</v>
      </c>
      <c r="T2608" s="845">
        <v>3.4000000000000002E-2</v>
      </c>
      <c r="U2608" s="845">
        <v>0</v>
      </c>
      <c r="V2608" s="845">
        <v>8.6999999999999994E-2</v>
      </c>
      <c r="W2608" s="845">
        <v>0.70069375619425178</v>
      </c>
      <c r="X2608" s="845">
        <v>0.33804809052333806</v>
      </c>
      <c r="Y2608" s="845">
        <v>0.17840375586854459</v>
      </c>
      <c r="Z2608" s="845">
        <v>0.79049295774647887</v>
      </c>
      <c r="AA2608" s="845">
        <v>5.2816901408450703E-3</v>
      </c>
      <c r="AB2608" s="845">
        <v>1.4671361502347418E-2</v>
      </c>
      <c r="AC2608" s="845">
        <v>0</v>
      </c>
      <c r="AD2608" s="845">
        <v>0</v>
      </c>
      <c r="AE2608" s="845">
        <v>1.1150234741784037E-2</v>
      </c>
      <c r="AF2608" s="845">
        <v>2.2300469483568074E-2</v>
      </c>
      <c r="AG2608" s="845">
        <v>0.16373239436619719</v>
      </c>
      <c r="AH2608" s="20" t="str">
        <f t="shared" si="193"/>
        <v>No</v>
      </c>
      <c r="AI2608" s="25"/>
      <c r="AJ2608" s="25"/>
      <c r="AK2608" s="25"/>
      <c r="AL2608" s="25"/>
      <c r="AM2608" s="25"/>
      <c r="AN2608" s="25"/>
      <c r="AO2608" s="25"/>
      <c r="AP2608" s="25"/>
      <c r="AQ2608" s="25"/>
      <c r="AR2608" s="25"/>
      <c r="AS2608" s="25"/>
      <c r="AT2608" s="25"/>
      <c r="AU2608" s="36"/>
      <c r="AV2608" s="36"/>
      <c r="AW2608" s="36"/>
      <c r="AX2608" s="25"/>
      <c r="AY2608" s="25"/>
      <c r="AZ2608" s="25"/>
      <c r="BA2608" s="25"/>
      <c r="BB2608" s="25"/>
      <c r="BC2608" s="25"/>
      <c r="BD2608" s="25"/>
      <c r="BE2608" s="25"/>
      <c r="BF2608" s="25"/>
      <c r="BG2608" s="25"/>
      <c r="BH2608" s="25"/>
      <c r="BI2608" s="25"/>
      <c r="BJ2608" s="25"/>
      <c r="BK2608" s="25"/>
      <c r="BL2608" s="25"/>
      <c r="BM2608" s="25"/>
      <c r="BN2608" s="25"/>
      <c r="BO2608" s="25"/>
      <c r="BP2608" s="25"/>
      <c r="BQ2608" s="25"/>
      <c r="BR2608" s="25"/>
      <c r="BS2608" s="25"/>
      <c r="BT2608" s="25"/>
      <c r="BU2608"/>
      <c r="BV2608"/>
      <c r="BW2608"/>
      <c r="BX2608"/>
      <c r="BY2608"/>
      <c r="BZ2608"/>
      <c r="CA2608"/>
      <c r="CB2608"/>
      <c r="CC2608"/>
      <c r="CD2608" s="25"/>
    </row>
    <row r="2609" spans="1:82" s="17" customFormat="1" x14ac:dyDescent="0.2">
      <c r="A2609" s="25"/>
      <c r="B2609" s="20">
        <v>39093023500</v>
      </c>
      <c r="C2609" s="20">
        <v>235</v>
      </c>
      <c r="D2609" s="20" t="s">
        <v>52</v>
      </c>
      <c r="E2609" s="20" t="s">
        <v>2829</v>
      </c>
      <c r="F2609" s="20" t="s">
        <v>8</v>
      </c>
      <c r="G2609" s="861">
        <v>34.8153100444164</v>
      </c>
      <c r="H2609" s="861">
        <v>29.148677310202402</v>
      </c>
      <c r="I2609" s="861">
        <v>24.190957768890598</v>
      </c>
      <c r="J2609" s="861">
        <v>47.466999703821301</v>
      </c>
      <c r="K2609" s="982">
        <v>0</v>
      </c>
      <c r="L2609" s="735">
        <v>2222</v>
      </c>
      <c r="M2609" s="735">
        <v>2612</v>
      </c>
      <c r="N2609" s="845">
        <f t="shared" si="191"/>
        <v>0.17551755175517553</v>
      </c>
      <c r="O2609" s="735">
        <v>0.5289109222976317</v>
      </c>
      <c r="P2609" s="735">
        <f t="shared" si="192"/>
        <v>4938.4497273250881</v>
      </c>
      <c r="Q2609" s="849">
        <v>36.5</v>
      </c>
      <c r="R2609" s="71">
        <v>70156</v>
      </c>
      <c r="S2609" s="845">
        <v>7.7806122448979595E-2</v>
      </c>
      <c r="T2609" s="845">
        <v>4.9000000000000002E-2</v>
      </c>
      <c r="U2609" s="845">
        <v>3.9E-2</v>
      </c>
      <c r="V2609" s="845">
        <v>0</v>
      </c>
      <c r="W2609" s="845">
        <v>0.31372549019607843</v>
      </c>
      <c r="X2609" s="845">
        <v>0.125</v>
      </c>
      <c r="Y2609" s="845">
        <v>0.46171516079632463</v>
      </c>
      <c r="Z2609" s="845">
        <v>0.19946401225114854</v>
      </c>
      <c r="AA2609" s="845">
        <v>0</v>
      </c>
      <c r="AB2609" s="845">
        <v>3.7136294027565082E-2</v>
      </c>
      <c r="AC2609" s="845">
        <v>0</v>
      </c>
      <c r="AD2609" s="845">
        <v>2.7182235834609495E-2</v>
      </c>
      <c r="AE2609" s="845">
        <v>0.27450229709035223</v>
      </c>
      <c r="AF2609" s="845">
        <v>0.25957120980091886</v>
      </c>
      <c r="AG2609" s="845">
        <v>0.40658499234303214</v>
      </c>
      <c r="AH2609" s="20" t="str">
        <f t="shared" si="193"/>
        <v>No</v>
      </c>
      <c r="AI2609" s="25"/>
      <c r="AJ2609" s="25"/>
      <c r="AK2609" s="25"/>
      <c r="AL2609" s="25"/>
      <c r="AM2609" s="25"/>
      <c r="AN2609" s="25"/>
      <c r="AO2609" s="25"/>
      <c r="AP2609" s="25"/>
      <c r="AQ2609" s="25"/>
      <c r="AR2609" s="25"/>
      <c r="AS2609" s="25"/>
      <c r="AT2609" s="25"/>
      <c r="AU2609" s="36"/>
      <c r="AV2609" s="36"/>
      <c r="AW2609" s="36"/>
      <c r="AX2609" s="25"/>
      <c r="AY2609" s="25"/>
      <c r="AZ2609" s="25"/>
      <c r="BA2609" s="25"/>
      <c r="BB2609" s="25"/>
      <c r="BC2609" s="25"/>
      <c r="BD2609" s="25"/>
      <c r="BE2609" s="25"/>
      <c r="BF2609" s="25"/>
      <c r="BG2609" s="25"/>
      <c r="BH2609" s="25"/>
      <c r="BI2609" s="25"/>
      <c r="BJ2609" s="25"/>
      <c r="BK2609" s="25"/>
      <c r="BL2609" s="25"/>
      <c r="BM2609" s="25"/>
      <c r="BN2609" s="25"/>
      <c r="BO2609" s="25"/>
      <c r="BP2609" s="25"/>
      <c r="BQ2609" s="25"/>
      <c r="BR2609" s="25"/>
      <c r="BS2609" s="25"/>
      <c r="BT2609" s="25"/>
      <c r="BU2609"/>
      <c r="BV2609"/>
      <c r="BW2609"/>
      <c r="BX2609"/>
      <c r="BY2609"/>
      <c r="BZ2609"/>
      <c r="CA2609"/>
      <c r="CB2609"/>
      <c r="CC2609"/>
      <c r="CD2609" s="25"/>
    </row>
    <row r="2610" spans="1:82" s="17" customFormat="1" x14ac:dyDescent="0.2">
      <c r="A2610" s="25"/>
      <c r="B2610" s="20">
        <v>39133600500</v>
      </c>
      <c r="C2610" s="20">
        <v>6005</v>
      </c>
      <c r="D2610" s="20" t="s">
        <v>72</v>
      </c>
      <c r="E2610" s="20" t="s">
        <v>2843</v>
      </c>
      <c r="F2610" s="20" t="s">
        <v>8</v>
      </c>
      <c r="G2610" s="861">
        <v>34.790804601023801</v>
      </c>
      <c r="H2610" s="861">
        <v>39.024471102747199</v>
      </c>
      <c r="I2610" s="861">
        <v>17.321634818905</v>
      </c>
      <c r="J2610" s="861">
        <v>32.045387097684099</v>
      </c>
      <c r="K2610" s="982">
        <v>0</v>
      </c>
      <c r="L2610" s="735">
        <v>5646</v>
      </c>
      <c r="M2610" s="735">
        <v>5265</v>
      </c>
      <c r="N2610" s="845">
        <f t="shared" si="191"/>
        <v>-6.7481402763018061E-2</v>
      </c>
      <c r="O2610" s="735">
        <v>27.246760603854664</v>
      </c>
      <c r="P2610" s="735">
        <f t="shared" si="192"/>
        <v>193.23398023525584</v>
      </c>
      <c r="Q2610" s="849">
        <v>46.1</v>
      </c>
      <c r="R2610" s="71">
        <v>63853</v>
      </c>
      <c r="S2610" s="845">
        <v>0.10696266397578204</v>
      </c>
      <c r="T2610" s="845">
        <v>8.5999999999999993E-2</v>
      </c>
      <c r="U2610" s="845">
        <v>0</v>
      </c>
      <c r="V2610" s="845">
        <v>0</v>
      </c>
      <c r="W2610" s="845">
        <v>0.1569396763119176</v>
      </c>
      <c r="X2610" s="845">
        <v>0.59062499999999996</v>
      </c>
      <c r="Y2610" s="845">
        <v>0.89116809116809115</v>
      </c>
      <c r="Z2610" s="845">
        <v>1.5384615384615385E-2</v>
      </c>
      <c r="AA2610" s="845">
        <v>3.6087369420702755E-3</v>
      </c>
      <c r="AB2610" s="845">
        <v>2.0892687559354228E-3</v>
      </c>
      <c r="AC2610" s="845">
        <v>0</v>
      </c>
      <c r="AD2610" s="845">
        <v>8.1671415004748345E-3</v>
      </c>
      <c r="AE2610" s="845">
        <v>7.9582146248812921E-2</v>
      </c>
      <c r="AF2610" s="845">
        <v>2.0512820512820513E-2</v>
      </c>
      <c r="AG2610" s="845">
        <v>0.89116809116809115</v>
      </c>
      <c r="AH2610" s="20" t="str">
        <f t="shared" si="193"/>
        <v>No</v>
      </c>
      <c r="AI2610" s="25"/>
      <c r="AJ2610" s="25"/>
      <c r="AK2610" s="25"/>
      <c r="AL2610" s="25"/>
      <c r="AM2610" s="25"/>
      <c r="AN2610" s="25"/>
      <c r="AO2610" s="25"/>
      <c r="AP2610" s="25"/>
      <c r="AQ2610" s="25"/>
      <c r="AR2610" s="25"/>
      <c r="AS2610" s="25"/>
      <c r="AT2610" s="25"/>
      <c r="AU2610" s="36"/>
      <c r="AV2610" s="36"/>
      <c r="AW2610" s="36"/>
      <c r="AX2610" s="25"/>
      <c r="AY2610" s="25"/>
      <c r="AZ2610" s="25"/>
      <c r="BA2610" s="25"/>
      <c r="BB2610" s="25"/>
      <c r="BC2610" s="25"/>
      <c r="BD2610" s="25"/>
      <c r="BE2610" s="25"/>
      <c r="BF2610" s="25"/>
      <c r="BG2610" s="25"/>
      <c r="BH2610" s="25"/>
      <c r="BI2610" s="25"/>
      <c r="BJ2610" s="25"/>
      <c r="BK2610" s="25"/>
      <c r="BL2610" s="25"/>
      <c r="BM2610" s="25"/>
      <c r="BN2610" s="25"/>
      <c r="BO2610" s="25"/>
      <c r="BP2610" s="25"/>
      <c r="BQ2610" s="25"/>
      <c r="BR2610" s="25"/>
      <c r="BS2610" s="25"/>
      <c r="BT2610" s="25"/>
      <c r="BU2610"/>
      <c r="BV2610"/>
      <c r="BW2610"/>
      <c r="BX2610"/>
      <c r="BY2610"/>
      <c r="BZ2610"/>
      <c r="CA2610"/>
      <c r="CB2610"/>
      <c r="CC2610"/>
      <c r="CD2610" s="25"/>
    </row>
    <row r="2611" spans="1:82" s="17" customFormat="1" x14ac:dyDescent="0.2">
      <c r="A2611" s="25"/>
      <c r="B2611" s="20">
        <v>39095004701</v>
      </c>
      <c r="C2611" s="20">
        <v>47.01</v>
      </c>
      <c r="D2611" s="20" t="s">
        <v>53</v>
      </c>
      <c r="E2611" s="20" t="s">
        <v>2839</v>
      </c>
      <c r="F2611" s="20" t="s">
        <v>6</v>
      </c>
      <c r="G2611" s="861">
        <v>34.7809209638231</v>
      </c>
      <c r="H2611" s="861">
        <v>56.841488511816202</v>
      </c>
      <c r="I2611" s="861">
        <v>59.012546320029301</v>
      </c>
      <c r="J2611" s="861">
        <v>46.028305467496502</v>
      </c>
      <c r="K2611" s="982">
        <v>0</v>
      </c>
      <c r="L2611" s="735">
        <v>2767</v>
      </c>
      <c r="M2611" s="735">
        <v>2350</v>
      </c>
      <c r="N2611" s="845">
        <f t="shared" si="191"/>
        <v>-0.15070473436935308</v>
      </c>
      <c r="O2611" s="735">
        <v>1.0146768588833406</v>
      </c>
      <c r="P2611" s="735">
        <f t="shared" si="192"/>
        <v>2316.0082733986783</v>
      </c>
      <c r="Q2611" s="849">
        <v>32</v>
      </c>
      <c r="R2611" s="71">
        <v>31568</v>
      </c>
      <c r="S2611" s="845">
        <v>0.3323404255319149</v>
      </c>
      <c r="T2611" s="845">
        <v>4.2999999999999997E-2</v>
      </c>
      <c r="U2611" s="845">
        <v>0</v>
      </c>
      <c r="V2611" s="845">
        <v>2.7000000000000003E-2</v>
      </c>
      <c r="W2611" s="845">
        <v>0.64133456904541242</v>
      </c>
      <c r="X2611" s="845">
        <v>0.39595375722543352</v>
      </c>
      <c r="Y2611" s="845">
        <v>0.6608510638297872</v>
      </c>
      <c r="Z2611" s="845">
        <v>0.22425531914893618</v>
      </c>
      <c r="AA2611" s="845">
        <v>0</v>
      </c>
      <c r="AB2611" s="845">
        <v>1.0212765957446808E-2</v>
      </c>
      <c r="AC2611" s="845">
        <v>0</v>
      </c>
      <c r="AD2611" s="845">
        <v>5.7021276595744678E-2</v>
      </c>
      <c r="AE2611" s="845">
        <v>4.7659574468085109E-2</v>
      </c>
      <c r="AF2611" s="845">
        <v>9.7872340425531917E-2</v>
      </c>
      <c r="AG2611" s="845">
        <v>0.63787234042553187</v>
      </c>
      <c r="AH2611" s="20" t="str">
        <f t="shared" si="193"/>
        <v>No</v>
      </c>
      <c r="AI2611" s="25"/>
      <c r="AJ2611" s="25"/>
      <c r="AK2611" s="25"/>
      <c r="AL2611" s="25"/>
      <c r="AM2611" s="25"/>
      <c r="AN2611" s="25"/>
      <c r="AO2611" s="25"/>
      <c r="AP2611" s="25"/>
      <c r="AQ2611" s="25"/>
      <c r="AR2611" s="25"/>
      <c r="AS2611" s="25"/>
      <c r="AT2611" s="25"/>
      <c r="AU2611" s="36"/>
      <c r="AV2611" s="36"/>
      <c r="AW2611" s="36"/>
      <c r="AX2611" s="25"/>
      <c r="AY2611" s="25"/>
      <c r="AZ2611" s="25"/>
      <c r="BA2611" s="25"/>
      <c r="BB2611" s="25"/>
      <c r="BC2611" s="25"/>
      <c r="BD2611" s="25"/>
      <c r="BE2611" s="25"/>
      <c r="BF2611" s="25"/>
      <c r="BG2611" s="25"/>
      <c r="BH2611" s="25"/>
      <c r="BI2611" s="25"/>
      <c r="BJ2611" s="25"/>
      <c r="BK2611" s="25"/>
      <c r="BL2611" s="25"/>
      <c r="BM2611" s="25"/>
      <c r="BN2611" s="25"/>
      <c r="BO2611" s="25"/>
      <c r="BP2611" s="25"/>
      <c r="BQ2611" s="25"/>
      <c r="BR2611" s="25"/>
      <c r="BS2611" s="25"/>
      <c r="BT2611" s="25"/>
      <c r="BU2611"/>
      <c r="BV2611"/>
      <c r="BW2611"/>
      <c r="BX2611"/>
      <c r="BY2611"/>
      <c r="BZ2611"/>
      <c r="CA2611"/>
      <c r="CB2611"/>
      <c r="CC2611"/>
      <c r="CD2611" s="25"/>
    </row>
    <row r="2612" spans="1:82" s="17" customFormat="1" x14ac:dyDescent="0.2">
      <c r="A2612" s="25"/>
      <c r="B2612" s="20">
        <v>39113165100</v>
      </c>
      <c r="C2612" s="20">
        <v>1651</v>
      </c>
      <c r="D2612" s="20" t="s">
        <v>62</v>
      </c>
      <c r="E2612" s="20" t="s">
        <v>2833</v>
      </c>
      <c r="F2612" s="20" t="s">
        <v>6</v>
      </c>
      <c r="G2612" s="861">
        <v>34.760705380072501</v>
      </c>
      <c r="H2612" s="861">
        <v>41.498508411907203</v>
      </c>
      <c r="I2612" s="861">
        <v>83.408359358896107</v>
      </c>
      <c r="J2612" s="861">
        <v>30.301796443906699</v>
      </c>
      <c r="K2612" s="982">
        <v>1</v>
      </c>
      <c r="L2612" s="735">
        <v>2672</v>
      </c>
      <c r="M2612" s="735">
        <v>2335</v>
      </c>
      <c r="N2612" s="845">
        <f t="shared" si="191"/>
        <v>-0.12612275449101795</v>
      </c>
      <c r="O2612" s="735">
        <v>1.3106299549768976</v>
      </c>
      <c r="P2612" s="735">
        <f t="shared" si="192"/>
        <v>1781.5860160476486</v>
      </c>
      <c r="Q2612" s="849">
        <v>30.4</v>
      </c>
      <c r="R2612" s="71">
        <v>16383</v>
      </c>
      <c r="S2612" s="845">
        <v>0.39536915683704676</v>
      </c>
      <c r="T2612" s="845">
        <v>0.26500000000000001</v>
      </c>
      <c r="U2612" s="845">
        <v>0</v>
      </c>
      <c r="V2612" s="845">
        <v>5.0999999999999997E-2</v>
      </c>
      <c r="W2612" s="845">
        <v>0.74340021119324184</v>
      </c>
      <c r="X2612" s="845">
        <v>0.51988636363636365</v>
      </c>
      <c r="Y2612" s="845">
        <v>6.7237687366167018E-2</v>
      </c>
      <c r="Z2612" s="845">
        <v>0.90192719486081374</v>
      </c>
      <c r="AA2612" s="845">
        <v>0</v>
      </c>
      <c r="AB2612" s="845">
        <v>1.2419700214132762E-2</v>
      </c>
      <c r="AC2612" s="845">
        <v>0</v>
      </c>
      <c r="AD2612" s="845">
        <v>0</v>
      </c>
      <c r="AE2612" s="845">
        <v>1.841541755888651E-2</v>
      </c>
      <c r="AF2612" s="845">
        <v>0</v>
      </c>
      <c r="AG2612" s="845">
        <v>6.7237687366167018E-2</v>
      </c>
      <c r="AH2612" s="20" t="str">
        <f t="shared" si="193"/>
        <v>No</v>
      </c>
      <c r="AI2612" s="25"/>
      <c r="AJ2612" s="25"/>
      <c r="AK2612" s="25"/>
      <c r="AL2612" s="25"/>
      <c r="AM2612" s="25"/>
      <c r="AN2612" s="25"/>
      <c r="AO2612" s="25"/>
      <c r="AP2612" s="25"/>
      <c r="AQ2612" s="25"/>
      <c r="AR2612" s="25"/>
      <c r="AS2612" s="25"/>
      <c r="AT2612" s="25"/>
      <c r="AU2612" s="36"/>
      <c r="AV2612" s="36"/>
      <c r="AW2612" s="36"/>
      <c r="AX2612" s="25"/>
      <c r="AY2612" s="25"/>
      <c r="AZ2612" s="25"/>
      <c r="BA2612" s="25"/>
      <c r="BB2612" s="25"/>
      <c r="BC2612" s="25"/>
      <c r="BD2612" s="25"/>
      <c r="BE2612" s="25"/>
      <c r="BF2612" s="25"/>
      <c r="BG2612" s="25"/>
      <c r="BH2612" s="25"/>
      <c r="BI2612" s="25"/>
      <c r="BJ2612" s="25"/>
      <c r="BK2612" s="25"/>
      <c r="BL2612" s="25"/>
      <c r="BM2612" s="25"/>
      <c r="BN2612" s="25"/>
      <c r="BO2612" s="25"/>
      <c r="BP2612" s="25"/>
      <c r="BQ2612" s="25"/>
      <c r="BR2612" s="25"/>
      <c r="BS2612" s="25"/>
      <c r="BT2612" s="25"/>
      <c r="BU2612"/>
      <c r="BV2612"/>
      <c r="BW2612"/>
      <c r="BX2612"/>
      <c r="BY2612"/>
      <c r="BZ2612"/>
      <c r="CA2612"/>
      <c r="CB2612"/>
      <c r="CC2612"/>
      <c r="CD2612" s="25"/>
    </row>
    <row r="2613" spans="1:82" s="17" customFormat="1" x14ac:dyDescent="0.2">
      <c r="A2613" s="25"/>
      <c r="B2613" s="20">
        <v>39155930101</v>
      </c>
      <c r="C2613" s="20">
        <v>9301.01</v>
      </c>
      <c r="D2613" s="20" t="s">
        <v>83</v>
      </c>
      <c r="E2613" s="20" t="s">
        <v>2842</v>
      </c>
      <c r="F2613" s="20" t="s">
        <v>8</v>
      </c>
      <c r="G2613" s="861">
        <v>34.7562618464964</v>
      </c>
      <c r="H2613" s="861">
        <v>42.414951144774797</v>
      </c>
      <c r="I2613" s="861">
        <v>19.845053609474601</v>
      </c>
      <c r="J2613" s="861">
        <v>42.357967373509403</v>
      </c>
      <c r="K2613" s="982">
        <v>0</v>
      </c>
      <c r="L2613" s="735">
        <v>2929</v>
      </c>
      <c r="M2613" s="735">
        <v>2775</v>
      </c>
      <c r="N2613" s="845">
        <f t="shared" si="191"/>
        <v>-5.2577671560259477E-2</v>
      </c>
      <c r="O2613" s="735">
        <v>44.646527740237389</v>
      </c>
      <c r="P2613" s="735">
        <f t="shared" si="192"/>
        <v>62.154889539126458</v>
      </c>
      <c r="Q2613" s="849">
        <v>54</v>
      </c>
      <c r="R2613" s="71">
        <v>51326</v>
      </c>
      <c r="S2613" s="845">
        <v>6.3245392121431154E-2</v>
      </c>
      <c r="T2613" s="845">
        <v>1.3999999999999999E-2</v>
      </c>
      <c r="U2613" s="845">
        <v>0</v>
      </c>
      <c r="V2613" s="845">
        <v>0</v>
      </c>
      <c r="W2613" s="845">
        <v>0.20159151193633953</v>
      </c>
      <c r="X2613" s="845">
        <v>0.46491228070175439</v>
      </c>
      <c r="Y2613" s="845">
        <v>0.94702702702702701</v>
      </c>
      <c r="Z2613" s="845">
        <v>8.2882882882882886E-3</v>
      </c>
      <c r="AA2613" s="845">
        <v>9.0090090090090089E-3</v>
      </c>
      <c r="AB2613" s="845">
        <v>0</v>
      </c>
      <c r="AC2613" s="845">
        <v>0</v>
      </c>
      <c r="AD2613" s="845">
        <v>0</v>
      </c>
      <c r="AE2613" s="845">
        <v>3.5675675675675679E-2</v>
      </c>
      <c r="AF2613" s="845">
        <v>0</v>
      </c>
      <c r="AG2613" s="845">
        <v>0.94702702702702701</v>
      </c>
      <c r="AH2613" s="20" t="str">
        <f t="shared" si="193"/>
        <v>Yes</v>
      </c>
      <c r="AI2613" s="25"/>
      <c r="AJ2613" s="25"/>
      <c r="AK2613" s="25"/>
      <c r="AL2613" s="25"/>
      <c r="AM2613" s="25"/>
      <c r="AN2613" s="25"/>
      <c r="AO2613" s="25"/>
      <c r="AP2613" s="25"/>
      <c r="AQ2613" s="25"/>
      <c r="AR2613" s="25"/>
      <c r="AS2613" s="25"/>
      <c r="AT2613" s="25"/>
      <c r="AU2613" s="36"/>
      <c r="AV2613" s="36"/>
      <c r="AW2613" s="36"/>
      <c r="AX2613" s="25"/>
      <c r="AY2613" s="25"/>
      <c r="AZ2613" s="25"/>
      <c r="BA2613" s="25"/>
      <c r="BB2613" s="25"/>
      <c r="BC2613" s="25"/>
      <c r="BD2613" s="25"/>
      <c r="BE2613" s="25"/>
      <c r="BF2613" s="25"/>
      <c r="BG2613" s="25"/>
      <c r="BH2613" s="25"/>
      <c r="BI2613" s="25"/>
      <c r="BJ2613" s="25"/>
      <c r="BK2613" s="25"/>
      <c r="BL2613" s="25"/>
      <c r="BM2613" s="25"/>
      <c r="BN2613" s="25"/>
      <c r="BO2613" s="25"/>
      <c r="BP2613" s="25"/>
      <c r="BQ2613" s="25"/>
      <c r="BR2613" s="25"/>
      <c r="BS2613" s="25"/>
      <c r="BT2613" s="25"/>
      <c r="BU2613"/>
      <c r="BV2613"/>
      <c r="BW2613"/>
      <c r="BX2613"/>
      <c r="BY2613"/>
      <c r="BZ2613"/>
      <c r="CA2613"/>
      <c r="CB2613"/>
      <c r="CC2613"/>
      <c r="CD2613" s="25"/>
    </row>
    <row r="2614" spans="1:82" s="17" customFormat="1" x14ac:dyDescent="0.2">
      <c r="A2614" s="25"/>
      <c r="B2614" s="20">
        <v>39067975900</v>
      </c>
      <c r="C2614" s="20">
        <v>9759</v>
      </c>
      <c r="D2614" s="20" t="s">
        <v>40</v>
      </c>
      <c r="E2614" s="20" t="s">
        <v>265</v>
      </c>
      <c r="F2614" s="20" t="s">
        <v>8</v>
      </c>
      <c r="G2614" s="861">
        <v>34.753489325948301</v>
      </c>
      <c r="H2614" s="861">
        <v>47.221523544087603</v>
      </c>
      <c r="I2614" s="861">
        <v>22.587530689613001</v>
      </c>
      <c r="J2614" s="861">
        <v>33.872967347632397</v>
      </c>
      <c r="K2614" s="982">
        <v>0</v>
      </c>
      <c r="L2614" s="735">
        <v>2182</v>
      </c>
      <c r="M2614" s="735">
        <v>1895</v>
      </c>
      <c r="N2614" s="845">
        <f t="shared" si="191"/>
        <v>-0.13153070577451878</v>
      </c>
      <c r="O2614" s="735">
        <v>105.10694545234804</v>
      </c>
      <c r="P2614" s="735">
        <f t="shared" si="192"/>
        <v>18.029255743704677</v>
      </c>
      <c r="Q2614" s="849">
        <v>52.7</v>
      </c>
      <c r="R2614" s="71">
        <v>56759</v>
      </c>
      <c r="S2614" s="845">
        <v>8.2321899736147758E-2</v>
      </c>
      <c r="T2614" s="845">
        <v>5.2999999999999999E-2</v>
      </c>
      <c r="U2614" s="845">
        <v>0</v>
      </c>
      <c r="V2614" s="845">
        <v>0</v>
      </c>
      <c r="W2614" s="845">
        <v>0.15326633165829145</v>
      </c>
      <c r="X2614" s="845">
        <v>0.25409836065573771</v>
      </c>
      <c r="Y2614" s="845">
        <v>0.98839050131926121</v>
      </c>
      <c r="Z2614" s="845">
        <v>0</v>
      </c>
      <c r="AA2614" s="845">
        <v>0</v>
      </c>
      <c r="AB2614" s="845">
        <v>0</v>
      </c>
      <c r="AC2614" s="845">
        <v>0</v>
      </c>
      <c r="AD2614" s="845">
        <v>0</v>
      </c>
      <c r="AE2614" s="845">
        <v>1.1609498680738786E-2</v>
      </c>
      <c r="AF2614" s="845">
        <v>0</v>
      </c>
      <c r="AG2614" s="845">
        <v>0.98839050131926121</v>
      </c>
      <c r="AH2614" s="20" t="str">
        <f t="shared" si="193"/>
        <v>Yes</v>
      </c>
      <c r="AI2614" s="25"/>
      <c r="AJ2614" s="25"/>
      <c r="AK2614" s="25"/>
      <c r="AL2614" s="25"/>
      <c r="AM2614" s="25"/>
      <c r="AN2614" s="25"/>
      <c r="AO2614" s="25"/>
      <c r="AP2614" s="25"/>
      <c r="AQ2614" s="25"/>
      <c r="AR2614" s="25"/>
      <c r="AS2614" s="25"/>
      <c r="AT2614" s="25"/>
      <c r="AU2614" s="36"/>
      <c r="AV2614" s="36"/>
      <c r="AW2614" s="36"/>
      <c r="AX2614" s="25"/>
      <c r="AY2614" s="25"/>
      <c r="AZ2614" s="25"/>
      <c r="BA2614" s="25"/>
      <c r="BB2614" s="25"/>
      <c r="BC2614" s="25"/>
      <c r="BD2614" s="25"/>
      <c r="BE2614" s="25"/>
      <c r="BF2614" s="25"/>
      <c r="BG2614" s="25"/>
      <c r="BH2614" s="25"/>
      <c r="BI2614" s="25"/>
      <c r="BJ2614" s="25"/>
      <c r="BK2614" s="25"/>
      <c r="BL2614" s="25"/>
      <c r="BM2614" s="25"/>
      <c r="BN2614" s="25"/>
      <c r="BO2614" s="25"/>
      <c r="BP2614" s="25"/>
      <c r="BQ2614" s="25"/>
      <c r="BR2614" s="25"/>
      <c r="BS2614" s="25"/>
      <c r="BT2614" s="25"/>
      <c r="BU2614"/>
      <c r="BV2614"/>
      <c r="BW2614"/>
      <c r="BX2614"/>
      <c r="BY2614"/>
      <c r="BZ2614"/>
      <c r="CA2614"/>
      <c r="CB2614"/>
      <c r="CC2614"/>
      <c r="CD2614" s="25"/>
    </row>
    <row r="2615" spans="1:82" s="17" customFormat="1" x14ac:dyDescent="0.2">
      <c r="A2615" s="25"/>
      <c r="B2615" s="20">
        <v>39099811302</v>
      </c>
      <c r="C2615" s="20">
        <v>8113.02</v>
      </c>
      <c r="D2615" s="20" t="s">
        <v>55</v>
      </c>
      <c r="E2615" s="20" t="s">
        <v>2842</v>
      </c>
      <c r="F2615" s="20" t="s">
        <v>8</v>
      </c>
      <c r="G2615" s="861">
        <v>34.743555334788397</v>
      </c>
      <c r="H2615" s="861">
        <v>36.286405318814403</v>
      </c>
      <c r="I2615" s="861">
        <v>45.042769643191903</v>
      </c>
      <c r="J2615" s="861">
        <v>33.859007316568203</v>
      </c>
      <c r="K2615" s="982">
        <v>0</v>
      </c>
      <c r="L2615" s="735" t="s">
        <v>2466</v>
      </c>
      <c r="M2615" s="735">
        <v>3017</v>
      </c>
      <c r="N2615" s="845" t="str">
        <f t="shared" si="191"/>
        <v/>
      </c>
      <c r="O2615" s="735">
        <v>1.4735137143158545</v>
      </c>
      <c r="P2615" s="735">
        <f t="shared" si="192"/>
        <v>2047.4868816546975</v>
      </c>
      <c r="Q2615" s="849">
        <v>46.3</v>
      </c>
      <c r="R2615" s="71">
        <v>56071</v>
      </c>
      <c r="S2615" s="845">
        <v>9.1611091611091613E-2</v>
      </c>
      <c r="T2615" s="845">
        <v>7.0999999999999994E-2</v>
      </c>
      <c r="U2615" s="845">
        <v>5.0999999999999997E-2</v>
      </c>
      <c r="V2615" s="845">
        <v>0</v>
      </c>
      <c r="W2615" s="845">
        <v>0.33636363636363636</v>
      </c>
      <c r="X2615" s="845">
        <v>0.29504504504504503</v>
      </c>
      <c r="Y2615" s="845">
        <v>0.72886973815048062</v>
      </c>
      <c r="Z2615" s="845">
        <v>3.6128604574080216E-2</v>
      </c>
      <c r="AA2615" s="845">
        <v>0</v>
      </c>
      <c r="AB2615" s="845">
        <v>2.5190586675505468E-2</v>
      </c>
      <c r="AC2615" s="845">
        <v>0</v>
      </c>
      <c r="AD2615" s="845">
        <v>9.6453430560159092E-2</v>
      </c>
      <c r="AE2615" s="845">
        <v>0.11335764003977461</v>
      </c>
      <c r="AF2615" s="845">
        <v>6.794829300629765E-2</v>
      </c>
      <c r="AG2615" s="845">
        <v>0.72489227709645343</v>
      </c>
      <c r="AH2615" s="20" t="str">
        <f t="shared" si="193"/>
        <v>No</v>
      </c>
      <c r="AI2615" s="25"/>
      <c r="AJ2615" s="25"/>
      <c r="AK2615" s="25"/>
      <c r="AL2615" s="25"/>
      <c r="AM2615" s="25"/>
      <c r="AN2615" s="25"/>
      <c r="AO2615" s="25"/>
      <c r="AP2615" s="25"/>
      <c r="AQ2615" s="25"/>
      <c r="AR2615" s="25"/>
      <c r="AS2615" s="25"/>
      <c r="AT2615" s="25"/>
      <c r="AU2615" s="36"/>
      <c r="AV2615" s="36"/>
      <c r="AW2615" s="36"/>
      <c r="AX2615" s="25"/>
      <c r="AY2615" s="25"/>
      <c r="AZ2615" s="25"/>
      <c r="BA2615" s="25"/>
      <c r="BB2615" s="25"/>
      <c r="BC2615" s="25"/>
      <c r="BD2615" s="25"/>
      <c r="BE2615" s="25"/>
      <c r="BF2615" s="25"/>
      <c r="BG2615" s="25"/>
      <c r="BH2615" s="25"/>
      <c r="BI2615" s="25"/>
      <c r="BJ2615" s="25"/>
      <c r="BK2615" s="25"/>
      <c r="BL2615" s="25"/>
      <c r="BM2615" s="25"/>
      <c r="BN2615" s="25"/>
      <c r="BO2615" s="25"/>
      <c r="BP2615" s="25"/>
      <c r="BQ2615" s="25"/>
      <c r="BR2615" s="25"/>
      <c r="BS2615" s="25"/>
      <c r="BT2615" s="25"/>
      <c r="BU2615"/>
      <c r="BV2615"/>
      <c r="BW2615"/>
      <c r="BX2615"/>
      <c r="BY2615"/>
      <c r="BZ2615"/>
      <c r="CA2615"/>
      <c r="CB2615"/>
      <c r="CC2615"/>
      <c r="CD2615" s="25"/>
    </row>
    <row r="2616" spans="1:82" s="17" customFormat="1" x14ac:dyDescent="0.2">
      <c r="A2616" s="25"/>
      <c r="B2616" s="20">
        <v>39089751300</v>
      </c>
      <c r="C2616" s="20">
        <v>7513</v>
      </c>
      <c r="D2616" s="20" t="s">
        <v>50</v>
      </c>
      <c r="E2616" s="20" t="s">
        <v>2830</v>
      </c>
      <c r="F2616" s="20" t="s">
        <v>8</v>
      </c>
      <c r="G2616" s="861">
        <v>34.695578095568102</v>
      </c>
      <c r="H2616" s="861">
        <v>54.074649000933903</v>
      </c>
      <c r="I2616" s="861">
        <v>33.979160060606702</v>
      </c>
      <c r="J2616" s="861">
        <v>36.101780139306001</v>
      </c>
      <c r="K2616" s="982">
        <v>0</v>
      </c>
      <c r="L2616" s="735">
        <v>3831</v>
      </c>
      <c r="M2616" s="735">
        <v>3897</v>
      </c>
      <c r="N2616" s="845">
        <f t="shared" si="191"/>
        <v>1.7227877838684416E-2</v>
      </c>
      <c r="O2616" s="735">
        <v>0.72469058554867272</v>
      </c>
      <c r="P2616" s="735">
        <f t="shared" si="192"/>
        <v>5377.4674015525261</v>
      </c>
      <c r="Q2616" s="849">
        <v>39.799999999999997</v>
      </c>
      <c r="R2616" s="71">
        <v>62331</v>
      </c>
      <c r="S2616" s="845">
        <v>0.19007201646090535</v>
      </c>
      <c r="T2616" s="845">
        <v>2.4E-2</v>
      </c>
      <c r="U2616" s="845">
        <v>1.2E-2</v>
      </c>
      <c r="V2616" s="845">
        <v>0.13400000000000001</v>
      </c>
      <c r="W2616" s="845">
        <v>0.44868238557558948</v>
      </c>
      <c r="X2616" s="845">
        <v>0.321483771251932</v>
      </c>
      <c r="Y2616" s="845">
        <v>0.96458814472671284</v>
      </c>
      <c r="Z2616" s="845">
        <v>8.2114447010520914E-3</v>
      </c>
      <c r="AA2616" s="845">
        <v>0</v>
      </c>
      <c r="AB2616" s="845">
        <v>2.5660764690787786E-4</v>
      </c>
      <c r="AC2616" s="845">
        <v>0</v>
      </c>
      <c r="AD2616" s="845">
        <v>7.1850141134205802E-3</v>
      </c>
      <c r="AE2616" s="845">
        <v>1.9758788811906593E-2</v>
      </c>
      <c r="AF2616" s="845">
        <v>4.1057223505260457E-3</v>
      </c>
      <c r="AG2616" s="845">
        <v>0.96048242237618686</v>
      </c>
      <c r="AH2616" s="20" t="str">
        <f t="shared" si="193"/>
        <v>Yes</v>
      </c>
      <c r="AI2616" s="25"/>
      <c r="AJ2616" s="25"/>
      <c r="AK2616" s="25"/>
      <c r="AL2616" s="25"/>
      <c r="AM2616" s="25"/>
      <c r="AN2616" s="25"/>
      <c r="AO2616" s="25"/>
      <c r="AP2616" s="25"/>
      <c r="AQ2616" s="25"/>
      <c r="AR2616" s="25"/>
      <c r="AS2616" s="25"/>
      <c r="AT2616" s="25"/>
      <c r="AU2616" s="36"/>
      <c r="AV2616" s="36"/>
      <c r="AW2616" s="36"/>
      <c r="AX2616" s="25"/>
      <c r="AY2616" s="25"/>
      <c r="AZ2616" s="25"/>
      <c r="BA2616" s="25"/>
      <c r="BB2616" s="25"/>
      <c r="BC2616" s="25"/>
      <c r="BD2616" s="25"/>
      <c r="BE2616" s="25"/>
      <c r="BF2616" s="25"/>
      <c r="BG2616" s="25"/>
      <c r="BH2616" s="25"/>
      <c r="BI2616" s="25"/>
      <c r="BJ2616" s="25"/>
      <c r="BK2616" s="25"/>
      <c r="BL2616" s="25"/>
      <c r="BM2616" s="25"/>
      <c r="BN2616" s="25"/>
      <c r="BO2616" s="25"/>
      <c r="BP2616" s="25"/>
      <c r="BQ2616" s="25"/>
      <c r="BR2616" s="25"/>
      <c r="BS2616" s="25"/>
      <c r="BT2616" s="25"/>
      <c r="BU2616"/>
      <c r="BV2616"/>
      <c r="BW2616"/>
      <c r="BX2616"/>
      <c r="BY2616"/>
      <c r="BZ2616"/>
      <c r="CA2616"/>
      <c r="CB2616"/>
      <c r="CC2616"/>
      <c r="CD2616" s="25"/>
    </row>
    <row r="2617" spans="1:82" s="17" customFormat="1" x14ac:dyDescent="0.2">
      <c r="A2617" s="25"/>
      <c r="B2617" s="20">
        <v>39099812400</v>
      </c>
      <c r="C2617" s="20">
        <v>8124</v>
      </c>
      <c r="D2617" s="20" t="s">
        <v>55</v>
      </c>
      <c r="E2617" s="20" t="s">
        <v>2842</v>
      </c>
      <c r="F2617" s="20" t="s">
        <v>6</v>
      </c>
      <c r="G2617" s="861">
        <v>34.683984011677701</v>
      </c>
      <c r="H2617" s="861">
        <v>35.731393056659002</v>
      </c>
      <c r="I2617" s="861">
        <v>37.527051226260099</v>
      </c>
      <c r="J2617" s="861">
        <v>37.253297313686801</v>
      </c>
      <c r="K2617" s="982">
        <v>0</v>
      </c>
      <c r="L2617" s="735">
        <v>3073</v>
      </c>
      <c r="M2617" s="735">
        <v>2930</v>
      </c>
      <c r="N2617" s="845">
        <f t="shared" si="191"/>
        <v>-4.6534331272372276E-2</v>
      </c>
      <c r="O2617" s="735">
        <v>2.1543874963966534</v>
      </c>
      <c r="P2617" s="735">
        <f t="shared" si="192"/>
        <v>1360.0153198533721</v>
      </c>
      <c r="Q2617" s="849">
        <v>37</v>
      </c>
      <c r="R2617" s="71">
        <v>36346</v>
      </c>
      <c r="S2617" s="845">
        <v>0.35912358781239301</v>
      </c>
      <c r="T2617" s="845">
        <v>0.16600000000000001</v>
      </c>
      <c r="U2617" s="845">
        <v>0</v>
      </c>
      <c r="V2617" s="845">
        <v>0</v>
      </c>
      <c r="W2617" s="845">
        <v>0.59090909090909094</v>
      </c>
      <c r="X2617" s="845">
        <v>0.36019536019536019</v>
      </c>
      <c r="Y2617" s="845">
        <v>0.78634812286689415</v>
      </c>
      <c r="Z2617" s="845">
        <v>0.12935153583617748</v>
      </c>
      <c r="AA2617" s="845">
        <v>0</v>
      </c>
      <c r="AB2617" s="845">
        <v>0</v>
      </c>
      <c r="AC2617" s="845">
        <v>0</v>
      </c>
      <c r="AD2617" s="845">
        <v>1.9795221843003412E-2</v>
      </c>
      <c r="AE2617" s="845">
        <v>6.4505119453924911E-2</v>
      </c>
      <c r="AF2617" s="845">
        <v>5.7337883959044371E-2</v>
      </c>
      <c r="AG2617" s="845">
        <v>0.75153583617747444</v>
      </c>
      <c r="AH2617" s="20" t="str">
        <f t="shared" si="193"/>
        <v>No</v>
      </c>
      <c r="AI2617" s="25"/>
      <c r="AJ2617" s="25"/>
      <c r="AK2617" s="25"/>
      <c r="AL2617" s="25"/>
      <c r="AM2617" s="25"/>
      <c r="AN2617" s="25"/>
      <c r="AO2617" s="25"/>
      <c r="AP2617" s="25"/>
      <c r="AQ2617" s="25"/>
      <c r="AR2617" s="25"/>
      <c r="AS2617" s="25"/>
      <c r="AT2617" s="25"/>
      <c r="AU2617" s="36"/>
      <c r="AV2617" s="36"/>
      <c r="AW2617" s="36"/>
      <c r="AX2617" s="25"/>
      <c r="AY2617" s="25"/>
      <c r="AZ2617" s="25"/>
      <c r="BA2617" s="25"/>
      <c r="BB2617" s="25"/>
      <c r="BC2617" s="25"/>
      <c r="BD2617" s="25"/>
      <c r="BE2617" s="25"/>
      <c r="BF2617" s="25"/>
      <c r="BG2617" s="25"/>
      <c r="BH2617" s="25"/>
      <c r="BI2617" s="25"/>
      <c r="BJ2617" s="25"/>
      <c r="BK2617" s="25"/>
      <c r="BL2617" s="25"/>
      <c r="BM2617" s="25"/>
      <c r="BN2617" s="25"/>
      <c r="BO2617" s="25"/>
      <c r="BP2617" s="25"/>
      <c r="BQ2617" s="25"/>
      <c r="BR2617" s="25"/>
      <c r="BS2617" s="25"/>
      <c r="BT2617" s="25"/>
      <c r="BU2617"/>
      <c r="BV2617"/>
      <c r="BW2617"/>
      <c r="BX2617"/>
      <c r="BY2617"/>
      <c r="BZ2617"/>
      <c r="CA2617"/>
      <c r="CB2617"/>
      <c r="CC2617"/>
      <c r="CD2617" s="25"/>
    </row>
    <row r="2618" spans="1:82" s="17" customFormat="1" x14ac:dyDescent="0.2">
      <c r="A2618" s="25"/>
      <c r="B2618" s="20">
        <v>39049002600</v>
      </c>
      <c r="C2618" s="20">
        <v>26</v>
      </c>
      <c r="D2618" s="20" t="s">
        <v>31</v>
      </c>
      <c r="E2618" s="20" t="s">
        <v>2830</v>
      </c>
      <c r="F2618" s="20" t="s">
        <v>6</v>
      </c>
      <c r="G2618" s="861">
        <v>34.672149630985501</v>
      </c>
      <c r="H2618" s="861">
        <v>44.222245337891401</v>
      </c>
      <c r="I2618" s="861">
        <v>65.879872206420401</v>
      </c>
      <c r="J2618" s="861">
        <v>53.167102489701897</v>
      </c>
      <c r="K2618" s="982">
        <v>0</v>
      </c>
      <c r="L2618" s="735">
        <v>3906</v>
      </c>
      <c r="M2618" s="735">
        <v>4796</v>
      </c>
      <c r="N2618" s="845">
        <f t="shared" si="191"/>
        <v>0.22785458269329237</v>
      </c>
      <c r="O2618" s="735">
        <v>1.3771754342146383</v>
      </c>
      <c r="P2618" s="735">
        <f t="shared" si="192"/>
        <v>3482.4902338858624</v>
      </c>
      <c r="Q2618" s="849">
        <v>29.5</v>
      </c>
      <c r="R2618" s="71">
        <v>37682</v>
      </c>
      <c r="S2618" s="845">
        <v>0.35108225108225111</v>
      </c>
      <c r="T2618" s="845">
        <v>0.1</v>
      </c>
      <c r="U2618" s="845">
        <v>5.0999999999999997E-2</v>
      </c>
      <c r="V2618" s="845">
        <v>6.3E-2</v>
      </c>
      <c r="W2618" s="845">
        <v>0.7195402298850575</v>
      </c>
      <c r="X2618" s="845">
        <v>0.57028753993610226</v>
      </c>
      <c r="Y2618" s="845">
        <v>0.27960800667222685</v>
      </c>
      <c r="Z2618" s="845">
        <v>0.39637197664720603</v>
      </c>
      <c r="AA2618" s="845">
        <v>5.0041701417848205E-3</v>
      </c>
      <c r="AB2618" s="845">
        <v>4.7956630525437865E-3</v>
      </c>
      <c r="AC2618" s="845">
        <v>0</v>
      </c>
      <c r="AD2618" s="845">
        <v>0.11363636363636363</v>
      </c>
      <c r="AE2618" s="845">
        <v>0.20058381984987489</v>
      </c>
      <c r="AF2618" s="845">
        <v>0.27627189324437029</v>
      </c>
      <c r="AG2618" s="845">
        <v>0.27397831526271893</v>
      </c>
      <c r="AH2618" s="20" t="str">
        <f t="shared" si="193"/>
        <v>No</v>
      </c>
      <c r="AI2618" s="25"/>
      <c r="AJ2618" s="25"/>
      <c r="AK2618" s="25"/>
      <c r="AL2618" s="25"/>
      <c r="AM2618" s="25"/>
      <c r="AN2618" s="25"/>
      <c r="AO2618" s="25"/>
      <c r="AP2618" s="25"/>
      <c r="AQ2618" s="25"/>
      <c r="AR2618" s="25"/>
      <c r="AS2618" s="25"/>
      <c r="AT2618" s="25"/>
      <c r="AU2618" s="36"/>
      <c r="AV2618" s="36"/>
      <c r="AW2618" s="36"/>
      <c r="AX2618" s="25"/>
      <c r="AY2618" s="25"/>
      <c r="AZ2618" s="25"/>
      <c r="BA2618" s="25"/>
      <c r="BB2618" s="25"/>
      <c r="BC2618" s="25"/>
      <c r="BD2618" s="25"/>
      <c r="BE2618" s="25"/>
      <c r="BF2618" s="25"/>
      <c r="BG2618" s="25"/>
      <c r="BH2618" s="25"/>
      <c r="BI2618" s="25"/>
      <c r="BJ2618" s="25"/>
      <c r="BK2618" s="25"/>
      <c r="BL2618" s="25"/>
      <c r="BM2618" s="25"/>
      <c r="BN2618" s="25"/>
      <c r="BO2618" s="25"/>
      <c r="BP2618" s="25"/>
      <c r="BQ2618" s="25"/>
      <c r="BR2618" s="25"/>
      <c r="BS2618" s="25"/>
      <c r="BT2618" s="25"/>
      <c r="BU2618"/>
      <c r="BV2618"/>
      <c r="BW2618"/>
      <c r="BX2618"/>
      <c r="BY2618"/>
      <c r="BZ2618"/>
      <c r="CA2618"/>
      <c r="CB2618"/>
      <c r="CC2618"/>
      <c r="CD2618" s="25"/>
    </row>
    <row r="2619" spans="1:82" s="17" customFormat="1" x14ac:dyDescent="0.2">
      <c r="A2619" s="25"/>
      <c r="B2619" s="20">
        <v>39049001110</v>
      </c>
      <c r="C2619" s="20">
        <v>11.1</v>
      </c>
      <c r="D2619" s="20" t="s">
        <v>31</v>
      </c>
      <c r="E2619" s="20" t="s">
        <v>2830</v>
      </c>
      <c r="F2619" s="20" t="s">
        <v>6</v>
      </c>
      <c r="G2619" s="861">
        <v>34.649353682344298</v>
      </c>
      <c r="H2619" s="861">
        <v>72.455814752122095</v>
      </c>
      <c r="I2619" s="861">
        <v>72.717113378101203</v>
      </c>
      <c r="J2619" s="861">
        <v>36.764100768565697</v>
      </c>
      <c r="K2619" s="982">
        <v>0</v>
      </c>
      <c r="L2619" s="735">
        <v>3034</v>
      </c>
      <c r="M2619" s="735">
        <v>3114</v>
      </c>
      <c r="N2619" s="845">
        <f t="shared" si="191"/>
        <v>2.6367831245880026E-2</v>
      </c>
      <c r="O2619" s="735">
        <v>0.20437854442505529</v>
      </c>
      <c r="P2619" s="735">
        <f t="shared" si="192"/>
        <v>15236.433006018839</v>
      </c>
      <c r="Q2619" s="849">
        <v>21.6</v>
      </c>
      <c r="R2619" s="71">
        <v>25929</v>
      </c>
      <c r="S2619" s="845">
        <v>0.66178128523111612</v>
      </c>
      <c r="T2619" s="845">
        <v>0.10199999999999999</v>
      </c>
      <c r="U2619" s="845">
        <v>0</v>
      </c>
      <c r="V2619" s="845">
        <v>5.7999999999999996E-2</v>
      </c>
      <c r="W2619" s="845">
        <v>0.98245614035087714</v>
      </c>
      <c r="X2619" s="845">
        <v>0.6696428571428571</v>
      </c>
      <c r="Y2619" s="845">
        <v>0.74309569685292232</v>
      </c>
      <c r="Z2619" s="845">
        <v>5.0417469492614005E-2</v>
      </c>
      <c r="AA2619" s="845">
        <v>0</v>
      </c>
      <c r="AB2619" s="845">
        <v>0.14065510597302505</v>
      </c>
      <c r="AC2619" s="845">
        <v>0</v>
      </c>
      <c r="AD2619" s="845">
        <v>1.3808606294155427E-2</v>
      </c>
      <c r="AE2619" s="845">
        <v>5.2023121387283239E-2</v>
      </c>
      <c r="AF2619" s="845">
        <v>4.0783558124598586E-2</v>
      </c>
      <c r="AG2619" s="845">
        <v>0.72029543994861911</v>
      </c>
      <c r="AH2619" s="20" t="str">
        <f t="shared" si="193"/>
        <v>No</v>
      </c>
      <c r="AI2619" s="25"/>
      <c r="AJ2619" s="25"/>
      <c r="AK2619" s="25"/>
      <c r="AL2619" s="25"/>
      <c r="AM2619" s="25"/>
      <c r="AN2619" s="25"/>
      <c r="AO2619" s="25"/>
      <c r="AP2619" s="25"/>
      <c r="AQ2619" s="25"/>
      <c r="AR2619" s="25"/>
      <c r="AS2619" s="25"/>
      <c r="AT2619" s="25"/>
      <c r="AU2619" s="36"/>
      <c r="AV2619" s="36"/>
      <c r="AW2619" s="36"/>
      <c r="AX2619" s="25"/>
      <c r="AY2619" s="25"/>
      <c r="AZ2619" s="25"/>
      <c r="BA2619" s="25"/>
      <c r="BB2619" s="25"/>
      <c r="BC2619" s="25"/>
      <c r="BD2619" s="25"/>
      <c r="BE2619" s="25"/>
      <c r="BF2619" s="25"/>
      <c r="BG2619" s="25"/>
      <c r="BH2619" s="25"/>
      <c r="BI2619" s="25"/>
      <c r="BJ2619" s="25"/>
      <c r="BK2619" s="25"/>
      <c r="BL2619" s="25"/>
      <c r="BM2619" s="25"/>
      <c r="BN2619" s="25"/>
      <c r="BO2619" s="25"/>
      <c r="BP2619" s="25"/>
      <c r="BQ2619" s="25"/>
      <c r="BR2619" s="25"/>
      <c r="BS2619" s="25"/>
      <c r="BT2619" s="25"/>
      <c r="BU2619"/>
      <c r="BV2619"/>
      <c r="BW2619"/>
      <c r="BX2619"/>
      <c r="BY2619"/>
      <c r="BZ2619"/>
      <c r="CA2619"/>
      <c r="CB2619"/>
      <c r="CC2619"/>
      <c r="CD2619" s="25"/>
    </row>
    <row r="2620" spans="1:82" s="17" customFormat="1" x14ac:dyDescent="0.2">
      <c r="A2620" s="25"/>
      <c r="B2620" s="20">
        <v>39151711211</v>
      </c>
      <c r="C2620" s="20">
        <v>7112.11</v>
      </c>
      <c r="D2620" s="20" t="s">
        <v>81</v>
      </c>
      <c r="E2620" s="20" t="s">
        <v>2844</v>
      </c>
      <c r="F2620" s="20" t="s">
        <v>8</v>
      </c>
      <c r="G2620" s="861">
        <v>34.638673824906299</v>
      </c>
      <c r="H2620" s="861">
        <v>40.462420813474999</v>
      </c>
      <c r="I2620" s="861">
        <v>28.2599044785395</v>
      </c>
      <c r="J2620" s="861">
        <v>25.9770931392733</v>
      </c>
      <c r="K2620" s="982">
        <v>0</v>
      </c>
      <c r="L2620" s="735">
        <v>6959</v>
      </c>
      <c r="M2620" s="735">
        <v>6842</v>
      </c>
      <c r="N2620" s="845">
        <f t="shared" si="191"/>
        <v>-1.6812760454088232E-2</v>
      </c>
      <c r="O2620" s="735">
        <v>7.4516836295437665</v>
      </c>
      <c r="P2620" s="735">
        <f t="shared" si="192"/>
        <v>918.18176135034139</v>
      </c>
      <c r="Q2620" s="849">
        <v>45.9</v>
      </c>
      <c r="R2620" s="71">
        <v>63963</v>
      </c>
      <c r="S2620" s="845">
        <v>0.13009824352485858</v>
      </c>
      <c r="T2620" s="845">
        <v>0.05</v>
      </c>
      <c r="U2620" s="845">
        <v>1.8000000000000002E-2</v>
      </c>
      <c r="V2620" s="845">
        <v>7.6999999999999999E-2</v>
      </c>
      <c r="W2620" s="845">
        <v>0.2717931720251906</v>
      </c>
      <c r="X2620" s="845">
        <v>0.39756097560975612</v>
      </c>
      <c r="Y2620" s="845">
        <v>0.94986845951476173</v>
      </c>
      <c r="Z2620" s="845">
        <v>1.0230926629640456E-3</v>
      </c>
      <c r="AA2620" s="845">
        <v>8.7693656825489619E-4</v>
      </c>
      <c r="AB2620" s="845">
        <v>2.5869628763519437E-2</v>
      </c>
      <c r="AC2620" s="845">
        <v>0</v>
      </c>
      <c r="AD2620" s="845">
        <v>0</v>
      </c>
      <c r="AE2620" s="845">
        <v>2.2361882490499852E-2</v>
      </c>
      <c r="AF2620" s="845">
        <v>1.4469453376205787E-2</v>
      </c>
      <c r="AG2620" s="845">
        <v>0.93539900613855598</v>
      </c>
      <c r="AH2620" s="20" t="str">
        <f t="shared" si="193"/>
        <v>Yes</v>
      </c>
      <c r="AI2620" s="25"/>
      <c r="AJ2620" s="25"/>
      <c r="AK2620" s="25"/>
      <c r="AL2620" s="25"/>
      <c r="AM2620" s="25"/>
      <c r="AN2620" s="25"/>
      <c r="AO2620" s="25"/>
      <c r="AP2620" s="25"/>
      <c r="AQ2620" s="25"/>
      <c r="AR2620" s="25"/>
      <c r="AS2620" s="25"/>
      <c r="AT2620" s="25"/>
      <c r="AU2620" s="36"/>
      <c r="AV2620" s="36"/>
      <c r="AW2620" s="36"/>
      <c r="AX2620" s="25"/>
      <c r="AY2620" s="25"/>
      <c r="AZ2620" s="25"/>
      <c r="BA2620" s="25"/>
      <c r="BB2620" s="25"/>
      <c r="BC2620" s="25"/>
      <c r="BD2620" s="25"/>
      <c r="BE2620" s="25"/>
      <c r="BF2620" s="25"/>
      <c r="BG2620" s="25"/>
      <c r="BH2620" s="25"/>
      <c r="BI2620" s="25"/>
      <c r="BJ2620" s="25"/>
      <c r="BK2620" s="25"/>
      <c r="BL2620" s="25"/>
      <c r="BM2620" s="25"/>
      <c r="BN2620" s="25"/>
      <c r="BO2620" s="25"/>
      <c r="BP2620" s="25"/>
      <c r="BQ2620" s="25"/>
      <c r="BR2620" s="25"/>
      <c r="BS2620" s="25"/>
      <c r="BT2620" s="25"/>
      <c r="BU2620"/>
      <c r="BV2620"/>
      <c r="BW2620"/>
      <c r="BX2620"/>
      <c r="BY2620"/>
      <c r="BZ2620"/>
      <c r="CA2620"/>
      <c r="CB2620"/>
      <c r="CC2620"/>
      <c r="CD2620" s="25"/>
    </row>
    <row r="2621" spans="1:82" s="17" customFormat="1" x14ac:dyDescent="0.2">
      <c r="A2621" s="25"/>
      <c r="B2621" s="20">
        <v>39093022500</v>
      </c>
      <c r="C2621" s="20">
        <v>225</v>
      </c>
      <c r="D2621" s="20" t="s">
        <v>52</v>
      </c>
      <c r="E2621" s="20" t="s">
        <v>2829</v>
      </c>
      <c r="F2621" s="20" t="s">
        <v>8</v>
      </c>
      <c r="G2621" s="861">
        <v>34.621003594067801</v>
      </c>
      <c r="H2621" s="861">
        <v>49.643020250240298</v>
      </c>
      <c r="I2621" s="861">
        <v>31.301337692675599</v>
      </c>
      <c r="J2621" s="861">
        <v>43.043223701669099</v>
      </c>
      <c r="K2621" s="982">
        <v>0</v>
      </c>
      <c r="L2621" s="735">
        <v>1564</v>
      </c>
      <c r="M2621" s="735">
        <v>1774</v>
      </c>
      <c r="N2621" s="845">
        <f t="shared" si="191"/>
        <v>0.13427109974424553</v>
      </c>
      <c r="O2621" s="735">
        <v>0.43141086080121044</v>
      </c>
      <c r="P2621" s="735">
        <f t="shared" si="192"/>
        <v>4112.0893356865217</v>
      </c>
      <c r="Q2621" s="849">
        <v>37.700000000000003</v>
      </c>
      <c r="R2621" s="71">
        <v>66144</v>
      </c>
      <c r="S2621" s="845">
        <v>0.10090191657271702</v>
      </c>
      <c r="T2621" s="845">
        <v>2.2000000000000002E-2</v>
      </c>
      <c r="U2621" s="845">
        <v>0</v>
      </c>
      <c r="V2621" s="845">
        <v>8.5999999999999993E-2</v>
      </c>
      <c r="W2621" s="845">
        <v>0.18836915297092288</v>
      </c>
      <c r="X2621" s="845">
        <v>0.38926174496644295</v>
      </c>
      <c r="Y2621" s="845">
        <v>0.84160090191657266</v>
      </c>
      <c r="Z2621" s="845">
        <v>2.5930101465614429E-2</v>
      </c>
      <c r="AA2621" s="845">
        <v>0</v>
      </c>
      <c r="AB2621" s="845">
        <v>0</v>
      </c>
      <c r="AC2621" s="845">
        <v>0</v>
      </c>
      <c r="AD2621" s="845">
        <v>3.3821871476888386E-2</v>
      </c>
      <c r="AE2621" s="845">
        <v>9.8647125140924469E-2</v>
      </c>
      <c r="AF2621" s="845">
        <v>0.17474633596392333</v>
      </c>
      <c r="AG2621" s="845">
        <v>0.78297632468996614</v>
      </c>
      <c r="AH2621" s="20" t="str">
        <f t="shared" si="193"/>
        <v>No</v>
      </c>
      <c r="AI2621" s="25"/>
      <c r="AJ2621" s="25"/>
      <c r="AK2621" s="25"/>
      <c r="AL2621" s="25"/>
      <c r="AM2621" s="25"/>
      <c r="AN2621" s="25"/>
      <c r="AO2621" s="25"/>
      <c r="AP2621" s="25"/>
      <c r="AQ2621" s="25"/>
      <c r="AR2621" s="25"/>
      <c r="AS2621" s="25"/>
      <c r="AT2621" s="25"/>
      <c r="AU2621" s="36"/>
      <c r="AV2621" s="36"/>
      <c r="AW2621" s="36"/>
      <c r="AX2621" s="25"/>
      <c r="AY2621" s="25"/>
      <c r="AZ2621" s="25"/>
      <c r="BA2621" s="25"/>
      <c r="BB2621" s="25"/>
      <c r="BC2621" s="25"/>
      <c r="BD2621" s="25"/>
      <c r="BE2621" s="25"/>
      <c r="BF2621" s="25"/>
      <c r="BG2621" s="25"/>
      <c r="BH2621" s="25"/>
      <c r="BI2621" s="25"/>
      <c r="BJ2621" s="25"/>
      <c r="BK2621" s="25"/>
      <c r="BL2621" s="25"/>
      <c r="BM2621" s="25"/>
      <c r="BN2621" s="25"/>
      <c r="BO2621" s="25"/>
      <c r="BP2621" s="25"/>
      <c r="BQ2621" s="25"/>
      <c r="BR2621" s="25"/>
      <c r="BS2621" s="25"/>
      <c r="BT2621" s="25"/>
      <c r="BU2621"/>
      <c r="BV2621"/>
      <c r="BW2621"/>
      <c r="BX2621"/>
      <c r="BY2621"/>
      <c r="BZ2621"/>
      <c r="CA2621"/>
      <c r="CB2621"/>
      <c r="CC2621"/>
      <c r="CD2621" s="25"/>
    </row>
    <row r="2622" spans="1:82" s="17" customFormat="1" x14ac:dyDescent="0.2">
      <c r="A2622" s="25"/>
      <c r="B2622" s="20">
        <v>39007001402</v>
      </c>
      <c r="C2622" s="20">
        <v>14.02</v>
      </c>
      <c r="D2622" s="20" t="s">
        <v>10</v>
      </c>
      <c r="E2622" s="20" t="s">
        <v>2829</v>
      </c>
      <c r="F2622" s="20" t="s">
        <v>8</v>
      </c>
      <c r="G2622" s="861">
        <v>34.611217656366897</v>
      </c>
      <c r="H2622" s="861">
        <v>39.742074085107198</v>
      </c>
      <c r="I2622" s="861">
        <v>27.989474649035898</v>
      </c>
      <c r="J2622" s="861">
        <v>42.404718225593001</v>
      </c>
      <c r="K2622" s="982">
        <v>0</v>
      </c>
      <c r="L2622" s="735" t="s">
        <v>2466</v>
      </c>
      <c r="M2622" s="735">
        <v>5019</v>
      </c>
      <c r="N2622" s="845" t="str">
        <f t="shared" si="191"/>
        <v/>
      </c>
      <c r="O2622" s="735">
        <v>59.546003475668471</v>
      </c>
      <c r="P2622" s="735">
        <f t="shared" si="192"/>
        <v>84.287772596709203</v>
      </c>
      <c r="Q2622" s="849">
        <v>39.299999999999997</v>
      </c>
      <c r="R2622" s="71">
        <v>51190</v>
      </c>
      <c r="S2622" s="845">
        <v>0.16490443269621796</v>
      </c>
      <c r="T2622" s="845">
        <v>4.4999999999999998E-2</v>
      </c>
      <c r="U2622" s="845">
        <v>6.0000000000000001E-3</v>
      </c>
      <c r="V2622" s="845">
        <v>6.7000000000000004E-2</v>
      </c>
      <c r="W2622" s="845">
        <v>0.29011425732737206</v>
      </c>
      <c r="X2622" s="845">
        <v>0.37328767123287671</v>
      </c>
      <c r="Y2622" s="845">
        <v>0.94700139470013944</v>
      </c>
      <c r="Z2622" s="845">
        <v>1.8928073321378761E-2</v>
      </c>
      <c r="AA2622" s="845">
        <v>2.390914524805738E-3</v>
      </c>
      <c r="AB2622" s="845">
        <v>0</v>
      </c>
      <c r="AC2622" s="845">
        <v>0</v>
      </c>
      <c r="AD2622" s="845">
        <v>4.781829049611476E-3</v>
      </c>
      <c r="AE2622" s="845">
        <v>2.6897788404064555E-2</v>
      </c>
      <c r="AF2622" s="845">
        <v>6.1765291890814901E-3</v>
      </c>
      <c r="AG2622" s="845">
        <v>0.94700139470013944</v>
      </c>
      <c r="AH2622" s="20" t="str">
        <f t="shared" si="193"/>
        <v>Yes</v>
      </c>
      <c r="AI2622" s="25"/>
      <c r="AJ2622" s="25"/>
      <c r="AK2622" s="25"/>
      <c r="AL2622" s="25"/>
      <c r="AM2622" s="25"/>
      <c r="AN2622" s="25"/>
      <c r="AO2622" s="25"/>
      <c r="AP2622" s="25"/>
      <c r="AQ2622" s="25"/>
      <c r="AR2622" s="25"/>
      <c r="AS2622" s="25"/>
      <c r="AT2622" s="25"/>
      <c r="AU2622" s="36"/>
      <c r="AV2622" s="36"/>
      <c r="AW2622" s="36"/>
      <c r="AX2622" s="25"/>
      <c r="AY2622" s="25"/>
      <c r="AZ2622" s="25"/>
      <c r="BA2622" s="25"/>
      <c r="BB2622" s="25"/>
      <c r="BC2622" s="25"/>
      <c r="BD2622" s="25"/>
      <c r="BE2622" s="25"/>
      <c r="BF2622" s="25"/>
      <c r="BG2622" s="25"/>
      <c r="BH2622" s="25"/>
      <c r="BI2622" s="25"/>
      <c r="BJ2622" s="25"/>
      <c r="BK2622" s="25"/>
      <c r="BL2622" s="25"/>
      <c r="BM2622" s="25"/>
      <c r="BN2622" s="25"/>
      <c r="BO2622" s="25"/>
      <c r="BP2622" s="25"/>
      <c r="BQ2622" s="25"/>
      <c r="BR2622" s="25"/>
      <c r="BS2622" s="25"/>
      <c r="BT2622" s="25"/>
      <c r="BU2622"/>
      <c r="BV2622"/>
      <c r="BW2622"/>
      <c r="BX2622"/>
      <c r="BY2622"/>
      <c r="BZ2622"/>
      <c r="CA2622"/>
      <c r="CB2622"/>
      <c r="CC2622"/>
      <c r="CD2622" s="25"/>
    </row>
    <row r="2623" spans="1:82" s="17" customFormat="1" x14ac:dyDescent="0.2">
      <c r="A2623" s="25"/>
      <c r="B2623" s="20">
        <v>39035102700</v>
      </c>
      <c r="C2623" s="20">
        <v>1027</v>
      </c>
      <c r="D2623" s="20" t="s">
        <v>24</v>
      </c>
      <c r="E2623" s="20" t="s">
        <v>2829</v>
      </c>
      <c r="F2623" s="20" t="s">
        <v>6</v>
      </c>
      <c r="G2623" s="861">
        <v>34.597686151366197</v>
      </c>
      <c r="H2623" s="861">
        <v>33.6185428820216</v>
      </c>
      <c r="I2623" s="861">
        <v>78.262752714920097</v>
      </c>
      <c r="J2623" s="861">
        <v>38.6918147675608</v>
      </c>
      <c r="K2623" s="982">
        <v>1</v>
      </c>
      <c r="L2623" s="735">
        <v>3825</v>
      </c>
      <c r="M2623" s="735">
        <v>3370</v>
      </c>
      <c r="N2623" s="845">
        <f t="shared" si="191"/>
        <v>-0.11895424836601307</v>
      </c>
      <c r="O2623" s="735">
        <v>0.76890546034205542</v>
      </c>
      <c r="P2623" s="735">
        <f t="shared" si="192"/>
        <v>4382.8535155685086</v>
      </c>
      <c r="Q2623" s="849">
        <v>30.3</v>
      </c>
      <c r="R2623" s="71">
        <v>32464</v>
      </c>
      <c r="S2623" s="845">
        <v>0.43204747774480712</v>
      </c>
      <c r="T2623" s="845">
        <v>0.25600000000000001</v>
      </c>
      <c r="U2623" s="845">
        <v>0</v>
      </c>
      <c r="V2623" s="845">
        <v>9.4E-2</v>
      </c>
      <c r="W2623" s="845">
        <v>0.6266375545851528</v>
      </c>
      <c r="X2623" s="845">
        <v>0.59117305458768876</v>
      </c>
      <c r="Y2623" s="845">
        <v>0.45370919881305638</v>
      </c>
      <c r="Z2623" s="845">
        <v>0.18160237388724035</v>
      </c>
      <c r="AA2623" s="845">
        <v>7.0326409495548955E-2</v>
      </c>
      <c r="AB2623" s="845">
        <v>0</v>
      </c>
      <c r="AC2623" s="845">
        <v>0</v>
      </c>
      <c r="AD2623" s="845">
        <v>0.14510385756676558</v>
      </c>
      <c r="AE2623" s="845">
        <v>0.14925816023738872</v>
      </c>
      <c r="AF2623" s="845">
        <v>0.35756676557863504</v>
      </c>
      <c r="AG2623" s="845">
        <v>0.4258160237388724</v>
      </c>
      <c r="AH2623" s="20" t="str">
        <f t="shared" si="193"/>
        <v>No</v>
      </c>
      <c r="AI2623" s="25"/>
      <c r="AJ2623" s="25"/>
      <c r="AK2623" s="25"/>
      <c r="AL2623" s="25"/>
      <c r="AM2623" s="25"/>
      <c r="AN2623" s="25"/>
      <c r="AO2623" s="25"/>
      <c r="AP2623" s="25"/>
      <c r="AQ2623" s="25"/>
      <c r="AR2623" s="25"/>
      <c r="AS2623" s="25"/>
      <c r="AT2623" s="25"/>
      <c r="AU2623" s="36"/>
      <c r="AV2623" s="36"/>
      <c r="AW2623" s="36"/>
      <c r="AX2623" s="25"/>
      <c r="AY2623" s="25"/>
      <c r="AZ2623" s="25"/>
      <c r="BA2623" s="25"/>
      <c r="BB2623" s="25"/>
      <c r="BC2623" s="25"/>
      <c r="BD2623" s="25"/>
      <c r="BE2623" s="25"/>
      <c r="BF2623" s="25"/>
      <c r="BG2623" s="25"/>
      <c r="BH2623" s="25"/>
      <c r="BI2623" s="25"/>
      <c r="BJ2623" s="25"/>
      <c r="BK2623" s="25"/>
      <c r="BL2623" s="25"/>
      <c r="BM2623" s="25"/>
      <c r="BN2623" s="25"/>
      <c r="BO2623" s="25"/>
      <c r="BP2623" s="25"/>
      <c r="BQ2623" s="25"/>
      <c r="BR2623" s="25"/>
      <c r="BS2623" s="25"/>
      <c r="BT2623" s="25"/>
      <c r="BU2623"/>
      <c r="BV2623"/>
      <c r="BW2623"/>
      <c r="BX2623"/>
      <c r="BY2623"/>
      <c r="BZ2623"/>
      <c r="CA2623"/>
      <c r="CB2623"/>
      <c r="CC2623"/>
      <c r="CD2623" s="25"/>
    </row>
    <row r="2624" spans="1:82" s="17" customFormat="1" x14ac:dyDescent="0.2">
      <c r="A2624" s="25"/>
      <c r="B2624" s="20">
        <v>39061027200</v>
      </c>
      <c r="C2624" s="20">
        <v>272</v>
      </c>
      <c r="D2624" s="20" t="s">
        <v>37</v>
      </c>
      <c r="E2624" s="20" t="s">
        <v>2828</v>
      </c>
      <c r="F2624" s="20" t="s">
        <v>6</v>
      </c>
      <c r="G2624" s="861">
        <v>34.596547689799998</v>
      </c>
      <c r="H2624" s="861">
        <v>49.162054306691203</v>
      </c>
      <c r="I2624" s="861">
        <v>67.462585256184099</v>
      </c>
      <c r="J2624" s="861">
        <v>59.898633391783498</v>
      </c>
      <c r="K2624" s="982">
        <v>0</v>
      </c>
      <c r="L2624" s="735">
        <v>2302</v>
      </c>
      <c r="M2624" s="735">
        <v>1960</v>
      </c>
      <c r="N2624" s="845">
        <f t="shared" si="191"/>
        <v>-0.14856646394439618</v>
      </c>
      <c r="O2624" s="735">
        <v>0.53779127194526</v>
      </c>
      <c r="P2624" s="735">
        <f t="shared" si="192"/>
        <v>3644.5366487827678</v>
      </c>
      <c r="Q2624" s="849">
        <v>34.4</v>
      </c>
      <c r="R2624" s="71">
        <v>30000</v>
      </c>
      <c r="S2624" s="845">
        <v>0.30374331550802142</v>
      </c>
      <c r="T2624" s="845">
        <v>5.5E-2</v>
      </c>
      <c r="U2624" s="845">
        <v>0</v>
      </c>
      <c r="V2624" s="845">
        <v>5.2999999999999999E-2</v>
      </c>
      <c r="W2624" s="845">
        <v>0.61150234741784038</v>
      </c>
      <c r="X2624" s="845">
        <v>0.52015355086372361</v>
      </c>
      <c r="Y2624" s="845">
        <v>0.34438775510204084</v>
      </c>
      <c r="Z2624" s="845">
        <v>0.55459183673469392</v>
      </c>
      <c r="AA2624" s="845">
        <v>2.0918367346938777E-2</v>
      </c>
      <c r="AB2624" s="845">
        <v>0</v>
      </c>
      <c r="AC2624" s="845">
        <v>0</v>
      </c>
      <c r="AD2624" s="845">
        <v>4.1836734693877553E-2</v>
      </c>
      <c r="AE2624" s="845">
        <v>3.826530612244898E-2</v>
      </c>
      <c r="AF2624" s="845">
        <v>6.0204081632653061E-2</v>
      </c>
      <c r="AG2624" s="845">
        <v>0.34081632653061222</v>
      </c>
      <c r="AH2624" s="20" t="str">
        <f t="shared" si="193"/>
        <v>No</v>
      </c>
      <c r="AI2624" s="25"/>
      <c r="AJ2624" s="25"/>
      <c r="AK2624" s="25"/>
      <c r="AL2624" s="25"/>
      <c r="AM2624" s="25"/>
      <c r="AN2624" s="25"/>
      <c r="AO2624" s="25"/>
      <c r="AP2624" s="25"/>
      <c r="AQ2624" s="25"/>
      <c r="AR2624" s="25"/>
      <c r="AS2624" s="25"/>
      <c r="AT2624" s="25"/>
      <c r="AU2624" s="36"/>
      <c r="AV2624" s="36"/>
      <c r="AW2624" s="36"/>
      <c r="AX2624" s="25"/>
      <c r="AY2624" s="25"/>
      <c r="AZ2624" s="25"/>
      <c r="BA2624" s="25"/>
      <c r="BB2624" s="25"/>
      <c r="BC2624" s="25"/>
      <c r="BD2624" s="25"/>
      <c r="BE2624" s="25"/>
      <c r="BF2624" s="25"/>
      <c r="BG2624" s="25"/>
      <c r="BH2624" s="25"/>
      <c r="BI2624" s="25"/>
      <c r="BJ2624" s="25"/>
      <c r="BK2624" s="25"/>
      <c r="BL2624" s="25"/>
      <c r="BM2624" s="25"/>
      <c r="BN2624" s="25"/>
      <c r="BO2624" s="25"/>
      <c r="BP2624" s="25"/>
      <c r="BQ2624" s="25"/>
      <c r="BR2624" s="25"/>
      <c r="BS2624" s="25"/>
      <c r="BT2624" s="25"/>
      <c r="BU2624"/>
      <c r="BV2624"/>
      <c r="BW2624"/>
      <c r="BX2624"/>
      <c r="BY2624"/>
      <c r="BZ2624"/>
      <c r="CA2624"/>
      <c r="CB2624"/>
      <c r="CC2624"/>
      <c r="CD2624" s="25"/>
    </row>
    <row r="2625" spans="1:82" s="17" customFormat="1" x14ac:dyDescent="0.2">
      <c r="A2625" s="25"/>
      <c r="B2625" s="20">
        <v>39145003500</v>
      </c>
      <c r="C2625" s="20">
        <v>35</v>
      </c>
      <c r="D2625" s="20" t="s">
        <v>78</v>
      </c>
      <c r="E2625" s="20" t="s">
        <v>265</v>
      </c>
      <c r="F2625" s="20" t="s">
        <v>6</v>
      </c>
      <c r="G2625" s="861">
        <v>34.561327309255503</v>
      </c>
      <c r="H2625" s="861">
        <v>29.321804331552599</v>
      </c>
      <c r="I2625" s="861">
        <v>59.628349055222401</v>
      </c>
      <c r="J2625" s="861">
        <v>62.318221779657101</v>
      </c>
      <c r="K2625" s="982">
        <v>0</v>
      </c>
      <c r="L2625" s="735">
        <v>2425</v>
      </c>
      <c r="M2625" s="735">
        <v>2310</v>
      </c>
      <c r="N2625" s="845">
        <f t="shared" si="191"/>
        <v>-4.7422680412371132E-2</v>
      </c>
      <c r="O2625" s="735">
        <v>0.67341660498974265</v>
      </c>
      <c r="P2625" s="735">
        <f t="shared" si="192"/>
        <v>3430.2688452940442</v>
      </c>
      <c r="Q2625" s="849">
        <v>38.799999999999997</v>
      </c>
      <c r="R2625" s="71">
        <v>26908</v>
      </c>
      <c r="S2625" s="845">
        <v>0.54005400540054005</v>
      </c>
      <c r="T2625" s="845">
        <v>0.158</v>
      </c>
      <c r="U2625" s="845">
        <v>0</v>
      </c>
      <c r="V2625" s="845">
        <v>0.06</v>
      </c>
      <c r="W2625" s="845">
        <v>0.61509900990099009</v>
      </c>
      <c r="X2625" s="845">
        <v>0.61971830985915488</v>
      </c>
      <c r="Y2625" s="845">
        <v>0.94372294372294374</v>
      </c>
      <c r="Z2625" s="845">
        <v>6.9264069264069264E-3</v>
      </c>
      <c r="AA2625" s="845">
        <v>0</v>
      </c>
      <c r="AB2625" s="845">
        <v>8.2251082251082255E-3</v>
      </c>
      <c r="AC2625" s="845">
        <v>0</v>
      </c>
      <c r="AD2625" s="845">
        <v>0</v>
      </c>
      <c r="AE2625" s="845">
        <v>4.1125541125541128E-2</v>
      </c>
      <c r="AF2625" s="845">
        <v>0</v>
      </c>
      <c r="AG2625" s="845">
        <v>0.94372294372294374</v>
      </c>
      <c r="AH2625" s="20" t="str">
        <f t="shared" si="193"/>
        <v>Yes</v>
      </c>
      <c r="AI2625" s="25"/>
      <c r="AJ2625" s="25"/>
      <c r="AK2625" s="25"/>
      <c r="AL2625" s="25"/>
      <c r="AM2625" s="25"/>
      <c r="AN2625" s="25"/>
      <c r="AO2625" s="25"/>
      <c r="AP2625" s="25"/>
      <c r="AQ2625" s="25"/>
      <c r="AR2625" s="25"/>
      <c r="AS2625" s="25"/>
      <c r="AT2625" s="25"/>
      <c r="AU2625" s="36"/>
      <c r="AV2625" s="36"/>
      <c r="AW2625" s="36"/>
      <c r="AX2625" s="25"/>
      <c r="AY2625" s="25"/>
      <c r="AZ2625" s="25"/>
      <c r="BA2625" s="25"/>
      <c r="BB2625" s="25"/>
      <c r="BC2625" s="25"/>
      <c r="BD2625" s="25"/>
      <c r="BE2625" s="25"/>
      <c r="BF2625" s="25"/>
      <c r="BG2625" s="25"/>
      <c r="BH2625" s="25"/>
      <c r="BI2625" s="25"/>
      <c r="BJ2625" s="25"/>
      <c r="BK2625" s="25"/>
      <c r="BL2625" s="25"/>
      <c r="BM2625" s="25"/>
      <c r="BN2625" s="25"/>
      <c r="BO2625" s="25"/>
      <c r="BP2625" s="25"/>
      <c r="BQ2625" s="25"/>
      <c r="BR2625" s="25"/>
      <c r="BS2625" s="25"/>
      <c r="BT2625" s="25"/>
      <c r="BU2625"/>
      <c r="BV2625"/>
      <c r="BW2625"/>
      <c r="BX2625"/>
      <c r="BY2625"/>
      <c r="BZ2625"/>
      <c r="CA2625"/>
      <c r="CB2625"/>
      <c r="CC2625"/>
      <c r="CD2625" s="25"/>
    </row>
    <row r="2626" spans="1:82" s="17" customFormat="1" x14ac:dyDescent="0.2">
      <c r="A2626" s="25"/>
      <c r="B2626" s="20">
        <v>39023002100</v>
      </c>
      <c r="C2626" s="20">
        <v>21</v>
      </c>
      <c r="D2626" s="20" t="s">
        <v>18</v>
      </c>
      <c r="E2626" s="20" t="s">
        <v>2838</v>
      </c>
      <c r="F2626" s="20" t="s">
        <v>6</v>
      </c>
      <c r="G2626" s="861">
        <v>34.530411953270701</v>
      </c>
      <c r="H2626" s="861">
        <v>29.894078214116899</v>
      </c>
      <c r="I2626" s="861">
        <v>59.024157699393299</v>
      </c>
      <c r="J2626" s="861">
        <v>20.895398007959301</v>
      </c>
      <c r="K2626" s="982">
        <v>0</v>
      </c>
      <c r="L2626" s="735">
        <v>1680</v>
      </c>
      <c r="M2626" s="735">
        <v>1787</v>
      </c>
      <c r="N2626" s="845">
        <f t="shared" si="191"/>
        <v>6.3690476190476186E-2</v>
      </c>
      <c r="O2626" s="735">
        <v>4.3863050784430051</v>
      </c>
      <c r="P2626" s="735">
        <f t="shared" si="192"/>
        <v>407.4044025761944</v>
      </c>
      <c r="Q2626" s="849">
        <v>46.7</v>
      </c>
      <c r="R2626" s="71">
        <v>49348</v>
      </c>
      <c r="S2626" s="845">
        <v>0.25097529258777634</v>
      </c>
      <c r="T2626" s="845">
        <v>1.3000000000000001E-2</v>
      </c>
      <c r="U2626" s="845">
        <v>0</v>
      </c>
      <c r="V2626" s="845">
        <v>0</v>
      </c>
      <c r="W2626" s="845">
        <v>0.4526627218934911</v>
      </c>
      <c r="X2626" s="845">
        <v>0.74836601307189543</v>
      </c>
      <c r="Y2626" s="845">
        <v>0.92781197537772808</v>
      </c>
      <c r="Z2626" s="845">
        <v>3.9731393396754335E-2</v>
      </c>
      <c r="AA2626" s="845">
        <v>0</v>
      </c>
      <c r="AB2626" s="845">
        <v>0</v>
      </c>
      <c r="AC2626" s="845">
        <v>0</v>
      </c>
      <c r="AD2626" s="845">
        <v>3.02182428651371E-2</v>
      </c>
      <c r="AE2626" s="845">
        <v>2.2383883603805262E-3</v>
      </c>
      <c r="AF2626" s="845">
        <v>0.15109121432568551</v>
      </c>
      <c r="AG2626" s="845">
        <v>0.80917739227756014</v>
      </c>
      <c r="AH2626" s="20" t="str">
        <f t="shared" si="193"/>
        <v>No</v>
      </c>
      <c r="AI2626" s="25"/>
      <c r="AJ2626" s="25"/>
      <c r="AK2626" s="25"/>
      <c r="AL2626" s="25"/>
      <c r="AM2626" s="25"/>
      <c r="AN2626" s="25"/>
      <c r="AO2626" s="25"/>
      <c r="AP2626" s="25"/>
      <c r="AQ2626" s="25"/>
      <c r="AR2626" s="25"/>
      <c r="AS2626" s="25"/>
      <c r="AT2626" s="25"/>
      <c r="AU2626" s="36"/>
      <c r="AV2626" s="36"/>
      <c r="AW2626" s="36"/>
      <c r="AX2626" s="25"/>
      <c r="AY2626" s="25"/>
      <c r="AZ2626" s="25"/>
      <c r="BA2626" s="25"/>
      <c r="BB2626" s="25"/>
      <c r="BC2626" s="25"/>
      <c r="BD2626" s="25"/>
      <c r="BE2626" s="25"/>
      <c r="BF2626" s="25"/>
      <c r="BG2626" s="25"/>
      <c r="BH2626" s="25"/>
      <c r="BI2626" s="25"/>
      <c r="BJ2626" s="25"/>
      <c r="BK2626" s="25"/>
      <c r="BL2626" s="25"/>
      <c r="BM2626" s="25"/>
      <c r="BN2626" s="25"/>
      <c r="BO2626" s="25"/>
      <c r="BP2626" s="25"/>
      <c r="BQ2626" s="25"/>
      <c r="BR2626" s="25"/>
      <c r="BS2626" s="25"/>
      <c r="BT2626" s="25"/>
      <c r="BU2626"/>
      <c r="BV2626"/>
      <c r="BW2626"/>
      <c r="BX2626"/>
      <c r="BY2626"/>
      <c r="BZ2626"/>
      <c r="CA2626"/>
      <c r="CB2626"/>
      <c r="CC2626"/>
      <c r="CD2626" s="25"/>
    </row>
    <row r="2627" spans="1:82" s="17" customFormat="1" x14ac:dyDescent="0.2">
      <c r="A2627" s="25"/>
      <c r="B2627" s="20">
        <v>39173020901</v>
      </c>
      <c r="C2627" s="20">
        <v>209.01</v>
      </c>
      <c r="D2627" s="20" t="s">
        <v>92</v>
      </c>
      <c r="E2627" s="20" t="s">
        <v>2839</v>
      </c>
      <c r="F2627" s="20" t="s">
        <v>8</v>
      </c>
      <c r="G2627" s="861">
        <v>34.516976036829497</v>
      </c>
      <c r="H2627" s="861">
        <v>44.4231087201278</v>
      </c>
      <c r="I2627" s="861">
        <v>28.667264728007101</v>
      </c>
      <c r="J2627" s="861">
        <v>32.3436677614377</v>
      </c>
      <c r="K2627" s="982">
        <v>0</v>
      </c>
      <c r="L2627" s="735" t="s">
        <v>2466</v>
      </c>
      <c r="M2627" s="735">
        <v>4293</v>
      </c>
      <c r="N2627" s="845" t="str">
        <f t="shared" si="191"/>
        <v/>
      </c>
      <c r="O2627" s="735">
        <v>10.904809134432668</v>
      </c>
      <c r="P2627" s="735">
        <f t="shared" si="192"/>
        <v>393.67951764002578</v>
      </c>
      <c r="Q2627" s="849">
        <v>42.6</v>
      </c>
      <c r="R2627" s="71">
        <v>78772</v>
      </c>
      <c r="S2627" s="845">
        <v>9.7060195986934203E-2</v>
      </c>
      <c r="T2627" s="845">
        <v>6.8000000000000005E-2</v>
      </c>
      <c r="U2627" s="845">
        <v>6.9999999999999993E-3</v>
      </c>
      <c r="V2627" s="845">
        <v>0.122</v>
      </c>
      <c r="W2627" s="845">
        <v>0.23938879456706283</v>
      </c>
      <c r="X2627" s="845">
        <v>0.19858156028368795</v>
      </c>
      <c r="Y2627" s="845">
        <v>0.91800605637083621</v>
      </c>
      <c r="Z2627" s="845">
        <v>7.9198695550896803E-3</v>
      </c>
      <c r="AA2627" s="845">
        <v>0</v>
      </c>
      <c r="AB2627" s="845">
        <v>8.1528068949452605E-3</v>
      </c>
      <c r="AC2627" s="845">
        <v>0</v>
      </c>
      <c r="AD2627" s="845">
        <v>1.4907989750757047E-2</v>
      </c>
      <c r="AE2627" s="845">
        <v>5.1013277428371771E-2</v>
      </c>
      <c r="AF2627" s="845">
        <v>3.447472629862567E-2</v>
      </c>
      <c r="AG2627" s="845">
        <v>0.91404612159329135</v>
      </c>
      <c r="AH2627" s="20" t="str">
        <f t="shared" si="193"/>
        <v>Yes</v>
      </c>
      <c r="AI2627" s="25"/>
      <c r="AJ2627" s="25"/>
      <c r="AK2627" s="25"/>
      <c r="AL2627" s="25"/>
      <c r="AM2627" s="25"/>
      <c r="AN2627" s="25"/>
      <c r="AO2627" s="25"/>
      <c r="AP2627" s="25"/>
      <c r="AQ2627" s="25"/>
      <c r="AR2627" s="25"/>
      <c r="AS2627" s="25"/>
      <c r="AT2627" s="25"/>
      <c r="AU2627" s="36"/>
      <c r="AV2627" s="36"/>
      <c r="AW2627" s="36"/>
      <c r="AX2627" s="25"/>
      <c r="AY2627" s="25"/>
      <c r="AZ2627" s="25"/>
      <c r="BA2627" s="25"/>
      <c r="BB2627" s="25"/>
      <c r="BC2627" s="25"/>
      <c r="BD2627" s="25"/>
      <c r="BE2627" s="25"/>
      <c r="BF2627" s="25"/>
      <c r="BG2627" s="25"/>
      <c r="BH2627" s="25"/>
      <c r="BI2627" s="25"/>
      <c r="BJ2627" s="25"/>
      <c r="BK2627" s="25"/>
      <c r="BL2627" s="25"/>
      <c r="BM2627" s="25"/>
      <c r="BN2627" s="25"/>
      <c r="BO2627" s="25"/>
      <c r="BP2627" s="25"/>
      <c r="BQ2627" s="25"/>
      <c r="BR2627" s="25"/>
      <c r="BS2627" s="25"/>
      <c r="BT2627" s="25"/>
      <c r="BU2627"/>
      <c r="BV2627"/>
      <c r="BW2627"/>
      <c r="BX2627"/>
      <c r="BY2627"/>
      <c r="BZ2627"/>
      <c r="CA2627"/>
      <c r="CB2627"/>
      <c r="CC2627"/>
      <c r="CD2627" s="25"/>
    </row>
    <row r="2628" spans="1:82" s="17" customFormat="1" x14ac:dyDescent="0.2">
      <c r="A2628" s="25"/>
      <c r="B2628" s="20">
        <v>39095005102</v>
      </c>
      <c r="C2628" s="20">
        <v>51.02</v>
      </c>
      <c r="D2628" s="20" t="s">
        <v>53</v>
      </c>
      <c r="E2628" s="20" t="s">
        <v>2839</v>
      </c>
      <c r="F2628" s="20" t="s">
        <v>8</v>
      </c>
      <c r="G2628" s="861">
        <v>34.420807138514697</v>
      </c>
      <c r="H2628" s="861">
        <v>44.958068164346699</v>
      </c>
      <c r="I2628" s="861">
        <v>49.450395013056102</v>
      </c>
      <c r="J2628" s="861">
        <v>64.795184107394803</v>
      </c>
      <c r="K2628" s="982">
        <v>0</v>
      </c>
      <c r="L2628" s="735" t="s">
        <v>2466</v>
      </c>
      <c r="M2628" s="735">
        <v>1324</v>
      </c>
      <c r="N2628" s="845" t="str">
        <f t="shared" si="191"/>
        <v/>
      </c>
      <c r="O2628" s="735">
        <v>0.22800220499853957</v>
      </c>
      <c r="P2628" s="735">
        <f t="shared" si="192"/>
        <v>5806.961384467666</v>
      </c>
      <c r="Q2628" s="849">
        <v>32.700000000000003</v>
      </c>
      <c r="R2628" s="71">
        <v>55938</v>
      </c>
      <c r="S2628" s="845">
        <v>0.20317220543806647</v>
      </c>
      <c r="T2628" s="845">
        <v>0.17699999999999999</v>
      </c>
      <c r="U2628" s="845">
        <v>0</v>
      </c>
      <c r="V2628" s="845">
        <v>0</v>
      </c>
      <c r="W2628" s="845">
        <v>0.35018726591760302</v>
      </c>
      <c r="X2628" s="845">
        <v>0.28342245989304815</v>
      </c>
      <c r="Y2628" s="845">
        <v>0.48791540785498488</v>
      </c>
      <c r="Z2628" s="845">
        <v>5.5891238670694864E-2</v>
      </c>
      <c r="AA2628" s="845">
        <v>0</v>
      </c>
      <c r="AB2628" s="845">
        <v>5.8912386706948643E-2</v>
      </c>
      <c r="AC2628" s="845">
        <v>0</v>
      </c>
      <c r="AD2628" s="845">
        <v>0.28851963746223563</v>
      </c>
      <c r="AE2628" s="845">
        <v>0.10876132930513595</v>
      </c>
      <c r="AF2628" s="845">
        <v>0.48338368580060426</v>
      </c>
      <c r="AG2628" s="845">
        <v>0.36178247734138974</v>
      </c>
      <c r="AH2628" s="20" t="str">
        <f t="shared" si="193"/>
        <v>No</v>
      </c>
      <c r="AI2628" s="25"/>
      <c r="AJ2628" s="25"/>
      <c r="AK2628" s="25"/>
      <c r="AL2628" s="25"/>
      <c r="AM2628" s="25"/>
      <c r="AN2628" s="25"/>
      <c r="AO2628" s="25"/>
      <c r="AP2628" s="25"/>
      <c r="AQ2628" s="25"/>
      <c r="AR2628" s="25"/>
      <c r="AS2628" s="25"/>
      <c r="AT2628" s="25"/>
      <c r="AU2628" s="36"/>
      <c r="AV2628" s="36"/>
      <c r="AW2628" s="36"/>
      <c r="AX2628" s="25"/>
      <c r="AY2628" s="25"/>
      <c r="AZ2628" s="25"/>
      <c r="BA2628" s="25"/>
      <c r="BB2628" s="25"/>
      <c r="BC2628" s="25"/>
      <c r="BD2628" s="25"/>
      <c r="BE2628" s="25"/>
      <c r="BF2628" s="25"/>
      <c r="BG2628" s="25"/>
      <c r="BH2628" s="25"/>
      <c r="BI2628" s="25"/>
      <c r="BJ2628" s="25"/>
      <c r="BK2628" s="25"/>
      <c r="BL2628" s="25"/>
      <c r="BM2628" s="25"/>
      <c r="BN2628" s="25"/>
      <c r="BO2628" s="25"/>
      <c r="BP2628" s="25"/>
      <c r="BQ2628" s="25"/>
      <c r="BR2628" s="25"/>
      <c r="BS2628" s="25"/>
      <c r="BT2628" s="25"/>
      <c r="BU2628"/>
      <c r="BV2628"/>
      <c r="BW2628"/>
      <c r="BX2628"/>
      <c r="BY2628"/>
      <c r="BZ2628"/>
      <c r="CA2628"/>
      <c r="CB2628"/>
      <c r="CC2628"/>
      <c r="CD2628" s="25"/>
    </row>
    <row r="2629" spans="1:82" s="17" customFormat="1" x14ac:dyDescent="0.2">
      <c r="A2629" s="25"/>
      <c r="B2629" s="20">
        <v>39125960500</v>
      </c>
      <c r="C2629" s="20">
        <v>9605</v>
      </c>
      <c r="D2629" s="20" t="s">
        <v>68</v>
      </c>
      <c r="E2629" s="20" t="s">
        <v>265</v>
      </c>
      <c r="F2629" s="20" t="s">
        <v>8</v>
      </c>
      <c r="G2629" s="861">
        <v>34.359011342532199</v>
      </c>
      <c r="H2629" s="861">
        <v>43.574686806247897</v>
      </c>
      <c r="I2629" s="861">
        <v>18.673064483153102</v>
      </c>
      <c r="J2629" s="861">
        <v>39.092311065344603</v>
      </c>
      <c r="K2629" s="982">
        <v>0</v>
      </c>
      <c r="L2629" s="735">
        <v>3710</v>
      </c>
      <c r="M2629" s="735">
        <v>3527</v>
      </c>
      <c r="N2629" s="845">
        <f t="shared" si="191"/>
        <v>-4.9326145552560645E-2</v>
      </c>
      <c r="O2629" s="735">
        <v>108.18172906592997</v>
      </c>
      <c r="P2629" s="735">
        <f t="shared" si="192"/>
        <v>32.602547865088333</v>
      </c>
      <c r="Q2629" s="849">
        <v>43.5</v>
      </c>
      <c r="R2629" s="71">
        <v>72420</v>
      </c>
      <c r="S2629" s="845">
        <v>0.10592976396085205</v>
      </c>
      <c r="T2629" s="845">
        <v>3.9E-2</v>
      </c>
      <c r="U2629" s="845">
        <v>0</v>
      </c>
      <c r="V2629" s="845">
        <v>0.121</v>
      </c>
      <c r="W2629" s="845">
        <v>0.15384615384615385</v>
      </c>
      <c r="X2629" s="845">
        <v>0.30476190476190479</v>
      </c>
      <c r="Y2629" s="845">
        <v>0.93932520555713073</v>
      </c>
      <c r="Z2629" s="845">
        <v>7.3717039977317838E-3</v>
      </c>
      <c r="AA2629" s="845">
        <v>1.7011624610150269E-3</v>
      </c>
      <c r="AB2629" s="845">
        <v>8.2222852282392966E-3</v>
      </c>
      <c r="AC2629" s="845">
        <v>0</v>
      </c>
      <c r="AD2629" s="845">
        <v>1.3609299688120215E-2</v>
      </c>
      <c r="AE2629" s="845">
        <v>2.977034306776297E-2</v>
      </c>
      <c r="AF2629" s="845">
        <v>4.5080805216898216E-2</v>
      </c>
      <c r="AG2629" s="845">
        <v>0.92628296002268218</v>
      </c>
      <c r="AH2629" s="20" t="str">
        <f t="shared" si="193"/>
        <v>Yes</v>
      </c>
      <c r="AI2629" s="25"/>
      <c r="AJ2629" s="25"/>
      <c r="AK2629" s="25"/>
      <c r="AL2629" s="25"/>
      <c r="AM2629" s="25"/>
      <c r="AN2629" s="25"/>
      <c r="AO2629" s="25"/>
      <c r="AP2629" s="25"/>
      <c r="AQ2629" s="25"/>
      <c r="AR2629" s="25"/>
      <c r="AS2629" s="25"/>
      <c r="AT2629" s="25"/>
      <c r="AU2629" s="36"/>
      <c r="AV2629" s="36"/>
      <c r="AW2629" s="36"/>
      <c r="AX2629" s="25"/>
      <c r="AY2629" s="25"/>
      <c r="AZ2629" s="25"/>
      <c r="BA2629" s="25"/>
      <c r="BB2629" s="25"/>
      <c r="BC2629" s="25"/>
      <c r="BD2629" s="25"/>
      <c r="BE2629" s="25"/>
      <c r="BF2629" s="25"/>
      <c r="BG2629" s="25"/>
      <c r="BH2629" s="25"/>
      <c r="BI2629" s="25"/>
      <c r="BJ2629" s="25"/>
      <c r="BK2629" s="25"/>
      <c r="BL2629" s="25"/>
      <c r="BM2629" s="25"/>
      <c r="BN2629" s="25"/>
      <c r="BO2629" s="25"/>
      <c r="BP2629" s="25"/>
      <c r="BQ2629" s="25"/>
      <c r="BR2629" s="25"/>
      <c r="BS2629" s="25"/>
      <c r="BT2629" s="25"/>
      <c r="BU2629"/>
      <c r="BV2629"/>
      <c r="BW2629"/>
      <c r="BX2629"/>
      <c r="BY2629"/>
      <c r="BZ2629"/>
      <c r="CA2629"/>
      <c r="CB2629"/>
      <c r="CC2629"/>
      <c r="CD2629" s="25"/>
    </row>
    <row r="2630" spans="1:82" s="17" customFormat="1" x14ac:dyDescent="0.2">
      <c r="A2630" s="25"/>
      <c r="B2630" s="20">
        <v>39095000601</v>
      </c>
      <c r="C2630" s="20">
        <v>6.01</v>
      </c>
      <c r="D2630" s="20" t="s">
        <v>53</v>
      </c>
      <c r="E2630" s="20" t="s">
        <v>2839</v>
      </c>
      <c r="F2630" s="20" t="s">
        <v>8</v>
      </c>
      <c r="G2630" s="861">
        <v>34.326178932757301</v>
      </c>
      <c r="H2630" s="861">
        <v>55.050849817085798</v>
      </c>
      <c r="I2630" s="861">
        <v>45.005312597699103</v>
      </c>
      <c r="J2630" s="861">
        <v>42.097617312246399</v>
      </c>
      <c r="K2630" s="982">
        <v>0</v>
      </c>
      <c r="L2630" s="735" t="s">
        <v>2466</v>
      </c>
      <c r="M2630" s="735">
        <v>4018</v>
      </c>
      <c r="N2630" s="845" t="str">
        <f t="shared" si="191"/>
        <v/>
      </c>
      <c r="O2630" s="735">
        <v>0.33269303309658826</v>
      </c>
      <c r="P2630" s="735">
        <f t="shared" si="192"/>
        <v>12077.199100329475</v>
      </c>
      <c r="Q2630" s="849">
        <v>30</v>
      </c>
      <c r="R2630" s="71">
        <v>58218</v>
      </c>
      <c r="S2630" s="845">
        <v>0.22797411647585863</v>
      </c>
      <c r="T2630" s="845">
        <v>3.4000000000000002E-2</v>
      </c>
      <c r="U2630" s="845">
        <v>0</v>
      </c>
      <c r="V2630" s="845">
        <v>2.5000000000000001E-2</v>
      </c>
      <c r="W2630" s="845">
        <v>0.66155896069287146</v>
      </c>
      <c r="X2630" s="845">
        <v>0.35246727089627394</v>
      </c>
      <c r="Y2630" s="845">
        <v>0.57192633150821304</v>
      </c>
      <c r="Z2630" s="845">
        <v>0.3280238924838228</v>
      </c>
      <c r="AA2630" s="845">
        <v>0</v>
      </c>
      <c r="AB2630" s="845">
        <v>8.9596814335490289E-3</v>
      </c>
      <c r="AC2630" s="845">
        <v>0</v>
      </c>
      <c r="AD2630" s="845">
        <v>6.4708810353409658E-3</v>
      </c>
      <c r="AE2630" s="845">
        <v>8.4619213539074173E-2</v>
      </c>
      <c r="AF2630" s="845">
        <v>4.8282727725236438E-2</v>
      </c>
      <c r="AG2630" s="845">
        <v>0.57192633150821304</v>
      </c>
      <c r="AH2630" s="20" t="str">
        <f t="shared" si="193"/>
        <v>No</v>
      </c>
      <c r="AI2630" s="25"/>
      <c r="AJ2630" s="25"/>
      <c r="AK2630" s="25"/>
      <c r="AL2630" s="25"/>
      <c r="AM2630" s="25"/>
      <c r="AN2630" s="25"/>
      <c r="AO2630" s="25"/>
      <c r="AP2630" s="25"/>
      <c r="AQ2630" s="25"/>
      <c r="AR2630" s="25"/>
      <c r="AS2630" s="25"/>
      <c r="AT2630" s="25"/>
      <c r="AU2630" s="36"/>
      <c r="AV2630" s="36"/>
      <c r="AW2630" s="36"/>
      <c r="AX2630" s="25"/>
      <c r="AY2630" s="25"/>
      <c r="AZ2630" s="25"/>
      <c r="BA2630" s="25"/>
      <c r="BB2630" s="25"/>
      <c r="BC2630" s="25"/>
      <c r="BD2630" s="25"/>
      <c r="BE2630" s="25"/>
      <c r="BF2630" s="25"/>
      <c r="BG2630" s="25"/>
      <c r="BH2630" s="25"/>
      <c r="BI2630" s="25"/>
      <c r="BJ2630" s="25"/>
      <c r="BK2630" s="25"/>
      <c r="BL2630" s="25"/>
      <c r="BM2630" s="25"/>
      <c r="BN2630" s="25"/>
      <c r="BO2630" s="25"/>
      <c r="BP2630" s="25"/>
      <c r="BQ2630" s="25"/>
      <c r="BR2630" s="25"/>
      <c r="BS2630" s="25"/>
      <c r="BT2630" s="25"/>
      <c r="BU2630"/>
      <c r="BV2630"/>
      <c r="BW2630"/>
      <c r="BX2630"/>
      <c r="BY2630"/>
      <c r="BZ2630"/>
      <c r="CA2630"/>
      <c r="CB2630"/>
      <c r="CC2630"/>
      <c r="CD2630" s="25"/>
    </row>
    <row r="2631" spans="1:82" s="17" customFormat="1" x14ac:dyDescent="0.2">
      <c r="A2631" s="25"/>
      <c r="B2631" s="20">
        <v>39029951402</v>
      </c>
      <c r="C2631" s="20">
        <v>9514.02</v>
      </c>
      <c r="D2631" s="20" t="s">
        <v>21</v>
      </c>
      <c r="E2631" s="20" t="s">
        <v>265</v>
      </c>
      <c r="F2631" s="20" t="s">
        <v>8</v>
      </c>
      <c r="G2631" s="861">
        <v>34.319135725269703</v>
      </c>
      <c r="H2631" s="861">
        <v>46.207552269787797</v>
      </c>
      <c r="I2631" s="861">
        <v>21.308536210406398</v>
      </c>
      <c r="J2631" s="861">
        <v>34.022469866043799</v>
      </c>
      <c r="K2631" s="982">
        <v>0</v>
      </c>
      <c r="L2631" s="735" t="s">
        <v>2466</v>
      </c>
      <c r="M2631" s="735">
        <v>4212</v>
      </c>
      <c r="N2631" s="845" t="str">
        <f t="shared" si="191"/>
        <v/>
      </c>
      <c r="O2631" s="735">
        <v>39.699713524939696</v>
      </c>
      <c r="P2631" s="735">
        <f t="shared" si="192"/>
        <v>106.09648347598241</v>
      </c>
      <c r="Q2631" s="849">
        <v>45.5</v>
      </c>
      <c r="R2631" s="71">
        <v>61369</v>
      </c>
      <c r="S2631" s="845">
        <v>0.14463176574977818</v>
      </c>
      <c r="T2631" s="845">
        <v>7.400000000000001E-2</v>
      </c>
      <c r="U2631" s="845">
        <v>0</v>
      </c>
      <c r="V2631" s="845">
        <v>0</v>
      </c>
      <c r="W2631" s="845">
        <v>0.20403825717321997</v>
      </c>
      <c r="X2631" s="845">
        <v>0.19270833333333334</v>
      </c>
      <c r="Y2631" s="845">
        <v>0.82407407407407407</v>
      </c>
      <c r="Z2631" s="845">
        <v>0.13912630579297247</v>
      </c>
      <c r="AA2631" s="845">
        <v>3.5612535612535613E-3</v>
      </c>
      <c r="AB2631" s="845">
        <v>3.3238366571699905E-3</v>
      </c>
      <c r="AC2631" s="845">
        <v>0</v>
      </c>
      <c r="AD2631" s="845">
        <v>4.7483380816714148E-3</v>
      </c>
      <c r="AE2631" s="845">
        <v>2.5166191832858498E-2</v>
      </c>
      <c r="AF2631" s="845">
        <v>6.8138651471984807E-2</v>
      </c>
      <c r="AG2631" s="845">
        <v>0.76234567901234573</v>
      </c>
      <c r="AH2631" s="20" t="str">
        <f t="shared" si="193"/>
        <v>No</v>
      </c>
      <c r="AI2631" s="25"/>
      <c r="AJ2631" s="25"/>
      <c r="AK2631" s="25"/>
      <c r="AL2631" s="25"/>
      <c r="AM2631" s="25"/>
      <c r="AN2631" s="25"/>
      <c r="AO2631" s="25"/>
      <c r="AP2631" s="25"/>
      <c r="AQ2631" s="25"/>
      <c r="AR2631" s="25"/>
      <c r="AS2631" s="25"/>
      <c r="AT2631" s="25"/>
      <c r="AU2631" s="36"/>
      <c r="AV2631" s="36"/>
      <c r="AW2631" s="36"/>
      <c r="AX2631" s="25"/>
      <c r="AY2631" s="25"/>
      <c r="AZ2631" s="25"/>
      <c r="BA2631" s="25"/>
      <c r="BB2631" s="25"/>
      <c r="BC2631" s="25"/>
      <c r="BD2631" s="25"/>
      <c r="BE2631" s="25"/>
      <c r="BF2631" s="25"/>
      <c r="BG2631" s="25"/>
      <c r="BH2631" s="25"/>
      <c r="BI2631" s="25"/>
      <c r="BJ2631" s="25"/>
      <c r="BK2631" s="25"/>
      <c r="BL2631" s="25"/>
      <c r="BM2631" s="25"/>
      <c r="BN2631" s="25"/>
      <c r="BO2631" s="25"/>
      <c r="BP2631" s="25"/>
      <c r="BQ2631" s="25"/>
      <c r="BR2631" s="25"/>
      <c r="BS2631" s="25"/>
      <c r="BT2631" s="25"/>
      <c r="BU2631"/>
      <c r="BV2631"/>
      <c r="BW2631"/>
      <c r="BX2631"/>
      <c r="BY2631"/>
      <c r="BZ2631"/>
      <c r="CA2631"/>
      <c r="CB2631"/>
      <c r="CC2631"/>
      <c r="CD2631" s="25"/>
    </row>
    <row r="2632" spans="1:82" s="17" customFormat="1" x14ac:dyDescent="0.2">
      <c r="A2632" s="25"/>
      <c r="B2632" s="20">
        <v>39139001800</v>
      </c>
      <c r="C2632" s="20">
        <v>18</v>
      </c>
      <c r="D2632" s="20" t="s">
        <v>75</v>
      </c>
      <c r="E2632" s="20" t="s">
        <v>2836</v>
      </c>
      <c r="F2632" s="20" t="s">
        <v>8</v>
      </c>
      <c r="G2632" s="861">
        <v>34.292253791636398</v>
      </c>
      <c r="H2632" s="861">
        <v>33.189040348098104</v>
      </c>
      <c r="I2632" s="861">
        <v>32.789295954861103</v>
      </c>
      <c r="J2632" s="861">
        <v>40.520170490950399</v>
      </c>
      <c r="K2632" s="982">
        <v>0</v>
      </c>
      <c r="L2632" s="735">
        <v>3511</v>
      </c>
      <c r="M2632" s="735">
        <v>3596</v>
      </c>
      <c r="N2632" s="845">
        <f t="shared" si="191"/>
        <v>2.4209626886926801E-2</v>
      </c>
      <c r="O2632" s="735">
        <v>5.1810971441100557</v>
      </c>
      <c r="P2632" s="735">
        <f t="shared" si="192"/>
        <v>694.06148929054211</v>
      </c>
      <c r="Q2632" s="849">
        <v>47.4</v>
      </c>
      <c r="R2632" s="71">
        <v>59608</v>
      </c>
      <c r="S2632" s="845">
        <v>8.7912087912087919E-2</v>
      </c>
      <c r="T2632" s="845">
        <v>6.6000000000000003E-2</v>
      </c>
      <c r="U2632" s="845">
        <v>1.2E-2</v>
      </c>
      <c r="V2632" s="845">
        <v>0.12300000000000001</v>
      </c>
      <c r="W2632" s="845">
        <v>0.29475833900612664</v>
      </c>
      <c r="X2632" s="845">
        <v>0.35565819861431869</v>
      </c>
      <c r="Y2632" s="845">
        <v>0.93020022246941048</v>
      </c>
      <c r="Z2632" s="845">
        <v>1.2513904338153505E-2</v>
      </c>
      <c r="AA2632" s="845">
        <v>1.6685205784204673E-3</v>
      </c>
      <c r="AB2632" s="845">
        <v>2.5027808676307008E-3</v>
      </c>
      <c r="AC2632" s="845">
        <v>0</v>
      </c>
      <c r="AD2632" s="845">
        <v>8.6206896551724137E-3</v>
      </c>
      <c r="AE2632" s="845">
        <v>4.449388209121246E-2</v>
      </c>
      <c r="AF2632" s="845">
        <v>3.0589543937708564E-2</v>
      </c>
      <c r="AG2632" s="845">
        <v>0.91518353726362622</v>
      </c>
      <c r="AH2632" s="20" t="str">
        <f t="shared" si="193"/>
        <v>Yes</v>
      </c>
      <c r="AI2632" s="25"/>
      <c r="AJ2632" s="25"/>
      <c r="AK2632" s="25"/>
      <c r="AL2632" s="25"/>
      <c r="AM2632" s="25"/>
      <c r="AN2632" s="25"/>
      <c r="AO2632" s="25"/>
      <c r="AP2632" s="25"/>
      <c r="AQ2632" s="25"/>
      <c r="AR2632" s="25"/>
      <c r="AS2632" s="25"/>
      <c r="AT2632" s="25"/>
      <c r="AU2632" s="36"/>
      <c r="AV2632" s="36"/>
      <c r="AW2632" s="36"/>
      <c r="AX2632" s="25"/>
      <c r="AY2632" s="25"/>
      <c r="AZ2632" s="25"/>
      <c r="BA2632" s="25"/>
      <c r="BB2632" s="25"/>
      <c r="BC2632" s="25"/>
      <c r="BD2632" s="25"/>
      <c r="BE2632" s="25"/>
      <c r="BF2632" s="25"/>
      <c r="BG2632" s="25"/>
      <c r="BH2632" s="25"/>
      <c r="BI2632" s="25"/>
      <c r="BJ2632" s="25"/>
      <c r="BK2632" s="25"/>
      <c r="BL2632" s="25"/>
      <c r="BM2632" s="25"/>
      <c r="BN2632" s="25"/>
      <c r="BO2632" s="25"/>
      <c r="BP2632" s="25"/>
      <c r="BQ2632" s="25"/>
      <c r="BR2632" s="25"/>
      <c r="BS2632" s="25"/>
      <c r="BT2632" s="25"/>
      <c r="BU2632"/>
      <c r="BV2632"/>
      <c r="BW2632"/>
      <c r="BX2632"/>
      <c r="BY2632"/>
      <c r="BZ2632"/>
      <c r="CA2632"/>
      <c r="CB2632"/>
      <c r="CC2632"/>
      <c r="CD2632" s="25"/>
    </row>
    <row r="2633" spans="1:82" s="17" customFormat="1" x14ac:dyDescent="0.2">
      <c r="A2633" s="25"/>
      <c r="B2633" s="20">
        <v>39035102401</v>
      </c>
      <c r="C2633" s="20">
        <v>1024.01</v>
      </c>
      <c r="D2633" s="20" t="s">
        <v>24</v>
      </c>
      <c r="E2633" s="20" t="s">
        <v>2829</v>
      </c>
      <c r="F2633" s="20" t="s">
        <v>6</v>
      </c>
      <c r="G2633" s="861">
        <v>34.287842211134297</v>
      </c>
      <c r="H2633" s="861">
        <v>44.835281247146497</v>
      </c>
      <c r="I2633" s="861">
        <v>59.297372594054401</v>
      </c>
      <c r="J2633" s="861">
        <v>46.989303228496702</v>
      </c>
      <c r="K2633" s="982">
        <v>0</v>
      </c>
      <c r="L2633" s="735">
        <v>2204</v>
      </c>
      <c r="M2633" s="735">
        <v>1831</v>
      </c>
      <c r="N2633" s="845">
        <f t="shared" si="191"/>
        <v>-0.16923774954627949</v>
      </c>
      <c r="O2633" s="735">
        <v>0.20003914226463379</v>
      </c>
      <c r="P2633" s="735">
        <f t="shared" si="192"/>
        <v>9153.2086134310248</v>
      </c>
      <c r="Q2633" s="849">
        <v>30.9</v>
      </c>
      <c r="R2633" s="71">
        <v>37604</v>
      </c>
      <c r="S2633" s="845">
        <v>0.3642818132168214</v>
      </c>
      <c r="T2633" s="845">
        <v>0.04</v>
      </c>
      <c r="U2633" s="845">
        <v>0</v>
      </c>
      <c r="V2633" s="845">
        <v>0.13500000000000001</v>
      </c>
      <c r="W2633" s="845">
        <v>0.51249999999999996</v>
      </c>
      <c r="X2633" s="845">
        <v>0.45731707317073172</v>
      </c>
      <c r="Y2633" s="845">
        <v>0.40032768978700162</v>
      </c>
      <c r="Z2633" s="845">
        <v>3.4953577280174765E-2</v>
      </c>
      <c r="AA2633" s="845">
        <v>2.0753686510103769E-2</v>
      </c>
      <c r="AB2633" s="845">
        <v>0</v>
      </c>
      <c r="AC2633" s="845">
        <v>0</v>
      </c>
      <c r="AD2633" s="845">
        <v>0.2310212998361551</v>
      </c>
      <c r="AE2633" s="845">
        <v>0.31294374658656471</v>
      </c>
      <c r="AF2633" s="845">
        <v>0.49645002730748228</v>
      </c>
      <c r="AG2633" s="845">
        <v>0.35827416712179139</v>
      </c>
      <c r="AH2633" s="20" t="str">
        <f t="shared" si="193"/>
        <v>No</v>
      </c>
      <c r="AI2633" s="25"/>
      <c r="AJ2633" s="25"/>
      <c r="AK2633" s="25"/>
      <c r="AL2633" s="25"/>
      <c r="AM2633" s="25"/>
      <c r="AN2633" s="25"/>
      <c r="AO2633" s="25"/>
      <c r="AP2633" s="25"/>
      <c r="AQ2633" s="25"/>
      <c r="AR2633" s="25"/>
      <c r="AS2633" s="25"/>
      <c r="AT2633" s="25"/>
      <c r="AU2633" s="36"/>
      <c r="AV2633" s="36"/>
      <c r="AW2633" s="36"/>
      <c r="AX2633" s="25"/>
      <c r="AY2633" s="25"/>
      <c r="AZ2633" s="25"/>
      <c r="BA2633" s="25"/>
      <c r="BB2633" s="25"/>
      <c r="BC2633" s="25"/>
      <c r="BD2633" s="25"/>
      <c r="BE2633" s="25"/>
      <c r="BF2633" s="25"/>
      <c r="BG2633" s="25"/>
      <c r="BH2633" s="25"/>
      <c r="BI2633" s="25"/>
      <c r="BJ2633" s="25"/>
      <c r="BK2633" s="25"/>
      <c r="BL2633" s="25"/>
      <c r="BM2633" s="25"/>
      <c r="BN2633" s="25"/>
      <c r="BO2633" s="25"/>
      <c r="BP2633" s="25"/>
      <c r="BQ2633" s="25"/>
      <c r="BR2633" s="25"/>
      <c r="BS2633" s="25"/>
      <c r="BT2633" s="25"/>
      <c r="BU2633"/>
      <c r="BV2633"/>
      <c r="BW2633"/>
      <c r="BX2633"/>
      <c r="BY2633"/>
      <c r="BZ2633"/>
      <c r="CA2633"/>
      <c r="CB2633"/>
      <c r="CC2633"/>
      <c r="CD2633" s="25"/>
    </row>
    <row r="2634" spans="1:82" s="17" customFormat="1" x14ac:dyDescent="0.2">
      <c r="A2634" s="25"/>
      <c r="B2634" s="20">
        <v>39079957700</v>
      </c>
      <c r="C2634" s="20">
        <v>9577</v>
      </c>
      <c r="D2634" s="20" t="s">
        <v>46</v>
      </c>
      <c r="E2634" s="20" t="s">
        <v>265</v>
      </c>
      <c r="F2634" s="20" t="s">
        <v>8</v>
      </c>
      <c r="G2634" s="861">
        <v>34.286652435544802</v>
      </c>
      <c r="H2634" s="861">
        <v>44.841059593848101</v>
      </c>
      <c r="I2634" s="861">
        <v>17.672939285758101</v>
      </c>
      <c r="J2634" s="861">
        <v>41.119614128069202</v>
      </c>
      <c r="K2634" s="982">
        <v>0</v>
      </c>
      <c r="L2634" s="735">
        <v>5320</v>
      </c>
      <c r="M2634" s="735">
        <v>5415</v>
      </c>
      <c r="N2634" s="845">
        <f t="shared" si="191"/>
        <v>1.7857142857142856E-2</v>
      </c>
      <c r="O2634" s="735">
        <v>134.57036719755445</v>
      </c>
      <c r="P2634" s="735">
        <f t="shared" si="192"/>
        <v>40.239170872221614</v>
      </c>
      <c r="Q2634" s="849">
        <v>39.6</v>
      </c>
      <c r="R2634" s="71">
        <v>74750</v>
      </c>
      <c r="S2634" s="845">
        <v>7.2678843226788428E-2</v>
      </c>
      <c r="T2634" s="845">
        <v>1.8000000000000002E-2</v>
      </c>
      <c r="U2634" s="845">
        <v>1.2E-2</v>
      </c>
      <c r="V2634" s="845">
        <v>9.4E-2</v>
      </c>
      <c r="W2634" s="845">
        <v>0.13226909920182439</v>
      </c>
      <c r="X2634" s="845">
        <v>0.27155172413793105</v>
      </c>
      <c r="Y2634" s="845">
        <v>0.98799630655586335</v>
      </c>
      <c r="Z2634" s="845">
        <v>0</v>
      </c>
      <c r="AA2634" s="845">
        <v>0</v>
      </c>
      <c r="AB2634" s="845">
        <v>0</v>
      </c>
      <c r="AC2634" s="845">
        <v>0</v>
      </c>
      <c r="AD2634" s="845">
        <v>0</v>
      </c>
      <c r="AE2634" s="845">
        <v>1.2003693444136657E-2</v>
      </c>
      <c r="AF2634" s="845">
        <v>2.6962142197599261E-2</v>
      </c>
      <c r="AG2634" s="845">
        <v>0.96103416435826405</v>
      </c>
      <c r="AH2634" s="20" t="str">
        <f t="shared" si="193"/>
        <v>Yes</v>
      </c>
      <c r="AI2634" s="25"/>
      <c r="AJ2634" s="25"/>
      <c r="AK2634" s="25"/>
      <c r="AL2634" s="25"/>
      <c r="AM2634" s="25"/>
      <c r="AN2634" s="25"/>
      <c r="AO2634" s="25"/>
      <c r="AP2634" s="25"/>
      <c r="AQ2634" s="25"/>
      <c r="AR2634" s="25"/>
      <c r="AS2634" s="25"/>
      <c r="AT2634" s="25"/>
      <c r="AU2634" s="36"/>
      <c r="AV2634" s="36"/>
      <c r="AW2634" s="36"/>
      <c r="AX2634" s="25"/>
      <c r="AY2634" s="25"/>
      <c r="AZ2634" s="25"/>
      <c r="BA2634" s="25"/>
      <c r="BB2634" s="25"/>
      <c r="BC2634" s="25"/>
      <c r="BD2634" s="25"/>
      <c r="BE2634" s="25"/>
      <c r="BF2634" s="25"/>
      <c r="BG2634" s="25"/>
      <c r="BH2634" s="25"/>
      <c r="BI2634" s="25"/>
      <c r="BJ2634" s="25"/>
      <c r="BK2634" s="25"/>
      <c r="BL2634" s="25"/>
      <c r="BM2634" s="25"/>
      <c r="BN2634" s="25"/>
      <c r="BO2634" s="25"/>
      <c r="BP2634" s="25"/>
      <c r="BQ2634" s="25"/>
      <c r="BR2634" s="25"/>
      <c r="BS2634" s="25"/>
      <c r="BT2634" s="25"/>
      <c r="BU2634"/>
      <c r="BV2634"/>
      <c r="BW2634"/>
      <c r="BX2634"/>
      <c r="BY2634"/>
      <c r="BZ2634"/>
      <c r="CA2634"/>
      <c r="CB2634"/>
      <c r="CC2634"/>
      <c r="CD2634" s="25"/>
    </row>
    <row r="2635" spans="1:82" s="17" customFormat="1" x14ac:dyDescent="0.2">
      <c r="A2635" s="25"/>
      <c r="B2635" s="20">
        <v>39023002605</v>
      </c>
      <c r="C2635" s="20">
        <v>26.05</v>
      </c>
      <c r="D2635" s="20" t="s">
        <v>18</v>
      </c>
      <c r="E2635" s="20" t="s">
        <v>2838</v>
      </c>
      <c r="F2635" s="20" t="s">
        <v>8</v>
      </c>
      <c r="G2635" s="861">
        <v>34.278526011137401</v>
      </c>
      <c r="H2635" s="861">
        <v>47.074914872551403</v>
      </c>
      <c r="I2635" s="861">
        <v>22.813831209206398</v>
      </c>
      <c r="J2635" s="861">
        <v>44.069389661182697</v>
      </c>
      <c r="K2635" s="982">
        <v>0</v>
      </c>
      <c r="L2635" s="735">
        <v>3772</v>
      </c>
      <c r="M2635" s="735">
        <v>3978</v>
      </c>
      <c r="N2635" s="845">
        <f t="shared" ref="N2635:N2698" si="194">IF(OR(L2635="",M2635=""),"",(M2635-L2635)/L2635)</f>
        <v>5.4612937433722163E-2</v>
      </c>
      <c r="O2635" s="735">
        <v>24.843028333438951</v>
      </c>
      <c r="P2635" s="735">
        <f t="shared" ref="P2635:P2698" si="195">M2635/O2635</f>
        <v>160.12540607400805</v>
      </c>
      <c r="Q2635" s="849">
        <v>45.8</v>
      </c>
      <c r="R2635" s="71">
        <v>110919</v>
      </c>
      <c r="S2635" s="845">
        <v>6.6968781470292046E-2</v>
      </c>
      <c r="T2635" s="845">
        <v>3.1E-2</v>
      </c>
      <c r="U2635" s="845">
        <v>0</v>
      </c>
      <c r="V2635" s="845">
        <v>7.0000000000000007E-2</v>
      </c>
      <c r="W2635" s="845">
        <v>7.2151045178691836E-2</v>
      </c>
      <c r="X2635" s="845">
        <v>0.48598130841121495</v>
      </c>
      <c r="Y2635" s="845">
        <v>0.90346907993966818</v>
      </c>
      <c r="Z2635" s="845">
        <v>5.7315233785822019E-2</v>
      </c>
      <c r="AA2635" s="845">
        <v>0</v>
      </c>
      <c r="AB2635" s="845">
        <v>1.3323278029160382E-2</v>
      </c>
      <c r="AC2635" s="845">
        <v>5.0276520864756162E-3</v>
      </c>
      <c r="AD2635" s="845">
        <v>1.2569130216189041E-3</v>
      </c>
      <c r="AE2635" s="845">
        <v>1.9607843137254902E-2</v>
      </c>
      <c r="AF2635" s="845">
        <v>1.2569130216189041E-3</v>
      </c>
      <c r="AG2635" s="845">
        <v>0.90346907993966818</v>
      </c>
      <c r="AH2635" s="20" t="str">
        <f t="shared" ref="AH2635:AH2698" si="196">IF(AG2635&gt;=0.9,"Yes","No")</f>
        <v>Yes</v>
      </c>
      <c r="AI2635" s="25"/>
      <c r="AJ2635" s="25"/>
      <c r="AK2635" s="25"/>
      <c r="AL2635" s="25"/>
      <c r="AM2635" s="25"/>
      <c r="AN2635" s="25"/>
      <c r="AO2635" s="25"/>
      <c r="AP2635" s="25"/>
      <c r="AQ2635" s="25"/>
      <c r="AR2635" s="25"/>
      <c r="AS2635" s="25"/>
      <c r="AT2635" s="25"/>
      <c r="AU2635" s="36"/>
      <c r="AV2635" s="36"/>
      <c r="AW2635" s="36"/>
      <c r="AX2635" s="25"/>
      <c r="AY2635" s="25"/>
      <c r="AZ2635" s="25"/>
      <c r="BA2635" s="25"/>
      <c r="BB2635" s="25"/>
      <c r="BC2635" s="25"/>
      <c r="BD2635" s="25"/>
      <c r="BE2635" s="25"/>
      <c r="BF2635" s="25"/>
      <c r="BG2635" s="25"/>
      <c r="BH2635" s="25"/>
      <c r="BI2635" s="25"/>
      <c r="BJ2635" s="25"/>
      <c r="BK2635" s="25"/>
      <c r="BL2635" s="25"/>
      <c r="BM2635" s="25"/>
      <c r="BN2635" s="25"/>
      <c r="BO2635" s="25"/>
      <c r="BP2635" s="25"/>
      <c r="BQ2635" s="25"/>
      <c r="BR2635" s="25"/>
      <c r="BS2635" s="25"/>
      <c r="BT2635" s="25"/>
      <c r="BU2635"/>
      <c r="BV2635"/>
      <c r="BW2635"/>
      <c r="BX2635"/>
      <c r="BY2635"/>
      <c r="BZ2635"/>
      <c r="CA2635"/>
      <c r="CB2635"/>
      <c r="CC2635"/>
      <c r="CD2635" s="25"/>
    </row>
    <row r="2636" spans="1:82" s="17" customFormat="1" x14ac:dyDescent="0.2">
      <c r="A2636" s="25"/>
      <c r="B2636" s="20">
        <v>39035126100</v>
      </c>
      <c r="C2636" s="20">
        <v>1261</v>
      </c>
      <c r="D2636" s="20" t="s">
        <v>24</v>
      </c>
      <c r="E2636" s="20" t="s">
        <v>2829</v>
      </c>
      <c r="F2636" s="20" t="s">
        <v>6</v>
      </c>
      <c r="G2636" s="861">
        <v>34.2572968391529</v>
      </c>
      <c r="H2636" s="861">
        <v>49.704613048963402</v>
      </c>
      <c r="I2636" s="861">
        <v>70.933318450901595</v>
      </c>
      <c r="J2636" s="861">
        <v>32.401591728719303</v>
      </c>
      <c r="K2636" s="982">
        <v>0</v>
      </c>
      <c r="L2636" s="735">
        <v>2859</v>
      </c>
      <c r="M2636" s="735">
        <v>3257</v>
      </c>
      <c r="N2636" s="845">
        <f t="shared" si="194"/>
        <v>0.13920951381601959</v>
      </c>
      <c r="O2636" s="735">
        <v>0.68542785704139786</v>
      </c>
      <c r="P2636" s="735">
        <f t="shared" si="195"/>
        <v>4751.7765240219678</v>
      </c>
      <c r="Q2636" s="849">
        <v>39.700000000000003</v>
      </c>
      <c r="R2636" s="71">
        <v>35357</v>
      </c>
      <c r="S2636" s="845">
        <v>0.29579724093679821</v>
      </c>
      <c r="T2636" s="845">
        <v>9.9000000000000005E-2</v>
      </c>
      <c r="U2636" s="845">
        <v>5.2000000000000005E-2</v>
      </c>
      <c r="V2636" s="845">
        <v>4.2999999999999997E-2</v>
      </c>
      <c r="W2636" s="845">
        <v>0.54357798165137616</v>
      </c>
      <c r="X2636" s="845">
        <v>0.57102672292545709</v>
      </c>
      <c r="Y2636" s="845">
        <v>7.6143690512741793E-2</v>
      </c>
      <c r="Z2636" s="845">
        <v>0.89346023948418796</v>
      </c>
      <c r="AA2636" s="845">
        <v>9.2109303039606999E-4</v>
      </c>
      <c r="AB2636" s="845">
        <v>0</v>
      </c>
      <c r="AC2636" s="845">
        <v>0</v>
      </c>
      <c r="AD2636" s="845">
        <v>0</v>
      </c>
      <c r="AE2636" s="845">
        <v>2.947497697267424E-2</v>
      </c>
      <c r="AF2636" s="845">
        <v>2.1185139699109609E-2</v>
      </c>
      <c r="AG2636" s="845">
        <v>6.171323303653669E-2</v>
      </c>
      <c r="AH2636" s="20" t="str">
        <f t="shared" si="196"/>
        <v>No</v>
      </c>
      <c r="AI2636" s="25"/>
      <c r="AJ2636" s="25"/>
      <c r="AK2636" s="25"/>
      <c r="AL2636" s="25"/>
      <c r="AM2636" s="25"/>
      <c r="AN2636" s="25"/>
      <c r="AO2636" s="25"/>
      <c r="AP2636" s="25"/>
      <c r="AQ2636" s="25"/>
      <c r="AR2636" s="25"/>
      <c r="AS2636" s="25"/>
      <c r="AT2636" s="25"/>
      <c r="AU2636" s="36"/>
      <c r="AV2636" s="36"/>
      <c r="AW2636" s="36"/>
      <c r="AX2636" s="25"/>
      <c r="AY2636" s="25"/>
      <c r="AZ2636" s="25"/>
      <c r="BA2636" s="25"/>
      <c r="BB2636" s="25"/>
      <c r="BC2636" s="25"/>
      <c r="BD2636" s="25"/>
      <c r="BE2636" s="25"/>
      <c r="BF2636" s="25"/>
      <c r="BG2636" s="25"/>
      <c r="BH2636" s="25"/>
      <c r="BI2636" s="25"/>
      <c r="BJ2636" s="25"/>
      <c r="BK2636" s="25"/>
      <c r="BL2636" s="25"/>
      <c r="BM2636" s="25"/>
      <c r="BN2636" s="25"/>
      <c r="BO2636" s="25"/>
      <c r="BP2636" s="25"/>
      <c r="BQ2636" s="25"/>
      <c r="BR2636" s="25"/>
      <c r="BS2636" s="25"/>
      <c r="BT2636" s="25"/>
      <c r="BU2636"/>
      <c r="BV2636"/>
      <c r="BW2636"/>
      <c r="BX2636"/>
      <c r="BY2636"/>
      <c r="BZ2636"/>
      <c r="CA2636"/>
      <c r="CB2636"/>
      <c r="CC2636"/>
      <c r="CD2636" s="25"/>
    </row>
    <row r="2637" spans="1:82" s="17" customFormat="1" x14ac:dyDescent="0.2">
      <c r="A2637" s="25"/>
      <c r="B2637" s="20">
        <v>39099803000</v>
      </c>
      <c r="C2637" s="20">
        <v>8030</v>
      </c>
      <c r="D2637" s="20" t="s">
        <v>55</v>
      </c>
      <c r="E2637" s="20" t="s">
        <v>2842</v>
      </c>
      <c r="F2637" s="20" t="s">
        <v>8</v>
      </c>
      <c r="G2637" s="861">
        <v>34.230195900275604</v>
      </c>
      <c r="H2637" s="861">
        <v>42.785745000308999</v>
      </c>
      <c r="I2637" s="861">
        <v>41.528830365180099</v>
      </c>
      <c r="J2637" s="861">
        <v>44.7668587516618</v>
      </c>
      <c r="K2637" s="982">
        <v>0</v>
      </c>
      <c r="L2637" s="735">
        <v>2099</v>
      </c>
      <c r="M2637" s="735">
        <v>1651</v>
      </c>
      <c r="N2637" s="845">
        <f t="shared" si="194"/>
        <v>-0.21343496903287279</v>
      </c>
      <c r="O2637" s="735">
        <v>0.60261627996431233</v>
      </c>
      <c r="P2637" s="735">
        <f t="shared" si="195"/>
        <v>2739.7202081858363</v>
      </c>
      <c r="Q2637" s="849">
        <v>43.3</v>
      </c>
      <c r="R2637" s="71">
        <v>45846</v>
      </c>
      <c r="S2637" s="845">
        <v>0.21385176184690158</v>
      </c>
      <c r="T2637" s="845">
        <v>0.17499999999999999</v>
      </c>
      <c r="U2637" s="845">
        <v>9.5000000000000001E-2</v>
      </c>
      <c r="V2637" s="845">
        <v>0</v>
      </c>
      <c r="W2637" s="845">
        <v>0.28499369482976039</v>
      </c>
      <c r="X2637" s="845">
        <v>0.31415929203539822</v>
      </c>
      <c r="Y2637" s="845">
        <v>0.65233192004845553</v>
      </c>
      <c r="Z2637" s="845">
        <v>0.13204118715929739</v>
      </c>
      <c r="AA2637" s="845">
        <v>0</v>
      </c>
      <c r="AB2637" s="845">
        <v>0</v>
      </c>
      <c r="AC2637" s="845">
        <v>0</v>
      </c>
      <c r="AD2637" s="845">
        <v>5.7540884312537857E-2</v>
      </c>
      <c r="AE2637" s="845">
        <v>0.15808600847970927</v>
      </c>
      <c r="AF2637" s="845">
        <v>7.3288915808600849E-2</v>
      </c>
      <c r="AG2637" s="845">
        <v>0.64264082374318598</v>
      </c>
      <c r="AH2637" s="20" t="str">
        <f t="shared" si="196"/>
        <v>No</v>
      </c>
      <c r="AI2637" s="25"/>
      <c r="AJ2637" s="25"/>
      <c r="AK2637" s="25"/>
      <c r="AL2637" s="25"/>
      <c r="AM2637" s="25"/>
      <c r="AN2637" s="25"/>
      <c r="AO2637" s="25"/>
      <c r="AP2637" s="25"/>
      <c r="AQ2637" s="25"/>
      <c r="AR2637" s="25"/>
      <c r="AS2637" s="25"/>
      <c r="AT2637" s="25"/>
      <c r="AU2637" s="36"/>
      <c r="AV2637" s="36"/>
      <c r="AW2637" s="36"/>
      <c r="AX2637" s="25"/>
      <c r="AY2637" s="25"/>
      <c r="AZ2637" s="25"/>
      <c r="BA2637" s="25"/>
      <c r="BB2637" s="25"/>
      <c r="BC2637" s="25"/>
      <c r="BD2637" s="25"/>
      <c r="BE2637" s="25"/>
      <c r="BF2637" s="25"/>
      <c r="BG2637" s="25"/>
      <c r="BH2637" s="25"/>
      <c r="BI2637" s="25"/>
      <c r="BJ2637" s="25"/>
      <c r="BK2637" s="25"/>
      <c r="BL2637" s="25"/>
      <c r="BM2637" s="25"/>
      <c r="BN2637" s="25"/>
      <c r="BO2637" s="25"/>
      <c r="BP2637" s="25"/>
      <c r="BQ2637" s="25"/>
      <c r="BR2637" s="25"/>
      <c r="BS2637" s="25"/>
      <c r="BT2637" s="25"/>
      <c r="BU2637"/>
      <c r="BV2637"/>
      <c r="BW2637"/>
      <c r="BX2637"/>
      <c r="BY2637"/>
      <c r="BZ2637"/>
      <c r="CA2637"/>
      <c r="CB2637"/>
      <c r="CC2637"/>
      <c r="CD2637" s="25"/>
    </row>
    <row r="2638" spans="1:82" s="17" customFormat="1" x14ac:dyDescent="0.2">
      <c r="A2638" s="25"/>
      <c r="B2638" s="20">
        <v>39005971000</v>
      </c>
      <c r="C2638" s="20">
        <v>9710</v>
      </c>
      <c r="D2638" s="20" t="s">
        <v>9</v>
      </c>
      <c r="E2638" s="20" t="s">
        <v>265</v>
      </c>
      <c r="F2638" s="20" t="s">
        <v>8</v>
      </c>
      <c r="G2638" s="861">
        <v>34.218262891004997</v>
      </c>
      <c r="H2638" s="861">
        <v>38.438260697033499</v>
      </c>
      <c r="I2638" s="861">
        <v>24.072257706213001</v>
      </c>
      <c r="J2638" s="861">
        <v>33.821671492772502</v>
      </c>
      <c r="K2638" s="982">
        <v>0</v>
      </c>
      <c r="L2638" s="735">
        <v>4985</v>
      </c>
      <c r="M2638" s="735">
        <v>4876</v>
      </c>
      <c r="N2638" s="845">
        <f t="shared" si="194"/>
        <v>-2.1865596790371113E-2</v>
      </c>
      <c r="O2638" s="735">
        <v>62.737298434933741</v>
      </c>
      <c r="P2638" s="735">
        <f t="shared" si="195"/>
        <v>77.72091119060552</v>
      </c>
      <c r="Q2638" s="849">
        <v>44.8</v>
      </c>
      <c r="R2638" s="71">
        <v>68182</v>
      </c>
      <c r="S2638" s="845">
        <v>0.13502975579725016</v>
      </c>
      <c r="T2638" s="845">
        <v>3.4000000000000002E-2</v>
      </c>
      <c r="U2638" s="845">
        <v>0</v>
      </c>
      <c r="V2638" s="845">
        <v>7.0000000000000007E-2</v>
      </c>
      <c r="W2638" s="845">
        <v>0.1218809980806142</v>
      </c>
      <c r="X2638" s="845">
        <v>0.17716535433070865</v>
      </c>
      <c r="Y2638" s="845">
        <v>0.95611156685808041</v>
      </c>
      <c r="Z2638" s="845">
        <v>5.3322395406070547E-3</v>
      </c>
      <c r="AA2638" s="845">
        <v>6.1525840853158327E-4</v>
      </c>
      <c r="AB2638" s="845">
        <v>1.2305168170631665E-3</v>
      </c>
      <c r="AC2638" s="845">
        <v>0</v>
      </c>
      <c r="AD2638" s="845">
        <v>6.1525840853158325E-3</v>
      </c>
      <c r="AE2638" s="845">
        <v>3.0557834290401969E-2</v>
      </c>
      <c r="AF2638" s="845">
        <v>9.8441345365053324E-3</v>
      </c>
      <c r="AG2638" s="845">
        <v>0.94749794913863827</v>
      </c>
      <c r="AH2638" s="20" t="str">
        <f t="shared" si="196"/>
        <v>Yes</v>
      </c>
      <c r="AI2638" s="25"/>
      <c r="AJ2638" s="25"/>
      <c r="AK2638" s="25"/>
      <c r="AL2638" s="25"/>
      <c r="AM2638" s="25"/>
      <c r="AN2638" s="25"/>
      <c r="AO2638" s="25"/>
      <c r="AP2638" s="25"/>
      <c r="AQ2638" s="25"/>
      <c r="AR2638" s="25"/>
      <c r="AS2638" s="25"/>
      <c r="AT2638" s="25"/>
      <c r="AU2638" s="36"/>
      <c r="AV2638" s="36"/>
      <c r="AW2638" s="36"/>
      <c r="AX2638" s="25"/>
      <c r="AY2638" s="25"/>
      <c r="AZ2638" s="25"/>
      <c r="BA2638" s="25"/>
      <c r="BB2638" s="25"/>
      <c r="BC2638" s="25"/>
      <c r="BD2638" s="25"/>
      <c r="BE2638" s="25"/>
      <c r="BF2638" s="25"/>
      <c r="BG2638" s="25"/>
      <c r="BH2638" s="25"/>
      <c r="BI2638" s="25"/>
      <c r="BJ2638" s="25"/>
      <c r="BK2638" s="25"/>
      <c r="BL2638" s="25"/>
      <c r="BM2638" s="25"/>
      <c r="BN2638" s="25"/>
      <c r="BO2638" s="25"/>
      <c r="BP2638" s="25"/>
      <c r="BQ2638" s="25"/>
      <c r="BR2638" s="25"/>
      <c r="BS2638" s="25"/>
      <c r="BT2638" s="25"/>
      <c r="BU2638"/>
      <c r="BV2638"/>
      <c r="BW2638"/>
      <c r="BX2638"/>
      <c r="BY2638"/>
      <c r="BZ2638"/>
      <c r="CA2638"/>
      <c r="CB2638"/>
      <c r="CC2638"/>
      <c r="CD2638" s="25"/>
    </row>
    <row r="2639" spans="1:82" s="17" customFormat="1" x14ac:dyDescent="0.2">
      <c r="A2639" s="25"/>
      <c r="B2639" s="20">
        <v>39157021502</v>
      </c>
      <c r="C2639" s="20">
        <v>215.02</v>
      </c>
      <c r="D2639" s="20" t="s">
        <v>84</v>
      </c>
      <c r="E2639" s="20" t="s">
        <v>265</v>
      </c>
      <c r="F2639" s="20" t="s">
        <v>8</v>
      </c>
      <c r="G2639" s="861">
        <v>34.205953074877499</v>
      </c>
      <c r="H2639" s="861">
        <v>48.180725563719399</v>
      </c>
      <c r="I2639" s="861">
        <v>12.0069792459651</v>
      </c>
      <c r="J2639" s="861">
        <v>28.817093596708801</v>
      </c>
      <c r="K2639" s="982">
        <v>0</v>
      </c>
      <c r="L2639" s="735" t="s">
        <v>2466</v>
      </c>
      <c r="M2639" s="735">
        <v>1978</v>
      </c>
      <c r="N2639" s="845" t="str">
        <f t="shared" si="194"/>
        <v/>
      </c>
      <c r="O2639" s="735">
        <v>27.238854389953165</v>
      </c>
      <c r="P2639" s="735">
        <f t="shared" si="195"/>
        <v>72.616857217371432</v>
      </c>
      <c r="Q2639" s="849">
        <v>57.6</v>
      </c>
      <c r="R2639" s="71">
        <v>75417</v>
      </c>
      <c r="S2639" s="845">
        <v>6.1172901921132457E-2</v>
      </c>
      <c r="T2639" s="845">
        <v>0</v>
      </c>
      <c r="U2639" s="845">
        <v>0</v>
      </c>
      <c r="V2639" s="845">
        <v>0</v>
      </c>
      <c r="W2639" s="845">
        <v>2.7867095391211148E-2</v>
      </c>
      <c r="X2639" s="845">
        <v>0</v>
      </c>
      <c r="Y2639" s="845">
        <v>0.98988877654196161</v>
      </c>
      <c r="Z2639" s="845">
        <v>0</v>
      </c>
      <c r="AA2639" s="845">
        <v>0</v>
      </c>
      <c r="AB2639" s="845">
        <v>0</v>
      </c>
      <c r="AC2639" s="845">
        <v>0</v>
      </c>
      <c r="AD2639" s="845">
        <v>0</v>
      </c>
      <c r="AE2639" s="845">
        <v>1.0111223458038422E-2</v>
      </c>
      <c r="AF2639" s="845">
        <v>0</v>
      </c>
      <c r="AG2639" s="845">
        <v>0.98988877654196161</v>
      </c>
      <c r="AH2639" s="20" t="str">
        <f t="shared" si="196"/>
        <v>Yes</v>
      </c>
      <c r="AI2639" s="25"/>
      <c r="AJ2639" s="25"/>
      <c r="AK2639" s="25"/>
      <c r="AL2639" s="25"/>
      <c r="AM2639" s="25"/>
      <c r="AN2639" s="25"/>
      <c r="AO2639" s="25"/>
      <c r="AP2639" s="25"/>
      <c r="AQ2639" s="25"/>
      <c r="AR2639" s="25"/>
      <c r="AS2639" s="25"/>
      <c r="AT2639" s="25"/>
      <c r="AU2639" s="36"/>
      <c r="AV2639" s="36"/>
      <c r="AW2639" s="36"/>
      <c r="AX2639" s="25"/>
      <c r="AY2639" s="25"/>
      <c r="AZ2639" s="25"/>
      <c r="BA2639" s="25"/>
      <c r="BB2639" s="25"/>
      <c r="BC2639" s="25"/>
      <c r="BD2639" s="25"/>
      <c r="BE2639" s="25"/>
      <c r="BF2639" s="25"/>
      <c r="BG2639" s="25"/>
      <c r="BH2639" s="25"/>
      <c r="BI2639" s="25"/>
      <c r="BJ2639" s="25"/>
      <c r="BK2639" s="25"/>
      <c r="BL2639" s="25"/>
      <c r="BM2639" s="25"/>
      <c r="BN2639" s="25"/>
      <c r="BO2639" s="25"/>
      <c r="BP2639" s="25"/>
      <c r="BQ2639" s="25"/>
      <c r="BR2639" s="25"/>
      <c r="BS2639" s="25"/>
      <c r="BT2639" s="25"/>
      <c r="BU2639"/>
      <c r="BV2639"/>
      <c r="BW2639"/>
      <c r="BX2639"/>
      <c r="BY2639"/>
      <c r="BZ2639"/>
      <c r="CA2639"/>
      <c r="CB2639"/>
      <c r="CC2639"/>
      <c r="CD2639" s="25"/>
    </row>
    <row r="2640" spans="1:82" s="17" customFormat="1" x14ac:dyDescent="0.2">
      <c r="A2640" s="25"/>
      <c r="B2640" s="20">
        <v>39105964400</v>
      </c>
      <c r="C2640" s="20">
        <v>9644</v>
      </c>
      <c r="D2640" s="20" t="s">
        <v>58</v>
      </c>
      <c r="E2640" s="20" t="s">
        <v>265</v>
      </c>
      <c r="F2640" s="20" t="s">
        <v>6</v>
      </c>
      <c r="G2640" s="861">
        <v>34.204818846746697</v>
      </c>
      <c r="H2640" s="861">
        <v>38.124335440250597</v>
      </c>
      <c r="I2640" s="861">
        <v>55.602113137920497</v>
      </c>
      <c r="J2640" s="861">
        <v>41.903747914369802</v>
      </c>
      <c r="K2640" s="982">
        <v>0</v>
      </c>
      <c r="L2640" s="735">
        <v>3243</v>
      </c>
      <c r="M2640" s="735">
        <v>3117</v>
      </c>
      <c r="N2640" s="845">
        <f t="shared" si="194"/>
        <v>-3.8852913968547641E-2</v>
      </c>
      <c r="O2640" s="735">
        <v>4.7113617830469501</v>
      </c>
      <c r="P2640" s="735">
        <f t="shared" si="195"/>
        <v>661.59215605475356</v>
      </c>
      <c r="Q2640" s="849">
        <v>41.4</v>
      </c>
      <c r="R2640" s="71">
        <v>36439</v>
      </c>
      <c r="S2640" s="845">
        <v>0.33133533133533133</v>
      </c>
      <c r="T2640" s="845">
        <v>2.5000000000000001E-2</v>
      </c>
      <c r="U2640" s="845">
        <v>3.6000000000000004E-2</v>
      </c>
      <c r="V2640" s="845">
        <v>0</v>
      </c>
      <c r="W2640" s="845">
        <v>0.36321483771251933</v>
      </c>
      <c r="X2640" s="845">
        <v>0.30851063829787234</v>
      </c>
      <c r="Y2640" s="845">
        <v>0.97497593840230989</v>
      </c>
      <c r="Z2640" s="845">
        <v>1.4436958614051972E-2</v>
      </c>
      <c r="AA2640" s="845">
        <v>0</v>
      </c>
      <c r="AB2640" s="845">
        <v>0</v>
      </c>
      <c r="AC2640" s="845">
        <v>0</v>
      </c>
      <c r="AD2640" s="845">
        <v>0</v>
      </c>
      <c r="AE2640" s="845">
        <v>1.0587102983638113E-2</v>
      </c>
      <c r="AF2640" s="845">
        <v>0</v>
      </c>
      <c r="AG2640" s="845">
        <v>0.97497593840230989</v>
      </c>
      <c r="AH2640" s="20" t="str">
        <f t="shared" si="196"/>
        <v>Yes</v>
      </c>
      <c r="AI2640" s="25"/>
      <c r="AJ2640" s="25"/>
      <c r="AK2640" s="25"/>
      <c r="AL2640" s="25"/>
      <c r="AM2640" s="25"/>
      <c r="AN2640" s="25"/>
      <c r="AO2640" s="25"/>
      <c r="AP2640" s="25"/>
      <c r="AQ2640" s="25"/>
      <c r="AR2640" s="25"/>
      <c r="AS2640" s="25"/>
      <c r="AT2640" s="25"/>
      <c r="AU2640" s="36"/>
      <c r="AV2640" s="36"/>
      <c r="AW2640" s="36"/>
      <c r="AX2640" s="25"/>
      <c r="AY2640" s="25"/>
      <c r="AZ2640" s="25"/>
      <c r="BA2640" s="25"/>
      <c r="BB2640" s="25"/>
      <c r="BC2640" s="25"/>
      <c r="BD2640" s="25"/>
      <c r="BE2640" s="25"/>
      <c r="BF2640" s="25"/>
      <c r="BG2640" s="25"/>
      <c r="BH2640" s="25"/>
      <c r="BI2640" s="25"/>
      <c r="BJ2640" s="25"/>
      <c r="BK2640" s="25"/>
      <c r="BL2640" s="25"/>
      <c r="BM2640" s="25"/>
      <c r="BN2640" s="25"/>
      <c r="BO2640" s="25"/>
      <c r="BP2640" s="25"/>
      <c r="BQ2640" s="25"/>
      <c r="BR2640" s="25"/>
      <c r="BS2640" s="25"/>
      <c r="BT2640" s="25"/>
      <c r="BU2640"/>
      <c r="BV2640"/>
      <c r="BW2640"/>
      <c r="BX2640"/>
      <c r="BY2640"/>
      <c r="BZ2640"/>
      <c r="CA2640"/>
      <c r="CB2640"/>
      <c r="CC2640"/>
      <c r="CD2640" s="25"/>
    </row>
    <row r="2641" spans="1:82" s="17" customFormat="1" x14ac:dyDescent="0.2">
      <c r="A2641" s="25"/>
      <c r="B2641" s="20">
        <v>39035120600</v>
      </c>
      <c r="C2641" s="20">
        <v>1206</v>
      </c>
      <c r="D2641" s="20" t="s">
        <v>24</v>
      </c>
      <c r="E2641" s="20" t="s">
        <v>2829</v>
      </c>
      <c r="F2641" s="20" t="s">
        <v>6</v>
      </c>
      <c r="G2641" s="861">
        <v>34.1434105052018</v>
      </c>
      <c r="H2641" s="861">
        <v>25.689401561048999</v>
      </c>
      <c r="I2641" s="861">
        <v>94.319379850155997</v>
      </c>
      <c r="J2641" s="861">
        <v>38.253811861863603</v>
      </c>
      <c r="K2641" s="982">
        <v>0</v>
      </c>
      <c r="L2641" s="735">
        <v>2602</v>
      </c>
      <c r="M2641" s="735">
        <v>1848</v>
      </c>
      <c r="N2641" s="845">
        <f t="shared" si="194"/>
        <v>-0.28977709454265949</v>
      </c>
      <c r="O2641" s="735">
        <v>0.35165837112665355</v>
      </c>
      <c r="P2641" s="735">
        <f t="shared" si="195"/>
        <v>5255.1002669986856</v>
      </c>
      <c r="Q2641" s="849">
        <v>50.5</v>
      </c>
      <c r="R2641" s="71">
        <v>34648</v>
      </c>
      <c r="S2641" s="845">
        <v>0.22132034632034633</v>
      </c>
      <c r="T2641" s="845">
        <v>0.35100000000000003</v>
      </c>
      <c r="U2641" s="845">
        <v>5.2999999999999999E-2</v>
      </c>
      <c r="V2641" s="845">
        <v>0</v>
      </c>
      <c r="W2641" s="845">
        <v>0.56574923547400613</v>
      </c>
      <c r="X2641" s="845">
        <v>0.47747747747747749</v>
      </c>
      <c r="Y2641" s="845">
        <v>5.411255411255411E-3</v>
      </c>
      <c r="Z2641" s="845">
        <v>0.96482683982683981</v>
      </c>
      <c r="AA2641" s="845">
        <v>0</v>
      </c>
      <c r="AB2641" s="845">
        <v>0</v>
      </c>
      <c r="AC2641" s="845">
        <v>0</v>
      </c>
      <c r="AD2641" s="845">
        <v>1.461038961038961E-2</v>
      </c>
      <c r="AE2641" s="845">
        <v>1.5151515151515152E-2</v>
      </c>
      <c r="AF2641" s="845">
        <v>1.461038961038961E-2</v>
      </c>
      <c r="AG2641" s="845">
        <v>5.411255411255411E-3</v>
      </c>
      <c r="AH2641" s="20" t="str">
        <f t="shared" si="196"/>
        <v>No</v>
      </c>
      <c r="AI2641" s="25"/>
      <c r="AJ2641" s="25"/>
      <c r="AK2641" s="25"/>
      <c r="AL2641" s="25"/>
      <c r="AM2641" s="25"/>
      <c r="AN2641" s="25"/>
      <c r="AO2641" s="25"/>
      <c r="AP2641" s="25"/>
      <c r="AQ2641" s="25"/>
      <c r="AR2641" s="25"/>
      <c r="AS2641" s="25"/>
      <c r="AT2641" s="25"/>
      <c r="AU2641" s="36"/>
      <c r="AV2641" s="36"/>
      <c r="AW2641" s="36"/>
      <c r="AX2641" s="25"/>
      <c r="AY2641" s="25"/>
      <c r="AZ2641" s="25"/>
      <c r="BA2641" s="25"/>
      <c r="BB2641" s="25"/>
      <c r="BC2641" s="25"/>
      <c r="BD2641" s="25"/>
      <c r="BE2641" s="25"/>
      <c r="BF2641" s="25"/>
      <c r="BG2641" s="25"/>
      <c r="BH2641" s="25"/>
      <c r="BI2641" s="25"/>
      <c r="BJ2641" s="25"/>
      <c r="BK2641" s="25"/>
      <c r="BL2641" s="25"/>
      <c r="BM2641" s="25"/>
      <c r="BN2641" s="25"/>
      <c r="BO2641" s="25"/>
      <c r="BP2641" s="25"/>
      <c r="BQ2641" s="25"/>
      <c r="BR2641" s="25"/>
      <c r="BS2641" s="25"/>
      <c r="BT2641" s="25"/>
      <c r="BU2641"/>
      <c r="BV2641"/>
      <c r="BW2641"/>
      <c r="BX2641"/>
      <c r="BY2641"/>
      <c r="BZ2641"/>
      <c r="CA2641"/>
      <c r="CB2641"/>
      <c r="CC2641"/>
      <c r="CD2641" s="25"/>
    </row>
    <row r="2642" spans="1:82" s="17" customFormat="1" x14ac:dyDescent="0.2">
      <c r="A2642" s="25"/>
      <c r="B2642" s="20">
        <v>39153510500</v>
      </c>
      <c r="C2642" s="20">
        <v>5105</v>
      </c>
      <c r="D2642" s="20" t="s">
        <v>82</v>
      </c>
      <c r="E2642" s="20" t="s">
        <v>2843</v>
      </c>
      <c r="F2642" s="20" t="s">
        <v>8</v>
      </c>
      <c r="G2642" s="861">
        <v>34.124156473377198</v>
      </c>
      <c r="H2642" s="861">
        <v>49.076687872391297</v>
      </c>
      <c r="I2642" s="861">
        <v>41.333678434553399</v>
      </c>
      <c r="J2642" s="861">
        <v>35.039342129869198</v>
      </c>
      <c r="K2642" s="982">
        <v>0</v>
      </c>
      <c r="L2642" s="735">
        <v>4369</v>
      </c>
      <c r="M2642" s="735">
        <v>3897</v>
      </c>
      <c r="N2642" s="845">
        <f t="shared" si="194"/>
        <v>-0.10803387502861067</v>
      </c>
      <c r="O2642" s="735">
        <v>0.9339772606137563</v>
      </c>
      <c r="P2642" s="735">
        <f t="shared" si="195"/>
        <v>4172.4784578150384</v>
      </c>
      <c r="Q2642" s="849">
        <v>39.6</v>
      </c>
      <c r="R2642" s="71">
        <v>52647</v>
      </c>
      <c r="S2642" s="845">
        <v>0.16203703703703703</v>
      </c>
      <c r="T2642" s="845">
        <v>4.2999999999999997E-2</v>
      </c>
      <c r="U2642" s="845">
        <v>0</v>
      </c>
      <c r="V2642" s="845">
        <v>9.1999999999999998E-2</v>
      </c>
      <c r="W2642" s="845">
        <v>0.44093178036605657</v>
      </c>
      <c r="X2642" s="845">
        <v>0.39622641509433965</v>
      </c>
      <c r="Y2642" s="845">
        <v>0.88632281241981015</v>
      </c>
      <c r="Z2642" s="845">
        <v>2.9766487041313832E-2</v>
      </c>
      <c r="AA2642" s="845">
        <v>0</v>
      </c>
      <c r="AB2642" s="845">
        <v>0</v>
      </c>
      <c r="AC2642" s="845">
        <v>0</v>
      </c>
      <c r="AD2642" s="845">
        <v>0</v>
      </c>
      <c r="AE2642" s="845">
        <v>8.391070053887606E-2</v>
      </c>
      <c r="AF2642" s="845">
        <v>3.8491147036181679E-3</v>
      </c>
      <c r="AG2642" s="845">
        <v>0.88632281241981015</v>
      </c>
      <c r="AH2642" s="20" t="str">
        <f t="shared" si="196"/>
        <v>No</v>
      </c>
      <c r="AI2642" s="25"/>
      <c r="AJ2642" s="25"/>
      <c r="AK2642" s="25"/>
      <c r="AL2642" s="25"/>
      <c r="AM2642" s="25"/>
      <c r="AN2642" s="25"/>
      <c r="AO2642" s="25"/>
      <c r="AP2642" s="25"/>
      <c r="AQ2642" s="25"/>
      <c r="AR2642" s="25"/>
      <c r="AS2642" s="25"/>
      <c r="AT2642" s="25"/>
      <c r="AU2642" s="36"/>
      <c r="AV2642" s="36"/>
      <c r="AW2642" s="36"/>
      <c r="AX2642" s="25"/>
      <c r="AY2642" s="25"/>
      <c r="AZ2642" s="25"/>
      <c r="BA2642" s="25"/>
      <c r="BB2642" s="25"/>
      <c r="BC2642" s="25"/>
      <c r="BD2642" s="25"/>
      <c r="BE2642" s="25"/>
      <c r="BF2642" s="25"/>
      <c r="BG2642" s="25"/>
      <c r="BH2642" s="25"/>
      <c r="BI2642" s="25"/>
      <c r="BJ2642" s="25"/>
      <c r="BK2642" s="25"/>
      <c r="BL2642" s="25"/>
      <c r="BM2642" s="25"/>
      <c r="BN2642" s="25"/>
      <c r="BO2642" s="25"/>
      <c r="BP2642" s="25"/>
      <c r="BQ2642" s="25"/>
      <c r="BR2642" s="25"/>
      <c r="BS2642" s="25"/>
      <c r="BT2642" s="25"/>
      <c r="BU2642"/>
      <c r="BV2642"/>
      <c r="BW2642"/>
      <c r="BX2642"/>
      <c r="BY2642"/>
      <c r="BZ2642"/>
      <c r="CA2642"/>
      <c r="CB2642"/>
      <c r="CC2642"/>
      <c r="CD2642" s="25"/>
    </row>
    <row r="2643" spans="1:82" s="17" customFormat="1" x14ac:dyDescent="0.2">
      <c r="A2643" s="25"/>
      <c r="B2643" s="20">
        <v>39035105602</v>
      </c>
      <c r="C2643" s="20">
        <v>1056.02</v>
      </c>
      <c r="D2643" s="20" t="s">
        <v>24</v>
      </c>
      <c r="E2643" s="20" t="s">
        <v>2829</v>
      </c>
      <c r="F2643" s="20" t="s">
        <v>6</v>
      </c>
      <c r="G2643" s="861">
        <v>34.087969062931499</v>
      </c>
      <c r="H2643" s="861">
        <v>65.324253280538699</v>
      </c>
      <c r="I2643" s="861">
        <v>79.902386970848298</v>
      </c>
      <c r="J2643" s="861">
        <v>41.954026101306603</v>
      </c>
      <c r="K2643" s="982">
        <v>0</v>
      </c>
      <c r="L2643" s="735">
        <v>2477</v>
      </c>
      <c r="M2643" s="735">
        <v>2010</v>
      </c>
      <c r="N2643" s="845">
        <f t="shared" si="194"/>
        <v>-0.18853451756156642</v>
      </c>
      <c r="O2643" s="735">
        <v>0.66488143067189609</v>
      </c>
      <c r="P2643" s="735">
        <f t="shared" si="195"/>
        <v>3023.0954081072682</v>
      </c>
      <c r="Q2643" s="849">
        <v>37</v>
      </c>
      <c r="R2643" s="71">
        <v>37188</v>
      </c>
      <c r="S2643" s="845">
        <v>0.19402985074626866</v>
      </c>
      <c r="T2643" s="845">
        <v>0.14000000000000001</v>
      </c>
      <c r="U2643" s="845">
        <v>0</v>
      </c>
      <c r="V2643" s="845">
        <v>6.6000000000000003E-2</v>
      </c>
      <c r="W2643" s="845">
        <v>0.51763367463026166</v>
      </c>
      <c r="X2643" s="845">
        <v>0.51648351648351654</v>
      </c>
      <c r="Y2643" s="845">
        <v>0.59303482587064682</v>
      </c>
      <c r="Z2643" s="845">
        <v>0.17014925373134329</v>
      </c>
      <c r="AA2643" s="845">
        <v>3.482587064676617E-3</v>
      </c>
      <c r="AB2643" s="845">
        <v>3.2338308457711441E-2</v>
      </c>
      <c r="AC2643" s="845">
        <v>0</v>
      </c>
      <c r="AD2643" s="845">
        <v>0.16965174129353233</v>
      </c>
      <c r="AE2643" s="845">
        <v>3.134328358208955E-2</v>
      </c>
      <c r="AF2643" s="845">
        <v>0.2582089552238806</v>
      </c>
      <c r="AG2643" s="845">
        <v>0.52139303482587063</v>
      </c>
      <c r="AH2643" s="20" t="str">
        <f t="shared" si="196"/>
        <v>No</v>
      </c>
      <c r="AI2643" s="25"/>
      <c r="AJ2643" s="25"/>
      <c r="AK2643" s="25"/>
      <c r="AL2643" s="25"/>
      <c r="AM2643" s="25"/>
      <c r="AN2643" s="25"/>
      <c r="AO2643" s="25"/>
      <c r="AP2643" s="25"/>
      <c r="AQ2643" s="25"/>
      <c r="AR2643" s="25"/>
      <c r="AS2643" s="25"/>
      <c r="AT2643" s="25"/>
      <c r="AU2643" s="36"/>
      <c r="AV2643" s="36"/>
      <c r="AW2643" s="36"/>
      <c r="AX2643" s="25"/>
      <c r="AY2643" s="25"/>
      <c r="AZ2643" s="25"/>
      <c r="BA2643" s="25"/>
      <c r="BB2643" s="25"/>
      <c r="BC2643" s="25"/>
      <c r="BD2643" s="25"/>
      <c r="BE2643" s="25"/>
      <c r="BF2643" s="25"/>
      <c r="BG2643" s="25"/>
      <c r="BH2643" s="25"/>
      <c r="BI2643" s="25"/>
      <c r="BJ2643" s="25"/>
      <c r="BK2643" s="25"/>
      <c r="BL2643" s="25"/>
      <c r="BM2643" s="25"/>
      <c r="BN2643" s="25"/>
      <c r="BO2643" s="25"/>
      <c r="BP2643" s="25"/>
      <c r="BQ2643" s="25"/>
      <c r="BR2643" s="25"/>
      <c r="BS2643" s="25"/>
      <c r="BT2643" s="25"/>
      <c r="BU2643"/>
      <c r="BV2643"/>
      <c r="BW2643"/>
      <c r="BX2643"/>
      <c r="BY2643"/>
      <c r="BZ2643"/>
      <c r="CA2643"/>
      <c r="CB2643"/>
      <c r="CC2643"/>
      <c r="CD2643" s="25"/>
    </row>
    <row r="2644" spans="1:82" s="17" customFormat="1" x14ac:dyDescent="0.2">
      <c r="A2644" s="25"/>
      <c r="B2644" s="20">
        <v>39155933900</v>
      </c>
      <c r="C2644" s="20">
        <v>9339</v>
      </c>
      <c r="D2644" s="20" t="s">
        <v>83</v>
      </c>
      <c r="E2644" s="20" t="s">
        <v>2842</v>
      </c>
      <c r="F2644" s="20" t="s">
        <v>6</v>
      </c>
      <c r="G2644" s="861">
        <v>34.0838653592618</v>
      </c>
      <c r="H2644" s="861">
        <v>33.794009498099001</v>
      </c>
      <c r="I2644" s="861">
        <v>48.510060325001803</v>
      </c>
      <c r="J2644" s="861">
        <v>27.394106490303201</v>
      </c>
      <c r="K2644" s="982">
        <v>0</v>
      </c>
      <c r="L2644" s="735">
        <v>2285</v>
      </c>
      <c r="M2644" s="735">
        <v>1838</v>
      </c>
      <c r="N2644" s="845">
        <f t="shared" si="194"/>
        <v>-0.19562363238512034</v>
      </c>
      <c r="O2644" s="735">
        <v>2.6360715609617222</v>
      </c>
      <c r="P2644" s="735">
        <f t="shared" si="195"/>
        <v>697.24966014558402</v>
      </c>
      <c r="Q2644" s="849">
        <v>38.9</v>
      </c>
      <c r="R2644" s="71">
        <v>34054</v>
      </c>
      <c r="S2644" s="845">
        <v>0.25365579302587177</v>
      </c>
      <c r="T2644" s="845">
        <v>3.7000000000000005E-2</v>
      </c>
      <c r="U2644" s="845">
        <v>6.2E-2</v>
      </c>
      <c r="V2644" s="845">
        <v>2.7999999999999997E-2</v>
      </c>
      <c r="W2644" s="845">
        <v>0.50426309378806333</v>
      </c>
      <c r="X2644" s="845">
        <v>0.4420289855072464</v>
      </c>
      <c r="Y2644" s="845">
        <v>0.80141458106637653</v>
      </c>
      <c r="Z2644" s="845">
        <v>4.0261153427638738E-2</v>
      </c>
      <c r="AA2644" s="845">
        <v>5.4406964091403701E-3</v>
      </c>
      <c r="AB2644" s="845">
        <v>0</v>
      </c>
      <c r="AC2644" s="845">
        <v>0</v>
      </c>
      <c r="AD2644" s="845">
        <v>8.7051142546245922E-3</v>
      </c>
      <c r="AE2644" s="845">
        <v>0.14417845484221981</v>
      </c>
      <c r="AF2644" s="845">
        <v>2.720348204570185E-2</v>
      </c>
      <c r="AG2644" s="845">
        <v>0.80141458106637653</v>
      </c>
      <c r="AH2644" s="20" t="str">
        <f t="shared" si="196"/>
        <v>No</v>
      </c>
      <c r="AI2644" s="25"/>
      <c r="AJ2644" s="25"/>
      <c r="AK2644" s="25"/>
      <c r="AL2644" s="25"/>
      <c r="AM2644" s="25"/>
      <c r="AN2644" s="25"/>
      <c r="AO2644" s="25"/>
      <c r="AP2644" s="25"/>
      <c r="AQ2644" s="25"/>
      <c r="AR2644" s="25"/>
      <c r="AS2644" s="25"/>
      <c r="AT2644" s="25"/>
      <c r="AU2644" s="36"/>
      <c r="AV2644" s="36"/>
      <c r="AW2644" s="36"/>
      <c r="AX2644" s="25"/>
      <c r="AY2644" s="25"/>
      <c r="AZ2644" s="25"/>
      <c r="BA2644" s="25"/>
      <c r="BB2644" s="25"/>
      <c r="BC2644" s="25"/>
      <c r="BD2644" s="25"/>
      <c r="BE2644" s="25"/>
      <c r="BF2644" s="25"/>
      <c r="BG2644" s="25"/>
      <c r="BH2644" s="25"/>
      <c r="BI2644" s="25"/>
      <c r="BJ2644" s="25"/>
      <c r="BK2644" s="25"/>
      <c r="BL2644" s="25"/>
      <c r="BM2644" s="25"/>
      <c r="BN2644" s="25"/>
      <c r="BO2644" s="25"/>
      <c r="BP2644" s="25"/>
      <c r="BQ2644" s="25"/>
      <c r="BR2644" s="25"/>
      <c r="BS2644" s="25"/>
      <c r="BT2644" s="25"/>
      <c r="BU2644"/>
      <c r="BV2644"/>
      <c r="BW2644"/>
      <c r="BX2644"/>
      <c r="BY2644"/>
      <c r="BZ2644"/>
      <c r="CA2644"/>
      <c r="CB2644"/>
      <c r="CC2644"/>
      <c r="CD2644" s="25"/>
    </row>
    <row r="2645" spans="1:82" s="17" customFormat="1" x14ac:dyDescent="0.2">
      <c r="A2645" s="25"/>
      <c r="B2645" s="20">
        <v>39049002730</v>
      </c>
      <c r="C2645" s="20">
        <v>27.3</v>
      </c>
      <c r="D2645" s="20" t="s">
        <v>31</v>
      </c>
      <c r="E2645" s="20" t="s">
        <v>2830</v>
      </c>
      <c r="F2645" s="20" t="s">
        <v>6</v>
      </c>
      <c r="G2645" s="861">
        <v>34.063385854897099</v>
      </c>
      <c r="H2645" s="861">
        <v>51.8600094316308</v>
      </c>
      <c r="I2645" s="861">
        <v>60.912222457792303</v>
      </c>
      <c r="J2645" s="861">
        <v>34.167738301856602</v>
      </c>
      <c r="K2645" s="982">
        <v>0</v>
      </c>
      <c r="L2645" s="735">
        <v>2208</v>
      </c>
      <c r="M2645" s="735">
        <v>2451</v>
      </c>
      <c r="N2645" s="845">
        <f t="shared" si="194"/>
        <v>0.11005434782608696</v>
      </c>
      <c r="O2645" s="735">
        <v>0.35941554959493621</v>
      </c>
      <c r="P2645" s="735">
        <f t="shared" si="195"/>
        <v>6819.4044547106932</v>
      </c>
      <c r="Q2645" s="849">
        <v>30.2</v>
      </c>
      <c r="R2645" s="71">
        <v>25086</v>
      </c>
      <c r="S2645" s="845">
        <v>0.57262103505843076</v>
      </c>
      <c r="T2645" s="845">
        <v>9.1999999999999998E-2</v>
      </c>
      <c r="U2645" s="845">
        <v>0</v>
      </c>
      <c r="V2645" s="845">
        <v>2.5000000000000001E-2</v>
      </c>
      <c r="W2645" s="845">
        <v>0.85755258126195033</v>
      </c>
      <c r="X2645" s="845">
        <v>0.74247491638795982</v>
      </c>
      <c r="Y2645" s="845">
        <v>0.16891064871481029</v>
      </c>
      <c r="Z2645" s="845">
        <v>0.5724194206446348</v>
      </c>
      <c r="AA2645" s="845">
        <v>2.2847817217462259E-2</v>
      </c>
      <c r="AB2645" s="845">
        <v>0</v>
      </c>
      <c r="AC2645" s="845">
        <v>0</v>
      </c>
      <c r="AD2645" s="845">
        <v>9.8327213382292944E-2</v>
      </c>
      <c r="AE2645" s="845">
        <v>0.13749490004079967</v>
      </c>
      <c r="AF2645" s="845">
        <v>0.21134230926152592</v>
      </c>
      <c r="AG2645" s="845">
        <v>0.15789473684210525</v>
      </c>
      <c r="AH2645" s="20" t="str">
        <f t="shared" si="196"/>
        <v>No</v>
      </c>
      <c r="AI2645" s="25"/>
      <c r="AJ2645" s="25"/>
      <c r="AK2645" s="25"/>
      <c r="AL2645" s="25"/>
      <c r="AM2645" s="25"/>
      <c r="AN2645" s="25"/>
      <c r="AO2645" s="25"/>
      <c r="AP2645" s="25"/>
      <c r="AQ2645" s="25"/>
      <c r="AR2645" s="25"/>
      <c r="AS2645" s="25"/>
      <c r="AT2645" s="25"/>
      <c r="AU2645" s="36"/>
      <c r="AV2645" s="36"/>
      <c r="AW2645" s="36"/>
      <c r="AX2645" s="25"/>
      <c r="AY2645" s="25"/>
      <c r="AZ2645" s="25"/>
      <c r="BA2645" s="25"/>
      <c r="BB2645" s="25"/>
      <c r="BC2645" s="25"/>
      <c r="BD2645" s="25"/>
      <c r="BE2645" s="25"/>
      <c r="BF2645" s="25"/>
      <c r="BG2645" s="25"/>
      <c r="BH2645" s="25"/>
      <c r="BI2645" s="25"/>
      <c r="BJ2645" s="25"/>
      <c r="BK2645" s="25"/>
      <c r="BL2645" s="25"/>
      <c r="BM2645" s="25"/>
      <c r="BN2645" s="25"/>
      <c r="BO2645" s="25"/>
      <c r="BP2645" s="25"/>
      <c r="BQ2645" s="25"/>
      <c r="BR2645" s="25"/>
      <c r="BS2645" s="25"/>
      <c r="BT2645" s="25"/>
      <c r="BU2645"/>
      <c r="BV2645"/>
      <c r="BW2645"/>
      <c r="BX2645"/>
      <c r="BY2645"/>
      <c r="BZ2645"/>
      <c r="CA2645"/>
      <c r="CB2645"/>
      <c r="CC2645"/>
      <c r="CD2645" s="25"/>
    </row>
    <row r="2646" spans="1:82" s="17" customFormat="1" x14ac:dyDescent="0.2">
      <c r="A2646" s="25"/>
      <c r="B2646" s="20">
        <v>39123051202</v>
      </c>
      <c r="C2646" s="20">
        <v>512.02</v>
      </c>
      <c r="D2646" s="20" t="s">
        <v>67</v>
      </c>
      <c r="E2646" s="20" t="s">
        <v>2837</v>
      </c>
      <c r="F2646" s="20" t="s">
        <v>6</v>
      </c>
      <c r="G2646" s="861">
        <v>34.040776806947001</v>
      </c>
      <c r="H2646" s="861">
        <v>42.660991963443301</v>
      </c>
      <c r="I2646" s="861">
        <v>16.086531749926699</v>
      </c>
      <c r="J2646" s="861">
        <v>37.307065231650398</v>
      </c>
      <c r="K2646" s="982">
        <v>0</v>
      </c>
      <c r="L2646" s="735" t="s">
        <v>2466</v>
      </c>
      <c r="M2646" s="735">
        <v>1867</v>
      </c>
      <c r="N2646" s="845" t="str">
        <f t="shared" si="194"/>
        <v/>
      </c>
      <c r="O2646" s="735">
        <v>21.55887348841922</v>
      </c>
      <c r="P2646" s="735">
        <f t="shared" si="195"/>
        <v>86.600072169953421</v>
      </c>
      <c r="Q2646" s="849">
        <v>56.6</v>
      </c>
      <c r="R2646" s="71">
        <v>52250</v>
      </c>
      <c r="S2646" s="845">
        <v>0.10444563470808785</v>
      </c>
      <c r="T2646" s="845">
        <v>4.2000000000000003E-2</v>
      </c>
      <c r="U2646" s="845">
        <v>0</v>
      </c>
      <c r="V2646" s="845">
        <v>0</v>
      </c>
      <c r="W2646" s="845">
        <v>0.34279918864097364</v>
      </c>
      <c r="X2646" s="845">
        <v>7.6923076923076927E-2</v>
      </c>
      <c r="Y2646" s="845">
        <v>0.92233529726834496</v>
      </c>
      <c r="Z2646" s="845">
        <v>4.9276914836636314E-2</v>
      </c>
      <c r="AA2646" s="845">
        <v>0</v>
      </c>
      <c r="AB2646" s="845">
        <v>0</v>
      </c>
      <c r="AC2646" s="845">
        <v>0</v>
      </c>
      <c r="AD2646" s="845">
        <v>8.0342795929298338E-3</v>
      </c>
      <c r="AE2646" s="845">
        <v>2.0353508302088912E-2</v>
      </c>
      <c r="AF2646" s="845">
        <v>4.7134440278521691E-2</v>
      </c>
      <c r="AG2646" s="845">
        <v>0.90358864488484203</v>
      </c>
      <c r="AH2646" s="20" t="str">
        <f t="shared" si="196"/>
        <v>Yes</v>
      </c>
      <c r="AI2646" s="25"/>
      <c r="AJ2646" s="25"/>
      <c r="AK2646" s="25"/>
      <c r="AL2646" s="25"/>
      <c r="AM2646" s="25"/>
      <c r="AN2646" s="25"/>
      <c r="AO2646" s="25"/>
      <c r="AP2646" s="25"/>
      <c r="AQ2646" s="25"/>
      <c r="AR2646" s="25"/>
      <c r="AS2646" s="25"/>
      <c r="AT2646" s="25"/>
      <c r="AU2646" s="36"/>
      <c r="AV2646" s="36"/>
      <c r="AW2646" s="36"/>
      <c r="AX2646" s="25"/>
      <c r="AY2646" s="25"/>
      <c r="AZ2646" s="25"/>
      <c r="BA2646" s="25"/>
      <c r="BB2646" s="25"/>
      <c r="BC2646" s="25"/>
      <c r="BD2646" s="25"/>
      <c r="BE2646" s="25"/>
      <c r="BF2646" s="25"/>
      <c r="BG2646" s="25"/>
      <c r="BH2646" s="25"/>
      <c r="BI2646" s="25"/>
      <c r="BJ2646" s="25"/>
      <c r="BK2646" s="25"/>
      <c r="BL2646" s="25"/>
      <c r="BM2646" s="25"/>
      <c r="BN2646" s="25"/>
      <c r="BO2646" s="25"/>
      <c r="BP2646" s="25"/>
      <c r="BQ2646" s="25"/>
      <c r="BR2646" s="25"/>
      <c r="BS2646" s="25"/>
      <c r="BT2646" s="25"/>
      <c r="BU2646"/>
      <c r="BV2646"/>
      <c r="BW2646"/>
      <c r="BX2646"/>
      <c r="BY2646"/>
      <c r="BZ2646"/>
      <c r="CA2646"/>
      <c r="CB2646"/>
      <c r="CC2646"/>
      <c r="CD2646" s="25"/>
    </row>
    <row r="2647" spans="1:82" s="17" customFormat="1" x14ac:dyDescent="0.2">
      <c r="A2647" s="25"/>
      <c r="B2647" s="20">
        <v>39049000920</v>
      </c>
      <c r="C2647" s="20">
        <v>9.1999999999999993</v>
      </c>
      <c r="D2647" s="20" t="s">
        <v>31</v>
      </c>
      <c r="E2647" s="20" t="s">
        <v>2830</v>
      </c>
      <c r="F2647" s="20" t="s">
        <v>6</v>
      </c>
      <c r="G2647" s="861">
        <v>34.023155504924503</v>
      </c>
      <c r="H2647" s="861">
        <v>45.748864114880099</v>
      </c>
      <c r="I2647" s="861">
        <v>76.310871570721005</v>
      </c>
      <c r="J2647" s="861">
        <v>47.794752452042303</v>
      </c>
      <c r="K2647" s="982">
        <v>0</v>
      </c>
      <c r="L2647" s="735">
        <v>1710</v>
      </c>
      <c r="M2647" s="735">
        <v>2425</v>
      </c>
      <c r="N2647" s="845">
        <f t="shared" si="194"/>
        <v>0.41812865497076024</v>
      </c>
      <c r="O2647" s="735">
        <v>0.35343559936265501</v>
      </c>
      <c r="P2647" s="735">
        <f t="shared" si="195"/>
        <v>6861.2216889667179</v>
      </c>
      <c r="Q2647" s="849">
        <v>27.7</v>
      </c>
      <c r="R2647" s="71">
        <v>33295</v>
      </c>
      <c r="S2647" s="845">
        <v>0.5080412371134021</v>
      </c>
      <c r="T2647" s="845">
        <v>0.13100000000000001</v>
      </c>
      <c r="U2647" s="845">
        <v>0</v>
      </c>
      <c r="V2647" s="845">
        <v>3.5000000000000003E-2</v>
      </c>
      <c r="W2647" s="845">
        <v>0.64561855670103097</v>
      </c>
      <c r="X2647" s="845">
        <v>0.56487025948103797</v>
      </c>
      <c r="Y2647" s="845">
        <v>0.19134020618556702</v>
      </c>
      <c r="Z2647" s="845">
        <v>0.61030927835051552</v>
      </c>
      <c r="AA2647" s="845">
        <v>1.6494845360824743E-3</v>
      </c>
      <c r="AB2647" s="845">
        <v>3.2989690721649486E-3</v>
      </c>
      <c r="AC2647" s="845">
        <v>0</v>
      </c>
      <c r="AD2647" s="845">
        <v>3.5463917525773193E-2</v>
      </c>
      <c r="AE2647" s="845">
        <v>0.15793814432989692</v>
      </c>
      <c r="AF2647" s="845">
        <v>0.13896907216494844</v>
      </c>
      <c r="AG2647" s="845">
        <v>0.17484536082474228</v>
      </c>
      <c r="AH2647" s="20" t="str">
        <f t="shared" si="196"/>
        <v>No</v>
      </c>
      <c r="AI2647" s="25"/>
      <c r="AJ2647" s="25"/>
      <c r="AK2647" s="25"/>
      <c r="AL2647" s="25"/>
      <c r="AM2647" s="25"/>
      <c r="AN2647" s="25"/>
      <c r="AO2647" s="25"/>
      <c r="AP2647" s="25"/>
      <c r="AQ2647" s="25"/>
      <c r="AR2647" s="25"/>
      <c r="AS2647" s="25"/>
      <c r="AT2647" s="25"/>
      <c r="AU2647" s="36"/>
      <c r="AV2647" s="36"/>
      <c r="AW2647" s="36"/>
      <c r="AX2647" s="25"/>
      <c r="AY2647" s="25"/>
      <c r="AZ2647" s="25"/>
      <c r="BA2647" s="25"/>
      <c r="BB2647" s="25"/>
      <c r="BC2647" s="25"/>
      <c r="BD2647" s="25"/>
      <c r="BE2647" s="25"/>
      <c r="BF2647" s="25"/>
      <c r="BG2647" s="25"/>
      <c r="BH2647" s="25"/>
      <c r="BI2647" s="25"/>
      <c r="BJ2647" s="25"/>
      <c r="BK2647" s="25"/>
      <c r="BL2647" s="25"/>
      <c r="BM2647" s="25"/>
      <c r="BN2647" s="25"/>
      <c r="BO2647" s="25"/>
      <c r="BP2647" s="25"/>
      <c r="BQ2647" s="25"/>
      <c r="BR2647" s="25"/>
      <c r="BS2647" s="25"/>
      <c r="BT2647" s="25"/>
      <c r="BU2647"/>
      <c r="BV2647"/>
      <c r="BW2647"/>
      <c r="BX2647"/>
      <c r="BY2647"/>
      <c r="BZ2647"/>
      <c r="CA2647"/>
      <c r="CB2647"/>
      <c r="CC2647"/>
      <c r="CD2647" s="25"/>
    </row>
    <row r="2648" spans="1:82" s="17" customFormat="1" x14ac:dyDescent="0.2">
      <c r="A2648" s="25"/>
      <c r="B2648" s="20">
        <v>39095007302</v>
      </c>
      <c r="C2648" s="20">
        <v>73.02</v>
      </c>
      <c r="D2648" s="20" t="s">
        <v>53</v>
      </c>
      <c r="E2648" s="20" t="s">
        <v>2839</v>
      </c>
      <c r="F2648" s="20" t="s">
        <v>6</v>
      </c>
      <c r="G2648" s="861">
        <v>33.993810596520397</v>
      </c>
      <c r="H2648" s="861">
        <v>45.7629297421066</v>
      </c>
      <c r="I2648" s="861">
        <v>52.012537023339803</v>
      </c>
      <c r="J2648" s="861">
        <v>41.446070140795797</v>
      </c>
      <c r="K2648" s="982">
        <v>0</v>
      </c>
      <c r="L2648" s="735">
        <v>3285</v>
      </c>
      <c r="M2648" s="735">
        <v>3200</v>
      </c>
      <c r="N2648" s="845">
        <f t="shared" si="194"/>
        <v>-2.5875190258751901E-2</v>
      </c>
      <c r="O2648" s="735">
        <v>1.4188825754879624</v>
      </c>
      <c r="P2648" s="735">
        <f t="shared" si="195"/>
        <v>2255.2958611811132</v>
      </c>
      <c r="Q2648" s="849">
        <v>35.9</v>
      </c>
      <c r="R2648" s="71">
        <v>40341</v>
      </c>
      <c r="S2648" s="845">
        <v>0.22222222222222221</v>
      </c>
      <c r="T2648" s="845">
        <v>0.182</v>
      </c>
      <c r="U2648" s="845">
        <v>0</v>
      </c>
      <c r="V2648" s="845">
        <v>0.122</v>
      </c>
      <c r="W2648" s="845">
        <v>0.39316239316239315</v>
      </c>
      <c r="X2648" s="845">
        <v>0.31159420289855072</v>
      </c>
      <c r="Y2648" s="845">
        <v>0.43812499999999999</v>
      </c>
      <c r="Z2648" s="845">
        <v>0.45500000000000002</v>
      </c>
      <c r="AA2648" s="845">
        <v>3.1250000000000002E-3</v>
      </c>
      <c r="AB2648" s="845">
        <v>3.2187500000000001E-2</v>
      </c>
      <c r="AC2648" s="845">
        <v>0</v>
      </c>
      <c r="AD2648" s="845">
        <v>1.5625000000000001E-3</v>
      </c>
      <c r="AE2648" s="845">
        <v>7.0000000000000007E-2</v>
      </c>
      <c r="AF2648" s="845">
        <v>2.2499999999999999E-2</v>
      </c>
      <c r="AG2648" s="845">
        <v>0.426875</v>
      </c>
      <c r="AH2648" s="20" t="str">
        <f t="shared" si="196"/>
        <v>No</v>
      </c>
      <c r="AI2648" s="25"/>
      <c r="AJ2648" s="25"/>
      <c r="AK2648" s="25"/>
      <c r="AL2648" s="25"/>
      <c r="AM2648" s="25"/>
      <c r="AN2648" s="25"/>
      <c r="AO2648" s="25"/>
      <c r="AP2648" s="25"/>
      <c r="AQ2648" s="25"/>
      <c r="AR2648" s="25"/>
      <c r="AS2648" s="25"/>
      <c r="AT2648" s="25"/>
      <c r="AU2648" s="36"/>
      <c r="AV2648" s="36"/>
      <c r="AW2648" s="36"/>
      <c r="AX2648" s="25"/>
      <c r="AY2648" s="25"/>
      <c r="AZ2648" s="25"/>
      <c r="BA2648" s="25"/>
      <c r="BB2648" s="25"/>
      <c r="BC2648" s="25"/>
      <c r="BD2648" s="25"/>
      <c r="BE2648" s="25"/>
      <c r="BF2648" s="25"/>
      <c r="BG2648" s="25"/>
      <c r="BH2648" s="25"/>
      <c r="BI2648" s="25"/>
      <c r="BJ2648" s="25"/>
      <c r="BK2648" s="25"/>
      <c r="BL2648" s="25"/>
      <c r="BM2648" s="25"/>
      <c r="BN2648" s="25"/>
      <c r="BO2648" s="25"/>
      <c r="BP2648" s="25"/>
      <c r="BQ2648" s="25"/>
      <c r="BR2648" s="25"/>
      <c r="BS2648" s="25"/>
      <c r="BT2648" s="25"/>
      <c r="BU2648"/>
      <c r="BV2648"/>
      <c r="BW2648"/>
      <c r="BX2648"/>
      <c r="BY2648"/>
      <c r="BZ2648"/>
      <c r="CA2648"/>
      <c r="CB2648"/>
      <c r="CC2648"/>
      <c r="CD2648" s="25"/>
    </row>
    <row r="2649" spans="1:82" s="17" customFormat="1" x14ac:dyDescent="0.2">
      <c r="A2649" s="25"/>
      <c r="B2649" s="20">
        <v>39017000600</v>
      </c>
      <c r="C2649" s="20">
        <v>6</v>
      </c>
      <c r="D2649" s="20" t="s">
        <v>15</v>
      </c>
      <c r="E2649" s="20" t="s">
        <v>2828</v>
      </c>
      <c r="F2649" s="20" t="s">
        <v>6</v>
      </c>
      <c r="G2649" s="861">
        <v>33.985590679878001</v>
      </c>
      <c r="H2649" s="861">
        <v>44.8231750116922</v>
      </c>
      <c r="I2649" s="861">
        <v>52.457662792475503</v>
      </c>
      <c r="J2649" s="861">
        <v>39.637346272976799</v>
      </c>
      <c r="K2649" s="982">
        <v>1</v>
      </c>
      <c r="L2649" s="735">
        <v>5277</v>
      </c>
      <c r="M2649" s="735">
        <v>4542</v>
      </c>
      <c r="N2649" s="845">
        <f t="shared" si="194"/>
        <v>-0.13928368391131324</v>
      </c>
      <c r="O2649" s="735">
        <v>0.86189739303475033</v>
      </c>
      <c r="P2649" s="735">
        <f t="shared" si="195"/>
        <v>5269.7688108877637</v>
      </c>
      <c r="Q2649" s="849">
        <v>34.799999999999997</v>
      </c>
      <c r="R2649" s="71">
        <v>48993</v>
      </c>
      <c r="S2649" s="845">
        <v>0.29235514430491299</v>
      </c>
      <c r="T2649" s="845">
        <v>2.4E-2</v>
      </c>
      <c r="U2649" s="845">
        <v>2.4E-2</v>
      </c>
      <c r="V2649" s="845">
        <v>6.4000000000000001E-2</v>
      </c>
      <c r="W2649" s="845">
        <v>0.42928176795580109</v>
      </c>
      <c r="X2649" s="845">
        <v>0.62419562419562424</v>
      </c>
      <c r="Y2649" s="845">
        <v>0.85535006605019814</v>
      </c>
      <c r="Z2649" s="845">
        <v>2.5539409951563188E-2</v>
      </c>
      <c r="AA2649" s="845">
        <v>0</v>
      </c>
      <c r="AB2649" s="845">
        <v>7.2655217965653896E-3</v>
      </c>
      <c r="AC2649" s="845">
        <v>0</v>
      </c>
      <c r="AD2649" s="845">
        <v>2.3117569352708058E-2</v>
      </c>
      <c r="AE2649" s="845">
        <v>8.8727432848965213E-2</v>
      </c>
      <c r="AF2649" s="845">
        <v>8.7846763540290626E-2</v>
      </c>
      <c r="AG2649" s="845">
        <v>0.79392338177014532</v>
      </c>
      <c r="AH2649" s="20" t="str">
        <f t="shared" si="196"/>
        <v>No</v>
      </c>
      <c r="AI2649" s="25"/>
      <c r="AJ2649" s="25"/>
      <c r="AK2649" s="25"/>
      <c r="AL2649" s="25"/>
      <c r="AM2649" s="25"/>
      <c r="AN2649" s="25"/>
      <c r="AO2649" s="25"/>
      <c r="AP2649" s="25"/>
      <c r="AQ2649" s="25"/>
      <c r="AR2649" s="25"/>
      <c r="AS2649" s="25"/>
      <c r="AT2649" s="25"/>
      <c r="AU2649" s="36"/>
      <c r="AV2649" s="36"/>
      <c r="AW2649" s="36"/>
      <c r="AX2649" s="25"/>
      <c r="AY2649" s="25"/>
      <c r="AZ2649" s="25"/>
      <c r="BA2649" s="25"/>
      <c r="BB2649" s="25"/>
      <c r="BC2649" s="25"/>
      <c r="BD2649" s="25"/>
      <c r="BE2649" s="25"/>
      <c r="BF2649" s="25"/>
      <c r="BG2649" s="25"/>
      <c r="BH2649" s="25"/>
      <c r="BI2649" s="25"/>
      <c r="BJ2649" s="25"/>
      <c r="BK2649" s="25"/>
      <c r="BL2649" s="25"/>
      <c r="BM2649" s="25"/>
      <c r="BN2649" s="25"/>
      <c r="BO2649" s="25"/>
      <c r="BP2649" s="25"/>
      <c r="BQ2649" s="25"/>
      <c r="BR2649" s="25"/>
      <c r="BS2649" s="25"/>
      <c r="BT2649" s="25"/>
      <c r="BU2649"/>
      <c r="BV2649"/>
      <c r="BW2649"/>
      <c r="BX2649"/>
      <c r="BY2649"/>
      <c r="BZ2649"/>
      <c r="CA2649"/>
      <c r="CB2649"/>
      <c r="CC2649"/>
      <c r="CD2649" s="25"/>
    </row>
    <row r="2650" spans="1:82" s="17" customFormat="1" x14ac:dyDescent="0.2">
      <c r="A2650" s="25"/>
      <c r="B2650" s="20">
        <v>39029951000</v>
      </c>
      <c r="C2650" s="20">
        <v>9510</v>
      </c>
      <c r="D2650" s="20" t="s">
        <v>21</v>
      </c>
      <c r="E2650" s="20" t="s">
        <v>265</v>
      </c>
      <c r="F2650" s="20" t="s">
        <v>8</v>
      </c>
      <c r="G2650" s="861">
        <v>33.981566686714302</v>
      </c>
      <c r="H2650" s="861">
        <v>39.052116816742704</v>
      </c>
      <c r="I2650" s="861">
        <v>23.7391572150852</v>
      </c>
      <c r="J2650" s="861">
        <v>35.430790036523298</v>
      </c>
      <c r="K2650" s="982">
        <v>0</v>
      </c>
      <c r="L2650" s="735">
        <v>5650</v>
      </c>
      <c r="M2650" s="735">
        <v>5525</v>
      </c>
      <c r="N2650" s="845">
        <f t="shared" si="194"/>
        <v>-2.2123893805309734E-2</v>
      </c>
      <c r="O2650" s="735">
        <v>56.249182163233947</v>
      </c>
      <c r="P2650" s="735">
        <f t="shared" si="195"/>
        <v>98.223650327333928</v>
      </c>
      <c r="Q2650" s="849">
        <v>49.6</v>
      </c>
      <c r="R2650" s="71">
        <v>56500</v>
      </c>
      <c r="S2650" s="845">
        <v>0.1339366515837104</v>
      </c>
      <c r="T2650" s="845">
        <v>7.9000000000000001E-2</v>
      </c>
      <c r="U2650" s="845">
        <v>0</v>
      </c>
      <c r="V2650" s="845">
        <v>0</v>
      </c>
      <c r="W2650" s="845">
        <v>0.18563922942206654</v>
      </c>
      <c r="X2650" s="845">
        <v>0.24528301886792453</v>
      </c>
      <c r="Y2650" s="845">
        <v>0.95058823529411762</v>
      </c>
      <c r="Z2650" s="845">
        <v>0</v>
      </c>
      <c r="AA2650" s="845">
        <v>0</v>
      </c>
      <c r="AB2650" s="845">
        <v>4.1628959276018103E-3</v>
      </c>
      <c r="AC2650" s="845">
        <v>0</v>
      </c>
      <c r="AD2650" s="845">
        <v>5.9728506787330316E-3</v>
      </c>
      <c r="AE2650" s="845">
        <v>3.9276018099547512E-2</v>
      </c>
      <c r="AF2650" s="845">
        <v>7.2398190045248872E-3</v>
      </c>
      <c r="AG2650" s="845">
        <v>0.95058823529411762</v>
      </c>
      <c r="AH2650" s="20" t="str">
        <f t="shared" si="196"/>
        <v>Yes</v>
      </c>
      <c r="AI2650" s="25"/>
      <c r="AJ2650" s="25"/>
      <c r="AK2650" s="25"/>
      <c r="AL2650" s="25"/>
      <c r="AM2650" s="25"/>
      <c r="AN2650" s="25"/>
      <c r="AO2650" s="25"/>
      <c r="AP2650" s="25"/>
      <c r="AQ2650" s="25"/>
      <c r="AR2650" s="25"/>
      <c r="AS2650" s="25"/>
      <c r="AT2650" s="25"/>
      <c r="AU2650" s="36"/>
      <c r="AV2650" s="36"/>
      <c r="AW2650" s="36"/>
      <c r="AX2650" s="25"/>
      <c r="AY2650" s="25"/>
      <c r="AZ2650" s="25"/>
      <c r="BA2650" s="25"/>
      <c r="BB2650" s="25"/>
      <c r="BC2650" s="25"/>
      <c r="BD2650" s="25"/>
      <c r="BE2650" s="25"/>
      <c r="BF2650" s="25"/>
      <c r="BG2650" s="25"/>
      <c r="BH2650" s="25"/>
      <c r="BI2650" s="25"/>
      <c r="BJ2650" s="25"/>
      <c r="BK2650" s="25"/>
      <c r="BL2650" s="25"/>
      <c r="BM2650" s="25"/>
      <c r="BN2650" s="25"/>
      <c r="BO2650" s="25"/>
      <c r="BP2650" s="25"/>
      <c r="BQ2650" s="25"/>
      <c r="BR2650" s="25"/>
      <c r="BS2650" s="25"/>
      <c r="BT2650" s="25"/>
      <c r="BU2650"/>
      <c r="BV2650"/>
      <c r="BW2650"/>
      <c r="BX2650"/>
      <c r="BY2650"/>
      <c r="BZ2650"/>
      <c r="CA2650"/>
      <c r="CB2650"/>
      <c r="CC2650"/>
      <c r="CD2650" s="25"/>
    </row>
    <row r="2651" spans="1:82" s="17" customFormat="1" x14ac:dyDescent="0.2">
      <c r="A2651" s="25"/>
      <c r="B2651" s="20">
        <v>39009973700</v>
      </c>
      <c r="C2651" s="20">
        <v>9737</v>
      </c>
      <c r="D2651" s="20" t="s">
        <v>11</v>
      </c>
      <c r="E2651" s="20" t="s">
        <v>265</v>
      </c>
      <c r="F2651" s="20" t="s">
        <v>8</v>
      </c>
      <c r="G2651" s="861">
        <v>33.926911018617197</v>
      </c>
      <c r="H2651" s="861">
        <v>40.774062264555802</v>
      </c>
      <c r="I2651" s="861">
        <v>24.983750665719601</v>
      </c>
      <c r="J2651" s="861">
        <v>41.298028095198099</v>
      </c>
      <c r="K2651" s="982">
        <v>0</v>
      </c>
      <c r="L2651" s="735">
        <v>3759</v>
      </c>
      <c r="M2651" s="735">
        <v>4032</v>
      </c>
      <c r="N2651" s="845">
        <f t="shared" si="194"/>
        <v>7.2625698324022353E-2</v>
      </c>
      <c r="O2651" s="735">
        <v>94.054763440593561</v>
      </c>
      <c r="P2651" s="735">
        <f t="shared" si="195"/>
        <v>42.868642187874656</v>
      </c>
      <c r="Q2651" s="849">
        <v>41.2</v>
      </c>
      <c r="R2651" s="71">
        <v>72093</v>
      </c>
      <c r="S2651" s="845">
        <v>0.10446272749937671</v>
      </c>
      <c r="T2651" s="845">
        <v>3.5000000000000003E-2</v>
      </c>
      <c r="U2651" s="845">
        <v>0</v>
      </c>
      <c r="V2651" s="845">
        <v>0</v>
      </c>
      <c r="W2651" s="845">
        <v>0.10875331564986737</v>
      </c>
      <c r="X2651" s="845">
        <v>0.26219512195121952</v>
      </c>
      <c r="Y2651" s="845">
        <v>0.95064484126984128</v>
      </c>
      <c r="Z2651" s="845">
        <v>1.2648809523809524E-2</v>
      </c>
      <c r="AA2651" s="845">
        <v>0</v>
      </c>
      <c r="AB2651" s="845">
        <v>0</v>
      </c>
      <c r="AC2651" s="845">
        <v>0</v>
      </c>
      <c r="AD2651" s="845">
        <v>0</v>
      </c>
      <c r="AE2651" s="845">
        <v>3.6706349206349208E-2</v>
      </c>
      <c r="AF2651" s="845">
        <v>1.488095238095238E-2</v>
      </c>
      <c r="AG2651" s="845">
        <v>0.93923611111111116</v>
      </c>
      <c r="AH2651" s="20" t="str">
        <f t="shared" si="196"/>
        <v>Yes</v>
      </c>
      <c r="AI2651" s="25"/>
      <c r="AJ2651" s="25"/>
      <c r="AK2651" s="25"/>
      <c r="AL2651" s="25"/>
      <c r="AM2651" s="25"/>
      <c r="AN2651" s="25"/>
      <c r="AO2651" s="25"/>
      <c r="AP2651" s="25"/>
      <c r="AQ2651" s="25"/>
      <c r="AR2651" s="25"/>
      <c r="AS2651" s="25"/>
      <c r="AT2651" s="25"/>
      <c r="AU2651" s="36"/>
      <c r="AV2651" s="36"/>
      <c r="AW2651" s="36"/>
      <c r="AX2651" s="25"/>
      <c r="AY2651" s="25"/>
      <c r="AZ2651" s="25"/>
      <c r="BA2651" s="25"/>
      <c r="BB2651" s="25"/>
      <c r="BC2651" s="25"/>
      <c r="BD2651" s="25"/>
      <c r="BE2651" s="25"/>
      <c r="BF2651" s="25"/>
      <c r="BG2651" s="25"/>
      <c r="BH2651" s="25"/>
      <c r="BI2651" s="25"/>
      <c r="BJ2651" s="25"/>
      <c r="BK2651" s="25"/>
      <c r="BL2651" s="25"/>
      <c r="BM2651" s="25"/>
      <c r="BN2651" s="25"/>
      <c r="BO2651" s="25"/>
      <c r="BP2651" s="25"/>
      <c r="BQ2651" s="25"/>
      <c r="BR2651" s="25"/>
      <c r="BS2651" s="25"/>
      <c r="BT2651" s="25"/>
      <c r="BU2651"/>
      <c r="BV2651"/>
      <c r="BW2651"/>
      <c r="BX2651"/>
      <c r="BY2651"/>
      <c r="BZ2651"/>
      <c r="CA2651"/>
      <c r="CB2651"/>
      <c r="CC2651"/>
      <c r="CD2651" s="25"/>
    </row>
    <row r="2652" spans="1:82" s="17" customFormat="1" x14ac:dyDescent="0.2">
      <c r="A2652" s="25"/>
      <c r="B2652" s="20">
        <v>39151711001</v>
      </c>
      <c r="C2652" s="20">
        <v>7110.01</v>
      </c>
      <c r="D2652" s="20" t="s">
        <v>81</v>
      </c>
      <c r="E2652" s="20" t="s">
        <v>2844</v>
      </c>
      <c r="F2652" s="20" t="s">
        <v>8</v>
      </c>
      <c r="G2652" s="861">
        <v>33.926814586912897</v>
      </c>
      <c r="H2652" s="861">
        <v>35.916894123895503</v>
      </c>
      <c r="I2652" s="861">
        <v>31.128756573871001</v>
      </c>
      <c r="J2652" s="861">
        <v>27.816524613530301</v>
      </c>
      <c r="K2652" s="982">
        <v>0</v>
      </c>
      <c r="L2652" s="735" t="s">
        <v>2466</v>
      </c>
      <c r="M2652" s="735">
        <v>3886</v>
      </c>
      <c r="N2652" s="845" t="str">
        <f t="shared" si="194"/>
        <v/>
      </c>
      <c r="O2652" s="735">
        <v>5.926466202966469</v>
      </c>
      <c r="P2652" s="735">
        <f t="shared" si="195"/>
        <v>655.70271843529258</v>
      </c>
      <c r="Q2652" s="849">
        <v>48.7</v>
      </c>
      <c r="R2652" s="71">
        <v>66367</v>
      </c>
      <c r="S2652" s="845">
        <v>6.4763415278879202E-2</v>
      </c>
      <c r="T2652" s="845">
        <v>4.7E-2</v>
      </c>
      <c r="U2652" s="845">
        <v>0</v>
      </c>
      <c r="V2652" s="845">
        <v>0</v>
      </c>
      <c r="W2652" s="845">
        <v>0.29391504018369691</v>
      </c>
      <c r="X2652" s="845">
        <v>0.5859375</v>
      </c>
      <c r="Y2652" s="845">
        <v>0.89706639217704576</v>
      </c>
      <c r="Z2652" s="845">
        <v>3.6284096757591353E-2</v>
      </c>
      <c r="AA2652" s="845">
        <v>1.0293360782295419E-2</v>
      </c>
      <c r="AB2652" s="845">
        <v>1.7498713329902212E-2</v>
      </c>
      <c r="AC2652" s="845">
        <v>0</v>
      </c>
      <c r="AD2652" s="845">
        <v>0</v>
      </c>
      <c r="AE2652" s="845">
        <v>3.8857436953165209E-2</v>
      </c>
      <c r="AF2652" s="845">
        <v>2.9850746268656716E-2</v>
      </c>
      <c r="AG2652" s="845">
        <v>0.8947503860010293</v>
      </c>
      <c r="AH2652" s="20" t="str">
        <f t="shared" si="196"/>
        <v>No</v>
      </c>
      <c r="AI2652" s="25"/>
      <c r="AJ2652" s="25"/>
      <c r="AK2652" s="25"/>
      <c r="AL2652" s="25"/>
      <c r="AM2652" s="25"/>
      <c r="AN2652" s="25"/>
      <c r="AO2652" s="25"/>
      <c r="AP2652" s="25"/>
      <c r="AQ2652" s="25"/>
      <c r="AR2652" s="25"/>
      <c r="AS2652" s="25"/>
      <c r="AT2652" s="25"/>
      <c r="AU2652" s="36"/>
      <c r="AV2652" s="36"/>
      <c r="AW2652" s="36"/>
      <c r="AX2652" s="25"/>
      <c r="AY2652" s="25"/>
      <c r="AZ2652" s="25"/>
      <c r="BA2652" s="25"/>
      <c r="BB2652" s="25"/>
      <c r="BC2652" s="25"/>
      <c r="BD2652" s="25"/>
      <c r="BE2652" s="25"/>
      <c r="BF2652" s="25"/>
      <c r="BG2652" s="25"/>
      <c r="BH2652" s="25"/>
      <c r="BI2652" s="25"/>
      <c r="BJ2652" s="25"/>
      <c r="BK2652" s="25"/>
      <c r="BL2652" s="25"/>
      <c r="BM2652" s="25"/>
      <c r="BN2652" s="25"/>
      <c r="BO2652" s="25"/>
      <c r="BP2652" s="25"/>
      <c r="BQ2652" s="25"/>
      <c r="BR2652" s="25"/>
      <c r="BS2652" s="25"/>
      <c r="BT2652" s="25"/>
      <c r="BU2652"/>
      <c r="BV2652"/>
      <c r="BW2652"/>
      <c r="BX2652"/>
      <c r="BY2652"/>
      <c r="BZ2652"/>
      <c r="CA2652"/>
      <c r="CB2652"/>
      <c r="CC2652"/>
      <c r="CD2652" s="25"/>
    </row>
    <row r="2653" spans="1:82" s="17" customFormat="1" x14ac:dyDescent="0.2">
      <c r="A2653" s="25"/>
      <c r="B2653" s="20">
        <v>39019720300</v>
      </c>
      <c r="C2653" s="20">
        <v>7203</v>
      </c>
      <c r="D2653" s="20" t="s">
        <v>16</v>
      </c>
      <c r="E2653" s="20" t="s">
        <v>2844</v>
      </c>
      <c r="F2653" s="20" t="s">
        <v>8</v>
      </c>
      <c r="G2653" s="861">
        <v>33.880310710300698</v>
      </c>
      <c r="H2653" s="861">
        <v>34.716973891678599</v>
      </c>
      <c r="I2653" s="861">
        <v>35.540232702852698</v>
      </c>
      <c r="J2653" s="861">
        <v>36.805190040466798</v>
      </c>
      <c r="K2653" s="982">
        <v>0</v>
      </c>
      <c r="L2653" s="735">
        <v>5178</v>
      </c>
      <c r="M2653" s="735">
        <v>4887</v>
      </c>
      <c r="N2653" s="845">
        <f t="shared" si="194"/>
        <v>-5.619930475086906E-2</v>
      </c>
      <c r="O2653" s="735">
        <v>32.536569830044513</v>
      </c>
      <c r="P2653" s="735">
        <f t="shared" si="195"/>
        <v>150.20022164374893</v>
      </c>
      <c r="Q2653" s="849">
        <v>54</v>
      </c>
      <c r="R2653" s="71">
        <v>53636</v>
      </c>
      <c r="S2653" s="845">
        <v>0.15156611309648937</v>
      </c>
      <c r="T2653" s="845">
        <v>3.6000000000000004E-2</v>
      </c>
      <c r="U2653" s="845">
        <v>0</v>
      </c>
      <c r="V2653" s="845">
        <v>1.2E-2</v>
      </c>
      <c r="W2653" s="845">
        <v>0.29202772963604851</v>
      </c>
      <c r="X2653" s="845">
        <v>0.40059347181008903</v>
      </c>
      <c r="Y2653" s="845">
        <v>0.93799877225291595</v>
      </c>
      <c r="Z2653" s="845">
        <v>2.55780642520974E-2</v>
      </c>
      <c r="AA2653" s="845">
        <v>0</v>
      </c>
      <c r="AB2653" s="845">
        <v>0</v>
      </c>
      <c r="AC2653" s="845">
        <v>0</v>
      </c>
      <c r="AD2653" s="845">
        <v>1.5756087579291998E-2</v>
      </c>
      <c r="AE2653" s="845">
        <v>2.0667075915694701E-2</v>
      </c>
      <c r="AF2653" s="845">
        <v>2.0462451401677922E-3</v>
      </c>
      <c r="AG2653" s="845">
        <v>0.93656640065479846</v>
      </c>
      <c r="AH2653" s="20" t="str">
        <f t="shared" si="196"/>
        <v>Yes</v>
      </c>
      <c r="AI2653" s="25"/>
      <c r="AJ2653" s="25"/>
      <c r="AK2653" s="25"/>
      <c r="AL2653" s="25"/>
      <c r="AM2653" s="25"/>
      <c r="AN2653" s="25"/>
      <c r="AO2653" s="25"/>
      <c r="AP2653" s="25"/>
      <c r="AQ2653" s="25"/>
      <c r="AR2653" s="25"/>
      <c r="AS2653" s="25"/>
      <c r="AT2653" s="25"/>
      <c r="AU2653" s="36"/>
      <c r="AV2653" s="36"/>
      <c r="AW2653" s="36"/>
      <c r="AX2653" s="25"/>
      <c r="AY2653" s="25"/>
      <c r="AZ2653" s="25"/>
      <c r="BA2653" s="25"/>
      <c r="BB2653" s="25"/>
      <c r="BC2653" s="25"/>
      <c r="BD2653" s="25"/>
      <c r="BE2653" s="25"/>
      <c r="BF2653" s="25"/>
      <c r="BG2653" s="25"/>
      <c r="BH2653" s="25"/>
      <c r="BI2653" s="25"/>
      <c r="BJ2653" s="25"/>
      <c r="BK2653" s="25"/>
      <c r="BL2653" s="25"/>
      <c r="BM2653" s="25"/>
      <c r="BN2653" s="25"/>
      <c r="BO2653" s="25"/>
      <c r="BP2653" s="25"/>
      <c r="BQ2653" s="25"/>
      <c r="BR2653" s="25"/>
      <c r="BS2653" s="25"/>
      <c r="BT2653" s="25"/>
      <c r="BU2653"/>
      <c r="BV2653"/>
      <c r="BW2653"/>
      <c r="BX2653"/>
      <c r="BY2653"/>
      <c r="BZ2653"/>
      <c r="CA2653"/>
      <c r="CB2653"/>
      <c r="CC2653"/>
      <c r="CD2653" s="25"/>
    </row>
    <row r="2654" spans="1:82" s="17" customFormat="1" x14ac:dyDescent="0.2">
      <c r="A2654" s="25"/>
      <c r="B2654" s="20">
        <v>39089754104</v>
      </c>
      <c r="C2654" s="20">
        <v>7541.04</v>
      </c>
      <c r="D2654" s="20" t="s">
        <v>50</v>
      </c>
      <c r="E2654" s="20" t="s">
        <v>2830</v>
      </c>
      <c r="F2654" s="20" t="s">
        <v>6</v>
      </c>
      <c r="G2654" s="861">
        <v>33.867169318926898</v>
      </c>
      <c r="H2654" s="861">
        <v>33.005167410314201</v>
      </c>
      <c r="I2654" s="861">
        <v>35.688952222928499</v>
      </c>
      <c r="J2654" s="861">
        <v>25.082531233290499</v>
      </c>
      <c r="K2654" s="982">
        <v>0</v>
      </c>
      <c r="L2654" s="735" t="s">
        <v>2466</v>
      </c>
      <c r="M2654" s="735">
        <v>4936</v>
      </c>
      <c r="N2654" s="845" t="str">
        <f t="shared" si="194"/>
        <v/>
      </c>
      <c r="O2654" s="735">
        <v>1.7725378669788565</v>
      </c>
      <c r="P2654" s="735">
        <f t="shared" si="195"/>
        <v>2784.7077864762359</v>
      </c>
      <c r="Q2654" s="849">
        <v>43.8</v>
      </c>
      <c r="R2654" s="71">
        <v>45436</v>
      </c>
      <c r="S2654" s="845">
        <v>0.13392857142857142</v>
      </c>
      <c r="T2654" s="845">
        <v>1.3000000000000001E-2</v>
      </c>
      <c r="U2654" s="845">
        <v>0</v>
      </c>
      <c r="V2654" s="845">
        <v>0</v>
      </c>
      <c r="W2654" s="845">
        <v>0.60785824345146378</v>
      </c>
      <c r="X2654" s="845">
        <v>0.38086185044359949</v>
      </c>
      <c r="Y2654" s="845">
        <v>0.91166936790923825</v>
      </c>
      <c r="Z2654" s="845">
        <v>2.1677471636952998E-2</v>
      </c>
      <c r="AA2654" s="845">
        <v>0</v>
      </c>
      <c r="AB2654" s="845">
        <v>1.8030794165316045E-2</v>
      </c>
      <c r="AC2654" s="845">
        <v>0</v>
      </c>
      <c r="AD2654" s="845">
        <v>1.1750405186385737E-2</v>
      </c>
      <c r="AE2654" s="845">
        <v>3.687196110210697E-2</v>
      </c>
      <c r="AF2654" s="845">
        <v>0</v>
      </c>
      <c r="AG2654" s="845">
        <v>0.91166936790923825</v>
      </c>
      <c r="AH2654" s="20" t="str">
        <f t="shared" si="196"/>
        <v>Yes</v>
      </c>
      <c r="AI2654" s="25"/>
      <c r="AJ2654" s="25"/>
      <c r="AK2654" s="25"/>
      <c r="AL2654" s="25"/>
      <c r="AM2654" s="25"/>
      <c r="AN2654" s="25"/>
      <c r="AO2654" s="25"/>
      <c r="AP2654" s="25"/>
      <c r="AQ2654" s="25"/>
      <c r="AR2654" s="25"/>
      <c r="AS2654" s="25"/>
      <c r="AT2654" s="25"/>
      <c r="AU2654" s="36"/>
      <c r="AV2654" s="36"/>
      <c r="AW2654" s="36"/>
      <c r="AX2654" s="25"/>
      <c r="AY2654" s="25"/>
      <c r="AZ2654" s="25"/>
      <c r="BA2654" s="25"/>
      <c r="BB2654" s="25"/>
      <c r="BC2654" s="25"/>
      <c r="BD2654" s="25"/>
      <c r="BE2654" s="25"/>
      <c r="BF2654" s="25"/>
      <c r="BG2654" s="25"/>
      <c r="BH2654" s="25"/>
      <c r="BI2654" s="25"/>
      <c r="BJ2654" s="25"/>
      <c r="BK2654" s="25"/>
      <c r="BL2654" s="25"/>
      <c r="BM2654" s="25"/>
      <c r="BN2654" s="25"/>
      <c r="BO2654" s="25"/>
      <c r="BP2654" s="25"/>
      <c r="BQ2654" s="25"/>
      <c r="BR2654" s="25"/>
      <c r="BS2654" s="25"/>
      <c r="BT2654" s="25"/>
      <c r="BU2654"/>
      <c r="BV2654"/>
      <c r="BW2654"/>
      <c r="BX2654"/>
      <c r="BY2654"/>
      <c r="BZ2654"/>
      <c r="CA2654"/>
      <c r="CB2654"/>
      <c r="CC2654"/>
      <c r="CD2654" s="25"/>
    </row>
    <row r="2655" spans="1:82" s="17" customFormat="1" x14ac:dyDescent="0.2">
      <c r="A2655" s="25"/>
      <c r="B2655" s="20">
        <v>39139001400</v>
      </c>
      <c r="C2655" s="20">
        <v>14</v>
      </c>
      <c r="D2655" s="20" t="s">
        <v>75</v>
      </c>
      <c r="E2655" s="20" t="s">
        <v>2836</v>
      </c>
      <c r="F2655" s="20" t="s">
        <v>8</v>
      </c>
      <c r="G2655" s="861">
        <v>33.818321792715501</v>
      </c>
      <c r="H2655" s="861">
        <v>38.395944655685803</v>
      </c>
      <c r="I2655" s="861">
        <v>27.937987752725899</v>
      </c>
      <c r="J2655" s="861">
        <v>39.635489748927398</v>
      </c>
      <c r="K2655" s="982">
        <v>0</v>
      </c>
      <c r="L2655" s="735">
        <v>2032</v>
      </c>
      <c r="M2655" s="735">
        <v>2340</v>
      </c>
      <c r="N2655" s="845">
        <f t="shared" si="194"/>
        <v>0.15157480314960631</v>
      </c>
      <c r="O2655" s="735">
        <v>1.866157601781423</v>
      </c>
      <c r="P2655" s="735">
        <f t="shared" si="195"/>
        <v>1253.9133874685879</v>
      </c>
      <c r="Q2655" s="849">
        <v>37.5</v>
      </c>
      <c r="R2655" s="71">
        <v>43312</v>
      </c>
      <c r="S2655" s="845">
        <v>0.12735042735042734</v>
      </c>
      <c r="T2655" s="845">
        <v>9.0999999999999998E-2</v>
      </c>
      <c r="U2655" s="845">
        <v>0</v>
      </c>
      <c r="V2655" s="845">
        <v>0.105</v>
      </c>
      <c r="W2655" s="845">
        <v>0.50390286209887247</v>
      </c>
      <c r="X2655" s="845">
        <v>0.19277108433734941</v>
      </c>
      <c r="Y2655" s="845">
        <v>0.84786324786324785</v>
      </c>
      <c r="Z2655" s="845">
        <v>7.7350427350427353E-2</v>
      </c>
      <c r="AA2655" s="845">
        <v>0</v>
      </c>
      <c r="AB2655" s="845">
        <v>2.8632478632478631E-2</v>
      </c>
      <c r="AC2655" s="845">
        <v>0</v>
      </c>
      <c r="AD2655" s="845">
        <v>2.0512820512820513E-2</v>
      </c>
      <c r="AE2655" s="845">
        <v>2.564102564102564E-2</v>
      </c>
      <c r="AF2655" s="845">
        <v>2.9059829059829061E-2</v>
      </c>
      <c r="AG2655" s="845">
        <v>0.83504273504273507</v>
      </c>
      <c r="AH2655" s="20" t="str">
        <f t="shared" si="196"/>
        <v>No</v>
      </c>
      <c r="AI2655" s="25"/>
      <c r="AJ2655" s="25"/>
      <c r="AK2655" s="25"/>
      <c r="AL2655" s="25"/>
      <c r="AM2655" s="25"/>
      <c r="AN2655" s="25"/>
      <c r="AO2655" s="25"/>
      <c r="AP2655" s="25"/>
      <c r="AQ2655" s="25"/>
      <c r="AR2655" s="25"/>
      <c r="AS2655" s="25"/>
      <c r="AT2655" s="25"/>
      <c r="AU2655" s="36"/>
      <c r="AV2655" s="36"/>
      <c r="AW2655" s="36"/>
      <c r="AX2655" s="25"/>
      <c r="AY2655" s="25"/>
      <c r="AZ2655" s="25"/>
      <c r="BA2655" s="25"/>
      <c r="BB2655" s="25"/>
      <c r="BC2655" s="25"/>
      <c r="BD2655" s="25"/>
      <c r="BE2655" s="25"/>
      <c r="BF2655" s="25"/>
      <c r="BG2655" s="25"/>
      <c r="BH2655" s="25"/>
      <c r="BI2655" s="25"/>
      <c r="BJ2655" s="25"/>
      <c r="BK2655" s="25"/>
      <c r="BL2655" s="25"/>
      <c r="BM2655" s="25"/>
      <c r="BN2655" s="25"/>
      <c r="BO2655" s="25"/>
      <c r="BP2655" s="25"/>
      <c r="BQ2655" s="25"/>
      <c r="BR2655" s="25"/>
      <c r="BS2655" s="25"/>
      <c r="BT2655" s="25"/>
      <c r="BU2655"/>
      <c r="BV2655"/>
      <c r="BW2655"/>
      <c r="BX2655"/>
      <c r="BY2655"/>
      <c r="BZ2655"/>
      <c r="CA2655"/>
      <c r="CB2655"/>
      <c r="CC2655"/>
      <c r="CD2655" s="25"/>
    </row>
    <row r="2656" spans="1:82" s="17" customFormat="1" x14ac:dyDescent="0.2">
      <c r="A2656" s="25"/>
      <c r="B2656" s="20">
        <v>39093023000</v>
      </c>
      <c r="C2656" s="20">
        <v>230</v>
      </c>
      <c r="D2656" s="20" t="s">
        <v>52</v>
      </c>
      <c r="E2656" s="20" t="s">
        <v>2829</v>
      </c>
      <c r="F2656" s="20" t="s">
        <v>8</v>
      </c>
      <c r="G2656" s="861">
        <v>33.795723285902604</v>
      </c>
      <c r="H2656" s="861">
        <v>27.761955513796099</v>
      </c>
      <c r="I2656" s="861">
        <v>43.953318898320802</v>
      </c>
      <c r="J2656" s="861">
        <v>48.522808051157298</v>
      </c>
      <c r="K2656" s="982">
        <v>0</v>
      </c>
      <c r="L2656" s="735">
        <v>5331</v>
      </c>
      <c r="M2656" s="735">
        <v>4972</v>
      </c>
      <c r="N2656" s="845">
        <f t="shared" si="194"/>
        <v>-6.7341962108422429E-2</v>
      </c>
      <c r="O2656" s="735">
        <v>2.051010573944295</v>
      </c>
      <c r="P2656" s="735">
        <f t="shared" si="195"/>
        <v>2424.1708273782106</v>
      </c>
      <c r="Q2656" s="849">
        <v>43.2</v>
      </c>
      <c r="R2656" s="71">
        <v>53006</v>
      </c>
      <c r="S2656" s="845">
        <v>0.21178600160901045</v>
      </c>
      <c r="T2656" s="845">
        <v>8.6999999999999994E-2</v>
      </c>
      <c r="U2656" s="845">
        <v>0</v>
      </c>
      <c r="V2656" s="845">
        <v>0.17399999999999999</v>
      </c>
      <c r="W2656" s="845">
        <v>0.37576064908722112</v>
      </c>
      <c r="X2656" s="845">
        <v>0.55465587044534415</v>
      </c>
      <c r="Y2656" s="845">
        <v>0.66733708769107003</v>
      </c>
      <c r="Z2656" s="845">
        <v>0.17357200321802091</v>
      </c>
      <c r="AA2656" s="845">
        <v>0</v>
      </c>
      <c r="AB2656" s="845">
        <v>0</v>
      </c>
      <c r="AC2656" s="845">
        <v>0</v>
      </c>
      <c r="AD2656" s="845">
        <v>7.9847144006436041E-2</v>
      </c>
      <c r="AE2656" s="845">
        <v>7.9243765084473047E-2</v>
      </c>
      <c r="AF2656" s="845">
        <v>0.17216411906677392</v>
      </c>
      <c r="AG2656" s="845">
        <v>0.59111021721641188</v>
      </c>
      <c r="AH2656" s="20" t="str">
        <f t="shared" si="196"/>
        <v>No</v>
      </c>
      <c r="AI2656" s="25"/>
      <c r="AJ2656" s="25"/>
      <c r="AK2656" s="25"/>
      <c r="AL2656" s="25"/>
      <c r="AM2656" s="25"/>
      <c r="AN2656" s="25"/>
      <c r="AO2656" s="25"/>
      <c r="AP2656" s="25"/>
      <c r="AQ2656" s="25"/>
      <c r="AR2656" s="25"/>
      <c r="AS2656" s="25"/>
      <c r="AT2656" s="25"/>
      <c r="AU2656" s="36"/>
      <c r="AV2656" s="36"/>
      <c r="AW2656" s="36"/>
      <c r="AX2656" s="25"/>
      <c r="AY2656" s="25"/>
      <c r="AZ2656" s="25"/>
      <c r="BA2656" s="25"/>
      <c r="BB2656" s="25"/>
      <c r="BC2656" s="25"/>
      <c r="BD2656" s="25"/>
      <c r="BE2656" s="25"/>
      <c r="BF2656" s="25"/>
      <c r="BG2656" s="25"/>
      <c r="BH2656" s="25"/>
      <c r="BI2656" s="25"/>
      <c r="BJ2656" s="25"/>
      <c r="BK2656" s="25"/>
      <c r="BL2656" s="25"/>
      <c r="BM2656" s="25"/>
      <c r="BN2656" s="25"/>
      <c r="BO2656" s="25"/>
      <c r="BP2656" s="25"/>
      <c r="BQ2656" s="25"/>
      <c r="BR2656" s="25"/>
      <c r="BS2656" s="25"/>
      <c r="BT2656" s="25"/>
      <c r="BU2656"/>
      <c r="BV2656"/>
      <c r="BW2656"/>
      <c r="BX2656"/>
      <c r="BY2656"/>
      <c r="BZ2656"/>
      <c r="CA2656"/>
      <c r="CB2656"/>
      <c r="CC2656"/>
      <c r="CD2656" s="25"/>
    </row>
    <row r="2657" spans="1:82" s="17" customFormat="1" x14ac:dyDescent="0.2">
      <c r="A2657" s="25"/>
      <c r="B2657" s="20">
        <v>39035199100</v>
      </c>
      <c r="C2657" s="20">
        <v>1991</v>
      </c>
      <c r="D2657" s="20" t="s">
        <v>24</v>
      </c>
      <c r="E2657" s="20" t="s">
        <v>2829</v>
      </c>
      <c r="F2657" s="20" t="s">
        <v>6</v>
      </c>
      <c r="G2657" s="861">
        <v>33.7611864806751</v>
      </c>
      <c r="H2657" s="861">
        <v>50.409618946621698</v>
      </c>
      <c r="I2657" s="861">
        <v>76.174866138577698</v>
      </c>
      <c r="J2657" s="861">
        <v>38.869860114429599</v>
      </c>
      <c r="K2657" s="982">
        <v>0</v>
      </c>
      <c r="L2657" s="735" t="s">
        <v>2466</v>
      </c>
      <c r="M2657" s="735">
        <v>1891</v>
      </c>
      <c r="N2657" s="845" t="str">
        <f t="shared" si="194"/>
        <v/>
      </c>
      <c r="O2657" s="735">
        <v>0.3246119149172465</v>
      </c>
      <c r="P2657" s="735">
        <f t="shared" si="195"/>
        <v>5825.4177160504833</v>
      </c>
      <c r="Q2657" s="849">
        <v>43.9</v>
      </c>
      <c r="R2657" s="71">
        <v>36645</v>
      </c>
      <c r="S2657" s="845">
        <v>0.15484968803176405</v>
      </c>
      <c r="T2657" s="845">
        <v>9.8000000000000004E-2</v>
      </c>
      <c r="U2657" s="845">
        <v>0</v>
      </c>
      <c r="V2657" s="845">
        <v>0.122</v>
      </c>
      <c r="W2657" s="845">
        <v>0.39858490566037735</v>
      </c>
      <c r="X2657" s="845">
        <v>0.65384615384615385</v>
      </c>
      <c r="Y2657" s="845">
        <v>4.0190375462718142E-2</v>
      </c>
      <c r="Z2657" s="845">
        <v>0.90058170280274985</v>
      </c>
      <c r="AA2657" s="845">
        <v>2.6441036488630354E-3</v>
      </c>
      <c r="AB2657" s="845">
        <v>1.7451084082496033E-2</v>
      </c>
      <c r="AC2657" s="845">
        <v>0</v>
      </c>
      <c r="AD2657" s="845">
        <v>1.0047593865679535E-2</v>
      </c>
      <c r="AE2657" s="845">
        <v>2.9085140137493391E-2</v>
      </c>
      <c r="AF2657" s="845">
        <v>2.5912215758857746E-2</v>
      </c>
      <c r="AG2657" s="845">
        <v>3.5959809624537285E-2</v>
      </c>
      <c r="AH2657" s="20" t="str">
        <f t="shared" si="196"/>
        <v>No</v>
      </c>
      <c r="AI2657" s="25"/>
      <c r="AJ2657" s="25"/>
      <c r="AK2657" s="25"/>
      <c r="AL2657" s="25"/>
      <c r="AM2657" s="25"/>
      <c r="AN2657" s="25"/>
      <c r="AO2657" s="25"/>
      <c r="AP2657" s="25"/>
      <c r="AQ2657" s="25"/>
      <c r="AR2657" s="25"/>
      <c r="AS2657" s="25"/>
      <c r="AT2657" s="25"/>
      <c r="AU2657" s="36"/>
      <c r="AV2657" s="36"/>
      <c r="AW2657" s="36"/>
      <c r="AX2657" s="25"/>
      <c r="AY2657" s="25"/>
      <c r="AZ2657" s="25"/>
      <c r="BA2657" s="25"/>
      <c r="BB2657" s="25"/>
      <c r="BC2657" s="25"/>
      <c r="BD2657" s="25"/>
      <c r="BE2657" s="25"/>
      <c r="BF2657" s="25"/>
      <c r="BG2657" s="25"/>
      <c r="BH2657" s="25"/>
      <c r="BI2657" s="25"/>
      <c r="BJ2657" s="25"/>
      <c r="BK2657" s="25"/>
      <c r="BL2657" s="25"/>
      <c r="BM2657" s="25"/>
      <c r="BN2657" s="25"/>
      <c r="BO2657" s="25"/>
      <c r="BP2657" s="25"/>
      <c r="BQ2657" s="25"/>
      <c r="BR2657" s="25"/>
      <c r="BS2657" s="25"/>
      <c r="BT2657" s="25"/>
      <c r="BU2657"/>
      <c r="BV2657"/>
      <c r="BW2657"/>
      <c r="BX2657"/>
      <c r="BY2657"/>
      <c r="BZ2657"/>
      <c r="CA2657"/>
      <c r="CB2657"/>
      <c r="CC2657"/>
      <c r="CD2657" s="25"/>
    </row>
    <row r="2658" spans="1:82" s="17" customFormat="1" x14ac:dyDescent="0.2">
      <c r="A2658" s="25"/>
      <c r="B2658" s="20">
        <v>39061009600</v>
      </c>
      <c r="C2658" s="20">
        <v>96</v>
      </c>
      <c r="D2658" s="20" t="s">
        <v>37</v>
      </c>
      <c r="E2658" s="20" t="s">
        <v>2828</v>
      </c>
      <c r="F2658" s="20" t="s">
        <v>6</v>
      </c>
      <c r="G2658" s="861">
        <v>33.682723026903801</v>
      </c>
      <c r="H2658" s="861">
        <v>43.300831724427802</v>
      </c>
      <c r="I2658" s="861">
        <v>36.544305092869699</v>
      </c>
      <c r="J2658" s="861">
        <v>36.890337756911698</v>
      </c>
      <c r="K2658" s="982">
        <v>0</v>
      </c>
      <c r="L2658" s="735">
        <v>3982</v>
      </c>
      <c r="M2658" s="735">
        <v>4166</v>
      </c>
      <c r="N2658" s="845">
        <f t="shared" si="194"/>
        <v>4.6207935710698145E-2</v>
      </c>
      <c r="O2658" s="735">
        <v>0.94684527335532831</v>
      </c>
      <c r="P2658" s="735">
        <f t="shared" si="195"/>
        <v>4399.8741053403346</v>
      </c>
      <c r="Q2658" s="849">
        <v>39.5</v>
      </c>
      <c r="R2658" s="71">
        <v>34879</v>
      </c>
      <c r="S2658" s="845">
        <v>0.35623041696794411</v>
      </c>
      <c r="T2658" s="845">
        <v>3.1E-2</v>
      </c>
      <c r="U2658" s="845">
        <v>0</v>
      </c>
      <c r="V2658" s="845">
        <v>0.109</v>
      </c>
      <c r="W2658" s="845">
        <v>0.4838024429102496</v>
      </c>
      <c r="X2658" s="845">
        <v>0.30954994511525796</v>
      </c>
      <c r="Y2658" s="845">
        <v>0.52880460873739799</v>
      </c>
      <c r="Z2658" s="845">
        <v>0.27652424387902064</v>
      </c>
      <c r="AA2658" s="845">
        <v>1.8482957273163705E-2</v>
      </c>
      <c r="AB2658" s="845">
        <v>2.400384061449832E-3</v>
      </c>
      <c r="AC2658" s="845">
        <v>0</v>
      </c>
      <c r="AD2658" s="845">
        <v>0.1044167066730677</v>
      </c>
      <c r="AE2658" s="845">
        <v>6.937109937590015E-2</v>
      </c>
      <c r="AF2658" s="845">
        <v>1.8482957273163705E-2</v>
      </c>
      <c r="AG2658" s="845">
        <v>0.52880460873739799</v>
      </c>
      <c r="AH2658" s="20" t="str">
        <f t="shared" si="196"/>
        <v>No</v>
      </c>
      <c r="AI2658" s="25"/>
      <c r="AJ2658" s="25"/>
      <c r="AK2658" s="25"/>
      <c r="AL2658" s="25"/>
      <c r="AM2658" s="25"/>
      <c r="AN2658" s="25"/>
      <c r="AO2658" s="25"/>
      <c r="AP2658" s="25"/>
      <c r="AQ2658" s="25"/>
      <c r="AR2658" s="25"/>
      <c r="AS2658" s="25"/>
      <c r="AT2658" s="25"/>
      <c r="AU2658" s="36"/>
      <c r="AV2658" s="36"/>
      <c r="AW2658" s="36"/>
      <c r="AX2658" s="25"/>
      <c r="AY2658" s="25"/>
      <c r="AZ2658" s="25"/>
      <c r="BA2658" s="25"/>
      <c r="BB2658" s="25"/>
      <c r="BC2658" s="25"/>
      <c r="BD2658" s="25"/>
      <c r="BE2658" s="25"/>
      <c r="BF2658" s="25"/>
      <c r="BG2658" s="25"/>
      <c r="BH2658" s="25"/>
      <c r="BI2658" s="25"/>
      <c r="BJ2658" s="25"/>
      <c r="BK2658" s="25"/>
      <c r="BL2658" s="25"/>
      <c r="BM2658" s="25"/>
      <c r="BN2658" s="25"/>
      <c r="BO2658" s="25"/>
      <c r="BP2658" s="25"/>
      <c r="BQ2658" s="25"/>
      <c r="BR2658" s="25"/>
      <c r="BS2658" s="25"/>
      <c r="BT2658" s="25"/>
      <c r="BU2658"/>
      <c r="BV2658"/>
      <c r="BW2658"/>
      <c r="BX2658"/>
      <c r="BY2658"/>
      <c r="BZ2658"/>
      <c r="CA2658"/>
      <c r="CB2658"/>
      <c r="CC2658"/>
      <c r="CD2658" s="25"/>
    </row>
    <row r="2659" spans="1:82" s="17" customFormat="1" x14ac:dyDescent="0.2">
      <c r="A2659" s="25"/>
      <c r="B2659" s="20">
        <v>39141956000</v>
      </c>
      <c r="C2659" s="20">
        <v>9560</v>
      </c>
      <c r="D2659" s="20" t="s">
        <v>76</v>
      </c>
      <c r="E2659" s="20" t="s">
        <v>265</v>
      </c>
      <c r="F2659" s="20" t="s">
        <v>8</v>
      </c>
      <c r="G2659" s="861">
        <v>33.675998270028401</v>
      </c>
      <c r="H2659" s="861">
        <v>46.085582887586</v>
      </c>
      <c r="I2659" s="861">
        <v>33.195435771042398</v>
      </c>
      <c r="J2659" s="861">
        <v>38.533321000794402</v>
      </c>
      <c r="K2659" s="982">
        <v>1</v>
      </c>
      <c r="L2659" s="735">
        <v>5145</v>
      </c>
      <c r="M2659" s="735">
        <v>6071</v>
      </c>
      <c r="N2659" s="845">
        <f t="shared" si="194"/>
        <v>0.17998056365403303</v>
      </c>
      <c r="O2659" s="735">
        <v>4.162285131108189</v>
      </c>
      <c r="P2659" s="735">
        <f t="shared" si="195"/>
        <v>1458.5737903024497</v>
      </c>
      <c r="Q2659" s="849">
        <v>38.1</v>
      </c>
      <c r="R2659" s="71">
        <v>60083</v>
      </c>
      <c r="S2659" s="845">
        <v>0.3301475519785379</v>
      </c>
      <c r="T2659" s="845">
        <v>4.0999999999999995E-2</v>
      </c>
      <c r="U2659" s="845">
        <v>0</v>
      </c>
      <c r="V2659" s="845">
        <v>0</v>
      </c>
      <c r="W2659" s="845">
        <v>0.41922563417890518</v>
      </c>
      <c r="X2659" s="845">
        <v>0.52653927813163481</v>
      </c>
      <c r="Y2659" s="845">
        <v>0.84170647339812221</v>
      </c>
      <c r="Z2659" s="845">
        <v>4.7932795256135724E-2</v>
      </c>
      <c r="AA2659" s="845">
        <v>5.9298303409652444E-3</v>
      </c>
      <c r="AB2659" s="845">
        <v>4.9415252841377042E-3</v>
      </c>
      <c r="AC2659" s="845">
        <v>0</v>
      </c>
      <c r="AD2659" s="845">
        <v>3.129632679953879E-3</v>
      </c>
      <c r="AE2659" s="845">
        <v>9.6359743040685231E-2</v>
      </c>
      <c r="AF2659" s="845">
        <v>6.7534178883215286E-3</v>
      </c>
      <c r="AG2659" s="845">
        <v>0.83956514577499586</v>
      </c>
      <c r="AH2659" s="20" t="str">
        <f t="shared" si="196"/>
        <v>No</v>
      </c>
      <c r="AI2659" s="25"/>
      <c r="AJ2659" s="25"/>
      <c r="AK2659" s="25"/>
      <c r="AL2659" s="25"/>
      <c r="AM2659" s="25"/>
      <c r="AN2659" s="25"/>
      <c r="AO2659" s="25"/>
      <c r="AP2659" s="25"/>
      <c r="AQ2659" s="25"/>
      <c r="AR2659" s="25"/>
      <c r="AS2659" s="25"/>
      <c r="AT2659" s="25"/>
      <c r="AU2659" s="36"/>
      <c r="AV2659" s="36"/>
      <c r="AW2659" s="36"/>
      <c r="AX2659" s="25"/>
      <c r="AY2659" s="25"/>
      <c r="AZ2659" s="25"/>
      <c r="BA2659" s="25"/>
      <c r="BB2659" s="25"/>
      <c r="BC2659" s="25"/>
      <c r="BD2659" s="25"/>
      <c r="BE2659" s="25"/>
      <c r="BF2659" s="25"/>
      <c r="BG2659" s="25"/>
      <c r="BH2659" s="25"/>
      <c r="BI2659" s="25"/>
      <c r="BJ2659" s="25"/>
      <c r="BK2659" s="25"/>
      <c r="BL2659" s="25"/>
      <c r="BM2659" s="25"/>
      <c r="BN2659" s="25"/>
      <c r="BO2659" s="25"/>
      <c r="BP2659" s="25"/>
      <c r="BQ2659" s="25"/>
      <c r="BR2659" s="25"/>
      <c r="BS2659" s="25"/>
      <c r="BT2659" s="25"/>
      <c r="BU2659"/>
      <c r="BV2659"/>
      <c r="BW2659"/>
      <c r="BX2659"/>
      <c r="BY2659"/>
      <c r="BZ2659"/>
      <c r="CA2659"/>
      <c r="CB2659"/>
      <c r="CC2659"/>
      <c r="CD2659" s="25"/>
    </row>
    <row r="2660" spans="1:82" s="17" customFormat="1" x14ac:dyDescent="0.2">
      <c r="A2660" s="25"/>
      <c r="B2660" s="20">
        <v>39099801400</v>
      </c>
      <c r="C2660" s="20">
        <v>8014</v>
      </c>
      <c r="D2660" s="20" t="s">
        <v>55</v>
      </c>
      <c r="E2660" s="20" t="s">
        <v>2842</v>
      </c>
      <c r="F2660" s="20" t="s">
        <v>8</v>
      </c>
      <c r="G2660" s="861">
        <v>33.672442961330397</v>
      </c>
      <c r="H2660" s="861">
        <v>48.347090814864302</v>
      </c>
      <c r="I2660" s="861">
        <v>36.629737161090603</v>
      </c>
      <c r="J2660" s="861">
        <v>29.192255945982598</v>
      </c>
      <c r="K2660" s="982">
        <v>0</v>
      </c>
      <c r="L2660" s="735">
        <v>2177</v>
      </c>
      <c r="M2660" s="735">
        <v>2018</v>
      </c>
      <c r="N2660" s="845">
        <f t="shared" si="194"/>
        <v>-7.3036288470372066E-2</v>
      </c>
      <c r="O2660" s="735">
        <v>0.49742043024282456</v>
      </c>
      <c r="P2660" s="735">
        <f t="shared" si="195"/>
        <v>4056.9302692591009</v>
      </c>
      <c r="Q2660" s="849">
        <v>49.3</v>
      </c>
      <c r="R2660" s="71">
        <v>52708</v>
      </c>
      <c r="S2660" s="845">
        <v>0.18136769078295342</v>
      </c>
      <c r="T2660" s="845">
        <v>3.6000000000000004E-2</v>
      </c>
      <c r="U2660" s="845">
        <v>2.3E-2</v>
      </c>
      <c r="V2660" s="845">
        <v>1.9E-2</v>
      </c>
      <c r="W2660" s="845">
        <v>0.2677248677248677</v>
      </c>
      <c r="X2660" s="845">
        <v>0.48616600790513836</v>
      </c>
      <c r="Y2660" s="845">
        <v>0.90188305252725476</v>
      </c>
      <c r="Z2660" s="845">
        <v>6.2933597621407336E-2</v>
      </c>
      <c r="AA2660" s="845">
        <v>0</v>
      </c>
      <c r="AB2660" s="845">
        <v>1.0406342913776016E-2</v>
      </c>
      <c r="AC2660" s="845">
        <v>0</v>
      </c>
      <c r="AD2660" s="845">
        <v>2.4777006937561942E-3</v>
      </c>
      <c r="AE2660" s="845">
        <v>2.2299306243805748E-2</v>
      </c>
      <c r="AF2660" s="845">
        <v>1.5857284440039643E-2</v>
      </c>
      <c r="AG2660" s="845">
        <v>0.89544103072348857</v>
      </c>
      <c r="AH2660" s="20" t="str">
        <f t="shared" si="196"/>
        <v>No</v>
      </c>
      <c r="AI2660" s="25"/>
      <c r="AJ2660" s="25"/>
      <c r="AK2660" s="25"/>
      <c r="AL2660" s="25"/>
      <c r="AM2660" s="25"/>
      <c r="AN2660" s="25"/>
      <c r="AO2660" s="25"/>
      <c r="AP2660" s="25"/>
      <c r="AQ2660" s="25"/>
      <c r="AR2660" s="25"/>
      <c r="AS2660" s="25"/>
      <c r="AT2660" s="25"/>
      <c r="AU2660" s="36"/>
      <c r="AV2660" s="36"/>
      <c r="AW2660" s="36"/>
      <c r="AX2660" s="25"/>
      <c r="AY2660" s="25"/>
      <c r="AZ2660" s="25"/>
      <c r="BA2660" s="25"/>
      <c r="BB2660" s="25"/>
      <c r="BC2660" s="25"/>
      <c r="BD2660" s="25"/>
      <c r="BE2660" s="25"/>
      <c r="BF2660" s="25"/>
      <c r="BG2660" s="25"/>
      <c r="BH2660" s="25"/>
      <c r="BI2660" s="25"/>
      <c r="BJ2660" s="25"/>
      <c r="BK2660" s="25"/>
      <c r="BL2660" s="25"/>
      <c r="BM2660" s="25"/>
      <c r="BN2660" s="25"/>
      <c r="BO2660" s="25"/>
      <c r="BP2660" s="25"/>
      <c r="BQ2660" s="25"/>
      <c r="BR2660" s="25"/>
      <c r="BS2660" s="25"/>
      <c r="BT2660" s="25"/>
      <c r="BU2660"/>
      <c r="BV2660"/>
      <c r="BW2660"/>
      <c r="BX2660"/>
      <c r="BY2660"/>
      <c r="BZ2660"/>
      <c r="CA2660"/>
      <c r="CB2660"/>
      <c r="CC2660"/>
      <c r="CD2660" s="25"/>
    </row>
    <row r="2661" spans="1:82" s="17" customFormat="1" x14ac:dyDescent="0.2">
      <c r="A2661" s="25"/>
      <c r="B2661" s="20">
        <v>39153505300</v>
      </c>
      <c r="C2661" s="20">
        <v>5053</v>
      </c>
      <c r="D2661" s="20" t="s">
        <v>82</v>
      </c>
      <c r="E2661" s="20" t="s">
        <v>2843</v>
      </c>
      <c r="F2661" s="20" t="s">
        <v>6</v>
      </c>
      <c r="G2661" s="861">
        <v>33.669728458733502</v>
      </c>
      <c r="H2661" s="861">
        <v>30.866917260049899</v>
      </c>
      <c r="I2661" s="861">
        <v>76.529034589640801</v>
      </c>
      <c r="J2661" s="861">
        <v>37.416051118910197</v>
      </c>
      <c r="K2661" s="982">
        <v>0</v>
      </c>
      <c r="L2661" s="735">
        <v>1452</v>
      </c>
      <c r="M2661" s="735">
        <v>1558</v>
      </c>
      <c r="N2661" s="845">
        <f t="shared" si="194"/>
        <v>7.3002754820936641E-2</v>
      </c>
      <c r="O2661" s="735">
        <v>0.33283550479310892</v>
      </c>
      <c r="P2661" s="735">
        <f t="shared" si="195"/>
        <v>4680.990992738155</v>
      </c>
      <c r="Q2661" s="849">
        <v>19.5</v>
      </c>
      <c r="R2661" s="71">
        <v>16311</v>
      </c>
      <c r="S2661" s="845">
        <v>0.59960159362549803</v>
      </c>
      <c r="T2661" s="845">
        <v>0.33600000000000002</v>
      </c>
      <c r="U2661" s="845">
        <v>0</v>
      </c>
      <c r="V2661" s="845">
        <v>3.7000000000000005E-2</v>
      </c>
      <c r="W2661" s="845">
        <v>0.78533094812164583</v>
      </c>
      <c r="X2661" s="845">
        <v>0.51480637813211849</v>
      </c>
      <c r="Y2661" s="845">
        <v>0.29781771501925547</v>
      </c>
      <c r="Z2661" s="845">
        <v>0.65404364569961493</v>
      </c>
      <c r="AA2661" s="845">
        <v>8.9858793324775355E-3</v>
      </c>
      <c r="AB2661" s="845">
        <v>0</v>
      </c>
      <c r="AC2661" s="845">
        <v>0</v>
      </c>
      <c r="AD2661" s="845">
        <v>0</v>
      </c>
      <c r="AE2661" s="845">
        <v>3.9152759948652117E-2</v>
      </c>
      <c r="AF2661" s="845">
        <v>2.2464698331193838E-2</v>
      </c>
      <c r="AG2661" s="845">
        <v>0.27535301668806161</v>
      </c>
      <c r="AH2661" s="20" t="str">
        <f t="shared" si="196"/>
        <v>No</v>
      </c>
      <c r="AI2661" s="25"/>
      <c r="AJ2661" s="25"/>
      <c r="AK2661" s="25"/>
      <c r="AL2661" s="25"/>
      <c r="AM2661" s="25"/>
      <c r="AN2661" s="25"/>
      <c r="AO2661" s="25"/>
      <c r="AP2661" s="25"/>
      <c r="AQ2661" s="25"/>
      <c r="AR2661" s="25"/>
      <c r="AS2661" s="25"/>
      <c r="AT2661" s="25"/>
      <c r="AU2661" s="36"/>
      <c r="AV2661" s="36"/>
      <c r="AW2661" s="36"/>
      <c r="AX2661" s="25"/>
      <c r="AY2661" s="25"/>
      <c r="AZ2661" s="25"/>
      <c r="BA2661" s="25"/>
      <c r="BB2661" s="25"/>
      <c r="BC2661" s="25"/>
      <c r="BD2661" s="25"/>
      <c r="BE2661" s="25"/>
      <c r="BF2661" s="25"/>
      <c r="BG2661" s="25"/>
      <c r="BH2661" s="25"/>
      <c r="BI2661" s="25"/>
      <c r="BJ2661" s="25"/>
      <c r="BK2661" s="25"/>
      <c r="BL2661" s="25"/>
      <c r="BM2661" s="25"/>
      <c r="BN2661" s="25"/>
      <c r="BO2661" s="25"/>
      <c r="BP2661" s="25"/>
      <c r="BQ2661" s="25"/>
      <c r="BR2661" s="25"/>
      <c r="BS2661" s="25"/>
      <c r="BT2661" s="25"/>
      <c r="BU2661"/>
      <c r="BV2661"/>
      <c r="BW2661"/>
      <c r="BX2661"/>
      <c r="BY2661"/>
      <c r="BZ2661"/>
      <c r="CA2661"/>
      <c r="CB2661"/>
      <c r="CC2661"/>
      <c r="CD2661" s="25"/>
    </row>
    <row r="2662" spans="1:82" s="17" customFormat="1" x14ac:dyDescent="0.2">
      <c r="A2662" s="25"/>
      <c r="B2662" s="20">
        <v>39035116700</v>
      </c>
      <c r="C2662" s="20">
        <v>1167</v>
      </c>
      <c r="D2662" s="20" t="s">
        <v>24</v>
      </c>
      <c r="E2662" s="20" t="s">
        <v>2829</v>
      </c>
      <c r="F2662" s="20" t="s">
        <v>6</v>
      </c>
      <c r="G2662" s="861">
        <v>33.6629496945298</v>
      </c>
      <c r="H2662" s="861">
        <v>52.920325243080498</v>
      </c>
      <c r="I2662" s="861">
        <v>96.085907408312096</v>
      </c>
      <c r="J2662" s="861">
        <v>28.531875362971899</v>
      </c>
      <c r="K2662" s="982">
        <v>0</v>
      </c>
      <c r="L2662" s="735">
        <v>1657</v>
      </c>
      <c r="M2662" s="735">
        <v>1695</v>
      </c>
      <c r="N2662" s="845">
        <f t="shared" si="194"/>
        <v>2.2933011466505733E-2</v>
      </c>
      <c r="O2662" s="735">
        <v>0.4121872204270467</v>
      </c>
      <c r="P2662" s="735">
        <f t="shared" si="195"/>
        <v>4112.2090060043465</v>
      </c>
      <c r="Q2662" s="849">
        <v>24.9</v>
      </c>
      <c r="R2662" s="71">
        <v>31133</v>
      </c>
      <c r="S2662" s="845">
        <v>0.31209439528023597</v>
      </c>
      <c r="T2662" s="845">
        <v>0.29100000000000004</v>
      </c>
      <c r="U2662" s="845">
        <v>0</v>
      </c>
      <c r="V2662" s="845">
        <v>0</v>
      </c>
      <c r="W2662" s="845">
        <v>0.61010830324909748</v>
      </c>
      <c r="X2662" s="845">
        <v>0.71301775147928992</v>
      </c>
      <c r="Y2662" s="845">
        <v>2.359882005899705E-3</v>
      </c>
      <c r="Z2662" s="845">
        <v>0.95339233038348081</v>
      </c>
      <c r="AA2662" s="845">
        <v>0</v>
      </c>
      <c r="AB2662" s="845">
        <v>0</v>
      </c>
      <c r="AC2662" s="845">
        <v>0</v>
      </c>
      <c r="AD2662" s="845">
        <v>5.8997050147492625E-4</v>
      </c>
      <c r="AE2662" s="845">
        <v>4.3657817109144542E-2</v>
      </c>
      <c r="AF2662" s="845">
        <v>1.2979351032448377E-2</v>
      </c>
      <c r="AG2662" s="845">
        <v>2.359882005899705E-3</v>
      </c>
      <c r="AH2662" s="20" t="str">
        <f t="shared" si="196"/>
        <v>No</v>
      </c>
      <c r="AI2662" s="25"/>
      <c r="AJ2662" s="25"/>
      <c r="AK2662" s="25"/>
      <c r="AL2662" s="25"/>
      <c r="AM2662" s="25"/>
      <c r="AN2662" s="25"/>
      <c r="AO2662" s="25"/>
      <c r="AP2662" s="25"/>
      <c r="AQ2662" s="25"/>
      <c r="AR2662" s="25"/>
      <c r="AS2662" s="25"/>
      <c r="AT2662" s="25"/>
      <c r="AU2662" s="36"/>
      <c r="AV2662" s="36"/>
      <c r="AW2662" s="36"/>
      <c r="AX2662" s="25"/>
      <c r="AY2662" s="25"/>
      <c r="AZ2662" s="25"/>
      <c r="BA2662" s="25"/>
      <c r="BB2662" s="25"/>
      <c r="BC2662" s="25"/>
      <c r="BD2662" s="25"/>
      <c r="BE2662" s="25"/>
      <c r="BF2662" s="25"/>
      <c r="BG2662" s="25"/>
      <c r="BH2662" s="25"/>
      <c r="BI2662" s="25"/>
      <c r="BJ2662" s="25"/>
      <c r="BK2662" s="25"/>
      <c r="BL2662" s="25"/>
      <c r="BM2662" s="25"/>
      <c r="BN2662" s="25"/>
      <c r="BO2662" s="25"/>
      <c r="BP2662" s="25"/>
      <c r="BQ2662" s="25"/>
      <c r="BR2662" s="25"/>
      <c r="BS2662" s="25"/>
      <c r="BT2662" s="25"/>
      <c r="BU2662"/>
      <c r="BV2662"/>
      <c r="BW2662"/>
      <c r="BX2662"/>
      <c r="BY2662"/>
      <c r="BZ2662"/>
      <c r="CA2662"/>
      <c r="CB2662"/>
      <c r="CC2662"/>
      <c r="CD2662" s="25"/>
    </row>
    <row r="2663" spans="1:82" s="17" customFormat="1" x14ac:dyDescent="0.2">
      <c r="A2663" s="25"/>
      <c r="B2663" s="20">
        <v>39049009323</v>
      </c>
      <c r="C2663" s="20">
        <v>93.23</v>
      </c>
      <c r="D2663" s="20" t="s">
        <v>31</v>
      </c>
      <c r="E2663" s="20" t="s">
        <v>2830</v>
      </c>
      <c r="F2663" s="20" t="s">
        <v>6</v>
      </c>
      <c r="G2663" s="861">
        <v>33.641142313384201</v>
      </c>
      <c r="H2663" s="861">
        <v>44.279785918545102</v>
      </c>
      <c r="I2663" s="861">
        <v>49.613355021085901</v>
      </c>
      <c r="J2663" s="861">
        <v>49.766371499139701</v>
      </c>
      <c r="K2663" s="982">
        <v>0</v>
      </c>
      <c r="L2663" s="735">
        <v>3484</v>
      </c>
      <c r="M2663" s="735">
        <v>3704</v>
      </c>
      <c r="N2663" s="845">
        <f t="shared" si="194"/>
        <v>6.3145809414466125E-2</v>
      </c>
      <c r="O2663" s="735">
        <v>0.42633632013082873</v>
      </c>
      <c r="P2663" s="735">
        <f t="shared" si="195"/>
        <v>8687.9766632675419</v>
      </c>
      <c r="Q2663" s="849">
        <v>37</v>
      </c>
      <c r="R2663" s="71">
        <v>38306</v>
      </c>
      <c r="S2663" s="845">
        <v>0.35367507458638459</v>
      </c>
      <c r="T2663" s="845">
        <v>8.1000000000000003E-2</v>
      </c>
      <c r="U2663" s="845">
        <v>0</v>
      </c>
      <c r="V2663" s="845">
        <v>0</v>
      </c>
      <c r="W2663" s="845">
        <v>0.66914959652389816</v>
      </c>
      <c r="X2663" s="845">
        <v>0.57606679035250463</v>
      </c>
      <c r="Y2663" s="845">
        <v>0.17818574514038876</v>
      </c>
      <c r="Z2663" s="845">
        <v>0.65847732181425489</v>
      </c>
      <c r="AA2663" s="845">
        <v>0</v>
      </c>
      <c r="AB2663" s="845">
        <v>0</v>
      </c>
      <c r="AC2663" s="845">
        <v>0</v>
      </c>
      <c r="AD2663" s="845">
        <v>0.11609071274298056</v>
      </c>
      <c r="AE2663" s="845">
        <v>4.724622030237581E-2</v>
      </c>
      <c r="AF2663" s="845">
        <v>0.14173866090712742</v>
      </c>
      <c r="AG2663" s="845">
        <v>0.1722462203023758</v>
      </c>
      <c r="AH2663" s="20" t="str">
        <f t="shared" si="196"/>
        <v>No</v>
      </c>
      <c r="AI2663" s="25"/>
      <c r="AJ2663" s="25"/>
      <c r="AK2663" s="25"/>
      <c r="AL2663" s="25"/>
      <c r="AM2663" s="25"/>
      <c r="AN2663" s="25"/>
      <c r="AO2663" s="25"/>
      <c r="AP2663" s="25"/>
      <c r="AQ2663" s="25"/>
      <c r="AR2663" s="25"/>
      <c r="AS2663" s="25"/>
      <c r="AT2663" s="25"/>
      <c r="AU2663" s="36"/>
      <c r="AV2663" s="36"/>
      <c r="AW2663" s="36"/>
      <c r="AX2663" s="25"/>
      <c r="AY2663" s="25"/>
      <c r="AZ2663" s="25"/>
      <c r="BA2663" s="25"/>
      <c r="BB2663" s="25"/>
      <c r="BC2663" s="25"/>
      <c r="BD2663" s="25"/>
      <c r="BE2663" s="25"/>
      <c r="BF2663" s="25"/>
      <c r="BG2663" s="25"/>
      <c r="BH2663" s="25"/>
      <c r="BI2663" s="25"/>
      <c r="BJ2663" s="25"/>
      <c r="BK2663" s="25"/>
      <c r="BL2663" s="25"/>
      <c r="BM2663" s="25"/>
      <c r="BN2663" s="25"/>
      <c r="BO2663" s="25"/>
      <c r="BP2663" s="25"/>
      <c r="BQ2663" s="25"/>
      <c r="BR2663" s="25"/>
      <c r="BS2663" s="25"/>
      <c r="BT2663" s="25"/>
      <c r="BU2663"/>
      <c r="BV2663"/>
      <c r="BW2663"/>
      <c r="BX2663"/>
      <c r="BY2663"/>
      <c r="BZ2663"/>
      <c r="CA2663"/>
      <c r="CB2663"/>
      <c r="CC2663"/>
      <c r="CD2663" s="25"/>
    </row>
    <row r="2664" spans="1:82" s="17" customFormat="1" x14ac:dyDescent="0.2">
      <c r="A2664" s="25"/>
      <c r="B2664" s="20">
        <v>39035199300</v>
      </c>
      <c r="C2664" s="20">
        <v>1993</v>
      </c>
      <c r="D2664" s="20" t="s">
        <v>24</v>
      </c>
      <c r="E2664" s="20" t="s">
        <v>2829</v>
      </c>
      <c r="F2664" s="20" t="s">
        <v>6</v>
      </c>
      <c r="G2664" s="861">
        <v>33.635318356363001</v>
      </c>
      <c r="H2664" s="861">
        <v>37.0748474437612</v>
      </c>
      <c r="I2664" s="861">
        <v>83.794998028513305</v>
      </c>
      <c r="J2664" s="861">
        <v>17.096462454369401</v>
      </c>
      <c r="K2664" s="982">
        <v>0</v>
      </c>
      <c r="L2664" s="735" t="s">
        <v>2466</v>
      </c>
      <c r="M2664" s="735">
        <v>1328</v>
      </c>
      <c r="N2664" s="845" t="str">
        <f t="shared" si="194"/>
        <v/>
      </c>
      <c r="O2664" s="735">
        <v>0.49498837274585022</v>
      </c>
      <c r="P2664" s="735">
        <f t="shared" si="195"/>
        <v>2682.8913023414716</v>
      </c>
      <c r="Q2664" s="849">
        <v>43.3</v>
      </c>
      <c r="R2664" s="71">
        <v>23414</v>
      </c>
      <c r="S2664" s="845">
        <v>0.51284046692606999</v>
      </c>
      <c r="T2664" s="845">
        <v>0.27899999999999997</v>
      </c>
      <c r="U2664" s="845">
        <v>0</v>
      </c>
      <c r="V2664" s="845">
        <v>4.4000000000000004E-2</v>
      </c>
      <c r="W2664" s="845">
        <v>0.61647361647361643</v>
      </c>
      <c r="X2664" s="845">
        <v>0.71816283924843427</v>
      </c>
      <c r="Y2664" s="845">
        <v>2.635542168674699E-2</v>
      </c>
      <c r="Z2664" s="845">
        <v>0.96536144578313254</v>
      </c>
      <c r="AA2664" s="845">
        <v>0</v>
      </c>
      <c r="AB2664" s="845">
        <v>0</v>
      </c>
      <c r="AC2664" s="845">
        <v>0</v>
      </c>
      <c r="AD2664" s="845">
        <v>0</v>
      </c>
      <c r="AE2664" s="845">
        <v>8.2831325301204826E-3</v>
      </c>
      <c r="AF2664" s="845">
        <v>8.2831325301204826E-3</v>
      </c>
      <c r="AG2664" s="845">
        <v>2.4096385542168676E-2</v>
      </c>
      <c r="AH2664" s="20" t="str">
        <f t="shared" si="196"/>
        <v>No</v>
      </c>
      <c r="AI2664" s="25"/>
      <c r="AJ2664" s="25"/>
      <c r="AK2664" s="25"/>
      <c r="AL2664" s="25"/>
      <c r="AM2664" s="25"/>
      <c r="AN2664" s="25"/>
      <c r="AO2664" s="25"/>
      <c r="AP2664" s="25"/>
      <c r="AQ2664" s="25"/>
      <c r="AR2664" s="25"/>
      <c r="AS2664" s="25"/>
      <c r="AT2664" s="25"/>
      <c r="AU2664" s="36"/>
      <c r="AV2664" s="36"/>
      <c r="AW2664" s="36"/>
      <c r="AX2664" s="25"/>
      <c r="AY2664" s="25"/>
      <c r="AZ2664" s="25"/>
      <c r="BA2664" s="25"/>
      <c r="BB2664" s="25"/>
      <c r="BC2664" s="25"/>
      <c r="BD2664" s="25"/>
      <c r="BE2664" s="25"/>
      <c r="BF2664" s="25"/>
      <c r="BG2664" s="25"/>
      <c r="BH2664" s="25"/>
      <c r="BI2664" s="25"/>
      <c r="BJ2664" s="25"/>
      <c r="BK2664" s="25"/>
      <c r="BL2664" s="25"/>
      <c r="BM2664" s="25"/>
      <c r="BN2664" s="25"/>
      <c r="BO2664" s="25"/>
      <c r="BP2664" s="25"/>
      <c r="BQ2664" s="25"/>
      <c r="BR2664" s="25"/>
      <c r="BS2664" s="25"/>
      <c r="BT2664" s="25"/>
      <c r="BU2664"/>
      <c r="BV2664"/>
      <c r="BW2664"/>
      <c r="BX2664"/>
      <c r="BY2664"/>
      <c r="BZ2664"/>
      <c r="CA2664"/>
      <c r="CB2664"/>
      <c r="CC2664"/>
      <c r="CD2664" s="25"/>
    </row>
    <row r="2665" spans="1:82" s="17" customFormat="1" x14ac:dyDescent="0.2">
      <c r="A2665" s="25"/>
      <c r="B2665" s="20">
        <v>39131952200</v>
      </c>
      <c r="C2665" s="20">
        <v>9522</v>
      </c>
      <c r="D2665" s="20" t="s">
        <v>71</v>
      </c>
      <c r="E2665" s="20" t="s">
        <v>265</v>
      </c>
      <c r="F2665" s="20" t="s">
        <v>6</v>
      </c>
      <c r="G2665" s="861">
        <v>33.607907780751603</v>
      </c>
      <c r="H2665" s="861">
        <v>29.169658427039298</v>
      </c>
      <c r="I2665" s="861">
        <v>33.820443415798302</v>
      </c>
      <c r="J2665" s="861">
        <v>36.881734736393497</v>
      </c>
      <c r="K2665" s="982">
        <v>0</v>
      </c>
      <c r="L2665" s="735">
        <v>5791</v>
      </c>
      <c r="M2665" s="735">
        <v>5632</v>
      </c>
      <c r="N2665" s="845">
        <f t="shared" si="194"/>
        <v>-2.7456397858746331E-2</v>
      </c>
      <c r="O2665" s="735">
        <v>119.61441205226228</v>
      </c>
      <c r="P2665" s="735">
        <f t="shared" si="195"/>
        <v>47.084627206454435</v>
      </c>
      <c r="Q2665" s="849">
        <v>38.4</v>
      </c>
      <c r="R2665" s="71">
        <v>48157</v>
      </c>
      <c r="S2665" s="845">
        <v>0.24183238636363635</v>
      </c>
      <c r="T2665" s="845">
        <v>6.0999999999999999E-2</v>
      </c>
      <c r="U2665" s="845">
        <v>0</v>
      </c>
      <c r="V2665" s="845">
        <v>9.5000000000000001E-2</v>
      </c>
      <c r="W2665" s="845">
        <v>0.25775775775775778</v>
      </c>
      <c r="X2665" s="845">
        <v>0.51650485436893201</v>
      </c>
      <c r="Y2665" s="845">
        <v>0.94637784090909094</v>
      </c>
      <c r="Z2665" s="845">
        <v>4.083806818181818E-3</v>
      </c>
      <c r="AA2665" s="845">
        <v>0</v>
      </c>
      <c r="AB2665" s="845">
        <v>9.0553977272727279E-3</v>
      </c>
      <c r="AC2665" s="845">
        <v>0</v>
      </c>
      <c r="AD2665" s="845">
        <v>1.5980113636363637E-3</v>
      </c>
      <c r="AE2665" s="845">
        <v>3.8884943181818184E-2</v>
      </c>
      <c r="AF2665" s="845">
        <v>1.0120738636363636E-2</v>
      </c>
      <c r="AG2665" s="845">
        <v>0.93874289772727271</v>
      </c>
      <c r="AH2665" s="20" t="str">
        <f t="shared" si="196"/>
        <v>Yes</v>
      </c>
      <c r="AI2665" s="25"/>
      <c r="AJ2665" s="25"/>
      <c r="AK2665" s="25"/>
      <c r="AL2665" s="25"/>
      <c r="AM2665" s="25"/>
      <c r="AN2665" s="25"/>
      <c r="AO2665" s="25"/>
      <c r="AP2665" s="25"/>
      <c r="AQ2665" s="25"/>
      <c r="AR2665" s="25"/>
      <c r="AS2665" s="25"/>
      <c r="AT2665" s="25"/>
      <c r="AU2665" s="36"/>
      <c r="AV2665" s="36"/>
      <c r="AW2665" s="36"/>
      <c r="AX2665" s="25"/>
      <c r="AY2665" s="25"/>
      <c r="AZ2665" s="25"/>
      <c r="BA2665" s="25"/>
      <c r="BB2665" s="25"/>
      <c r="BC2665" s="25"/>
      <c r="BD2665" s="25"/>
      <c r="BE2665" s="25"/>
      <c r="BF2665" s="25"/>
      <c r="BG2665" s="25"/>
      <c r="BH2665" s="25"/>
      <c r="BI2665" s="25"/>
      <c r="BJ2665" s="25"/>
      <c r="BK2665" s="25"/>
      <c r="BL2665" s="25"/>
      <c r="BM2665" s="25"/>
      <c r="BN2665" s="25"/>
      <c r="BO2665" s="25"/>
      <c r="BP2665" s="25"/>
      <c r="BQ2665" s="25"/>
      <c r="BR2665" s="25"/>
      <c r="BS2665" s="25"/>
      <c r="BT2665" s="25"/>
      <c r="BU2665"/>
      <c r="BV2665"/>
      <c r="BW2665"/>
      <c r="BX2665"/>
      <c r="BY2665"/>
      <c r="BZ2665"/>
      <c r="CA2665"/>
      <c r="CB2665"/>
      <c r="CC2665"/>
      <c r="CD2665" s="25"/>
    </row>
    <row r="2666" spans="1:82" s="17" customFormat="1" x14ac:dyDescent="0.2">
      <c r="A2666" s="25"/>
      <c r="B2666" s="20">
        <v>39003012200</v>
      </c>
      <c r="C2666" s="20">
        <v>122</v>
      </c>
      <c r="D2666" s="20" t="s">
        <v>7</v>
      </c>
      <c r="E2666" s="20" t="s">
        <v>2835</v>
      </c>
      <c r="F2666" s="20" t="s">
        <v>6</v>
      </c>
      <c r="G2666" s="861">
        <v>33.565584519484702</v>
      </c>
      <c r="H2666" s="861">
        <v>42.509389483720398</v>
      </c>
      <c r="I2666" s="861">
        <v>33.394433790389499</v>
      </c>
      <c r="J2666" s="861">
        <v>40.5131767433951</v>
      </c>
      <c r="K2666" s="982">
        <v>0</v>
      </c>
      <c r="L2666" s="735">
        <v>3448</v>
      </c>
      <c r="M2666" s="735">
        <v>3635</v>
      </c>
      <c r="N2666" s="845">
        <f t="shared" si="194"/>
        <v>5.4234338747099771E-2</v>
      </c>
      <c r="O2666" s="735">
        <v>0.75542817839422438</v>
      </c>
      <c r="P2666" s="735">
        <f t="shared" si="195"/>
        <v>4811.8406275587131</v>
      </c>
      <c r="Q2666" s="849">
        <v>32.299999999999997</v>
      </c>
      <c r="R2666" s="71">
        <v>40067</v>
      </c>
      <c r="S2666" s="845">
        <v>0.28341205890525145</v>
      </c>
      <c r="T2666" s="845">
        <v>0.14199999999999999</v>
      </c>
      <c r="U2666" s="845">
        <v>0</v>
      </c>
      <c r="V2666" s="845">
        <v>0</v>
      </c>
      <c r="W2666" s="845">
        <v>0.57006559332140727</v>
      </c>
      <c r="X2666" s="845">
        <v>0.52928870292887031</v>
      </c>
      <c r="Y2666" s="845">
        <v>0.63741403026134802</v>
      </c>
      <c r="Z2666" s="845">
        <v>0.16781292984869325</v>
      </c>
      <c r="AA2666" s="845">
        <v>0</v>
      </c>
      <c r="AB2666" s="845">
        <v>7.4277854195323248E-3</v>
      </c>
      <c r="AC2666" s="845">
        <v>0</v>
      </c>
      <c r="AD2666" s="845">
        <v>4.1265474552957355E-3</v>
      </c>
      <c r="AE2666" s="845">
        <v>0.18321870701513068</v>
      </c>
      <c r="AF2666" s="845">
        <v>1.8431911966987621E-2</v>
      </c>
      <c r="AG2666" s="845">
        <v>0.63026134800550204</v>
      </c>
      <c r="AH2666" s="20" t="str">
        <f t="shared" si="196"/>
        <v>No</v>
      </c>
      <c r="AI2666" s="25"/>
      <c r="AJ2666" s="25"/>
      <c r="AK2666" s="25"/>
      <c r="AL2666" s="25"/>
      <c r="AM2666" s="25"/>
      <c r="AN2666" s="25"/>
      <c r="AO2666" s="25"/>
      <c r="AP2666" s="25"/>
      <c r="AQ2666" s="25"/>
      <c r="AR2666" s="25"/>
      <c r="AS2666" s="25"/>
      <c r="AT2666" s="25"/>
      <c r="AU2666" s="36"/>
      <c r="AV2666" s="36"/>
      <c r="AW2666" s="36"/>
      <c r="AX2666" s="25"/>
      <c r="AY2666" s="25"/>
      <c r="AZ2666" s="25"/>
      <c r="BA2666" s="25"/>
      <c r="BB2666" s="25"/>
      <c r="BC2666" s="25"/>
      <c r="BD2666" s="25"/>
      <c r="BE2666" s="25"/>
      <c r="BF2666" s="25"/>
      <c r="BG2666" s="25"/>
      <c r="BH2666" s="25"/>
      <c r="BI2666" s="25"/>
      <c r="BJ2666" s="25"/>
      <c r="BK2666" s="25"/>
      <c r="BL2666" s="25"/>
      <c r="BM2666" s="25"/>
      <c r="BN2666" s="25"/>
      <c r="BO2666" s="25"/>
      <c r="BP2666" s="25"/>
      <c r="BQ2666" s="25"/>
      <c r="BR2666" s="25"/>
      <c r="BS2666" s="25"/>
      <c r="BT2666" s="25"/>
      <c r="BU2666"/>
      <c r="BV2666"/>
      <c r="BW2666"/>
      <c r="BX2666"/>
      <c r="BY2666"/>
      <c r="BZ2666"/>
      <c r="CA2666"/>
      <c r="CB2666"/>
      <c r="CC2666"/>
      <c r="CD2666" s="25"/>
    </row>
    <row r="2667" spans="1:82" s="17" customFormat="1" x14ac:dyDescent="0.2">
      <c r="A2667" s="25"/>
      <c r="B2667" s="20">
        <v>39155920800</v>
      </c>
      <c r="C2667" s="20">
        <v>9208</v>
      </c>
      <c r="D2667" s="20" t="s">
        <v>83</v>
      </c>
      <c r="E2667" s="20" t="s">
        <v>2842</v>
      </c>
      <c r="F2667" s="20" t="s">
        <v>6</v>
      </c>
      <c r="G2667" s="861">
        <v>33.558641292725198</v>
      </c>
      <c r="H2667" s="861">
        <v>35.407178024990898</v>
      </c>
      <c r="I2667" s="861">
        <v>76.155186578146299</v>
      </c>
      <c r="J2667" s="861">
        <v>36.286723057143298</v>
      </c>
      <c r="K2667" s="982">
        <v>0</v>
      </c>
      <c r="L2667" s="735">
        <v>2031</v>
      </c>
      <c r="M2667" s="735">
        <v>2274</v>
      </c>
      <c r="N2667" s="845">
        <f t="shared" si="194"/>
        <v>0.11964549483013294</v>
      </c>
      <c r="O2667" s="735">
        <v>0.61660205845500971</v>
      </c>
      <c r="P2667" s="735">
        <f t="shared" si="195"/>
        <v>3687.9539547724721</v>
      </c>
      <c r="Q2667" s="849">
        <v>39.1</v>
      </c>
      <c r="R2667" s="71">
        <v>18837</v>
      </c>
      <c r="S2667" s="845">
        <v>0.43156486847971465</v>
      </c>
      <c r="T2667" s="845">
        <v>5.2000000000000005E-2</v>
      </c>
      <c r="U2667" s="845">
        <v>0</v>
      </c>
      <c r="V2667" s="845">
        <v>3.5000000000000003E-2</v>
      </c>
      <c r="W2667" s="845">
        <v>0.65774378585086046</v>
      </c>
      <c r="X2667" s="845">
        <v>0.43459302325581395</v>
      </c>
      <c r="Y2667" s="845">
        <v>0.7326297273526825</v>
      </c>
      <c r="Z2667" s="845">
        <v>0.16446789797713279</v>
      </c>
      <c r="AA2667" s="845">
        <v>0</v>
      </c>
      <c r="AB2667" s="845">
        <v>0</v>
      </c>
      <c r="AC2667" s="845">
        <v>0</v>
      </c>
      <c r="AD2667" s="845">
        <v>7.0360598065083556E-3</v>
      </c>
      <c r="AE2667" s="845">
        <v>9.5866314863676347E-2</v>
      </c>
      <c r="AF2667" s="845">
        <v>0</v>
      </c>
      <c r="AG2667" s="845">
        <v>0.7326297273526825</v>
      </c>
      <c r="AH2667" s="20" t="str">
        <f t="shared" si="196"/>
        <v>No</v>
      </c>
      <c r="AI2667" s="25"/>
      <c r="AJ2667" s="25"/>
      <c r="AK2667" s="25"/>
      <c r="AL2667" s="25"/>
      <c r="AM2667" s="25"/>
      <c r="AN2667" s="25"/>
      <c r="AO2667" s="25"/>
      <c r="AP2667" s="25"/>
      <c r="AQ2667" s="25"/>
      <c r="AR2667" s="25"/>
      <c r="AS2667" s="25"/>
      <c r="AT2667" s="25"/>
      <c r="AU2667" s="36"/>
      <c r="AV2667" s="36"/>
      <c r="AW2667" s="36"/>
      <c r="AX2667" s="25"/>
      <c r="AY2667" s="25"/>
      <c r="AZ2667" s="25"/>
      <c r="BA2667" s="25"/>
      <c r="BB2667" s="25"/>
      <c r="BC2667" s="25"/>
      <c r="BD2667" s="25"/>
      <c r="BE2667" s="25"/>
      <c r="BF2667" s="25"/>
      <c r="BG2667" s="25"/>
      <c r="BH2667" s="25"/>
      <c r="BI2667" s="25"/>
      <c r="BJ2667" s="25"/>
      <c r="BK2667" s="25"/>
      <c r="BL2667" s="25"/>
      <c r="BM2667" s="25"/>
      <c r="BN2667" s="25"/>
      <c r="BO2667" s="25"/>
      <c r="BP2667" s="25"/>
      <c r="BQ2667" s="25"/>
      <c r="BR2667" s="25"/>
      <c r="BS2667" s="25"/>
      <c r="BT2667" s="25"/>
      <c r="BU2667"/>
      <c r="BV2667"/>
      <c r="BW2667"/>
      <c r="BX2667"/>
      <c r="BY2667"/>
      <c r="BZ2667"/>
      <c r="CA2667"/>
      <c r="CB2667"/>
      <c r="CC2667"/>
      <c r="CD2667" s="25"/>
    </row>
    <row r="2668" spans="1:82" s="17" customFormat="1" x14ac:dyDescent="0.2">
      <c r="A2668" s="25"/>
      <c r="B2668" s="20">
        <v>39085205702</v>
      </c>
      <c r="C2668" s="20">
        <v>2057.02</v>
      </c>
      <c r="D2668" s="20" t="s">
        <v>48</v>
      </c>
      <c r="E2668" s="20" t="s">
        <v>2829</v>
      </c>
      <c r="F2668" s="20" t="s">
        <v>8</v>
      </c>
      <c r="G2668" s="861">
        <v>33.538957775788397</v>
      </c>
      <c r="H2668" s="861">
        <v>37.4318391562663</v>
      </c>
      <c r="I2668" s="861">
        <v>34.435979066979201</v>
      </c>
      <c r="J2668" s="861">
        <v>37.631792933304197</v>
      </c>
      <c r="K2668" s="982">
        <v>0</v>
      </c>
      <c r="L2668" s="735">
        <v>3141</v>
      </c>
      <c r="M2668" s="735">
        <v>3246</v>
      </c>
      <c r="N2668" s="845">
        <f t="shared" si="194"/>
        <v>3.3428844317096466E-2</v>
      </c>
      <c r="O2668" s="735">
        <v>1.2506887531618824</v>
      </c>
      <c r="P2668" s="735">
        <f t="shared" si="195"/>
        <v>2595.369944595524</v>
      </c>
      <c r="Q2668" s="849">
        <v>32.4</v>
      </c>
      <c r="R2668" s="71">
        <v>65523</v>
      </c>
      <c r="S2668" s="845">
        <v>8.3795440542205793E-2</v>
      </c>
      <c r="T2668" s="845">
        <v>8.6999999999999994E-2</v>
      </c>
      <c r="U2668" s="845">
        <v>0</v>
      </c>
      <c r="V2668" s="845">
        <v>0</v>
      </c>
      <c r="W2668" s="845">
        <v>0.20127504553734063</v>
      </c>
      <c r="X2668" s="845">
        <v>0.30316742081447962</v>
      </c>
      <c r="Y2668" s="845">
        <v>0.92452248921749847</v>
      </c>
      <c r="Z2668" s="845">
        <v>6.1614294516327784E-3</v>
      </c>
      <c r="AA2668" s="845">
        <v>0</v>
      </c>
      <c r="AB2668" s="845">
        <v>1.447935921133703E-2</v>
      </c>
      <c r="AC2668" s="845">
        <v>0</v>
      </c>
      <c r="AD2668" s="845">
        <v>0</v>
      </c>
      <c r="AE2668" s="845">
        <v>5.4836722119531729E-2</v>
      </c>
      <c r="AF2668" s="845">
        <v>4.6826863832409117E-2</v>
      </c>
      <c r="AG2668" s="845">
        <v>0.91466420209488597</v>
      </c>
      <c r="AH2668" s="20" t="str">
        <f t="shared" si="196"/>
        <v>Yes</v>
      </c>
      <c r="AI2668" s="25"/>
      <c r="AJ2668" s="25"/>
      <c r="AK2668" s="25"/>
      <c r="AL2668" s="25"/>
      <c r="AM2668" s="25"/>
      <c r="AN2668" s="25"/>
      <c r="AO2668" s="25"/>
      <c r="AP2668" s="25"/>
      <c r="AQ2668" s="25"/>
      <c r="AR2668" s="25"/>
      <c r="AS2668" s="25"/>
      <c r="AT2668" s="25"/>
      <c r="AU2668" s="36"/>
      <c r="AV2668" s="36"/>
      <c r="AW2668" s="36"/>
      <c r="AX2668" s="25"/>
      <c r="AY2668" s="25"/>
      <c r="AZ2668" s="25"/>
      <c r="BA2668" s="25"/>
      <c r="BB2668" s="25"/>
      <c r="BC2668" s="25"/>
      <c r="BD2668" s="25"/>
      <c r="BE2668" s="25"/>
      <c r="BF2668" s="25"/>
      <c r="BG2668" s="25"/>
      <c r="BH2668" s="25"/>
      <c r="BI2668" s="25"/>
      <c r="BJ2668" s="25"/>
      <c r="BK2668" s="25"/>
      <c r="BL2668" s="25"/>
      <c r="BM2668" s="25"/>
      <c r="BN2668" s="25"/>
      <c r="BO2668" s="25"/>
      <c r="BP2668" s="25"/>
      <c r="BQ2668" s="25"/>
      <c r="BR2668" s="25"/>
      <c r="BS2668" s="25"/>
      <c r="BT2668" s="25"/>
      <c r="BU2668"/>
      <c r="BV2668"/>
      <c r="BW2668"/>
      <c r="BX2668"/>
      <c r="BY2668"/>
      <c r="BZ2668"/>
      <c r="CA2668"/>
      <c r="CB2668"/>
      <c r="CC2668"/>
      <c r="CD2668" s="25"/>
    </row>
    <row r="2669" spans="1:82" s="17" customFormat="1" x14ac:dyDescent="0.2">
      <c r="A2669" s="25"/>
      <c r="B2669" s="20">
        <v>39035117500</v>
      </c>
      <c r="C2669" s="20">
        <v>1175</v>
      </c>
      <c r="D2669" s="20" t="s">
        <v>24</v>
      </c>
      <c r="E2669" s="20" t="s">
        <v>2829</v>
      </c>
      <c r="F2669" s="20" t="s">
        <v>6</v>
      </c>
      <c r="G2669" s="861">
        <v>33.495977914520303</v>
      </c>
      <c r="H2669" s="861">
        <v>43.857409328848</v>
      </c>
      <c r="I2669" s="861">
        <v>73.359687468640004</v>
      </c>
      <c r="J2669" s="861">
        <v>37.019729679056297</v>
      </c>
      <c r="K2669" s="982">
        <v>0</v>
      </c>
      <c r="L2669" s="735">
        <v>2847</v>
      </c>
      <c r="M2669" s="735">
        <v>2268</v>
      </c>
      <c r="N2669" s="845">
        <f t="shared" si="194"/>
        <v>-0.20337197049525815</v>
      </c>
      <c r="O2669" s="735">
        <v>0.48595898766500517</v>
      </c>
      <c r="P2669" s="735">
        <f t="shared" si="195"/>
        <v>4667.0605083312939</v>
      </c>
      <c r="Q2669" s="849">
        <v>33.6</v>
      </c>
      <c r="R2669" s="71">
        <v>33648</v>
      </c>
      <c r="S2669" s="845">
        <v>0.2874779541446208</v>
      </c>
      <c r="T2669" s="845">
        <v>0.11</v>
      </c>
      <c r="U2669" s="845">
        <v>0</v>
      </c>
      <c r="V2669" s="845">
        <v>2.7000000000000003E-2</v>
      </c>
      <c r="W2669" s="845">
        <v>0.6790657439446367</v>
      </c>
      <c r="X2669" s="845">
        <v>0.57579617834394903</v>
      </c>
      <c r="Y2669" s="845">
        <v>7.5396825396825393E-2</v>
      </c>
      <c r="Z2669" s="845">
        <v>0.78527336860670194</v>
      </c>
      <c r="AA2669" s="845">
        <v>2.6455026455026454E-3</v>
      </c>
      <c r="AB2669" s="845">
        <v>0</v>
      </c>
      <c r="AC2669" s="845">
        <v>0</v>
      </c>
      <c r="AD2669" s="845">
        <v>0</v>
      </c>
      <c r="AE2669" s="845">
        <v>0.13668430335097001</v>
      </c>
      <c r="AF2669" s="845">
        <v>1.4109347442680775E-2</v>
      </c>
      <c r="AG2669" s="845">
        <v>7.5396825396825393E-2</v>
      </c>
      <c r="AH2669" s="20" t="str">
        <f t="shared" si="196"/>
        <v>No</v>
      </c>
      <c r="AI2669" s="25"/>
      <c r="AJ2669" s="25"/>
      <c r="AK2669" s="25"/>
      <c r="AL2669" s="25"/>
      <c r="AM2669" s="25"/>
      <c r="AN2669" s="25"/>
      <c r="AO2669" s="25"/>
      <c r="AP2669" s="25"/>
      <c r="AQ2669" s="25"/>
      <c r="AR2669" s="25"/>
      <c r="AS2669" s="25"/>
      <c r="AT2669" s="25"/>
      <c r="AU2669" s="36"/>
      <c r="AV2669" s="36"/>
      <c r="AW2669" s="36"/>
      <c r="AX2669" s="25"/>
      <c r="AY2669" s="25"/>
      <c r="AZ2669" s="25"/>
      <c r="BA2669" s="25"/>
      <c r="BB2669" s="25"/>
      <c r="BC2669" s="25"/>
      <c r="BD2669" s="25"/>
      <c r="BE2669" s="25"/>
      <c r="BF2669" s="25"/>
      <c r="BG2669" s="25"/>
      <c r="BH2669" s="25"/>
      <c r="BI2669" s="25"/>
      <c r="BJ2669" s="25"/>
      <c r="BK2669" s="25"/>
      <c r="BL2669" s="25"/>
      <c r="BM2669" s="25"/>
      <c r="BN2669" s="25"/>
      <c r="BO2669" s="25"/>
      <c r="BP2669" s="25"/>
      <c r="BQ2669" s="25"/>
      <c r="BR2669" s="25"/>
      <c r="BS2669" s="25"/>
      <c r="BT2669" s="25"/>
      <c r="BU2669"/>
      <c r="BV2669"/>
      <c r="BW2669"/>
      <c r="BX2669"/>
      <c r="BY2669"/>
      <c r="BZ2669"/>
      <c r="CA2669"/>
      <c r="CB2669"/>
      <c r="CC2669"/>
      <c r="CD2669" s="25"/>
    </row>
    <row r="2670" spans="1:82" s="17" customFormat="1" x14ac:dyDescent="0.2">
      <c r="A2670" s="25"/>
      <c r="B2670" s="20">
        <v>39023001000</v>
      </c>
      <c r="C2670" s="20">
        <v>10</v>
      </c>
      <c r="D2670" s="20" t="s">
        <v>18</v>
      </c>
      <c r="E2670" s="20" t="s">
        <v>2838</v>
      </c>
      <c r="F2670" s="20" t="s">
        <v>8</v>
      </c>
      <c r="G2670" s="861">
        <v>33.493132209827799</v>
      </c>
      <c r="H2670" s="861">
        <v>26.231520696221299</v>
      </c>
      <c r="I2670" s="861">
        <v>34.7938946146813</v>
      </c>
      <c r="J2670" s="861">
        <v>30.607930452423801</v>
      </c>
      <c r="K2670" s="982">
        <v>0</v>
      </c>
      <c r="L2670" s="735">
        <v>1467</v>
      </c>
      <c r="M2670" s="735">
        <v>1643</v>
      </c>
      <c r="N2670" s="845">
        <f t="shared" si="194"/>
        <v>0.11997273346966598</v>
      </c>
      <c r="O2670" s="735">
        <v>0.87135844032890175</v>
      </c>
      <c r="P2670" s="735">
        <f t="shared" si="195"/>
        <v>1885.5615828772318</v>
      </c>
      <c r="Q2670" s="849">
        <v>40.700000000000003</v>
      </c>
      <c r="R2670" s="71">
        <v>54360</v>
      </c>
      <c r="S2670" s="845">
        <v>0.19677219118559899</v>
      </c>
      <c r="T2670" s="845">
        <v>0.155</v>
      </c>
      <c r="U2670" s="845">
        <v>0</v>
      </c>
      <c r="V2670" s="845">
        <v>0</v>
      </c>
      <c r="W2670" s="845">
        <v>0.29699842022116901</v>
      </c>
      <c r="X2670" s="845">
        <v>0.20744680851063829</v>
      </c>
      <c r="Y2670" s="845">
        <v>0.66342057212416317</v>
      </c>
      <c r="Z2670" s="845">
        <v>0.18928788800973828</v>
      </c>
      <c r="AA2670" s="845">
        <v>0</v>
      </c>
      <c r="AB2670" s="845">
        <v>3.6518563603164943E-3</v>
      </c>
      <c r="AC2670" s="845">
        <v>0</v>
      </c>
      <c r="AD2670" s="845">
        <v>3.0432136335970784E-3</v>
      </c>
      <c r="AE2670" s="845">
        <v>0.14059646987218502</v>
      </c>
      <c r="AF2670" s="845">
        <v>1.9476567255021303E-2</v>
      </c>
      <c r="AG2670" s="845">
        <v>0.66342057212416317</v>
      </c>
      <c r="AH2670" s="20" t="str">
        <f t="shared" si="196"/>
        <v>No</v>
      </c>
      <c r="AI2670" s="25"/>
      <c r="AJ2670" s="25"/>
      <c r="AK2670" s="25"/>
      <c r="AL2670" s="25"/>
      <c r="AM2670" s="25"/>
      <c r="AN2670" s="25"/>
      <c r="AO2670" s="25"/>
      <c r="AP2670" s="25"/>
      <c r="AQ2670" s="25"/>
      <c r="AR2670" s="25"/>
      <c r="AS2670" s="25"/>
      <c r="AT2670" s="25"/>
      <c r="AU2670" s="36"/>
      <c r="AV2670" s="36"/>
      <c r="AW2670" s="36"/>
      <c r="AX2670" s="25"/>
      <c r="AY2670" s="25"/>
      <c r="AZ2670" s="25"/>
      <c r="BA2670" s="25"/>
      <c r="BB2670" s="25"/>
      <c r="BC2670" s="25"/>
      <c r="BD2670" s="25"/>
      <c r="BE2670" s="25"/>
      <c r="BF2670" s="25"/>
      <c r="BG2670" s="25"/>
      <c r="BH2670" s="25"/>
      <c r="BI2670" s="25"/>
      <c r="BJ2670" s="25"/>
      <c r="BK2670" s="25"/>
      <c r="BL2670" s="25"/>
      <c r="BM2670" s="25"/>
      <c r="BN2670" s="25"/>
      <c r="BO2670" s="25"/>
      <c r="BP2670" s="25"/>
      <c r="BQ2670" s="25"/>
      <c r="BR2670" s="25"/>
      <c r="BS2670" s="25"/>
      <c r="BT2670" s="25"/>
      <c r="BU2670"/>
      <c r="BV2670"/>
      <c r="BW2670"/>
      <c r="BX2670"/>
      <c r="BY2670"/>
      <c r="BZ2670"/>
      <c r="CA2670"/>
      <c r="CB2670"/>
      <c r="CC2670"/>
      <c r="CD2670" s="25"/>
    </row>
    <row r="2671" spans="1:82" s="17" customFormat="1" x14ac:dyDescent="0.2">
      <c r="A2671" s="25"/>
      <c r="B2671" s="20">
        <v>39167021700</v>
      </c>
      <c r="C2671" s="20">
        <v>217</v>
      </c>
      <c r="D2671" s="20" t="s">
        <v>89</v>
      </c>
      <c r="E2671" s="20" t="s">
        <v>265</v>
      </c>
      <c r="F2671" s="20" t="s">
        <v>8</v>
      </c>
      <c r="G2671" s="861">
        <v>33.485511724437998</v>
      </c>
      <c r="H2671" s="861">
        <v>45.454676615292101</v>
      </c>
      <c r="I2671" s="861">
        <v>19.4603490577869</v>
      </c>
      <c r="J2671" s="861">
        <v>52.518700649591402</v>
      </c>
      <c r="K2671" s="982">
        <v>0</v>
      </c>
      <c r="L2671" s="735">
        <v>5964</v>
      </c>
      <c r="M2671" s="735">
        <v>5512</v>
      </c>
      <c r="N2671" s="845">
        <f t="shared" si="194"/>
        <v>-7.5788061703554663E-2</v>
      </c>
      <c r="O2671" s="735">
        <v>122.15075883108977</v>
      </c>
      <c r="P2671" s="735">
        <f t="shared" si="195"/>
        <v>45.124566173362872</v>
      </c>
      <c r="Q2671" s="849">
        <v>40.700000000000003</v>
      </c>
      <c r="R2671" s="71">
        <v>72009</v>
      </c>
      <c r="S2671" s="845">
        <v>0.15462563332707824</v>
      </c>
      <c r="T2671" s="845">
        <v>0.10300000000000001</v>
      </c>
      <c r="U2671" s="845">
        <v>2.6000000000000002E-2</v>
      </c>
      <c r="V2671" s="845">
        <v>0.10300000000000001</v>
      </c>
      <c r="W2671" s="845">
        <v>0.10708822029576746</v>
      </c>
      <c r="X2671" s="845">
        <v>0.22857142857142856</v>
      </c>
      <c r="Y2671" s="845">
        <v>0.83690130624092884</v>
      </c>
      <c r="Z2671" s="845">
        <v>3.3563134978229318E-2</v>
      </c>
      <c r="AA2671" s="845">
        <v>0</v>
      </c>
      <c r="AB2671" s="845">
        <v>0</v>
      </c>
      <c r="AC2671" s="845">
        <v>0</v>
      </c>
      <c r="AD2671" s="845">
        <v>1.5239477503628448E-2</v>
      </c>
      <c r="AE2671" s="845">
        <v>0.11429608127721336</v>
      </c>
      <c r="AF2671" s="845">
        <v>1.1429608127721336E-2</v>
      </c>
      <c r="AG2671" s="845">
        <v>0.82547169811320753</v>
      </c>
      <c r="AH2671" s="20" t="str">
        <f t="shared" si="196"/>
        <v>No</v>
      </c>
      <c r="AI2671" s="25"/>
      <c r="AJ2671" s="25"/>
      <c r="AK2671" s="25"/>
      <c r="AL2671" s="25"/>
      <c r="AM2671" s="25"/>
      <c r="AN2671" s="25"/>
      <c r="AO2671" s="25"/>
      <c r="AP2671" s="25"/>
      <c r="AQ2671" s="25"/>
      <c r="AR2671" s="25"/>
      <c r="AS2671" s="25"/>
      <c r="AT2671" s="25"/>
      <c r="AU2671" s="36"/>
      <c r="AV2671" s="36"/>
      <c r="AW2671" s="36"/>
      <c r="AX2671" s="25"/>
      <c r="AY2671" s="25"/>
      <c r="AZ2671" s="25"/>
      <c r="BA2671" s="25"/>
      <c r="BB2671" s="25"/>
      <c r="BC2671" s="25"/>
      <c r="BD2671" s="25"/>
      <c r="BE2671" s="25"/>
      <c r="BF2671" s="25"/>
      <c r="BG2671" s="25"/>
      <c r="BH2671" s="25"/>
      <c r="BI2671" s="25"/>
      <c r="BJ2671" s="25"/>
      <c r="BK2671" s="25"/>
      <c r="BL2671" s="25"/>
      <c r="BM2671" s="25"/>
      <c r="BN2671" s="25"/>
      <c r="BO2671" s="25"/>
      <c r="BP2671" s="25"/>
      <c r="BQ2671" s="25"/>
      <c r="BR2671" s="25"/>
      <c r="BS2671" s="25"/>
      <c r="BT2671" s="25"/>
      <c r="BU2671"/>
      <c r="BV2671"/>
      <c r="BW2671"/>
      <c r="BX2671"/>
      <c r="BY2671"/>
      <c r="BZ2671"/>
      <c r="CA2671"/>
      <c r="CB2671"/>
      <c r="CC2671"/>
      <c r="CD2671" s="25"/>
    </row>
    <row r="2672" spans="1:82" s="17" customFormat="1" x14ac:dyDescent="0.2">
      <c r="A2672" s="25"/>
      <c r="B2672" s="20">
        <v>39141955700</v>
      </c>
      <c r="C2672" s="20">
        <v>9557</v>
      </c>
      <c r="D2672" s="20" t="s">
        <v>76</v>
      </c>
      <c r="E2672" s="20" t="s">
        <v>265</v>
      </c>
      <c r="F2672" s="20" t="s">
        <v>8</v>
      </c>
      <c r="G2672" s="861">
        <v>33.465180170950902</v>
      </c>
      <c r="H2672" s="861">
        <v>43.990870393833902</v>
      </c>
      <c r="I2672" s="861">
        <v>20.170304533619898</v>
      </c>
      <c r="J2672" s="861">
        <v>48.503904852291399</v>
      </c>
      <c r="K2672" s="982">
        <v>0</v>
      </c>
      <c r="L2672" s="735">
        <v>5905</v>
      </c>
      <c r="M2672" s="735">
        <v>4689</v>
      </c>
      <c r="N2672" s="845">
        <f t="shared" si="194"/>
        <v>-0.20592718035563082</v>
      </c>
      <c r="O2672" s="735">
        <v>142.04200535885857</v>
      </c>
      <c r="P2672" s="735">
        <f t="shared" si="195"/>
        <v>33.011361590915236</v>
      </c>
      <c r="Q2672" s="849">
        <v>45.7</v>
      </c>
      <c r="R2672" s="71">
        <v>55648</v>
      </c>
      <c r="S2672" s="845">
        <v>0.11841822480120352</v>
      </c>
      <c r="T2672" s="845">
        <v>3.7000000000000005E-2</v>
      </c>
      <c r="U2672" s="845">
        <v>4.2999999999999997E-2</v>
      </c>
      <c r="V2672" s="845">
        <v>0</v>
      </c>
      <c r="W2672" s="845">
        <v>0.29484425349087001</v>
      </c>
      <c r="X2672" s="845">
        <v>0.25136612021857924</v>
      </c>
      <c r="Y2672" s="845">
        <v>0.90872254211985493</v>
      </c>
      <c r="Z2672" s="845">
        <v>1.3435700575815739E-2</v>
      </c>
      <c r="AA2672" s="845">
        <v>4.6918319471102579E-3</v>
      </c>
      <c r="AB2672" s="845">
        <v>1.3009170398805716E-2</v>
      </c>
      <c r="AC2672" s="845">
        <v>0</v>
      </c>
      <c r="AD2672" s="845">
        <v>2.5591810620601407E-2</v>
      </c>
      <c r="AE2672" s="845">
        <v>3.4548944337811902E-2</v>
      </c>
      <c r="AF2672" s="845">
        <v>4.0520366815952231E-3</v>
      </c>
      <c r="AG2672" s="845">
        <v>0.90829601194284493</v>
      </c>
      <c r="AH2672" s="20" t="str">
        <f t="shared" si="196"/>
        <v>Yes</v>
      </c>
      <c r="AI2672" s="25"/>
      <c r="AJ2672" s="25"/>
      <c r="AK2672" s="25"/>
      <c r="AL2672" s="25"/>
      <c r="AM2672" s="25"/>
      <c r="AN2672" s="25"/>
      <c r="AO2672" s="25"/>
      <c r="AP2672" s="25"/>
      <c r="AQ2672" s="25"/>
      <c r="AR2672" s="25"/>
      <c r="AS2672" s="25"/>
      <c r="AT2672" s="25"/>
      <c r="AU2672" s="36"/>
      <c r="AV2672" s="36"/>
      <c r="AW2672" s="36"/>
      <c r="AX2672" s="25"/>
      <c r="AY2672" s="25"/>
      <c r="AZ2672" s="25"/>
      <c r="BA2672" s="25"/>
      <c r="BB2672" s="25"/>
      <c r="BC2672" s="25"/>
      <c r="BD2672" s="25"/>
      <c r="BE2672" s="25"/>
      <c r="BF2672" s="25"/>
      <c r="BG2672" s="25"/>
      <c r="BH2672" s="25"/>
      <c r="BI2672" s="25"/>
      <c r="BJ2672" s="25"/>
      <c r="BK2672" s="25"/>
      <c r="BL2672" s="25"/>
      <c r="BM2672" s="25"/>
      <c r="BN2672" s="25"/>
      <c r="BO2672" s="25"/>
      <c r="BP2672" s="25"/>
      <c r="BQ2672" s="25"/>
      <c r="BR2672" s="25"/>
      <c r="BS2672" s="25"/>
      <c r="BT2672" s="25"/>
      <c r="BU2672"/>
      <c r="BV2672"/>
      <c r="BW2672"/>
      <c r="BX2672"/>
      <c r="BY2672"/>
      <c r="BZ2672"/>
      <c r="CA2672"/>
      <c r="CB2672"/>
      <c r="CC2672"/>
      <c r="CD2672" s="25"/>
    </row>
    <row r="2673" spans="1:82" s="17" customFormat="1" x14ac:dyDescent="0.2">
      <c r="A2673" s="25"/>
      <c r="B2673" s="20">
        <v>39151701200</v>
      </c>
      <c r="C2673" s="20">
        <v>7012</v>
      </c>
      <c r="D2673" s="20" t="s">
        <v>81</v>
      </c>
      <c r="E2673" s="20" t="s">
        <v>2844</v>
      </c>
      <c r="F2673" s="20" t="s">
        <v>8</v>
      </c>
      <c r="G2673" s="861">
        <v>33.453441894842399</v>
      </c>
      <c r="H2673" s="861">
        <v>46.987243062508803</v>
      </c>
      <c r="I2673" s="861">
        <v>34.2409069724307</v>
      </c>
      <c r="J2673" s="861">
        <v>10.0061463839435</v>
      </c>
      <c r="K2673" s="982">
        <v>0</v>
      </c>
      <c r="L2673" s="735">
        <v>3599</v>
      </c>
      <c r="M2673" s="735">
        <v>3534</v>
      </c>
      <c r="N2673" s="845">
        <f t="shared" si="194"/>
        <v>-1.8060572381217006E-2</v>
      </c>
      <c r="O2673" s="735">
        <v>0.69252943404439027</v>
      </c>
      <c r="P2673" s="735">
        <f t="shared" si="195"/>
        <v>5103.0321980126482</v>
      </c>
      <c r="Q2673" s="849">
        <v>39.200000000000003</v>
      </c>
      <c r="R2673" s="71">
        <v>51061</v>
      </c>
      <c r="S2673" s="845">
        <v>9.5866819747416759E-2</v>
      </c>
      <c r="T2673" s="845">
        <v>0.03</v>
      </c>
      <c r="U2673" s="845">
        <v>0</v>
      </c>
      <c r="V2673" s="845">
        <v>3.7000000000000005E-2</v>
      </c>
      <c r="W2673" s="845">
        <v>0.4649399873657612</v>
      </c>
      <c r="X2673" s="845">
        <v>0.375</v>
      </c>
      <c r="Y2673" s="845">
        <v>0.70458404074702885</v>
      </c>
      <c r="Z2673" s="845">
        <v>0.18788907753254103</v>
      </c>
      <c r="AA2673" s="845">
        <v>0</v>
      </c>
      <c r="AB2673" s="845">
        <v>4.2444821731748728E-3</v>
      </c>
      <c r="AC2673" s="845">
        <v>0</v>
      </c>
      <c r="AD2673" s="845">
        <v>5.9422750424448214E-3</v>
      </c>
      <c r="AE2673" s="845">
        <v>9.7340124504810416E-2</v>
      </c>
      <c r="AF2673" s="845">
        <v>1.7826825127334467E-2</v>
      </c>
      <c r="AG2673" s="845">
        <v>0.70458404074702885</v>
      </c>
      <c r="AH2673" s="20" t="str">
        <f t="shared" si="196"/>
        <v>No</v>
      </c>
      <c r="AI2673" s="25"/>
      <c r="AJ2673" s="25"/>
      <c r="AK2673" s="25"/>
      <c r="AL2673" s="25"/>
      <c r="AM2673" s="25"/>
      <c r="AN2673" s="25"/>
      <c r="AO2673" s="25"/>
      <c r="AP2673" s="25"/>
      <c r="AQ2673" s="25"/>
      <c r="AR2673" s="25"/>
      <c r="AS2673" s="25"/>
      <c r="AT2673" s="25"/>
      <c r="AU2673" s="36"/>
      <c r="AV2673" s="36"/>
      <c r="AW2673" s="36"/>
      <c r="AX2673" s="25"/>
      <c r="AY2673" s="25"/>
      <c r="AZ2673" s="25"/>
      <c r="BA2673" s="25"/>
      <c r="BB2673" s="25"/>
      <c r="BC2673" s="25"/>
      <c r="BD2673" s="25"/>
      <c r="BE2673" s="25"/>
      <c r="BF2673" s="25"/>
      <c r="BG2673" s="25"/>
      <c r="BH2673" s="25"/>
      <c r="BI2673" s="25"/>
      <c r="BJ2673" s="25"/>
      <c r="BK2673" s="25"/>
      <c r="BL2673" s="25"/>
      <c r="BM2673" s="25"/>
      <c r="BN2673" s="25"/>
      <c r="BO2673" s="25"/>
      <c r="BP2673" s="25"/>
      <c r="BQ2673" s="25"/>
      <c r="BR2673" s="25"/>
      <c r="BS2673" s="25"/>
      <c r="BT2673" s="25"/>
      <c r="BU2673"/>
      <c r="BV2673"/>
      <c r="BW2673"/>
      <c r="BX2673"/>
      <c r="BY2673"/>
      <c r="BZ2673"/>
      <c r="CA2673"/>
      <c r="CB2673"/>
      <c r="CC2673"/>
      <c r="CD2673" s="25"/>
    </row>
    <row r="2674" spans="1:82" s="17" customFormat="1" x14ac:dyDescent="0.2">
      <c r="A2674" s="25"/>
      <c r="B2674" s="20">
        <v>39101000200</v>
      </c>
      <c r="C2674" s="20">
        <v>2</v>
      </c>
      <c r="D2674" s="20" t="s">
        <v>56</v>
      </c>
      <c r="E2674" s="20" t="s">
        <v>265</v>
      </c>
      <c r="F2674" s="20" t="s">
        <v>6</v>
      </c>
      <c r="G2674" s="861">
        <v>33.439912698205603</v>
      </c>
      <c r="H2674" s="861">
        <v>48.892021018290897</v>
      </c>
      <c r="I2674" s="861">
        <v>43.557724214317197</v>
      </c>
      <c r="J2674" s="861">
        <v>43.088219840869897</v>
      </c>
      <c r="K2674" s="982">
        <v>0</v>
      </c>
      <c r="L2674" s="735">
        <v>3177</v>
      </c>
      <c r="M2674" s="735">
        <v>2559</v>
      </c>
      <c r="N2674" s="845">
        <f t="shared" si="194"/>
        <v>-0.19452313503305005</v>
      </c>
      <c r="O2674" s="735">
        <v>0.91353894284866044</v>
      </c>
      <c r="P2674" s="735">
        <f t="shared" si="195"/>
        <v>2801.1942129367235</v>
      </c>
      <c r="Q2674" s="849">
        <v>44</v>
      </c>
      <c r="R2674" s="71">
        <v>36411</v>
      </c>
      <c r="S2674" s="845">
        <v>0.23650282030620468</v>
      </c>
      <c r="T2674" s="845">
        <v>0.03</v>
      </c>
      <c r="U2674" s="845">
        <v>2.5000000000000001E-2</v>
      </c>
      <c r="V2674" s="845">
        <v>0</v>
      </c>
      <c r="W2674" s="845">
        <v>0.55789473684210522</v>
      </c>
      <c r="X2674" s="845">
        <v>0.38078902229845624</v>
      </c>
      <c r="Y2674" s="845">
        <v>0.9222352481438062</v>
      </c>
      <c r="Z2674" s="845">
        <v>2.8526768268855023E-2</v>
      </c>
      <c r="AA2674" s="845">
        <v>0</v>
      </c>
      <c r="AB2674" s="845">
        <v>0</v>
      </c>
      <c r="AC2674" s="845">
        <v>0</v>
      </c>
      <c r="AD2674" s="845">
        <v>8.9878858929269244E-3</v>
      </c>
      <c r="AE2674" s="845">
        <v>4.0250097694411881E-2</v>
      </c>
      <c r="AF2674" s="845">
        <v>1.0550996483001172E-2</v>
      </c>
      <c r="AG2674" s="845">
        <v>0.91832747166862061</v>
      </c>
      <c r="AH2674" s="20" t="str">
        <f t="shared" si="196"/>
        <v>Yes</v>
      </c>
      <c r="AI2674" s="25"/>
      <c r="AJ2674" s="25"/>
      <c r="AK2674" s="25"/>
      <c r="AL2674" s="25"/>
      <c r="AM2674" s="25"/>
      <c r="AN2674" s="25"/>
      <c r="AO2674" s="25"/>
      <c r="AP2674" s="25"/>
      <c r="AQ2674" s="25"/>
      <c r="AR2674" s="25"/>
      <c r="AS2674" s="25"/>
      <c r="AT2674" s="25"/>
      <c r="AU2674" s="36"/>
      <c r="AV2674" s="36"/>
      <c r="AW2674" s="36"/>
      <c r="AX2674" s="25"/>
      <c r="AY2674" s="25"/>
      <c r="AZ2674" s="25"/>
      <c r="BA2674" s="25"/>
      <c r="BB2674" s="25"/>
      <c r="BC2674" s="25"/>
      <c r="BD2674" s="25"/>
      <c r="BE2674" s="25"/>
      <c r="BF2674" s="25"/>
      <c r="BG2674" s="25"/>
      <c r="BH2674" s="25"/>
      <c r="BI2674" s="25"/>
      <c r="BJ2674" s="25"/>
      <c r="BK2674" s="25"/>
      <c r="BL2674" s="25"/>
      <c r="BM2674" s="25"/>
      <c r="BN2674" s="25"/>
      <c r="BO2674" s="25"/>
      <c r="BP2674" s="25"/>
      <c r="BQ2674" s="25"/>
      <c r="BR2674" s="25"/>
      <c r="BS2674" s="25"/>
      <c r="BT2674" s="25"/>
      <c r="BU2674"/>
      <c r="BV2674"/>
      <c r="BW2674"/>
      <c r="BX2674"/>
      <c r="BY2674"/>
      <c r="BZ2674"/>
      <c r="CA2674"/>
      <c r="CB2674"/>
      <c r="CC2674"/>
      <c r="CD2674" s="25"/>
    </row>
    <row r="2675" spans="1:82" s="17" customFormat="1" x14ac:dyDescent="0.2">
      <c r="A2675" s="25"/>
      <c r="B2675" s="20">
        <v>39121968300</v>
      </c>
      <c r="C2675" s="20">
        <v>9683</v>
      </c>
      <c r="D2675" s="20" t="s">
        <v>66</v>
      </c>
      <c r="E2675" s="20" t="s">
        <v>265</v>
      </c>
      <c r="F2675" s="20" t="s">
        <v>8</v>
      </c>
      <c r="G2675" s="861">
        <v>33.4285487721625</v>
      </c>
      <c r="H2675" s="861">
        <v>29.403364027638599</v>
      </c>
      <c r="I2675" s="861">
        <v>30.223071967320401</v>
      </c>
      <c r="J2675" s="861">
        <v>64.665748200172501</v>
      </c>
      <c r="K2675" s="982">
        <v>0</v>
      </c>
      <c r="L2675" s="735">
        <v>4071</v>
      </c>
      <c r="M2675" s="735">
        <v>3942</v>
      </c>
      <c r="N2675" s="845">
        <f t="shared" si="194"/>
        <v>-3.1687546057479733E-2</v>
      </c>
      <c r="O2675" s="735">
        <v>144.76467229805161</v>
      </c>
      <c r="P2675" s="735">
        <f t="shared" si="195"/>
        <v>27.230400465964067</v>
      </c>
      <c r="Q2675" s="849">
        <v>51.2</v>
      </c>
      <c r="R2675" s="71">
        <v>63835</v>
      </c>
      <c r="S2675" s="845">
        <v>0.10175082466379091</v>
      </c>
      <c r="T2675" s="845">
        <v>0.04</v>
      </c>
      <c r="U2675" s="845">
        <v>0.01</v>
      </c>
      <c r="V2675" s="845">
        <v>0</v>
      </c>
      <c r="W2675" s="845">
        <v>8.7078651685393263E-2</v>
      </c>
      <c r="X2675" s="845">
        <v>8.8709677419354843E-2</v>
      </c>
      <c r="Y2675" s="845">
        <v>0.9969558599695586</v>
      </c>
      <c r="Z2675" s="845">
        <v>0</v>
      </c>
      <c r="AA2675" s="845">
        <v>0</v>
      </c>
      <c r="AB2675" s="845">
        <v>0</v>
      </c>
      <c r="AC2675" s="845">
        <v>0</v>
      </c>
      <c r="AD2675" s="845">
        <v>0</v>
      </c>
      <c r="AE2675" s="845">
        <v>3.0441400304414001E-3</v>
      </c>
      <c r="AF2675" s="845">
        <v>1.2683916793505834E-3</v>
      </c>
      <c r="AG2675" s="845">
        <v>0.99568746829020804</v>
      </c>
      <c r="AH2675" s="20" t="str">
        <f t="shared" si="196"/>
        <v>Yes</v>
      </c>
      <c r="AI2675" s="25"/>
      <c r="AJ2675" s="25"/>
      <c r="AK2675" s="25"/>
      <c r="AL2675" s="25"/>
      <c r="AM2675" s="25"/>
      <c r="AN2675" s="25"/>
      <c r="AO2675" s="25"/>
      <c r="AP2675" s="25"/>
      <c r="AQ2675" s="25"/>
      <c r="AR2675" s="25"/>
      <c r="AS2675" s="25"/>
      <c r="AT2675" s="25"/>
      <c r="AU2675" s="36"/>
      <c r="AV2675" s="36"/>
      <c r="AW2675" s="36"/>
      <c r="AX2675" s="25"/>
      <c r="AY2675" s="25"/>
      <c r="AZ2675" s="25"/>
      <c r="BA2675" s="25"/>
      <c r="BB2675" s="25"/>
      <c r="BC2675" s="25"/>
      <c r="BD2675" s="25"/>
      <c r="BE2675" s="25"/>
      <c r="BF2675" s="25"/>
      <c r="BG2675" s="25"/>
      <c r="BH2675" s="25"/>
      <c r="BI2675" s="25"/>
      <c r="BJ2675" s="25"/>
      <c r="BK2675" s="25"/>
      <c r="BL2675" s="25"/>
      <c r="BM2675" s="25"/>
      <c r="BN2675" s="25"/>
      <c r="BO2675" s="25"/>
      <c r="BP2675" s="25"/>
      <c r="BQ2675" s="25"/>
      <c r="BR2675" s="25"/>
      <c r="BS2675" s="25"/>
      <c r="BT2675" s="25"/>
      <c r="BU2675"/>
      <c r="BV2675"/>
      <c r="BW2675"/>
      <c r="BX2675"/>
      <c r="BY2675"/>
      <c r="BZ2675"/>
      <c r="CA2675"/>
      <c r="CB2675"/>
      <c r="CC2675"/>
      <c r="CD2675" s="25"/>
    </row>
    <row r="2676" spans="1:82" s="17" customFormat="1" x14ac:dyDescent="0.2">
      <c r="A2676" s="25"/>
      <c r="B2676" s="20">
        <v>39019720700</v>
      </c>
      <c r="C2676" s="20">
        <v>7207</v>
      </c>
      <c r="D2676" s="20" t="s">
        <v>16</v>
      </c>
      <c r="E2676" s="20" t="s">
        <v>2844</v>
      </c>
      <c r="F2676" s="20" t="s">
        <v>8</v>
      </c>
      <c r="G2676" s="861">
        <v>33.408125384988097</v>
      </c>
      <c r="H2676" s="861">
        <v>34.008655145969499</v>
      </c>
      <c r="I2676" s="861">
        <v>21.064710567014099</v>
      </c>
      <c r="J2676" s="861">
        <v>51.022675552441697</v>
      </c>
      <c r="K2676" s="982">
        <v>0</v>
      </c>
      <c r="L2676" s="735">
        <v>3182</v>
      </c>
      <c r="M2676" s="735">
        <v>3096</v>
      </c>
      <c r="N2676" s="845">
        <f t="shared" si="194"/>
        <v>-2.7027027027027029E-2</v>
      </c>
      <c r="O2676" s="735">
        <v>71.850689306832379</v>
      </c>
      <c r="P2676" s="735">
        <f t="shared" si="195"/>
        <v>43.089356968849529</v>
      </c>
      <c r="Q2676" s="849">
        <v>51.9</v>
      </c>
      <c r="R2676" s="71">
        <v>73125</v>
      </c>
      <c r="S2676" s="845">
        <v>0.1323915900131406</v>
      </c>
      <c r="T2676" s="845">
        <v>0.05</v>
      </c>
      <c r="U2676" s="845">
        <v>8.0000000000000002E-3</v>
      </c>
      <c r="V2676" s="845">
        <v>0</v>
      </c>
      <c r="W2676" s="845">
        <v>0.22230320699708456</v>
      </c>
      <c r="X2676" s="845">
        <v>0.16065573770491803</v>
      </c>
      <c r="Y2676" s="845">
        <v>0.98417312661498713</v>
      </c>
      <c r="Z2676" s="845">
        <v>6.459948320413437E-4</v>
      </c>
      <c r="AA2676" s="845">
        <v>0</v>
      </c>
      <c r="AB2676" s="845">
        <v>0</v>
      </c>
      <c r="AC2676" s="845">
        <v>0</v>
      </c>
      <c r="AD2676" s="845">
        <v>0</v>
      </c>
      <c r="AE2676" s="845">
        <v>1.5180878552971577E-2</v>
      </c>
      <c r="AF2676" s="845">
        <v>3.875968992248062E-3</v>
      </c>
      <c r="AG2676" s="845">
        <v>0.98029715762273906</v>
      </c>
      <c r="AH2676" s="20" t="str">
        <f t="shared" si="196"/>
        <v>Yes</v>
      </c>
      <c r="AI2676" s="25"/>
      <c r="AJ2676" s="25"/>
      <c r="AK2676" s="25"/>
      <c r="AL2676" s="25"/>
      <c r="AM2676" s="25"/>
      <c r="AN2676" s="25"/>
      <c r="AO2676" s="25"/>
      <c r="AP2676" s="25"/>
      <c r="AQ2676" s="25"/>
      <c r="AR2676" s="25"/>
      <c r="AS2676" s="25"/>
      <c r="AT2676" s="25"/>
      <c r="AU2676" s="36"/>
      <c r="AV2676" s="36"/>
      <c r="AW2676" s="36"/>
      <c r="AX2676" s="25"/>
      <c r="AY2676" s="25"/>
      <c r="AZ2676" s="25"/>
      <c r="BA2676" s="25"/>
      <c r="BB2676" s="25"/>
      <c r="BC2676" s="25"/>
      <c r="BD2676" s="25"/>
      <c r="BE2676" s="25"/>
      <c r="BF2676" s="25"/>
      <c r="BG2676" s="25"/>
      <c r="BH2676" s="25"/>
      <c r="BI2676" s="25"/>
      <c r="BJ2676" s="25"/>
      <c r="BK2676" s="25"/>
      <c r="BL2676" s="25"/>
      <c r="BM2676" s="25"/>
      <c r="BN2676" s="25"/>
      <c r="BO2676" s="25"/>
      <c r="BP2676" s="25"/>
      <c r="BQ2676" s="25"/>
      <c r="BR2676" s="25"/>
      <c r="BS2676" s="25"/>
      <c r="BT2676" s="25"/>
      <c r="BU2676"/>
      <c r="BV2676"/>
      <c r="BW2676"/>
      <c r="BX2676"/>
      <c r="BY2676"/>
      <c r="BZ2676"/>
      <c r="CA2676"/>
      <c r="CB2676"/>
      <c r="CC2676"/>
      <c r="CD2676" s="25"/>
    </row>
    <row r="2677" spans="1:82" s="17" customFormat="1" x14ac:dyDescent="0.2">
      <c r="A2677" s="25"/>
      <c r="B2677" s="20">
        <v>39025041102</v>
      </c>
      <c r="C2677" s="20">
        <v>411.02</v>
      </c>
      <c r="D2677" s="20" t="s">
        <v>19</v>
      </c>
      <c r="E2677" s="20" t="s">
        <v>2828</v>
      </c>
      <c r="F2677" s="20" t="s">
        <v>8</v>
      </c>
      <c r="G2677" s="861">
        <v>33.359136300701699</v>
      </c>
      <c r="H2677" s="861">
        <v>41.636032807095503</v>
      </c>
      <c r="I2677" s="861">
        <v>17.690731268594899</v>
      </c>
      <c r="J2677" s="861">
        <v>43.587664017317302</v>
      </c>
      <c r="K2677" s="982">
        <v>0</v>
      </c>
      <c r="L2677" s="735">
        <v>4492</v>
      </c>
      <c r="M2677" s="735">
        <v>5536</v>
      </c>
      <c r="N2677" s="845">
        <f t="shared" si="194"/>
        <v>0.23241317898486197</v>
      </c>
      <c r="O2677" s="735">
        <v>5.3175614771451603</v>
      </c>
      <c r="P2677" s="735">
        <f t="shared" si="195"/>
        <v>1041.0787019188565</v>
      </c>
      <c r="Q2677" s="849">
        <v>35.700000000000003</v>
      </c>
      <c r="R2677" s="71">
        <v>56165</v>
      </c>
      <c r="S2677" s="845">
        <v>0.23283959537572255</v>
      </c>
      <c r="T2677" s="845">
        <v>2.1000000000000001E-2</v>
      </c>
      <c r="U2677" s="845">
        <v>0</v>
      </c>
      <c r="V2677" s="845">
        <v>9.0000000000000011E-3</v>
      </c>
      <c r="W2677" s="845">
        <v>0.52657882780554288</v>
      </c>
      <c r="X2677" s="845">
        <v>0.40293356341673858</v>
      </c>
      <c r="Y2677" s="845">
        <v>0.90859826589595372</v>
      </c>
      <c r="Z2677" s="845">
        <v>3.4320809248554913E-2</v>
      </c>
      <c r="AA2677" s="845">
        <v>1.2644508670520231E-3</v>
      </c>
      <c r="AB2677" s="845">
        <v>2.1856936416184972E-2</v>
      </c>
      <c r="AC2677" s="845">
        <v>0</v>
      </c>
      <c r="AD2677" s="845">
        <v>5.0578034682080926E-3</v>
      </c>
      <c r="AE2677" s="845">
        <v>2.8901734104046242E-2</v>
      </c>
      <c r="AF2677" s="845">
        <v>2.5289017341040463E-3</v>
      </c>
      <c r="AG2677" s="845">
        <v>0.90606936416184969</v>
      </c>
      <c r="AH2677" s="20" t="str">
        <f t="shared" si="196"/>
        <v>Yes</v>
      </c>
      <c r="AI2677" s="25"/>
      <c r="AJ2677" s="25"/>
      <c r="AK2677" s="25"/>
      <c r="AL2677" s="25"/>
      <c r="AM2677" s="25"/>
      <c r="AN2677" s="25"/>
      <c r="AO2677" s="25"/>
      <c r="AP2677" s="25"/>
      <c r="AQ2677" s="25"/>
      <c r="AR2677" s="25"/>
      <c r="AS2677" s="25"/>
      <c r="AT2677" s="25"/>
      <c r="AU2677" s="36"/>
      <c r="AV2677" s="36"/>
      <c r="AW2677" s="36"/>
      <c r="AX2677" s="25"/>
      <c r="AY2677" s="25"/>
      <c r="AZ2677" s="25"/>
      <c r="BA2677" s="25"/>
      <c r="BB2677" s="25"/>
      <c r="BC2677" s="25"/>
      <c r="BD2677" s="25"/>
      <c r="BE2677" s="25"/>
      <c r="BF2677" s="25"/>
      <c r="BG2677" s="25"/>
      <c r="BH2677" s="25"/>
      <c r="BI2677" s="25"/>
      <c r="BJ2677" s="25"/>
      <c r="BK2677" s="25"/>
      <c r="BL2677" s="25"/>
      <c r="BM2677" s="25"/>
      <c r="BN2677" s="25"/>
      <c r="BO2677" s="25"/>
      <c r="BP2677" s="25"/>
      <c r="BQ2677" s="25"/>
      <c r="BR2677" s="25"/>
      <c r="BS2677" s="25"/>
      <c r="BT2677" s="25"/>
      <c r="BU2677"/>
      <c r="BV2677"/>
      <c r="BW2677"/>
      <c r="BX2677"/>
      <c r="BY2677"/>
      <c r="BZ2677"/>
      <c r="CA2677"/>
      <c r="CB2677"/>
      <c r="CC2677"/>
      <c r="CD2677" s="25"/>
    </row>
    <row r="2678" spans="1:82" s="17" customFormat="1" x14ac:dyDescent="0.2">
      <c r="A2678" s="25"/>
      <c r="B2678" s="20">
        <v>39047926100</v>
      </c>
      <c r="C2678" s="20">
        <v>9261</v>
      </c>
      <c r="D2678" s="20" t="s">
        <v>30</v>
      </c>
      <c r="E2678" s="20" t="s">
        <v>265</v>
      </c>
      <c r="F2678" s="20" t="s">
        <v>8</v>
      </c>
      <c r="G2678" s="861">
        <v>33.349353713620403</v>
      </c>
      <c r="H2678" s="861">
        <v>34.104810059739897</v>
      </c>
      <c r="I2678" s="861">
        <v>32.625232389719997</v>
      </c>
      <c r="J2678" s="861">
        <v>44.442613002678101</v>
      </c>
      <c r="K2678" s="982">
        <v>0</v>
      </c>
      <c r="L2678" s="735">
        <v>4908</v>
      </c>
      <c r="M2678" s="735">
        <v>5452</v>
      </c>
      <c r="N2678" s="845">
        <f t="shared" si="194"/>
        <v>0.11083944580277098</v>
      </c>
      <c r="O2678" s="735">
        <v>6.9879247437935152</v>
      </c>
      <c r="P2678" s="735">
        <f t="shared" si="195"/>
        <v>780.2030216256004</v>
      </c>
      <c r="Q2678" s="849">
        <v>35.6</v>
      </c>
      <c r="R2678" s="71">
        <v>40156</v>
      </c>
      <c r="S2678" s="845">
        <v>0.2675547098001903</v>
      </c>
      <c r="T2678" s="845">
        <v>9.1999999999999998E-2</v>
      </c>
      <c r="U2678" s="845">
        <v>0</v>
      </c>
      <c r="V2678" s="845">
        <v>0</v>
      </c>
      <c r="W2678" s="845">
        <v>0.5532613796339747</v>
      </c>
      <c r="X2678" s="845">
        <v>0.44189991518235794</v>
      </c>
      <c r="Y2678" s="845">
        <v>0.86188554658840788</v>
      </c>
      <c r="Z2678" s="845">
        <v>4.0902421129860603E-2</v>
      </c>
      <c r="AA2678" s="845">
        <v>0</v>
      </c>
      <c r="AB2678" s="845">
        <v>0</v>
      </c>
      <c r="AC2678" s="845">
        <v>0</v>
      </c>
      <c r="AD2678" s="845">
        <v>1.0088041085840058E-2</v>
      </c>
      <c r="AE2678" s="845">
        <v>8.7123991195891412E-2</v>
      </c>
      <c r="AF2678" s="845">
        <v>1.0088041085840058E-2</v>
      </c>
      <c r="AG2678" s="845">
        <v>0.86188554658840788</v>
      </c>
      <c r="AH2678" s="20" t="str">
        <f t="shared" si="196"/>
        <v>No</v>
      </c>
      <c r="AI2678" s="25"/>
      <c r="AJ2678" s="25"/>
      <c r="AK2678" s="25"/>
      <c r="AL2678" s="25"/>
      <c r="AM2678" s="25"/>
      <c r="AN2678" s="25"/>
      <c r="AO2678" s="25"/>
      <c r="AP2678" s="25"/>
      <c r="AQ2678" s="25"/>
      <c r="AR2678" s="25"/>
      <c r="AS2678" s="25"/>
      <c r="AT2678" s="25"/>
      <c r="AU2678" s="36"/>
      <c r="AV2678" s="36"/>
      <c r="AW2678" s="36"/>
      <c r="AX2678" s="25"/>
      <c r="AY2678" s="25"/>
      <c r="AZ2678" s="25"/>
      <c r="BA2678" s="25"/>
      <c r="BB2678" s="25"/>
      <c r="BC2678" s="25"/>
      <c r="BD2678" s="25"/>
      <c r="BE2678" s="25"/>
      <c r="BF2678" s="25"/>
      <c r="BG2678" s="25"/>
      <c r="BH2678" s="25"/>
      <c r="BI2678" s="25"/>
      <c r="BJ2678" s="25"/>
      <c r="BK2678" s="25"/>
      <c r="BL2678" s="25"/>
      <c r="BM2678" s="25"/>
      <c r="BN2678" s="25"/>
      <c r="BO2678" s="25"/>
      <c r="BP2678" s="25"/>
      <c r="BQ2678" s="25"/>
      <c r="BR2678" s="25"/>
      <c r="BS2678" s="25"/>
      <c r="BT2678" s="25"/>
      <c r="BU2678"/>
      <c r="BV2678"/>
      <c r="BW2678"/>
      <c r="BX2678"/>
      <c r="BY2678"/>
      <c r="BZ2678"/>
      <c r="CA2678"/>
      <c r="CB2678"/>
      <c r="CC2678"/>
      <c r="CD2678" s="25"/>
    </row>
    <row r="2679" spans="1:82" s="17" customFormat="1" x14ac:dyDescent="0.2">
      <c r="A2679" s="25"/>
      <c r="B2679" s="20">
        <v>39049005002</v>
      </c>
      <c r="C2679" s="20">
        <v>50.02</v>
      </c>
      <c r="D2679" s="20" t="s">
        <v>31</v>
      </c>
      <c r="E2679" s="20" t="s">
        <v>2830</v>
      </c>
      <c r="F2679" s="20" t="s">
        <v>6</v>
      </c>
      <c r="G2679" s="861">
        <v>33.314850393356998</v>
      </c>
      <c r="H2679" s="861">
        <v>43.777260093074801</v>
      </c>
      <c r="I2679" s="861">
        <v>35.856268328624097</v>
      </c>
      <c r="J2679" s="861">
        <v>54.651712161727801</v>
      </c>
      <c r="K2679" s="982">
        <v>0</v>
      </c>
      <c r="L2679" s="735" t="s">
        <v>2466</v>
      </c>
      <c r="M2679" s="735">
        <v>4028</v>
      </c>
      <c r="N2679" s="845" t="str">
        <f t="shared" si="194"/>
        <v/>
      </c>
      <c r="O2679" s="735">
        <v>0.54749247478205609</v>
      </c>
      <c r="P2679" s="735">
        <f t="shared" si="195"/>
        <v>7357.1787477142079</v>
      </c>
      <c r="Q2679" s="849">
        <v>32.200000000000003</v>
      </c>
      <c r="R2679" s="71">
        <v>21549</v>
      </c>
      <c r="S2679" s="845">
        <v>0.49623115577889448</v>
      </c>
      <c r="T2679" s="845">
        <v>0.126</v>
      </c>
      <c r="U2679" s="845">
        <v>2.7999999999999997E-2</v>
      </c>
      <c r="V2679" s="845">
        <v>2.8999999999999998E-2</v>
      </c>
      <c r="W2679" s="845">
        <v>0.82839506172839505</v>
      </c>
      <c r="X2679" s="845">
        <v>0.37779433681073027</v>
      </c>
      <c r="Y2679" s="845">
        <v>0.57323733862959281</v>
      </c>
      <c r="Z2679" s="845">
        <v>0.29369414101290964</v>
      </c>
      <c r="AA2679" s="845">
        <v>0</v>
      </c>
      <c r="AB2679" s="845">
        <v>0</v>
      </c>
      <c r="AC2679" s="845">
        <v>0</v>
      </c>
      <c r="AD2679" s="845">
        <v>8.937437934458789E-2</v>
      </c>
      <c r="AE2679" s="845">
        <v>4.3694141012909631E-2</v>
      </c>
      <c r="AF2679" s="845">
        <v>8.0933465739821256E-2</v>
      </c>
      <c r="AG2679" s="845">
        <v>0.55883813306852037</v>
      </c>
      <c r="AH2679" s="20" t="str">
        <f t="shared" si="196"/>
        <v>No</v>
      </c>
      <c r="AI2679" s="25"/>
      <c r="AJ2679" s="25"/>
      <c r="AK2679" s="25"/>
      <c r="AL2679" s="25"/>
      <c r="AM2679" s="25"/>
      <c r="AN2679" s="25"/>
      <c r="AO2679" s="25"/>
      <c r="AP2679" s="25"/>
      <c r="AQ2679" s="25"/>
      <c r="AR2679" s="25"/>
      <c r="AS2679" s="25"/>
      <c r="AT2679" s="25"/>
      <c r="AU2679" s="36"/>
      <c r="AV2679" s="36"/>
      <c r="AW2679" s="36"/>
      <c r="AX2679" s="25"/>
      <c r="AY2679" s="25"/>
      <c r="AZ2679" s="25"/>
      <c r="BA2679" s="25"/>
      <c r="BB2679" s="25"/>
      <c r="BC2679" s="25"/>
      <c r="BD2679" s="25"/>
      <c r="BE2679" s="25"/>
      <c r="BF2679" s="25"/>
      <c r="BG2679" s="25"/>
      <c r="BH2679" s="25"/>
      <c r="BI2679" s="25"/>
      <c r="BJ2679" s="25"/>
      <c r="BK2679" s="25"/>
      <c r="BL2679" s="25"/>
      <c r="BM2679" s="25"/>
      <c r="BN2679" s="25"/>
      <c r="BO2679" s="25"/>
      <c r="BP2679" s="25"/>
      <c r="BQ2679" s="25"/>
      <c r="BR2679" s="25"/>
      <c r="BS2679" s="25"/>
      <c r="BT2679" s="25"/>
      <c r="BU2679"/>
      <c r="BV2679"/>
      <c r="BW2679"/>
      <c r="BX2679"/>
      <c r="BY2679"/>
      <c r="BZ2679"/>
      <c r="CA2679"/>
      <c r="CB2679"/>
      <c r="CC2679"/>
      <c r="CD2679" s="25"/>
    </row>
    <row r="2680" spans="1:82" s="17" customFormat="1" x14ac:dyDescent="0.2">
      <c r="A2680" s="25"/>
      <c r="B2680" s="20">
        <v>39099810600</v>
      </c>
      <c r="C2680" s="20">
        <v>8106</v>
      </c>
      <c r="D2680" s="20" t="s">
        <v>55</v>
      </c>
      <c r="E2680" s="20" t="s">
        <v>2842</v>
      </c>
      <c r="F2680" s="20" t="s">
        <v>8</v>
      </c>
      <c r="G2680" s="861">
        <v>33.314607719053797</v>
      </c>
      <c r="H2680" s="861">
        <v>43.572015130832703</v>
      </c>
      <c r="I2680" s="861">
        <v>52.899544538575498</v>
      </c>
      <c r="J2680" s="861">
        <v>29.485614926823601</v>
      </c>
      <c r="K2680" s="982">
        <v>0</v>
      </c>
      <c r="L2680" s="735">
        <v>2986</v>
      </c>
      <c r="M2680" s="735">
        <v>2419</v>
      </c>
      <c r="N2680" s="845">
        <f t="shared" si="194"/>
        <v>-0.18988613529805759</v>
      </c>
      <c r="O2680" s="735">
        <v>0.84351120824257375</v>
      </c>
      <c r="P2680" s="735">
        <f t="shared" si="195"/>
        <v>2867.7745788818888</v>
      </c>
      <c r="Q2680" s="849">
        <v>37.1</v>
      </c>
      <c r="R2680" s="71">
        <v>51128</v>
      </c>
      <c r="S2680" s="845">
        <v>0.16990491938817692</v>
      </c>
      <c r="T2680" s="845">
        <v>4.4000000000000004E-2</v>
      </c>
      <c r="U2680" s="845">
        <v>0</v>
      </c>
      <c r="V2680" s="845">
        <v>0.09</v>
      </c>
      <c r="W2680" s="845">
        <v>0.50787766450417049</v>
      </c>
      <c r="X2680" s="845">
        <v>0.42883211678832117</v>
      </c>
      <c r="Y2680" s="845">
        <v>0.68003307151715586</v>
      </c>
      <c r="Z2680" s="845">
        <v>7.3584125671765185E-2</v>
      </c>
      <c r="AA2680" s="845">
        <v>9.9214551467548574E-3</v>
      </c>
      <c r="AB2680" s="845">
        <v>4.505994212484498E-2</v>
      </c>
      <c r="AC2680" s="845">
        <v>0</v>
      </c>
      <c r="AD2680" s="845">
        <v>5.0434063662670524E-2</v>
      </c>
      <c r="AE2680" s="845">
        <v>0.14096734187680859</v>
      </c>
      <c r="AF2680" s="845">
        <v>0.14386109962794544</v>
      </c>
      <c r="AG2680" s="845">
        <v>0.64406779661016944</v>
      </c>
      <c r="AH2680" s="20" t="str">
        <f t="shared" si="196"/>
        <v>No</v>
      </c>
      <c r="AI2680" s="25"/>
      <c r="AJ2680" s="25"/>
      <c r="AK2680" s="25"/>
      <c r="AL2680" s="25"/>
      <c r="AM2680" s="25"/>
      <c r="AN2680" s="25"/>
      <c r="AO2680" s="25"/>
      <c r="AP2680" s="25"/>
      <c r="AQ2680" s="25"/>
      <c r="AR2680" s="25"/>
      <c r="AS2680" s="25"/>
      <c r="AT2680" s="25"/>
      <c r="AU2680" s="36"/>
      <c r="AV2680" s="36"/>
      <c r="AW2680" s="36"/>
      <c r="AX2680" s="25"/>
      <c r="AY2680" s="25"/>
      <c r="AZ2680" s="25"/>
      <c r="BA2680" s="25"/>
      <c r="BB2680" s="25"/>
      <c r="BC2680" s="25"/>
      <c r="BD2680" s="25"/>
      <c r="BE2680" s="25"/>
      <c r="BF2680" s="25"/>
      <c r="BG2680" s="25"/>
      <c r="BH2680" s="25"/>
      <c r="BI2680" s="25"/>
      <c r="BJ2680" s="25"/>
      <c r="BK2680" s="25"/>
      <c r="BL2680" s="25"/>
      <c r="BM2680" s="25"/>
      <c r="BN2680" s="25"/>
      <c r="BO2680" s="25"/>
      <c r="BP2680" s="25"/>
      <c r="BQ2680" s="25"/>
      <c r="BR2680" s="25"/>
      <c r="BS2680" s="25"/>
      <c r="BT2680" s="25"/>
      <c r="BU2680"/>
      <c r="BV2680"/>
      <c r="BW2680"/>
      <c r="BX2680"/>
      <c r="BY2680"/>
      <c r="BZ2680"/>
      <c r="CA2680"/>
      <c r="CB2680"/>
      <c r="CC2680"/>
      <c r="CD2680" s="25"/>
    </row>
    <row r="2681" spans="1:82" s="17" customFormat="1" x14ac:dyDescent="0.2">
      <c r="A2681" s="25"/>
      <c r="B2681" s="20">
        <v>39013011500</v>
      </c>
      <c r="C2681" s="20">
        <v>115</v>
      </c>
      <c r="D2681" s="20" t="s">
        <v>13</v>
      </c>
      <c r="E2681" s="20" t="s">
        <v>2841</v>
      </c>
      <c r="F2681" s="20" t="s">
        <v>8</v>
      </c>
      <c r="G2681" s="861">
        <v>33.304021681913497</v>
      </c>
      <c r="H2681" s="861">
        <v>32.643645941502697</v>
      </c>
      <c r="I2681" s="861">
        <v>72.906763365543199</v>
      </c>
      <c r="J2681" s="861">
        <v>31.757913693172</v>
      </c>
      <c r="K2681" s="982">
        <v>0</v>
      </c>
      <c r="L2681" s="735">
        <v>1605</v>
      </c>
      <c r="M2681" s="735">
        <v>1653</v>
      </c>
      <c r="N2681" s="845">
        <f t="shared" si="194"/>
        <v>2.9906542056074768E-2</v>
      </c>
      <c r="O2681" s="735">
        <v>0.92731622617371789</v>
      </c>
      <c r="P2681" s="735">
        <f t="shared" si="195"/>
        <v>1782.56343773967</v>
      </c>
      <c r="Q2681" s="849">
        <v>47.9</v>
      </c>
      <c r="R2681" s="71">
        <v>37841</v>
      </c>
      <c r="S2681" s="845">
        <v>0.23290986085904417</v>
      </c>
      <c r="T2681" s="845">
        <v>0.124</v>
      </c>
      <c r="U2681" s="845">
        <v>6.9999999999999993E-3</v>
      </c>
      <c r="V2681" s="845">
        <v>6.0999999999999999E-2</v>
      </c>
      <c r="W2681" s="845">
        <v>0.32830188679245281</v>
      </c>
      <c r="X2681" s="845">
        <v>0.38314176245210729</v>
      </c>
      <c r="Y2681" s="845">
        <v>0.90078644888082271</v>
      </c>
      <c r="Z2681" s="845">
        <v>2.8433151845130067E-2</v>
      </c>
      <c r="AA2681" s="845">
        <v>0</v>
      </c>
      <c r="AB2681" s="845">
        <v>0</v>
      </c>
      <c r="AC2681" s="845">
        <v>0</v>
      </c>
      <c r="AD2681" s="845">
        <v>9.0744101633393835E-3</v>
      </c>
      <c r="AE2681" s="845">
        <v>6.1705989110707807E-2</v>
      </c>
      <c r="AF2681" s="845">
        <v>0</v>
      </c>
      <c r="AG2681" s="845">
        <v>0.90078644888082271</v>
      </c>
      <c r="AH2681" s="20" t="str">
        <f t="shared" si="196"/>
        <v>Yes</v>
      </c>
      <c r="AI2681" s="25"/>
      <c r="AJ2681" s="25"/>
      <c r="AK2681" s="25"/>
      <c r="AL2681" s="25"/>
      <c r="AM2681" s="25"/>
      <c r="AN2681" s="25"/>
      <c r="AO2681" s="25"/>
      <c r="AP2681" s="25"/>
      <c r="AQ2681" s="25"/>
      <c r="AR2681" s="25"/>
      <c r="AS2681" s="25"/>
      <c r="AT2681" s="25"/>
      <c r="AU2681" s="36"/>
      <c r="AV2681" s="36"/>
      <c r="AW2681" s="36"/>
      <c r="AX2681" s="25"/>
      <c r="AY2681" s="25"/>
      <c r="AZ2681" s="25"/>
      <c r="BA2681" s="25"/>
      <c r="BB2681" s="25"/>
      <c r="BC2681" s="25"/>
      <c r="BD2681" s="25"/>
      <c r="BE2681" s="25"/>
      <c r="BF2681" s="25"/>
      <c r="BG2681" s="25"/>
      <c r="BH2681" s="25"/>
      <c r="BI2681" s="25"/>
      <c r="BJ2681" s="25"/>
      <c r="BK2681" s="25"/>
      <c r="BL2681" s="25"/>
      <c r="BM2681" s="25"/>
      <c r="BN2681" s="25"/>
      <c r="BO2681" s="25"/>
      <c r="BP2681" s="25"/>
      <c r="BQ2681" s="25"/>
      <c r="BR2681" s="25"/>
      <c r="BS2681" s="25"/>
      <c r="BT2681" s="25"/>
      <c r="BU2681"/>
      <c r="BV2681"/>
      <c r="BW2681"/>
      <c r="BX2681"/>
      <c r="BY2681"/>
      <c r="BZ2681"/>
      <c r="CA2681"/>
      <c r="CB2681"/>
      <c r="CC2681"/>
      <c r="CD2681" s="25"/>
    </row>
    <row r="2682" spans="1:82" s="17" customFormat="1" x14ac:dyDescent="0.2">
      <c r="A2682" s="25"/>
      <c r="B2682" s="20">
        <v>39095005200</v>
      </c>
      <c r="C2682" s="20">
        <v>52</v>
      </c>
      <c r="D2682" s="20" t="s">
        <v>53</v>
      </c>
      <c r="E2682" s="20" t="s">
        <v>2839</v>
      </c>
      <c r="F2682" s="20" t="s">
        <v>6</v>
      </c>
      <c r="G2682" s="861">
        <v>33.287390841158697</v>
      </c>
      <c r="H2682" s="861">
        <v>33.175723264941396</v>
      </c>
      <c r="I2682" s="861">
        <v>60.575196686315799</v>
      </c>
      <c r="J2682" s="861">
        <v>38.417656150931897</v>
      </c>
      <c r="K2682" s="982">
        <v>0</v>
      </c>
      <c r="L2682" s="735">
        <v>3657</v>
      </c>
      <c r="M2682" s="735">
        <v>3030</v>
      </c>
      <c r="N2682" s="845">
        <f t="shared" si="194"/>
        <v>-0.17145200984413453</v>
      </c>
      <c r="O2682" s="735">
        <v>1.0783215526035754</v>
      </c>
      <c r="P2682" s="735">
        <f t="shared" si="195"/>
        <v>2809.9225065882756</v>
      </c>
      <c r="Q2682" s="849">
        <v>38.1</v>
      </c>
      <c r="R2682" s="71">
        <v>42153</v>
      </c>
      <c r="S2682" s="845">
        <v>0.30825082508250823</v>
      </c>
      <c r="T2682" s="845">
        <v>0.10300000000000001</v>
      </c>
      <c r="U2682" s="845">
        <v>0</v>
      </c>
      <c r="V2682" s="845">
        <v>0</v>
      </c>
      <c r="W2682" s="845">
        <v>0.34677419354838712</v>
      </c>
      <c r="X2682" s="845">
        <v>0.39069767441860465</v>
      </c>
      <c r="Y2682" s="845">
        <v>0.64356435643564358</v>
      </c>
      <c r="Z2682" s="845">
        <v>9.4389438943894385E-2</v>
      </c>
      <c r="AA2682" s="845">
        <v>0</v>
      </c>
      <c r="AB2682" s="845">
        <v>0</v>
      </c>
      <c r="AC2682" s="845">
        <v>0</v>
      </c>
      <c r="AD2682" s="845">
        <v>0.12442244224422443</v>
      </c>
      <c r="AE2682" s="845">
        <v>0.13762376237623763</v>
      </c>
      <c r="AF2682" s="845">
        <v>0.23465346534653464</v>
      </c>
      <c r="AG2682" s="845">
        <v>0.63498349834983503</v>
      </c>
      <c r="AH2682" s="20" t="str">
        <f t="shared" si="196"/>
        <v>No</v>
      </c>
      <c r="AI2682" s="25"/>
      <c r="AJ2682" s="25"/>
      <c r="AK2682" s="25"/>
      <c r="AL2682" s="25"/>
      <c r="AM2682" s="25"/>
      <c r="AN2682" s="25"/>
      <c r="AO2682" s="25"/>
      <c r="AP2682" s="25"/>
      <c r="AQ2682" s="25"/>
      <c r="AR2682" s="25"/>
      <c r="AS2682" s="25"/>
      <c r="AT2682" s="25"/>
      <c r="AU2682" s="36"/>
      <c r="AV2682" s="36"/>
      <c r="AW2682" s="36"/>
      <c r="AX2682" s="25"/>
      <c r="AY2682" s="25"/>
      <c r="AZ2682" s="25"/>
      <c r="BA2682" s="25"/>
      <c r="BB2682" s="25"/>
      <c r="BC2682" s="25"/>
      <c r="BD2682" s="25"/>
      <c r="BE2682" s="25"/>
      <c r="BF2682" s="25"/>
      <c r="BG2682" s="25"/>
      <c r="BH2682" s="25"/>
      <c r="BI2682" s="25"/>
      <c r="BJ2682" s="25"/>
      <c r="BK2682" s="25"/>
      <c r="BL2682" s="25"/>
      <c r="BM2682" s="25"/>
      <c r="BN2682" s="25"/>
      <c r="BO2682" s="25"/>
      <c r="BP2682" s="25"/>
      <c r="BQ2682" s="25"/>
      <c r="BR2682" s="25"/>
      <c r="BS2682" s="25"/>
      <c r="BT2682" s="25"/>
      <c r="BU2682"/>
      <c r="BV2682"/>
      <c r="BW2682"/>
      <c r="BX2682"/>
      <c r="BY2682"/>
      <c r="BZ2682"/>
      <c r="CA2682"/>
      <c r="CB2682"/>
      <c r="CC2682"/>
      <c r="CD2682" s="25"/>
    </row>
    <row r="2683" spans="1:82" s="17" customFormat="1" x14ac:dyDescent="0.2">
      <c r="A2683" s="25"/>
      <c r="B2683" s="20">
        <v>39007000701</v>
      </c>
      <c r="C2683" s="20">
        <v>7.01</v>
      </c>
      <c r="D2683" s="20" t="s">
        <v>10</v>
      </c>
      <c r="E2683" s="20" t="s">
        <v>2829</v>
      </c>
      <c r="F2683" s="20" t="s">
        <v>6</v>
      </c>
      <c r="G2683" s="861">
        <v>33.2676835904009</v>
      </c>
      <c r="H2683" s="861">
        <v>35.069619018563102</v>
      </c>
      <c r="I2683" s="861">
        <v>60.0994449789764</v>
      </c>
      <c r="J2683" s="861">
        <v>27.0480894226354</v>
      </c>
      <c r="K2683" s="982">
        <v>0</v>
      </c>
      <c r="L2683" s="735">
        <v>3124</v>
      </c>
      <c r="M2683" s="735">
        <v>2486</v>
      </c>
      <c r="N2683" s="845">
        <f t="shared" si="194"/>
        <v>-0.20422535211267606</v>
      </c>
      <c r="O2683" s="735">
        <v>1.9957072312582933</v>
      </c>
      <c r="P2683" s="735">
        <f t="shared" si="195"/>
        <v>1245.6736945491634</v>
      </c>
      <c r="Q2683" s="849">
        <v>46.8</v>
      </c>
      <c r="R2683" s="71">
        <v>33590</v>
      </c>
      <c r="S2683" s="845">
        <v>0.41794046661303297</v>
      </c>
      <c r="T2683" s="845">
        <v>0.17</v>
      </c>
      <c r="U2683" s="845">
        <v>0</v>
      </c>
      <c r="V2683" s="845">
        <v>8.900000000000001E-2</v>
      </c>
      <c r="W2683" s="845">
        <v>0.52178030303030298</v>
      </c>
      <c r="X2683" s="845">
        <v>0.51724137931034486</v>
      </c>
      <c r="Y2683" s="845">
        <v>0.70635559131134351</v>
      </c>
      <c r="Z2683" s="845">
        <v>0.12067578439259855</v>
      </c>
      <c r="AA2683" s="845">
        <v>0</v>
      </c>
      <c r="AB2683" s="845">
        <v>4.8270313757039418E-3</v>
      </c>
      <c r="AC2683" s="845">
        <v>0</v>
      </c>
      <c r="AD2683" s="845">
        <v>7.4416733708769112E-2</v>
      </c>
      <c r="AE2683" s="845">
        <v>9.3724859211584882E-2</v>
      </c>
      <c r="AF2683" s="845">
        <v>0.17337087691069991</v>
      </c>
      <c r="AG2683" s="845">
        <v>0.63917940466613032</v>
      </c>
      <c r="AH2683" s="20" t="str">
        <f t="shared" si="196"/>
        <v>No</v>
      </c>
      <c r="AI2683" s="25"/>
      <c r="AJ2683" s="25"/>
      <c r="AK2683" s="25"/>
      <c r="AL2683" s="25"/>
      <c r="AM2683" s="25"/>
      <c r="AN2683" s="25"/>
      <c r="AO2683" s="25"/>
      <c r="AP2683" s="25"/>
      <c r="AQ2683" s="25"/>
      <c r="AR2683" s="25"/>
      <c r="AS2683" s="25"/>
      <c r="AT2683" s="25"/>
      <c r="AU2683" s="36"/>
      <c r="AV2683" s="36"/>
      <c r="AW2683" s="36"/>
      <c r="AX2683" s="25"/>
      <c r="AY2683" s="25"/>
      <c r="AZ2683" s="25"/>
      <c r="BA2683" s="25"/>
      <c r="BB2683" s="25"/>
      <c r="BC2683" s="25"/>
      <c r="BD2683" s="25"/>
      <c r="BE2683" s="25"/>
      <c r="BF2683" s="25"/>
      <c r="BG2683" s="25"/>
      <c r="BH2683" s="25"/>
      <c r="BI2683" s="25"/>
      <c r="BJ2683" s="25"/>
      <c r="BK2683" s="25"/>
      <c r="BL2683" s="25"/>
      <c r="BM2683" s="25"/>
      <c r="BN2683" s="25"/>
      <c r="BO2683" s="25"/>
      <c r="BP2683" s="25"/>
      <c r="BQ2683" s="25"/>
      <c r="BR2683" s="25"/>
      <c r="BS2683" s="25"/>
      <c r="BT2683" s="25"/>
      <c r="BU2683"/>
      <c r="BV2683"/>
      <c r="BW2683"/>
      <c r="BX2683"/>
      <c r="BY2683"/>
      <c r="BZ2683"/>
      <c r="CA2683"/>
      <c r="CB2683"/>
      <c r="CC2683"/>
      <c r="CD2683" s="25"/>
    </row>
    <row r="2684" spans="1:82" s="17" customFormat="1" x14ac:dyDescent="0.2">
      <c r="A2684" s="25"/>
      <c r="B2684" s="20">
        <v>39155921600</v>
      </c>
      <c r="C2684" s="20">
        <v>9216</v>
      </c>
      <c r="D2684" s="20" t="s">
        <v>83</v>
      </c>
      <c r="E2684" s="20" t="s">
        <v>2842</v>
      </c>
      <c r="F2684" s="20" t="s">
        <v>6</v>
      </c>
      <c r="G2684" s="861">
        <v>33.138943630804398</v>
      </c>
      <c r="H2684" s="861">
        <v>31.689053757156199</v>
      </c>
      <c r="I2684" s="861">
        <v>47.749950567189202</v>
      </c>
      <c r="J2684" s="861">
        <v>41.766137476221601</v>
      </c>
      <c r="K2684" s="982">
        <v>0</v>
      </c>
      <c r="L2684" s="735">
        <v>4263</v>
      </c>
      <c r="M2684" s="735">
        <v>3550</v>
      </c>
      <c r="N2684" s="845">
        <f t="shared" si="194"/>
        <v>-0.16725310813980765</v>
      </c>
      <c r="O2684" s="735">
        <v>1.5516561579890806</v>
      </c>
      <c r="P2684" s="735">
        <f t="shared" si="195"/>
        <v>2287.878008102477</v>
      </c>
      <c r="Q2684" s="849">
        <v>37</v>
      </c>
      <c r="R2684" s="71">
        <v>34438</v>
      </c>
      <c r="S2684" s="845">
        <v>0.38982566447556444</v>
      </c>
      <c r="T2684" s="845">
        <v>4.7E-2</v>
      </c>
      <c r="U2684" s="845">
        <v>0</v>
      </c>
      <c r="V2684" s="845">
        <v>3.7000000000000005E-2</v>
      </c>
      <c r="W2684" s="845">
        <v>0.54603580562659848</v>
      </c>
      <c r="X2684" s="845">
        <v>0.31147540983606559</v>
      </c>
      <c r="Y2684" s="845">
        <v>0.703943661971831</v>
      </c>
      <c r="Z2684" s="845">
        <v>0.23295774647887324</v>
      </c>
      <c r="AA2684" s="845">
        <v>0</v>
      </c>
      <c r="AB2684" s="845">
        <v>0</v>
      </c>
      <c r="AC2684" s="845">
        <v>0</v>
      </c>
      <c r="AD2684" s="845">
        <v>0</v>
      </c>
      <c r="AE2684" s="845">
        <v>6.3098591549295771E-2</v>
      </c>
      <c r="AF2684" s="845">
        <v>1.1830985915492958E-2</v>
      </c>
      <c r="AG2684" s="845">
        <v>0.69211267605633808</v>
      </c>
      <c r="AH2684" s="20" t="str">
        <f t="shared" si="196"/>
        <v>No</v>
      </c>
      <c r="AI2684" s="25"/>
      <c r="AJ2684" s="25"/>
      <c r="AK2684" s="25"/>
      <c r="AL2684" s="25"/>
      <c r="AM2684" s="25"/>
      <c r="AN2684" s="25"/>
      <c r="AO2684" s="25"/>
      <c r="AP2684" s="25"/>
      <c r="AQ2684" s="25"/>
      <c r="AR2684" s="25"/>
      <c r="AS2684" s="25"/>
      <c r="AT2684" s="25"/>
      <c r="AU2684" s="36"/>
      <c r="AV2684" s="36"/>
      <c r="AW2684" s="36"/>
      <c r="AX2684" s="25"/>
      <c r="AY2684" s="25"/>
      <c r="AZ2684" s="25"/>
      <c r="BA2684" s="25"/>
      <c r="BB2684" s="25"/>
      <c r="BC2684" s="25"/>
      <c r="BD2684" s="25"/>
      <c r="BE2684" s="25"/>
      <c r="BF2684" s="25"/>
      <c r="BG2684" s="25"/>
      <c r="BH2684" s="25"/>
      <c r="BI2684" s="25"/>
      <c r="BJ2684" s="25"/>
      <c r="BK2684" s="25"/>
      <c r="BL2684" s="25"/>
      <c r="BM2684" s="25"/>
      <c r="BN2684" s="25"/>
      <c r="BO2684" s="25"/>
      <c r="BP2684" s="25"/>
      <c r="BQ2684" s="25"/>
      <c r="BR2684" s="25"/>
      <c r="BS2684" s="25"/>
      <c r="BT2684" s="25"/>
      <c r="BU2684"/>
      <c r="BV2684"/>
      <c r="BW2684"/>
      <c r="BX2684"/>
      <c r="BY2684"/>
      <c r="BZ2684"/>
      <c r="CA2684"/>
      <c r="CB2684"/>
      <c r="CC2684"/>
      <c r="CD2684" s="25"/>
    </row>
    <row r="2685" spans="1:82" s="17" customFormat="1" x14ac:dyDescent="0.2">
      <c r="A2685" s="25"/>
      <c r="B2685" s="20">
        <v>39095005101</v>
      </c>
      <c r="C2685" s="20">
        <v>51.01</v>
      </c>
      <c r="D2685" s="20" t="s">
        <v>53</v>
      </c>
      <c r="E2685" s="20" t="s">
        <v>2839</v>
      </c>
      <c r="F2685" s="20" t="s">
        <v>6</v>
      </c>
      <c r="G2685" s="861">
        <v>33.107899699847202</v>
      </c>
      <c r="H2685" s="861">
        <v>45.8621474919658</v>
      </c>
      <c r="I2685" s="861">
        <v>50.7965312734745</v>
      </c>
      <c r="J2685" s="861">
        <v>46.025950962689897</v>
      </c>
      <c r="K2685" s="982">
        <v>0</v>
      </c>
      <c r="L2685" s="735" t="s">
        <v>2466</v>
      </c>
      <c r="M2685" s="735">
        <v>2492</v>
      </c>
      <c r="N2685" s="845" t="str">
        <f t="shared" si="194"/>
        <v/>
      </c>
      <c r="O2685" s="735">
        <v>0.28007618923007332</v>
      </c>
      <c r="P2685" s="735">
        <f t="shared" si="195"/>
        <v>8897.578929685109</v>
      </c>
      <c r="Q2685" s="849">
        <v>35.799999999999997</v>
      </c>
      <c r="R2685" s="71">
        <v>33329</v>
      </c>
      <c r="S2685" s="845">
        <v>0.300561797752809</v>
      </c>
      <c r="T2685" s="845">
        <v>0.183</v>
      </c>
      <c r="U2685" s="845">
        <v>0</v>
      </c>
      <c r="V2685" s="845">
        <v>9.8000000000000004E-2</v>
      </c>
      <c r="W2685" s="845">
        <v>0.43195266272189348</v>
      </c>
      <c r="X2685" s="845">
        <v>0.36399217221135027</v>
      </c>
      <c r="Y2685" s="845">
        <v>0.6007223113964687</v>
      </c>
      <c r="Z2685" s="845">
        <v>0.2949438202247191</v>
      </c>
      <c r="AA2685" s="845">
        <v>0</v>
      </c>
      <c r="AB2685" s="845">
        <v>1.6853932584269662E-2</v>
      </c>
      <c r="AC2685" s="845">
        <v>0</v>
      </c>
      <c r="AD2685" s="845">
        <v>2.0465489566613163E-2</v>
      </c>
      <c r="AE2685" s="845">
        <v>6.7014446227929375E-2</v>
      </c>
      <c r="AF2685" s="845">
        <v>6.4606741573033713E-2</v>
      </c>
      <c r="AG2685" s="845">
        <v>0.5814606741573034</v>
      </c>
      <c r="AH2685" s="20" t="str">
        <f t="shared" si="196"/>
        <v>No</v>
      </c>
      <c r="AI2685" s="25"/>
      <c r="AJ2685" s="25"/>
      <c r="AK2685" s="25"/>
      <c r="AL2685" s="25"/>
      <c r="AM2685" s="25"/>
      <c r="AN2685" s="25"/>
      <c r="AO2685" s="25"/>
      <c r="AP2685" s="25"/>
      <c r="AQ2685" s="25"/>
      <c r="AR2685" s="25"/>
      <c r="AS2685" s="25"/>
      <c r="AT2685" s="25"/>
      <c r="AU2685" s="36"/>
      <c r="AV2685" s="36"/>
      <c r="AW2685" s="36"/>
      <c r="AX2685" s="25"/>
      <c r="AY2685" s="25"/>
      <c r="AZ2685" s="25"/>
      <c r="BA2685" s="25"/>
      <c r="BB2685" s="25"/>
      <c r="BC2685" s="25"/>
      <c r="BD2685" s="25"/>
      <c r="BE2685" s="25"/>
      <c r="BF2685" s="25"/>
      <c r="BG2685" s="25"/>
      <c r="BH2685" s="25"/>
      <c r="BI2685" s="25"/>
      <c r="BJ2685" s="25"/>
      <c r="BK2685" s="25"/>
      <c r="BL2685" s="25"/>
      <c r="BM2685" s="25"/>
      <c r="BN2685" s="25"/>
      <c r="BO2685" s="25"/>
      <c r="BP2685" s="25"/>
      <c r="BQ2685" s="25"/>
      <c r="BR2685" s="25"/>
      <c r="BS2685" s="25"/>
      <c r="BT2685" s="25"/>
      <c r="BU2685"/>
      <c r="BV2685"/>
      <c r="BW2685"/>
      <c r="BX2685"/>
      <c r="BY2685"/>
      <c r="BZ2685"/>
      <c r="CA2685"/>
      <c r="CB2685"/>
      <c r="CC2685"/>
      <c r="CD2685" s="25"/>
    </row>
    <row r="2686" spans="1:82" s="17" customFormat="1" x14ac:dyDescent="0.2">
      <c r="A2686" s="25"/>
      <c r="B2686" s="20">
        <v>39095003100</v>
      </c>
      <c r="C2686" s="20">
        <v>31</v>
      </c>
      <c r="D2686" s="20" t="s">
        <v>53</v>
      </c>
      <c r="E2686" s="20" t="s">
        <v>2839</v>
      </c>
      <c r="F2686" s="20" t="s">
        <v>8</v>
      </c>
      <c r="G2686" s="861">
        <v>33.073905370973002</v>
      </c>
      <c r="H2686" s="861">
        <v>42.874905643979602</v>
      </c>
      <c r="I2686" s="861">
        <v>61.384389903483999</v>
      </c>
      <c r="J2686" s="861">
        <v>35.204868248775597</v>
      </c>
      <c r="K2686" s="982">
        <v>0</v>
      </c>
      <c r="L2686" s="735">
        <v>833</v>
      </c>
      <c r="M2686" s="735">
        <v>1052</v>
      </c>
      <c r="N2686" s="845">
        <f t="shared" si="194"/>
        <v>0.26290516206482595</v>
      </c>
      <c r="O2686" s="735">
        <v>0.82876789731671785</v>
      </c>
      <c r="P2686" s="735">
        <f t="shared" si="195"/>
        <v>1269.3541863844334</v>
      </c>
      <c r="Q2686" s="849">
        <v>36.4</v>
      </c>
      <c r="R2686" s="71">
        <v>50461</v>
      </c>
      <c r="S2686" s="845">
        <v>0.34423076923076923</v>
      </c>
      <c r="T2686" s="845">
        <v>0.06</v>
      </c>
      <c r="U2686" s="845">
        <v>3.9E-2</v>
      </c>
      <c r="V2686" s="845">
        <v>0</v>
      </c>
      <c r="W2686" s="845">
        <v>0.33407572383073497</v>
      </c>
      <c r="X2686" s="845">
        <v>0.13333333333333333</v>
      </c>
      <c r="Y2686" s="845">
        <v>8.3650190114068435E-2</v>
      </c>
      <c r="Z2686" s="845">
        <v>0.89163498098859317</v>
      </c>
      <c r="AA2686" s="845">
        <v>0</v>
      </c>
      <c r="AB2686" s="845">
        <v>0</v>
      </c>
      <c r="AC2686" s="845">
        <v>0</v>
      </c>
      <c r="AD2686" s="845">
        <v>0</v>
      </c>
      <c r="AE2686" s="845">
        <v>2.4714828897338403E-2</v>
      </c>
      <c r="AF2686" s="845">
        <v>0</v>
      </c>
      <c r="AG2686" s="845">
        <v>8.3650190114068435E-2</v>
      </c>
      <c r="AH2686" s="20" t="str">
        <f t="shared" si="196"/>
        <v>No</v>
      </c>
      <c r="AI2686" s="25"/>
      <c r="AJ2686" s="25"/>
      <c r="AK2686" s="25"/>
      <c r="AL2686" s="25"/>
      <c r="AM2686" s="25"/>
      <c r="AN2686" s="25"/>
      <c r="AO2686" s="25"/>
      <c r="AP2686" s="25"/>
      <c r="AQ2686" s="25"/>
      <c r="AR2686" s="25"/>
      <c r="AS2686" s="25"/>
      <c r="AT2686" s="25"/>
      <c r="AU2686" s="36"/>
      <c r="AV2686" s="36"/>
      <c r="AW2686" s="36"/>
      <c r="AX2686" s="25"/>
      <c r="AY2686" s="25"/>
      <c r="AZ2686" s="25"/>
      <c r="BA2686" s="25"/>
      <c r="BB2686" s="25"/>
      <c r="BC2686" s="25"/>
      <c r="BD2686" s="25"/>
      <c r="BE2686" s="25"/>
      <c r="BF2686" s="25"/>
      <c r="BG2686" s="25"/>
      <c r="BH2686" s="25"/>
      <c r="BI2686" s="25"/>
      <c r="BJ2686" s="25"/>
      <c r="BK2686" s="25"/>
      <c r="BL2686" s="25"/>
      <c r="BM2686" s="25"/>
      <c r="BN2686" s="25"/>
      <c r="BO2686" s="25"/>
      <c r="BP2686" s="25"/>
      <c r="BQ2686" s="25"/>
      <c r="BR2686" s="25"/>
      <c r="BS2686" s="25"/>
      <c r="BT2686" s="25"/>
      <c r="BU2686"/>
      <c r="BV2686"/>
      <c r="BW2686"/>
      <c r="BX2686"/>
      <c r="BY2686"/>
      <c r="BZ2686"/>
      <c r="CA2686"/>
      <c r="CB2686"/>
      <c r="CC2686"/>
      <c r="CD2686" s="25"/>
    </row>
    <row r="2687" spans="1:82" s="17" customFormat="1" x14ac:dyDescent="0.2">
      <c r="A2687" s="25"/>
      <c r="B2687" s="20">
        <v>39133602102</v>
      </c>
      <c r="C2687" s="20">
        <v>6021.02</v>
      </c>
      <c r="D2687" s="20" t="s">
        <v>72</v>
      </c>
      <c r="E2687" s="20" t="s">
        <v>2843</v>
      </c>
      <c r="F2687" s="20" t="s">
        <v>8</v>
      </c>
      <c r="G2687" s="861">
        <v>33.054581024087298</v>
      </c>
      <c r="H2687" s="861">
        <v>48.5601298995444</v>
      </c>
      <c r="I2687" s="861">
        <v>16.172138206050398</v>
      </c>
      <c r="J2687" s="861">
        <v>42.562944903578298</v>
      </c>
      <c r="K2687" s="982">
        <v>0</v>
      </c>
      <c r="L2687" s="735" t="s">
        <v>2466</v>
      </c>
      <c r="M2687" s="735">
        <v>3279</v>
      </c>
      <c r="N2687" s="845" t="str">
        <f t="shared" si="194"/>
        <v/>
      </c>
      <c r="O2687" s="735">
        <v>12.021857505747391</v>
      </c>
      <c r="P2687" s="735">
        <f t="shared" si="195"/>
        <v>272.75319129613547</v>
      </c>
      <c r="Q2687" s="849">
        <v>53.4</v>
      </c>
      <c r="R2687" s="71">
        <v>75625</v>
      </c>
      <c r="S2687" s="845">
        <v>2.8972247636474536E-2</v>
      </c>
      <c r="T2687" s="845">
        <v>0.03</v>
      </c>
      <c r="U2687" s="845">
        <v>0</v>
      </c>
      <c r="V2687" s="845">
        <v>0</v>
      </c>
      <c r="W2687" s="845">
        <v>0.19026870007262164</v>
      </c>
      <c r="X2687" s="845">
        <v>0.37022900763358779</v>
      </c>
      <c r="Y2687" s="845">
        <v>0.98505641964013424</v>
      </c>
      <c r="Z2687" s="845">
        <v>0</v>
      </c>
      <c r="AA2687" s="845">
        <v>0</v>
      </c>
      <c r="AB2687" s="845">
        <v>0</v>
      </c>
      <c r="AC2687" s="845">
        <v>0</v>
      </c>
      <c r="AD2687" s="845">
        <v>0</v>
      </c>
      <c r="AE2687" s="845">
        <v>1.4943580359865812E-2</v>
      </c>
      <c r="AF2687" s="845">
        <v>0</v>
      </c>
      <c r="AG2687" s="845">
        <v>0.98505641964013424</v>
      </c>
      <c r="AH2687" s="20" t="str">
        <f t="shared" si="196"/>
        <v>Yes</v>
      </c>
      <c r="AI2687" s="25"/>
      <c r="AJ2687" s="25"/>
      <c r="AK2687" s="25"/>
      <c r="AL2687" s="25"/>
      <c r="AM2687" s="25"/>
      <c r="AN2687" s="25"/>
      <c r="AO2687" s="25"/>
      <c r="AP2687" s="25"/>
      <c r="AQ2687" s="25"/>
      <c r="AR2687" s="25"/>
      <c r="AS2687" s="25"/>
      <c r="AT2687" s="25"/>
      <c r="AU2687" s="36"/>
      <c r="AV2687" s="36"/>
      <c r="AW2687" s="36"/>
      <c r="AX2687" s="25"/>
      <c r="AY2687" s="25"/>
      <c r="AZ2687" s="25"/>
      <c r="BA2687" s="25"/>
      <c r="BB2687" s="25"/>
      <c r="BC2687" s="25"/>
      <c r="BD2687" s="25"/>
      <c r="BE2687" s="25"/>
      <c r="BF2687" s="25"/>
      <c r="BG2687" s="25"/>
      <c r="BH2687" s="25"/>
      <c r="BI2687" s="25"/>
      <c r="BJ2687" s="25"/>
      <c r="BK2687" s="25"/>
      <c r="BL2687" s="25"/>
      <c r="BM2687" s="25"/>
      <c r="BN2687" s="25"/>
      <c r="BO2687" s="25"/>
      <c r="BP2687" s="25"/>
      <c r="BQ2687" s="25"/>
      <c r="BR2687" s="25"/>
      <c r="BS2687" s="25"/>
      <c r="BT2687" s="25"/>
      <c r="BU2687"/>
      <c r="BV2687"/>
      <c r="BW2687"/>
      <c r="BX2687"/>
      <c r="BY2687"/>
      <c r="BZ2687"/>
      <c r="CA2687"/>
      <c r="CB2687"/>
      <c r="CC2687"/>
      <c r="CD2687" s="25"/>
    </row>
    <row r="2688" spans="1:82" s="17" customFormat="1" x14ac:dyDescent="0.2">
      <c r="A2688" s="25"/>
      <c r="B2688" s="20">
        <v>39151714200</v>
      </c>
      <c r="C2688" s="20">
        <v>7142</v>
      </c>
      <c r="D2688" s="20" t="s">
        <v>81</v>
      </c>
      <c r="E2688" s="20" t="s">
        <v>2844</v>
      </c>
      <c r="F2688" s="20" t="s">
        <v>6</v>
      </c>
      <c r="G2688" s="861">
        <v>33.051684016386901</v>
      </c>
      <c r="H2688" s="861">
        <v>34.8955942909461</v>
      </c>
      <c r="I2688" s="861">
        <v>55.970466625714998</v>
      </c>
      <c r="J2688" s="861">
        <v>45.949088066553202</v>
      </c>
      <c r="K2688" s="982">
        <v>0</v>
      </c>
      <c r="L2688" s="735">
        <v>2840</v>
      </c>
      <c r="M2688" s="735">
        <v>2197</v>
      </c>
      <c r="N2688" s="845">
        <f t="shared" si="194"/>
        <v>-0.22640845070422536</v>
      </c>
      <c r="O2688" s="735">
        <v>0.91914360178278964</v>
      </c>
      <c r="P2688" s="735">
        <f t="shared" si="195"/>
        <v>2390.2685018300231</v>
      </c>
      <c r="Q2688" s="849">
        <v>29.5</v>
      </c>
      <c r="R2688" s="71">
        <v>27917</v>
      </c>
      <c r="S2688" s="845">
        <v>0.49749658625398269</v>
      </c>
      <c r="T2688" s="845">
        <v>9.8000000000000004E-2</v>
      </c>
      <c r="U2688" s="845">
        <v>0</v>
      </c>
      <c r="V2688" s="845">
        <v>0</v>
      </c>
      <c r="W2688" s="845">
        <v>0.5424107142857143</v>
      </c>
      <c r="X2688" s="845">
        <v>0.61316872427983538</v>
      </c>
      <c r="Y2688" s="845">
        <v>0.34319526627218933</v>
      </c>
      <c r="Z2688" s="845">
        <v>0.56349567592171146</v>
      </c>
      <c r="AA2688" s="845">
        <v>0</v>
      </c>
      <c r="AB2688" s="845">
        <v>2.2758306781975419E-3</v>
      </c>
      <c r="AC2688" s="845">
        <v>0</v>
      </c>
      <c r="AD2688" s="845">
        <v>0</v>
      </c>
      <c r="AE2688" s="845">
        <v>9.1033227127901684E-2</v>
      </c>
      <c r="AF2688" s="845">
        <v>0</v>
      </c>
      <c r="AG2688" s="845">
        <v>0.34319526627218933</v>
      </c>
      <c r="AH2688" s="20" t="str">
        <f t="shared" si="196"/>
        <v>No</v>
      </c>
      <c r="AI2688" s="25"/>
      <c r="AJ2688" s="25"/>
      <c r="AK2688" s="25"/>
      <c r="AL2688" s="25"/>
      <c r="AM2688" s="25"/>
      <c r="AN2688" s="25"/>
      <c r="AO2688" s="25"/>
      <c r="AP2688" s="25"/>
      <c r="AQ2688" s="25"/>
      <c r="AR2688" s="25"/>
      <c r="AS2688" s="25"/>
      <c r="AT2688" s="25"/>
      <c r="AU2688" s="36"/>
      <c r="AV2688" s="36"/>
      <c r="AW2688" s="36"/>
      <c r="AX2688" s="25"/>
      <c r="AY2688" s="25"/>
      <c r="AZ2688" s="25"/>
      <c r="BA2688" s="25"/>
      <c r="BB2688" s="25"/>
      <c r="BC2688" s="25"/>
      <c r="BD2688" s="25"/>
      <c r="BE2688" s="25"/>
      <c r="BF2688" s="25"/>
      <c r="BG2688" s="25"/>
      <c r="BH2688" s="25"/>
      <c r="BI2688" s="25"/>
      <c r="BJ2688" s="25"/>
      <c r="BK2688" s="25"/>
      <c r="BL2688" s="25"/>
      <c r="BM2688" s="25"/>
      <c r="BN2688" s="25"/>
      <c r="BO2688" s="25"/>
      <c r="BP2688" s="25"/>
      <c r="BQ2688" s="25"/>
      <c r="BR2688" s="25"/>
      <c r="BS2688" s="25"/>
      <c r="BT2688" s="25"/>
      <c r="BU2688"/>
      <c r="BV2688"/>
      <c r="BW2688"/>
      <c r="BX2688"/>
      <c r="BY2688"/>
      <c r="BZ2688"/>
      <c r="CA2688"/>
      <c r="CB2688"/>
      <c r="CC2688"/>
      <c r="CD2688" s="25"/>
    </row>
    <row r="2689" spans="1:82" s="17" customFormat="1" x14ac:dyDescent="0.2">
      <c r="A2689" s="25"/>
      <c r="B2689" s="20">
        <v>39065000500</v>
      </c>
      <c r="C2689" s="20">
        <v>5</v>
      </c>
      <c r="D2689" s="20" t="s">
        <v>39</v>
      </c>
      <c r="E2689" s="20" t="s">
        <v>265</v>
      </c>
      <c r="F2689" s="20" t="s">
        <v>6</v>
      </c>
      <c r="G2689" s="861">
        <v>33.028060796159203</v>
      </c>
      <c r="H2689" s="861">
        <v>38.757657340473102</v>
      </c>
      <c r="I2689" s="861">
        <v>25.469501020700299</v>
      </c>
      <c r="J2689" s="861">
        <v>53.663461898488599</v>
      </c>
      <c r="K2689" s="982">
        <v>0</v>
      </c>
      <c r="L2689" s="735">
        <v>4151</v>
      </c>
      <c r="M2689" s="735">
        <v>4296</v>
      </c>
      <c r="N2689" s="845">
        <f t="shared" si="194"/>
        <v>3.4931341845338471E-2</v>
      </c>
      <c r="O2689" s="735">
        <v>114.84541911661518</v>
      </c>
      <c r="P2689" s="735">
        <f t="shared" si="195"/>
        <v>37.406803275608226</v>
      </c>
      <c r="Q2689" s="849">
        <v>32.200000000000003</v>
      </c>
      <c r="R2689" s="71">
        <v>53266</v>
      </c>
      <c r="S2689" s="845">
        <v>0.27621861152141802</v>
      </c>
      <c r="T2689" s="845">
        <v>1.1000000000000001E-2</v>
      </c>
      <c r="U2689" s="845">
        <v>3.1E-2</v>
      </c>
      <c r="V2689" s="845">
        <v>3.3000000000000002E-2</v>
      </c>
      <c r="W2689" s="845">
        <v>0.19124275595621379</v>
      </c>
      <c r="X2689" s="845">
        <v>0.14478114478114479</v>
      </c>
      <c r="Y2689" s="845">
        <v>0.9501862197392924</v>
      </c>
      <c r="Z2689" s="845">
        <v>6.9832402234636874E-4</v>
      </c>
      <c r="AA2689" s="845">
        <v>2.3277467411545624E-4</v>
      </c>
      <c r="AB2689" s="845">
        <v>0</v>
      </c>
      <c r="AC2689" s="845">
        <v>0</v>
      </c>
      <c r="AD2689" s="845">
        <v>4.1899441340782122E-3</v>
      </c>
      <c r="AE2689" s="845">
        <v>4.4692737430167599E-2</v>
      </c>
      <c r="AF2689" s="845">
        <v>2.7001862197392923E-2</v>
      </c>
      <c r="AG2689" s="845">
        <v>0.94972067039106145</v>
      </c>
      <c r="AH2689" s="20" t="str">
        <f t="shared" si="196"/>
        <v>Yes</v>
      </c>
      <c r="AI2689" s="25"/>
      <c r="AJ2689" s="25"/>
      <c r="AK2689" s="25"/>
      <c r="AL2689" s="25"/>
      <c r="AM2689" s="25"/>
      <c r="AN2689" s="25"/>
      <c r="AO2689" s="25"/>
      <c r="AP2689" s="25"/>
      <c r="AQ2689" s="25"/>
      <c r="AR2689" s="25"/>
      <c r="AS2689" s="25"/>
      <c r="AT2689" s="25"/>
      <c r="AU2689" s="36"/>
      <c r="AV2689" s="36"/>
      <c r="AW2689" s="36"/>
      <c r="AX2689" s="25"/>
      <c r="AY2689" s="25"/>
      <c r="AZ2689" s="25"/>
      <c r="BA2689" s="25"/>
      <c r="BB2689" s="25"/>
      <c r="BC2689" s="25"/>
      <c r="BD2689" s="25"/>
      <c r="BE2689" s="25"/>
      <c r="BF2689" s="25"/>
      <c r="BG2689" s="25"/>
      <c r="BH2689" s="25"/>
      <c r="BI2689" s="25"/>
      <c r="BJ2689" s="25"/>
      <c r="BK2689" s="25"/>
      <c r="BL2689" s="25"/>
      <c r="BM2689" s="25"/>
      <c r="BN2689" s="25"/>
      <c r="BO2689" s="25"/>
      <c r="BP2689" s="25"/>
      <c r="BQ2689" s="25"/>
      <c r="BR2689" s="25"/>
      <c r="BS2689" s="25"/>
      <c r="BT2689" s="25"/>
      <c r="BU2689"/>
      <c r="BV2689"/>
      <c r="BW2689"/>
      <c r="BX2689"/>
      <c r="BY2689"/>
      <c r="BZ2689"/>
      <c r="CA2689"/>
      <c r="CB2689"/>
      <c r="CC2689"/>
      <c r="CD2689" s="25"/>
    </row>
    <row r="2690" spans="1:82" s="17" customFormat="1" x14ac:dyDescent="0.2">
      <c r="A2690" s="25"/>
      <c r="B2690" s="20">
        <v>39035121300</v>
      </c>
      <c r="C2690" s="20">
        <v>1213</v>
      </c>
      <c r="D2690" s="20" t="s">
        <v>24</v>
      </c>
      <c r="E2690" s="20" t="s">
        <v>2829</v>
      </c>
      <c r="F2690" s="20" t="s">
        <v>6</v>
      </c>
      <c r="G2690" s="861">
        <v>33.003497955257302</v>
      </c>
      <c r="H2690" s="861">
        <v>24.261436791347101</v>
      </c>
      <c r="I2690" s="861">
        <v>72.772324470154402</v>
      </c>
      <c r="J2690" s="861">
        <v>30.904716425506201</v>
      </c>
      <c r="K2690" s="982">
        <v>0</v>
      </c>
      <c r="L2690" s="735">
        <v>2331</v>
      </c>
      <c r="M2690" s="735">
        <v>2185</v>
      </c>
      <c r="N2690" s="845">
        <f t="shared" si="194"/>
        <v>-6.263406263406264E-2</v>
      </c>
      <c r="O2690" s="735">
        <v>0.51357919168208077</v>
      </c>
      <c r="P2690" s="735">
        <f t="shared" si="195"/>
        <v>4254.4558568341945</v>
      </c>
      <c r="Q2690" s="849">
        <v>31.9</v>
      </c>
      <c r="R2690" s="71">
        <v>27300</v>
      </c>
      <c r="S2690" s="845">
        <v>0.42974828375286039</v>
      </c>
      <c r="T2690" s="845">
        <v>0.36</v>
      </c>
      <c r="U2690" s="845">
        <v>0</v>
      </c>
      <c r="V2690" s="845">
        <v>0</v>
      </c>
      <c r="W2690" s="845">
        <v>0.56209850107066384</v>
      </c>
      <c r="X2690" s="845">
        <v>0.55809523809523809</v>
      </c>
      <c r="Y2690" s="845">
        <v>3.2036613272311214E-2</v>
      </c>
      <c r="Z2690" s="845">
        <v>0.81830663615560639</v>
      </c>
      <c r="AA2690" s="845">
        <v>0</v>
      </c>
      <c r="AB2690" s="845">
        <v>8.6956521739130436E-3</v>
      </c>
      <c r="AC2690" s="845">
        <v>0</v>
      </c>
      <c r="AD2690" s="845">
        <v>0.1391304347826087</v>
      </c>
      <c r="AE2690" s="845">
        <v>1.8306636155606408E-3</v>
      </c>
      <c r="AF2690" s="845">
        <v>0</v>
      </c>
      <c r="AG2690" s="845">
        <v>3.2036613272311214E-2</v>
      </c>
      <c r="AH2690" s="20" t="str">
        <f t="shared" si="196"/>
        <v>No</v>
      </c>
      <c r="AI2690" s="25"/>
      <c r="AJ2690" s="25"/>
      <c r="AK2690" s="25"/>
      <c r="AL2690" s="25"/>
      <c r="AM2690" s="25"/>
      <c r="AN2690" s="25"/>
      <c r="AO2690" s="25"/>
      <c r="AP2690" s="25"/>
      <c r="AQ2690" s="25"/>
      <c r="AR2690" s="25"/>
      <c r="AS2690" s="25"/>
      <c r="AT2690" s="25"/>
      <c r="AU2690" s="36"/>
      <c r="AV2690" s="36"/>
      <c r="AW2690" s="36"/>
      <c r="AX2690" s="25"/>
      <c r="AY2690" s="25"/>
      <c r="AZ2690" s="25"/>
      <c r="BA2690" s="25"/>
      <c r="BB2690" s="25"/>
      <c r="BC2690" s="25"/>
      <c r="BD2690" s="25"/>
      <c r="BE2690" s="25"/>
      <c r="BF2690" s="25"/>
      <c r="BG2690" s="25"/>
      <c r="BH2690" s="25"/>
      <c r="BI2690" s="25"/>
      <c r="BJ2690" s="25"/>
      <c r="BK2690" s="25"/>
      <c r="BL2690" s="25"/>
      <c r="BM2690" s="25"/>
      <c r="BN2690" s="25"/>
      <c r="BO2690" s="25"/>
      <c r="BP2690" s="25"/>
      <c r="BQ2690" s="25"/>
      <c r="BR2690" s="25"/>
      <c r="BS2690" s="25"/>
      <c r="BT2690" s="25"/>
      <c r="BU2690"/>
      <c r="BV2690"/>
      <c r="BW2690"/>
      <c r="BX2690"/>
      <c r="BY2690"/>
      <c r="BZ2690"/>
      <c r="CA2690"/>
      <c r="CB2690"/>
      <c r="CC2690"/>
      <c r="CD2690" s="25"/>
    </row>
    <row r="2691" spans="1:82" s="17" customFormat="1" x14ac:dyDescent="0.2">
      <c r="A2691" s="25"/>
      <c r="B2691" s="20">
        <v>39053953800</v>
      </c>
      <c r="C2691" s="20">
        <v>9538</v>
      </c>
      <c r="D2691" s="20" t="s">
        <v>33</v>
      </c>
      <c r="E2691" s="20" t="s">
        <v>265</v>
      </c>
      <c r="F2691" s="20" t="s">
        <v>8</v>
      </c>
      <c r="G2691" s="861">
        <v>32.991048194488101</v>
      </c>
      <c r="H2691" s="861">
        <v>38.560784307275</v>
      </c>
      <c r="I2691" s="861">
        <v>18.182528948607999</v>
      </c>
      <c r="J2691" s="861">
        <v>46.807789880910299</v>
      </c>
      <c r="K2691" s="982">
        <v>0</v>
      </c>
      <c r="L2691" s="735">
        <v>3968</v>
      </c>
      <c r="M2691" s="735">
        <v>4074</v>
      </c>
      <c r="N2691" s="845">
        <f t="shared" si="194"/>
        <v>2.6713709677419355E-2</v>
      </c>
      <c r="O2691" s="735">
        <v>102.94396216359465</v>
      </c>
      <c r="P2691" s="735">
        <f t="shared" si="195"/>
        <v>39.574929062141145</v>
      </c>
      <c r="Q2691" s="849">
        <v>40.5</v>
      </c>
      <c r="R2691" s="71">
        <v>59968</v>
      </c>
      <c r="S2691" s="845">
        <v>0.11610211094747178</v>
      </c>
      <c r="T2691" s="845">
        <v>4.7E-2</v>
      </c>
      <c r="U2691" s="845">
        <v>1.3000000000000001E-2</v>
      </c>
      <c r="V2691" s="845">
        <v>0</v>
      </c>
      <c r="W2691" s="845">
        <v>0.16655607166556072</v>
      </c>
      <c r="X2691" s="845">
        <v>0.19123505976095617</v>
      </c>
      <c r="Y2691" s="845">
        <v>0.96637211585665195</v>
      </c>
      <c r="Z2691" s="845">
        <v>4.9091801669121256E-4</v>
      </c>
      <c r="AA2691" s="845">
        <v>0</v>
      </c>
      <c r="AB2691" s="845">
        <v>9.0819833087874332E-3</v>
      </c>
      <c r="AC2691" s="845">
        <v>0</v>
      </c>
      <c r="AD2691" s="845">
        <v>1.2272950417280314E-3</v>
      </c>
      <c r="AE2691" s="845">
        <v>2.2827687776141383E-2</v>
      </c>
      <c r="AF2691" s="845">
        <v>1.2272950417280314E-3</v>
      </c>
      <c r="AG2691" s="845">
        <v>0.96637211585665195</v>
      </c>
      <c r="AH2691" s="20" t="str">
        <f t="shared" si="196"/>
        <v>Yes</v>
      </c>
      <c r="AI2691" s="25"/>
      <c r="AJ2691" s="25"/>
      <c r="AK2691" s="25"/>
      <c r="AL2691" s="25"/>
      <c r="AM2691" s="25"/>
      <c r="AN2691" s="25"/>
      <c r="AO2691" s="25"/>
      <c r="AP2691" s="25"/>
      <c r="AQ2691" s="25"/>
      <c r="AR2691" s="25"/>
      <c r="AS2691" s="25"/>
      <c r="AT2691" s="25"/>
      <c r="AU2691" s="36"/>
      <c r="AV2691" s="36"/>
      <c r="AW2691" s="36"/>
      <c r="AX2691" s="25"/>
      <c r="AY2691" s="25"/>
      <c r="AZ2691" s="25"/>
      <c r="BA2691" s="25"/>
      <c r="BB2691" s="25"/>
      <c r="BC2691" s="25"/>
      <c r="BD2691" s="25"/>
      <c r="BE2691" s="25"/>
      <c r="BF2691" s="25"/>
      <c r="BG2691" s="25"/>
      <c r="BH2691" s="25"/>
      <c r="BI2691" s="25"/>
      <c r="BJ2691" s="25"/>
      <c r="BK2691" s="25"/>
      <c r="BL2691" s="25"/>
      <c r="BM2691" s="25"/>
      <c r="BN2691" s="25"/>
      <c r="BO2691" s="25"/>
      <c r="BP2691" s="25"/>
      <c r="BQ2691" s="25"/>
      <c r="BR2691" s="25"/>
      <c r="BS2691" s="25"/>
      <c r="BT2691" s="25"/>
      <c r="BU2691"/>
      <c r="BV2691"/>
      <c r="BW2691"/>
      <c r="BX2691"/>
      <c r="BY2691"/>
      <c r="BZ2691"/>
      <c r="CA2691"/>
      <c r="CB2691"/>
      <c r="CC2691"/>
      <c r="CD2691" s="25"/>
    </row>
    <row r="2692" spans="1:82" s="17" customFormat="1" x14ac:dyDescent="0.2">
      <c r="A2692" s="25"/>
      <c r="B2692" s="20">
        <v>39095004503</v>
      </c>
      <c r="C2692" s="20">
        <v>45.03</v>
      </c>
      <c r="D2692" s="20" t="s">
        <v>53</v>
      </c>
      <c r="E2692" s="20" t="s">
        <v>2839</v>
      </c>
      <c r="F2692" s="20" t="s">
        <v>8</v>
      </c>
      <c r="G2692" s="861">
        <v>32.987436769564802</v>
      </c>
      <c r="H2692" s="861">
        <v>51.518193705643498</v>
      </c>
      <c r="I2692" s="861">
        <v>38.7058052088423</v>
      </c>
      <c r="J2692" s="861">
        <v>31.844752826509701</v>
      </c>
      <c r="K2692" s="982">
        <v>0</v>
      </c>
      <c r="L2692" s="735">
        <v>2538</v>
      </c>
      <c r="M2692" s="735">
        <v>2509</v>
      </c>
      <c r="N2692" s="845">
        <f t="shared" si="194"/>
        <v>-1.1426319936958234E-2</v>
      </c>
      <c r="O2692" s="735">
        <v>0.64658675209130601</v>
      </c>
      <c r="P2692" s="735">
        <f t="shared" si="195"/>
        <v>3880.3764411889751</v>
      </c>
      <c r="Q2692" s="849">
        <v>43.5</v>
      </c>
      <c r="R2692" s="71">
        <v>57865</v>
      </c>
      <c r="S2692" s="845">
        <v>0.15227817745803357</v>
      </c>
      <c r="T2692" s="845">
        <v>4.4999999999999998E-2</v>
      </c>
      <c r="U2692" s="845">
        <v>0.01</v>
      </c>
      <c r="V2692" s="845">
        <v>3.2000000000000001E-2</v>
      </c>
      <c r="W2692" s="845">
        <v>0.28271028037383178</v>
      </c>
      <c r="X2692" s="845">
        <v>0.52617079889807161</v>
      </c>
      <c r="Y2692" s="845">
        <v>0.84535671582303706</v>
      </c>
      <c r="Z2692" s="845">
        <v>7.4531685930649655E-2</v>
      </c>
      <c r="AA2692" s="845">
        <v>2.3913909924272616E-3</v>
      </c>
      <c r="AB2692" s="845">
        <v>3.1885213232363493E-3</v>
      </c>
      <c r="AC2692" s="845">
        <v>4.7827819848545233E-3</v>
      </c>
      <c r="AD2692" s="845">
        <v>2.3515344758868077E-2</v>
      </c>
      <c r="AE2692" s="845">
        <v>4.6233559186927065E-2</v>
      </c>
      <c r="AF2692" s="845">
        <v>0.13033080908728578</v>
      </c>
      <c r="AG2692" s="845">
        <v>0.7724192905540056</v>
      </c>
      <c r="AH2692" s="20" t="str">
        <f t="shared" si="196"/>
        <v>No</v>
      </c>
      <c r="AI2692" s="25"/>
      <c r="AJ2692" s="25"/>
      <c r="AK2692" s="25"/>
      <c r="AL2692" s="25"/>
      <c r="AM2692" s="25"/>
      <c r="AN2692" s="25"/>
      <c r="AO2692" s="25"/>
      <c r="AP2692" s="25"/>
      <c r="AQ2692" s="25"/>
      <c r="AR2692" s="25"/>
      <c r="AS2692" s="25"/>
      <c r="AT2692" s="25"/>
      <c r="AU2692" s="36"/>
      <c r="AV2692" s="36"/>
      <c r="AW2692" s="36"/>
      <c r="AX2692" s="25"/>
      <c r="AY2692" s="25"/>
      <c r="AZ2692" s="25"/>
      <c r="BA2692" s="25"/>
      <c r="BB2692" s="25"/>
      <c r="BC2692" s="25"/>
      <c r="BD2692" s="25"/>
      <c r="BE2692" s="25"/>
      <c r="BF2692" s="25"/>
      <c r="BG2692" s="25"/>
      <c r="BH2692" s="25"/>
      <c r="BI2692" s="25"/>
      <c r="BJ2692" s="25"/>
      <c r="BK2692" s="25"/>
      <c r="BL2692" s="25"/>
      <c r="BM2692" s="25"/>
      <c r="BN2692" s="25"/>
      <c r="BO2692" s="25"/>
      <c r="BP2692" s="25"/>
      <c r="BQ2692" s="25"/>
      <c r="BR2692" s="25"/>
      <c r="BS2692" s="25"/>
      <c r="BT2692" s="25"/>
      <c r="BU2692"/>
      <c r="BV2692"/>
      <c r="BW2692"/>
      <c r="BX2692"/>
      <c r="BY2692"/>
      <c r="BZ2692"/>
      <c r="CA2692"/>
      <c r="CB2692"/>
      <c r="CC2692"/>
      <c r="CD2692" s="25"/>
    </row>
    <row r="2693" spans="1:82" s="17" customFormat="1" x14ac:dyDescent="0.2">
      <c r="A2693" s="25"/>
      <c r="B2693" s="20">
        <v>39139000400</v>
      </c>
      <c r="C2693" s="20">
        <v>4</v>
      </c>
      <c r="D2693" s="20" t="s">
        <v>75</v>
      </c>
      <c r="E2693" s="20" t="s">
        <v>2836</v>
      </c>
      <c r="F2693" s="20" t="s">
        <v>6</v>
      </c>
      <c r="G2693" s="861">
        <v>32.9759219565046</v>
      </c>
      <c r="H2693" s="861">
        <v>41.433139590413496</v>
      </c>
      <c r="I2693" s="861">
        <v>57.110654635430599</v>
      </c>
      <c r="J2693" s="861">
        <v>63.9431650858861</v>
      </c>
      <c r="K2693" s="982">
        <v>0</v>
      </c>
      <c r="L2693" s="735">
        <v>2481</v>
      </c>
      <c r="M2693" s="735">
        <v>2273</v>
      </c>
      <c r="N2693" s="845">
        <f t="shared" si="194"/>
        <v>-8.3837162434502219E-2</v>
      </c>
      <c r="O2693" s="735">
        <v>0.52486881879932645</v>
      </c>
      <c r="P2693" s="735">
        <f t="shared" si="195"/>
        <v>4330.6058934871462</v>
      </c>
      <c r="Q2693" s="849">
        <v>29.5</v>
      </c>
      <c r="R2693" s="71">
        <v>40332</v>
      </c>
      <c r="S2693" s="845">
        <v>0.32083145051965656</v>
      </c>
      <c r="T2693" s="845">
        <v>4.9000000000000002E-2</v>
      </c>
      <c r="U2693" s="845">
        <v>0</v>
      </c>
      <c r="V2693" s="845">
        <v>0</v>
      </c>
      <c r="W2693" s="845">
        <v>0.52256033578174188</v>
      </c>
      <c r="X2693" s="845">
        <v>0.54016064257028118</v>
      </c>
      <c r="Y2693" s="845">
        <v>0.6709194896612406</v>
      </c>
      <c r="Z2693" s="845">
        <v>0.13726352837659481</v>
      </c>
      <c r="AA2693" s="845">
        <v>0</v>
      </c>
      <c r="AB2693" s="845">
        <v>0</v>
      </c>
      <c r="AC2693" s="845">
        <v>0</v>
      </c>
      <c r="AD2693" s="845">
        <v>0</v>
      </c>
      <c r="AE2693" s="845">
        <v>0.19181698196216454</v>
      </c>
      <c r="AF2693" s="845">
        <v>4.8394192696876379E-3</v>
      </c>
      <c r="AG2693" s="845">
        <v>0.66608007039155304</v>
      </c>
      <c r="AH2693" s="20" t="str">
        <f t="shared" si="196"/>
        <v>No</v>
      </c>
      <c r="AI2693" s="25"/>
      <c r="AJ2693" s="25"/>
      <c r="AK2693" s="25"/>
      <c r="AL2693" s="25"/>
      <c r="AM2693" s="25"/>
      <c r="AN2693" s="25"/>
      <c r="AO2693" s="25"/>
      <c r="AP2693" s="25"/>
      <c r="AQ2693" s="25"/>
      <c r="AR2693" s="25"/>
      <c r="AS2693" s="25"/>
      <c r="AT2693" s="25"/>
      <c r="AU2693" s="36"/>
      <c r="AV2693" s="36"/>
      <c r="AW2693" s="36"/>
      <c r="AX2693" s="25"/>
      <c r="AY2693" s="25"/>
      <c r="AZ2693" s="25"/>
      <c r="BA2693" s="25"/>
      <c r="BB2693" s="25"/>
      <c r="BC2693" s="25"/>
      <c r="BD2693" s="25"/>
      <c r="BE2693" s="25"/>
      <c r="BF2693" s="25"/>
      <c r="BG2693" s="25"/>
      <c r="BH2693" s="25"/>
      <c r="BI2693" s="25"/>
      <c r="BJ2693" s="25"/>
      <c r="BK2693" s="25"/>
      <c r="BL2693" s="25"/>
      <c r="BM2693" s="25"/>
      <c r="BN2693" s="25"/>
      <c r="BO2693" s="25"/>
      <c r="BP2693" s="25"/>
      <c r="BQ2693" s="25"/>
      <c r="BR2693" s="25"/>
      <c r="BS2693" s="25"/>
      <c r="BT2693" s="25"/>
      <c r="BU2693"/>
      <c r="BV2693"/>
      <c r="BW2693"/>
      <c r="BX2693"/>
      <c r="BY2693"/>
      <c r="BZ2693"/>
      <c r="CA2693"/>
      <c r="CB2693"/>
      <c r="CC2693"/>
      <c r="CD2693" s="25"/>
    </row>
    <row r="2694" spans="1:82" s="17" customFormat="1" x14ac:dyDescent="0.2">
      <c r="A2694" s="25"/>
      <c r="B2694" s="20">
        <v>39095007307</v>
      </c>
      <c r="C2694" s="20">
        <v>73.069999999999993</v>
      </c>
      <c r="D2694" s="20" t="s">
        <v>53</v>
      </c>
      <c r="E2694" s="20" t="s">
        <v>2839</v>
      </c>
      <c r="F2694" s="20" t="s">
        <v>8</v>
      </c>
      <c r="G2694" s="861">
        <v>32.926797272506199</v>
      </c>
      <c r="H2694" s="861">
        <v>46.933863654277999</v>
      </c>
      <c r="I2694" s="861">
        <v>53.5489708273453</v>
      </c>
      <c r="J2694" s="861">
        <v>40.908004393551202</v>
      </c>
      <c r="K2694" s="982">
        <v>0</v>
      </c>
      <c r="L2694" s="735" t="s">
        <v>2466</v>
      </c>
      <c r="M2694" s="735">
        <v>1424</v>
      </c>
      <c r="N2694" s="845" t="str">
        <f t="shared" si="194"/>
        <v/>
      </c>
      <c r="O2694" s="735">
        <v>0.52224525463169025</v>
      </c>
      <c r="P2694" s="735">
        <f t="shared" si="195"/>
        <v>2726.6882511058257</v>
      </c>
      <c r="Q2694" s="849">
        <v>29</v>
      </c>
      <c r="R2694" s="71">
        <v>32273</v>
      </c>
      <c r="S2694" s="845">
        <v>0.31320224719101125</v>
      </c>
      <c r="T2694" s="845">
        <v>0</v>
      </c>
      <c r="U2694" s="845">
        <v>0</v>
      </c>
      <c r="V2694" s="845">
        <v>0.13200000000000001</v>
      </c>
      <c r="W2694" s="845">
        <v>0.97236842105263155</v>
      </c>
      <c r="X2694" s="845">
        <v>0.48714479025710422</v>
      </c>
      <c r="Y2694" s="845">
        <v>0.5070224719101124</v>
      </c>
      <c r="Z2694" s="845">
        <v>0.3693820224719101</v>
      </c>
      <c r="AA2694" s="845">
        <v>0</v>
      </c>
      <c r="AB2694" s="845">
        <v>0</v>
      </c>
      <c r="AC2694" s="845">
        <v>0</v>
      </c>
      <c r="AD2694" s="845">
        <v>0</v>
      </c>
      <c r="AE2694" s="845">
        <v>0.12359550561797752</v>
      </c>
      <c r="AF2694" s="845">
        <v>9.480337078651685E-2</v>
      </c>
      <c r="AG2694" s="845">
        <v>0.5070224719101124</v>
      </c>
      <c r="AH2694" s="20" t="str">
        <f t="shared" si="196"/>
        <v>No</v>
      </c>
      <c r="AI2694" s="25"/>
      <c r="AJ2694" s="25"/>
      <c r="AK2694" s="25"/>
      <c r="AL2694" s="25"/>
      <c r="AM2694" s="25"/>
      <c r="AN2694" s="25"/>
      <c r="AO2694" s="25"/>
      <c r="AP2694" s="25"/>
      <c r="AQ2694" s="25"/>
      <c r="AR2694" s="25"/>
      <c r="AS2694" s="25"/>
      <c r="AT2694" s="25"/>
      <c r="AU2694" s="36"/>
      <c r="AV2694" s="36"/>
      <c r="AW2694" s="36"/>
      <c r="AX2694" s="25"/>
      <c r="AY2694" s="25"/>
      <c r="AZ2694" s="25"/>
      <c r="BA2694" s="25"/>
      <c r="BB2694" s="25"/>
      <c r="BC2694" s="25"/>
      <c r="BD2694" s="25"/>
      <c r="BE2694" s="25"/>
      <c r="BF2694" s="25"/>
      <c r="BG2694" s="25"/>
      <c r="BH2694" s="25"/>
      <c r="BI2694" s="25"/>
      <c r="BJ2694" s="25"/>
      <c r="BK2694" s="25"/>
      <c r="BL2694" s="25"/>
      <c r="BM2694" s="25"/>
      <c r="BN2694" s="25"/>
      <c r="BO2694" s="25"/>
      <c r="BP2694" s="25"/>
      <c r="BQ2694" s="25"/>
      <c r="BR2694" s="25"/>
      <c r="BS2694" s="25"/>
      <c r="BT2694" s="25"/>
      <c r="BU2694"/>
      <c r="BV2694"/>
      <c r="BW2694"/>
      <c r="BX2694"/>
      <c r="BY2694"/>
      <c r="BZ2694"/>
      <c r="CA2694"/>
      <c r="CB2694"/>
      <c r="CC2694"/>
      <c r="CD2694" s="25"/>
    </row>
    <row r="2695" spans="1:82" s="17" customFormat="1" x14ac:dyDescent="0.2">
      <c r="A2695" s="25"/>
      <c r="B2695" s="20">
        <v>39113001802</v>
      </c>
      <c r="C2695" s="20">
        <v>18.02</v>
      </c>
      <c r="D2695" s="20" t="s">
        <v>62</v>
      </c>
      <c r="E2695" s="20" t="s">
        <v>2833</v>
      </c>
      <c r="F2695" s="20" t="s">
        <v>6</v>
      </c>
      <c r="G2695" s="861">
        <v>32.919038367747298</v>
      </c>
      <c r="H2695" s="861">
        <v>39.138697777484701</v>
      </c>
      <c r="I2695" s="861">
        <v>63.660118124639702</v>
      </c>
      <c r="J2695" s="861">
        <v>45.051850766151396</v>
      </c>
      <c r="K2695" s="982">
        <v>1</v>
      </c>
      <c r="L2695" s="735" t="s">
        <v>2466</v>
      </c>
      <c r="M2695" s="735">
        <v>4457</v>
      </c>
      <c r="N2695" s="845" t="str">
        <f t="shared" si="194"/>
        <v/>
      </c>
      <c r="O2695" s="735">
        <v>1.3366582597940961</v>
      </c>
      <c r="P2695" s="735">
        <f t="shared" si="195"/>
        <v>3334.4349367852433</v>
      </c>
      <c r="Q2695" s="849">
        <v>26.5</v>
      </c>
      <c r="R2695" s="71">
        <v>36819</v>
      </c>
      <c r="S2695" s="845">
        <v>0.32718271827182716</v>
      </c>
      <c r="T2695" s="845">
        <v>0.113</v>
      </c>
      <c r="U2695" s="845">
        <v>0</v>
      </c>
      <c r="V2695" s="845">
        <v>0</v>
      </c>
      <c r="W2695" s="845">
        <v>0.61008861622358557</v>
      </c>
      <c r="X2695" s="845">
        <v>0.51284916201117314</v>
      </c>
      <c r="Y2695" s="845">
        <v>0.75701144267444465</v>
      </c>
      <c r="Z2695" s="845">
        <v>0.18016603096253084</v>
      </c>
      <c r="AA2695" s="845">
        <v>0</v>
      </c>
      <c r="AB2695" s="845">
        <v>1.7276194749831726E-2</v>
      </c>
      <c r="AC2695" s="845">
        <v>0</v>
      </c>
      <c r="AD2695" s="845">
        <v>2.176351806147633E-2</v>
      </c>
      <c r="AE2695" s="845">
        <v>2.3782813551716402E-2</v>
      </c>
      <c r="AF2695" s="845">
        <v>6.6861117343504597E-2</v>
      </c>
      <c r="AG2695" s="845">
        <v>0.72111285618128784</v>
      </c>
      <c r="AH2695" s="20" t="str">
        <f t="shared" si="196"/>
        <v>No</v>
      </c>
      <c r="AI2695" s="25"/>
      <c r="AJ2695" s="25"/>
      <c r="AK2695" s="25"/>
      <c r="AL2695" s="25"/>
      <c r="AM2695" s="25"/>
      <c r="AN2695" s="25"/>
      <c r="AO2695" s="25"/>
      <c r="AP2695" s="25"/>
      <c r="AQ2695" s="25"/>
      <c r="AR2695" s="25"/>
      <c r="AS2695" s="25"/>
      <c r="AT2695" s="25"/>
      <c r="AU2695" s="36"/>
      <c r="AV2695" s="36"/>
      <c r="AW2695" s="36"/>
      <c r="AX2695" s="25"/>
      <c r="AY2695" s="25"/>
      <c r="AZ2695" s="25"/>
      <c r="BA2695" s="25"/>
      <c r="BB2695" s="25"/>
      <c r="BC2695" s="25"/>
      <c r="BD2695" s="25"/>
      <c r="BE2695" s="25"/>
      <c r="BF2695" s="25"/>
      <c r="BG2695" s="25"/>
      <c r="BH2695" s="25"/>
      <c r="BI2695" s="25"/>
      <c r="BJ2695" s="25"/>
      <c r="BK2695" s="25"/>
      <c r="BL2695" s="25"/>
      <c r="BM2695" s="25"/>
      <c r="BN2695" s="25"/>
      <c r="BO2695" s="25"/>
      <c r="BP2695" s="25"/>
      <c r="BQ2695" s="25"/>
      <c r="BR2695" s="25"/>
      <c r="BS2695" s="25"/>
      <c r="BT2695" s="25"/>
      <c r="BU2695"/>
      <c r="BV2695"/>
      <c r="BW2695"/>
      <c r="BX2695"/>
      <c r="BY2695"/>
      <c r="BZ2695"/>
      <c r="CA2695"/>
      <c r="CB2695"/>
      <c r="CC2695"/>
      <c r="CD2695" s="25"/>
    </row>
    <row r="2696" spans="1:82" s="17" customFormat="1" x14ac:dyDescent="0.2">
      <c r="A2696" s="25"/>
      <c r="B2696" s="20">
        <v>39093071201</v>
      </c>
      <c r="C2696" s="20">
        <v>712.01</v>
      </c>
      <c r="D2696" s="20" t="s">
        <v>52</v>
      </c>
      <c r="E2696" s="20" t="s">
        <v>2829</v>
      </c>
      <c r="F2696" s="20" t="s">
        <v>6</v>
      </c>
      <c r="G2696" s="861">
        <v>32.916135654447899</v>
      </c>
      <c r="H2696" s="861">
        <v>33.301914320495598</v>
      </c>
      <c r="I2696" s="861">
        <v>32.564378944547201</v>
      </c>
      <c r="J2696" s="861">
        <v>31.741101921220402</v>
      </c>
      <c r="K2696" s="982">
        <v>0</v>
      </c>
      <c r="L2696" s="735">
        <v>4782</v>
      </c>
      <c r="M2696" s="735">
        <v>3970</v>
      </c>
      <c r="N2696" s="845">
        <f t="shared" si="194"/>
        <v>-0.16980342952739438</v>
      </c>
      <c r="O2696" s="735">
        <v>0.6072525946846915</v>
      </c>
      <c r="P2696" s="735">
        <f t="shared" si="195"/>
        <v>6537.6418886466417</v>
      </c>
      <c r="Q2696" s="849">
        <v>39.4</v>
      </c>
      <c r="R2696" s="71">
        <v>45924</v>
      </c>
      <c r="S2696" s="845">
        <v>0.136272040302267</v>
      </c>
      <c r="T2696" s="845">
        <v>4.4999999999999998E-2</v>
      </c>
      <c r="U2696" s="845">
        <v>3.9E-2</v>
      </c>
      <c r="V2696" s="845">
        <v>0.155</v>
      </c>
      <c r="W2696" s="845">
        <v>0.37764514378730329</v>
      </c>
      <c r="X2696" s="845">
        <v>0.35632183908045978</v>
      </c>
      <c r="Y2696" s="845">
        <v>0.79596977329974816</v>
      </c>
      <c r="Z2696" s="845">
        <v>0.12821158690176324</v>
      </c>
      <c r="AA2696" s="845">
        <v>1.5113350125944584E-3</v>
      </c>
      <c r="AB2696" s="845">
        <v>0</v>
      </c>
      <c r="AC2696" s="845">
        <v>0</v>
      </c>
      <c r="AD2696" s="845">
        <v>0</v>
      </c>
      <c r="AE2696" s="845">
        <v>7.4307304785894202E-2</v>
      </c>
      <c r="AF2696" s="845">
        <v>3.6272040302267002E-2</v>
      </c>
      <c r="AG2696" s="845">
        <v>0.79596977329974816</v>
      </c>
      <c r="AH2696" s="20" t="str">
        <f t="shared" si="196"/>
        <v>No</v>
      </c>
      <c r="AI2696" s="25"/>
      <c r="AJ2696" s="25"/>
      <c r="AK2696" s="25"/>
      <c r="AL2696" s="25"/>
      <c r="AM2696" s="25"/>
      <c r="AN2696" s="25"/>
      <c r="AO2696" s="25"/>
      <c r="AP2696" s="25"/>
      <c r="AQ2696" s="25"/>
      <c r="AR2696" s="25"/>
      <c r="AS2696" s="25"/>
      <c r="AT2696" s="25"/>
      <c r="AU2696" s="36"/>
      <c r="AV2696" s="36"/>
      <c r="AW2696" s="36"/>
      <c r="AX2696" s="25"/>
      <c r="AY2696" s="25"/>
      <c r="AZ2696" s="25"/>
      <c r="BA2696" s="25"/>
      <c r="BB2696" s="25"/>
      <c r="BC2696" s="25"/>
      <c r="BD2696" s="25"/>
      <c r="BE2696" s="25"/>
      <c r="BF2696" s="25"/>
      <c r="BG2696" s="25"/>
      <c r="BH2696" s="25"/>
      <c r="BI2696" s="25"/>
      <c r="BJ2696" s="25"/>
      <c r="BK2696" s="25"/>
      <c r="BL2696" s="25"/>
      <c r="BM2696" s="25"/>
      <c r="BN2696" s="25"/>
      <c r="BO2696" s="25"/>
      <c r="BP2696" s="25"/>
      <c r="BQ2696" s="25"/>
      <c r="BR2696" s="25"/>
      <c r="BS2696" s="25"/>
      <c r="BT2696" s="25"/>
      <c r="BU2696"/>
      <c r="BV2696"/>
      <c r="BW2696"/>
      <c r="BX2696"/>
      <c r="BY2696"/>
      <c r="BZ2696"/>
      <c r="CA2696"/>
      <c r="CB2696"/>
      <c r="CC2696"/>
      <c r="CD2696" s="25"/>
    </row>
    <row r="2697" spans="1:82" s="17" customFormat="1" x14ac:dyDescent="0.2">
      <c r="A2697" s="25"/>
      <c r="B2697" s="20">
        <v>39127965902</v>
      </c>
      <c r="C2697" s="20">
        <v>9659.02</v>
      </c>
      <c r="D2697" s="20" t="s">
        <v>69</v>
      </c>
      <c r="E2697" s="20" t="s">
        <v>2830</v>
      </c>
      <c r="F2697" s="20" t="s">
        <v>8</v>
      </c>
      <c r="G2697" s="861">
        <v>32.914652051925302</v>
      </c>
      <c r="H2697" s="861">
        <v>39.181076966317498</v>
      </c>
      <c r="I2697" s="861">
        <v>23.5932411950062</v>
      </c>
      <c r="J2697" s="861">
        <v>42.920157373560698</v>
      </c>
      <c r="K2697" s="982">
        <v>0</v>
      </c>
      <c r="L2697" s="735" t="s">
        <v>2466</v>
      </c>
      <c r="M2697" s="735">
        <v>3714</v>
      </c>
      <c r="N2697" s="845" t="str">
        <f t="shared" si="194"/>
        <v/>
      </c>
      <c r="O2697" s="735">
        <v>52.010731045402366</v>
      </c>
      <c r="P2697" s="735">
        <f t="shared" si="195"/>
        <v>71.408340651045506</v>
      </c>
      <c r="Q2697" s="849">
        <v>34.4</v>
      </c>
      <c r="R2697" s="71">
        <v>60655</v>
      </c>
      <c r="S2697" s="845">
        <v>0.14945652173913043</v>
      </c>
      <c r="T2697" s="845">
        <v>1.9E-2</v>
      </c>
      <c r="U2697" s="845">
        <v>1.6E-2</v>
      </c>
      <c r="V2697" s="845">
        <v>0</v>
      </c>
      <c r="W2697" s="845">
        <v>0.10378117457763475</v>
      </c>
      <c r="X2697" s="845">
        <v>0.31782945736434109</v>
      </c>
      <c r="Y2697" s="845">
        <v>0.98196015078082932</v>
      </c>
      <c r="Z2697" s="845">
        <v>2.4232633279483036E-3</v>
      </c>
      <c r="AA2697" s="845">
        <v>0</v>
      </c>
      <c r="AB2697" s="845">
        <v>0</v>
      </c>
      <c r="AC2697" s="845">
        <v>0</v>
      </c>
      <c r="AD2697" s="845">
        <v>0</v>
      </c>
      <c r="AE2697" s="845">
        <v>1.5616585891222402E-2</v>
      </c>
      <c r="AF2697" s="845">
        <v>5.3850296176628971E-4</v>
      </c>
      <c r="AG2697" s="845">
        <v>0.98142164781906305</v>
      </c>
      <c r="AH2697" s="20" t="str">
        <f t="shared" si="196"/>
        <v>Yes</v>
      </c>
      <c r="AI2697" s="25"/>
      <c r="AJ2697" s="25"/>
      <c r="AK2697" s="25"/>
      <c r="AL2697" s="25"/>
      <c r="AM2697" s="25"/>
      <c r="AN2697" s="25"/>
      <c r="AO2697" s="25"/>
      <c r="AP2697" s="25"/>
      <c r="AQ2697" s="25"/>
      <c r="AR2697" s="25"/>
      <c r="AS2697" s="25"/>
      <c r="AT2697" s="25"/>
      <c r="AU2697" s="36"/>
      <c r="AV2697" s="36"/>
      <c r="AW2697" s="36"/>
      <c r="AX2697" s="25"/>
      <c r="AY2697" s="25"/>
      <c r="AZ2697" s="25"/>
      <c r="BA2697" s="25"/>
      <c r="BB2697" s="25"/>
      <c r="BC2697" s="25"/>
      <c r="BD2697" s="25"/>
      <c r="BE2697" s="25"/>
      <c r="BF2697" s="25"/>
      <c r="BG2697" s="25"/>
      <c r="BH2697" s="25"/>
      <c r="BI2697" s="25"/>
      <c r="BJ2697" s="25"/>
      <c r="BK2697" s="25"/>
      <c r="BL2697" s="25"/>
      <c r="BM2697" s="25"/>
      <c r="BN2697" s="25"/>
      <c r="BO2697" s="25"/>
      <c r="BP2697" s="25"/>
      <c r="BQ2697" s="25"/>
      <c r="BR2697" s="25"/>
      <c r="BS2697" s="25"/>
      <c r="BT2697" s="25"/>
      <c r="BU2697"/>
      <c r="BV2697"/>
      <c r="BW2697"/>
      <c r="BX2697"/>
      <c r="BY2697"/>
      <c r="BZ2697"/>
      <c r="CA2697"/>
      <c r="CB2697"/>
      <c r="CC2697"/>
      <c r="CD2697" s="25"/>
    </row>
    <row r="2698" spans="1:82" s="17" customFormat="1" x14ac:dyDescent="0.2">
      <c r="A2698" s="25"/>
      <c r="B2698" s="20">
        <v>39173020702</v>
      </c>
      <c r="C2698" s="20">
        <v>207.02</v>
      </c>
      <c r="D2698" s="20" t="s">
        <v>92</v>
      </c>
      <c r="E2698" s="20" t="s">
        <v>2839</v>
      </c>
      <c r="F2698" s="20" t="s">
        <v>8</v>
      </c>
      <c r="G2698" s="861">
        <v>32.910076909337903</v>
      </c>
      <c r="H2698" s="861">
        <v>34.581536979102196</v>
      </c>
      <c r="I2698" s="861">
        <v>35.591184792051799</v>
      </c>
      <c r="J2698" s="861">
        <v>32.757386953242403</v>
      </c>
      <c r="K2698" s="982">
        <v>0</v>
      </c>
      <c r="L2698" s="735" t="s">
        <v>2466</v>
      </c>
      <c r="M2698" s="735">
        <v>3267</v>
      </c>
      <c r="N2698" s="845" t="str">
        <f t="shared" si="194"/>
        <v/>
      </c>
      <c r="O2698" s="735">
        <v>23.935141926192088</v>
      </c>
      <c r="P2698" s="735">
        <f t="shared" si="195"/>
        <v>136.49386371195655</v>
      </c>
      <c r="Q2698" s="849">
        <v>40.5</v>
      </c>
      <c r="R2698" s="71">
        <v>57143</v>
      </c>
      <c r="S2698" s="845">
        <v>0.1554858934169279</v>
      </c>
      <c r="T2698" s="845">
        <v>0.10300000000000001</v>
      </c>
      <c r="U2698" s="845">
        <v>3.7999999999999999E-2</v>
      </c>
      <c r="V2698" s="845">
        <v>0</v>
      </c>
      <c r="W2698" s="845">
        <v>0.3226703755215577</v>
      </c>
      <c r="X2698" s="845">
        <v>0.18318965517241378</v>
      </c>
      <c r="Y2698" s="845">
        <v>0.85338230792776248</v>
      </c>
      <c r="Z2698" s="845">
        <v>4.1628405264768902E-2</v>
      </c>
      <c r="AA2698" s="845">
        <v>0</v>
      </c>
      <c r="AB2698" s="845">
        <v>1.928374655647383E-2</v>
      </c>
      <c r="AC2698" s="845">
        <v>0</v>
      </c>
      <c r="AD2698" s="845">
        <v>2.2650749923477195E-2</v>
      </c>
      <c r="AE2698" s="845">
        <v>6.3054790327517596E-2</v>
      </c>
      <c r="AF2698" s="845">
        <v>2.8160391796755432E-2</v>
      </c>
      <c r="AG2698" s="845">
        <v>0.85062748699112334</v>
      </c>
      <c r="AH2698" s="20" t="str">
        <f t="shared" si="196"/>
        <v>No</v>
      </c>
      <c r="AI2698" s="25"/>
      <c r="AJ2698" s="25"/>
      <c r="AK2698" s="25"/>
      <c r="AL2698" s="25"/>
      <c r="AM2698" s="25"/>
      <c r="AN2698" s="25"/>
      <c r="AO2698" s="25"/>
      <c r="AP2698" s="25"/>
      <c r="AQ2698" s="25"/>
      <c r="AR2698" s="25"/>
      <c r="AS2698" s="25"/>
      <c r="AT2698" s="25"/>
      <c r="AU2698" s="36"/>
      <c r="AV2698" s="36"/>
      <c r="AW2698" s="36"/>
      <c r="AX2698" s="25"/>
      <c r="AY2698" s="25"/>
      <c r="AZ2698" s="25"/>
      <c r="BA2698" s="25"/>
      <c r="BB2698" s="25"/>
      <c r="BC2698" s="25"/>
      <c r="BD2698" s="25"/>
      <c r="BE2698" s="25"/>
      <c r="BF2698" s="25"/>
      <c r="BG2698" s="25"/>
      <c r="BH2698" s="25"/>
      <c r="BI2698" s="25"/>
      <c r="BJ2698" s="25"/>
      <c r="BK2698" s="25"/>
      <c r="BL2698" s="25"/>
      <c r="BM2698" s="25"/>
      <c r="BN2698" s="25"/>
      <c r="BO2698" s="25"/>
      <c r="BP2698" s="25"/>
      <c r="BQ2698" s="25"/>
      <c r="BR2698" s="25"/>
      <c r="BS2698" s="25"/>
      <c r="BT2698" s="25"/>
      <c r="BU2698"/>
      <c r="BV2698"/>
      <c r="BW2698"/>
      <c r="BX2698"/>
      <c r="BY2698"/>
      <c r="BZ2698"/>
      <c r="CA2698"/>
      <c r="CB2698"/>
      <c r="CC2698"/>
      <c r="CD2698" s="25"/>
    </row>
    <row r="2699" spans="1:82" s="17" customFormat="1" x14ac:dyDescent="0.2">
      <c r="A2699" s="25"/>
      <c r="B2699" s="20">
        <v>39093023400</v>
      </c>
      <c r="C2699" s="20">
        <v>234</v>
      </c>
      <c r="D2699" s="20" t="s">
        <v>52</v>
      </c>
      <c r="E2699" s="20" t="s">
        <v>2829</v>
      </c>
      <c r="F2699" s="20" t="s">
        <v>8</v>
      </c>
      <c r="G2699" s="861">
        <v>32.892519046220997</v>
      </c>
      <c r="H2699" s="861">
        <v>33.044320723077099</v>
      </c>
      <c r="I2699" s="861">
        <v>21.855821788779298</v>
      </c>
      <c r="J2699" s="861">
        <v>42.614255978009503</v>
      </c>
      <c r="K2699" s="982">
        <v>0</v>
      </c>
      <c r="L2699" s="735">
        <v>2011</v>
      </c>
      <c r="M2699" s="735">
        <v>2127</v>
      </c>
      <c r="N2699" s="845">
        <f t="shared" ref="N2699:N2762" si="197">IF(OR(L2699="",M2699=""),"",(M2699-L2699)/L2699)</f>
        <v>5.7682744903033316E-2</v>
      </c>
      <c r="O2699" s="735">
        <v>0.60840240691297998</v>
      </c>
      <c r="P2699" s="735">
        <f t="shared" ref="P2699:P2762" si="198">M2699/O2699</f>
        <v>3496.0413960101669</v>
      </c>
      <c r="Q2699" s="849">
        <v>50</v>
      </c>
      <c r="R2699" s="71">
        <v>60396</v>
      </c>
      <c r="S2699" s="845">
        <v>0.14527503526093088</v>
      </c>
      <c r="T2699" s="845">
        <v>1.1000000000000001E-2</v>
      </c>
      <c r="U2699" s="845">
        <v>0</v>
      </c>
      <c r="V2699" s="845">
        <v>0</v>
      </c>
      <c r="W2699" s="845">
        <v>0.30225711481844947</v>
      </c>
      <c r="X2699" s="845">
        <v>0.40259740259740262</v>
      </c>
      <c r="Y2699" s="845">
        <v>0.67418899858956272</v>
      </c>
      <c r="Z2699" s="845">
        <v>0.17865538316878232</v>
      </c>
      <c r="AA2699" s="845">
        <v>7.9924776680771036E-3</v>
      </c>
      <c r="AB2699" s="845">
        <v>0</v>
      </c>
      <c r="AC2699" s="845">
        <v>0</v>
      </c>
      <c r="AD2699" s="845">
        <v>7.9924776680771036E-3</v>
      </c>
      <c r="AE2699" s="845">
        <v>0.1311706629055007</v>
      </c>
      <c r="AF2699" s="845">
        <v>0.13869299482839681</v>
      </c>
      <c r="AG2699" s="845">
        <v>0.66713681241184764</v>
      </c>
      <c r="AH2699" s="20" t="str">
        <f t="shared" ref="AH2699:AH2762" si="199">IF(AG2699&gt;=0.9,"Yes","No")</f>
        <v>No</v>
      </c>
      <c r="AI2699" s="25"/>
      <c r="AJ2699" s="25"/>
      <c r="AK2699" s="25"/>
      <c r="AL2699" s="25"/>
      <c r="AM2699" s="25"/>
      <c r="AN2699" s="25"/>
      <c r="AO2699" s="25"/>
      <c r="AP2699" s="25"/>
      <c r="AQ2699" s="25"/>
      <c r="AR2699" s="25"/>
      <c r="AS2699" s="25"/>
      <c r="AT2699" s="25"/>
      <c r="AU2699" s="36"/>
      <c r="AV2699" s="36"/>
      <c r="AW2699" s="36"/>
      <c r="AX2699" s="25"/>
      <c r="AY2699" s="25"/>
      <c r="AZ2699" s="25"/>
      <c r="BA2699" s="25"/>
      <c r="BB2699" s="25"/>
      <c r="BC2699" s="25"/>
      <c r="BD2699" s="25"/>
      <c r="BE2699" s="25"/>
      <c r="BF2699" s="25"/>
      <c r="BG2699" s="25"/>
      <c r="BH2699" s="25"/>
      <c r="BI2699" s="25"/>
      <c r="BJ2699" s="25"/>
      <c r="BK2699" s="25"/>
      <c r="BL2699" s="25"/>
      <c r="BM2699" s="25"/>
      <c r="BN2699" s="25"/>
      <c r="BO2699" s="25"/>
      <c r="BP2699" s="25"/>
      <c r="BQ2699" s="25"/>
      <c r="BR2699" s="25"/>
      <c r="BS2699" s="25"/>
      <c r="BT2699" s="25"/>
      <c r="BU2699"/>
      <c r="BV2699"/>
      <c r="BW2699"/>
      <c r="BX2699"/>
      <c r="BY2699"/>
      <c r="BZ2699"/>
      <c r="CA2699"/>
      <c r="CB2699"/>
      <c r="CC2699"/>
      <c r="CD2699" s="25"/>
    </row>
    <row r="2700" spans="1:82" s="17" customFormat="1" x14ac:dyDescent="0.2">
      <c r="A2700" s="25"/>
      <c r="B2700" s="20">
        <v>39119912100</v>
      </c>
      <c r="C2700" s="20">
        <v>9121</v>
      </c>
      <c r="D2700" s="20" t="s">
        <v>65</v>
      </c>
      <c r="E2700" s="20" t="s">
        <v>265</v>
      </c>
      <c r="F2700" s="20" t="s">
        <v>6</v>
      </c>
      <c r="G2700" s="861">
        <v>32.8868446403118</v>
      </c>
      <c r="H2700" s="861">
        <v>43.979767653363702</v>
      </c>
      <c r="I2700" s="861">
        <v>55.182353766369701</v>
      </c>
      <c r="J2700" s="861">
        <v>41.5502052130077</v>
      </c>
      <c r="K2700" s="982">
        <v>0</v>
      </c>
      <c r="L2700" s="735">
        <v>3504</v>
      </c>
      <c r="M2700" s="735">
        <v>3470</v>
      </c>
      <c r="N2700" s="845">
        <f t="shared" si="197"/>
        <v>-9.7031963470319629E-3</v>
      </c>
      <c r="O2700" s="735">
        <v>1.1869637501926602</v>
      </c>
      <c r="P2700" s="735">
        <f t="shared" si="198"/>
        <v>2923.4254200574974</v>
      </c>
      <c r="Q2700" s="849">
        <v>30.3</v>
      </c>
      <c r="R2700" s="71">
        <v>31111</v>
      </c>
      <c r="S2700" s="845">
        <v>0.36927536231884056</v>
      </c>
      <c r="T2700" s="845">
        <v>0.20600000000000002</v>
      </c>
      <c r="U2700" s="845">
        <v>0.04</v>
      </c>
      <c r="V2700" s="845">
        <v>0</v>
      </c>
      <c r="W2700" s="845">
        <v>0.59126365054602181</v>
      </c>
      <c r="X2700" s="845">
        <v>0.46701846965699206</v>
      </c>
      <c r="Y2700" s="845">
        <v>0.82103746397694521</v>
      </c>
      <c r="Z2700" s="845">
        <v>4.2939481268011524E-2</v>
      </c>
      <c r="AA2700" s="845">
        <v>4.0345821325648411E-3</v>
      </c>
      <c r="AB2700" s="845">
        <v>2.881844380403458E-3</v>
      </c>
      <c r="AC2700" s="845">
        <v>0</v>
      </c>
      <c r="AD2700" s="845">
        <v>0</v>
      </c>
      <c r="AE2700" s="845">
        <v>0.12910662824207492</v>
      </c>
      <c r="AF2700" s="845">
        <v>2.5936599423631124E-2</v>
      </c>
      <c r="AG2700" s="845">
        <v>0.82103746397694521</v>
      </c>
      <c r="AH2700" s="20" t="str">
        <f t="shared" si="199"/>
        <v>No</v>
      </c>
      <c r="AI2700" s="25"/>
      <c r="AJ2700" s="25"/>
      <c r="AK2700" s="25"/>
      <c r="AL2700" s="25"/>
      <c r="AM2700" s="25"/>
      <c r="AN2700" s="25"/>
      <c r="AO2700" s="25"/>
      <c r="AP2700" s="25"/>
      <c r="AQ2700" s="25"/>
      <c r="AR2700" s="25"/>
      <c r="AS2700" s="25"/>
      <c r="AT2700" s="25"/>
      <c r="AU2700" s="36"/>
      <c r="AV2700" s="36"/>
      <c r="AW2700" s="36"/>
      <c r="AX2700" s="25"/>
      <c r="AY2700" s="25"/>
      <c r="AZ2700" s="25"/>
      <c r="BA2700" s="25"/>
      <c r="BB2700" s="25"/>
      <c r="BC2700" s="25"/>
      <c r="BD2700" s="25"/>
      <c r="BE2700" s="25"/>
      <c r="BF2700" s="25"/>
      <c r="BG2700" s="25"/>
      <c r="BH2700" s="25"/>
      <c r="BI2700" s="25"/>
      <c r="BJ2700" s="25"/>
      <c r="BK2700" s="25"/>
      <c r="BL2700" s="25"/>
      <c r="BM2700" s="25"/>
      <c r="BN2700" s="25"/>
      <c r="BO2700" s="25"/>
      <c r="BP2700" s="25"/>
      <c r="BQ2700" s="25"/>
      <c r="BR2700" s="25"/>
      <c r="BS2700" s="25"/>
      <c r="BT2700" s="25"/>
      <c r="BU2700"/>
      <c r="BV2700"/>
      <c r="BW2700"/>
      <c r="BX2700"/>
      <c r="BY2700"/>
      <c r="BZ2700"/>
      <c r="CA2700"/>
      <c r="CB2700"/>
      <c r="CC2700"/>
      <c r="CD2700" s="25"/>
    </row>
    <row r="2701" spans="1:82" s="17" customFormat="1" x14ac:dyDescent="0.2">
      <c r="A2701" s="25"/>
      <c r="B2701" s="20">
        <v>39153503200</v>
      </c>
      <c r="C2701" s="20">
        <v>5032</v>
      </c>
      <c r="D2701" s="20" t="s">
        <v>82</v>
      </c>
      <c r="E2701" s="20" t="s">
        <v>2843</v>
      </c>
      <c r="F2701" s="20" t="s">
        <v>6</v>
      </c>
      <c r="G2701" s="861">
        <v>32.882685058426901</v>
      </c>
      <c r="H2701" s="861">
        <v>29.140460182431202</v>
      </c>
      <c r="I2701" s="861">
        <v>72.434267713652901</v>
      </c>
      <c r="J2701" s="861">
        <v>35.371976639844803</v>
      </c>
      <c r="K2701" s="982">
        <v>0</v>
      </c>
      <c r="L2701" s="735">
        <v>2018</v>
      </c>
      <c r="M2701" s="735">
        <v>1466</v>
      </c>
      <c r="N2701" s="845">
        <f t="shared" si="197"/>
        <v>-0.27353815659068387</v>
      </c>
      <c r="O2701" s="735">
        <v>0.38601181068742435</v>
      </c>
      <c r="P2701" s="735">
        <f t="shared" si="198"/>
        <v>3797.8112570941603</v>
      </c>
      <c r="Q2701" s="849">
        <v>36.299999999999997</v>
      </c>
      <c r="R2701" s="71">
        <v>26953</v>
      </c>
      <c r="S2701" s="845">
        <v>0.43929058663028647</v>
      </c>
      <c r="T2701" s="845">
        <v>0.153</v>
      </c>
      <c r="U2701" s="845">
        <v>0</v>
      </c>
      <c r="V2701" s="845">
        <v>0</v>
      </c>
      <c r="W2701" s="845">
        <v>0.63006756756756754</v>
      </c>
      <c r="X2701" s="845">
        <v>0.55764075067024133</v>
      </c>
      <c r="Y2701" s="845">
        <v>0.22373806275579808</v>
      </c>
      <c r="Z2701" s="845">
        <v>0.64188267394270127</v>
      </c>
      <c r="AA2701" s="845">
        <v>0</v>
      </c>
      <c r="AB2701" s="845">
        <v>1.7053206002728513E-2</v>
      </c>
      <c r="AC2701" s="845">
        <v>2.1145975443383355E-2</v>
      </c>
      <c r="AD2701" s="845">
        <v>9.5497953615279671E-3</v>
      </c>
      <c r="AE2701" s="845">
        <v>8.6630286493860842E-2</v>
      </c>
      <c r="AF2701" s="845">
        <v>1.3642564802182811E-2</v>
      </c>
      <c r="AG2701" s="845">
        <v>0.21009549795361529</v>
      </c>
      <c r="AH2701" s="20" t="str">
        <f t="shared" si="199"/>
        <v>No</v>
      </c>
      <c r="AI2701" s="25"/>
      <c r="AJ2701" s="25"/>
      <c r="AK2701" s="25"/>
      <c r="AL2701" s="25"/>
      <c r="AM2701" s="25"/>
      <c r="AN2701" s="25"/>
      <c r="AO2701" s="25"/>
      <c r="AP2701" s="25"/>
      <c r="AQ2701" s="25"/>
      <c r="AR2701" s="25"/>
      <c r="AS2701" s="25"/>
      <c r="AT2701" s="25"/>
      <c r="AU2701" s="36"/>
      <c r="AV2701" s="36"/>
      <c r="AW2701" s="36"/>
      <c r="AX2701" s="25"/>
      <c r="AY2701" s="25"/>
      <c r="AZ2701" s="25"/>
      <c r="BA2701" s="25"/>
      <c r="BB2701" s="25"/>
      <c r="BC2701" s="25"/>
      <c r="BD2701" s="25"/>
      <c r="BE2701" s="25"/>
      <c r="BF2701" s="25"/>
      <c r="BG2701" s="25"/>
      <c r="BH2701" s="25"/>
      <c r="BI2701" s="25"/>
      <c r="BJ2701" s="25"/>
      <c r="BK2701" s="25"/>
      <c r="BL2701" s="25"/>
      <c r="BM2701" s="25"/>
      <c r="BN2701" s="25"/>
      <c r="BO2701" s="25"/>
      <c r="BP2701" s="25"/>
      <c r="BQ2701" s="25"/>
      <c r="BR2701" s="25"/>
      <c r="BS2701" s="25"/>
      <c r="BT2701" s="25"/>
      <c r="BU2701"/>
      <c r="BV2701"/>
      <c r="BW2701"/>
      <c r="BX2701"/>
      <c r="BY2701"/>
      <c r="BZ2701"/>
      <c r="CA2701"/>
      <c r="CB2701"/>
      <c r="CC2701"/>
      <c r="CD2701" s="25"/>
    </row>
    <row r="2702" spans="1:82" s="17" customFormat="1" x14ac:dyDescent="0.2">
      <c r="A2702" s="25"/>
      <c r="B2702" s="20">
        <v>39007001303</v>
      </c>
      <c r="C2702" s="20">
        <v>13.03</v>
      </c>
      <c r="D2702" s="20" t="s">
        <v>10</v>
      </c>
      <c r="E2702" s="20" t="s">
        <v>2829</v>
      </c>
      <c r="F2702" s="20" t="s">
        <v>8</v>
      </c>
      <c r="G2702" s="861">
        <v>32.868103890293902</v>
      </c>
      <c r="H2702" s="861">
        <v>27.2074840946688</v>
      </c>
      <c r="I2702" s="861">
        <v>27.562838637567602</v>
      </c>
      <c r="J2702" s="861">
        <v>52.579685133541297</v>
      </c>
      <c r="K2702" s="982">
        <v>0</v>
      </c>
      <c r="L2702" s="735" t="s">
        <v>2466</v>
      </c>
      <c r="M2702" s="735">
        <v>3311</v>
      </c>
      <c r="N2702" s="845" t="str">
        <f t="shared" si="197"/>
        <v/>
      </c>
      <c r="O2702" s="735">
        <v>64.689084229039182</v>
      </c>
      <c r="P2702" s="735">
        <f t="shared" si="198"/>
        <v>51.18328755864006</v>
      </c>
      <c r="Q2702" s="849">
        <v>31</v>
      </c>
      <c r="R2702" s="71">
        <v>53058</v>
      </c>
      <c r="S2702" s="845">
        <v>0.22066869300911854</v>
      </c>
      <c r="T2702" s="845">
        <v>2.3E-2</v>
      </c>
      <c r="U2702" s="845">
        <v>9.0000000000000011E-3</v>
      </c>
      <c r="V2702" s="845">
        <v>7.5999999999999998E-2</v>
      </c>
      <c r="W2702" s="845">
        <v>9.9897013388259528E-2</v>
      </c>
      <c r="X2702" s="845">
        <v>0.36082474226804123</v>
      </c>
      <c r="Y2702" s="845">
        <v>0.99909392932648744</v>
      </c>
      <c r="Z2702" s="845">
        <v>0</v>
      </c>
      <c r="AA2702" s="845">
        <v>0</v>
      </c>
      <c r="AB2702" s="845">
        <v>0</v>
      </c>
      <c r="AC2702" s="845">
        <v>0</v>
      </c>
      <c r="AD2702" s="845">
        <v>0</v>
      </c>
      <c r="AE2702" s="845">
        <v>9.0607067351253397E-4</v>
      </c>
      <c r="AF2702" s="845">
        <v>0</v>
      </c>
      <c r="AG2702" s="845">
        <v>0.99909392932648744</v>
      </c>
      <c r="AH2702" s="20" t="str">
        <f t="shared" si="199"/>
        <v>Yes</v>
      </c>
      <c r="AI2702" s="25"/>
      <c r="AJ2702" s="25"/>
      <c r="AK2702" s="25"/>
      <c r="AL2702" s="25"/>
      <c r="AM2702" s="25"/>
      <c r="AN2702" s="25"/>
      <c r="AO2702" s="25"/>
      <c r="AP2702" s="25"/>
      <c r="AQ2702" s="25"/>
      <c r="AR2702" s="25"/>
      <c r="AS2702" s="25"/>
      <c r="AT2702" s="25"/>
      <c r="AU2702" s="36"/>
      <c r="AV2702" s="36"/>
      <c r="AW2702" s="36"/>
      <c r="AX2702" s="25"/>
      <c r="AY2702" s="25"/>
      <c r="AZ2702" s="25"/>
      <c r="BA2702" s="25"/>
      <c r="BB2702" s="25"/>
      <c r="BC2702" s="25"/>
      <c r="BD2702" s="25"/>
      <c r="BE2702" s="25"/>
      <c r="BF2702" s="25"/>
      <c r="BG2702" s="25"/>
      <c r="BH2702" s="25"/>
      <c r="BI2702" s="25"/>
      <c r="BJ2702" s="25"/>
      <c r="BK2702" s="25"/>
      <c r="BL2702" s="25"/>
      <c r="BM2702" s="25"/>
      <c r="BN2702" s="25"/>
      <c r="BO2702" s="25"/>
      <c r="BP2702" s="25"/>
      <c r="BQ2702" s="25"/>
      <c r="BR2702" s="25"/>
      <c r="BS2702" s="25"/>
      <c r="BT2702" s="25"/>
      <c r="BU2702"/>
      <c r="BV2702"/>
      <c r="BW2702"/>
      <c r="BX2702"/>
      <c r="BY2702"/>
      <c r="BZ2702"/>
      <c r="CA2702"/>
      <c r="CB2702"/>
      <c r="CC2702"/>
      <c r="CD2702" s="25"/>
    </row>
    <row r="2703" spans="1:82" s="17" customFormat="1" x14ac:dyDescent="0.2">
      <c r="A2703" s="25"/>
      <c r="B2703" s="20">
        <v>39029951200</v>
      </c>
      <c r="C2703" s="20">
        <v>9512</v>
      </c>
      <c r="D2703" s="20" t="s">
        <v>21</v>
      </c>
      <c r="E2703" s="20" t="s">
        <v>265</v>
      </c>
      <c r="F2703" s="20" t="s">
        <v>8</v>
      </c>
      <c r="G2703" s="861">
        <v>32.864888949245596</v>
      </c>
      <c r="H2703" s="861">
        <v>40.4510278222495</v>
      </c>
      <c r="I2703" s="861">
        <v>25.399360635196</v>
      </c>
      <c r="J2703" s="861">
        <v>50.939286434725098</v>
      </c>
      <c r="K2703" s="982">
        <v>0</v>
      </c>
      <c r="L2703" s="735">
        <v>4749</v>
      </c>
      <c r="M2703" s="735">
        <v>4383</v>
      </c>
      <c r="N2703" s="845">
        <f t="shared" si="197"/>
        <v>-7.7068856601389762E-2</v>
      </c>
      <c r="O2703" s="735">
        <v>71.833017797135753</v>
      </c>
      <c r="P2703" s="735">
        <f t="shared" si="198"/>
        <v>61.016509321355095</v>
      </c>
      <c r="Q2703" s="849">
        <v>42.7</v>
      </c>
      <c r="R2703" s="71">
        <v>67692</v>
      </c>
      <c r="S2703" s="845">
        <v>0.15377595254391968</v>
      </c>
      <c r="T2703" s="845">
        <v>4.8000000000000001E-2</v>
      </c>
      <c r="U2703" s="845">
        <v>0</v>
      </c>
      <c r="V2703" s="845">
        <v>0</v>
      </c>
      <c r="W2703" s="845">
        <v>0.25208085612366232</v>
      </c>
      <c r="X2703" s="845">
        <v>0.29245283018867924</v>
      </c>
      <c r="Y2703" s="845">
        <v>0.95938854665754048</v>
      </c>
      <c r="Z2703" s="845">
        <v>2.4640657084188913E-2</v>
      </c>
      <c r="AA2703" s="845">
        <v>0</v>
      </c>
      <c r="AB2703" s="845">
        <v>0</v>
      </c>
      <c r="AC2703" s="845">
        <v>0</v>
      </c>
      <c r="AD2703" s="845">
        <v>2.2815423226100846E-3</v>
      </c>
      <c r="AE2703" s="845">
        <v>1.3689253935660506E-2</v>
      </c>
      <c r="AF2703" s="845">
        <v>5.9320100387862196E-3</v>
      </c>
      <c r="AG2703" s="845">
        <v>0.95733515856719142</v>
      </c>
      <c r="AH2703" s="20" t="str">
        <f t="shared" si="199"/>
        <v>Yes</v>
      </c>
      <c r="AI2703" s="25"/>
      <c r="AJ2703" s="25"/>
      <c r="AK2703" s="25"/>
      <c r="AL2703" s="25"/>
      <c r="AM2703" s="25"/>
      <c r="AN2703" s="25"/>
      <c r="AO2703" s="25"/>
      <c r="AP2703" s="25"/>
      <c r="AQ2703" s="25"/>
      <c r="AR2703" s="25"/>
      <c r="AS2703" s="25"/>
      <c r="AT2703" s="25"/>
      <c r="AU2703" s="36"/>
      <c r="AV2703" s="36"/>
      <c r="AW2703" s="36"/>
      <c r="AX2703" s="25"/>
      <c r="AY2703" s="25"/>
      <c r="AZ2703" s="25"/>
      <c r="BA2703" s="25"/>
      <c r="BB2703" s="25"/>
      <c r="BC2703" s="25"/>
      <c r="BD2703" s="25"/>
      <c r="BE2703" s="25"/>
      <c r="BF2703" s="25"/>
      <c r="BG2703" s="25"/>
      <c r="BH2703" s="25"/>
      <c r="BI2703" s="25"/>
      <c r="BJ2703" s="25"/>
      <c r="BK2703" s="25"/>
      <c r="BL2703" s="25"/>
      <c r="BM2703" s="25"/>
      <c r="BN2703" s="25"/>
      <c r="BO2703" s="25"/>
      <c r="BP2703" s="25"/>
      <c r="BQ2703" s="25"/>
      <c r="BR2703" s="25"/>
      <c r="BS2703" s="25"/>
      <c r="BT2703" s="25"/>
      <c r="BU2703"/>
      <c r="BV2703"/>
      <c r="BW2703"/>
      <c r="BX2703"/>
      <c r="BY2703"/>
      <c r="BZ2703"/>
      <c r="CA2703"/>
      <c r="CB2703"/>
      <c r="CC2703"/>
      <c r="CD2703" s="25"/>
    </row>
    <row r="2704" spans="1:82" s="17" customFormat="1" x14ac:dyDescent="0.2">
      <c r="A2704" s="25"/>
      <c r="B2704" s="20">
        <v>39141955604</v>
      </c>
      <c r="C2704" s="20">
        <v>9556.0400000000009</v>
      </c>
      <c r="D2704" s="20" t="s">
        <v>76</v>
      </c>
      <c r="E2704" s="20" t="s">
        <v>265</v>
      </c>
      <c r="F2704" s="20" t="s">
        <v>8</v>
      </c>
      <c r="G2704" s="861">
        <v>32.853710441199702</v>
      </c>
      <c r="H2704" s="861">
        <v>37.3599417706777</v>
      </c>
      <c r="I2704" s="861">
        <v>29.939520790341501</v>
      </c>
      <c r="J2704" s="861">
        <v>37.860782148882002</v>
      </c>
      <c r="K2704" s="982">
        <v>0</v>
      </c>
      <c r="L2704" s="735" t="s">
        <v>2466</v>
      </c>
      <c r="M2704" s="735">
        <v>6382</v>
      </c>
      <c r="N2704" s="845" t="str">
        <f t="shared" si="197"/>
        <v/>
      </c>
      <c r="O2704" s="735">
        <v>22.078461974097635</v>
      </c>
      <c r="P2704" s="735">
        <f t="shared" si="198"/>
        <v>289.05999011558583</v>
      </c>
      <c r="Q2704" s="849">
        <v>38.9</v>
      </c>
      <c r="R2704" s="71">
        <v>72500</v>
      </c>
      <c r="S2704" s="845">
        <v>0.11979949874686717</v>
      </c>
      <c r="T2704" s="845">
        <v>2.2000000000000002E-2</v>
      </c>
      <c r="U2704" s="845">
        <v>0</v>
      </c>
      <c r="V2704" s="845">
        <v>0</v>
      </c>
      <c r="W2704" s="845">
        <v>0.20493827160493827</v>
      </c>
      <c r="X2704" s="845">
        <v>0.30722891566265059</v>
      </c>
      <c r="Y2704" s="845">
        <v>0.66828580382325287</v>
      </c>
      <c r="Z2704" s="845">
        <v>0.27890943277969288</v>
      </c>
      <c r="AA2704" s="845">
        <v>4.2306486994672515E-3</v>
      </c>
      <c r="AB2704" s="845">
        <v>0</v>
      </c>
      <c r="AC2704" s="845">
        <v>2.9771231588843622E-3</v>
      </c>
      <c r="AD2704" s="845">
        <v>7.521153243497336E-3</v>
      </c>
      <c r="AE2704" s="845">
        <v>3.8075838295205264E-2</v>
      </c>
      <c r="AF2704" s="845">
        <v>2.6010654967094954E-2</v>
      </c>
      <c r="AG2704" s="845">
        <v>0.6584142901911626</v>
      </c>
      <c r="AH2704" s="20" t="str">
        <f t="shared" si="199"/>
        <v>No</v>
      </c>
      <c r="AI2704" s="25"/>
      <c r="AJ2704" s="25"/>
      <c r="AK2704" s="25"/>
      <c r="AL2704" s="25"/>
      <c r="AM2704" s="25"/>
      <c r="AN2704" s="25"/>
      <c r="AO2704" s="25"/>
      <c r="AP2704" s="25"/>
      <c r="AQ2704" s="25"/>
      <c r="AR2704" s="25"/>
      <c r="AS2704" s="25"/>
      <c r="AT2704" s="25"/>
      <c r="AU2704" s="36"/>
      <c r="AV2704" s="36"/>
      <c r="AW2704" s="36"/>
      <c r="AX2704" s="25"/>
      <c r="AY2704" s="25"/>
      <c r="AZ2704" s="25"/>
      <c r="BA2704" s="25"/>
      <c r="BB2704" s="25"/>
      <c r="BC2704" s="25"/>
      <c r="BD2704" s="25"/>
      <c r="BE2704" s="25"/>
      <c r="BF2704" s="25"/>
      <c r="BG2704" s="25"/>
      <c r="BH2704" s="25"/>
      <c r="BI2704" s="25"/>
      <c r="BJ2704" s="25"/>
      <c r="BK2704" s="25"/>
      <c r="BL2704" s="25"/>
      <c r="BM2704" s="25"/>
      <c r="BN2704" s="25"/>
      <c r="BO2704" s="25"/>
      <c r="BP2704" s="25"/>
      <c r="BQ2704" s="25"/>
      <c r="BR2704" s="25"/>
      <c r="BS2704" s="25"/>
      <c r="BT2704" s="25"/>
      <c r="BU2704"/>
      <c r="BV2704"/>
      <c r="BW2704"/>
      <c r="BX2704"/>
      <c r="BY2704"/>
      <c r="BZ2704"/>
      <c r="CA2704"/>
      <c r="CB2704"/>
      <c r="CC2704"/>
      <c r="CD2704" s="25"/>
    </row>
    <row r="2705" spans="1:82" s="17" customFormat="1" x14ac:dyDescent="0.2">
      <c r="A2705" s="25"/>
      <c r="B2705" s="20">
        <v>39099800600</v>
      </c>
      <c r="C2705" s="20">
        <v>8006</v>
      </c>
      <c r="D2705" s="20" t="s">
        <v>55</v>
      </c>
      <c r="E2705" s="20" t="s">
        <v>2842</v>
      </c>
      <c r="F2705" s="20" t="s">
        <v>6</v>
      </c>
      <c r="G2705" s="861">
        <v>32.805643748572102</v>
      </c>
      <c r="H2705" s="861">
        <v>23.516938774399801</v>
      </c>
      <c r="I2705" s="861">
        <v>75.043378230203103</v>
      </c>
      <c r="J2705" s="861">
        <v>45.806499767545901</v>
      </c>
      <c r="K2705" s="982">
        <v>0</v>
      </c>
      <c r="L2705" s="735">
        <v>1228</v>
      </c>
      <c r="M2705" s="735">
        <v>1327</v>
      </c>
      <c r="N2705" s="845">
        <f t="shared" si="197"/>
        <v>8.0618892508143317E-2</v>
      </c>
      <c r="O2705" s="735">
        <v>0.8302698347136428</v>
      </c>
      <c r="P2705" s="735">
        <f t="shared" si="198"/>
        <v>1598.2755780326256</v>
      </c>
      <c r="Q2705" s="849">
        <v>31.1</v>
      </c>
      <c r="R2705" s="71">
        <v>26678</v>
      </c>
      <c r="S2705" s="845">
        <v>0.45351473922902497</v>
      </c>
      <c r="T2705" s="845">
        <v>0.27300000000000002</v>
      </c>
      <c r="U2705" s="845">
        <v>0</v>
      </c>
      <c r="V2705" s="845">
        <v>0</v>
      </c>
      <c r="W2705" s="845">
        <v>0.61812778603268947</v>
      </c>
      <c r="X2705" s="845">
        <v>0.55048076923076927</v>
      </c>
      <c r="Y2705" s="845">
        <v>6.3300678221552373E-2</v>
      </c>
      <c r="Z2705" s="845">
        <v>0.63526752072343629</v>
      </c>
      <c r="AA2705" s="845">
        <v>0</v>
      </c>
      <c r="AB2705" s="845">
        <v>0</v>
      </c>
      <c r="AC2705" s="845">
        <v>0</v>
      </c>
      <c r="AD2705" s="845">
        <v>0.13639788997739261</v>
      </c>
      <c r="AE2705" s="845">
        <v>0.16503391107761869</v>
      </c>
      <c r="AF2705" s="845">
        <v>0.22230595327807084</v>
      </c>
      <c r="AG2705" s="845">
        <v>6.3300678221552373E-2</v>
      </c>
      <c r="AH2705" s="20" t="str">
        <f t="shared" si="199"/>
        <v>No</v>
      </c>
      <c r="AI2705" s="25"/>
      <c r="AJ2705" s="25"/>
      <c r="AK2705" s="25"/>
      <c r="AL2705" s="25"/>
      <c r="AM2705" s="25"/>
      <c r="AN2705" s="25"/>
      <c r="AO2705" s="25"/>
      <c r="AP2705" s="25"/>
      <c r="AQ2705" s="25"/>
      <c r="AR2705" s="25"/>
      <c r="AS2705" s="25"/>
      <c r="AT2705" s="25"/>
      <c r="AU2705" s="36"/>
      <c r="AV2705" s="36"/>
      <c r="AW2705" s="36"/>
      <c r="AX2705" s="25"/>
      <c r="AY2705" s="25"/>
      <c r="AZ2705" s="25"/>
      <c r="BA2705" s="25"/>
      <c r="BB2705" s="25"/>
      <c r="BC2705" s="25"/>
      <c r="BD2705" s="25"/>
      <c r="BE2705" s="25"/>
      <c r="BF2705" s="25"/>
      <c r="BG2705" s="25"/>
      <c r="BH2705" s="25"/>
      <c r="BI2705" s="25"/>
      <c r="BJ2705" s="25"/>
      <c r="BK2705" s="25"/>
      <c r="BL2705" s="25"/>
      <c r="BM2705" s="25"/>
      <c r="BN2705" s="25"/>
      <c r="BO2705" s="25"/>
      <c r="BP2705" s="25"/>
      <c r="BQ2705" s="25"/>
      <c r="BR2705" s="25"/>
      <c r="BS2705" s="25"/>
      <c r="BT2705" s="25"/>
      <c r="BU2705"/>
      <c r="BV2705"/>
      <c r="BW2705"/>
      <c r="BX2705"/>
      <c r="BY2705"/>
      <c r="BZ2705"/>
      <c r="CA2705"/>
      <c r="CB2705"/>
      <c r="CC2705"/>
      <c r="CD2705" s="25"/>
    </row>
    <row r="2706" spans="1:82" s="17" customFormat="1" x14ac:dyDescent="0.2">
      <c r="A2706" s="25"/>
      <c r="B2706" s="20">
        <v>39017013600</v>
      </c>
      <c r="C2706" s="20">
        <v>136</v>
      </c>
      <c r="D2706" s="20" t="s">
        <v>15</v>
      </c>
      <c r="E2706" s="20" t="s">
        <v>2828</v>
      </c>
      <c r="F2706" s="20" t="s">
        <v>6</v>
      </c>
      <c r="G2706" s="861">
        <v>32.797482626851398</v>
      </c>
      <c r="H2706" s="861">
        <v>38.267176759488798</v>
      </c>
      <c r="I2706" s="861">
        <v>43.3832634619571</v>
      </c>
      <c r="J2706" s="861">
        <v>26.698504915911901</v>
      </c>
      <c r="K2706" s="982">
        <v>0</v>
      </c>
      <c r="L2706" s="735">
        <v>4997</v>
      </c>
      <c r="M2706" s="735">
        <v>4714</v>
      </c>
      <c r="N2706" s="845">
        <f t="shared" si="197"/>
        <v>-5.6633980388232939E-2</v>
      </c>
      <c r="O2706" s="735">
        <v>1.3516452011820241</v>
      </c>
      <c r="P2706" s="735">
        <f t="shared" si="198"/>
        <v>3487.60162495126</v>
      </c>
      <c r="Q2706" s="849">
        <v>33.700000000000003</v>
      </c>
      <c r="R2706" s="71">
        <v>41066</v>
      </c>
      <c r="S2706" s="845">
        <v>0.23589308442935936</v>
      </c>
      <c r="T2706" s="845">
        <v>0.03</v>
      </c>
      <c r="U2706" s="845">
        <v>0</v>
      </c>
      <c r="V2706" s="845">
        <v>0.01</v>
      </c>
      <c r="W2706" s="845">
        <v>0.6328125</v>
      </c>
      <c r="X2706" s="845">
        <v>0.5146604938271605</v>
      </c>
      <c r="Y2706" s="845">
        <v>0.73674162070428506</v>
      </c>
      <c r="Z2706" s="845">
        <v>0.14085702163767502</v>
      </c>
      <c r="AA2706" s="845">
        <v>0</v>
      </c>
      <c r="AB2706" s="845">
        <v>3.818413237165889E-3</v>
      </c>
      <c r="AC2706" s="845">
        <v>0</v>
      </c>
      <c r="AD2706" s="845">
        <v>7.5095460330929148E-2</v>
      </c>
      <c r="AE2706" s="845">
        <v>4.3487484089944843E-2</v>
      </c>
      <c r="AF2706" s="845">
        <v>7.9762409843020785E-2</v>
      </c>
      <c r="AG2706" s="845">
        <v>0.73674162070428506</v>
      </c>
      <c r="AH2706" s="20" t="str">
        <f t="shared" si="199"/>
        <v>No</v>
      </c>
      <c r="AI2706" s="25"/>
      <c r="AJ2706" s="25"/>
      <c r="AK2706" s="25"/>
      <c r="AL2706" s="25"/>
      <c r="AM2706" s="25"/>
      <c r="AN2706" s="25"/>
      <c r="AO2706" s="25"/>
      <c r="AP2706" s="25"/>
      <c r="AQ2706" s="25"/>
      <c r="AR2706" s="25"/>
      <c r="AS2706" s="25"/>
      <c r="AT2706" s="25"/>
      <c r="AU2706" s="36"/>
      <c r="AV2706" s="36"/>
      <c r="AW2706" s="36"/>
      <c r="AX2706" s="25"/>
      <c r="AY2706" s="25"/>
      <c r="AZ2706" s="25"/>
      <c r="BA2706" s="25"/>
      <c r="BB2706" s="25"/>
      <c r="BC2706" s="25"/>
      <c r="BD2706" s="25"/>
      <c r="BE2706" s="25"/>
      <c r="BF2706" s="25"/>
      <c r="BG2706" s="25"/>
      <c r="BH2706" s="25"/>
      <c r="BI2706" s="25"/>
      <c r="BJ2706" s="25"/>
      <c r="BK2706" s="25"/>
      <c r="BL2706" s="25"/>
      <c r="BM2706" s="25"/>
      <c r="BN2706" s="25"/>
      <c r="BO2706" s="25"/>
      <c r="BP2706" s="25"/>
      <c r="BQ2706" s="25"/>
      <c r="BR2706" s="25"/>
      <c r="BS2706" s="25"/>
      <c r="BT2706" s="25"/>
      <c r="BU2706"/>
      <c r="BV2706"/>
      <c r="BW2706"/>
      <c r="BX2706"/>
      <c r="BY2706"/>
      <c r="BZ2706"/>
      <c r="CA2706"/>
      <c r="CB2706"/>
      <c r="CC2706"/>
      <c r="CD2706" s="25"/>
    </row>
    <row r="2707" spans="1:82" s="17" customFormat="1" x14ac:dyDescent="0.2">
      <c r="A2707" s="25"/>
      <c r="B2707" s="20">
        <v>39049001400</v>
      </c>
      <c r="C2707" s="20">
        <v>14</v>
      </c>
      <c r="D2707" s="20" t="s">
        <v>31</v>
      </c>
      <c r="E2707" s="20" t="s">
        <v>2830</v>
      </c>
      <c r="F2707" s="20" t="s">
        <v>6</v>
      </c>
      <c r="G2707" s="861">
        <v>32.794142652735196</v>
      </c>
      <c r="H2707" s="861">
        <v>55.746536451101498</v>
      </c>
      <c r="I2707" s="861">
        <v>77.296379819581801</v>
      </c>
      <c r="J2707" s="861">
        <v>47.871077348061299</v>
      </c>
      <c r="K2707" s="982">
        <v>0</v>
      </c>
      <c r="L2707" s="735">
        <v>1843</v>
      </c>
      <c r="M2707" s="735">
        <v>1653</v>
      </c>
      <c r="N2707" s="845">
        <f t="shared" si="197"/>
        <v>-0.10309278350515463</v>
      </c>
      <c r="O2707" s="735">
        <v>0.71612452305813867</v>
      </c>
      <c r="P2707" s="735">
        <f t="shared" si="198"/>
        <v>2308.2577774896295</v>
      </c>
      <c r="Q2707" s="849">
        <v>28.1</v>
      </c>
      <c r="R2707" s="71">
        <v>32243</v>
      </c>
      <c r="S2707" s="845">
        <v>0.33126550868486354</v>
      </c>
      <c r="T2707" s="845">
        <v>0.20100000000000001</v>
      </c>
      <c r="U2707" s="845">
        <v>0</v>
      </c>
      <c r="V2707" s="845">
        <v>0</v>
      </c>
      <c r="W2707" s="845">
        <v>0.66666666666666663</v>
      </c>
      <c r="X2707" s="845">
        <v>0.53314917127071826</v>
      </c>
      <c r="Y2707" s="845">
        <v>0.17664851784633998</v>
      </c>
      <c r="Z2707" s="845">
        <v>0.66364186327888686</v>
      </c>
      <c r="AA2707" s="845">
        <v>6.0496067755595887E-3</v>
      </c>
      <c r="AB2707" s="845">
        <v>0</v>
      </c>
      <c r="AC2707" s="845">
        <v>0</v>
      </c>
      <c r="AD2707" s="845">
        <v>9.8003629764065334E-2</v>
      </c>
      <c r="AE2707" s="845">
        <v>5.5656382335148212E-2</v>
      </c>
      <c r="AF2707" s="845">
        <v>0.10647307924984876</v>
      </c>
      <c r="AG2707" s="845">
        <v>0.17241379310344829</v>
      </c>
      <c r="AH2707" s="20" t="str">
        <f t="shared" si="199"/>
        <v>No</v>
      </c>
      <c r="AI2707" s="25"/>
      <c r="AJ2707" s="25"/>
      <c r="AK2707" s="25"/>
      <c r="AL2707" s="25"/>
      <c r="AM2707" s="25"/>
      <c r="AN2707" s="25"/>
      <c r="AO2707" s="25"/>
      <c r="AP2707" s="25"/>
      <c r="AQ2707" s="25"/>
      <c r="AR2707" s="25"/>
      <c r="AS2707" s="25"/>
      <c r="AT2707" s="25"/>
      <c r="AU2707" s="36"/>
      <c r="AV2707" s="36"/>
      <c r="AW2707" s="36"/>
      <c r="AX2707" s="25"/>
      <c r="AY2707" s="25"/>
      <c r="AZ2707" s="25"/>
      <c r="BA2707" s="25"/>
      <c r="BB2707" s="25"/>
      <c r="BC2707" s="25"/>
      <c r="BD2707" s="25"/>
      <c r="BE2707" s="25"/>
      <c r="BF2707" s="25"/>
      <c r="BG2707" s="25"/>
      <c r="BH2707" s="25"/>
      <c r="BI2707" s="25"/>
      <c r="BJ2707" s="25"/>
      <c r="BK2707" s="25"/>
      <c r="BL2707" s="25"/>
      <c r="BM2707" s="25"/>
      <c r="BN2707" s="25"/>
      <c r="BO2707" s="25"/>
      <c r="BP2707" s="25"/>
      <c r="BQ2707" s="25"/>
      <c r="BR2707" s="25"/>
      <c r="BS2707" s="25"/>
      <c r="BT2707" s="25"/>
      <c r="BU2707"/>
      <c r="BV2707"/>
      <c r="BW2707"/>
      <c r="BX2707"/>
      <c r="BY2707"/>
      <c r="BZ2707"/>
      <c r="CA2707"/>
      <c r="CB2707"/>
      <c r="CC2707"/>
      <c r="CD2707" s="25"/>
    </row>
    <row r="2708" spans="1:82" s="17" customFormat="1" x14ac:dyDescent="0.2">
      <c r="A2708" s="25"/>
      <c r="B2708" s="20">
        <v>39031961300</v>
      </c>
      <c r="C2708" s="20">
        <v>9613</v>
      </c>
      <c r="D2708" s="20" t="s">
        <v>22</v>
      </c>
      <c r="E2708" s="20" t="s">
        <v>265</v>
      </c>
      <c r="F2708" s="20" t="s">
        <v>6</v>
      </c>
      <c r="G2708" s="861">
        <v>32.7868876856122</v>
      </c>
      <c r="H2708" s="861">
        <v>35.216106437109303</v>
      </c>
      <c r="I2708" s="861">
        <v>25.023858637430902</v>
      </c>
      <c r="J2708" s="861">
        <v>36.599300902241502</v>
      </c>
      <c r="K2708" s="982">
        <v>0</v>
      </c>
      <c r="L2708" s="735">
        <v>3955</v>
      </c>
      <c r="M2708" s="735">
        <v>3416</v>
      </c>
      <c r="N2708" s="845">
        <f t="shared" si="197"/>
        <v>-0.13628318584070798</v>
      </c>
      <c r="O2708" s="735">
        <v>21.289912408130707</v>
      </c>
      <c r="P2708" s="735">
        <f t="shared" si="198"/>
        <v>160.45157605699754</v>
      </c>
      <c r="Q2708" s="849">
        <v>39.299999999999997</v>
      </c>
      <c r="R2708" s="71">
        <v>45093</v>
      </c>
      <c r="S2708" s="845">
        <v>0.27208371806709758</v>
      </c>
      <c r="T2708" s="845">
        <v>0.13</v>
      </c>
      <c r="U2708" s="845">
        <v>0.04</v>
      </c>
      <c r="V2708" s="845">
        <v>0.13699999999999998</v>
      </c>
      <c r="W2708" s="845">
        <v>0.38785046728971961</v>
      </c>
      <c r="X2708" s="845">
        <v>0.29776247848537007</v>
      </c>
      <c r="Y2708" s="845">
        <v>0.94906323185011709</v>
      </c>
      <c r="Z2708" s="845">
        <v>1.3173302107728338E-2</v>
      </c>
      <c r="AA2708" s="845">
        <v>0</v>
      </c>
      <c r="AB2708" s="845">
        <v>0</v>
      </c>
      <c r="AC2708" s="845">
        <v>0</v>
      </c>
      <c r="AD2708" s="845">
        <v>1.3758782201405152E-2</v>
      </c>
      <c r="AE2708" s="845">
        <v>2.4004683840749413E-2</v>
      </c>
      <c r="AF2708" s="845">
        <v>0</v>
      </c>
      <c r="AG2708" s="845">
        <v>0.94906323185011709</v>
      </c>
      <c r="AH2708" s="20" t="str">
        <f t="shared" si="199"/>
        <v>Yes</v>
      </c>
      <c r="AI2708" s="25"/>
      <c r="AJ2708" s="25"/>
      <c r="AK2708" s="25"/>
      <c r="AL2708" s="25"/>
      <c r="AM2708" s="25"/>
      <c r="AN2708" s="25"/>
      <c r="AO2708" s="25"/>
      <c r="AP2708" s="25"/>
      <c r="AQ2708" s="25"/>
      <c r="AR2708" s="25"/>
      <c r="AS2708" s="25"/>
      <c r="AT2708" s="25"/>
      <c r="AU2708" s="36"/>
      <c r="AV2708" s="36"/>
      <c r="AW2708" s="36"/>
      <c r="AX2708" s="25"/>
      <c r="AY2708" s="25"/>
      <c r="AZ2708" s="25"/>
      <c r="BA2708" s="25"/>
      <c r="BB2708" s="25"/>
      <c r="BC2708" s="25"/>
      <c r="BD2708" s="25"/>
      <c r="BE2708" s="25"/>
      <c r="BF2708" s="25"/>
      <c r="BG2708" s="25"/>
      <c r="BH2708" s="25"/>
      <c r="BI2708" s="25"/>
      <c r="BJ2708" s="25"/>
      <c r="BK2708" s="25"/>
      <c r="BL2708" s="25"/>
      <c r="BM2708" s="25"/>
      <c r="BN2708" s="25"/>
      <c r="BO2708" s="25"/>
      <c r="BP2708" s="25"/>
      <c r="BQ2708" s="25"/>
      <c r="BR2708" s="25"/>
      <c r="BS2708" s="25"/>
      <c r="BT2708" s="25"/>
      <c r="BU2708"/>
      <c r="BV2708"/>
      <c r="BW2708"/>
      <c r="BX2708"/>
      <c r="BY2708"/>
      <c r="BZ2708"/>
      <c r="CA2708"/>
      <c r="CB2708"/>
      <c r="CC2708"/>
      <c r="CD2708" s="25"/>
    </row>
    <row r="2709" spans="1:82" s="17" customFormat="1" x14ac:dyDescent="0.2">
      <c r="A2709" s="25"/>
      <c r="B2709" s="20">
        <v>39053953500</v>
      </c>
      <c r="C2709" s="20">
        <v>9535</v>
      </c>
      <c r="D2709" s="20" t="s">
        <v>33</v>
      </c>
      <c r="E2709" s="20" t="s">
        <v>265</v>
      </c>
      <c r="F2709" s="20" t="s">
        <v>8</v>
      </c>
      <c r="G2709" s="861">
        <v>32.713363738893598</v>
      </c>
      <c r="H2709" s="861">
        <v>37.470894656550797</v>
      </c>
      <c r="I2709" s="861">
        <v>16.569380361695099</v>
      </c>
      <c r="J2709" s="861">
        <v>50.912343200392897</v>
      </c>
      <c r="K2709" s="982">
        <v>0</v>
      </c>
      <c r="L2709" s="735">
        <v>4772</v>
      </c>
      <c r="M2709" s="735">
        <v>4281</v>
      </c>
      <c r="N2709" s="845">
        <f t="shared" si="197"/>
        <v>-0.1028918692372171</v>
      </c>
      <c r="O2709" s="735">
        <v>77.237445696227539</v>
      </c>
      <c r="P2709" s="735">
        <f t="shared" si="198"/>
        <v>55.426483377467441</v>
      </c>
      <c r="Q2709" s="849">
        <v>43.8</v>
      </c>
      <c r="R2709" s="71">
        <v>75909</v>
      </c>
      <c r="S2709" s="845">
        <v>0.14482597523943003</v>
      </c>
      <c r="T2709" s="845">
        <v>2.4E-2</v>
      </c>
      <c r="U2709" s="845">
        <v>0</v>
      </c>
      <c r="V2709" s="845">
        <v>0</v>
      </c>
      <c r="W2709" s="845">
        <v>0.11555806087936867</v>
      </c>
      <c r="X2709" s="845">
        <v>0.2</v>
      </c>
      <c r="Y2709" s="845">
        <v>0.88787666433076384</v>
      </c>
      <c r="Z2709" s="845">
        <v>3.8542396636299929E-2</v>
      </c>
      <c r="AA2709" s="845">
        <v>0</v>
      </c>
      <c r="AB2709" s="845">
        <v>1.7285680915673909E-2</v>
      </c>
      <c r="AC2709" s="845">
        <v>0</v>
      </c>
      <c r="AD2709" s="845">
        <v>5.3725765008175658E-3</v>
      </c>
      <c r="AE2709" s="845">
        <v>5.0922681616444754E-2</v>
      </c>
      <c r="AF2709" s="845">
        <v>1.9621583742116328E-2</v>
      </c>
      <c r="AG2709" s="845">
        <v>0.88180331698201353</v>
      </c>
      <c r="AH2709" s="20" t="str">
        <f t="shared" si="199"/>
        <v>No</v>
      </c>
      <c r="AI2709" s="25"/>
      <c r="AJ2709" s="25"/>
      <c r="AK2709" s="25"/>
      <c r="AL2709" s="25"/>
      <c r="AM2709" s="25"/>
      <c r="AN2709" s="25"/>
      <c r="AO2709" s="25"/>
      <c r="AP2709" s="25"/>
      <c r="AQ2709" s="25"/>
      <c r="AR2709" s="25"/>
      <c r="AS2709" s="25"/>
      <c r="AT2709" s="25"/>
      <c r="AU2709" s="36"/>
      <c r="AV2709" s="36"/>
      <c r="AW2709" s="36"/>
      <c r="AX2709" s="25"/>
      <c r="AY2709" s="25"/>
      <c r="AZ2709" s="25"/>
      <c r="BA2709" s="25"/>
      <c r="BB2709" s="25"/>
      <c r="BC2709" s="25"/>
      <c r="BD2709" s="25"/>
      <c r="BE2709" s="25"/>
      <c r="BF2709" s="25"/>
      <c r="BG2709" s="25"/>
      <c r="BH2709" s="25"/>
      <c r="BI2709" s="25"/>
      <c r="BJ2709" s="25"/>
      <c r="BK2709" s="25"/>
      <c r="BL2709" s="25"/>
      <c r="BM2709" s="25"/>
      <c r="BN2709" s="25"/>
      <c r="BO2709" s="25"/>
      <c r="BP2709" s="25"/>
      <c r="BQ2709" s="25"/>
      <c r="BR2709" s="25"/>
      <c r="BS2709" s="25"/>
      <c r="BT2709" s="25"/>
      <c r="BU2709"/>
      <c r="BV2709"/>
      <c r="BW2709"/>
      <c r="BX2709"/>
      <c r="BY2709"/>
      <c r="BZ2709"/>
      <c r="CA2709"/>
      <c r="CB2709"/>
      <c r="CC2709"/>
      <c r="CD2709" s="25"/>
    </row>
    <row r="2710" spans="1:82" s="17" customFormat="1" x14ac:dyDescent="0.2">
      <c r="A2710" s="25"/>
      <c r="B2710" s="20">
        <v>39059978000</v>
      </c>
      <c r="C2710" s="20">
        <v>9780</v>
      </c>
      <c r="D2710" s="20" t="s">
        <v>36</v>
      </c>
      <c r="E2710" s="20" t="s">
        <v>265</v>
      </c>
      <c r="F2710" s="20" t="s">
        <v>8</v>
      </c>
      <c r="G2710" s="861">
        <v>32.702941126474002</v>
      </c>
      <c r="H2710" s="861">
        <v>33.776060972343799</v>
      </c>
      <c r="I2710" s="861">
        <v>19.4925640350206</v>
      </c>
      <c r="J2710" s="861">
        <v>37.848845572359302</v>
      </c>
      <c r="K2710" s="982">
        <v>0</v>
      </c>
      <c r="L2710" s="735">
        <v>4485</v>
      </c>
      <c r="M2710" s="735">
        <v>4356</v>
      </c>
      <c r="N2710" s="845">
        <f t="shared" si="197"/>
        <v>-2.8762541806020066E-2</v>
      </c>
      <c r="O2710" s="735">
        <v>77.573517123211815</v>
      </c>
      <c r="P2710" s="735">
        <f t="shared" si="198"/>
        <v>56.15318425077033</v>
      </c>
      <c r="Q2710" s="849">
        <v>41.6</v>
      </c>
      <c r="R2710" s="71">
        <v>56997</v>
      </c>
      <c r="S2710" s="845">
        <v>8.9690245030050852E-2</v>
      </c>
      <c r="T2710" s="845">
        <v>4.8000000000000001E-2</v>
      </c>
      <c r="U2710" s="845">
        <v>8.0000000000000002E-3</v>
      </c>
      <c r="V2710" s="845">
        <v>8.5999999999999993E-2</v>
      </c>
      <c r="W2710" s="845">
        <v>0.15858528237307473</v>
      </c>
      <c r="X2710" s="845">
        <v>0.17625899280575538</v>
      </c>
      <c r="Y2710" s="845">
        <v>0.92883379247015607</v>
      </c>
      <c r="Z2710" s="845">
        <v>4.3617998163452713E-3</v>
      </c>
      <c r="AA2710" s="845">
        <v>0</v>
      </c>
      <c r="AB2710" s="845">
        <v>9.1827364554637281E-4</v>
      </c>
      <c r="AC2710" s="845">
        <v>0</v>
      </c>
      <c r="AD2710" s="845">
        <v>3.8337924701561069E-2</v>
      </c>
      <c r="AE2710" s="845">
        <v>2.7548209366391185E-2</v>
      </c>
      <c r="AF2710" s="845">
        <v>3.2369146005509643E-2</v>
      </c>
      <c r="AG2710" s="845">
        <v>0.90289256198347112</v>
      </c>
      <c r="AH2710" s="20" t="str">
        <f t="shared" si="199"/>
        <v>Yes</v>
      </c>
      <c r="AI2710" s="25"/>
      <c r="AJ2710" s="25"/>
      <c r="AK2710" s="25"/>
      <c r="AL2710" s="25"/>
      <c r="AM2710" s="25"/>
      <c r="AN2710" s="25"/>
      <c r="AO2710" s="25"/>
      <c r="AP2710" s="25"/>
      <c r="AQ2710" s="25"/>
      <c r="AR2710" s="25"/>
      <c r="AS2710" s="25"/>
      <c r="AT2710" s="25"/>
      <c r="AU2710" s="36"/>
      <c r="AV2710" s="36"/>
      <c r="AW2710" s="36"/>
      <c r="AX2710" s="25"/>
      <c r="AY2710" s="25"/>
      <c r="AZ2710" s="25"/>
      <c r="BA2710" s="25"/>
      <c r="BB2710" s="25"/>
      <c r="BC2710" s="25"/>
      <c r="BD2710" s="25"/>
      <c r="BE2710" s="25"/>
      <c r="BF2710" s="25"/>
      <c r="BG2710" s="25"/>
      <c r="BH2710" s="25"/>
      <c r="BI2710" s="25"/>
      <c r="BJ2710" s="25"/>
      <c r="BK2710" s="25"/>
      <c r="BL2710" s="25"/>
      <c r="BM2710" s="25"/>
      <c r="BN2710" s="25"/>
      <c r="BO2710" s="25"/>
      <c r="BP2710" s="25"/>
      <c r="BQ2710" s="25"/>
      <c r="BR2710" s="25"/>
      <c r="BS2710" s="25"/>
      <c r="BT2710" s="25"/>
      <c r="BU2710"/>
      <c r="BV2710"/>
      <c r="BW2710"/>
      <c r="BX2710"/>
      <c r="BY2710"/>
      <c r="BZ2710"/>
      <c r="CA2710"/>
      <c r="CB2710"/>
      <c r="CC2710"/>
      <c r="CD2710" s="25"/>
    </row>
    <row r="2711" spans="1:82" s="17" customFormat="1" x14ac:dyDescent="0.2">
      <c r="A2711" s="25"/>
      <c r="B2711" s="20">
        <v>39113070600</v>
      </c>
      <c r="C2711" s="20">
        <v>706</v>
      </c>
      <c r="D2711" s="20" t="s">
        <v>62</v>
      </c>
      <c r="E2711" s="20" t="s">
        <v>2833</v>
      </c>
      <c r="F2711" s="20" t="s">
        <v>8</v>
      </c>
      <c r="G2711" s="861">
        <v>32.702673521851601</v>
      </c>
      <c r="H2711" s="861">
        <v>44.988914425707499</v>
      </c>
      <c r="I2711" s="861">
        <v>32.055638535142599</v>
      </c>
      <c r="J2711" s="861">
        <v>30.854735424357699</v>
      </c>
      <c r="K2711" s="982">
        <v>0</v>
      </c>
      <c r="L2711" s="735">
        <v>1157</v>
      </c>
      <c r="M2711" s="735">
        <v>1041</v>
      </c>
      <c r="N2711" s="845">
        <f t="shared" si="197"/>
        <v>-0.10025929127052723</v>
      </c>
      <c r="O2711" s="735">
        <v>1.6804907262682376</v>
      </c>
      <c r="P2711" s="735">
        <f t="shared" si="198"/>
        <v>619.46191295663061</v>
      </c>
      <c r="Q2711" s="849">
        <v>53.3</v>
      </c>
      <c r="R2711" s="71">
        <v>60776</v>
      </c>
      <c r="S2711" s="845">
        <v>0.11222444889779559</v>
      </c>
      <c r="T2711" s="845">
        <v>7.2999999999999995E-2</v>
      </c>
      <c r="U2711" s="845">
        <v>0</v>
      </c>
      <c r="V2711" s="845">
        <v>0</v>
      </c>
      <c r="W2711" s="845">
        <v>0.29554655870445345</v>
      </c>
      <c r="X2711" s="845">
        <v>0.5547945205479452</v>
      </c>
      <c r="Y2711" s="845">
        <v>9.0297790585975021E-2</v>
      </c>
      <c r="Z2711" s="845">
        <v>0.80691642651296835</v>
      </c>
      <c r="AA2711" s="845">
        <v>0</v>
      </c>
      <c r="AB2711" s="845">
        <v>0</v>
      </c>
      <c r="AC2711" s="845">
        <v>5.763688760806916E-3</v>
      </c>
      <c r="AD2711" s="845">
        <v>4.4188280499519693E-2</v>
      </c>
      <c r="AE2711" s="845">
        <v>5.2833813640730067E-2</v>
      </c>
      <c r="AF2711" s="845">
        <v>7.3967339097022092E-2</v>
      </c>
      <c r="AG2711" s="845">
        <v>9.0297790585975021E-2</v>
      </c>
      <c r="AH2711" s="20" t="str">
        <f t="shared" si="199"/>
        <v>No</v>
      </c>
      <c r="AI2711" s="25"/>
      <c r="AJ2711" s="25"/>
      <c r="AK2711" s="25"/>
      <c r="AL2711" s="25"/>
      <c r="AM2711" s="25"/>
      <c r="AN2711" s="25"/>
      <c r="AO2711" s="25"/>
      <c r="AP2711" s="25"/>
      <c r="AQ2711" s="25"/>
      <c r="AR2711" s="25"/>
      <c r="AS2711" s="25"/>
      <c r="AT2711" s="25"/>
      <c r="AU2711" s="36"/>
      <c r="AV2711" s="36"/>
      <c r="AW2711" s="36"/>
      <c r="AX2711" s="25"/>
      <c r="AY2711" s="25"/>
      <c r="AZ2711" s="25"/>
      <c r="BA2711" s="25"/>
      <c r="BB2711" s="25"/>
      <c r="BC2711" s="25"/>
      <c r="BD2711" s="25"/>
      <c r="BE2711" s="25"/>
      <c r="BF2711" s="25"/>
      <c r="BG2711" s="25"/>
      <c r="BH2711" s="25"/>
      <c r="BI2711" s="25"/>
      <c r="BJ2711" s="25"/>
      <c r="BK2711" s="25"/>
      <c r="BL2711" s="25"/>
      <c r="BM2711" s="25"/>
      <c r="BN2711" s="25"/>
      <c r="BO2711" s="25"/>
      <c r="BP2711" s="25"/>
      <c r="BQ2711" s="25"/>
      <c r="BR2711" s="25"/>
      <c r="BS2711" s="25"/>
      <c r="BT2711" s="25"/>
      <c r="BU2711"/>
      <c r="BV2711"/>
      <c r="BW2711"/>
      <c r="BX2711"/>
      <c r="BY2711"/>
      <c r="BZ2711"/>
      <c r="CA2711"/>
      <c r="CB2711"/>
      <c r="CC2711"/>
      <c r="CD2711" s="25"/>
    </row>
    <row r="2712" spans="1:82" s="17" customFormat="1" x14ac:dyDescent="0.2">
      <c r="A2712" s="25"/>
      <c r="B2712" s="20">
        <v>39099802900</v>
      </c>
      <c r="C2712" s="20">
        <v>8029</v>
      </c>
      <c r="D2712" s="20" t="s">
        <v>55</v>
      </c>
      <c r="E2712" s="20" t="s">
        <v>2842</v>
      </c>
      <c r="F2712" s="20" t="s">
        <v>6</v>
      </c>
      <c r="G2712" s="861">
        <v>32.690774804735803</v>
      </c>
      <c r="H2712" s="861">
        <v>46.376899744699998</v>
      </c>
      <c r="I2712" s="861">
        <v>59.601760171278798</v>
      </c>
      <c r="J2712" s="861">
        <v>32.795502142109903</v>
      </c>
      <c r="K2712" s="982">
        <v>0</v>
      </c>
      <c r="L2712" s="735">
        <v>2607</v>
      </c>
      <c r="M2712" s="735">
        <v>2274</v>
      </c>
      <c r="N2712" s="845">
        <f t="shared" si="197"/>
        <v>-0.12773302646720369</v>
      </c>
      <c r="O2712" s="735">
        <v>0.47063497909262603</v>
      </c>
      <c r="P2712" s="735">
        <f t="shared" si="198"/>
        <v>4831.7700575172339</v>
      </c>
      <c r="Q2712" s="849">
        <v>35.9</v>
      </c>
      <c r="R2712" s="71">
        <v>32381</v>
      </c>
      <c r="S2712" s="845">
        <v>0.44188110026619343</v>
      </c>
      <c r="T2712" s="845">
        <v>0.151</v>
      </c>
      <c r="U2712" s="845">
        <v>3.6000000000000004E-2</v>
      </c>
      <c r="V2712" s="845">
        <v>8.1000000000000003E-2</v>
      </c>
      <c r="W2712" s="845">
        <v>0.43984962406015038</v>
      </c>
      <c r="X2712" s="845">
        <v>0.58974358974358976</v>
      </c>
      <c r="Y2712" s="845">
        <v>0.50747581354441518</v>
      </c>
      <c r="Z2712" s="845">
        <v>0.32585751978891819</v>
      </c>
      <c r="AA2712" s="845">
        <v>4.3975373790677223E-4</v>
      </c>
      <c r="AB2712" s="845">
        <v>3.0782761653474055E-3</v>
      </c>
      <c r="AC2712" s="845">
        <v>0</v>
      </c>
      <c r="AD2712" s="845">
        <v>9.9824098504837297E-2</v>
      </c>
      <c r="AE2712" s="845">
        <v>6.3324538258575203E-2</v>
      </c>
      <c r="AF2712" s="845">
        <v>0.16754617414248021</v>
      </c>
      <c r="AG2712" s="845">
        <v>0.50307827616534739</v>
      </c>
      <c r="AH2712" s="20" t="str">
        <f t="shared" si="199"/>
        <v>No</v>
      </c>
      <c r="AI2712" s="25"/>
      <c r="AJ2712" s="25"/>
      <c r="AK2712" s="25"/>
      <c r="AL2712" s="25"/>
      <c r="AM2712" s="25"/>
      <c r="AN2712" s="25"/>
      <c r="AO2712" s="25"/>
      <c r="AP2712" s="25"/>
      <c r="AQ2712" s="25"/>
      <c r="AR2712" s="25"/>
      <c r="AS2712" s="25"/>
      <c r="AT2712" s="25"/>
      <c r="AU2712" s="36"/>
      <c r="AV2712" s="36"/>
      <c r="AW2712" s="36"/>
      <c r="AX2712" s="25"/>
      <c r="AY2712" s="25"/>
      <c r="AZ2712" s="25"/>
      <c r="BA2712" s="25"/>
      <c r="BB2712" s="25"/>
      <c r="BC2712" s="25"/>
      <c r="BD2712" s="25"/>
      <c r="BE2712" s="25"/>
      <c r="BF2712" s="25"/>
      <c r="BG2712" s="25"/>
      <c r="BH2712" s="25"/>
      <c r="BI2712" s="25"/>
      <c r="BJ2712" s="25"/>
      <c r="BK2712" s="25"/>
      <c r="BL2712" s="25"/>
      <c r="BM2712" s="25"/>
      <c r="BN2712" s="25"/>
      <c r="BO2712" s="25"/>
      <c r="BP2712" s="25"/>
      <c r="BQ2712" s="25"/>
      <c r="BR2712" s="25"/>
      <c r="BS2712" s="25"/>
      <c r="BT2712" s="25"/>
      <c r="BU2712"/>
      <c r="BV2712"/>
      <c r="BW2712"/>
      <c r="BX2712"/>
      <c r="BY2712"/>
      <c r="BZ2712"/>
      <c r="CA2712"/>
      <c r="CB2712"/>
      <c r="CC2712"/>
      <c r="CD2712" s="25"/>
    </row>
    <row r="2713" spans="1:82" s="17" customFormat="1" x14ac:dyDescent="0.2">
      <c r="A2713" s="25"/>
      <c r="B2713" s="20">
        <v>39099812900</v>
      </c>
      <c r="C2713" s="20">
        <v>8129</v>
      </c>
      <c r="D2713" s="20" t="s">
        <v>55</v>
      </c>
      <c r="E2713" s="20" t="s">
        <v>2842</v>
      </c>
      <c r="F2713" s="20" t="s">
        <v>8</v>
      </c>
      <c r="G2713" s="861">
        <v>32.668567687093002</v>
      </c>
      <c r="H2713" s="861">
        <v>39.341613258181503</v>
      </c>
      <c r="I2713" s="861">
        <v>21.873481038164901</v>
      </c>
      <c r="J2713" s="861">
        <v>42.2268855918364</v>
      </c>
      <c r="K2713" s="982">
        <v>0</v>
      </c>
      <c r="L2713" s="735">
        <v>4232</v>
      </c>
      <c r="M2713" s="735">
        <v>3858</v>
      </c>
      <c r="N2713" s="845">
        <f t="shared" si="197"/>
        <v>-8.8374291115311907E-2</v>
      </c>
      <c r="O2713" s="735">
        <v>49.536523934080918</v>
      </c>
      <c r="P2713" s="735">
        <f t="shared" si="198"/>
        <v>77.881928193708248</v>
      </c>
      <c r="Q2713" s="849">
        <v>47</v>
      </c>
      <c r="R2713" s="71">
        <v>75462</v>
      </c>
      <c r="S2713" s="845">
        <v>9.0672902052481158E-2</v>
      </c>
      <c r="T2713" s="845">
        <v>3.4000000000000002E-2</v>
      </c>
      <c r="U2713" s="845">
        <v>1.7000000000000001E-2</v>
      </c>
      <c r="V2713" s="845">
        <v>0</v>
      </c>
      <c r="W2713" s="845">
        <v>0.10138248847926268</v>
      </c>
      <c r="X2713" s="845">
        <v>3.896103896103896E-2</v>
      </c>
      <c r="Y2713" s="845">
        <v>0.97641264904095382</v>
      </c>
      <c r="Z2713" s="845">
        <v>7.776049766718507E-4</v>
      </c>
      <c r="AA2713" s="845">
        <v>0</v>
      </c>
      <c r="AB2713" s="845">
        <v>0</v>
      </c>
      <c r="AC2713" s="845">
        <v>0</v>
      </c>
      <c r="AD2713" s="845">
        <v>3.1104199066874028E-3</v>
      </c>
      <c r="AE2713" s="845">
        <v>1.9699326075686883E-2</v>
      </c>
      <c r="AF2713" s="845">
        <v>7.2576464489372732E-3</v>
      </c>
      <c r="AG2713" s="845">
        <v>0.97459823742871954</v>
      </c>
      <c r="AH2713" s="20" t="str">
        <f t="shared" si="199"/>
        <v>Yes</v>
      </c>
      <c r="AI2713" s="25"/>
      <c r="AJ2713" s="25"/>
      <c r="AK2713" s="25"/>
      <c r="AL2713" s="25"/>
      <c r="AM2713" s="25"/>
      <c r="AN2713" s="25"/>
      <c r="AO2713" s="25"/>
      <c r="AP2713" s="25"/>
      <c r="AQ2713" s="25"/>
      <c r="AR2713" s="25"/>
      <c r="AS2713" s="25"/>
      <c r="AT2713" s="25"/>
      <c r="AU2713" s="36"/>
      <c r="AV2713" s="36"/>
      <c r="AW2713" s="36"/>
      <c r="AX2713" s="25"/>
      <c r="AY2713" s="25"/>
      <c r="AZ2713" s="25"/>
      <c r="BA2713" s="25"/>
      <c r="BB2713" s="25"/>
      <c r="BC2713" s="25"/>
      <c r="BD2713" s="25"/>
      <c r="BE2713" s="25"/>
      <c r="BF2713" s="25"/>
      <c r="BG2713" s="25"/>
      <c r="BH2713" s="25"/>
      <c r="BI2713" s="25"/>
      <c r="BJ2713" s="25"/>
      <c r="BK2713" s="25"/>
      <c r="BL2713" s="25"/>
      <c r="BM2713" s="25"/>
      <c r="BN2713" s="25"/>
      <c r="BO2713" s="25"/>
      <c r="BP2713" s="25"/>
      <c r="BQ2713" s="25"/>
      <c r="BR2713" s="25"/>
      <c r="BS2713" s="25"/>
      <c r="BT2713" s="25"/>
      <c r="BU2713"/>
      <c r="BV2713"/>
      <c r="BW2713"/>
      <c r="BX2713"/>
      <c r="BY2713"/>
      <c r="BZ2713"/>
      <c r="CA2713"/>
      <c r="CB2713"/>
      <c r="CC2713"/>
      <c r="CD2713" s="25"/>
    </row>
    <row r="2714" spans="1:82" s="17" customFormat="1" x14ac:dyDescent="0.2">
      <c r="A2714" s="25"/>
      <c r="B2714" s="20">
        <v>39151714701</v>
      </c>
      <c r="C2714" s="20">
        <v>7147.01</v>
      </c>
      <c r="D2714" s="20" t="s">
        <v>81</v>
      </c>
      <c r="E2714" s="20" t="s">
        <v>2844</v>
      </c>
      <c r="F2714" s="20" t="s">
        <v>8</v>
      </c>
      <c r="G2714" s="861">
        <v>32.610472634430103</v>
      </c>
      <c r="H2714" s="861">
        <v>41.831780989027799</v>
      </c>
      <c r="I2714" s="861">
        <v>20.69071336463</v>
      </c>
      <c r="J2714" s="861">
        <v>40.132608347681</v>
      </c>
      <c r="K2714" s="982">
        <v>0</v>
      </c>
      <c r="L2714" s="735">
        <v>5651</v>
      </c>
      <c r="M2714" s="735">
        <v>6203</v>
      </c>
      <c r="N2714" s="845">
        <f t="shared" si="197"/>
        <v>9.7681826225446827E-2</v>
      </c>
      <c r="O2714" s="735">
        <v>10.288143369121491</v>
      </c>
      <c r="P2714" s="735">
        <f t="shared" si="198"/>
        <v>602.92705665606184</v>
      </c>
      <c r="Q2714" s="849">
        <v>40.4</v>
      </c>
      <c r="R2714" s="71">
        <v>75240</v>
      </c>
      <c r="S2714" s="845">
        <v>8.364524003254678E-2</v>
      </c>
      <c r="T2714" s="845">
        <v>1.3000000000000001E-2</v>
      </c>
      <c r="U2714" s="845">
        <v>1.8000000000000002E-2</v>
      </c>
      <c r="V2714" s="845">
        <v>0</v>
      </c>
      <c r="W2714" s="845">
        <v>0.16784591194968554</v>
      </c>
      <c r="X2714" s="845">
        <v>0.27166276346604218</v>
      </c>
      <c r="Y2714" s="845">
        <v>0.93148476543607928</v>
      </c>
      <c r="Z2714" s="845">
        <v>9.5115266806384009E-3</v>
      </c>
      <c r="AA2714" s="845">
        <v>0</v>
      </c>
      <c r="AB2714" s="845">
        <v>2.5793970659358373E-3</v>
      </c>
      <c r="AC2714" s="845">
        <v>0</v>
      </c>
      <c r="AD2714" s="845">
        <v>1.6282443978719974E-2</v>
      </c>
      <c r="AE2714" s="845">
        <v>4.0141866838626472E-2</v>
      </c>
      <c r="AF2714" s="845">
        <v>2.256972432693858E-2</v>
      </c>
      <c r="AG2714" s="845">
        <v>0.92680960825407066</v>
      </c>
      <c r="AH2714" s="20" t="str">
        <f t="shared" si="199"/>
        <v>Yes</v>
      </c>
      <c r="AI2714" s="25"/>
      <c r="AJ2714" s="25"/>
      <c r="AK2714" s="25"/>
      <c r="AL2714" s="25"/>
      <c r="AM2714" s="25"/>
      <c r="AN2714" s="25"/>
      <c r="AO2714" s="25"/>
      <c r="AP2714" s="25"/>
      <c r="AQ2714" s="25"/>
      <c r="AR2714" s="25"/>
      <c r="AS2714" s="25"/>
      <c r="AT2714" s="25"/>
      <c r="AU2714" s="36"/>
      <c r="AV2714" s="36"/>
      <c r="AW2714" s="36"/>
      <c r="AX2714" s="25"/>
      <c r="AY2714" s="25"/>
      <c r="AZ2714" s="25"/>
      <c r="BA2714" s="25"/>
      <c r="BB2714" s="25"/>
      <c r="BC2714" s="25"/>
      <c r="BD2714" s="25"/>
      <c r="BE2714" s="25"/>
      <c r="BF2714" s="25"/>
      <c r="BG2714" s="25"/>
      <c r="BH2714" s="25"/>
      <c r="BI2714" s="25"/>
      <c r="BJ2714" s="25"/>
      <c r="BK2714" s="25"/>
      <c r="BL2714" s="25"/>
      <c r="BM2714" s="25"/>
      <c r="BN2714" s="25"/>
      <c r="BO2714" s="25"/>
      <c r="BP2714" s="25"/>
      <c r="BQ2714" s="25"/>
      <c r="BR2714" s="25"/>
      <c r="BS2714" s="25"/>
      <c r="BT2714" s="25"/>
      <c r="BU2714"/>
      <c r="BV2714"/>
      <c r="BW2714"/>
      <c r="BX2714"/>
      <c r="BY2714"/>
      <c r="BZ2714"/>
      <c r="CA2714"/>
      <c r="CB2714"/>
      <c r="CC2714"/>
      <c r="CD2714" s="25"/>
    </row>
    <row r="2715" spans="1:82" s="17" customFormat="1" x14ac:dyDescent="0.2">
      <c r="A2715" s="25"/>
      <c r="B2715" s="20">
        <v>39013010300</v>
      </c>
      <c r="C2715" s="20">
        <v>103</v>
      </c>
      <c r="D2715" s="20" t="s">
        <v>13</v>
      </c>
      <c r="E2715" s="20" t="s">
        <v>2841</v>
      </c>
      <c r="F2715" s="20" t="s">
        <v>8</v>
      </c>
      <c r="G2715" s="861">
        <v>32.600127881378498</v>
      </c>
      <c r="H2715" s="861">
        <v>41.579314751460302</v>
      </c>
      <c r="I2715" s="861">
        <v>14.6060671102721</v>
      </c>
      <c r="J2715" s="861">
        <v>29.4545184732903</v>
      </c>
      <c r="K2715" s="982">
        <v>0</v>
      </c>
      <c r="L2715" s="735">
        <v>3213</v>
      </c>
      <c r="M2715" s="735">
        <v>3512</v>
      </c>
      <c r="N2715" s="845">
        <f t="shared" si="197"/>
        <v>9.3059446000622464E-2</v>
      </c>
      <c r="O2715" s="735">
        <v>19.922373697692382</v>
      </c>
      <c r="P2715" s="735">
        <f t="shared" si="198"/>
        <v>176.28421458667833</v>
      </c>
      <c r="Q2715" s="849">
        <v>51.4</v>
      </c>
      <c r="R2715" s="71">
        <v>74722</v>
      </c>
      <c r="S2715" s="845">
        <v>6.4013840830449822E-2</v>
      </c>
      <c r="T2715" s="845">
        <v>0.04</v>
      </c>
      <c r="U2715" s="845">
        <v>2.4E-2</v>
      </c>
      <c r="V2715" s="845">
        <v>0</v>
      </c>
      <c r="W2715" s="845">
        <v>9.109042553191489E-2</v>
      </c>
      <c r="X2715" s="845">
        <v>0.19708029197080293</v>
      </c>
      <c r="Y2715" s="845">
        <v>0.9812072892938497</v>
      </c>
      <c r="Z2715" s="845">
        <v>1.6799544419134397E-2</v>
      </c>
      <c r="AA2715" s="845">
        <v>0</v>
      </c>
      <c r="AB2715" s="845">
        <v>0</v>
      </c>
      <c r="AC2715" s="845">
        <v>8.5421412300683373E-4</v>
      </c>
      <c r="AD2715" s="845">
        <v>5.6947608200455578E-4</v>
      </c>
      <c r="AE2715" s="845">
        <v>5.6947608200455578E-4</v>
      </c>
      <c r="AF2715" s="845">
        <v>1.1389521640091116E-3</v>
      </c>
      <c r="AG2715" s="845">
        <v>0.9812072892938497</v>
      </c>
      <c r="AH2715" s="20" t="str">
        <f t="shared" si="199"/>
        <v>Yes</v>
      </c>
      <c r="AI2715" s="25"/>
      <c r="AJ2715" s="25"/>
      <c r="AK2715" s="25"/>
      <c r="AL2715" s="25"/>
      <c r="AM2715" s="25"/>
      <c r="AN2715" s="25"/>
      <c r="AO2715" s="25"/>
      <c r="AP2715" s="25"/>
      <c r="AQ2715" s="25"/>
      <c r="AR2715" s="25"/>
      <c r="AS2715" s="25"/>
      <c r="AT2715" s="25"/>
      <c r="AU2715" s="36"/>
      <c r="AV2715" s="36"/>
      <c r="AW2715" s="36"/>
      <c r="AX2715" s="25"/>
      <c r="AY2715" s="25"/>
      <c r="AZ2715" s="25"/>
      <c r="BA2715" s="25"/>
      <c r="BB2715" s="25"/>
      <c r="BC2715" s="25"/>
      <c r="BD2715" s="25"/>
      <c r="BE2715" s="25"/>
      <c r="BF2715" s="25"/>
      <c r="BG2715" s="25"/>
      <c r="BH2715" s="25"/>
      <c r="BI2715" s="25"/>
      <c r="BJ2715" s="25"/>
      <c r="BK2715" s="25"/>
      <c r="BL2715" s="25"/>
      <c r="BM2715" s="25"/>
      <c r="BN2715" s="25"/>
      <c r="BO2715" s="25"/>
      <c r="BP2715" s="25"/>
      <c r="BQ2715" s="25"/>
      <c r="BR2715" s="25"/>
      <c r="BS2715" s="25"/>
      <c r="BT2715" s="25"/>
      <c r="BU2715"/>
      <c r="BV2715"/>
      <c r="BW2715"/>
      <c r="BX2715"/>
      <c r="BY2715"/>
      <c r="BZ2715"/>
      <c r="CA2715"/>
      <c r="CB2715"/>
      <c r="CC2715"/>
      <c r="CD2715" s="25"/>
    </row>
    <row r="2716" spans="1:82" s="17" customFormat="1" x14ac:dyDescent="0.2">
      <c r="A2716" s="25"/>
      <c r="B2716" s="20">
        <v>39049008312</v>
      </c>
      <c r="C2716" s="20">
        <v>83.12</v>
      </c>
      <c r="D2716" s="20" t="s">
        <v>31</v>
      </c>
      <c r="E2716" s="20" t="s">
        <v>2830</v>
      </c>
      <c r="F2716" s="20" t="s">
        <v>6</v>
      </c>
      <c r="G2716" s="861">
        <v>32.574248815672</v>
      </c>
      <c r="H2716" s="861">
        <v>47.520764065072797</v>
      </c>
      <c r="I2716" s="861">
        <v>46.214832107172199</v>
      </c>
      <c r="J2716" s="861">
        <v>37.717759835775297</v>
      </c>
      <c r="K2716" s="982">
        <v>0</v>
      </c>
      <c r="L2716" s="735">
        <v>4532</v>
      </c>
      <c r="M2716" s="735">
        <v>4748</v>
      </c>
      <c r="N2716" s="845">
        <f t="shared" si="197"/>
        <v>4.7661076787290382E-2</v>
      </c>
      <c r="O2716" s="735">
        <v>0.58713860273281337</v>
      </c>
      <c r="P2716" s="735">
        <f t="shared" si="198"/>
        <v>8086.6766005515938</v>
      </c>
      <c r="Q2716" s="849">
        <v>30.7</v>
      </c>
      <c r="R2716" s="71">
        <v>30161</v>
      </c>
      <c r="S2716" s="845">
        <v>0.43681550126368995</v>
      </c>
      <c r="T2716" s="845">
        <v>0.20699999999999999</v>
      </c>
      <c r="U2716" s="845">
        <v>0</v>
      </c>
      <c r="V2716" s="845">
        <v>0</v>
      </c>
      <c r="W2716" s="845">
        <v>0.72984293193717276</v>
      </c>
      <c r="X2716" s="845">
        <v>0.41606886657101866</v>
      </c>
      <c r="Y2716" s="845">
        <v>0.46756529064869418</v>
      </c>
      <c r="Z2716" s="845">
        <v>0.22577927548441448</v>
      </c>
      <c r="AA2716" s="845">
        <v>0</v>
      </c>
      <c r="AB2716" s="845">
        <v>3.285593934288121E-2</v>
      </c>
      <c r="AC2716" s="845">
        <v>0</v>
      </c>
      <c r="AD2716" s="845">
        <v>0.11162594776748104</v>
      </c>
      <c r="AE2716" s="845">
        <v>0.16217354675652906</v>
      </c>
      <c r="AF2716" s="845">
        <v>0.21145745577085087</v>
      </c>
      <c r="AG2716" s="845">
        <v>0.4627211457455771</v>
      </c>
      <c r="AH2716" s="20" t="str">
        <f t="shared" si="199"/>
        <v>No</v>
      </c>
      <c r="AI2716" s="25"/>
      <c r="AJ2716" s="25"/>
      <c r="AK2716" s="25"/>
      <c r="AL2716" s="25"/>
      <c r="AM2716" s="25"/>
      <c r="AN2716" s="25"/>
      <c r="AO2716" s="25"/>
      <c r="AP2716" s="25"/>
      <c r="AQ2716" s="25"/>
      <c r="AR2716" s="25"/>
      <c r="AS2716" s="25"/>
      <c r="AT2716" s="25"/>
      <c r="AU2716" s="36"/>
      <c r="AV2716" s="36"/>
      <c r="AW2716" s="36"/>
      <c r="AX2716" s="25"/>
      <c r="AY2716" s="25"/>
      <c r="AZ2716" s="25"/>
      <c r="BA2716" s="25"/>
      <c r="BB2716" s="25"/>
      <c r="BC2716" s="25"/>
      <c r="BD2716" s="25"/>
      <c r="BE2716" s="25"/>
      <c r="BF2716" s="25"/>
      <c r="BG2716" s="25"/>
      <c r="BH2716" s="25"/>
      <c r="BI2716" s="25"/>
      <c r="BJ2716" s="25"/>
      <c r="BK2716" s="25"/>
      <c r="BL2716" s="25"/>
      <c r="BM2716" s="25"/>
      <c r="BN2716" s="25"/>
      <c r="BO2716" s="25"/>
      <c r="BP2716" s="25"/>
      <c r="BQ2716" s="25"/>
      <c r="BR2716" s="25"/>
      <c r="BS2716" s="25"/>
      <c r="BT2716" s="25"/>
      <c r="BU2716"/>
      <c r="BV2716"/>
      <c r="BW2716"/>
      <c r="BX2716"/>
      <c r="BY2716"/>
      <c r="BZ2716"/>
      <c r="CA2716"/>
      <c r="CB2716"/>
      <c r="CC2716"/>
      <c r="CD2716" s="25"/>
    </row>
    <row r="2717" spans="1:82" s="17" customFormat="1" x14ac:dyDescent="0.2">
      <c r="A2717" s="25"/>
      <c r="B2717" s="20">
        <v>39015951500</v>
      </c>
      <c r="C2717" s="20">
        <v>9515</v>
      </c>
      <c r="D2717" s="20" t="s">
        <v>14</v>
      </c>
      <c r="E2717" s="20" t="s">
        <v>265</v>
      </c>
      <c r="F2717" s="20" t="s">
        <v>8</v>
      </c>
      <c r="G2717" s="861">
        <v>32.561524363875598</v>
      </c>
      <c r="H2717" s="861">
        <v>44.765208510671698</v>
      </c>
      <c r="I2717" s="861">
        <v>21.214994147422399</v>
      </c>
      <c r="J2717" s="861">
        <v>52.688733772703102</v>
      </c>
      <c r="K2717" s="982">
        <v>0</v>
      </c>
      <c r="L2717" s="735">
        <v>5311</v>
      </c>
      <c r="M2717" s="735">
        <v>5437</v>
      </c>
      <c r="N2717" s="845">
        <f t="shared" si="197"/>
        <v>2.3724345697608736E-2</v>
      </c>
      <c r="O2717" s="735">
        <v>97.660007018333388</v>
      </c>
      <c r="P2717" s="735">
        <f t="shared" si="198"/>
        <v>55.672738165780899</v>
      </c>
      <c r="Q2717" s="849">
        <v>43.7</v>
      </c>
      <c r="R2717" s="71">
        <v>83365</v>
      </c>
      <c r="S2717" s="845">
        <v>0.11899944822512415</v>
      </c>
      <c r="T2717" s="845">
        <v>2.8999999999999998E-2</v>
      </c>
      <c r="U2717" s="845">
        <v>0</v>
      </c>
      <c r="V2717" s="845">
        <v>0</v>
      </c>
      <c r="W2717" s="845">
        <v>0.15794436586515795</v>
      </c>
      <c r="X2717" s="845">
        <v>0.43283582089552236</v>
      </c>
      <c r="Y2717" s="845">
        <v>0.9485010115872724</v>
      </c>
      <c r="Z2717" s="845">
        <v>1.6185396358285819E-2</v>
      </c>
      <c r="AA2717" s="845">
        <v>5.5177487585065296E-4</v>
      </c>
      <c r="AB2717" s="845">
        <v>0</v>
      </c>
      <c r="AC2717" s="845">
        <v>0</v>
      </c>
      <c r="AD2717" s="845">
        <v>9.1962479308442156E-4</v>
      </c>
      <c r="AE2717" s="845">
        <v>3.384219238550671E-2</v>
      </c>
      <c r="AF2717" s="845">
        <v>1.0851572558396175E-2</v>
      </c>
      <c r="AG2717" s="845">
        <v>0.94537428729078532</v>
      </c>
      <c r="AH2717" s="20" t="str">
        <f t="shared" si="199"/>
        <v>Yes</v>
      </c>
      <c r="AI2717" s="25"/>
      <c r="AJ2717" s="25"/>
      <c r="AK2717" s="25"/>
      <c r="AL2717" s="25"/>
      <c r="AM2717" s="25"/>
      <c r="AN2717" s="25"/>
      <c r="AO2717" s="25"/>
      <c r="AP2717" s="25"/>
      <c r="AQ2717" s="25"/>
      <c r="AR2717" s="25"/>
      <c r="AS2717" s="25"/>
      <c r="AT2717" s="25"/>
      <c r="AU2717" s="36"/>
      <c r="AV2717" s="36"/>
      <c r="AW2717" s="36"/>
      <c r="AX2717" s="25"/>
      <c r="AY2717" s="25"/>
      <c r="AZ2717" s="25"/>
      <c r="BA2717" s="25"/>
      <c r="BB2717" s="25"/>
      <c r="BC2717" s="25"/>
      <c r="BD2717" s="25"/>
      <c r="BE2717" s="25"/>
      <c r="BF2717" s="25"/>
      <c r="BG2717" s="25"/>
      <c r="BH2717" s="25"/>
      <c r="BI2717" s="25"/>
      <c r="BJ2717" s="25"/>
      <c r="BK2717" s="25"/>
      <c r="BL2717" s="25"/>
      <c r="BM2717" s="25"/>
      <c r="BN2717" s="25"/>
      <c r="BO2717" s="25"/>
      <c r="BP2717" s="25"/>
      <c r="BQ2717" s="25"/>
      <c r="BR2717" s="25"/>
      <c r="BS2717" s="25"/>
      <c r="BT2717" s="25"/>
      <c r="BU2717"/>
      <c r="BV2717"/>
      <c r="BW2717"/>
      <c r="BX2717"/>
      <c r="BY2717"/>
      <c r="BZ2717"/>
      <c r="CA2717"/>
      <c r="CB2717"/>
      <c r="CC2717"/>
      <c r="CD2717" s="25"/>
    </row>
    <row r="2718" spans="1:82" s="17" customFormat="1" x14ac:dyDescent="0.2">
      <c r="A2718" s="25"/>
      <c r="B2718" s="20">
        <v>39015951302</v>
      </c>
      <c r="C2718" s="20">
        <v>9513.02</v>
      </c>
      <c r="D2718" s="20" t="s">
        <v>14</v>
      </c>
      <c r="E2718" s="20" t="s">
        <v>265</v>
      </c>
      <c r="F2718" s="20" t="s">
        <v>8</v>
      </c>
      <c r="G2718" s="861">
        <v>32.537804340611103</v>
      </c>
      <c r="H2718" s="861">
        <v>34.346361102712997</v>
      </c>
      <c r="I2718" s="861">
        <v>27.008264988468699</v>
      </c>
      <c r="J2718" s="861">
        <v>42.096840935425398</v>
      </c>
      <c r="K2718" s="982">
        <v>0</v>
      </c>
      <c r="L2718" s="735" t="s">
        <v>2466</v>
      </c>
      <c r="M2718" s="735">
        <v>2724</v>
      </c>
      <c r="N2718" s="845" t="str">
        <f t="shared" si="197"/>
        <v/>
      </c>
      <c r="O2718" s="735">
        <v>17.212014150906661</v>
      </c>
      <c r="P2718" s="735">
        <f t="shared" si="198"/>
        <v>158.26154778384901</v>
      </c>
      <c r="Q2718" s="849">
        <v>44.5</v>
      </c>
      <c r="R2718" s="71">
        <v>53833</v>
      </c>
      <c r="S2718" s="845">
        <v>0.14825907899663049</v>
      </c>
      <c r="T2718" s="845">
        <v>3.6000000000000004E-2</v>
      </c>
      <c r="U2718" s="845">
        <v>0</v>
      </c>
      <c r="V2718" s="845">
        <v>0</v>
      </c>
      <c r="W2718" s="845">
        <v>0.34380165289256198</v>
      </c>
      <c r="X2718" s="845">
        <v>0.39903846153846156</v>
      </c>
      <c r="Y2718" s="845">
        <v>0.99412628487518351</v>
      </c>
      <c r="Z2718" s="845">
        <v>0</v>
      </c>
      <c r="AA2718" s="845">
        <v>1.4684287812041115E-3</v>
      </c>
      <c r="AB2718" s="845">
        <v>0</v>
      </c>
      <c r="AC2718" s="845">
        <v>0</v>
      </c>
      <c r="AD2718" s="845">
        <v>0</v>
      </c>
      <c r="AE2718" s="845">
        <v>4.4052863436123352E-3</v>
      </c>
      <c r="AF2718" s="845">
        <v>1.4684287812041115E-3</v>
      </c>
      <c r="AG2718" s="845">
        <v>0.99412628487518351</v>
      </c>
      <c r="AH2718" s="20" t="str">
        <f t="shared" si="199"/>
        <v>Yes</v>
      </c>
      <c r="AI2718" s="25"/>
      <c r="AJ2718" s="25"/>
      <c r="AK2718" s="25"/>
      <c r="AL2718" s="25"/>
      <c r="AM2718" s="25"/>
      <c r="AN2718" s="25"/>
      <c r="AO2718" s="25"/>
      <c r="AP2718" s="25"/>
      <c r="AQ2718" s="25"/>
      <c r="AR2718" s="25"/>
      <c r="AS2718" s="25"/>
      <c r="AT2718" s="25"/>
      <c r="AU2718" s="36"/>
      <c r="AV2718" s="36"/>
      <c r="AW2718" s="36"/>
      <c r="AX2718" s="25"/>
      <c r="AY2718" s="25"/>
      <c r="AZ2718" s="25"/>
      <c r="BA2718" s="25"/>
      <c r="BB2718" s="25"/>
      <c r="BC2718" s="25"/>
      <c r="BD2718" s="25"/>
      <c r="BE2718" s="25"/>
      <c r="BF2718" s="25"/>
      <c r="BG2718" s="25"/>
      <c r="BH2718" s="25"/>
      <c r="BI2718" s="25"/>
      <c r="BJ2718" s="25"/>
      <c r="BK2718" s="25"/>
      <c r="BL2718" s="25"/>
      <c r="BM2718" s="25"/>
      <c r="BN2718" s="25"/>
      <c r="BO2718" s="25"/>
      <c r="BP2718" s="25"/>
      <c r="BQ2718" s="25"/>
      <c r="BR2718" s="25"/>
      <c r="BS2718" s="25"/>
      <c r="BT2718" s="25"/>
      <c r="BU2718"/>
      <c r="BV2718"/>
      <c r="BW2718"/>
      <c r="BX2718"/>
      <c r="BY2718"/>
      <c r="BZ2718"/>
      <c r="CA2718"/>
      <c r="CB2718"/>
      <c r="CC2718"/>
      <c r="CD2718" s="25"/>
    </row>
    <row r="2719" spans="1:82" s="17" customFormat="1" x14ac:dyDescent="0.2">
      <c r="A2719" s="25"/>
      <c r="B2719" s="20">
        <v>39113140100</v>
      </c>
      <c r="C2719" s="20">
        <v>1401</v>
      </c>
      <c r="D2719" s="20" t="s">
        <v>62</v>
      </c>
      <c r="E2719" s="20" t="s">
        <v>2833</v>
      </c>
      <c r="F2719" s="20" t="s">
        <v>8</v>
      </c>
      <c r="G2719" s="861">
        <v>32.5265142291179</v>
      </c>
      <c r="H2719" s="861">
        <v>46.406181116090401</v>
      </c>
      <c r="I2719" s="861">
        <v>26.922254114184799</v>
      </c>
      <c r="J2719" s="861">
        <v>49.584478135992001</v>
      </c>
      <c r="K2719" s="982">
        <v>0</v>
      </c>
      <c r="L2719" s="735">
        <v>5994</v>
      </c>
      <c r="M2719" s="735">
        <v>5837</v>
      </c>
      <c r="N2719" s="845">
        <f t="shared" si="197"/>
        <v>-2.6192859526192859E-2</v>
      </c>
      <c r="O2719" s="735">
        <v>36.580050554749462</v>
      </c>
      <c r="P2719" s="735">
        <f t="shared" si="198"/>
        <v>159.56784945564101</v>
      </c>
      <c r="Q2719" s="849">
        <v>46.3</v>
      </c>
      <c r="R2719" s="71">
        <v>76722</v>
      </c>
      <c r="S2719" s="845">
        <v>9.0207511576058996E-2</v>
      </c>
      <c r="T2719" s="845">
        <v>0.02</v>
      </c>
      <c r="U2719" s="845">
        <v>0</v>
      </c>
      <c r="V2719" s="845">
        <v>9.6999999999999989E-2</v>
      </c>
      <c r="W2719" s="845">
        <v>0.20930232558139536</v>
      </c>
      <c r="X2719" s="845">
        <v>0.28174603174603174</v>
      </c>
      <c r="Y2719" s="845">
        <v>0.92924447490149054</v>
      </c>
      <c r="Z2719" s="845">
        <v>1.027925304094569E-3</v>
      </c>
      <c r="AA2719" s="845">
        <v>0</v>
      </c>
      <c r="AB2719" s="845">
        <v>0</v>
      </c>
      <c r="AC2719" s="845">
        <v>0</v>
      </c>
      <c r="AD2719" s="845">
        <v>0</v>
      </c>
      <c r="AE2719" s="845">
        <v>6.9727599794414938E-2</v>
      </c>
      <c r="AF2719" s="845">
        <v>0</v>
      </c>
      <c r="AG2719" s="845">
        <v>0.92924447490149054</v>
      </c>
      <c r="AH2719" s="20" t="str">
        <f t="shared" si="199"/>
        <v>Yes</v>
      </c>
      <c r="AI2719" s="25"/>
      <c r="AJ2719" s="25"/>
      <c r="AK2719" s="25"/>
      <c r="AL2719" s="25"/>
      <c r="AM2719" s="25"/>
      <c r="AN2719" s="25"/>
      <c r="AO2719" s="25"/>
      <c r="AP2719" s="25"/>
      <c r="AQ2719" s="25"/>
      <c r="AR2719" s="25"/>
      <c r="AS2719" s="25"/>
      <c r="AT2719" s="25"/>
      <c r="AU2719" s="36"/>
      <c r="AV2719" s="36"/>
      <c r="AW2719" s="36"/>
      <c r="AX2719" s="25"/>
      <c r="AY2719" s="25"/>
      <c r="AZ2719" s="25"/>
      <c r="BA2719" s="25"/>
      <c r="BB2719" s="25"/>
      <c r="BC2719" s="25"/>
      <c r="BD2719" s="25"/>
      <c r="BE2719" s="25"/>
      <c r="BF2719" s="25"/>
      <c r="BG2719" s="25"/>
      <c r="BH2719" s="25"/>
      <c r="BI2719" s="25"/>
      <c r="BJ2719" s="25"/>
      <c r="BK2719" s="25"/>
      <c r="BL2719" s="25"/>
      <c r="BM2719" s="25"/>
      <c r="BN2719" s="25"/>
      <c r="BO2719" s="25"/>
      <c r="BP2719" s="25"/>
      <c r="BQ2719" s="25"/>
      <c r="BR2719" s="25"/>
      <c r="BS2719" s="25"/>
      <c r="BT2719" s="25"/>
      <c r="BU2719"/>
      <c r="BV2719"/>
      <c r="BW2719"/>
      <c r="BX2719"/>
      <c r="BY2719"/>
      <c r="BZ2719"/>
      <c r="CA2719"/>
      <c r="CB2719"/>
      <c r="CC2719"/>
      <c r="CD2719" s="25"/>
    </row>
    <row r="2720" spans="1:82" s="17" customFormat="1" x14ac:dyDescent="0.2">
      <c r="A2720" s="25"/>
      <c r="B2720" s="20">
        <v>39105964100</v>
      </c>
      <c r="C2720" s="20">
        <v>9641</v>
      </c>
      <c r="D2720" s="20" t="s">
        <v>58</v>
      </c>
      <c r="E2720" s="20" t="s">
        <v>265</v>
      </c>
      <c r="F2720" s="20" t="s">
        <v>8</v>
      </c>
      <c r="G2720" s="861">
        <v>32.490570757246502</v>
      </c>
      <c r="H2720" s="861">
        <v>42.287732874247403</v>
      </c>
      <c r="I2720" s="861">
        <v>21.646963601711299</v>
      </c>
      <c r="J2720" s="861">
        <v>41.649208132253101</v>
      </c>
      <c r="K2720" s="982">
        <v>0</v>
      </c>
      <c r="L2720" s="735">
        <v>4323</v>
      </c>
      <c r="M2720" s="735">
        <v>4077</v>
      </c>
      <c r="N2720" s="845">
        <f t="shared" si="197"/>
        <v>-5.6904927133934767E-2</v>
      </c>
      <c r="O2720" s="735">
        <v>97.727510030924435</v>
      </c>
      <c r="P2720" s="735">
        <f t="shared" si="198"/>
        <v>41.718038234166542</v>
      </c>
      <c r="Q2720" s="849">
        <v>46.1</v>
      </c>
      <c r="R2720" s="71">
        <v>60483</v>
      </c>
      <c r="S2720" s="845">
        <v>0.1653076352853966</v>
      </c>
      <c r="T2720" s="845">
        <v>0.11199999999999999</v>
      </c>
      <c r="U2720" s="845">
        <v>0</v>
      </c>
      <c r="V2720" s="845">
        <v>0</v>
      </c>
      <c r="W2720" s="845">
        <v>0.23131903833658218</v>
      </c>
      <c r="X2720" s="845">
        <v>0.17415730337078653</v>
      </c>
      <c r="Y2720" s="845">
        <v>0.97473632572970326</v>
      </c>
      <c r="Z2720" s="845">
        <v>9.3205788570026975E-3</v>
      </c>
      <c r="AA2720" s="845">
        <v>0</v>
      </c>
      <c r="AB2720" s="845">
        <v>0</v>
      </c>
      <c r="AC2720" s="845">
        <v>0</v>
      </c>
      <c r="AD2720" s="845">
        <v>0</v>
      </c>
      <c r="AE2720" s="845">
        <v>1.5943095413294087E-2</v>
      </c>
      <c r="AF2720" s="845">
        <v>4.1697326465538389E-3</v>
      </c>
      <c r="AG2720" s="845">
        <v>0.97473632572970326</v>
      </c>
      <c r="AH2720" s="20" t="str">
        <f t="shared" si="199"/>
        <v>Yes</v>
      </c>
      <c r="AI2720" s="25"/>
      <c r="AJ2720" s="25"/>
      <c r="AK2720" s="25"/>
      <c r="AL2720" s="25"/>
      <c r="AM2720" s="25"/>
      <c r="AN2720" s="25"/>
      <c r="AO2720" s="25"/>
      <c r="AP2720" s="25"/>
      <c r="AQ2720" s="25"/>
      <c r="AR2720" s="25"/>
      <c r="AS2720" s="25"/>
      <c r="AT2720" s="25"/>
      <c r="AU2720" s="36"/>
      <c r="AV2720" s="36"/>
      <c r="AW2720" s="36"/>
      <c r="AX2720" s="25"/>
      <c r="AY2720" s="25"/>
      <c r="AZ2720" s="25"/>
      <c r="BA2720" s="25"/>
      <c r="BB2720" s="25"/>
      <c r="BC2720" s="25"/>
      <c r="BD2720" s="25"/>
      <c r="BE2720" s="25"/>
      <c r="BF2720" s="25"/>
      <c r="BG2720" s="25"/>
      <c r="BH2720" s="25"/>
      <c r="BI2720" s="25"/>
      <c r="BJ2720" s="25"/>
      <c r="BK2720" s="25"/>
      <c r="BL2720" s="25"/>
      <c r="BM2720" s="25"/>
      <c r="BN2720" s="25"/>
      <c r="BO2720" s="25"/>
      <c r="BP2720" s="25"/>
      <c r="BQ2720" s="25"/>
      <c r="BR2720" s="25"/>
      <c r="BS2720" s="25"/>
      <c r="BT2720" s="25"/>
      <c r="BU2720"/>
      <c r="BV2720"/>
      <c r="BW2720"/>
      <c r="BX2720"/>
      <c r="BY2720"/>
      <c r="BZ2720"/>
      <c r="CA2720"/>
      <c r="CB2720"/>
      <c r="CC2720"/>
      <c r="CD2720" s="25"/>
    </row>
    <row r="2721" spans="1:82" s="17" customFormat="1" x14ac:dyDescent="0.2">
      <c r="A2721" s="25"/>
      <c r="B2721" s="20">
        <v>39087050300</v>
      </c>
      <c r="C2721" s="20">
        <v>503</v>
      </c>
      <c r="D2721" s="20" t="s">
        <v>49</v>
      </c>
      <c r="E2721" s="20" t="s">
        <v>2834</v>
      </c>
      <c r="F2721" s="20" t="s">
        <v>6</v>
      </c>
      <c r="G2721" s="861">
        <v>32.486091135912403</v>
      </c>
      <c r="H2721" s="861">
        <v>24.3199402336937</v>
      </c>
      <c r="I2721" s="861">
        <v>59.582986553457303</v>
      </c>
      <c r="J2721" s="861">
        <v>21.635197877315001</v>
      </c>
      <c r="K2721" s="982">
        <v>0</v>
      </c>
      <c r="L2721" s="735">
        <v>2447</v>
      </c>
      <c r="M2721" s="735">
        <v>2006</v>
      </c>
      <c r="N2721" s="845">
        <f t="shared" si="197"/>
        <v>-0.18022067838169187</v>
      </c>
      <c r="O2721" s="735">
        <v>0.60079387777575555</v>
      </c>
      <c r="P2721" s="735">
        <f t="shared" si="198"/>
        <v>3338.915515295469</v>
      </c>
      <c r="Q2721" s="849">
        <v>38</v>
      </c>
      <c r="R2721" s="71">
        <v>28897</v>
      </c>
      <c r="S2721" s="845">
        <v>0.35651725914477073</v>
      </c>
      <c r="T2721" s="845">
        <v>0.12</v>
      </c>
      <c r="U2721" s="845">
        <v>6.3E-2</v>
      </c>
      <c r="V2721" s="845">
        <v>7.0000000000000007E-2</v>
      </c>
      <c r="W2721" s="845">
        <v>0.63176470588235289</v>
      </c>
      <c r="X2721" s="845">
        <v>0.42458100558659218</v>
      </c>
      <c r="Y2721" s="845">
        <v>0.8953140578265204</v>
      </c>
      <c r="Z2721" s="845">
        <v>7.8763708873379856E-2</v>
      </c>
      <c r="AA2721" s="845">
        <v>0</v>
      </c>
      <c r="AB2721" s="845">
        <v>0</v>
      </c>
      <c r="AC2721" s="845">
        <v>0</v>
      </c>
      <c r="AD2721" s="845">
        <v>0</v>
      </c>
      <c r="AE2721" s="845">
        <v>2.5922233300099701E-2</v>
      </c>
      <c r="AF2721" s="845">
        <v>8.9730807577268201E-3</v>
      </c>
      <c r="AG2721" s="845">
        <v>0.89232303090727816</v>
      </c>
      <c r="AH2721" s="20" t="str">
        <f t="shared" si="199"/>
        <v>No</v>
      </c>
      <c r="AI2721" s="25"/>
      <c r="AJ2721" s="25"/>
      <c r="AK2721" s="25"/>
      <c r="AL2721" s="25"/>
      <c r="AM2721" s="25"/>
      <c r="AN2721" s="25"/>
      <c r="AO2721" s="25"/>
      <c r="AP2721" s="25"/>
      <c r="AQ2721" s="25"/>
      <c r="AR2721" s="25"/>
      <c r="AS2721" s="25"/>
      <c r="AT2721" s="25"/>
      <c r="AU2721" s="36"/>
      <c r="AV2721" s="36"/>
      <c r="AW2721" s="36"/>
      <c r="AX2721" s="25"/>
      <c r="AY2721" s="25"/>
      <c r="AZ2721" s="25"/>
      <c r="BA2721" s="25"/>
      <c r="BB2721" s="25"/>
      <c r="BC2721" s="25"/>
      <c r="BD2721" s="25"/>
      <c r="BE2721" s="25"/>
      <c r="BF2721" s="25"/>
      <c r="BG2721" s="25"/>
      <c r="BH2721" s="25"/>
      <c r="BI2721" s="25"/>
      <c r="BJ2721" s="25"/>
      <c r="BK2721" s="25"/>
      <c r="BL2721" s="25"/>
      <c r="BM2721" s="25"/>
      <c r="BN2721" s="25"/>
      <c r="BO2721" s="25"/>
      <c r="BP2721" s="25"/>
      <c r="BQ2721" s="25"/>
      <c r="BR2721" s="25"/>
      <c r="BS2721" s="25"/>
      <c r="BT2721" s="25"/>
      <c r="BU2721"/>
      <c r="BV2721"/>
      <c r="BW2721"/>
      <c r="BX2721"/>
      <c r="BY2721"/>
      <c r="BZ2721"/>
      <c r="CA2721"/>
      <c r="CB2721"/>
      <c r="CC2721"/>
      <c r="CD2721" s="25"/>
    </row>
    <row r="2722" spans="1:82" s="17" customFormat="1" x14ac:dyDescent="0.2">
      <c r="A2722" s="25"/>
      <c r="B2722" s="20">
        <v>39113002400</v>
      </c>
      <c r="C2722" s="20">
        <v>24</v>
      </c>
      <c r="D2722" s="20" t="s">
        <v>62</v>
      </c>
      <c r="E2722" s="20" t="s">
        <v>2833</v>
      </c>
      <c r="F2722" s="20" t="s">
        <v>6</v>
      </c>
      <c r="G2722" s="861">
        <v>32.4701829030382</v>
      </c>
      <c r="H2722" s="861">
        <v>52.8834929348629</v>
      </c>
      <c r="I2722" s="861">
        <v>45.525695749820201</v>
      </c>
      <c r="J2722" s="861">
        <v>34.540203630999201</v>
      </c>
      <c r="K2722" s="982">
        <v>0</v>
      </c>
      <c r="L2722" s="735">
        <v>2487</v>
      </c>
      <c r="M2722" s="735">
        <v>2566</v>
      </c>
      <c r="N2722" s="845">
        <f t="shared" si="197"/>
        <v>3.176517893043828E-2</v>
      </c>
      <c r="O2722" s="735">
        <v>0.46603766069026475</v>
      </c>
      <c r="P2722" s="735">
        <f t="shared" si="198"/>
        <v>5505.9927907959354</v>
      </c>
      <c r="Q2722" s="849">
        <v>38.200000000000003</v>
      </c>
      <c r="R2722" s="71">
        <v>47972</v>
      </c>
      <c r="S2722" s="845">
        <v>0.29117876658860264</v>
      </c>
      <c r="T2722" s="845">
        <v>0.14899999999999999</v>
      </c>
      <c r="U2722" s="845">
        <v>0</v>
      </c>
      <c r="V2722" s="845">
        <v>0</v>
      </c>
      <c r="W2722" s="845">
        <v>0.42553191489361702</v>
      </c>
      <c r="X2722" s="845">
        <v>0.42399999999999999</v>
      </c>
      <c r="Y2722" s="845">
        <v>0.70459859703819172</v>
      </c>
      <c r="Z2722" s="845">
        <v>0.11145752143413874</v>
      </c>
      <c r="AA2722" s="845">
        <v>7.4434918160561178E-2</v>
      </c>
      <c r="AB2722" s="845">
        <v>2.260327357755261E-2</v>
      </c>
      <c r="AC2722" s="845">
        <v>0</v>
      </c>
      <c r="AD2722" s="845">
        <v>5.9236165237724084E-2</v>
      </c>
      <c r="AE2722" s="845">
        <v>2.7669524551831644E-2</v>
      </c>
      <c r="AF2722" s="845">
        <v>0.19836321122369446</v>
      </c>
      <c r="AG2722" s="845">
        <v>0.6465315666406859</v>
      </c>
      <c r="AH2722" s="20" t="str">
        <f t="shared" si="199"/>
        <v>No</v>
      </c>
      <c r="AI2722" s="25"/>
      <c r="AJ2722" s="25"/>
      <c r="AK2722" s="25"/>
      <c r="AL2722" s="25"/>
      <c r="AM2722" s="25"/>
      <c r="AN2722" s="25"/>
      <c r="AO2722" s="25"/>
      <c r="AP2722" s="25"/>
      <c r="AQ2722" s="25"/>
      <c r="AR2722" s="25"/>
      <c r="AS2722" s="25"/>
      <c r="AT2722" s="25"/>
      <c r="AU2722" s="36"/>
      <c r="AV2722" s="36"/>
      <c r="AW2722" s="36"/>
      <c r="AX2722" s="25"/>
      <c r="AY2722" s="25"/>
      <c r="AZ2722" s="25"/>
      <c r="BA2722" s="25"/>
      <c r="BB2722" s="25"/>
      <c r="BC2722" s="25"/>
      <c r="BD2722" s="25"/>
      <c r="BE2722" s="25"/>
      <c r="BF2722" s="25"/>
      <c r="BG2722" s="25"/>
      <c r="BH2722" s="25"/>
      <c r="BI2722" s="25"/>
      <c r="BJ2722" s="25"/>
      <c r="BK2722" s="25"/>
      <c r="BL2722" s="25"/>
      <c r="BM2722" s="25"/>
      <c r="BN2722" s="25"/>
      <c r="BO2722" s="25"/>
      <c r="BP2722" s="25"/>
      <c r="BQ2722" s="25"/>
      <c r="BR2722" s="25"/>
      <c r="BS2722" s="25"/>
      <c r="BT2722" s="25"/>
      <c r="BU2722"/>
      <c r="BV2722"/>
      <c r="BW2722"/>
      <c r="BX2722"/>
      <c r="BY2722"/>
      <c r="BZ2722"/>
      <c r="CA2722"/>
      <c r="CB2722"/>
      <c r="CC2722"/>
      <c r="CD2722" s="25"/>
    </row>
    <row r="2723" spans="1:82" s="17" customFormat="1" x14ac:dyDescent="0.2">
      <c r="A2723" s="25"/>
      <c r="B2723" s="20">
        <v>39099812500</v>
      </c>
      <c r="C2723" s="20">
        <v>8125</v>
      </c>
      <c r="D2723" s="20" t="s">
        <v>55</v>
      </c>
      <c r="E2723" s="20" t="s">
        <v>2842</v>
      </c>
      <c r="F2723" s="20" t="s">
        <v>8</v>
      </c>
      <c r="G2723" s="861">
        <v>32.466672438709701</v>
      </c>
      <c r="H2723" s="861">
        <v>35.540563712328897</v>
      </c>
      <c r="I2723" s="861">
        <v>32.082888172215803</v>
      </c>
      <c r="J2723" s="861">
        <v>17.856751575314501</v>
      </c>
      <c r="K2723" s="982">
        <v>0</v>
      </c>
      <c r="L2723" s="735">
        <v>5273</v>
      </c>
      <c r="M2723" s="735">
        <v>4947</v>
      </c>
      <c r="N2723" s="845">
        <f t="shared" si="197"/>
        <v>-6.1824388393703772E-2</v>
      </c>
      <c r="O2723" s="735">
        <v>8.935305884473733</v>
      </c>
      <c r="P2723" s="735">
        <f t="shared" si="198"/>
        <v>553.64640718076168</v>
      </c>
      <c r="Q2723" s="849">
        <v>49.1</v>
      </c>
      <c r="R2723" s="71">
        <v>62135</v>
      </c>
      <c r="S2723" s="845">
        <v>0.10293187091330942</v>
      </c>
      <c r="T2723" s="845">
        <v>9.9000000000000005E-2</v>
      </c>
      <c r="U2723" s="845">
        <v>0</v>
      </c>
      <c r="V2723" s="845">
        <v>0.11</v>
      </c>
      <c r="W2723" s="845">
        <v>0.18193438432040904</v>
      </c>
      <c r="X2723" s="845">
        <v>0.24121779859484777</v>
      </c>
      <c r="Y2723" s="845">
        <v>0.90317364059025673</v>
      </c>
      <c r="Z2723" s="845">
        <v>2.5469981807155852E-2</v>
      </c>
      <c r="AA2723" s="845">
        <v>0</v>
      </c>
      <c r="AB2723" s="845">
        <v>1.010713563776026E-3</v>
      </c>
      <c r="AC2723" s="845">
        <v>0</v>
      </c>
      <c r="AD2723" s="845">
        <v>0</v>
      </c>
      <c r="AE2723" s="845">
        <v>7.0345664038811401E-2</v>
      </c>
      <c r="AF2723" s="845">
        <v>6.5089953507176071E-2</v>
      </c>
      <c r="AG2723" s="845">
        <v>0.89185364867596528</v>
      </c>
      <c r="AH2723" s="20" t="str">
        <f t="shared" si="199"/>
        <v>No</v>
      </c>
      <c r="AI2723" s="25"/>
      <c r="AJ2723" s="25"/>
      <c r="AK2723" s="25"/>
      <c r="AL2723" s="25"/>
      <c r="AM2723" s="25"/>
      <c r="AN2723" s="25"/>
      <c r="AO2723" s="25"/>
      <c r="AP2723" s="25"/>
      <c r="AQ2723" s="25"/>
      <c r="AR2723" s="25"/>
      <c r="AS2723" s="25"/>
      <c r="AT2723" s="25"/>
      <c r="AU2723" s="36"/>
      <c r="AV2723" s="36"/>
      <c r="AW2723" s="36"/>
      <c r="AX2723" s="25"/>
      <c r="AY2723" s="25"/>
      <c r="AZ2723" s="25"/>
      <c r="BA2723" s="25"/>
      <c r="BB2723" s="25"/>
      <c r="BC2723" s="25"/>
      <c r="BD2723" s="25"/>
      <c r="BE2723" s="25"/>
      <c r="BF2723" s="25"/>
      <c r="BG2723" s="25"/>
      <c r="BH2723" s="25"/>
      <c r="BI2723" s="25"/>
      <c r="BJ2723" s="25"/>
      <c r="BK2723" s="25"/>
      <c r="BL2723" s="25"/>
      <c r="BM2723" s="25"/>
      <c r="BN2723" s="25"/>
      <c r="BO2723" s="25"/>
      <c r="BP2723" s="25"/>
      <c r="BQ2723" s="25"/>
      <c r="BR2723" s="25"/>
      <c r="BS2723" s="25"/>
      <c r="BT2723" s="25"/>
      <c r="BU2723"/>
      <c r="BV2723"/>
      <c r="BW2723"/>
      <c r="BX2723"/>
      <c r="BY2723"/>
      <c r="BZ2723"/>
      <c r="CA2723"/>
      <c r="CB2723"/>
      <c r="CC2723"/>
      <c r="CD2723" s="25"/>
    </row>
    <row r="2724" spans="1:82" s="17" customFormat="1" x14ac:dyDescent="0.2">
      <c r="A2724" s="25"/>
      <c r="B2724" s="20">
        <v>39017015000</v>
      </c>
      <c r="C2724" s="20">
        <v>150</v>
      </c>
      <c r="D2724" s="20" t="s">
        <v>15</v>
      </c>
      <c r="E2724" s="20" t="s">
        <v>2828</v>
      </c>
      <c r="F2724" s="20" t="s">
        <v>8</v>
      </c>
      <c r="G2724" s="861">
        <v>32.4655619495528</v>
      </c>
      <c r="H2724" s="861">
        <v>47.271165819409497</v>
      </c>
      <c r="I2724" s="861">
        <v>22.9618788862775</v>
      </c>
      <c r="J2724" s="861">
        <v>41.089287851698501</v>
      </c>
      <c r="K2724" s="982">
        <v>0</v>
      </c>
      <c r="L2724" s="735">
        <v>7708</v>
      </c>
      <c r="M2724" s="735">
        <v>7155</v>
      </c>
      <c r="N2724" s="845">
        <f t="shared" si="197"/>
        <v>-7.1743642968344581E-2</v>
      </c>
      <c r="O2724" s="735">
        <v>31.375157548503189</v>
      </c>
      <c r="P2724" s="735">
        <f t="shared" si="198"/>
        <v>228.0466636363183</v>
      </c>
      <c r="Q2724" s="849">
        <v>46.7</v>
      </c>
      <c r="R2724" s="71">
        <v>85833</v>
      </c>
      <c r="S2724" s="845">
        <v>5.5539853024307521E-2</v>
      </c>
      <c r="T2724" s="845">
        <v>2.3E-2</v>
      </c>
      <c r="U2724" s="845">
        <v>8.0000000000000002E-3</v>
      </c>
      <c r="V2724" s="845">
        <v>0</v>
      </c>
      <c r="W2724" s="845">
        <v>7.5815011372251703E-2</v>
      </c>
      <c r="X2724" s="845">
        <v>0.17499999999999999</v>
      </c>
      <c r="Y2724" s="845">
        <v>0.98308874912648503</v>
      </c>
      <c r="Z2724" s="845">
        <v>0</v>
      </c>
      <c r="AA2724" s="845">
        <v>1.2578616352201257E-3</v>
      </c>
      <c r="AB2724" s="845">
        <v>0</v>
      </c>
      <c r="AC2724" s="845">
        <v>0</v>
      </c>
      <c r="AD2724" s="845">
        <v>4.6121593291404616E-3</v>
      </c>
      <c r="AE2724" s="845">
        <v>1.1041229909154437E-2</v>
      </c>
      <c r="AF2724" s="845">
        <v>8.6652690426275332E-3</v>
      </c>
      <c r="AG2724" s="845">
        <v>0.98099231306778478</v>
      </c>
      <c r="AH2724" s="20" t="str">
        <f t="shared" si="199"/>
        <v>Yes</v>
      </c>
      <c r="AI2724" s="25"/>
      <c r="AJ2724" s="25"/>
      <c r="AK2724" s="25"/>
      <c r="AL2724" s="25"/>
      <c r="AM2724" s="25"/>
      <c r="AN2724" s="25"/>
      <c r="AO2724" s="25"/>
      <c r="AP2724" s="25"/>
      <c r="AQ2724" s="25"/>
      <c r="AR2724" s="25"/>
      <c r="AS2724" s="25"/>
      <c r="AT2724" s="25"/>
      <c r="AU2724" s="36"/>
      <c r="AV2724" s="36"/>
      <c r="AW2724" s="36"/>
      <c r="AX2724" s="25"/>
      <c r="AY2724" s="25"/>
      <c r="AZ2724" s="25"/>
      <c r="BA2724" s="25"/>
      <c r="BB2724" s="25"/>
      <c r="BC2724" s="25"/>
      <c r="BD2724" s="25"/>
      <c r="BE2724" s="25"/>
      <c r="BF2724" s="25"/>
      <c r="BG2724" s="25"/>
      <c r="BH2724" s="25"/>
      <c r="BI2724" s="25"/>
      <c r="BJ2724" s="25"/>
      <c r="BK2724" s="25"/>
      <c r="BL2724" s="25"/>
      <c r="BM2724" s="25"/>
      <c r="BN2724" s="25"/>
      <c r="BO2724" s="25"/>
      <c r="BP2724" s="25"/>
      <c r="BQ2724" s="25"/>
      <c r="BR2724" s="25"/>
      <c r="BS2724" s="25"/>
      <c r="BT2724" s="25"/>
      <c r="BU2724"/>
      <c r="BV2724"/>
      <c r="BW2724"/>
      <c r="BX2724"/>
      <c r="BY2724"/>
      <c r="BZ2724"/>
      <c r="CA2724"/>
      <c r="CB2724"/>
      <c r="CC2724"/>
      <c r="CD2724" s="25"/>
    </row>
    <row r="2725" spans="1:82" s="17" customFormat="1" x14ac:dyDescent="0.2">
      <c r="A2725" s="25"/>
      <c r="B2725" s="20">
        <v>39003013200</v>
      </c>
      <c r="C2725" s="20">
        <v>132</v>
      </c>
      <c r="D2725" s="20" t="s">
        <v>7</v>
      </c>
      <c r="E2725" s="20" t="s">
        <v>2835</v>
      </c>
      <c r="F2725" s="20" t="s">
        <v>8</v>
      </c>
      <c r="G2725" s="861">
        <v>32.462901325831503</v>
      </c>
      <c r="H2725" s="861">
        <v>47.496440775856399</v>
      </c>
      <c r="I2725" s="861">
        <v>35.220150136425701</v>
      </c>
      <c r="J2725" s="861">
        <v>39.441285503679303</v>
      </c>
      <c r="K2725" s="982">
        <v>0</v>
      </c>
      <c r="L2725" s="735">
        <v>1799</v>
      </c>
      <c r="M2725" s="735">
        <v>1914</v>
      </c>
      <c r="N2725" s="845">
        <f t="shared" si="197"/>
        <v>6.3924402445803219E-2</v>
      </c>
      <c r="O2725" s="735">
        <v>0.40362193014082992</v>
      </c>
      <c r="P2725" s="735">
        <f t="shared" si="198"/>
        <v>4742.0614616559014</v>
      </c>
      <c r="Q2725" s="849">
        <v>31.7</v>
      </c>
      <c r="R2725" s="71">
        <v>70568</v>
      </c>
      <c r="S2725" s="845">
        <v>0.1221814368117462</v>
      </c>
      <c r="T2725" s="845">
        <v>2.4E-2</v>
      </c>
      <c r="U2725" s="845">
        <v>0</v>
      </c>
      <c r="V2725" s="845">
        <v>0</v>
      </c>
      <c r="W2725" s="845">
        <v>0.44131455399061031</v>
      </c>
      <c r="X2725" s="845">
        <v>0.2978723404255319</v>
      </c>
      <c r="Y2725" s="845">
        <v>0.63897596656217348</v>
      </c>
      <c r="Z2725" s="845">
        <v>0.2142110762800418</v>
      </c>
      <c r="AA2725" s="845">
        <v>0</v>
      </c>
      <c r="AB2725" s="845">
        <v>0</v>
      </c>
      <c r="AC2725" s="845">
        <v>0</v>
      </c>
      <c r="AD2725" s="845">
        <v>4.9634273772204807E-2</v>
      </c>
      <c r="AE2725" s="845">
        <v>9.7178683385579931E-2</v>
      </c>
      <c r="AF2725" s="845">
        <v>6.8443051201671892E-2</v>
      </c>
      <c r="AG2725" s="845">
        <v>0.62121212121212122</v>
      </c>
      <c r="AH2725" s="20" t="str">
        <f t="shared" si="199"/>
        <v>No</v>
      </c>
      <c r="AI2725" s="25"/>
      <c r="AJ2725" s="25"/>
      <c r="AK2725" s="25"/>
      <c r="AL2725" s="25"/>
      <c r="AM2725" s="25"/>
      <c r="AN2725" s="25"/>
      <c r="AO2725" s="25"/>
      <c r="AP2725" s="25"/>
      <c r="AQ2725" s="25"/>
      <c r="AR2725" s="25"/>
      <c r="AS2725" s="25"/>
      <c r="AT2725" s="25"/>
      <c r="AU2725" s="36"/>
      <c r="AV2725" s="36"/>
      <c r="AW2725" s="36"/>
      <c r="AX2725" s="25"/>
      <c r="AY2725" s="25"/>
      <c r="AZ2725" s="25"/>
      <c r="BA2725" s="25"/>
      <c r="BB2725" s="25"/>
      <c r="BC2725" s="25"/>
      <c r="BD2725" s="25"/>
      <c r="BE2725" s="25"/>
      <c r="BF2725" s="25"/>
      <c r="BG2725" s="25"/>
      <c r="BH2725" s="25"/>
      <c r="BI2725" s="25"/>
      <c r="BJ2725" s="25"/>
      <c r="BK2725" s="25"/>
      <c r="BL2725" s="25"/>
      <c r="BM2725" s="25"/>
      <c r="BN2725" s="25"/>
      <c r="BO2725" s="25"/>
      <c r="BP2725" s="25"/>
      <c r="BQ2725" s="25"/>
      <c r="BR2725" s="25"/>
      <c r="BS2725" s="25"/>
      <c r="BT2725" s="25"/>
      <c r="BU2725"/>
      <c r="BV2725"/>
      <c r="BW2725"/>
      <c r="BX2725"/>
      <c r="BY2725"/>
      <c r="BZ2725"/>
      <c r="CA2725"/>
      <c r="CB2725"/>
      <c r="CC2725"/>
      <c r="CD2725" s="25"/>
    </row>
    <row r="2726" spans="1:82" s="17" customFormat="1" x14ac:dyDescent="0.2">
      <c r="A2726" s="25"/>
      <c r="B2726" s="20">
        <v>39023002901</v>
      </c>
      <c r="C2726" s="20">
        <v>29.01</v>
      </c>
      <c r="D2726" s="20" t="s">
        <v>18</v>
      </c>
      <c r="E2726" s="20" t="s">
        <v>2838</v>
      </c>
      <c r="F2726" s="20" t="s">
        <v>8</v>
      </c>
      <c r="G2726" s="861">
        <v>32.457058534420497</v>
      </c>
      <c r="H2726" s="861">
        <v>40.668904731205998</v>
      </c>
      <c r="I2726" s="861">
        <v>35.493477909336299</v>
      </c>
      <c r="J2726" s="861">
        <v>38.4400560409345</v>
      </c>
      <c r="K2726" s="982">
        <v>0</v>
      </c>
      <c r="L2726" s="735">
        <v>3830</v>
      </c>
      <c r="M2726" s="735">
        <v>3557</v>
      </c>
      <c r="N2726" s="845">
        <f t="shared" si="197"/>
        <v>-7.1279373368146215E-2</v>
      </c>
      <c r="O2726" s="735">
        <v>2.6534152699256985</v>
      </c>
      <c r="P2726" s="735">
        <f t="shared" si="198"/>
        <v>1340.5364928421491</v>
      </c>
      <c r="Q2726" s="849">
        <v>40.9</v>
      </c>
      <c r="R2726" s="71">
        <v>59531</v>
      </c>
      <c r="S2726" s="845">
        <v>0.18301939836941242</v>
      </c>
      <c r="T2726" s="845">
        <v>3.7999999999999999E-2</v>
      </c>
      <c r="U2726" s="845">
        <v>2.7999999999999997E-2</v>
      </c>
      <c r="V2726" s="845">
        <v>0</v>
      </c>
      <c r="W2726" s="845">
        <v>0.20609579100145137</v>
      </c>
      <c r="X2726" s="845">
        <v>0.46126760563380281</v>
      </c>
      <c r="Y2726" s="845">
        <v>0.96626370536969353</v>
      </c>
      <c r="Z2726" s="845">
        <v>0</v>
      </c>
      <c r="AA2726" s="845">
        <v>0</v>
      </c>
      <c r="AB2726" s="845">
        <v>0</v>
      </c>
      <c r="AC2726" s="845">
        <v>0</v>
      </c>
      <c r="AD2726" s="845">
        <v>3.9359010402024181E-3</v>
      </c>
      <c r="AE2726" s="845">
        <v>2.9800393590104019E-2</v>
      </c>
      <c r="AF2726" s="845">
        <v>3.9359010402024181E-3</v>
      </c>
      <c r="AG2726" s="845">
        <v>0.96626370536969353</v>
      </c>
      <c r="AH2726" s="20" t="str">
        <f t="shared" si="199"/>
        <v>Yes</v>
      </c>
      <c r="AI2726" s="25"/>
      <c r="AJ2726" s="25"/>
      <c r="AK2726" s="25"/>
      <c r="AL2726" s="25"/>
      <c r="AM2726" s="25"/>
      <c r="AN2726" s="25"/>
      <c r="AO2726" s="25"/>
      <c r="AP2726" s="25"/>
      <c r="AQ2726" s="25"/>
      <c r="AR2726" s="25"/>
      <c r="AS2726" s="25"/>
      <c r="AT2726" s="25"/>
      <c r="AU2726" s="36"/>
      <c r="AV2726" s="36"/>
      <c r="AW2726" s="36"/>
      <c r="AX2726" s="25"/>
      <c r="AY2726" s="25"/>
      <c r="AZ2726" s="25"/>
      <c r="BA2726" s="25"/>
      <c r="BB2726" s="25"/>
      <c r="BC2726" s="25"/>
      <c r="BD2726" s="25"/>
      <c r="BE2726" s="25"/>
      <c r="BF2726" s="25"/>
      <c r="BG2726" s="25"/>
      <c r="BH2726" s="25"/>
      <c r="BI2726" s="25"/>
      <c r="BJ2726" s="25"/>
      <c r="BK2726" s="25"/>
      <c r="BL2726" s="25"/>
      <c r="BM2726" s="25"/>
      <c r="BN2726" s="25"/>
      <c r="BO2726" s="25"/>
      <c r="BP2726" s="25"/>
      <c r="BQ2726" s="25"/>
      <c r="BR2726" s="25"/>
      <c r="BS2726" s="25"/>
      <c r="BT2726" s="25"/>
      <c r="BU2726"/>
      <c r="BV2726"/>
      <c r="BW2726"/>
      <c r="BX2726"/>
      <c r="BY2726"/>
      <c r="BZ2726"/>
      <c r="CA2726"/>
      <c r="CB2726"/>
      <c r="CC2726"/>
      <c r="CD2726" s="25"/>
    </row>
    <row r="2727" spans="1:82" s="17" customFormat="1" x14ac:dyDescent="0.2">
      <c r="A2727" s="25"/>
      <c r="B2727" s="20">
        <v>39035122100</v>
      </c>
      <c r="C2727" s="20">
        <v>1221</v>
      </c>
      <c r="D2727" s="20" t="s">
        <v>24</v>
      </c>
      <c r="E2727" s="20" t="s">
        <v>2829</v>
      </c>
      <c r="F2727" s="20" t="s">
        <v>8</v>
      </c>
      <c r="G2727" s="861">
        <v>32.398495946718299</v>
      </c>
      <c r="H2727" s="861">
        <v>49.521495601101698</v>
      </c>
      <c r="I2727" s="861">
        <v>33.049919775779102</v>
      </c>
      <c r="J2727" s="861">
        <v>26.962745889206499</v>
      </c>
      <c r="K2727" s="982">
        <v>0</v>
      </c>
      <c r="L2727" s="735">
        <v>3310</v>
      </c>
      <c r="M2727" s="735">
        <v>3051</v>
      </c>
      <c r="N2727" s="845">
        <f t="shared" si="197"/>
        <v>-7.8247734138972805E-2</v>
      </c>
      <c r="O2727" s="735">
        <v>0.62357313292839789</v>
      </c>
      <c r="P2727" s="735">
        <f t="shared" si="198"/>
        <v>4892.7701321447612</v>
      </c>
      <c r="Q2727" s="849">
        <v>53.3</v>
      </c>
      <c r="R2727" s="71">
        <v>44417</v>
      </c>
      <c r="S2727" s="845">
        <v>0.27925170068027211</v>
      </c>
      <c r="T2727" s="845">
        <v>0.16600000000000001</v>
      </c>
      <c r="U2727" s="845">
        <v>1.3000000000000001E-2</v>
      </c>
      <c r="V2727" s="845">
        <v>0</v>
      </c>
      <c r="W2727" s="845">
        <v>0.24722427831236121</v>
      </c>
      <c r="X2727" s="845">
        <v>0.20658682634730538</v>
      </c>
      <c r="Y2727" s="845">
        <v>4.4575549000327765E-2</v>
      </c>
      <c r="Z2727" s="845">
        <v>0.9200262209111767</v>
      </c>
      <c r="AA2727" s="845">
        <v>0</v>
      </c>
      <c r="AB2727" s="845">
        <v>4.2608980662078005E-3</v>
      </c>
      <c r="AC2727" s="845">
        <v>0</v>
      </c>
      <c r="AD2727" s="845">
        <v>5.2441822353326778E-3</v>
      </c>
      <c r="AE2727" s="845">
        <v>2.5893149786955096E-2</v>
      </c>
      <c r="AF2727" s="845">
        <v>2.9826286463454605E-2</v>
      </c>
      <c r="AG2727" s="845">
        <v>1.4749262536873156E-2</v>
      </c>
      <c r="AH2727" s="20" t="str">
        <f t="shared" si="199"/>
        <v>No</v>
      </c>
      <c r="AI2727" s="25"/>
      <c r="AJ2727" s="25"/>
      <c r="AK2727" s="25"/>
      <c r="AL2727" s="25"/>
      <c r="AM2727" s="25"/>
      <c r="AN2727" s="25"/>
      <c r="AO2727" s="25"/>
      <c r="AP2727" s="25"/>
      <c r="AQ2727" s="25"/>
      <c r="AR2727" s="25"/>
      <c r="AS2727" s="25"/>
      <c r="AT2727" s="25"/>
      <c r="AU2727" s="36"/>
      <c r="AV2727" s="36"/>
      <c r="AW2727" s="36"/>
      <c r="AX2727" s="25"/>
      <c r="AY2727" s="25"/>
      <c r="AZ2727" s="25"/>
      <c r="BA2727" s="25"/>
      <c r="BB2727" s="25"/>
      <c r="BC2727" s="25"/>
      <c r="BD2727" s="25"/>
      <c r="BE2727" s="25"/>
      <c r="BF2727" s="25"/>
      <c r="BG2727" s="25"/>
      <c r="BH2727" s="25"/>
      <c r="BI2727" s="25"/>
      <c r="BJ2727" s="25"/>
      <c r="BK2727" s="25"/>
      <c r="BL2727" s="25"/>
      <c r="BM2727" s="25"/>
      <c r="BN2727" s="25"/>
      <c r="BO2727" s="25"/>
      <c r="BP2727" s="25"/>
      <c r="BQ2727" s="25"/>
      <c r="BR2727" s="25"/>
      <c r="BS2727" s="25"/>
      <c r="BT2727" s="25"/>
      <c r="BU2727"/>
      <c r="BV2727"/>
      <c r="BW2727"/>
      <c r="BX2727"/>
      <c r="BY2727"/>
      <c r="BZ2727"/>
      <c r="CA2727"/>
      <c r="CB2727"/>
      <c r="CC2727"/>
      <c r="CD2727" s="25"/>
    </row>
    <row r="2728" spans="1:82" s="17" customFormat="1" x14ac:dyDescent="0.2">
      <c r="A2728" s="25"/>
      <c r="B2728" s="20">
        <v>39035121800</v>
      </c>
      <c r="C2728" s="20">
        <v>1218</v>
      </c>
      <c r="D2728" s="20" t="s">
        <v>24</v>
      </c>
      <c r="E2728" s="20" t="s">
        <v>2829</v>
      </c>
      <c r="F2728" s="20" t="s">
        <v>6</v>
      </c>
      <c r="G2728" s="861">
        <v>32.394980429620901</v>
      </c>
      <c r="H2728" s="861">
        <v>33.208089430589197</v>
      </c>
      <c r="I2728" s="861">
        <v>38.608312544346902</v>
      </c>
      <c r="J2728" s="861">
        <v>37.163984585175101</v>
      </c>
      <c r="K2728" s="982">
        <v>0</v>
      </c>
      <c r="L2728" s="735">
        <v>1889</v>
      </c>
      <c r="M2728" s="735">
        <v>1473</v>
      </c>
      <c r="N2728" s="845">
        <f t="shared" si="197"/>
        <v>-0.22022233986236103</v>
      </c>
      <c r="O2728" s="735">
        <v>0.25683476979359571</v>
      </c>
      <c r="P2728" s="735">
        <f t="shared" si="198"/>
        <v>5735.2047823733947</v>
      </c>
      <c r="Q2728" s="849">
        <v>59.2</v>
      </c>
      <c r="R2728" s="71">
        <v>44535</v>
      </c>
      <c r="S2728" s="845">
        <v>0.27427019687712151</v>
      </c>
      <c r="T2728" s="845">
        <v>0.121</v>
      </c>
      <c r="U2728" s="845">
        <v>0</v>
      </c>
      <c r="V2728" s="845">
        <v>8.3000000000000004E-2</v>
      </c>
      <c r="W2728" s="845">
        <v>0.35141509433962265</v>
      </c>
      <c r="X2728" s="845">
        <v>0.27181208053691275</v>
      </c>
      <c r="Y2728" s="845">
        <v>0</v>
      </c>
      <c r="Z2728" s="845">
        <v>0.95519348268839099</v>
      </c>
      <c r="AA2728" s="845">
        <v>0</v>
      </c>
      <c r="AB2728" s="845">
        <v>0</v>
      </c>
      <c r="AC2728" s="845">
        <v>0</v>
      </c>
      <c r="AD2728" s="845">
        <v>0</v>
      </c>
      <c r="AE2728" s="845">
        <v>4.4806517311608958E-2</v>
      </c>
      <c r="AF2728" s="845">
        <v>3.2586558044806514E-2</v>
      </c>
      <c r="AG2728" s="845">
        <v>0</v>
      </c>
      <c r="AH2728" s="20" t="str">
        <f t="shared" si="199"/>
        <v>No</v>
      </c>
      <c r="AI2728" s="25"/>
      <c r="AJ2728" s="25"/>
      <c r="AK2728" s="25"/>
      <c r="AL2728" s="25"/>
      <c r="AM2728" s="25"/>
      <c r="AN2728" s="25"/>
      <c r="AO2728" s="25"/>
      <c r="AP2728" s="25"/>
      <c r="AQ2728" s="25"/>
      <c r="AR2728" s="25"/>
      <c r="AS2728" s="25"/>
      <c r="AT2728" s="25"/>
      <c r="AU2728" s="36"/>
      <c r="AV2728" s="36"/>
      <c r="AW2728" s="36"/>
      <c r="AX2728" s="25"/>
      <c r="AY2728" s="25"/>
      <c r="AZ2728" s="25"/>
      <c r="BA2728" s="25"/>
      <c r="BB2728" s="25"/>
      <c r="BC2728" s="25"/>
      <c r="BD2728" s="25"/>
      <c r="BE2728" s="25"/>
      <c r="BF2728" s="25"/>
      <c r="BG2728" s="25"/>
      <c r="BH2728" s="25"/>
      <c r="BI2728" s="25"/>
      <c r="BJ2728" s="25"/>
      <c r="BK2728" s="25"/>
      <c r="BL2728" s="25"/>
      <c r="BM2728" s="25"/>
      <c r="BN2728" s="25"/>
      <c r="BO2728" s="25"/>
      <c r="BP2728" s="25"/>
      <c r="BQ2728" s="25"/>
      <c r="BR2728" s="25"/>
      <c r="BS2728" s="25"/>
      <c r="BT2728" s="25"/>
      <c r="BU2728"/>
      <c r="BV2728"/>
      <c r="BW2728"/>
      <c r="BX2728"/>
      <c r="BY2728"/>
      <c r="BZ2728"/>
      <c r="CA2728"/>
      <c r="CB2728"/>
      <c r="CC2728"/>
      <c r="CD2728" s="25"/>
    </row>
    <row r="2729" spans="1:82" s="17" customFormat="1" x14ac:dyDescent="0.2">
      <c r="A2729" s="25"/>
      <c r="B2729" s="20">
        <v>39103410000</v>
      </c>
      <c r="C2729" s="20">
        <v>4100</v>
      </c>
      <c r="D2729" s="20" t="s">
        <v>57</v>
      </c>
      <c r="E2729" s="20" t="s">
        <v>2829</v>
      </c>
      <c r="F2729" s="20" t="s">
        <v>8</v>
      </c>
      <c r="G2729" s="861">
        <v>32.289667147637601</v>
      </c>
      <c r="H2729" s="861">
        <v>47.2716890616611</v>
      </c>
      <c r="I2729" s="861">
        <v>29.331049833352001</v>
      </c>
      <c r="J2729" s="861">
        <v>51.201736764010597</v>
      </c>
      <c r="K2729" s="982">
        <v>0</v>
      </c>
      <c r="L2729" s="735">
        <v>4272</v>
      </c>
      <c r="M2729" s="735">
        <v>3844</v>
      </c>
      <c r="N2729" s="845">
        <f t="shared" si="197"/>
        <v>-0.10018726591760299</v>
      </c>
      <c r="O2729" s="735">
        <v>49.5291223557007</v>
      </c>
      <c r="P2729" s="735">
        <f t="shared" si="198"/>
        <v>77.610904800487816</v>
      </c>
      <c r="Q2729" s="849">
        <v>42.8</v>
      </c>
      <c r="R2729" s="71">
        <v>81833</v>
      </c>
      <c r="S2729" s="845">
        <v>7.6762402088772844E-2</v>
      </c>
      <c r="T2729" s="845">
        <v>0.01</v>
      </c>
      <c r="U2729" s="845">
        <v>2E-3</v>
      </c>
      <c r="V2729" s="845">
        <v>0</v>
      </c>
      <c r="W2729" s="845">
        <v>0.16178521617852162</v>
      </c>
      <c r="X2729" s="845">
        <v>0.35344827586206895</v>
      </c>
      <c r="Y2729" s="845">
        <v>0.9196149843912591</v>
      </c>
      <c r="Z2729" s="845">
        <v>3.1997918834547348E-2</v>
      </c>
      <c r="AA2729" s="845">
        <v>0</v>
      </c>
      <c r="AB2729" s="845">
        <v>0</v>
      </c>
      <c r="AC2729" s="845">
        <v>0</v>
      </c>
      <c r="AD2729" s="845">
        <v>0</v>
      </c>
      <c r="AE2729" s="845">
        <v>4.8387096774193547E-2</v>
      </c>
      <c r="AF2729" s="845">
        <v>9.3652445369406864E-3</v>
      </c>
      <c r="AG2729" s="845">
        <v>0.91753381893860564</v>
      </c>
      <c r="AH2729" s="20" t="str">
        <f t="shared" si="199"/>
        <v>Yes</v>
      </c>
      <c r="AI2729" s="25"/>
      <c r="AJ2729" s="25"/>
      <c r="AK2729" s="25"/>
      <c r="AL2729" s="25"/>
      <c r="AM2729" s="25"/>
      <c r="AN2729" s="25"/>
      <c r="AO2729" s="25"/>
      <c r="AP2729" s="25"/>
      <c r="AQ2729" s="25"/>
      <c r="AR2729" s="25"/>
      <c r="AS2729" s="25"/>
      <c r="AT2729" s="25"/>
      <c r="AU2729" s="36"/>
      <c r="AV2729" s="36"/>
      <c r="AW2729" s="36"/>
      <c r="AX2729" s="25"/>
      <c r="AY2729" s="25"/>
      <c r="AZ2729" s="25"/>
      <c r="BA2729" s="25"/>
      <c r="BB2729" s="25"/>
      <c r="BC2729" s="25"/>
      <c r="BD2729" s="25"/>
      <c r="BE2729" s="25"/>
      <c r="BF2729" s="25"/>
      <c r="BG2729" s="25"/>
      <c r="BH2729" s="25"/>
      <c r="BI2729" s="25"/>
      <c r="BJ2729" s="25"/>
      <c r="BK2729" s="25"/>
      <c r="BL2729" s="25"/>
      <c r="BM2729" s="25"/>
      <c r="BN2729" s="25"/>
      <c r="BO2729" s="25"/>
      <c r="BP2729" s="25"/>
      <c r="BQ2729" s="25"/>
      <c r="BR2729" s="25"/>
      <c r="BS2729" s="25"/>
      <c r="BT2729" s="25"/>
      <c r="BU2729"/>
      <c r="BV2729"/>
      <c r="BW2729"/>
      <c r="BX2729"/>
      <c r="BY2729"/>
      <c r="BZ2729"/>
      <c r="CA2729"/>
      <c r="CB2729"/>
      <c r="CC2729"/>
      <c r="CD2729" s="25"/>
    </row>
    <row r="2730" spans="1:82" s="17" customFormat="1" x14ac:dyDescent="0.2">
      <c r="A2730" s="25"/>
      <c r="B2730" s="20">
        <v>39035151500</v>
      </c>
      <c r="C2730" s="20">
        <v>1515</v>
      </c>
      <c r="D2730" s="20" t="s">
        <v>24</v>
      </c>
      <c r="E2730" s="20" t="s">
        <v>2829</v>
      </c>
      <c r="F2730" s="20" t="s">
        <v>6</v>
      </c>
      <c r="G2730" s="861">
        <v>32.237126415287698</v>
      </c>
      <c r="H2730" s="861">
        <v>53.958777628757602</v>
      </c>
      <c r="I2730" s="861">
        <v>95.137341412271596</v>
      </c>
      <c r="J2730" s="861">
        <v>33.124236387388301</v>
      </c>
      <c r="K2730" s="982">
        <v>0</v>
      </c>
      <c r="L2730" s="735">
        <v>1376</v>
      </c>
      <c r="M2730" s="735">
        <v>1042</v>
      </c>
      <c r="N2730" s="845">
        <f t="shared" si="197"/>
        <v>-0.24273255813953487</v>
      </c>
      <c r="O2730" s="735">
        <v>0.25636256685363701</v>
      </c>
      <c r="P2730" s="735">
        <f t="shared" si="198"/>
        <v>4064.5559637998967</v>
      </c>
      <c r="Q2730" s="849">
        <v>40.200000000000003</v>
      </c>
      <c r="R2730" s="71">
        <v>31899</v>
      </c>
      <c r="S2730" s="845">
        <v>0.5043478260869565</v>
      </c>
      <c r="T2730" s="845">
        <v>8.5999999999999993E-2</v>
      </c>
      <c r="U2730" s="845">
        <v>0</v>
      </c>
      <c r="V2730" s="845">
        <v>0.11900000000000001</v>
      </c>
      <c r="W2730" s="845">
        <v>0.80672268907563027</v>
      </c>
      <c r="X2730" s="845">
        <v>0.53472222222222221</v>
      </c>
      <c r="Y2730" s="845">
        <v>8.3493282149712092E-2</v>
      </c>
      <c r="Z2730" s="845">
        <v>0.83589251439539347</v>
      </c>
      <c r="AA2730" s="845">
        <v>1.5355086372360844E-2</v>
      </c>
      <c r="AB2730" s="845">
        <v>3.4548944337811902E-2</v>
      </c>
      <c r="AC2730" s="845">
        <v>4.7984644913627635E-3</v>
      </c>
      <c r="AD2730" s="845">
        <v>2.5911708253358926E-2</v>
      </c>
      <c r="AE2730" s="845">
        <v>0</v>
      </c>
      <c r="AF2730" s="845">
        <v>5.7581573896353169E-3</v>
      </c>
      <c r="AG2730" s="845">
        <v>8.3493282149712092E-2</v>
      </c>
      <c r="AH2730" s="20" t="str">
        <f t="shared" si="199"/>
        <v>No</v>
      </c>
      <c r="AI2730" s="25"/>
      <c r="AJ2730" s="25"/>
      <c r="AK2730" s="25"/>
      <c r="AL2730" s="25"/>
      <c r="AM2730" s="25"/>
      <c r="AN2730" s="25"/>
      <c r="AO2730" s="25"/>
      <c r="AP2730" s="25"/>
      <c r="AQ2730" s="25"/>
      <c r="AR2730" s="25"/>
      <c r="AS2730" s="25"/>
      <c r="AT2730" s="25"/>
      <c r="AU2730" s="36"/>
      <c r="AV2730" s="36"/>
      <c r="AW2730" s="36"/>
      <c r="AX2730" s="25"/>
      <c r="AY2730" s="25"/>
      <c r="AZ2730" s="25"/>
      <c r="BA2730" s="25"/>
      <c r="BB2730" s="25"/>
      <c r="BC2730" s="25"/>
      <c r="BD2730" s="25"/>
      <c r="BE2730" s="25"/>
      <c r="BF2730" s="25"/>
      <c r="BG2730" s="25"/>
      <c r="BH2730" s="25"/>
      <c r="BI2730" s="25"/>
      <c r="BJ2730" s="25"/>
      <c r="BK2730" s="25"/>
      <c r="BL2730" s="25"/>
      <c r="BM2730" s="25"/>
      <c r="BN2730" s="25"/>
      <c r="BO2730" s="25"/>
      <c r="BP2730" s="25"/>
      <c r="BQ2730" s="25"/>
      <c r="BR2730" s="25"/>
      <c r="BS2730" s="25"/>
      <c r="BT2730" s="25"/>
      <c r="BU2730"/>
      <c r="BV2730"/>
      <c r="BW2730"/>
      <c r="BX2730"/>
      <c r="BY2730"/>
      <c r="BZ2730"/>
      <c r="CA2730"/>
      <c r="CB2730"/>
      <c r="CC2730"/>
      <c r="CD2730" s="25"/>
    </row>
    <row r="2731" spans="1:82" s="17" customFormat="1" x14ac:dyDescent="0.2">
      <c r="A2731" s="25"/>
      <c r="B2731" s="20">
        <v>39035119702</v>
      </c>
      <c r="C2731" s="20">
        <v>1197.02</v>
      </c>
      <c r="D2731" s="20" t="s">
        <v>24</v>
      </c>
      <c r="E2731" s="20" t="s">
        <v>2829</v>
      </c>
      <c r="F2731" s="20" t="s">
        <v>6</v>
      </c>
      <c r="G2731" s="861">
        <v>32.235804173756001</v>
      </c>
      <c r="H2731" s="861">
        <v>40.300469251712698</v>
      </c>
      <c r="I2731" s="861">
        <v>100</v>
      </c>
      <c r="J2731" s="861">
        <v>32.591590658937797</v>
      </c>
      <c r="K2731" s="982">
        <v>0</v>
      </c>
      <c r="L2731" s="735">
        <v>2025</v>
      </c>
      <c r="M2731" s="735">
        <v>1544</v>
      </c>
      <c r="N2731" s="845">
        <f t="shared" si="197"/>
        <v>-0.23753086419753086</v>
      </c>
      <c r="O2731" s="735">
        <v>0.20448433641650965</v>
      </c>
      <c r="P2731" s="735">
        <f t="shared" si="198"/>
        <v>7550.7005918294899</v>
      </c>
      <c r="Q2731" s="849">
        <v>49.8</v>
      </c>
      <c r="R2731" s="71">
        <v>19474</v>
      </c>
      <c r="S2731" s="845">
        <v>0.36852331606217614</v>
      </c>
      <c r="T2731" s="845">
        <v>0.16200000000000001</v>
      </c>
      <c r="U2731" s="845">
        <v>6.4000000000000001E-2</v>
      </c>
      <c r="V2731" s="845">
        <v>0.10400000000000001</v>
      </c>
      <c r="W2731" s="845">
        <v>0.71558441558441555</v>
      </c>
      <c r="X2731" s="845">
        <v>0.72413793103448276</v>
      </c>
      <c r="Y2731" s="845">
        <v>9.0673575129533671E-3</v>
      </c>
      <c r="Z2731" s="845">
        <v>0.98769430051813467</v>
      </c>
      <c r="AA2731" s="845">
        <v>3.2383419689119169E-3</v>
      </c>
      <c r="AB2731" s="845">
        <v>0</v>
      </c>
      <c r="AC2731" s="845">
        <v>0</v>
      </c>
      <c r="AD2731" s="845">
        <v>0</v>
      </c>
      <c r="AE2731" s="845">
        <v>0</v>
      </c>
      <c r="AF2731" s="845">
        <v>0</v>
      </c>
      <c r="AG2731" s="845">
        <v>9.0673575129533671E-3</v>
      </c>
      <c r="AH2731" s="20" t="str">
        <f t="shared" si="199"/>
        <v>No</v>
      </c>
      <c r="AI2731" s="25"/>
      <c r="AJ2731" s="25"/>
      <c r="AK2731" s="25"/>
      <c r="AL2731" s="25"/>
      <c r="AM2731" s="25"/>
      <c r="AN2731" s="25"/>
      <c r="AO2731" s="25"/>
      <c r="AP2731" s="25"/>
      <c r="AQ2731" s="25"/>
      <c r="AR2731" s="25"/>
      <c r="AS2731" s="25"/>
      <c r="AT2731" s="25"/>
      <c r="AU2731" s="36"/>
      <c r="AV2731" s="36"/>
      <c r="AW2731" s="36"/>
      <c r="AX2731" s="25"/>
      <c r="AY2731" s="25"/>
      <c r="AZ2731" s="25"/>
      <c r="BA2731" s="25"/>
      <c r="BB2731" s="25"/>
      <c r="BC2731" s="25"/>
      <c r="BD2731" s="25"/>
      <c r="BE2731" s="25"/>
      <c r="BF2731" s="25"/>
      <c r="BG2731" s="25"/>
      <c r="BH2731" s="25"/>
      <c r="BI2731" s="25"/>
      <c r="BJ2731" s="25"/>
      <c r="BK2731" s="25"/>
      <c r="BL2731" s="25"/>
      <c r="BM2731" s="25"/>
      <c r="BN2731" s="25"/>
      <c r="BO2731" s="25"/>
      <c r="BP2731" s="25"/>
      <c r="BQ2731" s="25"/>
      <c r="BR2731" s="25"/>
      <c r="BS2731" s="25"/>
      <c r="BT2731" s="25"/>
      <c r="BU2731"/>
      <c r="BV2731"/>
      <c r="BW2731"/>
      <c r="BX2731"/>
      <c r="BY2731"/>
      <c r="BZ2731"/>
      <c r="CA2731"/>
      <c r="CB2731"/>
      <c r="CC2731"/>
      <c r="CD2731" s="25"/>
    </row>
    <row r="2732" spans="1:82" s="17" customFormat="1" x14ac:dyDescent="0.2">
      <c r="A2732" s="25"/>
      <c r="B2732" s="20">
        <v>39035121500</v>
      </c>
      <c r="C2732" s="20">
        <v>1215</v>
      </c>
      <c r="D2732" s="20" t="s">
        <v>24</v>
      </c>
      <c r="E2732" s="20" t="s">
        <v>2829</v>
      </c>
      <c r="F2732" s="20" t="s">
        <v>6</v>
      </c>
      <c r="G2732" s="861">
        <v>32.118169901549898</v>
      </c>
      <c r="H2732" s="861">
        <v>42.061703043309201</v>
      </c>
      <c r="I2732" s="861">
        <v>52.743255969478099</v>
      </c>
      <c r="J2732" s="861">
        <v>42.286698363775201</v>
      </c>
      <c r="K2732" s="982">
        <v>0</v>
      </c>
      <c r="L2732" s="735">
        <v>3298</v>
      </c>
      <c r="M2732" s="735">
        <v>2341</v>
      </c>
      <c r="N2732" s="845">
        <f t="shared" si="197"/>
        <v>-0.29017586416009705</v>
      </c>
      <c r="O2732" s="735">
        <v>0.33950966670653948</v>
      </c>
      <c r="P2732" s="735">
        <f t="shared" si="198"/>
        <v>6895.2381318305152</v>
      </c>
      <c r="Q2732" s="849">
        <v>36.799999999999997</v>
      </c>
      <c r="R2732" s="71">
        <v>39167</v>
      </c>
      <c r="S2732" s="845">
        <v>0.22812363952982151</v>
      </c>
      <c r="T2732" s="845">
        <v>0.05</v>
      </c>
      <c r="U2732" s="845">
        <v>0</v>
      </c>
      <c r="V2732" s="845">
        <v>0.10400000000000001</v>
      </c>
      <c r="W2732" s="845">
        <v>0.462890625</v>
      </c>
      <c r="X2732" s="845">
        <v>0.36497890295358648</v>
      </c>
      <c r="Y2732" s="845">
        <v>1.6232379325074753E-2</v>
      </c>
      <c r="Z2732" s="845">
        <v>0.93293464331482268</v>
      </c>
      <c r="AA2732" s="845">
        <v>0</v>
      </c>
      <c r="AB2732" s="845">
        <v>0</v>
      </c>
      <c r="AC2732" s="845">
        <v>0</v>
      </c>
      <c r="AD2732" s="845">
        <v>1.2387868432293891E-2</v>
      </c>
      <c r="AE2732" s="845">
        <v>3.8445108927808627E-2</v>
      </c>
      <c r="AF2732" s="845">
        <v>5.5531824006834684E-3</v>
      </c>
      <c r="AG2732" s="845">
        <v>1.6232379325074753E-2</v>
      </c>
      <c r="AH2732" s="20" t="str">
        <f t="shared" si="199"/>
        <v>No</v>
      </c>
      <c r="AI2732" s="25"/>
      <c r="AJ2732" s="25"/>
      <c r="AK2732" s="25"/>
      <c r="AL2732" s="25"/>
      <c r="AM2732" s="25"/>
      <c r="AN2732" s="25"/>
      <c r="AO2732" s="25"/>
      <c r="AP2732" s="25"/>
      <c r="AQ2732" s="25"/>
      <c r="AR2732" s="25"/>
      <c r="AS2732" s="25"/>
      <c r="AT2732" s="25"/>
      <c r="AU2732" s="36"/>
      <c r="AV2732" s="36"/>
      <c r="AW2732" s="36"/>
      <c r="AX2732" s="25"/>
      <c r="AY2732" s="25"/>
      <c r="AZ2732" s="25"/>
      <c r="BA2732" s="25"/>
      <c r="BB2732" s="25"/>
      <c r="BC2732" s="25"/>
      <c r="BD2732" s="25"/>
      <c r="BE2732" s="25"/>
      <c r="BF2732" s="25"/>
      <c r="BG2732" s="25"/>
      <c r="BH2732" s="25"/>
      <c r="BI2732" s="25"/>
      <c r="BJ2732" s="25"/>
      <c r="BK2732" s="25"/>
      <c r="BL2732" s="25"/>
      <c r="BM2732" s="25"/>
      <c r="BN2732" s="25"/>
      <c r="BO2732" s="25"/>
      <c r="BP2732" s="25"/>
      <c r="BQ2732" s="25"/>
      <c r="BR2732" s="25"/>
      <c r="BS2732" s="25"/>
      <c r="BT2732" s="25"/>
      <c r="BU2732"/>
      <c r="BV2732"/>
      <c r="BW2732"/>
      <c r="BX2732"/>
      <c r="BY2732"/>
      <c r="BZ2732"/>
      <c r="CA2732"/>
      <c r="CB2732"/>
      <c r="CC2732"/>
      <c r="CD2732" s="25"/>
    </row>
    <row r="2733" spans="1:82" s="17" customFormat="1" x14ac:dyDescent="0.2">
      <c r="A2733" s="25"/>
      <c r="B2733" s="20">
        <v>39095001700</v>
      </c>
      <c r="C2733" s="20">
        <v>17</v>
      </c>
      <c r="D2733" s="20" t="s">
        <v>53</v>
      </c>
      <c r="E2733" s="20" t="s">
        <v>2839</v>
      </c>
      <c r="F2733" s="20" t="s">
        <v>6</v>
      </c>
      <c r="G2733" s="861">
        <v>32.068145507840299</v>
      </c>
      <c r="H2733" s="861">
        <v>56.892916080505898</v>
      </c>
      <c r="I2733" s="861">
        <v>57.204236775359497</v>
      </c>
      <c r="J2733" s="861">
        <v>36.651052802043203</v>
      </c>
      <c r="K2733" s="982">
        <v>0</v>
      </c>
      <c r="L2733" s="735">
        <v>1483</v>
      </c>
      <c r="M2733" s="735">
        <v>1093</v>
      </c>
      <c r="N2733" s="845">
        <f t="shared" si="197"/>
        <v>-0.26298044504383006</v>
      </c>
      <c r="O2733" s="735">
        <v>0.28261326651418489</v>
      </c>
      <c r="P2733" s="735">
        <f t="shared" si="198"/>
        <v>3867.4759096814737</v>
      </c>
      <c r="Q2733" s="849">
        <v>31.4</v>
      </c>
      <c r="R2733" s="71">
        <v>39015</v>
      </c>
      <c r="S2733" s="845">
        <v>0.17383348581884722</v>
      </c>
      <c r="T2733" s="845">
        <v>4.4000000000000004E-2</v>
      </c>
      <c r="U2733" s="845">
        <v>0</v>
      </c>
      <c r="V2733" s="845">
        <v>5.7999999999999996E-2</v>
      </c>
      <c r="W2733" s="845">
        <v>0.58413461538461542</v>
      </c>
      <c r="X2733" s="845">
        <v>0.13580246913580246</v>
      </c>
      <c r="Y2733" s="845">
        <v>0.21591948764867339</v>
      </c>
      <c r="Z2733" s="845">
        <v>0.67703568161024708</v>
      </c>
      <c r="AA2733" s="845">
        <v>2.7447392497712718E-3</v>
      </c>
      <c r="AB2733" s="845">
        <v>0</v>
      </c>
      <c r="AC2733" s="845">
        <v>0</v>
      </c>
      <c r="AD2733" s="845">
        <v>0.10430009149130832</v>
      </c>
      <c r="AE2733" s="845">
        <v>0</v>
      </c>
      <c r="AF2733" s="845">
        <v>7.6852698993595606E-2</v>
      </c>
      <c r="AG2733" s="845">
        <v>0.21591948764867339</v>
      </c>
      <c r="AH2733" s="20" t="str">
        <f t="shared" si="199"/>
        <v>No</v>
      </c>
      <c r="AI2733" s="25"/>
      <c r="AJ2733" s="25"/>
      <c r="AK2733" s="25"/>
      <c r="AL2733" s="25"/>
      <c r="AM2733" s="25"/>
      <c r="AN2733" s="25"/>
      <c r="AO2733" s="25"/>
      <c r="AP2733" s="25"/>
      <c r="AQ2733" s="25"/>
      <c r="AR2733" s="25"/>
      <c r="AS2733" s="25"/>
      <c r="AT2733" s="25"/>
      <c r="AU2733" s="36"/>
      <c r="AV2733" s="36"/>
      <c r="AW2733" s="36"/>
      <c r="AX2733" s="25"/>
      <c r="AY2733" s="25"/>
      <c r="AZ2733" s="25"/>
      <c r="BA2733" s="25"/>
      <c r="BB2733" s="25"/>
      <c r="BC2733" s="25"/>
      <c r="BD2733" s="25"/>
      <c r="BE2733" s="25"/>
      <c r="BF2733" s="25"/>
      <c r="BG2733" s="25"/>
      <c r="BH2733" s="25"/>
      <c r="BI2733" s="25"/>
      <c r="BJ2733" s="25"/>
      <c r="BK2733" s="25"/>
      <c r="BL2733" s="25"/>
      <c r="BM2733" s="25"/>
      <c r="BN2733" s="25"/>
      <c r="BO2733" s="25"/>
      <c r="BP2733" s="25"/>
      <c r="BQ2733" s="25"/>
      <c r="BR2733" s="25"/>
      <c r="BS2733" s="25"/>
      <c r="BT2733" s="25"/>
      <c r="BU2733"/>
      <c r="BV2733"/>
      <c r="BW2733"/>
      <c r="BX2733"/>
      <c r="BY2733"/>
      <c r="BZ2733"/>
      <c r="CA2733"/>
      <c r="CB2733"/>
      <c r="CC2733"/>
      <c r="CD2733" s="25"/>
    </row>
    <row r="2734" spans="1:82" s="17" customFormat="1" x14ac:dyDescent="0.2">
      <c r="A2734" s="25"/>
      <c r="B2734" s="20">
        <v>39133600102</v>
      </c>
      <c r="C2734" s="20">
        <v>6001.02</v>
      </c>
      <c r="D2734" s="20" t="s">
        <v>72</v>
      </c>
      <c r="E2734" s="20" t="s">
        <v>2843</v>
      </c>
      <c r="F2734" s="20" t="s">
        <v>8</v>
      </c>
      <c r="G2734" s="861">
        <v>32.065594592263302</v>
      </c>
      <c r="H2734" s="861">
        <v>49.380139801017002</v>
      </c>
      <c r="I2734" s="861">
        <v>19.3002514210492</v>
      </c>
      <c r="J2734" s="861">
        <v>35.760379616968002</v>
      </c>
      <c r="K2734" s="982">
        <v>0</v>
      </c>
      <c r="L2734" s="735">
        <v>3677</v>
      </c>
      <c r="M2734" s="735">
        <v>3303</v>
      </c>
      <c r="N2734" s="845">
        <f t="shared" si="197"/>
        <v>-0.10171335327712809</v>
      </c>
      <c r="O2734" s="735">
        <v>23.957130444123933</v>
      </c>
      <c r="P2734" s="735">
        <f t="shared" si="198"/>
        <v>137.87127000471548</v>
      </c>
      <c r="Q2734" s="849">
        <v>42.1</v>
      </c>
      <c r="R2734" s="71">
        <v>93476</v>
      </c>
      <c r="S2734" s="845">
        <v>6.5052950075642962E-2</v>
      </c>
      <c r="T2734" s="845">
        <v>2.1000000000000001E-2</v>
      </c>
      <c r="U2734" s="845">
        <v>3.5000000000000003E-2</v>
      </c>
      <c r="V2734" s="845">
        <v>0</v>
      </c>
      <c r="W2734" s="845">
        <v>0.14568345323741008</v>
      </c>
      <c r="X2734" s="845">
        <v>0.26543209876543211</v>
      </c>
      <c r="Y2734" s="845">
        <v>0.87163184983348474</v>
      </c>
      <c r="Z2734" s="845">
        <v>7.9321828640629727E-2</v>
      </c>
      <c r="AA2734" s="845">
        <v>3.9358159249167426E-3</v>
      </c>
      <c r="AB2734" s="845">
        <v>4.8440811383590673E-3</v>
      </c>
      <c r="AC2734" s="845">
        <v>2.7247956403269754E-3</v>
      </c>
      <c r="AD2734" s="845">
        <v>9.0826521344232521E-3</v>
      </c>
      <c r="AE2734" s="845">
        <v>2.8458976687859523E-2</v>
      </c>
      <c r="AF2734" s="845">
        <v>9.9909173478655768E-3</v>
      </c>
      <c r="AG2734" s="845">
        <v>0.87132909476233722</v>
      </c>
      <c r="AH2734" s="20" t="str">
        <f t="shared" si="199"/>
        <v>No</v>
      </c>
      <c r="AI2734" s="25"/>
      <c r="AJ2734" s="25"/>
      <c r="AK2734" s="25"/>
      <c r="AL2734" s="25"/>
      <c r="AM2734" s="25"/>
      <c r="AN2734" s="25"/>
      <c r="AO2734" s="25"/>
      <c r="AP2734" s="25"/>
      <c r="AQ2734" s="25"/>
      <c r="AR2734" s="25"/>
      <c r="AS2734" s="25"/>
      <c r="AT2734" s="25"/>
      <c r="AU2734" s="36"/>
      <c r="AV2734" s="36"/>
      <c r="AW2734" s="36"/>
      <c r="AX2734" s="25"/>
      <c r="AY2734" s="25"/>
      <c r="AZ2734" s="25"/>
      <c r="BA2734" s="25"/>
      <c r="BB2734" s="25"/>
      <c r="BC2734" s="25"/>
      <c r="BD2734" s="25"/>
      <c r="BE2734" s="25"/>
      <c r="BF2734" s="25"/>
      <c r="BG2734" s="25"/>
      <c r="BH2734" s="25"/>
      <c r="BI2734" s="25"/>
      <c r="BJ2734" s="25"/>
      <c r="BK2734" s="25"/>
      <c r="BL2734" s="25"/>
      <c r="BM2734" s="25"/>
      <c r="BN2734" s="25"/>
      <c r="BO2734" s="25"/>
      <c r="BP2734" s="25"/>
      <c r="BQ2734" s="25"/>
      <c r="BR2734" s="25"/>
      <c r="BS2734" s="25"/>
      <c r="BT2734" s="25"/>
      <c r="BU2734"/>
      <c r="BV2734"/>
      <c r="BW2734"/>
      <c r="BX2734"/>
      <c r="BY2734"/>
      <c r="BZ2734"/>
      <c r="CA2734"/>
      <c r="CB2734"/>
      <c r="CC2734"/>
      <c r="CD2734" s="25"/>
    </row>
    <row r="2735" spans="1:82" s="17" customFormat="1" x14ac:dyDescent="0.2">
      <c r="A2735" s="25"/>
      <c r="B2735" s="20">
        <v>39035120500</v>
      </c>
      <c r="C2735" s="20">
        <v>1205</v>
      </c>
      <c r="D2735" s="20" t="s">
        <v>24</v>
      </c>
      <c r="E2735" s="20" t="s">
        <v>2829</v>
      </c>
      <c r="F2735" s="20" t="s">
        <v>6</v>
      </c>
      <c r="G2735" s="861">
        <v>32.056966079027099</v>
      </c>
      <c r="H2735" s="861">
        <v>53.329552394393801</v>
      </c>
      <c r="I2735" s="861">
        <v>76.589261426139899</v>
      </c>
      <c r="J2735" s="861">
        <v>33.0701479525056</v>
      </c>
      <c r="K2735" s="982">
        <v>0</v>
      </c>
      <c r="L2735" s="735">
        <v>2725</v>
      </c>
      <c r="M2735" s="735">
        <v>1690</v>
      </c>
      <c r="N2735" s="845">
        <f t="shared" si="197"/>
        <v>-0.37981651376146791</v>
      </c>
      <c r="O2735" s="735">
        <v>0.28412099544348873</v>
      </c>
      <c r="P2735" s="735">
        <f t="shared" si="198"/>
        <v>5948.1700652289128</v>
      </c>
      <c r="Q2735" s="849">
        <v>46.4</v>
      </c>
      <c r="R2735" s="71">
        <v>39479</v>
      </c>
      <c r="S2735" s="845">
        <v>0.24437869822485206</v>
      </c>
      <c r="T2735" s="845">
        <v>8.8000000000000009E-2</v>
      </c>
      <c r="U2735" s="845">
        <v>0.05</v>
      </c>
      <c r="V2735" s="845">
        <v>5.0000000000000001E-3</v>
      </c>
      <c r="W2735" s="845">
        <v>0.5652797704447633</v>
      </c>
      <c r="X2735" s="845">
        <v>0.40862944162436549</v>
      </c>
      <c r="Y2735" s="845">
        <v>0</v>
      </c>
      <c r="Z2735" s="845">
        <v>0.92840236686390532</v>
      </c>
      <c r="AA2735" s="845">
        <v>0</v>
      </c>
      <c r="AB2735" s="845">
        <v>5.3254437869822485E-3</v>
      </c>
      <c r="AC2735" s="845">
        <v>0</v>
      </c>
      <c r="AD2735" s="845">
        <v>1.1242603550295858E-2</v>
      </c>
      <c r="AE2735" s="845">
        <v>5.5029585798816567E-2</v>
      </c>
      <c r="AF2735" s="845">
        <v>2.4852071005917159E-2</v>
      </c>
      <c r="AG2735" s="845">
        <v>0</v>
      </c>
      <c r="AH2735" s="20" t="str">
        <f t="shared" si="199"/>
        <v>No</v>
      </c>
      <c r="AI2735" s="25"/>
      <c r="AJ2735" s="25"/>
      <c r="AK2735" s="25"/>
      <c r="AL2735" s="25"/>
      <c r="AM2735" s="25"/>
      <c r="AN2735" s="25"/>
      <c r="AO2735" s="25"/>
      <c r="AP2735" s="25"/>
      <c r="AQ2735" s="25"/>
      <c r="AR2735" s="25"/>
      <c r="AS2735" s="25"/>
      <c r="AT2735" s="25"/>
      <c r="AU2735" s="36"/>
      <c r="AV2735" s="36"/>
      <c r="AW2735" s="36"/>
      <c r="AX2735" s="25"/>
      <c r="AY2735" s="25"/>
      <c r="AZ2735" s="25"/>
      <c r="BA2735" s="25"/>
      <c r="BB2735" s="25"/>
      <c r="BC2735" s="25"/>
      <c r="BD2735" s="25"/>
      <c r="BE2735" s="25"/>
      <c r="BF2735" s="25"/>
      <c r="BG2735" s="25"/>
      <c r="BH2735" s="25"/>
      <c r="BI2735" s="25"/>
      <c r="BJ2735" s="25"/>
      <c r="BK2735" s="25"/>
      <c r="BL2735" s="25"/>
      <c r="BM2735" s="25"/>
      <c r="BN2735" s="25"/>
      <c r="BO2735" s="25"/>
      <c r="BP2735" s="25"/>
      <c r="BQ2735" s="25"/>
      <c r="BR2735" s="25"/>
      <c r="BS2735" s="25"/>
      <c r="BT2735" s="25"/>
      <c r="BU2735"/>
      <c r="BV2735"/>
      <c r="BW2735"/>
      <c r="BX2735"/>
      <c r="BY2735"/>
      <c r="BZ2735"/>
      <c r="CA2735"/>
      <c r="CB2735"/>
      <c r="CC2735"/>
      <c r="CD2735" s="25"/>
    </row>
    <row r="2736" spans="1:82" s="17" customFormat="1" x14ac:dyDescent="0.2">
      <c r="A2736" s="25"/>
      <c r="B2736" s="20">
        <v>39061008000</v>
      </c>
      <c r="C2736" s="20">
        <v>80</v>
      </c>
      <c r="D2736" s="20" t="s">
        <v>37</v>
      </c>
      <c r="E2736" s="20" t="s">
        <v>2828</v>
      </c>
      <c r="F2736" s="20" t="s">
        <v>6</v>
      </c>
      <c r="G2736" s="861">
        <v>32.0562362363872</v>
      </c>
      <c r="H2736" s="861">
        <v>22.465162808351</v>
      </c>
      <c r="I2736" s="861">
        <v>22.581291978450199</v>
      </c>
      <c r="J2736" s="861">
        <v>49.912990815866102</v>
      </c>
      <c r="K2736" s="982">
        <v>0</v>
      </c>
      <c r="L2736" s="735">
        <v>4901</v>
      </c>
      <c r="M2736" s="735">
        <v>5401</v>
      </c>
      <c r="N2736" s="845">
        <f t="shared" si="197"/>
        <v>0.10201999591920016</v>
      </c>
      <c r="O2736" s="735">
        <v>2.0819327236216543</v>
      </c>
      <c r="P2736" s="735">
        <f t="shared" si="198"/>
        <v>2594.2240778100731</v>
      </c>
      <c r="Q2736" s="849">
        <v>26</v>
      </c>
      <c r="R2736" s="71">
        <v>23160</v>
      </c>
      <c r="S2736" s="845">
        <v>0.54323273467876321</v>
      </c>
      <c r="T2736" s="845">
        <v>0.25900000000000001</v>
      </c>
      <c r="U2736" s="845">
        <v>0</v>
      </c>
      <c r="V2736" s="845">
        <v>1.8000000000000002E-2</v>
      </c>
      <c r="W2736" s="845">
        <v>0.95368655057428675</v>
      </c>
      <c r="X2736" s="845">
        <v>0.36441336441336442</v>
      </c>
      <c r="Y2736" s="845">
        <v>9.2019996296982043E-2</v>
      </c>
      <c r="Z2736" s="845">
        <v>0.78337344936122943</v>
      </c>
      <c r="AA2736" s="845">
        <v>0</v>
      </c>
      <c r="AB2736" s="845">
        <v>0</v>
      </c>
      <c r="AC2736" s="845">
        <v>0</v>
      </c>
      <c r="AD2736" s="845">
        <v>3.7030179596371044E-3</v>
      </c>
      <c r="AE2736" s="845">
        <v>0.12090353638215146</v>
      </c>
      <c r="AF2736" s="845">
        <v>4.9805591557119049E-2</v>
      </c>
      <c r="AG2736" s="845">
        <v>9.2019996296982043E-2</v>
      </c>
      <c r="AH2736" s="20" t="str">
        <f t="shared" si="199"/>
        <v>No</v>
      </c>
      <c r="AI2736" s="25"/>
      <c r="AJ2736" s="25"/>
      <c r="AK2736" s="25"/>
      <c r="AL2736" s="25"/>
      <c r="AM2736" s="25"/>
      <c r="AN2736" s="25"/>
      <c r="AO2736" s="25"/>
      <c r="AP2736" s="25"/>
      <c r="AQ2736" s="25"/>
      <c r="AR2736" s="25"/>
      <c r="AS2736" s="25"/>
      <c r="AT2736" s="25"/>
      <c r="AU2736" s="36"/>
      <c r="AV2736" s="36"/>
      <c r="AW2736" s="36"/>
      <c r="AX2736" s="25"/>
      <c r="AY2736" s="25"/>
      <c r="AZ2736" s="25"/>
      <c r="BA2736" s="25"/>
      <c r="BB2736" s="25"/>
      <c r="BC2736" s="25"/>
      <c r="BD2736" s="25"/>
      <c r="BE2736" s="25"/>
      <c r="BF2736" s="25"/>
      <c r="BG2736" s="25"/>
      <c r="BH2736" s="25"/>
      <c r="BI2736" s="25"/>
      <c r="BJ2736" s="25"/>
      <c r="BK2736" s="25"/>
      <c r="BL2736" s="25"/>
      <c r="BM2736" s="25"/>
      <c r="BN2736" s="25"/>
      <c r="BO2736" s="25"/>
      <c r="BP2736" s="25"/>
      <c r="BQ2736" s="25"/>
      <c r="BR2736" s="25"/>
      <c r="BS2736" s="25"/>
      <c r="BT2736" s="25"/>
      <c r="BU2736"/>
      <c r="BV2736"/>
      <c r="BW2736"/>
      <c r="BX2736"/>
      <c r="BY2736"/>
      <c r="BZ2736"/>
      <c r="CA2736"/>
      <c r="CB2736"/>
      <c r="CC2736"/>
      <c r="CD2736" s="25"/>
    </row>
    <row r="2737" spans="1:82" s="17" customFormat="1" x14ac:dyDescent="0.2">
      <c r="A2737" s="25"/>
      <c r="B2737" s="20">
        <v>39035108701</v>
      </c>
      <c r="C2737" s="20">
        <v>1087.01</v>
      </c>
      <c r="D2737" s="20" t="s">
        <v>24</v>
      </c>
      <c r="E2737" s="20" t="s">
        <v>2829</v>
      </c>
      <c r="F2737" s="20" t="s">
        <v>6</v>
      </c>
      <c r="G2737" s="861">
        <v>32.054893101207</v>
      </c>
      <c r="H2737" s="861">
        <v>38.533575417759003</v>
      </c>
      <c r="I2737" s="861">
        <v>38.452253883507197</v>
      </c>
      <c r="J2737" s="861">
        <v>57.899342943615501</v>
      </c>
      <c r="K2737" s="982">
        <v>0</v>
      </c>
      <c r="L2737" s="735">
        <v>4067</v>
      </c>
      <c r="M2737" s="735">
        <v>4851</v>
      </c>
      <c r="N2737" s="845">
        <f t="shared" si="197"/>
        <v>0.19277108433734941</v>
      </c>
      <c r="O2737" s="735">
        <v>0.56230451189214148</v>
      </c>
      <c r="P2737" s="735">
        <f t="shared" si="198"/>
        <v>8626.9981787563811</v>
      </c>
      <c r="Q2737" s="849">
        <v>25.4</v>
      </c>
      <c r="R2737" s="71">
        <v>20602</v>
      </c>
      <c r="S2737" s="845">
        <v>0.62969211303247574</v>
      </c>
      <c r="T2737" s="845">
        <v>0.34200000000000003</v>
      </c>
      <c r="U2737" s="845">
        <v>0</v>
      </c>
      <c r="V2737" s="845">
        <v>2.7999999999999997E-2</v>
      </c>
      <c r="W2737" s="845">
        <v>0.84890965732087231</v>
      </c>
      <c r="X2737" s="845">
        <v>0.46360856269113149</v>
      </c>
      <c r="Y2737" s="845">
        <v>8.410636982065553E-2</v>
      </c>
      <c r="Z2737" s="845">
        <v>0.81508967223252937</v>
      </c>
      <c r="AA2737" s="845">
        <v>0</v>
      </c>
      <c r="AB2737" s="845">
        <v>0</v>
      </c>
      <c r="AC2737" s="845">
        <v>0</v>
      </c>
      <c r="AD2737" s="845">
        <v>1.2368583797155226E-2</v>
      </c>
      <c r="AE2737" s="845">
        <v>8.8435374149659865E-2</v>
      </c>
      <c r="AF2737" s="845">
        <v>5.8338486909915478E-2</v>
      </c>
      <c r="AG2737" s="845">
        <v>7.7509791795506086E-2</v>
      </c>
      <c r="AH2737" s="20" t="str">
        <f t="shared" si="199"/>
        <v>No</v>
      </c>
      <c r="AI2737" s="25"/>
      <c r="AJ2737" s="25"/>
      <c r="AK2737" s="25"/>
      <c r="AL2737" s="25"/>
      <c r="AM2737" s="25"/>
      <c r="AN2737" s="25"/>
      <c r="AO2737" s="25"/>
      <c r="AP2737" s="25"/>
      <c r="AQ2737" s="25"/>
      <c r="AR2737" s="25"/>
      <c r="AS2737" s="25"/>
      <c r="AT2737" s="25"/>
      <c r="AU2737" s="36"/>
      <c r="AV2737" s="36"/>
      <c r="AW2737" s="36"/>
      <c r="AX2737" s="25"/>
      <c r="AY2737" s="25"/>
      <c r="AZ2737" s="25"/>
      <c r="BA2737" s="25"/>
      <c r="BB2737" s="25"/>
      <c r="BC2737" s="25"/>
      <c r="BD2737" s="25"/>
      <c r="BE2737" s="25"/>
      <c r="BF2737" s="25"/>
      <c r="BG2737" s="25"/>
      <c r="BH2737" s="25"/>
      <c r="BI2737" s="25"/>
      <c r="BJ2737" s="25"/>
      <c r="BK2737" s="25"/>
      <c r="BL2737" s="25"/>
      <c r="BM2737" s="25"/>
      <c r="BN2737" s="25"/>
      <c r="BO2737" s="25"/>
      <c r="BP2737" s="25"/>
      <c r="BQ2737" s="25"/>
      <c r="BR2737" s="25"/>
      <c r="BS2737" s="25"/>
      <c r="BT2737" s="25"/>
      <c r="BU2737"/>
      <c r="BV2737"/>
      <c r="BW2737"/>
      <c r="BX2737"/>
      <c r="BY2737"/>
      <c r="BZ2737"/>
      <c r="CA2737"/>
      <c r="CB2737"/>
      <c r="CC2737"/>
      <c r="CD2737" s="25"/>
    </row>
    <row r="2738" spans="1:82" s="17" customFormat="1" x14ac:dyDescent="0.2">
      <c r="A2738" s="25"/>
      <c r="B2738" s="20">
        <v>39035115700</v>
      </c>
      <c r="C2738" s="20">
        <v>1157</v>
      </c>
      <c r="D2738" s="20" t="s">
        <v>24</v>
      </c>
      <c r="E2738" s="20" t="s">
        <v>2829</v>
      </c>
      <c r="F2738" s="20" t="s">
        <v>6</v>
      </c>
      <c r="G2738" s="861">
        <v>32.037568357919099</v>
      </c>
      <c r="H2738" s="861">
        <v>44.140165689222897</v>
      </c>
      <c r="I2738" s="861">
        <v>74.763318121611803</v>
      </c>
      <c r="J2738" s="861">
        <v>34.460056030261299</v>
      </c>
      <c r="K2738" s="982">
        <v>0</v>
      </c>
      <c r="L2738" s="735">
        <v>1607</v>
      </c>
      <c r="M2738" s="735">
        <v>1651</v>
      </c>
      <c r="N2738" s="845">
        <f t="shared" si="197"/>
        <v>2.7380211574362167E-2</v>
      </c>
      <c r="O2738" s="735">
        <v>0.34159616277157351</v>
      </c>
      <c r="P2738" s="735">
        <f t="shared" si="198"/>
        <v>4833.1924650571355</v>
      </c>
      <c r="Q2738" s="849">
        <v>38.4</v>
      </c>
      <c r="R2738" s="71">
        <v>37144</v>
      </c>
      <c r="S2738" s="845">
        <v>0.30163537250151423</v>
      </c>
      <c r="T2738" s="845">
        <v>0.05</v>
      </c>
      <c r="U2738" s="845">
        <v>0</v>
      </c>
      <c r="V2738" s="845">
        <v>4.7E-2</v>
      </c>
      <c r="W2738" s="845">
        <v>0.62099871959026887</v>
      </c>
      <c r="X2738" s="845">
        <v>0.46597938144329898</v>
      </c>
      <c r="Y2738" s="845">
        <v>0.24530587522713507</v>
      </c>
      <c r="Z2738" s="845">
        <v>0.59842519685039375</v>
      </c>
      <c r="AA2738" s="845">
        <v>0</v>
      </c>
      <c r="AB2738" s="845">
        <v>4.3609933373712904E-2</v>
      </c>
      <c r="AC2738" s="845">
        <v>0</v>
      </c>
      <c r="AD2738" s="845">
        <v>1.9382192610539067E-2</v>
      </c>
      <c r="AE2738" s="845">
        <v>9.3276801938219259E-2</v>
      </c>
      <c r="AF2738" s="845">
        <v>5.6935190793458511E-2</v>
      </c>
      <c r="AG2738" s="845">
        <v>0.23803755299818291</v>
      </c>
      <c r="AH2738" s="20" t="str">
        <f t="shared" si="199"/>
        <v>No</v>
      </c>
      <c r="AI2738" s="25"/>
      <c r="AJ2738" s="25"/>
      <c r="AK2738" s="25"/>
      <c r="AL2738" s="25"/>
      <c r="AM2738" s="25"/>
      <c r="AN2738" s="25"/>
      <c r="AO2738" s="25"/>
      <c r="AP2738" s="25"/>
      <c r="AQ2738" s="25"/>
      <c r="AR2738" s="25"/>
      <c r="AS2738" s="25"/>
      <c r="AT2738" s="25"/>
      <c r="AU2738" s="36"/>
      <c r="AV2738" s="36"/>
      <c r="AW2738" s="36"/>
      <c r="AX2738" s="25"/>
      <c r="AY2738" s="25"/>
      <c r="AZ2738" s="25"/>
      <c r="BA2738" s="25"/>
      <c r="BB2738" s="25"/>
      <c r="BC2738" s="25"/>
      <c r="BD2738" s="25"/>
      <c r="BE2738" s="25"/>
      <c r="BF2738" s="25"/>
      <c r="BG2738" s="25"/>
      <c r="BH2738" s="25"/>
      <c r="BI2738" s="25"/>
      <c r="BJ2738" s="25"/>
      <c r="BK2738" s="25"/>
      <c r="BL2738" s="25"/>
      <c r="BM2738" s="25"/>
      <c r="BN2738" s="25"/>
      <c r="BO2738" s="25"/>
      <c r="BP2738" s="25"/>
      <c r="BQ2738" s="25"/>
      <c r="BR2738" s="25"/>
      <c r="BS2738" s="25"/>
      <c r="BT2738" s="25"/>
      <c r="BU2738"/>
      <c r="BV2738"/>
      <c r="BW2738"/>
      <c r="BX2738"/>
      <c r="BY2738"/>
      <c r="BZ2738"/>
      <c r="CA2738"/>
      <c r="CB2738"/>
      <c r="CC2738"/>
      <c r="CD2738" s="25"/>
    </row>
    <row r="2739" spans="1:82" s="17" customFormat="1" x14ac:dyDescent="0.2">
      <c r="A2739" s="25"/>
      <c r="B2739" s="20">
        <v>39155930700</v>
      </c>
      <c r="C2739" s="20">
        <v>9307</v>
      </c>
      <c r="D2739" s="20" t="s">
        <v>83</v>
      </c>
      <c r="E2739" s="20" t="s">
        <v>2842</v>
      </c>
      <c r="F2739" s="20" t="s">
        <v>8</v>
      </c>
      <c r="G2739" s="861">
        <v>32.016630238752398</v>
      </c>
      <c r="H2739" s="861">
        <v>38.9993302525248</v>
      </c>
      <c r="I2739" s="861">
        <v>23.082190979297302</v>
      </c>
      <c r="J2739" s="861">
        <v>31.851699963984998</v>
      </c>
      <c r="K2739" s="982">
        <v>0</v>
      </c>
      <c r="L2739" s="735">
        <v>4130</v>
      </c>
      <c r="M2739" s="735">
        <v>4348</v>
      </c>
      <c r="N2739" s="845">
        <f t="shared" si="197"/>
        <v>5.2784503631961258E-2</v>
      </c>
      <c r="O2739" s="735">
        <v>7.2502101177599618</v>
      </c>
      <c r="P2739" s="735">
        <f t="shared" si="198"/>
        <v>599.70675737372505</v>
      </c>
      <c r="Q2739" s="849">
        <v>43.3</v>
      </c>
      <c r="R2739" s="71">
        <v>72188</v>
      </c>
      <c r="S2739" s="845">
        <v>0.13845083487940632</v>
      </c>
      <c r="T2739" s="845">
        <v>6.7000000000000004E-2</v>
      </c>
      <c r="U2739" s="845">
        <v>1.1000000000000001E-2</v>
      </c>
      <c r="V2739" s="845">
        <v>0</v>
      </c>
      <c r="W2739" s="845">
        <v>0.22228474957794034</v>
      </c>
      <c r="X2739" s="845">
        <v>0.23544303797468355</v>
      </c>
      <c r="Y2739" s="845">
        <v>0.96228150873965046</v>
      </c>
      <c r="Z2739" s="845">
        <v>3.4498620055197792E-3</v>
      </c>
      <c r="AA2739" s="845">
        <v>0</v>
      </c>
      <c r="AB2739" s="845">
        <v>2.5298988040478379E-3</v>
      </c>
      <c r="AC2739" s="845">
        <v>0</v>
      </c>
      <c r="AD2739" s="845">
        <v>6.8997240110395585E-3</v>
      </c>
      <c r="AE2739" s="845">
        <v>2.4839006439742409E-2</v>
      </c>
      <c r="AF2739" s="845">
        <v>6.8997240110395585E-3</v>
      </c>
      <c r="AG2739" s="845">
        <v>0.96228150873965046</v>
      </c>
      <c r="AH2739" s="20" t="str">
        <f t="shared" si="199"/>
        <v>Yes</v>
      </c>
      <c r="AI2739" s="25"/>
      <c r="AJ2739" s="25"/>
      <c r="AK2739" s="25"/>
      <c r="AL2739" s="25"/>
      <c r="AM2739" s="25"/>
      <c r="AN2739" s="25"/>
      <c r="AO2739" s="25"/>
      <c r="AP2739" s="25"/>
      <c r="AQ2739" s="25"/>
      <c r="AR2739" s="25"/>
      <c r="AS2739" s="25"/>
      <c r="AT2739" s="25"/>
      <c r="AU2739" s="36"/>
      <c r="AV2739" s="36"/>
      <c r="AW2739" s="36"/>
      <c r="AX2739" s="25"/>
      <c r="AY2739" s="25"/>
      <c r="AZ2739" s="25"/>
      <c r="BA2739" s="25"/>
      <c r="BB2739" s="25"/>
      <c r="BC2739" s="25"/>
      <c r="BD2739" s="25"/>
      <c r="BE2739" s="25"/>
      <c r="BF2739" s="25"/>
      <c r="BG2739" s="25"/>
      <c r="BH2739" s="25"/>
      <c r="BI2739" s="25"/>
      <c r="BJ2739" s="25"/>
      <c r="BK2739" s="25"/>
      <c r="BL2739" s="25"/>
      <c r="BM2739" s="25"/>
      <c r="BN2739" s="25"/>
      <c r="BO2739" s="25"/>
      <c r="BP2739" s="25"/>
      <c r="BQ2739" s="25"/>
      <c r="BR2739" s="25"/>
      <c r="BS2739" s="25"/>
      <c r="BT2739" s="25"/>
      <c r="BU2739"/>
      <c r="BV2739"/>
      <c r="BW2739"/>
      <c r="BX2739"/>
      <c r="BY2739"/>
      <c r="BZ2739"/>
      <c r="CA2739"/>
      <c r="CB2739"/>
      <c r="CC2739"/>
      <c r="CD2739" s="25"/>
    </row>
    <row r="2740" spans="1:82" s="17" customFormat="1" x14ac:dyDescent="0.2">
      <c r="A2740" s="25"/>
      <c r="B2740" s="20">
        <v>39089751000</v>
      </c>
      <c r="C2740" s="20">
        <v>7510</v>
      </c>
      <c r="D2740" s="20" t="s">
        <v>50</v>
      </c>
      <c r="E2740" s="20" t="s">
        <v>2830</v>
      </c>
      <c r="F2740" s="20" t="s">
        <v>6</v>
      </c>
      <c r="G2740" s="861">
        <v>32.012552355341299</v>
      </c>
      <c r="H2740" s="861">
        <v>40.104195301420297</v>
      </c>
      <c r="I2740" s="861">
        <v>49.778036038444803</v>
      </c>
      <c r="J2740" s="861">
        <v>36.284332469401598</v>
      </c>
      <c r="K2740" s="982">
        <v>0</v>
      </c>
      <c r="L2740" s="735">
        <v>2373</v>
      </c>
      <c r="M2740" s="735">
        <v>2569</v>
      </c>
      <c r="N2740" s="845">
        <f t="shared" si="197"/>
        <v>8.2595870206489674E-2</v>
      </c>
      <c r="O2740" s="735">
        <v>0.50050152546839299</v>
      </c>
      <c r="P2740" s="735">
        <f t="shared" si="198"/>
        <v>5132.8514885060704</v>
      </c>
      <c r="Q2740" s="849">
        <v>32.700000000000003</v>
      </c>
      <c r="R2740" s="71">
        <v>44583</v>
      </c>
      <c r="S2740" s="845">
        <v>0.30654645237161898</v>
      </c>
      <c r="T2740" s="845">
        <v>9.5000000000000001E-2</v>
      </c>
      <c r="U2740" s="845">
        <v>0</v>
      </c>
      <c r="V2740" s="845">
        <v>0.127</v>
      </c>
      <c r="W2740" s="845">
        <v>0.52818371607515657</v>
      </c>
      <c r="X2740" s="845">
        <v>0.41106719367588934</v>
      </c>
      <c r="Y2740" s="845">
        <v>0.7851304009342156</v>
      </c>
      <c r="Z2740" s="845">
        <v>1.2845465161541456E-2</v>
      </c>
      <c r="AA2740" s="845">
        <v>7.0066173608407945E-3</v>
      </c>
      <c r="AB2740" s="845">
        <v>3.5033086804203972E-3</v>
      </c>
      <c r="AC2740" s="845">
        <v>0</v>
      </c>
      <c r="AD2740" s="845">
        <v>1.9852082522382249E-2</v>
      </c>
      <c r="AE2740" s="845">
        <v>0.17166212534059946</v>
      </c>
      <c r="AF2740" s="845">
        <v>7.5905021409108597E-2</v>
      </c>
      <c r="AG2740" s="845">
        <v>0.78084857921370188</v>
      </c>
      <c r="AH2740" s="20" t="str">
        <f t="shared" si="199"/>
        <v>No</v>
      </c>
      <c r="AI2740" s="25"/>
      <c r="AJ2740" s="25"/>
      <c r="AK2740" s="25"/>
      <c r="AL2740" s="25"/>
      <c r="AM2740" s="25"/>
      <c r="AN2740" s="25"/>
      <c r="AO2740" s="25"/>
      <c r="AP2740" s="25"/>
      <c r="AQ2740" s="25"/>
      <c r="AR2740" s="25"/>
      <c r="AS2740" s="25"/>
      <c r="AT2740" s="25"/>
      <c r="AU2740" s="36"/>
      <c r="AV2740" s="36"/>
      <c r="AW2740" s="36"/>
      <c r="AX2740" s="25"/>
      <c r="AY2740" s="25"/>
      <c r="AZ2740" s="25"/>
      <c r="BA2740" s="25"/>
      <c r="BB2740" s="25"/>
      <c r="BC2740" s="25"/>
      <c r="BD2740" s="25"/>
      <c r="BE2740" s="25"/>
      <c r="BF2740" s="25"/>
      <c r="BG2740" s="25"/>
      <c r="BH2740" s="25"/>
      <c r="BI2740" s="25"/>
      <c r="BJ2740" s="25"/>
      <c r="BK2740" s="25"/>
      <c r="BL2740" s="25"/>
      <c r="BM2740" s="25"/>
      <c r="BN2740" s="25"/>
      <c r="BO2740" s="25"/>
      <c r="BP2740" s="25"/>
      <c r="BQ2740" s="25"/>
      <c r="BR2740" s="25"/>
      <c r="BS2740" s="25"/>
      <c r="BT2740" s="25"/>
      <c r="BU2740"/>
      <c r="BV2740"/>
      <c r="BW2740"/>
      <c r="BX2740"/>
      <c r="BY2740"/>
      <c r="BZ2740"/>
      <c r="CA2740"/>
      <c r="CB2740"/>
      <c r="CC2740"/>
      <c r="CD2740" s="25"/>
    </row>
    <row r="2741" spans="1:82" s="17" customFormat="1" x14ac:dyDescent="0.2">
      <c r="A2741" s="25"/>
      <c r="B2741" s="20">
        <v>39001770100</v>
      </c>
      <c r="C2741" s="20">
        <v>7701</v>
      </c>
      <c r="D2741" s="20" t="s">
        <v>5</v>
      </c>
      <c r="E2741" s="20" t="s">
        <v>265</v>
      </c>
      <c r="F2741" s="20" t="s">
        <v>6</v>
      </c>
      <c r="G2741" s="861">
        <v>31.991184002038001</v>
      </c>
      <c r="H2741" s="861">
        <v>31.510957064000301</v>
      </c>
      <c r="I2741" s="861">
        <v>40.758898531063998</v>
      </c>
      <c r="J2741" s="861">
        <v>53.936775404761597</v>
      </c>
      <c r="K2741" s="982">
        <v>0</v>
      </c>
      <c r="L2741" s="735">
        <v>4932</v>
      </c>
      <c r="M2741" s="735">
        <v>4805</v>
      </c>
      <c r="N2741" s="845">
        <f t="shared" si="197"/>
        <v>-2.5750202757502026E-2</v>
      </c>
      <c r="O2741" s="735">
        <v>110.72034535324566</v>
      </c>
      <c r="P2741" s="735">
        <f t="shared" si="198"/>
        <v>43.39762475153033</v>
      </c>
      <c r="Q2741" s="849">
        <v>42.6</v>
      </c>
      <c r="R2741" s="71">
        <v>59145</v>
      </c>
      <c r="S2741" s="845">
        <v>0.26784599375650364</v>
      </c>
      <c r="T2741" s="845">
        <v>0.10099999999999999</v>
      </c>
      <c r="U2741" s="845">
        <v>3.9E-2</v>
      </c>
      <c r="V2741" s="845">
        <v>2.7000000000000003E-2</v>
      </c>
      <c r="W2741" s="845">
        <v>0.33982202447163518</v>
      </c>
      <c r="X2741" s="845">
        <v>0.21931260229132571</v>
      </c>
      <c r="Y2741" s="845">
        <v>0.96399583766909469</v>
      </c>
      <c r="Z2741" s="845">
        <v>2.497398543184183E-3</v>
      </c>
      <c r="AA2741" s="845">
        <v>8.3246618106139442E-4</v>
      </c>
      <c r="AB2741" s="845">
        <v>7.9084287200832468E-3</v>
      </c>
      <c r="AC2741" s="845">
        <v>0</v>
      </c>
      <c r="AD2741" s="845">
        <v>0</v>
      </c>
      <c r="AE2741" s="845">
        <v>2.4765868886576482E-2</v>
      </c>
      <c r="AF2741" s="845">
        <v>1.1238293444328824E-2</v>
      </c>
      <c r="AG2741" s="845">
        <v>0.95275754422476588</v>
      </c>
      <c r="AH2741" s="20" t="str">
        <f t="shared" si="199"/>
        <v>Yes</v>
      </c>
      <c r="AI2741" s="25"/>
      <c r="AJ2741" s="25"/>
      <c r="AK2741" s="25"/>
      <c r="AL2741" s="25"/>
      <c r="AM2741" s="25"/>
      <c r="AN2741" s="25"/>
      <c r="AO2741" s="25"/>
      <c r="AP2741" s="25"/>
      <c r="AQ2741" s="25"/>
      <c r="AR2741" s="25"/>
      <c r="AS2741" s="25"/>
      <c r="AT2741" s="25"/>
      <c r="AU2741" s="36"/>
      <c r="AV2741" s="36"/>
      <c r="AW2741" s="36"/>
      <c r="AX2741" s="25"/>
      <c r="AY2741" s="25"/>
      <c r="AZ2741" s="25"/>
      <c r="BA2741" s="25"/>
      <c r="BB2741" s="25"/>
      <c r="BC2741" s="25"/>
      <c r="BD2741" s="25"/>
      <c r="BE2741" s="25"/>
      <c r="BF2741" s="25"/>
      <c r="BG2741" s="25"/>
      <c r="BH2741" s="25"/>
      <c r="BI2741" s="25"/>
      <c r="BJ2741" s="25"/>
      <c r="BK2741" s="25"/>
      <c r="BL2741" s="25"/>
      <c r="BM2741" s="25"/>
      <c r="BN2741" s="25"/>
      <c r="BO2741" s="25"/>
      <c r="BP2741" s="25"/>
      <c r="BQ2741" s="25"/>
      <c r="BR2741" s="25"/>
      <c r="BS2741" s="25"/>
      <c r="BT2741" s="25"/>
      <c r="BU2741"/>
      <c r="BV2741"/>
      <c r="BW2741"/>
      <c r="BX2741"/>
      <c r="BY2741"/>
      <c r="BZ2741"/>
      <c r="CA2741"/>
      <c r="CB2741"/>
      <c r="CC2741"/>
      <c r="CD2741" s="25"/>
    </row>
    <row r="2742" spans="1:82" s="17" customFormat="1" x14ac:dyDescent="0.2">
      <c r="A2742" s="25"/>
      <c r="B2742" s="20">
        <v>39061026200</v>
      </c>
      <c r="C2742" s="20">
        <v>262</v>
      </c>
      <c r="D2742" s="20" t="s">
        <v>37</v>
      </c>
      <c r="E2742" s="20" t="s">
        <v>2828</v>
      </c>
      <c r="F2742" s="20" t="s">
        <v>6</v>
      </c>
      <c r="G2742" s="861">
        <v>31.946204177465599</v>
      </c>
      <c r="H2742" s="861">
        <v>47.340051200566002</v>
      </c>
      <c r="I2742" s="861">
        <v>45.5511858495666</v>
      </c>
      <c r="J2742" s="861">
        <v>59.354758044468397</v>
      </c>
      <c r="K2742" s="982">
        <v>0</v>
      </c>
      <c r="L2742" s="735">
        <v>1821</v>
      </c>
      <c r="M2742" s="735">
        <v>2064</v>
      </c>
      <c r="N2742" s="845">
        <f t="shared" si="197"/>
        <v>0.13344316309719934</v>
      </c>
      <c r="O2742" s="735">
        <v>9.7092295145710157</v>
      </c>
      <c r="P2742" s="735">
        <f t="shared" si="198"/>
        <v>212.5812348860922</v>
      </c>
      <c r="Q2742" s="849">
        <v>33.1</v>
      </c>
      <c r="R2742" s="71">
        <v>40286</v>
      </c>
      <c r="S2742" s="845">
        <v>0.31058020477815701</v>
      </c>
      <c r="T2742" s="845">
        <v>5.7999999999999996E-2</v>
      </c>
      <c r="U2742" s="845">
        <v>0.04</v>
      </c>
      <c r="V2742" s="845">
        <v>0.11800000000000001</v>
      </c>
      <c r="W2742" s="845">
        <v>0.53729281767955805</v>
      </c>
      <c r="X2742" s="845">
        <v>0.56041131105398456</v>
      </c>
      <c r="Y2742" s="845">
        <v>0.93410852713178294</v>
      </c>
      <c r="Z2742" s="845">
        <v>4.3604651162790697E-3</v>
      </c>
      <c r="AA2742" s="845">
        <v>0</v>
      </c>
      <c r="AB2742" s="845">
        <v>0</v>
      </c>
      <c r="AC2742" s="845">
        <v>0</v>
      </c>
      <c r="AD2742" s="845">
        <v>3.875968992248062E-3</v>
      </c>
      <c r="AE2742" s="845">
        <v>5.7655038759689921E-2</v>
      </c>
      <c r="AF2742" s="845">
        <v>2.0833333333333332E-2</v>
      </c>
      <c r="AG2742" s="845">
        <v>0.92393410852713176</v>
      </c>
      <c r="AH2742" s="20" t="str">
        <f t="shared" si="199"/>
        <v>Yes</v>
      </c>
      <c r="AI2742" s="25"/>
      <c r="AJ2742" s="25"/>
      <c r="AK2742" s="25"/>
      <c r="AL2742" s="25"/>
      <c r="AM2742" s="25"/>
      <c r="AN2742" s="25"/>
      <c r="AO2742" s="25"/>
      <c r="AP2742" s="25"/>
      <c r="AQ2742" s="25"/>
      <c r="AR2742" s="25"/>
      <c r="AS2742" s="25"/>
      <c r="AT2742" s="25"/>
      <c r="AU2742" s="36"/>
      <c r="AV2742" s="36"/>
      <c r="AW2742" s="36"/>
      <c r="AX2742" s="25"/>
      <c r="AY2742" s="25"/>
      <c r="AZ2742" s="25"/>
      <c r="BA2742" s="25"/>
      <c r="BB2742" s="25"/>
      <c r="BC2742" s="25"/>
      <c r="BD2742" s="25"/>
      <c r="BE2742" s="25"/>
      <c r="BF2742" s="25"/>
      <c r="BG2742" s="25"/>
      <c r="BH2742" s="25"/>
      <c r="BI2742" s="25"/>
      <c r="BJ2742" s="25"/>
      <c r="BK2742" s="25"/>
      <c r="BL2742" s="25"/>
      <c r="BM2742" s="25"/>
      <c r="BN2742" s="25"/>
      <c r="BO2742" s="25"/>
      <c r="BP2742" s="25"/>
      <c r="BQ2742" s="25"/>
      <c r="BR2742" s="25"/>
      <c r="BS2742" s="25"/>
      <c r="BT2742" s="25"/>
      <c r="BU2742"/>
      <c r="BV2742"/>
      <c r="BW2742"/>
      <c r="BX2742"/>
      <c r="BY2742"/>
      <c r="BZ2742"/>
      <c r="CA2742"/>
      <c r="CB2742"/>
      <c r="CC2742"/>
      <c r="CD2742" s="25"/>
    </row>
    <row r="2743" spans="1:82" s="17" customFormat="1" x14ac:dyDescent="0.2">
      <c r="A2743" s="25"/>
      <c r="B2743" s="20">
        <v>39053954000</v>
      </c>
      <c r="C2743" s="20">
        <v>9540</v>
      </c>
      <c r="D2743" s="20" t="s">
        <v>33</v>
      </c>
      <c r="E2743" s="20" t="s">
        <v>265</v>
      </c>
      <c r="F2743" s="20" t="s">
        <v>8</v>
      </c>
      <c r="G2743" s="861">
        <v>31.940726865489101</v>
      </c>
      <c r="H2743" s="861">
        <v>42.1357436794477</v>
      </c>
      <c r="I2743" s="861">
        <v>44.768440647136998</v>
      </c>
      <c r="J2743" s="861">
        <v>26.3286309832604</v>
      </c>
      <c r="K2743" s="982">
        <v>0</v>
      </c>
      <c r="L2743" s="735">
        <v>3622</v>
      </c>
      <c r="M2743" s="735">
        <v>3601</v>
      </c>
      <c r="N2743" s="845">
        <f t="shared" si="197"/>
        <v>-5.7979017117614573E-3</v>
      </c>
      <c r="O2743" s="735">
        <v>7.4396144621683229</v>
      </c>
      <c r="P2743" s="735">
        <f t="shared" si="198"/>
        <v>484.03045860933844</v>
      </c>
      <c r="Q2743" s="849">
        <v>40.4</v>
      </c>
      <c r="R2743" s="71">
        <v>53456</v>
      </c>
      <c r="S2743" s="845">
        <v>0.17708333333333334</v>
      </c>
      <c r="T2743" s="845">
        <v>4.2000000000000003E-2</v>
      </c>
      <c r="U2743" s="845">
        <v>0</v>
      </c>
      <c r="V2743" s="845">
        <v>0.04</v>
      </c>
      <c r="W2743" s="845">
        <v>0.46005326231691079</v>
      </c>
      <c r="X2743" s="845">
        <v>0.35311143270622286</v>
      </c>
      <c r="Y2743" s="845">
        <v>0.86448208830880313</v>
      </c>
      <c r="Z2743" s="845">
        <v>5.6928630935851154E-2</v>
      </c>
      <c r="AA2743" s="845">
        <v>0</v>
      </c>
      <c r="AB2743" s="845">
        <v>8.8864204387670096E-3</v>
      </c>
      <c r="AC2743" s="845">
        <v>0</v>
      </c>
      <c r="AD2743" s="845">
        <v>0</v>
      </c>
      <c r="AE2743" s="845">
        <v>6.9702860316578727E-2</v>
      </c>
      <c r="AF2743" s="845">
        <v>1.9161344071091362E-2</v>
      </c>
      <c r="AG2743" s="845">
        <v>0.8583726742571508</v>
      </c>
      <c r="AH2743" s="20" t="str">
        <f t="shared" si="199"/>
        <v>No</v>
      </c>
      <c r="AI2743" s="25"/>
      <c r="AJ2743" s="25"/>
      <c r="AK2743" s="25"/>
      <c r="AL2743" s="25"/>
      <c r="AM2743" s="25"/>
      <c r="AN2743" s="25"/>
      <c r="AO2743" s="25"/>
      <c r="AP2743" s="25"/>
      <c r="AQ2743" s="25"/>
      <c r="AR2743" s="25"/>
      <c r="AS2743" s="25"/>
      <c r="AT2743" s="25"/>
      <c r="AU2743" s="36"/>
      <c r="AV2743" s="36"/>
      <c r="AW2743" s="36"/>
      <c r="AX2743" s="25"/>
      <c r="AY2743" s="25"/>
      <c r="AZ2743" s="25"/>
      <c r="BA2743" s="25"/>
      <c r="BB2743" s="25"/>
      <c r="BC2743" s="25"/>
      <c r="BD2743" s="25"/>
      <c r="BE2743" s="25"/>
      <c r="BF2743" s="25"/>
      <c r="BG2743" s="25"/>
      <c r="BH2743" s="25"/>
      <c r="BI2743" s="25"/>
      <c r="BJ2743" s="25"/>
      <c r="BK2743" s="25"/>
      <c r="BL2743" s="25"/>
      <c r="BM2743" s="25"/>
      <c r="BN2743" s="25"/>
      <c r="BO2743" s="25"/>
      <c r="BP2743" s="25"/>
      <c r="BQ2743" s="25"/>
      <c r="BR2743" s="25"/>
      <c r="BS2743" s="25"/>
      <c r="BT2743" s="25"/>
      <c r="BU2743"/>
      <c r="BV2743"/>
      <c r="BW2743"/>
      <c r="BX2743"/>
      <c r="BY2743"/>
      <c r="BZ2743"/>
      <c r="CA2743"/>
      <c r="CB2743"/>
      <c r="CC2743"/>
      <c r="CD2743" s="25"/>
    </row>
    <row r="2744" spans="1:82" s="17" customFormat="1" x14ac:dyDescent="0.2">
      <c r="A2744" s="25"/>
      <c r="B2744" s="20">
        <v>39151701100</v>
      </c>
      <c r="C2744" s="20">
        <v>7011</v>
      </c>
      <c r="D2744" s="20" t="s">
        <v>81</v>
      </c>
      <c r="E2744" s="20" t="s">
        <v>2844</v>
      </c>
      <c r="F2744" s="20" t="s">
        <v>8</v>
      </c>
      <c r="G2744" s="861">
        <v>31.931523470425301</v>
      </c>
      <c r="H2744" s="861">
        <v>49.803431785750902</v>
      </c>
      <c r="I2744" s="861">
        <v>41.549409858209799</v>
      </c>
      <c r="J2744" s="861">
        <v>23.608284202503999</v>
      </c>
      <c r="K2744" s="982">
        <v>0</v>
      </c>
      <c r="L2744" s="735">
        <v>3153</v>
      </c>
      <c r="M2744" s="735">
        <v>3140</v>
      </c>
      <c r="N2744" s="845">
        <f t="shared" si="197"/>
        <v>-4.1230574056454168E-3</v>
      </c>
      <c r="O2744" s="735">
        <v>0.48879297750907436</v>
      </c>
      <c r="P2744" s="735">
        <f t="shared" si="198"/>
        <v>6423.9875458147444</v>
      </c>
      <c r="Q2744" s="849">
        <v>37</v>
      </c>
      <c r="R2744" s="71">
        <v>48553</v>
      </c>
      <c r="S2744" s="845">
        <v>0.21146496815286625</v>
      </c>
      <c r="T2744" s="845">
        <v>7.0999999999999994E-2</v>
      </c>
      <c r="U2744" s="845">
        <v>0</v>
      </c>
      <c r="V2744" s="845">
        <v>0</v>
      </c>
      <c r="W2744" s="845">
        <v>0.40580736543909346</v>
      </c>
      <c r="X2744" s="845">
        <v>0.43106457242582896</v>
      </c>
      <c r="Y2744" s="845">
        <v>0.57006369426751591</v>
      </c>
      <c r="Z2744" s="845">
        <v>0.30477707006369426</v>
      </c>
      <c r="AA2744" s="845">
        <v>0</v>
      </c>
      <c r="AB2744" s="845">
        <v>1.0509554140127388E-2</v>
      </c>
      <c r="AC2744" s="845">
        <v>0</v>
      </c>
      <c r="AD2744" s="845">
        <v>1.8789808917197452E-2</v>
      </c>
      <c r="AE2744" s="845">
        <v>9.5859872611464975E-2</v>
      </c>
      <c r="AF2744" s="845">
        <v>3.6942675159235668E-2</v>
      </c>
      <c r="AG2744" s="845">
        <v>0.57006369426751591</v>
      </c>
      <c r="AH2744" s="20" t="str">
        <f t="shared" si="199"/>
        <v>No</v>
      </c>
      <c r="AI2744" s="25"/>
      <c r="AJ2744" s="25"/>
      <c r="AK2744" s="25"/>
      <c r="AL2744" s="25"/>
      <c r="AM2744" s="25"/>
      <c r="AN2744" s="25"/>
      <c r="AO2744" s="25"/>
      <c r="AP2744" s="25"/>
      <c r="AQ2744" s="25"/>
      <c r="AR2744" s="25"/>
      <c r="AS2744" s="25"/>
      <c r="AT2744" s="25"/>
      <c r="AU2744" s="36"/>
      <c r="AV2744" s="36"/>
      <c r="AW2744" s="36"/>
      <c r="AX2744" s="25"/>
      <c r="AY2744" s="25"/>
      <c r="AZ2744" s="25"/>
      <c r="BA2744" s="25"/>
      <c r="BB2744" s="25"/>
      <c r="BC2744" s="25"/>
      <c r="BD2744" s="25"/>
      <c r="BE2744" s="25"/>
      <c r="BF2744" s="25"/>
      <c r="BG2744" s="25"/>
      <c r="BH2744" s="25"/>
      <c r="BI2744" s="25"/>
      <c r="BJ2744" s="25"/>
      <c r="BK2744" s="25"/>
      <c r="BL2744" s="25"/>
      <c r="BM2744" s="25"/>
      <c r="BN2744" s="25"/>
      <c r="BO2744" s="25"/>
      <c r="BP2744" s="25"/>
      <c r="BQ2744" s="25"/>
      <c r="BR2744" s="25"/>
      <c r="BS2744" s="25"/>
      <c r="BT2744" s="25"/>
      <c r="BU2744"/>
      <c r="BV2744"/>
      <c r="BW2744"/>
      <c r="BX2744"/>
      <c r="BY2744"/>
      <c r="BZ2744"/>
      <c r="CA2744"/>
      <c r="CB2744"/>
      <c r="CC2744"/>
      <c r="CD2744" s="25"/>
    </row>
    <row r="2745" spans="1:82" s="17" customFormat="1" x14ac:dyDescent="0.2">
      <c r="A2745" s="25"/>
      <c r="B2745" s="20">
        <v>39061010300</v>
      </c>
      <c r="C2745" s="20">
        <v>103</v>
      </c>
      <c r="D2745" s="20" t="s">
        <v>37</v>
      </c>
      <c r="E2745" s="20" t="s">
        <v>2828</v>
      </c>
      <c r="F2745" s="20" t="s">
        <v>6</v>
      </c>
      <c r="G2745" s="861">
        <v>31.897673681482001</v>
      </c>
      <c r="H2745" s="861">
        <v>37.724065316411902</v>
      </c>
      <c r="I2745" s="861">
        <v>64.854003949992403</v>
      </c>
      <c r="J2745" s="861">
        <v>48.809185338533801</v>
      </c>
      <c r="K2745" s="982">
        <v>0</v>
      </c>
      <c r="L2745" s="735">
        <v>1831</v>
      </c>
      <c r="M2745" s="735">
        <v>1517</v>
      </c>
      <c r="N2745" s="845">
        <f t="shared" si="197"/>
        <v>-0.17149098853085745</v>
      </c>
      <c r="O2745" s="735">
        <v>1.3532100732307997</v>
      </c>
      <c r="P2745" s="735">
        <f t="shared" si="198"/>
        <v>1121.0380634975252</v>
      </c>
      <c r="Q2745" s="849">
        <v>33.299999999999997</v>
      </c>
      <c r="R2745" s="71">
        <v>53750</v>
      </c>
      <c r="S2745" s="845">
        <v>0.30082987551867219</v>
      </c>
      <c r="T2745" s="845">
        <v>0.19699999999999998</v>
      </c>
      <c r="U2745" s="845">
        <v>0</v>
      </c>
      <c r="V2745" s="845">
        <v>0.13200000000000001</v>
      </c>
      <c r="W2745" s="845">
        <v>0.65048543689320393</v>
      </c>
      <c r="X2745" s="845">
        <v>0.39104477611940297</v>
      </c>
      <c r="Y2745" s="845">
        <v>0.51680949241924856</v>
      </c>
      <c r="Z2745" s="845">
        <v>0.25115359261700726</v>
      </c>
      <c r="AA2745" s="845">
        <v>0</v>
      </c>
      <c r="AB2745" s="845">
        <v>0</v>
      </c>
      <c r="AC2745" s="845">
        <v>0</v>
      </c>
      <c r="AD2745" s="845">
        <v>1.6479894528675015E-2</v>
      </c>
      <c r="AE2745" s="845">
        <v>0.21555702043506922</v>
      </c>
      <c r="AF2745" s="845">
        <v>7.2511535926170073E-2</v>
      </c>
      <c r="AG2745" s="845">
        <v>0.51680949241924856</v>
      </c>
      <c r="AH2745" s="20" t="str">
        <f t="shared" si="199"/>
        <v>No</v>
      </c>
      <c r="AI2745" s="25"/>
      <c r="AJ2745" s="25"/>
      <c r="AK2745" s="25"/>
      <c r="AL2745" s="25"/>
      <c r="AM2745" s="25"/>
      <c r="AN2745" s="25"/>
      <c r="AO2745" s="25"/>
      <c r="AP2745" s="25"/>
      <c r="AQ2745" s="25"/>
      <c r="AR2745" s="25"/>
      <c r="AS2745" s="25"/>
      <c r="AT2745" s="25"/>
      <c r="AU2745" s="36"/>
      <c r="AV2745" s="36"/>
      <c r="AW2745" s="36"/>
      <c r="AX2745" s="25"/>
      <c r="AY2745" s="25"/>
      <c r="AZ2745" s="25"/>
      <c r="BA2745" s="25"/>
      <c r="BB2745" s="25"/>
      <c r="BC2745" s="25"/>
      <c r="BD2745" s="25"/>
      <c r="BE2745" s="25"/>
      <c r="BF2745" s="25"/>
      <c r="BG2745" s="25"/>
      <c r="BH2745" s="25"/>
      <c r="BI2745" s="25"/>
      <c r="BJ2745" s="25"/>
      <c r="BK2745" s="25"/>
      <c r="BL2745" s="25"/>
      <c r="BM2745" s="25"/>
      <c r="BN2745" s="25"/>
      <c r="BO2745" s="25"/>
      <c r="BP2745" s="25"/>
      <c r="BQ2745" s="25"/>
      <c r="BR2745" s="25"/>
      <c r="BS2745" s="25"/>
      <c r="BT2745" s="25"/>
      <c r="BU2745"/>
      <c r="BV2745"/>
      <c r="BW2745"/>
      <c r="BX2745"/>
      <c r="BY2745"/>
      <c r="BZ2745"/>
      <c r="CA2745"/>
      <c r="CB2745"/>
      <c r="CC2745"/>
      <c r="CD2745" s="25"/>
    </row>
    <row r="2746" spans="1:82" s="17" customFormat="1" x14ac:dyDescent="0.2">
      <c r="A2746" s="25"/>
      <c r="B2746" s="20">
        <v>39035101603</v>
      </c>
      <c r="C2746" s="20">
        <v>1016.03</v>
      </c>
      <c r="D2746" s="20" t="s">
        <v>24</v>
      </c>
      <c r="E2746" s="20" t="s">
        <v>2829</v>
      </c>
      <c r="F2746" s="20" t="s">
        <v>6</v>
      </c>
      <c r="G2746" s="861">
        <v>31.8021861088395</v>
      </c>
      <c r="H2746" s="861">
        <v>51.430990195400497</v>
      </c>
      <c r="I2746" s="861">
        <v>59.8220011659213</v>
      </c>
      <c r="J2746" s="861">
        <v>33.322113181336903</v>
      </c>
      <c r="K2746" s="982">
        <v>0</v>
      </c>
      <c r="L2746" s="735">
        <v>2363</v>
      </c>
      <c r="M2746" s="735">
        <v>2000</v>
      </c>
      <c r="N2746" s="845">
        <f t="shared" si="197"/>
        <v>-0.15361828184511214</v>
      </c>
      <c r="O2746" s="735">
        <v>0.2539393897063103</v>
      </c>
      <c r="P2746" s="735">
        <f t="shared" si="198"/>
        <v>7875.8951193553285</v>
      </c>
      <c r="Q2746" s="849">
        <v>42</v>
      </c>
      <c r="R2746" s="71">
        <v>37926</v>
      </c>
      <c r="S2746" s="845">
        <v>0.21199999999999999</v>
      </c>
      <c r="T2746" s="845">
        <v>0.16200000000000001</v>
      </c>
      <c r="U2746" s="845">
        <v>0</v>
      </c>
      <c r="V2746" s="845">
        <v>8.3000000000000004E-2</v>
      </c>
      <c r="W2746" s="845">
        <v>0.51157662624035283</v>
      </c>
      <c r="X2746" s="845">
        <v>0.37931034482758619</v>
      </c>
      <c r="Y2746" s="845">
        <v>0.47399999999999998</v>
      </c>
      <c r="Z2746" s="845">
        <v>0.2195</v>
      </c>
      <c r="AA2746" s="845">
        <v>0</v>
      </c>
      <c r="AB2746" s="845">
        <v>0</v>
      </c>
      <c r="AC2746" s="845">
        <v>0</v>
      </c>
      <c r="AD2746" s="845">
        <v>0.09</v>
      </c>
      <c r="AE2746" s="845">
        <v>0.2165</v>
      </c>
      <c r="AF2746" s="845">
        <v>0.27600000000000002</v>
      </c>
      <c r="AG2746" s="845">
        <v>0.44400000000000001</v>
      </c>
      <c r="AH2746" s="20" t="str">
        <f t="shared" si="199"/>
        <v>No</v>
      </c>
      <c r="AI2746" s="25"/>
      <c r="AJ2746" s="25"/>
      <c r="AK2746" s="25"/>
      <c r="AL2746" s="25"/>
      <c r="AM2746" s="25"/>
      <c r="AN2746" s="25"/>
      <c r="AO2746" s="25"/>
      <c r="AP2746" s="25"/>
      <c r="AQ2746" s="25"/>
      <c r="AR2746" s="25"/>
      <c r="AS2746" s="25"/>
      <c r="AT2746" s="25"/>
      <c r="AU2746" s="36"/>
      <c r="AV2746" s="36"/>
      <c r="AW2746" s="36"/>
      <c r="AX2746" s="25"/>
      <c r="AY2746" s="25"/>
      <c r="AZ2746" s="25"/>
      <c r="BA2746" s="25"/>
      <c r="BB2746" s="25"/>
      <c r="BC2746" s="25"/>
      <c r="BD2746" s="25"/>
      <c r="BE2746" s="25"/>
      <c r="BF2746" s="25"/>
      <c r="BG2746" s="25"/>
      <c r="BH2746" s="25"/>
      <c r="BI2746" s="25"/>
      <c r="BJ2746" s="25"/>
      <c r="BK2746" s="25"/>
      <c r="BL2746" s="25"/>
      <c r="BM2746" s="25"/>
      <c r="BN2746" s="25"/>
      <c r="BO2746" s="25"/>
      <c r="BP2746" s="25"/>
      <c r="BQ2746" s="25"/>
      <c r="BR2746" s="25"/>
      <c r="BS2746" s="25"/>
      <c r="BT2746" s="25"/>
      <c r="BU2746"/>
      <c r="BV2746"/>
      <c r="BW2746"/>
      <c r="BX2746"/>
      <c r="BY2746"/>
      <c r="BZ2746"/>
      <c r="CA2746"/>
      <c r="CB2746"/>
      <c r="CC2746"/>
      <c r="CD2746" s="25"/>
    </row>
    <row r="2747" spans="1:82" s="17" customFormat="1" x14ac:dyDescent="0.2">
      <c r="A2747" s="25"/>
      <c r="B2747" s="20">
        <v>39009973500</v>
      </c>
      <c r="C2747" s="20">
        <v>9735</v>
      </c>
      <c r="D2747" s="20" t="s">
        <v>11</v>
      </c>
      <c r="E2747" s="20" t="s">
        <v>265</v>
      </c>
      <c r="F2747" s="20" t="s">
        <v>8</v>
      </c>
      <c r="G2747" s="861">
        <v>31.736412816629102</v>
      </c>
      <c r="H2747" s="861">
        <v>45.311643302569301</v>
      </c>
      <c r="I2747" s="861">
        <v>15.4757340672839</v>
      </c>
      <c r="J2747" s="861">
        <v>42.907966020270003</v>
      </c>
      <c r="K2747" s="982">
        <v>0</v>
      </c>
      <c r="L2747" s="735">
        <v>3697</v>
      </c>
      <c r="M2747" s="735">
        <v>3059</v>
      </c>
      <c r="N2747" s="845">
        <f t="shared" si="197"/>
        <v>-0.17257235596429538</v>
      </c>
      <c r="O2747" s="735">
        <v>106.68706120044699</v>
      </c>
      <c r="P2747" s="735">
        <f t="shared" si="198"/>
        <v>28.67264282641224</v>
      </c>
      <c r="Q2747" s="849">
        <v>51.1</v>
      </c>
      <c r="R2747" s="71">
        <v>64732</v>
      </c>
      <c r="S2747" s="845">
        <v>4.5112781954887216E-2</v>
      </c>
      <c r="T2747" s="845">
        <v>5.4000000000000006E-2</v>
      </c>
      <c r="U2747" s="845">
        <v>0</v>
      </c>
      <c r="V2747" s="845">
        <v>0</v>
      </c>
      <c r="W2747" s="845">
        <v>0.10888888888888888</v>
      </c>
      <c r="X2747" s="845">
        <v>0.11564625850340136</v>
      </c>
      <c r="Y2747" s="845">
        <v>0.92448512585812359</v>
      </c>
      <c r="Z2747" s="845">
        <v>4.6420398823144818E-2</v>
      </c>
      <c r="AA2747" s="845">
        <v>0</v>
      </c>
      <c r="AB2747" s="845">
        <v>0</v>
      </c>
      <c r="AC2747" s="845">
        <v>0</v>
      </c>
      <c r="AD2747" s="845">
        <v>3.9228506047728016E-3</v>
      </c>
      <c r="AE2747" s="845">
        <v>2.5171624713958809E-2</v>
      </c>
      <c r="AF2747" s="845">
        <v>9.8071265119320039E-4</v>
      </c>
      <c r="AG2747" s="845">
        <v>0.92448512585812359</v>
      </c>
      <c r="AH2747" s="20" t="str">
        <f t="shared" si="199"/>
        <v>Yes</v>
      </c>
      <c r="AI2747" s="25"/>
      <c r="AJ2747" s="25"/>
      <c r="AK2747" s="25"/>
      <c r="AL2747" s="25"/>
      <c r="AM2747" s="25"/>
      <c r="AN2747" s="25"/>
      <c r="AO2747" s="25"/>
      <c r="AP2747" s="25"/>
      <c r="AQ2747" s="25"/>
      <c r="AR2747" s="25"/>
      <c r="AS2747" s="25"/>
      <c r="AT2747" s="25"/>
      <c r="AU2747" s="36"/>
      <c r="AV2747" s="36"/>
      <c r="AW2747" s="36"/>
      <c r="AX2747" s="25"/>
      <c r="AY2747" s="25"/>
      <c r="AZ2747" s="25"/>
      <c r="BA2747" s="25"/>
      <c r="BB2747" s="25"/>
      <c r="BC2747" s="25"/>
      <c r="BD2747" s="25"/>
      <c r="BE2747" s="25"/>
      <c r="BF2747" s="25"/>
      <c r="BG2747" s="25"/>
      <c r="BH2747" s="25"/>
      <c r="BI2747" s="25"/>
      <c r="BJ2747" s="25"/>
      <c r="BK2747" s="25"/>
      <c r="BL2747" s="25"/>
      <c r="BM2747" s="25"/>
      <c r="BN2747" s="25"/>
      <c r="BO2747" s="25"/>
      <c r="BP2747" s="25"/>
      <c r="BQ2747" s="25"/>
      <c r="BR2747" s="25"/>
      <c r="BS2747" s="25"/>
      <c r="BT2747" s="25"/>
      <c r="BU2747"/>
      <c r="BV2747"/>
      <c r="BW2747"/>
      <c r="BX2747"/>
      <c r="BY2747"/>
      <c r="BZ2747"/>
      <c r="CA2747"/>
      <c r="CB2747"/>
      <c r="CC2747"/>
      <c r="CD2747" s="25"/>
    </row>
    <row r="2748" spans="1:82" s="17" customFormat="1" x14ac:dyDescent="0.2">
      <c r="A2748" s="25"/>
      <c r="B2748" s="20">
        <v>39095010600</v>
      </c>
      <c r="C2748" s="20">
        <v>106</v>
      </c>
      <c r="D2748" s="20" t="s">
        <v>53</v>
      </c>
      <c r="E2748" s="20" t="s">
        <v>2839</v>
      </c>
      <c r="F2748" s="20" t="s">
        <v>6</v>
      </c>
      <c r="G2748" s="861">
        <v>31.726728825168099</v>
      </c>
      <c r="H2748" s="861">
        <v>35.7615584454391</v>
      </c>
      <c r="I2748" s="861">
        <v>30.5769623648955</v>
      </c>
      <c r="J2748" s="861">
        <v>37.430401066774301</v>
      </c>
      <c r="K2748" s="982">
        <v>2</v>
      </c>
      <c r="L2748" s="735" t="s">
        <v>2466</v>
      </c>
      <c r="M2748" s="735">
        <v>2234</v>
      </c>
      <c r="N2748" s="845" t="str">
        <f t="shared" si="197"/>
        <v/>
      </c>
      <c r="O2748" s="735">
        <v>0.70299627746167537</v>
      </c>
      <c r="P2748" s="735">
        <f t="shared" si="198"/>
        <v>3177.8262156186011</v>
      </c>
      <c r="Q2748" s="849">
        <v>27.7</v>
      </c>
      <c r="R2748" s="71">
        <v>36204</v>
      </c>
      <c r="S2748" s="845">
        <v>0.5752014324082364</v>
      </c>
      <c r="T2748" s="845">
        <v>0.11599999999999999</v>
      </c>
      <c r="U2748" s="845">
        <v>0</v>
      </c>
      <c r="V2748" s="845">
        <v>9.1999999999999998E-2</v>
      </c>
      <c r="W2748" s="845">
        <v>0.78676470588235292</v>
      </c>
      <c r="X2748" s="845">
        <v>0.30140186915887851</v>
      </c>
      <c r="Y2748" s="845">
        <v>0.33213965980304389</v>
      </c>
      <c r="Z2748" s="845">
        <v>0.52282900626678608</v>
      </c>
      <c r="AA2748" s="845">
        <v>0</v>
      </c>
      <c r="AB2748" s="845">
        <v>1.521933751119069E-2</v>
      </c>
      <c r="AC2748" s="845">
        <v>0</v>
      </c>
      <c r="AD2748" s="845">
        <v>1.566696508504924E-2</v>
      </c>
      <c r="AE2748" s="845">
        <v>0.11414503133393017</v>
      </c>
      <c r="AF2748" s="845">
        <v>0.13876454789615039</v>
      </c>
      <c r="AG2748" s="845">
        <v>0.29230080572963296</v>
      </c>
      <c r="AH2748" s="20" t="str">
        <f t="shared" si="199"/>
        <v>No</v>
      </c>
      <c r="AI2748" s="25"/>
      <c r="AJ2748" s="25"/>
      <c r="AK2748" s="25"/>
      <c r="AL2748" s="25"/>
      <c r="AM2748" s="25"/>
      <c r="AN2748" s="25"/>
      <c r="AO2748" s="25"/>
      <c r="AP2748" s="25"/>
      <c r="AQ2748" s="25"/>
      <c r="AR2748" s="25"/>
      <c r="AS2748" s="25"/>
      <c r="AT2748" s="25"/>
      <c r="AU2748" s="36"/>
      <c r="AV2748" s="36"/>
      <c r="AW2748" s="36"/>
      <c r="AX2748" s="25"/>
      <c r="AY2748" s="25"/>
      <c r="AZ2748" s="25"/>
      <c r="BA2748" s="25"/>
      <c r="BB2748" s="25"/>
      <c r="BC2748" s="25"/>
      <c r="BD2748" s="25"/>
      <c r="BE2748" s="25"/>
      <c r="BF2748" s="25"/>
      <c r="BG2748" s="25"/>
      <c r="BH2748" s="25"/>
      <c r="BI2748" s="25"/>
      <c r="BJ2748" s="25"/>
      <c r="BK2748" s="25"/>
      <c r="BL2748" s="25"/>
      <c r="BM2748" s="25"/>
      <c r="BN2748" s="25"/>
      <c r="BO2748" s="25"/>
      <c r="BP2748" s="25"/>
      <c r="BQ2748" s="25"/>
      <c r="BR2748" s="25"/>
      <c r="BS2748" s="25"/>
      <c r="BT2748" s="25"/>
      <c r="BU2748"/>
      <c r="BV2748"/>
      <c r="BW2748"/>
      <c r="BX2748"/>
      <c r="BY2748"/>
      <c r="BZ2748"/>
      <c r="CA2748"/>
      <c r="CB2748"/>
      <c r="CC2748"/>
      <c r="CD2748" s="25"/>
    </row>
    <row r="2749" spans="1:82" s="17" customFormat="1" x14ac:dyDescent="0.2">
      <c r="A2749" s="25"/>
      <c r="B2749" s="20">
        <v>39023002502</v>
      </c>
      <c r="C2749" s="20">
        <v>25.02</v>
      </c>
      <c r="D2749" s="20" t="s">
        <v>18</v>
      </c>
      <c r="E2749" s="20" t="s">
        <v>2838</v>
      </c>
      <c r="F2749" s="20" t="s">
        <v>8</v>
      </c>
      <c r="G2749" s="861">
        <v>31.722027552396</v>
      </c>
      <c r="H2749" s="861">
        <v>28.890838768184501</v>
      </c>
      <c r="I2749" s="861">
        <v>45.568744667331899</v>
      </c>
      <c r="J2749" s="861">
        <v>34.1951867587739</v>
      </c>
      <c r="K2749" s="982">
        <v>0</v>
      </c>
      <c r="L2749" s="735">
        <v>2979</v>
      </c>
      <c r="M2749" s="735">
        <v>3354</v>
      </c>
      <c r="N2749" s="845">
        <f t="shared" si="197"/>
        <v>0.12588116817724068</v>
      </c>
      <c r="O2749" s="735">
        <v>6.7438799941054555</v>
      </c>
      <c r="P2749" s="735">
        <f t="shared" si="198"/>
        <v>497.33981075161358</v>
      </c>
      <c r="Q2749" s="849">
        <v>39.700000000000003</v>
      </c>
      <c r="R2749" s="71">
        <v>46825</v>
      </c>
      <c r="S2749" s="845">
        <v>7.0960047704233753E-2</v>
      </c>
      <c r="T2749" s="845">
        <v>0.14099999999999999</v>
      </c>
      <c r="U2749" s="845">
        <v>0</v>
      </c>
      <c r="V2749" s="845">
        <v>0</v>
      </c>
      <c r="W2749" s="845">
        <v>0.35367454068241472</v>
      </c>
      <c r="X2749" s="845">
        <v>0.47680890538033394</v>
      </c>
      <c r="Y2749" s="845">
        <v>0.90667859272510432</v>
      </c>
      <c r="Z2749" s="845">
        <v>5.6648777579010141E-3</v>
      </c>
      <c r="AA2749" s="845">
        <v>0</v>
      </c>
      <c r="AB2749" s="845">
        <v>8.0500894454382833E-3</v>
      </c>
      <c r="AC2749" s="845">
        <v>0</v>
      </c>
      <c r="AD2749" s="845">
        <v>1.3118664281454979E-2</v>
      </c>
      <c r="AE2749" s="845">
        <v>6.6487775790101372E-2</v>
      </c>
      <c r="AF2749" s="845">
        <v>0</v>
      </c>
      <c r="AG2749" s="845">
        <v>0.90667859272510432</v>
      </c>
      <c r="AH2749" s="20" t="str">
        <f t="shared" si="199"/>
        <v>Yes</v>
      </c>
      <c r="AI2749" s="25"/>
      <c r="AJ2749" s="25"/>
      <c r="AK2749" s="25"/>
      <c r="AL2749" s="25"/>
      <c r="AM2749" s="25"/>
      <c r="AN2749" s="25"/>
      <c r="AO2749" s="25"/>
      <c r="AP2749" s="25"/>
      <c r="AQ2749" s="25"/>
      <c r="AR2749" s="25"/>
      <c r="AS2749" s="25"/>
      <c r="AT2749" s="25"/>
      <c r="AU2749" s="36"/>
      <c r="AV2749" s="36"/>
      <c r="AW2749" s="36"/>
      <c r="AX2749" s="25"/>
      <c r="AY2749" s="25"/>
      <c r="AZ2749" s="25"/>
      <c r="BA2749" s="25"/>
      <c r="BB2749" s="25"/>
      <c r="BC2749" s="25"/>
      <c r="BD2749" s="25"/>
      <c r="BE2749" s="25"/>
      <c r="BF2749" s="25"/>
      <c r="BG2749" s="25"/>
      <c r="BH2749" s="25"/>
      <c r="BI2749" s="25"/>
      <c r="BJ2749" s="25"/>
      <c r="BK2749" s="25"/>
      <c r="BL2749" s="25"/>
      <c r="BM2749" s="25"/>
      <c r="BN2749" s="25"/>
      <c r="BO2749" s="25"/>
      <c r="BP2749" s="25"/>
      <c r="BQ2749" s="25"/>
      <c r="BR2749" s="25"/>
      <c r="BS2749" s="25"/>
      <c r="BT2749" s="25"/>
      <c r="BU2749"/>
      <c r="BV2749"/>
      <c r="BW2749"/>
      <c r="BX2749"/>
      <c r="BY2749"/>
      <c r="BZ2749"/>
      <c r="CA2749"/>
      <c r="CB2749"/>
      <c r="CC2749"/>
      <c r="CD2749" s="25"/>
    </row>
    <row r="2750" spans="1:82" s="17" customFormat="1" x14ac:dyDescent="0.2">
      <c r="A2750" s="25"/>
      <c r="B2750" s="20">
        <v>39061026300</v>
      </c>
      <c r="C2750" s="20">
        <v>263</v>
      </c>
      <c r="D2750" s="20" t="s">
        <v>37</v>
      </c>
      <c r="E2750" s="20" t="s">
        <v>2828</v>
      </c>
      <c r="F2750" s="20" t="s">
        <v>6</v>
      </c>
      <c r="G2750" s="861">
        <v>31.715414781948699</v>
      </c>
      <c r="H2750" s="861">
        <v>25.800088738186201</v>
      </c>
      <c r="I2750" s="861">
        <v>54.032750791690901</v>
      </c>
      <c r="J2750" s="861">
        <v>38.088830358964003</v>
      </c>
      <c r="K2750" s="982">
        <v>1</v>
      </c>
      <c r="L2750" s="735">
        <v>1208</v>
      </c>
      <c r="M2750" s="735">
        <v>1157</v>
      </c>
      <c r="N2750" s="845">
        <f t="shared" si="197"/>
        <v>-4.2218543046357616E-2</v>
      </c>
      <c r="O2750" s="735">
        <v>1.8633641526640059</v>
      </c>
      <c r="P2750" s="735">
        <f t="shared" si="198"/>
        <v>620.91996260949077</v>
      </c>
      <c r="Q2750" s="849">
        <v>29.1</v>
      </c>
      <c r="R2750" s="71">
        <v>12240</v>
      </c>
      <c r="S2750" s="845">
        <v>0.80052493438320205</v>
      </c>
      <c r="T2750" s="845">
        <v>0.26200000000000001</v>
      </c>
      <c r="U2750" s="845">
        <v>0</v>
      </c>
      <c r="V2750" s="845">
        <v>0</v>
      </c>
      <c r="W2750" s="845">
        <v>0.74365482233502533</v>
      </c>
      <c r="X2750" s="845">
        <v>0.68600682593856654</v>
      </c>
      <c r="Y2750" s="845">
        <v>0.45203111495246329</v>
      </c>
      <c r="Z2750" s="845">
        <v>0.42264477095937769</v>
      </c>
      <c r="AA2750" s="845">
        <v>0</v>
      </c>
      <c r="AB2750" s="845">
        <v>0</v>
      </c>
      <c r="AC2750" s="845">
        <v>0</v>
      </c>
      <c r="AD2750" s="845">
        <v>0</v>
      </c>
      <c r="AE2750" s="845">
        <v>0.12532411408815902</v>
      </c>
      <c r="AF2750" s="845">
        <v>1.2964563526361279E-2</v>
      </c>
      <c r="AG2750" s="845">
        <v>0.43906655142610201</v>
      </c>
      <c r="AH2750" s="20" t="str">
        <f t="shared" si="199"/>
        <v>No</v>
      </c>
      <c r="AI2750" s="25"/>
      <c r="AJ2750" s="25"/>
      <c r="AK2750" s="25"/>
      <c r="AL2750" s="25"/>
      <c r="AM2750" s="25"/>
      <c r="AN2750" s="25"/>
      <c r="AO2750" s="25"/>
      <c r="AP2750" s="25"/>
      <c r="AQ2750" s="25"/>
      <c r="AR2750" s="25"/>
      <c r="AS2750" s="25"/>
      <c r="AT2750" s="25"/>
      <c r="AU2750" s="36"/>
      <c r="AV2750" s="36"/>
      <c r="AW2750" s="36"/>
      <c r="AX2750" s="25"/>
      <c r="AY2750" s="25"/>
      <c r="AZ2750" s="25"/>
      <c r="BA2750" s="25"/>
      <c r="BB2750" s="25"/>
      <c r="BC2750" s="25"/>
      <c r="BD2750" s="25"/>
      <c r="BE2750" s="25"/>
      <c r="BF2750" s="25"/>
      <c r="BG2750" s="25"/>
      <c r="BH2750" s="25"/>
      <c r="BI2750" s="25"/>
      <c r="BJ2750" s="25"/>
      <c r="BK2750" s="25"/>
      <c r="BL2750" s="25"/>
      <c r="BM2750" s="25"/>
      <c r="BN2750" s="25"/>
      <c r="BO2750" s="25"/>
      <c r="BP2750" s="25"/>
      <c r="BQ2750" s="25"/>
      <c r="BR2750" s="25"/>
      <c r="BS2750" s="25"/>
      <c r="BT2750" s="25"/>
      <c r="BU2750"/>
      <c r="BV2750"/>
      <c r="BW2750"/>
      <c r="BX2750"/>
      <c r="BY2750"/>
      <c r="BZ2750"/>
      <c r="CA2750"/>
      <c r="CB2750"/>
      <c r="CC2750"/>
      <c r="CD2750" s="25"/>
    </row>
    <row r="2751" spans="1:82" s="17" customFormat="1" x14ac:dyDescent="0.2">
      <c r="A2751" s="25"/>
      <c r="B2751" s="20">
        <v>39017010600</v>
      </c>
      <c r="C2751" s="20">
        <v>106</v>
      </c>
      <c r="D2751" s="20" t="s">
        <v>15</v>
      </c>
      <c r="E2751" s="20" t="s">
        <v>2828</v>
      </c>
      <c r="F2751" s="20" t="s">
        <v>8</v>
      </c>
      <c r="G2751" s="861">
        <v>31.713799188587402</v>
      </c>
      <c r="H2751" s="861">
        <v>45.408339884944702</v>
      </c>
      <c r="I2751" s="861">
        <v>19.6034688660935</v>
      </c>
      <c r="J2751" s="861">
        <v>36.014937344436802</v>
      </c>
      <c r="K2751" s="982">
        <v>0</v>
      </c>
      <c r="L2751" s="735">
        <v>3464</v>
      </c>
      <c r="M2751" s="735">
        <v>3248</v>
      </c>
      <c r="N2751" s="845">
        <f t="shared" si="197"/>
        <v>-6.2355658198614321E-2</v>
      </c>
      <c r="O2751" s="735">
        <v>17.5653501359124</v>
      </c>
      <c r="P2751" s="735">
        <f t="shared" si="198"/>
        <v>184.90949368321765</v>
      </c>
      <c r="Q2751" s="849">
        <v>40.799999999999997</v>
      </c>
      <c r="R2751" s="71">
        <v>71331</v>
      </c>
      <c r="S2751" s="845">
        <v>0.12628304821150854</v>
      </c>
      <c r="T2751" s="845">
        <v>2.7999999999999997E-2</v>
      </c>
      <c r="U2751" s="845">
        <v>0</v>
      </c>
      <c r="V2751" s="845">
        <v>0</v>
      </c>
      <c r="W2751" s="845">
        <v>0.14934497816593886</v>
      </c>
      <c r="X2751" s="845">
        <v>0.19298245614035087</v>
      </c>
      <c r="Y2751" s="845">
        <v>0.98152709359605916</v>
      </c>
      <c r="Z2751" s="845">
        <v>0</v>
      </c>
      <c r="AA2751" s="845">
        <v>0</v>
      </c>
      <c r="AB2751" s="845">
        <v>0</v>
      </c>
      <c r="AC2751" s="845">
        <v>0</v>
      </c>
      <c r="AD2751" s="845">
        <v>0</v>
      </c>
      <c r="AE2751" s="845">
        <v>1.8472906403940888E-2</v>
      </c>
      <c r="AF2751" s="845">
        <v>3.5714285714285712E-2</v>
      </c>
      <c r="AG2751" s="845">
        <v>0.95566502463054193</v>
      </c>
      <c r="AH2751" s="20" t="str">
        <f t="shared" si="199"/>
        <v>Yes</v>
      </c>
      <c r="AI2751" s="25"/>
      <c r="AJ2751" s="25"/>
      <c r="AK2751" s="25"/>
      <c r="AL2751" s="25"/>
      <c r="AM2751" s="25"/>
      <c r="AN2751" s="25"/>
      <c r="AO2751" s="25"/>
      <c r="AP2751" s="25"/>
      <c r="AQ2751" s="25"/>
      <c r="AR2751" s="25"/>
      <c r="AS2751" s="25"/>
      <c r="AT2751" s="25"/>
      <c r="AU2751" s="36"/>
      <c r="AV2751" s="36"/>
      <c r="AW2751" s="36"/>
      <c r="AX2751" s="25"/>
      <c r="AY2751" s="25"/>
      <c r="AZ2751" s="25"/>
      <c r="BA2751" s="25"/>
      <c r="BB2751" s="25"/>
      <c r="BC2751" s="25"/>
      <c r="BD2751" s="25"/>
      <c r="BE2751" s="25"/>
      <c r="BF2751" s="25"/>
      <c r="BG2751" s="25"/>
      <c r="BH2751" s="25"/>
      <c r="BI2751" s="25"/>
      <c r="BJ2751" s="25"/>
      <c r="BK2751" s="25"/>
      <c r="BL2751" s="25"/>
      <c r="BM2751" s="25"/>
      <c r="BN2751" s="25"/>
      <c r="BO2751" s="25"/>
      <c r="BP2751" s="25"/>
      <c r="BQ2751" s="25"/>
      <c r="BR2751" s="25"/>
      <c r="BS2751" s="25"/>
      <c r="BT2751" s="25"/>
      <c r="BU2751"/>
      <c r="BV2751"/>
      <c r="BW2751"/>
      <c r="BX2751"/>
      <c r="BY2751"/>
      <c r="BZ2751"/>
      <c r="CA2751"/>
      <c r="CB2751"/>
      <c r="CC2751"/>
      <c r="CD2751" s="25"/>
    </row>
    <row r="2752" spans="1:82" s="17" customFormat="1" x14ac:dyDescent="0.2">
      <c r="A2752" s="25"/>
      <c r="B2752" s="20">
        <v>39131952602</v>
      </c>
      <c r="C2752" s="20">
        <v>9526.02</v>
      </c>
      <c r="D2752" s="20" t="s">
        <v>71</v>
      </c>
      <c r="E2752" s="20" t="s">
        <v>265</v>
      </c>
      <c r="F2752" s="20" t="s">
        <v>8</v>
      </c>
      <c r="G2752" s="861">
        <v>31.697840528102201</v>
      </c>
      <c r="H2752" s="861">
        <v>45.705331404910297</v>
      </c>
      <c r="I2752" s="861">
        <v>27.352000174315801</v>
      </c>
      <c r="J2752" s="861">
        <v>46.630208296008497</v>
      </c>
      <c r="K2752" s="982">
        <v>0</v>
      </c>
      <c r="L2752" s="735" t="s">
        <v>2466</v>
      </c>
      <c r="M2752" s="735">
        <v>2112</v>
      </c>
      <c r="N2752" s="845" t="str">
        <f t="shared" si="197"/>
        <v/>
      </c>
      <c r="O2752" s="735">
        <v>27.561034247373438</v>
      </c>
      <c r="P2752" s="735">
        <f t="shared" si="198"/>
        <v>76.629925460844177</v>
      </c>
      <c r="Q2752" s="849">
        <v>34.4</v>
      </c>
      <c r="R2752" s="71">
        <v>59269</v>
      </c>
      <c r="S2752" s="845">
        <v>0.15909090909090909</v>
      </c>
      <c r="T2752" s="845">
        <v>9.3000000000000013E-2</v>
      </c>
      <c r="U2752" s="845">
        <v>0</v>
      </c>
      <c r="V2752" s="845">
        <v>6.6000000000000003E-2</v>
      </c>
      <c r="W2752" s="845">
        <v>0.42193548387096774</v>
      </c>
      <c r="X2752" s="845">
        <v>0.44342507645259938</v>
      </c>
      <c r="Y2752" s="845">
        <v>0.95123106060606055</v>
      </c>
      <c r="Z2752" s="845">
        <v>0</v>
      </c>
      <c r="AA2752" s="845">
        <v>1.0890151515151516E-2</v>
      </c>
      <c r="AB2752" s="845">
        <v>0</v>
      </c>
      <c r="AC2752" s="845">
        <v>0</v>
      </c>
      <c r="AD2752" s="845">
        <v>0</v>
      </c>
      <c r="AE2752" s="845">
        <v>3.787878787878788E-2</v>
      </c>
      <c r="AF2752" s="845">
        <v>0</v>
      </c>
      <c r="AG2752" s="845">
        <v>0.95123106060606055</v>
      </c>
      <c r="AH2752" s="20" t="str">
        <f t="shared" si="199"/>
        <v>Yes</v>
      </c>
      <c r="AI2752" s="25"/>
      <c r="AJ2752" s="25"/>
      <c r="AK2752" s="25"/>
      <c r="AL2752" s="25"/>
      <c r="AM2752" s="25"/>
      <c r="AN2752" s="25"/>
      <c r="AO2752" s="25"/>
      <c r="AP2752" s="25"/>
      <c r="AQ2752" s="25"/>
      <c r="AR2752" s="25"/>
      <c r="AS2752" s="25"/>
      <c r="AT2752" s="25"/>
      <c r="AU2752" s="36"/>
      <c r="AV2752" s="36"/>
      <c r="AW2752" s="36"/>
      <c r="AX2752" s="25"/>
      <c r="AY2752" s="25"/>
      <c r="AZ2752" s="25"/>
      <c r="BA2752" s="25"/>
      <c r="BB2752" s="25"/>
      <c r="BC2752" s="25"/>
      <c r="BD2752" s="25"/>
      <c r="BE2752" s="25"/>
      <c r="BF2752" s="25"/>
      <c r="BG2752" s="25"/>
      <c r="BH2752" s="25"/>
      <c r="BI2752" s="25"/>
      <c r="BJ2752" s="25"/>
      <c r="BK2752" s="25"/>
      <c r="BL2752" s="25"/>
      <c r="BM2752" s="25"/>
      <c r="BN2752" s="25"/>
      <c r="BO2752" s="25"/>
      <c r="BP2752" s="25"/>
      <c r="BQ2752" s="25"/>
      <c r="BR2752" s="25"/>
      <c r="BS2752" s="25"/>
      <c r="BT2752" s="25"/>
      <c r="BU2752"/>
      <c r="BV2752"/>
      <c r="BW2752"/>
      <c r="BX2752"/>
      <c r="BY2752"/>
      <c r="BZ2752"/>
      <c r="CA2752"/>
      <c r="CB2752"/>
      <c r="CC2752"/>
      <c r="CD2752" s="25"/>
    </row>
    <row r="2753" spans="1:82" s="17" customFormat="1" x14ac:dyDescent="0.2">
      <c r="A2753" s="25"/>
      <c r="B2753" s="20">
        <v>39035117102</v>
      </c>
      <c r="C2753" s="20">
        <v>1171.02</v>
      </c>
      <c r="D2753" s="20" t="s">
        <v>24</v>
      </c>
      <c r="E2753" s="20" t="s">
        <v>2829</v>
      </c>
      <c r="F2753" s="20" t="s">
        <v>8</v>
      </c>
      <c r="G2753" s="861">
        <v>31.678061475881901</v>
      </c>
      <c r="H2753" s="861">
        <v>49.916818969862497</v>
      </c>
      <c r="I2753" s="861">
        <v>76.699696052575405</v>
      </c>
      <c r="J2753" s="861">
        <v>54.766310251967603</v>
      </c>
      <c r="K2753" s="982">
        <v>0</v>
      </c>
      <c r="L2753" s="735">
        <v>1213</v>
      </c>
      <c r="M2753" s="735">
        <v>786</v>
      </c>
      <c r="N2753" s="845">
        <f t="shared" si="197"/>
        <v>-0.35201978565539982</v>
      </c>
      <c r="O2753" s="735">
        <v>0.38194538275312778</v>
      </c>
      <c r="P2753" s="735">
        <f t="shared" si="198"/>
        <v>2057.8858535594209</v>
      </c>
      <c r="Q2753" s="849">
        <v>45.1</v>
      </c>
      <c r="R2753" s="71">
        <v>32955</v>
      </c>
      <c r="S2753" s="845">
        <v>0.16284987277353691</v>
      </c>
      <c r="T2753" s="845">
        <v>0</v>
      </c>
      <c r="U2753" s="845">
        <v>0.113</v>
      </c>
      <c r="V2753" s="845">
        <v>8.1000000000000003E-2</v>
      </c>
      <c r="W2753" s="845">
        <v>0.53465346534653468</v>
      </c>
      <c r="X2753" s="845">
        <v>0.6342592592592593</v>
      </c>
      <c r="Y2753" s="845">
        <v>4.4529262086513997E-2</v>
      </c>
      <c r="Z2753" s="845">
        <v>0.93893129770992367</v>
      </c>
      <c r="AA2753" s="845">
        <v>0</v>
      </c>
      <c r="AB2753" s="845">
        <v>0</v>
      </c>
      <c r="AC2753" s="845">
        <v>0</v>
      </c>
      <c r="AD2753" s="845">
        <v>0</v>
      </c>
      <c r="AE2753" s="845">
        <v>1.653944020356234E-2</v>
      </c>
      <c r="AF2753" s="845">
        <v>0</v>
      </c>
      <c r="AG2753" s="845">
        <v>4.4529262086513997E-2</v>
      </c>
      <c r="AH2753" s="20" t="str">
        <f t="shared" si="199"/>
        <v>No</v>
      </c>
      <c r="AI2753" s="25"/>
      <c r="AJ2753" s="25"/>
      <c r="AK2753" s="25"/>
      <c r="AL2753" s="25"/>
      <c r="AM2753" s="25"/>
      <c r="AN2753" s="25"/>
      <c r="AO2753" s="25"/>
      <c r="AP2753" s="25"/>
      <c r="AQ2753" s="25"/>
      <c r="AR2753" s="25"/>
      <c r="AS2753" s="25"/>
      <c r="AT2753" s="25"/>
      <c r="AU2753" s="36"/>
      <c r="AV2753" s="36"/>
      <c r="AW2753" s="36"/>
      <c r="AX2753" s="25"/>
      <c r="AY2753" s="25"/>
      <c r="AZ2753" s="25"/>
      <c r="BA2753" s="25"/>
      <c r="BB2753" s="25"/>
      <c r="BC2753" s="25"/>
      <c r="BD2753" s="25"/>
      <c r="BE2753" s="25"/>
      <c r="BF2753" s="25"/>
      <c r="BG2753" s="25"/>
      <c r="BH2753" s="25"/>
      <c r="BI2753" s="25"/>
      <c r="BJ2753" s="25"/>
      <c r="BK2753" s="25"/>
      <c r="BL2753" s="25"/>
      <c r="BM2753" s="25"/>
      <c r="BN2753" s="25"/>
      <c r="BO2753" s="25"/>
      <c r="BP2753" s="25"/>
      <c r="BQ2753" s="25"/>
      <c r="BR2753" s="25"/>
      <c r="BS2753" s="25"/>
      <c r="BT2753" s="25"/>
      <c r="BU2753"/>
      <c r="BV2753"/>
      <c r="BW2753"/>
      <c r="BX2753"/>
      <c r="BY2753"/>
      <c r="BZ2753"/>
      <c r="CA2753"/>
      <c r="CB2753"/>
      <c r="CC2753"/>
      <c r="CD2753" s="25"/>
    </row>
    <row r="2754" spans="1:82" s="17" customFormat="1" x14ac:dyDescent="0.2">
      <c r="A2754" s="25"/>
      <c r="B2754" s="20">
        <v>39085206700</v>
      </c>
      <c r="C2754" s="20">
        <v>2067</v>
      </c>
      <c r="D2754" s="20" t="s">
        <v>48</v>
      </c>
      <c r="E2754" s="20" t="s">
        <v>2829</v>
      </c>
      <c r="F2754" s="20" t="s">
        <v>8</v>
      </c>
      <c r="G2754" s="861">
        <v>31.640974789396299</v>
      </c>
      <c r="H2754" s="861">
        <v>32.051690532923899</v>
      </c>
      <c r="I2754" s="861">
        <v>43.787871697389598</v>
      </c>
      <c r="J2754" s="861">
        <v>39.4093847522403</v>
      </c>
      <c r="K2754" s="982">
        <v>0</v>
      </c>
      <c r="L2754" s="735" t="s">
        <v>2466</v>
      </c>
      <c r="M2754" s="735">
        <v>5703</v>
      </c>
      <c r="N2754" s="845" t="str">
        <f t="shared" si="197"/>
        <v/>
      </c>
      <c r="O2754" s="735">
        <v>19.229114144466092</v>
      </c>
      <c r="P2754" s="735">
        <f t="shared" si="198"/>
        <v>296.58152513704096</v>
      </c>
      <c r="Q2754" s="849">
        <v>46</v>
      </c>
      <c r="R2754" s="71">
        <v>64200</v>
      </c>
      <c r="S2754" s="845">
        <v>0.12008813808299669</v>
      </c>
      <c r="T2754" s="845">
        <v>2.7000000000000003E-2</v>
      </c>
      <c r="U2754" s="845">
        <v>2E-3</v>
      </c>
      <c r="V2754" s="845">
        <v>0</v>
      </c>
      <c r="W2754" s="845">
        <v>0.20568561872909699</v>
      </c>
      <c r="X2754" s="845">
        <v>0.3516260162601626</v>
      </c>
      <c r="Y2754" s="845">
        <v>0.91688584955286689</v>
      </c>
      <c r="Z2754" s="845">
        <v>1.4027704716815712E-3</v>
      </c>
      <c r="AA2754" s="845">
        <v>0</v>
      </c>
      <c r="AB2754" s="845">
        <v>2.4548483254427495E-3</v>
      </c>
      <c r="AC2754" s="845">
        <v>0</v>
      </c>
      <c r="AD2754" s="845">
        <v>0</v>
      </c>
      <c r="AE2754" s="845">
        <v>7.9256531650008774E-2</v>
      </c>
      <c r="AF2754" s="845">
        <v>1.9638786603541996E-2</v>
      </c>
      <c r="AG2754" s="845">
        <v>0.90864457303173773</v>
      </c>
      <c r="AH2754" s="20" t="str">
        <f t="shared" si="199"/>
        <v>Yes</v>
      </c>
      <c r="AI2754" s="25"/>
      <c r="AJ2754" s="25"/>
      <c r="AK2754" s="25"/>
      <c r="AL2754" s="25"/>
      <c r="AM2754" s="25"/>
      <c r="AN2754" s="25"/>
      <c r="AO2754" s="25"/>
      <c r="AP2754" s="25"/>
      <c r="AQ2754" s="25"/>
      <c r="AR2754" s="25"/>
      <c r="AS2754" s="25"/>
      <c r="AT2754" s="25"/>
      <c r="AU2754" s="36"/>
      <c r="AV2754" s="36"/>
      <c r="AW2754" s="36"/>
      <c r="AX2754" s="25"/>
      <c r="AY2754" s="25"/>
      <c r="AZ2754" s="25"/>
      <c r="BA2754" s="25"/>
      <c r="BB2754" s="25"/>
      <c r="BC2754" s="25"/>
      <c r="BD2754" s="25"/>
      <c r="BE2754" s="25"/>
      <c r="BF2754" s="25"/>
      <c r="BG2754" s="25"/>
      <c r="BH2754" s="25"/>
      <c r="BI2754" s="25"/>
      <c r="BJ2754" s="25"/>
      <c r="BK2754" s="25"/>
      <c r="BL2754" s="25"/>
      <c r="BM2754" s="25"/>
      <c r="BN2754" s="25"/>
      <c r="BO2754" s="25"/>
      <c r="BP2754" s="25"/>
      <c r="BQ2754" s="25"/>
      <c r="BR2754" s="25"/>
      <c r="BS2754" s="25"/>
      <c r="BT2754" s="25"/>
      <c r="BU2754"/>
      <c r="BV2754"/>
      <c r="BW2754"/>
      <c r="BX2754"/>
      <c r="BY2754"/>
      <c r="BZ2754"/>
      <c r="CA2754"/>
      <c r="CB2754"/>
      <c r="CC2754"/>
      <c r="CD2754" s="25"/>
    </row>
    <row r="2755" spans="1:82" s="17" customFormat="1" x14ac:dyDescent="0.2">
      <c r="A2755" s="25"/>
      <c r="B2755" s="20">
        <v>39113080200</v>
      </c>
      <c r="C2755" s="20">
        <v>802</v>
      </c>
      <c r="D2755" s="20" t="s">
        <v>62</v>
      </c>
      <c r="E2755" s="20" t="s">
        <v>2833</v>
      </c>
      <c r="F2755" s="20" t="s">
        <v>8</v>
      </c>
      <c r="G2755" s="861">
        <v>31.6347649063269</v>
      </c>
      <c r="H2755" s="861">
        <v>55.431797121105703</v>
      </c>
      <c r="I2755" s="861">
        <v>36.586033975778001</v>
      </c>
      <c r="J2755" s="861">
        <v>45.810869361600702</v>
      </c>
      <c r="K2755" s="982">
        <v>0</v>
      </c>
      <c r="L2755" s="735">
        <v>2781</v>
      </c>
      <c r="M2755" s="735">
        <v>2352</v>
      </c>
      <c r="N2755" s="845">
        <f t="shared" si="197"/>
        <v>-0.15426105717367852</v>
      </c>
      <c r="O2755" s="735">
        <v>1.3572201302499416</v>
      </c>
      <c r="P2755" s="735">
        <f t="shared" si="198"/>
        <v>1732.9539605096063</v>
      </c>
      <c r="Q2755" s="849">
        <v>53.3</v>
      </c>
      <c r="R2755" s="71">
        <v>76382</v>
      </c>
      <c r="S2755" s="845">
        <v>0.16680923866552608</v>
      </c>
      <c r="T2755" s="845">
        <v>2.5000000000000001E-2</v>
      </c>
      <c r="U2755" s="845">
        <v>0</v>
      </c>
      <c r="V2755" s="845">
        <v>0.27500000000000002</v>
      </c>
      <c r="W2755" s="845">
        <v>0.09</v>
      </c>
      <c r="X2755" s="845">
        <v>0.90740740740740744</v>
      </c>
      <c r="Y2755" s="845">
        <v>0.53358843537414968</v>
      </c>
      <c r="Z2755" s="845">
        <v>0.45323129251700678</v>
      </c>
      <c r="AA2755" s="845">
        <v>0</v>
      </c>
      <c r="AB2755" s="845">
        <v>1.2755102040816326E-3</v>
      </c>
      <c r="AC2755" s="845">
        <v>0</v>
      </c>
      <c r="AD2755" s="845">
        <v>5.5272108843537416E-3</v>
      </c>
      <c r="AE2755" s="845">
        <v>6.3775510204081634E-3</v>
      </c>
      <c r="AF2755" s="845">
        <v>0</v>
      </c>
      <c r="AG2755" s="845">
        <v>0.53358843537414968</v>
      </c>
      <c r="AH2755" s="20" t="str">
        <f t="shared" si="199"/>
        <v>No</v>
      </c>
      <c r="AI2755" s="25"/>
      <c r="AJ2755" s="25"/>
      <c r="AK2755" s="25"/>
      <c r="AL2755" s="25"/>
      <c r="AM2755" s="25"/>
      <c r="AN2755" s="25"/>
      <c r="AO2755" s="25"/>
      <c r="AP2755" s="25"/>
      <c r="AQ2755" s="25"/>
      <c r="AR2755" s="25"/>
      <c r="AS2755" s="25"/>
      <c r="AT2755" s="25"/>
      <c r="AU2755" s="36"/>
      <c r="AV2755" s="36"/>
      <c r="AW2755" s="36"/>
      <c r="AX2755" s="25"/>
      <c r="AY2755" s="25"/>
      <c r="AZ2755" s="25"/>
      <c r="BA2755" s="25"/>
      <c r="BB2755" s="25"/>
      <c r="BC2755" s="25"/>
      <c r="BD2755" s="25"/>
      <c r="BE2755" s="25"/>
      <c r="BF2755" s="25"/>
      <c r="BG2755" s="25"/>
      <c r="BH2755" s="25"/>
      <c r="BI2755" s="25"/>
      <c r="BJ2755" s="25"/>
      <c r="BK2755" s="25"/>
      <c r="BL2755" s="25"/>
      <c r="BM2755" s="25"/>
      <c r="BN2755" s="25"/>
      <c r="BO2755" s="25"/>
      <c r="BP2755" s="25"/>
      <c r="BQ2755" s="25"/>
      <c r="BR2755" s="25"/>
      <c r="BS2755" s="25"/>
      <c r="BT2755" s="25"/>
      <c r="BU2755"/>
      <c r="BV2755"/>
      <c r="BW2755"/>
      <c r="BX2755"/>
      <c r="BY2755"/>
      <c r="BZ2755"/>
      <c r="CA2755"/>
      <c r="CB2755"/>
      <c r="CC2755"/>
      <c r="CD2755" s="25"/>
    </row>
    <row r="2756" spans="1:82" s="17" customFormat="1" x14ac:dyDescent="0.2">
      <c r="A2756" s="25"/>
      <c r="B2756" s="20">
        <v>39053954100</v>
      </c>
      <c r="C2756" s="20">
        <v>9541</v>
      </c>
      <c r="D2756" s="20" t="s">
        <v>33</v>
      </c>
      <c r="E2756" s="20" t="s">
        <v>265</v>
      </c>
      <c r="F2756" s="20" t="s">
        <v>8</v>
      </c>
      <c r="G2756" s="861">
        <v>31.624298320247402</v>
      </c>
      <c r="H2756" s="861">
        <v>38.949684895263402</v>
      </c>
      <c r="I2756" s="861">
        <v>38.037436926116001</v>
      </c>
      <c r="J2756" s="861">
        <v>0</v>
      </c>
      <c r="K2756" s="982">
        <v>0</v>
      </c>
      <c r="L2756" s="735">
        <v>2424</v>
      </c>
      <c r="M2756" s="735">
        <v>2239</v>
      </c>
      <c r="N2756" s="845">
        <f t="shared" si="197"/>
        <v>-7.6320132013201314E-2</v>
      </c>
      <c r="O2756" s="735">
        <v>13.46013862588736</v>
      </c>
      <c r="P2756" s="735">
        <f t="shared" si="198"/>
        <v>166.34301192811034</v>
      </c>
      <c r="Q2756" s="849">
        <v>48.7</v>
      </c>
      <c r="R2756" s="71">
        <v>47830</v>
      </c>
      <c r="S2756" s="845">
        <v>0.13753449862005521</v>
      </c>
      <c r="T2756" s="845">
        <v>0</v>
      </c>
      <c r="U2756" s="845">
        <v>0</v>
      </c>
      <c r="V2756" s="845">
        <v>5.7999999999999996E-2</v>
      </c>
      <c r="W2756" s="845">
        <v>0.31555153707052441</v>
      </c>
      <c r="X2756" s="845">
        <v>0.38681948424068768</v>
      </c>
      <c r="Y2756" s="845">
        <v>0.89548905761500674</v>
      </c>
      <c r="Z2756" s="845">
        <v>8.9325591782045549E-3</v>
      </c>
      <c r="AA2756" s="845">
        <v>0</v>
      </c>
      <c r="AB2756" s="845">
        <v>8.0393032603841008E-3</v>
      </c>
      <c r="AC2756" s="845">
        <v>0</v>
      </c>
      <c r="AD2756" s="845">
        <v>3.0370701205895488E-2</v>
      </c>
      <c r="AE2756" s="845">
        <v>5.7168378740509153E-2</v>
      </c>
      <c r="AF2756" s="845">
        <v>2.5904421616793211E-2</v>
      </c>
      <c r="AG2756" s="845">
        <v>0.89548905761500674</v>
      </c>
      <c r="AH2756" s="20" t="str">
        <f t="shared" si="199"/>
        <v>No</v>
      </c>
      <c r="AI2756" s="25"/>
      <c r="AJ2756" s="25"/>
      <c r="AK2756" s="25"/>
      <c r="AL2756" s="25"/>
      <c r="AM2756" s="25"/>
      <c r="AN2756" s="25"/>
      <c r="AO2756" s="25"/>
      <c r="AP2756" s="25"/>
      <c r="AQ2756" s="25"/>
      <c r="AR2756" s="25"/>
      <c r="AS2756" s="25"/>
      <c r="AT2756" s="25"/>
      <c r="AU2756" s="36"/>
      <c r="AV2756" s="36"/>
      <c r="AW2756" s="36"/>
      <c r="AX2756" s="25"/>
      <c r="AY2756" s="25"/>
      <c r="AZ2756" s="25"/>
      <c r="BA2756" s="25"/>
      <c r="BB2756" s="25"/>
      <c r="BC2756" s="25"/>
      <c r="BD2756" s="25"/>
      <c r="BE2756" s="25"/>
      <c r="BF2756" s="25"/>
      <c r="BG2756" s="25"/>
      <c r="BH2756" s="25"/>
      <c r="BI2756" s="25"/>
      <c r="BJ2756" s="25"/>
      <c r="BK2756" s="25"/>
      <c r="BL2756" s="25"/>
      <c r="BM2756" s="25"/>
      <c r="BN2756" s="25"/>
      <c r="BO2756" s="25"/>
      <c r="BP2756" s="25"/>
      <c r="BQ2756" s="25"/>
      <c r="BR2756" s="25"/>
      <c r="BS2756" s="25"/>
      <c r="BT2756" s="25"/>
      <c r="BU2756"/>
      <c r="BV2756"/>
      <c r="BW2756"/>
      <c r="BX2756"/>
      <c r="BY2756"/>
      <c r="BZ2756"/>
      <c r="CA2756"/>
      <c r="CB2756"/>
      <c r="CC2756"/>
      <c r="CD2756" s="25"/>
    </row>
    <row r="2757" spans="1:82" s="17" customFormat="1" x14ac:dyDescent="0.2">
      <c r="A2757" s="25"/>
      <c r="B2757" s="20">
        <v>39073965000</v>
      </c>
      <c r="C2757" s="20">
        <v>9650</v>
      </c>
      <c r="D2757" s="20" t="s">
        <v>43</v>
      </c>
      <c r="E2757" s="20" t="s">
        <v>2830</v>
      </c>
      <c r="F2757" s="20" t="s">
        <v>8</v>
      </c>
      <c r="G2757" s="861">
        <v>31.623880648359599</v>
      </c>
      <c r="H2757" s="861">
        <v>31.613241048215301</v>
      </c>
      <c r="I2757" s="861">
        <v>31.8362953909113</v>
      </c>
      <c r="J2757" s="861">
        <v>63.092343530165302</v>
      </c>
      <c r="K2757" s="982">
        <v>0</v>
      </c>
      <c r="L2757" s="735">
        <v>3164</v>
      </c>
      <c r="M2757" s="735">
        <v>3912</v>
      </c>
      <c r="N2757" s="845">
        <f t="shared" si="197"/>
        <v>0.23640960809102401</v>
      </c>
      <c r="O2757" s="735">
        <v>91.102991202534909</v>
      </c>
      <c r="P2757" s="735">
        <f t="shared" si="198"/>
        <v>42.940412256092308</v>
      </c>
      <c r="Q2757" s="849">
        <v>45.7</v>
      </c>
      <c r="R2757" s="71">
        <v>46993</v>
      </c>
      <c r="S2757" s="845">
        <v>0.18992842535787322</v>
      </c>
      <c r="T2757" s="845">
        <v>0.11</v>
      </c>
      <c r="U2757" s="845">
        <v>0</v>
      </c>
      <c r="V2757" s="845">
        <v>0</v>
      </c>
      <c r="W2757" s="845">
        <v>0.11480362537764351</v>
      </c>
      <c r="X2757" s="845">
        <v>0.38421052631578945</v>
      </c>
      <c r="Y2757" s="845">
        <v>0.96600204498977504</v>
      </c>
      <c r="Z2757" s="845">
        <v>2.0449897750511249E-3</v>
      </c>
      <c r="AA2757" s="845">
        <v>0</v>
      </c>
      <c r="AB2757" s="845">
        <v>0</v>
      </c>
      <c r="AC2757" s="845">
        <v>0</v>
      </c>
      <c r="AD2757" s="845">
        <v>5.3680981595092027E-3</v>
      </c>
      <c r="AE2757" s="845">
        <v>2.6584867075664622E-2</v>
      </c>
      <c r="AF2757" s="845">
        <v>5.3680981595092027E-3</v>
      </c>
      <c r="AG2757" s="845">
        <v>0.96600204498977504</v>
      </c>
      <c r="AH2757" s="20" t="str">
        <f t="shared" si="199"/>
        <v>Yes</v>
      </c>
      <c r="AI2757" s="25"/>
      <c r="AJ2757" s="25"/>
      <c r="AK2757" s="25"/>
      <c r="AL2757" s="25"/>
      <c r="AM2757" s="25"/>
      <c r="AN2757" s="25"/>
      <c r="AO2757" s="25"/>
      <c r="AP2757" s="25"/>
      <c r="AQ2757" s="25"/>
      <c r="AR2757" s="25"/>
      <c r="AS2757" s="25"/>
      <c r="AT2757" s="25"/>
      <c r="AU2757" s="36"/>
      <c r="AV2757" s="36"/>
      <c r="AW2757" s="36"/>
      <c r="AX2757" s="25"/>
      <c r="AY2757" s="25"/>
      <c r="AZ2757" s="25"/>
      <c r="BA2757" s="25"/>
      <c r="BB2757" s="25"/>
      <c r="BC2757" s="25"/>
      <c r="BD2757" s="25"/>
      <c r="BE2757" s="25"/>
      <c r="BF2757" s="25"/>
      <c r="BG2757" s="25"/>
      <c r="BH2757" s="25"/>
      <c r="BI2757" s="25"/>
      <c r="BJ2757" s="25"/>
      <c r="BK2757" s="25"/>
      <c r="BL2757" s="25"/>
      <c r="BM2757" s="25"/>
      <c r="BN2757" s="25"/>
      <c r="BO2757" s="25"/>
      <c r="BP2757" s="25"/>
      <c r="BQ2757" s="25"/>
      <c r="BR2757" s="25"/>
      <c r="BS2757" s="25"/>
      <c r="BT2757" s="25"/>
      <c r="BU2757"/>
      <c r="BV2757"/>
      <c r="BW2757"/>
      <c r="BX2757"/>
      <c r="BY2757"/>
      <c r="BZ2757"/>
      <c r="CA2757"/>
      <c r="CB2757"/>
      <c r="CC2757"/>
      <c r="CD2757" s="25"/>
    </row>
    <row r="2758" spans="1:82" s="17" customFormat="1" x14ac:dyDescent="0.2">
      <c r="A2758" s="25"/>
      <c r="B2758" s="20">
        <v>39023000200</v>
      </c>
      <c r="C2758" s="20">
        <v>2</v>
      </c>
      <c r="D2758" s="20" t="s">
        <v>18</v>
      </c>
      <c r="E2758" s="20" t="s">
        <v>2838</v>
      </c>
      <c r="F2758" s="20" t="s">
        <v>6</v>
      </c>
      <c r="G2758" s="861">
        <v>31.589836127845299</v>
      </c>
      <c r="H2758" s="861">
        <v>47.590759259845399</v>
      </c>
      <c r="I2758" s="861">
        <v>89.277266936797503</v>
      </c>
      <c r="J2758" s="861">
        <v>32.6671223614808</v>
      </c>
      <c r="K2758" s="982">
        <v>0</v>
      </c>
      <c r="L2758" s="735">
        <v>1689</v>
      </c>
      <c r="M2758" s="735">
        <v>1513</v>
      </c>
      <c r="N2758" s="845">
        <f t="shared" si="197"/>
        <v>-0.10420367081113084</v>
      </c>
      <c r="O2758" s="735">
        <v>0.34647803846481751</v>
      </c>
      <c r="P2758" s="735">
        <f t="shared" si="198"/>
        <v>4366.799138854034</v>
      </c>
      <c r="Q2758" s="849">
        <v>35.299999999999997</v>
      </c>
      <c r="R2758" s="71">
        <v>30893</v>
      </c>
      <c r="S2758" s="845">
        <v>0.21877065432914738</v>
      </c>
      <c r="T2758" s="845">
        <v>9.9000000000000005E-2</v>
      </c>
      <c r="U2758" s="845">
        <v>0</v>
      </c>
      <c r="V2758" s="845">
        <v>0</v>
      </c>
      <c r="W2758" s="845">
        <v>0.58555729984301408</v>
      </c>
      <c r="X2758" s="845">
        <v>0.71581769436997322</v>
      </c>
      <c r="Y2758" s="845">
        <v>0.39325842696629215</v>
      </c>
      <c r="Z2758" s="845">
        <v>0.48314606741573035</v>
      </c>
      <c r="AA2758" s="845">
        <v>7.2703238598810314E-3</v>
      </c>
      <c r="AB2758" s="845">
        <v>0</v>
      </c>
      <c r="AC2758" s="845">
        <v>0</v>
      </c>
      <c r="AD2758" s="845">
        <v>4.8248512888301391E-2</v>
      </c>
      <c r="AE2758" s="845">
        <v>6.8076668869795104E-2</v>
      </c>
      <c r="AF2758" s="845">
        <v>0.14011896893588896</v>
      </c>
      <c r="AG2758" s="845">
        <v>0.30865829477858558</v>
      </c>
      <c r="AH2758" s="20" t="str">
        <f t="shared" si="199"/>
        <v>No</v>
      </c>
      <c r="AI2758" s="25"/>
      <c r="AJ2758" s="25"/>
      <c r="AK2758" s="25"/>
      <c r="AL2758" s="25"/>
      <c r="AM2758" s="25"/>
      <c r="AN2758" s="25"/>
      <c r="AO2758" s="25"/>
      <c r="AP2758" s="25"/>
      <c r="AQ2758" s="25"/>
      <c r="AR2758" s="25"/>
      <c r="AS2758" s="25"/>
      <c r="AT2758" s="25"/>
      <c r="AU2758" s="36"/>
      <c r="AV2758" s="36"/>
      <c r="AW2758" s="36"/>
      <c r="AX2758" s="25"/>
      <c r="AY2758" s="25"/>
      <c r="AZ2758" s="25"/>
      <c r="BA2758" s="25"/>
      <c r="BB2758" s="25"/>
      <c r="BC2758" s="25"/>
      <c r="BD2758" s="25"/>
      <c r="BE2758" s="25"/>
      <c r="BF2758" s="25"/>
      <c r="BG2758" s="25"/>
      <c r="BH2758" s="25"/>
      <c r="BI2758" s="25"/>
      <c r="BJ2758" s="25"/>
      <c r="BK2758" s="25"/>
      <c r="BL2758" s="25"/>
      <c r="BM2758" s="25"/>
      <c r="BN2758" s="25"/>
      <c r="BO2758" s="25"/>
      <c r="BP2758" s="25"/>
      <c r="BQ2758" s="25"/>
      <c r="BR2758" s="25"/>
      <c r="BS2758" s="25"/>
      <c r="BT2758" s="25"/>
      <c r="BU2758"/>
      <c r="BV2758"/>
      <c r="BW2758"/>
      <c r="BX2758"/>
      <c r="BY2758"/>
      <c r="BZ2758"/>
      <c r="CA2758"/>
      <c r="CB2758"/>
      <c r="CC2758"/>
      <c r="CD2758" s="25"/>
    </row>
    <row r="2759" spans="1:82" s="17" customFormat="1" x14ac:dyDescent="0.2">
      <c r="A2759" s="25"/>
      <c r="B2759" s="20">
        <v>39019720100</v>
      </c>
      <c r="C2759" s="20">
        <v>7201</v>
      </c>
      <c r="D2759" s="20" t="s">
        <v>16</v>
      </c>
      <c r="E2759" s="20" t="s">
        <v>2844</v>
      </c>
      <c r="F2759" s="20" t="s">
        <v>8</v>
      </c>
      <c r="G2759" s="861">
        <v>31.556582726555501</v>
      </c>
      <c r="H2759" s="861">
        <v>47.4554248981431</v>
      </c>
      <c r="I2759" s="861">
        <v>17.732510076068898</v>
      </c>
      <c r="J2759" s="861">
        <v>50.204583793109897</v>
      </c>
      <c r="K2759" s="982">
        <v>0</v>
      </c>
      <c r="L2759" s="735">
        <v>3559</v>
      </c>
      <c r="M2759" s="735">
        <v>2945</v>
      </c>
      <c r="N2759" s="845">
        <f t="shared" si="197"/>
        <v>-0.17252037089069963</v>
      </c>
      <c r="O2759" s="735">
        <v>72.161844403216207</v>
      </c>
      <c r="P2759" s="735">
        <f t="shared" si="198"/>
        <v>40.811041130605346</v>
      </c>
      <c r="Q2759" s="849">
        <v>38.4</v>
      </c>
      <c r="R2759" s="71">
        <v>79414</v>
      </c>
      <c r="S2759" s="845">
        <v>4.9235993208828523E-2</v>
      </c>
      <c r="T2759" s="845">
        <v>2.7999999999999997E-2</v>
      </c>
      <c r="U2759" s="845">
        <v>2.8999999999999998E-2</v>
      </c>
      <c r="V2759" s="845">
        <v>0</v>
      </c>
      <c r="W2759" s="845">
        <v>0.11585944919278253</v>
      </c>
      <c r="X2759" s="845">
        <v>4.9180327868852458E-2</v>
      </c>
      <c r="Y2759" s="845">
        <v>0.93548387096774188</v>
      </c>
      <c r="Z2759" s="845">
        <v>0</v>
      </c>
      <c r="AA2759" s="845">
        <v>0</v>
      </c>
      <c r="AB2759" s="845">
        <v>0</v>
      </c>
      <c r="AC2759" s="845">
        <v>0</v>
      </c>
      <c r="AD2759" s="845">
        <v>0</v>
      </c>
      <c r="AE2759" s="845">
        <v>6.4516129032258063E-2</v>
      </c>
      <c r="AF2759" s="845">
        <v>8.8285229202037345E-3</v>
      </c>
      <c r="AG2759" s="845">
        <v>0.93548387096774188</v>
      </c>
      <c r="AH2759" s="20" t="str">
        <f t="shared" si="199"/>
        <v>Yes</v>
      </c>
      <c r="AI2759" s="25"/>
      <c r="AJ2759" s="25"/>
      <c r="AK2759" s="25"/>
      <c r="AL2759" s="25"/>
      <c r="AM2759" s="25"/>
      <c r="AN2759" s="25"/>
      <c r="AO2759" s="25"/>
      <c r="AP2759" s="25"/>
      <c r="AQ2759" s="25"/>
      <c r="AR2759" s="25"/>
      <c r="AS2759" s="25"/>
      <c r="AT2759" s="25"/>
      <c r="AU2759" s="36"/>
      <c r="AV2759" s="36"/>
      <c r="AW2759" s="36"/>
      <c r="AX2759" s="25"/>
      <c r="AY2759" s="25"/>
      <c r="AZ2759" s="25"/>
      <c r="BA2759" s="25"/>
      <c r="BB2759" s="25"/>
      <c r="BC2759" s="25"/>
      <c r="BD2759" s="25"/>
      <c r="BE2759" s="25"/>
      <c r="BF2759" s="25"/>
      <c r="BG2759" s="25"/>
      <c r="BH2759" s="25"/>
      <c r="BI2759" s="25"/>
      <c r="BJ2759" s="25"/>
      <c r="BK2759" s="25"/>
      <c r="BL2759" s="25"/>
      <c r="BM2759" s="25"/>
      <c r="BN2759" s="25"/>
      <c r="BO2759" s="25"/>
      <c r="BP2759" s="25"/>
      <c r="BQ2759" s="25"/>
      <c r="BR2759" s="25"/>
      <c r="BS2759" s="25"/>
      <c r="BT2759" s="25"/>
      <c r="BU2759"/>
      <c r="BV2759"/>
      <c r="BW2759"/>
      <c r="BX2759"/>
      <c r="BY2759"/>
      <c r="BZ2759"/>
      <c r="CA2759"/>
      <c r="CB2759"/>
      <c r="CC2759"/>
      <c r="CD2759" s="25"/>
    </row>
    <row r="2760" spans="1:82" s="17" customFormat="1" x14ac:dyDescent="0.2">
      <c r="A2760" s="25"/>
      <c r="B2760" s="20">
        <v>39035121200</v>
      </c>
      <c r="C2760" s="20">
        <v>1212</v>
      </c>
      <c r="D2760" s="20" t="s">
        <v>24</v>
      </c>
      <c r="E2760" s="20" t="s">
        <v>2829</v>
      </c>
      <c r="F2760" s="20" t="s">
        <v>8</v>
      </c>
      <c r="G2760" s="861">
        <v>31.545861456475901</v>
      </c>
      <c r="H2760" s="861">
        <v>16.354411443738499</v>
      </c>
      <c r="I2760" s="861">
        <v>84.758557567660404</v>
      </c>
      <c r="J2760" s="861">
        <v>25.759342195983901</v>
      </c>
      <c r="K2760" s="982">
        <v>0</v>
      </c>
      <c r="L2760" s="735">
        <v>1665</v>
      </c>
      <c r="M2760" s="735">
        <v>1176</v>
      </c>
      <c r="N2760" s="845">
        <f t="shared" si="197"/>
        <v>-0.29369369369369369</v>
      </c>
      <c r="O2760" s="735">
        <v>0.17857572326847479</v>
      </c>
      <c r="P2760" s="735">
        <f t="shared" si="198"/>
        <v>6585.4416181306733</v>
      </c>
      <c r="Q2760" s="849">
        <v>49.9</v>
      </c>
      <c r="R2760" s="71">
        <v>34375</v>
      </c>
      <c r="S2760" s="845">
        <v>0.33805309734513272</v>
      </c>
      <c r="T2760" s="845">
        <v>0.312</v>
      </c>
      <c r="U2760" s="845">
        <v>0</v>
      </c>
      <c r="V2760" s="845">
        <v>0.16600000000000001</v>
      </c>
      <c r="W2760" s="845">
        <v>0.38132911392405061</v>
      </c>
      <c r="X2760" s="845">
        <v>0.46473029045643155</v>
      </c>
      <c r="Y2760" s="845">
        <v>2.8911564625850341E-2</v>
      </c>
      <c r="Z2760" s="845">
        <v>0.93707482993197277</v>
      </c>
      <c r="AA2760" s="845">
        <v>0</v>
      </c>
      <c r="AB2760" s="845">
        <v>0</v>
      </c>
      <c r="AC2760" s="845">
        <v>0</v>
      </c>
      <c r="AD2760" s="845">
        <v>3.4013605442176874E-2</v>
      </c>
      <c r="AE2760" s="845">
        <v>0</v>
      </c>
      <c r="AF2760" s="845">
        <v>0</v>
      </c>
      <c r="AG2760" s="845">
        <v>2.8911564625850341E-2</v>
      </c>
      <c r="AH2760" s="20" t="str">
        <f t="shared" si="199"/>
        <v>No</v>
      </c>
      <c r="AI2760" s="25"/>
      <c r="AJ2760" s="25"/>
      <c r="AK2760" s="25"/>
      <c r="AL2760" s="25"/>
      <c r="AM2760" s="25"/>
      <c r="AN2760" s="25"/>
      <c r="AO2760" s="25"/>
      <c r="AP2760" s="25"/>
      <c r="AQ2760" s="25"/>
      <c r="AR2760" s="25"/>
      <c r="AS2760" s="25"/>
      <c r="AT2760" s="25"/>
      <c r="AU2760" s="36"/>
      <c r="AV2760" s="36"/>
      <c r="AW2760" s="36"/>
      <c r="AX2760" s="25"/>
      <c r="AY2760" s="25"/>
      <c r="AZ2760" s="25"/>
      <c r="BA2760" s="25"/>
      <c r="BB2760" s="25"/>
      <c r="BC2760" s="25"/>
      <c r="BD2760" s="25"/>
      <c r="BE2760" s="25"/>
      <c r="BF2760" s="25"/>
      <c r="BG2760" s="25"/>
      <c r="BH2760" s="25"/>
      <c r="BI2760" s="25"/>
      <c r="BJ2760" s="25"/>
      <c r="BK2760" s="25"/>
      <c r="BL2760" s="25"/>
      <c r="BM2760" s="25"/>
      <c r="BN2760" s="25"/>
      <c r="BO2760" s="25"/>
      <c r="BP2760" s="25"/>
      <c r="BQ2760" s="25"/>
      <c r="BR2760" s="25"/>
      <c r="BS2760" s="25"/>
      <c r="BT2760" s="25"/>
      <c r="BU2760"/>
      <c r="BV2760"/>
      <c r="BW2760"/>
      <c r="BX2760"/>
      <c r="BY2760"/>
      <c r="BZ2760"/>
      <c r="CA2760"/>
      <c r="CB2760"/>
      <c r="CC2760"/>
      <c r="CD2760" s="25"/>
    </row>
    <row r="2761" spans="1:82" s="17" customFormat="1" x14ac:dyDescent="0.2">
      <c r="A2761" s="25"/>
      <c r="B2761" s="20">
        <v>39007000703</v>
      </c>
      <c r="C2761" s="20">
        <v>7.03</v>
      </c>
      <c r="D2761" s="20" t="s">
        <v>10</v>
      </c>
      <c r="E2761" s="20" t="s">
        <v>2829</v>
      </c>
      <c r="F2761" s="20" t="s">
        <v>6</v>
      </c>
      <c r="G2761" s="861">
        <v>31.4856418190823</v>
      </c>
      <c r="H2761" s="861">
        <v>51.984752468744603</v>
      </c>
      <c r="I2761" s="861">
        <v>56.339482558841603</v>
      </c>
      <c r="J2761" s="861">
        <v>33.752281564187399</v>
      </c>
      <c r="K2761" s="982">
        <v>0</v>
      </c>
      <c r="L2761" s="735">
        <v>3871</v>
      </c>
      <c r="M2761" s="735">
        <v>3349</v>
      </c>
      <c r="N2761" s="845">
        <f t="shared" si="197"/>
        <v>-0.13484887625936451</v>
      </c>
      <c r="O2761" s="735">
        <v>1.7723185609527761</v>
      </c>
      <c r="P2761" s="735">
        <f t="shared" si="198"/>
        <v>1889.6151480801623</v>
      </c>
      <c r="Q2761" s="849">
        <v>38.9</v>
      </c>
      <c r="R2761" s="71">
        <v>40013</v>
      </c>
      <c r="S2761" s="845">
        <v>0.39205733054643177</v>
      </c>
      <c r="T2761" s="845">
        <v>0.124</v>
      </c>
      <c r="U2761" s="845">
        <v>0</v>
      </c>
      <c r="V2761" s="845">
        <v>7.0999999999999994E-2</v>
      </c>
      <c r="W2761" s="845">
        <v>0.55272727272727273</v>
      </c>
      <c r="X2761" s="845">
        <v>0.48157894736842105</v>
      </c>
      <c r="Y2761" s="845">
        <v>0.73604060913705582</v>
      </c>
      <c r="Z2761" s="845">
        <v>0.10032845625559869</v>
      </c>
      <c r="AA2761" s="845">
        <v>0</v>
      </c>
      <c r="AB2761" s="845">
        <v>0</v>
      </c>
      <c r="AC2761" s="845">
        <v>0</v>
      </c>
      <c r="AD2761" s="845">
        <v>4.3296506419826811E-2</v>
      </c>
      <c r="AE2761" s="845">
        <v>0.12033442818751866</v>
      </c>
      <c r="AF2761" s="845">
        <v>6.5392654523738436E-2</v>
      </c>
      <c r="AG2761" s="845">
        <v>0.73126306360107496</v>
      </c>
      <c r="AH2761" s="20" t="str">
        <f t="shared" si="199"/>
        <v>No</v>
      </c>
      <c r="AI2761" s="25"/>
      <c r="AJ2761" s="25"/>
      <c r="AK2761" s="25"/>
      <c r="AL2761" s="25"/>
      <c r="AM2761" s="25"/>
      <c r="AN2761" s="25"/>
      <c r="AO2761" s="25"/>
      <c r="AP2761" s="25"/>
      <c r="AQ2761" s="25"/>
      <c r="AR2761" s="25"/>
      <c r="AS2761" s="25"/>
      <c r="AT2761" s="25"/>
      <c r="AU2761" s="36"/>
      <c r="AV2761" s="36"/>
      <c r="AW2761" s="36"/>
      <c r="AX2761" s="25"/>
      <c r="AY2761" s="25"/>
      <c r="AZ2761" s="25"/>
      <c r="BA2761" s="25"/>
      <c r="BB2761" s="25"/>
      <c r="BC2761" s="25"/>
      <c r="BD2761" s="25"/>
      <c r="BE2761" s="25"/>
      <c r="BF2761" s="25"/>
      <c r="BG2761" s="25"/>
      <c r="BH2761" s="25"/>
      <c r="BI2761" s="25"/>
      <c r="BJ2761" s="25"/>
      <c r="BK2761" s="25"/>
      <c r="BL2761" s="25"/>
      <c r="BM2761" s="25"/>
      <c r="BN2761" s="25"/>
      <c r="BO2761" s="25"/>
      <c r="BP2761" s="25"/>
      <c r="BQ2761" s="25"/>
      <c r="BR2761" s="25"/>
      <c r="BS2761" s="25"/>
      <c r="BT2761" s="25"/>
      <c r="BU2761"/>
      <c r="BV2761"/>
      <c r="BW2761"/>
      <c r="BX2761"/>
      <c r="BY2761"/>
      <c r="BZ2761"/>
      <c r="CA2761"/>
      <c r="CB2761"/>
      <c r="CC2761"/>
      <c r="CD2761" s="25"/>
    </row>
    <row r="2762" spans="1:82" s="17" customFormat="1" x14ac:dyDescent="0.2">
      <c r="A2762" s="25"/>
      <c r="B2762" s="20">
        <v>39025042002</v>
      </c>
      <c r="C2762" s="20">
        <v>420.02</v>
      </c>
      <c r="D2762" s="20" t="s">
        <v>19</v>
      </c>
      <c r="E2762" s="20" t="s">
        <v>2828</v>
      </c>
      <c r="F2762" s="20" t="s">
        <v>8</v>
      </c>
      <c r="G2762" s="861">
        <v>31.473264406126599</v>
      </c>
      <c r="H2762" s="861">
        <v>52.255349572631197</v>
      </c>
      <c r="I2762" s="861">
        <v>18.362144962457599</v>
      </c>
      <c r="J2762" s="861">
        <v>54.959010525961602</v>
      </c>
      <c r="K2762" s="982">
        <v>0</v>
      </c>
      <c r="L2762" s="735" t="s">
        <v>2466</v>
      </c>
      <c r="M2762" s="735">
        <v>2832</v>
      </c>
      <c r="N2762" s="845" t="str">
        <f t="shared" si="197"/>
        <v/>
      </c>
      <c r="O2762" s="735">
        <v>38.481639593318441</v>
      </c>
      <c r="P2762" s="735">
        <f t="shared" si="198"/>
        <v>73.593537851534776</v>
      </c>
      <c r="Q2762" s="849">
        <v>43.2</v>
      </c>
      <c r="R2762" s="71">
        <v>67531</v>
      </c>
      <c r="S2762" s="845">
        <v>0.18997175141242939</v>
      </c>
      <c r="T2762" s="845">
        <v>9.6000000000000002E-2</v>
      </c>
      <c r="U2762" s="845">
        <v>0</v>
      </c>
      <c r="V2762" s="845">
        <v>0</v>
      </c>
      <c r="W2762" s="845">
        <v>0.1627188465499485</v>
      </c>
      <c r="X2762" s="845">
        <v>0.36708860759493672</v>
      </c>
      <c r="Y2762" s="845">
        <v>0.97245762711864403</v>
      </c>
      <c r="Z2762" s="845">
        <v>0</v>
      </c>
      <c r="AA2762" s="845">
        <v>0</v>
      </c>
      <c r="AB2762" s="845">
        <v>3.5310734463276836E-4</v>
      </c>
      <c r="AC2762" s="845">
        <v>0</v>
      </c>
      <c r="AD2762" s="845">
        <v>0</v>
      </c>
      <c r="AE2762" s="845">
        <v>2.7189265536723163E-2</v>
      </c>
      <c r="AF2762" s="845">
        <v>0</v>
      </c>
      <c r="AG2762" s="845">
        <v>0.97245762711864403</v>
      </c>
      <c r="AH2762" s="20" t="str">
        <f t="shared" si="199"/>
        <v>Yes</v>
      </c>
      <c r="AI2762" s="25"/>
      <c r="AJ2762" s="25"/>
      <c r="AK2762" s="25"/>
      <c r="AL2762" s="25"/>
      <c r="AM2762" s="25"/>
      <c r="AN2762" s="25"/>
      <c r="AO2762" s="25"/>
      <c r="AP2762" s="25"/>
      <c r="AQ2762" s="25"/>
      <c r="AR2762" s="25"/>
      <c r="AS2762" s="25"/>
      <c r="AT2762" s="25"/>
      <c r="AU2762" s="36"/>
      <c r="AV2762" s="36"/>
      <c r="AW2762" s="36"/>
      <c r="AX2762" s="25"/>
      <c r="AY2762" s="25"/>
      <c r="AZ2762" s="25"/>
      <c r="BA2762" s="25"/>
      <c r="BB2762" s="25"/>
      <c r="BC2762" s="25"/>
      <c r="BD2762" s="25"/>
      <c r="BE2762" s="25"/>
      <c r="BF2762" s="25"/>
      <c r="BG2762" s="25"/>
      <c r="BH2762" s="25"/>
      <c r="BI2762" s="25"/>
      <c r="BJ2762" s="25"/>
      <c r="BK2762" s="25"/>
      <c r="BL2762" s="25"/>
      <c r="BM2762" s="25"/>
      <c r="BN2762" s="25"/>
      <c r="BO2762" s="25"/>
      <c r="BP2762" s="25"/>
      <c r="BQ2762" s="25"/>
      <c r="BR2762" s="25"/>
      <c r="BS2762" s="25"/>
      <c r="BT2762" s="25"/>
      <c r="BU2762"/>
      <c r="BV2762"/>
      <c r="BW2762"/>
      <c r="BX2762"/>
      <c r="BY2762"/>
      <c r="BZ2762"/>
      <c r="CA2762"/>
      <c r="CB2762"/>
      <c r="CC2762"/>
      <c r="CD2762" s="25"/>
    </row>
    <row r="2763" spans="1:82" s="17" customFormat="1" x14ac:dyDescent="0.2">
      <c r="A2763" s="25"/>
      <c r="B2763" s="20">
        <v>39023001102</v>
      </c>
      <c r="C2763" s="20">
        <v>11.02</v>
      </c>
      <c r="D2763" s="20" t="s">
        <v>18</v>
      </c>
      <c r="E2763" s="20" t="s">
        <v>2838</v>
      </c>
      <c r="F2763" s="20" t="s">
        <v>8</v>
      </c>
      <c r="G2763" s="861">
        <v>31.4675240571964</v>
      </c>
      <c r="H2763" s="861">
        <v>41.780654170780799</v>
      </c>
      <c r="I2763" s="861">
        <v>31.8651547855888</v>
      </c>
      <c r="J2763" s="861">
        <v>34.9835536546273</v>
      </c>
      <c r="K2763" s="982">
        <v>0</v>
      </c>
      <c r="L2763" s="735">
        <v>3136</v>
      </c>
      <c r="M2763" s="735">
        <v>3037</v>
      </c>
      <c r="N2763" s="845">
        <f t="shared" ref="N2763:N2826" si="200">IF(OR(L2763="",M2763=""),"",(M2763-L2763)/L2763)</f>
        <v>-3.1568877551020405E-2</v>
      </c>
      <c r="O2763" s="735">
        <v>0.9429904294039404</v>
      </c>
      <c r="P2763" s="735">
        <f t="shared" ref="P2763:P2826" si="201">M2763/O2763</f>
        <v>3220.6053267366378</v>
      </c>
      <c r="Q2763" s="849">
        <v>51.4</v>
      </c>
      <c r="R2763" s="71">
        <v>35056</v>
      </c>
      <c r="S2763" s="845">
        <v>0.27263747118867304</v>
      </c>
      <c r="T2763" s="845">
        <v>9.8000000000000004E-2</v>
      </c>
      <c r="U2763" s="845">
        <v>0</v>
      </c>
      <c r="V2763" s="845">
        <v>4.0999999999999995E-2</v>
      </c>
      <c r="W2763" s="845">
        <v>0.43759177679882527</v>
      </c>
      <c r="X2763" s="845">
        <v>0.25335570469798657</v>
      </c>
      <c r="Y2763" s="845">
        <v>0.32301613434310172</v>
      </c>
      <c r="Z2763" s="845">
        <v>0.42904181758314125</v>
      </c>
      <c r="AA2763" s="845">
        <v>0</v>
      </c>
      <c r="AB2763" s="845">
        <v>1.7122160026341784E-2</v>
      </c>
      <c r="AC2763" s="845">
        <v>4.0500493908462297E-2</v>
      </c>
      <c r="AD2763" s="845">
        <v>2.6671056964109319E-2</v>
      </c>
      <c r="AE2763" s="845">
        <v>0.16364833717484359</v>
      </c>
      <c r="AF2763" s="845">
        <v>8.6269344748106686E-2</v>
      </c>
      <c r="AG2763" s="845">
        <v>0.29601580507079356</v>
      </c>
      <c r="AH2763" s="20" t="str">
        <f t="shared" ref="AH2763:AH2826" si="202">IF(AG2763&gt;=0.9,"Yes","No")</f>
        <v>No</v>
      </c>
      <c r="AI2763" s="25"/>
      <c r="AJ2763" s="25"/>
      <c r="AK2763" s="25"/>
      <c r="AL2763" s="25"/>
      <c r="AM2763" s="25"/>
      <c r="AN2763" s="25"/>
      <c r="AO2763" s="25"/>
      <c r="AP2763" s="25"/>
      <c r="AQ2763" s="25"/>
      <c r="AR2763" s="25"/>
      <c r="AS2763" s="25"/>
      <c r="AT2763" s="25"/>
      <c r="AU2763" s="36"/>
      <c r="AV2763" s="36"/>
      <c r="AW2763" s="36"/>
      <c r="AX2763" s="25"/>
      <c r="AY2763" s="25"/>
      <c r="AZ2763" s="25"/>
      <c r="BA2763" s="25"/>
      <c r="BB2763" s="25"/>
      <c r="BC2763" s="25"/>
      <c r="BD2763" s="25"/>
      <c r="BE2763" s="25"/>
      <c r="BF2763" s="25"/>
      <c r="BG2763" s="25"/>
      <c r="BH2763" s="25"/>
      <c r="BI2763" s="25"/>
      <c r="BJ2763" s="25"/>
      <c r="BK2763" s="25"/>
      <c r="BL2763" s="25"/>
      <c r="BM2763" s="25"/>
      <c r="BN2763" s="25"/>
      <c r="BO2763" s="25"/>
      <c r="BP2763" s="25"/>
      <c r="BQ2763" s="25"/>
      <c r="BR2763" s="25"/>
      <c r="BS2763" s="25"/>
      <c r="BT2763" s="25"/>
      <c r="BU2763"/>
      <c r="BV2763"/>
      <c r="BW2763"/>
      <c r="BX2763"/>
      <c r="BY2763"/>
      <c r="BZ2763"/>
      <c r="CA2763"/>
      <c r="CB2763"/>
      <c r="CC2763"/>
      <c r="CD2763" s="25"/>
    </row>
    <row r="2764" spans="1:82" s="17" customFormat="1" x14ac:dyDescent="0.2">
      <c r="A2764" s="25"/>
      <c r="B2764" s="20">
        <v>39075976500</v>
      </c>
      <c r="C2764" s="20">
        <v>9765</v>
      </c>
      <c r="D2764" s="20" t="s">
        <v>44</v>
      </c>
      <c r="E2764" s="20" t="s">
        <v>265</v>
      </c>
      <c r="F2764" s="20" t="s">
        <v>8</v>
      </c>
      <c r="G2764" s="861">
        <v>31.458489844851901</v>
      </c>
      <c r="H2764" s="861">
        <v>48.8244998486919</v>
      </c>
      <c r="I2764" s="861">
        <v>25.528883127770801</v>
      </c>
      <c r="J2764" s="861">
        <v>51.999772000564803</v>
      </c>
      <c r="K2764" s="982">
        <v>0</v>
      </c>
      <c r="L2764" s="735">
        <v>5342</v>
      </c>
      <c r="M2764" s="735">
        <v>5128</v>
      </c>
      <c r="N2764" s="845">
        <f t="shared" si="200"/>
        <v>-4.0059902658180456E-2</v>
      </c>
      <c r="O2764" s="735">
        <v>91.525838703560694</v>
      </c>
      <c r="P2764" s="735">
        <f t="shared" si="201"/>
        <v>56.027894118609176</v>
      </c>
      <c r="Q2764" s="849">
        <v>46.2</v>
      </c>
      <c r="R2764" s="71">
        <v>61409</v>
      </c>
      <c r="S2764" s="845">
        <v>0.10783931357254291</v>
      </c>
      <c r="T2764" s="845">
        <v>9.0000000000000011E-3</v>
      </c>
      <c r="U2764" s="845">
        <v>3.0000000000000001E-3</v>
      </c>
      <c r="V2764" s="845">
        <v>0.17699999999999999</v>
      </c>
      <c r="W2764" s="845">
        <v>0.16933962264150942</v>
      </c>
      <c r="X2764" s="845">
        <v>0.20612813370473537</v>
      </c>
      <c r="Y2764" s="845">
        <v>0.95300312012480504</v>
      </c>
      <c r="Z2764" s="845">
        <v>0</v>
      </c>
      <c r="AA2764" s="845">
        <v>0</v>
      </c>
      <c r="AB2764" s="845">
        <v>0</v>
      </c>
      <c r="AC2764" s="845">
        <v>0</v>
      </c>
      <c r="AD2764" s="845">
        <v>2.3400936037441498E-3</v>
      </c>
      <c r="AE2764" s="845">
        <v>4.4656786271450859E-2</v>
      </c>
      <c r="AF2764" s="845">
        <v>1.6575663026521061E-2</v>
      </c>
      <c r="AG2764" s="845">
        <v>0.95300312012480504</v>
      </c>
      <c r="AH2764" s="20" t="str">
        <f t="shared" si="202"/>
        <v>Yes</v>
      </c>
      <c r="AI2764" s="25"/>
      <c r="AJ2764" s="25"/>
      <c r="AK2764" s="25"/>
      <c r="AL2764" s="25"/>
      <c r="AM2764" s="25"/>
      <c r="AN2764" s="25"/>
      <c r="AO2764" s="25"/>
      <c r="AP2764" s="25"/>
      <c r="AQ2764" s="25"/>
      <c r="AR2764" s="25"/>
      <c r="AS2764" s="25"/>
      <c r="AT2764" s="25"/>
      <c r="AU2764" s="36"/>
      <c r="AV2764" s="36"/>
      <c r="AW2764" s="36"/>
      <c r="AX2764" s="25"/>
      <c r="AY2764" s="25"/>
      <c r="AZ2764" s="25"/>
      <c r="BA2764" s="25"/>
      <c r="BB2764" s="25"/>
      <c r="BC2764" s="25"/>
      <c r="BD2764" s="25"/>
      <c r="BE2764" s="25"/>
      <c r="BF2764" s="25"/>
      <c r="BG2764" s="25"/>
      <c r="BH2764" s="25"/>
      <c r="BI2764" s="25"/>
      <c r="BJ2764" s="25"/>
      <c r="BK2764" s="25"/>
      <c r="BL2764" s="25"/>
      <c r="BM2764" s="25"/>
      <c r="BN2764" s="25"/>
      <c r="BO2764" s="25"/>
      <c r="BP2764" s="25"/>
      <c r="BQ2764" s="25"/>
      <c r="BR2764" s="25"/>
      <c r="BS2764" s="25"/>
      <c r="BT2764" s="25"/>
      <c r="BU2764"/>
      <c r="BV2764"/>
      <c r="BW2764"/>
      <c r="BX2764"/>
      <c r="BY2764"/>
      <c r="BZ2764"/>
      <c r="CA2764"/>
      <c r="CB2764"/>
      <c r="CC2764"/>
      <c r="CD2764" s="25"/>
    </row>
    <row r="2765" spans="1:82" s="17" customFormat="1" x14ac:dyDescent="0.2">
      <c r="A2765" s="25"/>
      <c r="B2765" s="20">
        <v>39013012000</v>
      </c>
      <c r="C2765" s="20">
        <v>120</v>
      </c>
      <c r="D2765" s="20" t="s">
        <v>13</v>
      </c>
      <c r="E2765" s="20" t="s">
        <v>2841</v>
      </c>
      <c r="F2765" s="20" t="s">
        <v>6</v>
      </c>
      <c r="G2765" s="861">
        <v>31.451520563959701</v>
      </c>
      <c r="H2765" s="861">
        <v>39.277012227990902</v>
      </c>
      <c r="I2765" s="861">
        <v>55.569985477402497</v>
      </c>
      <c r="J2765" s="861">
        <v>30.012191191614999</v>
      </c>
      <c r="K2765" s="982">
        <v>0</v>
      </c>
      <c r="L2765" s="735">
        <v>2670</v>
      </c>
      <c r="M2765" s="735">
        <v>2106</v>
      </c>
      <c r="N2765" s="845">
        <f t="shared" si="200"/>
        <v>-0.21123595505617979</v>
      </c>
      <c r="O2765" s="735">
        <v>2.109910844339745</v>
      </c>
      <c r="P2765" s="735">
        <f t="shared" si="201"/>
        <v>998.1464409502247</v>
      </c>
      <c r="Q2765" s="849">
        <v>38.200000000000003</v>
      </c>
      <c r="R2765" s="71">
        <v>50060</v>
      </c>
      <c r="S2765" s="845">
        <v>0.34256410256410258</v>
      </c>
      <c r="T2765" s="845">
        <v>5.9000000000000004E-2</v>
      </c>
      <c r="U2765" s="845">
        <v>8.8000000000000009E-2</v>
      </c>
      <c r="V2765" s="845">
        <v>0.35399999999999998</v>
      </c>
      <c r="W2765" s="845">
        <v>0.30148048452220727</v>
      </c>
      <c r="X2765" s="845">
        <v>0.46875</v>
      </c>
      <c r="Y2765" s="845">
        <v>0.90408357075023738</v>
      </c>
      <c r="Z2765" s="845">
        <v>5.2231718898385565E-3</v>
      </c>
      <c r="AA2765" s="845">
        <v>0</v>
      </c>
      <c r="AB2765" s="845">
        <v>3.1339031339031341E-2</v>
      </c>
      <c r="AC2765" s="845">
        <v>0</v>
      </c>
      <c r="AD2765" s="845">
        <v>0</v>
      </c>
      <c r="AE2765" s="845">
        <v>5.9354226020892686E-2</v>
      </c>
      <c r="AF2765" s="845">
        <v>3.3238366571699905E-3</v>
      </c>
      <c r="AG2765" s="845">
        <v>0.90408357075023738</v>
      </c>
      <c r="AH2765" s="20" t="str">
        <f t="shared" si="202"/>
        <v>Yes</v>
      </c>
      <c r="AI2765" s="25"/>
      <c r="AJ2765" s="25"/>
      <c r="AK2765" s="25"/>
      <c r="AL2765" s="25"/>
      <c r="AM2765" s="25"/>
      <c r="AN2765" s="25"/>
      <c r="AO2765" s="25"/>
      <c r="AP2765" s="25"/>
      <c r="AQ2765" s="25"/>
      <c r="AR2765" s="25"/>
      <c r="AS2765" s="25"/>
      <c r="AT2765" s="25"/>
      <c r="AU2765" s="36"/>
      <c r="AV2765" s="36"/>
      <c r="AW2765" s="36"/>
      <c r="AX2765" s="25"/>
      <c r="AY2765" s="25"/>
      <c r="AZ2765" s="25"/>
      <c r="BA2765" s="25"/>
      <c r="BB2765" s="25"/>
      <c r="BC2765" s="25"/>
      <c r="BD2765" s="25"/>
      <c r="BE2765" s="25"/>
      <c r="BF2765" s="25"/>
      <c r="BG2765" s="25"/>
      <c r="BH2765" s="25"/>
      <c r="BI2765" s="25"/>
      <c r="BJ2765" s="25"/>
      <c r="BK2765" s="25"/>
      <c r="BL2765" s="25"/>
      <c r="BM2765" s="25"/>
      <c r="BN2765" s="25"/>
      <c r="BO2765" s="25"/>
      <c r="BP2765" s="25"/>
      <c r="BQ2765" s="25"/>
      <c r="BR2765" s="25"/>
      <c r="BS2765" s="25"/>
      <c r="BT2765" s="25"/>
      <c r="BU2765"/>
      <c r="BV2765"/>
      <c r="BW2765"/>
      <c r="BX2765"/>
      <c r="BY2765"/>
      <c r="BZ2765"/>
      <c r="CA2765"/>
      <c r="CB2765"/>
      <c r="CC2765"/>
      <c r="CD2765" s="25"/>
    </row>
    <row r="2766" spans="1:82" s="17" customFormat="1" x14ac:dyDescent="0.2">
      <c r="A2766" s="25"/>
      <c r="B2766" s="20">
        <v>39057200700</v>
      </c>
      <c r="C2766" s="20">
        <v>2007</v>
      </c>
      <c r="D2766" s="20" t="s">
        <v>35</v>
      </c>
      <c r="E2766" s="20" t="s">
        <v>2833</v>
      </c>
      <c r="F2766" s="20" t="s">
        <v>6</v>
      </c>
      <c r="G2766" s="861">
        <v>31.395446862844199</v>
      </c>
      <c r="H2766" s="861">
        <v>30.9409112127219</v>
      </c>
      <c r="I2766" s="861">
        <v>51.759995626810898</v>
      </c>
      <c r="J2766" s="861">
        <v>45.098151223189902</v>
      </c>
      <c r="K2766" s="982">
        <v>0</v>
      </c>
      <c r="L2766" s="735">
        <v>4214</v>
      </c>
      <c r="M2766" s="735">
        <v>4371</v>
      </c>
      <c r="N2766" s="845">
        <f t="shared" si="200"/>
        <v>3.7256763170384434E-2</v>
      </c>
      <c r="O2766" s="735">
        <v>0.62030246154296054</v>
      </c>
      <c r="P2766" s="735">
        <f t="shared" si="201"/>
        <v>7046.5623965564027</v>
      </c>
      <c r="Q2766" s="849">
        <v>26.8</v>
      </c>
      <c r="R2766" s="71">
        <v>36750</v>
      </c>
      <c r="S2766" s="845">
        <v>0.30084648821779914</v>
      </c>
      <c r="T2766" s="845">
        <v>6.9000000000000006E-2</v>
      </c>
      <c r="U2766" s="845">
        <v>0.11599999999999999</v>
      </c>
      <c r="V2766" s="845">
        <v>3.3000000000000002E-2</v>
      </c>
      <c r="W2766" s="845">
        <v>0.83233532934131738</v>
      </c>
      <c r="X2766" s="845">
        <v>0.42206235011990406</v>
      </c>
      <c r="Y2766" s="845">
        <v>0.65454129489819268</v>
      </c>
      <c r="Z2766" s="845">
        <v>8.0988332189430343E-2</v>
      </c>
      <c r="AA2766" s="845">
        <v>0</v>
      </c>
      <c r="AB2766" s="845">
        <v>0</v>
      </c>
      <c r="AC2766" s="845">
        <v>2.1962937542896362E-2</v>
      </c>
      <c r="AD2766" s="845">
        <v>1.1896591169068863E-2</v>
      </c>
      <c r="AE2766" s="845">
        <v>0.23061084420041181</v>
      </c>
      <c r="AF2766" s="845">
        <v>7.8242964996568284E-2</v>
      </c>
      <c r="AG2766" s="845">
        <v>0.6511095859071151</v>
      </c>
      <c r="AH2766" s="20" t="str">
        <f t="shared" si="202"/>
        <v>No</v>
      </c>
      <c r="AI2766" s="25"/>
      <c r="AJ2766" s="25"/>
      <c r="AK2766" s="25"/>
      <c r="AL2766" s="25"/>
      <c r="AM2766" s="25"/>
      <c r="AN2766" s="25"/>
      <c r="AO2766" s="25"/>
      <c r="AP2766" s="25"/>
      <c r="AQ2766" s="25"/>
      <c r="AR2766" s="25"/>
      <c r="AS2766" s="25"/>
      <c r="AT2766" s="25"/>
      <c r="AU2766" s="36"/>
      <c r="AV2766" s="36"/>
      <c r="AW2766" s="36"/>
      <c r="AX2766" s="25"/>
      <c r="AY2766" s="25"/>
      <c r="AZ2766" s="25"/>
      <c r="BA2766" s="25"/>
      <c r="BB2766" s="25"/>
      <c r="BC2766" s="25"/>
      <c r="BD2766" s="25"/>
      <c r="BE2766" s="25"/>
      <c r="BF2766" s="25"/>
      <c r="BG2766" s="25"/>
      <c r="BH2766" s="25"/>
      <c r="BI2766" s="25"/>
      <c r="BJ2766" s="25"/>
      <c r="BK2766" s="25"/>
      <c r="BL2766" s="25"/>
      <c r="BM2766" s="25"/>
      <c r="BN2766" s="25"/>
      <c r="BO2766" s="25"/>
      <c r="BP2766" s="25"/>
      <c r="BQ2766" s="25"/>
      <c r="BR2766" s="25"/>
      <c r="BS2766" s="25"/>
      <c r="BT2766" s="25"/>
      <c r="BU2766"/>
      <c r="BV2766"/>
      <c r="BW2766"/>
      <c r="BX2766"/>
      <c r="BY2766"/>
      <c r="BZ2766"/>
      <c r="CA2766"/>
      <c r="CB2766"/>
      <c r="CC2766"/>
      <c r="CD2766" s="25"/>
    </row>
    <row r="2767" spans="1:82" s="17" customFormat="1" x14ac:dyDescent="0.2">
      <c r="A2767" s="25"/>
      <c r="B2767" s="20">
        <v>39079957400</v>
      </c>
      <c r="C2767" s="20">
        <v>9574</v>
      </c>
      <c r="D2767" s="20" t="s">
        <v>46</v>
      </c>
      <c r="E2767" s="20" t="s">
        <v>265</v>
      </c>
      <c r="F2767" s="20" t="s">
        <v>8</v>
      </c>
      <c r="G2767" s="861">
        <v>31.368009475220902</v>
      </c>
      <c r="H2767" s="861">
        <v>40.587949831682899</v>
      </c>
      <c r="I2767" s="861">
        <v>23.0206484766275</v>
      </c>
      <c r="J2767" s="861">
        <v>44.704736843444202</v>
      </c>
      <c r="K2767" s="982">
        <v>0</v>
      </c>
      <c r="L2767" s="735">
        <v>5495</v>
      </c>
      <c r="M2767" s="735">
        <v>5615</v>
      </c>
      <c r="N2767" s="845">
        <f t="shared" si="200"/>
        <v>2.1838034576888082E-2</v>
      </c>
      <c r="O2767" s="735">
        <v>141.28256326242362</v>
      </c>
      <c r="P2767" s="735">
        <f t="shared" si="201"/>
        <v>39.74305017081609</v>
      </c>
      <c r="Q2767" s="849">
        <v>47.4</v>
      </c>
      <c r="R2767" s="71">
        <v>63474</v>
      </c>
      <c r="S2767" s="845">
        <v>0.12370581935023206</v>
      </c>
      <c r="T2767" s="845">
        <v>0.09</v>
      </c>
      <c r="U2767" s="845">
        <v>0</v>
      </c>
      <c r="V2767" s="845">
        <v>0</v>
      </c>
      <c r="W2767" s="845">
        <v>0.11699677567941041</v>
      </c>
      <c r="X2767" s="845">
        <v>0.16141732283464566</v>
      </c>
      <c r="Y2767" s="845">
        <v>0.96046304541406946</v>
      </c>
      <c r="Z2767" s="845">
        <v>2.2974176313446126E-2</v>
      </c>
      <c r="AA2767" s="845">
        <v>1.1041852181656278E-2</v>
      </c>
      <c r="AB2767" s="845">
        <v>0</v>
      </c>
      <c r="AC2767" s="845">
        <v>0</v>
      </c>
      <c r="AD2767" s="845">
        <v>8.9047195013357077E-4</v>
      </c>
      <c r="AE2767" s="845">
        <v>4.630454140694568E-3</v>
      </c>
      <c r="AF2767" s="845">
        <v>7.3018699910952804E-3</v>
      </c>
      <c r="AG2767" s="845">
        <v>0.95405164737310777</v>
      </c>
      <c r="AH2767" s="20" t="str">
        <f t="shared" si="202"/>
        <v>Yes</v>
      </c>
      <c r="AI2767" s="25"/>
      <c r="AJ2767" s="25"/>
      <c r="AK2767" s="25"/>
      <c r="AL2767" s="25"/>
      <c r="AM2767" s="25"/>
      <c r="AN2767" s="25"/>
      <c r="AO2767" s="25"/>
      <c r="AP2767" s="25"/>
      <c r="AQ2767" s="25"/>
      <c r="AR2767" s="25"/>
      <c r="AS2767" s="25"/>
      <c r="AT2767" s="25"/>
      <c r="AU2767" s="36"/>
      <c r="AV2767" s="36"/>
      <c r="AW2767" s="36"/>
      <c r="AX2767" s="25"/>
      <c r="AY2767" s="25"/>
      <c r="AZ2767" s="25"/>
      <c r="BA2767" s="25"/>
      <c r="BB2767" s="25"/>
      <c r="BC2767" s="25"/>
      <c r="BD2767" s="25"/>
      <c r="BE2767" s="25"/>
      <c r="BF2767" s="25"/>
      <c r="BG2767" s="25"/>
      <c r="BH2767" s="25"/>
      <c r="BI2767" s="25"/>
      <c r="BJ2767" s="25"/>
      <c r="BK2767" s="25"/>
      <c r="BL2767" s="25"/>
      <c r="BM2767" s="25"/>
      <c r="BN2767" s="25"/>
      <c r="BO2767" s="25"/>
      <c r="BP2767" s="25"/>
      <c r="BQ2767" s="25"/>
      <c r="BR2767" s="25"/>
      <c r="BS2767" s="25"/>
      <c r="BT2767" s="25"/>
      <c r="BU2767"/>
      <c r="BV2767"/>
      <c r="BW2767"/>
      <c r="BX2767"/>
      <c r="BY2767"/>
      <c r="BZ2767"/>
      <c r="CA2767"/>
      <c r="CB2767"/>
      <c r="CC2767"/>
      <c r="CD2767" s="25"/>
    </row>
    <row r="2768" spans="1:82" s="17" customFormat="1" x14ac:dyDescent="0.2">
      <c r="A2768" s="25"/>
      <c r="B2768" s="20">
        <v>39061002901</v>
      </c>
      <c r="C2768" s="20">
        <v>29.01</v>
      </c>
      <c r="D2768" s="20" t="s">
        <v>37</v>
      </c>
      <c r="E2768" s="20" t="s">
        <v>2828</v>
      </c>
      <c r="F2768" s="20" t="s">
        <v>6</v>
      </c>
      <c r="G2768" s="861">
        <v>31.362315426757899</v>
      </c>
      <c r="H2768" s="861">
        <v>45.019809550692997</v>
      </c>
      <c r="I2768" s="861">
        <v>59.264552023876199</v>
      </c>
      <c r="J2768" s="861">
        <v>41.587188228564102</v>
      </c>
      <c r="K2768" s="982">
        <v>0</v>
      </c>
      <c r="L2768" s="735" t="s">
        <v>2466</v>
      </c>
      <c r="M2768" s="735">
        <v>1974</v>
      </c>
      <c r="N2768" s="845" t="str">
        <f t="shared" si="200"/>
        <v/>
      </c>
      <c r="O2768" s="735">
        <v>0.17706915264564671</v>
      </c>
      <c r="P2768" s="735">
        <f t="shared" si="201"/>
        <v>11148.186855281319</v>
      </c>
      <c r="Q2768" s="849">
        <v>19.899999999999999</v>
      </c>
      <c r="R2768" s="71">
        <v>26816</v>
      </c>
      <c r="S2768" s="845">
        <v>0.52030735455543364</v>
      </c>
      <c r="T2768" s="845">
        <v>7.6999999999999999E-2</v>
      </c>
      <c r="U2768" s="845">
        <v>0</v>
      </c>
      <c r="V2768" s="845">
        <v>9.0000000000000011E-3</v>
      </c>
      <c r="W2768" s="845">
        <v>0.77365491651205942</v>
      </c>
      <c r="X2768" s="845">
        <v>0.62110311750599523</v>
      </c>
      <c r="Y2768" s="845">
        <v>0.78976697061803447</v>
      </c>
      <c r="Z2768" s="845">
        <v>7.0415400202634246E-2</v>
      </c>
      <c r="AA2768" s="845">
        <v>2.3302938196555219E-2</v>
      </c>
      <c r="AB2768" s="845">
        <v>6.7375886524822695E-2</v>
      </c>
      <c r="AC2768" s="845">
        <v>6.0790273556231003E-3</v>
      </c>
      <c r="AD2768" s="845">
        <v>2.7862208713272545E-2</v>
      </c>
      <c r="AE2768" s="845">
        <v>1.5197568389057751E-2</v>
      </c>
      <c r="AF2768" s="845">
        <v>9.2705167173252279E-2</v>
      </c>
      <c r="AG2768" s="845">
        <v>0.75481256332320157</v>
      </c>
      <c r="AH2768" s="20" t="str">
        <f t="shared" si="202"/>
        <v>No</v>
      </c>
      <c r="AI2768" s="25"/>
      <c r="AJ2768" s="25"/>
      <c r="AK2768" s="25"/>
      <c r="AL2768" s="25"/>
      <c r="AM2768" s="25"/>
      <c r="AN2768" s="25"/>
      <c r="AO2768" s="25"/>
      <c r="AP2768" s="25"/>
      <c r="AQ2768" s="25"/>
      <c r="AR2768" s="25"/>
      <c r="AS2768" s="25"/>
      <c r="AT2768" s="25"/>
      <c r="AU2768" s="36"/>
      <c r="AV2768" s="36"/>
      <c r="AW2768" s="36"/>
      <c r="AX2768" s="25"/>
      <c r="AY2768" s="25"/>
      <c r="AZ2768" s="25"/>
      <c r="BA2768" s="25"/>
      <c r="BB2768" s="25"/>
      <c r="BC2768" s="25"/>
      <c r="BD2768" s="25"/>
      <c r="BE2768" s="25"/>
      <c r="BF2768" s="25"/>
      <c r="BG2768" s="25"/>
      <c r="BH2768" s="25"/>
      <c r="BI2768" s="25"/>
      <c r="BJ2768" s="25"/>
      <c r="BK2768" s="25"/>
      <c r="BL2768" s="25"/>
      <c r="BM2768" s="25"/>
      <c r="BN2768" s="25"/>
      <c r="BO2768" s="25"/>
      <c r="BP2768" s="25"/>
      <c r="BQ2768" s="25"/>
      <c r="BR2768" s="25"/>
      <c r="BS2768" s="25"/>
      <c r="BT2768" s="25"/>
      <c r="BU2768"/>
      <c r="BV2768"/>
      <c r="BW2768"/>
      <c r="BX2768"/>
      <c r="BY2768"/>
      <c r="BZ2768"/>
      <c r="CA2768"/>
      <c r="CB2768"/>
      <c r="CC2768"/>
      <c r="CD2768" s="25"/>
    </row>
    <row r="2769" spans="1:82" s="17" customFormat="1" x14ac:dyDescent="0.2">
      <c r="A2769" s="25"/>
      <c r="B2769" s="20">
        <v>39099812700</v>
      </c>
      <c r="C2769" s="20">
        <v>8127</v>
      </c>
      <c r="D2769" s="20" t="s">
        <v>55</v>
      </c>
      <c r="E2769" s="20" t="s">
        <v>2842</v>
      </c>
      <c r="F2769" s="20" t="s">
        <v>8</v>
      </c>
      <c r="G2769" s="861">
        <v>31.3386309897944</v>
      </c>
      <c r="H2769" s="861">
        <v>27.431810902871</v>
      </c>
      <c r="I2769" s="861">
        <v>29.392891506502298</v>
      </c>
      <c r="J2769" s="861">
        <v>30.571733616781799</v>
      </c>
      <c r="K2769" s="982">
        <v>0</v>
      </c>
      <c r="L2769" s="735">
        <v>2069</v>
      </c>
      <c r="M2769" s="735">
        <v>2118</v>
      </c>
      <c r="N2769" s="845">
        <f t="shared" si="200"/>
        <v>2.3682938617689706E-2</v>
      </c>
      <c r="O2769" s="735">
        <v>24.082293180874874</v>
      </c>
      <c r="P2769" s="735">
        <f t="shared" si="201"/>
        <v>87.948435146617385</v>
      </c>
      <c r="Q2769" s="849">
        <v>44.9</v>
      </c>
      <c r="R2769" s="71">
        <v>58851</v>
      </c>
      <c r="S2769" s="845">
        <v>0.21911196911196912</v>
      </c>
      <c r="T2769" s="845">
        <v>0.1</v>
      </c>
      <c r="U2769" s="845">
        <v>3.2000000000000001E-2</v>
      </c>
      <c r="V2769" s="845">
        <v>0.21</v>
      </c>
      <c r="W2769" s="845">
        <v>0.25235849056603776</v>
      </c>
      <c r="X2769" s="845">
        <v>0.53738317757009346</v>
      </c>
      <c r="Y2769" s="845">
        <v>0.90226628895184136</v>
      </c>
      <c r="Z2769" s="845">
        <v>1.5580736543909348E-2</v>
      </c>
      <c r="AA2769" s="845">
        <v>0</v>
      </c>
      <c r="AB2769" s="845">
        <v>0</v>
      </c>
      <c r="AC2769" s="845">
        <v>0</v>
      </c>
      <c r="AD2769" s="845">
        <v>4.24929178470255E-3</v>
      </c>
      <c r="AE2769" s="845">
        <v>7.7903682719546744E-2</v>
      </c>
      <c r="AF2769" s="845">
        <v>6.3267233238904624E-2</v>
      </c>
      <c r="AG2769" s="845">
        <v>0.86827195467422091</v>
      </c>
      <c r="AH2769" s="20" t="str">
        <f t="shared" si="202"/>
        <v>No</v>
      </c>
      <c r="AI2769" s="25"/>
      <c r="AJ2769" s="25"/>
      <c r="AK2769" s="25"/>
      <c r="AL2769" s="25"/>
      <c r="AM2769" s="25"/>
      <c r="AN2769" s="25"/>
      <c r="AO2769" s="25"/>
      <c r="AP2769" s="25"/>
      <c r="AQ2769" s="25"/>
      <c r="AR2769" s="25"/>
      <c r="AS2769" s="25"/>
      <c r="AT2769" s="25"/>
      <c r="AU2769" s="36"/>
      <c r="AV2769" s="36"/>
      <c r="AW2769" s="36"/>
      <c r="AX2769" s="25"/>
      <c r="AY2769" s="25"/>
      <c r="AZ2769" s="25"/>
      <c r="BA2769" s="25"/>
      <c r="BB2769" s="25"/>
      <c r="BC2769" s="25"/>
      <c r="BD2769" s="25"/>
      <c r="BE2769" s="25"/>
      <c r="BF2769" s="25"/>
      <c r="BG2769" s="25"/>
      <c r="BH2769" s="25"/>
      <c r="BI2769" s="25"/>
      <c r="BJ2769" s="25"/>
      <c r="BK2769" s="25"/>
      <c r="BL2769" s="25"/>
      <c r="BM2769" s="25"/>
      <c r="BN2769" s="25"/>
      <c r="BO2769" s="25"/>
      <c r="BP2769" s="25"/>
      <c r="BQ2769" s="25"/>
      <c r="BR2769" s="25"/>
      <c r="BS2769" s="25"/>
      <c r="BT2769" s="25"/>
      <c r="BU2769"/>
      <c r="BV2769"/>
      <c r="BW2769"/>
      <c r="BX2769"/>
      <c r="BY2769"/>
      <c r="BZ2769"/>
      <c r="CA2769"/>
      <c r="CB2769"/>
      <c r="CC2769"/>
      <c r="CD2769" s="25"/>
    </row>
    <row r="2770" spans="1:82" s="17" customFormat="1" x14ac:dyDescent="0.2">
      <c r="A2770" s="25"/>
      <c r="B2770" s="20">
        <v>39141956200</v>
      </c>
      <c r="C2770" s="20">
        <v>9562</v>
      </c>
      <c r="D2770" s="20" t="s">
        <v>76</v>
      </c>
      <c r="E2770" s="20" t="s">
        <v>265</v>
      </c>
      <c r="F2770" s="20" t="s">
        <v>8</v>
      </c>
      <c r="G2770" s="861">
        <v>31.266282270051398</v>
      </c>
      <c r="H2770" s="861">
        <v>30.692371173948999</v>
      </c>
      <c r="I2770" s="861">
        <v>37.832200708385599</v>
      </c>
      <c r="J2770" s="861">
        <v>29.4886992573322</v>
      </c>
      <c r="K2770" s="982">
        <v>0</v>
      </c>
      <c r="L2770" s="735">
        <v>2353</v>
      </c>
      <c r="M2770" s="735">
        <v>2083</v>
      </c>
      <c r="N2770" s="845">
        <f t="shared" si="200"/>
        <v>-0.11474713132171696</v>
      </c>
      <c r="O2770" s="735">
        <v>0.82705592034551856</v>
      </c>
      <c r="P2770" s="735">
        <f t="shared" si="201"/>
        <v>2518.5721409621087</v>
      </c>
      <c r="Q2770" s="849">
        <v>45.8</v>
      </c>
      <c r="R2770" s="71">
        <v>35197</v>
      </c>
      <c r="S2770" s="845">
        <v>0.22033898305084745</v>
      </c>
      <c r="T2770" s="845">
        <v>5.7999999999999996E-2</v>
      </c>
      <c r="U2770" s="845">
        <v>0</v>
      </c>
      <c r="V2770" s="845">
        <v>3.9E-2</v>
      </c>
      <c r="W2770" s="845">
        <v>0.59921568627450983</v>
      </c>
      <c r="X2770" s="845">
        <v>0.37827225130890052</v>
      </c>
      <c r="Y2770" s="845">
        <v>0.9092654824771963</v>
      </c>
      <c r="Z2770" s="845">
        <v>5.0408065290446474E-2</v>
      </c>
      <c r="AA2770" s="845">
        <v>5.7609217474795969E-3</v>
      </c>
      <c r="AB2770" s="845">
        <v>3.840614498319731E-3</v>
      </c>
      <c r="AC2770" s="845">
        <v>0</v>
      </c>
      <c r="AD2770" s="845">
        <v>0</v>
      </c>
      <c r="AE2770" s="845">
        <v>3.0724915986557848E-2</v>
      </c>
      <c r="AF2770" s="845">
        <v>8.6413826212193949E-3</v>
      </c>
      <c r="AG2770" s="845">
        <v>0.90062409985597691</v>
      </c>
      <c r="AH2770" s="20" t="str">
        <f t="shared" si="202"/>
        <v>Yes</v>
      </c>
      <c r="AI2770" s="25"/>
      <c r="AJ2770" s="25"/>
      <c r="AK2770" s="25"/>
      <c r="AL2770" s="25"/>
      <c r="AM2770" s="25"/>
      <c r="AN2770" s="25"/>
      <c r="AO2770" s="25"/>
      <c r="AP2770" s="25"/>
      <c r="AQ2770" s="25"/>
      <c r="AR2770" s="25"/>
      <c r="AS2770" s="25"/>
      <c r="AT2770" s="25"/>
      <c r="AU2770" s="36"/>
      <c r="AV2770" s="36"/>
      <c r="AW2770" s="36"/>
      <c r="AX2770" s="25"/>
      <c r="AY2770" s="25"/>
      <c r="AZ2770" s="25"/>
      <c r="BA2770" s="25"/>
      <c r="BB2770" s="25"/>
      <c r="BC2770" s="25"/>
      <c r="BD2770" s="25"/>
      <c r="BE2770" s="25"/>
      <c r="BF2770" s="25"/>
      <c r="BG2770" s="25"/>
      <c r="BH2770" s="25"/>
      <c r="BI2770" s="25"/>
      <c r="BJ2770" s="25"/>
      <c r="BK2770" s="25"/>
      <c r="BL2770" s="25"/>
      <c r="BM2770" s="25"/>
      <c r="BN2770" s="25"/>
      <c r="BO2770" s="25"/>
      <c r="BP2770" s="25"/>
      <c r="BQ2770" s="25"/>
      <c r="BR2770" s="25"/>
      <c r="BS2770" s="25"/>
      <c r="BT2770" s="25"/>
      <c r="BU2770"/>
      <c r="BV2770"/>
      <c r="BW2770"/>
      <c r="BX2770"/>
      <c r="BY2770"/>
      <c r="BZ2770"/>
      <c r="CA2770"/>
      <c r="CB2770"/>
      <c r="CC2770"/>
      <c r="CD2770" s="25"/>
    </row>
    <row r="2771" spans="1:82" s="17" customFormat="1" x14ac:dyDescent="0.2">
      <c r="A2771" s="25"/>
      <c r="B2771" s="20">
        <v>39059977100</v>
      </c>
      <c r="C2771" s="20">
        <v>9771</v>
      </c>
      <c r="D2771" s="20" t="s">
        <v>36</v>
      </c>
      <c r="E2771" s="20" t="s">
        <v>265</v>
      </c>
      <c r="F2771" s="20" t="s">
        <v>8</v>
      </c>
      <c r="G2771" s="861">
        <v>31.2335400974683</v>
      </c>
      <c r="H2771" s="861">
        <v>38.658671978079198</v>
      </c>
      <c r="I2771" s="861">
        <v>19.635781326875701</v>
      </c>
      <c r="J2771" s="861">
        <v>42.5068603327083</v>
      </c>
      <c r="K2771" s="982">
        <v>0</v>
      </c>
      <c r="L2771" s="735">
        <v>4552</v>
      </c>
      <c r="M2771" s="735">
        <v>4478</v>
      </c>
      <c r="N2771" s="845">
        <f t="shared" si="200"/>
        <v>-1.6256590509666081E-2</v>
      </c>
      <c r="O2771" s="735">
        <v>152.84679550131219</v>
      </c>
      <c r="P2771" s="735">
        <f t="shared" si="201"/>
        <v>29.29731032510627</v>
      </c>
      <c r="Q2771" s="849">
        <v>40</v>
      </c>
      <c r="R2771" s="71">
        <v>61541</v>
      </c>
      <c r="S2771" s="845">
        <v>0.12022346368715084</v>
      </c>
      <c r="T2771" s="845">
        <v>1.6E-2</v>
      </c>
      <c r="U2771" s="845">
        <v>5.2999999999999999E-2</v>
      </c>
      <c r="V2771" s="845">
        <v>2.3E-2</v>
      </c>
      <c r="W2771" s="845">
        <v>0.13208722741433021</v>
      </c>
      <c r="X2771" s="845">
        <v>0.23113207547169812</v>
      </c>
      <c r="Y2771" s="845">
        <v>0.97253238052702096</v>
      </c>
      <c r="Z2771" s="845">
        <v>0</v>
      </c>
      <c r="AA2771" s="845">
        <v>0</v>
      </c>
      <c r="AB2771" s="845">
        <v>0</v>
      </c>
      <c r="AC2771" s="845">
        <v>0</v>
      </c>
      <c r="AD2771" s="845">
        <v>0</v>
      </c>
      <c r="AE2771" s="845">
        <v>2.7467619472979009E-2</v>
      </c>
      <c r="AF2771" s="845">
        <v>7.3693613220187585E-3</v>
      </c>
      <c r="AG2771" s="845">
        <v>0.96828941491737386</v>
      </c>
      <c r="AH2771" s="20" t="str">
        <f t="shared" si="202"/>
        <v>Yes</v>
      </c>
      <c r="AI2771" s="25"/>
      <c r="AJ2771" s="25"/>
      <c r="AK2771" s="25"/>
      <c r="AL2771" s="25"/>
      <c r="AM2771" s="25"/>
      <c r="AN2771" s="25"/>
      <c r="AO2771" s="25"/>
      <c r="AP2771" s="25"/>
      <c r="AQ2771" s="25"/>
      <c r="AR2771" s="25"/>
      <c r="AS2771" s="25"/>
      <c r="AT2771" s="25"/>
      <c r="AU2771" s="36"/>
      <c r="AV2771" s="36"/>
      <c r="AW2771" s="36"/>
      <c r="AX2771" s="25"/>
      <c r="AY2771" s="25"/>
      <c r="AZ2771" s="25"/>
      <c r="BA2771" s="25"/>
      <c r="BB2771" s="25"/>
      <c r="BC2771" s="25"/>
      <c r="BD2771" s="25"/>
      <c r="BE2771" s="25"/>
      <c r="BF2771" s="25"/>
      <c r="BG2771" s="25"/>
      <c r="BH2771" s="25"/>
      <c r="BI2771" s="25"/>
      <c r="BJ2771" s="25"/>
      <c r="BK2771" s="25"/>
      <c r="BL2771" s="25"/>
      <c r="BM2771" s="25"/>
      <c r="BN2771" s="25"/>
      <c r="BO2771" s="25"/>
      <c r="BP2771" s="25"/>
      <c r="BQ2771" s="25"/>
      <c r="BR2771" s="25"/>
      <c r="BS2771" s="25"/>
      <c r="BT2771" s="25"/>
      <c r="BU2771"/>
      <c r="BV2771"/>
      <c r="BW2771"/>
      <c r="BX2771"/>
      <c r="BY2771"/>
      <c r="BZ2771"/>
      <c r="CA2771"/>
      <c r="CB2771"/>
      <c r="CC2771"/>
      <c r="CD2771" s="25"/>
    </row>
    <row r="2772" spans="1:82" s="17" customFormat="1" x14ac:dyDescent="0.2">
      <c r="A2772" s="25"/>
      <c r="B2772" s="20">
        <v>39035123602</v>
      </c>
      <c r="C2772" s="20">
        <v>1236.02</v>
      </c>
      <c r="D2772" s="20" t="s">
        <v>24</v>
      </c>
      <c r="E2772" s="20" t="s">
        <v>2829</v>
      </c>
      <c r="F2772" s="20" t="s">
        <v>8</v>
      </c>
      <c r="G2772" s="861">
        <v>31.1950116286346</v>
      </c>
      <c r="H2772" s="861">
        <v>45.919131365878201</v>
      </c>
      <c r="I2772" s="861">
        <v>41.481643193635499</v>
      </c>
      <c r="J2772" s="861">
        <v>34.528498467253698</v>
      </c>
      <c r="K2772" s="982">
        <v>0</v>
      </c>
      <c r="L2772" s="735">
        <v>2972</v>
      </c>
      <c r="M2772" s="735">
        <v>3341</v>
      </c>
      <c r="N2772" s="845">
        <f t="shared" si="200"/>
        <v>0.12415881561238223</v>
      </c>
      <c r="O2772" s="735">
        <v>0.8856488534227287</v>
      </c>
      <c r="P2772" s="735">
        <f t="shared" si="201"/>
        <v>3772.3754590639192</v>
      </c>
      <c r="Q2772" s="849">
        <v>48.5</v>
      </c>
      <c r="R2772" s="71">
        <v>47005</v>
      </c>
      <c r="S2772" s="845">
        <v>0.39255933290570877</v>
      </c>
      <c r="T2772" s="845">
        <v>0.10400000000000001</v>
      </c>
      <c r="U2772" s="845">
        <v>0</v>
      </c>
      <c r="V2772" s="845">
        <v>4.8000000000000001E-2</v>
      </c>
      <c r="W2772" s="845">
        <v>0.45236463331048665</v>
      </c>
      <c r="X2772" s="845">
        <v>0.51969696969696966</v>
      </c>
      <c r="Y2772" s="845">
        <v>0.6755462436396289</v>
      </c>
      <c r="Z2772" s="845">
        <v>0.11254115534271177</v>
      </c>
      <c r="AA2772" s="845">
        <v>0</v>
      </c>
      <c r="AB2772" s="845">
        <v>3.6815324753067945E-2</v>
      </c>
      <c r="AC2772" s="845">
        <v>0</v>
      </c>
      <c r="AD2772" s="845">
        <v>1.1972463334331039E-3</v>
      </c>
      <c r="AE2772" s="845">
        <v>0.17390002993115833</v>
      </c>
      <c r="AF2772" s="845">
        <v>3.5019455252918288E-2</v>
      </c>
      <c r="AG2772" s="845">
        <v>0.65459443280454954</v>
      </c>
      <c r="AH2772" s="20" t="str">
        <f t="shared" si="202"/>
        <v>No</v>
      </c>
      <c r="AI2772" s="25"/>
      <c r="AJ2772" s="25"/>
      <c r="AK2772" s="25"/>
      <c r="AL2772" s="25"/>
      <c r="AM2772" s="25"/>
      <c r="AN2772" s="25"/>
      <c r="AO2772" s="25"/>
      <c r="AP2772" s="25"/>
      <c r="AQ2772" s="25"/>
      <c r="AR2772" s="25"/>
      <c r="AS2772" s="25"/>
      <c r="AT2772" s="25"/>
      <c r="AU2772" s="36"/>
      <c r="AV2772" s="36"/>
      <c r="AW2772" s="36"/>
      <c r="AX2772" s="25"/>
      <c r="AY2772" s="25"/>
      <c r="AZ2772" s="25"/>
      <c r="BA2772" s="25"/>
      <c r="BB2772" s="25"/>
      <c r="BC2772" s="25"/>
      <c r="BD2772" s="25"/>
      <c r="BE2772" s="25"/>
      <c r="BF2772" s="25"/>
      <c r="BG2772" s="25"/>
      <c r="BH2772" s="25"/>
      <c r="BI2772" s="25"/>
      <c r="BJ2772" s="25"/>
      <c r="BK2772" s="25"/>
      <c r="BL2772" s="25"/>
      <c r="BM2772" s="25"/>
      <c r="BN2772" s="25"/>
      <c r="BO2772" s="25"/>
      <c r="BP2772" s="25"/>
      <c r="BQ2772" s="25"/>
      <c r="BR2772" s="25"/>
      <c r="BS2772" s="25"/>
      <c r="BT2772" s="25"/>
      <c r="BU2772"/>
      <c r="BV2772"/>
      <c r="BW2772"/>
      <c r="BX2772"/>
      <c r="BY2772"/>
      <c r="BZ2772"/>
      <c r="CA2772"/>
      <c r="CB2772"/>
      <c r="CC2772"/>
      <c r="CD2772" s="25"/>
    </row>
    <row r="2773" spans="1:82" s="17" customFormat="1" x14ac:dyDescent="0.2">
      <c r="A2773" s="25"/>
      <c r="B2773" s="20">
        <v>39155932701</v>
      </c>
      <c r="C2773" s="20">
        <v>9327.01</v>
      </c>
      <c r="D2773" s="20" t="s">
        <v>83</v>
      </c>
      <c r="E2773" s="20" t="s">
        <v>2842</v>
      </c>
      <c r="F2773" s="20" t="s">
        <v>8</v>
      </c>
      <c r="G2773" s="861">
        <v>31.182257828479099</v>
      </c>
      <c r="H2773" s="861">
        <v>26.281537443348</v>
      </c>
      <c r="I2773" s="861">
        <v>32.5603367278447</v>
      </c>
      <c r="J2773" s="861">
        <v>26.846959915204</v>
      </c>
      <c r="K2773" s="982">
        <v>0</v>
      </c>
      <c r="L2773" s="735">
        <v>5984</v>
      </c>
      <c r="M2773" s="735">
        <v>6140</v>
      </c>
      <c r="N2773" s="845">
        <f t="shared" si="200"/>
        <v>2.606951871657754E-2</v>
      </c>
      <c r="O2773" s="735">
        <v>2.2963588045197629</v>
      </c>
      <c r="P2773" s="735">
        <f t="shared" si="201"/>
        <v>2673.7981834176203</v>
      </c>
      <c r="Q2773" s="849">
        <v>45.8</v>
      </c>
      <c r="R2773" s="71">
        <v>47556</v>
      </c>
      <c r="S2773" s="845">
        <v>0.1257328990228013</v>
      </c>
      <c r="T2773" s="845">
        <v>3.7000000000000005E-2</v>
      </c>
      <c r="U2773" s="845">
        <v>8.0000000000000002E-3</v>
      </c>
      <c r="V2773" s="845">
        <v>3.9E-2</v>
      </c>
      <c r="W2773" s="845">
        <v>0.42718760090410074</v>
      </c>
      <c r="X2773" s="845">
        <v>0.45729402872260017</v>
      </c>
      <c r="Y2773" s="845">
        <v>0.8382736156351791</v>
      </c>
      <c r="Z2773" s="845">
        <v>8.2247557003257324E-2</v>
      </c>
      <c r="AA2773" s="845">
        <v>1.4657980456026058E-3</v>
      </c>
      <c r="AB2773" s="845">
        <v>5.0488599348534205E-3</v>
      </c>
      <c r="AC2773" s="845">
        <v>0</v>
      </c>
      <c r="AD2773" s="845">
        <v>1.3843648208469055E-2</v>
      </c>
      <c r="AE2773" s="845">
        <v>5.9120521172638434E-2</v>
      </c>
      <c r="AF2773" s="845">
        <v>5.9446254071661236E-2</v>
      </c>
      <c r="AG2773" s="845">
        <v>0.82052117263843649</v>
      </c>
      <c r="AH2773" s="20" t="str">
        <f t="shared" si="202"/>
        <v>No</v>
      </c>
      <c r="AI2773" s="25"/>
      <c r="AJ2773" s="25"/>
      <c r="AK2773" s="25"/>
      <c r="AL2773" s="25"/>
      <c r="AM2773" s="25"/>
      <c r="AN2773" s="25"/>
      <c r="AO2773" s="25"/>
      <c r="AP2773" s="25"/>
      <c r="AQ2773" s="25"/>
      <c r="AR2773" s="25"/>
      <c r="AS2773" s="25"/>
      <c r="AT2773" s="25"/>
      <c r="AU2773" s="36"/>
      <c r="AV2773" s="36"/>
      <c r="AW2773" s="36"/>
      <c r="AX2773" s="25"/>
      <c r="AY2773" s="25"/>
      <c r="AZ2773" s="25"/>
      <c r="BA2773" s="25"/>
      <c r="BB2773" s="25"/>
      <c r="BC2773" s="25"/>
      <c r="BD2773" s="25"/>
      <c r="BE2773" s="25"/>
      <c r="BF2773" s="25"/>
      <c r="BG2773" s="25"/>
      <c r="BH2773" s="25"/>
      <c r="BI2773" s="25"/>
      <c r="BJ2773" s="25"/>
      <c r="BK2773" s="25"/>
      <c r="BL2773" s="25"/>
      <c r="BM2773" s="25"/>
      <c r="BN2773" s="25"/>
      <c r="BO2773" s="25"/>
      <c r="BP2773" s="25"/>
      <c r="BQ2773" s="25"/>
      <c r="BR2773" s="25"/>
      <c r="BS2773" s="25"/>
      <c r="BT2773" s="25"/>
      <c r="BU2773"/>
      <c r="BV2773"/>
      <c r="BW2773"/>
      <c r="BX2773"/>
      <c r="BY2773"/>
      <c r="BZ2773"/>
      <c r="CA2773"/>
      <c r="CB2773"/>
      <c r="CC2773"/>
      <c r="CD2773" s="25"/>
    </row>
    <row r="2774" spans="1:82" s="17" customFormat="1" x14ac:dyDescent="0.2">
      <c r="A2774" s="25"/>
      <c r="B2774" s="20">
        <v>39121968500</v>
      </c>
      <c r="C2774" s="20">
        <v>9685</v>
      </c>
      <c r="D2774" s="20" t="s">
        <v>66</v>
      </c>
      <c r="E2774" s="20" t="s">
        <v>265</v>
      </c>
      <c r="F2774" s="20" t="s">
        <v>8</v>
      </c>
      <c r="G2774" s="861">
        <v>31.174287065683501</v>
      </c>
      <c r="H2774" s="861">
        <v>32.081701807327804</v>
      </c>
      <c r="I2774" s="861">
        <v>19.907788069823798</v>
      </c>
      <c r="J2774" s="861">
        <v>44.932397943313099</v>
      </c>
      <c r="K2774" s="982">
        <v>0</v>
      </c>
      <c r="L2774" s="735">
        <v>3338</v>
      </c>
      <c r="M2774" s="735">
        <v>3018</v>
      </c>
      <c r="N2774" s="845">
        <f t="shared" si="200"/>
        <v>-9.5865787896944277E-2</v>
      </c>
      <c r="O2774" s="735">
        <v>214.21226254200835</v>
      </c>
      <c r="P2774" s="735">
        <f t="shared" si="201"/>
        <v>14.088829295699874</v>
      </c>
      <c r="Q2774" s="849">
        <v>57.8</v>
      </c>
      <c r="R2774" s="71">
        <v>52287</v>
      </c>
      <c r="S2774" s="845">
        <v>0.16290643662906437</v>
      </c>
      <c r="T2774" s="845">
        <v>2.7999999999999997E-2</v>
      </c>
      <c r="U2774" s="845">
        <v>0</v>
      </c>
      <c r="V2774" s="845">
        <v>3.7000000000000005E-2</v>
      </c>
      <c r="W2774" s="845">
        <v>0.11325724319578578</v>
      </c>
      <c r="X2774" s="845">
        <v>0.13178294573643412</v>
      </c>
      <c r="Y2774" s="845">
        <v>1</v>
      </c>
      <c r="Z2774" s="845">
        <v>0</v>
      </c>
      <c r="AA2774" s="845">
        <v>0</v>
      </c>
      <c r="AB2774" s="845">
        <v>0</v>
      </c>
      <c r="AC2774" s="845">
        <v>0</v>
      </c>
      <c r="AD2774" s="845">
        <v>0</v>
      </c>
      <c r="AE2774" s="845">
        <v>0</v>
      </c>
      <c r="AF2774" s="845">
        <v>0</v>
      </c>
      <c r="AG2774" s="845">
        <v>1</v>
      </c>
      <c r="AH2774" s="20" t="str">
        <f t="shared" si="202"/>
        <v>Yes</v>
      </c>
      <c r="AI2774" s="25"/>
      <c r="AJ2774" s="25"/>
      <c r="AK2774" s="25"/>
      <c r="AL2774" s="25"/>
      <c r="AM2774" s="25"/>
      <c r="AN2774" s="25"/>
      <c r="AO2774" s="25"/>
      <c r="AP2774" s="25"/>
      <c r="AQ2774" s="25"/>
      <c r="AR2774" s="25"/>
      <c r="AS2774" s="25"/>
      <c r="AT2774" s="25"/>
      <c r="AU2774" s="36"/>
      <c r="AV2774" s="36"/>
      <c r="AW2774" s="36"/>
      <c r="AX2774" s="25"/>
      <c r="AY2774" s="25"/>
      <c r="AZ2774" s="25"/>
      <c r="BA2774" s="25"/>
      <c r="BB2774" s="25"/>
      <c r="BC2774" s="25"/>
      <c r="BD2774" s="25"/>
      <c r="BE2774" s="25"/>
      <c r="BF2774" s="25"/>
      <c r="BG2774" s="25"/>
      <c r="BH2774" s="25"/>
      <c r="BI2774" s="25"/>
      <c r="BJ2774" s="25"/>
      <c r="BK2774" s="25"/>
      <c r="BL2774" s="25"/>
      <c r="BM2774" s="25"/>
      <c r="BN2774" s="25"/>
      <c r="BO2774" s="25"/>
      <c r="BP2774" s="25"/>
      <c r="BQ2774" s="25"/>
      <c r="BR2774" s="25"/>
      <c r="BS2774" s="25"/>
      <c r="BT2774" s="25"/>
      <c r="BU2774"/>
      <c r="BV2774"/>
      <c r="BW2774"/>
      <c r="BX2774"/>
      <c r="BY2774"/>
      <c r="BZ2774"/>
      <c r="CA2774"/>
      <c r="CB2774"/>
      <c r="CC2774"/>
      <c r="CD2774" s="25"/>
    </row>
    <row r="2775" spans="1:82" s="17" customFormat="1" x14ac:dyDescent="0.2">
      <c r="A2775" s="25"/>
      <c r="B2775" s="20">
        <v>39113000802</v>
      </c>
      <c r="C2775" s="20">
        <v>8.02</v>
      </c>
      <c r="D2775" s="20" t="s">
        <v>62</v>
      </c>
      <c r="E2775" s="20" t="s">
        <v>2833</v>
      </c>
      <c r="F2775" s="20" t="s">
        <v>6</v>
      </c>
      <c r="G2775" s="861">
        <v>31.168794505319902</v>
      </c>
      <c r="H2775" s="861">
        <v>42.013559913756602</v>
      </c>
      <c r="I2775" s="861">
        <v>82.676296706474901</v>
      </c>
      <c r="J2775" s="861">
        <v>46.419872654219901</v>
      </c>
      <c r="K2775" s="982">
        <v>0</v>
      </c>
      <c r="L2775" s="735">
        <v>2188</v>
      </c>
      <c r="M2775" s="735">
        <v>1832</v>
      </c>
      <c r="N2775" s="845">
        <f t="shared" si="200"/>
        <v>-0.16270566727605118</v>
      </c>
      <c r="O2775" s="735">
        <v>0.37544071968731935</v>
      </c>
      <c r="P2775" s="735">
        <f t="shared" si="201"/>
        <v>4879.5985729138702</v>
      </c>
      <c r="Q2775" s="849">
        <v>33.1</v>
      </c>
      <c r="R2775" s="71">
        <v>31691</v>
      </c>
      <c r="S2775" s="845">
        <v>0.32259825327510916</v>
      </c>
      <c r="T2775" s="845">
        <v>0.19</v>
      </c>
      <c r="U2775" s="845">
        <v>0.13900000000000001</v>
      </c>
      <c r="V2775" s="845">
        <v>0.14499999999999999</v>
      </c>
      <c r="W2775" s="845">
        <v>0.61299052774018947</v>
      </c>
      <c r="X2775" s="845">
        <v>0.57615894039735094</v>
      </c>
      <c r="Y2775" s="845">
        <v>0.18286026200873362</v>
      </c>
      <c r="Z2775" s="845">
        <v>0.63973799126637554</v>
      </c>
      <c r="AA2775" s="845">
        <v>0</v>
      </c>
      <c r="AB2775" s="845">
        <v>0</v>
      </c>
      <c r="AC2775" s="845">
        <v>0</v>
      </c>
      <c r="AD2775" s="845">
        <v>3.3296943231441049E-2</v>
      </c>
      <c r="AE2775" s="845">
        <v>0.14410480349344978</v>
      </c>
      <c r="AF2775" s="845">
        <v>8.7336244541484712E-2</v>
      </c>
      <c r="AG2775" s="845">
        <v>0.18286026200873362</v>
      </c>
      <c r="AH2775" s="20" t="str">
        <f t="shared" si="202"/>
        <v>No</v>
      </c>
      <c r="AI2775" s="25"/>
      <c r="AJ2775" s="25"/>
      <c r="AK2775" s="25"/>
      <c r="AL2775" s="25"/>
      <c r="AM2775" s="25"/>
      <c r="AN2775" s="25"/>
      <c r="AO2775" s="25"/>
      <c r="AP2775" s="25"/>
      <c r="AQ2775" s="25"/>
      <c r="AR2775" s="25"/>
      <c r="AS2775" s="25"/>
      <c r="AT2775" s="25"/>
      <c r="AU2775" s="36"/>
      <c r="AV2775" s="36"/>
      <c r="AW2775" s="36"/>
      <c r="AX2775" s="25"/>
      <c r="AY2775" s="25"/>
      <c r="AZ2775" s="25"/>
      <c r="BA2775" s="25"/>
      <c r="BB2775" s="25"/>
      <c r="BC2775" s="25"/>
      <c r="BD2775" s="25"/>
      <c r="BE2775" s="25"/>
      <c r="BF2775" s="25"/>
      <c r="BG2775" s="25"/>
      <c r="BH2775" s="25"/>
      <c r="BI2775" s="25"/>
      <c r="BJ2775" s="25"/>
      <c r="BK2775" s="25"/>
      <c r="BL2775" s="25"/>
      <c r="BM2775" s="25"/>
      <c r="BN2775" s="25"/>
      <c r="BO2775" s="25"/>
      <c r="BP2775" s="25"/>
      <c r="BQ2775" s="25"/>
      <c r="BR2775" s="25"/>
      <c r="BS2775" s="25"/>
      <c r="BT2775" s="25"/>
      <c r="BU2775"/>
      <c r="BV2775"/>
      <c r="BW2775"/>
      <c r="BX2775"/>
      <c r="BY2775"/>
      <c r="BZ2775"/>
      <c r="CA2775"/>
      <c r="CB2775"/>
      <c r="CC2775"/>
      <c r="CD2775" s="25"/>
    </row>
    <row r="2776" spans="1:82" s="17" customFormat="1" x14ac:dyDescent="0.2">
      <c r="A2776" s="25"/>
      <c r="B2776" s="20">
        <v>39081012300</v>
      </c>
      <c r="C2776" s="20">
        <v>123</v>
      </c>
      <c r="D2776" s="20" t="s">
        <v>47</v>
      </c>
      <c r="E2776" s="20" t="s">
        <v>2840</v>
      </c>
      <c r="F2776" s="20" t="s">
        <v>8</v>
      </c>
      <c r="G2776" s="861">
        <v>31.156796347250399</v>
      </c>
      <c r="H2776" s="861">
        <v>34.279058446538897</v>
      </c>
      <c r="I2776" s="861">
        <v>44.143114640834</v>
      </c>
      <c r="J2776" s="861">
        <v>45.417750726245202</v>
      </c>
      <c r="K2776" s="982">
        <v>0</v>
      </c>
      <c r="L2776" s="735">
        <v>2343</v>
      </c>
      <c r="M2776" s="735">
        <v>2155</v>
      </c>
      <c r="N2776" s="845">
        <f t="shared" si="200"/>
        <v>-8.023900981647461E-2</v>
      </c>
      <c r="O2776" s="735">
        <v>0.92554749218520549</v>
      </c>
      <c r="P2776" s="735">
        <f t="shared" si="201"/>
        <v>2328.3516169570871</v>
      </c>
      <c r="Q2776" s="849">
        <v>48.1</v>
      </c>
      <c r="R2776" s="71">
        <v>53873</v>
      </c>
      <c r="S2776" s="845">
        <v>0.13815789473684212</v>
      </c>
      <c r="T2776" s="845">
        <v>5.2000000000000005E-2</v>
      </c>
      <c r="U2776" s="845">
        <v>1E-3</v>
      </c>
      <c r="V2776" s="845">
        <v>0.17199999999999999</v>
      </c>
      <c r="W2776" s="845">
        <v>0.33636363636363636</v>
      </c>
      <c r="X2776" s="845">
        <v>0.40240240240240238</v>
      </c>
      <c r="Y2776" s="845">
        <v>0.94292343387471</v>
      </c>
      <c r="Z2776" s="845">
        <v>7.4245939675174014E-3</v>
      </c>
      <c r="AA2776" s="845">
        <v>0</v>
      </c>
      <c r="AB2776" s="845">
        <v>0</v>
      </c>
      <c r="AC2776" s="845">
        <v>0</v>
      </c>
      <c r="AD2776" s="845">
        <v>0</v>
      </c>
      <c r="AE2776" s="845">
        <v>4.9651972157772624E-2</v>
      </c>
      <c r="AF2776" s="845">
        <v>9.2807424593967514E-3</v>
      </c>
      <c r="AG2776" s="845">
        <v>0.94292343387471</v>
      </c>
      <c r="AH2776" s="20" t="str">
        <f t="shared" si="202"/>
        <v>Yes</v>
      </c>
      <c r="AI2776" s="25"/>
      <c r="AJ2776" s="25"/>
      <c r="AK2776" s="25"/>
      <c r="AL2776" s="25"/>
      <c r="AM2776" s="25"/>
      <c r="AN2776" s="25"/>
      <c r="AO2776" s="25"/>
      <c r="AP2776" s="25"/>
      <c r="AQ2776" s="25"/>
      <c r="AR2776" s="25"/>
      <c r="AS2776" s="25"/>
      <c r="AT2776" s="25"/>
      <c r="AU2776" s="36"/>
      <c r="AV2776" s="36"/>
      <c r="AW2776" s="36"/>
      <c r="AX2776" s="25"/>
      <c r="AY2776" s="25"/>
      <c r="AZ2776" s="25"/>
      <c r="BA2776" s="25"/>
      <c r="BB2776" s="25"/>
      <c r="BC2776" s="25"/>
      <c r="BD2776" s="25"/>
      <c r="BE2776" s="25"/>
      <c r="BF2776" s="25"/>
      <c r="BG2776" s="25"/>
      <c r="BH2776" s="25"/>
      <c r="BI2776" s="25"/>
      <c r="BJ2776" s="25"/>
      <c r="BK2776" s="25"/>
      <c r="BL2776" s="25"/>
      <c r="BM2776" s="25"/>
      <c r="BN2776" s="25"/>
      <c r="BO2776" s="25"/>
      <c r="BP2776" s="25"/>
      <c r="BQ2776" s="25"/>
      <c r="BR2776" s="25"/>
      <c r="BS2776" s="25"/>
      <c r="BT2776" s="25"/>
      <c r="BU2776"/>
      <c r="BV2776"/>
      <c r="BW2776"/>
      <c r="BX2776"/>
      <c r="BY2776"/>
      <c r="BZ2776"/>
      <c r="CA2776"/>
      <c r="CB2776"/>
      <c r="CC2776"/>
      <c r="CD2776" s="25"/>
    </row>
    <row r="2777" spans="1:82" s="17" customFormat="1" x14ac:dyDescent="0.2">
      <c r="A2777" s="25"/>
      <c r="B2777" s="20">
        <v>39029952300</v>
      </c>
      <c r="C2777" s="20">
        <v>9523</v>
      </c>
      <c r="D2777" s="20" t="s">
        <v>21</v>
      </c>
      <c r="E2777" s="20" t="s">
        <v>265</v>
      </c>
      <c r="F2777" s="20" t="s">
        <v>6</v>
      </c>
      <c r="G2777" s="861">
        <v>31.1167251998911</v>
      </c>
      <c r="H2777" s="861">
        <v>42.819453102855498</v>
      </c>
      <c r="I2777" s="861">
        <v>51.563880064802703</v>
      </c>
      <c r="J2777" s="861">
        <v>32.972761569969201</v>
      </c>
      <c r="K2777" s="982">
        <v>0</v>
      </c>
      <c r="L2777" s="735">
        <v>3164</v>
      </c>
      <c r="M2777" s="735">
        <v>2591</v>
      </c>
      <c r="N2777" s="845">
        <f t="shared" si="200"/>
        <v>-0.18109987357774968</v>
      </c>
      <c r="O2777" s="735">
        <v>0.72896203372918189</v>
      </c>
      <c r="P2777" s="735">
        <f t="shared" si="201"/>
        <v>3554.3689247368779</v>
      </c>
      <c r="Q2777" s="849">
        <v>33.5</v>
      </c>
      <c r="R2777" s="71">
        <v>30250</v>
      </c>
      <c r="S2777" s="845">
        <v>0.38734076433121017</v>
      </c>
      <c r="T2777" s="845">
        <v>4.0999999999999995E-2</v>
      </c>
      <c r="U2777" s="845">
        <v>3.6000000000000004E-2</v>
      </c>
      <c r="V2777" s="845">
        <v>0</v>
      </c>
      <c r="W2777" s="845">
        <v>0.40425531914893614</v>
      </c>
      <c r="X2777" s="845">
        <v>0.55526315789473679</v>
      </c>
      <c r="Y2777" s="845">
        <v>0.89116171362408336</v>
      </c>
      <c r="Z2777" s="845">
        <v>0</v>
      </c>
      <c r="AA2777" s="845">
        <v>0</v>
      </c>
      <c r="AB2777" s="845">
        <v>0</v>
      </c>
      <c r="AC2777" s="845">
        <v>0</v>
      </c>
      <c r="AD2777" s="845">
        <v>0</v>
      </c>
      <c r="AE2777" s="845">
        <v>0.10883828637591664</v>
      </c>
      <c r="AF2777" s="845">
        <v>7.6804322655345425E-2</v>
      </c>
      <c r="AG2777" s="845">
        <v>0.89116171362408336</v>
      </c>
      <c r="AH2777" s="20" t="str">
        <f t="shared" si="202"/>
        <v>No</v>
      </c>
      <c r="AI2777" s="25"/>
      <c r="AJ2777" s="25"/>
      <c r="AK2777" s="25"/>
      <c r="AL2777" s="25"/>
      <c r="AM2777" s="25"/>
      <c r="AN2777" s="25"/>
      <c r="AO2777" s="25"/>
      <c r="AP2777" s="25"/>
      <c r="AQ2777" s="25"/>
      <c r="AR2777" s="25"/>
      <c r="AS2777" s="25"/>
      <c r="AT2777" s="25"/>
      <c r="AU2777" s="36"/>
      <c r="AV2777" s="36"/>
      <c r="AW2777" s="36"/>
      <c r="AX2777" s="25"/>
      <c r="AY2777" s="25"/>
      <c r="AZ2777" s="25"/>
      <c r="BA2777" s="25"/>
      <c r="BB2777" s="25"/>
      <c r="BC2777" s="25"/>
      <c r="BD2777" s="25"/>
      <c r="BE2777" s="25"/>
      <c r="BF2777" s="25"/>
      <c r="BG2777" s="25"/>
      <c r="BH2777" s="25"/>
      <c r="BI2777" s="25"/>
      <c r="BJ2777" s="25"/>
      <c r="BK2777" s="25"/>
      <c r="BL2777" s="25"/>
      <c r="BM2777" s="25"/>
      <c r="BN2777" s="25"/>
      <c r="BO2777" s="25"/>
      <c r="BP2777" s="25"/>
      <c r="BQ2777" s="25"/>
      <c r="BR2777" s="25"/>
      <c r="BS2777" s="25"/>
      <c r="BT2777" s="25"/>
      <c r="BU2777"/>
      <c r="BV2777"/>
      <c r="BW2777"/>
      <c r="BX2777"/>
      <c r="BY2777"/>
      <c r="BZ2777"/>
      <c r="CA2777"/>
      <c r="CB2777"/>
      <c r="CC2777"/>
      <c r="CD2777" s="25"/>
    </row>
    <row r="2778" spans="1:82" s="17" customFormat="1" x14ac:dyDescent="0.2">
      <c r="A2778" s="25"/>
      <c r="B2778" s="20">
        <v>39095005703</v>
      </c>
      <c r="C2778" s="20">
        <v>57.03</v>
      </c>
      <c r="D2778" s="20" t="s">
        <v>53</v>
      </c>
      <c r="E2778" s="20" t="s">
        <v>2839</v>
      </c>
      <c r="F2778" s="20" t="s">
        <v>8</v>
      </c>
      <c r="G2778" s="861">
        <v>31.082034925262001</v>
      </c>
      <c r="H2778" s="861">
        <v>43.0551735636937</v>
      </c>
      <c r="I2778" s="861">
        <v>33.087228835288101</v>
      </c>
      <c r="J2778" s="861">
        <v>43.120012793565202</v>
      </c>
      <c r="K2778" s="982">
        <v>0</v>
      </c>
      <c r="L2778" s="735">
        <v>2633</v>
      </c>
      <c r="M2778" s="735">
        <v>2563</v>
      </c>
      <c r="N2778" s="845">
        <f t="shared" si="200"/>
        <v>-2.6585643752373718E-2</v>
      </c>
      <c r="O2778" s="735">
        <v>0.36764995033123921</v>
      </c>
      <c r="P2778" s="735">
        <f t="shared" si="201"/>
        <v>6971.3051713751911</v>
      </c>
      <c r="Q2778" s="849">
        <v>33.700000000000003</v>
      </c>
      <c r="R2778" s="71">
        <v>48723</v>
      </c>
      <c r="S2778" s="845">
        <v>0.19834057684709602</v>
      </c>
      <c r="T2778" s="845">
        <v>6.5000000000000002E-2</v>
      </c>
      <c r="U2778" s="845">
        <v>0</v>
      </c>
      <c r="V2778" s="845">
        <v>0</v>
      </c>
      <c r="W2778" s="845">
        <v>0.38482886216466233</v>
      </c>
      <c r="X2778" s="845">
        <v>0.30288461538461536</v>
      </c>
      <c r="Y2778" s="845">
        <v>0.63090128755364805</v>
      </c>
      <c r="Z2778" s="845">
        <v>0.13811939133827547</v>
      </c>
      <c r="AA2778" s="845">
        <v>0</v>
      </c>
      <c r="AB2778" s="845">
        <v>0</v>
      </c>
      <c r="AC2778" s="845">
        <v>0</v>
      </c>
      <c r="AD2778" s="845">
        <v>8.1935232149824427E-2</v>
      </c>
      <c r="AE2778" s="845">
        <v>0.14904408895825205</v>
      </c>
      <c r="AF2778" s="845">
        <v>0.19313304721030042</v>
      </c>
      <c r="AG2778" s="845">
        <v>0.61412407335154118</v>
      </c>
      <c r="AH2778" s="20" t="str">
        <f t="shared" si="202"/>
        <v>No</v>
      </c>
      <c r="AI2778" s="25"/>
      <c r="AJ2778" s="25"/>
      <c r="AK2778" s="25"/>
      <c r="AL2778" s="25"/>
      <c r="AM2778" s="25"/>
      <c r="AN2778" s="25"/>
      <c r="AO2778" s="25"/>
      <c r="AP2778" s="25"/>
      <c r="AQ2778" s="25"/>
      <c r="AR2778" s="25"/>
      <c r="AS2778" s="25"/>
      <c r="AT2778" s="25"/>
      <c r="AU2778" s="36"/>
      <c r="AV2778" s="36"/>
      <c r="AW2778" s="36"/>
      <c r="AX2778" s="25"/>
      <c r="AY2778" s="25"/>
      <c r="AZ2778" s="25"/>
      <c r="BA2778" s="25"/>
      <c r="BB2778" s="25"/>
      <c r="BC2778" s="25"/>
      <c r="BD2778" s="25"/>
      <c r="BE2778" s="25"/>
      <c r="BF2778" s="25"/>
      <c r="BG2778" s="25"/>
      <c r="BH2778" s="25"/>
      <c r="BI2778" s="25"/>
      <c r="BJ2778" s="25"/>
      <c r="BK2778" s="25"/>
      <c r="BL2778" s="25"/>
      <c r="BM2778" s="25"/>
      <c r="BN2778" s="25"/>
      <c r="BO2778" s="25"/>
      <c r="BP2778" s="25"/>
      <c r="BQ2778" s="25"/>
      <c r="BR2778" s="25"/>
      <c r="BS2778" s="25"/>
      <c r="BT2778" s="25"/>
      <c r="BU2778"/>
      <c r="BV2778"/>
      <c r="BW2778"/>
      <c r="BX2778"/>
      <c r="BY2778"/>
      <c r="BZ2778"/>
      <c r="CA2778"/>
      <c r="CB2778"/>
      <c r="CC2778"/>
      <c r="CD2778" s="25"/>
    </row>
    <row r="2779" spans="1:82" s="17" customFormat="1" x14ac:dyDescent="0.2">
      <c r="A2779" s="25"/>
      <c r="B2779" s="20">
        <v>39145002400</v>
      </c>
      <c r="C2779" s="20">
        <v>24</v>
      </c>
      <c r="D2779" s="20" t="s">
        <v>78</v>
      </c>
      <c r="E2779" s="20" t="s">
        <v>265</v>
      </c>
      <c r="F2779" s="20" t="s">
        <v>8</v>
      </c>
      <c r="G2779" s="861">
        <v>30.8994681893566</v>
      </c>
      <c r="H2779" s="861">
        <v>45.289802721411903</v>
      </c>
      <c r="I2779" s="861">
        <v>25.891697202915399</v>
      </c>
      <c r="J2779" s="861">
        <v>40.2289702861706</v>
      </c>
      <c r="K2779" s="982">
        <v>0</v>
      </c>
      <c r="L2779" s="735">
        <v>6078</v>
      </c>
      <c r="M2779" s="735">
        <v>5388</v>
      </c>
      <c r="N2779" s="845">
        <f t="shared" si="200"/>
        <v>-0.11352418558736427</v>
      </c>
      <c r="O2779" s="735">
        <v>55.503037425140924</v>
      </c>
      <c r="P2779" s="735">
        <f t="shared" si="201"/>
        <v>97.075768281456703</v>
      </c>
      <c r="Q2779" s="849">
        <v>42</v>
      </c>
      <c r="R2779" s="71">
        <v>51863</v>
      </c>
      <c r="S2779" s="845">
        <v>0.21985417835109367</v>
      </c>
      <c r="T2779" s="845">
        <v>7.2999999999999995E-2</v>
      </c>
      <c r="U2779" s="845">
        <v>0.03</v>
      </c>
      <c r="V2779" s="845">
        <v>0</v>
      </c>
      <c r="W2779" s="845">
        <v>0.14380009429514379</v>
      </c>
      <c r="X2779" s="845">
        <v>0.4524590163934426</v>
      </c>
      <c r="Y2779" s="845">
        <v>0.97160356347438748</v>
      </c>
      <c r="Z2779" s="845">
        <v>5.5679287305122492E-4</v>
      </c>
      <c r="AA2779" s="845">
        <v>0</v>
      </c>
      <c r="AB2779" s="845">
        <v>0</v>
      </c>
      <c r="AC2779" s="845">
        <v>0</v>
      </c>
      <c r="AD2779" s="845">
        <v>0</v>
      </c>
      <c r="AE2779" s="845">
        <v>2.7839643652561249E-2</v>
      </c>
      <c r="AF2779" s="845">
        <v>1.3734224201930215E-2</v>
      </c>
      <c r="AG2779" s="845">
        <v>0.95786933927245732</v>
      </c>
      <c r="AH2779" s="20" t="str">
        <f t="shared" si="202"/>
        <v>Yes</v>
      </c>
      <c r="AI2779" s="25"/>
      <c r="AJ2779" s="25"/>
      <c r="AK2779" s="25"/>
      <c r="AL2779" s="25"/>
      <c r="AM2779" s="25"/>
      <c r="AN2779" s="25"/>
      <c r="AO2779" s="25"/>
      <c r="AP2779" s="25"/>
      <c r="AQ2779" s="25"/>
      <c r="AR2779" s="25"/>
      <c r="AS2779" s="25"/>
      <c r="AT2779" s="25"/>
      <c r="AU2779" s="36"/>
      <c r="AV2779" s="36"/>
      <c r="AW2779" s="36"/>
      <c r="AX2779" s="25"/>
      <c r="AY2779" s="25"/>
      <c r="AZ2779" s="25"/>
      <c r="BA2779" s="25"/>
      <c r="BB2779" s="25"/>
      <c r="BC2779" s="25"/>
      <c r="BD2779" s="25"/>
      <c r="BE2779" s="25"/>
      <c r="BF2779" s="25"/>
      <c r="BG2779" s="25"/>
      <c r="BH2779" s="25"/>
      <c r="BI2779" s="25"/>
      <c r="BJ2779" s="25"/>
      <c r="BK2779" s="25"/>
      <c r="BL2779" s="25"/>
      <c r="BM2779" s="25"/>
      <c r="BN2779" s="25"/>
      <c r="BO2779" s="25"/>
      <c r="BP2779" s="25"/>
      <c r="BQ2779" s="25"/>
      <c r="BR2779" s="25"/>
      <c r="BS2779" s="25"/>
      <c r="BT2779" s="25"/>
      <c r="BU2779"/>
      <c r="BV2779"/>
      <c r="BW2779"/>
      <c r="BX2779"/>
      <c r="BY2779"/>
      <c r="BZ2779"/>
      <c r="CA2779"/>
      <c r="CB2779"/>
      <c r="CC2779"/>
      <c r="CD2779" s="25"/>
    </row>
    <row r="2780" spans="1:82" s="17" customFormat="1" x14ac:dyDescent="0.2">
      <c r="A2780" s="25"/>
      <c r="B2780" s="20">
        <v>39035114600</v>
      </c>
      <c r="C2780" s="20">
        <v>1146</v>
      </c>
      <c r="D2780" s="20" t="s">
        <v>24</v>
      </c>
      <c r="E2780" s="20" t="s">
        <v>2829</v>
      </c>
      <c r="F2780" s="20" t="s">
        <v>6</v>
      </c>
      <c r="G2780" s="861">
        <v>30.876975771291601</v>
      </c>
      <c r="H2780" s="861">
        <v>51.254163249725998</v>
      </c>
      <c r="I2780" s="861">
        <v>96.573481951858099</v>
      </c>
      <c r="J2780" s="861">
        <v>37.4420423066192</v>
      </c>
      <c r="K2780" s="982">
        <v>0</v>
      </c>
      <c r="L2780" s="735">
        <v>1252</v>
      </c>
      <c r="M2780" s="735">
        <v>1232</v>
      </c>
      <c r="N2780" s="845">
        <f t="shared" si="200"/>
        <v>-1.5974440894568689E-2</v>
      </c>
      <c r="O2780" s="735">
        <v>0.52992444046393716</v>
      </c>
      <c r="P2780" s="735">
        <f t="shared" si="201"/>
        <v>2324.859745893983</v>
      </c>
      <c r="Q2780" s="849">
        <v>24.3</v>
      </c>
      <c r="R2780" s="71">
        <v>32975</v>
      </c>
      <c r="S2780" s="845">
        <v>0.32711038961038963</v>
      </c>
      <c r="T2780" s="845">
        <v>3.7000000000000005E-2</v>
      </c>
      <c r="U2780" s="845">
        <v>0</v>
      </c>
      <c r="V2780" s="845">
        <v>0</v>
      </c>
      <c r="W2780" s="845">
        <v>0.85865724381625441</v>
      </c>
      <c r="X2780" s="845">
        <v>0.56584362139917699</v>
      </c>
      <c r="Y2780" s="845">
        <v>0.1314935064935065</v>
      </c>
      <c r="Z2780" s="845">
        <v>0.8035714285714286</v>
      </c>
      <c r="AA2780" s="845">
        <v>0</v>
      </c>
      <c r="AB2780" s="845">
        <v>0</v>
      </c>
      <c r="AC2780" s="845">
        <v>0</v>
      </c>
      <c r="AD2780" s="845">
        <v>3.3279220779220776E-2</v>
      </c>
      <c r="AE2780" s="845">
        <v>3.1655844155844153E-2</v>
      </c>
      <c r="AF2780" s="845">
        <v>3.7337662337662336E-2</v>
      </c>
      <c r="AG2780" s="845">
        <v>0.1185064935064935</v>
      </c>
      <c r="AH2780" s="20" t="str">
        <f t="shared" si="202"/>
        <v>No</v>
      </c>
      <c r="AI2780" s="25"/>
      <c r="AJ2780" s="25"/>
      <c r="AK2780" s="25"/>
      <c r="AL2780" s="25"/>
      <c r="AM2780" s="25"/>
      <c r="AN2780" s="25"/>
      <c r="AO2780" s="25"/>
      <c r="AP2780" s="25"/>
      <c r="AQ2780" s="25"/>
      <c r="AR2780" s="25"/>
      <c r="AS2780" s="25"/>
      <c r="AT2780" s="25"/>
      <c r="AU2780" s="36"/>
      <c r="AV2780" s="36"/>
      <c r="AW2780" s="36"/>
      <c r="AX2780" s="25"/>
      <c r="AY2780" s="25"/>
      <c r="AZ2780" s="25"/>
      <c r="BA2780" s="25"/>
      <c r="BB2780" s="25"/>
      <c r="BC2780" s="25"/>
      <c r="BD2780" s="25"/>
      <c r="BE2780" s="25"/>
      <c r="BF2780" s="25"/>
      <c r="BG2780" s="25"/>
      <c r="BH2780" s="25"/>
      <c r="BI2780" s="25"/>
      <c r="BJ2780" s="25"/>
      <c r="BK2780" s="25"/>
      <c r="BL2780" s="25"/>
      <c r="BM2780" s="25"/>
      <c r="BN2780" s="25"/>
      <c r="BO2780" s="25"/>
      <c r="BP2780" s="25"/>
      <c r="BQ2780" s="25"/>
      <c r="BR2780" s="25"/>
      <c r="BS2780" s="25"/>
      <c r="BT2780" s="25"/>
      <c r="BU2780"/>
      <c r="BV2780"/>
      <c r="BW2780"/>
      <c r="BX2780"/>
      <c r="BY2780"/>
      <c r="BZ2780"/>
      <c r="CA2780"/>
      <c r="CB2780"/>
      <c r="CC2780"/>
      <c r="CD2780" s="25"/>
    </row>
    <row r="2781" spans="1:82" s="17" customFormat="1" x14ac:dyDescent="0.2">
      <c r="A2781" s="25"/>
      <c r="B2781" s="20">
        <v>39095005400</v>
      </c>
      <c r="C2781" s="20">
        <v>54</v>
      </c>
      <c r="D2781" s="20" t="s">
        <v>53</v>
      </c>
      <c r="E2781" s="20" t="s">
        <v>2839</v>
      </c>
      <c r="F2781" s="20" t="s">
        <v>6</v>
      </c>
      <c r="G2781" s="861">
        <v>30.8733776966126</v>
      </c>
      <c r="H2781" s="861">
        <v>32.829666490108998</v>
      </c>
      <c r="I2781" s="861">
        <v>81.285429173653597</v>
      </c>
      <c r="J2781" s="861">
        <v>43.456039090047902</v>
      </c>
      <c r="K2781" s="982">
        <v>0</v>
      </c>
      <c r="L2781" s="735">
        <v>3239</v>
      </c>
      <c r="M2781" s="735">
        <v>2377</v>
      </c>
      <c r="N2781" s="845">
        <f t="shared" si="200"/>
        <v>-0.26613152207471441</v>
      </c>
      <c r="O2781" s="735">
        <v>0.63220483278589268</v>
      </c>
      <c r="P2781" s="735">
        <f t="shared" si="201"/>
        <v>3759.8573701587202</v>
      </c>
      <c r="Q2781" s="849">
        <v>28</v>
      </c>
      <c r="R2781" s="71">
        <v>34423</v>
      </c>
      <c r="S2781" s="845">
        <v>0.43913978494623657</v>
      </c>
      <c r="T2781" s="845">
        <v>7.8E-2</v>
      </c>
      <c r="U2781" s="845">
        <v>0</v>
      </c>
      <c r="V2781" s="845">
        <v>0</v>
      </c>
      <c r="W2781" s="845">
        <v>0.56599552572706935</v>
      </c>
      <c r="X2781" s="845">
        <v>0.63636363636363635</v>
      </c>
      <c r="Y2781" s="845">
        <v>0.41312578880942363</v>
      </c>
      <c r="Z2781" s="845">
        <v>0.28060580563735804</v>
      </c>
      <c r="AA2781" s="845">
        <v>1.6827934371055953E-3</v>
      </c>
      <c r="AB2781" s="845">
        <v>0</v>
      </c>
      <c r="AC2781" s="845">
        <v>0</v>
      </c>
      <c r="AD2781" s="845">
        <v>0.12620950778291964</v>
      </c>
      <c r="AE2781" s="845">
        <v>0.17837610433319309</v>
      </c>
      <c r="AF2781" s="845">
        <v>0.2456878418174169</v>
      </c>
      <c r="AG2781" s="845">
        <v>0.38409760201935211</v>
      </c>
      <c r="AH2781" s="20" t="str">
        <f t="shared" si="202"/>
        <v>No</v>
      </c>
      <c r="AI2781" s="25"/>
      <c r="AJ2781" s="25"/>
      <c r="AK2781" s="25"/>
      <c r="AL2781" s="25"/>
      <c r="AM2781" s="25"/>
      <c r="AN2781" s="25"/>
      <c r="AO2781" s="25"/>
      <c r="AP2781" s="25"/>
      <c r="AQ2781" s="25"/>
      <c r="AR2781" s="25"/>
      <c r="AS2781" s="25"/>
      <c r="AT2781" s="25"/>
      <c r="AU2781" s="36"/>
      <c r="AV2781" s="36"/>
      <c r="AW2781" s="36"/>
      <c r="AX2781" s="25"/>
      <c r="AY2781" s="25"/>
      <c r="AZ2781" s="25"/>
      <c r="BA2781" s="25"/>
      <c r="BB2781" s="25"/>
      <c r="BC2781" s="25"/>
      <c r="BD2781" s="25"/>
      <c r="BE2781" s="25"/>
      <c r="BF2781" s="25"/>
      <c r="BG2781" s="25"/>
      <c r="BH2781" s="25"/>
      <c r="BI2781" s="25"/>
      <c r="BJ2781" s="25"/>
      <c r="BK2781" s="25"/>
      <c r="BL2781" s="25"/>
      <c r="BM2781" s="25"/>
      <c r="BN2781" s="25"/>
      <c r="BO2781" s="25"/>
      <c r="BP2781" s="25"/>
      <c r="BQ2781" s="25"/>
      <c r="BR2781" s="25"/>
      <c r="BS2781" s="25"/>
      <c r="BT2781" s="25"/>
      <c r="BU2781"/>
      <c r="BV2781"/>
      <c r="BW2781"/>
      <c r="BX2781"/>
      <c r="BY2781"/>
      <c r="BZ2781"/>
      <c r="CA2781"/>
      <c r="CB2781"/>
      <c r="CC2781"/>
      <c r="CD2781" s="25"/>
    </row>
    <row r="2782" spans="1:82" s="17" customFormat="1" x14ac:dyDescent="0.2">
      <c r="A2782" s="25"/>
      <c r="B2782" s="20">
        <v>39133601902</v>
      </c>
      <c r="C2782" s="20">
        <v>6019.02</v>
      </c>
      <c r="D2782" s="20" t="s">
        <v>72</v>
      </c>
      <c r="E2782" s="20" t="s">
        <v>2843</v>
      </c>
      <c r="F2782" s="20" t="s">
        <v>8</v>
      </c>
      <c r="G2782" s="861">
        <v>30.861703923745701</v>
      </c>
      <c r="H2782" s="861">
        <v>44.474964950296801</v>
      </c>
      <c r="I2782" s="861">
        <v>30.2958295613115</v>
      </c>
      <c r="J2782" s="861">
        <v>38.740957683048897</v>
      </c>
      <c r="K2782" s="982">
        <v>0</v>
      </c>
      <c r="L2782" s="735">
        <v>2809</v>
      </c>
      <c r="M2782" s="735">
        <v>2845</v>
      </c>
      <c r="N2782" s="845">
        <f t="shared" si="200"/>
        <v>1.2815948736205056E-2</v>
      </c>
      <c r="O2782" s="735">
        <v>23.3796857082869</v>
      </c>
      <c r="P2782" s="735">
        <f t="shared" si="201"/>
        <v>121.68683683337939</v>
      </c>
      <c r="Q2782" s="849">
        <v>43.7</v>
      </c>
      <c r="R2782" s="71">
        <v>59464</v>
      </c>
      <c r="S2782" s="845">
        <v>0.18438177874186551</v>
      </c>
      <c r="T2782" s="845">
        <v>2.4E-2</v>
      </c>
      <c r="U2782" s="845">
        <v>0</v>
      </c>
      <c r="V2782" s="845">
        <v>0</v>
      </c>
      <c r="W2782" s="845">
        <v>0.17197452229299362</v>
      </c>
      <c r="X2782" s="845">
        <v>0.51851851851851849</v>
      </c>
      <c r="Y2782" s="845">
        <v>0.94059753954305803</v>
      </c>
      <c r="Z2782" s="845">
        <v>0</v>
      </c>
      <c r="AA2782" s="845">
        <v>5.6239015817223202E-3</v>
      </c>
      <c r="AB2782" s="845">
        <v>0</v>
      </c>
      <c r="AC2782" s="845">
        <v>0</v>
      </c>
      <c r="AD2782" s="845">
        <v>0</v>
      </c>
      <c r="AE2782" s="845">
        <v>5.3778558875219686E-2</v>
      </c>
      <c r="AF2782" s="845">
        <v>5.6239015817223202E-3</v>
      </c>
      <c r="AG2782" s="845">
        <v>0.94059753954305803</v>
      </c>
      <c r="AH2782" s="20" t="str">
        <f t="shared" si="202"/>
        <v>Yes</v>
      </c>
      <c r="AI2782" s="25"/>
      <c r="AJ2782" s="25"/>
      <c r="AK2782" s="25"/>
      <c r="AL2782" s="25"/>
      <c r="AM2782" s="25"/>
      <c r="AN2782" s="25"/>
      <c r="AO2782" s="25"/>
      <c r="AP2782" s="25"/>
      <c r="AQ2782" s="25"/>
      <c r="AR2782" s="25"/>
      <c r="AS2782" s="25"/>
      <c r="AT2782" s="25"/>
      <c r="AU2782" s="36"/>
      <c r="AV2782" s="36"/>
      <c r="AW2782" s="36"/>
      <c r="AX2782" s="25"/>
      <c r="AY2782" s="25"/>
      <c r="AZ2782" s="25"/>
      <c r="BA2782" s="25"/>
      <c r="BB2782" s="25"/>
      <c r="BC2782" s="25"/>
      <c r="BD2782" s="25"/>
      <c r="BE2782" s="25"/>
      <c r="BF2782" s="25"/>
      <c r="BG2782" s="25"/>
      <c r="BH2782" s="25"/>
      <c r="BI2782" s="25"/>
      <c r="BJ2782" s="25"/>
      <c r="BK2782" s="25"/>
      <c r="BL2782" s="25"/>
      <c r="BM2782" s="25"/>
      <c r="BN2782" s="25"/>
      <c r="BO2782" s="25"/>
      <c r="BP2782" s="25"/>
      <c r="BQ2782" s="25"/>
      <c r="BR2782" s="25"/>
      <c r="BS2782" s="25"/>
      <c r="BT2782" s="25"/>
      <c r="BU2782"/>
      <c r="BV2782"/>
      <c r="BW2782"/>
      <c r="BX2782"/>
      <c r="BY2782"/>
      <c r="BZ2782"/>
      <c r="CA2782"/>
      <c r="CB2782"/>
      <c r="CC2782"/>
      <c r="CD2782" s="25"/>
    </row>
    <row r="2783" spans="1:82" s="17" customFormat="1" x14ac:dyDescent="0.2">
      <c r="A2783" s="25"/>
      <c r="B2783" s="20">
        <v>39093024100</v>
      </c>
      <c r="C2783" s="20">
        <v>241</v>
      </c>
      <c r="D2783" s="20" t="s">
        <v>52</v>
      </c>
      <c r="E2783" s="20" t="s">
        <v>2829</v>
      </c>
      <c r="F2783" s="20" t="s">
        <v>8</v>
      </c>
      <c r="G2783" s="861">
        <v>30.820384632337898</v>
      </c>
      <c r="H2783" s="861">
        <v>35.738875333249702</v>
      </c>
      <c r="I2783" s="861">
        <v>39.1078969871105</v>
      </c>
      <c r="J2783" s="861">
        <v>30.990399333314102</v>
      </c>
      <c r="K2783" s="982">
        <v>0</v>
      </c>
      <c r="L2783" s="735">
        <v>3029</v>
      </c>
      <c r="M2783" s="735">
        <v>3261</v>
      </c>
      <c r="N2783" s="845">
        <f t="shared" si="200"/>
        <v>7.6592934962033676E-2</v>
      </c>
      <c r="O2783" s="735">
        <v>2.1223417894377903</v>
      </c>
      <c r="P2783" s="735">
        <f t="shared" si="201"/>
        <v>1536.5102907688779</v>
      </c>
      <c r="Q2783" s="849">
        <v>43.2</v>
      </c>
      <c r="R2783" s="71">
        <v>49583</v>
      </c>
      <c r="S2783" s="845">
        <v>0.13983440662373506</v>
      </c>
      <c r="T2783" s="845">
        <v>2.7000000000000003E-2</v>
      </c>
      <c r="U2783" s="845">
        <v>0</v>
      </c>
      <c r="V2783" s="845">
        <v>7.2000000000000008E-2</v>
      </c>
      <c r="W2783" s="845">
        <v>0.26778242677824265</v>
      </c>
      <c r="X2783" s="845">
        <v>0.59114583333333337</v>
      </c>
      <c r="Y2783" s="845">
        <v>0.75743636921189816</v>
      </c>
      <c r="Z2783" s="845">
        <v>9.5062864152100579E-2</v>
      </c>
      <c r="AA2783" s="845">
        <v>6.439742410303588E-3</v>
      </c>
      <c r="AB2783" s="845">
        <v>0</v>
      </c>
      <c r="AC2783" s="845">
        <v>0</v>
      </c>
      <c r="AD2783" s="845">
        <v>5.9490953695185526E-2</v>
      </c>
      <c r="AE2783" s="845">
        <v>8.1570070530512115E-2</v>
      </c>
      <c r="AF2783" s="845">
        <v>0.18889911070223858</v>
      </c>
      <c r="AG2783" s="845">
        <v>0.72922416436675863</v>
      </c>
      <c r="AH2783" s="20" t="str">
        <f t="shared" si="202"/>
        <v>No</v>
      </c>
      <c r="AI2783" s="25"/>
      <c r="AJ2783" s="25"/>
      <c r="AK2783" s="25"/>
      <c r="AL2783" s="25"/>
      <c r="AM2783" s="25"/>
      <c r="AN2783" s="25"/>
      <c r="AO2783" s="25"/>
      <c r="AP2783" s="25"/>
      <c r="AQ2783" s="25"/>
      <c r="AR2783" s="25"/>
      <c r="AS2783" s="25"/>
      <c r="AT2783" s="25"/>
      <c r="AU2783" s="36"/>
      <c r="AV2783" s="36"/>
      <c r="AW2783" s="36"/>
      <c r="AX2783" s="25"/>
      <c r="AY2783" s="25"/>
      <c r="AZ2783" s="25"/>
      <c r="BA2783" s="25"/>
      <c r="BB2783" s="25"/>
      <c r="BC2783" s="25"/>
      <c r="BD2783" s="25"/>
      <c r="BE2783" s="25"/>
      <c r="BF2783" s="25"/>
      <c r="BG2783" s="25"/>
      <c r="BH2783" s="25"/>
      <c r="BI2783" s="25"/>
      <c r="BJ2783" s="25"/>
      <c r="BK2783" s="25"/>
      <c r="BL2783" s="25"/>
      <c r="BM2783" s="25"/>
      <c r="BN2783" s="25"/>
      <c r="BO2783" s="25"/>
      <c r="BP2783" s="25"/>
      <c r="BQ2783" s="25"/>
      <c r="BR2783" s="25"/>
      <c r="BS2783" s="25"/>
      <c r="BT2783" s="25"/>
      <c r="BU2783"/>
      <c r="BV2783"/>
      <c r="BW2783"/>
      <c r="BX2783"/>
      <c r="BY2783"/>
      <c r="BZ2783"/>
      <c r="CA2783"/>
      <c r="CB2783"/>
      <c r="CC2783"/>
      <c r="CD2783" s="25"/>
    </row>
    <row r="2784" spans="1:82" s="17" customFormat="1" x14ac:dyDescent="0.2">
      <c r="A2784" s="25"/>
      <c r="B2784" s="20">
        <v>39083006802</v>
      </c>
      <c r="C2784" s="20">
        <v>68.02</v>
      </c>
      <c r="D2784" s="20" t="s">
        <v>114</v>
      </c>
      <c r="E2784" s="20" t="s">
        <v>265</v>
      </c>
      <c r="F2784" s="20" t="s">
        <v>8</v>
      </c>
      <c r="G2784" s="861">
        <v>30.808240807680399</v>
      </c>
      <c r="H2784" s="861">
        <v>44.786502776844003</v>
      </c>
      <c r="I2784" s="861">
        <v>17.148154966635001</v>
      </c>
      <c r="J2784" s="861">
        <v>50.473515880563902</v>
      </c>
      <c r="K2784" s="982">
        <v>0</v>
      </c>
      <c r="L2784" s="735">
        <v>4266</v>
      </c>
      <c r="M2784" s="735">
        <v>5221</v>
      </c>
      <c r="N2784" s="845">
        <f t="shared" si="200"/>
        <v>0.22386310360993905</v>
      </c>
      <c r="O2784" s="735">
        <v>82.328193004716155</v>
      </c>
      <c r="P2784" s="735">
        <f t="shared" si="201"/>
        <v>63.416914782775763</v>
      </c>
      <c r="Q2784" s="849">
        <v>37.200000000000003</v>
      </c>
      <c r="R2784" s="71">
        <v>78594</v>
      </c>
      <c r="S2784" s="845">
        <v>7.3349149861605373E-2</v>
      </c>
      <c r="T2784" s="845">
        <v>1.9E-2</v>
      </c>
      <c r="U2784" s="845">
        <v>0</v>
      </c>
      <c r="V2784" s="845">
        <v>0</v>
      </c>
      <c r="W2784" s="845">
        <v>0.19216646266829865</v>
      </c>
      <c r="X2784" s="845">
        <v>0.13694267515923567</v>
      </c>
      <c r="Y2784" s="845">
        <v>0.97088680329438803</v>
      </c>
      <c r="Z2784" s="845">
        <v>0</v>
      </c>
      <c r="AA2784" s="845">
        <v>1.915341888527102E-4</v>
      </c>
      <c r="AB2784" s="845">
        <v>0</v>
      </c>
      <c r="AC2784" s="845">
        <v>0</v>
      </c>
      <c r="AD2784" s="845">
        <v>1.7812679563302049E-2</v>
      </c>
      <c r="AE2784" s="845">
        <v>1.1108982953457192E-2</v>
      </c>
      <c r="AF2784" s="845">
        <v>6.8952307986975677E-3</v>
      </c>
      <c r="AG2784" s="845">
        <v>0.96533231181765944</v>
      </c>
      <c r="AH2784" s="20" t="str">
        <f t="shared" si="202"/>
        <v>Yes</v>
      </c>
      <c r="AI2784" s="25"/>
      <c r="AJ2784" s="25"/>
      <c r="AK2784" s="25"/>
      <c r="AL2784" s="25"/>
      <c r="AM2784" s="25"/>
      <c r="AN2784" s="25"/>
      <c r="AO2784" s="25"/>
      <c r="AP2784" s="25"/>
      <c r="AQ2784" s="25"/>
      <c r="AR2784" s="25"/>
      <c r="AS2784" s="25"/>
      <c r="AT2784" s="25"/>
      <c r="AU2784" s="36"/>
      <c r="AV2784" s="36"/>
      <c r="AW2784" s="36"/>
      <c r="AX2784" s="25"/>
      <c r="AY2784" s="25"/>
      <c r="AZ2784" s="25"/>
      <c r="BA2784" s="25"/>
      <c r="BB2784" s="25"/>
      <c r="BC2784" s="25"/>
      <c r="BD2784" s="25"/>
      <c r="BE2784" s="25"/>
      <c r="BF2784" s="25"/>
      <c r="BG2784" s="25"/>
      <c r="BH2784" s="25"/>
      <c r="BI2784" s="25"/>
      <c r="BJ2784" s="25"/>
      <c r="BK2784" s="25"/>
      <c r="BL2784" s="25"/>
      <c r="BM2784" s="25"/>
      <c r="BN2784" s="25"/>
      <c r="BO2784" s="25"/>
      <c r="BP2784" s="25"/>
      <c r="BQ2784" s="25"/>
      <c r="BR2784" s="25"/>
      <c r="BS2784" s="25"/>
      <c r="BT2784" s="25"/>
      <c r="BU2784"/>
      <c r="BV2784"/>
      <c r="BW2784"/>
      <c r="BX2784"/>
      <c r="BY2784"/>
      <c r="BZ2784"/>
      <c r="CA2784"/>
      <c r="CB2784"/>
      <c r="CC2784"/>
      <c r="CD2784" s="25"/>
    </row>
    <row r="2785" spans="1:82" s="17" customFormat="1" x14ac:dyDescent="0.2">
      <c r="A2785" s="25"/>
      <c r="B2785" s="20">
        <v>39139001000</v>
      </c>
      <c r="C2785" s="20">
        <v>10</v>
      </c>
      <c r="D2785" s="20" t="s">
        <v>75</v>
      </c>
      <c r="E2785" s="20" t="s">
        <v>2836</v>
      </c>
      <c r="F2785" s="20" t="s">
        <v>8</v>
      </c>
      <c r="G2785" s="861">
        <v>30.782340879124401</v>
      </c>
      <c r="H2785" s="861">
        <v>26.5875101819748</v>
      </c>
      <c r="I2785" s="861">
        <v>34.361338187608297</v>
      </c>
      <c r="J2785" s="861">
        <v>52.622793013939699</v>
      </c>
      <c r="K2785" s="982">
        <v>0</v>
      </c>
      <c r="L2785" s="735">
        <v>4779</v>
      </c>
      <c r="M2785" s="735">
        <v>5746</v>
      </c>
      <c r="N2785" s="845">
        <f t="shared" si="200"/>
        <v>0.20234358652437748</v>
      </c>
      <c r="O2785" s="735">
        <v>3.7224711429273705</v>
      </c>
      <c r="P2785" s="735">
        <f t="shared" si="201"/>
        <v>1543.5982656083979</v>
      </c>
      <c r="Q2785" s="849">
        <v>44.7</v>
      </c>
      <c r="R2785" s="71">
        <v>39827</v>
      </c>
      <c r="S2785" s="845">
        <v>0.2112948627726953</v>
      </c>
      <c r="T2785" s="845">
        <v>1.9E-2</v>
      </c>
      <c r="U2785" s="845">
        <v>0</v>
      </c>
      <c r="V2785" s="845">
        <v>0</v>
      </c>
      <c r="W2785" s="845">
        <v>0.52691309987029833</v>
      </c>
      <c r="X2785" s="845">
        <v>0.35015384615384615</v>
      </c>
      <c r="Y2785" s="845">
        <v>0.63122171945701355</v>
      </c>
      <c r="Z2785" s="845">
        <v>0.23947093630351549</v>
      </c>
      <c r="AA2785" s="845">
        <v>2.2624434389140274E-3</v>
      </c>
      <c r="AB2785" s="845">
        <v>1.2182387747998607E-2</v>
      </c>
      <c r="AC2785" s="845">
        <v>0</v>
      </c>
      <c r="AD2785" s="845">
        <v>3.6895231465367211E-2</v>
      </c>
      <c r="AE2785" s="845">
        <v>7.7967281587191087E-2</v>
      </c>
      <c r="AF2785" s="845">
        <v>2.3320570831883047E-2</v>
      </c>
      <c r="AG2785" s="845">
        <v>0.63122171945701355</v>
      </c>
      <c r="AH2785" s="20" t="str">
        <f t="shared" si="202"/>
        <v>No</v>
      </c>
      <c r="AI2785" s="25"/>
      <c r="AJ2785" s="25"/>
      <c r="AK2785" s="25"/>
      <c r="AL2785" s="25"/>
      <c r="AM2785" s="25"/>
      <c r="AN2785" s="25"/>
      <c r="AO2785" s="25"/>
      <c r="AP2785" s="25"/>
      <c r="AQ2785" s="25"/>
      <c r="AR2785" s="25"/>
      <c r="AS2785" s="25"/>
      <c r="AT2785" s="25"/>
      <c r="AU2785" s="36"/>
      <c r="AV2785" s="36"/>
      <c r="AW2785" s="36"/>
      <c r="AX2785" s="25"/>
      <c r="AY2785" s="25"/>
      <c r="AZ2785" s="25"/>
      <c r="BA2785" s="25"/>
      <c r="BB2785" s="25"/>
      <c r="BC2785" s="25"/>
      <c r="BD2785" s="25"/>
      <c r="BE2785" s="25"/>
      <c r="BF2785" s="25"/>
      <c r="BG2785" s="25"/>
      <c r="BH2785" s="25"/>
      <c r="BI2785" s="25"/>
      <c r="BJ2785" s="25"/>
      <c r="BK2785" s="25"/>
      <c r="BL2785" s="25"/>
      <c r="BM2785" s="25"/>
      <c r="BN2785" s="25"/>
      <c r="BO2785" s="25"/>
      <c r="BP2785" s="25"/>
      <c r="BQ2785" s="25"/>
      <c r="BR2785" s="25"/>
      <c r="BS2785" s="25"/>
      <c r="BT2785" s="25"/>
      <c r="BU2785"/>
      <c r="BV2785"/>
      <c r="BW2785"/>
      <c r="BX2785"/>
      <c r="BY2785"/>
      <c r="BZ2785"/>
      <c r="CA2785"/>
      <c r="CB2785"/>
      <c r="CC2785"/>
      <c r="CD2785" s="25"/>
    </row>
    <row r="2786" spans="1:82" s="17" customFormat="1" x14ac:dyDescent="0.2">
      <c r="A2786" s="25"/>
      <c r="B2786" s="20">
        <v>39013010600</v>
      </c>
      <c r="C2786" s="20">
        <v>106</v>
      </c>
      <c r="D2786" s="20" t="s">
        <v>13</v>
      </c>
      <c r="E2786" s="20" t="s">
        <v>2841</v>
      </c>
      <c r="F2786" s="20" t="s">
        <v>8</v>
      </c>
      <c r="G2786" s="861">
        <v>30.7737475427909</v>
      </c>
      <c r="H2786" s="861">
        <v>43.658337648754099</v>
      </c>
      <c r="I2786" s="861">
        <v>22.544844911236702</v>
      </c>
      <c r="J2786" s="861">
        <v>33.439967842410098</v>
      </c>
      <c r="K2786" s="982">
        <v>0</v>
      </c>
      <c r="L2786" s="735">
        <v>3531</v>
      </c>
      <c r="M2786" s="735">
        <v>3906</v>
      </c>
      <c r="N2786" s="845">
        <f t="shared" si="200"/>
        <v>0.10620220900594732</v>
      </c>
      <c r="O2786" s="735">
        <v>54.883035737179505</v>
      </c>
      <c r="P2786" s="735">
        <f t="shared" si="201"/>
        <v>71.169532580245956</v>
      </c>
      <c r="Q2786" s="849">
        <v>37.4</v>
      </c>
      <c r="R2786" s="71">
        <v>52214</v>
      </c>
      <c r="S2786" s="845">
        <v>0.22439526505404014</v>
      </c>
      <c r="T2786" s="845">
        <v>0.04</v>
      </c>
      <c r="U2786" s="845">
        <v>0.01</v>
      </c>
      <c r="V2786" s="845">
        <v>2.5000000000000001E-2</v>
      </c>
      <c r="W2786" s="845">
        <v>0.32198774676650782</v>
      </c>
      <c r="X2786" s="845">
        <v>0.22621564482029599</v>
      </c>
      <c r="Y2786" s="845">
        <v>0.94726062467997951</v>
      </c>
      <c r="Z2786" s="845">
        <v>1.6641065028161803E-2</v>
      </c>
      <c r="AA2786" s="845">
        <v>0</v>
      </c>
      <c r="AB2786" s="845">
        <v>2.8161802355350742E-3</v>
      </c>
      <c r="AC2786" s="845">
        <v>0</v>
      </c>
      <c r="AD2786" s="845">
        <v>0</v>
      </c>
      <c r="AE2786" s="845">
        <v>3.3282130056323606E-2</v>
      </c>
      <c r="AF2786" s="845">
        <v>0</v>
      </c>
      <c r="AG2786" s="845">
        <v>0.94726062467997951</v>
      </c>
      <c r="AH2786" s="20" t="str">
        <f t="shared" si="202"/>
        <v>Yes</v>
      </c>
      <c r="AI2786" s="25"/>
      <c r="AJ2786" s="25"/>
      <c r="AK2786" s="25"/>
      <c r="AL2786" s="25"/>
      <c r="AM2786" s="25"/>
      <c r="AN2786" s="25"/>
      <c r="AO2786" s="25"/>
      <c r="AP2786" s="25"/>
      <c r="AQ2786" s="25"/>
      <c r="AR2786" s="25"/>
      <c r="AS2786" s="25"/>
      <c r="AT2786" s="25"/>
      <c r="AU2786" s="36"/>
      <c r="AV2786" s="36"/>
      <c r="AW2786" s="36"/>
      <c r="AX2786" s="25"/>
      <c r="AY2786" s="25"/>
      <c r="AZ2786" s="25"/>
      <c r="BA2786" s="25"/>
      <c r="BB2786" s="25"/>
      <c r="BC2786" s="25"/>
      <c r="BD2786" s="25"/>
      <c r="BE2786" s="25"/>
      <c r="BF2786" s="25"/>
      <c r="BG2786" s="25"/>
      <c r="BH2786" s="25"/>
      <c r="BI2786" s="25"/>
      <c r="BJ2786" s="25"/>
      <c r="BK2786" s="25"/>
      <c r="BL2786" s="25"/>
      <c r="BM2786" s="25"/>
      <c r="BN2786" s="25"/>
      <c r="BO2786" s="25"/>
      <c r="BP2786" s="25"/>
      <c r="BQ2786" s="25"/>
      <c r="BR2786" s="25"/>
      <c r="BS2786" s="25"/>
      <c r="BT2786" s="25"/>
      <c r="BU2786"/>
      <c r="BV2786"/>
      <c r="BW2786"/>
      <c r="BX2786"/>
      <c r="BY2786"/>
      <c r="BZ2786"/>
      <c r="CA2786"/>
      <c r="CB2786"/>
      <c r="CC2786"/>
      <c r="CD2786" s="25"/>
    </row>
    <row r="2787" spans="1:82" s="17" customFormat="1" x14ac:dyDescent="0.2">
      <c r="A2787" s="25"/>
      <c r="B2787" s="20">
        <v>39155930800</v>
      </c>
      <c r="C2787" s="20">
        <v>9308</v>
      </c>
      <c r="D2787" s="20" t="s">
        <v>83</v>
      </c>
      <c r="E2787" s="20" t="s">
        <v>2842</v>
      </c>
      <c r="F2787" s="20" t="s">
        <v>8</v>
      </c>
      <c r="G2787" s="861">
        <v>30.763192899191399</v>
      </c>
      <c r="H2787" s="861">
        <v>22.080775834116501</v>
      </c>
      <c r="I2787" s="861">
        <v>23.659801584118298</v>
      </c>
      <c r="J2787" s="861">
        <v>28.6812272186678</v>
      </c>
      <c r="K2787" s="982">
        <v>0</v>
      </c>
      <c r="L2787" s="735">
        <v>4921</v>
      </c>
      <c r="M2787" s="735">
        <v>4767</v>
      </c>
      <c r="N2787" s="845">
        <f t="shared" si="200"/>
        <v>-3.1294452347083924E-2</v>
      </c>
      <c r="O2787" s="735">
        <v>18.012277670263128</v>
      </c>
      <c r="P2787" s="735">
        <f t="shared" si="201"/>
        <v>264.65281555535574</v>
      </c>
      <c r="Q2787" s="849">
        <v>47.2</v>
      </c>
      <c r="R2787" s="71">
        <v>70313</v>
      </c>
      <c r="S2787" s="845">
        <v>3.5629963511483148E-2</v>
      </c>
      <c r="T2787" s="845">
        <v>0.04</v>
      </c>
      <c r="U2787" s="845">
        <v>0</v>
      </c>
      <c r="V2787" s="845">
        <v>0.253</v>
      </c>
      <c r="W2787" s="845">
        <v>0.11004543160020192</v>
      </c>
      <c r="X2787" s="845">
        <v>0.30275229357798167</v>
      </c>
      <c r="Y2787" s="845">
        <v>0.94545835955527591</v>
      </c>
      <c r="Z2787" s="845">
        <v>5.8737151248164461E-3</v>
      </c>
      <c r="AA2787" s="845">
        <v>1.6782043213761275E-3</v>
      </c>
      <c r="AB2787" s="845">
        <v>6.2932662051604785E-3</v>
      </c>
      <c r="AC2787" s="845">
        <v>0</v>
      </c>
      <c r="AD2787" s="845">
        <v>0</v>
      </c>
      <c r="AE2787" s="845">
        <v>4.0696454793371091E-2</v>
      </c>
      <c r="AF2787" s="845">
        <v>1.3215859030837005E-2</v>
      </c>
      <c r="AG2787" s="845">
        <v>0.9360184602475351</v>
      </c>
      <c r="AH2787" s="20" t="str">
        <f t="shared" si="202"/>
        <v>Yes</v>
      </c>
      <c r="AI2787" s="25"/>
      <c r="AJ2787" s="25"/>
      <c r="AK2787" s="25"/>
      <c r="AL2787" s="25"/>
      <c r="AM2787" s="25"/>
      <c r="AN2787" s="25"/>
      <c r="AO2787" s="25"/>
      <c r="AP2787" s="25"/>
      <c r="AQ2787" s="25"/>
      <c r="AR2787" s="25"/>
      <c r="AS2787" s="25"/>
      <c r="AT2787" s="25"/>
      <c r="AU2787" s="36"/>
      <c r="AV2787" s="36"/>
      <c r="AW2787" s="36"/>
      <c r="AX2787" s="25"/>
      <c r="AY2787" s="25"/>
      <c r="AZ2787" s="25"/>
      <c r="BA2787" s="25"/>
      <c r="BB2787" s="25"/>
      <c r="BC2787" s="25"/>
      <c r="BD2787" s="25"/>
      <c r="BE2787" s="25"/>
      <c r="BF2787" s="25"/>
      <c r="BG2787" s="25"/>
      <c r="BH2787" s="25"/>
      <c r="BI2787" s="25"/>
      <c r="BJ2787" s="25"/>
      <c r="BK2787" s="25"/>
      <c r="BL2787" s="25"/>
      <c r="BM2787" s="25"/>
      <c r="BN2787" s="25"/>
      <c r="BO2787" s="25"/>
      <c r="BP2787" s="25"/>
      <c r="BQ2787" s="25"/>
      <c r="BR2787" s="25"/>
      <c r="BS2787" s="25"/>
      <c r="BT2787" s="25"/>
      <c r="BU2787"/>
      <c r="BV2787"/>
      <c r="BW2787"/>
      <c r="BX2787"/>
      <c r="BY2787"/>
      <c r="BZ2787"/>
      <c r="CA2787"/>
      <c r="CB2787"/>
      <c r="CC2787"/>
      <c r="CD2787" s="25"/>
    </row>
    <row r="2788" spans="1:82" s="17" customFormat="1" x14ac:dyDescent="0.2">
      <c r="A2788" s="25"/>
      <c r="B2788" s="20">
        <v>39095001302</v>
      </c>
      <c r="C2788" s="20">
        <v>13.02</v>
      </c>
      <c r="D2788" s="20" t="s">
        <v>53</v>
      </c>
      <c r="E2788" s="20" t="s">
        <v>2839</v>
      </c>
      <c r="F2788" s="20" t="s">
        <v>6</v>
      </c>
      <c r="G2788" s="861">
        <v>30.7574282901573</v>
      </c>
      <c r="H2788" s="861">
        <v>36.072489898322097</v>
      </c>
      <c r="I2788" s="861">
        <v>44.147779639389597</v>
      </c>
      <c r="J2788" s="861">
        <v>81.129089240011496</v>
      </c>
      <c r="K2788" s="982">
        <v>1</v>
      </c>
      <c r="L2788" s="735">
        <v>1951</v>
      </c>
      <c r="M2788" s="735">
        <v>2118</v>
      </c>
      <c r="N2788" s="845">
        <f t="shared" si="200"/>
        <v>8.5597129677088671E-2</v>
      </c>
      <c r="O2788" s="735">
        <v>0.29396003675090232</v>
      </c>
      <c r="P2788" s="735">
        <f t="shared" si="201"/>
        <v>7205.0610124081732</v>
      </c>
      <c r="Q2788" s="849">
        <v>25.4</v>
      </c>
      <c r="R2788" s="71">
        <v>31152</v>
      </c>
      <c r="S2788" s="845">
        <v>0.31127450980392157</v>
      </c>
      <c r="T2788" s="845">
        <v>9.3000000000000013E-2</v>
      </c>
      <c r="U2788" s="845">
        <v>0</v>
      </c>
      <c r="V2788" s="845">
        <v>7.5999999999999998E-2</v>
      </c>
      <c r="W2788" s="845">
        <v>0.94242692648361381</v>
      </c>
      <c r="X2788" s="845">
        <v>0.50657894736842102</v>
      </c>
      <c r="Y2788" s="845">
        <v>0.66949952785646838</v>
      </c>
      <c r="Z2788" s="845">
        <v>0.23465533522190746</v>
      </c>
      <c r="AA2788" s="845">
        <v>0</v>
      </c>
      <c r="AB2788" s="845">
        <v>2.9745042492917848E-2</v>
      </c>
      <c r="AC2788" s="845">
        <v>0</v>
      </c>
      <c r="AD2788" s="845">
        <v>3.3050047214353163E-3</v>
      </c>
      <c r="AE2788" s="845">
        <v>6.2795089707271004E-2</v>
      </c>
      <c r="AF2788" s="845">
        <v>0.13408876298394712</v>
      </c>
      <c r="AG2788" s="845">
        <v>0.58309726156751651</v>
      </c>
      <c r="AH2788" s="20" t="str">
        <f t="shared" si="202"/>
        <v>No</v>
      </c>
      <c r="AI2788" s="25"/>
      <c r="AJ2788" s="25"/>
      <c r="AK2788" s="25"/>
      <c r="AL2788" s="25"/>
      <c r="AM2788" s="25"/>
      <c r="AN2788" s="25"/>
      <c r="AO2788" s="25"/>
      <c r="AP2788" s="25"/>
      <c r="AQ2788" s="25"/>
      <c r="AR2788" s="25"/>
      <c r="AS2788" s="25"/>
      <c r="AT2788" s="25"/>
      <c r="AU2788" s="36"/>
      <c r="AV2788" s="36"/>
      <c r="AW2788" s="36"/>
      <c r="AX2788" s="25"/>
      <c r="AY2788" s="25"/>
      <c r="AZ2788" s="25"/>
      <c r="BA2788" s="25"/>
      <c r="BB2788" s="25"/>
      <c r="BC2788" s="25"/>
      <c r="BD2788" s="25"/>
      <c r="BE2788" s="25"/>
      <c r="BF2788" s="25"/>
      <c r="BG2788" s="25"/>
      <c r="BH2788" s="25"/>
      <c r="BI2788" s="25"/>
      <c r="BJ2788" s="25"/>
      <c r="BK2788" s="25"/>
      <c r="BL2788" s="25"/>
      <c r="BM2788" s="25"/>
      <c r="BN2788" s="25"/>
      <c r="BO2788" s="25"/>
      <c r="BP2788" s="25"/>
      <c r="BQ2788" s="25"/>
      <c r="BR2788" s="25"/>
      <c r="BS2788" s="25"/>
      <c r="BT2788" s="25"/>
      <c r="BU2788"/>
      <c r="BV2788"/>
      <c r="BW2788"/>
      <c r="BX2788"/>
      <c r="BY2788"/>
      <c r="BZ2788"/>
      <c r="CA2788"/>
      <c r="CB2788"/>
      <c r="CC2788"/>
      <c r="CD2788" s="25"/>
    </row>
    <row r="2789" spans="1:82" s="17" customFormat="1" x14ac:dyDescent="0.2">
      <c r="A2789" s="25"/>
      <c r="B2789" s="20">
        <v>39111966700</v>
      </c>
      <c r="C2789" s="20">
        <v>9667</v>
      </c>
      <c r="D2789" s="20" t="s">
        <v>61</v>
      </c>
      <c r="E2789" s="20" t="s">
        <v>265</v>
      </c>
      <c r="F2789" s="20" t="s">
        <v>8</v>
      </c>
      <c r="G2789" s="861">
        <v>30.749557544626899</v>
      </c>
      <c r="H2789" s="861">
        <v>34.595659658058501</v>
      </c>
      <c r="I2789" s="861">
        <v>21.414252199600199</v>
      </c>
      <c r="J2789" s="861">
        <v>43.474605334273797</v>
      </c>
      <c r="K2789" s="982">
        <v>0</v>
      </c>
      <c r="L2789" s="735">
        <v>3716</v>
      </c>
      <c r="M2789" s="735">
        <v>3649</v>
      </c>
      <c r="N2789" s="845">
        <f t="shared" si="200"/>
        <v>-1.8030139935414424E-2</v>
      </c>
      <c r="O2789" s="735">
        <v>127.96999172324387</v>
      </c>
      <c r="P2789" s="735">
        <f t="shared" si="201"/>
        <v>28.514497429143873</v>
      </c>
      <c r="Q2789" s="849">
        <v>41.5</v>
      </c>
      <c r="R2789" s="71">
        <v>60471</v>
      </c>
      <c r="S2789" s="845">
        <v>0.10419522895530572</v>
      </c>
      <c r="T2789" s="845">
        <v>7.6999999999999999E-2</v>
      </c>
      <c r="U2789" s="845">
        <v>1.7000000000000001E-2</v>
      </c>
      <c r="V2789" s="845">
        <v>5.5E-2</v>
      </c>
      <c r="W2789" s="845">
        <v>0.14149008885850992</v>
      </c>
      <c r="X2789" s="845">
        <v>0.28502415458937197</v>
      </c>
      <c r="Y2789" s="845">
        <v>0.96492189640997539</v>
      </c>
      <c r="Z2789" s="845">
        <v>0</v>
      </c>
      <c r="AA2789" s="845">
        <v>0</v>
      </c>
      <c r="AB2789" s="845">
        <v>0</v>
      </c>
      <c r="AC2789" s="845">
        <v>0</v>
      </c>
      <c r="AD2789" s="845">
        <v>0</v>
      </c>
      <c r="AE2789" s="845">
        <v>3.5078103590024667E-2</v>
      </c>
      <c r="AF2789" s="845">
        <v>0</v>
      </c>
      <c r="AG2789" s="845">
        <v>0.96492189640997539</v>
      </c>
      <c r="AH2789" s="20" t="str">
        <f t="shared" si="202"/>
        <v>Yes</v>
      </c>
      <c r="AI2789" s="25"/>
      <c r="AJ2789" s="25"/>
      <c r="AK2789" s="25"/>
      <c r="AL2789" s="25"/>
      <c r="AM2789" s="25"/>
      <c r="AN2789" s="25"/>
      <c r="AO2789" s="25"/>
      <c r="AP2789" s="25"/>
      <c r="AQ2789" s="25"/>
      <c r="AR2789" s="25"/>
      <c r="AS2789" s="25"/>
      <c r="AT2789" s="25"/>
      <c r="AU2789" s="36"/>
      <c r="AV2789" s="36"/>
      <c r="AW2789" s="36"/>
      <c r="AX2789" s="25"/>
      <c r="AY2789" s="25"/>
      <c r="AZ2789" s="25"/>
      <c r="BA2789" s="25"/>
      <c r="BB2789" s="25"/>
      <c r="BC2789" s="25"/>
      <c r="BD2789" s="25"/>
      <c r="BE2789" s="25"/>
      <c r="BF2789" s="25"/>
      <c r="BG2789" s="25"/>
      <c r="BH2789" s="25"/>
      <c r="BI2789" s="25"/>
      <c r="BJ2789" s="25"/>
      <c r="BK2789" s="25"/>
      <c r="BL2789" s="25"/>
      <c r="BM2789" s="25"/>
      <c r="BN2789" s="25"/>
      <c r="BO2789" s="25"/>
      <c r="BP2789" s="25"/>
      <c r="BQ2789" s="25"/>
      <c r="BR2789" s="25"/>
      <c r="BS2789" s="25"/>
      <c r="BT2789" s="25"/>
      <c r="BU2789"/>
      <c r="BV2789"/>
      <c r="BW2789"/>
      <c r="BX2789"/>
      <c r="BY2789"/>
      <c r="BZ2789"/>
      <c r="CA2789"/>
      <c r="CB2789"/>
      <c r="CC2789"/>
      <c r="CD2789" s="25"/>
    </row>
    <row r="2790" spans="1:82" s="17" customFormat="1" x14ac:dyDescent="0.2">
      <c r="A2790" s="25"/>
      <c r="B2790" s="20">
        <v>39035102300</v>
      </c>
      <c r="C2790" s="20">
        <v>1023</v>
      </c>
      <c r="D2790" s="20" t="s">
        <v>24</v>
      </c>
      <c r="E2790" s="20" t="s">
        <v>2829</v>
      </c>
      <c r="F2790" s="20" t="s">
        <v>6</v>
      </c>
      <c r="G2790" s="861">
        <v>30.715061775449101</v>
      </c>
      <c r="H2790" s="861">
        <v>30.6008150468165</v>
      </c>
      <c r="I2790" s="861">
        <v>60.971877274650097</v>
      </c>
      <c r="J2790" s="861">
        <v>27.327759568226099</v>
      </c>
      <c r="K2790" s="982">
        <v>0</v>
      </c>
      <c r="L2790" s="735">
        <v>2186</v>
      </c>
      <c r="M2790" s="735">
        <v>1687</v>
      </c>
      <c r="N2790" s="845">
        <f t="shared" si="200"/>
        <v>-0.22827081427264409</v>
      </c>
      <c r="O2790" s="735">
        <v>0.17554713793647495</v>
      </c>
      <c r="P2790" s="735">
        <f t="shared" si="201"/>
        <v>9609.954453432747</v>
      </c>
      <c r="Q2790" s="849">
        <v>40.5</v>
      </c>
      <c r="R2790" s="71">
        <v>36071</v>
      </c>
      <c r="S2790" s="845">
        <v>0.30083732057416268</v>
      </c>
      <c r="T2790" s="845">
        <v>0.17800000000000002</v>
      </c>
      <c r="U2790" s="845">
        <v>0</v>
      </c>
      <c r="V2790" s="845">
        <v>2.2000000000000002E-2</v>
      </c>
      <c r="W2790" s="845">
        <v>0.64037433155080214</v>
      </c>
      <c r="X2790" s="845">
        <v>0.53235908141962418</v>
      </c>
      <c r="Y2790" s="845">
        <v>0.32602252519264968</v>
      </c>
      <c r="Z2790" s="845">
        <v>0.42382928275044457</v>
      </c>
      <c r="AA2790" s="845">
        <v>2.9638411381149969E-3</v>
      </c>
      <c r="AB2790" s="845">
        <v>1.5411973918197985E-2</v>
      </c>
      <c r="AC2790" s="845">
        <v>0</v>
      </c>
      <c r="AD2790" s="845">
        <v>6.1055127445168937E-2</v>
      </c>
      <c r="AE2790" s="845">
        <v>0.17071724955542383</v>
      </c>
      <c r="AF2790" s="845">
        <v>0.27030231179608771</v>
      </c>
      <c r="AG2790" s="845">
        <v>0.3094250148192057</v>
      </c>
      <c r="AH2790" s="20" t="str">
        <f t="shared" si="202"/>
        <v>No</v>
      </c>
      <c r="AI2790" s="25"/>
      <c r="AJ2790" s="25"/>
      <c r="AK2790" s="25"/>
      <c r="AL2790" s="25"/>
      <c r="AM2790" s="25"/>
      <c r="AN2790" s="25"/>
      <c r="AO2790" s="25"/>
      <c r="AP2790" s="25"/>
      <c r="AQ2790" s="25"/>
      <c r="AR2790" s="25"/>
      <c r="AS2790" s="25"/>
      <c r="AT2790" s="25"/>
      <c r="AU2790" s="36"/>
      <c r="AV2790" s="36"/>
      <c r="AW2790" s="36"/>
      <c r="AX2790" s="25"/>
      <c r="AY2790" s="25"/>
      <c r="AZ2790" s="25"/>
      <c r="BA2790" s="25"/>
      <c r="BB2790" s="25"/>
      <c r="BC2790" s="25"/>
      <c r="BD2790" s="25"/>
      <c r="BE2790" s="25"/>
      <c r="BF2790" s="25"/>
      <c r="BG2790" s="25"/>
      <c r="BH2790" s="25"/>
      <c r="BI2790" s="25"/>
      <c r="BJ2790" s="25"/>
      <c r="BK2790" s="25"/>
      <c r="BL2790" s="25"/>
      <c r="BM2790" s="25"/>
      <c r="BN2790" s="25"/>
      <c r="BO2790" s="25"/>
      <c r="BP2790" s="25"/>
      <c r="BQ2790" s="25"/>
      <c r="BR2790" s="25"/>
      <c r="BS2790" s="25"/>
      <c r="BT2790" s="25"/>
      <c r="BU2790"/>
      <c r="BV2790"/>
      <c r="BW2790"/>
      <c r="BX2790"/>
      <c r="BY2790"/>
      <c r="BZ2790"/>
      <c r="CA2790"/>
      <c r="CB2790"/>
      <c r="CC2790"/>
      <c r="CD2790" s="25"/>
    </row>
    <row r="2791" spans="1:82" s="17" customFormat="1" x14ac:dyDescent="0.2">
      <c r="A2791" s="25"/>
      <c r="B2791" s="20">
        <v>39013012201</v>
      </c>
      <c r="C2791" s="20">
        <v>122.01</v>
      </c>
      <c r="D2791" s="20" t="s">
        <v>13</v>
      </c>
      <c r="E2791" s="20" t="s">
        <v>2841</v>
      </c>
      <c r="F2791" s="20" t="s">
        <v>8</v>
      </c>
      <c r="G2791" s="861">
        <v>30.693153721905901</v>
      </c>
      <c r="H2791" s="861">
        <v>48.3135761716741</v>
      </c>
      <c r="I2791" s="861">
        <v>16.481617057849</v>
      </c>
      <c r="J2791" s="861">
        <v>31.5343411022914</v>
      </c>
      <c r="K2791" s="982">
        <v>1</v>
      </c>
      <c r="L2791" s="735" t="s">
        <v>2466</v>
      </c>
      <c r="M2791" s="735">
        <v>1642</v>
      </c>
      <c r="N2791" s="845" t="str">
        <f t="shared" si="200"/>
        <v/>
      </c>
      <c r="O2791" s="735">
        <v>25.894604975618982</v>
      </c>
      <c r="P2791" s="735">
        <f t="shared" si="201"/>
        <v>63.410892019631966</v>
      </c>
      <c r="Q2791" s="849">
        <v>49.8</v>
      </c>
      <c r="R2791" s="71">
        <v>68867</v>
      </c>
      <c r="S2791" s="845">
        <v>5.4811205846528627E-2</v>
      </c>
      <c r="T2791" s="845">
        <v>0</v>
      </c>
      <c r="U2791" s="845">
        <v>8.0000000000000002E-3</v>
      </c>
      <c r="V2791" s="845">
        <v>0</v>
      </c>
      <c r="W2791" s="845">
        <v>8.2717872968980796E-2</v>
      </c>
      <c r="X2791" s="845">
        <v>0.5</v>
      </c>
      <c r="Y2791" s="845">
        <v>0.95554202192448234</v>
      </c>
      <c r="Z2791" s="845">
        <v>2.0706455542021926E-2</v>
      </c>
      <c r="AA2791" s="845">
        <v>0</v>
      </c>
      <c r="AB2791" s="845">
        <v>6.6991473812423874E-3</v>
      </c>
      <c r="AC2791" s="845">
        <v>0</v>
      </c>
      <c r="AD2791" s="845">
        <v>0</v>
      </c>
      <c r="AE2791" s="845">
        <v>1.705237515225335E-2</v>
      </c>
      <c r="AF2791" s="845">
        <v>0</v>
      </c>
      <c r="AG2791" s="845">
        <v>0.95554202192448234</v>
      </c>
      <c r="AH2791" s="20" t="str">
        <f t="shared" si="202"/>
        <v>Yes</v>
      </c>
      <c r="AI2791" s="25"/>
      <c r="AJ2791" s="25"/>
      <c r="AK2791" s="25"/>
      <c r="AL2791" s="25"/>
      <c r="AM2791" s="25"/>
      <c r="AN2791" s="25"/>
      <c r="AO2791" s="25"/>
      <c r="AP2791" s="25"/>
      <c r="AQ2791" s="25"/>
      <c r="AR2791" s="25"/>
      <c r="AS2791" s="25"/>
      <c r="AT2791" s="25"/>
      <c r="AU2791" s="36"/>
      <c r="AV2791" s="36"/>
      <c r="AW2791" s="36"/>
      <c r="AX2791" s="25"/>
      <c r="AY2791" s="25"/>
      <c r="AZ2791" s="25"/>
      <c r="BA2791" s="25"/>
      <c r="BB2791" s="25"/>
      <c r="BC2791" s="25"/>
      <c r="BD2791" s="25"/>
      <c r="BE2791" s="25"/>
      <c r="BF2791" s="25"/>
      <c r="BG2791" s="25"/>
      <c r="BH2791" s="25"/>
      <c r="BI2791" s="25"/>
      <c r="BJ2791" s="25"/>
      <c r="BK2791" s="25"/>
      <c r="BL2791" s="25"/>
      <c r="BM2791" s="25"/>
      <c r="BN2791" s="25"/>
      <c r="BO2791" s="25"/>
      <c r="BP2791" s="25"/>
      <c r="BQ2791" s="25"/>
      <c r="BR2791" s="25"/>
      <c r="BS2791" s="25"/>
      <c r="BT2791" s="25"/>
      <c r="BU2791"/>
      <c r="BV2791"/>
      <c r="BW2791"/>
      <c r="BX2791"/>
      <c r="BY2791"/>
      <c r="BZ2791"/>
      <c r="CA2791"/>
      <c r="CB2791"/>
      <c r="CC2791"/>
      <c r="CD2791" s="25"/>
    </row>
    <row r="2792" spans="1:82" s="17" customFormat="1" x14ac:dyDescent="0.2">
      <c r="A2792" s="25"/>
      <c r="B2792" s="20">
        <v>39025040205</v>
      </c>
      <c r="C2792" s="20">
        <v>402.05</v>
      </c>
      <c r="D2792" s="20" t="s">
        <v>19</v>
      </c>
      <c r="E2792" s="20" t="s">
        <v>2828</v>
      </c>
      <c r="F2792" s="20" t="s">
        <v>6</v>
      </c>
      <c r="G2792" s="861">
        <v>30.690817350932299</v>
      </c>
      <c r="H2792" s="861">
        <v>45.962975056320403</v>
      </c>
      <c r="I2792" s="861">
        <v>40.070268112247</v>
      </c>
      <c r="J2792" s="861">
        <v>49.8875807453568</v>
      </c>
      <c r="K2792" s="982">
        <v>0</v>
      </c>
      <c r="L2792" s="735" t="s">
        <v>2466</v>
      </c>
      <c r="M2792" s="735">
        <v>3084</v>
      </c>
      <c r="N2792" s="845" t="str">
        <f t="shared" si="200"/>
        <v/>
      </c>
      <c r="O2792" s="735">
        <v>1.1879652991920493</v>
      </c>
      <c r="P2792" s="735">
        <f t="shared" si="201"/>
        <v>2596.0354246857787</v>
      </c>
      <c r="Q2792" s="849">
        <v>34</v>
      </c>
      <c r="R2792" s="71">
        <v>47981</v>
      </c>
      <c r="S2792" s="845">
        <v>0.13618677042801555</v>
      </c>
      <c r="T2792" s="845">
        <v>0</v>
      </c>
      <c r="U2792" s="845">
        <v>0</v>
      </c>
      <c r="V2792" s="845">
        <v>0</v>
      </c>
      <c r="W2792" s="845">
        <v>0.17528271405492729</v>
      </c>
      <c r="X2792" s="845">
        <v>0.77419354838709675</v>
      </c>
      <c r="Y2792" s="845">
        <v>0.92574578469520108</v>
      </c>
      <c r="Z2792" s="845">
        <v>3.8910505836575876E-3</v>
      </c>
      <c r="AA2792" s="845">
        <v>0</v>
      </c>
      <c r="AB2792" s="845">
        <v>0</v>
      </c>
      <c r="AC2792" s="845">
        <v>0</v>
      </c>
      <c r="AD2792" s="845">
        <v>6.1608300907911801E-3</v>
      </c>
      <c r="AE2792" s="845">
        <v>6.4202334630350189E-2</v>
      </c>
      <c r="AF2792" s="845">
        <v>2.0752269779507133E-2</v>
      </c>
      <c r="AG2792" s="845">
        <v>0.9231517509727627</v>
      </c>
      <c r="AH2792" s="20" t="str">
        <f t="shared" si="202"/>
        <v>Yes</v>
      </c>
      <c r="AI2792" s="25"/>
      <c r="AJ2792" s="25"/>
      <c r="AK2792" s="25"/>
      <c r="AL2792" s="25"/>
      <c r="AM2792" s="25"/>
      <c r="AN2792" s="25"/>
      <c r="AO2792" s="25"/>
      <c r="AP2792" s="25"/>
      <c r="AQ2792" s="25"/>
      <c r="AR2792" s="25"/>
      <c r="AS2792" s="25"/>
      <c r="AT2792" s="25"/>
      <c r="AU2792" s="36"/>
      <c r="AV2792" s="36"/>
      <c r="AW2792" s="36"/>
      <c r="AX2792" s="25"/>
      <c r="AY2792" s="25"/>
      <c r="AZ2792" s="25"/>
      <c r="BA2792" s="25"/>
      <c r="BB2792" s="25"/>
      <c r="BC2792" s="25"/>
      <c r="BD2792" s="25"/>
      <c r="BE2792" s="25"/>
      <c r="BF2792" s="25"/>
      <c r="BG2792" s="25"/>
      <c r="BH2792" s="25"/>
      <c r="BI2792" s="25"/>
      <c r="BJ2792" s="25"/>
      <c r="BK2792" s="25"/>
      <c r="BL2792" s="25"/>
      <c r="BM2792" s="25"/>
      <c r="BN2792" s="25"/>
      <c r="BO2792" s="25"/>
      <c r="BP2792" s="25"/>
      <c r="BQ2792" s="25"/>
      <c r="BR2792" s="25"/>
      <c r="BS2792" s="25"/>
      <c r="BT2792" s="25"/>
      <c r="BU2792"/>
      <c r="BV2792"/>
      <c r="BW2792"/>
      <c r="BX2792"/>
      <c r="BY2792"/>
      <c r="BZ2792"/>
      <c r="CA2792"/>
      <c r="CB2792"/>
      <c r="CC2792"/>
      <c r="CD2792" s="25"/>
    </row>
    <row r="2793" spans="1:82" s="17" customFormat="1" x14ac:dyDescent="0.2">
      <c r="A2793" s="25"/>
      <c r="B2793" s="20">
        <v>39081012200</v>
      </c>
      <c r="C2793" s="20">
        <v>122</v>
      </c>
      <c r="D2793" s="20" t="s">
        <v>47</v>
      </c>
      <c r="E2793" s="20" t="s">
        <v>2840</v>
      </c>
      <c r="F2793" s="20" t="s">
        <v>8</v>
      </c>
      <c r="G2793" s="861">
        <v>30.6243477984012</v>
      </c>
      <c r="H2793" s="861">
        <v>39.211230852711203</v>
      </c>
      <c r="I2793" s="861">
        <v>25.386110904012199</v>
      </c>
      <c r="J2793" s="861">
        <v>32.514921004279898</v>
      </c>
      <c r="K2793" s="982">
        <v>0</v>
      </c>
      <c r="L2793" s="735">
        <v>1938</v>
      </c>
      <c r="M2793" s="735">
        <v>1778</v>
      </c>
      <c r="N2793" s="845">
        <f t="shared" si="200"/>
        <v>-8.2559339525283798E-2</v>
      </c>
      <c r="O2793" s="735">
        <v>24.771516036033077</v>
      </c>
      <c r="P2793" s="735">
        <f t="shared" si="201"/>
        <v>71.77598647630974</v>
      </c>
      <c r="Q2793" s="849">
        <v>47</v>
      </c>
      <c r="R2793" s="71">
        <v>47885</v>
      </c>
      <c r="S2793" s="845">
        <v>0.23790776152980878</v>
      </c>
      <c r="T2793" s="845">
        <v>5.5999999999999994E-2</v>
      </c>
      <c r="U2793" s="845">
        <v>3.2000000000000001E-2</v>
      </c>
      <c r="V2793" s="845">
        <v>0.17399999999999999</v>
      </c>
      <c r="W2793" s="845">
        <v>0.15877437325905291</v>
      </c>
      <c r="X2793" s="845">
        <v>0.52631578947368418</v>
      </c>
      <c r="Y2793" s="845">
        <v>0.9977502812148481</v>
      </c>
      <c r="Z2793" s="845">
        <v>0</v>
      </c>
      <c r="AA2793" s="845">
        <v>0</v>
      </c>
      <c r="AB2793" s="845">
        <v>0</v>
      </c>
      <c r="AC2793" s="845">
        <v>0</v>
      </c>
      <c r="AD2793" s="845">
        <v>5.6242969628796406E-4</v>
      </c>
      <c r="AE2793" s="845">
        <v>1.687289088863892E-3</v>
      </c>
      <c r="AF2793" s="845">
        <v>0</v>
      </c>
      <c r="AG2793" s="845">
        <v>0.9977502812148481</v>
      </c>
      <c r="AH2793" s="20" t="str">
        <f t="shared" si="202"/>
        <v>Yes</v>
      </c>
      <c r="AI2793" s="25"/>
      <c r="AJ2793" s="25"/>
      <c r="AK2793" s="25"/>
      <c r="AL2793" s="25"/>
      <c r="AM2793" s="25"/>
      <c r="AN2793" s="25"/>
      <c r="AO2793" s="25"/>
      <c r="AP2793" s="25"/>
      <c r="AQ2793" s="25"/>
      <c r="AR2793" s="25"/>
      <c r="AS2793" s="25"/>
      <c r="AT2793" s="25"/>
      <c r="AU2793" s="36"/>
      <c r="AV2793" s="36"/>
      <c r="AW2793" s="36"/>
      <c r="AX2793" s="25"/>
      <c r="AY2793" s="25"/>
      <c r="AZ2793" s="25"/>
      <c r="BA2793" s="25"/>
      <c r="BB2793" s="25"/>
      <c r="BC2793" s="25"/>
      <c r="BD2793" s="25"/>
      <c r="BE2793" s="25"/>
      <c r="BF2793" s="25"/>
      <c r="BG2793" s="25"/>
      <c r="BH2793" s="25"/>
      <c r="BI2793" s="25"/>
      <c r="BJ2793" s="25"/>
      <c r="BK2793" s="25"/>
      <c r="BL2793" s="25"/>
      <c r="BM2793" s="25"/>
      <c r="BN2793" s="25"/>
      <c r="BO2793" s="25"/>
      <c r="BP2793" s="25"/>
      <c r="BQ2793" s="25"/>
      <c r="BR2793" s="25"/>
      <c r="BS2793" s="25"/>
      <c r="BT2793" s="25"/>
      <c r="BU2793"/>
      <c r="BV2793"/>
      <c r="BW2793"/>
      <c r="BX2793"/>
      <c r="BY2793"/>
      <c r="BZ2793"/>
      <c r="CA2793"/>
      <c r="CB2793"/>
      <c r="CC2793"/>
      <c r="CD2793" s="25"/>
    </row>
    <row r="2794" spans="1:82" s="17" customFormat="1" x14ac:dyDescent="0.2">
      <c r="A2794" s="25"/>
      <c r="B2794" s="20">
        <v>39035101800</v>
      </c>
      <c r="C2794" s="20">
        <v>1018</v>
      </c>
      <c r="D2794" s="20" t="s">
        <v>24</v>
      </c>
      <c r="E2794" s="20" t="s">
        <v>2829</v>
      </c>
      <c r="F2794" s="20" t="s">
        <v>6</v>
      </c>
      <c r="G2794" s="861">
        <v>30.5910932674796</v>
      </c>
      <c r="H2794" s="861">
        <v>21.209230005247601</v>
      </c>
      <c r="I2794" s="861">
        <v>67.050221363127704</v>
      </c>
      <c r="J2794" s="861">
        <v>30.663056382818201</v>
      </c>
      <c r="K2794" s="982">
        <v>2</v>
      </c>
      <c r="L2794" s="735">
        <v>2332</v>
      </c>
      <c r="M2794" s="735">
        <v>2279</v>
      </c>
      <c r="N2794" s="845">
        <f t="shared" si="200"/>
        <v>-2.2727272727272728E-2</v>
      </c>
      <c r="O2794" s="735">
        <v>0.27559122655586249</v>
      </c>
      <c r="P2794" s="735">
        <f t="shared" si="201"/>
        <v>8269.4940201154968</v>
      </c>
      <c r="Q2794" s="849">
        <v>36</v>
      </c>
      <c r="R2794" s="71">
        <v>33864</v>
      </c>
      <c r="S2794" s="845">
        <v>0.31385068762278978</v>
      </c>
      <c r="T2794" s="845">
        <v>8.8000000000000009E-2</v>
      </c>
      <c r="U2794" s="845">
        <v>0</v>
      </c>
      <c r="V2794" s="845">
        <v>1.9E-2</v>
      </c>
      <c r="W2794" s="845">
        <v>0.59488272921108742</v>
      </c>
      <c r="X2794" s="845">
        <v>0.4157706093189964</v>
      </c>
      <c r="Y2794" s="845">
        <v>0.69284774023694606</v>
      </c>
      <c r="Z2794" s="845">
        <v>0.16805616498464238</v>
      </c>
      <c r="AA2794" s="845">
        <v>0</v>
      </c>
      <c r="AB2794" s="845">
        <v>8.3369899078543225E-3</v>
      </c>
      <c r="AC2794" s="845">
        <v>0</v>
      </c>
      <c r="AD2794" s="845">
        <v>6.5379552435278626E-2</v>
      </c>
      <c r="AE2794" s="845">
        <v>6.5379552435278626E-2</v>
      </c>
      <c r="AF2794" s="845">
        <v>0.12856516015796401</v>
      </c>
      <c r="AG2794" s="845">
        <v>0.66915313734093906</v>
      </c>
      <c r="AH2794" s="20" t="str">
        <f t="shared" si="202"/>
        <v>No</v>
      </c>
      <c r="AI2794" s="25"/>
      <c r="AJ2794" s="25"/>
      <c r="AK2794" s="25"/>
      <c r="AL2794" s="25"/>
      <c r="AM2794" s="25"/>
      <c r="AN2794" s="25"/>
      <c r="AO2794" s="25"/>
      <c r="AP2794" s="25"/>
      <c r="AQ2794" s="25"/>
      <c r="AR2794" s="25"/>
      <c r="AS2794" s="25"/>
      <c r="AT2794" s="25"/>
      <c r="AU2794" s="36"/>
      <c r="AV2794" s="36"/>
      <c r="AW2794" s="36"/>
      <c r="AX2794" s="25"/>
      <c r="AY2794" s="25"/>
      <c r="AZ2794" s="25"/>
      <c r="BA2794" s="25"/>
      <c r="BB2794" s="25"/>
      <c r="BC2794" s="25"/>
      <c r="BD2794" s="25"/>
      <c r="BE2794" s="25"/>
      <c r="BF2794" s="25"/>
      <c r="BG2794" s="25"/>
      <c r="BH2794" s="25"/>
      <c r="BI2794" s="25"/>
      <c r="BJ2794" s="25"/>
      <c r="BK2794" s="25"/>
      <c r="BL2794" s="25"/>
      <c r="BM2794" s="25"/>
      <c r="BN2794" s="25"/>
      <c r="BO2794" s="25"/>
      <c r="BP2794" s="25"/>
      <c r="BQ2794" s="25"/>
      <c r="BR2794" s="25"/>
      <c r="BS2794" s="25"/>
      <c r="BT2794" s="25"/>
      <c r="BU2794"/>
      <c r="BV2794"/>
      <c r="BW2794"/>
      <c r="BX2794"/>
      <c r="BY2794"/>
      <c r="BZ2794"/>
      <c r="CA2794"/>
      <c r="CB2794"/>
      <c r="CC2794"/>
      <c r="CD2794" s="25"/>
    </row>
    <row r="2795" spans="1:82" s="17" customFormat="1" x14ac:dyDescent="0.2">
      <c r="A2795" s="25"/>
      <c r="B2795" s="20">
        <v>39057240600</v>
      </c>
      <c r="C2795" s="20">
        <v>2406</v>
      </c>
      <c r="D2795" s="20" t="s">
        <v>35</v>
      </c>
      <c r="E2795" s="20" t="s">
        <v>2833</v>
      </c>
      <c r="F2795" s="20" t="s">
        <v>8</v>
      </c>
      <c r="G2795" s="861">
        <v>30.564714296127299</v>
      </c>
      <c r="H2795" s="861">
        <v>46.192055696463399</v>
      </c>
      <c r="I2795" s="861">
        <v>43.396373630110403</v>
      </c>
      <c r="J2795" s="861">
        <v>57.984878323777998</v>
      </c>
      <c r="K2795" s="982">
        <v>0</v>
      </c>
      <c r="L2795" s="735">
        <v>5317</v>
      </c>
      <c r="M2795" s="735">
        <v>4724</v>
      </c>
      <c r="N2795" s="845">
        <f t="shared" si="200"/>
        <v>-0.11152905773932668</v>
      </c>
      <c r="O2795" s="735">
        <v>20.840301849879921</v>
      </c>
      <c r="P2795" s="735">
        <f t="shared" si="201"/>
        <v>226.67617935808445</v>
      </c>
      <c r="Q2795" s="849">
        <v>28.1</v>
      </c>
      <c r="R2795" s="71">
        <v>74600</v>
      </c>
      <c r="S2795" s="845">
        <v>0.1554792382141742</v>
      </c>
      <c r="T2795" s="845">
        <v>8.1000000000000003E-2</v>
      </c>
      <c r="U2795" s="845">
        <v>0</v>
      </c>
      <c r="V2795" s="845">
        <v>0.05</v>
      </c>
      <c r="W2795" s="845">
        <v>0.34705882352941175</v>
      </c>
      <c r="X2795" s="845">
        <v>0.37530266343825663</v>
      </c>
      <c r="Y2795" s="845">
        <v>0.54741744284504656</v>
      </c>
      <c r="Z2795" s="845">
        <v>0.39013547840812868</v>
      </c>
      <c r="AA2795" s="845">
        <v>1.693480101608806E-3</v>
      </c>
      <c r="AB2795" s="845">
        <v>3.5986452159187127E-3</v>
      </c>
      <c r="AC2795" s="845">
        <v>0</v>
      </c>
      <c r="AD2795" s="845">
        <v>1.2701100762066046E-2</v>
      </c>
      <c r="AE2795" s="845">
        <v>4.4453852667231161E-2</v>
      </c>
      <c r="AF2795" s="845">
        <v>1.9475021168501271E-2</v>
      </c>
      <c r="AG2795" s="845">
        <v>0.54741744284504656</v>
      </c>
      <c r="AH2795" s="20" t="str">
        <f t="shared" si="202"/>
        <v>No</v>
      </c>
      <c r="AI2795" s="25"/>
      <c r="AJ2795" s="25"/>
      <c r="AK2795" s="25"/>
      <c r="AL2795" s="25"/>
      <c r="AM2795" s="25"/>
      <c r="AN2795" s="25"/>
      <c r="AO2795" s="25"/>
      <c r="AP2795" s="25"/>
      <c r="AQ2795" s="25"/>
      <c r="AR2795" s="25"/>
      <c r="AS2795" s="25"/>
      <c r="AT2795" s="25"/>
      <c r="AU2795" s="36"/>
      <c r="AV2795" s="36"/>
      <c r="AW2795" s="36"/>
      <c r="AX2795" s="25"/>
      <c r="AY2795" s="25"/>
      <c r="AZ2795" s="25"/>
      <c r="BA2795" s="25"/>
      <c r="BB2795" s="25"/>
      <c r="BC2795" s="25"/>
      <c r="BD2795" s="25"/>
      <c r="BE2795" s="25"/>
      <c r="BF2795" s="25"/>
      <c r="BG2795" s="25"/>
      <c r="BH2795" s="25"/>
      <c r="BI2795" s="25"/>
      <c r="BJ2795" s="25"/>
      <c r="BK2795" s="25"/>
      <c r="BL2795" s="25"/>
      <c r="BM2795" s="25"/>
      <c r="BN2795" s="25"/>
      <c r="BO2795" s="25"/>
      <c r="BP2795" s="25"/>
      <c r="BQ2795" s="25"/>
      <c r="BR2795" s="25"/>
      <c r="BS2795" s="25"/>
      <c r="BT2795" s="25"/>
      <c r="BU2795"/>
      <c r="BV2795"/>
      <c r="BW2795"/>
      <c r="BX2795"/>
      <c r="BY2795"/>
      <c r="BZ2795"/>
      <c r="CA2795"/>
      <c r="CB2795"/>
      <c r="CC2795"/>
      <c r="CD2795" s="25"/>
    </row>
    <row r="2796" spans="1:82" s="17" customFormat="1" x14ac:dyDescent="0.2">
      <c r="A2796" s="25"/>
      <c r="B2796" s="20">
        <v>39023001400</v>
      </c>
      <c r="C2796" s="20">
        <v>14</v>
      </c>
      <c r="D2796" s="20" t="s">
        <v>18</v>
      </c>
      <c r="E2796" s="20" t="s">
        <v>2838</v>
      </c>
      <c r="F2796" s="20" t="s">
        <v>8</v>
      </c>
      <c r="G2796" s="861">
        <v>30.559068897690199</v>
      </c>
      <c r="H2796" s="861">
        <v>39.646900877147999</v>
      </c>
      <c r="I2796" s="861">
        <v>39.976635151391399</v>
      </c>
      <c r="J2796" s="861">
        <v>33.801625537089002</v>
      </c>
      <c r="K2796" s="982">
        <v>0</v>
      </c>
      <c r="L2796" s="735">
        <v>3477</v>
      </c>
      <c r="M2796" s="735">
        <v>4450</v>
      </c>
      <c r="N2796" s="845">
        <f t="shared" si="200"/>
        <v>0.27983894161633593</v>
      </c>
      <c r="O2796" s="735">
        <v>0.79243645639747751</v>
      </c>
      <c r="P2796" s="735">
        <f t="shared" si="201"/>
        <v>5615.5922207697222</v>
      </c>
      <c r="Q2796" s="849">
        <v>34.1</v>
      </c>
      <c r="R2796" s="71">
        <v>42222</v>
      </c>
      <c r="S2796" s="845">
        <v>0.20812641083521444</v>
      </c>
      <c r="T2796" s="845">
        <v>6.2E-2</v>
      </c>
      <c r="U2796" s="845">
        <v>0</v>
      </c>
      <c r="V2796" s="845">
        <v>0</v>
      </c>
      <c r="W2796" s="845">
        <v>0.44408602150537635</v>
      </c>
      <c r="X2796" s="845">
        <v>0.4576271186440678</v>
      </c>
      <c r="Y2796" s="845">
        <v>0.77258426966292137</v>
      </c>
      <c r="Z2796" s="845">
        <v>0.13393258426966292</v>
      </c>
      <c r="AA2796" s="845">
        <v>0</v>
      </c>
      <c r="AB2796" s="845">
        <v>0</v>
      </c>
      <c r="AC2796" s="845">
        <v>0</v>
      </c>
      <c r="AD2796" s="845">
        <v>0</v>
      </c>
      <c r="AE2796" s="845">
        <v>9.3483146067415729E-2</v>
      </c>
      <c r="AF2796" s="845">
        <v>6.1348314606741575E-2</v>
      </c>
      <c r="AG2796" s="845">
        <v>0.7584269662921348</v>
      </c>
      <c r="AH2796" s="20" t="str">
        <f t="shared" si="202"/>
        <v>No</v>
      </c>
      <c r="AI2796" s="25"/>
      <c r="AJ2796" s="25"/>
      <c r="AK2796" s="25"/>
      <c r="AL2796" s="25"/>
      <c r="AM2796" s="25"/>
      <c r="AN2796" s="25"/>
      <c r="AO2796" s="25"/>
      <c r="AP2796" s="25"/>
      <c r="AQ2796" s="25"/>
      <c r="AR2796" s="25"/>
      <c r="AS2796" s="25"/>
      <c r="AT2796" s="25"/>
      <c r="AU2796" s="36"/>
      <c r="AV2796" s="36"/>
      <c r="AW2796" s="36"/>
      <c r="AX2796" s="25"/>
      <c r="AY2796" s="25"/>
      <c r="AZ2796" s="25"/>
      <c r="BA2796" s="25"/>
      <c r="BB2796" s="25"/>
      <c r="BC2796" s="25"/>
      <c r="BD2796" s="25"/>
      <c r="BE2796" s="25"/>
      <c r="BF2796" s="25"/>
      <c r="BG2796" s="25"/>
      <c r="BH2796" s="25"/>
      <c r="BI2796" s="25"/>
      <c r="BJ2796" s="25"/>
      <c r="BK2796" s="25"/>
      <c r="BL2796" s="25"/>
      <c r="BM2796" s="25"/>
      <c r="BN2796" s="25"/>
      <c r="BO2796" s="25"/>
      <c r="BP2796" s="25"/>
      <c r="BQ2796" s="25"/>
      <c r="BR2796" s="25"/>
      <c r="BS2796" s="25"/>
      <c r="BT2796" s="25"/>
      <c r="BU2796"/>
      <c r="BV2796"/>
      <c r="BW2796"/>
      <c r="BX2796"/>
      <c r="BY2796"/>
      <c r="BZ2796"/>
      <c r="CA2796"/>
      <c r="CB2796"/>
      <c r="CC2796"/>
      <c r="CD2796" s="25"/>
    </row>
    <row r="2797" spans="1:82" s="17" customFormat="1" x14ac:dyDescent="0.2">
      <c r="A2797" s="25"/>
      <c r="B2797" s="20">
        <v>39009973101</v>
      </c>
      <c r="C2797" s="20">
        <v>9731.01</v>
      </c>
      <c r="D2797" s="20" t="s">
        <v>11</v>
      </c>
      <c r="E2797" s="20" t="s">
        <v>265</v>
      </c>
      <c r="F2797" s="20" t="s">
        <v>6</v>
      </c>
      <c r="G2797" s="861">
        <v>30.476323615174401</v>
      </c>
      <c r="H2797" s="861">
        <v>10.4047022529593</v>
      </c>
      <c r="I2797" s="861">
        <v>56.288003591739098</v>
      </c>
      <c r="J2797" s="861">
        <v>31.880999684179599</v>
      </c>
      <c r="K2797" s="982">
        <v>0</v>
      </c>
      <c r="L2797" s="735">
        <v>4167</v>
      </c>
      <c r="M2797" s="735">
        <v>3947</v>
      </c>
      <c r="N2797" s="845">
        <f t="shared" si="200"/>
        <v>-5.2795776337892966E-2</v>
      </c>
      <c r="O2797" s="735">
        <v>0.52337576175204914</v>
      </c>
      <c r="P2797" s="735">
        <f t="shared" si="201"/>
        <v>7541.4268073612157</v>
      </c>
      <c r="Q2797" s="849">
        <v>20.6</v>
      </c>
      <c r="R2797" s="71">
        <v>18361</v>
      </c>
      <c r="S2797" s="845">
        <v>0.58121827411167515</v>
      </c>
      <c r="T2797" s="845">
        <v>0.14599999999999999</v>
      </c>
      <c r="U2797" s="845">
        <v>7.9000000000000001E-2</v>
      </c>
      <c r="V2797" s="845">
        <v>6.8000000000000005E-2</v>
      </c>
      <c r="W2797" s="845">
        <v>0.90709290709290713</v>
      </c>
      <c r="X2797" s="845">
        <v>0.64867841409691629</v>
      </c>
      <c r="Y2797" s="845">
        <v>0.85127945274892325</v>
      </c>
      <c r="Z2797" s="845">
        <v>3.4203192297947806E-2</v>
      </c>
      <c r="AA2797" s="845">
        <v>4.0537116797567775E-3</v>
      </c>
      <c r="AB2797" s="845">
        <v>2.153534329870788E-2</v>
      </c>
      <c r="AC2797" s="845">
        <v>0</v>
      </c>
      <c r="AD2797" s="845">
        <v>0</v>
      </c>
      <c r="AE2797" s="845">
        <v>8.8928299974664296E-2</v>
      </c>
      <c r="AF2797" s="845">
        <v>3.6230048137826196E-2</v>
      </c>
      <c r="AG2797" s="845">
        <v>0.83227767925006335</v>
      </c>
      <c r="AH2797" s="20" t="str">
        <f t="shared" si="202"/>
        <v>No</v>
      </c>
      <c r="AI2797" s="25"/>
      <c r="AJ2797" s="25"/>
      <c r="AK2797" s="25"/>
      <c r="AL2797" s="25"/>
      <c r="AM2797" s="25"/>
      <c r="AN2797" s="25"/>
      <c r="AO2797" s="25"/>
      <c r="AP2797" s="25"/>
      <c r="AQ2797" s="25"/>
      <c r="AR2797" s="25"/>
      <c r="AS2797" s="25"/>
      <c r="AT2797" s="25"/>
      <c r="AU2797" s="36"/>
      <c r="AV2797" s="36"/>
      <c r="AW2797" s="36"/>
      <c r="AX2797" s="25"/>
      <c r="AY2797" s="25"/>
      <c r="AZ2797" s="25"/>
      <c r="BA2797" s="25"/>
      <c r="BB2797" s="25"/>
      <c r="BC2797" s="25"/>
      <c r="BD2797" s="25"/>
      <c r="BE2797" s="25"/>
      <c r="BF2797" s="25"/>
      <c r="BG2797" s="25"/>
      <c r="BH2797" s="25"/>
      <c r="BI2797" s="25"/>
      <c r="BJ2797" s="25"/>
      <c r="BK2797" s="25"/>
      <c r="BL2797" s="25"/>
      <c r="BM2797" s="25"/>
      <c r="BN2797" s="25"/>
      <c r="BO2797" s="25"/>
      <c r="BP2797" s="25"/>
      <c r="BQ2797" s="25"/>
      <c r="BR2797" s="25"/>
      <c r="BS2797" s="25"/>
      <c r="BT2797" s="25"/>
      <c r="BU2797"/>
      <c r="BV2797"/>
      <c r="BW2797"/>
      <c r="BX2797"/>
      <c r="BY2797"/>
      <c r="BZ2797"/>
      <c r="CA2797"/>
      <c r="CB2797"/>
      <c r="CC2797"/>
      <c r="CD2797" s="25"/>
    </row>
    <row r="2798" spans="1:82" s="17" customFormat="1" x14ac:dyDescent="0.2">
      <c r="A2798" s="25"/>
      <c r="B2798" s="20">
        <v>39093070500</v>
      </c>
      <c r="C2798" s="20">
        <v>705</v>
      </c>
      <c r="D2798" s="20" t="s">
        <v>52</v>
      </c>
      <c r="E2798" s="20" t="s">
        <v>2829</v>
      </c>
      <c r="F2798" s="20" t="s">
        <v>6</v>
      </c>
      <c r="G2798" s="861">
        <v>30.458818421018101</v>
      </c>
      <c r="H2798" s="861">
        <v>35.179040996120101</v>
      </c>
      <c r="I2798" s="861">
        <v>50.753412227740398</v>
      </c>
      <c r="J2798" s="861">
        <v>46.967057364633298</v>
      </c>
      <c r="K2798" s="982">
        <v>1</v>
      </c>
      <c r="L2798" s="735">
        <v>2903</v>
      </c>
      <c r="M2798" s="735">
        <v>2960</v>
      </c>
      <c r="N2798" s="845">
        <f t="shared" si="200"/>
        <v>1.9634860489149156E-2</v>
      </c>
      <c r="O2798" s="735">
        <v>0.71705966248624986</v>
      </c>
      <c r="P2798" s="735">
        <f t="shared" si="201"/>
        <v>4127.9689192623637</v>
      </c>
      <c r="Q2798" s="849">
        <v>36.9</v>
      </c>
      <c r="R2798" s="71">
        <v>42221</v>
      </c>
      <c r="S2798" s="845">
        <v>0.24541363793700241</v>
      </c>
      <c r="T2798" s="845">
        <v>4.5999999999999999E-2</v>
      </c>
      <c r="U2798" s="845">
        <v>0</v>
      </c>
      <c r="V2798" s="845">
        <v>5.2999999999999999E-2</v>
      </c>
      <c r="W2798" s="845">
        <v>0.4808787632221318</v>
      </c>
      <c r="X2798" s="845">
        <v>0.53299492385786806</v>
      </c>
      <c r="Y2798" s="845">
        <v>0.67297297297297298</v>
      </c>
      <c r="Z2798" s="845">
        <v>0.19797297297297298</v>
      </c>
      <c r="AA2798" s="845">
        <v>0</v>
      </c>
      <c r="AB2798" s="845">
        <v>0</v>
      </c>
      <c r="AC2798" s="845">
        <v>0</v>
      </c>
      <c r="AD2798" s="845">
        <v>9.7972972972972978E-3</v>
      </c>
      <c r="AE2798" s="845">
        <v>0.11925675675675676</v>
      </c>
      <c r="AF2798" s="845">
        <v>6.0810810810810814E-3</v>
      </c>
      <c r="AG2798" s="845">
        <v>0.66689189189189191</v>
      </c>
      <c r="AH2798" s="20" t="str">
        <f t="shared" si="202"/>
        <v>No</v>
      </c>
      <c r="AI2798" s="25"/>
      <c r="AJ2798" s="25"/>
      <c r="AK2798" s="25"/>
      <c r="AL2798" s="25"/>
      <c r="AM2798" s="25"/>
      <c r="AN2798" s="25"/>
      <c r="AO2798" s="25"/>
      <c r="AP2798" s="25"/>
      <c r="AQ2798" s="25"/>
      <c r="AR2798" s="25"/>
      <c r="AS2798" s="25"/>
      <c r="AT2798" s="25"/>
      <c r="AU2798" s="36"/>
      <c r="AV2798" s="36"/>
      <c r="AW2798" s="36"/>
      <c r="AX2798" s="25"/>
      <c r="AY2798" s="25"/>
      <c r="AZ2798" s="25"/>
      <c r="BA2798" s="25"/>
      <c r="BB2798" s="25"/>
      <c r="BC2798" s="25"/>
      <c r="BD2798" s="25"/>
      <c r="BE2798" s="25"/>
      <c r="BF2798" s="25"/>
      <c r="BG2798" s="25"/>
      <c r="BH2798" s="25"/>
      <c r="BI2798" s="25"/>
      <c r="BJ2798" s="25"/>
      <c r="BK2798" s="25"/>
      <c r="BL2798" s="25"/>
      <c r="BM2798" s="25"/>
      <c r="BN2798" s="25"/>
      <c r="BO2798" s="25"/>
      <c r="BP2798" s="25"/>
      <c r="BQ2798" s="25"/>
      <c r="BR2798" s="25"/>
      <c r="BS2798" s="25"/>
      <c r="BT2798" s="25"/>
      <c r="BU2798"/>
      <c r="BV2798"/>
      <c r="BW2798"/>
      <c r="BX2798"/>
      <c r="BY2798"/>
      <c r="BZ2798"/>
      <c r="CA2798"/>
      <c r="CB2798"/>
      <c r="CC2798"/>
      <c r="CD2798" s="25"/>
    </row>
    <row r="2799" spans="1:82" s="17" customFormat="1" x14ac:dyDescent="0.2">
      <c r="A2799" s="25"/>
      <c r="B2799" s="20">
        <v>39067975700</v>
      </c>
      <c r="C2799" s="20">
        <v>9757</v>
      </c>
      <c r="D2799" s="20" t="s">
        <v>40</v>
      </c>
      <c r="E2799" s="20" t="s">
        <v>265</v>
      </c>
      <c r="F2799" s="20" t="s">
        <v>8</v>
      </c>
      <c r="G2799" s="861">
        <v>30.4582496728382</v>
      </c>
      <c r="H2799" s="861">
        <v>43.958728481993496</v>
      </c>
      <c r="I2799" s="861">
        <v>19.780738743288701</v>
      </c>
      <c r="J2799" s="861">
        <v>39.440673308025303</v>
      </c>
      <c r="K2799" s="982">
        <v>0</v>
      </c>
      <c r="L2799" s="735">
        <v>3601</v>
      </c>
      <c r="M2799" s="735">
        <v>3454</v>
      </c>
      <c r="N2799" s="845">
        <f t="shared" si="200"/>
        <v>-4.0821993890585946E-2</v>
      </c>
      <c r="O2799" s="735">
        <v>88.148443276058131</v>
      </c>
      <c r="P2799" s="735">
        <f t="shared" si="201"/>
        <v>39.183902422223895</v>
      </c>
      <c r="Q2799" s="849">
        <v>45.6</v>
      </c>
      <c r="R2799" s="71">
        <v>59618</v>
      </c>
      <c r="S2799" s="845">
        <v>0.12211025489033787</v>
      </c>
      <c r="T2799" s="845">
        <v>1.9E-2</v>
      </c>
      <c r="U2799" s="845">
        <v>4.0000000000000001E-3</v>
      </c>
      <c r="V2799" s="845">
        <v>5.5E-2</v>
      </c>
      <c r="W2799" s="845">
        <v>0.15354637568199533</v>
      </c>
      <c r="X2799" s="845">
        <v>0.28934010152284262</v>
      </c>
      <c r="Y2799" s="845">
        <v>0.98378691372321947</v>
      </c>
      <c r="Z2799" s="845">
        <v>5.2113491603937466E-3</v>
      </c>
      <c r="AA2799" s="845">
        <v>2.8951939779965256E-4</v>
      </c>
      <c r="AB2799" s="845">
        <v>0</v>
      </c>
      <c r="AC2799" s="845">
        <v>0</v>
      </c>
      <c r="AD2799" s="845">
        <v>0</v>
      </c>
      <c r="AE2799" s="845">
        <v>1.0712217718587146E-2</v>
      </c>
      <c r="AF2799" s="845">
        <v>4.6323103647944409E-3</v>
      </c>
      <c r="AG2799" s="845">
        <v>0.98089171974522293</v>
      </c>
      <c r="AH2799" s="20" t="str">
        <f t="shared" si="202"/>
        <v>Yes</v>
      </c>
      <c r="AI2799" s="25"/>
      <c r="AJ2799" s="25"/>
      <c r="AK2799" s="25"/>
      <c r="AL2799" s="25"/>
      <c r="AM2799" s="25"/>
      <c r="AN2799" s="25"/>
      <c r="AO2799" s="25"/>
      <c r="AP2799" s="25"/>
      <c r="AQ2799" s="25"/>
      <c r="AR2799" s="25"/>
      <c r="AS2799" s="25"/>
      <c r="AT2799" s="25"/>
      <c r="AU2799" s="36"/>
      <c r="AV2799" s="36"/>
      <c r="AW2799" s="36"/>
      <c r="AX2799" s="25"/>
      <c r="AY2799" s="25"/>
      <c r="AZ2799" s="25"/>
      <c r="BA2799" s="25"/>
      <c r="BB2799" s="25"/>
      <c r="BC2799" s="25"/>
      <c r="BD2799" s="25"/>
      <c r="BE2799" s="25"/>
      <c r="BF2799" s="25"/>
      <c r="BG2799" s="25"/>
      <c r="BH2799" s="25"/>
      <c r="BI2799" s="25"/>
      <c r="BJ2799" s="25"/>
      <c r="BK2799" s="25"/>
      <c r="BL2799" s="25"/>
      <c r="BM2799" s="25"/>
      <c r="BN2799" s="25"/>
      <c r="BO2799" s="25"/>
      <c r="BP2799" s="25"/>
      <c r="BQ2799" s="25"/>
      <c r="BR2799" s="25"/>
      <c r="BS2799" s="25"/>
      <c r="BT2799" s="25"/>
      <c r="BU2799"/>
      <c r="BV2799"/>
      <c r="BW2799"/>
      <c r="BX2799"/>
      <c r="BY2799"/>
      <c r="BZ2799"/>
      <c r="CA2799"/>
      <c r="CB2799"/>
      <c r="CC2799"/>
      <c r="CD2799" s="25"/>
    </row>
    <row r="2800" spans="1:82" s="17" customFormat="1" x14ac:dyDescent="0.2">
      <c r="A2800" s="25"/>
      <c r="B2800" s="20">
        <v>39095002402</v>
      </c>
      <c r="C2800" s="20">
        <v>24.02</v>
      </c>
      <c r="D2800" s="20" t="s">
        <v>53</v>
      </c>
      <c r="E2800" s="20" t="s">
        <v>2839</v>
      </c>
      <c r="F2800" s="20" t="s">
        <v>6</v>
      </c>
      <c r="G2800" s="861">
        <v>30.4533797097553</v>
      </c>
      <c r="H2800" s="861">
        <v>38.964656663907199</v>
      </c>
      <c r="I2800" s="861">
        <v>71.576245305626202</v>
      </c>
      <c r="J2800" s="861">
        <v>38.241727221512797</v>
      </c>
      <c r="K2800" s="982">
        <v>0</v>
      </c>
      <c r="L2800" s="735">
        <v>1706</v>
      </c>
      <c r="M2800" s="735">
        <v>1217</v>
      </c>
      <c r="N2800" s="845">
        <f t="shared" si="200"/>
        <v>-0.28663540445486518</v>
      </c>
      <c r="O2800" s="735">
        <v>0.25567453280702512</v>
      </c>
      <c r="P2800" s="735">
        <f t="shared" si="201"/>
        <v>4759.9578520342984</v>
      </c>
      <c r="Q2800" s="849">
        <v>45.3</v>
      </c>
      <c r="R2800" s="71">
        <v>50393</v>
      </c>
      <c r="S2800" s="845">
        <v>0.27280197206244866</v>
      </c>
      <c r="T2800" s="845">
        <v>0.105</v>
      </c>
      <c r="U2800" s="845">
        <v>0</v>
      </c>
      <c r="V2800" s="845">
        <v>0.08</v>
      </c>
      <c r="W2800" s="845">
        <v>0.44989775051124742</v>
      </c>
      <c r="X2800" s="845">
        <v>0.39090909090909093</v>
      </c>
      <c r="Y2800" s="845">
        <v>0.12243221035332785</v>
      </c>
      <c r="Z2800" s="845">
        <v>0.87756778964667215</v>
      </c>
      <c r="AA2800" s="845">
        <v>0</v>
      </c>
      <c r="AB2800" s="845">
        <v>0</v>
      </c>
      <c r="AC2800" s="845">
        <v>0</v>
      </c>
      <c r="AD2800" s="845">
        <v>0</v>
      </c>
      <c r="AE2800" s="845">
        <v>0</v>
      </c>
      <c r="AF2800" s="845">
        <v>5.7518488085456041E-3</v>
      </c>
      <c r="AG2800" s="845">
        <v>0.11668036154478226</v>
      </c>
      <c r="AH2800" s="20" t="str">
        <f t="shared" si="202"/>
        <v>No</v>
      </c>
      <c r="AI2800" s="25"/>
      <c r="AJ2800" s="25"/>
      <c r="AK2800" s="25"/>
      <c r="AL2800" s="25"/>
      <c r="AM2800" s="25"/>
      <c r="AN2800" s="25"/>
      <c r="AO2800" s="25"/>
      <c r="AP2800" s="25"/>
      <c r="AQ2800" s="25"/>
      <c r="AR2800" s="25"/>
      <c r="AS2800" s="25"/>
      <c r="AT2800" s="25"/>
      <c r="AU2800" s="36"/>
      <c r="AV2800" s="36"/>
      <c r="AW2800" s="36"/>
      <c r="AX2800" s="25"/>
      <c r="AY2800" s="25"/>
      <c r="AZ2800" s="25"/>
      <c r="BA2800" s="25"/>
      <c r="BB2800" s="25"/>
      <c r="BC2800" s="25"/>
      <c r="BD2800" s="25"/>
      <c r="BE2800" s="25"/>
      <c r="BF2800" s="25"/>
      <c r="BG2800" s="25"/>
      <c r="BH2800" s="25"/>
      <c r="BI2800" s="25"/>
      <c r="BJ2800" s="25"/>
      <c r="BK2800" s="25"/>
      <c r="BL2800" s="25"/>
      <c r="BM2800" s="25"/>
      <c r="BN2800" s="25"/>
      <c r="BO2800" s="25"/>
      <c r="BP2800" s="25"/>
      <c r="BQ2800" s="25"/>
      <c r="BR2800" s="25"/>
      <c r="BS2800" s="25"/>
      <c r="BT2800" s="25"/>
      <c r="BU2800"/>
      <c r="BV2800"/>
      <c r="BW2800"/>
      <c r="BX2800"/>
      <c r="BY2800"/>
      <c r="BZ2800"/>
      <c r="CA2800"/>
      <c r="CB2800"/>
      <c r="CC2800"/>
      <c r="CD2800" s="25"/>
    </row>
    <row r="2801" spans="1:82" s="17" customFormat="1" x14ac:dyDescent="0.2">
      <c r="A2801" s="25"/>
      <c r="B2801" s="20">
        <v>39081001300</v>
      </c>
      <c r="C2801" s="20">
        <v>13</v>
      </c>
      <c r="D2801" s="20" t="s">
        <v>47</v>
      </c>
      <c r="E2801" s="20" t="s">
        <v>2840</v>
      </c>
      <c r="F2801" s="20" t="s">
        <v>6</v>
      </c>
      <c r="G2801" s="861">
        <v>30.3956520079184</v>
      </c>
      <c r="H2801" s="861">
        <v>38.594232315745899</v>
      </c>
      <c r="I2801" s="861">
        <v>58.768771280645502</v>
      </c>
      <c r="J2801" s="861">
        <v>37.330449371515599</v>
      </c>
      <c r="K2801" s="982">
        <v>0</v>
      </c>
      <c r="L2801" s="735">
        <v>1276</v>
      </c>
      <c r="M2801" s="735">
        <v>1169</v>
      </c>
      <c r="N2801" s="845">
        <f t="shared" si="200"/>
        <v>-8.3855799373040746E-2</v>
      </c>
      <c r="O2801" s="735">
        <v>2.4785553938315186</v>
      </c>
      <c r="P2801" s="735">
        <f t="shared" si="201"/>
        <v>471.64570253678323</v>
      </c>
      <c r="Q2801" s="849">
        <v>37.200000000000003</v>
      </c>
      <c r="R2801" s="71">
        <v>46438</v>
      </c>
      <c r="S2801" s="845">
        <v>0.40633019674935844</v>
      </c>
      <c r="T2801" s="845">
        <v>4.7E-2</v>
      </c>
      <c r="U2801" s="845">
        <v>0</v>
      </c>
      <c r="V2801" s="845">
        <v>0.20399999999999999</v>
      </c>
      <c r="W2801" s="845">
        <v>0.35463917525773198</v>
      </c>
      <c r="X2801" s="845">
        <v>0.27906976744186046</v>
      </c>
      <c r="Y2801" s="845">
        <v>0.81522668947818644</v>
      </c>
      <c r="Z2801" s="845">
        <v>0.17279726261762191</v>
      </c>
      <c r="AA2801" s="845">
        <v>1.710863986313088E-3</v>
      </c>
      <c r="AB2801" s="845">
        <v>0</v>
      </c>
      <c r="AC2801" s="845">
        <v>0</v>
      </c>
      <c r="AD2801" s="845">
        <v>0</v>
      </c>
      <c r="AE2801" s="845">
        <v>1.0265183917878529E-2</v>
      </c>
      <c r="AF2801" s="845">
        <v>0</v>
      </c>
      <c r="AG2801" s="845">
        <v>0.81522668947818644</v>
      </c>
      <c r="AH2801" s="20" t="str">
        <f t="shared" si="202"/>
        <v>No</v>
      </c>
      <c r="AI2801" s="25"/>
      <c r="AJ2801" s="25"/>
      <c r="AK2801" s="25"/>
      <c r="AL2801" s="25"/>
      <c r="AM2801" s="25"/>
      <c r="AN2801" s="25"/>
      <c r="AO2801" s="25"/>
      <c r="AP2801" s="25"/>
      <c r="AQ2801" s="25"/>
      <c r="AR2801" s="25"/>
      <c r="AS2801" s="25"/>
      <c r="AT2801" s="25"/>
      <c r="AU2801" s="36"/>
      <c r="AV2801" s="36"/>
      <c r="AW2801" s="36"/>
      <c r="AX2801" s="25"/>
      <c r="AY2801" s="25"/>
      <c r="AZ2801" s="25"/>
      <c r="BA2801" s="25"/>
      <c r="BB2801" s="25"/>
      <c r="BC2801" s="25"/>
      <c r="BD2801" s="25"/>
      <c r="BE2801" s="25"/>
      <c r="BF2801" s="25"/>
      <c r="BG2801" s="25"/>
      <c r="BH2801" s="25"/>
      <c r="BI2801" s="25"/>
      <c r="BJ2801" s="25"/>
      <c r="BK2801" s="25"/>
      <c r="BL2801" s="25"/>
      <c r="BM2801" s="25"/>
      <c r="BN2801" s="25"/>
      <c r="BO2801" s="25"/>
      <c r="BP2801" s="25"/>
      <c r="BQ2801" s="25"/>
      <c r="BR2801" s="25"/>
      <c r="BS2801" s="25"/>
      <c r="BT2801" s="25"/>
      <c r="BU2801"/>
      <c r="BV2801"/>
      <c r="BW2801"/>
      <c r="BX2801"/>
      <c r="BY2801"/>
      <c r="BZ2801"/>
      <c r="CA2801"/>
      <c r="CB2801"/>
      <c r="CC2801"/>
      <c r="CD2801" s="25"/>
    </row>
    <row r="2802" spans="1:82" s="17" customFormat="1" x14ac:dyDescent="0.2">
      <c r="A2802" s="25"/>
      <c r="B2802" s="20">
        <v>39071955001</v>
      </c>
      <c r="C2802" s="20">
        <v>9550.01</v>
      </c>
      <c r="D2802" s="20" t="s">
        <v>42</v>
      </c>
      <c r="E2802" s="20" t="s">
        <v>265</v>
      </c>
      <c r="F2802" s="20" t="s">
        <v>8</v>
      </c>
      <c r="G2802" s="861">
        <v>30.3797875641384</v>
      </c>
      <c r="H2802" s="861">
        <v>36.126413506923797</v>
      </c>
      <c r="I2802" s="861">
        <v>23.413091624493799</v>
      </c>
      <c r="J2802" s="861">
        <v>42.610312728351502</v>
      </c>
      <c r="K2802" s="982">
        <v>0</v>
      </c>
      <c r="L2802" s="735" t="s">
        <v>2466</v>
      </c>
      <c r="M2802" s="735">
        <v>1586</v>
      </c>
      <c r="N2802" s="845" t="str">
        <f t="shared" si="200"/>
        <v/>
      </c>
      <c r="O2802" s="735">
        <v>25.745931706227022</v>
      </c>
      <c r="P2802" s="735">
        <f t="shared" si="201"/>
        <v>61.601965626918961</v>
      </c>
      <c r="Q2802" s="849">
        <v>37.5</v>
      </c>
      <c r="R2802" s="71">
        <v>54814</v>
      </c>
      <c r="S2802" s="845">
        <v>0.17150063051702397</v>
      </c>
      <c r="T2802" s="845">
        <v>6.5000000000000002E-2</v>
      </c>
      <c r="U2802" s="845">
        <v>1.1000000000000001E-2</v>
      </c>
      <c r="V2802" s="845">
        <v>0</v>
      </c>
      <c r="W2802" s="845">
        <v>0.19334389857369255</v>
      </c>
      <c r="X2802" s="845">
        <v>0.10655737704918032</v>
      </c>
      <c r="Y2802" s="845">
        <v>0.97919293820933162</v>
      </c>
      <c r="Z2802" s="845">
        <v>0</v>
      </c>
      <c r="AA2802" s="845">
        <v>0</v>
      </c>
      <c r="AB2802" s="845">
        <v>0</v>
      </c>
      <c r="AC2802" s="845">
        <v>0</v>
      </c>
      <c r="AD2802" s="845">
        <v>1.5762925598991173E-2</v>
      </c>
      <c r="AE2802" s="845">
        <v>5.0441361916771753E-3</v>
      </c>
      <c r="AF2802" s="845">
        <v>0</v>
      </c>
      <c r="AG2802" s="845">
        <v>0.97919293820933162</v>
      </c>
      <c r="AH2802" s="20" t="str">
        <f t="shared" si="202"/>
        <v>Yes</v>
      </c>
      <c r="AI2802" s="25"/>
      <c r="AJ2802" s="25"/>
      <c r="AK2802" s="25"/>
      <c r="AL2802" s="25"/>
      <c r="AM2802" s="25"/>
      <c r="AN2802" s="25"/>
      <c r="AO2802" s="25"/>
      <c r="AP2802" s="25"/>
      <c r="AQ2802" s="25"/>
      <c r="AR2802" s="25"/>
      <c r="AS2802" s="25"/>
      <c r="AT2802" s="25"/>
      <c r="AU2802" s="36"/>
      <c r="AV2802" s="36"/>
      <c r="AW2802" s="36"/>
      <c r="AX2802" s="25"/>
      <c r="AY2802" s="25"/>
      <c r="AZ2802" s="25"/>
      <c r="BA2802" s="25"/>
      <c r="BB2802" s="25"/>
      <c r="BC2802" s="25"/>
      <c r="BD2802" s="25"/>
      <c r="BE2802" s="25"/>
      <c r="BF2802" s="25"/>
      <c r="BG2802" s="25"/>
      <c r="BH2802" s="25"/>
      <c r="BI2802" s="25"/>
      <c r="BJ2802" s="25"/>
      <c r="BK2802" s="25"/>
      <c r="BL2802" s="25"/>
      <c r="BM2802" s="25"/>
      <c r="BN2802" s="25"/>
      <c r="BO2802" s="25"/>
      <c r="BP2802" s="25"/>
      <c r="BQ2802" s="25"/>
      <c r="BR2802" s="25"/>
      <c r="BS2802" s="25"/>
      <c r="BT2802" s="25"/>
      <c r="BU2802"/>
      <c r="BV2802"/>
      <c r="BW2802"/>
      <c r="BX2802"/>
      <c r="BY2802"/>
      <c r="BZ2802"/>
      <c r="CA2802"/>
      <c r="CB2802"/>
      <c r="CC2802"/>
      <c r="CD2802" s="25"/>
    </row>
    <row r="2803" spans="1:82" s="17" customFormat="1" x14ac:dyDescent="0.2">
      <c r="A2803" s="25"/>
      <c r="B2803" s="20">
        <v>39035198100</v>
      </c>
      <c r="C2803" s="20">
        <v>1981</v>
      </c>
      <c r="D2803" s="20" t="s">
        <v>24</v>
      </c>
      <c r="E2803" s="20" t="s">
        <v>2829</v>
      </c>
      <c r="F2803" s="20" t="s">
        <v>6</v>
      </c>
      <c r="G2803" s="861">
        <v>30.357336738850901</v>
      </c>
      <c r="H2803" s="861">
        <v>54.075481111297002</v>
      </c>
      <c r="I2803" s="861">
        <v>93.049894103895397</v>
      </c>
      <c r="J2803" s="861">
        <v>32.000425188772397</v>
      </c>
      <c r="K2803" s="982">
        <v>0</v>
      </c>
      <c r="L2803" s="735" t="s">
        <v>2466</v>
      </c>
      <c r="M2803" s="735">
        <v>2598</v>
      </c>
      <c r="N2803" s="845" t="str">
        <f t="shared" si="200"/>
        <v/>
      </c>
      <c r="O2803" s="735">
        <v>0.25539229212909398</v>
      </c>
      <c r="P2803" s="735">
        <f t="shared" si="201"/>
        <v>10172.5857829992</v>
      </c>
      <c r="Q2803" s="849">
        <v>30.3</v>
      </c>
      <c r="R2803" s="71">
        <v>31267</v>
      </c>
      <c r="S2803" s="845">
        <v>0.42532717474980752</v>
      </c>
      <c r="T2803" s="845">
        <v>0.113</v>
      </c>
      <c r="U2803" s="845">
        <v>0</v>
      </c>
      <c r="V2803" s="845">
        <v>0</v>
      </c>
      <c r="W2803" s="845">
        <v>0.70440881763527052</v>
      </c>
      <c r="X2803" s="845">
        <v>0.60881934566145091</v>
      </c>
      <c r="Y2803" s="845">
        <v>0.20477290223248654</v>
      </c>
      <c r="Z2803" s="845">
        <v>0.60623556581986138</v>
      </c>
      <c r="AA2803" s="845">
        <v>0</v>
      </c>
      <c r="AB2803" s="845">
        <v>1.3086989992301771E-2</v>
      </c>
      <c r="AC2803" s="845">
        <v>0</v>
      </c>
      <c r="AD2803" s="845">
        <v>9.7382602001539642E-2</v>
      </c>
      <c r="AE2803" s="845">
        <v>7.8521939953810627E-2</v>
      </c>
      <c r="AF2803" s="845">
        <v>9.7382602001539642E-2</v>
      </c>
      <c r="AG2803" s="845">
        <v>0.20477290223248654</v>
      </c>
      <c r="AH2803" s="20" t="str">
        <f t="shared" si="202"/>
        <v>No</v>
      </c>
      <c r="AI2803" s="25"/>
      <c r="AJ2803" s="25"/>
      <c r="AK2803" s="25"/>
      <c r="AL2803" s="25"/>
      <c r="AM2803" s="25"/>
      <c r="AN2803" s="25"/>
      <c r="AO2803" s="25"/>
      <c r="AP2803" s="25"/>
      <c r="AQ2803" s="25"/>
      <c r="AR2803" s="25"/>
      <c r="AS2803" s="25"/>
      <c r="AT2803" s="25"/>
      <c r="AU2803" s="36"/>
      <c r="AV2803" s="36"/>
      <c r="AW2803" s="36"/>
      <c r="AX2803" s="25"/>
      <c r="AY2803" s="25"/>
      <c r="AZ2803" s="25"/>
      <c r="BA2803" s="25"/>
      <c r="BB2803" s="25"/>
      <c r="BC2803" s="25"/>
      <c r="BD2803" s="25"/>
      <c r="BE2803" s="25"/>
      <c r="BF2803" s="25"/>
      <c r="BG2803" s="25"/>
      <c r="BH2803" s="25"/>
      <c r="BI2803" s="25"/>
      <c r="BJ2803" s="25"/>
      <c r="BK2803" s="25"/>
      <c r="BL2803" s="25"/>
      <c r="BM2803" s="25"/>
      <c r="BN2803" s="25"/>
      <c r="BO2803" s="25"/>
      <c r="BP2803" s="25"/>
      <c r="BQ2803" s="25"/>
      <c r="BR2803" s="25"/>
      <c r="BS2803" s="25"/>
      <c r="BT2803" s="25"/>
      <c r="BU2803"/>
      <c r="BV2803"/>
      <c r="BW2803"/>
      <c r="BX2803"/>
      <c r="BY2803"/>
      <c r="BZ2803"/>
      <c r="CA2803"/>
      <c r="CB2803"/>
      <c r="CC2803"/>
      <c r="CD2803" s="25"/>
    </row>
    <row r="2804" spans="1:82" s="17" customFormat="1" x14ac:dyDescent="0.2">
      <c r="A2804" s="25"/>
      <c r="B2804" s="20">
        <v>39099801000</v>
      </c>
      <c r="C2804" s="20">
        <v>8010</v>
      </c>
      <c r="D2804" s="20" t="s">
        <v>55</v>
      </c>
      <c r="E2804" s="20" t="s">
        <v>2842</v>
      </c>
      <c r="F2804" s="20" t="s">
        <v>6</v>
      </c>
      <c r="G2804" s="861">
        <v>30.294632378000699</v>
      </c>
      <c r="H2804" s="861">
        <v>43.5312004105946</v>
      </c>
      <c r="I2804" s="861">
        <v>73.258631517082506</v>
      </c>
      <c r="J2804" s="861">
        <v>47.900220665678098</v>
      </c>
      <c r="K2804" s="982">
        <v>0</v>
      </c>
      <c r="L2804" s="735">
        <v>1461</v>
      </c>
      <c r="M2804" s="735">
        <v>1620</v>
      </c>
      <c r="N2804" s="845">
        <f t="shared" si="200"/>
        <v>0.10882956878850103</v>
      </c>
      <c r="O2804" s="735">
        <v>1.117622505224551</v>
      </c>
      <c r="P2804" s="735">
        <f t="shared" si="201"/>
        <v>1449.505528411413</v>
      </c>
      <c r="Q2804" s="849">
        <v>28.7</v>
      </c>
      <c r="R2804" s="71">
        <v>35645</v>
      </c>
      <c r="S2804" s="845">
        <v>0.45882352941176469</v>
      </c>
      <c r="T2804" s="845">
        <v>0.14699999999999999</v>
      </c>
      <c r="U2804" s="845">
        <v>0</v>
      </c>
      <c r="V2804" s="845">
        <v>0</v>
      </c>
      <c r="W2804" s="845">
        <v>0.55245901639344264</v>
      </c>
      <c r="X2804" s="845">
        <v>0.47477744807121663</v>
      </c>
      <c r="Y2804" s="845">
        <v>0.35493827160493829</v>
      </c>
      <c r="Z2804" s="845">
        <v>0.55555555555555558</v>
      </c>
      <c r="AA2804" s="845">
        <v>1.4814814814814815E-2</v>
      </c>
      <c r="AB2804" s="845">
        <v>0</v>
      </c>
      <c r="AC2804" s="845">
        <v>0</v>
      </c>
      <c r="AD2804" s="845">
        <v>2.8395061728395062E-2</v>
      </c>
      <c r="AE2804" s="845">
        <v>4.6296296296296294E-2</v>
      </c>
      <c r="AF2804" s="845">
        <v>0.16790123456790124</v>
      </c>
      <c r="AG2804" s="845">
        <v>0.29938271604938271</v>
      </c>
      <c r="AH2804" s="20" t="str">
        <f t="shared" si="202"/>
        <v>No</v>
      </c>
      <c r="AI2804" s="25"/>
      <c r="AJ2804" s="25"/>
      <c r="AK2804" s="25"/>
      <c r="AL2804" s="25"/>
      <c r="AM2804" s="25"/>
      <c r="AN2804" s="25"/>
      <c r="AO2804" s="25"/>
      <c r="AP2804" s="25"/>
      <c r="AQ2804" s="25"/>
      <c r="AR2804" s="25"/>
      <c r="AS2804" s="25"/>
      <c r="AT2804" s="25"/>
      <c r="AU2804" s="36"/>
      <c r="AV2804" s="36"/>
      <c r="AW2804" s="36"/>
      <c r="AX2804" s="25"/>
      <c r="AY2804" s="25"/>
      <c r="AZ2804" s="25"/>
      <c r="BA2804" s="25"/>
      <c r="BB2804" s="25"/>
      <c r="BC2804" s="25"/>
      <c r="BD2804" s="25"/>
      <c r="BE2804" s="25"/>
      <c r="BF2804" s="25"/>
      <c r="BG2804" s="25"/>
      <c r="BH2804" s="25"/>
      <c r="BI2804" s="25"/>
      <c r="BJ2804" s="25"/>
      <c r="BK2804" s="25"/>
      <c r="BL2804" s="25"/>
      <c r="BM2804" s="25"/>
      <c r="BN2804" s="25"/>
      <c r="BO2804" s="25"/>
      <c r="BP2804" s="25"/>
      <c r="BQ2804" s="25"/>
      <c r="BR2804" s="25"/>
      <c r="BS2804" s="25"/>
      <c r="BT2804" s="25"/>
      <c r="BU2804"/>
      <c r="BV2804"/>
      <c r="BW2804"/>
      <c r="BX2804"/>
      <c r="BY2804"/>
      <c r="BZ2804"/>
      <c r="CA2804"/>
      <c r="CB2804"/>
      <c r="CC2804"/>
      <c r="CD2804" s="25"/>
    </row>
    <row r="2805" spans="1:82" s="17" customFormat="1" x14ac:dyDescent="0.2">
      <c r="A2805" s="25"/>
      <c r="B2805" s="20">
        <v>39089752200</v>
      </c>
      <c r="C2805" s="20">
        <v>7522</v>
      </c>
      <c r="D2805" s="20" t="s">
        <v>50</v>
      </c>
      <c r="E2805" s="20" t="s">
        <v>2830</v>
      </c>
      <c r="F2805" s="20" t="s">
        <v>8</v>
      </c>
      <c r="G2805" s="861">
        <v>30.2933088178502</v>
      </c>
      <c r="H2805" s="861">
        <v>37.609072757666503</v>
      </c>
      <c r="I2805" s="861">
        <v>40.4650177320135</v>
      </c>
      <c r="J2805" s="861">
        <v>38.166056017846898</v>
      </c>
      <c r="K2805" s="982">
        <v>0</v>
      </c>
      <c r="L2805" s="735">
        <v>4471</v>
      </c>
      <c r="M2805" s="735">
        <v>4999</v>
      </c>
      <c r="N2805" s="845">
        <f t="shared" si="200"/>
        <v>0.11809438604339074</v>
      </c>
      <c r="O2805" s="735">
        <v>6.9910548739932246</v>
      </c>
      <c r="P2805" s="735">
        <f t="shared" si="201"/>
        <v>715.05661021147421</v>
      </c>
      <c r="Q2805" s="849">
        <v>36.5</v>
      </c>
      <c r="R2805" s="71">
        <v>63125</v>
      </c>
      <c r="S2805" s="845">
        <v>0.20441323971915748</v>
      </c>
      <c r="T2805" s="845">
        <v>5.4000000000000006E-2</v>
      </c>
      <c r="U2805" s="845">
        <v>0</v>
      </c>
      <c r="V2805" s="845">
        <v>0.10199999999999999</v>
      </c>
      <c r="W2805" s="845">
        <v>0.37307896131425544</v>
      </c>
      <c r="X2805" s="845">
        <v>0.51704545454545459</v>
      </c>
      <c r="Y2805" s="845">
        <v>0.95479095819163828</v>
      </c>
      <c r="Z2805" s="845">
        <v>6.8013602720544105E-3</v>
      </c>
      <c r="AA2805" s="845">
        <v>0</v>
      </c>
      <c r="AB2805" s="845">
        <v>9.4018803760752157E-3</v>
      </c>
      <c r="AC2805" s="845">
        <v>0</v>
      </c>
      <c r="AD2805" s="845">
        <v>5.2010402080416079E-3</v>
      </c>
      <c r="AE2805" s="845">
        <v>2.3804760952190439E-2</v>
      </c>
      <c r="AF2805" s="845">
        <v>0</v>
      </c>
      <c r="AG2805" s="845">
        <v>0.95479095819163828</v>
      </c>
      <c r="AH2805" s="20" t="str">
        <f t="shared" si="202"/>
        <v>Yes</v>
      </c>
      <c r="AI2805" s="25"/>
      <c r="AJ2805" s="25"/>
      <c r="AK2805" s="25"/>
      <c r="AL2805" s="25"/>
      <c r="AM2805" s="25"/>
      <c r="AN2805" s="25"/>
      <c r="AO2805" s="25"/>
      <c r="AP2805" s="25"/>
      <c r="AQ2805" s="25"/>
      <c r="AR2805" s="25"/>
      <c r="AS2805" s="25"/>
      <c r="AT2805" s="25"/>
      <c r="AU2805" s="36"/>
      <c r="AV2805" s="36"/>
      <c r="AW2805" s="36"/>
      <c r="AX2805" s="25"/>
      <c r="AY2805" s="25"/>
      <c r="AZ2805" s="25"/>
      <c r="BA2805" s="25"/>
      <c r="BB2805" s="25"/>
      <c r="BC2805" s="25"/>
      <c r="BD2805" s="25"/>
      <c r="BE2805" s="25"/>
      <c r="BF2805" s="25"/>
      <c r="BG2805" s="25"/>
      <c r="BH2805" s="25"/>
      <c r="BI2805" s="25"/>
      <c r="BJ2805" s="25"/>
      <c r="BK2805" s="25"/>
      <c r="BL2805" s="25"/>
      <c r="BM2805" s="25"/>
      <c r="BN2805" s="25"/>
      <c r="BO2805" s="25"/>
      <c r="BP2805" s="25"/>
      <c r="BQ2805" s="25"/>
      <c r="BR2805" s="25"/>
      <c r="BS2805" s="25"/>
      <c r="BT2805" s="25"/>
      <c r="BU2805"/>
      <c r="BV2805"/>
      <c r="BW2805"/>
      <c r="BX2805"/>
      <c r="BY2805"/>
      <c r="BZ2805"/>
      <c r="CA2805"/>
      <c r="CB2805"/>
      <c r="CC2805"/>
      <c r="CD2805" s="25"/>
    </row>
    <row r="2806" spans="1:82" s="17" customFormat="1" x14ac:dyDescent="0.2">
      <c r="A2806" s="25"/>
      <c r="B2806" s="20">
        <v>39093030101</v>
      </c>
      <c r="C2806" s="20">
        <v>301.01</v>
      </c>
      <c r="D2806" s="20" t="s">
        <v>52</v>
      </c>
      <c r="E2806" s="20" t="s">
        <v>2829</v>
      </c>
      <c r="F2806" s="20" t="s">
        <v>6</v>
      </c>
      <c r="G2806" s="861">
        <v>30.255700038319699</v>
      </c>
      <c r="H2806" s="861">
        <v>41.4311243239151</v>
      </c>
      <c r="I2806" s="861">
        <v>49.962900083715901</v>
      </c>
      <c r="J2806" s="861">
        <v>33.014091971454199</v>
      </c>
      <c r="K2806" s="982">
        <v>0</v>
      </c>
      <c r="L2806" s="735" t="s">
        <v>2466</v>
      </c>
      <c r="M2806" s="735">
        <v>2669</v>
      </c>
      <c r="N2806" s="845" t="str">
        <f t="shared" si="200"/>
        <v/>
      </c>
      <c r="O2806" s="735">
        <v>1.0080277936102187</v>
      </c>
      <c r="P2806" s="735">
        <f t="shared" si="201"/>
        <v>2647.744453990761</v>
      </c>
      <c r="Q2806" s="849">
        <v>57.3</v>
      </c>
      <c r="R2806" s="71">
        <v>46685</v>
      </c>
      <c r="S2806" s="845">
        <v>0.12319688109161793</v>
      </c>
      <c r="T2806" s="845">
        <v>4.4000000000000004E-2</v>
      </c>
      <c r="U2806" s="845">
        <v>4.0999999999999995E-2</v>
      </c>
      <c r="V2806" s="845">
        <v>0.13900000000000001</v>
      </c>
      <c r="W2806" s="845">
        <v>0.23859649122807017</v>
      </c>
      <c r="X2806" s="845">
        <v>0.35294117647058826</v>
      </c>
      <c r="Y2806" s="845">
        <v>0.96290745597602101</v>
      </c>
      <c r="Z2806" s="845">
        <v>3.7467216185837391E-3</v>
      </c>
      <c r="AA2806" s="845">
        <v>0</v>
      </c>
      <c r="AB2806" s="845">
        <v>0</v>
      </c>
      <c r="AC2806" s="845">
        <v>0</v>
      </c>
      <c r="AD2806" s="845">
        <v>1.3862869988759834E-2</v>
      </c>
      <c r="AE2806" s="845">
        <v>1.9482952416635443E-2</v>
      </c>
      <c r="AF2806" s="845">
        <v>4.2712626451854627E-2</v>
      </c>
      <c r="AG2806" s="845">
        <v>0.93780442113150997</v>
      </c>
      <c r="AH2806" s="20" t="str">
        <f t="shared" si="202"/>
        <v>Yes</v>
      </c>
      <c r="AI2806" s="25"/>
      <c r="AJ2806" s="25"/>
      <c r="AK2806" s="25"/>
      <c r="AL2806" s="25"/>
      <c r="AM2806" s="25"/>
      <c r="AN2806" s="25"/>
      <c r="AO2806" s="25"/>
      <c r="AP2806" s="25"/>
      <c r="AQ2806" s="25"/>
      <c r="AR2806" s="25"/>
      <c r="AS2806" s="25"/>
      <c r="AT2806" s="25"/>
      <c r="AU2806" s="36"/>
      <c r="AV2806" s="36"/>
      <c r="AW2806" s="36"/>
      <c r="AX2806" s="25"/>
      <c r="AY2806" s="25"/>
      <c r="AZ2806" s="25"/>
      <c r="BA2806" s="25"/>
      <c r="BB2806" s="25"/>
      <c r="BC2806" s="25"/>
      <c r="BD2806" s="25"/>
      <c r="BE2806" s="25"/>
      <c r="BF2806" s="25"/>
      <c r="BG2806" s="25"/>
      <c r="BH2806" s="25"/>
      <c r="BI2806" s="25"/>
      <c r="BJ2806" s="25"/>
      <c r="BK2806" s="25"/>
      <c r="BL2806" s="25"/>
      <c r="BM2806" s="25"/>
      <c r="BN2806" s="25"/>
      <c r="BO2806" s="25"/>
      <c r="BP2806" s="25"/>
      <c r="BQ2806" s="25"/>
      <c r="BR2806" s="25"/>
      <c r="BS2806" s="25"/>
      <c r="BT2806" s="25"/>
      <c r="BU2806"/>
      <c r="BV2806"/>
      <c r="BW2806"/>
      <c r="BX2806"/>
      <c r="BY2806"/>
      <c r="BZ2806"/>
      <c r="CA2806"/>
      <c r="CB2806"/>
      <c r="CC2806"/>
      <c r="CD2806" s="25"/>
    </row>
    <row r="2807" spans="1:82" s="17" customFormat="1" x14ac:dyDescent="0.2">
      <c r="A2807" s="25"/>
      <c r="B2807" s="20">
        <v>39093071500</v>
      </c>
      <c r="C2807" s="20">
        <v>715</v>
      </c>
      <c r="D2807" s="20" t="s">
        <v>52</v>
      </c>
      <c r="E2807" s="20" t="s">
        <v>2829</v>
      </c>
      <c r="F2807" s="20" t="s">
        <v>8</v>
      </c>
      <c r="G2807" s="861">
        <v>30.2257741368742</v>
      </c>
      <c r="H2807" s="861">
        <v>35.163335164222403</v>
      </c>
      <c r="I2807" s="861">
        <v>23.968880145783</v>
      </c>
      <c r="J2807" s="861">
        <v>21.1608492311186</v>
      </c>
      <c r="K2807" s="982">
        <v>0</v>
      </c>
      <c r="L2807" s="735">
        <v>2055</v>
      </c>
      <c r="M2807" s="735">
        <v>2014</v>
      </c>
      <c r="N2807" s="845">
        <f t="shared" si="200"/>
        <v>-1.9951338199513381E-2</v>
      </c>
      <c r="O2807" s="735">
        <v>6.7901593571408325</v>
      </c>
      <c r="P2807" s="735">
        <f t="shared" si="201"/>
        <v>296.60570453062905</v>
      </c>
      <c r="Q2807" s="849">
        <v>44.8</v>
      </c>
      <c r="R2807" s="71">
        <v>60750</v>
      </c>
      <c r="S2807" s="845">
        <v>8.0935251798561147E-2</v>
      </c>
      <c r="T2807" s="845">
        <v>2.5000000000000001E-2</v>
      </c>
      <c r="U2807" s="845">
        <v>0</v>
      </c>
      <c r="V2807" s="845">
        <v>6.9000000000000006E-2</v>
      </c>
      <c r="W2807" s="845">
        <v>7.5104311543810851E-2</v>
      </c>
      <c r="X2807" s="845">
        <v>0.16666666666666666</v>
      </c>
      <c r="Y2807" s="845">
        <v>0.85253227408142995</v>
      </c>
      <c r="Z2807" s="845">
        <v>5.014895729890765E-2</v>
      </c>
      <c r="AA2807" s="845">
        <v>3.4756703078450842E-3</v>
      </c>
      <c r="AB2807" s="845">
        <v>0</v>
      </c>
      <c r="AC2807" s="845">
        <v>0</v>
      </c>
      <c r="AD2807" s="845">
        <v>3.9721946375372392E-3</v>
      </c>
      <c r="AE2807" s="845">
        <v>8.9870903674280037E-2</v>
      </c>
      <c r="AF2807" s="845">
        <v>7.9443892750744788E-2</v>
      </c>
      <c r="AG2807" s="845">
        <v>0.80436941410129092</v>
      </c>
      <c r="AH2807" s="20" t="str">
        <f t="shared" si="202"/>
        <v>No</v>
      </c>
      <c r="AI2807" s="25"/>
      <c r="AJ2807" s="25"/>
      <c r="AK2807" s="25"/>
      <c r="AL2807" s="25"/>
      <c r="AM2807" s="25"/>
      <c r="AN2807" s="25"/>
      <c r="AO2807" s="25"/>
      <c r="AP2807" s="25"/>
      <c r="AQ2807" s="25"/>
      <c r="AR2807" s="25"/>
      <c r="AS2807" s="25"/>
      <c r="AT2807" s="25"/>
      <c r="AU2807" s="36"/>
      <c r="AV2807" s="36"/>
      <c r="AW2807" s="36"/>
      <c r="AX2807" s="25"/>
      <c r="AY2807" s="25"/>
      <c r="AZ2807" s="25"/>
      <c r="BA2807" s="25"/>
      <c r="BB2807" s="25"/>
      <c r="BC2807" s="25"/>
      <c r="BD2807" s="25"/>
      <c r="BE2807" s="25"/>
      <c r="BF2807" s="25"/>
      <c r="BG2807" s="25"/>
      <c r="BH2807" s="25"/>
      <c r="BI2807" s="25"/>
      <c r="BJ2807" s="25"/>
      <c r="BK2807" s="25"/>
      <c r="BL2807" s="25"/>
      <c r="BM2807" s="25"/>
      <c r="BN2807" s="25"/>
      <c r="BO2807" s="25"/>
      <c r="BP2807" s="25"/>
      <c r="BQ2807" s="25"/>
      <c r="BR2807" s="25"/>
      <c r="BS2807" s="25"/>
      <c r="BT2807" s="25"/>
      <c r="BU2807"/>
      <c r="BV2807"/>
      <c r="BW2807"/>
      <c r="BX2807"/>
      <c r="BY2807"/>
      <c r="BZ2807"/>
      <c r="CA2807"/>
      <c r="CB2807"/>
      <c r="CC2807"/>
      <c r="CD2807" s="25"/>
    </row>
    <row r="2808" spans="1:82" s="17" customFormat="1" x14ac:dyDescent="0.2">
      <c r="A2808" s="25"/>
      <c r="B2808" s="20">
        <v>39071955200</v>
      </c>
      <c r="C2808" s="20">
        <v>9552</v>
      </c>
      <c r="D2808" s="20" t="s">
        <v>42</v>
      </c>
      <c r="E2808" s="20" t="s">
        <v>265</v>
      </c>
      <c r="F2808" s="20" t="s">
        <v>8</v>
      </c>
      <c r="G2808" s="861">
        <v>30.215315207887599</v>
      </c>
      <c r="H2808" s="861">
        <v>40.647674627137498</v>
      </c>
      <c r="I2808" s="861">
        <v>18.407207453950601</v>
      </c>
      <c r="J2808" s="861">
        <v>57.607580511525697</v>
      </c>
      <c r="K2808" s="982">
        <v>0</v>
      </c>
      <c r="L2808" s="735">
        <v>5140</v>
      </c>
      <c r="M2808" s="735">
        <v>4780</v>
      </c>
      <c r="N2808" s="845">
        <f t="shared" si="200"/>
        <v>-7.0038910505836577E-2</v>
      </c>
      <c r="O2808" s="735">
        <v>104.33696546969863</v>
      </c>
      <c r="P2808" s="735">
        <f t="shared" si="201"/>
        <v>45.813101602884934</v>
      </c>
      <c r="Q2808" s="849">
        <v>42.2</v>
      </c>
      <c r="R2808" s="71">
        <v>69375</v>
      </c>
      <c r="S2808" s="845">
        <v>0.14201804069645479</v>
      </c>
      <c r="T2808" s="845">
        <v>3.5000000000000003E-2</v>
      </c>
      <c r="U2808" s="845">
        <v>5.0000000000000001E-3</v>
      </c>
      <c r="V2808" s="845">
        <v>0</v>
      </c>
      <c r="W2808" s="845">
        <v>0.13130765056972327</v>
      </c>
      <c r="X2808" s="845">
        <v>9.9173553719008267E-2</v>
      </c>
      <c r="Y2808" s="845">
        <v>0.97008368200836825</v>
      </c>
      <c r="Z2808" s="845">
        <v>0</v>
      </c>
      <c r="AA2808" s="845">
        <v>1.6736401673640166E-3</v>
      </c>
      <c r="AB2808" s="845">
        <v>0</v>
      </c>
      <c r="AC2808" s="845">
        <v>0</v>
      </c>
      <c r="AD2808" s="845">
        <v>3.5564853556485356E-3</v>
      </c>
      <c r="AE2808" s="845">
        <v>2.4686192468619247E-2</v>
      </c>
      <c r="AF2808" s="845">
        <v>7.7405857740585771E-3</v>
      </c>
      <c r="AG2808" s="845">
        <v>0.96882845188284517</v>
      </c>
      <c r="AH2808" s="20" t="str">
        <f t="shared" si="202"/>
        <v>Yes</v>
      </c>
      <c r="AI2808" s="25"/>
      <c r="AJ2808" s="25"/>
      <c r="AK2808" s="25"/>
      <c r="AL2808" s="25"/>
      <c r="AM2808" s="25"/>
      <c r="AN2808" s="25"/>
      <c r="AO2808" s="25"/>
      <c r="AP2808" s="25"/>
      <c r="AQ2808" s="25"/>
      <c r="AR2808" s="25"/>
      <c r="AS2808" s="25"/>
      <c r="AT2808" s="25"/>
      <c r="AU2808" s="36"/>
      <c r="AV2808" s="36"/>
      <c r="AW2808" s="36"/>
      <c r="AX2808" s="25"/>
      <c r="AY2808" s="25"/>
      <c r="AZ2808" s="25"/>
      <c r="BA2808" s="25"/>
      <c r="BB2808" s="25"/>
      <c r="BC2808" s="25"/>
      <c r="BD2808" s="25"/>
      <c r="BE2808" s="25"/>
      <c r="BF2808" s="25"/>
      <c r="BG2808" s="25"/>
      <c r="BH2808" s="25"/>
      <c r="BI2808" s="25"/>
      <c r="BJ2808" s="25"/>
      <c r="BK2808" s="25"/>
      <c r="BL2808" s="25"/>
      <c r="BM2808" s="25"/>
      <c r="BN2808" s="25"/>
      <c r="BO2808" s="25"/>
      <c r="BP2808" s="25"/>
      <c r="BQ2808" s="25"/>
      <c r="BR2808" s="25"/>
      <c r="BS2808" s="25"/>
      <c r="BT2808" s="25"/>
      <c r="BU2808"/>
      <c r="BV2808"/>
      <c r="BW2808"/>
      <c r="BX2808"/>
      <c r="BY2808"/>
      <c r="BZ2808"/>
      <c r="CA2808"/>
      <c r="CB2808"/>
      <c r="CC2808"/>
      <c r="CD2808" s="25"/>
    </row>
    <row r="2809" spans="1:82" s="17" customFormat="1" x14ac:dyDescent="0.2">
      <c r="A2809" s="25"/>
      <c r="B2809" s="20">
        <v>39089758601</v>
      </c>
      <c r="C2809" s="20">
        <v>7586.01</v>
      </c>
      <c r="D2809" s="20" t="s">
        <v>50</v>
      </c>
      <c r="E2809" s="20" t="s">
        <v>2830</v>
      </c>
      <c r="F2809" s="20" t="s">
        <v>8</v>
      </c>
      <c r="G2809" s="861">
        <v>30.160865768008801</v>
      </c>
      <c r="H2809" s="861">
        <v>40.718952502570602</v>
      </c>
      <c r="I2809" s="861">
        <v>23.229517601304298</v>
      </c>
      <c r="J2809" s="861">
        <v>45.2242770191001</v>
      </c>
      <c r="K2809" s="982">
        <v>0</v>
      </c>
      <c r="L2809" s="735" t="s">
        <v>2466</v>
      </c>
      <c r="M2809" s="735">
        <v>3043</v>
      </c>
      <c r="N2809" s="845" t="str">
        <f t="shared" si="200"/>
        <v/>
      </c>
      <c r="O2809" s="735">
        <v>35.847613987695105</v>
      </c>
      <c r="P2809" s="735">
        <f t="shared" si="201"/>
        <v>84.887100185929441</v>
      </c>
      <c r="Q2809" s="849">
        <v>49.3</v>
      </c>
      <c r="R2809" s="71">
        <v>93990</v>
      </c>
      <c r="S2809" s="845">
        <v>7.6240552086756494E-2</v>
      </c>
      <c r="T2809" s="845">
        <v>4.4000000000000004E-2</v>
      </c>
      <c r="U2809" s="845">
        <v>0</v>
      </c>
      <c r="V2809" s="845">
        <v>0</v>
      </c>
      <c r="W2809" s="845">
        <v>3.6059806508355323E-2</v>
      </c>
      <c r="X2809" s="845">
        <v>0.6097560975609756</v>
      </c>
      <c r="Y2809" s="845">
        <v>0.96516595465001642</v>
      </c>
      <c r="Z2809" s="845">
        <v>0</v>
      </c>
      <c r="AA2809" s="845">
        <v>0</v>
      </c>
      <c r="AB2809" s="845">
        <v>0</v>
      </c>
      <c r="AC2809" s="845">
        <v>4.9293460400920142E-3</v>
      </c>
      <c r="AD2809" s="845">
        <v>0</v>
      </c>
      <c r="AE2809" s="845">
        <v>2.9904699309891553E-2</v>
      </c>
      <c r="AF2809" s="845">
        <v>1.1501807426881366E-2</v>
      </c>
      <c r="AG2809" s="845">
        <v>0.96516595465001642</v>
      </c>
      <c r="AH2809" s="20" t="str">
        <f t="shared" si="202"/>
        <v>Yes</v>
      </c>
      <c r="AI2809" s="25"/>
      <c r="AJ2809" s="25"/>
      <c r="AK2809" s="25"/>
      <c r="AL2809" s="25"/>
      <c r="AM2809" s="25"/>
      <c r="AN2809" s="25"/>
      <c r="AO2809" s="25"/>
      <c r="AP2809" s="25"/>
      <c r="AQ2809" s="25"/>
      <c r="AR2809" s="25"/>
      <c r="AS2809" s="25"/>
      <c r="AT2809" s="25"/>
      <c r="AU2809" s="36"/>
      <c r="AV2809" s="36"/>
      <c r="AW2809" s="36"/>
      <c r="AX2809" s="25"/>
      <c r="AY2809" s="25"/>
      <c r="AZ2809" s="25"/>
      <c r="BA2809" s="25"/>
      <c r="BB2809" s="25"/>
      <c r="BC2809" s="25"/>
      <c r="BD2809" s="25"/>
      <c r="BE2809" s="25"/>
      <c r="BF2809" s="25"/>
      <c r="BG2809" s="25"/>
      <c r="BH2809" s="25"/>
      <c r="BI2809" s="25"/>
      <c r="BJ2809" s="25"/>
      <c r="BK2809" s="25"/>
      <c r="BL2809" s="25"/>
      <c r="BM2809" s="25"/>
      <c r="BN2809" s="25"/>
      <c r="BO2809" s="25"/>
      <c r="BP2809" s="25"/>
      <c r="BQ2809" s="25"/>
      <c r="BR2809" s="25"/>
      <c r="BS2809" s="25"/>
      <c r="BT2809" s="25"/>
      <c r="BU2809"/>
      <c r="BV2809"/>
      <c r="BW2809"/>
      <c r="BX2809"/>
      <c r="BY2809"/>
      <c r="BZ2809"/>
      <c r="CA2809"/>
      <c r="CB2809"/>
      <c r="CC2809"/>
      <c r="CD2809" s="25"/>
    </row>
    <row r="2810" spans="1:82" s="17" customFormat="1" x14ac:dyDescent="0.2">
      <c r="A2810" s="25"/>
      <c r="B2810" s="20">
        <v>39071955102</v>
      </c>
      <c r="C2810" s="20">
        <v>9551.02</v>
      </c>
      <c r="D2810" s="20" t="s">
        <v>42</v>
      </c>
      <c r="E2810" s="20" t="s">
        <v>265</v>
      </c>
      <c r="F2810" s="20" t="s">
        <v>8</v>
      </c>
      <c r="G2810" s="861">
        <v>30.135302237813299</v>
      </c>
      <c r="H2810" s="861">
        <v>39.834901851746203</v>
      </c>
      <c r="I2810" s="861">
        <v>21.145810306539101</v>
      </c>
      <c r="J2810" s="861">
        <v>51.989093674782403</v>
      </c>
      <c r="K2810" s="982">
        <v>0</v>
      </c>
      <c r="L2810" s="735" t="s">
        <v>2466</v>
      </c>
      <c r="M2810" s="735">
        <v>2486</v>
      </c>
      <c r="N2810" s="845" t="str">
        <f t="shared" si="200"/>
        <v/>
      </c>
      <c r="O2810" s="735">
        <v>83.943062580314319</v>
      </c>
      <c r="P2810" s="735">
        <f t="shared" si="201"/>
        <v>29.615312136383711</v>
      </c>
      <c r="Q2810" s="849">
        <v>39.6</v>
      </c>
      <c r="R2810" s="71">
        <v>63552</v>
      </c>
      <c r="S2810" s="845">
        <v>0.10297666934835076</v>
      </c>
      <c r="T2810" s="845">
        <v>0.11800000000000001</v>
      </c>
      <c r="U2810" s="845">
        <v>4.0999999999999995E-2</v>
      </c>
      <c r="V2810" s="845">
        <v>0</v>
      </c>
      <c r="W2810" s="845">
        <v>0.16616915422885573</v>
      </c>
      <c r="X2810" s="845">
        <v>0.76047904191616766</v>
      </c>
      <c r="Y2810" s="845">
        <v>0.88817377312952539</v>
      </c>
      <c r="Z2810" s="845">
        <v>1.6492357200321803E-2</v>
      </c>
      <c r="AA2810" s="845">
        <v>0</v>
      </c>
      <c r="AB2810" s="845">
        <v>0</v>
      </c>
      <c r="AC2810" s="845">
        <v>0</v>
      </c>
      <c r="AD2810" s="845">
        <v>0</v>
      </c>
      <c r="AE2810" s="845">
        <v>9.5333869670152852E-2</v>
      </c>
      <c r="AF2810" s="845">
        <v>4.0225261464199515E-4</v>
      </c>
      <c r="AG2810" s="845">
        <v>0.88817377312952539</v>
      </c>
      <c r="AH2810" s="20" t="str">
        <f t="shared" si="202"/>
        <v>No</v>
      </c>
      <c r="AI2810" s="25"/>
      <c r="AJ2810" s="25"/>
      <c r="AK2810" s="25"/>
      <c r="AL2810" s="25"/>
      <c r="AM2810" s="25"/>
      <c r="AN2810" s="25"/>
      <c r="AO2810" s="25"/>
      <c r="AP2810" s="25"/>
      <c r="AQ2810" s="25"/>
      <c r="AR2810" s="25"/>
      <c r="AS2810" s="25"/>
      <c r="AT2810" s="25"/>
      <c r="AU2810" s="36"/>
      <c r="AV2810" s="36"/>
      <c r="AW2810" s="36"/>
      <c r="AX2810" s="25"/>
      <c r="AY2810" s="25"/>
      <c r="AZ2810" s="25"/>
      <c r="BA2810" s="25"/>
      <c r="BB2810" s="25"/>
      <c r="BC2810" s="25"/>
      <c r="BD2810" s="25"/>
      <c r="BE2810" s="25"/>
      <c r="BF2810" s="25"/>
      <c r="BG2810" s="25"/>
      <c r="BH2810" s="25"/>
      <c r="BI2810" s="25"/>
      <c r="BJ2810" s="25"/>
      <c r="BK2810" s="25"/>
      <c r="BL2810" s="25"/>
      <c r="BM2810" s="25"/>
      <c r="BN2810" s="25"/>
      <c r="BO2810" s="25"/>
      <c r="BP2810" s="25"/>
      <c r="BQ2810" s="25"/>
      <c r="BR2810" s="25"/>
      <c r="BS2810" s="25"/>
      <c r="BT2810" s="25"/>
      <c r="BU2810"/>
      <c r="BV2810"/>
      <c r="BW2810"/>
      <c r="BX2810"/>
      <c r="BY2810"/>
      <c r="BZ2810"/>
      <c r="CA2810"/>
      <c r="CB2810"/>
      <c r="CC2810"/>
      <c r="CD2810" s="25"/>
    </row>
    <row r="2811" spans="1:82" s="17" customFormat="1" x14ac:dyDescent="0.2">
      <c r="A2811" s="25"/>
      <c r="B2811" s="20">
        <v>39085205701</v>
      </c>
      <c r="C2811" s="20">
        <v>2057.0100000000002</v>
      </c>
      <c r="D2811" s="20" t="s">
        <v>48</v>
      </c>
      <c r="E2811" s="20" t="s">
        <v>2829</v>
      </c>
      <c r="F2811" s="20" t="s">
        <v>8</v>
      </c>
      <c r="G2811" s="861">
        <v>30.078832417842399</v>
      </c>
      <c r="H2811" s="861">
        <v>47.2088598769406</v>
      </c>
      <c r="I2811" s="861">
        <v>40.0563875110103</v>
      </c>
      <c r="J2811" s="861">
        <v>36.846846732150802</v>
      </c>
      <c r="K2811" s="982">
        <v>0</v>
      </c>
      <c r="L2811" s="735">
        <v>4695</v>
      </c>
      <c r="M2811" s="735">
        <v>4878</v>
      </c>
      <c r="N2811" s="845">
        <f t="shared" si="200"/>
        <v>3.8977635782747606E-2</v>
      </c>
      <c r="O2811" s="735">
        <v>6.7258849307999338</v>
      </c>
      <c r="P2811" s="735">
        <f t="shared" si="201"/>
        <v>725.25772447609233</v>
      </c>
      <c r="Q2811" s="849">
        <v>48.2</v>
      </c>
      <c r="R2811" s="71">
        <v>58242</v>
      </c>
      <c r="S2811" s="845">
        <v>8.8052914427449364E-2</v>
      </c>
      <c r="T2811" s="845">
        <v>3.5000000000000003E-2</v>
      </c>
      <c r="U2811" s="845">
        <v>0</v>
      </c>
      <c r="V2811" s="845">
        <v>0</v>
      </c>
      <c r="W2811" s="845">
        <v>0.17576628352490423</v>
      </c>
      <c r="X2811" s="845">
        <v>0.21798365122615804</v>
      </c>
      <c r="Y2811" s="845">
        <v>0.9460844608446084</v>
      </c>
      <c r="Z2811" s="845">
        <v>8.8150881508815091E-3</v>
      </c>
      <c r="AA2811" s="845">
        <v>0</v>
      </c>
      <c r="AB2811" s="845">
        <v>0</v>
      </c>
      <c r="AC2811" s="845">
        <v>0</v>
      </c>
      <c r="AD2811" s="845">
        <v>2.0500205002050019E-4</v>
      </c>
      <c r="AE2811" s="845">
        <v>4.4895448954489547E-2</v>
      </c>
      <c r="AF2811" s="845">
        <v>1.8655186551865519E-2</v>
      </c>
      <c r="AG2811" s="845">
        <v>0.92763427634276341</v>
      </c>
      <c r="AH2811" s="20" t="str">
        <f t="shared" si="202"/>
        <v>Yes</v>
      </c>
      <c r="AI2811" s="25"/>
      <c r="AJ2811" s="25"/>
      <c r="AK2811" s="25"/>
      <c r="AL2811" s="25"/>
      <c r="AM2811" s="25"/>
      <c r="AN2811" s="25"/>
      <c r="AO2811" s="25"/>
      <c r="AP2811" s="25"/>
      <c r="AQ2811" s="25"/>
      <c r="AR2811" s="25"/>
      <c r="AS2811" s="25"/>
      <c r="AT2811" s="25"/>
      <c r="AU2811" s="36"/>
      <c r="AV2811" s="36"/>
      <c r="AW2811" s="36"/>
      <c r="AX2811" s="25"/>
      <c r="AY2811" s="25"/>
      <c r="AZ2811" s="25"/>
      <c r="BA2811" s="25"/>
      <c r="BB2811" s="25"/>
      <c r="BC2811" s="25"/>
      <c r="BD2811" s="25"/>
      <c r="BE2811" s="25"/>
      <c r="BF2811" s="25"/>
      <c r="BG2811" s="25"/>
      <c r="BH2811" s="25"/>
      <c r="BI2811" s="25"/>
      <c r="BJ2811" s="25"/>
      <c r="BK2811" s="25"/>
      <c r="BL2811" s="25"/>
      <c r="BM2811" s="25"/>
      <c r="BN2811" s="25"/>
      <c r="BO2811" s="25"/>
      <c r="BP2811" s="25"/>
      <c r="BQ2811" s="25"/>
      <c r="BR2811" s="25"/>
      <c r="BS2811" s="25"/>
      <c r="BT2811" s="25"/>
      <c r="BU2811"/>
      <c r="BV2811"/>
      <c r="BW2811"/>
      <c r="BX2811"/>
      <c r="BY2811"/>
      <c r="BZ2811"/>
      <c r="CA2811"/>
      <c r="CB2811"/>
      <c r="CC2811"/>
      <c r="CD2811" s="25"/>
    </row>
    <row r="2812" spans="1:82" s="17" customFormat="1" x14ac:dyDescent="0.2">
      <c r="A2812" s="25"/>
      <c r="B2812" s="20">
        <v>39035101700</v>
      </c>
      <c r="C2812" s="20">
        <v>1017</v>
      </c>
      <c r="D2812" s="20" t="s">
        <v>24</v>
      </c>
      <c r="E2812" s="20" t="s">
        <v>2829</v>
      </c>
      <c r="F2812" s="20" t="s">
        <v>6</v>
      </c>
      <c r="G2812" s="861">
        <v>30.0725372394886</v>
      </c>
      <c r="H2812" s="861">
        <v>53.874207620442</v>
      </c>
      <c r="I2812" s="861">
        <v>78.361470325031206</v>
      </c>
      <c r="J2812" s="861">
        <v>35.708860548270501</v>
      </c>
      <c r="K2812" s="982">
        <v>0</v>
      </c>
      <c r="L2812" s="735">
        <v>2560</v>
      </c>
      <c r="M2812" s="735">
        <v>2923</v>
      </c>
      <c r="N2812" s="845">
        <f t="shared" si="200"/>
        <v>0.14179687499999999</v>
      </c>
      <c r="O2812" s="735">
        <v>0.27198657680324256</v>
      </c>
      <c r="P2812" s="735">
        <f t="shared" si="201"/>
        <v>10746.853886522949</v>
      </c>
      <c r="Q2812" s="849">
        <v>27.2</v>
      </c>
      <c r="R2812" s="71"/>
      <c r="S2812" s="845">
        <v>0.41703729045501198</v>
      </c>
      <c r="T2812" s="845">
        <v>0.17899999999999999</v>
      </c>
      <c r="U2812" s="845">
        <v>0</v>
      </c>
      <c r="V2812" s="845">
        <v>0</v>
      </c>
      <c r="W2812" s="845">
        <v>0.80851063829787229</v>
      </c>
      <c r="X2812" s="845">
        <v>0.30943738656987296</v>
      </c>
      <c r="Y2812" s="845">
        <v>0.30995552514539854</v>
      </c>
      <c r="Z2812" s="845">
        <v>0.3715360930550804</v>
      </c>
      <c r="AA2812" s="845">
        <v>8.5528566541224777E-3</v>
      </c>
      <c r="AB2812" s="845">
        <v>0</v>
      </c>
      <c r="AC2812" s="845">
        <v>0</v>
      </c>
      <c r="AD2812" s="845">
        <v>6.0554225111187139E-2</v>
      </c>
      <c r="AE2812" s="845">
        <v>0.24940130003421143</v>
      </c>
      <c r="AF2812" s="845">
        <v>0.30995552514539854</v>
      </c>
      <c r="AG2812" s="845">
        <v>0.30242901128977079</v>
      </c>
      <c r="AH2812" s="20" t="str">
        <f t="shared" si="202"/>
        <v>No</v>
      </c>
      <c r="AI2812" s="25"/>
      <c r="AJ2812" s="25"/>
      <c r="AK2812" s="25"/>
      <c r="AL2812" s="25"/>
      <c r="AM2812" s="25"/>
      <c r="AN2812" s="25"/>
      <c r="AO2812" s="25"/>
      <c r="AP2812" s="25"/>
      <c r="AQ2812" s="25"/>
      <c r="AR2812" s="25"/>
      <c r="AS2812" s="25"/>
      <c r="AT2812" s="25"/>
      <c r="AU2812" s="36"/>
      <c r="AV2812" s="36"/>
      <c r="AW2812" s="36"/>
      <c r="AX2812" s="25"/>
      <c r="AY2812" s="25"/>
      <c r="AZ2812" s="25"/>
      <c r="BA2812" s="25"/>
      <c r="BB2812" s="25"/>
      <c r="BC2812" s="25"/>
      <c r="BD2812" s="25"/>
      <c r="BE2812" s="25"/>
      <c r="BF2812" s="25"/>
      <c r="BG2812" s="25"/>
      <c r="BH2812" s="25"/>
      <c r="BI2812" s="25"/>
      <c r="BJ2812" s="25"/>
      <c r="BK2812" s="25"/>
      <c r="BL2812" s="25"/>
      <c r="BM2812" s="25"/>
      <c r="BN2812" s="25"/>
      <c r="BO2812" s="25"/>
      <c r="BP2812" s="25"/>
      <c r="BQ2812" s="25"/>
      <c r="BR2812" s="25"/>
      <c r="BS2812" s="25"/>
      <c r="BT2812" s="25"/>
      <c r="BU2812"/>
      <c r="BV2812"/>
      <c r="BW2812"/>
      <c r="BX2812"/>
      <c r="BY2812"/>
      <c r="BZ2812"/>
      <c r="CA2812"/>
      <c r="CB2812"/>
      <c r="CC2812"/>
      <c r="CD2812" s="25"/>
    </row>
    <row r="2813" spans="1:82" s="17" customFormat="1" x14ac:dyDescent="0.2">
      <c r="A2813" s="25"/>
      <c r="B2813" s="20">
        <v>39095005502</v>
      </c>
      <c r="C2813" s="20">
        <v>55.02</v>
      </c>
      <c r="D2813" s="20" t="s">
        <v>53</v>
      </c>
      <c r="E2813" s="20" t="s">
        <v>2839</v>
      </c>
      <c r="F2813" s="20" t="s">
        <v>8</v>
      </c>
      <c r="G2813" s="861">
        <v>29.8954420172265</v>
      </c>
      <c r="H2813" s="861">
        <v>38.581284233202801</v>
      </c>
      <c r="I2813" s="861">
        <v>20.948556467231899</v>
      </c>
      <c r="J2813" s="861">
        <v>33.5605586174227</v>
      </c>
      <c r="K2813" s="982">
        <v>0</v>
      </c>
      <c r="L2813" s="735">
        <v>3268</v>
      </c>
      <c r="M2813" s="735">
        <v>3382</v>
      </c>
      <c r="N2813" s="845">
        <f t="shared" si="200"/>
        <v>3.4883720930232558E-2</v>
      </c>
      <c r="O2813" s="735">
        <v>0.77505336501332434</v>
      </c>
      <c r="P2813" s="735">
        <f t="shared" si="201"/>
        <v>4363.5705006478593</v>
      </c>
      <c r="Q2813" s="849">
        <v>40.1</v>
      </c>
      <c r="R2813" s="71">
        <v>59980</v>
      </c>
      <c r="S2813" s="845">
        <v>0.19224947017862548</v>
      </c>
      <c r="T2813" s="845">
        <v>8.6999999999999994E-2</v>
      </c>
      <c r="U2813" s="845">
        <v>0</v>
      </c>
      <c r="V2813" s="845">
        <v>5.7000000000000002E-2</v>
      </c>
      <c r="W2813" s="845">
        <v>0.28240740740740738</v>
      </c>
      <c r="X2813" s="845">
        <v>0.14285714285714285</v>
      </c>
      <c r="Y2813" s="845">
        <v>0.86635127143701951</v>
      </c>
      <c r="Z2813" s="845">
        <v>2.3654642223536371E-3</v>
      </c>
      <c r="AA2813" s="845">
        <v>0</v>
      </c>
      <c r="AB2813" s="845">
        <v>0</v>
      </c>
      <c r="AC2813" s="845">
        <v>0</v>
      </c>
      <c r="AD2813" s="845">
        <v>8.9591957421643997E-2</v>
      </c>
      <c r="AE2813" s="845">
        <v>4.1691306918982853E-2</v>
      </c>
      <c r="AF2813" s="845">
        <v>0.12152572442341809</v>
      </c>
      <c r="AG2813" s="845">
        <v>0.84003548196333533</v>
      </c>
      <c r="AH2813" s="20" t="str">
        <f t="shared" si="202"/>
        <v>No</v>
      </c>
      <c r="AI2813" s="25"/>
      <c r="AJ2813" s="25"/>
      <c r="AK2813" s="25"/>
      <c r="AL2813" s="25"/>
      <c r="AM2813" s="25"/>
      <c r="AN2813" s="25"/>
      <c r="AO2813" s="25"/>
      <c r="AP2813" s="25"/>
      <c r="AQ2813" s="25"/>
      <c r="AR2813" s="25"/>
      <c r="AS2813" s="25"/>
      <c r="AT2813" s="25"/>
      <c r="AU2813" s="36"/>
      <c r="AV2813" s="36"/>
      <c r="AW2813" s="36"/>
      <c r="AX2813" s="25"/>
      <c r="AY2813" s="25"/>
      <c r="AZ2813" s="25"/>
      <c r="BA2813" s="25"/>
      <c r="BB2813" s="25"/>
      <c r="BC2813" s="25"/>
      <c r="BD2813" s="25"/>
      <c r="BE2813" s="25"/>
      <c r="BF2813" s="25"/>
      <c r="BG2813" s="25"/>
      <c r="BH2813" s="25"/>
      <c r="BI2813" s="25"/>
      <c r="BJ2813" s="25"/>
      <c r="BK2813" s="25"/>
      <c r="BL2813" s="25"/>
      <c r="BM2813" s="25"/>
      <c r="BN2813" s="25"/>
      <c r="BO2813" s="25"/>
      <c r="BP2813" s="25"/>
      <c r="BQ2813" s="25"/>
      <c r="BR2813" s="25"/>
      <c r="BS2813" s="25"/>
      <c r="BT2813" s="25"/>
      <c r="BU2813"/>
      <c r="BV2813"/>
      <c r="BW2813"/>
      <c r="BX2813"/>
      <c r="BY2813"/>
      <c r="BZ2813"/>
      <c r="CA2813"/>
      <c r="CB2813"/>
      <c r="CC2813"/>
      <c r="CD2813" s="25"/>
    </row>
    <row r="2814" spans="1:82" s="17" customFormat="1" x14ac:dyDescent="0.2">
      <c r="A2814" s="25"/>
      <c r="B2814" s="20">
        <v>39071955101</v>
      </c>
      <c r="C2814" s="20">
        <v>9551.01</v>
      </c>
      <c r="D2814" s="20" t="s">
        <v>42</v>
      </c>
      <c r="E2814" s="20" t="s">
        <v>265</v>
      </c>
      <c r="F2814" s="20" t="s">
        <v>8</v>
      </c>
      <c r="G2814" s="861">
        <v>29.885340107244598</v>
      </c>
      <c r="H2814" s="861">
        <v>36.063709079619898</v>
      </c>
      <c r="I2814" s="861">
        <v>26.049224882080399</v>
      </c>
      <c r="J2814" s="861">
        <v>54.317632952089497</v>
      </c>
      <c r="K2814" s="982">
        <v>0</v>
      </c>
      <c r="L2814" s="735" t="s">
        <v>2466</v>
      </c>
      <c r="M2814" s="735">
        <v>3962</v>
      </c>
      <c r="N2814" s="845" t="str">
        <f t="shared" si="200"/>
        <v/>
      </c>
      <c r="O2814" s="735">
        <v>69.720161765530264</v>
      </c>
      <c r="P2814" s="735">
        <f t="shared" si="201"/>
        <v>56.827177385563921</v>
      </c>
      <c r="Q2814" s="849">
        <v>42.8</v>
      </c>
      <c r="R2814" s="71">
        <v>57367</v>
      </c>
      <c r="S2814" s="845">
        <v>0.22081539630286148</v>
      </c>
      <c r="T2814" s="845">
        <v>5.0000000000000001E-3</v>
      </c>
      <c r="U2814" s="845">
        <v>0</v>
      </c>
      <c r="V2814" s="845">
        <v>0</v>
      </c>
      <c r="W2814" s="845">
        <v>0.24758620689655172</v>
      </c>
      <c r="X2814" s="845">
        <v>0.57381615598885793</v>
      </c>
      <c r="Y2814" s="845">
        <v>0.9919232710752145</v>
      </c>
      <c r="Z2814" s="845">
        <v>2.5239777889954568E-4</v>
      </c>
      <c r="AA2814" s="845">
        <v>0</v>
      </c>
      <c r="AB2814" s="845">
        <v>0</v>
      </c>
      <c r="AC2814" s="845">
        <v>0</v>
      </c>
      <c r="AD2814" s="845">
        <v>0</v>
      </c>
      <c r="AE2814" s="845">
        <v>7.8243311458859165E-3</v>
      </c>
      <c r="AF2814" s="845">
        <v>4.7955577990913684E-3</v>
      </c>
      <c r="AG2814" s="845">
        <v>0.9919232710752145</v>
      </c>
      <c r="AH2814" s="20" t="str">
        <f t="shared" si="202"/>
        <v>Yes</v>
      </c>
      <c r="AI2814" s="25"/>
      <c r="AJ2814" s="25"/>
      <c r="AK2814" s="25"/>
      <c r="AL2814" s="25"/>
      <c r="AM2814" s="25"/>
      <c r="AN2814" s="25"/>
      <c r="AO2814" s="25"/>
      <c r="AP2814" s="25"/>
      <c r="AQ2814" s="25"/>
      <c r="AR2814" s="25"/>
      <c r="AS2814" s="25"/>
      <c r="AT2814" s="25"/>
      <c r="AU2814" s="36"/>
      <c r="AV2814" s="36"/>
      <c r="AW2814" s="36"/>
      <c r="AX2814" s="25"/>
      <c r="AY2814" s="25"/>
      <c r="AZ2814" s="25"/>
      <c r="BA2814" s="25"/>
      <c r="BB2814" s="25"/>
      <c r="BC2814" s="25"/>
      <c r="BD2814" s="25"/>
      <c r="BE2814" s="25"/>
      <c r="BF2814" s="25"/>
      <c r="BG2814" s="25"/>
      <c r="BH2814" s="25"/>
      <c r="BI2814" s="25"/>
      <c r="BJ2814" s="25"/>
      <c r="BK2814" s="25"/>
      <c r="BL2814" s="25"/>
      <c r="BM2814" s="25"/>
      <c r="BN2814" s="25"/>
      <c r="BO2814" s="25"/>
      <c r="BP2814" s="25"/>
      <c r="BQ2814" s="25"/>
      <c r="BR2814" s="25"/>
      <c r="BS2814" s="25"/>
      <c r="BT2814" s="25"/>
      <c r="BU2814"/>
      <c r="BV2814"/>
      <c r="BW2814"/>
      <c r="BX2814"/>
      <c r="BY2814"/>
      <c r="BZ2814"/>
      <c r="CA2814"/>
      <c r="CB2814"/>
      <c r="CC2814"/>
      <c r="CD2814" s="25"/>
    </row>
    <row r="2815" spans="1:82" s="17" customFormat="1" x14ac:dyDescent="0.2">
      <c r="A2815" s="25"/>
      <c r="B2815" s="20">
        <v>39081012100</v>
      </c>
      <c r="C2815" s="20">
        <v>121</v>
      </c>
      <c r="D2815" s="20" t="s">
        <v>47</v>
      </c>
      <c r="E2815" s="20" t="s">
        <v>2840</v>
      </c>
      <c r="F2815" s="20" t="s">
        <v>8</v>
      </c>
      <c r="G2815" s="861">
        <v>29.864013729195701</v>
      </c>
      <c r="H2815" s="861">
        <v>31.7270139118122</v>
      </c>
      <c r="I2815" s="861">
        <v>26.2528047373299</v>
      </c>
      <c r="J2815" s="861">
        <v>46.2890988174494</v>
      </c>
      <c r="K2815" s="982">
        <v>0</v>
      </c>
      <c r="L2815" s="735">
        <v>2939</v>
      </c>
      <c r="M2815" s="735">
        <v>2664</v>
      </c>
      <c r="N2815" s="845">
        <f t="shared" si="200"/>
        <v>-9.3569241238516496E-2</v>
      </c>
      <c r="O2815" s="735">
        <v>34.708393699923207</v>
      </c>
      <c r="P2815" s="735">
        <f t="shared" si="201"/>
        <v>76.753768066365282</v>
      </c>
      <c r="Q2815" s="849">
        <v>48</v>
      </c>
      <c r="R2815" s="71">
        <v>54667</v>
      </c>
      <c r="S2815" s="845">
        <v>0.12969283276450511</v>
      </c>
      <c r="T2815" s="845">
        <v>0.06</v>
      </c>
      <c r="U2815" s="845">
        <v>0</v>
      </c>
      <c r="V2815" s="845">
        <v>3.4000000000000002E-2</v>
      </c>
      <c r="W2815" s="845">
        <v>0.10646387832699619</v>
      </c>
      <c r="X2815" s="845">
        <v>0.42857142857142855</v>
      </c>
      <c r="Y2815" s="845">
        <v>0.9572072072072072</v>
      </c>
      <c r="Z2815" s="845">
        <v>5.6306306306306304E-3</v>
      </c>
      <c r="AA2815" s="845">
        <v>0</v>
      </c>
      <c r="AB2815" s="845">
        <v>0</v>
      </c>
      <c r="AC2815" s="845">
        <v>0</v>
      </c>
      <c r="AD2815" s="845">
        <v>3.7537537537537537E-4</v>
      </c>
      <c r="AE2815" s="845">
        <v>3.6786786786786783E-2</v>
      </c>
      <c r="AF2815" s="845">
        <v>1.3513513513513514E-2</v>
      </c>
      <c r="AG2815" s="845">
        <v>0.9572072072072072</v>
      </c>
      <c r="AH2815" s="20" t="str">
        <f t="shared" si="202"/>
        <v>Yes</v>
      </c>
      <c r="AI2815" s="25"/>
      <c r="AJ2815" s="25"/>
      <c r="AK2815" s="25"/>
      <c r="AL2815" s="25"/>
      <c r="AM2815" s="25"/>
      <c r="AN2815" s="25"/>
      <c r="AO2815" s="25"/>
      <c r="AP2815" s="25"/>
      <c r="AQ2815" s="25"/>
      <c r="AR2815" s="25"/>
      <c r="AS2815" s="25"/>
      <c r="AT2815" s="25"/>
      <c r="AU2815" s="36"/>
      <c r="AV2815" s="36"/>
      <c r="AW2815" s="36"/>
      <c r="AX2815" s="25"/>
      <c r="AY2815" s="25"/>
      <c r="AZ2815" s="25"/>
      <c r="BA2815" s="25"/>
      <c r="BB2815" s="25"/>
      <c r="BC2815" s="25"/>
      <c r="BD2815" s="25"/>
      <c r="BE2815" s="25"/>
      <c r="BF2815" s="25"/>
      <c r="BG2815" s="25"/>
      <c r="BH2815" s="25"/>
      <c r="BI2815" s="25"/>
      <c r="BJ2815" s="25"/>
      <c r="BK2815" s="25"/>
      <c r="BL2815" s="25"/>
      <c r="BM2815" s="25"/>
      <c r="BN2815" s="25"/>
      <c r="BO2815" s="25"/>
      <c r="BP2815" s="25"/>
      <c r="BQ2815" s="25"/>
      <c r="BR2815" s="25"/>
      <c r="BS2815" s="25"/>
      <c r="BT2815" s="25"/>
      <c r="BU2815"/>
      <c r="BV2815"/>
      <c r="BW2815"/>
      <c r="BX2815"/>
      <c r="BY2815"/>
      <c r="BZ2815"/>
      <c r="CA2815"/>
      <c r="CB2815"/>
      <c r="CC2815"/>
      <c r="CD2815" s="25"/>
    </row>
    <row r="2816" spans="1:82" s="17" customFormat="1" x14ac:dyDescent="0.2">
      <c r="A2816" s="25"/>
      <c r="B2816" s="20">
        <v>39007000103</v>
      </c>
      <c r="C2816" s="20">
        <v>1.03</v>
      </c>
      <c r="D2816" s="20" t="s">
        <v>10</v>
      </c>
      <c r="E2816" s="20" t="s">
        <v>2829</v>
      </c>
      <c r="F2816" s="20" t="s">
        <v>6</v>
      </c>
      <c r="G2816" s="861">
        <v>29.819853008608</v>
      </c>
      <c r="H2816" s="861">
        <v>30.5620186020837</v>
      </c>
      <c r="I2816" s="861">
        <v>56.3780324030987</v>
      </c>
      <c r="J2816" s="861">
        <v>22.085927410944201</v>
      </c>
      <c r="K2816" s="982">
        <v>0</v>
      </c>
      <c r="L2816" s="735">
        <v>3729</v>
      </c>
      <c r="M2816" s="735">
        <v>3426</v>
      </c>
      <c r="N2816" s="845">
        <f t="shared" si="200"/>
        <v>-8.1255028157683026E-2</v>
      </c>
      <c r="O2816" s="735">
        <v>1.3853075178789143</v>
      </c>
      <c r="P2816" s="735">
        <f t="shared" si="201"/>
        <v>2473.097096336885</v>
      </c>
      <c r="Q2816" s="849">
        <v>33.200000000000003</v>
      </c>
      <c r="R2816" s="71">
        <v>38803</v>
      </c>
      <c r="S2816" s="845">
        <v>0.38254247217340365</v>
      </c>
      <c r="T2816" s="845">
        <v>0.16600000000000001</v>
      </c>
      <c r="U2816" s="845">
        <v>0.109</v>
      </c>
      <c r="V2816" s="845">
        <v>0</v>
      </c>
      <c r="W2816" s="845">
        <v>0.50991917707567969</v>
      </c>
      <c r="X2816" s="845">
        <v>0.51152737752161381</v>
      </c>
      <c r="Y2816" s="845">
        <v>0.94979568009340343</v>
      </c>
      <c r="Z2816" s="845">
        <v>0</v>
      </c>
      <c r="AA2816" s="845">
        <v>0</v>
      </c>
      <c r="AB2816" s="845">
        <v>0</v>
      </c>
      <c r="AC2816" s="845">
        <v>0</v>
      </c>
      <c r="AD2816" s="845">
        <v>0</v>
      </c>
      <c r="AE2816" s="845">
        <v>5.0204319906596614E-2</v>
      </c>
      <c r="AF2816" s="845">
        <v>4.9620548744892003E-3</v>
      </c>
      <c r="AG2816" s="845">
        <v>0.94629305312317569</v>
      </c>
      <c r="AH2816" s="20" t="str">
        <f t="shared" si="202"/>
        <v>Yes</v>
      </c>
      <c r="AI2816" s="25"/>
      <c r="AJ2816" s="25"/>
      <c r="AK2816" s="25"/>
      <c r="AL2816" s="25"/>
      <c r="AM2816" s="25"/>
      <c r="AN2816" s="25"/>
      <c r="AO2816" s="25"/>
      <c r="AP2816" s="25"/>
      <c r="AQ2816" s="25"/>
      <c r="AR2816" s="25"/>
      <c r="AS2816" s="25"/>
      <c r="AT2816" s="25"/>
      <c r="AU2816" s="36"/>
      <c r="AV2816" s="36"/>
      <c r="AW2816" s="36"/>
      <c r="AX2816" s="25"/>
      <c r="AY2816" s="25"/>
      <c r="AZ2816" s="25"/>
      <c r="BA2816" s="25"/>
      <c r="BB2816" s="25"/>
      <c r="BC2816" s="25"/>
      <c r="BD2816" s="25"/>
      <c r="BE2816" s="25"/>
      <c r="BF2816" s="25"/>
      <c r="BG2816" s="25"/>
      <c r="BH2816" s="25"/>
      <c r="BI2816" s="25"/>
      <c r="BJ2816" s="25"/>
      <c r="BK2816" s="25"/>
      <c r="BL2816" s="25"/>
      <c r="BM2816" s="25"/>
      <c r="BN2816" s="25"/>
      <c r="BO2816" s="25"/>
      <c r="BP2816" s="25"/>
      <c r="BQ2816" s="25"/>
      <c r="BR2816" s="25"/>
      <c r="BS2816" s="25"/>
      <c r="BT2816" s="25"/>
      <c r="BU2816"/>
      <c r="BV2816"/>
      <c r="BW2816"/>
      <c r="BX2816"/>
      <c r="BY2816"/>
      <c r="BZ2816"/>
      <c r="CA2816"/>
      <c r="CB2816"/>
      <c r="CC2816"/>
      <c r="CD2816" s="25"/>
    </row>
    <row r="2817" spans="1:82" s="17" customFormat="1" x14ac:dyDescent="0.2">
      <c r="A2817" s="25"/>
      <c r="B2817" s="20">
        <v>39095008702</v>
      </c>
      <c r="C2817" s="20">
        <v>87.02</v>
      </c>
      <c r="D2817" s="20" t="s">
        <v>53</v>
      </c>
      <c r="E2817" s="20" t="s">
        <v>2839</v>
      </c>
      <c r="F2817" s="20" t="s">
        <v>8</v>
      </c>
      <c r="G2817" s="861">
        <v>29.781129797729601</v>
      </c>
      <c r="H2817" s="861">
        <v>44.303128190011101</v>
      </c>
      <c r="I2817" s="861">
        <v>39.381014040492801</v>
      </c>
      <c r="J2817" s="861">
        <v>25.3328773067112</v>
      </c>
      <c r="K2817" s="982">
        <v>0</v>
      </c>
      <c r="L2817" s="735" t="s">
        <v>2466</v>
      </c>
      <c r="M2817" s="735">
        <v>2382</v>
      </c>
      <c r="N2817" s="845" t="str">
        <f t="shared" si="200"/>
        <v/>
      </c>
      <c r="O2817" s="735">
        <v>0.99915671041439647</v>
      </c>
      <c r="P2817" s="735">
        <f t="shared" si="201"/>
        <v>2384.0104111516948</v>
      </c>
      <c r="Q2817" s="849">
        <v>30.2</v>
      </c>
      <c r="R2817" s="71">
        <v>59814</v>
      </c>
      <c r="S2817" s="845">
        <v>0.20109151973131822</v>
      </c>
      <c r="T2817" s="845">
        <v>4.8000000000000001E-2</v>
      </c>
      <c r="U2817" s="845">
        <v>0</v>
      </c>
      <c r="V2817" s="845">
        <v>0</v>
      </c>
      <c r="W2817" s="845">
        <v>0.22002472187886279</v>
      </c>
      <c r="X2817" s="845">
        <v>0.7808988764044944</v>
      </c>
      <c r="Y2817" s="845">
        <v>0.76406381192275397</v>
      </c>
      <c r="Z2817" s="845">
        <v>0.14483627204030228</v>
      </c>
      <c r="AA2817" s="845">
        <v>0</v>
      </c>
      <c r="AB2817" s="845">
        <v>1.5533165407220823E-2</v>
      </c>
      <c r="AC2817" s="845">
        <v>0</v>
      </c>
      <c r="AD2817" s="845">
        <v>1.6792611251049538E-3</v>
      </c>
      <c r="AE2817" s="845">
        <v>7.3887489504617973E-2</v>
      </c>
      <c r="AF2817" s="845">
        <v>0.16834592779177163</v>
      </c>
      <c r="AG2817" s="845">
        <v>0.61376994122586059</v>
      </c>
      <c r="AH2817" s="20" t="str">
        <f t="shared" si="202"/>
        <v>No</v>
      </c>
      <c r="AI2817" s="25"/>
      <c r="AJ2817" s="25"/>
      <c r="AK2817" s="25"/>
      <c r="AL2817" s="25"/>
      <c r="AM2817" s="25"/>
      <c r="AN2817" s="25"/>
      <c r="AO2817" s="25"/>
      <c r="AP2817" s="25"/>
      <c r="AQ2817" s="25"/>
      <c r="AR2817" s="25"/>
      <c r="AS2817" s="25"/>
      <c r="AT2817" s="25"/>
      <c r="AU2817" s="36"/>
      <c r="AV2817" s="36"/>
      <c r="AW2817" s="36"/>
      <c r="AX2817" s="25"/>
      <c r="AY2817" s="25"/>
      <c r="AZ2817" s="25"/>
      <c r="BA2817" s="25"/>
      <c r="BB2817" s="25"/>
      <c r="BC2817" s="25"/>
      <c r="BD2817" s="25"/>
      <c r="BE2817" s="25"/>
      <c r="BF2817" s="25"/>
      <c r="BG2817" s="25"/>
      <c r="BH2817" s="25"/>
      <c r="BI2817" s="25"/>
      <c r="BJ2817" s="25"/>
      <c r="BK2817" s="25"/>
      <c r="BL2817" s="25"/>
      <c r="BM2817" s="25"/>
      <c r="BN2817" s="25"/>
      <c r="BO2817" s="25"/>
      <c r="BP2817" s="25"/>
      <c r="BQ2817" s="25"/>
      <c r="BR2817" s="25"/>
      <c r="BS2817" s="25"/>
      <c r="BT2817" s="25"/>
      <c r="BU2817"/>
      <c r="BV2817"/>
      <c r="BW2817"/>
      <c r="BX2817"/>
      <c r="BY2817"/>
      <c r="BZ2817"/>
      <c r="CA2817"/>
      <c r="CB2817"/>
      <c r="CC2817"/>
      <c r="CD2817" s="25"/>
    </row>
    <row r="2818" spans="1:82" s="17" customFormat="1" x14ac:dyDescent="0.2">
      <c r="A2818" s="25"/>
      <c r="B2818" s="20">
        <v>39153506500</v>
      </c>
      <c r="C2818" s="20">
        <v>5065</v>
      </c>
      <c r="D2818" s="20" t="s">
        <v>82</v>
      </c>
      <c r="E2818" s="20" t="s">
        <v>2843</v>
      </c>
      <c r="F2818" s="20" t="s">
        <v>6</v>
      </c>
      <c r="G2818" s="861">
        <v>29.715468374950198</v>
      </c>
      <c r="H2818" s="861">
        <v>32.448035021404699</v>
      </c>
      <c r="I2818" s="861">
        <v>72.276052047697604</v>
      </c>
      <c r="J2818" s="861">
        <v>30.522331883093401</v>
      </c>
      <c r="K2818" s="982">
        <v>0</v>
      </c>
      <c r="L2818" s="735">
        <v>2653</v>
      </c>
      <c r="M2818" s="735">
        <v>2552</v>
      </c>
      <c r="N2818" s="845">
        <f t="shared" si="200"/>
        <v>-3.8070109310214852E-2</v>
      </c>
      <c r="O2818" s="735">
        <v>0.44105685102932773</v>
      </c>
      <c r="P2818" s="735">
        <f t="shared" si="201"/>
        <v>5786.1021635741618</v>
      </c>
      <c r="Q2818" s="849">
        <v>30.8</v>
      </c>
      <c r="R2818" s="71">
        <v>26357</v>
      </c>
      <c r="S2818" s="845">
        <v>0.34482758620689657</v>
      </c>
      <c r="T2818" s="845">
        <v>2.7000000000000003E-2</v>
      </c>
      <c r="U2818" s="845">
        <v>0</v>
      </c>
      <c r="V2818" s="845">
        <v>0</v>
      </c>
      <c r="W2818" s="845">
        <v>0.67172897196261683</v>
      </c>
      <c r="X2818" s="845">
        <v>0.66086956521739126</v>
      </c>
      <c r="Y2818" s="845">
        <v>0.13009404388714735</v>
      </c>
      <c r="Z2818" s="845">
        <v>0.7390282131661442</v>
      </c>
      <c r="AA2818" s="845">
        <v>0</v>
      </c>
      <c r="AB2818" s="845">
        <v>0</v>
      </c>
      <c r="AC2818" s="845">
        <v>0</v>
      </c>
      <c r="AD2818" s="845">
        <v>9.0125391849529782E-3</v>
      </c>
      <c r="AE2818" s="845">
        <v>0.12186520376175548</v>
      </c>
      <c r="AF2818" s="845">
        <v>3.2131661442006271E-2</v>
      </c>
      <c r="AG2818" s="845">
        <v>0.13009404388714735</v>
      </c>
      <c r="AH2818" s="20" t="str">
        <f t="shared" si="202"/>
        <v>No</v>
      </c>
      <c r="AI2818" s="25"/>
      <c r="AJ2818" s="25"/>
      <c r="AK2818" s="25"/>
      <c r="AL2818" s="25"/>
      <c r="AM2818" s="25"/>
      <c r="AN2818" s="25"/>
      <c r="AO2818" s="25"/>
      <c r="AP2818" s="25"/>
      <c r="AQ2818" s="25"/>
      <c r="AR2818" s="25"/>
      <c r="AS2818" s="25"/>
      <c r="AT2818" s="25"/>
      <c r="AU2818" s="36"/>
      <c r="AV2818" s="36"/>
      <c r="AW2818" s="36"/>
      <c r="AX2818" s="25"/>
      <c r="AY2818" s="25"/>
      <c r="AZ2818" s="25"/>
      <c r="BA2818" s="25"/>
      <c r="BB2818" s="25"/>
      <c r="BC2818" s="25"/>
      <c r="BD2818" s="25"/>
      <c r="BE2818" s="25"/>
      <c r="BF2818" s="25"/>
      <c r="BG2818" s="25"/>
      <c r="BH2818" s="25"/>
      <c r="BI2818" s="25"/>
      <c r="BJ2818" s="25"/>
      <c r="BK2818" s="25"/>
      <c r="BL2818" s="25"/>
      <c r="BM2818" s="25"/>
      <c r="BN2818" s="25"/>
      <c r="BO2818" s="25"/>
      <c r="BP2818" s="25"/>
      <c r="BQ2818" s="25"/>
      <c r="BR2818" s="25"/>
      <c r="BS2818" s="25"/>
      <c r="BT2818" s="25"/>
      <c r="BU2818"/>
      <c r="BV2818"/>
      <c r="BW2818"/>
      <c r="BX2818"/>
      <c r="BY2818"/>
      <c r="BZ2818"/>
      <c r="CA2818"/>
      <c r="CB2818"/>
      <c r="CC2818"/>
      <c r="CD2818" s="25"/>
    </row>
    <row r="2819" spans="1:82" s="17" customFormat="1" x14ac:dyDescent="0.2">
      <c r="A2819" s="25"/>
      <c r="B2819" s="20">
        <v>39095000800</v>
      </c>
      <c r="C2819" s="20">
        <v>8</v>
      </c>
      <c r="D2819" s="20" t="s">
        <v>53</v>
      </c>
      <c r="E2819" s="20" t="s">
        <v>2839</v>
      </c>
      <c r="F2819" s="20" t="s">
        <v>6</v>
      </c>
      <c r="G2819" s="861">
        <v>29.7132575880064</v>
      </c>
      <c r="H2819" s="861">
        <v>35.969632813840498</v>
      </c>
      <c r="I2819" s="861">
        <v>75.907026072423093</v>
      </c>
      <c r="J2819" s="861">
        <v>43.519056453315699</v>
      </c>
      <c r="K2819" s="982">
        <v>0</v>
      </c>
      <c r="L2819" s="735">
        <v>1295</v>
      </c>
      <c r="M2819" s="735">
        <v>1304</v>
      </c>
      <c r="N2819" s="845">
        <f t="shared" si="200"/>
        <v>6.9498069498069494E-3</v>
      </c>
      <c r="O2819" s="735">
        <v>0.56463309401061312</v>
      </c>
      <c r="P2819" s="735">
        <f t="shared" si="201"/>
        <v>2309.4643474360173</v>
      </c>
      <c r="Q2819" s="849">
        <v>41.4</v>
      </c>
      <c r="R2819" s="71">
        <v>36667</v>
      </c>
      <c r="S2819" s="845">
        <v>0.23575331772053085</v>
      </c>
      <c r="T2819" s="845">
        <v>0.10099999999999999</v>
      </c>
      <c r="U2819" s="845">
        <v>0</v>
      </c>
      <c r="V2819" s="845">
        <v>0</v>
      </c>
      <c r="W2819" s="845">
        <v>0.34527687296416937</v>
      </c>
      <c r="X2819" s="845">
        <v>0.37264150943396224</v>
      </c>
      <c r="Y2819" s="845">
        <v>0.14263803680981596</v>
      </c>
      <c r="Z2819" s="845">
        <v>0.77990797546012269</v>
      </c>
      <c r="AA2819" s="845">
        <v>0</v>
      </c>
      <c r="AB2819" s="845">
        <v>0</v>
      </c>
      <c r="AC2819" s="845">
        <v>0</v>
      </c>
      <c r="AD2819" s="845">
        <v>1.3803680981595092E-2</v>
      </c>
      <c r="AE2819" s="845">
        <v>6.3650306748466251E-2</v>
      </c>
      <c r="AF2819" s="845">
        <v>1.6871165644171779E-2</v>
      </c>
      <c r="AG2819" s="845">
        <v>0.14263803680981596</v>
      </c>
      <c r="AH2819" s="20" t="str">
        <f t="shared" si="202"/>
        <v>No</v>
      </c>
      <c r="AI2819" s="25"/>
      <c r="AJ2819" s="25"/>
      <c r="AK2819" s="25"/>
      <c r="AL2819" s="25"/>
      <c r="AM2819" s="25"/>
      <c r="AN2819" s="25"/>
      <c r="AO2819" s="25"/>
      <c r="AP2819" s="25"/>
      <c r="AQ2819" s="25"/>
      <c r="AR2819" s="25"/>
      <c r="AS2819" s="25"/>
      <c r="AT2819" s="25"/>
      <c r="AU2819" s="36"/>
      <c r="AV2819" s="36"/>
      <c r="AW2819" s="36"/>
      <c r="AX2819" s="25"/>
      <c r="AY2819" s="25"/>
      <c r="AZ2819" s="25"/>
      <c r="BA2819" s="25"/>
      <c r="BB2819" s="25"/>
      <c r="BC2819" s="25"/>
      <c r="BD2819" s="25"/>
      <c r="BE2819" s="25"/>
      <c r="BF2819" s="25"/>
      <c r="BG2819" s="25"/>
      <c r="BH2819" s="25"/>
      <c r="BI2819" s="25"/>
      <c r="BJ2819" s="25"/>
      <c r="BK2819" s="25"/>
      <c r="BL2819" s="25"/>
      <c r="BM2819" s="25"/>
      <c r="BN2819" s="25"/>
      <c r="BO2819" s="25"/>
      <c r="BP2819" s="25"/>
      <c r="BQ2819" s="25"/>
      <c r="BR2819" s="25"/>
      <c r="BS2819" s="25"/>
      <c r="BT2819" s="25"/>
      <c r="BU2819"/>
      <c r="BV2819"/>
      <c r="BW2819"/>
      <c r="BX2819"/>
      <c r="BY2819"/>
      <c r="BZ2819"/>
      <c r="CA2819"/>
      <c r="CB2819"/>
      <c r="CC2819"/>
      <c r="CD2819" s="25"/>
    </row>
    <row r="2820" spans="1:82" s="17" customFormat="1" x14ac:dyDescent="0.2">
      <c r="A2820" s="25"/>
      <c r="B2820" s="20">
        <v>39095001602</v>
      </c>
      <c r="C2820" s="20">
        <v>16.02</v>
      </c>
      <c r="D2820" s="20" t="s">
        <v>53</v>
      </c>
      <c r="E2820" s="20" t="s">
        <v>2839</v>
      </c>
      <c r="F2820" s="20" t="s">
        <v>8</v>
      </c>
      <c r="G2820" s="861">
        <v>29.6822997809731</v>
      </c>
      <c r="H2820" s="861">
        <v>55.830360391916997</v>
      </c>
      <c r="I2820" s="861">
        <v>62.987981878767101</v>
      </c>
      <c r="J2820" s="861">
        <v>47.746396083344898</v>
      </c>
      <c r="K2820" s="982">
        <v>0</v>
      </c>
      <c r="L2820" s="735" t="s">
        <v>2466</v>
      </c>
      <c r="M2820" s="735">
        <v>1243</v>
      </c>
      <c r="N2820" s="845" t="str">
        <f t="shared" si="200"/>
        <v/>
      </c>
      <c r="O2820" s="735">
        <v>0.22588250414786654</v>
      </c>
      <c r="P2820" s="735">
        <f t="shared" si="201"/>
        <v>5502.8608996928378</v>
      </c>
      <c r="Q2820" s="849">
        <v>54.1</v>
      </c>
      <c r="R2820" s="71">
        <v>70114</v>
      </c>
      <c r="S2820" s="845">
        <v>0.15044247787610621</v>
      </c>
      <c r="T2820" s="845">
        <v>4.4999999999999998E-2</v>
      </c>
      <c r="U2820" s="845">
        <v>0</v>
      </c>
      <c r="V2820" s="845">
        <v>0</v>
      </c>
      <c r="W2820" s="845">
        <v>0.26243567753001718</v>
      </c>
      <c r="X2820" s="845">
        <v>0.70588235294117652</v>
      </c>
      <c r="Y2820" s="845">
        <v>0.56958970233306516</v>
      </c>
      <c r="Z2820" s="845">
        <v>0.41271118262268702</v>
      </c>
      <c r="AA2820" s="845">
        <v>0</v>
      </c>
      <c r="AB2820" s="845">
        <v>0</v>
      </c>
      <c r="AC2820" s="845">
        <v>0</v>
      </c>
      <c r="AD2820" s="845">
        <v>1.0458567980691875E-2</v>
      </c>
      <c r="AE2820" s="845">
        <v>7.2405470635559131E-3</v>
      </c>
      <c r="AF2820" s="845">
        <v>1.6090104585679808E-2</v>
      </c>
      <c r="AG2820" s="845">
        <v>0.56395816572807722</v>
      </c>
      <c r="AH2820" s="20" t="str">
        <f t="shared" si="202"/>
        <v>No</v>
      </c>
      <c r="AI2820" s="25"/>
      <c r="AJ2820" s="25"/>
      <c r="AK2820" s="25"/>
      <c r="AL2820" s="25"/>
      <c r="AM2820" s="25"/>
      <c r="AN2820" s="25"/>
      <c r="AO2820" s="25"/>
      <c r="AP2820" s="25"/>
      <c r="AQ2820" s="25"/>
      <c r="AR2820" s="25"/>
      <c r="AS2820" s="25"/>
      <c r="AT2820" s="25"/>
      <c r="AU2820" s="36"/>
      <c r="AV2820" s="36"/>
      <c r="AW2820" s="36"/>
      <c r="AX2820" s="25"/>
      <c r="AY2820" s="25"/>
      <c r="AZ2820" s="25"/>
      <c r="BA2820" s="25"/>
      <c r="BB2820" s="25"/>
      <c r="BC2820" s="25"/>
      <c r="BD2820" s="25"/>
      <c r="BE2820" s="25"/>
      <c r="BF2820" s="25"/>
      <c r="BG2820" s="25"/>
      <c r="BH2820" s="25"/>
      <c r="BI2820" s="25"/>
      <c r="BJ2820" s="25"/>
      <c r="BK2820" s="25"/>
      <c r="BL2820" s="25"/>
      <c r="BM2820" s="25"/>
      <c r="BN2820" s="25"/>
      <c r="BO2820" s="25"/>
      <c r="BP2820" s="25"/>
      <c r="BQ2820" s="25"/>
      <c r="BR2820" s="25"/>
      <c r="BS2820" s="25"/>
      <c r="BT2820" s="25"/>
      <c r="BU2820"/>
      <c r="BV2820"/>
      <c r="BW2820"/>
      <c r="BX2820"/>
      <c r="BY2820"/>
      <c r="BZ2820"/>
      <c r="CA2820"/>
      <c r="CB2820"/>
      <c r="CC2820"/>
      <c r="CD2820" s="25"/>
    </row>
    <row r="2821" spans="1:82" s="17" customFormat="1" x14ac:dyDescent="0.2">
      <c r="A2821" s="25"/>
      <c r="B2821" s="20">
        <v>39113000801</v>
      </c>
      <c r="C2821" s="20">
        <v>8.01</v>
      </c>
      <c r="D2821" s="20" t="s">
        <v>62</v>
      </c>
      <c r="E2821" s="20" t="s">
        <v>2833</v>
      </c>
      <c r="F2821" s="20" t="s">
        <v>6</v>
      </c>
      <c r="G2821" s="861">
        <v>29.633660899686401</v>
      </c>
      <c r="H2821" s="861">
        <v>55.105186294409101</v>
      </c>
      <c r="I2821" s="861">
        <v>59.246388267025999</v>
      </c>
      <c r="J2821" s="861">
        <v>46.265647016991601</v>
      </c>
      <c r="K2821" s="982">
        <v>0</v>
      </c>
      <c r="L2821" s="735">
        <v>3284</v>
      </c>
      <c r="M2821" s="735">
        <v>3982</v>
      </c>
      <c r="N2821" s="845">
        <f t="shared" si="200"/>
        <v>0.21254567600487212</v>
      </c>
      <c r="O2821" s="735">
        <v>0.61294953203472435</v>
      </c>
      <c r="P2821" s="735">
        <f t="shared" si="201"/>
        <v>6496.4565464003235</v>
      </c>
      <c r="Q2821" s="849">
        <v>36.1</v>
      </c>
      <c r="R2821" s="71">
        <v>43845</v>
      </c>
      <c r="S2821" s="845">
        <v>0.25654051308102616</v>
      </c>
      <c r="T2821" s="845">
        <v>0.109</v>
      </c>
      <c r="U2821" s="845">
        <v>9.8000000000000004E-2</v>
      </c>
      <c r="V2821" s="845">
        <v>2.5000000000000001E-2</v>
      </c>
      <c r="W2821" s="845">
        <v>0.5937307928703135</v>
      </c>
      <c r="X2821" s="845">
        <v>0.42443064182194618</v>
      </c>
      <c r="Y2821" s="845">
        <v>0.2049221496735309</v>
      </c>
      <c r="Z2821" s="845">
        <v>0.66926167754897037</v>
      </c>
      <c r="AA2821" s="845">
        <v>3.7669512807634357E-3</v>
      </c>
      <c r="AB2821" s="845">
        <v>0</v>
      </c>
      <c r="AC2821" s="845">
        <v>0</v>
      </c>
      <c r="AD2821" s="845">
        <v>3.2646911099949772E-3</v>
      </c>
      <c r="AE2821" s="845">
        <v>0.11878453038674033</v>
      </c>
      <c r="AF2821" s="845">
        <v>1.6072325464590659E-2</v>
      </c>
      <c r="AG2821" s="845">
        <v>0.2049221496735309</v>
      </c>
      <c r="AH2821" s="20" t="str">
        <f t="shared" si="202"/>
        <v>No</v>
      </c>
      <c r="AI2821" s="25"/>
      <c r="AJ2821" s="25"/>
      <c r="AK2821" s="25"/>
      <c r="AL2821" s="25"/>
      <c r="AM2821" s="25"/>
      <c r="AN2821" s="25"/>
      <c r="AO2821" s="25"/>
      <c r="AP2821" s="25"/>
      <c r="AQ2821" s="25"/>
      <c r="AR2821" s="25"/>
      <c r="AS2821" s="25"/>
      <c r="AT2821" s="25"/>
      <c r="AU2821" s="36"/>
      <c r="AV2821" s="36"/>
      <c r="AW2821" s="36"/>
      <c r="AX2821" s="25"/>
      <c r="AY2821" s="25"/>
      <c r="AZ2821" s="25"/>
      <c r="BA2821" s="25"/>
      <c r="BB2821" s="25"/>
      <c r="BC2821" s="25"/>
      <c r="BD2821" s="25"/>
      <c r="BE2821" s="25"/>
      <c r="BF2821" s="25"/>
      <c r="BG2821" s="25"/>
      <c r="BH2821" s="25"/>
      <c r="BI2821" s="25"/>
      <c r="BJ2821" s="25"/>
      <c r="BK2821" s="25"/>
      <c r="BL2821" s="25"/>
      <c r="BM2821" s="25"/>
      <c r="BN2821" s="25"/>
      <c r="BO2821" s="25"/>
      <c r="BP2821" s="25"/>
      <c r="BQ2821" s="25"/>
      <c r="BR2821" s="25"/>
      <c r="BS2821" s="25"/>
      <c r="BT2821" s="25"/>
      <c r="BU2821"/>
      <c r="BV2821"/>
      <c r="BW2821"/>
      <c r="BX2821"/>
      <c r="BY2821"/>
      <c r="BZ2821"/>
      <c r="CA2821"/>
      <c r="CB2821"/>
      <c r="CC2821"/>
      <c r="CD2821" s="25"/>
    </row>
    <row r="2822" spans="1:82" s="17" customFormat="1" x14ac:dyDescent="0.2">
      <c r="A2822" s="25"/>
      <c r="B2822" s="20">
        <v>39099802400</v>
      </c>
      <c r="C2822" s="20">
        <v>8024</v>
      </c>
      <c r="D2822" s="20" t="s">
        <v>55</v>
      </c>
      <c r="E2822" s="20" t="s">
        <v>2842</v>
      </c>
      <c r="F2822" s="20" t="s">
        <v>6</v>
      </c>
      <c r="G2822" s="861">
        <v>29.572424771126101</v>
      </c>
      <c r="H2822" s="861">
        <v>28.6639195036852</v>
      </c>
      <c r="I2822" s="861">
        <v>66.834203487697806</v>
      </c>
      <c r="J2822" s="861">
        <v>33.654759363620499</v>
      </c>
      <c r="K2822" s="982">
        <v>0</v>
      </c>
      <c r="L2822" s="735">
        <v>2381</v>
      </c>
      <c r="M2822" s="735">
        <v>2459</v>
      </c>
      <c r="N2822" s="845">
        <f t="shared" si="200"/>
        <v>3.275934481310374E-2</v>
      </c>
      <c r="O2822" s="735">
        <v>0.71661796161682001</v>
      </c>
      <c r="P2822" s="735">
        <f t="shared" si="201"/>
        <v>3431.3959902038323</v>
      </c>
      <c r="Q2822" s="849">
        <v>35.700000000000003</v>
      </c>
      <c r="R2822" s="71">
        <v>21642</v>
      </c>
      <c r="S2822" s="845">
        <v>0.55103700691337942</v>
      </c>
      <c r="T2822" s="845">
        <v>0.20600000000000002</v>
      </c>
      <c r="U2822" s="845">
        <v>0</v>
      </c>
      <c r="V2822" s="845">
        <v>0.20399999999999999</v>
      </c>
      <c r="W2822" s="845">
        <v>0.34765625</v>
      </c>
      <c r="X2822" s="845">
        <v>0.6039325842696629</v>
      </c>
      <c r="Y2822" s="845">
        <v>9.6380642537616912E-2</v>
      </c>
      <c r="Z2822" s="845">
        <v>0.60471736478243188</v>
      </c>
      <c r="AA2822" s="845">
        <v>9.1093940626270839E-2</v>
      </c>
      <c r="AB2822" s="845">
        <v>0</v>
      </c>
      <c r="AC2822" s="845">
        <v>0</v>
      </c>
      <c r="AD2822" s="845">
        <v>5.2867019113460756E-2</v>
      </c>
      <c r="AE2822" s="845">
        <v>0.1549410329402196</v>
      </c>
      <c r="AF2822" s="845">
        <v>0.19886132574217161</v>
      </c>
      <c r="AG2822" s="845">
        <v>7.7673851159007726E-2</v>
      </c>
      <c r="AH2822" s="20" t="str">
        <f t="shared" si="202"/>
        <v>No</v>
      </c>
      <c r="AI2822" s="25"/>
      <c r="AJ2822" s="25"/>
      <c r="AK2822" s="25"/>
      <c r="AL2822" s="25"/>
      <c r="AM2822" s="25"/>
      <c r="AN2822" s="25"/>
      <c r="AO2822" s="25"/>
      <c r="AP2822" s="25"/>
      <c r="AQ2822" s="25"/>
      <c r="AR2822" s="25"/>
      <c r="AS2822" s="25"/>
      <c r="AT2822" s="25"/>
      <c r="AU2822" s="36"/>
      <c r="AV2822" s="36"/>
      <c r="AW2822" s="36"/>
      <c r="AX2822" s="25"/>
      <c r="AY2822" s="25"/>
      <c r="AZ2822" s="25"/>
      <c r="BA2822" s="25"/>
      <c r="BB2822" s="25"/>
      <c r="BC2822" s="25"/>
      <c r="BD2822" s="25"/>
      <c r="BE2822" s="25"/>
      <c r="BF2822" s="25"/>
      <c r="BG2822" s="25"/>
      <c r="BH2822" s="25"/>
      <c r="BI2822" s="25"/>
      <c r="BJ2822" s="25"/>
      <c r="BK2822" s="25"/>
      <c r="BL2822" s="25"/>
      <c r="BM2822" s="25"/>
      <c r="BN2822" s="25"/>
      <c r="BO2822" s="25"/>
      <c r="BP2822" s="25"/>
      <c r="BQ2822" s="25"/>
      <c r="BR2822" s="25"/>
      <c r="BS2822" s="25"/>
      <c r="BT2822" s="25"/>
      <c r="BU2822"/>
      <c r="BV2822"/>
      <c r="BW2822"/>
      <c r="BX2822"/>
      <c r="BY2822"/>
      <c r="BZ2822"/>
      <c r="CA2822"/>
      <c r="CB2822"/>
      <c r="CC2822"/>
      <c r="CD2822" s="25"/>
    </row>
    <row r="2823" spans="1:82" s="17" customFormat="1" x14ac:dyDescent="0.2">
      <c r="A2823" s="25"/>
      <c r="B2823" s="20">
        <v>39075976403</v>
      </c>
      <c r="C2823" s="20">
        <v>9764.0300000000007</v>
      </c>
      <c r="D2823" s="20" t="s">
        <v>44</v>
      </c>
      <c r="E2823" s="20" t="s">
        <v>265</v>
      </c>
      <c r="F2823" s="20" t="s">
        <v>8</v>
      </c>
      <c r="G2823" s="861">
        <v>29.5646548917471</v>
      </c>
      <c r="H2823" s="861">
        <v>26.2513616257351</v>
      </c>
      <c r="I2823" s="861">
        <v>25.014257890127499</v>
      </c>
      <c r="J2823" s="861">
        <v>40.9673399177722</v>
      </c>
      <c r="K2823" s="982">
        <v>0</v>
      </c>
      <c r="L2823" s="735" t="s">
        <v>2466</v>
      </c>
      <c r="M2823" s="735">
        <v>4164</v>
      </c>
      <c r="N2823" s="845" t="str">
        <f t="shared" si="200"/>
        <v/>
      </c>
      <c r="O2823" s="735">
        <v>27.004489993585338</v>
      </c>
      <c r="P2823" s="735">
        <f t="shared" si="201"/>
        <v>154.1965799387109</v>
      </c>
      <c r="Q2823" s="849">
        <v>32.9</v>
      </c>
      <c r="R2823" s="71">
        <v>73833</v>
      </c>
      <c r="S2823" s="845">
        <v>8.0699921650561501E-2</v>
      </c>
      <c r="T2823" s="845">
        <v>0</v>
      </c>
      <c r="U2823" s="845">
        <v>0</v>
      </c>
      <c r="V2823" s="845">
        <v>2.6000000000000002E-2</v>
      </c>
      <c r="W2823" s="845">
        <v>0.21797323135755259</v>
      </c>
      <c r="X2823" s="845">
        <v>6.5789473684210523E-2</v>
      </c>
      <c r="Y2823" s="845">
        <v>0.9582132564841499</v>
      </c>
      <c r="Z2823" s="845">
        <v>1.0086455331412104E-2</v>
      </c>
      <c r="AA2823" s="845">
        <v>3.6023054755043226E-3</v>
      </c>
      <c r="AB2823" s="845">
        <v>0</v>
      </c>
      <c r="AC2823" s="845">
        <v>0</v>
      </c>
      <c r="AD2823" s="845">
        <v>6.4841498559077811E-3</v>
      </c>
      <c r="AE2823" s="845">
        <v>2.1613832853025938E-2</v>
      </c>
      <c r="AF2823" s="845">
        <v>6.9644572526416908E-3</v>
      </c>
      <c r="AG2823" s="845">
        <v>0.9582132564841499</v>
      </c>
      <c r="AH2823" s="20" t="str">
        <f t="shared" si="202"/>
        <v>Yes</v>
      </c>
      <c r="AI2823" s="25"/>
      <c r="AJ2823" s="25"/>
      <c r="AK2823" s="25"/>
      <c r="AL2823" s="25"/>
      <c r="AM2823" s="25"/>
      <c r="AN2823" s="25"/>
      <c r="AO2823" s="25"/>
      <c r="AP2823" s="25"/>
      <c r="AQ2823" s="25"/>
      <c r="AR2823" s="25"/>
      <c r="AS2823" s="25"/>
      <c r="AT2823" s="25"/>
      <c r="AU2823" s="36"/>
      <c r="AV2823" s="36"/>
      <c r="AW2823" s="36"/>
      <c r="AX2823" s="25"/>
      <c r="AY2823" s="25"/>
      <c r="AZ2823" s="25"/>
      <c r="BA2823" s="25"/>
      <c r="BB2823" s="25"/>
      <c r="BC2823" s="25"/>
      <c r="BD2823" s="25"/>
      <c r="BE2823" s="25"/>
      <c r="BF2823" s="25"/>
      <c r="BG2823" s="25"/>
      <c r="BH2823" s="25"/>
      <c r="BI2823" s="25"/>
      <c r="BJ2823" s="25"/>
      <c r="BK2823" s="25"/>
      <c r="BL2823" s="25"/>
      <c r="BM2823" s="25"/>
      <c r="BN2823" s="25"/>
      <c r="BO2823" s="25"/>
      <c r="BP2823" s="25"/>
      <c r="BQ2823" s="25"/>
      <c r="BR2823" s="25"/>
      <c r="BS2823" s="25"/>
      <c r="BT2823" s="25"/>
      <c r="BU2823"/>
      <c r="BV2823"/>
      <c r="BW2823"/>
      <c r="BX2823"/>
      <c r="BY2823"/>
      <c r="BZ2823"/>
      <c r="CA2823"/>
      <c r="CB2823"/>
      <c r="CC2823"/>
      <c r="CD2823" s="25"/>
    </row>
    <row r="2824" spans="1:82" s="17" customFormat="1" x14ac:dyDescent="0.2">
      <c r="A2824" s="25"/>
      <c r="B2824" s="20">
        <v>39093022100</v>
      </c>
      <c r="C2824" s="20">
        <v>221</v>
      </c>
      <c r="D2824" s="20" t="s">
        <v>52</v>
      </c>
      <c r="E2824" s="20" t="s">
        <v>2829</v>
      </c>
      <c r="F2824" s="20" t="s">
        <v>8</v>
      </c>
      <c r="G2824" s="861">
        <v>29.555312802065</v>
      </c>
      <c r="H2824" s="861">
        <v>43.040210873761097</v>
      </c>
      <c r="I2824" s="861">
        <v>44.125263913117301</v>
      </c>
      <c r="J2824" s="861">
        <v>28.170544086309199</v>
      </c>
      <c r="K2824" s="982">
        <v>0</v>
      </c>
      <c r="L2824" s="735">
        <v>1777</v>
      </c>
      <c r="M2824" s="735">
        <v>1891</v>
      </c>
      <c r="N2824" s="845">
        <f t="shared" si="200"/>
        <v>6.415306696679797E-2</v>
      </c>
      <c r="O2824" s="735">
        <v>0.40369104242721798</v>
      </c>
      <c r="P2824" s="735">
        <f t="shared" si="201"/>
        <v>4684.2753523344054</v>
      </c>
      <c r="Q2824" s="849">
        <v>42.3</v>
      </c>
      <c r="R2824" s="71">
        <v>49331</v>
      </c>
      <c r="S2824" s="845">
        <v>0.18614489687995769</v>
      </c>
      <c r="T2824" s="845">
        <v>3.5000000000000003E-2</v>
      </c>
      <c r="U2824" s="845">
        <v>0</v>
      </c>
      <c r="V2824" s="845">
        <v>0</v>
      </c>
      <c r="W2824" s="845">
        <v>0.33134684147794996</v>
      </c>
      <c r="X2824" s="845">
        <v>0.34172661870503596</v>
      </c>
      <c r="Y2824" s="845">
        <v>0.78212585933368584</v>
      </c>
      <c r="Z2824" s="845">
        <v>8.4611316763617134E-2</v>
      </c>
      <c r="AA2824" s="845">
        <v>3.7017451084082496E-3</v>
      </c>
      <c r="AB2824" s="845">
        <v>2.1152829190904283E-2</v>
      </c>
      <c r="AC2824" s="845">
        <v>0</v>
      </c>
      <c r="AD2824" s="845">
        <v>2.2210470650449499E-2</v>
      </c>
      <c r="AE2824" s="845">
        <v>8.6197778952934956E-2</v>
      </c>
      <c r="AF2824" s="845">
        <v>0.10629296668429403</v>
      </c>
      <c r="AG2824" s="845">
        <v>0.76467477525118988</v>
      </c>
      <c r="AH2824" s="20" t="str">
        <f t="shared" si="202"/>
        <v>No</v>
      </c>
      <c r="AI2824" s="25"/>
      <c r="AJ2824" s="25"/>
      <c r="AK2824" s="25"/>
      <c r="AL2824" s="25"/>
      <c r="AM2824" s="25"/>
      <c r="AN2824" s="25"/>
      <c r="AO2824" s="25"/>
      <c r="AP2824" s="25"/>
      <c r="AQ2824" s="25"/>
      <c r="AR2824" s="25"/>
      <c r="AS2824" s="25"/>
      <c r="AT2824" s="25"/>
      <c r="AU2824" s="36"/>
      <c r="AV2824" s="36"/>
      <c r="AW2824" s="36"/>
      <c r="AX2824" s="25"/>
      <c r="AY2824" s="25"/>
      <c r="AZ2824" s="25"/>
      <c r="BA2824" s="25"/>
      <c r="BB2824" s="25"/>
      <c r="BC2824" s="25"/>
      <c r="BD2824" s="25"/>
      <c r="BE2824" s="25"/>
      <c r="BF2824" s="25"/>
      <c r="BG2824" s="25"/>
      <c r="BH2824" s="25"/>
      <c r="BI2824" s="25"/>
      <c r="BJ2824" s="25"/>
      <c r="BK2824" s="25"/>
      <c r="BL2824" s="25"/>
      <c r="BM2824" s="25"/>
      <c r="BN2824" s="25"/>
      <c r="BO2824" s="25"/>
      <c r="BP2824" s="25"/>
      <c r="BQ2824" s="25"/>
      <c r="BR2824" s="25"/>
      <c r="BS2824" s="25"/>
      <c r="BT2824" s="25"/>
      <c r="BU2824"/>
      <c r="BV2824"/>
      <c r="BW2824"/>
      <c r="BX2824"/>
      <c r="BY2824"/>
      <c r="BZ2824"/>
      <c r="CA2824"/>
      <c r="CB2824"/>
      <c r="CC2824"/>
      <c r="CD2824" s="25"/>
    </row>
    <row r="2825" spans="1:82" s="17" customFormat="1" x14ac:dyDescent="0.2">
      <c r="A2825" s="25"/>
      <c r="B2825" s="20">
        <v>39093023900</v>
      </c>
      <c r="C2825" s="20">
        <v>239</v>
      </c>
      <c r="D2825" s="20" t="s">
        <v>52</v>
      </c>
      <c r="E2825" s="20" t="s">
        <v>2829</v>
      </c>
      <c r="F2825" s="20" t="s">
        <v>8</v>
      </c>
      <c r="G2825" s="861">
        <v>29.524332529670001</v>
      </c>
      <c r="H2825" s="861">
        <v>40.076124826389403</v>
      </c>
      <c r="I2825" s="861">
        <v>58.8949760202403</v>
      </c>
      <c r="J2825" s="861">
        <v>37.898487572153797</v>
      </c>
      <c r="K2825" s="982">
        <v>0</v>
      </c>
      <c r="L2825" s="735">
        <v>1728</v>
      </c>
      <c r="M2825" s="735">
        <v>1565</v>
      </c>
      <c r="N2825" s="845">
        <f t="shared" si="200"/>
        <v>-9.4328703703703706E-2</v>
      </c>
      <c r="O2825" s="735">
        <v>1.1377836016397775</v>
      </c>
      <c r="P2825" s="735">
        <f t="shared" si="201"/>
        <v>1375.4812406722303</v>
      </c>
      <c r="Q2825" s="849">
        <v>47.5</v>
      </c>
      <c r="R2825" s="71">
        <v>50148</v>
      </c>
      <c r="S2825" s="845">
        <v>0.18977635782747604</v>
      </c>
      <c r="T2825" s="845">
        <v>1.8000000000000002E-2</v>
      </c>
      <c r="U2825" s="845">
        <v>0</v>
      </c>
      <c r="V2825" s="845">
        <v>2.6000000000000002E-2</v>
      </c>
      <c r="W2825" s="845">
        <v>0.41517241379310343</v>
      </c>
      <c r="X2825" s="845">
        <v>0.55149501661129563</v>
      </c>
      <c r="Y2825" s="845">
        <v>0.56421725239616616</v>
      </c>
      <c r="Z2825" s="845">
        <v>8.9456869009584661E-2</v>
      </c>
      <c r="AA2825" s="845">
        <v>0</v>
      </c>
      <c r="AB2825" s="845">
        <v>2.5559105431309905E-3</v>
      </c>
      <c r="AC2825" s="845">
        <v>0</v>
      </c>
      <c r="AD2825" s="845">
        <v>0.17507987220447285</v>
      </c>
      <c r="AE2825" s="845">
        <v>0.16869009584664538</v>
      </c>
      <c r="AF2825" s="845">
        <v>0.34121405750798722</v>
      </c>
      <c r="AG2825" s="845">
        <v>0.52843450479233223</v>
      </c>
      <c r="AH2825" s="20" t="str">
        <f t="shared" si="202"/>
        <v>No</v>
      </c>
      <c r="AI2825" s="25"/>
      <c r="AJ2825" s="25"/>
      <c r="AK2825" s="25"/>
      <c r="AL2825" s="25"/>
      <c r="AM2825" s="25"/>
      <c r="AN2825" s="25"/>
      <c r="AO2825" s="25"/>
      <c r="AP2825" s="25"/>
      <c r="AQ2825" s="25"/>
      <c r="AR2825" s="25"/>
      <c r="AS2825" s="25"/>
      <c r="AT2825" s="25"/>
      <c r="AU2825" s="36"/>
      <c r="AV2825" s="36"/>
      <c r="AW2825" s="36"/>
      <c r="AX2825" s="25"/>
      <c r="AY2825" s="25"/>
      <c r="AZ2825" s="25"/>
      <c r="BA2825" s="25"/>
      <c r="BB2825" s="25"/>
      <c r="BC2825" s="25"/>
      <c r="BD2825" s="25"/>
      <c r="BE2825" s="25"/>
      <c r="BF2825" s="25"/>
      <c r="BG2825" s="25"/>
      <c r="BH2825" s="25"/>
      <c r="BI2825" s="25"/>
      <c r="BJ2825" s="25"/>
      <c r="BK2825" s="25"/>
      <c r="BL2825" s="25"/>
      <c r="BM2825" s="25"/>
      <c r="BN2825" s="25"/>
      <c r="BO2825" s="25"/>
      <c r="BP2825" s="25"/>
      <c r="BQ2825" s="25"/>
      <c r="BR2825" s="25"/>
      <c r="BS2825" s="25"/>
      <c r="BT2825" s="25"/>
      <c r="BU2825"/>
      <c r="BV2825"/>
      <c r="BW2825"/>
      <c r="BX2825"/>
      <c r="BY2825"/>
      <c r="BZ2825"/>
      <c r="CA2825"/>
      <c r="CB2825"/>
      <c r="CC2825"/>
      <c r="CD2825" s="25"/>
    </row>
    <row r="2826" spans="1:82" s="17" customFormat="1" x14ac:dyDescent="0.2">
      <c r="A2826" s="25"/>
      <c r="B2826" s="20">
        <v>39113001000</v>
      </c>
      <c r="C2826" s="20">
        <v>10</v>
      </c>
      <c r="D2826" s="20" t="s">
        <v>62</v>
      </c>
      <c r="E2826" s="20" t="s">
        <v>2833</v>
      </c>
      <c r="F2826" s="20" t="s">
        <v>8</v>
      </c>
      <c r="G2826" s="861">
        <v>29.5188365788574</v>
      </c>
      <c r="H2826" s="861">
        <v>38.885326951844398</v>
      </c>
      <c r="I2826" s="861">
        <v>63.766046593144203</v>
      </c>
      <c r="J2826" s="861">
        <v>45.3838404847682</v>
      </c>
      <c r="K2826" s="982">
        <v>0</v>
      </c>
      <c r="L2826" s="735">
        <v>1144</v>
      </c>
      <c r="M2826" s="735">
        <v>1592</v>
      </c>
      <c r="N2826" s="845">
        <f t="shared" si="200"/>
        <v>0.39160839160839161</v>
      </c>
      <c r="O2826" s="735">
        <v>0.29822221847960534</v>
      </c>
      <c r="P2826" s="735">
        <f t="shared" si="201"/>
        <v>5338.301110213466</v>
      </c>
      <c r="Q2826" s="849">
        <v>35.700000000000003</v>
      </c>
      <c r="R2826" s="71"/>
      <c r="S2826" s="845">
        <v>0.22447552447552446</v>
      </c>
      <c r="T2826" s="845">
        <v>0.03</v>
      </c>
      <c r="U2826" s="845">
        <v>0</v>
      </c>
      <c r="V2826" s="845">
        <v>0</v>
      </c>
      <c r="W2826" s="845">
        <v>0.60784313725490191</v>
      </c>
      <c r="X2826" s="845">
        <v>0.52605459057071957</v>
      </c>
      <c r="Y2826" s="845">
        <v>0.40515075376884424</v>
      </c>
      <c r="Z2826" s="845">
        <v>0.47613065326633164</v>
      </c>
      <c r="AA2826" s="845">
        <v>0</v>
      </c>
      <c r="AB2826" s="845">
        <v>0</v>
      </c>
      <c r="AC2826" s="845">
        <v>0</v>
      </c>
      <c r="AD2826" s="845">
        <v>9.7361809045226136E-2</v>
      </c>
      <c r="AE2826" s="845">
        <v>2.1356783919597989E-2</v>
      </c>
      <c r="AF2826" s="845">
        <v>2.7638190954773871E-2</v>
      </c>
      <c r="AG2826" s="845">
        <v>0.40515075376884424</v>
      </c>
      <c r="AH2826" s="20" t="str">
        <f t="shared" si="202"/>
        <v>No</v>
      </c>
      <c r="AI2826" s="25"/>
      <c r="AJ2826" s="25"/>
      <c r="AK2826" s="25"/>
      <c r="AL2826" s="25"/>
      <c r="AM2826" s="25"/>
      <c r="AN2826" s="25"/>
      <c r="AO2826" s="25"/>
      <c r="AP2826" s="25"/>
      <c r="AQ2826" s="25"/>
      <c r="AR2826" s="25"/>
      <c r="AS2826" s="25"/>
      <c r="AT2826" s="25"/>
      <c r="AU2826" s="36"/>
      <c r="AV2826" s="36"/>
      <c r="AW2826" s="36"/>
      <c r="AX2826" s="25"/>
      <c r="AY2826" s="25"/>
      <c r="AZ2826" s="25"/>
      <c r="BA2826" s="25"/>
      <c r="BB2826" s="25"/>
      <c r="BC2826" s="25"/>
      <c r="BD2826" s="25"/>
      <c r="BE2826" s="25"/>
      <c r="BF2826" s="25"/>
      <c r="BG2826" s="25"/>
      <c r="BH2826" s="25"/>
      <c r="BI2826" s="25"/>
      <c r="BJ2826" s="25"/>
      <c r="BK2826" s="25"/>
      <c r="BL2826" s="25"/>
      <c r="BM2826" s="25"/>
      <c r="BN2826" s="25"/>
      <c r="BO2826" s="25"/>
      <c r="BP2826" s="25"/>
      <c r="BQ2826" s="25"/>
      <c r="BR2826" s="25"/>
      <c r="BS2826" s="25"/>
      <c r="BT2826" s="25"/>
      <c r="BU2826"/>
      <c r="BV2826"/>
      <c r="BW2826"/>
      <c r="BX2826"/>
      <c r="BY2826"/>
      <c r="BZ2826"/>
      <c r="CA2826"/>
      <c r="CB2826"/>
      <c r="CC2826"/>
      <c r="CD2826" s="25"/>
    </row>
    <row r="2827" spans="1:82" s="17" customFormat="1" x14ac:dyDescent="0.2">
      <c r="A2827" s="25"/>
      <c r="B2827" s="20">
        <v>39113000900</v>
      </c>
      <c r="C2827" s="20">
        <v>9</v>
      </c>
      <c r="D2827" s="20" t="s">
        <v>62</v>
      </c>
      <c r="E2827" s="20" t="s">
        <v>2833</v>
      </c>
      <c r="F2827" s="20" t="s">
        <v>6</v>
      </c>
      <c r="G2827" s="861">
        <v>29.505678849176402</v>
      </c>
      <c r="H2827" s="861">
        <v>42.605381141173403</v>
      </c>
      <c r="I2827" s="861">
        <v>67.032123303157107</v>
      </c>
      <c r="J2827" s="861">
        <v>34.571067958501601</v>
      </c>
      <c r="K2827" s="982">
        <v>2</v>
      </c>
      <c r="L2827" s="735">
        <v>2572</v>
      </c>
      <c r="M2827" s="735">
        <v>2734</v>
      </c>
      <c r="N2827" s="845">
        <f t="shared" ref="N2827:N2890" si="203">IF(OR(L2827="",M2827=""),"",(M2827-L2827)/L2827)</f>
        <v>6.2986003110419908E-2</v>
      </c>
      <c r="O2827" s="735">
        <v>0.42940583229163937</v>
      </c>
      <c r="P2827" s="735">
        <f t="shared" ref="P2827:P2890" si="204">M2827/O2827</f>
        <v>6366.937275651977</v>
      </c>
      <c r="Q2827" s="849">
        <v>41.9</v>
      </c>
      <c r="R2827" s="71">
        <v>39861</v>
      </c>
      <c r="S2827" s="845">
        <v>0.34720062208398134</v>
      </c>
      <c r="T2827" s="845">
        <v>0.11599999999999999</v>
      </c>
      <c r="U2827" s="845">
        <v>5.0999999999999997E-2</v>
      </c>
      <c r="V2827" s="845">
        <v>0.115</v>
      </c>
      <c r="W2827" s="845">
        <v>0.71244979919678719</v>
      </c>
      <c r="X2827" s="845">
        <v>0.47576099210822997</v>
      </c>
      <c r="Y2827" s="845">
        <v>0.35479151426481348</v>
      </c>
      <c r="Z2827" s="845">
        <v>0.60607168983174831</v>
      </c>
      <c r="AA2827" s="845">
        <v>0</v>
      </c>
      <c r="AB2827" s="845">
        <v>0</v>
      </c>
      <c r="AC2827" s="845">
        <v>0</v>
      </c>
      <c r="AD2827" s="845">
        <v>6.2179956108266276E-3</v>
      </c>
      <c r="AE2827" s="845">
        <v>3.2918800292611558E-2</v>
      </c>
      <c r="AF2827" s="845">
        <v>3.8771031455742504E-2</v>
      </c>
      <c r="AG2827" s="845">
        <v>0.33650329188002925</v>
      </c>
      <c r="AH2827" s="20" t="str">
        <f t="shared" ref="AH2827:AH2890" si="205">IF(AG2827&gt;=0.9,"Yes","No")</f>
        <v>No</v>
      </c>
      <c r="AI2827" s="25"/>
      <c r="AJ2827" s="25"/>
      <c r="AK2827" s="25"/>
      <c r="AL2827" s="25"/>
      <c r="AM2827" s="25"/>
      <c r="AN2827" s="25"/>
      <c r="AO2827" s="25"/>
      <c r="AP2827" s="25"/>
      <c r="AQ2827" s="25"/>
      <c r="AR2827" s="25"/>
      <c r="AS2827" s="25"/>
      <c r="AT2827" s="25"/>
      <c r="AU2827" s="36"/>
      <c r="AV2827" s="36"/>
      <c r="AW2827" s="36"/>
      <c r="AX2827" s="25"/>
      <c r="AY2827" s="25"/>
      <c r="AZ2827" s="25"/>
      <c r="BA2827" s="25"/>
      <c r="BB2827" s="25"/>
      <c r="BC2827" s="25"/>
      <c r="BD2827" s="25"/>
      <c r="BE2827" s="25"/>
      <c r="BF2827" s="25"/>
      <c r="BG2827" s="25"/>
      <c r="BH2827" s="25"/>
      <c r="BI2827" s="25"/>
      <c r="BJ2827" s="25"/>
      <c r="BK2827" s="25"/>
      <c r="BL2827" s="25"/>
      <c r="BM2827" s="25"/>
      <c r="BN2827" s="25"/>
      <c r="BO2827" s="25"/>
      <c r="BP2827" s="25"/>
      <c r="BQ2827" s="25"/>
      <c r="BR2827" s="25"/>
      <c r="BS2827" s="25"/>
      <c r="BT2827" s="25"/>
      <c r="BU2827"/>
      <c r="BV2827"/>
      <c r="BW2827"/>
      <c r="BX2827"/>
      <c r="BY2827"/>
      <c r="BZ2827"/>
      <c r="CA2827"/>
      <c r="CB2827"/>
      <c r="CC2827"/>
      <c r="CD2827" s="25"/>
    </row>
    <row r="2828" spans="1:82" s="17" customFormat="1" x14ac:dyDescent="0.2">
      <c r="A2828" s="25"/>
      <c r="B2828" s="20">
        <v>39093091100</v>
      </c>
      <c r="C2828" s="20">
        <v>911</v>
      </c>
      <c r="D2828" s="20" t="s">
        <v>52</v>
      </c>
      <c r="E2828" s="20" t="s">
        <v>2829</v>
      </c>
      <c r="F2828" s="20" t="s">
        <v>8</v>
      </c>
      <c r="G2828" s="861">
        <v>29.504960077474301</v>
      </c>
      <c r="H2828" s="861">
        <v>38.7848464469701</v>
      </c>
      <c r="I2828" s="861">
        <v>34.434122198121798</v>
      </c>
      <c r="J2828" s="861">
        <v>33.339922025084199</v>
      </c>
      <c r="K2828" s="982">
        <v>0</v>
      </c>
      <c r="L2828" s="735">
        <v>2841</v>
      </c>
      <c r="M2828" s="735">
        <v>3405</v>
      </c>
      <c r="N2828" s="845">
        <f t="shared" si="203"/>
        <v>0.19852164730728616</v>
      </c>
      <c r="O2828" s="735">
        <v>12.89973489492197</v>
      </c>
      <c r="P2828" s="735">
        <f t="shared" si="204"/>
        <v>263.95891293396977</v>
      </c>
      <c r="Q2828" s="849">
        <v>54.6</v>
      </c>
      <c r="R2828" s="71">
        <v>68472</v>
      </c>
      <c r="S2828" s="845">
        <v>0.10775217000897935</v>
      </c>
      <c r="T2828" s="845">
        <v>0.04</v>
      </c>
      <c r="U2828" s="845">
        <v>0</v>
      </c>
      <c r="V2828" s="845">
        <v>0</v>
      </c>
      <c r="W2828" s="845">
        <v>0.17636786961583237</v>
      </c>
      <c r="X2828" s="845">
        <v>0.59405940594059403</v>
      </c>
      <c r="Y2828" s="845">
        <v>0.90513950073421434</v>
      </c>
      <c r="Z2828" s="845">
        <v>1.2922173274596183E-2</v>
      </c>
      <c r="AA2828" s="845">
        <v>3.524229074889868E-3</v>
      </c>
      <c r="AB2828" s="845">
        <v>0</v>
      </c>
      <c r="AC2828" s="845">
        <v>0</v>
      </c>
      <c r="AD2828" s="845">
        <v>4.9926578560939797E-3</v>
      </c>
      <c r="AE2828" s="845">
        <v>7.3421439060205582E-2</v>
      </c>
      <c r="AF2828" s="845">
        <v>2.5256975036710719E-2</v>
      </c>
      <c r="AG2828" s="845">
        <v>0.88781204111600587</v>
      </c>
      <c r="AH2828" s="20" t="str">
        <f t="shared" si="205"/>
        <v>No</v>
      </c>
      <c r="AI2828" s="25"/>
      <c r="AJ2828" s="25"/>
      <c r="AK2828" s="25"/>
      <c r="AL2828" s="25"/>
      <c r="AM2828" s="25"/>
      <c r="AN2828" s="25"/>
      <c r="AO2828" s="25"/>
      <c r="AP2828" s="25"/>
      <c r="AQ2828" s="25"/>
      <c r="AR2828" s="25"/>
      <c r="AS2828" s="25"/>
      <c r="AT2828" s="25"/>
      <c r="AU2828" s="36"/>
      <c r="AV2828" s="36"/>
      <c r="AW2828" s="36"/>
      <c r="AX2828" s="25"/>
      <c r="AY2828" s="25"/>
      <c r="AZ2828" s="25"/>
      <c r="BA2828" s="25"/>
      <c r="BB2828" s="25"/>
      <c r="BC2828" s="25"/>
      <c r="BD2828" s="25"/>
      <c r="BE2828" s="25"/>
      <c r="BF2828" s="25"/>
      <c r="BG2828" s="25"/>
      <c r="BH2828" s="25"/>
      <c r="BI2828" s="25"/>
      <c r="BJ2828" s="25"/>
      <c r="BK2828" s="25"/>
      <c r="BL2828" s="25"/>
      <c r="BM2828" s="25"/>
      <c r="BN2828" s="25"/>
      <c r="BO2828" s="25"/>
      <c r="BP2828" s="25"/>
      <c r="BQ2828" s="25"/>
      <c r="BR2828" s="25"/>
      <c r="BS2828" s="25"/>
      <c r="BT2828" s="25"/>
      <c r="BU2828"/>
      <c r="BV2828"/>
      <c r="BW2828"/>
      <c r="BX2828"/>
      <c r="BY2828"/>
      <c r="BZ2828"/>
      <c r="CA2828"/>
      <c r="CB2828"/>
      <c r="CC2828"/>
      <c r="CD2828" s="25"/>
    </row>
    <row r="2829" spans="1:82" s="17" customFormat="1" x14ac:dyDescent="0.2">
      <c r="A2829" s="25"/>
      <c r="B2829" s="20">
        <v>39153502200</v>
      </c>
      <c r="C2829" s="20">
        <v>5022</v>
      </c>
      <c r="D2829" s="20" t="s">
        <v>82</v>
      </c>
      <c r="E2829" s="20" t="s">
        <v>2843</v>
      </c>
      <c r="F2829" s="20" t="s">
        <v>6</v>
      </c>
      <c r="G2829" s="861">
        <v>29.489980292914101</v>
      </c>
      <c r="H2829" s="861">
        <v>39.116918118349702</v>
      </c>
      <c r="I2829" s="861">
        <v>64.076656110891193</v>
      </c>
      <c r="J2829" s="861">
        <v>31.938397978134098</v>
      </c>
      <c r="K2829" s="982">
        <v>0</v>
      </c>
      <c r="L2829" s="735">
        <v>5709</v>
      </c>
      <c r="M2829" s="735">
        <v>7007</v>
      </c>
      <c r="N2829" s="845">
        <f t="shared" si="203"/>
        <v>0.22736030828516376</v>
      </c>
      <c r="O2829" s="735">
        <v>1.5455152031566664</v>
      </c>
      <c r="P2829" s="735">
        <f t="shared" si="204"/>
        <v>4533.7632303379623</v>
      </c>
      <c r="Q2829" s="849">
        <v>33.4</v>
      </c>
      <c r="R2829" s="71">
        <v>32490</v>
      </c>
      <c r="S2829" s="845">
        <v>0.33705745792222869</v>
      </c>
      <c r="T2829" s="845">
        <v>0.13900000000000001</v>
      </c>
      <c r="U2829" s="845">
        <v>0</v>
      </c>
      <c r="V2829" s="845">
        <v>0</v>
      </c>
      <c r="W2829" s="845">
        <v>0.66526463371889244</v>
      </c>
      <c r="X2829" s="845">
        <v>0.60537407797681775</v>
      </c>
      <c r="Y2829" s="845">
        <v>0.32339089481946626</v>
      </c>
      <c r="Z2829" s="845">
        <v>0.27472527472527475</v>
      </c>
      <c r="AA2829" s="845">
        <v>0</v>
      </c>
      <c r="AB2829" s="845">
        <v>0.25988297416868844</v>
      </c>
      <c r="AC2829" s="845">
        <v>0</v>
      </c>
      <c r="AD2829" s="845">
        <v>1.5413158270301127E-2</v>
      </c>
      <c r="AE2829" s="845">
        <v>0.12658769801626946</v>
      </c>
      <c r="AF2829" s="845">
        <v>0.13158270301127445</v>
      </c>
      <c r="AG2829" s="845">
        <v>0.30255458826887399</v>
      </c>
      <c r="AH2829" s="20" t="str">
        <f t="shared" si="205"/>
        <v>No</v>
      </c>
      <c r="AI2829" s="25"/>
      <c r="AJ2829" s="25"/>
      <c r="AK2829" s="25"/>
      <c r="AL2829" s="25"/>
      <c r="AM2829" s="25"/>
      <c r="AN2829" s="25"/>
      <c r="AO2829" s="25"/>
      <c r="AP2829" s="25"/>
      <c r="AQ2829" s="25"/>
      <c r="AR2829" s="25"/>
      <c r="AS2829" s="25"/>
      <c r="AT2829" s="25"/>
      <c r="AU2829" s="36"/>
      <c r="AV2829" s="36"/>
      <c r="AW2829" s="36"/>
      <c r="AX2829" s="25"/>
      <c r="AY2829" s="25"/>
      <c r="AZ2829" s="25"/>
      <c r="BA2829" s="25"/>
      <c r="BB2829" s="25"/>
      <c r="BC2829" s="25"/>
      <c r="BD2829" s="25"/>
      <c r="BE2829" s="25"/>
      <c r="BF2829" s="25"/>
      <c r="BG2829" s="25"/>
      <c r="BH2829" s="25"/>
      <c r="BI2829" s="25"/>
      <c r="BJ2829" s="25"/>
      <c r="BK2829" s="25"/>
      <c r="BL2829" s="25"/>
      <c r="BM2829" s="25"/>
      <c r="BN2829" s="25"/>
      <c r="BO2829" s="25"/>
      <c r="BP2829" s="25"/>
      <c r="BQ2829" s="25"/>
      <c r="BR2829" s="25"/>
      <c r="BS2829" s="25"/>
      <c r="BT2829" s="25"/>
      <c r="BU2829"/>
      <c r="BV2829"/>
      <c r="BW2829"/>
      <c r="BX2829"/>
      <c r="BY2829"/>
      <c r="BZ2829"/>
      <c r="CA2829"/>
      <c r="CB2829"/>
      <c r="CC2829"/>
      <c r="CD2829" s="25"/>
    </row>
    <row r="2830" spans="1:82" s="17" customFormat="1" x14ac:dyDescent="0.2">
      <c r="A2830" s="25"/>
      <c r="B2830" s="20">
        <v>39093024000</v>
      </c>
      <c r="C2830" s="20">
        <v>240</v>
      </c>
      <c r="D2830" s="20" t="s">
        <v>52</v>
      </c>
      <c r="E2830" s="20" t="s">
        <v>2829</v>
      </c>
      <c r="F2830" s="20" t="s">
        <v>6</v>
      </c>
      <c r="G2830" s="861">
        <v>29.458742039196402</v>
      </c>
      <c r="H2830" s="861">
        <v>18.5986311016371</v>
      </c>
      <c r="I2830" s="861">
        <v>49.449989577046303</v>
      </c>
      <c r="J2830" s="861">
        <v>48.164489564005102</v>
      </c>
      <c r="K2830" s="982">
        <v>0</v>
      </c>
      <c r="L2830" s="735">
        <v>1749</v>
      </c>
      <c r="M2830" s="735">
        <v>2070</v>
      </c>
      <c r="N2830" s="845">
        <f t="shared" si="203"/>
        <v>0.18353344768439109</v>
      </c>
      <c r="O2830" s="735">
        <v>0.7291612624430156</v>
      </c>
      <c r="P2830" s="735">
        <f t="shared" si="204"/>
        <v>2838.8781832218792</v>
      </c>
      <c r="Q2830" s="849">
        <v>33.6</v>
      </c>
      <c r="R2830" s="71">
        <v>38140</v>
      </c>
      <c r="S2830" s="845">
        <v>0.27536231884057971</v>
      </c>
      <c r="T2830" s="845">
        <v>3.6000000000000004E-2</v>
      </c>
      <c r="U2830" s="845">
        <v>0</v>
      </c>
      <c r="V2830" s="845">
        <v>0.10300000000000001</v>
      </c>
      <c r="W2830" s="845">
        <v>0.5625</v>
      </c>
      <c r="X2830" s="845">
        <v>0.61208576998050679</v>
      </c>
      <c r="Y2830" s="845">
        <v>0.63864734299516912</v>
      </c>
      <c r="Z2830" s="845">
        <v>9.8550724637681164E-2</v>
      </c>
      <c r="AA2830" s="845">
        <v>2.4154589371980675E-3</v>
      </c>
      <c r="AB2830" s="845">
        <v>0</v>
      </c>
      <c r="AC2830" s="845">
        <v>0</v>
      </c>
      <c r="AD2830" s="845">
        <v>4.0096618357487922E-2</v>
      </c>
      <c r="AE2830" s="845">
        <v>0.22028985507246376</v>
      </c>
      <c r="AF2830" s="845">
        <v>0.25845410628019322</v>
      </c>
      <c r="AG2830" s="845">
        <v>0.46570048309178746</v>
      </c>
      <c r="AH2830" s="20" t="str">
        <f t="shared" si="205"/>
        <v>No</v>
      </c>
      <c r="AI2830" s="25"/>
      <c r="AJ2830" s="25"/>
      <c r="AK2830" s="25"/>
      <c r="AL2830" s="25"/>
      <c r="AM2830" s="25"/>
      <c r="AN2830" s="25"/>
      <c r="AO2830" s="25"/>
      <c r="AP2830" s="25"/>
      <c r="AQ2830" s="25"/>
      <c r="AR2830" s="25"/>
      <c r="AS2830" s="25"/>
      <c r="AT2830" s="25"/>
      <c r="AU2830" s="36"/>
      <c r="AV2830" s="36"/>
      <c r="AW2830" s="36"/>
      <c r="AX2830" s="25"/>
      <c r="AY2830" s="25"/>
      <c r="AZ2830" s="25"/>
      <c r="BA2830" s="25"/>
      <c r="BB2830" s="25"/>
      <c r="BC2830" s="25"/>
      <c r="BD2830" s="25"/>
      <c r="BE2830" s="25"/>
      <c r="BF2830" s="25"/>
      <c r="BG2830" s="25"/>
      <c r="BH2830" s="25"/>
      <c r="BI2830" s="25"/>
      <c r="BJ2830" s="25"/>
      <c r="BK2830" s="25"/>
      <c r="BL2830" s="25"/>
      <c r="BM2830" s="25"/>
      <c r="BN2830" s="25"/>
      <c r="BO2830" s="25"/>
      <c r="BP2830" s="25"/>
      <c r="BQ2830" s="25"/>
      <c r="BR2830" s="25"/>
      <c r="BS2830" s="25"/>
      <c r="BT2830" s="25"/>
      <c r="BU2830"/>
      <c r="BV2830"/>
      <c r="BW2830"/>
      <c r="BX2830"/>
      <c r="BY2830"/>
      <c r="BZ2830"/>
      <c r="CA2830"/>
      <c r="CB2830"/>
      <c r="CC2830"/>
      <c r="CD2830" s="25"/>
    </row>
    <row r="2831" spans="1:82" s="17" customFormat="1" x14ac:dyDescent="0.2">
      <c r="A2831" s="25"/>
      <c r="B2831" s="20">
        <v>39155933700</v>
      </c>
      <c r="C2831" s="20">
        <v>9337</v>
      </c>
      <c r="D2831" s="20" t="s">
        <v>83</v>
      </c>
      <c r="E2831" s="20" t="s">
        <v>2842</v>
      </c>
      <c r="F2831" s="20" t="s">
        <v>8</v>
      </c>
      <c r="G2831" s="861">
        <v>29.4482592487341</v>
      </c>
      <c r="H2831" s="861">
        <v>36.2870739765388</v>
      </c>
      <c r="I2831" s="861">
        <v>18.742863718543902</v>
      </c>
      <c r="J2831" s="861">
        <v>33.0109729213817</v>
      </c>
      <c r="K2831" s="982">
        <v>0</v>
      </c>
      <c r="L2831" s="735">
        <v>2821</v>
      </c>
      <c r="M2831" s="735">
        <v>2456</v>
      </c>
      <c r="N2831" s="845">
        <f t="shared" si="203"/>
        <v>-0.1293867422899681</v>
      </c>
      <c r="O2831" s="735">
        <v>23.611070168194711</v>
      </c>
      <c r="P2831" s="735">
        <f t="shared" si="204"/>
        <v>104.01900390387024</v>
      </c>
      <c r="Q2831" s="849">
        <v>52.7</v>
      </c>
      <c r="R2831" s="71">
        <v>51125</v>
      </c>
      <c r="S2831" s="845">
        <v>0.15242105263157896</v>
      </c>
      <c r="T2831" s="845">
        <v>1.2E-2</v>
      </c>
      <c r="U2831" s="845">
        <v>0.10199999999999999</v>
      </c>
      <c r="V2831" s="845">
        <v>0</v>
      </c>
      <c r="W2831" s="845">
        <v>0.12523540489642185</v>
      </c>
      <c r="X2831" s="845">
        <v>0.37593984962406013</v>
      </c>
      <c r="Y2831" s="845">
        <v>0.89902280130293155</v>
      </c>
      <c r="Z2831" s="845">
        <v>1.506514657980456E-2</v>
      </c>
      <c r="AA2831" s="845">
        <v>0</v>
      </c>
      <c r="AB2831" s="845">
        <v>0</v>
      </c>
      <c r="AC2831" s="845">
        <v>0</v>
      </c>
      <c r="AD2831" s="845">
        <v>0</v>
      </c>
      <c r="AE2831" s="845">
        <v>8.591205211726384E-2</v>
      </c>
      <c r="AF2831" s="845">
        <v>6.7182410423452771E-2</v>
      </c>
      <c r="AG2831" s="845">
        <v>0.89902280130293155</v>
      </c>
      <c r="AH2831" s="20" t="str">
        <f t="shared" si="205"/>
        <v>No</v>
      </c>
      <c r="AI2831" s="25"/>
      <c r="AJ2831" s="25"/>
      <c r="AK2831" s="25"/>
      <c r="AL2831" s="25"/>
      <c r="AM2831" s="25"/>
      <c r="AN2831" s="25"/>
      <c r="AO2831" s="25"/>
      <c r="AP2831" s="25"/>
      <c r="AQ2831" s="25"/>
      <c r="AR2831" s="25"/>
      <c r="AS2831" s="25"/>
      <c r="AT2831" s="25"/>
      <c r="AU2831" s="36"/>
      <c r="AV2831" s="36"/>
      <c r="AW2831" s="36"/>
      <c r="AX2831" s="25"/>
      <c r="AY2831" s="25"/>
      <c r="AZ2831" s="25"/>
      <c r="BA2831" s="25"/>
      <c r="BB2831" s="25"/>
      <c r="BC2831" s="25"/>
      <c r="BD2831" s="25"/>
      <c r="BE2831" s="25"/>
      <c r="BF2831" s="25"/>
      <c r="BG2831" s="25"/>
      <c r="BH2831" s="25"/>
      <c r="BI2831" s="25"/>
      <c r="BJ2831" s="25"/>
      <c r="BK2831" s="25"/>
      <c r="BL2831" s="25"/>
      <c r="BM2831" s="25"/>
      <c r="BN2831" s="25"/>
      <c r="BO2831" s="25"/>
      <c r="BP2831" s="25"/>
      <c r="BQ2831" s="25"/>
      <c r="BR2831" s="25"/>
      <c r="BS2831" s="25"/>
      <c r="BT2831" s="25"/>
      <c r="BU2831"/>
      <c r="BV2831"/>
      <c r="BW2831"/>
      <c r="BX2831"/>
      <c r="BY2831"/>
      <c r="BZ2831"/>
      <c r="CA2831"/>
      <c r="CB2831"/>
      <c r="CC2831"/>
      <c r="CD2831" s="25"/>
    </row>
    <row r="2832" spans="1:82" s="17" customFormat="1" x14ac:dyDescent="0.2">
      <c r="A2832" s="25"/>
      <c r="B2832" s="20">
        <v>39105964600</v>
      </c>
      <c r="C2832" s="20">
        <v>9646</v>
      </c>
      <c r="D2832" s="20" t="s">
        <v>58</v>
      </c>
      <c r="E2832" s="20" t="s">
        <v>265</v>
      </c>
      <c r="F2832" s="20" t="s">
        <v>8</v>
      </c>
      <c r="G2832" s="861">
        <v>29.428195485775198</v>
      </c>
      <c r="H2832" s="861">
        <v>34.835529355203299</v>
      </c>
      <c r="I2832" s="861">
        <v>29.588024641730399</v>
      </c>
      <c r="J2832" s="861">
        <v>34.240779237008503</v>
      </c>
      <c r="K2832" s="982">
        <v>0</v>
      </c>
      <c r="L2832" s="735">
        <v>3380</v>
      </c>
      <c r="M2832" s="735">
        <v>3603</v>
      </c>
      <c r="N2832" s="845">
        <f t="shared" si="203"/>
        <v>6.5976331360946744E-2</v>
      </c>
      <c r="O2832" s="735">
        <v>70.389011940290345</v>
      </c>
      <c r="P2832" s="735">
        <f t="shared" si="204"/>
        <v>51.186966554614465</v>
      </c>
      <c r="Q2832" s="849">
        <v>49.1</v>
      </c>
      <c r="R2832" s="71">
        <v>39107</v>
      </c>
      <c r="S2832" s="845">
        <v>0.23128305037573058</v>
      </c>
      <c r="T2832" s="845">
        <v>3.6000000000000004E-2</v>
      </c>
      <c r="U2832" s="845">
        <v>1.9E-2</v>
      </c>
      <c r="V2832" s="845">
        <v>0</v>
      </c>
      <c r="W2832" s="845">
        <v>0.36504975124378108</v>
      </c>
      <c r="X2832" s="845">
        <v>0.37308347529812608</v>
      </c>
      <c r="Y2832" s="845">
        <v>0.94421315570358033</v>
      </c>
      <c r="Z2832" s="845">
        <v>8.3263946711074107E-4</v>
      </c>
      <c r="AA2832" s="845">
        <v>0</v>
      </c>
      <c r="AB2832" s="845">
        <v>1.4709963918956424E-2</v>
      </c>
      <c r="AC2832" s="845">
        <v>0</v>
      </c>
      <c r="AD2832" s="845">
        <v>1.3877324451845684E-2</v>
      </c>
      <c r="AE2832" s="845">
        <v>2.6366916458506799E-2</v>
      </c>
      <c r="AF2832" s="845">
        <v>1.7762975298362477E-2</v>
      </c>
      <c r="AG2832" s="845">
        <v>0.94032750485706351</v>
      </c>
      <c r="AH2832" s="20" t="str">
        <f t="shared" si="205"/>
        <v>Yes</v>
      </c>
      <c r="AI2832" s="25"/>
      <c r="AJ2832" s="25"/>
      <c r="AK2832" s="25"/>
      <c r="AL2832" s="25"/>
      <c r="AM2832" s="25"/>
      <c r="AN2832" s="25"/>
      <c r="AO2832" s="25"/>
      <c r="AP2832" s="25"/>
      <c r="AQ2832" s="25"/>
      <c r="AR2832" s="25"/>
      <c r="AS2832" s="25"/>
      <c r="AT2832" s="25"/>
      <c r="AU2832" s="36"/>
      <c r="AV2832" s="36"/>
      <c r="AW2832" s="36"/>
      <c r="AX2832" s="25"/>
      <c r="AY2832" s="25"/>
      <c r="AZ2832" s="25"/>
      <c r="BA2832" s="25"/>
      <c r="BB2832" s="25"/>
      <c r="BC2832" s="25"/>
      <c r="BD2832" s="25"/>
      <c r="BE2832" s="25"/>
      <c r="BF2832" s="25"/>
      <c r="BG2832" s="25"/>
      <c r="BH2832" s="25"/>
      <c r="BI2832" s="25"/>
      <c r="BJ2832" s="25"/>
      <c r="BK2832" s="25"/>
      <c r="BL2832" s="25"/>
      <c r="BM2832" s="25"/>
      <c r="BN2832" s="25"/>
      <c r="BO2832" s="25"/>
      <c r="BP2832" s="25"/>
      <c r="BQ2832" s="25"/>
      <c r="BR2832" s="25"/>
      <c r="BS2832" s="25"/>
      <c r="BT2832" s="25"/>
      <c r="BU2832"/>
      <c r="BV2832"/>
      <c r="BW2832"/>
      <c r="BX2832"/>
      <c r="BY2832"/>
      <c r="BZ2832"/>
      <c r="CA2832"/>
      <c r="CB2832"/>
      <c r="CC2832"/>
      <c r="CD2832" s="25"/>
    </row>
    <row r="2833" spans="1:82" s="17" customFormat="1" x14ac:dyDescent="0.2">
      <c r="A2833" s="25"/>
      <c r="B2833" s="20">
        <v>39017014100</v>
      </c>
      <c r="C2833" s="20">
        <v>141</v>
      </c>
      <c r="D2833" s="20" t="s">
        <v>15</v>
      </c>
      <c r="E2833" s="20" t="s">
        <v>2828</v>
      </c>
      <c r="F2833" s="20" t="s">
        <v>8</v>
      </c>
      <c r="G2833" s="861">
        <v>29.396955945339201</v>
      </c>
      <c r="H2833" s="861">
        <v>39.607857558189799</v>
      </c>
      <c r="I2833" s="861">
        <v>36.537332635388402</v>
      </c>
      <c r="J2833" s="861">
        <v>42.409463897769598</v>
      </c>
      <c r="K2833" s="982">
        <v>0</v>
      </c>
      <c r="L2833" s="735">
        <v>2262</v>
      </c>
      <c r="M2833" s="735">
        <v>2248</v>
      </c>
      <c r="N2833" s="845">
        <f t="shared" si="203"/>
        <v>-6.18921308576481E-3</v>
      </c>
      <c r="O2833" s="735">
        <v>5.7464495464421264</v>
      </c>
      <c r="P2833" s="735">
        <f t="shared" si="204"/>
        <v>391.19807488640237</v>
      </c>
      <c r="Q2833" s="849">
        <v>41.3</v>
      </c>
      <c r="R2833" s="71">
        <v>63025</v>
      </c>
      <c r="S2833" s="845">
        <v>0.21823956442831216</v>
      </c>
      <c r="T2833" s="845">
        <v>0.10400000000000001</v>
      </c>
      <c r="U2833" s="845">
        <v>0</v>
      </c>
      <c r="V2833" s="845">
        <v>0</v>
      </c>
      <c r="W2833" s="845">
        <v>0.41485714285714287</v>
      </c>
      <c r="X2833" s="845">
        <v>0.45730027548209368</v>
      </c>
      <c r="Y2833" s="845">
        <v>0.61921708185053381</v>
      </c>
      <c r="Z2833" s="845">
        <v>0.24110320284697509</v>
      </c>
      <c r="AA2833" s="845">
        <v>0</v>
      </c>
      <c r="AB2833" s="845">
        <v>0</v>
      </c>
      <c r="AC2833" s="845">
        <v>0</v>
      </c>
      <c r="AD2833" s="845">
        <v>1.0231316725978648E-2</v>
      </c>
      <c r="AE2833" s="845">
        <v>0.12944839857651247</v>
      </c>
      <c r="AF2833" s="845">
        <v>5.1601423487544484E-2</v>
      </c>
      <c r="AG2833" s="845">
        <v>0.59653024911032027</v>
      </c>
      <c r="AH2833" s="20" t="str">
        <f t="shared" si="205"/>
        <v>No</v>
      </c>
      <c r="AI2833" s="25"/>
      <c r="AJ2833" s="25"/>
      <c r="AK2833" s="25"/>
      <c r="AL2833" s="25"/>
      <c r="AM2833" s="25"/>
      <c r="AN2833" s="25"/>
      <c r="AO2833" s="25"/>
      <c r="AP2833" s="25"/>
      <c r="AQ2833" s="25"/>
      <c r="AR2833" s="25"/>
      <c r="AS2833" s="25"/>
      <c r="AT2833" s="25"/>
      <c r="AU2833" s="36"/>
      <c r="AV2833" s="36"/>
      <c r="AW2833" s="36"/>
      <c r="AX2833" s="25"/>
      <c r="AY2833" s="25"/>
      <c r="AZ2833" s="25"/>
      <c r="BA2833" s="25"/>
      <c r="BB2833" s="25"/>
      <c r="BC2833" s="25"/>
      <c r="BD2833" s="25"/>
      <c r="BE2833" s="25"/>
      <c r="BF2833" s="25"/>
      <c r="BG2833" s="25"/>
      <c r="BH2833" s="25"/>
      <c r="BI2833" s="25"/>
      <c r="BJ2833" s="25"/>
      <c r="BK2833" s="25"/>
      <c r="BL2833" s="25"/>
      <c r="BM2833" s="25"/>
      <c r="BN2833" s="25"/>
      <c r="BO2833" s="25"/>
      <c r="BP2833" s="25"/>
      <c r="BQ2833" s="25"/>
      <c r="BR2833" s="25"/>
      <c r="BS2833" s="25"/>
      <c r="BT2833" s="25"/>
      <c r="BU2833"/>
      <c r="BV2833"/>
      <c r="BW2833"/>
      <c r="BX2833"/>
      <c r="BY2833"/>
      <c r="BZ2833"/>
      <c r="CA2833"/>
      <c r="CB2833"/>
      <c r="CC2833"/>
      <c r="CD2833" s="25"/>
    </row>
    <row r="2834" spans="1:82" s="17" customFormat="1" x14ac:dyDescent="0.2">
      <c r="A2834" s="25"/>
      <c r="B2834" s="20">
        <v>39035197900</v>
      </c>
      <c r="C2834" s="20">
        <v>1979</v>
      </c>
      <c r="D2834" s="20" t="s">
        <v>24</v>
      </c>
      <c r="E2834" s="20" t="s">
        <v>2829</v>
      </c>
      <c r="F2834" s="20" t="s">
        <v>6</v>
      </c>
      <c r="G2834" s="861">
        <v>29.365154947847699</v>
      </c>
      <c r="H2834" s="861">
        <v>24.976862104081199</v>
      </c>
      <c r="I2834" s="861">
        <v>64.446824046810804</v>
      </c>
      <c r="J2834" s="861">
        <v>41.064538446350497</v>
      </c>
      <c r="K2834" s="982">
        <v>0</v>
      </c>
      <c r="L2834" s="735" t="s">
        <v>2466</v>
      </c>
      <c r="M2834" s="735">
        <v>1537</v>
      </c>
      <c r="N2834" s="845" t="str">
        <f t="shared" si="203"/>
        <v/>
      </c>
      <c r="O2834" s="735">
        <v>0.75730347657850838</v>
      </c>
      <c r="P2834" s="735">
        <f t="shared" si="204"/>
        <v>2029.5694494156489</v>
      </c>
      <c r="Q2834" s="849">
        <v>44.7</v>
      </c>
      <c r="R2834" s="71">
        <v>35268</v>
      </c>
      <c r="S2834" s="845">
        <v>0.38906961613532859</v>
      </c>
      <c r="T2834" s="845">
        <v>0.18</v>
      </c>
      <c r="U2834" s="845">
        <v>0</v>
      </c>
      <c r="V2834" s="845">
        <v>0</v>
      </c>
      <c r="W2834" s="845">
        <v>0.63214837712519323</v>
      </c>
      <c r="X2834" s="845">
        <v>0.32029339853300731</v>
      </c>
      <c r="Y2834" s="845">
        <v>0.45738451528952506</v>
      </c>
      <c r="Z2834" s="845">
        <v>0.35003253090435915</v>
      </c>
      <c r="AA2834" s="845">
        <v>5.8555627846454128E-3</v>
      </c>
      <c r="AB2834" s="845">
        <v>0</v>
      </c>
      <c r="AC2834" s="845">
        <v>1.2361743656473649E-2</v>
      </c>
      <c r="AD2834" s="845">
        <v>5.2049446974625898E-3</v>
      </c>
      <c r="AE2834" s="845">
        <v>0.16916070266753416</v>
      </c>
      <c r="AF2834" s="845">
        <v>0.1652569941444372</v>
      </c>
      <c r="AG2834" s="845">
        <v>0.44242029928432008</v>
      </c>
      <c r="AH2834" s="20" t="str">
        <f t="shared" si="205"/>
        <v>No</v>
      </c>
      <c r="AI2834" s="25"/>
      <c r="AJ2834" s="25"/>
      <c r="AK2834" s="25"/>
      <c r="AL2834" s="25"/>
      <c r="AM2834" s="25"/>
      <c r="AN2834" s="25"/>
      <c r="AO2834" s="25"/>
      <c r="AP2834" s="25"/>
      <c r="AQ2834" s="25"/>
      <c r="AR2834" s="25"/>
      <c r="AS2834" s="25"/>
      <c r="AT2834" s="25"/>
      <c r="AU2834" s="36"/>
      <c r="AV2834" s="36"/>
      <c r="AW2834" s="36"/>
      <c r="AX2834" s="25"/>
      <c r="AY2834" s="25"/>
      <c r="AZ2834" s="25"/>
      <c r="BA2834" s="25"/>
      <c r="BB2834" s="25"/>
      <c r="BC2834" s="25"/>
      <c r="BD2834" s="25"/>
      <c r="BE2834" s="25"/>
      <c r="BF2834" s="25"/>
      <c r="BG2834" s="25"/>
      <c r="BH2834" s="25"/>
      <c r="BI2834" s="25"/>
      <c r="BJ2834" s="25"/>
      <c r="BK2834" s="25"/>
      <c r="BL2834" s="25"/>
      <c r="BM2834" s="25"/>
      <c r="BN2834" s="25"/>
      <c r="BO2834" s="25"/>
      <c r="BP2834" s="25"/>
      <c r="BQ2834" s="25"/>
      <c r="BR2834" s="25"/>
      <c r="BS2834" s="25"/>
      <c r="BT2834" s="25"/>
      <c r="BU2834"/>
      <c r="BV2834"/>
      <c r="BW2834"/>
      <c r="BX2834"/>
      <c r="BY2834"/>
      <c r="BZ2834"/>
      <c r="CA2834"/>
      <c r="CB2834"/>
      <c r="CC2834"/>
      <c r="CD2834" s="25"/>
    </row>
    <row r="2835" spans="1:82" s="17" customFormat="1" x14ac:dyDescent="0.2">
      <c r="A2835" s="25"/>
      <c r="B2835" s="20">
        <v>39049010300</v>
      </c>
      <c r="C2835" s="20">
        <v>103</v>
      </c>
      <c r="D2835" s="20" t="s">
        <v>31</v>
      </c>
      <c r="E2835" s="20" t="s">
        <v>2830</v>
      </c>
      <c r="F2835" s="20" t="s">
        <v>8</v>
      </c>
      <c r="G2835" s="861">
        <v>29.292990741720601</v>
      </c>
      <c r="H2835" s="861">
        <v>45.3114800031966</v>
      </c>
      <c r="I2835" s="861">
        <v>36.579751812906501</v>
      </c>
      <c r="J2835" s="861">
        <v>60.292828101719898</v>
      </c>
      <c r="K2835" s="982">
        <v>0</v>
      </c>
      <c r="L2835" s="735">
        <v>2981</v>
      </c>
      <c r="M2835" s="735">
        <v>2371</v>
      </c>
      <c r="N2835" s="845">
        <f t="shared" si="203"/>
        <v>-0.20462931902046294</v>
      </c>
      <c r="O2835" s="735">
        <v>7.5654235339327487</v>
      </c>
      <c r="P2835" s="735">
        <f t="shared" si="204"/>
        <v>313.39950623590249</v>
      </c>
      <c r="Q2835" s="849">
        <v>27.5</v>
      </c>
      <c r="R2835" s="71">
        <v>59028</v>
      </c>
      <c r="S2835" s="845">
        <v>0.12259718069201196</v>
      </c>
      <c r="T2835" s="845">
        <v>2.3E-2</v>
      </c>
      <c r="U2835" s="845">
        <v>0</v>
      </c>
      <c r="V2835" s="845">
        <v>0.105</v>
      </c>
      <c r="W2835" s="845">
        <v>0.88666666666666671</v>
      </c>
      <c r="X2835" s="845">
        <v>0.31203007518796994</v>
      </c>
      <c r="Y2835" s="845">
        <v>0.68409953606073381</v>
      </c>
      <c r="Z2835" s="845">
        <v>0.18641923239139604</v>
      </c>
      <c r="AA2835" s="845">
        <v>0</v>
      </c>
      <c r="AB2835" s="845">
        <v>8.0134964150147623E-3</v>
      </c>
      <c r="AC2835" s="845">
        <v>0</v>
      </c>
      <c r="AD2835" s="845">
        <v>1.6026992830029525E-2</v>
      </c>
      <c r="AE2835" s="845">
        <v>0.10544074230282581</v>
      </c>
      <c r="AF2835" s="845">
        <v>6.6638549135385916E-2</v>
      </c>
      <c r="AG2835" s="845">
        <v>0.66975959510754957</v>
      </c>
      <c r="AH2835" s="20" t="str">
        <f t="shared" si="205"/>
        <v>No</v>
      </c>
      <c r="AI2835" s="25"/>
      <c r="AJ2835" s="25"/>
      <c r="AK2835" s="25"/>
      <c r="AL2835" s="25"/>
      <c r="AM2835" s="25"/>
      <c r="AN2835" s="25"/>
      <c r="AO2835" s="25"/>
      <c r="AP2835" s="25"/>
      <c r="AQ2835" s="25"/>
      <c r="AR2835" s="25"/>
      <c r="AS2835" s="25"/>
      <c r="AT2835" s="25"/>
      <c r="AU2835" s="36"/>
      <c r="AV2835" s="36"/>
      <c r="AW2835" s="36"/>
      <c r="AX2835" s="25"/>
      <c r="AY2835" s="25"/>
      <c r="AZ2835" s="25"/>
      <c r="BA2835" s="25"/>
      <c r="BB2835" s="25"/>
      <c r="BC2835" s="25"/>
      <c r="BD2835" s="25"/>
      <c r="BE2835" s="25"/>
      <c r="BF2835" s="25"/>
      <c r="BG2835" s="25"/>
      <c r="BH2835" s="25"/>
      <c r="BI2835" s="25"/>
      <c r="BJ2835" s="25"/>
      <c r="BK2835" s="25"/>
      <c r="BL2835" s="25"/>
      <c r="BM2835" s="25"/>
      <c r="BN2835" s="25"/>
      <c r="BO2835" s="25"/>
      <c r="BP2835" s="25"/>
      <c r="BQ2835" s="25"/>
      <c r="BR2835" s="25"/>
      <c r="BS2835" s="25"/>
      <c r="BT2835" s="25"/>
      <c r="BU2835"/>
      <c r="BV2835"/>
      <c r="BW2835"/>
      <c r="BX2835"/>
      <c r="BY2835"/>
      <c r="BZ2835"/>
      <c r="CA2835"/>
      <c r="CB2835"/>
      <c r="CC2835"/>
      <c r="CD2835" s="25"/>
    </row>
    <row r="2836" spans="1:82" s="17" customFormat="1" x14ac:dyDescent="0.2">
      <c r="A2836" s="25"/>
      <c r="B2836" s="20">
        <v>39095004900</v>
      </c>
      <c r="C2836" s="20">
        <v>49</v>
      </c>
      <c r="D2836" s="20" t="s">
        <v>53</v>
      </c>
      <c r="E2836" s="20" t="s">
        <v>2839</v>
      </c>
      <c r="F2836" s="20" t="s">
        <v>6</v>
      </c>
      <c r="G2836" s="861">
        <v>29.291605367857901</v>
      </c>
      <c r="H2836" s="861">
        <v>45.597737215911799</v>
      </c>
      <c r="I2836" s="861">
        <v>68.400938293302701</v>
      </c>
      <c r="J2836" s="861">
        <v>42.998838361409</v>
      </c>
      <c r="K2836" s="982">
        <v>0</v>
      </c>
      <c r="L2836" s="735">
        <v>2689</v>
      </c>
      <c r="M2836" s="735">
        <v>2951</v>
      </c>
      <c r="N2836" s="845">
        <f t="shared" si="203"/>
        <v>9.7433990330978062E-2</v>
      </c>
      <c r="O2836" s="735">
        <v>0.40516865538815161</v>
      </c>
      <c r="P2836" s="735">
        <f t="shared" si="204"/>
        <v>7283.3867100922253</v>
      </c>
      <c r="Q2836" s="849">
        <v>33.200000000000003</v>
      </c>
      <c r="R2836" s="71">
        <v>38864</v>
      </c>
      <c r="S2836" s="845">
        <v>0.30735343951202981</v>
      </c>
      <c r="T2836" s="845">
        <v>0.14699999999999999</v>
      </c>
      <c r="U2836" s="845">
        <v>0</v>
      </c>
      <c r="V2836" s="845">
        <v>3.1E-2</v>
      </c>
      <c r="W2836" s="845">
        <v>0.72349823321554774</v>
      </c>
      <c r="X2836" s="845">
        <v>0.44688644688644691</v>
      </c>
      <c r="Y2836" s="845">
        <v>0.48627583869874619</v>
      </c>
      <c r="Z2836" s="845">
        <v>0.1579125720094883</v>
      </c>
      <c r="AA2836" s="845">
        <v>0</v>
      </c>
      <c r="AB2836" s="845">
        <v>0</v>
      </c>
      <c r="AC2836" s="845">
        <v>0</v>
      </c>
      <c r="AD2836" s="845">
        <v>7.0823449678075232E-2</v>
      </c>
      <c r="AE2836" s="845">
        <v>0.28498813961369029</v>
      </c>
      <c r="AF2836" s="845">
        <v>0.2209420535411725</v>
      </c>
      <c r="AG2836" s="845">
        <v>0.43815655709928836</v>
      </c>
      <c r="AH2836" s="20" t="str">
        <f t="shared" si="205"/>
        <v>No</v>
      </c>
      <c r="AI2836" s="25"/>
      <c r="AJ2836" s="25"/>
      <c r="AK2836" s="25"/>
      <c r="AL2836" s="25"/>
      <c r="AM2836" s="25"/>
      <c r="AN2836" s="25"/>
      <c r="AO2836" s="25"/>
      <c r="AP2836" s="25"/>
      <c r="AQ2836" s="25"/>
      <c r="AR2836" s="25"/>
      <c r="AS2836" s="25"/>
      <c r="AT2836" s="25"/>
      <c r="AU2836" s="36"/>
      <c r="AV2836" s="36"/>
      <c r="AW2836" s="36"/>
      <c r="AX2836" s="25"/>
      <c r="AY2836" s="25"/>
      <c r="AZ2836" s="25"/>
      <c r="BA2836" s="25"/>
      <c r="BB2836" s="25"/>
      <c r="BC2836" s="25"/>
      <c r="BD2836" s="25"/>
      <c r="BE2836" s="25"/>
      <c r="BF2836" s="25"/>
      <c r="BG2836" s="25"/>
      <c r="BH2836" s="25"/>
      <c r="BI2836" s="25"/>
      <c r="BJ2836" s="25"/>
      <c r="BK2836" s="25"/>
      <c r="BL2836" s="25"/>
      <c r="BM2836" s="25"/>
      <c r="BN2836" s="25"/>
      <c r="BO2836" s="25"/>
      <c r="BP2836" s="25"/>
      <c r="BQ2836" s="25"/>
      <c r="BR2836" s="25"/>
      <c r="BS2836" s="25"/>
      <c r="BT2836" s="25"/>
      <c r="BU2836"/>
      <c r="BV2836"/>
      <c r="BW2836"/>
      <c r="BX2836"/>
      <c r="BY2836"/>
      <c r="BZ2836"/>
      <c r="CA2836"/>
      <c r="CB2836"/>
      <c r="CC2836"/>
      <c r="CD2836" s="25"/>
    </row>
    <row r="2837" spans="1:82" s="17" customFormat="1" x14ac:dyDescent="0.2">
      <c r="A2837" s="25"/>
      <c r="B2837" s="20">
        <v>39075976600</v>
      </c>
      <c r="C2837" s="20">
        <v>9766</v>
      </c>
      <c r="D2837" s="20" t="s">
        <v>44</v>
      </c>
      <c r="E2837" s="20" t="s">
        <v>265</v>
      </c>
      <c r="F2837" s="20" t="s">
        <v>8</v>
      </c>
      <c r="G2837" s="861">
        <v>29.277568285466302</v>
      </c>
      <c r="H2837" s="861">
        <v>30.5257523997699</v>
      </c>
      <c r="I2837" s="861">
        <v>26.470680051420199</v>
      </c>
      <c r="J2837" s="861">
        <v>52.681012323086399</v>
      </c>
      <c r="K2837" s="982">
        <v>0</v>
      </c>
      <c r="L2837" s="735">
        <v>4233</v>
      </c>
      <c r="M2837" s="735">
        <v>4131</v>
      </c>
      <c r="N2837" s="845">
        <f t="shared" si="203"/>
        <v>-2.4096385542168676E-2</v>
      </c>
      <c r="O2837" s="735">
        <v>79.981049411072391</v>
      </c>
      <c r="P2837" s="735">
        <f t="shared" si="204"/>
        <v>51.649734911181525</v>
      </c>
      <c r="Q2837" s="849">
        <v>44.7</v>
      </c>
      <c r="R2837" s="71">
        <v>64636</v>
      </c>
      <c r="S2837" s="845">
        <v>0.11237587793654638</v>
      </c>
      <c r="T2837" s="845">
        <v>5.5999999999999994E-2</v>
      </c>
      <c r="U2837" s="845">
        <v>1.1000000000000001E-2</v>
      </c>
      <c r="V2837" s="845">
        <v>3.9E-2</v>
      </c>
      <c r="W2837" s="845">
        <v>0.1332518337408313</v>
      </c>
      <c r="X2837" s="845">
        <v>0.20642201834862386</v>
      </c>
      <c r="Y2837" s="845">
        <v>0.97942386831275718</v>
      </c>
      <c r="Z2837" s="845">
        <v>0</v>
      </c>
      <c r="AA2837" s="845">
        <v>3.3890099249576375E-3</v>
      </c>
      <c r="AB2837" s="845">
        <v>0</v>
      </c>
      <c r="AC2837" s="845">
        <v>0</v>
      </c>
      <c r="AD2837" s="845">
        <v>2.4207213749697409E-4</v>
      </c>
      <c r="AE2837" s="845">
        <v>1.6945049624788187E-2</v>
      </c>
      <c r="AF2837" s="845">
        <v>7.2621641249092229E-4</v>
      </c>
      <c r="AG2837" s="845">
        <v>0.97942386831275718</v>
      </c>
      <c r="AH2837" s="20" t="str">
        <f t="shared" si="205"/>
        <v>Yes</v>
      </c>
      <c r="AI2837" s="25"/>
      <c r="AJ2837" s="25"/>
      <c r="AK2837" s="25"/>
      <c r="AL2837" s="25"/>
      <c r="AM2837" s="25"/>
      <c r="AN2837" s="25"/>
      <c r="AO2837" s="25"/>
      <c r="AP2837" s="25"/>
      <c r="AQ2837" s="25"/>
      <c r="AR2837" s="25"/>
      <c r="AS2837" s="25"/>
      <c r="AT2837" s="25"/>
      <c r="AU2837" s="36"/>
      <c r="AV2837" s="36"/>
      <c r="AW2837" s="36"/>
      <c r="AX2837" s="25"/>
      <c r="AY2837" s="25"/>
      <c r="AZ2837" s="25"/>
      <c r="BA2837" s="25"/>
      <c r="BB2837" s="25"/>
      <c r="BC2837" s="25"/>
      <c r="BD2837" s="25"/>
      <c r="BE2837" s="25"/>
      <c r="BF2837" s="25"/>
      <c r="BG2837" s="25"/>
      <c r="BH2837" s="25"/>
      <c r="BI2837" s="25"/>
      <c r="BJ2837" s="25"/>
      <c r="BK2837" s="25"/>
      <c r="BL2837" s="25"/>
      <c r="BM2837" s="25"/>
      <c r="BN2837" s="25"/>
      <c r="BO2837" s="25"/>
      <c r="BP2837" s="25"/>
      <c r="BQ2837" s="25"/>
      <c r="BR2837" s="25"/>
      <c r="BS2837" s="25"/>
      <c r="BT2837" s="25"/>
      <c r="BU2837"/>
      <c r="BV2837"/>
      <c r="BW2837"/>
      <c r="BX2837"/>
      <c r="BY2837"/>
      <c r="BZ2837"/>
      <c r="CA2837"/>
      <c r="CB2837"/>
      <c r="CC2837"/>
      <c r="CD2837" s="25"/>
    </row>
    <row r="2838" spans="1:82" s="17" customFormat="1" x14ac:dyDescent="0.2">
      <c r="A2838" s="25"/>
      <c r="B2838" s="20">
        <v>39025041001</v>
      </c>
      <c r="C2838" s="20">
        <v>410.01</v>
      </c>
      <c r="D2838" s="20" t="s">
        <v>19</v>
      </c>
      <c r="E2838" s="20" t="s">
        <v>2828</v>
      </c>
      <c r="F2838" s="20" t="s">
        <v>8</v>
      </c>
      <c r="G2838" s="861">
        <v>29.272810762774899</v>
      </c>
      <c r="H2838" s="861">
        <v>32.954671629664297</v>
      </c>
      <c r="I2838" s="861">
        <v>25.816843133228101</v>
      </c>
      <c r="J2838" s="861">
        <v>26.905991887248</v>
      </c>
      <c r="K2838" s="982">
        <v>0</v>
      </c>
      <c r="L2838" s="735" t="s">
        <v>2466</v>
      </c>
      <c r="M2838" s="735">
        <v>5614</v>
      </c>
      <c r="N2838" s="845" t="str">
        <f t="shared" si="203"/>
        <v/>
      </c>
      <c r="O2838" s="735">
        <v>16.294160516435731</v>
      </c>
      <c r="P2838" s="735">
        <f t="shared" si="204"/>
        <v>344.54060976858693</v>
      </c>
      <c r="Q2838" s="849">
        <v>33.4</v>
      </c>
      <c r="R2838" s="71">
        <v>62458</v>
      </c>
      <c r="S2838" s="845">
        <v>0.10658016682113068</v>
      </c>
      <c r="T2838" s="845">
        <v>8.199999999999999E-2</v>
      </c>
      <c r="U2838" s="845">
        <v>0</v>
      </c>
      <c r="V2838" s="845">
        <v>0</v>
      </c>
      <c r="W2838" s="845">
        <v>0.29304556354916067</v>
      </c>
      <c r="X2838" s="845">
        <v>0.27004909983633391</v>
      </c>
      <c r="Y2838" s="845">
        <v>0.91218382614891347</v>
      </c>
      <c r="Z2838" s="845">
        <v>9.0844317776986108E-3</v>
      </c>
      <c r="AA2838" s="845">
        <v>7.1250445315283219E-4</v>
      </c>
      <c r="AB2838" s="845">
        <v>8.9063056644104023E-4</v>
      </c>
      <c r="AC2838" s="845">
        <v>0</v>
      </c>
      <c r="AD2838" s="845">
        <v>1.8346989668685431E-2</v>
      </c>
      <c r="AE2838" s="845">
        <v>5.8781617385108655E-2</v>
      </c>
      <c r="AF2838" s="845">
        <v>0</v>
      </c>
      <c r="AG2838" s="845">
        <v>0.91218382614891347</v>
      </c>
      <c r="AH2838" s="20" t="str">
        <f t="shared" si="205"/>
        <v>Yes</v>
      </c>
      <c r="AI2838" s="25"/>
      <c r="AJ2838" s="25"/>
      <c r="AK2838" s="25"/>
      <c r="AL2838" s="25"/>
      <c r="AM2838" s="25"/>
      <c r="AN2838" s="25"/>
      <c r="AO2838" s="25"/>
      <c r="AP2838" s="25"/>
      <c r="AQ2838" s="25"/>
      <c r="AR2838" s="25"/>
      <c r="AS2838" s="25"/>
      <c r="AT2838" s="25"/>
      <c r="AU2838" s="36"/>
      <c r="AV2838" s="36"/>
      <c r="AW2838" s="36"/>
      <c r="AX2838" s="25"/>
      <c r="AY2838" s="25"/>
      <c r="AZ2838" s="25"/>
      <c r="BA2838" s="25"/>
      <c r="BB2838" s="25"/>
      <c r="BC2838" s="25"/>
      <c r="BD2838" s="25"/>
      <c r="BE2838" s="25"/>
      <c r="BF2838" s="25"/>
      <c r="BG2838" s="25"/>
      <c r="BH2838" s="25"/>
      <c r="BI2838" s="25"/>
      <c r="BJ2838" s="25"/>
      <c r="BK2838" s="25"/>
      <c r="BL2838" s="25"/>
      <c r="BM2838" s="25"/>
      <c r="BN2838" s="25"/>
      <c r="BO2838" s="25"/>
      <c r="BP2838" s="25"/>
      <c r="BQ2838" s="25"/>
      <c r="BR2838" s="25"/>
      <c r="BS2838" s="25"/>
      <c r="BT2838" s="25"/>
      <c r="BU2838"/>
      <c r="BV2838"/>
      <c r="BW2838"/>
      <c r="BX2838"/>
      <c r="BY2838"/>
      <c r="BZ2838"/>
      <c r="CA2838"/>
      <c r="CB2838"/>
      <c r="CC2838"/>
      <c r="CD2838" s="25"/>
    </row>
    <row r="2839" spans="1:82" s="17" customFormat="1" x14ac:dyDescent="0.2">
      <c r="A2839" s="25"/>
      <c r="B2839" s="20">
        <v>39057240302</v>
      </c>
      <c r="C2839" s="20">
        <v>2403.02</v>
      </c>
      <c r="D2839" s="20" t="s">
        <v>35</v>
      </c>
      <c r="E2839" s="20" t="s">
        <v>2833</v>
      </c>
      <c r="F2839" s="20" t="s">
        <v>6</v>
      </c>
      <c r="G2839" s="861">
        <v>29.234381341157999</v>
      </c>
      <c r="H2839" s="861">
        <v>35.994975285019301</v>
      </c>
      <c r="I2839" s="861">
        <v>43.477237710864898</v>
      </c>
      <c r="J2839" s="861">
        <v>29.903345144505099</v>
      </c>
      <c r="K2839" s="982">
        <v>0</v>
      </c>
      <c r="L2839" s="735">
        <v>3330</v>
      </c>
      <c r="M2839" s="735">
        <v>3904</v>
      </c>
      <c r="N2839" s="845">
        <f t="shared" si="203"/>
        <v>0.17237237237237238</v>
      </c>
      <c r="O2839" s="735">
        <v>6.3471604122537846</v>
      </c>
      <c r="P2839" s="735">
        <f t="shared" si="204"/>
        <v>615.07819976677513</v>
      </c>
      <c r="Q2839" s="849">
        <v>48.4</v>
      </c>
      <c r="R2839" s="71">
        <v>34034</v>
      </c>
      <c r="S2839" s="845">
        <v>0.24205128205128204</v>
      </c>
      <c r="T2839" s="845">
        <v>0.13</v>
      </c>
      <c r="U2839" s="845">
        <v>0</v>
      </c>
      <c r="V2839" s="845">
        <v>0.05</v>
      </c>
      <c r="W2839" s="845">
        <v>0.62851405622489964</v>
      </c>
      <c r="X2839" s="845">
        <v>0.36102236421725242</v>
      </c>
      <c r="Y2839" s="845">
        <v>0.81762295081967218</v>
      </c>
      <c r="Z2839" s="845">
        <v>6.4805327868852458E-2</v>
      </c>
      <c r="AA2839" s="845">
        <v>1.0502049180327868E-2</v>
      </c>
      <c r="AB2839" s="845">
        <v>3.0993852459016393E-2</v>
      </c>
      <c r="AC2839" s="845">
        <v>0</v>
      </c>
      <c r="AD2839" s="845">
        <v>7.9405737704918034E-3</v>
      </c>
      <c r="AE2839" s="845">
        <v>6.8135245901639344E-2</v>
      </c>
      <c r="AF2839" s="845">
        <v>3.8422131147540983E-3</v>
      </c>
      <c r="AG2839" s="845">
        <v>0.81429303278688525</v>
      </c>
      <c r="AH2839" s="20" t="str">
        <f t="shared" si="205"/>
        <v>No</v>
      </c>
      <c r="AI2839" s="25"/>
      <c r="AJ2839" s="25"/>
      <c r="AK2839" s="25"/>
      <c r="AL2839" s="25"/>
      <c r="AM2839" s="25"/>
      <c r="AN2839" s="25"/>
      <c r="AO2839" s="25"/>
      <c r="AP2839" s="25"/>
      <c r="AQ2839" s="25"/>
      <c r="AR2839" s="25"/>
      <c r="AS2839" s="25"/>
      <c r="AT2839" s="25"/>
      <c r="AU2839" s="36"/>
      <c r="AV2839" s="36"/>
      <c r="AW2839" s="36"/>
      <c r="AX2839" s="25"/>
      <c r="AY2839" s="25"/>
      <c r="AZ2839" s="25"/>
      <c r="BA2839" s="25"/>
      <c r="BB2839" s="25"/>
      <c r="BC2839" s="25"/>
      <c r="BD2839" s="25"/>
      <c r="BE2839" s="25"/>
      <c r="BF2839" s="25"/>
      <c r="BG2839" s="25"/>
      <c r="BH2839" s="25"/>
      <c r="BI2839" s="25"/>
      <c r="BJ2839" s="25"/>
      <c r="BK2839" s="25"/>
      <c r="BL2839" s="25"/>
      <c r="BM2839" s="25"/>
      <c r="BN2839" s="25"/>
      <c r="BO2839" s="25"/>
      <c r="BP2839" s="25"/>
      <c r="BQ2839" s="25"/>
      <c r="BR2839" s="25"/>
      <c r="BS2839" s="25"/>
      <c r="BT2839" s="25"/>
      <c r="BU2839"/>
      <c r="BV2839"/>
      <c r="BW2839"/>
      <c r="BX2839"/>
      <c r="BY2839"/>
      <c r="BZ2839"/>
      <c r="CA2839"/>
      <c r="CB2839"/>
      <c r="CC2839"/>
      <c r="CD2839" s="25"/>
    </row>
    <row r="2840" spans="1:82" s="17" customFormat="1" x14ac:dyDescent="0.2">
      <c r="A2840" s="25"/>
      <c r="B2840" s="20">
        <v>39131952700</v>
      </c>
      <c r="C2840" s="20">
        <v>9527</v>
      </c>
      <c r="D2840" s="20" t="s">
        <v>71</v>
      </c>
      <c r="E2840" s="20" t="s">
        <v>265</v>
      </c>
      <c r="F2840" s="20" t="s">
        <v>8</v>
      </c>
      <c r="G2840" s="861">
        <v>29.202455830745599</v>
      </c>
      <c r="H2840" s="861">
        <v>40.119577613070099</v>
      </c>
      <c r="I2840" s="861">
        <v>28.747201208696101</v>
      </c>
      <c r="J2840" s="861">
        <v>49.189612370994702</v>
      </c>
      <c r="K2840" s="982">
        <v>0</v>
      </c>
      <c r="L2840" s="735">
        <v>4537</v>
      </c>
      <c r="M2840" s="735">
        <v>4339</v>
      </c>
      <c r="N2840" s="845">
        <f t="shared" si="203"/>
        <v>-4.3641172581000663E-2</v>
      </c>
      <c r="O2840" s="735">
        <v>110.20017848653367</v>
      </c>
      <c r="P2840" s="735">
        <f t="shared" si="204"/>
        <v>39.373801926556958</v>
      </c>
      <c r="Q2840" s="849">
        <v>39.4</v>
      </c>
      <c r="R2840" s="71">
        <v>53902</v>
      </c>
      <c r="S2840" s="845">
        <v>0.18097941802696949</v>
      </c>
      <c r="T2840" s="845">
        <v>6.0000000000000001E-3</v>
      </c>
      <c r="U2840" s="845">
        <v>6.9999999999999993E-3</v>
      </c>
      <c r="V2840" s="845">
        <v>0</v>
      </c>
      <c r="W2840" s="845">
        <v>0.33094384707287933</v>
      </c>
      <c r="X2840" s="845">
        <v>0.21660649819494585</v>
      </c>
      <c r="Y2840" s="845">
        <v>0.9421525697165245</v>
      </c>
      <c r="Z2840" s="845">
        <v>1.4058538833832681E-2</v>
      </c>
      <c r="AA2840" s="845">
        <v>0</v>
      </c>
      <c r="AB2840" s="845">
        <v>0</v>
      </c>
      <c r="AC2840" s="845">
        <v>2.9499884766075131E-2</v>
      </c>
      <c r="AD2840" s="845">
        <v>0</v>
      </c>
      <c r="AE2840" s="845">
        <v>1.4289006683567642E-2</v>
      </c>
      <c r="AF2840" s="845">
        <v>2.4660059921640932E-2</v>
      </c>
      <c r="AG2840" s="845">
        <v>0.91749250979488362</v>
      </c>
      <c r="AH2840" s="20" t="str">
        <f t="shared" si="205"/>
        <v>Yes</v>
      </c>
      <c r="AI2840" s="25"/>
      <c r="AJ2840" s="25"/>
      <c r="AK2840" s="25"/>
      <c r="AL2840" s="25"/>
      <c r="AM2840" s="25"/>
      <c r="AN2840" s="25"/>
      <c r="AO2840" s="25"/>
      <c r="AP2840" s="25"/>
      <c r="AQ2840" s="25"/>
      <c r="AR2840" s="25"/>
      <c r="AS2840" s="25"/>
      <c r="AT2840" s="25"/>
      <c r="AU2840" s="36"/>
      <c r="AV2840" s="36"/>
      <c r="AW2840" s="36"/>
      <c r="AX2840" s="25"/>
      <c r="AY2840" s="25"/>
      <c r="AZ2840" s="25"/>
      <c r="BA2840" s="25"/>
      <c r="BB2840" s="25"/>
      <c r="BC2840" s="25"/>
      <c r="BD2840" s="25"/>
      <c r="BE2840" s="25"/>
      <c r="BF2840" s="25"/>
      <c r="BG2840" s="25"/>
      <c r="BH2840" s="25"/>
      <c r="BI2840" s="25"/>
      <c r="BJ2840" s="25"/>
      <c r="BK2840" s="25"/>
      <c r="BL2840" s="25"/>
      <c r="BM2840" s="25"/>
      <c r="BN2840" s="25"/>
      <c r="BO2840" s="25"/>
      <c r="BP2840" s="25"/>
      <c r="BQ2840" s="25"/>
      <c r="BR2840" s="25"/>
      <c r="BS2840" s="25"/>
      <c r="BT2840" s="25"/>
      <c r="BU2840"/>
      <c r="BV2840"/>
      <c r="BW2840"/>
      <c r="BX2840"/>
      <c r="BY2840"/>
      <c r="BZ2840"/>
      <c r="CA2840"/>
      <c r="CB2840"/>
      <c r="CC2840"/>
      <c r="CD2840" s="25"/>
    </row>
    <row r="2841" spans="1:82" s="17" customFormat="1" x14ac:dyDescent="0.2">
      <c r="A2841" s="25"/>
      <c r="B2841" s="20">
        <v>39017000500</v>
      </c>
      <c r="C2841" s="20">
        <v>5</v>
      </c>
      <c r="D2841" s="20" t="s">
        <v>15</v>
      </c>
      <c r="E2841" s="20" t="s">
        <v>2828</v>
      </c>
      <c r="F2841" s="20" t="s">
        <v>6</v>
      </c>
      <c r="G2841" s="861">
        <v>29.1259264069277</v>
      </c>
      <c r="H2841" s="861">
        <v>36.335360707083403</v>
      </c>
      <c r="I2841" s="861">
        <v>43.708948924650599</v>
      </c>
      <c r="J2841" s="861">
        <v>42.810526988686298</v>
      </c>
      <c r="K2841" s="982">
        <v>0</v>
      </c>
      <c r="L2841" s="735">
        <v>4670</v>
      </c>
      <c r="M2841" s="735">
        <v>4701</v>
      </c>
      <c r="N2841" s="845">
        <f t="shared" si="203"/>
        <v>6.6381156316916486E-3</v>
      </c>
      <c r="O2841" s="735">
        <v>0.81474621132527136</v>
      </c>
      <c r="P2841" s="735">
        <f t="shared" si="204"/>
        <v>5769.8948883153735</v>
      </c>
      <c r="Q2841" s="849">
        <v>32.4</v>
      </c>
      <c r="R2841" s="71">
        <v>42715</v>
      </c>
      <c r="S2841" s="845">
        <v>0.31664499349804942</v>
      </c>
      <c r="T2841" s="845">
        <v>0.14099999999999999</v>
      </c>
      <c r="U2841" s="845">
        <v>8.0000000000000002E-3</v>
      </c>
      <c r="V2841" s="845">
        <v>1.7000000000000001E-2</v>
      </c>
      <c r="W2841" s="845">
        <v>0.5704506560182544</v>
      </c>
      <c r="X2841" s="845">
        <v>0.34599999999999997</v>
      </c>
      <c r="Y2841" s="845">
        <v>0.75558391831525207</v>
      </c>
      <c r="Z2841" s="845">
        <v>9.4235269091682616E-2</v>
      </c>
      <c r="AA2841" s="845">
        <v>0</v>
      </c>
      <c r="AB2841" s="845">
        <v>0</v>
      </c>
      <c r="AC2841" s="845">
        <v>0</v>
      </c>
      <c r="AD2841" s="845">
        <v>8.4024675600935975E-2</v>
      </c>
      <c r="AE2841" s="845">
        <v>6.6156136992129327E-2</v>
      </c>
      <c r="AF2841" s="845">
        <v>0.26738991703892789</v>
      </c>
      <c r="AG2841" s="845">
        <v>0.60157413316315678</v>
      </c>
      <c r="AH2841" s="20" t="str">
        <f t="shared" si="205"/>
        <v>No</v>
      </c>
      <c r="AI2841" s="25"/>
      <c r="AJ2841" s="25"/>
      <c r="AK2841" s="25"/>
      <c r="AL2841" s="25"/>
      <c r="AM2841" s="25"/>
      <c r="AN2841" s="25"/>
      <c r="AO2841" s="25"/>
      <c r="AP2841" s="25"/>
      <c r="AQ2841" s="25"/>
      <c r="AR2841" s="25"/>
      <c r="AS2841" s="25"/>
      <c r="AT2841" s="25"/>
      <c r="AU2841" s="36"/>
      <c r="AV2841" s="36"/>
      <c r="AW2841" s="36"/>
      <c r="AX2841" s="25"/>
      <c r="AY2841" s="25"/>
      <c r="AZ2841" s="25"/>
      <c r="BA2841" s="25"/>
      <c r="BB2841" s="25"/>
      <c r="BC2841" s="25"/>
      <c r="BD2841" s="25"/>
      <c r="BE2841" s="25"/>
      <c r="BF2841" s="25"/>
      <c r="BG2841" s="25"/>
      <c r="BH2841" s="25"/>
      <c r="BI2841" s="25"/>
      <c r="BJ2841" s="25"/>
      <c r="BK2841" s="25"/>
      <c r="BL2841" s="25"/>
      <c r="BM2841" s="25"/>
      <c r="BN2841" s="25"/>
      <c r="BO2841" s="25"/>
      <c r="BP2841" s="25"/>
      <c r="BQ2841" s="25"/>
      <c r="BR2841" s="25"/>
      <c r="BS2841" s="25"/>
      <c r="BT2841" s="25"/>
      <c r="BU2841"/>
      <c r="BV2841"/>
      <c r="BW2841"/>
      <c r="BX2841"/>
      <c r="BY2841"/>
      <c r="BZ2841"/>
      <c r="CA2841"/>
      <c r="CB2841"/>
      <c r="CC2841"/>
      <c r="CD2841" s="25"/>
    </row>
    <row r="2842" spans="1:82" s="17" customFormat="1" x14ac:dyDescent="0.2">
      <c r="A2842" s="25"/>
      <c r="B2842" s="20">
        <v>39035117201</v>
      </c>
      <c r="C2842" s="20">
        <v>1172.01</v>
      </c>
      <c r="D2842" s="20" t="s">
        <v>24</v>
      </c>
      <c r="E2842" s="20" t="s">
        <v>2829</v>
      </c>
      <c r="F2842" s="20" t="s">
        <v>6</v>
      </c>
      <c r="G2842" s="861">
        <v>29.051597047971502</v>
      </c>
      <c r="H2842" s="861">
        <v>32.864557722741502</v>
      </c>
      <c r="I2842" s="861">
        <v>59.775352277503401</v>
      </c>
      <c r="J2842" s="861">
        <v>43.6341269910817</v>
      </c>
      <c r="K2842" s="982">
        <v>0</v>
      </c>
      <c r="L2842" s="735">
        <v>3200</v>
      </c>
      <c r="M2842" s="735">
        <v>3063</v>
      </c>
      <c r="N2842" s="845">
        <f t="shared" si="203"/>
        <v>-4.2812500000000003E-2</v>
      </c>
      <c r="O2842" s="735">
        <v>0.31886130936716928</v>
      </c>
      <c r="P2842" s="735">
        <f t="shared" si="204"/>
        <v>9606.0572732358414</v>
      </c>
      <c r="Q2842" s="849">
        <v>61.8</v>
      </c>
      <c r="R2842" s="71">
        <v>16039</v>
      </c>
      <c r="S2842" s="845">
        <v>0.5701188455008489</v>
      </c>
      <c r="T2842" s="845">
        <v>0.125</v>
      </c>
      <c r="U2842" s="845">
        <v>0</v>
      </c>
      <c r="V2842" s="845">
        <v>3.3000000000000002E-2</v>
      </c>
      <c r="W2842" s="845">
        <v>0.77104377104377109</v>
      </c>
      <c r="X2842" s="845">
        <v>0.57205240174672489</v>
      </c>
      <c r="Y2842" s="845">
        <v>0.21873979758406792</v>
      </c>
      <c r="Z2842" s="845">
        <v>0.71498530852105779</v>
      </c>
      <c r="AA2842" s="845">
        <v>3.5912504080966375E-3</v>
      </c>
      <c r="AB2842" s="845">
        <v>0</v>
      </c>
      <c r="AC2842" s="845">
        <v>0</v>
      </c>
      <c r="AD2842" s="845">
        <v>0</v>
      </c>
      <c r="AE2842" s="845">
        <v>6.2683643486777671E-2</v>
      </c>
      <c r="AF2842" s="845">
        <v>1.4038524322559582E-2</v>
      </c>
      <c r="AG2842" s="845">
        <v>0.21873979758406792</v>
      </c>
      <c r="AH2842" s="20" t="str">
        <f t="shared" si="205"/>
        <v>No</v>
      </c>
      <c r="AI2842" s="25"/>
      <c r="AJ2842" s="25"/>
      <c r="AK2842" s="25"/>
      <c r="AL2842" s="25"/>
      <c r="AM2842" s="25"/>
      <c r="AN2842" s="25"/>
      <c r="AO2842" s="25"/>
      <c r="AP2842" s="25"/>
      <c r="AQ2842" s="25"/>
      <c r="AR2842" s="25"/>
      <c r="AS2842" s="25"/>
      <c r="AT2842" s="25"/>
      <c r="AU2842" s="36"/>
      <c r="AV2842" s="36"/>
      <c r="AW2842" s="36"/>
      <c r="AX2842" s="25"/>
      <c r="AY2842" s="25"/>
      <c r="AZ2842" s="25"/>
      <c r="BA2842" s="25"/>
      <c r="BB2842" s="25"/>
      <c r="BC2842" s="25"/>
      <c r="BD2842" s="25"/>
      <c r="BE2842" s="25"/>
      <c r="BF2842" s="25"/>
      <c r="BG2842" s="25"/>
      <c r="BH2842" s="25"/>
      <c r="BI2842" s="25"/>
      <c r="BJ2842" s="25"/>
      <c r="BK2842" s="25"/>
      <c r="BL2842" s="25"/>
      <c r="BM2842" s="25"/>
      <c r="BN2842" s="25"/>
      <c r="BO2842" s="25"/>
      <c r="BP2842" s="25"/>
      <c r="BQ2842" s="25"/>
      <c r="BR2842" s="25"/>
      <c r="BS2842" s="25"/>
      <c r="BT2842" s="25"/>
      <c r="BU2842"/>
      <c r="BV2842"/>
      <c r="BW2842"/>
      <c r="BX2842"/>
      <c r="BY2842"/>
      <c r="BZ2842"/>
      <c r="CA2842"/>
      <c r="CB2842"/>
      <c r="CC2842"/>
      <c r="CD2842" s="25"/>
    </row>
    <row r="2843" spans="1:82" s="17" customFormat="1" x14ac:dyDescent="0.2">
      <c r="A2843" s="25"/>
      <c r="B2843" s="20">
        <v>39035115400</v>
      </c>
      <c r="C2843" s="20">
        <v>1154</v>
      </c>
      <c r="D2843" s="20" t="s">
        <v>24</v>
      </c>
      <c r="E2843" s="20" t="s">
        <v>2829</v>
      </c>
      <c r="F2843" s="20" t="s">
        <v>6</v>
      </c>
      <c r="G2843" s="861">
        <v>29.051336346792699</v>
      </c>
      <c r="H2843" s="861">
        <v>41.350415645774603</v>
      </c>
      <c r="I2843" s="861">
        <v>87.879179498406202</v>
      </c>
      <c r="J2843" s="861">
        <v>35.022756585712301</v>
      </c>
      <c r="K2843" s="982">
        <v>0</v>
      </c>
      <c r="L2843" s="735">
        <v>1571</v>
      </c>
      <c r="M2843" s="735">
        <v>2213</v>
      </c>
      <c r="N2843" s="845">
        <f t="shared" si="203"/>
        <v>0.40865690642902608</v>
      </c>
      <c r="O2843" s="735">
        <v>0.27187499327940934</v>
      </c>
      <c r="P2843" s="735">
        <f t="shared" si="204"/>
        <v>8139.7703161528807</v>
      </c>
      <c r="Q2843" s="849">
        <v>35.799999999999997</v>
      </c>
      <c r="R2843" s="71">
        <v>37846</v>
      </c>
      <c r="S2843" s="845">
        <v>0.35992747053490481</v>
      </c>
      <c r="T2843" s="845">
        <v>0.22699999999999998</v>
      </c>
      <c r="U2843" s="845">
        <v>0</v>
      </c>
      <c r="V2843" s="845">
        <v>9.3000000000000013E-2</v>
      </c>
      <c r="W2843" s="845">
        <v>0.70098576122672507</v>
      </c>
      <c r="X2843" s="845">
        <v>0.56718749999999996</v>
      </c>
      <c r="Y2843" s="845">
        <v>0.39810212381382737</v>
      </c>
      <c r="Z2843" s="845">
        <v>0.51107094441934031</v>
      </c>
      <c r="AA2843" s="845">
        <v>0</v>
      </c>
      <c r="AB2843" s="845">
        <v>0</v>
      </c>
      <c r="AC2843" s="845">
        <v>0</v>
      </c>
      <c r="AD2843" s="845">
        <v>4.5187528242205148E-3</v>
      </c>
      <c r="AE2843" s="845">
        <v>8.6308178942611835E-2</v>
      </c>
      <c r="AF2843" s="845">
        <v>0.16538635336647087</v>
      </c>
      <c r="AG2843" s="845">
        <v>0.3492995933122458</v>
      </c>
      <c r="AH2843" s="20" t="str">
        <f t="shared" si="205"/>
        <v>No</v>
      </c>
      <c r="AI2843" s="25"/>
      <c r="AJ2843" s="25"/>
      <c r="AK2843" s="25"/>
      <c r="AL2843" s="25"/>
      <c r="AM2843" s="25"/>
      <c r="AN2843" s="25"/>
      <c r="AO2843" s="25"/>
      <c r="AP2843" s="25"/>
      <c r="AQ2843" s="25"/>
      <c r="AR2843" s="25"/>
      <c r="AS2843" s="25"/>
      <c r="AT2843" s="25"/>
      <c r="AU2843" s="36"/>
      <c r="AV2843" s="36"/>
      <c r="AW2843" s="36"/>
      <c r="AX2843" s="25"/>
      <c r="AY2843" s="25"/>
      <c r="AZ2843" s="25"/>
      <c r="BA2843" s="25"/>
      <c r="BB2843" s="25"/>
      <c r="BC2843" s="25"/>
      <c r="BD2843" s="25"/>
      <c r="BE2843" s="25"/>
      <c r="BF2843" s="25"/>
      <c r="BG2843" s="25"/>
      <c r="BH2843" s="25"/>
      <c r="BI2843" s="25"/>
      <c r="BJ2843" s="25"/>
      <c r="BK2843" s="25"/>
      <c r="BL2843" s="25"/>
      <c r="BM2843" s="25"/>
      <c r="BN2843" s="25"/>
      <c r="BO2843" s="25"/>
      <c r="BP2843" s="25"/>
      <c r="BQ2843" s="25"/>
      <c r="BR2843" s="25"/>
      <c r="BS2843" s="25"/>
      <c r="BT2843" s="25"/>
      <c r="BU2843"/>
      <c r="BV2843"/>
      <c r="BW2843"/>
      <c r="BX2843"/>
      <c r="BY2843"/>
      <c r="BZ2843"/>
      <c r="CA2843"/>
      <c r="CB2843"/>
      <c r="CC2843"/>
      <c r="CD2843" s="25"/>
    </row>
    <row r="2844" spans="1:82" s="17" customFormat="1" x14ac:dyDescent="0.2">
      <c r="A2844" s="25"/>
      <c r="B2844" s="20">
        <v>39035117900</v>
      </c>
      <c r="C2844" s="20">
        <v>1179</v>
      </c>
      <c r="D2844" s="20" t="s">
        <v>24</v>
      </c>
      <c r="E2844" s="20" t="s">
        <v>2829</v>
      </c>
      <c r="F2844" s="20" t="s">
        <v>6</v>
      </c>
      <c r="G2844" s="861">
        <v>28.991031499131001</v>
      </c>
      <c r="H2844" s="861">
        <v>49.508999141167997</v>
      </c>
      <c r="I2844" s="861">
        <v>89.488681541661293</v>
      </c>
      <c r="J2844" s="861">
        <v>42.333008668568098</v>
      </c>
      <c r="K2844" s="982">
        <v>0</v>
      </c>
      <c r="L2844" s="735">
        <v>2412</v>
      </c>
      <c r="M2844" s="735">
        <v>2301</v>
      </c>
      <c r="N2844" s="845">
        <f t="shared" si="203"/>
        <v>-4.6019900497512436E-2</v>
      </c>
      <c r="O2844" s="735">
        <v>0.45943029445027067</v>
      </c>
      <c r="P2844" s="735">
        <f t="shared" si="204"/>
        <v>5008.3767391814063</v>
      </c>
      <c r="Q2844" s="849">
        <v>36.5</v>
      </c>
      <c r="R2844" s="71">
        <v>25341</v>
      </c>
      <c r="S2844" s="845">
        <v>0.29565217391304349</v>
      </c>
      <c r="T2844" s="845">
        <v>0.23600000000000002</v>
      </c>
      <c r="U2844" s="845">
        <v>0</v>
      </c>
      <c r="V2844" s="845">
        <v>0.09</v>
      </c>
      <c r="W2844" s="845">
        <v>0.73199635369188698</v>
      </c>
      <c r="X2844" s="845">
        <v>0.77334993773349936</v>
      </c>
      <c r="Y2844" s="845">
        <v>9.4741416775315085E-2</v>
      </c>
      <c r="Z2844" s="845">
        <v>0.87396784006953498</v>
      </c>
      <c r="AA2844" s="845">
        <v>2.1729682746631897E-3</v>
      </c>
      <c r="AB2844" s="845">
        <v>0</v>
      </c>
      <c r="AC2844" s="845">
        <v>0</v>
      </c>
      <c r="AD2844" s="845">
        <v>0</v>
      </c>
      <c r="AE2844" s="845">
        <v>2.9117774880486745E-2</v>
      </c>
      <c r="AF2844" s="845">
        <v>0</v>
      </c>
      <c r="AG2844" s="845">
        <v>9.4741416775315085E-2</v>
      </c>
      <c r="AH2844" s="20" t="str">
        <f t="shared" si="205"/>
        <v>No</v>
      </c>
      <c r="AI2844" s="25"/>
      <c r="AJ2844" s="25"/>
      <c r="AK2844" s="25"/>
      <c r="AL2844" s="25"/>
      <c r="AM2844" s="25"/>
      <c r="AN2844" s="25"/>
      <c r="AO2844" s="25"/>
      <c r="AP2844" s="25"/>
      <c r="AQ2844" s="25"/>
      <c r="AR2844" s="25"/>
      <c r="AS2844" s="25"/>
      <c r="AT2844" s="25"/>
      <c r="AU2844" s="36"/>
      <c r="AV2844" s="36"/>
      <c r="AW2844" s="36"/>
      <c r="AX2844" s="25"/>
      <c r="AY2844" s="25"/>
      <c r="AZ2844" s="25"/>
      <c r="BA2844" s="25"/>
      <c r="BB2844" s="25"/>
      <c r="BC2844" s="25"/>
      <c r="BD2844" s="25"/>
      <c r="BE2844" s="25"/>
      <c r="BF2844" s="25"/>
      <c r="BG2844" s="25"/>
      <c r="BH2844" s="25"/>
      <c r="BI2844" s="25"/>
      <c r="BJ2844" s="25"/>
      <c r="BK2844" s="25"/>
      <c r="BL2844" s="25"/>
      <c r="BM2844" s="25"/>
      <c r="BN2844" s="25"/>
      <c r="BO2844" s="25"/>
      <c r="BP2844" s="25"/>
      <c r="BQ2844" s="25"/>
      <c r="BR2844" s="25"/>
      <c r="BS2844" s="25"/>
      <c r="BT2844" s="25"/>
      <c r="BU2844"/>
      <c r="BV2844"/>
      <c r="BW2844"/>
      <c r="BX2844"/>
      <c r="BY2844"/>
      <c r="BZ2844"/>
      <c r="CA2844"/>
      <c r="CB2844"/>
      <c r="CC2844"/>
      <c r="CD2844" s="25"/>
    </row>
    <row r="2845" spans="1:82" s="17" customFormat="1" x14ac:dyDescent="0.2">
      <c r="A2845" s="25"/>
      <c r="B2845" s="20">
        <v>39095001001</v>
      </c>
      <c r="C2845" s="20">
        <v>10.01</v>
      </c>
      <c r="D2845" s="20" t="s">
        <v>53</v>
      </c>
      <c r="E2845" s="20" t="s">
        <v>2839</v>
      </c>
      <c r="F2845" s="20" t="s">
        <v>6</v>
      </c>
      <c r="G2845" s="861">
        <v>28.944722129319501</v>
      </c>
      <c r="H2845" s="861">
        <v>43.441824045916803</v>
      </c>
      <c r="I2845" s="861">
        <v>66.040868294154194</v>
      </c>
      <c r="J2845" s="861">
        <v>43.122112458002498</v>
      </c>
      <c r="K2845" s="982">
        <v>0</v>
      </c>
      <c r="L2845" s="735" t="s">
        <v>2466</v>
      </c>
      <c r="M2845" s="735">
        <v>1577</v>
      </c>
      <c r="N2845" s="845" t="str">
        <f t="shared" si="203"/>
        <v/>
      </c>
      <c r="O2845" s="735">
        <v>0.19061902179929313</v>
      </c>
      <c r="P2845" s="735">
        <f t="shared" si="204"/>
        <v>8273.0463366896147</v>
      </c>
      <c r="Q2845" s="849">
        <v>38.799999999999997</v>
      </c>
      <c r="R2845" s="71">
        <v>35321</v>
      </c>
      <c r="S2845" s="845">
        <v>0.41471147748890297</v>
      </c>
      <c r="T2845" s="845">
        <v>0.17300000000000001</v>
      </c>
      <c r="U2845" s="845">
        <v>0</v>
      </c>
      <c r="V2845" s="845">
        <v>0</v>
      </c>
      <c r="W2845" s="845">
        <v>0.48953301127214172</v>
      </c>
      <c r="X2845" s="845">
        <v>0.16118421052631579</v>
      </c>
      <c r="Y2845" s="845">
        <v>0.23398858592263791</v>
      </c>
      <c r="Z2845" s="845">
        <v>0.55231452124286617</v>
      </c>
      <c r="AA2845" s="845">
        <v>0</v>
      </c>
      <c r="AB2845" s="845">
        <v>0</v>
      </c>
      <c r="AC2845" s="845">
        <v>0</v>
      </c>
      <c r="AD2845" s="845">
        <v>0.19911223842739378</v>
      </c>
      <c r="AE2845" s="845">
        <v>1.4584654407102092E-2</v>
      </c>
      <c r="AF2845" s="845">
        <v>0.22384273937856691</v>
      </c>
      <c r="AG2845" s="845">
        <v>0.20925808497146481</v>
      </c>
      <c r="AH2845" s="20" t="str">
        <f t="shared" si="205"/>
        <v>No</v>
      </c>
      <c r="AI2845" s="25"/>
      <c r="AJ2845" s="25"/>
      <c r="AK2845" s="25"/>
      <c r="AL2845" s="25"/>
      <c r="AM2845" s="25"/>
      <c r="AN2845" s="25"/>
      <c r="AO2845" s="25"/>
      <c r="AP2845" s="25"/>
      <c r="AQ2845" s="25"/>
      <c r="AR2845" s="25"/>
      <c r="AS2845" s="25"/>
      <c r="AT2845" s="25"/>
      <c r="AU2845" s="36"/>
      <c r="AV2845" s="36"/>
      <c r="AW2845" s="36"/>
      <c r="AX2845" s="25"/>
      <c r="AY2845" s="25"/>
      <c r="AZ2845" s="25"/>
      <c r="BA2845" s="25"/>
      <c r="BB2845" s="25"/>
      <c r="BC2845" s="25"/>
      <c r="BD2845" s="25"/>
      <c r="BE2845" s="25"/>
      <c r="BF2845" s="25"/>
      <c r="BG2845" s="25"/>
      <c r="BH2845" s="25"/>
      <c r="BI2845" s="25"/>
      <c r="BJ2845" s="25"/>
      <c r="BK2845" s="25"/>
      <c r="BL2845" s="25"/>
      <c r="BM2845" s="25"/>
      <c r="BN2845" s="25"/>
      <c r="BO2845" s="25"/>
      <c r="BP2845" s="25"/>
      <c r="BQ2845" s="25"/>
      <c r="BR2845" s="25"/>
      <c r="BS2845" s="25"/>
      <c r="BT2845" s="25"/>
      <c r="BU2845"/>
      <c r="BV2845"/>
      <c r="BW2845"/>
      <c r="BX2845"/>
      <c r="BY2845"/>
      <c r="BZ2845"/>
      <c r="CA2845"/>
      <c r="CB2845"/>
      <c r="CC2845"/>
      <c r="CD2845" s="25"/>
    </row>
    <row r="2846" spans="1:82" s="17" customFormat="1" x14ac:dyDescent="0.2">
      <c r="A2846" s="25"/>
      <c r="B2846" s="20">
        <v>39035117101</v>
      </c>
      <c r="C2846" s="20">
        <v>1171.01</v>
      </c>
      <c r="D2846" s="20" t="s">
        <v>24</v>
      </c>
      <c r="E2846" s="20" t="s">
        <v>2829</v>
      </c>
      <c r="F2846" s="20" t="s">
        <v>6</v>
      </c>
      <c r="G2846" s="861">
        <v>28.9318523163873</v>
      </c>
      <c r="H2846" s="861">
        <v>51.755288077729404</v>
      </c>
      <c r="I2846" s="861">
        <v>63.171776738452301</v>
      </c>
      <c r="J2846" s="861">
        <v>45.737987987863598</v>
      </c>
      <c r="K2846" s="982">
        <v>0</v>
      </c>
      <c r="L2846" s="735">
        <v>2795</v>
      </c>
      <c r="M2846" s="735">
        <v>2369</v>
      </c>
      <c r="N2846" s="845">
        <f t="shared" si="203"/>
        <v>-0.15241502683363148</v>
      </c>
      <c r="O2846" s="735">
        <v>0.3701627031793594</v>
      </c>
      <c r="P2846" s="735">
        <f t="shared" si="204"/>
        <v>6399.8884265012512</v>
      </c>
      <c r="Q2846" s="849">
        <v>38.5</v>
      </c>
      <c r="R2846" s="71">
        <v>34224</v>
      </c>
      <c r="S2846" s="845">
        <v>0.35542422963275644</v>
      </c>
      <c r="T2846" s="845">
        <v>0.114</v>
      </c>
      <c r="U2846" s="845">
        <v>0.126</v>
      </c>
      <c r="V2846" s="845">
        <v>0</v>
      </c>
      <c r="W2846" s="845">
        <v>0.54833468724614132</v>
      </c>
      <c r="X2846" s="845">
        <v>0.44444444444444442</v>
      </c>
      <c r="Y2846" s="845">
        <v>0.31279020683832842</v>
      </c>
      <c r="Z2846" s="845">
        <v>0.48121570282819753</v>
      </c>
      <c r="AA2846" s="845">
        <v>0</v>
      </c>
      <c r="AB2846" s="845">
        <v>0</v>
      </c>
      <c r="AC2846" s="845">
        <v>0</v>
      </c>
      <c r="AD2846" s="845">
        <v>1.4774166314900802E-2</v>
      </c>
      <c r="AE2846" s="845">
        <v>0.19121992401857324</v>
      </c>
      <c r="AF2846" s="845">
        <v>1.4774166314900802E-2</v>
      </c>
      <c r="AG2846" s="845">
        <v>0.31279020683832842</v>
      </c>
      <c r="AH2846" s="20" t="str">
        <f t="shared" si="205"/>
        <v>No</v>
      </c>
      <c r="AI2846" s="25"/>
      <c r="AJ2846" s="25"/>
      <c r="AK2846" s="25"/>
      <c r="AL2846" s="25"/>
      <c r="AM2846" s="25"/>
      <c r="AN2846" s="25"/>
      <c r="AO2846" s="25"/>
      <c r="AP2846" s="25"/>
      <c r="AQ2846" s="25"/>
      <c r="AR2846" s="25"/>
      <c r="AS2846" s="25"/>
      <c r="AT2846" s="25"/>
      <c r="AU2846" s="36"/>
      <c r="AV2846" s="36"/>
      <c r="AW2846" s="36"/>
      <c r="AX2846" s="25"/>
      <c r="AY2846" s="25"/>
      <c r="AZ2846" s="25"/>
      <c r="BA2846" s="25"/>
      <c r="BB2846" s="25"/>
      <c r="BC2846" s="25"/>
      <c r="BD2846" s="25"/>
      <c r="BE2846" s="25"/>
      <c r="BF2846" s="25"/>
      <c r="BG2846" s="25"/>
      <c r="BH2846" s="25"/>
      <c r="BI2846" s="25"/>
      <c r="BJ2846" s="25"/>
      <c r="BK2846" s="25"/>
      <c r="BL2846" s="25"/>
      <c r="BM2846" s="25"/>
      <c r="BN2846" s="25"/>
      <c r="BO2846" s="25"/>
      <c r="BP2846" s="25"/>
      <c r="BQ2846" s="25"/>
      <c r="BR2846" s="25"/>
      <c r="BS2846" s="25"/>
      <c r="BT2846" s="25"/>
      <c r="BU2846"/>
      <c r="BV2846"/>
      <c r="BW2846"/>
      <c r="BX2846"/>
      <c r="BY2846"/>
      <c r="BZ2846"/>
      <c r="CA2846"/>
      <c r="CB2846"/>
      <c r="CC2846"/>
      <c r="CD2846" s="25"/>
    </row>
    <row r="2847" spans="1:82" s="17" customFormat="1" x14ac:dyDescent="0.2">
      <c r="A2847" s="25"/>
      <c r="B2847" s="20">
        <v>39093095100</v>
      </c>
      <c r="C2847" s="20">
        <v>951</v>
      </c>
      <c r="D2847" s="20" t="s">
        <v>52</v>
      </c>
      <c r="E2847" s="20" t="s">
        <v>2829</v>
      </c>
      <c r="F2847" s="20" t="s">
        <v>8</v>
      </c>
      <c r="G2847" s="861">
        <v>28.919355497745901</v>
      </c>
      <c r="H2847" s="861">
        <v>51.845990028971698</v>
      </c>
      <c r="I2847" s="861">
        <v>23.463493207864701</v>
      </c>
      <c r="J2847" s="861">
        <v>33.412715308370998</v>
      </c>
      <c r="K2847" s="982">
        <v>0</v>
      </c>
      <c r="L2847" s="735">
        <v>8964</v>
      </c>
      <c r="M2847" s="735">
        <v>7650</v>
      </c>
      <c r="N2847" s="845">
        <f t="shared" si="203"/>
        <v>-0.1465863453815261</v>
      </c>
      <c r="O2847" s="735">
        <v>28.153903378344083</v>
      </c>
      <c r="P2847" s="735">
        <f t="shared" si="204"/>
        <v>271.7207591855402</v>
      </c>
      <c r="Q2847" s="849">
        <v>42.6</v>
      </c>
      <c r="R2847" s="71">
        <v>89097</v>
      </c>
      <c r="S2847" s="845">
        <v>4.4542253521126764E-2</v>
      </c>
      <c r="T2847" s="845">
        <v>3.4000000000000002E-2</v>
      </c>
      <c r="U2847" s="845">
        <v>0</v>
      </c>
      <c r="V2847" s="845">
        <v>0.154</v>
      </c>
      <c r="W2847" s="845">
        <v>0.15513626834381553</v>
      </c>
      <c r="X2847" s="845">
        <v>0.22972972972972974</v>
      </c>
      <c r="Y2847" s="845">
        <v>0.76993464052287586</v>
      </c>
      <c r="Z2847" s="845">
        <v>0.10287581699346406</v>
      </c>
      <c r="AA2847" s="845">
        <v>2.2222222222222222E-3</v>
      </c>
      <c r="AB2847" s="845">
        <v>0</v>
      </c>
      <c r="AC2847" s="845">
        <v>0</v>
      </c>
      <c r="AD2847" s="845">
        <v>1.7385620915032679E-2</v>
      </c>
      <c r="AE2847" s="845">
        <v>0.10758169934640523</v>
      </c>
      <c r="AF2847" s="845">
        <v>8.0522875816993467E-2</v>
      </c>
      <c r="AG2847" s="845">
        <v>0.76</v>
      </c>
      <c r="AH2847" s="20" t="str">
        <f t="shared" si="205"/>
        <v>No</v>
      </c>
      <c r="AI2847" s="25"/>
      <c r="AJ2847" s="25"/>
      <c r="AK2847" s="25"/>
      <c r="AL2847" s="25"/>
      <c r="AM2847" s="25"/>
      <c r="AN2847" s="25"/>
      <c r="AO2847" s="25"/>
      <c r="AP2847" s="25"/>
      <c r="AQ2847" s="25"/>
      <c r="AR2847" s="25"/>
      <c r="AS2847" s="25"/>
      <c r="AT2847" s="25"/>
      <c r="AU2847" s="36"/>
      <c r="AV2847" s="36"/>
      <c r="AW2847" s="36"/>
      <c r="AX2847" s="25"/>
      <c r="AY2847" s="25"/>
      <c r="AZ2847" s="25"/>
      <c r="BA2847" s="25"/>
      <c r="BB2847" s="25"/>
      <c r="BC2847" s="25"/>
      <c r="BD2847" s="25"/>
      <c r="BE2847" s="25"/>
      <c r="BF2847" s="25"/>
      <c r="BG2847" s="25"/>
      <c r="BH2847" s="25"/>
      <c r="BI2847" s="25"/>
      <c r="BJ2847" s="25"/>
      <c r="BK2847" s="25"/>
      <c r="BL2847" s="25"/>
      <c r="BM2847" s="25"/>
      <c r="BN2847" s="25"/>
      <c r="BO2847" s="25"/>
      <c r="BP2847" s="25"/>
      <c r="BQ2847" s="25"/>
      <c r="BR2847" s="25"/>
      <c r="BS2847" s="25"/>
      <c r="BT2847" s="25"/>
      <c r="BU2847"/>
      <c r="BV2847"/>
      <c r="BW2847"/>
      <c r="BX2847"/>
      <c r="BY2847"/>
      <c r="BZ2847"/>
      <c r="CA2847"/>
      <c r="CB2847"/>
      <c r="CC2847"/>
      <c r="CD2847" s="25"/>
    </row>
    <row r="2848" spans="1:82" s="17" customFormat="1" x14ac:dyDescent="0.2">
      <c r="A2848" s="25"/>
      <c r="B2848" s="20">
        <v>39093070902</v>
      </c>
      <c r="C2848" s="20">
        <v>709.02</v>
      </c>
      <c r="D2848" s="20" t="s">
        <v>52</v>
      </c>
      <c r="E2848" s="20" t="s">
        <v>2829</v>
      </c>
      <c r="F2848" s="20" t="s">
        <v>8</v>
      </c>
      <c r="G2848" s="861">
        <v>28.875646557179799</v>
      </c>
      <c r="H2848" s="861">
        <v>40.076151983543397</v>
      </c>
      <c r="I2848" s="861">
        <v>33.3061944788695</v>
      </c>
      <c r="J2848" s="861">
        <v>48.372868883472698</v>
      </c>
      <c r="K2848" s="982">
        <v>0</v>
      </c>
      <c r="L2848" s="735">
        <v>3475</v>
      </c>
      <c r="M2848" s="735">
        <v>3640</v>
      </c>
      <c r="N2848" s="845">
        <f t="shared" si="203"/>
        <v>4.7482014388489209E-2</v>
      </c>
      <c r="O2848" s="735">
        <v>2.6513021328117219</v>
      </c>
      <c r="P2848" s="735">
        <f t="shared" si="204"/>
        <v>1372.9102975298247</v>
      </c>
      <c r="Q2848" s="849">
        <v>45.7</v>
      </c>
      <c r="R2848" s="71">
        <v>48261</v>
      </c>
      <c r="S2848" s="845">
        <v>0.14945054945054945</v>
      </c>
      <c r="T2848" s="845">
        <v>3.9E-2</v>
      </c>
      <c r="U2848" s="845">
        <v>0</v>
      </c>
      <c r="V2848" s="845">
        <v>8.5999999999999993E-2</v>
      </c>
      <c r="W2848" s="845">
        <v>0.51801310043668125</v>
      </c>
      <c r="X2848" s="845">
        <v>0.36670179135932562</v>
      </c>
      <c r="Y2848" s="845">
        <v>0.66730769230769227</v>
      </c>
      <c r="Z2848" s="845">
        <v>0.13131868131868132</v>
      </c>
      <c r="AA2848" s="845">
        <v>0</v>
      </c>
      <c r="AB2848" s="845">
        <v>2.5824175824175823E-2</v>
      </c>
      <c r="AC2848" s="845">
        <v>0</v>
      </c>
      <c r="AD2848" s="845">
        <v>2.5824175824175823E-2</v>
      </c>
      <c r="AE2848" s="845">
        <v>0.14972527472527472</v>
      </c>
      <c r="AF2848" s="845">
        <v>0.15054945054945054</v>
      </c>
      <c r="AG2848" s="845">
        <v>0.64120879120879126</v>
      </c>
      <c r="AH2848" s="20" t="str">
        <f t="shared" si="205"/>
        <v>No</v>
      </c>
      <c r="AI2848" s="25"/>
      <c r="AJ2848" s="25"/>
      <c r="AK2848" s="25"/>
      <c r="AL2848" s="25"/>
      <c r="AM2848" s="25"/>
      <c r="AN2848" s="25"/>
      <c r="AO2848" s="25"/>
      <c r="AP2848" s="25"/>
      <c r="AQ2848" s="25"/>
      <c r="AR2848" s="25"/>
      <c r="AS2848" s="25"/>
      <c r="AT2848" s="25"/>
      <c r="AU2848" s="36"/>
      <c r="AV2848" s="36"/>
      <c r="AW2848" s="36"/>
      <c r="AX2848" s="25"/>
      <c r="AY2848" s="25"/>
      <c r="AZ2848" s="25"/>
      <c r="BA2848" s="25"/>
      <c r="BB2848" s="25"/>
      <c r="BC2848" s="25"/>
      <c r="BD2848" s="25"/>
      <c r="BE2848" s="25"/>
      <c r="BF2848" s="25"/>
      <c r="BG2848" s="25"/>
      <c r="BH2848" s="25"/>
      <c r="BI2848" s="25"/>
      <c r="BJ2848" s="25"/>
      <c r="BK2848" s="25"/>
      <c r="BL2848" s="25"/>
      <c r="BM2848" s="25"/>
      <c r="BN2848" s="25"/>
      <c r="BO2848" s="25"/>
      <c r="BP2848" s="25"/>
      <c r="BQ2848" s="25"/>
      <c r="BR2848" s="25"/>
      <c r="BS2848" s="25"/>
      <c r="BT2848" s="25"/>
      <c r="BU2848"/>
      <c r="BV2848"/>
      <c r="BW2848"/>
      <c r="BX2848"/>
      <c r="BY2848"/>
      <c r="BZ2848"/>
      <c r="CA2848"/>
      <c r="CB2848"/>
      <c r="CC2848"/>
      <c r="CD2848" s="25"/>
    </row>
    <row r="2849" spans="1:82" s="17" customFormat="1" x14ac:dyDescent="0.2">
      <c r="A2849" s="25"/>
      <c r="B2849" s="20">
        <v>39023001200</v>
      </c>
      <c r="C2849" s="20">
        <v>12</v>
      </c>
      <c r="D2849" s="20" t="s">
        <v>18</v>
      </c>
      <c r="E2849" s="20" t="s">
        <v>2838</v>
      </c>
      <c r="F2849" s="20" t="s">
        <v>6</v>
      </c>
      <c r="G2849" s="861">
        <v>28.8591793584208</v>
      </c>
      <c r="H2849" s="861">
        <v>43.496533092234898</v>
      </c>
      <c r="I2849" s="861">
        <v>58.538274021876902</v>
      </c>
      <c r="J2849" s="861">
        <v>32.883969042110699</v>
      </c>
      <c r="K2849" s="982">
        <v>0</v>
      </c>
      <c r="L2849" s="735">
        <v>4541</v>
      </c>
      <c r="M2849" s="735">
        <v>4294</v>
      </c>
      <c r="N2849" s="845">
        <f t="shared" si="203"/>
        <v>-5.4393305439330547E-2</v>
      </c>
      <c r="O2849" s="735">
        <v>1.2310446475370114</v>
      </c>
      <c r="P2849" s="735">
        <f t="shared" si="204"/>
        <v>3488.0944477449593</v>
      </c>
      <c r="Q2849" s="849">
        <v>26.5</v>
      </c>
      <c r="R2849" s="71">
        <v>27437</v>
      </c>
      <c r="S2849" s="845">
        <v>0.51104250771788173</v>
      </c>
      <c r="T2849" s="845">
        <v>0.159</v>
      </c>
      <c r="U2849" s="845">
        <v>0</v>
      </c>
      <c r="V2849" s="845">
        <v>9.8000000000000004E-2</v>
      </c>
      <c r="W2849" s="845">
        <v>0.70108695652173914</v>
      </c>
      <c r="X2849" s="845">
        <v>0.47383720930232559</v>
      </c>
      <c r="Y2849" s="845">
        <v>0.48602701443875174</v>
      </c>
      <c r="Z2849" s="845">
        <v>0.26059618071727991</v>
      </c>
      <c r="AA2849" s="845">
        <v>0</v>
      </c>
      <c r="AB2849" s="845">
        <v>1.8630647414997672E-2</v>
      </c>
      <c r="AC2849" s="845">
        <v>0</v>
      </c>
      <c r="AD2849" s="845">
        <v>8.6399627387051703E-2</v>
      </c>
      <c r="AE2849" s="845">
        <v>0.14834653004191894</v>
      </c>
      <c r="AF2849" s="845">
        <v>9.7345132743362831E-2</v>
      </c>
      <c r="AG2849" s="845">
        <v>0.48346530041918956</v>
      </c>
      <c r="AH2849" s="20" t="str">
        <f t="shared" si="205"/>
        <v>No</v>
      </c>
      <c r="AI2849" s="25"/>
      <c r="AJ2849" s="25"/>
      <c r="AK2849" s="25"/>
      <c r="AL2849" s="25"/>
      <c r="AM2849" s="25"/>
      <c r="AN2849" s="25"/>
      <c r="AO2849" s="25"/>
      <c r="AP2849" s="25"/>
      <c r="AQ2849" s="25"/>
      <c r="AR2849" s="25"/>
      <c r="AS2849" s="25"/>
      <c r="AT2849" s="25"/>
      <c r="AU2849" s="36"/>
      <c r="AV2849" s="36"/>
      <c r="AW2849" s="36"/>
      <c r="AX2849" s="25"/>
      <c r="AY2849" s="25"/>
      <c r="AZ2849" s="25"/>
      <c r="BA2849" s="25"/>
      <c r="BB2849" s="25"/>
      <c r="BC2849" s="25"/>
      <c r="BD2849" s="25"/>
      <c r="BE2849" s="25"/>
      <c r="BF2849" s="25"/>
      <c r="BG2849" s="25"/>
      <c r="BH2849" s="25"/>
      <c r="BI2849" s="25"/>
      <c r="BJ2849" s="25"/>
      <c r="BK2849" s="25"/>
      <c r="BL2849" s="25"/>
      <c r="BM2849" s="25"/>
      <c r="BN2849" s="25"/>
      <c r="BO2849" s="25"/>
      <c r="BP2849" s="25"/>
      <c r="BQ2849" s="25"/>
      <c r="BR2849" s="25"/>
      <c r="BS2849" s="25"/>
      <c r="BT2849" s="25"/>
      <c r="BU2849"/>
      <c r="BV2849"/>
      <c r="BW2849"/>
      <c r="BX2849"/>
      <c r="BY2849"/>
      <c r="BZ2849"/>
      <c r="CA2849"/>
      <c r="CB2849"/>
      <c r="CC2849"/>
      <c r="CD2849" s="25"/>
    </row>
    <row r="2850" spans="1:82" s="17" customFormat="1" x14ac:dyDescent="0.2">
      <c r="A2850" s="25"/>
      <c r="B2850" s="20">
        <v>39023001700</v>
      </c>
      <c r="C2850" s="20">
        <v>17</v>
      </c>
      <c r="D2850" s="20" t="s">
        <v>18</v>
      </c>
      <c r="E2850" s="20" t="s">
        <v>2838</v>
      </c>
      <c r="F2850" s="20" t="s">
        <v>8</v>
      </c>
      <c r="G2850" s="861">
        <v>28.847220922614301</v>
      </c>
      <c r="H2850" s="861">
        <v>38.156908584585302</v>
      </c>
      <c r="I2850" s="861">
        <v>42.208456041637497</v>
      </c>
      <c r="J2850" s="861">
        <v>41.3187969544461</v>
      </c>
      <c r="K2850" s="982">
        <v>0</v>
      </c>
      <c r="L2850" s="735">
        <v>2442</v>
      </c>
      <c r="M2850" s="735">
        <v>2520</v>
      </c>
      <c r="N2850" s="845">
        <f t="shared" si="203"/>
        <v>3.1941031941031942E-2</v>
      </c>
      <c r="O2850" s="735">
        <v>1.8156450146792373</v>
      </c>
      <c r="P2850" s="735">
        <f t="shared" si="204"/>
        <v>1387.9365072060621</v>
      </c>
      <c r="Q2850" s="849">
        <v>33</v>
      </c>
      <c r="R2850" s="71">
        <v>46555</v>
      </c>
      <c r="S2850" s="845">
        <v>0.24584026622296173</v>
      </c>
      <c r="T2850" s="845">
        <v>0.10199999999999999</v>
      </c>
      <c r="U2850" s="845">
        <v>0</v>
      </c>
      <c r="V2850" s="845">
        <v>0</v>
      </c>
      <c r="W2850" s="845">
        <v>0.56517412935323386</v>
      </c>
      <c r="X2850" s="845">
        <v>0.38732394366197181</v>
      </c>
      <c r="Y2850" s="845">
        <v>0.90595238095238095</v>
      </c>
      <c r="Z2850" s="845">
        <v>5.0793650793650794E-2</v>
      </c>
      <c r="AA2850" s="845">
        <v>0</v>
      </c>
      <c r="AB2850" s="845">
        <v>0</v>
      </c>
      <c r="AC2850" s="845">
        <v>0</v>
      </c>
      <c r="AD2850" s="845">
        <v>0</v>
      </c>
      <c r="AE2850" s="845">
        <v>4.3253968253968253E-2</v>
      </c>
      <c r="AF2850" s="845">
        <v>2.3809523809523812E-3</v>
      </c>
      <c r="AG2850" s="845">
        <v>0.90595238095238095</v>
      </c>
      <c r="AH2850" s="20" t="str">
        <f t="shared" si="205"/>
        <v>Yes</v>
      </c>
      <c r="AI2850" s="25"/>
      <c r="AJ2850" s="25"/>
      <c r="AK2850" s="25"/>
      <c r="AL2850" s="25"/>
      <c r="AM2850" s="25"/>
      <c r="AN2850" s="25"/>
      <c r="AO2850" s="25"/>
      <c r="AP2850" s="25"/>
      <c r="AQ2850" s="25"/>
      <c r="AR2850" s="25"/>
      <c r="AS2850" s="25"/>
      <c r="AT2850" s="25"/>
      <c r="AU2850" s="36"/>
      <c r="AV2850" s="36"/>
      <c r="AW2850" s="36"/>
      <c r="AX2850" s="25"/>
      <c r="AY2850" s="25"/>
      <c r="AZ2850" s="25"/>
      <c r="BA2850" s="25"/>
      <c r="BB2850" s="25"/>
      <c r="BC2850" s="25"/>
      <c r="BD2850" s="25"/>
      <c r="BE2850" s="25"/>
      <c r="BF2850" s="25"/>
      <c r="BG2850" s="25"/>
      <c r="BH2850" s="25"/>
      <c r="BI2850" s="25"/>
      <c r="BJ2850" s="25"/>
      <c r="BK2850" s="25"/>
      <c r="BL2850" s="25"/>
      <c r="BM2850" s="25"/>
      <c r="BN2850" s="25"/>
      <c r="BO2850" s="25"/>
      <c r="BP2850" s="25"/>
      <c r="BQ2850" s="25"/>
      <c r="BR2850" s="25"/>
      <c r="BS2850" s="25"/>
      <c r="BT2850" s="25"/>
      <c r="BU2850"/>
      <c r="BV2850"/>
      <c r="BW2850"/>
      <c r="BX2850"/>
      <c r="BY2850"/>
      <c r="BZ2850"/>
      <c r="CA2850"/>
      <c r="CB2850"/>
      <c r="CC2850"/>
      <c r="CD2850" s="25"/>
    </row>
    <row r="2851" spans="1:82" s="17" customFormat="1" x14ac:dyDescent="0.2">
      <c r="A2851" s="25"/>
      <c r="B2851" s="20">
        <v>39101000300</v>
      </c>
      <c r="C2851" s="20">
        <v>3</v>
      </c>
      <c r="D2851" s="20" t="s">
        <v>56</v>
      </c>
      <c r="E2851" s="20" t="s">
        <v>265</v>
      </c>
      <c r="F2851" s="20" t="s">
        <v>6</v>
      </c>
      <c r="G2851" s="861">
        <v>28.845026174408101</v>
      </c>
      <c r="H2851" s="861">
        <v>32.973315854473398</v>
      </c>
      <c r="I2851" s="861">
        <v>40.7465034731513</v>
      </c>
      <c r="J2851" s="861">
        <v>42.154145354635403</v>
      </c>
      <c r="K2851" s="982">
        <v>0</v>
      </c>
      <c r="L2851" s="735">
        <v>2185</v>
      </c>
      <c r="M2851" s="735">
        <v>2008</v>
      </c>
      <c r="N2851" s="845">
        <f t="shared" si="203"/>
        <v>-8.1006864988558358E-2</v>
      </c>
      <c r="O2851" s="735">
        <v>0.730489453868574</v>
      </c>
      <c r="P2851" s="735">
        <f t="shared" si="204"/>
        <v>2748.8418749454927</v>
      </c>
      <c r="Q2851" s="849">
        <v>37.799999999999997</v>
      </c>
      <c r="R2851" s="71">
        <v>32286</v>
      </c>
      <c r="S2851" s="845">
        <v>0.38197211155378485</v>
      </c>
      <c r="T2851" s="845">
        <v>9.5000000000000001E-2</v>
      </c>
      <c r="U2851" s="845">
        <v>0</v>
      </c>
      <c r="V2851" s="845">
        <v>0.01</v>
      </c>
      <c r="W2851" s="845">
        <v>0.37979539641943733</v>
      </c>
      <c r="X2851" s="845">
        <v>0.44781144781144783</v>
      </c>
      <c r="Y2851" s="845">
        <v>0.80976095617529875</v>
      </c>
      <c r="Z2851" s="845">
        <v>0</v>
      </c>
      <c r="AA2851" s="845">
        <v>0</v>
      </c>
      <c r="AB2851" s="845">
        <v>7.4701195219123509E-3</v>
      </c>
      <c r="AC2851" s="845">
        <v>0</v>
      </c>
      <c r="AD2851" s="845">
        <v>7.7191235059760957E-2</v>
      </c>
      <c r="AE2851" s="845">
        <v>0.10557768924302789</v>
      </c>
      <c r="AF2851" s="845">
        <v>9.4621513944223107E-2</v>
      </c>
      <c r="AG2851" s="845">
        <v>0.78386454183266929</v>
      </c>
      <c r="AH2851" s="20" t="str">
        <f t="shared" si="205"/>
        <v>No</v>
      </c>
      <c r="AI2851" s="25"/>
      <c r="AJ2851" s="25"/>
      <c r="AK2851" s="25"/>
      <c r="AL2851" s="25"/>
      <c r="AM2851" s="25"/>
      <c r="AN2851" s="25"/>
      <c r="AO2851" s="25"/>
      <c r="AP2851" s="25"/>
      <c r="AQ2851" s="25"/>
      <c r="AR2851" s="25"/>
      <c r="AS2851" s="25"/>
      <c r="AT2851" s="25"/>
      <c r="AU2851" s="36"/>
      <c r="AV2851" s="36"/>
      <c r="AW2851" s="36"/>
      <c r="AX2851" s="25"/>
      <c r="AY2851" s="25"/>
      <c r="AZ2851" s="25"/>
      <c r="BA2851" s="25"/>
      <c r="BB2851" s="25"/>
      <c r="BC2851" s="25"/>
      <c r="BD2851" s="25"/>
      <c r="BE2851" s="25"/>
      <c r="BF2851" s="25"/>
      <c r="BG2851" s="25"/>
      <c r="BH2851" s="25"/>
      <c r="BI2851" s="25"/>
      <c r="BJ2851" s="25"/>
      <c r="BK2851" s="25"/>
      <c r="BL2851" s="25"/>
      <c r="BM2851" s="25"/>
      <c r="BN2851" s="25"/>
      <c r="BO2851" s="25"/>
      <c r="BP2851" s="25"/>
      <c r="BQ2851" s="25"/>
      <c r="BR2851" s="25"/>
      <c r="BS2851" s="25"/>
      <c r="BT2851" s="25"/>
      <c r="BU2851"/>
      <c r="BV2851"/>
      <c r="BW2851"/>
      <c r="BX2851"/>
      <c r="BY2851"/>
      <c r="BZ2851"/>
      <c r="CA2851"/>
      <c r="CB2851"/>
      <c r="CC2851"/>
      <c r="CD2851" s="25"/>
    </row>
    <row r="2852" spans="1:82" s="17" customFormat="1" x14ac:dyDescent="0.2">
      <c r="A2852" s="25"/>
      <c r="B2852" s="20">
        <v>39095001601</v>
      </c>
      <c r="C2852" s="20">
        <v>16.010000000000002</v>
      </c>
      <c r="D2852" s="20" t="s">
        <v>53</v>
      </c>
      <c r="E2852" s="20" t="s">
        <v>2839</v>
      </c>
      <c r="F2852" s="20" t="s">
        <v>8</v>
      </c>
      <c r="G2852" s="861">
        <v>28.8265438816752</v>
      </c>
      <c r="H2852" s="861">
        <v>46.271380604731199</v>
      </c>
      <c r="I2852" s="861">
        <v>99.809448662237997</v>
      </c>
      <c r="J2852" s="861">
        <v>36.273040726886101</v>
      </c>
      <c r="K2852" s="982">
        <v>0</v>
      </c>
      <c r="L2852" s="735" t="s">
        <v>2466</v>
      </c>
      <c r="M2852" s="735">
        <v>1172</v>
      </c>
      <c r="N2852" s="845" t="str">
        <f t="shared" si="203"/>
        <v/>
      </c>
      <c r="O2852" s="735">
        <v>0.28257620070695999</v>
      </c>
      <c r="P2852" s="735">
        <f t="shared" si="204"/>
        <v>4147.5538175821084</v>
      </c>
      <c r="Q2852" s="849">
        <v>39.799999999999997</v>
      </c>
      <c r="R2852" s="71">
        <v>27277</v>
      </c>
      <c r="S2852" s="845">
        <v>0.44406196213425131</v>
      </c>
      <c r="T2852" s="845">
        <v>0.128</v>
      </c>
      <c r="U2852" s="845">
        <v>0</v>
      </c>
      <c r="V2852" s="845">
        <v>0.20899999999999999</v>
      </c>
      <c r="W2852" s="845">
        <v>0.59646017699115039</v>
      </c>
      <c r="X2852" s="845">
        <v>0.70326409495548958</v>
      </c>
      <c r="Y2852" s="845">
        <v>0.22781569965870307</v>
      </c>
      <c r="Z2852" s="845">
        <v>0.726962457337884</v>
      </c>
      <c r="AA2852" s="845">
        <v>0</v>
      </c>
      <c r="AB2852" s="845">
        <v>0</v>
      </c>
      <c r="AC2852" s="845">
        <v>0</v>
      </c>
      <c r="AD2852" s="845">
        <v>4.3515358361774746E-2</v>
      </c>
      <c r="AE2852" s="845">
        <v>1.7064846416382253E-3</v>
      </c>
      <c r="AF2852" s="845">
        <v>7.1672354948805458E-2</v>
      </c>
      <c r="AG2852" s="845">
        <v>0.22781569965870307</v>
      </c>
      <c r="AH2852" s="20" t="str">
        <f t="shared" si="205"/>
        <v>No</v>
      </c>
      <c r="AI2852" s="25"/>
      <c r="AJ2852" s="25"/>
      <c r="AK2852" s="25"/>
      <c r="AL2852" s="25"/>
      <c r="AM2852" s="25"/>
      <c r="AN2852" s="25"/>
      <c r="AO2852" s="25"/>
      <c r="AP2852" s="25"/>
      <c r="AQ2852" s="25"/>
      <c r="AR2852" s="25"/>
      <c r="AS2852" s="25"/>
      <c r="AT2852" s="25"/>
      <c r="AU2852" s="36"/>
      <c r="AV2852" s="36"/>
      <c r="AW2852" s="36"/>
      <c r="AX2852" s="25"/>
      <c r="AY2852" s="25"/>
      <c r="AZ2852" s="25"/>
      <c r="BA2852" s="25"/>
      <c r="BB2852" s="25"/>
      <c r="BC2852" s="25"/>
      <c r="BD2852" s="25"/>
      <c r="BE2852" s="25"/>
      <c r="BF2852" s="25"/>
      <c r="BG2852" s="25"/>
      <c r="BH2852" s="25"/>
      <c r="BI2852" s="25"/>
      <c r="BJ2852" s="25"/>
      <c r="BK2852" s="25"/>
      <c r="BL2852" s="25"/>
      <c r="BM2852" s="25"/>
      <c r="BN2852" s="25"/>
      <c r="BO2852" s="25"/>
      <c r="BP2852" s="25"/>
      <c r="BQ2852" s="25"/>
      <c r="BR2852" s="25"/>
      <c r="BS2852" s="25"/>
      <c r="BT2852" s="25"/>
      <c r="BU2852"/>
      <c r="BV2852"/>
      <c r="BW2852"/>
      <c r="BX2852"/>
      <c r="BY2852"/>
      <c r="BZ2852"/>
      <c r="CA2852"/>
      <c r="CB2852"/>
      <c r="CC2852"/>
      <c r="CD2852" s="25"/>
    </row>
    <row r="2853" spans="1:82" s="17" customFormat="1" x14ac:dyDescent="0.2">
      <c r="A2853" s="25"/>
      <c r="B2853" s="20">
        <v>39153504200</v>
      </c>
      <c r="C2853" s="20">
        <v>5042</v>
      </c>
      <c r="D2853" s="20" t="s">
        <v>82</v>
      </c>
      <c r="E2853" s="20" t="s">
        <v>2843</v>
      </c>
      <c r="F2853" s="20" t="s">
        <v>6</v>
      </c>
      <c r="G2853" s="861">
        <v>28.8157089455514</v>
      </c>
      <c r="H2853" s="861">
        <v>38.386133815455999</v>
      </c>
      <c r="I2853" s="861">
        <v>78.089269178518506</v>
      </c>
      <c r="J2853" s="861">
        <v>48.8254119020351</v>
      </c>
      <c r="K2853" s="982">
        <v>0</v>
      </c>
      <c r="L2853" s="735">
        <v>2311</v>
      </c>
      <c r="M2853" s="735">
        <v>1680</v>
      </c>
      <c r="N2853" s="845">
        <f t="shared" si="203"/>
        <v>-0.27304197317178708</v>
      </c>
      <c r="O2853" s="735">
        <v>0.3120288455687158</v>
      </c>
      <c r="P2853" s="735">
        <f t="shared" si="204"/>
        <v>5384.1176027747288</v>
      </c>
      <c r="Q2853" s="849">
        <v>26.7</v>
      </c>
      <c r="R2853" s="71">
        <v>32552</v>
      </c>
      <c r="S2853" s="845">
        <v>0.48678549477566074</v>
      </c>
      <c r="T2853" s="845">
        <v>0.115</v>
      </c>
      <c r="U2853" s="845">
        <v>0</v>
      </c>
      <c r="V2853" s="845">
        <v>3.3000000000000002E-2</v>
      </c>
      <c r="W2853" s="845">
        <v>0.81744749596122779</v>
      </c>
      <c r="X2853" s="845">
        <v>0.57905138339920947</v>
      </c>
      <c r="Y2853" s="845">
        <v>0.59761904761904761</v>
      </c>
      <c r="Z2853" s="845">
        <v>0.16726190476190475</v>
      </c>
      <c r="AA2853" s="845">
        <v>4.1666666666666666E-3</v>
      </c>
      <c r="AB2853" s="845">
        <v>5.6547619047619048E-2</v>
      </c>
      <c r="AC2853" s="845">
        <v>0</v>
      </c>
      <c r="AD2853" s="845">
        <v>0</v>
      </c>
      <c r="AE2853" s="845">
        <v>0.1744047619047619</v>
      </c>
      <c r="AF2853" s="845">
        <v>8.5119047619047622E-2</v>
      </c>
      <c r="AG2853" s="845">
        <v>0.580952380952381</v>
      </c>
      <c r="AH2853" s="20" t="str">
        <f t="shared" si="205"/>
        <v>No</v>
      </c>
      <c r="AI2853" s="25"/>
      <c r="AJ2853" s="25"/>
      <c r="AK2853" s="25"/>
      <c r="AL2853" s="25"/>
      <c r="AM2853" s="25"/>
      <c r="AN2853" s="25"/>
      <c r="AO2853" s="25"/>
      <c r="AP2853" s="25"/>
      <c r="AQ2853" s="25"/>
      <c r="AR2853" s="25"/>
      <c r="AS2853" s="25"/>
      <c r="AT2853" s="25"/>
      <c r="AU2853" s="36"/>
      <c r="AV2853" s="36"/>
      <c r="AW2853" s="36"/>
      <c r="AX2853" s="25"/>
      <c r="AY2853" s="25"/>
      <c r="AZ2853" s="25"/>
      <c r="BA2853" s="25"/>
      <c r="BB2853" s="25"/>
      <c r="BC2853" s="25"/>
      <c r="BD2853" s="25"/>
      <c r="BE2853" s="25"/>
      <c r="BF2853" s="25"/>
      <c r="BG2853" s="25"/>
      <c r="BH2853" s="25"/>
      <c r="BI2853" s="25"/>
      <c r="BJ2853" s="25"/>
      <c r="BK2853" s="25"/>
      <c r="BL2853" s="25"/>
      <c r="BM2853" s="25"/>
      <c r="BN2853" s="25"/>
      <c r="BO2853" s="25"/>
      <c r="BP2853" s="25"/>
      <c r="BQ2853" s="25"/>
      <c r="BR2853" s="25"/>
      <c r="BS2853" s="25"/>
      <c r="BT2853" s="25"/>
      <c r="BU2853"/>
      <c r="BV2853"/>
      <c r="BW2853"/>
      <c r="BX2853"/>
      <c r="BY2853"/>
      <c r="BZ2853"/>
      <c r="CA2853"/>
      <c r="CB2853"/>
      <c r="CC2853"/>
      <c r="CD2853" s="25"/>
    </row>
    <row r="2854" spans="1:82" s="17" customFormat="1" x14ac:dyDescent="0.2">
      <c r="A2854" s="25"/>
      <c r="B2854" s="20">
        <v>39015951400</v>
      </c>
      <c r="C2854" s="20">
        <v>9514</v>
      </c>
      <c r="D2854" s="20" t="s">
        <v>14</v>
      </c>
      <c r="E2854" s="20" t="s">
        <v>265</v>
      </c>
      <c r="F2854" s="20" t="s">
        <v>8</v>
      </c>
      <c r="G2854" s="861">
        <v>28.779911474284201</v>
      </c>
      <c r="H2854" s="861">
        <v>48.028245691741098</v>
      </c>
      <c r="I2854" s="861">
        <v>30.544831624274899</v>
      </c>
      <c r="J2854" s="861">
        <v>50.055437172278999</v>
      </c>
      <c r="K2854" s="982">
        <v>0</v>
      </c>
      <c r="L2854" s="735">
        <v>4232</v>
      </c>
      <c r="M2854" s="735">
        <v>4588</v>
      </c>
      <c r="N2854" s="845">
        <f t="shared" si="203"/>
        <v>8.4120982986767484E-2</v>
      </c>
      <c r="O2854" s="735">
        <v>56.291425986507718</v>
      </c>
      <c r="P2854" s="735">
        <f t="shared" si="204"/>
        <v>81.50441953806039</v>
      </c>
      <c r="Q2854" s="849">
        <v>34.700000000000003</v>
      </c>
      <c r="R2854" s="71">
        <v>61324</v>
      </c>
      <c r="S2854" s="845">
        <v>0.21522597630539711</v>
      </c>
      <c r="T2854" s="845">
        <v>2.5000000000000001E-2</v>
      </c>
      <c r="U2854" s="845">
        <v>0</v>
      </c>
      <c r="V2854" s="845">
        <v>0</v>
      </c>
      <c r="W2854" s="845">
        <v>0.20969696969696969</v>
      </c>
      <c r="X2854" s="845">
        <v>0.55202312138728327</v>
      </c>
      <c r="Y2854" s="845">
        <v>0.94790758500435923</v>
      </c>
      <c r="Z2854" s="845">
        <v>1.5257192676547515E-3</v>
      </c>
      <c r="AA2854" s="845">
        <v>0</v>
      </c>
      <c r="AB2854" s="845">
        <v>0</v>
      </c>
      <c r="AC2854" s="845">
        <v>0</v>
      </c>
      <c r="AD2854" s="845">
        <v>4.7951176983435052E-3</v>
      </c>
      <c r="AE2854" s="845">
        <v>4.5771578029642546E-2</v>
      </c>
      <c r="AF2854" s="845">
        <v>1.7872711421098517E-2</v>
      </c>
      <c r="AG2854" s="845">
        <v>0.93003487358326065</v>
      </c>
      <c r="AH2854" s="20" t="str">
        <f t="shared" si="205"/>
        <v>Yes</v>
      </c>
      <c r="AI2854" s="25"/>
      <c r="AJ2854" s="25"/>
      <c r="AK2854" s="25"/>
      <c r="AL2854" s="25"/>
      <c r="AM2854" s="25"/>
      <c r="AN2854" s="25"/>
      <c r="AO2854" s="25"/>
      <c r="AP2854" s="25"/>
      <c r="AQ2854" s="25"/>
      <c r="AR2854" s="25"/>
      <c r="AS2854" s="25"/>
      <c r="AT2854" s="25"/>
      <c r="AU2854" s="36"/>
      <c r="AV2854" s="36"/>
      <c r="AW2854" s="36"/>
      <c r="AX2854" s="25"/>
      <c r="AY2854" s="25"/>
      <c r="AZ2854" s="25"/>
      <c r="BA2854" s="25"/>
      <c r="BB2854" s="25"/>
      <c r="BC2854" s="25"/>
      <c r="BD2854" s="25"/>
      <c r="BE2854" s="25"/>
      <c r="BF2854" s="25"/>
      <c r="BG2854" s="25"/>
      <c r="BH2854" s="25"/>
      <c r="BI2854" s="25"/>
      <c r="BJ2854" s="25"/>
      <c r="BK2854" s="25"/>
      <c r="BL2854" s="25"/>
      <c r="BM2854" s="25"/>
      <c r="BN2854" s="25"/>
      <c r="BO2854" s="25"/>
      <c r="BP2854" s="25"/>
      <c r="BQ2854" s="25"/>
      <c r="BR2854" s="25"/>
      <c r="BS2854" s="25"/>
      <c r="BT2854" s="25"/>
      <c r="BU2854"/>
      <c r="BV2854"/>
      <c r="BW2854"/>
      <c r="BX2854"/>
      <c r="BY2854"/>
      <c r="BZ2854"/>
      <c r="CA2854"/>
      <c r="CB2854"/>
      <c r="CC2854"/>
      <c r="CD2854" s="25"/>
    </row>
    <row r="2855" spans="1:82" s="17" customFormat="1" x14ac:dyDescent="0.2">
      <c r="A2855" s="25"/>
      <c r="B2855" s="20">
        <v>39035121403</v>
      </c>
      <c r="C2855" s="20">
        <v>1214.03</v>
      </c>
      <c r="D2855" s="20" t="s">
        <v>24</v>
      </c>
      <c r="E2855" s="20" t="s">
        <v>2829</v>
      </c>
      <c r="F2855" s="20" t="s">
        <v>6</v>
      </c>
      <c r="G2855" s="861">
        <v>28.777408448635601</v>
      </c>
      <c r="H2855" s="861">
        <v>47.566016776996001</v>
      </c>
      <c r="I2855" s="861">
        <v>71.239410812400607</v>
      </c>
      <c r="J2855" s="861">
        <v>37.053895710974402</v>
      </c>
      <c r="K2855" s="982">
        <v>0</v>
      </c>
      <c r="L2855" s="735">
        <v>2639</v>
      </c>
      <c r="M2855" s="735">
        <v>2248</v>
      </c>
      <c r="N2855" s="845">
        <f t="shared" si="203"/>
        <v>-0.14816218264494127</v>
      </c>
      <c r="O2855" s="735">
        <v>0.39647826800255082</v>
      </c>
      <c r="P2855" s="735">
        <f t="shared" si="204"/>
        <v>5669.9198453559047</v>
      </c>
      <c r="Q2855" s="849">
        <v>39.799999999999997</v>
      </c>
      <c r="R2855" s="71">
        <v>39724</v>
      </c>
      <c r="S2855" s="845">
        <v>0.15569395017793594</v>
      </c>
      <c r="T2855" s="845">
        <v>0.20600000000000002</v>
      </c>
      <c r="U2855" s="845">
        <v>0</v>
      </c>
      <c r="V2855" s="845">
        <v>6.8000000000000005E-2</v>
      </c>
      <c r="W2855" s="845">
        <v>0.42752867570385816</v>
      </c>
      <c r="X2855" s="845">
        <v>0.40243902439024393</v>
      </c>
      <c r="Y2855" s="845">
        <v>3.9590747330960852E-2</v>
      </c>
      <c r="Z2855" s="845">
        <v>0.81539145907473309</v>
      </c>
      <c r="AA2855" s="845">
        <v>1.1565836298932384E-2</v>
      </c>
      <c r="AB2855" s="845">
        <v>0</v>
      </c>
      <c r="AC2855" s="845">
        <v>0</v>
      </c>
      <c r="AD2855" s="845">
        <v>1.6903914590747332E-2</v>
      </c>
      <c r="AE2855" s="845">
        <v>0.11654804270462633</v>
      </c>
      <c r="AF2855" s="845">
        <v>6.4056939501779361E-2</v>
      </c>
      <c r="AG2855" s="845">
        <v>3.9590747330960852E-2</v>
      </c>
      <c r="AH2855" s="20" t="str">
        <f t="shared" si="205"/>
        <v>No</v>
      </c>
      <c r="AI2855" s="25"/>
      <c r="AJ2855" s="25"/>
      <c r="AK2855" s="25"/>
      <c r="AL2855" s="25"/>
      <c r="AM2855" s="25"/>
      <c r="AN2855" s="25"/>
      <c r="AO2855" s="25"/>
      <c r="AP2855" s="25"/>
      <c r="AQ2855" s="25"/>
      <c r="AR2855" s="25"/>
      <c r="AS2855" s="25"/>
      <c r="AT2855" s="25"/>
      <c r="AU2855" s="36"/>
      <c r="AV2855" s="36"/>
      <c r="AW2855" s="36"/>
      <c r="AX2855" s="25"/>
      <c r="AY2855" s="25"/>
      <c r="AZ2855" s="25"/>
      <c r="BA2855" s="25"/>
      <c r="BB2855" s="25"/>
      <c r="BC2855" s="25"/>
      <c r="BD2855" s="25"/>
      <c r="BE2855" s="25"/>
      <c r="BF2855" s="25"/>
      <c r="BG2855" s="25"/>
      <c r="BH2855" s="25"/>
      <c r="BI2855" s="25"/>
      <c r="BJ2855" s="25"/>
      <c r="BK2855" s="25"/>
      <c r="BL2855" s="25"/>
      <c r="BM2855" s="25"/>
      <c r="BN2855" s="25"/>
      <c r="BO2855" s="25"/>
      <c r="BP2855" s="25"/>
      <c r="BQ2855" s="25"/>
      <c r="BR2855" s="25"/>
      <c r="BS2855" s="25"/>
      <c r="BT2855" s="25"/>
      <c r="BU2855"/>
      <c r="BV2855"/>
      <c r="BW2855"/>
      <c r="BX2855"/>
      <c r="BY2855"/>
      <c r="BZ2855"/>
      <c r="CA2855"/>
      <c r="CB2855"/>
      <c r="CC2855"/>
      <c r="CD2855" s="25"/>
    </row>
    <row r="2856" spans="1:82" s="17" customFormat="1" x14ac:dyDescent="0.2">
      <c r="A2856" s="25"/>
      <c r="B2856" s="20">
        <v>39095005704</v>
      </c>
      <c r="C2856" s="20">
        <v>57.04</v>
      </c>
      <c r="D2856" s="20" t="s">
        <v>53</v>
      </c>
      <c r="E2856" s="20" t="s">
        <v>2839</v>
      </c>
      <c r="F2856" s="20" t="s">
        <v>8</v>
      </c>
      <c r="G2856" s="861">
        <v>28.7772598985411</v>
      </c>
      <c r="H2856" s="861">
        <v>42.0916343141282</v>
      </c>
      <c r="I2856" s="861">
        <v>41.870782713530097</v>
      </c>
      <c r="J2856" s="861">
        <v>14.140600064744801</v>
      </c>
      <c r="K2856" s="982">
        <v>0</v>
      </c>
      <c r="L2856" s="735" t="s">
        <v>2466</v>
      </c>
      <c r="M2856" s="735">
        <v>2237</v>
      </c>
      <c r="N2856" s="845" t="str">
        <f t="shared" si="203"/>
        <v/>
      </c>
      <c r="O2856" s="735">
        <v>1.4872492986077841</v>
      </c>
      <c r="P2856" s="735">
        <f t="shared" si="204"/>
        <v>1504.1190485643924</v>
      </c>
      <c r="Q2856" s="849">
        <v>41</v>
      </c>
      <c r="R2856" s="71">
        <v>36853</v>
      </c>
      <c r="S2856" s="845">
        <v>0.27661510464058237</v>
      </c>
      <c r="T2856" s="845">
        <v>7.2999999999999995E-2</v>
      </c>
      <c r="U2856" s="845">
        <v>0</v>
      </c>
      <c r="V2856" s="845">
        <v>2.4E-2</v>
      </c>
      <c r="W2856" s="845">
        <v>0.24344569288389514</v>
      </c>
      <c r="X2856" s="845">
        <v>0.38076923076923075</v>
      </c>
      <c r="Y2856" s="845">
        <v>0.78497988377291017</v>
      </c>
      <c r="Z2856" s="845">
        <v>9.6557890031291907E-2</v>
      </c>
      <c r="AA2856" s="845">
        <v>0</v>
      </c>
      <c r="AB2856" s="845">
        <v>1.1175681716584712E-2</v>
      </c>
      <c r="AC2856" s="845">
        <v>0</v>
      </c>
      <c r="AD2856" s="845">
        <v>1.9669199821189094E-2</v>
      </c>
      <c r="AE2856" s="845">
        <v>8.7617344658024135E-2</v>
      </c>
      <c r="AF2856" s="845">
        <v>6.0795708538220833E-2</v>
      </c>
      <c r="AG2856" s="845">
        <v>0.76665176575771121</v>
      </c>
      <c r="AH2856" s="20" t="str">
        <f t="shared" si="205"/>
        <v>No</v>
      </c>
      <c r="AI2856" s="25"/>
      <c r="AJ2856" s="25"/>
      <c r="AK2856" s="25"/>
      <c r="AL2856" s="25"/>
      <c r="AM2856" s="25"/>
      <c r="AN2856" s="25"/>
      <c r="AO2856" s="25"/>
      <c r="AP2856" s="25"/>
      <c r="AQ2856" s="25"/>
      <c r="AR2856" s="25"/>
      <c r="AS2856" s="25"/>
      <c r="AT2856" s="25"/>
      <c r="AU2856" s="36"/>
      <c r="AV2856" s="36"/>
      <c r="AW2856" s="36"/>
      <c r="AX2856" s="25"/>
      <c r="AY2856" s="25"/>
      <c r="AZ2856" s="25"/>
      <c r="BA2856" s="25"/>
      <c r="BB2856" s="25"/>
      <c r="BC2856" s="25"/>
      <c r="BD2856" s="25"/>
      <c r="BE2856" s="25"/>
      <c r="BF2856" s="25"/>
      <c r="BG2856" s="25"/>
      <c r="BH2856" s="25"/>
      <c r="BI2856" s="25"/>
      <c r="BJ2856" s="25"/>
      <c r="BK2856" s="25"/>
      <c r="BL2856" s="25"/>
      <c r="BM2856" s="25"/>
      <c r="BN2856" s="25"/>
      <c r="BO2856" s="25"/>
      <c r="BP2856" s="25"/>
      <c r="BQ2856" s="25"/>
      <c r="BR2856" s="25"/>
      <c r="BS2856" s="25"/>
      <c r="BT2856" s="25"/>
      <c r="BU2856"/>
      <c r="BV2856"/>
      <c r="BW2856"/>
      <c r="BX2856"/>
      <c r="BY2856"/>
      <c r="BZ2856"/>
      <c r="CA2856"/>
      <c r="CB2856"/>
      <c r="CC2856"/>
      <c r="CD2856" s="25"/>
    </row>
    <row r="2857" spans="1:82" s="17" customFormat="1" x14ac:dyDescent="0.2">
      <c r="A2857" s="25"/>
      <c r="B2857" s="20">
        <v>39061027100</v>
      </c>
      <c r="C2857" s="20">
        <v>271</v>
      </c>
      <c r="D2857" s="20" t="s">
        <v>37</v>
      </c>
      <c r="E2857" s="20" t="s">
        <v>2828</v>
      </c>
      <c r="F2857" s="20" t="s">
        <v>6</v>
      </c>
      <c r="G2857" s="861">
        <v>28.748759055499502</v>
      </c>
      <c r="H2857" s="861">
        <v>34.108509392958403</v>
      </c>
      <c r="I2857" s="861">
        <v>32.592848086956202</v>
      </c>
      <c r="J2857" s="861">
        <v>55.662541138586498</v>
      </c>
      <c r="K2857" s="982">
        <v>0</v>
      </c>
      <c r="L2857" s="735">
        <v>4012</v>
      </c>
      <c r="M2857" s="735">
        <v>4686</v>
      </c>
      <c r="N2857" s="845">
        <f t="shared" si="203"/>
        <v>0.16799601196410768</v>
      </c>
      <c r="O2857" s="735">
        <v>1.159999919845192</v>
      </c>
      <c r="P2857" s="735">
        <f t="shared" si="204"/>
        <v>4039.6554515498337</v>
      </c>
      <c r="Q2857" s="849">
        <v>44.2</v>
      </c>
      <c r="R2857" s="71">
        <v>31197</v>
      </c>
      <c r="S2857" s="845">
        <v>0.30949669779093603</v>
      </c>
      <c r="T2857" s="845">
        <v>0.11599999999999999</v>
      </c>
      <c r="U2857" s="845">
        <v>0</v>
      </c>
      <c r="V2857" s="845">
        <v>0.04</v>
      </c>
      <c r="W2857" s="845">
        <v>0.66528411447532143</v>
      </c>
      <c r="X2857" s="845">
        <v>0.45261845386533667</v>
      </c>
      <c r="Y2857" s="845">
        <v>6.3593683311993165E-2</v>
      </c>
      <c r="Z2857" s="845">
        <v>0.91207853179684162</v>
      </c>
      <c r="AA2857" s="845">
        <v>4.0546308151941952E-3</v>
      </c>
      <c r="AB2857" s="845">
        <v>0</v>
      </c>
      <c r="AC2857" s="845">
        <v>0</v>
      </c>
      <c r="AD2857" s="845">
        <v>1.2804097311139564E-3</v>
      </c>
      <c r="AE2857" s="845">
        <v>1.899274434485702E-2</v>
      </c>
      <c r="AF2857" s="845">
        <v>1.2590695689287239E-2</v>
      </c>
      <c r="AG2857" s="845">
        <v>6.3593683311993165E-2</v>
      </c>
      <c r="AH2857" s="20" t="str">
        <f t="shared" si="205"/>
        <v>No</v>
      </c>
      <c r="AI2857" s="25"/>
      <c r="AJ2857" s="25"/>
      <c r="AK2857" s="25"/>
      <c r="AL2857" s="25"/>
      <c r="AM2857" s="25"/>
      <c r="AN2857" s="25"/>
      <c r="AO2857" s="25"/>
      <c r="AP2857" s="25"/>
      <c r="AQ2857" s="25"/>
      <c r="AR2857" s="25"/>
      <c r="AS2857" s="25"/>
      <c r="AT2857" s="25"/>
      <c r="AU2857" s="36"/>
      <c r="AV2857" s="36"/>
      <c r="AW2857" s="36"/>
      <c r="AX2857" s="25"/>
      <c r="AY2857" s="25"/>
      <c r="AZ2857" s="25"/>
      <c r="BA2857" s="25"/>
      <c r="BB2857" s="25"/>
      <c r="BC2857" s="25"/>
      <c r="BD2857" s="25"/>
      <c r="BE2857" s="25"/>
      <c r="BF2857" s="25"/>
      <c r="BG2857" s="25"/>
      <c r="BH2857" s="25"/>
      <c r="BI2857" s="25"/>
      <c r="BJ2857" s="25"/>
      <c r="BK2857" s="25"/>
      <c r="BL2857" s="25"/>
      <c r="BM2857" s="25"/>
      <c r="BN2857" s="25"/>
      <c r="BO2857" s="25"/>
      <c r="BP2857" s="25"/>
      <c r="BQ2857" s="25"/>
      <c r="BR2857" s="25"/>
      <c r="BS2857" s="25"/>
      <c r="BT2857" s="25"/>
      <c r="BU2857"/>
      <c r="BV2857"/>
      <c r="BW2857"/>
      <c r="BX2857"/>
      <c r="BY2857"/>
      <c r="BZ2857"/>
      <c r="CA2857"/>
      <c r="CB2857"/>
      <c r="CC2857"/>
      <c r="CD2857" s="25"/>
    </row>
    <row r="2858" spans="1:82" s="17" customFormat="1" x14ac:dyDescent="0.2">
      <c r="A2858" s="25"/>
      <c r="B2858" s="20">
        <v>39035105500</v>
      </c>
      <c r="C2858" s="20">
        <v>1055</v>
      </c>
      <c r="D2858" s="20" t="s">
        <v>24</v>
      </c>
      <c r="E2858" s="20" t="s">
        <v>2829</v>
      </c>
      <c r="F2858" s="20" t="s">
        <v>6</v>
      </c>
      <c r="G2858" s="861">
        <v>28.744943634004901</v>
      </c>
      <c r="H2858" s="861">
        <v>46.001555196752498</v>
      </c>
      <c r="I2858" s="861">
        <v>77.468816275285207</v>
      </c>
      <c r="J2858" s="861">
        <v>21.523413609320301</v>
      </c>
      <c r="K2858" s="982">
        <v>0</v>
      </c>
      <c r="L2858" s="735">
        <v>1877</v>
      </c>
      <c r="M2858" s="735">
        <v>1849</v>
      </c>
      <c r="N2858" s="845">
        <f t="shared" si="203"/>
        <v>-1.4917421417155035E-2</v>
      </c>
      <c r="O2858" s="735">
        <v>0.16685404783576402</v>
      </c>
      <c r="P2858" s="735">
        <f t="shared" si="204"/>
        <v>11081.541167164178</v>
      </c>
      <c r="Q2858" s="849">
        <v>35.700000000000003</v>
      </c>
      <c r="R2858" s="71">
        <v>29375</v>
      </c>
      <c r="S2858" s="845">
        <v>0.27744726879394266</v>
      </c>
      <c r="T2858" s="845">
        <v>0.16800000000000001</v>
      </c>
      <c r="U2858" s="845">
        <v>0.113</v>
      </c>
      <c r="V2858" s="845">
        <v>2.4E-2</v>
      </c>
      <c r="W2858" s="845">
        <v>0.75251256281407031</v>
      </c>
      <c r="X2858" s="845">
        <v>0.53255425709515858</v>
      </c>
      <c r="Y2858" s="845">
        <v>0.33585722011898322</v>
      </c>
      <c r="Z2858" s="845">
        <v>0.30611141157382371</v>
      </c>
      <c r="AA2858" s="845">
        <v>1.081665765278529E-2</v>
      </c>
      <c r="AB2858" s="845">
        <v>2.7041644131963224E-3</v>
      </c>
      <c r="AC2858" s="845">
        <v>0</v>
      </c>
      <c r="AD2858" s="845">
        <v>0.25851811790156842</v>
      </c>
      <c r="AE2858" s="845">
        <v>8.5992428339643046E-2</v>
      </c>
      <c r="AF2858" s="845">
        <v>0.38345051379123851</v>
      </c>
      <c r="AG2858" s="845">
        <v>0.31584640346133047</v>
      </c>
      <c r="AH2858" s="20" t="str">
        <f t="shared" si="205"/>
        <v>No</v>
      </c>
      <c r="AI2858" s="25"/>
      <c r="AJ2858" s="25"/>
      <c r="AK2858" s="25"/>
      <c r="AL2858" s="25"/>
      <c r="AM2858" s="25"/>
      <c r="AN2858" s="25"/>
      <c r="AO2858" s="25"/>
      <c r="AP2858" s="25"/>
      <c r="AQ2858" s="25"/>
      <c r="AR2858" s="25"/>
      <c r="AS2858" s="25"/>
      <c r="AT2858" s="25"/>
      <c r="AU2858" s="36"/>
      <c r="AV2858" s="36"/>
      <c r="AW2858" s="36"/>
      <c r="AX2858" s="25"/>
      <c r="AY2858" s="25"/>
      <c r="AZ2858" s="25"/>
      <c r="BA2858" s="25"/>
      <c r="BB2858" s="25"/>
      <c r="BC2858" s="25"/>
      <c r="BD2858" s="25"/>
      <c r="BE2858" s="25"/>
      <c r="BF2858" s="25"/>
      <c r="BG2858" s="25"/>
      <c r="BH2858" s="25"/>
      <c r="BI2858" s="25"/>
      <c r="BJ2858" s="25"/>
      <c r="BK2858" s="25"/>
      <c r="BL2858" s="25"/>
      <c r="BM2858" s="25"/>
      <c r="BN2858" s="25"/>
      <c r="BO2858" s="25"/>
      <c r="BP2858" s="25"/>
      <c r="BQ2858" s="25"/>
      <c r="BR2858" s="25"/>
      <c r="BS2858" s="25"/>
      <c r="BT2858" s="25"/>
      <c r="BU2858"/>
      <c r="BV2858"/>
      <c r="BW2858"/>
      <c r="BX2858"/>
      <c r="BY2858"/>
      <c r="BZ2858"/>
      <c r="CA2858"/>
      <c r="CB2858"/>
      <c r="CC2858"/>
      <c r="CD2858" s="25"/>
    </row>
    <row r="2859" spans="1:82" s="17" customFormat="1" x14ac:dyDescent="0.2">
      <c r="A2859" s="25"/>
      <c r="B2859" s="20">
        <v>39061008400</v>
      </c>
      <c r="C2859" s="20">
        <v>84</v>
      </c>
      <c r="D2859" s="20" t="s">
        <v>37</v>
      </c>
      <c r="E2859" s="20" t="s">
        <v>2828</v>
      </c>
      <c r="F2859" s="20" t="s">
        <v>6</v>
      </c>
      <c r="G2859" s="861">
        <v>28.714276395845701</v>
      </c>
      <c r="H2859" s="861">
        <v>43.572402708773502</v>
      </c>
      <c r="I2859" s="861">
        <v>53.247510215186502</v>
      </c>
      <c r="J2859" s="861">
        <v>32.581604447520697</v>
      </c>
      <c r="K2859" s="982">
        <v>0</v>
      </c>
      <c r="L2859" s="735">
        <v>2066</v>
      </c>
      <c r="M2859" s="735">
        <v>2129</v>
      </c>
      <c r="N2859" s="845">
        <f t="shared" si="203"/>
        <v>3.0493707647628269E-2</v>
      </c>
      <c r="O2859" s="735">
        <v>1.1275206201622292</v>
      </c>
      <c r="P2859" s="735">
        <f t="shared" si="204"/>
        <v>1888.2138046341686</v>
      </c>
      <c r="Q2859" s="849">
        <v>51.1</v>
      </c>
      <c r="R2859" s="71">
        <v>41703</v>
      </c>
      <c r="S2859" s="845">
        <v>0.19315278487480839</v>
      </c>
      <c r="T2859" s="845">
        <v>7.0999999999999994E-2</v>
      </c>
      <c r="U2859" s="845">
        <v>0</v>
      </c>
      <c r="V2859" s="845">
        <v>0.13</v>
      </c>
      <c r="W2859" s="845">
        <v>0.49795918367346936</v>
      </c>
      <c r="X2859" s="845">
        <v>0.59631147540983609</v>
      </c>
      <c r="Y2859" s="845">
        <v>0.53875058713010804</v>
      </c>
      <c r="Z2859" s="845">
        <v>0.21935180836073273</v>
      </c>
      <c r="AA2859" s="845">
        <v>0</v>
      </c>
      <c r="AB2859" s="845">
        <v>0</v>
      </c>
      <c r="AC2859" s="845">
        <v>0</v>
      </c>
      <c r="AD2859" s="845">
        <v>3.3348990136214188E-2</v>
      </c>
      <c r="AE2859" s="845">
        <v>0.20854861437294506</v>
      </c>
      <c r="AF2859" s="845">
        <v>1.7848755284170972E-2</v>
      </c>
      <c r="AG2859" s="845">
        <v>0.53875058713010804</v>
      </c>
      <c r="AH2859" s="20" t="str">
        <f t="shared" si="205"/>
        <v>No</v>
      </c>
      <c r="AI2859" s="25"/>
      <c r="AJ2859" s="25"/>
      <c r="AK2859" s="25"/>
      <c r="AL2859" s="25"/>
      <c r="AM2859" s="25"/>
      <c r="AN2859" s="25"/>
      <c r="AO2859" s="25"/>
      <c r="AP2859" s="25"/>
      <c r="AQ2859" s="25"/>
      <c r="AR2859" s="25"/>
      <c r="AS2859" s="25"/>
      <c r="AT2859" s="25"/>
      <c r="AU2859" s="36"/>
      <c r="AV2859" s="36"/>
      <c r="AW2859" s="36"/>
      <c r="AX2859" s="25"/>
      <c r="AY2859" s="25"/>
      <c r="AZ2859" s="25"/>
      <c r="BA2859" s="25"/>
      <c r="BB2859" s="25"/>
      <c r="BC2859" s="25"/>
      <c r="BD2859" s="25"/>
      <c r="BE2859" s="25"/>
      <c r="BF2859" s="25"/>
      <c r="BG2859" s="25"/>
      <c r="BH2859" s="25"/>
      <c r="BI2859" s="25"/>
      <c r="BJ2859" s="25"/>
      <c r="BK2859" s="25"/>
      <c r="BL2859" s="25"/>
      <c r="BM2859" s="25"/>
      <c r="BN2859" s="25"/>
      <c r="BO2859" s="25"/>
      <c r="BP2859" s="25"/>
      <c r="BQ2859" s="25"/>
      <c r="BR2859" s="25"/>
      <c r="BS2859" s="25"/>
      <c r="BT2859" s="25"/>
      <c r="BU2859"/>
      <c r="BV2859"/>
      <c r="BW2859"/>
      <c r="BX2859"/>
      <c r="BY2859"/>
      <c r="BZ2859"/>
      <c r="CA2859"/>
      <c r="CB2859"/>
      <c r="CC2859"/>
      <c r="CD2859" s="25"/>
    </row>
    <row r="2860" spans="1:82" s="17" customFormat="1" x14ac:dyDescent="0.2">
      <c r="A2860" s="25"/>
      <c r="B2860" s="20">
        <v>39155931700</v>
      </c>
      <c r="C2860" s="20">
        <v>9317</v>
      </c>
      <c r="D2860" s="20" t="s">
        <v>83</v>
      </c>
      <c r="E2860" s="20" t="s">
        <v>2842</v>
      </c>
      <c r="F2860" s="20" t="s">
        <v>8</v>
      </c>
      <c r="G2860" s="861">
        <v>28.690139337748199</v>
      </c>
      <c r="H2860" s="861">
        <v>32.855969185583199</v>
      </c>
      <c r="I2860" s="861">
        <v>40.740740181306698</v>
      </c>
      <c r="J2860" s="861">
        <v>35.252446862309199</v>
      </c>
      <c r="K2860" s="982">
        <v>0</v>
      </c>
      <c r="L2860" s="735">
        <v>1968</v>
      </c>
      <c r="M2860" s="735">
        <v>1866</v>
      </c>
      <c r="N2860" s="845">
        <f t="shared" si="203"/>
        <v>-5.1829268292682924E-2</v>
      </c>
      <c r="O2860" s="735">
        <v>3.0400471606798227</v>
      </c>
      <c r="P2860" s="735">
        <f t="shared" si="204"/>
        <v>613.8062672628804</v>
      </c>
      <c r="Q2860" s="849">
        <v>47.4</v>
      </c>
      <c r="R2860" s="71">
        <v>51016</v>
      </c>
      <c r="S2860" s="845">
        <v>0.15417789757412398</v>
      </c>
      <c r="T2860" s="845">
        <v>9.4E-2</v>
      </c>
      <c r="U2860" s="845">
        <v>0</v>
      </c>
      <c r="V2860" s="845">
        <v>9.9000000000000005E-2</v>
      </c>
      <c r="W2860" s="845">
        <v>0.22765196662693682</v>
      </c>
      <c r="X2860" s="845">
        <v>0.59685863874345546</v>
      </c>
      <c r="Y2860" s="845">
        <v>0.87834941050375137</v>
      </c>
      <c r="Z2860" s="845">
        <v>9.5927116827438375E-2</v>
      </c>
      <c r="AA2860" s="845">
        <v>6.9667738478027871E-3</v>
      </c>
      <c r="AB2860" s="845">
        <v>2.1436227224008574E-3</v>
      </c>
      <c r="AC2860" s="845">
        <v>0</v>
      </c>
      <c r="AD2860" s="845">
        <v>0</v>
      </c>
      <c r="AE2860" s="845">
        <v>1.6613076098606645E-2</v>
      </c>
      <c r="AF2860" s="845">
        <v>2.0900321543408359E-2</v>
      </c>
      <c r="AG2860" s="845">
        <v>0.857449088960343</v>
      </c>
      <c r="AH2860" s="20" t="str">
        <f t="shared" si="205"/>
        <v>No</v>
      </c>
      <c r="AI2860" s="25"/>
      <c r="AJ2860" s="25"/>
      <c r="AK2860" s="25"/>
      <c r="AL2860" s="25"/>
      <c r="AM2860" s="25"/>
      <c r="AN2860" s="25"/>
      <c r="AO2860" s="25"/>
      <c r="AP2860" s="25"/>
      <c r="AQ2860" s="25"/>
      <c r="AR2860" s="25"/>
      <c r="AS2860" s="25"/>
      <c r="AT2860" s="25"/>
      <c r="AU2860" s="36"/>
      <c r="AV2860" s="36"/>
      <c r="AW2860" s="36"/>
      <c r="AX2860" s="25"/>
      <c r="AY2860" s="25"/>
      <c r="AZ2860" s="25"/>
      <c r="BA2860" s="25"/>
      <c r="BB2860" s="25"/>
      <c r="BC2860" s="25"/>
      <c r="BD2860" s="25"/>
      <c r="BE2860" s="25"/>
      <c r="BF2860" s="25"/>
      <c r="BG2860" s="25"/>
      <c r="BH2860" s="25"/>
      <c r="BI2860" s="25"/>
      <c r="BJ2860" s="25"/>
      <c r="BK2860" s="25"/>
      <c r="BL2860" s="25"/>
      <c r="BM2860" s="25"/>
      <c r="BN2860" s="25"/>
      <c r="BO2860" s="25"/>
      <c r="BP2860" s="25"/>
      <c r="BQ2860" s="25"/>
      <c r="BR2860" s="25"/>
      <c r="BS2860" s="25"/>
      <c r="BT2860" s="25"/>
      <c r="BU2860"/>
      <c r="BV2860"/>
      <c r="BW2860"/>
      <c r="BX2860"/>
      <c r="BY2860"/>
      <c r="BZ2860"/>
      <c r="CA2860"/>
      <c r="CB2860"/>
      <c r="CC2860"/>
      <c r="CD2860" s="25"/>
    </row>
    <row r="2861" spans="1:82" s="17" customFormat="1" x14ac:dyDescent="0.2">
      <c r="A2861" s="25"/>
      <c r="B2861" s="20">
        <v>39009973902</v>
      </c>
      <c r="C2861" s="20">
        <v>9739.02</v>
      </c>
      <c r="D2861" s="20" t="s">
        <v>11</v>
      </c>
      <c r="E2861" s="20" t="s">
        <v>265</v>
      </c>
      <c r="F2861" s="20" t="s">
        <v>6</v>
      </c>
      <c r="G2861" s="861">
        <v>28.664955591043999</v>
      </c>
      <c r="H2861" s="861">
        <v>28.2211305612263</v>
      </c>
      <c r="I2861" s="861">
        <v>45.938051624028297</v>
      </c>
      <c r="J2861" s="861">
        <v>35.740349438189703</v>
      </c>
      <c r="K2861" s="982">
        <v>0</v>
      </c>
      <c r="L2861" s="735">
        <v>3650</v>
      </c>
      <c r="M2861" s="735">
        <v>3263</v>
      </c>
      <c r="N2861" s="845">
        <f t="shared" si="203"/>
        <v>-0.10602739726027398</v>
      </c>
      <c r="O2861" s="735">
        <v>0.28760363691399343</v>
      </c>
      <c r="P2861" s="735">
        <f t="shared" si="204"/>
        <v>11345.475443260077</v>
      </c>
      <c r="Q2861" s="849">
        <v>21.6</v>
      </c>
      <c r="R2861" s="71">
        <v>21541</v>
      </c>
      <c r="S2861" s="845">
        <v>0.67391304347826086</v>
      </c>
      <c r="T2861" s="845">
        <v>8.900000000000001E-2</v>
      </c>
      <c r="U2861" s="845">
        <v>0</v>
      </c>
      <c r="V2861" s="845">
        <v>8.1000000000000003E-2</v>
      </c>
      <c r="W2861" s="845">
        <v>0.86353944562899787</v>
      </c>
      <c r="X2861" s="845">
        <v>0.59753086419753088</v>
      </c>
      <c r="Y2861" s="845">
        <v>0.82868525896414347</v>
      </c>
      <c r="Z2861" s="845">
        <v>2.8501379098988661E-2</v>
      </c>
      <c r="AA2861" s="845">
        <v>0</v>
      </c>
      <c r="AB2861" s="845">
        <v>6.0986821942997239E-2</v>
      </c>
      <c r="AC2861" s="845">
        <v>0</v>
      </c>
      <c r="AD2861" s="845">
        <v>2.1452650934722646E-3</v>
      </c>
      <c r="AE2861" s="845">
        <v>7.9681274900398405E-2</v>
      </c>
      <c r="AF2861" s="845">
        <v>4.4744100520992952E-2</v>
      </c>
      <c r="AG2861" s="845">
        <v>0.81213607110021457</v>
      </c>
      <c r="AH2861" s="20" t="str">
        <f t="shared" si="205"/>
        <v>No</v>
      </c>
      <c r="AI2861" s="25"/>
      <c r="AJ2861" s="25"/>
      <c r="AK2861" s="25"/>
      <c r="AL2861" s="25"/>
      <c r="AM2861" s="25"/>
      <c r="AN2861" s="25"/>
      <c r="AO2861" s="25"/>
      <c r="AP2861" s="25"/>
      <c r="AQ2861" s="25"/>
      <c r="AR2861" s="25"/>
      <c r="AS2861" s="25"/>
      <c r="AT2861" s="25"/>
      <c r="AU2861" s="36"/>
      <c r="AV2861" s="36"/>
      <c r="AW2861" s="36"/>
      <c r="AX2861" s="25"/>
      <c r="AY2861" s="25"/>
      <c r="AZ2861" s="25"/>
      <c r="BA2861" s="25"/>
      <c r="BB2861" s="25"/>
      <c r="BC2861" s="25"/>
      <c r="BD2861" s="25"/>
      <c r="BE2861" s="25"/>
      <c r="BF2861" s="25"/>
      <c r="BG2861" s="25"/>
      <c r="BH2861" s="25"/>
      <c r="BI2861" s="25"/>
      <c r="BJ2861" s="25"/>
      <c r="BK2861" s="25"/>
      <c r="BL2861" s="25"/>
      <c r="BM2861" s="25"/>
      <c r="BN2861" s="25"/>
      <c r="BO2861" s="25"/>
      <c r="BP2861" s="25"/>
      <c r="BQ2861" s="25"/>
      <c r="BR2861" s="25"/>
      <c r="BS2861" s="25"/>
      <c r="BT2861" s="25"/>
      <c r="BU2861"/>
      <c r="BV2861"/>
      <c r="BW2861"/>
      <c r="BX2861"/>
      <c r="BY2861"/>
      <c r="BZ2861"/>
      <c r="CA2861"/>
      <c r="CB2861"/>
      <c r="CC2861"/>
      <c r="CD2861" s="25"/>
    </row>
    <row r="2862" spans="1:82" s="17" customFormat="1" x14ac:dyDescent="0.2">
      <c r="A2862" s="25"/>
      <c r="B2862" s="20">
        <v>39099814000</v>
      </c>
      <c r="C2862" s="20">
        <v>8140</v>
      </c>
      <c r="D2862" s="20" t="s">
        <v>55</v>
      </c>
      <c r="E2862" s="20" t="s">
        <v>2842</v>
      </c>
      <c r="F2862" s="20" t="s">
        <v>6</v>
      </c>
      <c r="G2862" s="861">
        <v>28.650242723129999</v>
      </c>
      <c r="H2862" s="861">
        <v>32.994443500831203</v>
      </c>
      <c r="I2862" s="861">
        <v>48.466837503587399</v>
      </c>
      <c r="J2862" s="861">
        <v>33.403352009987501</v>
      </c>
      <c r="K2862" s="982">
        <v>0</v>
      </c>
      <c r="L2862" s="735">
        <v>3102</v>
      </c>
      <c r="M2862" s="735">
        <v>2984</v>
      </c>
      <c r="N2862" s="845">
        <f t="shared" si="203"/>
        <v>-3.8039974210186976E-2</v>
      </c>
      <c r="O2862" s="735">
        <v>2.6527060002603644</v>
      </c>
      <c r="P2862" s="735">
        <f t="shared" si="204"/>
        <v>1124.8890754222741</v>
      </c>
      <c r="Q2862" s="849">
        <v>22</v>
      </c>
      <c r="R2862" s="71">
        <v>20101</v>
      </c>
      <c r="S2862" s="845">
        <v>0.53003384094754658</v>
      </c>
      <c r="T2862" s="845">
        <v>0.21100000000000002</v>
      </c>
      <c r="U2862" s="845">
        <v>0</v>
      </c>
      <c r="V2862" s="845">
        <v>0</v>
      </c>
      <c r="W2862" s="845">
        <v>0.67973231357552577</v>
      </c>
      <c r="X2862" s="845">
        <v>0.52742616033755274</v>
      </c>
      <c r="Y2862" s="845">
        <v>0.29859249329758714</v>
      </c>
      <c r="Z2862" s="845">
        <v>0.60891420911528149</v>
      </c>
      <c r="AA2862" s="845">
        <v>6.0321715817694367E-3</v>
      </c>
      <c r="AB2862" s="845">
        <v>5.6970509383378019E-3</v>
      </c>
      <c r="AC2862" s="845">
        <v>0</v>
      </c>
      <c r="AD2862" s="845">
        <v>1.1058981233243968E-2</v>
      </c>
      <c r="AE2862" s="845">
        <v>6.9705093833780166E-2</v>
      </c>
      <c r="AF2862" s="845">
        <v>6.2332439678284182E-2</v>
      </c>
      <c r="AG2862" s="845">
        <v>0.29859249329758714</v>
      </c>
      <c r="AH2862" s="20" t="str">
        <f t="shared" si="205"/>
        <v>No</v>
      </c>
      <c r="AI2862" s="25"/>
      <c r="AJ2862" s="25"/>
      <c r="AK2862" s="25"/>
      <c r="AL2862" s="25"/>
      <c r="AM2862" s="25"/>
      <c r="AN2862" s="25"/>
      <c r="AO2862" s="25"/>
      <c r="AP2862" s="25"/>
      <c r="AQ2862" s="25"/>
      <c r="AR2862" s="25"/>
      <c r="AS2862" s="25"/>
      <c r="AT2862" s="25"/>
      <c r="AU2862" s="36"/>
      <c r="AV2862" s="36"/>
      <c r="AW2862" s="36"/>
      <c r="AX2862" s="25"/>
      <c r="AY2862" s="25"/>
      <c r="AZ2862" s="25"/>
      <c r="BA2862" s="25"/>
      <c r="BB2862" s="25"/>
      <c r="BC2862" s="25"/>
      <c r="BD2862" s="25"/>
      <c r="BE2862" s="25"/>
      <c r="BF2862" s="25"/>
      <c r="BG2862" s="25"/>
      <c r="BH2862" s="25"/>
      <c r="BI2862" s="25"/>
      <c r="BJ2862" s="25"/>
      <c r="BK2862" s="25"/>
      <c r="BL2862" s="25"/>
      <c r="BM2862" s="25"/>
      <c r="BN2862" s="25"/>
      <c r="BO2862" s="25"/>
      <c r="BP2862" s="25"/>
      <c r="BQ2862" s="25"/>
      <c r="BR2862" s="25"/>
      <c r="BS2862" s="25"/>
      <c r="BT2862" s="25"/>
      <c r="BU2862"/>
      <c r="BV2862"/>
      <c r="BW2862"/>
      <c r="BX2862"/>
      <c r="BY2862"/>
      <c r="BZ2862"/>
      <c r="CA2862"/>
      <c r="CB2862"/>
      <c r="CC2862"/>
      <c r="CD2862" s="25"/>
    </row>
    <row r="2863" spans="1:82" s="17" customFormat="1" x14ac:dyDescent="0.2">
      <c r="A2863" s="25"/>
      <c r="B2863" s="20">
        <v>39035102800</v>
      </c>
      <c r="C2863" s="20">
        <v>1028</v>
      </c>
      <c r="D2863" s="20" t="s">
        <v>24</v>
      </c>
      <c r="E2863" s="20" t="s">
        <v>2829</v>
      </c>
      <c r="F2863" s="20" t="s">
        <v>6</v>
      </c>
      <c r="G2863" s="861">
        <v>28.643858530464399</v>
      </c>
      <c r="H2863" s="861">
        <v>47.920802298147002</v>
      </c>
      <c r="I2863" s="861">
        <v>80.573563571862195</v>
      </c>
      <c r="J2863" s="861">
        <v>40.544535997749001</v>
      </c>
      <c r="K2863" s="982">
        <v>0</v>
      </c>
      <c r="L2863" s="735">
        <v>1746</v>
      </c>
      <c r="M2863" s="735">
        <v>1804</v>
      </c>
      <c r="N2863" s="845">
        <f t="shared" si="203"/>
        <v>3.3218785796105384E-2</v>
      </c>
      <c r="O2863" s="735">
        <v>0.17427879234549845</v>
      </c>
      <c r="P2863" s="735">
        <f t="shared" si="204"/>
        <v>10351.230782134786</v>
      </c>
      <c r="Q2863" s="849">
        <v>32.200000000000003</v>
      </c>
      <c r="R2863" s="71">
        <v>34762</v>
      </c>
      <c r="S2863" s="845">
        <v>0.49556541019955652</v>
      </c>
      <c r="T2863" s="845">
        <v>0.11800000000000001</v>
      </c>
      <c r="U2863" s="845">
        <v>0</v>
      </c>
      <c r="V2863" s="845">
        <v>4.4000000000000004E-2</v>
      </c>
      <c r="W2863" s="845">
        <v>0.77444794952681384</v>
      </c>
      <c r="X2863" s="845">
        <v>0.45213849287169044</v>
      </c>
      <c r="Y2863" s="845">
        <v>0.36862527716186255</v>
      </c>
      <c r="Z2863" s="845">
        <v>0.28658536585365851</v>
      </c>
      <c r="AA2863" s="845">
        <v>0</v>
      </c>
      <c r="AB2863" s="845">
        <v>0</v>
      </c>
      <c r="AC2863" s="845">
        <v>0</v>
      </c>
      <c r="AD2863" s="845">
        <v>0.21951219512195122</v>
      </c>
      <c r="AE2863" s="845">
        <v>0.12527716186252771</v>
      </c>
      <c r="AF2863" s="845">
        <v>0.40465631929046564</v>
      </c>
      <c r="AG2863" s="845">
        <v>0.24944567627494457</v>
      </c>
      <c r="AH2863" s="20" t="str">
        <f t="shared" si="205"/>
        <v>No</v>
      </c>
      <c r="AI2863" s="25"/>
      <c r="AJ2863" s="25"/>
      <c r="AK2863" s="25"/>
      <c r="AL2863" s="25"/>
      <c r="AM2863" s="25"/>
      <c r="AN2863" s="25"/>
      <c r="AO2863" s="25"/>
      <c r="AP2863" s="25"/>
      <c r="AQ2863" s="25"/>
      <c r="AR2863" s="25"/>
      <c r="AS2863" s="25"/>
      <c r="AT2863" s="25"/>
      <c r="AU2863" s="36"/>
      <c r="AV2863" s="36"/>
      <c r="AW2863" s="36"/>
      <c r="AX2863" s="25"/>
      <c r="AY2863" s="25"/>
      <c r="AZ2863" s="25"/>
      <c r="BA2863" s="25"/>
      <c r="BB2863" s="25"/>
      <c r="BC2863" s="25"/>
      <c r="BD2863" s="25"/>
      <c r="BE2863" s="25"/>
      <c r="BF2863" s="25"/>
      <c r="BG2863" s="25"/>
      <c r="BH2863" s="25"/>
      <c r="BI2863" s="25"/>
      <c r="BJ2863" s="25"/>
      <c r="BK2863" s="25"/>
      <c r="BL2863" s="25"/>
      <c r="BM2863" s="25"/>
      <c r="BN2863" s="25"/>
      <c r="BO2863" s="25"/>
      <c r="BP2863" s="25"/>
      <c r="BQ2863" s="25"/>
      <c r="BR2863" s="25"/>
      <c r="BS2863" s="25"/>
      <c r="BT2863" s="25"/>
      <c r="BU2863"/>
      <c r="BV2863"/>
      <c r="BW2863"/>
      <c r="BX2863"/>
      <c r="BY2863"/>
      <c r="BZ2863"/>
      <c r="CA2863"/>
      <c r="CB2863"/>
      <c r="CC2863"/>
      <c r="CD2863" s="25"/>
    </row>
    <row r="2864" spans="1:82" s="17" customFormat="1" x14ac:dyDescent="0.2">
      <c r="A2864" s="25"/>
      <c r="B2864" s="20">
        <v>39031961400</v>
      </c>
      <c r="C2864" s="20">
        <v>9614</v>
      </c>
      <c r="D2864" s="20" t="s">
        <v>22</v>
      </c>
      <c r="E2864" s="20" t="s">
        <v>265</v>
      </c>
      <c r="F2864" s="20" t="s">
        <v>6</v>
      </c>
      <c r="G2864" s="861">
        <v>28.629574276659302</v>
      </c>
      <c r="H2864" s="861">
        <v>20.977503037669099</v>
      </c>
      <c r="I2864" s="861">
        <v>35.335970011495903</v>
      </c>
      <c r="J2864" s="861">
        <v>26.985973705387</v>
      </c>
      <c r="K2864" s="982">
        <v>0</v>
      </c>
      <c r="L2864" s="735">
        <v>3440</v>
      </c>
      <c r="M2864" s="735">
        <v>2813</v>
      </c>
      <c r="N2864" s="845">
        <f t="shared" si="203"/>
        <v>-0.18226744186046512</v>
      </c>
      <c r="O2864" s="735">
        <v>5.0319323666702083</v>
      </c>
      <c r="P2864" s="735">
        <f t="shared" si="204"/>
        <v>559.02977127283066</v>
      </c>
      <c r="Q2864" s="849">
        <v>47.4</v>
      </c>
      <c r="R2864" s="71">
        <v>28299</v>
      </c>
      <c r="S2864" s="845">
        <v>0.35623599701269604</v>
      </c>
      <c r="T2864" s="845">
        <v>0.11900000000000001</v>
      </c>
      <c r="U2864" s="845">
        <v>0</v>
      </c>
      <c r="V2864" s="845">
        <v>7.8E-2</v>
      </c>
      <c r="W2864" s="845">
        <v>0.59209597741707831</v>
      </c>
      <c r="X2864" s="845">
        <v>0.37902264600715135</v>
      </c>
      <c r="Y2864" s="845">
        <v>0.92890152861713471</v>
      </c>
      <c r="Z2864" s="845">
        <v>1.7419125488801989E-2</v>
      </c>
      <c r="AA2864" s="845">
        <v>1.4219694276573053E-3</v>
      </c>
      <c r="AB2864" s="845">
        <v>0</v>
      </c>
      <c r="AC2864" s="845">
        <v>0</v>
      </c>
      <c r="AD2864" s="845">
        <v>0</v>
      </c>
      <c r="AE2864" s="845">
        <v>5.2257376466405971E-2</v>
      </c>
      <c r="AF2864" s="845">
        <v>0</v>
      </c>
      <c r="AG2864" s="845">
        <v>0.92890152861713471</v>
      </c>
      <c r="AH2864" s="20" t="str">
        <f t="shared" si="205"/>
        <v>Yes</v>
      </c>
      <c r="AI2864" s="25"/>
      <c r="AJ2864" s="25"/>
      <c r="AK2864" s="25"/>
      <c r="AL2864" s="25"/>
      <c r="AM2864" s="25"/>
      <c r="AN2864" s="25"/>
      <c r="AO2864" s="25"/>
      <c r="AP2864" s="25"/>
      <c r="AQ2864" s="25"/>
      <c r="AR2864" s="25"/>
      <c r="AS2864" s="25"/>
      <c r="AT2864" s="25"/>
      <c r="AU2864" s="36"/>
      <c r="AV2864" s="36"/>
      <c r="AW2864" s="36"/>
      <c r="AX2864" s="25"/>
      <c r="AY2864" s="25"/>
      <c r="AZ2864" s="25"/>
      <c r="BA2864" s="25"/>
      <c r="BB2864" s="25"/>
      <c r="BC2864" s="25"/>
      <c r="BD2864" s="25"/>
      <c r="BE2864" s="25"/>
      <c r="BF2864" s="25"/>
      <c r="BG2864" s="25"/>
      <c r="BH2864" s="25"/>
      <c r="BI2864" s="25"/>
      <c r="BJ2864" s="25"/>
      <c r="BK2864" s="25"/>
      <c r="BL2864" s="25"/>
      <c r="BM2864" s="25"/>
      <c r="BN2864" s="25"/>
      <c r="BO2864" s="25"/>
      <c r="BP2864" s="25"/>
      <c r="BQ2864" s="25"/>
      <c r="BR2864" s="25"/>
      <c r="BS2864" s="25"/>
      <c r="BT2864" s="25"/>
      <c r="BU2864"/>
      <c r="BV2864"/>
      <c r="BW2864"/>
      <c r="BX2864"/>
      <c r="BY2864"/>
      <c r="BZ2864"/>
      <c r="CA2864"/>
      <c r="CB2864"/>
      <c r="CC2864"/>
      <c r="CD2864" s="25"/>
    </row>
    <row r="2865" spans="1:82" s="17" customFormat="1" x14ac:dyDescent="0.2">
      <c r="A2865" s="25"/>
      <c r="B2865" s="20">
        <v>39089757402</v>
      </c>
      <c r="C2865" s="20">
        <v>7574.02</v>
      </c>
      <c r="D2865" s="20" t="s">
        <v>50</v>
      </c>
      <c r="E2865" s="20" t="s">
        <v>2830</v>
      </c>
      <c r="F2865" s="20" t="s">
        <v>8</v>
      </c>
      <c r="G2865" s="861">
        <v>28.597408621189999</v>
      </c>
      <c r="H2865" s="861">
        <v>41.765573557311399</v>
      </c>
      <c r="I2865" s="861">
        <v>17.483394135585801</v>
      </c>
      <c r="J2865" s="861">
        <v>37.530387502400799</v>
      </c>
      <c r="K2865" s="982">
        <v>0</v>
      </c>
      <c r="L2865" s="735" t="s">
        <v>2466</v>
      </c>
      <c r="M2865" s="735">
        <v>2978</v>
      </c>
      <c r="N2865" s="845" t="str">
        <f t="shared" si="203"/>
        <v/>
      </c>
      <c r="O2865" s="735">
        <v>9.5103598757447578</v>
      </c>
      <c r="P2865" s="735">
        <f t="shared" si="204"/>
        <v>313.13220939147607</v>
      </c>
      <c r="Q2865" s="849">
        <v>35.5</v>
      </c>
      <c r="R2865" s="71">
        <v>105625</v>
      </c>
      <c r="S2865" s="845">
        <v>6.2458025520483546E-2</v>
      </c>
      <c r="T2865" s="845">
        <v>8.199999999999999E-2</v>
      </c>
      <c r="U2865" s="845">
        <v>0</v>
      </c>
      <c r="V2865" s="845">
        <v>0</v>
      </c>
      <c r="W2865" s="845">
        <v>1.0515247108307046E-2</v>
      </c>
      <c r="X2865" s="845">
        <v>0</v>
      </c>
      <c r="Y2865" s="845">
        <v>0.80355943586299527</v>
      </c>
      <c r="Z2865" s="845">
        <v>1.3096037609133646E-2</v>
      </c>
      <c r="AA2865" s="845">
        <v>0</v>
      </c>
      <c r="AB2865" s="845">
        <v>0.11786433848220282</v>
      </c>
      <c r="AC2865" s="845">
        <v>0</v>
      </c>
      <c r="AD2865" s="845">
        <v>0</v>
      </c>
      <c r="AE2865" s="845">
        <v>6.5480188045668228E-2</v>
      </c>
      <c r="AF2865" s="845">
        <v>4.4996642041638682E-2</v>
      </c>
      <c r="AG2865" s="845">
        <v>0.80355943586299527</v>
      </c>
      <c r="AH2865" s="20" t="str">
        <f t="shared" si="205"/>
        <v>No</v>
      </c>
      <c r="AI2865" s="25"/>
      <c r="AJ2865" s="25"/>
      <c r="AK2865" s="25"/>
      <c r="AL2865" s="25"/>
      <c r="AM2865" s="25"/>
      <c r="AN2865" s="25"/>
      <c r="AO2865" s="25"/>
      <c r="AP2865" s="25"/>
      <c r="AQ2865" s="25"/>
      <c r="AR2865" s="25"/>
      <c r="AS2865" s="25"/>
      <c r="AT2865" s="25"/>
      <c r="AU2865" s="36"/>
      <c r="AV2865" s="36"/>
      <c r="AW2865" s="36"/>
      <c r="AX2865" s="25"/>
      <c r="AY2865" s="25"/>
      <c r="AZ2865" s="25"/>
      <c r="BA2865" s="25"/>
      <c r="BB2865" s="25"/>
      <c r="BC2865" s="25"/>
      <c r="BD2865" s="25"/>
      <c r="BE2865" s="25"/>
      <c r="BF2865" s="25"/>
      <c r="BG2865" s="25"/>
      <c r="BH2865" s="25"/>
      <c r="BI2865" s="25"/>
      <c r="BJ2865" s="25"/>
      <c r="BK2865" s="25"/>
      <c r="BL2865" s="25"/>
      <c r="BM2865" s="25"/>
      <c r="BN2865" s="25"/>
      <c r="BO2865" s="25"/>
      <c r="BP2865" s="25"/>
      <c r="BQ2865" s="25"/>
      <c r="BR2865" s="25"/>
      <c r="BS2865" s="25"/>
      <c r="BT2865" s="25"/>
      <c r="BU2865"/>
      <c r="BV2865"/>
      <c r="BW2865"/>
      <c r="BX2865"/>
      <c r="BY2865"/>
      <c r="BZ2865"/>
      <c r="CA2865"/>
      <c r="CB2865"/>
      <c r="CC2865"/>
      <c r="CD2865" s="25"/>
    </row>
    <row r="2866" spans="1:82" s="17" customFormat="1" x14ac:dyDescent="0.2">
      <c r="A2866" s="25"/>
      <c r="B2866" s="20">
        <v>39133600603</v>
      </c>
      <c r="C2866" s="20">
        <v>6006.03</v>
      </c>
      <c r="D2866" s="20" t="s">
        <v>72</v>
      </c>
      <c r="E2866" s="20" t="s">
        <v>2843</v>
      </c>
      <c r="F2866" s="20" t="s">
        <v>8</v>
      </c>
      <c r="G2866" s="861">
        <v>28.510660994428498</v>
      </c>
      <c r="H2866" s="861">
        <v>40.239124556718103</v>
      </c>
      <c r="I2866" s="861">
        <v>47.384652643363097</v>
      </c>
      <c r="J2866" s="861">
        <v>31.820614265945899</v>
      </c>
      <c r="K2866" s="982">
        <v>0</v>
      </c>
      <c r="L2866" s="735">
        <v>3535</v>
      </c>
      <c r="M2866" s="735">
        <v>3513</v>
      </c>
      <c r="N2866" s="845">
        <f t="shared" si="203"/>
        <v>-6.2234794908062234E-3</v>
      </c>
      <c r="O2866" s="735">
        <v>23.951130416579403</v>
      </c>
      <c r="P2866" s="735">
        <f t="shared" si="204"/>
        <v>146.6736616977476</v>
      </c>
      <c r="Q2866" s="849">
        <v>36.5</v>
      </c>
      <c r="R2866" s="71">
        <v>56549</v>
      </c>
      <c r="S2866" s="845">
        <v>0.17967853042479909</v>
      </c>
      <c r="T2866" s="845">
        <v>4.8000000000000001E-2</v>
      </c>
      <c r="U2866" s="845">
        <v>3.3000000000000002E-2</v>
      </c>
      <c r="V2866" s="845">
        <v>5.2999999999999999E-2</v>
      </c>
      <c r="W2866" s="845">
        <v>0.30775254502740801</v>
      </c>
      <c r="X2866" s="845">
        <v>0.50381679389312972</v>
      </c>
      <c r="Y2866" s="845">
        <v>0.92285795616282384</v>
      </c>
      <c r="Z2866" s="845">
        <v>3.0173640762880729E-2</v>
      </c>
      <c r="AA2866" s="845">
        <v>0</v>
      </c>
      <c r="AB2866" s="845">
        <v>0</v>
      </c>
      <c r="AC2866" s="845">
        <v>0</v>
      </c>
      <c r="AD2866" s="845">
        <v>2.8465698832906348E-3</v>
      </c>
      <c r="AE2866" s="845">
        <v>4.4121833191004836E-2</v>
      </c>
      <c r="AF2866" s="845">
        <v>3.985197836606889E-3</v>
      </c>
      <c r="AG2866" s="845">
        <v>0.92171932820950753</v>
      </c>
      <c r="AH2866" s="20" t="str">
        <f t="shared" si="205"/>
        <v>Yes</v>
      </c>
      <c r="AI2866" s="25"/>
      <c r="AJ2866" s="25"/>
      <c r="AK2866" s="25"/>
      <c r="AL2866" s="25"/>
      <c r="AM2866" s="25"/>
      <c r="AN2866" s="25"/>
      <c r="AO2866" s="25"/>
      <c r="AP2866" s="25"/>
      <c r="AQ2866" s="25"/>
      <c r="AR2866" s="25"/>
      <c r="AS2866" s="25"/>
      <c r="AT2866" s="25"/>
      <c r="AU2866" s="36"/>
      <c r="AV2866" s="36"/>
      <c r="AW2866" s="36"/>
      <c r="AX2866" s="25"/>
      <c r="AY2866" s="25"/>
      <c r="AZ2866" s="25"/>
      <c r="BA2866" s="25"/>
      <c r="BB2866" s="25"/>
      <c r="BC2866" s="25"/>
      <c r="BD2866" s="25"/>
      <c r="BE2866" s="25"/>
      <c r="BF2866" s="25"/>
      <c r="BG2866" s="25"/>
      <c r="BH2866" s="25"/>
      <c r="BI2866" s="25"/>
      <c r="BJ2866" s="25"/>
      <c r="BK2866" s="25"/>
      <c r="BL2866" s="25"/>
      <c r="BM2866" s="25"/>
      <c r="BN2866" s="25"/>
      <c r="BO2866" s="25"/>
      <c r="BP2866" s="25"/>
      <c r="BQ2866" s="25"/>
      <c r="BR2866" s="25"/>
      <c r="BS2866" s="25"/>
      <c r="BT2866" s="25"/>
      <c r="BU2866"/>
      <c r="BV2866"/>
      <c r="BW2866"/>
      <c r="BX2866"/>
      <c r="BY2866"/>
      <c r="BZ2866"/>
      <c r="CA2866"/>
      <c r="CB2866"/>
      <c r="CC2866"/>
      <c r="CD2866" s="25"/>
    </row>
    <row r="2867" spans="1:82" s="17" customFormat="1" x14ac:dyDescent="0.2">
      <c r="A2867" s="25"/>
      <c r="B2867" s="20">
        <v>39139000800</v>
      </c>
      <c r="C2867" s="20">
        <v>8</v>
      </c>
      <c r="D2867" s="20" t="s">
        <v>75</v>
      </c>
      <c r="E2867" s="20" t="s">
        <v>2836</v>
      </c>
      <c r="F2867" s="20" t="s">
        <v>6</v>
      </c>
      <c r="G2867" s="861">
        <v>28.482520571839899</v>
      </c>
      <c r="H2867" s="861">
        <v>26.008862535718801</v>
      </c>
      <c r="I2867" s="861">
        <v>49.450735276687702</v>
      </c>
      <c r="J2867" s="861">
        <v>33.673834524123102</v>
      </c>
      <c r="K2867" s="982">
        <v>0</v>
      </c>
      <c r="L2867" s="735">
        <v>2674</v>
      </c>
      <c r="M2867" s="735">
        <v>3088</v>
      </c>
      <c r="N2867" s="845">
        <f t="shared" si="203"/>
        <v>0.15482423335826478</v>
      </c>
      <c r="O2867" s="735">
        <v>1.3919770465664416</v>
      </c>
      <c r="P2867" s="735">
        <f t="shared" si="204"/>
        <v>2218.4273854350545</v>
      </c>
      <c r="Q2867" s="849">
        <v>34.799999999999997</v>
      </c>
      <c r="R2867" s="71">
        <v>50074</v>
      </c>
      <c r="S2867" s="845">
        <v>0.24805699481865284</v>
      </c>
      <c r="T2867" s="845">
        <v>7.6999999999999999E-2</v>
      </c>
      <c r="U2867" s="845">
        <v>0</v>
      </c>
      <c r="V2867" s="845">
        <v>0</v>
      </c>
      <c r="W2867" s="845">
        <v>0.34596375617792424</v>
      </c>
      <c r="X2867" s="845">
        <v>0.42619047619047618</v>
      </c>
      <c r="Y2867" s="845">
        <v>0.8303108808290155</v>
      </c>
      <c r="Z2867" s="845">
        <v>6.7357512953367879E-2</v>
      </c>
      <c r="AA2867" s="845">
        <v>9.7150259067357511E-4</v>
      </c>
      <c r="AB2867" s="845">
        <v>0</v>
      </c>
      <c r="AC2867" s="845">
        <v>0</v>
      </c>
      <c r="AD2867" s="845">
        <v>0</v>
      </c>
      <c r="AE2867" s="845">
        <v>0.101360103626943</v>
      </c>
      <c r="AF2867" s="845">
        <v>7.2538860103626937E-2</v>
      </c>
      <c r="AG2867" s="845">
        <v>0.79209844559585496</v>
      </c>
      <c r="AH2867" s="20" t="str">
        <f t="shared" si="205"/>
        <v>No</v>
      </c>
      <c r="AI2867" s="25"/>
      <c r="AJ2867" s="25"/>
      <c r="AK2867" s="25"/>
      <c r="AL2867" s="25"/>
      <c r="AM2867" s="25"/>
      <c r="AN2867" s="25"/>
      <c r="AO2867" s="25"/>
      <c r="AP2867" s="25"/>
      <c r="AQ2867" s="25"/>
      <c r="AR2867" s="25"/>
      <c r="AS2867" s="25"/>
      <c r="AT2867" s="25"/>
      <c r="AU2867" s="36"/>
      <c r="AV2867" s="36"/>
      <c r="AW2867" s="36"/>
      <c r="AX2867" s="25"/>
      <c r="AY2867" s="25"/>
      <c r="AZ2867" s="25"/>
      <c r="BA2867" s="25"/>
      <c r="BB2867" s="25"/>
      <c r="BC2867" s="25"/>
      <c r="BD2867" s="25"/>
      <c r="BE2867" s="25"/>
      <c r="BF2867" s="25"/>
      <c r="BG2867" s="25"/>
      <c r="BH2867" s="25"/>
      <c r="BI2867" s="25"/>
      <c r="BJ2867" s="25"/>
      <c r="BK2867" s="25"/>
      <c r="BL2867" s="25"/>
      <c r="BM2867" s="25"/>
      <c r="BN2867" s="25"/>
      <c r="BO2867" s="25"/>
      <c r="BP2867" s="25"/>
      <c r="BQ2867" s="25"/>
      <c r="BR2867" s="25"/>
      <c r="BS2867" s="25"/>
      <c r="BT2867" s="25"/>
      <c r="BU2867"/>
      <c r="BV2867"/>
      <c r="BW2867"/>
      <c r="BX2867"/>
      <c r="BY2867"/>
      <c r="BZ2867"/>
      <c r="CA2867"/>
      <c r="CB2867"/>
      <c r="CC2867"/>
      <c r="CD2867" s="25"/>
    </row>
    <row r="2868" spans="1:82" s="17" customFormat="1" x14ac:dyDescent="0.2">
      <c r="A2868" s="25"/>
      <c r="B2868" s="20">
        <v>39061000200</v>
      </c>
      <c r="C2868" s="20">
        <v>2</v>
      </c>
      <c r="D2868" s="20" t="s">
        <v>37</v>
      </c>
      <c r="E2868" s="20" t="s">
        <v>2828</v>
      </c>
      <c r="F2868" s="20" t="s">
        <v>6</v>
      </c>
      <c r="G2868" s="861">
        <v>28.402810864466002</v>
      </c>
      <c r="H2868" s="861">
        <v>27.765431318503701</v>
      </c>
      <c r="I2868" s="861">
        <v>63.655979192093298</v>
      </c>
      <c r="J2868" s="861">
        <v>49.888203710478301</v>
      </c>
      <c r="K2868" s="982">
        <v>0</v>
      </c>
      <c r="L2868" s="735">
        <v>927</v>
      </c>
      <c r="M2868" s="735">
        <v>866</v>
      </c>
      <c r="N2868" s="845">
        <f t="shared" si="203"/>
        <v>-6.5803667745415323E-2</v>
      </c>
      <c r="O2868" s="735">
        <v>0.11700517034419899</v>
      </c>
      <c r="P2868" s="735">
        <f t="shared" si="204"/>
        <v>7401.3823274001625</v>
      </c>
      <c r="Q2868" s="849">
        <v>37.200000000000003</v>
      </c>
      <c r="R2868" s="71">
        <v>20841</v>
      </c>
      <c r="S2868" s="845">
        <v>0.43648960739030024</v>
      </c>
      <c r="T2868" s="845">
        <v>9.1999999999999998E-2</v>
      </c>
      <c r="U2868" s="845">
        <v>0</v>
      </c>
      <c r="V2868" s="845">
        <v>5.7000000000000002E-2</v>
      </c>
      <c r="W2868" s="845">
        <v>0.9810526315789474</v>
      </c>
      <c r="X2868" s="845">
        <v>0.59871244635193133</v>
      </c>
      <c r="Y2868" s="845">
        <v>7.8521939953810627E-2</v>
      </c>
      <c r="Z2868" s="845">
        <v>0.89953810623556585</v>
      </c>
      <c r="AA2868" s="845">
        <v>0</v>
      </c>
      <c r="AB2868" s="845">
        <v>0</v>
      </c>
      <c r="AC2868" s="845">
        <v>0</v>
      </c>
      <c r="AD2868" s="845">
        <v>0</v>
      </c>
      <c r="AE2868" s="845">
        <v>2.1939953810623556E-2</v>
      </c>
      <c r="AF2868" s="845">
        <v>5.7736720554272519E-3</v>
      </c>
      <c r="AG2868" s="845">
        <v>7.8521939953810627E-2</v>
      </c>
      <c r="AH2868" s="20" t="str">
        <f t="shared" si="205"/>
        <v>No</v>
      </c>
      <c r="AI2868" s="25"/>
      <c r="AJ2868" s="25"/>
      <c r="AK2868" s="25"/>
      <c r="AL2868" s="25"/>
      <c r="AM2868" s="25"/>
      <c r="AN2868" s="25"/>
      <c r="AO2868" s="25"/>
      <c r="AP2868" s="25"/>
      <c r="AQ2868" s="25"/>
      <c r="AR2868" s="25"/>
      <c r="AS2868" s="25"/>
      <c r="AT2868" s="25"/>
      <c r="AU2868" s="36"/>
      <c r="AV2868" s="36"/>
      <c r="AW2868" s="36"/>
      <c r="AX2868" s="25"/>
      <c r="AY2868" s="25"/>
      <c r="AZ2868" s="25"/>
      <c r="BA2868" s="25"/>
      <c r="BB2868" s="25"/>
      <c r="BC2868" s="25"/>
      <c r="BD2868" s="25"/>
      <c r="BE2868" s="25"/>
      <c r="BF2868" s="25"/>
      <c r="BG2868" s="25"/>
      <c r="BH2868" s="25"/>
      <c r="BI2868" s="25"/>
      <c r="BJ2868" s="25"/>
      <c r="BK2868" s="25"/>
      <c r="BL2868" s="25"/>
      <c r="BM2868" s="25"/>
      <c r="BN2868" s="25"/>
      <c r="BO2868" s="25"/>
      <c r="BP2868" s="25"/>
      <c r="BQ2868" s="25"/>
      <c r="BR2868" s="25"/>
      <c r="BS2868" s="25"/>
      <c r="BT2868" s="25"/>
      <c r="BU2868"/>
      <c r="BV2868"/>
      <c r="BW2868"/>
      <c r="BX2868"/>
      <c r="BY2868"/>
      <c r="BZ2868"/>
      <c r="CA2868"/>
      <c r="CB2868"/>
      <c r="CC2868"/>
      <c r="CD2868" s="25"/>
    </row>
    <row r="2869" spans="1:82" s="17" customFormat="1" x14ac:dyDescent="0.2">
      <c r="A2869" s="25"/>
      <c r="B2869" s="20">
        <v>39095002100</v>
      </c>
      <c r="C2869" s="20">
        <v>21</v>
      </c>
      <c r="D2869" s="20" t="s">
        <v>53</v>
      </c>
      <c r="E2869" s="20" t="s">
        <v>2839</v>
      </c>
      <c r="F2869" s="20" t="s">
        <v>6</v>
      </c>
      <c r="G2869" s="861">
        <v>28.396697668404499</v>
      </c>
      <c r="H2869" s="861">
        <v>39.0444136882289</v>
      </c>
      <c r="I2869" s="861">
        <v>51.463138685112199</v>
      </c>
      <c r="J2869" s="861">
        <v>39.851801305044397</v>
      </c>
      <c r="K2869" s="982">
        <v>0</v>
      </c>
      <c r="L2869" s="735">
        <v>2873</v>
      </c>
      <c r="M2869" s="735">
        <v>2898</v>
      </c>
      <c r="N2869" s="845">
        <f t="shared" si="203"/>
        <v>8.7017055342847194E-3</v>
      </c>
      <c r="O2869" s="735">
        <v>0.4978482314345451</v>
      </c>
      <c r="P2869" s="735">
        <f t="shared" si="204"/>
        <v>5821.0511095910488</v>
      </c>
      <c r="Q2869" s="849">
        <v>33.1</v>
      </c>
      <c r="R2869" s="71">
        <v>47417</v>
      </c>
      <c r="S2869" s="845">
        <v>0.25956801818870784</v>
      </c>
      <c r="T2869" s="845">
        <v>5.7000000000000002E-2</v>
      </c>
      <c r="U2869" s="845">
        <v>4.7E-2</v>
      </c>
      <c r="V2869" s="845">
        <v>4.7E-2</v>
      </c>
      <c r="W2869" s="845">
        <v>0.56398104265402849</v>
      </c>
      <c r="X2869" s="845">
        <v>0.4061624649859944</v>
      </c>
      <c r="Y2869" s="845">
        <v>0.54520358868184959</v>
      </c>
      <c r="Z2869" s="845">
        <v>0.33678398895790201</v>
      </c>
      <c r="AA2869" s="845">
        <v>0</v>
      </c>
      <c r="AB2869" s="845">
        <v>0</v>
      </c>
      <c r="AC2869" s="845">
        <v>0</v>
      </c>
      <c r="AD2869" s="845">
        <v>1.8978605935127676E-2</v>
      </c>
      <c r="AE2869" s="845">
        <v>9.9033816425120769E-2</v>
      </c>
      <c r="AF2869" s="845">
        <v>0.11283643892339544</v>
      </c>
      <c r="AG2869" s="845">
        <v>0.51207729468599039</v>
      </c>
      <c r="AH2869" s="20" t="str">
        <f t="shared" si="205"/>
        <v>No</v>
      </c>
      <c r="AI2869" s="25"/>
      <c r="AJ2869" s="25"/>
      <c r="AK2869" s="25"/>
      <c r="AL2869" s="25"/>
      <c r="AM2869" s="25"/>
      <c r="AN2869" s="25"/>
      <c r="AO2869" s="25"/>
      <c r="AP2869" s="25"/>
      <c r="AQ2869" s="25"/>
      <c r="AR2869" s="25"/>
      <c r="AS2869" s="25"/>
      <c r="AT2869" s="25"/>
      <c r="AU2869" s="36"/>
      <c r="AV2869" s="36"/>
      <c r="AW2869" s="36"/>
      <c r="AX2869" s="25"/>
      <c r="AY2869" s="25"/>
      <c r="AZ2869" s="25"/>
      <c r="BA2869" s="25"/>
      <c r="BB2869" s="25"/>
      <c r="BC2869" s="25"/>
      <c r="BD2869" s="25"/>
      <c r="BE2869" s="25"/>
      <c r="BF2869" s="25"/>
      <c r="BG2869" s="25"/>
      <c r="BH2869" s="25"/>
      <c r="BI2869" s="25"/>
      <c r="BJ2869" s="25"/>
      <c r="BK2869" s="25"/>
      <c r="BL2869" s="25"/>
      <c r="BM2869" s="25"/>
      <c r="BN2869" s="25"/>
      <c r="BO2869" s="25"/>
      <c r="BP2869" s="25"/>
      <c r="BQ2869" s="25"/>
      <c r="BR2869" s="25"/>
      <c r="BS2869" s="25"/>
      <c r="BT2869" s="25"/>
      <c r="BU2869"/>
      <c r="BV2869"/>
      <c r="BW2869"/>
      <c r="BX2869"/>
      <c r="BY2869"/>
      <c r="BZ2869"/>
      <c r="CA2869"/>
      <c r="CB2869"/>
      <c r="CC2869"/>
      <c r="CD2869" s="25"/>
    </row>
    <row r="2870" spans="1:82" s="17" customFormat="1" x14ac:dyDescent="0.2">
      <c r="A2870" s="25"/>
      <c r="B2870" s="20">
        <v>39099813900</v>
      </c>
      <c r="C2870" s="20">
        <v>8139</v>
      </c>
      <c r="D2870" s="20" t="s">
        <v>55</v>
      </c>
      <c r="E2870" s="20" t="s">
        <v>2842</v>
      </c>
      <c r="F2870" s="20" t="s">
        <v>6</v>
      </c>
      <c r="G2870" s="861">
        <v>28.376236171567101</v>
      </c>
      <c r="H2870" s="861">
        <v>41.237746098382203</v>
      </c>
      <c r="I2870" s="861">
        <v>43.335147225028301</v>
      </c>
      <c r="J2870" s="861">
        <v>27.712106735416501</v>
      </c>
      <c r="K2870" s="982">
        <v>0</v>
      </c>
      <c r="L2870" s="735">
        <v>1953</v>
      </c>
      <c r="M2870" s="735">
        <v>1399</v>
      </c>
      <c r="N2870" s="845">
        <f t="shared" si="203"/>
        <v>-0.28366615463389655</v>
      </c>
      <c r="O2870" s="735">
        <v>1.1329426527753443</v>
      </c>
      <c r="P2870" s="735">
        <f t="shared" si="204"/>
        <v>1234.8374355691358</v>
      </c>
      <c r="Q2870" s="849">
        <v>40.700000000000003</v>
      </c>
      <c r="R2870" s="71">
        <v>35057</v>
      </c>
      <c r="S2870" s="845">
        <v>0.39385275196568975</v>
      </c>
      <c r="T2870" s="845">
        <v>8.0000000000000002E-3</v>
      </c>
      <c r="U2870" s="845">
        <v>3.7999999999999999E-2</v>
      </c>
      <c r="V2870" s="845">
        <v>4.7E-2</v>
      </c>
      <c r="W2870" s="845">
        <v>0.42030848329048842</v>
      </c>
      <c r="X2870" s="845">
        <v>8.2568807339449546E-2</v>
      </c>
      <c r="Y2870" s="845">
        <v>7.3624017155110799E-2</v>
      </c>
      <c r="Z2870" s="845">
        <v>0.6969263759828449</v>
      </c>
      <c r="AA2870" s="845">
        <v>1.7869907076483203E-2</v>
      </c>
      <c r="AB2870" s="845">
        <v>0</v>
      </c>
      <c r="AC2870" s="845">
        <v>0</v>
      </c>
      <c r="AD2870" s="845">
        <v>0.1601143674052895</v>
      </c>
      <c r="AE2870" s="845">
        <v>5.1465332380271622E-2</v>
      </c>
      <c r="AF2870" s="845">
        <v>8.0771979985704068E-2</v>
      </c>
      <c r="AG2870" s="845">
        <v>7.3624017155110799E-2</v>
      </c>
      <c r="AH2870" s="20" t="str">
        <f t="shared" si="205"/>
        <v>No</v>
      </c>
      <c r="AI2870" s="25"/>
      <c r="AJ2870" s="25"/>
      <c r="AK2870" s="25"/>
      <c r="AL2870" s="25"/>
      <c r="AM2870" s="25"/>
      <c r="AN2870" s="25"/>
      <c r="AO2870" s="25"/>
      <c r="AP2870" s="25"/>
      <c r="AQ2870" s="25"/>
      <c r="AR2870" s="25"/>
      <c r="AS2870" s="25"/>
      <c r="AT2870" s="25"/>
      <c r="AU2870" s="36"/>
      <c r="AV2870" s="36"/>
      <c r="AW2870" s="36"/>
      <c r="AX2870" s="25"/>
      <c r="AY2870" s="25"/>
      <c r="AZ2870" s="25"/>
      <c r="BA2870" s="25"/>
      <c r="BB2870" s="25"/>
      <c r="BC2870" s="25"/>
      <c r="BD2870" s="25"/>
      <c r="BE2870" s="25"/>
      <c r="BF2870" s="25"/>
      <c r="BG2870" s="25"/>
      <c r="BH2870" s="25"/>
      <c r="BI2870" s="25"/>
      <c r="BJ2870" s="25"/>
      <c r="BK2870" s="25"/>
      <c r="BL2870" s="25"/>
      <c r="BM2870" s="25"/>
      <c r="BN2870" s="25"/>
      <c r="BO2870" s="25"/>
      <c r="BP2870" s="25"/>
      <c r="BQ2870" s="25"/>
      <c r="BR2870" s="25"/>
      <c r="BS2870" s="25"/>
      <c r="BT2870" s="25"/>
      <c r="BU2870"/>
      <c r="BV2870"/>
      <c r="BW2870"/>
      <c r="BX2870"/>
      <c r="BY2870"/>
      <c r="BZ2870"/>
      <c r="CA2870"/>
      <c r="CB2870"/>
      <c r="CC2870"/>
      <c r="CD2870" s="25"/>
    </row>
    <row r="2871" spans="1:82" s="17" customFormat="1" x14ac:dyDescent="0.2">
      <c r="A2871" s="25"/>
      <c r="B2871" s="20">
        <v>39003011302</v>
      </c>
      <c r="C2871" s="20">
        <v>113.02</v>
      </c>
      <c r="D2871" s="20" t="s">
        <v>7</v>
      </c>
      <c r="E2871" s="20" t="s">
        <v>2835</v>
      </c>
      <c r="F2871" s="20" t="s">
        <v>8</v>
      </c>
      <c r="G2871" s="861">
        <v>28.349983963413401</v>
      </c>
      <c r="H2871" s="861">
        <v>40.5913961797825</v>
      </c>
      <c r="I2871" s="861">
        <v>13.7019027559697</v>
      </c>
      <c r="J2871" s="861">
        <v>57.966706072043003</v>
      </c>
      <c r="K2871" s="982">
        <v>0</v>
      </c>
      <c r="L2871" s="735" t="s">
        <v>2466</v>
      </c>
      <c r="M2871" s="735">
        <v>2828</v>
      </c>
      <c r="N2871" s="845" t="str">
        <f t="shared" si="203"/>
        <v/>
      </c>
      <c r="O2871" s="735">
        <v>15.328617087744083</v>
      </c>
      <c r="P2871" s="735">
        <f t="shared" si="204"/>
        <v>184.49152874078334</v>
      </c>
      <c r="Q2871" s="849">
        <v>34</v>
      </c>
      <c r="R2871" s="71">
        <v>109574</v>
      </c>
      <c r="S2871" s="845">
        <v>2.6183644189383071E-2</v>
      </c>
      <c r="T2871" s="845">
        <v>7.5999999999999998E-2</v>
      </c>
      <c r="U2871" s="845">
        <v>0</v>
      </c>
      <c r="V2871" s="845">
        <v>0</v>
      </c>
      <c r="W2871" s="845">
        <v>0.14932126696832579</v>
      </c>
      <c r="X2871" s="845">
        <v>6.8181818181818177E-2</v>
      </c>
      <c r="Y2871" s="845">
        <v>0.9338755304101839</v>
      </c>
      <c r="Z2871" s="845">
        <v>4.9504950495049506E-3</v>
      </c>
      <c r="AA2871" s="845">
        <v>0</v>
      </c>
      <c r="AB2871" s="845">
        <v>2.2630834512022632E-2</v>
      </c>
      <c r="AC2871" s="845">
        <v>0</v>
      </c>
      <c r="AD2871" s="845">
        <v>0</v>
      </c>
      <c r="AE2871" s="845">
        <v>3.8543140028288542E-2</v>
      </c>
      <c r="AF2871" s="845">
        <v>4.5968882602545969E-3</v>
      </c>
      <c r="AG2871" s="845">
        <v>0.92927864214992928</v>
      </c>
      <c r="AH2871" s="20" t="str">
        <f t="shared" si="205"/>
        <v>Yes</v>
      </c>
      <c r="AI2871" s="25"/>
      <c r="AJ2871" s="25"/>
      <c r="AK2871" s="25"/>
      <c r="AL2871" s="25"/>
      <c r="AM2871" s="25"/>
      <c r="AN2871" s="25"/>
      <c r="AO2871" s="25"/>
      <c r="AP2871" s="25"/>
      <c r="AQ2871" s="25"/>
      <c r="AR2871" s="25"/>
      <c r="AS2871" s="25"/>
      <c r="AT2871" s="25"/>
      <c r="AU2871" s="36"/>
      <c r="AV2871" s="36"/>
      <c r="AW2871" s="36"/>
      <c r="AX2871" s="25"/>
      <c r="AY2871" s="25"/>
      <c r="AZ2871" s="25"/>
      <c r="BA2871" s="25"/>
      <c r="BB2871" s="25"/>
      <c r="BC2871" s="25"/>
      <c r="BD2871" s="25"/>
      <c r="BE2871" s="25"/>
      <c r="BF2871" s="25"/>
      <c r="BG2871" s="25"/>
      <c r="BH2871" s="25"/>
      <c r="BI2871" s="25"/>
      <c r="BJ2871" s="25"/>
      <c r="BK2871" s="25"/>
      <c r="BL2871" s="25"/>
      <c r="BM2871" s="25"/>
      <c r="BN2871" s="25"/>
      <c r="BO2871" s="25"/>
      <c r="BP2871" s="25"/>
      <c r="BQ2871" s="25"/>
      <c r="BR2871" s="25"/>
      <c r="BS2871" s="25"/>
      <c r="BT2871" s="25"/>
      <c r="BU2871"/>
      <c r="BV2871"/>
      <c r="BW2871"/>
      <c r="BX2871"/>
      <c r="BY2871"/>
      <c r="BZ2871"/>
      <c r="CA2871"/>
      <c r="CB2871"/>
      <c r="CC2871"/>
      <c r="CD2871" s="25"/>
    </row>
    <row r="2872" spans="1:82" s="17" customFormat="1" x14ac:dyDescent="0.2">
      <c r="A2872" s="25"/>
      <c r="B2872" s="20">
        <v>39155930600</v>
      </c>
      <c r="C2872" s="20">
        <v>9306</v>
      </c>
      <c r="D2872" s="20" t="s">
        <v>83</v>
      </c>
      <c r="E2872" s="20" t="s">
        <v>2842</v>
      </c>
      <c r="F2872" s="20" t="s">
        <v>8</v>
      </c>
      <c r="G2872" s="861">
        <v>28.349801974857598</v>
      </c>
      <c r="H2872" s="861">
        <v>30.633319269952199</v>
      </c>
      <c r="I2872" s="861">
        <v>20.852683064417601</v>
      </c>
      <c r="J2872" s="861">
        <v>39.304203437586303</v>
      </c>
      <c r="K2872" s="982">
        <v>0</v>
      </c>
      <c r="L2872" s="735">
        <v>3672</v>
      </c>
      <c r="M2872" s="735">
        <v>3717</v>
      </c>
      <c r="N2872" s="845">
        <f t="shared" si="203"/>
        <v>1.2254901960784314E-2</v>
      </c>
      <c r="O2872" s="735">
        <v>26.519157263621569</v>
      </c>
      <c r="P2872" s="735">
        <f t="shared" si="204"/>
        <v>140.16282504945599</v>
      </c>
      <c r="Q2872" s="849">
        <v>48.6</v>
      </c>
      <c r="R2872" s="71">
        <v>65692</v>
      </c>
      <c r="S2872" s="845">
        <v>8.3669626042507397E-2</v>
      </c>
      <c r="T2872" s="845">
        <v>8.0000000000000002E-3</v>
      </c>
      <c r="U2872" s="845">
        <v>0</v>
      </c>
      <c r="V2872" s="845">
        <v>0</v>
      </c>
      <c r="W2872" s="845">
        <v>0.10013351134846461</v>
      </c>
      <c r="X2872" s="845">
        <v>0.33333333333333331</v>
      </c>
      <c r="Y2872" s="845">
        <v>0.9561474307237019</v>
      </c>
      <c r="Z2872" s="845">
        <v>6.9948883508205544E-3</v>
      </c>
      <c r="AA2872" s="845">
        <v>0</v>
      </c>
      <c r="AB2872" s="845">
        <v>1.6142050040355124E-3</v>
      </c>
      <c r="AC2872" s="845">
        <v>0</v>
      </c>
      <c r="AD2872" s="845">
        <v>0</v>
      </c>
      <c r="AE2872" s="845">
        <v>3.5243475921442023E-2</v>
      </c>
      <c r="AF2872" s="845">
        <v>6.1877858488027983E-3</v>
      </c>
      <c r="AG2872" s="845">
        <v>0.9561474307237019</v>
      </c>
      <c r="AH2872" s="20" t="str">
        <f t="shared" si="205"/>
        <v>Yes</v>
      </c>
      <c r="AI2872" s="25"/>
      <c r="AJ2872" s="25"/>
      <c r="AK2872" s="25"/>
      <c r="AL2872" s="25"/>
      <c r="AM2872" s="25"/>
      <c r="AN2872" s="25"/>
      <c r="AO2872" s="25"/>
      <c r="AP2872" s="25"/>
      <c r="AQ2872" s="25"/>
      <c r="AR2872" s="25"/>
      <c r="AS2872" s="25"/>
      <c r="AT2872" s="25"/>
      <c r="AU2872" s="36"/>
      <c r="AV2872" s="36"/>
      <c r="AW2872" s="36"/>
      <c r="AX2872" s="25"/>
      <c r="AY2872" s="25"/>
      <c r="AZ2872" s="25"/>
      <c r="BA2872" s="25"/>
      <c r="BB2872" s="25"/>
      <c r="BC2872" s="25"/>
      <c r="BD2872" s="25"/>
      <c r="BE2872" s="25"/>
      <c r="BF2872" s="25"/>
      <c r="BG2872" s="25"/>
      <c r="BH2872" s="25"/>
      <c r="BI2872" s="25"/>
      <c r="BJ2872" s="25"/>
      <c r="BK2872" s="25"/>
      <c r="BL2872" s="25"/>
      <c r="BM2872" s="25"/>
      <c r="BN2872" s="25"/>
      <c r="BO2872" s="25"/>
      <c r="BP2872" s="25"/>
      <c r="BQ2872" s="25"/>
      <c r="BR2872" s="25"/>
      <c r="BS2872" s="25"/>
      <c r="BT2872" s="25"/>
      <c r="BU2872"/>
      <c r="BV2872"/>
      <c r="BW2872"/>
      <c r="BX2872"/>
      <c r="BY2872"/>
      <c r="BZ2872"/>
      <c r="CA2872"/>
      <c r="CB2872"/>
      <c r="CC2872"/>
      <c r="CD2872" s="25"/>
    </row>
    <row r="2873" spans="1:82" s="17" customFormat="1" x14ac:dyDescent="0.2">
      <c r="A2873" s="25"/>
      <c r="B2873" s="20">
        <v>39049001500</v>
      </c>
      <c r="C2873" s="20">
        <v>15</v>
      </c>
      <c r="D2873" s="20" t="s">
        <v>31</v>
      </c>
      <c r="E2873" s="20" t="s">
        <v>2830</v>
      </c>
      <c r="F2873" s="20" t="s">
        <v>6</v>
      </c>
      <c r="G2873" s="861">
        <v>28.333056564946801</v>
      </c>
      <c r="H2873" s="861">
        <v>22.8636715749779</v>
      </c>
      <c r="I2873" s="861">
        <v>43.472868136263202</v>
      </c>
      <c r="J2873" s="861">
        <v>35.163258789966498</v>
      </c>
      <c r="K2873" s="982">
        <v>0</v>
      </c>
      <c r="L2873" s="735">
        <v>1964</v>
      </c>
      <c r="M2873" s="735">
        <v>1744</v>
      </c>
      <c r="N2873" s="845">
        <f t="shared" si="203"/>
        <v>-0.11201629327902241</v>
      </c>
      <c r="O2873" s="735">
        <v>0.5066285806230979</v>
      </c>
      <c r="P2873" s="735">
        <f t="shared" si="204"/>
        <v>3442.3640250517847</v>
      </c>
      <c r="Q2873" s="849">
        <v>33</v>
      </c>
      <c r="R2873" s="71">
        <v>37031</v>
      </c>
      <c r="S2873" s="845">
        <v>0.49369266055045874</v>
      </c>
      <c r="T2873" s="845">
        <v>0.19600000000000001</v>
      </c>
      <c r="U2873" s="845">
        <v>0</v>
      </c>
      <c r="V2873" s="845">
        <v>6.8000000000000005E-2</v>
      </c>
      <c r="W2873" s="845">
        <v>0.58120805369127515</v>
      </c>
      <c r="X2873" s="845">
        <v>0.17321016166281755</v>
      </c>
      <c r="Y2873" s="845">
        <v>4.931192660550459E-2</v>
      </c>
      <c r="Z2873" s="845">
        <v>0.91055045871559637</v>
      </c>
      <c r="AA2873" s="845">
        <v>0</v>
      </c>
      <c r="AB2873" s="845">
        <v>0</v>
      </c>
      <c r="AC2873" s="845">
        <v>0</v>
      </c>
      <c r="AD2873" s="845">
        <v>1.4908256880733946E-2</v>
      </c>
      <c r="AE2873" s="845">
        <v>2.5229357798165139E-2</v>
      </c>
      <c r="AF2873" s="845">
        <v>3.4977064220183485E-2</v>
      </c>
      <c r="AG2873" s="845">
        <v>4.931192660550459E-2</v>
      </c>
      <c r="AH2873" s="20" t="str">
        <f t="shared" si="205"/>
        <v>No</v>
      </c>
      <c r="AI2873" s="25"/>
      <c r="AJ2873" s="25"/>
      <c r="AK2873" s="25"/>
      <c r="AL2873" s="25"/>
      <c r="AM2873" s="25"/>
      <c r="AN2873" s="25"/>
      <c r="AO2873" s="25"/>
      <c r="AP2873" s="25"/>
      <c r="AQ2873" s="25"/>
      <c r="AR2873" s="25"/>
      <c r="AS2873" s="25"/>
      <c r="AT2873" s="25"/>
      <c r="AU2873" s="36"/>
      <c r="AV2873" s="36"/>
      <c r="AW2873" s="36"/>
      <c r="AX2873" s="25"/>
      <c r="AY2873" s="25"/>
      <c r="AZ2873" s="25"/>
      <c r="BA2873" s="25"/>
      <c r="BB2873" s="25"/>
      <c r="BC2873" s="25"/>
      <c r="BD2873" s="25"/>
      <c r="BE2873" s="25"/>
      <c r="BF2873" s="25"/>
      <c r="BG2873" s="25"/>
      <c r="BH2873" s="25"/>
      <c r="BI2873" s="25"/>
      <c r="BJ2873" s="25"/>
      <c r="BK2873" s="25"/>
      <c r="BL2873" s="25"/>
      <c r="BM2873" s="25"/>
      <c r="BN2873" s="25"/>
      <c r="BO2873" s="25"/>
      <c r="BP2873" s="25"/>
      <c r="BQ2873" s="25"/>
      <c r="BR2873" s="25"/>
      <c r="BS2873" s="25"/>
      <c r="BT2873" s="25"/>
      <c r="BU2873"/>
      <c r="BV2873"/>
      <c r="BW2873"/>
      <c r="BX2873"/>
      <c r="BY2873"/>
      <c r="BZ2873"/>
      <c r="CA2873"/>
      <c r="CB2873"/>
      <c r="CC2873"/>
      <c r="CD2873" s="25"/>
    </row>
    <row r="2874" spans="1:82" s="17" customFormat="1" x14ac:dyDescent="0.2">
      <c r="A2874" s="25"/>
      <c r="B2874" s="20">
        <v>39123051100</v>
      </c>
      <c r="C2874" s="20">
        <v>511</v>
      </c>
      <c r="D2874" s="20" t="s">
        <v>67</v>
      </c>
      <c r="E2874" s="20" t="s">
        <v>2837</v>
      </c>
      <c r="F2874" s="20" t="s">
        <v>8</v>
      </c>
      <c r="G2874" s="861">
        <v>28.332306071072999</v>
      </c>
      <c r="H2874" s="861">
        <v>35.4698709158057</v>
      </c>
      <c r="I2874" s="861">
        <v>11.7759973637305</v>
      </c>
      <c r="J2874" s="861">
        <v>47.458409671438098</v>
      </c>
      <c r="K2874" s="982">
        <v>0</v>
      </c>
      <c r="L2874" s="735">
        <v>3775</v>
      </c>
      <c r="M2874" s="735">
        <v>3741</v>
      </c>
      <c r="N2874" s="845">
        <f t="shared" si="203"/>
        <v>-9.0066225165562914E-3</v>
      </c>
      <c r="O2874" s="735">
        <v>25.27357625591571</v>
      </c>
      <c r="P2874" s="735">
        <f t="shared" si="204"/>
        <v>148.02020743401343</v>
      </c>
      <c r="Q2874" s="849">
        <v>45.4</v>
      </c>
      <c r="R2874" s="71">
        <v>111824</v>
      </c>
      <c r="S2874" s="845">
        <v>3.9231824417009599E-2</v>
      </c>
      <c r="T2874" s="845">
        <v>2.5000000000000001E-2</v>
      </c>
      <c r="U2874" s="845">
        <v>0</v>
      </c>
      <c r="V2874" s="845">
        <v>0</v>
      </c>
      <c r="W2874" s="845">
        <v>7.0561456752655544E-2</v>
      </c>
      <c r="X2874" s="845">
        <v>7.5268817204301078E-2</v>
      </c>
      <c r="Y2874" s="845">
        <v>0.93691526329858321</v>
      </c>
      <c r="Z2874" s="845">
        <v>7.2173215717722533E-3</v>
      </c>
      <c r="AA2874" s="845">
        <v>0</v>
      </c>
      <c r="AB2874" s="845">
        <v>7.4846297781341886E-3</v>
      </c>
      <c r="AC2874" s="845">
        <v>0</v>
      </c>
      <c r="AD2874" s="845">
        <v>5.3461641272387062E-4</v>
      </c>
      <c r="AE2874" s="845">
        <v>4.784816893878642E-2</v>
      </c>
      <c r="AF2874" s="845">
        <v>1.2296177492649024E-2</v>
      </c>
      <c r="AG2874" s="845">
        <v>0.93344025661587815</v>
      </c>
      <c r="AH2874" s="20" t="str">
        <f t="shared" si="205"/>
        <v>Yes</v>
      </c>
      <c r="AI2874" s="25"/>
      <c r="AJ2874" s="25"/>
      <c r="AK2874" s="25"/>
      <c r="AL2874" s="25"/>
      <c r="AM2874" s="25"/>
      <c r="AN2874" s="25"/>
      <c r="AO2874" s="25"/>
      <c r="AP2874" s="25"/>
      <c r="AQ2874" s="25"/>
      <c r="AR2874" s="25"/>
      <c r="AS2874" s="25"/>
      <c r="AT2874" s="25"/>
      <c r="AU2874" s="36"/>
      <c r="AV2874" s="36"/>
      <c r="AW2874" s="36"/>
      <c r="AX2874" s="25"/>
      <c r="AY2874" s="25"/>
      <c r="AZ2874" s="25"/>
      <c r="BA2874" s="25"/>
      <c r="BB2874" s="25"/>
      <c r="BC2874" s="25"/>
      <c r="BD2874" s="25"/>
      <c r="BE2874" s="25"/>
      <c r="BF2874" s="25"/>
      <c r="BG2874" s="25"/>
      <c r="BH2874" s="25"/>
      <c r="BI2874" s="25"/>
      <c r="BJ2874" s="25"/>
      <c r="BK2874" s="25"/>
      <c r="BL2874" s="25"/>
      <c r="BM2874" s="25"/>
      <c r="BN2874" s="25"/>
      <c r="BO2874" s="25"/>
      <c r="BP2874" s="25"/>
      <c r="BQ2874" s="25"/>
      <c r="BR2874" s="25"/>
      <c r="BS2874" s="25"/>
      <c r="BT2874" s="25"/>
      <c r="BU2874"/>
      <c r="BV2874"/>
      <c r="BW2874"/>
      <c r="BX2874"/>
      <c r="BY2874"/>
      <c r="BZ2874"/>
      <c r="CA2874"/>
      <c r="CB2874"/>
      <c r="CC2874"/>
      <c r="CD2874" s="25"/>
    </row>
    <row r="2875" spans="1:82" s="17" customFormat="1" x14ac:dyDescent="0.2">
      <c r="A2875" s="25"/>
      <c r="B2875" s="20">
        <v>39129021401</v>
      </c>
      <c r="C2875" s="20">
        <v>214.01</v>
      </c>
      <c r="D2875" s="20" t="s">
        <v>70</v>
      </c>
      <c r="E2875" s="20" t="s">
        <v>2830</v>
      </c>
      <c r="F2875" s="20" t="s">
        <v>8</v>
      </c>
      <c r="G2875" s="861">
        <v>28.2733336767796</v>
      </c>
      <c r="H2875" s="861">
        <v>45.613114694277201</v>
      </c>
      <c r="I2875" s="861">
        <v>21.8448709180844</v>
      </c>
      <c r="J2875" s="861">
        <v>43.486970009194501</v>
      </c>
      <c r="K2875" s="982">
        <v>0</v>
      </c>
      <c r="L2875" s="735">
        <v>3383</v>
      </c>
      <c r="M2875" s="735">
        <v>3270</v>
      </c>
      <c r="N2875" s="845">
        <f t="shared" si="203"/>
        <v>-3.3402305645876443E-2</v>
      </c>
      <c r="O2875" s="735">
        <v>34.241032094931121</v>
      </c>
      <c r="P2875" s="735">
        <f t="shared" si="204"/>
        <v>95.499457812315043</v>
      </c>
      <c r="Q2875" s="849">
        <v>40.1</v>
      </c>
      <c r="R2875" s="71">
        <v>78750</v>
      </c>
      <c r="S2875" s="845">
        <v>0.10251688152240639</v>
      </c>
      <c r="T2875" s="845">
        <v>1.3999999999999999E-2</v>
      </c>
      <c r="U2875" s="845">
        <v>0</v>
      </c>
      <c r="V2875" s="845">
        <v>0</v>
      </c>
      <c r="W2875" s="845">
        <v>0.21152192605331041</v>
      </c>
      <c r="X2875" s="845">
        <v>0.43902439024390244</v>
      </c>
      <c r="Y2875" s="845">
        <v>0.9568807339449541</v>
      </c>
      <c r="Z2875" s="845">
        <v>0</v>
      </c>
      <c r="AA2875" s="845">
        <v>1.0397553516819572E-2</v>
      </c>
      <c r="AB2875" s="845">
        <v>1.4067278287461774E-2</v>
      </c>
      <c r="AC2875" s="845">
        <v>0</v>
      </c>
      <c r="AD2875" s="845">
        <v>0</v>
      </c>
      <c r="AE2875" s="845">
        <v>1.8654434250764525E-2</v>
      </c>
      <c r="AF2875" s="845">
        <v>3.7920489296636085E-2</v>
      </c>
      <c r="AG2875" s="845">
        <v>0.92110091743119271</v>
      </c>
      <c r="AH2875" s="20" t="str">
        <f t="shared" si="205"/>
        <v>Yes</v>
      </c>
      <c r="AI2875" s="25"/>
      <c r="AJ2875" s="25"/>
      <c r="AK2875" s="25"/>
      <c r="AL2875" s="25"/>
      <c r="AM2875" s="25"/>
      <c r="AN2875" s="25"/>
      <c r="AO2875" s="25"/>
      <c r="AP2875" s="25"/>
      <c r="AQ2875" s="25"/>
      <c r="AR2875" s="25"/>
      <c r="AS2875" s="25"/>
      <c r="AT2875" s="25"/>
      <c r="AU2875" s="36"/>
      <c r="AV2875" s="36"/>
      <c r="AW2875" s="36"/>
      <c r="AX2875" s="25"/>
      <c r="AY2875" s="25"/>
      <c r="AZ2875" s="25"/>
      <c r="BA2875" s="25"/>
      <c r="BB2875" s="25"/>
      <c r="BC2875" s="25"/>
      <c r="BD2875" s="25"/>
      <c r="BE2875" s="25"/>
      <c r="BF2875" s="25"/>
      <c r="BG2875" s="25"/>
      <c r="BH2875" s="25"/>
      <c r="BI2875" s="25"/>
      <c r="BJ2875" s="25"/>
      <c r="BK2875" s="25"/>
      <c r="BL2875" s="25"/>
      <c r="BM2875" s="25"/>
      <c r="BN2875" s="25"/>
      <c r="BO2875" s="25"/>
      <c r="BP2875" s="25"/>
      <c r="BQ2875" s="25"/>
      <c r="BR2875" s="25"/>
      <c r="BS2875" s="25"/>
      <c r="BT2875" s="25"/>
      <c r="BU2875"/>
      <c r="BV2875"/>
      <c r="BW2875"/>
      <c r="BX2875"/>
      <c r="BY2875"/>
      <c r="BZ2875"/>
      <c r="CA2875"/>
      <c r="CB2875"/>
      <c r="CC2875"/>
      <c r="CD2875" s="25"/>
    </row>
    <row r="2876" spans="1:82" s="17" customFormat="1" x14ac:dyDescent="0.2">
      <c r="A2876" s="25"/>
      <c r="B2876" s="20">
        <v>39061009800</v>
      </c>
      <c r="C2876" s="20">
        <v>98</v>
      </c>
      <c r="D2876" s="20" t="s">
        <v>37</v>
      </c>
      <c r="E2876" s="20" t="s">
        <v>2828</v>
      </c>
      <c r="F2876" s="20" t="s">
        <v>6</v>
      </c>
      <c r="G2876" s="861">
        <v>28.170083297059701</v>
      </c>
      <c r="H2876" s="861">
        <v>39.562062807603397</v>
      </c>
      <c r="I2876" s="861">
        <v>70.445576203865301</v>
      </c>
      <c r="J2876" s="861">
        <v>50.996103826547902</v>
      </c>
      <c r="K2876" s="982">
        <v>0</v>
      </c>
      <c r="L2876" s="735">
        <v>2308</v>
      </c>
      <c r="M2876" s="735">
        <v>2239</v>
      </c>
      <c r="N2876" s="845">
        <f t="shared" si="203"/>
        <v>-2.9896013864818025E-2</v>
      </c>
      <c r="O2876" s="735">
        <v>0.37681061014600564</v>
      </c>
      <c r="P2876" s="735">
        <f t="shared" si="204"/>
        <v>5941.9770561461573</v>
      </c>
      <c r="Q2876" s="849">
        <v>27.7</v>
      </c>
      <c r="R2876" s="71">
        <v>26784</v>
      </c>
      <c r="S2876" s="845">
        <v>0.43239501615136133</v>
      </c>
      <c r="T2876" s="845">
        <v>8.900000000000001E-2</v>
      </c>
      <c r="U2876" s="845">
        <v>0</v>
      </c>
      <c r="V2876" s="845">
        <v>0.13400000000000001</v>
      </c>
      <c r="W2876" s="845">
        <v>0.89135021097046419</v>
      </c>
      <c r="X2876" s="845">
        <v>0.58343195266272185</v>
      </c>
      <c r="Y2876" s="845">
        <v>0.26976328718177756</v>
      </c>
      <c r="Z2876" s="845">
        <v>0.6266190263510496</v>
      </c>
      <c r="AA2876" s="845">
        <v>0</v>
      </c>
      <c r="AB2876" s="845">
        <v>3.2157213041536403E-2</v>
      </c>
      <c r="AC2876" s="845">
        <v>0</v>
      </c>
      <c r="AD2876" s="845">
        <v>2.9477445288075034E-2</v>
      </c>
      <c r="AE2876" s="845">
        <v>4.1983028137561412E-2</v>
      </c>
      <c r="AF2876" s="845">
        <v>3.5730236712818221E-3</v>
      </c>
      <c r="AG2876" s="845">
        <v>0.26619026351049574</v>
      </c>
      <c r="AH2876" s="20" t="str">
        <f t="shared" si="205"/>
        <v>No</v>
      </c>
      <c r="AI2876" s="25"/>
      <c r="AJ2876" s="25"/>
      <c r="AK2876" s="25"/>
      <c r="AL2876" s="25"/>
      <c r="AM2876" s="25"/>
      <c r="AN2876" s="25"/>
      <c r="AO2876" s="25"/>
      <c r="AP2876" s="25"/>
      <c r="AQ2876" s="25"/>
      <c r="AR2876" s="25"/>
      <c r="AS2876" s="25"/>
      <c r="AT2876" s="25"/>
      <c r="AU2876" s="36"/>
      <c r="AV2876" s="36"/>
      <c r="AW2876" s="36"/>
      <c r="AX2876" s="25"/>
      <c r="AY2876" s="25"/>
      <c r="AZ2876" s="25"/>
      <c r="BA2876" s="25"/>
      <c r="BB2876" s="25"/>
      <c r="BC2876" s="25"/>
      <c r="BD2876" s="25"/>
      <c r="BE2876" s="25"/>
      <c r="BF2876" s="25"/>
      <c r="BG2876" s="25"/>
      <c r="BH2876" s="25"/>
      <c r="BI2876" s="25"/>
      <c r="BJ2876" s="25"/>
      <c r="BK2876" s="25"/>
      <c r="BL2876" s="25"/>
      <c r="BM2876" s="25"/>
      <c r="BN2876" s="25"/>
      <c r="BO2876" s="25"/>
      <c r="BP2876" s="25"/>
      <c r="BQ2876" s="25"/>
      <c r="BR2876" s="25"/>
      <c r="BS2876" s="25"/>
      <c r="BT2876" s="25"/>
      <c r="BU2876"/>
      <c r="BV2876"/>
      <c r="BW2876"/>
      <c r="BX2876"/>
      <c r="BY2876"/>
      <c r="BZ2876"/>
      <c r="CA2876"/>
      <c r="CB2876"/>
      <c r="CC2876"/>
      <c r="CD2876" s="25"/>
    </row>
    <row r="2877" spans="1:82" s="17" customFormat="1" x14ac:dyDescent="0.2">
      <c r="A2877" s="25"/>
      <c r="B2877" s="20">
        <v>39113001900</v>
      </c>
      <c r="C2877" s="20">
        <v>19</v>
      </c>
      <c r="D2877" s="20" t="s">
        <v>62</v>
      </c>
      <c r="E2877" s="20" t="s">
        <v>2833</v>
      </c>
      <c r="F2877" s="20" t="s">
        <v>6</v>
      </c>
      <c r="G2877" s="861">
        <v>28.162227331110699</v>
      </c>
      <c r="H2877" s="861">
        <v>29.481088663464998</v>
      </c>
      <c r="I2877" s="861">
        <v>75.798230683866095</v>
      </c>
      <c r="J2877" s="861">
        <v>50.229418201789599</v>
      </c>
      <c r="K2877" s="982">
        <v>0</v>
      </c>
      <c r="L2877" s="735">
        <v>4519</v>
      </c>
      <c r="M2877" s="735">
        <v>3831</v>
      </c>
      <c r="N2877" s="845">
        <f t="shared" si="203"/>
        <v>-0.15224607213985394</v>
      </c>
      <c r="O2877" s="735">
        <v>1.2870981867171585</v>
      </c>
      <c r="P2877" s="735">
        <f t="shared" si="204"/>
        <v>2976.4628988960476</v>
      </c>
      <c r="Q2877" s="849">
        <v>33.6</v>
      </c>
      <c r="R2877" s="71">
        <v>33333</v>
      </c>
      <c r="S2877" s="845">
        <v>0.35003915426781518</v>
      </c>
      <c r="T2877" s="845">
        <v>7.4999999999999997E-2</v>
      </c>
      <c r="U2877" s="845">
        <v>0</v>
      </c>
      <c r="V2877" s="845">
        <v>0</v>
      </c>
      <c r="W2877" s="845">
        <v>0.66176470588235292</v>
      </c>
      <c r="X2877" s="845">
        <v>0.43571428571428572</v>
      </c>
      <c r="Y2877" s="845">
        <v>0.60401983816235971</v>
      </c>
      <c r="Z2877" s="845">
        <v>0.14382667710780475</v>
      </c>
      <c r="AA2877" s="845">
        <v>0</v>
      </c>
      <c r="AB2877" s="845">
        <v>8.6139389193422081E-3</v>
      </c>
      <c r="AC2877" s="845">
        <v>0</v>
      </c>
      <c r="AD2877" s="845">
        <v>6.0297572435395456E-2</v>
      </c>
      <c r="AE2877" s="845">
        <v>0.18324197337509787</v>
      </c>
      <c r="AF2877" s="845">
        <v>0.1555729574523623</v>
      </c>
      <c r="AG2877" s="845">
        <v>0.60401983816235971</v>
      </c>
      <c r="AH2877" s="20" t="str">
        <f t="shared" si="205"/>
        <v>No</v>
      </c>
      <c r="AI2877" s="25"/>
      <c r="AJ2877" s="25"/>
      <c r="AK2877" s="25"/>
      <c r="AL2877" s="25"/>
      <c r="AM2877" s="25"/>
      <c r="AN2877" s="25"/>
      <c r="AO2877" s="25"/>
      <c r="AP2877" s="25"/>
      <c r="AQ2877" s="25"/>
      <c r="AR2877" s="25"/>
      <c r="AS2877" s="25"/>
      <c r="AT2877" s="25"/>
      <c r="AU2877" s="36"/>
      <c r="AV2877" s="36"/>
      <c r="AW2877" s="36"/>
      <c r="AX2877" s="25"/>
      <c r="AY2877" s="25"/>
      <c r="AZ2877" s="25"/>
      <c r="BA2877" s="25"/>
      <c r="BB2877" s="25"/>
      <c r="BC2877" s="25"/>
      <c r="BD2877" s="25"/>
      <c r="BE2877" s="25"/>
      <c r="BF2877" s="25"/>
      <c r="BG2877" s="25"/>
      <c r="BH2877" s="25"/>
      <c r="BI2877" s="25"/>
      <c r="BJ2877" s="25"/>
      <c r="BK2877" s="25"/>
      <c r="BL2877" s="25"/>
      <c r="BM2877" s="25"/>
      <c r="BN2877" s="25"/>
      <c r="BO2877" s="25"/>
      <c r="BP2877" s="25"/>
      <c r="BQ2877" s="25"/>
      <c r="BR2877" s="25"/>
      <c r="BS2877" s="25"/>
      <c r="BT2877" s="25"/>
      <c r="BU2877"/>
      <c r="BV2877"/>
      <c r="BW2877"/>
      <c r="BX2877"/>
      <c r="BY2877"/>
      <c r="BZ2877"/>
      <c r="CA2877"/>
      <c r="CB2877"/>
      <c r="CC2877"/>
      <c r="CD2877" s="25"/>
    </row>
    <row r="2878" spans="1:82" s="17" customFormat="1" x14ac:dyDescent="0.2">
      <c r="A2878" s="25"/>
      <c r="B2878" s="20">
        <v>39095004600</v>
      </c>
      <c r="C2878" s="20">
        <v>46</v>
      </c>
      <c r="D2878" s="20" t="s">
        <v>53</v>
      </c>
      <c r="E2878" s="20" t="s">
        <v>2839</v>
      </c>
      <c r="F2878" s="20" t="s">
        <v>6</v>
      </c>
      <c r="G2878" s="861">
        <v>28.156124476022299</v>
      </c>
      <c r="H2878" s="861">
        <v>50.434005921502198</v>
      </c>
      <c r="I2878" s="861">
        <v>44.218472262585799</v>
      </c>
      <c r="J2878" s="861">
        <v>34.149796727168301</v>
      </c>
      <c r="K2878" s="982">
        <v>0</v>
      </c>
      <c r="L2878" s="735">
        <v>2613</v>
      </c>
      <c r="M2878" s="735">
        <v>2092</v>
      </c>
      <c r="N2878" s="845">
        <f t="shared" si="203"/>
        <v>-0.19938767699961729</v>
      </c>
      <c r="O2878" s="735">
        <v>2.0197065692320884</v>
      </c>
      <c r="P2878" s="735">
        <f t="shared" si="204"/>
        <v>1035.7940266518015</v>
      </c>
      <c r="Q2878" s="849">
        <v>35.4</v>
      </c>
      <c r="R2878" s="71">
        <v>42552</v>
      </c>
      <c r="S2878" s="845">
        <v>0.23010546500479387</v>
      </c>
      <c r="T2878" s="845">
        <v>0.183</v>
      </c>
      <c r="U2878" s="845">
        <v>0</v>
      </c>
      <c r="V2878" s="845">
        <v>8.4000000000000005E-2</v>
      </c>
      <c r="W2878" s="845">
        <v>0.46500000000000002</v>
      </c>
      <c r="X2878" s="845">
        <v>0.25806451612903225</v>
      </c>
      <c r="Y2878" s="845">
        <v>0.71653919694072654</v>
      </c>
      <c r="Z2878" s="845">
        <v>4.2543021032504777E-2</v>
      </c>
      <c r="AA2878" s="845">
        <v>0</v>
      </c>
      <c r="AB2878" s="845">
        <v>1.3862332695984704E-2</v>
      </c>
      <c r="AC2878" s="845">
        <v>0</v>
      </c>
      <c r="AD2878" s="845">
        <v>0.10133843212237094</v>
      </c>
      <c r="AE2878" s="845">
        <v>0.125717017208413</v>
      </c>
      <c r="AF2878" s="845">
        <v>0.21606118546845124</v>
      </c>
      <c r="AG2878" s="845">
        <v>0.66061185468451245</v>
      </c>
      <c r="AH2878" s="20" t="str">
        <f t="shared" si="205"/>
        <v>No</v>
      </c>
      <c r="AI2878" s="25"/>
      <c r="AJ2878" s="25"/>
      <c r="AK2878" s="25"/>
      <c r="AL2878" s="25"/>
      <c r="AM2878" s="25"/>
      <c r="AN2878" s="25"/>
      <c r="AO2878" s="25"/>
      <c r="AP2878" s="25"/>
      <c r="AQ2878" s="25"/>
      <c r="AR2878" s="25"/>
      <c r="AS2878" s="25"/>
      <c r="AT2878" s="25"/>
      <c r="AU2878" s="36"/>
      <c r="AV2878" s="36"/>
      <c r="AW2878" s="36"/>
      <c r="AX2878" s="25"/>
      <c r="AY2878" s="25"/>
      <c r="AZ2878" s="25"/>
      <c r="BA2878" s="25"/>
      <c r="BB2878" s="25"/>
      <c r="BC2878" s="25"/>
      <c r="BD2878" s="25"/>
      <c r="BE2878" s="25"/>
      <c r="BF2878" s="25"/>
      <c r="BG2878" s="25"/>
      <c r="BH2878" s="25"/>
      <c r="BI2878" s="25"/>
      <c r="BJ2878" s="25"/>
      <c r="BK2878" s="25"/>
      <c r="BL2878" s="25"/>
      <c r="BM2878" s="25"/>
      <c r="BN2878" s="25"/>
      <c r="BO2878" s="25"/>
      <c r="BP2878" s="25"/>
      <c r="BQ2878" s="25"/>
      <c r="BR2878" s="25"/>
      <c r="BS2878" s="25"/>
      <c r="BT2878" s="25"/>
      <c r="BU2878"/>
      <c r="BV2878"/>
      <c r="BW2878"/>
      <c r="BX2878"/>
      <c r="BY2878"/>
      <c r="BZ2878"/>
      <c r="CA2878"/>
      <c r="CB2878"/>
      <c r="CC2878"/>
      <c r="CD2878" s="25"/>
    </row>
    <row r="2879" spans="1:82" s="17" customFormat="1" x14ac:dyDescent="0.2">
      <c r="A2879" s="25"/>
      <c r="B2879" s="20">
        <v>39007000102</v>
      </c>
      <c r="C2879" s="20">
        <v>1.02</v>
      </c>
      <c r="D2879" s="20" t="s">
        <v>10</v>
      </c>
      <c r="E2879" s="20" t="s">
        <v>2829</v>
      </c>
      <c r="F2879" s="20" t="s">
        <v>8</v>
      </c>
      <c r="G2879" s="861">
        <v>28.153630795900199</v>
      </c>
      <c r="H2879" s="861">
        <v>38.635454071124599</v>
      </c>
      <c r="I2879" s="861">
        <v>39.989552167079097</v>
      </c>
      <c r="J2879" s="861">
        <v>27.104101537602901</v>
      </c>
      <c r="K2879" s="982">
        <v>0</v>
      </c>
      <c r="L2879" s="735">
        <v>3474</v>
      </c>
      <c r="M2879" s="735">
        <v>2983</v>
      </c>
      <c r="N2879" s="845">
        <f t="shared" si="203"/>
        <v>-0.14133563615428901</v>
      </c>
      <c r="O2879" s="735">
        <v>2.129802055346115</v>
      </c>
      <c r="P2879" s="735">
        <f t="shared" si="204"/>
        <v>1400.599643761369</v>
      </c>
      <c r="Q2879" s="849">
        <v>44.8</v>
      </c>
      <c r="R2879" s="71">
        <v>53571</v>
      </c>
      <c r="S2879" s="845">
        <v>0.1457912457912458</v>
      </c>
      <c r="T2879" s="845">
        <v>9.6999999999999989E-2</v>
      </c>
      <c r="U2879" s="845">
        <v>0</v>
      </c>
      <c r="V2879" s="845">
        <v>0.10199999999999999</v>
      </c>
      <c r="W2879" s="845">
        <v>0.20870206489675516</v>
      </c>
      <c r="X2879" s="845">
        <v>0.34982332155477031</v>
      </c>
      <c r="Y2879" s="845">
        <v>0.96580623533355681</v>
      </c>
      <c r="Z2879" s="845">
        <v>0</v>
      </c>
      <c r="AA2879" s="845">
        <v>0</v>
      </c>
      <c r="AB2879" s="845">
        <v>1.9108280254777069E-2</v>
      </c>
      <c r="AC2879" s="845">
        <v>0</v>
      </c>
      <c r="AD2879" s="845">
        <v>6.7046597385182699E-3</v>
      </c>
      <c r="AE2879" s="845">
        <v>8.3808246731478381E-3</v>
      </c>
      <c r="AF2879" s="845">
        <v>1.2738853503184714E-2</v>
      </c>
      <c r="AG2879" s="845">
        <v>0.9597720415688904</v>
      </c>
      <c r="AH2879" s="20" t="str">
        <f t="shared" si="205"/>
        <v>Yes</v>
      </c>
      <c r="AI2879" s="25"/>
      <c r="AJ2879" s="25"/>
      <c r="AK2879" s="25"/>
      <c r="AL2879" s="25"/>
      <c r="AM2879" s="25"/>
      <c r="AN2879" s="25"/>
      <c r="AO2879" s="25"/>
      <c r="AP2879" s="25"/>
      <c r="AQ2879" s="25"/>
      <c r="AR2879" s="25"/>
      <c r="AS2879" s="25"/>
      <c r="AT2879" s="25"/>
      <c r="AU2879" s="36"/>
      <c r="AV2879" s="36"/>
      <c r="AW2879" s="36"/>
      <c r="AX2879" s="25"/>
      <c r="AY2879" s="25"/>
      <c r="AZ2879" s="25"/>
      <c r="BA2879" s="25"/>
      <c r="BB2879" s="25"/>
      <c r="BC2879" s="25"/>
      <c r="BD2879" s="25"/>
      <c r="BE2879" s="25"/>
      <c r="BF2879" s="25"/>
      <c r="BG2879" s="25"/>
      <c r="BH2879" s="25"/>
      <c r="BI2879" s="25"/>
      <c r="BJ2879" s="25"/>
      <c r="BK2879" s="25"/>
      <c r="BL2879" s="25"/>
      <c r="BM2879" s="25"/>
      <c r="BN2879" s="25"/>
      <c r="BO2879" s="25"/>
      <c r="BP2879" s="25"/>
      <c r="BQ2879" s="25"/>
      <c r="BR2879" s="25"/>
      <c r="BS2879" s="25"/>
      <c r="BT2879" s="25"/>
      <c r="BU2879"/>
      <c r="BV2879"/>
      <c r="BW2879"/>
      <c r="BX2879"/>
      <c r="BY2879"/>
      <c r="BZ2879"/>
      <c r="CA2879"/>
      <c r="CB2879"/>
      <c r="CC2879"/>
      <c r="CD2879" s="25"/>
    </row>
    <row r="2880" spans="1:82" s="17" customFormat="1" x14ac:dyDescent="0.2">
      <c r="A2880" s="25"/>
      <c r="B2880" s="20">
        <v>39155933100</v>
      </c>
      <c r="C2880" s="20">
        <v>9331</v>
      </c>
      <c r="D2880" s="20" t="s">
        <v>83</v>
      </c>
      <c r="E2880" s="20" t="s">
        <v>2842</v>
      </c>
      <c r="F2880" s="20" t="s">
        <v>8</v>
      </c>
      <c r="G2880" s="861">
        <v>28.1292026508563</v>
      </c>
      <c r="H2880" s="861">
        <v>34.841079683302098</v>
      </c>
      <c r="I2880" s="861">
        <v>18.900455567353202</v>
      </c>
      <c r="J2880" s="861">
        <v>37.951635519765198</v>
      </c>
      <c r="K2880" s="982">
        <v>0</v>
      </c>
      <c r="L2880" s="735">
        <v>2499</v>
      </c>
      <c r="M2880" s="735">
        <v>2103</v>
      </c>
      <c r="N2880" s="845">
        <f t="shared" si="203"/>
        <v>-0.15846338535414164</v>
      </c>
      <c r="O2880" s="735">
        <v>4.7227583604621257</v>
      </c>
      <c r="P2880" s="735">
        <f t="shared" si="204"/>
        <v>445.29062033023848</v>
      </c>
      <c r="Q2880" s="849">
        <v>41.2</v>
      </c>
      <c r="R2880" s="71">
        <v>59100</v>
      </c>
      <c r="S2880" s="845">
        <v>0.16484040019056695</v>
      </c>
      <c r="T2880" s="845">
        <v>7.400000000000001E-2</v>
      </c>
      <c r="U2880" s="845">
        <v>0</v>
      </c>
      <c r="V2880" s="845">
        <v>0.19600000000000001</v>
      </c>
      <c r="W2880" s="845">
        <v>0.17924528301886791</v>
      </c>
      <c r="X2880" s="845">
        <v>0.34868421052631576</v>
      </c>
      <c r="Y2880" s="845">
        <v>0.97479790775083219</v>
      </c>
      <c r="Z2880" s="845">
        <v>0</v>
      </c>
      <c r="AA2880" s="845">
        <v>0</v>
      </c>
      <c r="AB2880" s="845">
        <v>0</v>
      </c>
      <c r="AC2880" s="845">
        <v>0</v>
      </c>
      <c r="AD2880" s="845">
        <v>0</v>
      </c>
      <c r="AE2880" s="845">
        <v>2.5202092249167855E-2</v>
      </c>
      <c r="AF2880" s="845">
        <v>2.3775558725630053E-3</v>
      </c>
      <c r="AG2880" s="845">
        <v>0.97479790775083219</v>
      </c>
      <c r="AH2880" s="20" t="str">
        <f t="shared" si="205"/>
        <v>Yes</v>
      </c>
      <c r="AI2880" s="25"/>
      <c r="AJ2880" s="25"/>
      <c r="AK2880" s="25"/>
      <c r="AL2880" s="25"/>
      <c r="AM2880" s="25"/>
      <c r="AN2880" s="25"/>
      <c r="AO2880" s="25"/>
      <c r="AP2880" s="25"/>
      <c r="AQ2880" s="25"/>
      <c r="AR2880" s="25"/>
      <c r="AS2880" s="25"/>
      <c r="AT2880" s="25"/>
      <c r="AU2880" s="36"/>
      <c r="AV2880" s="36"/>
      <c r="AW2880" s="36"/>
      <c r="AX2880" s="25"/>
      <c r="AY2880" s="25"/>
      <c r="AZ2880" s="25"/>
      <c r="BA2880" s="25"/>
      <c r="BB2880" s="25"/>
      <c r="BC2880" s="25"/>
      <c r="BD2880" s="25"/>
      <c r="BE2880" s="25"/>
      <c r="BF2880" s="25"/>
      <c r="BG2880" s="25"/>
      <c r="BH2880" s="25"/>
      <c r="BI2880" s="25"/>
      <c r="BJ2880" s="25"/>
      <c r="BK2880" s="25"/>
      <c r="BL2880" s="25"/>
      <c r="BM2880" s="25"/>
      <c r="BN2880" s="25"/>
      <c r="BO2880" s="25"/>
      <c r="BP2880" s="25"/>
      <c r="BQ2880" s="25"/>
      <c r="BR2880" s="25"/>
      <c r="BS2880" s="25"/>
      <c r="BT2880" s="25"/>
      <c r="BU2880"/>
      <c r="BV2880"/>
      <c r="BW2880"/>
      <c r="BX2880"/>
      <c r="BY2880"/>
      <c r="BZ2880"/>
      <c r="CA2880"/>
      <c r="CB2880"/>
      <c r="CC2880"/>
      <c r="CD2880" s="25"/>
    </row>
    <row r="2881" spans="1:82" s="17" customFormat="1" x14ac:dyDescent="0.2">
      <c r="A2881" s="25"/>
      <c r="B2881" s="20">
        <v>39145003200</v>
      </c>
      <c r="C2881" s="20">
        <v>32</v>
      </c>
      <c r="D2881" s="20" t="s">
        <v>78</v>
      </c>
      <c r="E2881" s="20" t="s">
        <v>265</v>
      </c>
      <c r="F2881" s="20" t="s">
        <v>6</v>
      </c>
      <c r="G2881" s="861">
        <v>28.1047195576317</v>
      </c>
      <c r="H2881" s="861">
        <v>36.915529051484803</v>
      </c>
      <c r="I2881" s="861">
        <v>35.8859003467824</v>
      </c>
      <c r="J2881" s="861">
        <v>46.111580197341098</v>
      </c>
      <c r="K2881" s="982">
        <v>0</v>
      </c>
      <c r="L2881" s="735">
        <v>1875</v>
      </c>
      <c r="M2881" s="735">
        <v>1678</v>
      </c>
      <c r="N2881" s="845">
        <f t="shared" si="203"/>
        <v>-0.10506666666666667</v>
      </c>
      <c r="O2881" s="735">
        <v>1.9890380886729246</v>
      </c>
      <c r="P2881" s="735">
        <f t="shared" si="204"/>
        <v>843.6238650007715</v>
      </c>
      <c r="Q2881" s="849">
        <v>40</v>
      </c>
      <c r="R2881" s="71">
        <v>21968</v>
      </c>
      <c r="S2881" s="845">
        <v>0.39569635385534968</v>
      </c>
      <c r="T2881" s="845">
        <v>0.14599999999999999</v>
      </c>
      <c r="U2881" s="845">
        <v>7.5999999999999998E-2</v>
      </c>
      <c r="V2881" s="845">
        <v>3.3000000000000002E-2</v>
      </c>
      <c r="W2881" s="845">
        <v>0.72126436781609193</v>
      </c>
      <c r="X2881" s="845">
        <v>0.39641434262948205</v>
      </c>
      <c r="Y2881" s="845">
        <v>0.88915375446960665</v>
      </c>
      <c r="Z2881" s="845">
        <v>2.4433849821215731E-2</v>
      </c>
      <c r="AA2881" s="845">
        <v>0</v>
      </c>
      <c r="AB2881" s="845">
        <v>0</v>
      </c>
      <c r="AC2881" s="845">
        <v>0</v>
      </c>
      <c r="AD2881" s="845">
        <v>0</v>
      </c>
      <c r="AE2881" s="845">
        <v>8.6412395709177595E-2</v>
      </c>
      <c r="AF2881" s="845">
        <v>2.5029797377830752E-2</v>
      </c>
      <c r="AG2881" s="845">
        <v>0.88915375446960665</v>
      </c>
      <c r="AH2881" s="20" t="str">
        <f t="shared" si="205"/>
        <v>No</v>
      </c>
      <c r="AI2881" s="25"/>
      <c r="AJ2881" s="25"/>
      <c r="AK2881" s="25"/>
      <c r="AL2881" s="25"/>
      <c r="AM2881" s="25"/>
      <c r="AN2881" s="25"/>
      <c r="AO2881" s="25"/>
      <c r="AP2881" s="25"/>
      <c r="AQ2881" s="25"/>
      <c r="AR2881" s="25"/>
      <c r="AS2881" s="25"/>
      <c r="AT2881" s="25"/>
      <c r="AU2881" s="36"/>
      <c r="AV2881" s="36"/>
      <c r="AW2881" s="36"/>
      <c r="AX2881" s="25"/>
      <c r="AY2881" s="25"/>
      <c r="AZ2881" s="25"/>
      <c r="BA2881" s="25"/>
      <c r="BB2881" s="25"/>
      <c r="BC2881" s="25"/>
      <c r="BD2881" s="25"/>
      <c r="BE2881" s="25"/>
      <c r="BF2881" s="25"/>
      <c r="BG2881" s="25"/>
      <c r="BH2881" s="25"/>
      <c r="BI2881" s="25"/>
      <c r="BJ2881" s="25"/>
      <c r="BK2881" s="25"/>
      <c r="BL2881" s="25"/>
      <c r="BM2881" s="25"/>
      <c r="BN2881" s="25"/>
      <c r="BO2881" s="25"/>
      <c r="BP2881" s="25"/>
      <c r="BQ2881" s="25"/>
      <c r="BR2881" s="25"/>
      <c r="BS2881" s="25"/>
      <c r="BT2881" s="25"/>
      <c r="BU2881"/>
      <c r="BV2881"/>
      <c r="BW2881"/>
      <c r="BX2881"/>
      <c r="BY2881"/>
      <c r="BZ2881"/>
      <c r="CA2881"/>
      <c r="CB2881"/>
      <c r="CC2881"/>
      <c r="CD2881" s="25"/>
    </row>
    <row r="2882" spans="1:82" s="17" customFormat="1" x14ac:dyDescent="0.2">
      <c r="A2882" s="25"/>
      <c r="B2882" s="20">
        <v>39129021500</v>
      </c>
      <c r="C2882" s="20">
        <v>215</v>
      </c>
      <c r="D2882" s="20" t="s">
        <v>70</v>
      </c>
      <c r="E2882" s="20" t="s">
        <v>2830</v>
      </c>
      <c r="F2882" s="20" t="s">
        <v>8</v>
      </c>
      <c r="G2882" s="861">
        <v>28.0593730818943</v>
      </c>
      <c r="H2882" s="861">
        <v>33.075930268349801</v>
      </c>
      <c r="I2882" s="861">
        <v>31.2650155529792</v>
      </c>
      <c r="J2882" s="861">
        <v>23.468951713121999</v>
      </c>
      <c r="K2882" s="982">
        <v>0</v>
      </c>
      <c r="L2882" s="735">
        <v>3401</v>
      </c>
      <c r="M2882" s="735">
        <v>3412</v>
      </c>
      <c r="N2882" s="845">
        <f t="shared" si="203"/>
        <v>3.2343428403410761E-3</v>
      </c>
      <c r="O2882" s="735">
        <v>105.5286836818722</v>
      </c>
      <c r="P2882" s="735">
        <f t="shared" si="204"/>
        <v>32.332441578498681</v>
      </c>
      <c r="Q2882" s="849">
        <v>42.2</v>
      </c>
      <c r="R2882" s="71">
        <v>71731</v>
      </c>
      <c r="S2882" s="845">
        <v>8.5287221570926136E-2</v>
      </c>
      <c r="T2882" s="845">
        <v>0.01</v>
      </c>
      <c r="U2882" s="845">
        <v>0</v>
      </c>
      <c r="V2882" s="845">
        <v>0</v>
      </c>
      <c r="W2882" s="845">
        <v>9.1423948220064721E-2</v>
      </c>
      <c r="X2882" s="845">
        <v>0.5663716814159292</v>
      </c>
      <c r="Y2882" s="845">
        <v>0.9601406799531067</v>
      </c>
      <c r="Z2882" s="845">
        <v>0</v>
      </c>
      <c r="AA2882" s="845">
        <v>0</v>
      </c>
      <c r="AB2882" s="845">
        <v>0</v>
      </c>
      <c r="AC2882" s="845">
        <v>0</v>
      </c>
      <c r="AD2882" s="845">
        <v>0</v>
      </c>
      <c r="AE2882" s="845">
        <v>3.9859320046893319E-2</v>
      </c>
      <c r="AF2882" s="845">
        <v>9.9648300117233298E-3</v>
      </c>
      <c r="AG2882" s="845">
        <v>0.9601406799531067</v>
      </c>
      <c r="AH2882" s="20" t="str">
        <f t="shared" si="205"/>
        <v>Yes</v>
      </c>
      <c r="AI2882" s="25"/>
      <c r="AJ2882" s="25"/>
      <c r="AK2882" s="25"/>
      <c r="AL2882" s="25"/>
      <c r="AM2882" s="25"/>
      <c r="AN2882" s="25"/>
      <c r="AO2882" s="25"/>
      <c r="AP2882" s="25"/>
      <c r="AQ2882" s="25"/>
      <c r="AR2882" s="25"/>
      <c r="AS2882" s="25"/>
      <c r="AT2882" s="25"/>
      <c r="AU2882" s="36"/>
      <c r="AV2882" s="36"/>
      <c r="AW2882" s="36"/>
      <c r="AX2882" s="25"/>
      <c r="AY2882" s="25"/>
      <c r="AZ2882" s="25"/>
      <c r="BA2882" s="25"/>
      <c r="BB2882" s="25"/>
      <c r="BC2882" s="25"/>
      <c r="BD2882" s="25"/>
      <c r="BE2882" s="25"/>
      <c r="BF2882" s="25"/>
      <c r="BG2882" s="25"/>
      <c r="BH2882" s="25"/>
      <c r="BI2882" s="25"/>
      <c r="BJ2882" s="25"/>
      <c r="BK2882" s="25"/>
      <c r="BL2882" s="25"/>
      <c r="BM2882" s="25"/>
      <c r="BN2882" s="25"/>
      <c r="BO2882" s="25"/>
      <c r="BP2882" s="25"/>
      <c r="BQ2882" s="25"/>
      <c r="BR2882" s="25"/>
      <c r="BS2882" s="25"/>
      <c r="BT2882" s="25"/>
      <c r="BU2882"/>
      <c r="BV2882"/>
      <c r="BW2882"/>
      <c r="BX2882"/>
      <c r="BY2882"/>
      <c r="BZ2882"/>
      <c r="CA2882"/>
      <c r="CB2882"/>
      <c r="CC2882"/>
      <c r="CD2882" s="25"/>
    </row>
    <row r="2883" spans="1:82" s="17" customFormat="1" x14ac:dyDescent="0.2">
      <c r="A2883" s="25"/>
      <c r="B2883" s="20">
        <v>39003012300</v>
      </c>
      <c r="C2883" s="20">
        <v>123</v>
      </c>
      <c r="D2883" s="20" t="s">
        <v>7</v>
      </c>
      <c r="E2883" s="20" t="s">
        <v>2835</v>
      </c>
      <c r="F2883" s="20" t="s">
        <v>6</v>
      </c>
      <c r="G2883" s="861">
        <v>28.0304608616789</v>
      </c>
      <c r="H2883" s="861">
        <v>41.270129469555201</v>
      </c>
      <c r="I2883" s="861">
        <v>51.696218821642603</v>
      </c>
      <c r="J2883" s="861">
        <v>29.369678241540299</v>
      </c>
      <c r="K2883" s="982">
        <v>0</v>
      </c>
      <c r="L2883" s="735">
        <v>3962</v>
      </c>
      <c r="M2883" s="735">
        <v>3377</v>
      </c>
      <c r="N2883" s="845">
        <f t="shared" si="203"/>
        <v>-0.14765270065623423</v>
      </c>
      <c r="O2883" s="735">
        <v>0.78068813991582386</v>
      </c>
      <c r="P2883" s="735">
        <f t="shared" si="204"/>
        <v>4325.6709399532037</v>
      </c>
      <c r="Q2883" s="849">
        <v>41.9</v>
      </c>
      <c r="R2883" s="71">
        <v>38179</v>
      </c>
      <c r="S2883" s="845">
        <v>0.18300266508735563</v>
      </c>
      <c r="T2883" s="845">
        <v>5.9000000000000004E-2</v>
      </c>
      <c r="U2883" s="845">
        <v>3.4000000000000002E-2</v>
      </c>
      <c r="V2883" s="845">
        <v>0</v>
      </c>
      <c r="W2883" s="845">
        <v>0.42546771273385636</v>
      </c>
      <c r="X2883" s="845">
        <v>0.77304964539007093</v>
      </c>
      <c r="Y2883" s="845">
        <v>0.77346757477050632</v>
      </c>
      <c r="Z2883" s="845">
        <v>8.0544862303819964E-2</v>
      </c>
      <c r="AA2883" s="845">
        <v>0</v>
      </c>
      <c r="AB2883" s="845">
        <v>5.0340538939887478E-3</v>
      </c>
      <c r="AC2883" s="845">
        <v>0</v>
      </c>
      <c r="AD2883" s="845">
        <v>8.3506070476754513E-2</v>
      </c>
      <c r="AE2883" s="845">
        <v>5.7447438554930411E-2</v>
      </c>
      <c r="AF2883" s="845">
        <v>0.1211134142730234</v>
      </c>
      <c r="AG2883" s="845">
        <v>0.73911755996446549</v>
      </c>
      <c r="AH2883" s="20" t="str">
        <f t="shared" si="205"/>
        <v>No</v>
      </c>
      <c r="AI2883" s="25"/>
      <c r="AJ2883" s="25"/>
      <c r="AK2883" s="25"/>
      <c r="AL2883" s="25"/>
      <c r="AM2883" s="25"/>
      <c r="AN2883" s="25"/>
      <c r="AO2883" s="25"/>
      <c r="AP2883" s="25"/>
      <c r="AQ2883" s="25"/>
      <c r="AR2883" s="25"/>
      <c r="AS2883" s="25"/>
      <c r="AT2883" s="25"/>
      <c r="AU2883" s="36"/>
      <c r="AV2883" s="36"/>
      <c r="AW2883" s="36"/>
      <c r="AX2883" s="25"/>
      <c r="AY2883" s="25"/>
      <c r="AZ2883" s="25"/>
      <c r="BA2883" s="25"/>
      <c r="BB2883" s="25"/>
      <c r="BC2883" s="25"/>
      <c r="BD2883" s="25"/>
      <c r="BE2883" s="25"/>
      <c r="BF2883" s="25"/>
      <c r="BG2883" s="25"/>
      <c r="BH2883" s="25"/>
      <c r="BI2883" s="25"/>
      <c r="BJ2883" s="25"/>
      <c r="BK2883" s="25"/>
      <c r="BL2883" s="25"/>
      <c r="BM2883" s="25"/>
      <c r="BN2883" s="25"/>
      <c r="BO2883" s="25"/>
      <c r="BP2883" s="25"/>
      <c r="BQ2883" s="25"/>
      <c r="BR2883" s="25"/>
      <c r="BS2883" s="25"/>
      <c r="BT2883" s="25"/>
      <c r="BU2883"/>
      <c r="BV2883"/>
      <c r="BW2883"/>
      <c r="BX2883"/>
      <c r="BY2883"/>
      <c r="BZ2883"/>
      <c r="CA2883"/>
      <c r="CB2883"/>
      <c r="CC2883"/>
      <c r="CD2883" s="25"/>
    </row>
    <row r="2884" spans="1:82" s="17" customFormat="1" x14ac:dyDescent="0.2">
      <c r="A2884" s="25"/>
      <c r="B2884" s="20">
        <v>39119911400</v>
      </c>
      <c r="C2884" s="20">
        <v>9114</v>
      </c>
      <c r="D2884" s="20" t="s">
        <v>65</v>
      </c>
      <c r="E2884" s="20" t="s">
        <v>265</v>
      </c>
      <c r="F2884" s="20" t="s">
        <v>6</v>
      </c>
      <c r="G2884" s="861">
        <v>28.017108670234901</v>
      </c>
      <c r="H2884" s="861">
        <v>18.463048527497701</v>
      </c>
      <c r="I2884" s="861">
        <v>57.326064444934502</v>
      </c>
      <c r="J2884" s="861">
        <v>41.978414388740703</v>
      </c>
      <c r="K2884" s="982">
        <v>1</v>
      </c>
      <c r="L2884" s="735">
        <v>3534</v>
      </c>
      <c r="M2884" s="735">
        <v>4194</v>
      </c>
      <c r="N2884" s="845">
        <f t="shared" si="203"/>
        <v>0.18675721561969441</v>
      </c>
      <c r="O2884" s="735">
        <v>4.9119449432530411</v>
      </c>
      <c r="P2884" s="735">
        <f t="shared" si="204"/>
        <v>853.83693189818882</v>
      </c>
      <c r="Q2884" s="849">
        <v>40.5</v>
      </c>
      <c r="R2884" s="71">
        <v>34324</v>
      </c>
      <c r="S2884" s="845">
        <v>0.32783357245337158</v>
      </c>
      <c r="T2884" s="845">
        <v>7.8E-2</v>
      </c>
      <c r="U2884" s="845">
        <v>0</v>
      </c>
      <c r="V2884" s="845">
        <v>0</v>
      </c>
      <c r="W2884" s="845">
        <v>0.45346062052505964</v>
      </c>
      <c r="X2884" s="845">
        <v>0.57631578947368423</v>
      </c>
      <c r="Y2884" s="845">
        <v>0.80114449213161665</v>
      </c>
      <c r="Z2884" s="845">
        <v>0.10014306151645208</v>
      </c>
      <c r="AA2884" s="845">
        <v>0</v>
      </c>
      <c r="AB2884" s="845">
        <v>2.7181688125894134E-2</v>
      </c>
      <c r="AC2884" s="845">
        <v>2.384358607534573E-3</v>
      </c>
      <c r="AD2884" s="845">
        <v>2.6227944682880307E-3</v>
      </c>
      <c r="AE2884" s="845">
        <v>6.652360515021459E-2</v>
      </c>
      <c r="AF2884" s="845">
        <v>1.3113972341440152E-2</v>
      </c>
      <c r="AG2884" s="845">
        <v>0.79279923700524557</v>
      </c>
      <c r="AH2884" s="20" t="str">
        <f t="shared" si="205"/>
        <v>No</v>
      </c>
      <c r="AI2884" s="25"/>
      <c r="AJ2884" s="25"/>
      <c r="AK2884" s="25"/>
      <c r="AL2884" s="25"/>
      <c r="AM2884" s="25"/>
      <c r="AN2884" s="25"/>
      <c r="AO2884" s="25"/>
      <c r="AP2884" s="25"/>
      <c r="AQ2884" s="25"/>
      <c r="AR2884" s="25"/>
      <c r="AS2884" s="25"/>
      <c r="AT2884" s="25"/>
      <c r="AU2884" s="36"/>
      <c r="AV2884" s="36"/>
      <c r="AW2884" s="36"/>
      <c r="AX2884" s="25"/>
      <c r="AY2884" s="25"/>
      <c r="AZ2884" s="25"/>
      <c r="BA2884" s="25"/>
      <c r="BB2884" s="25"/>
      <c r="BC2884" s="25"/>
      <c r="BD2884" s="25"/>
      <c r="BE2884" s="25"/>
      <c r="BF2884" s="25"/>
      <c r="BG2884" s="25"/>
      <c r="BH2884" s="25"/>
      <c r="BI2884" s="25"/>
      <c r="BJ2884" s="25"/>
      <c r="BK2884" s="25"/>
      <c r="BL2884" s="25"/>
      <c r="BM2884" s="25"/>
      <c r="BN2884" s="25"/>
      <c r="BO2884" s="25"/>
      <c r="BP2884" s="25"/>
      <c r="BQ2884" s="25"/>
      <c r="BR2884" s="25"/>
      <c r="BS2884" s="25"/>
      <c r="BT2884" s="25"/>
      <c r="BU2884"/>
      <c r="BV2884"/>
      <c r="BW2884"/>
      <c r="BX2884"/>
      <c r="BY2884"/>
      <c r="BZ2884"/>
      <c r="CA2884"/>
      <c r="CB2884"/>
      <c r="CC2884"/>
      <c r="CD2884" s="25"/>
    </row>
    <row r="2885" spans="1:82" s="17" customFormat="1" x14ac:dyDescent="0.2">
      <c r="A2885" s="25"/>
      <c r="B2885" s="20">
        <v>39035198400</v>
      </c>
      <c r="C2885" s="20">
        <v>1984</v>
      </c>
      <c r="D2885" s="20" t="s">
        <v>24</v>
      </c>
      <c r="E2885" s="20" t="s">
        <v>2829</v>
      </c>
      <c r="F2885" s="20" t="s">
        <v>6</v>
      </c>
      <c r="G2885" s="861">
        <v>27.9524968452839</v>
      </c>
      <c r="H2885" s="861">
        <v>24.404873138265199</v>
      </c>
      <c r="I2885" s="861">
        <v>46.861646420684103</v>
      </c>
      <c r="J2885" s="861">
        <v>47.3117414494656</v>
      </c>
      <c r="K2885" s="982">
        <v>0</v>
      </c>
      <c r="L2885" s="735" t="s">
        <v>2466</v>
      </c>
      <c r="M2885" s="735">
        <v>2864</v>
      </c>
      <c r="N2885" s="845" t="str">
        <f t="shared" si="203"/>
        <v/>
      </c>
      <c r="O2885" s="735">
        <v>0.86828120612491932</v>
      </c>
      <c r="P2885" s="735">
        <f t="shared" si="204"/>
        <v>3298.470564371466</v>
      </c>
      <c r="Q2885" s="849">
        <v>28.9</v>
      </c>
      <c r="R2885" s="71">
        <v>20269</v>
      </c>
      <c r="S2885" s="845">
        <v>0.6033519553072626</v>
      </c>
      <c r="T2885" s="845">
        <v>0.17</v>
      </c>
      <c r="U2885" s="845">
        <v>0</v>
      </c>
      <c r="V2885" s="845">
        <v>0.01</v>
      </c>
      <c r="W2885" s="845">
        <v>0.78254091971940765</v>
      </c>
      <c r="X2885" s="845">
        <v>0.59561752988047811</v>
      </c>
      <c r="Y2885" s="845">
        <v>3.9106145251396648E-2</v>
      </c>
      <c r="Z2885" s="845">
        <v>0.96089385474860334</v>
      </c>
      <c r="AA2885" s="845">
        <v>0</v>
      </c>
      <c r="AB2885" s="845">
        <v>0</v>
      </c>
      <c r="AC2885" s="845">
        <v>0</v>
      </c>
      <c r="AD2885" s="845">
        <v>0</v>
      </c>
      <c r="AE2885" s="845">
        <v>0</v>
      </c>
      <c r="AF2885" s="845">
        <v>3.4916201117318434E-3</v>
      </c>
      <c r="AG2885" s="845">
        <v>3.5614525139664802E-2</v>
      </c>
      <c r="AH2885" s="20" t="str">
        <f t="shared" si="205"/>
        <v>No</v>
      </c>
      <c r="AI2885" s="25"/>
      <c r="AJ2885" s="25"/>
      <c r="AK2885" s="25"/>
      <c r="AL2885" s="25"/>
      <c r="AM2885" s="25"/>
      <c r="AN2885" s="25"/>
      <c r="AO2885" s="25"/>
      <c r="AP2885" s="25"/>
      <c r="AQ2885" s="25"/>
      <c r="AR2885" s="25"/>
      <c r="AS2885" s="25"/>
      <c r="AT2885" s="25"/>
      <c r="AU2885" s="36"/>
      <c r="AV2885" s="36"/>
      <c r="AW2885" s="36"/>
      <c r="AX2885" s="25"/>
      <c r="AY2885" s="25"/>
      <c r="AZ2885" s="25"/>
      <c r="BA2885" s="25"/>
      <c r="BB2885" s="25"/>
      <c r="BC2885" s="25"/>
      <c r="BD2885" s="25"/>
      <c r="BE2885" s="25"/>
      <c r="BF2885" s="25"/>
      <c r="BG2885" s="25"/>
      <c r="BH2885" s="25"/>
      <c r="BI2885" s="25"/>
      <c r="BJ2885" s="25"/>
      <c r="BK2885" s="25"/>
      <c r="BL2885" s="25"/>
      <c r="BM2885" s="25"/>
      <c r="BN2885" s="25"/>
      <c r="BO2885" s="25"/>
      <c r="BP2885" s="25"/>
      <c r="BQ2885" s="25"/>
      <c r="BR2885" s="25"/>
      <c r="BS2885" s="25"/>
      <c r="BT2885" s="25"/>
      <c r="BU2885"/>
      <c r="BV2885"/>
      <c r="BW2885"/>
      <c r="BX2885"/>
      <c r="BY2885"/>
      <c r="BZ2885"/>
      <c r="CA2885"/>
      <c r="CB2885"/>
      <c r="CC2885"/>
      <c r="CD2885" s="25"/>
    </row>
    <row r="2886" spans="1:82" s="17" customFormat="1" x14ac:dyDescent="0.2">
      <c r="A2886" s="25"/>
      <c r="B2886" s="20">
        <v>39003013600</v>
      </c>
      <c r="C2886" s="20">
        <v>136</v>
      </c>
      <c r="D2886" s="20" t="s">
        <v>7</v>
      </c>
      <c r="E2886" s="20" t="s">
        <v>2835</v>
      </c>
      <c r="F2886" s="20" t="s">
        <v>8</v>
      </c>
      <c r="G2886" s="861">
        <v>27.9501655200112</v>
      </c>
      <c r="H2886" s="861">
        <v>38.643190523972898</v>
      </c>
      <c r="I2886" s="861">
        <v>52.892666715798804</v>
      </c>
      <c r="J2886" s="861">
        <v>51.750764756454302</v>
      </c>
      <c r="K2886" s="982">
        <v>0</v>
      </c>
      <c r="L2886" s="735">
        <v>1251</v>
      </c>
      <c r="M2886" s="735">
        <v>865</v>
      </c>
      <c r="N2886" s="845">
        <f t="shared" si="203"/>
        <v>-0.30855315747402079</v>
      </c>
      <c r="O2886" s="735">
        <v>0.58653975828483629</v>
      </c>
      <c r="P2886" s="735">
        <f t="shared" si="204"/>
        <v>1474.7508379132544</v>
      </c>
      <c r="Q2886" s="849">
        <v>42.1</v>
      </c>
      <c r="R2886" s="71">
        <v>43056</v>
      </c>
      <c r="S2886" s="845">
        <v>0.17973462002412546</v>
      </c>
      <c r="T2886" s="845">
        <v>0.191</v>
      </c>
      <c r="U2886" s="845">
        <v>0</v>
      </c>
      <c r="V2886" s="845">
        <v>9.3000000000000013E-2</v>
      </c>
      <c r="W2886" s="845">
        <v>0.44413407821229051</v>
      </c>
      <c r="X2886" s="845">
        <v>0.4088050314465409</v>
      </c>
      <c r="Y2886" s="845">
        <v>0.52485549132947973</v>
      </c>
      <c r="Z2886" s="845">
        <v>0.32138728323699423</v>
      </c>
      <c r="AA2886" s="845">
        <v>0</v>
      </c>
      <c r="AB2886" s="845">
        <v>0</v>
      </c>
      <c r="AC2886" s="845">
        <v>0</v>
      </c>
      <c r="AD2886" s="845">
        <v>1.3872832369942197E-2</v>
      </c>
      <c r="AE2886" s="845">
        <v>0.13988439306358383</v>
      </c>
      <c r="AF2886" s="845">
        <v>2.6589595375722544E-2</v>
      </c>
      <c r="AG2886" s="845">
        <v>0.51213872832369944</v>
      </c>
      <c r="AH2886" s="20" t="str">
        <f t="shared" si="205"/>
        <v>No</v>
      </c>
      <c r="AI2886" s="25"/>
      <c r="AJ2886" s="25"/>
      <c r="AK2886" s="25"/>
      <c r="AL2886" s="25"/>
      <c r="AM2886" s="25"/>
      <c r="AN2886" s="25"/>
      <c r="AO2886" s="25"/>
      <c r="AP2886" s="25"/>
      <c r="AQ2886" s="25"/>
      <c r="AR2886" s="25"/>
      <c r="AS2886" s="25"/>
      <c r="AT2886" s="25"/>
      <c r="AU2886" s="36"/>
      <c r="AV2886" s="36"/>
      <c r="AW2886" s="36"/>
      <c r="AX2886" s="25"/>
      <c r="AY2886" s="25"/>
      <c r="AZ2886" s="25"/>
      <c r="BA2886" s="25"/>
      <c r="BB2886" s="25"/>
      <c r="BC2886" s="25"/>
      <c r="BD2886" s="25"/>
      <c r="BE2886" s="25"/>
      <c r="BF2886" s="25"/>
      <c r="BG2886" s="25"/>
      <c r="BH2886" s="25"/>
      <c r="BI2886" s="25"/>
      <c r="BJ2886" s="25"/>
      <c r="BK2886" s="25"/>
      <c r="BL2886" s="25"/>
      <c r="BM2886" s="25"/>
      <c r="BN2886" s="25"/>
      <c r="BO2886" s="25"/>
      <c r="BP2886" s="25"/>
      <c r="BQ2886" s="25"/>
      <c r="BR2886" s="25"/>
      <c r="BS2886" s="25"/>
      <c r="BT2886" s="25"/>
      <c r="BU2886"/>
      <c r="BV2886"/>
      <c r="BW2886"/>
      <c r="BX2886"/>
      <c r="BY2886"/>
      <c r="BZ2886"/>
      <c r="CA2886"/>
      <c r="CB2886"/>
      <c r="CC2886"/>
      <c r="CD2886" s="25"/>
    </row>
    <row r="2887" spans="1:82" s="17" customFormat="1" x14ac:dyDescent="0.2">
      <c r="A2887" s="25"/>
      <c r="B2887" s="20">
        <v>39113080700</v>
      </c>
      <c r="C2887" s="20">
        <v>807</v>
      </c>
      <c r="D2887" s="20" t="s">
        <v>62</v>
      </c>
      <c r="E2887" s="20" t="s">
        <v>2833</v>
      </c>
      <c r="F2887" s="20" t="s">
        <v>6</v>
      </c>
      <c r="G2887" s="861">
        <v>27.886801115256802</v>
      </c>
      <c r="H2887" s="861">
        <v>18.263839692408901</v>
      </c>
      <c r="I2887" s="861">
        <v>33.673668202100203</v>
      </c>
      <c r="J2887" s="861">
        <v>37.949830154839503</v>
      </c>
      <c r="K2887" s="982">
        <v>0</v>
      </c>
      <c r="L2887" s="735">
        <v>2116</v>
      </c>
      <c r="M2887" s="735">
        <v>2205</v>
      </c>
      <c r="N2887" s="845">
        <f t="shared" si="203"/>
        <v>4.2060491493383742E-2</v>
      </c>
      <c r="O2887" s="735">
        <v>3.8201302785131319</v>
      </c>
      <c r="P2887" s="735">
        <f t="shared" si="204"/>
        <v>577.20544568920525</v>
      </c>
      <c r="Q2887" s="849">
        <v>53.7</v>
      </c>
      <c r="R2887" s="71">
        <v>33273</v>
      </c>
      <c r="S2887" s="845">
        <v>0.2308390022675737</v>
      </c>
      <c r="T2887" s="845">
        <v>7.0999999999999994E-2</v>
      </c>
      <c r="U2887" s="845">
        <v>9.0000000000000011E-3</v>
      </c>
      <c r="V2887" s="845">
        <v>0</v>
      </c>
      <c r="W2887" s="845">
        <v>0.31496062992125984</v>
      </c>
      <c r="X2887" s="845">
        <v>0.13750000000000001</v>
      </c>
      <c r="Y2887" s="845">
        <v>0.85351473922902499</v>
      </c>
      <c r="Z2887" s="845">
        <v>2.6757369614512472E-2</v>
      </c>
      <c r="AA2887" s="845">
        <v>0</v>
      </c>
      <c r="AB2887" s="845">
        <v>0</v>
      </c>
      <c r="AC2887" s="845">
        <v>0</v>
      </c>
      <c r="AD2887" s="845">
        <v>9.5238095238095233E-2</v>
      </c>
      <c r="AE2887" s="845">
        <v>2.4489795918367346E-2</v>
      </c>
      <c r="AF2887" s="845">
        <v>9.5238095238095233E-2</v>
      </c>
      <c r="AG2887" s="845">
        <v>0.85351473922902499</v>
      </c>
      <c r="AH2887" s="20" t="str">
        <f t="shared" si="205"/>
        <v>No</v>
      </c>
      <c r="AI2887" s="25"/>
      <c r="AJ2887" s="25"/>
      <c r="AK2887" s="25"/>
      <c r="AL2887" s="25"/>
      <c r="AM2887" s="25"/>
      <c r="AN2887" s="25"/>
      <c r="AO2887" s="25"/>
      <c r="AP2887" s="25"/>
      <c r="AQ2887" s="25"/>
      <c r="AR2887" s="25"/>
      <c r="AS2887" s="25"/>
      <c r="AT2887" s="25"/>
      <c r="AU2887" s="36"/>
      <c r="AV2887" s="36"/>
      <c r="AW2887" s="36"/>
      <c r="AX2887" s="25"/>
      <c r="AY2887" s="25"/>
      <c r="AZ2887" s="25"/>
      <c r="BA2887" s="25"/>
      <c r="BB2887" s="25"/>
      <c r="BC2887" s="25"/>
      <c r="BD2887" s="25"/>
      <c r="BE2887" s="25"/>
      <c r="BF2887" s="25"/>
      <c r="BG2887" s="25"/>
      <c r="BH2887" s="25"/>
      <c r="BI2887" s="25"/>
      <c r="BJ2887" s="25"/>
      <c r="BK2887" s="25"/>
      <c r="BL2887" s="25"/>
      <c r="BM2887" s="25"/>
      <c r="BN2887" s="25"/>
      <c r="BO2887" s="25"/>
      <c r="BP2887" s="25"/>
      <c r="BQ2887" s="25"/>
      <c r="BR2887" s="25"/>
      <c r="BS2887" s="25"/>
      <c r="BT2887" s="25"/>
      <c r="BU2887"/>
      <c r="BV2887"/>
      <c r="BW2887"/>
      <c r="BX2887"/>
      <c r="BY2887"/>
      <c r="BZ2887"/>
      <c r="CA2887"/>
      <c r="CB2887"/>
      <c r="CC2887"/>
      <c r="CD2887" s="25"/>
    </row>
    <row r="2888" spans="1:82" s="17" customFormat="1" x14ac:dyDescent="0.2">
      <c r="A2888" s="25"/>
      <c r="B2888" s="20">
        <v>39035119402</v>
      </c>
      <c r="C2888" s="20">
        <v>1194.02</v>
      </c>
      <c r="D2888" s="20" t="s">
        <v>24</v>
      </c>
      <c r="E2888" s="20" t="s">
        <v>2829</v>
      </c>
      <c r="F2888" s="20" t="s">
        <v>6</v>
      </c>
      <c r="G2888" s="861">
        <v>27.864056930071801</v>
      </c>
      <c r="H2888" s="861">
        <v>32.5908277398946</v>
      </c>
      <c r="I2888" s="861">
        <v>80.574690444659296</v>
      </c>
      <c r="J2888" s="861">
        <v>8.6266502798827993</v>
      </c>
      <c r="K2888" s="982">
        <v>0</v>
      </c>
      <c r="L2888" s="735">
        <v>1774</v>
      </c>
      <c r="M2888" s="735">
        <v>1441</v>
      </c>
      <c r="N2888" s="845">
        <f t="shared" si="203"/>
        <v>-0.18771138669673054</v>
      </c>
      <c r="O2888" s="735">
        <v>0.16305171377794472</v>
      </c>
      <c r="P2888" s="735">
        <f t="shared" si="204"/>
        <v>8837.6869314140113</v>
      </c>
      <c r="Q2888" s="849">
        <v>37.9</v>
      </c>
      <c r="R2888" s="71">
        <v>26313</v>
      </c>
      <c r="S2888" s="845">
        <v>0.40943789035392086</v>
      </c>
      <c r="T2888" s="845">
        <v>3.2000000000000001E-2</v>
      </c>
      <c r="U2888" s="845">
        <v>0.121</v>
      </c>
      <c r="V2888" s="845">
        <v>0</v>
      </c>
      <c r="W2888" s="845">
        <v>0.59021406727828751</v>
      </c>
      <c r="X2888" s="845">
        <v>0.45595854922279794</v>
      </c>
      <c r="Y2888" s="845">
        <v>3.4698126301179737E-2</v>
      </c>
      <c r="Z2888" s="845">
        <v>0.96460791117279665</v>
      </c>
      <c r="AA2888" s="845">
        <v>0</v>
      </c>
      <c r="AB2888" s="845">
        <v>6.939625260235947E-4</v>
      </c>
      <c r="AC2888" s="845">
        <v>0</v>
      </c>
      <c r="AD2888" s="845">
        <v>0</v>
      </c>
      <c r="AE2888" s="845">
        <v>0</v>
      </c>
      <c r="AF2888" s="845">
        <v>0</v>
      </c>
      <c r="AG2888" s="845">
        <v>3.4698126301179737E-2</v>
      </c>
      <c r="AH2888" s="20" t="str">
        <f t="shared" si="205"/>
        <v>No</v>
      </c>
      <c r="AI2888" s="25"/>
      <c r="AJ2888" s="25"/>
      <c r="AK2888" s="25"/>
      <c r="AL2888" s="25"/>
      <c r="AM2888" s="25"/>
      <c r="AN2888" s="25"/>
      <c r="AO2888" s="25"/>
      <c r="AP2888" s="25"/>
      <c r="AQ2888" s="25"/>
      <c r="AR2888" s="25"/>
      <c r="AS2888" s="25"/>
      <c r="AT2888" s="25"/>
      <c r="AU2888" s="36"/>
      <c r="AV2888" s="36"/>
      <c r="AW2888" s="36"/>
      <c r="AX2888" s="25"/>
      <c r="AY2888" s="25"/>
      <c r="AZ2888" s="25"/>
      <c r="BA2888" s="25"/>
      <c r="BB2888" s="25"/>
      <c r="BC2888" s="25"/>
      <c r="BD2888" s="25"/>
      <c r="BE2888" s="25"/>
      <c r="BF2888" s="25"/>
      <c r="BG2888" s="25"/>
      <c r="BH2888" s="25"/>
      <c r="BI2888" s="25"/>
      <c r="BJ2888" s="25"/>
      <c r="BK2888" s="25"/>
      <c r="BL2888" s="25"/>
      <c r="BM2888" s="25"/>
      <c r="BN2888" s="25"/>
      <c r="BO2888" s="25"/>
      <c r="BP2888" s="25"/>
      <c r="BQ2888" s="25"/>
      <c r="BR2888" s="25"/>
      <c r="BS2888" s="25"/>
      <c r="BT2888" s="25"/>
      <c r="BU2888"/>
      <c r="BV2888"/>
      <c r="BW2888"/>
      <c r="BX2888"/>
      <c r="BY2888"/>
      <c r="BZ2888"/>
      <c r="CA2888"/>
      <c r="CB2888"/>
      <c r="CC2888"/>
      <c r="CD2888" s="25"/>
    </row>
    <row r="2889" spans="1:82" s="17" customFormat="1" x14ac:dyDescent="0.2">
      <c r="A2889" s="25"/>
      <c r="B2889" s="20">
        <v>39095004401</v>
      </c>
      <c r="C2889" s="20">
        <v>44.01</v>
      </c>
      <c r="D2889" s="20" t="s">
        <v>53</v>
      </c>
      <c r="E2889" s="20" t="s">
        <v>2839</v>
      </c>
      <c r="F2889" s="20" t="s">
        <v>8</v>
      </c>
      <c r="G2889" s="861">
        <v>27.858815206848998</v>
      </c>
      <c r="H2889" s="861">
        <v>41.5106678904286</v>
      </c>
      <c r="I2889" s="861">
        <v>53.220179956317601</v>
      </c>
      <c r="J2889" s="861">
        <v>34.2240460874687</v>
      </c>
      <c r="K2889" s="982">
        <v>0</v>
      </c>
      <c r="L2889" s="735" t="s">
        <v>2466</v>
      </c>
      <c r="M2889" s="735">
        <v>796</v>
      </c>
      <c r="N2889" s="845" t="str">
        <f t="shared" si="203"/>
        <v/>
      </c>
      <c r="O2889" s="735">
        <v>0.31683929236262015</v>
      </c>
      <c r="P2889" s="735">
        <f t="shared" si="204"/>
        <v>2512.3146629458574</v>
      </c>
      <c r="Q2889" s="849">
        <v>56.8</v>
      </c>
      <c r="R2889" s="71">
        <v>49055</v>
      </c>
      <c r="S2889" s="845">
        <v>0.14447236180904521</v>
      </c>
      <c r="T2889" s="845">
        <v>5.5E-2</v>
      </c>
      <c r="U2889" s="845">
        <v>0</v>
      </c>
      <c r="V2889" s="845">
        <v>0</v>
      </c>
      <c r="W2889" s="845">
        <v>0.25968109339407747</v>
      </c>
      <c r="X2889" s="845">
        <v>0.74561403508771928</v>
      </c>
      <c r="Y2889" s="845">
        <v>0.5653266331658291</v>
      </c>
      <c r="Z2889" s="845">
        <v>0.28894472361809043</v>
      </c>
      <c r="AA2889" s="845">
        <v>0</v>
      </c>
      <c r="AB2889" s="845">
        <v>5.0251256281407036E-3</v>
      </c>
      <c r="AC2889" s="845">
        <v>0</v>
      </c>
      <c r="AD2889" s="845">
        <v>9.9246231155778894E-2</v>
      </c>
      <c r="AE2889" s="845">
        <v>4.1457286432160803E-2</v>
      </c>
      <c r="AF2889" s="845">
        <v>8.6683417085427136E-2</v>
      </c>
      <c r="AG2889" s="845">
        <v>0.54020100502512558</v>
      </c>
      <c r="AH2889" s="20" t="str">
        <f t="shared" si="205"/>
        <v>No</v>
      </c>
      <c r="AI2889" s="25"/>
      <c r="AJ2889" s="25"/>
      <c r="AK2889" s="25"/>
      <c r="AL2889" s="25"/>
      <c r="AM2889" s="25"/>
      <c r="AN2889" s="25"/>
      <c r="AO2889" s="25"/>
      <c r="AP2889" s="25"/>
      <c r="AQ2889" s="25"/>
      <c r="AR2889" s="25"/>
      <c r="AS2889" s="25"/>
      <c r="AT2889" s="25"/>
      <c r="AU2889" s="36"/>
      <c r="AV2889" s="36"/>
      <c r="AW2889" s="36"/>
      <c r="AX2889" s="25"/>
      <c r="AY2889" s="25"/>
      <c r="AZ2889" s="25"/>
      <c r="BA2889" s="25"/>
      <c r="BB2889" s="25"/>
      <c r="BC2889" s="25"/>
      <c r="BD2889" s="25"/>
      <c r="BE2889" s="25"/>
      <c r="BF2889" s="25"/>
      <c r="BG2889" s="25"/>
      <c r="BH2889" s="25"/>
      <c r="BI2889" s="25"/>
      <c r="BJ2889" s="25"/>
      <c r="BK2889" s="25"/>
      <c r="BL2889" s="25"/>
      <c r="BM2889" s="25"/>
      <c r="BN2889" s="25"/>
      <c r="BO2889" s="25"/>
      <c r="BP2889" s="25"/>
      <c r="BQ2889" s="25"/>
      <c r="BR2889" s="25"/>
      <c r="BS2889" s="25"/>
      <c r="BT2889" s="25"/>
      <c r="BU2889"/>
      <c r="BV2889"/>
      <c r="BW2889"/>
      <c r="BX2889"/>
      <c r="BY2889"/>
      <c r="BZ2889"/>
      <c r="CA2889"/>
      <c r="CB2889"/>
      <c r="CC2889"/>
      <c r="CD2889" s="25"/>
    </row>
    <row r="2890" spans="1:82" s="17" customFormat="1" x14ac:dyDescent="0.2">
      <c r="A2890" s="25"/>
      <c r="B2890" s="20">
        <v>39095002700</v>
      </c>
      <c r="C2890" s="20">
        <v>27</v>
      </c>
      <c r="D2890" s="20" t="s">
        <v>53</v>
      </c>
      <c r="E2890" s="20" t="s">
        <v>2839</v>
      </c>
      <c r="F2890" s="20" t="s">
        <v>6</v>
      </c>
      <c r="G2890" s="861">
        <v>27.831605791118498</v>
      </c>
      <c r="H2890" s="861">
        <v>27.147258144786299</v>
      </c>
      <c r="I2890" s="861">
        <v>30.834581748672601</v>
      </c>
      <c r="J2890" s="861">
        <v>30.8951927252864</v>
      </c>
      <c r="K2890" s="982">
        <v>0</v>
      </c>
      <c r="L2890" s="735">
        <v>933</v>
      </c>
      <c r="M2890" s="735">
        <v>1141</v>
      </c>
      <c r="N2890" s="845">
        <f t="shared" si="203"/>
        <v>0.22293676312968919</v>
      </c>
      <c r="O2890" s="735">
        <v>0.24027098718997594</v>
      </c>
      <c r="P2890" s="735">
        <f t="shared" si="204"/>
        <v>4748.8047281290828</v>
      </c>
      <c r="Q2890" s="849">
        <v>47.1</v>
      </c>
      <c r="R2890" s="71">
        <v>32443</v>
      </c>
      <c r="S2890" s="845">
        <v>0.43939393939393939</v>
      </c>
      <c r="T2890" s="845">
        <v>0.11</v>
      </c>
      <c r="U2890" s="845" t="s">
        <v>2466</v>
      </c>
      <c r="V2890" s="845">
        <v>4.2999999999999997E-2</v>
      </c>
      <c r="W2890" s="845">
        <v>1</v>
      </c>
      <c r="X2890" s="845">
        <v>0.30324400564174891</v>
      </c>
      <c r="Y2890" s="845">
        <v>0.42243645924627521</v>
      </c>
      <c r="Z2890" s="845">
        <v>0.48466257668711654</v>
      </c>
      <c r="AA2890" s="845">
        <v>1.7528483786152498E-2</v>
      </c>
      <c r="AB2890" s="845">
        <v>0</v>
      </c>
      <c r="AC2890" s="845">
        <v>0</v>
      </c>
      <c r="AD2890" s="845">
        <v>5.959684487291849E-2</v>
      </c>
      <c r="AE2890" s="845">
        <v>1.5775635407537247E-2</v>
      </c>
      <c r="AF2890" s="845">
        <v>9.0271691498685358E-2</v>
      </c>
      <c r="AG2890" s="845">
        <v>0.40929009640666081</v>
      </c>
      <c r="AH2890" s="20" t="str">
        <f t="shared" si="205"/>
        <v>No</v>
      </c>
      <c r="AI2890" s="25"/>
      <c r="AJ2890" s="25"/>
      <c r="AK2890" s="25"/>
      <c r="AL2890" s="25"/>
      <c r="AM2890" s="25"/>
      <c r="AN2890" s="25"/>
      <c r="AO2890" s="25"/>
      <c r="AP2890" s="25"/>
      <c r="AQ2890" s="25"/>
      <c r="AR2890" s="25"/>
      <c r="AS2890" s="25"/>
      <c r="AT2890" s="25"/>
      <c r="AU2890" s="36"/>
      <c r="AV2890" s="36"/>
      <c r="AW2890" s="36"/>
      <c r="AX2890" s="25"/>
      <c r="AY2890" s="25"/>
      <c r="AZ2890" s="25"/>
      <c r="BA2890" s="25"/>
      <c r="BB2890" s="25"/>
      <c r="BC2890" s="25"/>
      <c r="BD2890" s="25"/>
      <c r="BE2890" s="25"/>
      <c r="BF2890" s="25"/>
      <c r="BG2890" s="25"/>
      <c r="BH2890" s="25"/>
      <c r="BI2890" s="25"/>
      <c r="BJ2890" s="25"/>
      <c r="BK2890" s="25"/>
      <c r="BL2890" s="25"/>
      <c r="BM2890" s="25"/>
      <c r="BN2890" s="25"/>
      <c r="BO2890" s="25"/>
      <c r="BP2890" s="25"/>
      <c r="BQ2890" s="25"/>
      <c r="BR2890" s="25"/>
      <c r="BS2890" s="25"/>
      <c r="BT2890" s="25"/>
      <c r="BU2890"/>
      <c r="BV2890"/>
      <c r="BW2890"/>
      <c r="BX2890"/>
      <c r="BY2890"/>
      <c r="BZ2890"/>
      <c r="CA2890"/>
      <c r="CB2890"/>
      <c r="CC2890"/>
      <c r="CD2890" s="25"/>
    </row>
    <row r="2891" spans="1:82" s="17" customFormat="1" x14ac:dyDescent="0.2">
      <c r="A2891" s="25"/>
      <c r="B2891" s="20">
        <v>39155933500</v>
      </c>
      <c r="C2891" s="20">
        <v>9335</v>
      </c>
      <c r="D2891" s="20" t="s">
        <v>83</v>
      </c>
      <c r="E2891" s="20" t="s">
        <v>2842</v>
      </c>
      <c r="F2891" s="20" t="s">
        <v>8</v>
      </c>
      <c r="G2891" s="861">
        <v>27.792989159588402</v>
      </c>
      <c r="H2891" s="861">
        <v>33.419620902876801</v>
      </c>
      <c r="I2891" s="861">
        <v>27.549024808281199</v>
      </c>
      <c r="J2891" s="861">
        <v>39.8335931313838</v>
      </c>
      <c r="K2891" s="982">
        <v>0</v>
      </c>
      <c r="L2891" s="735">
        <v>3797</v>
      </c>
      <c r="M2891" s="735">
        <v>3963</v>
      </c>
      <c r="N2891" s="845">
        <f t="shared" ref="N2891:N2954" si="206">IF(OR(L2891="",M2891=""),"",(M2891-L2891)/L2891)</f>
        <v>4.371872530945483E-2</v>
      </c>
      <c r="O2891" s="735">
        <v>20.902438428568693</v>
      </c>
      <c r="P2891" s="735">
        <f t="shared" ref="P2891:P2954" si="207">M2891/O2891</f>
        <v>189.59510458758322</v>
      </c>
      <c r="Q2891" s="849">
        <v>47.1</v>
      </c>
      <c r="R2891" s="71">
        <v>80087</v>
      </c>
      <c r="S2891" s="845">
        <v>0.10698965430229625</v>
      </c>
      <c r="T2891" s="845">
        <v>0.05</v>
      </c>
      <c r="U2891" s="845">
        <v>0</v>
      </c>
      <c r="V2891" s="845">
        <v>0</v>
      </c>
      <c r="W2891" s="845">
        <v>9.0965732087227413E-2</v>
      </c>
      <c r="X2891" s="845">
        <v>0.4589041095890411</v>
      </c>
      <c r="Y2891" s="845">
        <v>0.95685087055261164</v>
      </c>
      <c r="Z2891" s="845">
        <v>1.0850365884430987E-2</v>
      </c>
      <c r="AA2891" s="845">
        <v>0</v>
      </c>
      <c r="AB2891" s="845">
        <v>0</v>
      </c>
      <c r="AC2891" s="845">
        <v>0</v>
      </c>
      <c r="AD2891" s="845">
        <v>0</v>
      </c>
      <c r="AE2891" s="845">
        <v>3.2298763562957356E-2</v>
      </c>
      <c r="AF2891" s="845">
        <v>8.5793590714105476E-3</v>
      </c>
      <c r="AG2891" s="845">
        <v>0.94827151148120115</v>
      </c>
      <c r="AH2891" s="20" t="str">
        <f t="shared" ref="AH2891:AH2954" si="208">IF(AG2891&gt;=0.9,"Yes","No")</f>
        <v>Yes</v>
      </c>
      <c r="AI2891" s="25"/>
      <c r="AJ2891" s="25"/>
      <c r="AK2891" s="25"/>
      <c r="AL2891" s="25"/>
      <c r="AM2891" s="25"/>
      <c r="AN2891" s="25"/>
      <c r="AO2891" s="25"/>
      <c r="AP2891" s="25"/>
      <c r="AQ2891" s="25"/>
      <c r="AR2891" s="25"/>
      <c r="AS2891" s="25"/>
      <c r="AT2891" s="25"/>
      <c r="AU2891" s="36"/>
      <c r="AV2891" s="36"/>
      <c r="AW2891" s="36"/>
      <c r="AX2891" s="25"/>
      <c r="AY2891" s="25"/>
      <c r="AZ2891" s="25"/>
      <c r="BA2891" s="25"/>
      <c r="BB2891" s="25"/>
      <c r="BC2891" s="25"/>
      <c r="BD2891" s="25"/>
      <c r="BE2891" s="25"/>
      <c r="BF2891" s="25"/>
      <c r="BG2891" s="25"/>
      <c r="BH2891" s="25"/>
      <c r="BI2891" s="25"/>
      <c r="BJ2891" s="25"/>
      <c r="BK2891" s="25"/>
      <c r="BL2891" s="25"/>
      <c r="BM2891" s="25"/>
      <c r="BN2891" s="25"/>
      <c r="BO2891" s="25"/>
      <c r="BP2891" s="25"/>
      <c r="BQ2891" s="25"/>
      <c r="BR2891" s="25"/>
      <c r="BS2891" s="25"/>
      <c r="BT2891" s="25"/>
      <c r="BU2891"/>
      <c r="BV2891"/>
      <c r="BW2891"/>
      <c r="BX2891"/>
      <c r="BY2891"/>
      <c r="BZ2891"/>
      <c r="CA2891"/>
      <c r="CB2891"/>
      <c r="CC2891"/>
      <c r="CD2891" s="25"/>
    </row>
    <row r="2892" spans="1:82" s="17" customFormat="1" x14ac:dyDescent="0.2">
      <c r="A2892" s="25"/>
      <c r="B2892" s="20">
        <v>39141956700</v>
      </c>
      <c r="C2892" s="20">
        <v>9567</v>
      </c>
      <c r="D2892" s="20" t="s">
        <v>76</v>
      </c>
      <c r="E2892" s="20" t="s">
        <v>265</v>
      </c>
      <c r="F2892" s="20" t="s">
        <v>8</v>
      </c>
      <c r="G2892" s="861">
        <v>27.764257642092801</v>
      </c>
      <c r="H2892" s="861">
        <v>42.7892092313852</v>
      </c>
      <c r="I2892" s="861">
        <v>32.2621531184665</v>
      </c>
      <c r="J2892" s="861">
        <v>34.761083638429497</v>
      </c>
      <c r="K2892" s="982">
        <v>0</v>
      </c>
      <c r="L2892" s="735">
        <v>4398</v>
      </c>
      <c r="M2892" s="735">
        <v>5098</v>
      </c>
      <c r="N2892" s="845">
        <f t="shared" si="206"/>
        <v>0.15916325602546613</v>
      </c>
      <c r="O2892" s="735">
        <v>85.781575267540518</v>
      </c>
      <c r="P2892" s="735">
        <f t="shared" si="207"/>
        <v>59.430011445931882</v>
      </c>
      <c r="Q2892" s="849">
        <v>43.5</v>
      </c>
      <c r="R2892" s="71">
        <v>51154</v>
      </c>
      <c r="S2892" s="845">
        <v>0.145447378793851</v>
      </c>
      <c r="T2892" s="845">
        <v>3.2000000000000001E-2</v>
      </c>
      <c r="U2892" s="845">
        <v>0</v>
      </c>
      <c r="V2892" s="845">
        <v>0</v>
      </c>
      <c r="W2892" s="845">
        <v>0.15985699693564862</v>
      </c>
      <c r="X2892" s="845">
        <v>0.56869009584664532</v>
      </c>
      <c r="Y2892" s="845">
        <v>0.92134170262848181</v>
      </c>
      <c r="Z2892" s="845">
        <v>1.7653981953707335E-3</v>
      </c>
      <c r="AA2892" s="845">
        <v>0</v>
      </c>
      <c r="AB2892" s="845">
        <v>0</v>
      </c>
      <c r="AC2892" s="845">
        <v>0</v>
      </c>
      <c r="AD2892" s="845">
        <v>2.5696351510396235E-2</v>
      </c>
      <c r="AE2892" s="845">
        <v>5.1196547665751276E-2</v>
      </c>
      <c r="AF2892" s="845">
        <v>4.276186739897999E-2</v>
      </c>
      <c r="AG2892" s="845">
        <v>0.92134170262848181</v>
      </c>
      <c r="AH2892" s="20" t="str">
        <f t="shared" si="208"/>
        <v>Yes</v>
      </c>
      <c r="AI2892" s="25"/>
      <c r="AJ2892" s="25"/>
      <c r="AK2892" s="25"/>
      <c r="AL2892" s="25"/>
      <c r="AM2892" s="25"/>
      <c r="AN2892" s="25"/>
      <c r="AO2892" s="25"/>
      <c r="AP2892" s="25"/>
      <c r="AQ2892" s="25"/>
      <c r="AR2892" s="25"/>
      <c r="AS2892" s="25"/>
      <c r="AT2892" s="25"/>
      <c r="AU2892" s="36"/>
      <c r="AV2892" s="36"/>
      <c r="AW2892" s="36"/>
      <c r="AX2892" s="25"/>
      <c r="AY2892" s="25"/>
      <c r="AZ2892" s="25"/>
      <c r="BA2892" s="25"/>
      <c r="BB2892" s="25"/>
      <c r="BC2892" s="25"/>
      <c r="BD2892" s="25"/>
      <c r="BE2892" s="25"/>
      <c r="BF2892" s="25"/>
      <c r="BG2892" s="25"/>
      <c r="BH2892" s="25"/>
      <c r="BI2892" s="25"/>
      <c r="BJ2892" s="25"/>
      <c r="BK2892" s="25"/>
      <c r="BL2892" s="25"/>
      <c r="BM2892" s="25"/>
      <c r="BN2892" s="25"/>
      <c r="BO2892" s="25"/>
      <c r="BP2892" s="25"/>
      <c r="BQ2892" s="25"/>
      <c r="BR2892" s="25"/>
      <c r="BS2892" s="25"/>
      <c r="BT2892" s="25"/>
      <c r="BU2892"/>
      <c r="BV2892"/>
      <c r="BW2892"/>
      <c r="BX2892"/>
      <c r="BY2892"/>
      <c r="BZ2892"/>
      <c r="CA2892"/>
      <c r="CB2892"/>
      <c r="CC2892"/>
      <c r="CD2892" s="25"/>
    </row>
    <row r="2893" spans="1:82" s="17" customFormat="1" x14ac:dyDescent="0.2">
      <c r="A2893" s="25"/>
      <c r="B2893" s="20">
        <v>39113080300</v>
      </c>
      <c r="C2893" s="20">
        <v>803</v>
      </c>
      <c r="D2893" s="20" t="s">
        <v>62</v>
      </c>
      <c r="E2893" s="20" t="s">
        <v>2833</v>
      </c>
      <c r="F2893" s="20" t="s">
        <v>8</v>
      </c>
      <c r="G2893" s="861">
        <v>27.740386919983699</v>
      </c>
      <c r="H2893" s="861">
        <v>20.910405667373201</v>
      </c>
      <c r="I2893" s="861">
        <v>66.474506398425007</v>
      </c>
      <c r="J2893" s="861">
        <v>22.965516175327199</v>
      </c>
      <c r="K2893" s="982">
        <v>0</v>
      </c>
      <c r="L2893" s="735">
        <v>2221</v>
      </c>
      <c r="M2893" s="735">
        <v>2082</v>
      </c>
      <c r="N2893" s="845">
        <f t="shared" si="206"/>
        <v>-6.2584421431787482E-2</v>
      </c>
      <c r="O2893" s="735">
        <v>0.6778919151099887</v>
      </c>
      <c r="P2893" s="735">
        <f t="shared" si="207"/>
        <v>3071.2860761323482</v>
      </c>
      <c r="Q2893" s="849">
        <v>59.8</v>
      </c>
      <c r="R2893" s="71">
        <v>27963</v>
      </c>
      <c r="S2893" s="845">
        <v>0.22574447646493756</v>
      </c>
      <c r="T2893" s="845">
        <v>9.0999999999999998E-2</v>
      </c>
      <c r="U2893" s="845">
        <v>4.0999999999999995E-2</v>
      </c>
      <c r="V2893" s="845">
        <v>0</v>
      </c>
      <c r="W2893" s="845">
        <v>0.59364548494983282</v>
      </c>
      <c r="X2893" s="845">
        <v>0.70704225352112671</v>
      </c>
      <c r="Y2893" s="845">
        <v>0.23823246878001922</v>
      </c>
      <c r="Z2893" s="845">
        <v>0.6945244956772334</v>
      </c>
      <c r="AA2893" s="845">
        <v>0</v>
      </c>
      <c r="AB2893" s="845">
        <v>0</v>
      </c>
      <c r="AC2893" s="845">
        <v>0</v>
      </c>
      <c r="AD2893" s="845">
        <v>4.3227665706051877E-3</v>
      </c>
      <c r="AE2893" s="845">
        <v>6.2920268972142174E-2</v>
      </c>
      <c r="AF2893" s="845">
        <v>8.6455331412103754E-3</v>
      </c>
      <c r="AG2893" s="845">
        <v>0.23823246878001922</v>
      </c>
      <c r="AH2893" s="20" t="str">
        <f t="shared" si="208"/>
        <v>No</v>
      </c>
      <c r="AI2893" s="25"/>
      <c r="AJ2893" s="25"/>
      <c r="AK2893" s="25"/>
      <c r="AL2893" s="25"/>
      <c r="AM2893" s="25"/>
      <c r="AN2893" s="25"/>
      <c r="AO2893" s="25"/>
      <c r="AP2893" s="25"/>
      <c r="AQ2893" s="25"/>
      <c r="AR2893" s="25"/>
      <c r="AS2893" s="25"/>
      <c r="AT2893" s="25"/>
      <c r="AU2893" s="36"/>
      <c r="AV2893" s="36"/>
      <c r="AW2893" s="36"/>
      <c r="AX2893" s="25"/>
      <c r="AY2893" s="25"/>
      <c r="AZ2893" s="25"/>
      <c r="BA2893" s="25"/>
      <c r="BB2893" s="25"/>
      <c r="BC2893" s="25"/>
      <c r="BD2893" s="25"/>
      <c r="BE2893" s="25"/>
      <c r="BF2893" s="25"/>
      <c r="BG2893" s="25"/>
      <c r="BH2893" s="25"/>
      <c r="BI2893" s="25"/>
      <c r="BJ2893" s="25"/>
      <c r="BK2893" s="25"/>
      <c r="BL2893" s="25"/>
      <c r="BM2893" s="25"/>
      <c r="BN2893" s="25"/>
      <c r="BO2893" s="25"/>
      <c r="BP2893" s="25"/>
      <c r="BQ2893" s="25"/>
      <c r="BR2893" s="25"/>
      <c r="BS2893" s="25"/>
      <c r="BT2893" s="25"/>
      <c r="BU2893"/>
      <c r="BV2893"/>
      <c r="BW2893"/>
      <c r="BX2893"/>
      <c r="BY2893"/>
      <c r="BZ2893"/>
      <c r="CA2893"/>
      <c r="CB2893"/>
      <c r="CC2893"/>
      <c r="CD2893" s="25"/>
    </row>
    <row r="2894" spans="1:82" s="17" customFormat="1" x14ac:dyDescent="0.2">
      <c r="A2894" s="25"/>
      <c r="B2894" s="20">
        <v>39095003500</v>
      </c>
      <c r="C2894" s="20">
        <v>35</v>
      </c>
      <c r="D2894" s="20" t="s">
        <v>53</v>
      </c>
      <c r="E2894" s="20" t="s">
        <v>2839</v>
      </c>
      <c r="F2894" s="20" t="s">
        <v>8</v>
      </c>
      <c r="G2894" s="861">
        <v>27.700331054867899</v>
      </c>
      <c r="H2894" s="861">
        <v>37.767669628067402</v>
      </c>
      <c r="I2894" s="861">
        <v>58.116589148056299</v>
      </c>
      <c r="J2894" s="861">
        <v>40.774440406326498</v>
      </c>
      <c r="K2894" s="982">
        <v>0</v>
      </c>
      <c r="L2894" s="735">
        <v>1557</v>
      </c>
      <c r="M2894" s="735">
        <v>1177</v>
      </c>
      <c r="N2894" s="845">
        <f t="shared" si="206"/>
        <v>-0.24405908798972384</v>
      </c>
      <c r="O2894" s="735">
        <v>0.5868169796347058</v>
      </c>
      <c r="P2894" s="735">
        <f t="shared" si="207"/>
        <v>2005.7360997506987</v>
      </c>
      <c r="Q2894" s="849">
        <v>27.5</v>
      </c>
      <c r="R2894" s="71">
        <v>42744</v>
      </c>
      <c r="S2894" s="845">
        <v>0.10926573426573427</v>
      </c>
      <c r="T2894" s="845">
        <v>0.36299999999999999</v>
      </c>
      <c r="U2894" s="845">
        <v>5.7000000000000002E-2</v>
      </c>
      <c r="V2894" s="845">
        <v>7.400000000000001E-2</v>
      </c>
      <c r="W2894" s="845">
        <v>0.2391304347826087</v>
      </c>
      <c r="X2894" s="845">
        <v>0.21590909090909091</v>
      </c>
      <c r="Y2894" s="845">
        <v>3.8232795242141036E-2</v>
      </c>
      <c r="Z2894" s="845">
        <v>0.92183517417162275</v>
      </c>
      <c r="AA2894" s="845">
        <v>0</v>
      </c>
      <c r="AB2894" s="845">
        <v>0</v>
      </c>
      <c r="AC2894" s="845">
        <v>0</v>
      </c>
      <c r="AD2894" s="845">
        <v>1.1045029736618521E-2</v>
      </c>
      <c r="AE2894" s="845">
        <v>2.8887000849617671E-2</v>
      </c>
      <c r="AF2894" s="845">
        <v>1.1045029736618521E-2</v>
      </c>
      <c r="AG2894" s="845">
        <v>3.8232795242141036E-2</v>
      </c>
      <c r="AH2894" s="20" t="str">
        <f t="shared" si="208"/>
        <v>No</v>
      </c>
      <c r="AI2894" s="25"/>
      <c r="AJ2894" s="25"/>
      <c r="AK2894" s="25"/>
      <c r="AL2894" s="25"/>
      <c r="AM2894" s="25"/>
      <c r="AN2894" s="25"/>
      <c r="AO2894" s="25"/>
      <c r="AP2894" s="25"/>
      <c r="AQ2894" s="25"/>
      <c r="AR2894" s="25"/>
      <c r="AS2894" s="25"/>
      <c r="AT2894" s="25"/>
      <c r="AU2894" s="36"/>
      <c r="AV2894" s="36"/>
      <c r="AW2894" s="36"/>
      <c r="AX2894" s="25"/>
      <c r="AY2894" s="25"/>
      <c r="AZ2894" s="25"/>
      <c r="BA2894" s="25"/>
      <c r="BB2894" s="25"/>
      <c r="BC2894" s="25"/>
      <c r="BD2894" s="25"/>
      <c r="BE2894" s="25"/>
      <c r="BF2894" s="25"/>
      <c r="BG2894" s="25"/>
      <c r="BH2894" s="25"/>
      <c r="BI2894" s="25"/>
      <c r="BJ2894" s="25"/>
      <c r="BK2894" s="25"/>
      <c r="BL2894" s="25"/>
      <c r="BM2894" s="25"/>
      <c r="BN2894" s="25"/>
      <c r="BO2894" s="25"/>
      <c r="BP2894" s="25"/>
      <c r="BQ2894" s="25"/>
      <c r="BR2894" s="25"/>
      <c r="BS2894" s="25"/>
      <c r="BT2894" s="25"/>
      <c r="BU2894"/>
      <c r="BV2894"/>
      <c r="BW2894"/>
      <c r="BX2894"/>
      <c r="BY2894"/>
      <c r="BZ2894"/>
      <c r="CA2894"/>
      <c r="CB2894"/>
      <c r="CC2894"/>
      <c r="CD2894" s="25"/>
    </row>
    <row r="2895" spans="1:82" s="17" customFormat="1" x14ac:dyDescent="0.2">
      <c r="A2895" s="25"/>
      <c r="B2895" s="20">
        <v>39035117800</v>
      </c>
      <c r="C2895" s="20">
        <v>1178</v>
      </c>
      <c r="D2895" s="20" t="s">
        <v>24</v>
      </c>
      <c r="E2895" s="20" t="s">
        <v>2829</v>
      </c>
      <c r="F2895" s="20" t="s">
        <v>6</v>
      </c>
      <c r="G2895" s="861">
        <v>27.5396054269169</v>
      </c>
      <c r="H2895" s="861">
        <v>35.296824739735797</v>
      </c>
      <c r="I2895" s="861">
        <v>80.515091629663502</v>
      </c>
      <c r="J2895" s="861">
        <v>33.8348997440579</v>
      </c>
      <c r="K2895" s="982">
        <v>0</v>
      </c>
      <c r="L2895" s="735">
        <v>2214</v>
      </c>
      <c r="M2895" s="735">
        <v>1861</v>
      </c>
      <c r="N2895" s="845">
        <f t="shared" si="206"/>
        <v>-0.15943992773261065</v>
      </c>
      <c r="O2895" s="735">
        <v>0.87974689582648324</v>
      </c>
      <c r="P2895" s="735">
        <f t="shared" si="207"/>
        <v>2115.3811497699835</v>
      </c>
      <c r="Q2895" s="849">
        <v>38.700000000000003</v>
      </c>
      <c r="R2895" s="71">
        <v>34946</v>
      </c>
      <c r="S2895" s="845">
        <v>0.2154011847065159</v>
      </c>
      <c r="T2895" s="845">
        <v>0.159</v>
      </c>
      <c r="U2895" s="845">
        <v>0</v>
      </c>
      <c r="V2895" s="845">
        <v>0.01</v>
      </c>
      <c r="W2895" s="845">
        <v>0.56407447973713032</v>
      </c>
      <c r="X2895" s="845">
        <v>0.6</v>
      </c>
      <c r="Y2895" s="845">
        <v>0.19344438473938744</v>
      </c>
      <c r="Z2895" s="845">
        <v>0.72380440623320796</v>
      </c>
      <c r="AA2895" s="845">
        <v>0</v>
      </c>
      <c r="AB2895" s="845">
        <v>0</v>
      </c>
      <c r="AC2895" s="845">
        <v>0</v>
      </c>
      <c r="AD2895" s="845">
        <v>0</v>
      </c>
      <c r="AE2895" s="845">
        <v>8.2751209027404626E-2</v>
      </c>
      <c r="AF2895" s="845">
        <v>5.3734551316496511E-4</v>
      </c>
      <c r="AG2895" s="845">
        <v>0.19344438473938744</v>
      </c>
      <c r="AH2895" s="20" t="str">
        <f t="shared" si="208"/>
        <v>No</v>
      </c>
      <c r="AI2895" s="25"/>
      <c r="AJ2895" s="25"/>
      <c r="AK2895" s="25"/>
      <c r="AL2895" s="25"/>
      <c r="AM2895" s="25"/>
      <c r="AN2895" s="25"/>
      <c r="AO2895" s="25"/>
      <c r="AP2895" s="25"/>
      <c r="AQ2895" s="25"/>
      <c r="AR2895" s="25"/>
      <c r="AS2895" s="25"/>
      <c r="AT2895" s="25"/>
      <c r="AU2895" s="36"/>
      <c r="AV2895" s="36"/>
      <c r="AW2895" s="36"/>
      <c r="AX2895" s="25"/>
      <c r="AY2895" s="25"/>
      <c r="AZ2895" s="25"/>
      <c r="BA2895" s="25"/>
      <c r="BB2895" s="25"/>
      <c r="BC2895" s="25"/>
      <c r="BD2895" s="25"/>
      <c r="BE2895" s="25"/>
      <c r="BF2895" s="25"/>
      <c r="BG2895" s="25"/>
      <c r="BH2895" s="25"/>
      <c r="BI2895" s="25"/>
      <c r="BJ2895" s="25"/>
      <c r="BK2895" s="25"/>
      <c r="BL2895" s="25"/>
      <c r="BM2895" s="25"/>
      <c r="BN2895" s="25"/>
      <c r="BO2895" s="25"/>
      <c r="BP2895" s="25"/>
      <c r="BQ2895" s="25"/>
      <c r="BR2895" s="25"/>
      <c r="BS2895" s="25"/>
      <c r="BT2895" s="25"/>
      <c r="BU2895"/>
      <c r="BV2895"/>
      <c r="BW2895"/>
      <c r="BX2895"/>
      <c r="BY2895"/>
      <c r="BZ2895"/>
      <c r="CA2895"/>
      <c r="CB2895"/>
      <c r="CC2895"/>
      <c r="CD2895" s="25"/>
    </row>
    <row r="2896" spans="1:82" s="17" customFormat="1" x14ac:dyDescent="0.2">
      <c r="A2896" s="25"/>
      <c r="B2896" s="20">
        <v>39119911900</v>
      </c>
      <c r="C2896" s="20">
        <v>9119</v>
      </c>
      <c r="D2896" s="20" t="s">
        <v>65</v>
      </c>
      <c r="E2896" s="20" t="s">
        <v>265</v>
      </c>
      <c r="F2896" s="20" t="s">
        <v>6</v>
      </c>
      <c r="G2896" s="861">
        <v>27.488291251815099</v>
      </c>
      <c r="H2896" s="861">
        <v>29.306317058996498</v>
      </c>
      <c r="I2896" s="861">
        <v>72.731050854660495</v>
      </c>
      <c r="J2896" s="861">
        <v>15.859465141564</v>
      </c>
      <c r="K2896" s="982">
        <v>1</v>
      </c>
      <c r="L2896" s="735">
        <v>3566</v>
      </c>
      <c r="M2896" s="735">
        <v>2795</v>
      </c>
      <c r="N2896" s="845">
        <f t="shared" si="206"/>
        <v>-0.21620863712843522</v>
      </c>
      <c r="O2896" s="735">
        <v>5.4457786680727276</v>
      </c>
      <c r="P2896" s="735">
        <f t="shared" si="207"/>
        <v>513.2415711983308</v>
      </c>
      <c r="Q2896" s="849">
        <v>36.299999999999997</v>
      </c>
      <c r="R2896" s="71">
        <v>31630</v>
      </c>
      <c r="S2896" s="845">
        <v>0.43292682926829268</v>
      </c>
      <c r="T2896" s="845">
        <v>3.9E-2</v>
      </c>
      <c r="U2896" s="845">
        <v>0</v>
      </c>
      <c r="V2896" s="845">
        <v>4.8000000000000001E-2</v>
      </c>
      <c r="W2896" s="845">
        <v>0.46595330739299612</v>
      </c>
      <c r="X2896" s="845">
        <v>0.74947807933194155</v>
      </c>
      <c r="Y2896" s="845">
        <v>0.88193202146690519</v>
      </c>
      <c r="Z2896" s="845">
        <v>8.4436493738819327E-2</v>
      </c>
      <c r="AA2896" s="845">
        <v>0</v>
      </c>
      <c r="AB2896" s="845">
        <v>0</v>
      </c>
      <c r="AC2896" s="845">
        <v>0</v>
      </c>
      <c r="AD2896" s="845">
        <v>0</v>
      </c>
      <c r="AE2896" s="845">
        <v>3.3631484794275489E-2</v>
      </c>
      <c r="AF2896" s="845">
        <v>7.5134168157423974E-3</v>
      </c>
      <c r="AG2896" s="845">
        <v>0.8762075134168158</v>
      </c>
      <c r="AH2896" s="20" t="str">
        <f t="shared" si="208"/>
        <v>No</v>
      </c>
      <c r="AI2896" s="25"/>
      <c r="AJ2896" s="25"/>
      <c r="AK2896" s="25"/>
      <c r="AL2896" s="25"/>
      <c r="AM2896" s="25"/>
      <c r="AN2896" s="25"/>
      <c r="AO2896" s="25"/>
      <c r="AP2896" s="25"/>
      <c r="AQ2896" s="25"/>
      <c r="AR2896" s="25"/>
      <c r="AS2896" s="25"/>
      <c r="AT2896" s="25"/>
      <c r="AU2896" s="36"/>
      <c r="AV2896" s="36"/>
      <c r="AW2896" s="36"/>
      <c r="AX2896" s="25"/>
      <c r="AY2896" s="25"/>
      <c r="AZ2896" s="25"/>
      <c r="BA2896" s="25"/>
      <c r="BB2896" s="25"/>
      <c r="BC2896" s="25"/>
      <c r="BD2896" s="25"/>
      <c r="BE2896" s="25"/>
      <c r="BF2896" s="25"/>
      <c r="BG2896" s="25"/>
      <c r="BH2896" s="25"/>
      <c r="BI2896" s="25"/>
      <c r="BJ2896" s="25"/>
      <c r="BK2896" s="25"/>
      <c r="BL2896" s="25"/>
      <c r="BM2896" s="25"/>
      <c r="BN2896" s="25"/>
      <c r="BO2896" s="25"/>
      <c r="BP2896" s="25"/>
      <c r="BQ2896" s="25"/>
      <c r="BR2896" s="25"/>
      <c r="BS2896" s="25"/>
      <c r="BT2896" s="25"/>
      <c r="BU2896"/>
      <c r="BV2896"/>
      <c r="BW2896"/>
      <c r="BX2896"/>
      <c r="BY2896"/>
      <c r="BZ2896"/>
      <c r="CA2896"/>
      <c r="CB2896"/>
      <c r="CC2896"/>
      <c r="CD2896" s="25"/>
    </row>
    <row r="2897" spans="1:82" s="17" customFormat="1" x14ac:dyDescent="0.2">
      <c r="A2897" s="25"/>
      <c r="B2897" s="20">
        <v>39155933800</v>
      </c>
      <c r="C2897" s="20">
        <v>9338</v>
      </c>
      <c r="D2897" s="20" t="s">
        <v>83</v>
      </c>
      <c r="E2897" s="20" t="s">
        <v>2842</v>
      </c>
      <c r="F2897" s="20" t="s">
        <v>6</v>
      </c>
      <c r="G2897" s="861">
        <v>27.442673374541702</v>
      </c>
      <c r="H2897" s="861">
        <v>32.578625417704004</v>
      </c>
      <c r="I2897" s="861">
        <v>75.991957051706393</v>
      </c>
      <c r="J2897" s="861">
        <v>30.378413072058098</v>
      </c>
      <c r="K2897" s="982">
        <v>0</v>
      </c>
      <c r="L2897" s="735">
        <v>2958</v>
      </c>
      <c r="M2897" s="735">
        <v>2466</v>
      </c>
      <c r="N2897" s="845">
        <f t="shared" si="206"/>
        <v>-0.16632860040567951</v>
      </c>
      <c r="O2897" s="735">
        <v>0.72911840510341186</v>
      </c>
      <c r="P2897" s="735">
        <f t="shared" si="207"/>
        <v>3382.1667135809635</v>
      </c>
      <c r="Q2897" s="849">
        <v>35.700000000000003</v>
      </c>
      <c r="R2897" s="71">
        <v>22614</v>
      </c>
      <c r="S2897" s="845">
        <v>0.49670743179680149</v>
      </c>
      <c r="T2897" s="845">
        <v>9.5000000000000001E-2</v>
      </c>
      <c r="U2897" s="845">
        <v>9.0999999999999998E-2</v>
      </c>
      <c r="V2897" s="845">
        <v>1.7000000000000001E-2</v>
      </c>
      <c r="W2897" s="845">
        <v>0.62973222530009232</v>
      </c>
      <c r="X2897" s="845">
        <v>0.47653958944281527</v>
      </c>
      <c r="Y2897" s="845">
        <v>0.66139497161394967</v>
      </c>
      <c r="Z2897" s="845">
        <v>0.28223844282238442</v>
      </c>
      <c r="AA2897" s="845">
        <v>0</v>
      </c>
      <c r="AB2897" s="845">
        <v>0</v>
      </c>
      <c r="AC2897" s="845">
        <v>0</v>
      </c>
      <c r="AD2897" s="845">
        <v>0</v>
      </c>
      <c r="AE2897" s="845">
        <v>5.6366585563665854E-2</v>
      </c>
      <c r="AF2897" s="845">
        <v>2.3114355231143552E-2</v>
      </c>
      <c r="AG2897" s="845">
        <v>0.65855636658556371</v>
      </c>
      <c r="AH2897" s="20" t="str">
        <f t="shared" si="208"/>
        <v>No</v>
      </c>
      <c r="AI2897" s="25"/>
      <c r="AJ2897" s="25"/>
      <c r="AK2897" s="25"/>
      <c r="AL2897" s="25"/>
      <c r="AM2897" s="25"/>
      <c r="AN2897" s="25"/>
      <c r="AO2897" s="25"/>
      <c r="AP2897" s="25"/>
      <c r="AQ2897" s="25"/>
      <c r="AR2897" s="25"/>
      <c r="AS2897" s="25"/>
      <c r="AT2897" s="25"/>
      <c r="AU2897" s="36"/>
      <c r="AV2897" s="36"/>
      <c r="AW2897" s="36"/>
      <c r="AX2897" s="25"/>
      <c r="AY2897" s="25"/>
      <c r="AZ2897" s="25"/>
      <c r="BA2897" s="25"/>
      <c r="BB2897" s="25"/>
      <c r="BC2897" s="25"/>
      <c r="BD2897" s="25"/>
      <c r="BE2897" s="25"/>
      <c r="BF2897" s="25"/>
      <c r="BG2897" s="25"/>
      <c r="BH2897" s="25"/>
      <c r="BI2897" s="25"/>
      <c r="BJ2897" s="25"/>
      <c r="BK2897" s="25"/>
      <c r="BL2897" s="25"/>
      <c r="BM2897" s="25"/>
      <c r="BN2897" s="25"/>
      <c r="BO2897" s="25"/>
      <c r="BP2897" s="25"/>
      <c r="BQ2897" s="25"/>
      <c r="BR2897" s="25"/>
      <c r="BS2897" s="25"/>
      <c r="BT2897" s="25"/>
      <c r="BU2897"/>
      <c r="BV2897"/>
      <c r="BW2897"/>
      <c r="BX2897"/>
      <c r="BY2897"/>
      <c r="BZ2897"/>
      <c r="CA2897"/>
      <c r="CB2897"/>
      <c r="CC2897"/>
      <c r="CD2897" s="25"/>
    </row>
    <row r="2898" spans="1:82" s="17" customFormat="1" x14ac:dyDescent="0.2">
      <c r="A2898" s="25"/>
      <c r="B2898" s="20">
        <v>39067975800</v>
      </c>
      <c r="C2898" s="20">
        <v>9758</v>
      </c>
      <c r="D2898" s="20" t="s">
        <v>40</v>
      </c>
      <c r="E2898" s="20" t="s">
        <v>265</v>
      </c>
      <c r="F2898" s="20" t="s">
        <v>8</v>
      </c>
      <c r="G2898" s="861">
        <v>27.423464440803698</v>
      </c>
      <c r="H2898" s="861">
        <v>38.562783611039798</v>
      </c>
      <c r="I2898" s="861">
        <v>17.3214065753507</v>
      </c>
      <c r="J2898" s="861">
        <v>52.763663594597297</v>
      </c>
      <c r="K2898" s="982">
        <v>0</v>
      </c>
      <c r="L2898" s="735">
        <v>2176</v>
      </c>
      <c r="M2898" s="735">
        <v>2516</v>
      </c>
      <c r="N2898" s="845">
        <f t="shared" si="206"/>
        <v>0.15625</v>
      </c>
      <c r="O2898" s="735">
        <v>99.840959115445514</v>
      </c>
      <c r="P2898" s="735">
        <f t="shared" si="207"/>
        <v>25.200078427639742</v>
      </c>
      <c r="Q2898" s="849">
        <v>36.5</v>
      </c>
      <c r="R2898" s="71">
        <v>62262</v>
      </c>
      <c r="S2898" s="845">
        <v>0.11287758346581876</v>
      </c>
      <c r="T2898" s="845">
        <v>5.9000000000000004E-2</v>
      </c>
      <c r="U2898" s="845">
        <v>0</v>
      </c>
      <c r="V2898" s="845">
        <v>0</v>
      </c>
      <c r="W2898" s="845">
        <v>0.1430062630480167</v>
      </c>
      <c r="X2898" s="845">
        <v>0.32846715328467152</v>
      </c>
      <c r="Y2898" s="845">
        <v>0.96939586645469</v>
      </c>
      <c r="Z2898" s="845">
        <v>0</v>
      </c>
      <c r="AA2898" s="845">
        <v>0</v>
      </c>
      <c r="AB2898" s="845">
        <v>0</v>
      </c>
      <c r="AC2898" s="845">
        <v>0</v>
      </c>
      <c r="AD2898" s="845">
        <v>4.7694753577106515E-3</v>
      </c>
      <c r="AE2898" s="845">
        <v>2.5834658187599363E-2</v>
      </c>
      <c r="AF2898" s="845">
        <v>3.3783783783783786E-2</v>
      </c>
      <c r="AG2898" s="845">
        <v>0.94554848966613669</v>
      </c>
      <c r="AH2898" s="20" t="str">
        <f t="shared" si="208"/>
        <v>Yes</v>
      </c>
      <c r="AI2898" s="25"/>
      <c r="AJ2898" s="25"/>
      <c r="AK2898" s="25"/>
      <c r="AL2898" s="25"/>
      <c r="AM2898" s="25"/>
      <c r="AN2898" s="25"/>
      <c r="AO2898" s="25"/>
      <c r="AP2898" s="25"/>
      <c r="AQ2898" s="25"/>
      <c r="AR2898" s="25"/>
      <c r="AS2898" s="25"/>
      <c r="AT2898" s="25"/>
      <c r="AU2898" s="36"/>
      <c r="AV2898" s="36"/>
      <c r="AW2898" s="36"/>
      <c r="AX2898" s="25"/>
      <c r="AY2898" s="25"/>
      <c r="AZ2898" s="25"/>
      <c r="BA2898" s="25"/>
      <c r="BB2898" s="25"/>
      <c r="BC2898" s="25"/>
      <c r="BD2898" s="25"/>
      <c r="BE2898" s="25"/>
      <c r="BF2898" s="25"/>
      <c r="BG2898" s="25"/>
      <c r="BH2898" s="25"/>
      <c r="BI2898" s="25"/>
      <c r="BJ2898" s="25"/>
      <c r="BK2898" s="25"/>
      <c r="BL2898" s="25"/>
      <c r="BM2898" s="25"/>
      <c r="BN2898" s="25"/>
      <c r="BO2898" s="25"/>
      <c r="BP2898" s="25"/>
      <c r="BQ2898" s="25"/>
      <c r="BR2898" s="25"/>
      <c r="BS2898" s="25"/>
      <c r="BT2898" s="25"/>
      <c r="BU2898"/>
      <c r="BV2898"/>
      <c r="BW2898"/>
      <c r="BX2898"/>
      <c r="BY2898"/>
      <c r="BZ2898"/>
      <c r="CA2898"/>
      <c r="CB2898"/>
      <c r="CC2898"/>
      <c r="CD2898" s="25"/>
    </row>
    <row r="2899" spans="1:82" s="17" customFormat="1" x14ac:dyDescent="0.2">
      <c r="A2899" s="25"/>
      <c r="B2899" s="20">
        <v>39167021202</v>
      </c>
      <c r="C2899" s="20">
        <v>212.02</v>
      </c>
      <c r="D2899" s="20" t="s">
        <v>89</v>
      </c>
      <c r="E2899" s="20" t="s">
        <v>265</v>
      </c>
      <c r="F2899" s="20" t="s">
        <v>8</v>
      </c>
      <c r="G2899" s="861">
        <v>27.350655503573901</v>
      </c>
      <c r="H2899" s="861">
        <v>38.9437974640894</v>
      </c>
      <c r="I2899" s="861">
        <v>26.595409667870801</v>
      </c>
      <c r="J2899" s="861">
        <v>47.453177289019102</v>
      </c>
      <c r="K2899" s="982">
        <v>0</v>
      </c>
      <c r="L2899" s="735" t="s">
        <v>2466</v>
      </c>
      <c r="M2899" s="735">
        <v>2059</v>
      </c>
      <c r="N2899" s="845" t="str">
        <f t="shared" si="206"/>
        <v/>
      </c>
      <c r="O2899" s="735">
        <v>93.118978835775437</v>
      </c>
      <c r="P2899" s="735">
        <f t="shared" si="207"/>
        <v>22.111496772653091</v>
      </c>
      <c r="Q2899" s="849">
        <v>52.1</v>
      </c>
      <c r="R2899" s="71">
        <v>66989</v>
      </c>
      <c r="S2899" s="845">
        <v>0.19961146187469644</v>
      </c>
      <c r="T2899" s="845">
        <v>0.06</v>
      </c>
      <c r="U2899" s="845">
        <v>0</v>
      </c>
      <c r="V2899" s="845">
        <v>0</v>
      </c>
      <c r="W2899" s="845">
        <v>0.13235294117647059</v>
      </c>
      <c r="X2899" s="845">
        <v>0</v>
      </c>
      <c r="Y2899" s="845">
        <v>0.99854298203011171</v>
      </c>
      <c r="Z2899" s="845">
        <v>0</v>
      </c>
      <c r="AA2899" s="845">
        <v>0</v>
      </c>
      <c r="AB2899" s="845">
        <v>0</v>
      </c>
      <c r="AC2899" s="845">
        <v>0</v>
      </c>
      <c r="AD2899" s="845">
        <v>0</v>
      </c>
      <c r="AE2899" s="845">
        <v>1.4570179698882952E-3</v>
      </c>
      <c r="AF2899" s="845">
        <v>0</v>
      </c>
      <c r="AG2899" s="845">
        <v>0.99854298203011171</v>
      </c>
      <c r="AH2899" s="20" t="str">
        <f t="shared" si="208"/>
        <v>Yes</v>
      </c>
      <c r="AI2899" s="25"/>
      <c r="AJ2899" s="25"/>
      <c r="AK2899" s="25"/>
      <c r="AL2899" s="25"/>
      <c r="AM2899" s="25"/>
      <c r="AN2899" s="25"/>
      <c r="AO2899" s="25"/>
      <c r="AP2899" s="25"/>
      <c r="AQ2899" s="25"/>
      <c r="AR2899" s="25"/>
      <c r="AS2899" s="25"/>
      <c r="AT2899" s="25"/>
      <c r="AU2899" s="36"/>
      <c r="AV2899" s="36"/>
      <c r="AW2899" s="36"/>
      <c r="AX2899" s="25"/>
      <c r="AY2899" s="25"/>
      <c r="AZ2899" s="25"/>
      <c r="BA2899" s="25"/>
      <c r="BB2899" s="25"/>
      <c r="BC2899" s="25"/>
      <c r="BD2899" s="25"/>
      <c r="BE2899" s="25"/>
      <c r="BF2899" s="25"/>
      <c r="BG2899" s="25"/>
      <c r="BH2899" s="25"/>
      <c r="BI2899" s="25"/>
      <c r="BJ2899" s="25"/>
      <c r="BK2899" s="25"/>
      <c r="BL2899" s="25"/>
      <c r="BM2899" s="25"/>
      <c r="BN2899" s="25"/>
      <c r="BO2899" s="25"/>
      <c r="BP2899" s="25"/>
      <c r="BQ2899" s="25"/>
      <c r="BR2899" s="25"/>
      <c r="BS2899" s="25"/>
      <c r="BT2899" s="25"/>
      <c r="BU2899"/>
      <c r="BV2899"/>
      <c r="BW2899"/>
      <c r="BX2899"/>
      <c r="BY2899"/>
      <c r="BZ2899"/>
      <c r="CA2899"/>
      <c r="CB2899"/>
      <c r="CC2899"/>
      <c r="CD2899" s="25"/>
    </row>
    <row r="2900" spans="1:82" s="17" customFormat="1" x14ac:dyDescent="0.2">
      <c r="A2900" s="25"/>
      <c r="B2900" s="20">
        <v>39095001201</v>
      </c>
      <c r="C2900" s="20">
        <v>12.01</v>
      </c>
      <c r="D2900" s="20" t="s">
        <v>53</v>
      </c>
      <c r="E2900" s="20" t="s">
        <v>2839</v>
      </c>
      <c r="F2900" s="20" t="s">
        <v>8</v>
      </c>
      <c r="G2900" s="861">
        <v>27.3423479352576</v>
      </c>
      <c r="H2900" s="861">
        <v>42.828358986125799</v>
      </c>
      <c r="I2900" s="861">
        <v>40.1555101550668</v>
      </c>
      <c r="J2900" s="861">
        <v>35.606674125748299</v>
      </c>
      <c r="K2900" s="982">
        <v>0</v>
      </c>
      <c r="L2900" s="735">
        <v>2370</v>
      </c>
      <c r="M2900" s="735">
        <v>1982</v>
      </c>
      <c r="N2900" s="845">
        <f t="shared" si="206"/>
        <v>-0.16371308016877636</v>
      </c>
      <c r="O2900" s="735">
        <v>1.4602789045236197</v>
      </c>
      <c r="P2900" s="735">
        <f t="shared" si="207"/>
        <v>1357.274965665945</v>
      </c>
      <c r="Q2900" s="849">
        <v>36.4</v>
      </c>
      <c r="R2900" s="71">
        <v>56534</v>
      </c>
      <c r="S2900" s="845">
        <v>0.23979591836734693</v>
      </c>
      <c r="T2900" s="845">
        <v>0.05</v>
      </c>
      <c r="U2900" s="845">
        <v>0</v>
      </c>
      <c r="V2900" s="845">
        <v>0.13300000000000001</v>
      </c>
      <c r="W2900" s="845">
        <v>0.27249022164276404</v>
      </c>
      <c r="X2900" s="845">
        <v>0.4354066985645933</v>
      </c>
      <c r="Y2900" s="845">
        <v>0.74571140262361246</v>
      </c>
      <c r="Z2900" s="845">
        <v>8.0221997981836532E-2</v>
      </c>
      <c r="AA2900" s="845">
        <v>0</v>
      </c>
      <c r="AB2900" s="845">
        <v>1.5136226034308778E-3</v>
      </c>
      <c r="AC2900" s="845">
        <v>0</v>
      </c>
      <c r="AD2900" s="845">
        <v>4.5408678102926335E-2</v>
      </c>
      <c r="AE2900" s="845">
        <v>0.12714429868819374</v>
      </c>
      <c r="AF2900" s="845">
        <v>0.15640766902119072</v>
      </c>
      <c r="AG2900" s="845">
        <v>0.71241170534813325</v>
      </c>
      <c r="AH2900" s="20" t="str">
        <f t="shared" si="208"/>
        <v>No</v>
      </c>
      <c r="AI2900" s="25"/>
      <c r="AJ2900" s="25"/>
      <c r="AK2900" s="25"/>
      <c r="AL2900" s="25"/>
      <c r="AM2900" s="25"/>
      <c r="AN2900" s="25"/>
      <c r="AO2900" s="25"/>
      <c r="AP2900" s="25"/>
      <c r="AQ2900" s="25"/>
      <c r="AR2900" s="25"/>
      <c r="AS2900" s="25"/>
      <c r="AT2900" s="25"/>
      <c r="AU2900" s="36"/>
      <c r="AV2900" s="36"/>
      <c r="AW2900" s="36"/>
      <c r="AX2900" s="25"/>
      <c r="AY2900" s="25"/>
      <c r="AZ2900" s="25"/>
      <c r="BA2900" s="25"/>
      <c r="BB2900" s="25"/>
      <c r="BC2900" s="25"/>
      <c r="BD2900" s="25"/>
      <c r="BE2900" s="25"/>
      <c r="BF2900" s="25"/>
      <c r="BG2900" s="25"/>
      <c r="BH2900" s="25"/>
      <c r="BI2900" s="25"/>
      <c r="BJ2900" s="25"/>
      <c r="BK2900" s="25"/>
      <c r="BL2900" s="25"/>
      <c r="BM2900" s="25"/>
      <c r="BN2900" s="25"/>
      <c r="BO2900" s="25"/>
      <c r="BP2900" s="25"/>
      <c r="BQ2900" s="25"/>
      <c r="BR2900" s="25"/>
      <c r="BS2900" s="25"/>
      <c r="BT2900" s="25"/>
      <c r="BU2900"/>
      <c r="BV2900"/>
      <c r="BW2900"/>
      <c r="BX2900"/>
      <c r="BY2900"/>
      <c r="BZ2900"/>
      <c r="CA2900"/>
      <c r="CB2900"/>
      <c r="CC2900"/>
      <c r="CD2900" s="25"/>
    </row>
    <row r="2901" spans="1:82" s="17" customFormat="1" x14ac:dyDescent="0.2">
      <c r="A2901" s="25"/>
      <c r="B2901" s="20">
        <v>39099802500</v>
      </c>
      <c r="C2901" s="20">
        <v>8025</v>
      </c>
      <c r="D2901" s="20" t="s">
        <v>55</v>
      </c>
      <c r="E2901" s="20" t="s">
        <v>2842</v>
      </c>
      <c r="F2901" s="20" t="s">
        <v>6</v>
      </c>
      <c r="G2901" s="861">
        <v>27.3419972020316</v>
      </c>
      <c r="H2901" s="861">
        <v>26.507561743753399</v>
      </c>
      <c r="I2901" s="861">
        <v>60.456516230303201</v>
      </c>
      <c r="J2901" s="861">
        <v>37.9626813525621</v>
      </c>
      <c r="K2901" s="982">
        <v>0</v>
      </c>
      <c r="L2901" s="735">
        <v>1553</v>
      </c>
      <c r="M2901" s="735">
        <v>1354</v>
      </c>
      <c r="N2901" s="845">
        <f t="shared" si="206"/>
        <v>-0.12813908564069543</v>
      </c>
      <c r="O2901" s="735">
        <v>0.83868531736232566</v>
      </c>
      <c r="P2901" s="735">
        <f t="shared" si="207"/>
        <v>1614.4315060365484</v>
      </c>
      <c r="Q2901" s="849">
        <v>47.2</v>
      </c>
      <c r="R2901" s="71">
        <v>37200</v>
      </c>
      <c r="S2901" s="845">
        <v>0.30712166172106825</v>
      </c>
      <c r="T2901" s="845">
        <v>0.13500000000000001</v>
      </c>
      <c r="U2901" s="845">
        <v>0</v>
      </c>
      <c r="V2901" s="845">
        <v>5.2000000000000005E-2</v>
      </c>
      <c r="W2901" s="845">
        <v>0.3091216216216216</v>
      </c>
      <c r="X2901" s="845">
        <v>0.61202185792349728</v>
      </c>
      <c r="Y2901" s="845">
        <v>0.2880354505169867</v>
      </c>
      <c r="Z2901" s="845">
        <v>0.59084194977843429</v>
      </c>
      <c r="AA2901" s="845">
        <v>0</v>
      </c>
      <c r="AB2901" s="845">
        <v>0</v>
      </c>
      <c r="AC2901" s="845">
        <v>0</v>
      </c>
      <c r="AD2901" s="845">
        <v>4.0620384047267359E-2</v>
      </c>
      <c r="AE2901" s="845">
        <v>8.0502215657311665E-2</v>
      </c>
      <c r="AF2901" s="845">
        <v>5.7607090103397339E-2</v>
      </c>
      <c r="AG2901" s="845">
        <v>0.28286558345642543</v>
      </c>
      <c r="AH2901" s="20" t="str">
        <f t="shared" si="208"/>
        <v>No</v>
      </c>
      <c r="AI2901" s="25"/>
      <c r="AJ2901" s="25"/>
      <c r="AK2901" s="25"/>
      <c r="AL2901" s="25"/>
      <c r="AM2901" s="25"/>
      <c r="AN2901" s="25"/>
      <c r="AO2901" s="25"/>
      <c r="AP2901" s="25"/>
      <c r="AQ2901" s="25"/>
      <c r="AR2901" s="25"/>
      <c r="AS2901" s="25"/>
      <c r="AT2901" s="25"/>
      <c r="AU2901" s="36"/>
      <c r="AV2901" s="36"/>
      <c r="AW2901" s="36"/>
      <c r="AX2901" s="25"/>
      <c r="AY2901" s="25"/>
      <c r="AZ2901" s="25"/>
      <c r="BA2901" s="25"/>
      <c r="BB2901" s="25"/>
      <c r="BC2901" s="25"/>
      <c r="BD2901" s="25"/>
      <c r="BE2901" s="25"/>
      <c r="BF2901" s="25"/>
      <c r="BG2901" s="25"/>
      <c r="BH2901" s="25"/>
      <c r="BI2901" s="25"/>
      <c r="BJ2901" s="25"/>
      <c r="BK2901" s="25"/>
      <c r="BL2901" s="25"/>
      <c r="BM2901" s="25"/>
      <c r="BN2901" s="25"/>
      <c r="BO2901" s="25"/>
      <c r="BP2901" s="25"/>
      <c r="BQ2901" s="25"/>
      <c r="BR2901" s="25"/>
      <c r="BS2901" s="25"/>
      <c r="BT2901" s="25"/>
      <c r="BU2901"/>
      <c r="BV2901"/>
      <c r="BW2901"/>
      <c r="BX2901"/>
      <c r="BY2901"/>
      <c r="BZ2901"/>
      <c r="CA2901"/>
      <c r="CB2901"/>
      <c r="CC2901"/>
      <c r="CD2901" s="25"/>
    </row>
    <row r="2902" spans="1:82" s="17" customFormat="1" x14ac:dyDescent="0.2">
      <c r="A2902" s="25"/>
      <c r="B2902" s="20">
        <v>39029951300</v>
      </c>
      <c r="C2902" s="20">
        <v>9513</v>
      </c>
      <c r="D2902" s="20" t="s">
        <v>21</v>
      </c>
      <c r="E2902" s="20" t="s">
        <v>265</v>
      </c>
      <c r="F2902" s="20" t="s">
        <v>8</v>
      </c>
      <c r="G2902" s="861">
        <v>27.335759705379999</v>
      </c>
      <c r="H2902" s="861">
        <v>43.076545162580899</v>
      </c>
      <c r="I2902" s="861">
        <v>29.424241033955401</v>
      </c>
      <c r="J2902" s="861">
        <v>38.105160683151198</v>
      </c>
      <c r="K2902" s="982">
        <v>0</v>
      </c>
      <c r="L2902" s="735">
        <v>3668</v>
      </c>
      <c r="M2902" s="735">
        <v>3653</v>
      </c>
      <c r="N2902" s="845">
        <f t="shared" si="206"/>
        <v>-4.0894220283533263E-3</v>
      </c>
      <c r="O2902" s="735">
        <v>61.317983038926002</v>
      </c>
      <c r="P2902" s="735">
        <f t="shared" si="207"/>
        <v>59.574692756625659</v>
      </c>
      <c r="Q2902" s="849">
        <v>42.7</v>
      </c>
      <c r="R2902" s="71">
        <v>66766</v>
      </c>
      <c r="S2902" s="845">
        <v>0.17328223378045443</v>
      </c>
      <c r="T2902" s="845">
        <v>1.6E-2</v>
      </c>
      <c r="U2902" s="845">
        <v>9.0000000000000011E-3</v>
      </c>
      <c r="V2902" s="845">
        <v>5.2999999999999999E-2</v>
      </c>
      <c r="W2902" s="845">
        <v>0.25905673274094326</v>
      </c>
      <c r="X2902" s="845">
        <v>0.33773087071240104</v>
      </c>
      <c r="Y2902" s="845">
        <v>0.94935669312893511</v>
      </c>
      <c r="Z2902" s="845">
        <v>2.0804817957842867E-2</v>
      </c>
      <c r="AA2902" s="845">
        <v>0</v>
      </c>
      <c r="AB2902" s="845">
        <v>0</v>
      </c>
      <c r="AC2902" s="845">
        <v>0</v>
      </c>
      <c r="AD2902" s="845">
        <v>3.5587188612099642E-3</v>
      </c>
      <c r="AE2902" s="845">
        <v>2.6279770052012045E-2</v>
      </c>
      <c r="AF2902" s="845">
        <v>3.5587188612099642E-3</v>
      </c>
      <c r="AG2902" s="845">
        <v>0.94935669312893511</v>
      </c>
      <c r="AH2902" s="20" t="str">
        <f t="shared" si="208"/>
        <v>Yes</v>
      </c>
      <c r="AI2902" s="25"/>
      <c r="AJ2902" s="25"/>
      <c r="AK2902" s="25"/>
      <c r="AL2902" s="25"/>
      <c r="AM2902" s="25"/>
      <c r="AN2902" s="25"/>
      <c r="AO2902" s="25"/>
      <c r="AP2902" s="25"/>
      <c r="AQ2902" s="25"/>
      <c r="AR2902" s="25"/>
      <c r="AS2902" s="25"/>
      <c r="AT2902" s="25"/>
      <c r="AU2902" s="36"/>
      <c r="AV2902" s="36"/>
      <c r="AW2902" s="36"/>
      <c r="AX2902" s="25"/>
      <c r="AY2902" s="25"/>
      <c r="AZ2902" s="25"/>
      <c r="BA2902" s="25"/>
      <c r="BB2902" s="25"/>
      <c r="BC2902" s="25"/>
      <c r="BD2902" s="25"/>
      <c r="BE2902" s="25"/>
      <c r="BF2902" s="25"/>
      <c r="BG2902" s="25"/>
      <c r="BH2902" s="25"/>
      <c r="BI2902" s="25"/>
      <c r="BJ2902" s="25"/>
      <c r="BK2902" s="25"/>
      <c r="BL2902" s="25"/>
      <c r="BM2902" s="25"/>
      <c r="BN2902" s="25"/>
      <c r="BO2902" s="25"/>
      <c r="BP2902" s="25"/>
      <c r="BQ2902" s="25"/>
      <c r="BR2902" s="25"/>
      <c r="BS2902" s="25"/>
      <c r="BT2902" s="25"/>
      <c r="BU2902"/>
      <c r="BV2902"/>
      <c r="BW2902"/>
      <c r="BX2902"/>
      <c r="BY2902"/>
      <c r="BZ2902"/>
      <c r="CA2902"/>
      <c r="CB2902"/>
      <c r="CC2902"/>
      <c r="CD2902" s="25"/>
    </row>
    <row r="2903" spans="1:82" s="17" customFormat="1" x14ac:dyDescent="0.2">
      <c r="A2903" s="25"/>
      <c r="B2903" s="20">
        <v>39157022002</v>
      </c>
      <c r="C2903" s="20">
        <v>220.02</v>
      </c>
      <c r="D2903" s="20" t="s">
        <v>84</v>
      </c>
      <c r="E2903" s="20" t="s">
        <v>265</v>
      </c>
      <c r="F2903" s="20" t="s">
        <v>8</v>
      </c>
      <c r="G2903" s="861">
        <v>27.242488993807001</v>
      </c>
      <c r="H2903" s="861">
        <v>36.501794657976603</v>
      </c>
      <c r="I2903" s="861">
        <v>34.126561775754503</v>
      </c>
      <c r="J2903" s="861">
        <v>39.184924111377299</v>
      </c>
      <c r="K2903" s="982">
        <v>0</v>
      </c>
      <c r="L2903" s="735">
        <v>3430</v>
      </c>
      <c r="M2903" s="735">
        <v>3333</v>
      </c>
      <c r="N2903" s="845">
        <f t="shared" si="206"/>
        <v>-2.8279883381924199E-2</v>
      </c>
      <c r="O2903" s="735">
        <v>27.713641125557139</v>
      </c>
      <c r="P2903" s="735">
        <f t="shared" si="207"/>
        <v>120.26568378004842</v>
      </c>
      <c r="Q2903" s="849">
        <v>33.1</v>
      </c>
      <c r="R2903" s="71">
        <v>44375</v>
      </c>
      <c r="S2903" s="845">
        <v>0.23012301230123011</v>
      </c>
      <c r="T2903" s="845">
        <v>5.5E-2</v>
      </c>
      <c r="U2903" s="845">
        <v>4.2000000000000003E-2</v>
      </c>
      <c r="V2903" s="845">
        <v>0</v>
      </c>
      <c r="W2903" s="845">
        <v>0.48489425981873113</v>
      </c>
      <c r="X2903" s="845">
        <v>0.22741433021806853</v>
      </c>
      <c r="Y2903" s="845">
        <v>0.96339633963396343</v>
      </c>
      <c r="Z2903" s="845">
        <v>1.2901290129012902E-2</v>
      </c>
      <c r="AA2903" s="845">
        <v>0</v>
      </c>
      <c r="AB2903" s="845">
        <v>0</v>
      </c>
      <c r="AC2903" s="845">
        <v>0</v>
      </c>
      <c r="AD2903" s="845">
        <v>0</v>
      </c>
      <c r="AE2903" s="845">
        <v>2.3702370237023703E-2</v>
      </c>
      <c r="AF2903" s="845">
        <v>2.0702070207020702E-2</v>
      </c>
      <c r="AG2903" s="845">
        <v>0.94269426942694268</v>
      </c>
      <c r="AH2903" s="20" t="str">
        <f t="shared" si="208"/>
        <v>Yes</v>
      </c>
      <c r="AI2903" s="25"/>
      <c r="AJ2903" s="25"/>
      <c r="AK2903" s="25"/>
      <c r="AL2903" s="25"/>
      <c r="AM2903" s="25"/>
      <c r="AN2903" s="25"/>
      <c r="AO2903" s="25"/>
      <c r="AP2903" s="25"/>
      <c r="AQ2903" s="25"/>
      <c r="AR2903" s="25"/>
      <c r="AS2903" s="25"/>
      <c r="AT2903" s="25"/>
      <c r="AU2903" s="36"/>
      <c r="AV2903" s="36"/>
      <c r="AW2903" s="36"/>
      <c r="AX2903" s="25"/>
      <c r="AY2903" s="25"/>
      <c r="AZ2903" s="25"/>
      <c r="BA2903" s="25"/>
      <c r="BB2903" s="25"/>
      <c r="BC2903" s="25"/>
      <c r="BD2903" s="25"/>
      <c r="BE2903" s="25"/>
      <c r="BF2903" s="25"/>
      <c r="BG2903" s="25"/>
      <c r="BH2903" s="25"/>
      <c r="BI2903" s="25"/>
      <c r="BJ2903" s="25"/>
      <c r="BK2903" s="25"/>
      <c r="BL2903" s="25"/>
      <c r="BM2903" s="25"/>
      <c r="BN2903" s="25"/>
      <c r="BO2903" s="25"/>
      <c r="BP2903" s="25"/>
      <c r="BQ2903" s="25"/>
      <c r="BR2903" s="25"/>
      <c r="BS2903" s="25"/>
      <c r="BT2903" s="25"/>
      <c r="BU2903"/>
      <c r="BV2903"/>
      <c r="BW2903"/>
      <c r="BX2903"/>
      <c r="BY2903"/>
      <c r="BZ2903"/>
      <c r="CA2903"/>
      <c r="CB2903"/>
      <c r="CC2903"/>
      <c r="CD2903" s="25"/>
    </row>
    <row r="2904" spans="1:82" s="17" customFormat="1" x14ac:dyDescent="0.2">
      <c r="A2904" s="25"/>
      <c r="B2904" s="20">
        <v>39095004000</v>
      </c>
      <c r="C2904" s="20">
        <v>40</v>
      </c>
      <c r="D2904" s="20" t="s">
        <v>53</v>
      </c>
      <c r="E2904" s="20" t="s">
        <v>2839</v>
      </c>
      <c r="F2904" s="20" t="s">
        <v>8</v>
      </c>
      <c r="G2904" s="861">
        <v>27.2410636687991</v>
      </c>
      <c r="H2904" s="861">
        <v>47.312533421637603</v>
      </c>
      <c r="I2904" s="861">
        <v>78.971419146673696</v>
      </c>
      <c r="J2904" s="861">
        <v>33.284315009023601</v>
      </c>
      <c r="K2904" s="982">
        <v>0</v>
      </c>
      <c r="L2904" s="735">
        <v>1905</v>
      </c>
      <c r="M2904" s="735">
        <v>1643</v>
      </c>
      <c r="N2904" s="845">
        <f t="shared" si="206"/>
        <v>-0.13753280839895013</v>
      </c>
      <c r="O2904" s="735">
        <v>0.51922863846660672</v>
      </c>
      <c r="P2904" s="735">
        <f t="shared" si="207"/>
        <v>3164.309281653128</v>
      </c>
      <c r="Q2904" s="849">
        <v>31.3</v>
      </c>
      <c r="R2904" s="71">
        <v>36725</v>
      </c>
      <c r="S2904" s="845">
        <v>0.25197808886183809</v>
      </c>
      <c r="T2904" s="845">
        <v>0.159</v>
      </c>
      <c r="U2904" s="845">
        <v>0</v>
      </c>
      <c r="V2904" s="845">
        <v>7.8E-2</v>
      </c>
      <c r="W2904" s="845">
        <v>0.39130434782608697</v>
      </c>
      <c r="X2904" s="845">
        <v>0.86296296296296293</v>
      </c>
      <c r="Y2904" s="845">
        <v>0.47534996956786368</v>
      </c>
      <c r="Z2904" s="845">
        <v>0.46926354230066952</v>
      </c>
      <c r="AA2904" s="845">
        <v>0</v>
      </c>
      <c r="AB2904" s="845">
        <v>0</v>
      </c>
      <c r="AC2904" s="845">
        <v>0</v>
      </c>
      <c r="AD2904" s="845">
        <v>2.251978088861838E-2</v>
      </c>
      <c r="AE2904" s="845">
        <v>3.2866707242848445E-2</v>
      </c>
      <c r="AF2904" s="845">
        <v>6.3298843578819236E-2</v>
      </c>
      <c r="AG2904" s="845">
        <v>0.42361533779671334</v>
      </c>
      <c r="AH2904" s="20" t="str">
        <f t="shared" si="208"/>
        <v>No</v>
      </c>
      <c r="AI2904" s="25"/>
      <c r="AJ2904" s="25"/>
      <c r="AK2904" s="25"/>
      <c r="AL2904" s="25"/>
      <c r="AM2904" s="25"/>
      <c r="AN2904" s="25"/>
      <c r="AO2904" s="25"/>
      <c r="AP2904" s="25"/>
      <c r="AQ2904" s="25"/>
      <c r="AR2904" s="25"/>
      <c r="AS2904" s="25"/>
      <c r="AT2904" s="25"/>
      <c r="AU2904" s="36"/>
      <c r="AV2904" s="36"/>
      <c r="AW2904" s="36"/>
      <c r="AX2904" s="25"/>
      <c r="AY2904" s="25"/>
      <c r="AZ2904" s="25"/>
      <c r="BA2904" s="25"/>
      <c r="BB2904" s="25"/>
      <c r="BC2904" s="25"/>
      <c r="BD2904" s="25"/>
      <c r="BE2904" s="25"/>
      <c r="BF2904" s="25"/>
      <c r="BG2904" s="25"/>
      <c r="BH2904" s="25"/>
      <c r="BI2904" s="25"/>
      <c r="BJ2904" s="25"/>
      <c r="BK2904" s="25"/>
      <c r="BL2904" s="25"/>
      <c r="BM2904" s="25"/>
      <c r="BN2904" s="25"/>
      <c r="BO2904" s="25"/>
      <c r="BP2904" s="25"/>
      <c r="BQ2904" s="25"/>
      <c r="BR2904" s="25"/>
      <c r="BS2904" s="25"/>
      <c r="BT2904" s="25"/>
      <c r="BU2904"/>
      <c r="BV2904"/>
      <c r="BW2904"/>
      <c r="BX2904"/>
      <c r="BY2904"/>
      <c r="BZ2904"/>
      <c r="CA2904"/>
      <c r="CB2904"/>
      <c r="CC2904"/>
      <c r="CD2904" s="25"/>
    </row>
    <row r="2905" spans="1:82" s="17" customFormat="1" x14ac:dyDescent="0.2">
      <c r="A2905" s="25"/>
      <c r="B2905" s="20">
        <v>39049005100</v>
      </c>
      <c r="C2905" s="20">
        <v>51</v>
      </c>
      <c r="D2905" s="20" t="s">
        <v>31</v>
      </c>
      <c r="E2905" s="20" t="s">
        <v>2830</v>
      </c>
      <c r="F2905" s="20" t="s">
        <v>6</v>
      </c>
      <c r="G2905" s="861">
        <v>27.1444029875361</v>
      </c>
      <c r="H2905" s="861">
        <v>39.964341438282602</v>
      </c>
      <c r="I2905" s="861">
        <v>63.833125885777399</v>
      </c>
      <c r="J2905" s="861">
        <v>47.122671427955801</v>
      </c>
      <c r="K2905" s="982">
        <v>0</v>
      </c>
      <c r="L2905" s="735">
        <v>1853</v>
      </c>
      <c r="M2905" s="735">
        <v>2397</v>
      </c>
      <c r="N2905" s="845">
        <f t="shared" si="206"/>
        <v>0.29357798165137616</v>
      </c>
      <c r="O2905" s="735">
        <v>1.5428066965141396</v>
      </c>
      <c r="P2905" s="735">
        <f t="shared" si="207"/>
        <v>1553.6619107344093</v>
      </c>
      <c r="Q2905" s="849">
        <v>36.6</v>
      </c>
      <c r="R2905" s="71">
        <v>22308</v>
      </c>
      <c r="S2905" s="845">
        <v>0.57807017543859651</v>
      </c>
      <c r="T2905" s="845">
        <v>4.7E-2</v>
      </c>
      <c r="U2905" s="845">
        <v>0</v>
      </c>
      <c r="V2905" s="845">
        <v>5.5999999999999994E-2</v>
      </c>
      <c r="W2905" s="845">
        <v>0.79822335025380708</v>
      </c>
      <c r="X2905" s="845">
        <v>0.48966613672496023</v>
      </c>
      <c r="Y2905" s="845">
        <v>0.41677096370463079</v>
      </c>
      <c r="Z2905" s="845">
        <v>0.53233208176887781</v>
      </c>
      <c r="AA2905" s="845">
        <v>9.1781393408427205E-3</v>
      </c>
      <c r="AB2905" s="845">
        <v>2.9203170629954109E-3</v>
      </c>
      <c r="AC2905" s="845">
        <v>0</v>
      </c>
      <c r="AD2905" s="845">
        <v>2.1693783896537339E-2</v>
      </c>
      <c r="AE2905" s="845">
        <v>1.7104714226115977E-2</v>
      </c>
      <c r="AF2905" s="845">
        <v>2.1693783896537339E-2</v>
      </c>
      <c r="AG2905" s="845">
        <v>0.41677096370463079</v>
      </c>
      <c r="AH2905" s="20" t="str">
        <f t="shared" si="208"/>
        <v>No</v>
      </c>
      <c r="AI2905" s="25"/>
      <c r="AJ2905" s="25"/>
      <c r="AK2905" s="25"/>
      <c r="AL2905" s="25"/>
      <c r="AM2905" s="25"/>
      <c r="AN2905" s="25"/>
      <c r="AO2905" s="25"/>
      <c r="AP2905" s="25"/>
      <c r="AQ2905" s="25"/>
      <c r="AR2905" s="25"/>
      <c r="AS2905" s="25"/>
      <c r="AT2905" s="25"/>
      <c r="AU2905" s="36"/>
      <c r="AV2905" s="36"/>
      <c r="AW2905" s="36"/>
      <c r="AX2905" s="25"/>
      <c r="AY2905" s="25"/>
      <c r="AZ2905" s="25"/>
      <c r="BA2905" s="25"/>
      <c r="BB2905" s="25"/>
      <c r="BC2905" s="25"/>
      <c r="BD2905" s="25"/>
      <c r="BE2905" s="25"/>
      <c r="BF2905" s="25"/>
      <c r="BG2905" s="25"/>
      <c r="BH2905" s="25"/>
      <c r="BI2905" s="25"/>
      <c r="BJ2905" s="25"/>
      <c r="BK2905" s="25"/>
      <c r="BL2905" s="25"/>
      <c r="BM2905" s="25"/>
      <c r="BN2905" s="25"/>
      <c r="BO2905" s="25"/>
      <c r="BP2905" s="25"/>
      <c r="BQ2905" s="25"/>
      <c r="BR2905" s="25"/>
      <c r="BS2905" s="25"/>
      <c r="BT2905" s="25"/>
      <c r="BU2905"/>
      <c r="BV2905"/>
      <c r="BW2905"/>
      <c r="BX2905"/>
      <c r="BY2905"/>
      <c r="BZ2905"/>
      <c r="CA2905"/>
      <c r="CB2905"/>
      <c r="CC2905"/>
      <c r="CD2905" s="25"/>
    </row>
    <row r="2906" spans="1:82" s="17" customFormat="1" x14ac:dyDescent="0.2">
      <c r="A2906" s="25"/>
      <c r="B2906" s="20">
        <v>39095001900</v>
      </c>
      <c r="C2906" s="20">
        <v>19</v>
      </c>
      <c r="D2906" s="20" t="s">
        <v>53</v>
      </c>
      <c r="E2906" s="20" t="s">
        <v>2839</v>
      </c>
      <c r="F2906" s="20" t="s">
        <v>8</v>
      </c>
      <c r="G2906" s="861">
        <v>27.1249221572766</v>
      </c>
      <c r="H2906" s="861">
        <v>21.345251417774101</v>
      </c>
      <c r="I2906" s="861">
        <v>81.878977519814896</v>
      </c>
      <c r="J2906" s="861">
        <v>47.304179632288303</v>
      </c>
      <c r="K2906" s="982">
        <v>0</v>
      </c>
      <c r="L2906" s="735">
        <v>1639</v>
      </c>
      <c r="M2906" s="735">
        <v>1259</v>
      </c>
      <c r="N2906" s="845">
        <f t="shared" si="206"/>
        <v>-0.23184868822452714</v>
      </c>
      <c r="O2906" s="735">
        <v>0.52291321136605529</v>
      </c>
      <c r="P2906" s="735">
        <f t="shared" si="207"/>
        <v>2407.6653116317257</v>
      </c>
      <c r="Q2906" s="849">
        <v>37</v>
      </c>
      <c r="R2906" s="71">
        <v>24011</v>
      </c>
      <c r="S2906" s="845">
        <v>0.4710087370929309</v>
      </c>
      <c r="T2906" s="845">
        <v>0.13600000000000001</v>
      </c>
      <c r="U2906" s="845">
        <v>0</v>
      </c>
      <c r="V2906" s="845">
        <v>0.13</v>
      </c>
      <c r="W2906" s="845">
        <v>0.65142857142857147</v>
      </c>
      <c r="X2906" s="845">
        <v>0.5</v>
      </c>
      <c r="Y2906" s="845">
        <v>0.17633042096902304</v>
      </c>
      <c r="Z2906" s="845">
        <v>0.63224781572676725</v>
      </c>
      <c r="AA2906" s="845">
        <v>0</v>
      </c>
      <c r="AB2906" s="845">
        <v>0</v>
      </c>
      <c r="AC2906" s="845">
        <v>0</v>
      </c>
      <c r="AD2906" s="845">
        <v>2.3034154090548053E-2</v>
      </c>
      <c r="AE2906" s="845">
        <v>0.16838760921366164</v>
      </c>
      <c r="AF2906" s="845">
        <v>1.0325655281969817E-2</v>
      </c>
      <c r="AG2906" s="845">
        <v>0.17633042096902304</v>
      </c>
      <c r="AH2906" s="20" t="str">
        <f t="shared" si="208"/>
        <v>No</v>
      </c>
      <c r="AI2906" s="25"/>
      <c r="AJ2906" s="25"/>
      <c r="AK2906" s="25"/>
      <c r="AL2906" s="25"/>
      <c r="AM2906" s="25"/>
      <c r="AN2906" s="25"/>
      <c r="AO2906" s="25"/>
      <c r="AP2906" s="25"/>
      <c r="AQ2906" s="25"/>
      <c r="AR2906" s="25"/>
      <c r="AS2906" s="25"/>
      <c r="AT2906" s="25"/>
      <c r="AU2906" s="36"/>
      <c r="AV2906" s="36"/>
      <c r="AW2906" s="36"/>
      <c r="AX2906" s="25"/>
      <c r="AY2906" s="25"/>
      <c r="AZ2906" s="25"/>
      <c r="BA2906" s="25"/>
      <c r="BB2906" s="25"/>
      <c r="BC2906" s="25"/>
      <c r="BD2906" s="25"/>
      <c r="BE2906" s="25"/>
      <c r="BF2906" s="25"/>
      <c r="BG2906" s="25"/>
      <c r="BH2906" s="25"/>
      <c r="BI2906" s="25"/>
      <c r="BJ2906" s="25"/>
      <c r="BK2906" s="25"/>
      <c r="BL2906" s="25"/>
      <c r="BM2906" s="25"/>
      <c r="BN2906" s="25"/>
      <c r="BO2906" s="25"/>
      <c r="BP2906" s="25"/>
      <c r="BQ2906" s="25"/>
      <c r="BR2906" s="25"/>
      <c r="BS2906" s="25"/>
      <c r="BT2906" s="25"/>
      <c r="BU2906"/>
      <c r="BV2906"/>
      <c r="BW2906"/>
      <c r="BX2906"/>
      <c r="BY2906"/>
      <c r="BZ2906"/>
      <c r="CA2906"/>
      <c r="CB2906"/>
      <c r="CC2906"/>
      <c r="CD2906" s="25"/>
    </row>
    <row r="2907" spans="1:82" s="17" customFormat="1" x14ac:dyDescent="0.2">
      <c r="A2907" s="25"/>
      <c r="B2907" s="20">
        <v>39095005000</v>
      </c>
      <c r="C2907" s="20">
        <v>50</v>
      </c>
      <c r="D2907" s="20" t="s">
        <v>53</v>
      </c>
      <c r="E2907" s="20" t="s">
        <v>2839</v>
      </c>
      <c r="F2907" s="20" t="s">
        <v>6</v>
      </c>
      <c r="G2907" s="861">
        <v>27.0966455664568</v>
      </c>
      <c r="H2907" s="861">
        <v>41.666047391887098</v>
      </c>
      <c r="I2907" s="861">
        <v>50.034744705638403</v>
      </c>
      <c r="J2907" s="861">
        <v>31.843311216443499</v>
      </c>
      <c r="K2907" s="982">
        <v>0</v>
      </c>
      <c r="L2907" s="735">
        <v>2119</v>
      </c>
      <c r="M2907" s="735">
        <v>1583</v>
      </c>
      <c r="N2907" s="845">
        <f t="shared" si="206"/>
        <v>-0.25294950448324682</v>
      </c>
      <c r="O2907" s="735">
        <v>0.24714437781724027</v>
      </c>
      <c r="P2907" s="735">
        <f t="shared" si="207"/>
        <v>6405.1629010578008</v>
      </c>
      <c r="Q2907" s="849">
        <v>34.4</v>
      </c>
      <c r="R2907" s="71">
        <v>47621</v>
      </c>
      <c r="S2907" s="845">
        <v>0.30827542640555905</v>
      </c>
      <c r="T2907" s="845">
        <v>0.13900000000000001</v>
      </c>
      <c r="U2907" s="845">
        <v>1.2E-2</v>
      </c>
      <c r="V2907" s="845">
        <v>3.1E-2</v>
      </c>
      <c r="W2907" s="845">
        <v>0.53823953823953818</v>
      </c>
      <c r="X2907" s="845">
        <v>0.54691689008042899</v>
      </c>
      <c r="Y2907" s="845">
        <v>0.67656348704990521</v>
      </c>
      <c r="Z2907" s="845">
        <v>6.948831332912192E-2</v>
      </c>
      <c r="AA2907" s="845">
        <v>0</v>
      </c>
      <c r="AB2907" s="845">
        <v>0</v>
      </c>
      <c r="AC2907" s="845">
        <v>0</v>
      </c>
      <c r="AD2907" s="845">
        <v>7.896399241945673E-2</v>
      </c>
      <c r="AE2907" s="845">
        <v>0.17498420720151611</v>
      </c>
      <c r="AF2907" s="845">
        <v>0.21288692356285535</v>
      </c>
      <c r="AG2907" s="845">
        <v>0.5957043588123816</v>
      </c>
      <c r="AH2907" s="20" t="str">
        <f t="shared" si="208"/>
        <v>No</v>
      </c>
      <c r="AI2907" s="25"/>
      <c r="AJ2907" s="25"/>
      <c r="AK2907" s="25"/>
      <c r="AL2907" s="25"/>
      <c r="AM2907" s="25"/>
      <c r="AN2907" s="25"/>
      <c r="AO2907" s="25"/>
      <c r="AP2907" s="25"/>
      <c r="AQ2907" s="25"/>
      <c r="AR2907" s="25"/>
      <c r="AS2907" s="25"/>
      <c r="AT2907" s="25"/>
      <c r="AU2907" s="36"/>
      <c r="AV2907" s="36"/>
      <c r="AW2907" s="36"/>
      <c r="AX2907" s="25"/>
      <c r="AY2907" s="25"/>
      <c r="AZ2907" s="25"/>
      <c r="BA2907" s="25"/>
      <c r="BB2907" s="25"/>
      <c r="BC2907" s="25"/>
      <c r="BD2907" s="25"/>
      <c r="BE2907" s="25"/>
      <c r="BF2907" s="25"/>
      <c r="BG2907" s="25"/>
      <c r="BH2907" s="25"/>
      <c r="BI2907" s="25"/>
      <c r="BJ2907" s="25"/>
      <c r="BK2907" s="25"/>
      <c r="BL2907" s="25"/>
      <c r="BM2907" s="25"/>
      <c r="BN2907" s="25"/>
      <c r="BO2907" s="25"/>
      <c r="BP2907" s="25"/>
      <c r="BQ2907" s="25"/>
      <c r="BR2907" s="25"/>
      <c r="BS2907" s="25"/>
      <c r="BT2907" s="25"/>
      <c r="BU2907"/>
      <c r="BV2907"/>
      <c r="BW2907"/>
      <c r="BX2907"/>
      <c r="BY2907"/>
      <c r="BZ2907"/>
      <c r="CA2907"/>
      <c r="CB2907"/>
      <c r="CC2907"/>
      <c r="CD2907" s="25"/>
    </row>
    <row r="2908" spans="1:82" s="17" customFormat="1" x14ac:dyDescent="0.2">
      <c r="A2908" s="25"/>
      <c r="B2908" s="20">
        <v>39075976401</v>
      </c>
      <c r="C2908" s="20">
        <v>9764.01</v>
      </c>
      <c r="D2908" s="20" t="s">
        <v>44</v>
      </c>
      <c r="E2908" s="20" t="s">
        <v>265</v>
      </c>
      <c r="F2908" s="20" t="s">
        <v>8</v>
      </c>
      <c r="G2908" s="861">
        <v>26.9772248147287</v>
      </c>
      <c r="H2908" s="861">
        <v>35.4987858261131</v>
      </c>
      <c r="I2908" s="861">
        <v>14.179592712158399</v>
      </c>
      <c r="J2908" s="861">
        <v>37.421754805642301</v>
      </c>
      <c r="K2908" s="982">
        <v>0</v>
      </c>
      <c r="L2908" s="735" t="s">
        <v>2466</v>
      </c>
      <c r="M2908" s="735">
        <v>2364</v>
      </c>
      <c r="N2908" s="845" t="str">
        <f t="shared" si="206"/>
        <v/>
      </c>
      <c r="O2908" s="735">
        <v>17.376236912531617</v>
      </c>
      <c r="P2908" s="735">
        <f t="shared" si="207"/>
        <v>136.0478688164697</v>
      </c>
      <c r="Q2908" s="849">
        <v>27.1</v>
      </c>
      <c r="R2908" s="71">
        <v>98750</v>
      </c>
      <c r="S2908" s="845">
        <v>0.18895966029723993</v>
      </c>
      <c r="T2908" s="845">
        <v>4.0000000000000001E-3</v>
      </c>
      <c r="U2908" s="845">
        <v>0</v>
      </c>
      <c r="V2908" s="845">
        <v>0</v>
      </c>
      <c r="W2908" s="845">
        <v>0.2687074829931973</v>
      </c>
      <c r="X2908" s="845">
        <v>0</v>
      </c>
      <c r="Y2908" s="845">
        <v>1</v>
      </c>
      <c r="Z2908" s="845">
        <v>0</v>
      </c>
      <c r="AA2908" s="845">
        <v>0</v>
      </c>
      <c r="AB2908" s="845">
        <v>0</v>
      </c>
      <c r="AC2908" s="845">
        <v>0</v>
      </c>
      <c r="AD2908" s="845">
        <v>0</v>
      </c>
      <c r="AE2908" s="845">
        <v>0</v>
      </c>
      <c r="AF2908" s="845">
        <v>0</v>
      </c>
      <c r="AG2908" s="845">
        <v>1</v>
      </c>
      <c r="AH2908" s="20" t="str">
        <f t="shared" si="208"/>
        <v>Yes</v>
      </c>
      <c r="AI2908" s="25"/>
      <c r="AJ2908" s="25"/>
      <c r="AK2908" s="25"/>
      <c r="AL2908" s="25"/>
      <c r="AM2908" s="25"/>
      <c r="AN2908" s="25"/>
      <c r="AO2908" s="25"/>
      <c r="AP2908" s="25"/>
      <c r="AQ2908" s="25"/>
      <c r="AR2908" s="25"/>
      <c r="AS2908" s="25"/>
      <c r="AT2908" s="25"/>
      <c r="AU2908" s="36"/>
      <c r="AV2908" s="36"/>
      <c r="AW2908" s="36"/>
      <c r="AX2908" s="25"/>
      <c r="AY2908" s="25"/>
      <c r="AZ2908" s="25"/>
      <c r="BA2908" s="25"/>
      <c r="BB2908" s="25"/>
      <c r="BC2908" s="25"/>
      <c r="BD2908" s="25"/>
      <c r="BE2908" s="25"/>
      <c r="BF2908" s="25"/>
      <c r="BG2908" s="25"/>
      <c r="BH2908" s="25"/>
      <c r="BI2908" s="25"/>
      <c r="BJ2908" s="25"/>
      <c r="BK2908" s="25"/>
      <c r="BL2908" s="25"/>
      <c r="BM2908" s="25"/>
      <c r="BN2908" s="25"/>
      <c r="BO2908" s="25"/>
      <c r="BP2908" s="25"/>
      <c r="BQ2908" s="25"/>
      <c r="BR2908" s="25"/>
      <c r="BS2908" s="25"/>
      <c r="BT2908" s="25"/>
      <c r="BU2908"/>
      <c r="BV2908"/>
      <c r="BW2908"/>
      <c r="BX2908"/>
      <c r="BY2908"/>
      <c r="BZ2908"/>
      <c r="CA2908"/>
      <c r="CB2908"/>
      <c r="CC2908"/>
      <c r="CD2908" s="25"/>
    </row>
    <row r="2909" spans="1:82" s="17" customFormat="1" x14ac:dyDescent="0.2">
      <c r="A2909" s="25"/>
      <c r="B2909" s="20">
        <v>39079957800</v>
      </c>
      <c r="C2909" s="20">
        <v>9578</v>
      </c>
      <c r="D2909" s="20" t="s">
        <v>46</v>
      </c>
      <c r="E2909" s="20" t="s">
        <v>265</v>
      </c>
      <c r="F2909" s="20" t="s">
        <v>8</v>
      </c>
      <c r="G2909" s="861">
        <v>26.959416701807299</v>
      </c>
      <c r="H2909" s="861">
        <v>40.177689471092897</v>
      </c>
      <c r="I2909" s="861">
        <v>27.779447096233898</v>
      </c>
      <c r="J2909" s="861">
        <v>32.076164321775799</v>
      </c>
      <c r="K2909" s="982">
        <v>0</v>
      </c>
      <c r="L2909" s="735">
        <v>5233</v>
      </c>
      <c r="M2909" s="735">
        <v>5069</v>
      </c>
      <c r="N2909" s="845">
        <f t="shared" si="206"/>
        <v>-3.1339575769157274E-2</v>
      </c>
      <c r="O2909" s="735">
        <v>72.475910709875805</v>
      </c>
      <c r="P2909" s="735">
        <f t="shared" si="207"/>
        <v>69.940480227857023</v>
      </c>
      <c r="Q2909" s="849">
        <v>37.6</v>
      </c>
      <c r="R2909" s="71">
        <v>60764</v>
      </c>
      <c r="S2909" s="845">
        <v>0.22331820871966857</v>
      </c>
      <c r="T2909" s="845">
        <v>1.7000000000000001E-2</v>
      </c>
      <c r="U2909" s="845">
        <v>2.8999999999999998E-2</v>
      </c>
      <c r="V2909" s="845">
        <v>0.113</v>
      </c>
      <c r="W2909" s="845">
        <v>0.16835820895522388</v>
      </c>
      <c r="X2909" s="845">
        <v>0.42198581560283688</v>
      </c>
      <c r="Y2909" s="845">
        <v>0.96685736831722235</v>
      </c>
      <c r="Z2909" s="845">
        <v>1.4401262576445058E-2</v>
      </c>
      <c r="AA2909" s="845">
        <v>0</v>
      </c>
      <c r="AB2909" s="845">
        <v>0</v>
      </c>
      <c r="AC2909" s="845">
        <v>0</v>
      </c>
      <c r="AD2909" s="845">
        <v>2.170053264943776E-3</v>
      </c>
      <c r="AE2909" s="845">
        <v>1.6571315841388833E-2</v>
      </c>
      <c r="AF2909" s="845">
        <v>7.4965476425330442E-3</v>
      </c>
      <c r="AG2909" s="845">
        <v>0.96685736831722235</v>
      </c>
      <c r="AH2909" s="20" t="str">
        <f t="shared" si="208"/>
        <v>Yes</v>
      </c>
      <c r="AI2909" s="25"/>
      <c r="AJ2909" s="25"/>
      <c r="AK2909" s="25"/>
      <c r="AL2909" s="25"/>
      <c r="AM2909" s="25"/>
      <c r="AN2909" s="25"/>
      <c r="AO2909" s="25"/>
      <c r="AP2909" s="25"/>
      <c r="AQ2909" s="25"/>
      <c r="AR2909" s="25"/>
      <c r="AS2909" s="25"/>
      <c r="AT2909" s="25"/>
      <c r="AU2909" s="36"/>
      <c r="AV2909" s="36"/>
      <c r="AW2909" s="36"/>
      <c r="AX2909" s="25"/>
      <c r="AY2909" s="25"/>
      <c r="AZ2909" s="25"/>
      <c r="BA2909" s="25"/>
      <c r="BB2909" s="25"/>
      <c r="BC2909" s="25"/>
      <c r="BD2909" s="25"/>
      <c r="BE2909" s="25"/>
      <c r="BF2909" s="25"/>
      <c r="BG2909" s="25"/>
      <c r="BH2909" s="25"/>
      <c r="BI2909" s="25"/>
      <c r="BJ2909" s="25"/>
      <c r="BK2909" s="25"/>
      <c r="BL2909" s="25"/>
      <c r="BM2909" s="25"/>
      <c r="BN2909" s="25"/>
      <c r="BO2909" s="25"/>
      <c r="BP2909" s="25"/>
      <c r="BQ2909" s="25"/>
      <c r="BR2909" s="25"/>
      <c r="BS2909" s="25"/>
      <c r="BT2909" s="25"/>
      <c r="BU2909"/>
      <c r="BV2909"/>
      <c r="BW2909"/>
      <c r="BX2909"/>
      <c r="BY2909"/>
      <c r="BZ2909"/>
      <c r="CA2909"/>
      <c r="CB2909"/>
      <c r="CC2909"/>
      <c r="CD2909" s="25"/>
    </row>
    <row r="2910" spans="1:82" s="17" customFormat="1" x14ac:dyDescent="0.2">
      <c r="A2910" s="25"/>
      <c r="B2910" s="20">
        <v>39055312400</v>
      </c>
      <c r="C2910" s="20">
        <v>3124</v>
      </c>
      <c r="D2910" s="20" t="s">
        <v>34</v>
      </c>
      <c r="E2910" s="20" t="s">
        <v>2829</v>
      </c>
      <c r="F2910" s="20" t="s">
        <v>8</v>
      </c>
      <c r="G2910" s="861">
        <v>26.941581225254001</v>
      </c>
      <c r="H2910" s="861">
        <v>39.665740734617003</v>
      </c>
      <c r="I2910" s="861">
        <v>21.254214369755001</v>
      </c>
      <c r="J2910" s="861">
        <v>50.313264235808902</v>
      </c>
      <c r="K2910" s="982">
        <v>0</v>
      </c>
      <c r="L2910" s="735">
        <v>2603</v>
      </c>
      <c r="M2910" s="735">
        <v>3171</v>
      </c>
      <c r="N2910" s="845">
        <f t="shared" si="206"/>
        <v>0.21820975797157127</v>
      </c>
      <c r="O2910" s="735">
        <v>13.296124359428045</v>
      </c>
      <c r="P2910" s="735">
        <f t="shared" si="207"/>
        <v>238.49054914648872</v>
      </c>
      <c r="Q2910" s="849">
        <v>24.3</v>
      </c>
      <c r="R2910" s="71">
        <v>77778</v>
      </c>
      <c r="S2910" s="845">
        <v>8.0416272469252606E-2</v>
      </c>
      <c r="T2910" s="845">
        <v>9.0000000000000011E-3</v>
      </c>
      <c r="U2910" s="845">
        <v>2.4E-2</v>
      </c>
      <c r="V2910" s="845">
        <v>0</v>
      </c>
      <c r="W2910" s="845">
        <v>0.1111111111111111</v>
      </c>
      <c r="X2910" s="845">
        <v>0.42045454545454547</v>
      </c>
      <c r="Y2910" s="845">
        <v>0.99653106275622827</v>
      </c>
      <c r="Z2910" s="845">
        <v>0</v>
      </c>
      <c r="AA2910" s="845">
        <v>0</v>
      </c>
      <c r="AB2910" s="845">
        <v>0</v>
      </c>
      <c r="AC2910" s="845">
        <v>0</v>
      </c>
      <c r="AD2910" s="845">
        <v>0</v>
      </c>
      <c r="AE2910" s="845">
        <v>3.4689372437716809E-3</v>
      </c>
      <c r="AF2910" s="845">
        <v>2.5228634500157679E-2</v>
      </c>
      <c r="AG2910" s="845">
        <v>0.97256385998107853</v>
      </c>
      <c r="AH2910" s="20" t="str">
        <f t="shared" si="208"/>
        <v>Yes</v>
      </c>
      <c r="AI2910" s="25"/>
      <c r="AJ2910" s="25"/>
      <c r="AK2910" s="25"/>
      <c r="AL2910" s="25"/>
      <c r="AM2910" s="25"/>
      <c r="AN2910" s="25"/>
      <c r="AO2910" s="25"/>
      <c r="AP2910" s="25"/>
      <c r="AQ2910" s="25"/>
      <c r="AR2910" s="25"/>
      <c r="AS2910" s="25"/>
      <c r="AT2910" s="25"/>
      <c r="AU2910" s="36"/>
      <c r="AV2910" s="36"/>
      <c r="AW2910" s="36"/>
      <c r="AX2910" s="25"/>
      <c r="AY2910" s="25"/>
      <c r="AZ2910" s="25"/>
      <c r="BA2910" s="25"/>
      <c r="BB2910" s="25"/>
      <c r="BC2910" s="25"/>
      <c r="BD2910" s="25"/>
      <c r="BE2910" s="25"/>
      <c r="BF2910" s="25"/>
      <c r="BG2910" s="25"/>
      <c r="BH2910" s="25"/>
      <c r="BI2910" s="25"/>
      <c r="BJ2910" s="25"/>
      <c r="BK2910" s="25"/>
      <c r="BL2910" s="25"/>
      <c r="BM2910" s="25"/>
      <c r="BN2910" s="25"/>
      <c r="BO2910" s="25"/>
      <c r="BP2910" s="25"/>
      <c r="BQ2910" s="25"/>
      <c r="BR2910" s="25"/>
      <c r="BS2910" s="25"/>
      <c r="BT2910" s="25"/>
      <c r="BU2910"/>
      <c r="BV2910"/>
      <c r="BW2910"/>
      <c r="BX2910"/>
      <c r="BY2910"/>
      <c r="BZ2910"/>
      <c r="CA2910"/>
      <c r="CB2910"/>
      <c r="CC2910"/>
      <c r="CD2910" s="25"/>
    </row>
    <row r="2911" spans="1:82" s="17" customFormat="1" x14ac:dyDescent="0.2">
      <c r="A2911" s="25"/>
      <c r="B2911" s="20">
        <v>39035112301</v>
      </c>
      <c r="C2911" s="20">
        <v>1123.01</v>
      </c>
      <c r="D2911" s="20" t="s">
        <v>24</v>
      </c>
      <c r="E2911" s="20" t="s">
        <v>2829</v>
      </c>
      <c r="F2911" s="20" t="s">
        <v>6</v>
      </c>
      <c r="G2911" s="861">
        <v>26.9406393626948</v>
      </c>
      <c r="H2911" s="861">
        <v>41.906830104877699</v>
      </c>
      <c r="I2911" s="861">
        <v>67.123319895131104</v>
      </c>
      <c r="J2911" s="861">
        <v>35.708280800041301</v>
      </c>
      <c r="K2911" s="982">
        <v>0</v>
      </c>
      <c r="L2911" s="735">
        <v>1423</v>
      </c>
      <c r="M2911" s="735">
        <v>1503</v>
      </c>
      <c r="N2911" s="845">
        <f t="shared" si="206"/>
        <v>5.621925509486999E-2</v>
      </c>
      <c r="O2911" s="735">
        <v>0.25934713653955732</v>
      </c>
      <c r="P2911" s="735">
        <f t="shared" si="207"/>
        <v>5795.3213598359998</v>
      </c>
      <c r="Q2911" s="849">
        <v>38</v>
      </c>
      <c r="R2911" s="71">
        <v>19297</v>
      </c>
      <c r="S2911" s="845">
        <v>0.57284299858557286</v>
      </c>
      <c r="T2911" s="845">
        <v>0.46299999999999997</v>
      </c>
      <c r="U2911" s="845">
        <v>0</v>
      </c>
      <c r="V2911" s="845">
        <v>2.1000000000000001E-2</v>
      </c>
      <c r="W2911" s="845">
        <v>0.8</v>
      </c>
      <c r="X2911" s="845">
        <v>0.26533742331288346</v>
      </c>
      <c r="Y2911" s="845">
        <v>0.10911510312707917</v>
      </c>
      <c r="Z2911" s="845">
        <v>0.81104457751164338</v>
      </c>
      <c r="AA2911" s="845">
        <v>0</v>
      </c>
      <c r="AB2911" s="845">
        <v>0</v>
      </c>
      <c r="AC2911" s="845">
        <v>0</v>
      </c>
      <c r="AD2911" s="845">
        <v>1.1976047904191617E-2</v>
      </c>
      <c r="AE2911" s="845">
        <v>6.7864271457085831E-2</v>
      </c>
      <c r="AF2911" s="845">
        <v>7.8509647371922828E-2</v>
      </c>
      <c r="AG2911" s="845">
        <v>4.2581503659347972E-2</v>
      </c>
      <c r="AH2911" s="20" t="str">
        <f t="shared" si="208"/>
        <v>No</v>
      </c>
      <c r="AI2911" s="25"/>
      <c r="AJ2911" s="25"/>
      <c r="AK2911" s="25"/>
      <c r="AL2911" s="25"/>
      <c r="AM2911" s="25"/>
      <c r="AN2911" s="25"/>
      <c r="AO2911" s="25"/>
      <c r="AP2911" s="25"/>
      <c r="AQ2911" s="25"/>
      <c r="AR2911" s="25"/>
      <c r="AS2911" s="25"/>
      <c r="AT2911" s="25"/>
      <c r="AU2911" s="36"/>
      <c r="AV2911" s="36"/>
      <c r="AW2911" s="36"/>
      <c r="AX2911" s="25"/>
      <c r="AY2911" s="25"/>
      <c r="AZ2911" s="25"/>
      <c r="BA2911" s="25"/>
      <c r="BB2911" s="25"/>
      <c r="BC2911" s="25"/>
      <c r="BD2911" s="25"/>
      <c r="BE2911" s="25"/>
      <c r="BF2911" s="25"/>
      <c r="BG2911" s="25"/>
      <c r="BH2911" s="25"/>
      <c r="BI2911" s="25"/>
      <c r="BJ2911" s="25"/>
      <c r="BK2911" s="25"/>
      <c r="BL2911" s="25"/>
      <c r="BM2911" s="25"/>
      <c r="BN2911" s="25"/>
      <c r="BO2911" s="25"/>
      <c r="BP2911" s="25"/>
      <c r="BQ2911" s="25"/>
      <c r="BR2911" s="25"/>
      <c r="BS2911" s="25"/>
      <c r="BT2911" s="25"/>
      <c r="BU2911"/>
      <c r="BV2911"/>
      <c r="BW2911"/>
      <c r="BX2911"/>
      <c r="BY2911"/>
      <c r="BZ2911"/>
      <c r="CA2911"/>
      <c r="CB2911"/>
      <c r="CC2911"/>
      <c r="CD2911" s="25"/>
    </row>
    <row r="2912" spans="1:82" s="17" customFormat="1" x14ac:dyDescent="0.2">
      <c r="A2912" s="25"/>
      <c r="B2912" s="20">
        <v>39035115800</v>
      </c>
      <c r="C2912" s="20">
        <v>1158</v>
      </c>
      <c r="D2912" s="20" t="s">
        <v>24</v>
      </c>
      <c r="E2912" s="20" t="s">
        <v>2829</v>
      </c>
      <c r="F2912" s="20" t="s">
        <v>6</v>
      </c>
      <c r="G2912" s="861">
        <v>26.940412173711401</v>
      </c>
      <c r="H2912" s="861">
        <v>50.1181457627738</v>
      </c>
      <c r="I2912" s="861">
        <v>83.794111944119393</v>
      </c>
      <c r="J2912" s="861">
        <v>15.162592461263401</v>
      </c>
      <c r="K2912" s="982">
        <v>0</v>
      </c>
      <c r="L2912" s="735">
        <v>3380</v>
      </c>
      <c r="M2912" s="735">
        <v>2582</v>
      </c>
      <c r="N2912" s="845">
        <f t="shared" si="206"/>
        <v>-0.23609467455621302</v>
      </c>
      <c r="O2912" s="735">
        <v>0.57818296316425954</v>
      </c>
      <c r="P2912" s="735">
        <f t="shared" si="207"/>
        <v>4465.7144269165601</v>
      </c>
      <c r="Q2912" s="849">
        <v>39.5</v>
      </c>
      <c r="R2912" s="71">
        <v>32145</v>
      </c>
      <c r="S2912" s="845">
        <v>0.27361436377829823</v>
      </c>
      <c r="T2912" s="845">
        <v>0.14599999999999999</v>
      </c>
      <c r="U2912" s="845">
        <v>0</v>
      </c>
      <c r="V2912" s="845">
        <v>4.5999999999999999E-2</v>
      </c>
      <c r="W2912" s="845">
        <v>0.59164292497625826</v>
      </c>
      <c r="X2912" s="845">
        <v>0.27447833065810595</v>
      </c>
      <c r="Y2912" s="845">
        <v>0.43609604957397369</v>
      </c>
      <c r="Z2912" s="845">
        <v>0.44035631293570876</v>
      </c>
      <c r="AA2912" s="845">
        <v>7.7459333849728897E-4</v>
      </c>
      <c r="AB2912" s="845">
        <v>1.9364833462432224E-3</v>
      </c>
      <c r="AC2912" s="845">
        <v>0</v>
      </c>
      <c r="AD2912" s="845">
        <v>2.1688613477924088E-2</v>
      </c>
      <c r="AE2912" s="845">
        <v>9.9147947327652988E-2</v>
      </c>
      <c r="AF2912" s="845">
        <v>5.2672347017815646E-2</v>
      </c>
      <c r="AG2912" s="845">
        <v>0.41479473276529821</v>
      </c>
      <c r="AH2912" s="20" t="str">
        <f t="shared" si="208"/>
        <v>No</v>
      </c>
      <c r="AI2912" s="25"/>
      <c r="AJ2912" s="25"/>
      <c r="AK2912" s="25"/>
      <c r="AL2912" s="25"/>
      <c r="AM2912" s="25"/>
      <c r="AN2912" s="25"/>
      <c r="AO2912" s="25"/>
      <c r="AP2912" s="25"/>
      <c r="AQ2912" s="25"/>
      <c r="AR2912" s="25"/>
      <c r="AS2912" s="25"/>
      <c r="AT2912" s="25"/>
      <c r="AU2912" s="36"/>
      <c r="AV2912" s="36"/>
      <c r="AW2912" s="36"/>
      <c r="AX2912" s="25"/>
      <c r="AY2912" s="25"/>
      <c r="AZ2912" s="25"/>
      <c r="BA2912" s="25"/>
      <c r="BB2912" s="25"/>
      <c r="BC2912" s="25"/>
      <c r="BD2912" s="25"/>
      <c r="BE2912" s="25"/>
      <c r="BF2912" s="25"/>
      <c r="BG2912" s="25"/>
      <c r="BH2912" s="25"/>
      <c r="BI2912" s="25"/>
      <c r="BJ2912" s="25"/>
      <c r="BK2912" s="25"/>
      <c r="BL2912" s="25"/>
      <c r="BM2912" s="25"/>
      <c r="BN2912" s="25"/>
      <c r="BO2912" s="25"/>
      <c r="BP2912" s="25"/>
      <c r="BQ2912" s="25"/>
      <c r="BR2912" s="25"/>
      <c r="BS2912" s="25"/>
      <c r="BT2912" s="25"/>
      <c r="BU2912"/>
      <c r="BV2912"/>
      <c r="BW2912"/>
      <c r="BX2912"/>
      <c r="BY2912"/>
      <c r="BZ2912"/>
      <c r="CA2912"/>
      <c r="CB2912"/>
      <c r="CC2912"/>
      <c r="CD2912" s="25"/>
    </row>
    <row r="2913" spans="1:82" s="17" customFormat="1" x14ac:dyDescent="0.2">
      <c r="A2913" s="25"/>
      <c r="B2913" s="20">
        <v>39053953600</v>
      </c>
      <c r="C2913" s="20">
        <v>9536</v>
      </c>
      <c r="D2913" s="20" t="s">
        <v>33</v>
      </c>
      <c r="E2913" s="20" t="s">
        <v>265</v>
      </c>
      <c r="F2913" s="20" t="s">
        <v>8</v>
      </c>
      <c r="G2913" s="861">
        <v>26.898295985997901</v>
      </c>
      <c r="H2913" s="861">
        <v>35.510232199690101</v>
      </c>
      <c r="I2913" s="861">
        <v>21.918600529303198</v>
      </c>
      <c r="J2913" s="861">
        <v>41.277301882752397</v>
      </c>
      <c r="K2913" s="982">
        <v>0</v>
      </c>
      <c r="L2913" s="735">
        <v>4212</v>
      </c>
      <c r="M2913" s="735">
        <v>4226</v>
      </c>
      <c r="N2913" s="845">
        <f t="shared" si="206"/>
        <v>3.3238366571699905E-3</v>
      </c>
      <c r="O2913" s="735">
        <v>89.265621377698139</v>
      </c>
      <c r="P2913" s="735">
        <f t="shared" si="207"/>
        <v>47.34185383776213</v>
      </c>
      <c r="Q2913" s="849">
        <v>40.1</v>
      </c>
      <c r="R2913" s="71">
        <v>55179</v>
      </c>
      <c r="S2913" s="845">
        <v>0.15073355418835779</v>
      </c>
      <c r="T2913" s="845">
        <v>4.4999999999999998E-2</v>
      </c>
      <c r="U2913" s="845">
        <v>5.0000000000000001E-3</v>
      </c>
      <c r="V2913" s="845">
        <v>0.16300000000000001</v>
      </c>
      <c r="W2913" s="845">
        <v>0.20369149637442321</v>
      </c>
      <c r="X2913" s="845">
        <v>0.3818770226537217</v>
      </c>
      <c r="Y2913" s="845">
        <v>0.90392806436346429</v>
      </c>
      <c r="Z2913" s="845">
        <v>1.1831519167061051E-2</v>
      </c>
      <c r="AA2913" s="845">
        <v>0</v>
      </c>
      <c r="AB2913" s="845">
        <v>0</v>
      </c>
      <c r="AC2913" s="845">
        <v>0</v>
      </c>
      <c r="AD2913" s="845">
        <v>7.4065309985802172E-2</v>
      </c>
      <c r="AE2913" s="845">
        <v>1.0175106483672503E-2</v>
      </c>
      <c r="AF2913" s="845">
        <v>8.7553241836251777E-3</v>
      </c>
      <c r="AG2913" s="845">
        <v>0.90274491244675814</v>
      </c>
      <c r="AH2913" s="20" t="str">
        <f t="shared" si="208"/>
        <v>Yes</v>
      </c>
      <c r="AI2913" s="25"/>
      <c r="AJ2913" s="25"/>
      <c r="AK2913" s="25"/>
      <c r="AL2913" s="25"/>
      <c r="AM2913" s="25"/>
      <c r="AN2913" s="25"/>
      <c r="AO2913" s="25"/>
      <c r="AP2913" s="25"/>
      <c r="AQ2913" s="25"/>
      <c r="AR2913" s="25"/>
      <c r="AS2913" s="25"/>
      <c r="AT2913" s="25"/>
      <c r="AU2913" s="36"/>
      <c r="AV2913" s="36"/>
      <c r="AW2913" s="36"/>
      <c r="AX2913" s="25"/>
      <c r="AY2913" s="25"/>
      <c r="AZ2913" s="25"/>
      <c r="BA2913" s="25"/>
      <c r="BB2913" s="25"/>
      <c r="BC2913" s="25"/>
      <c r="BD2913" s="25"/>
      <c r="BE2913" s="25"/>
      <c r="BF2913" s="25"/>
      <c r="BG2913" s="25"/>
      <c r="BH2913" s="25"/>
      <c r="BI2913" s="25"/>
      <c r="BJ2913" s="25"/>
      <c r="BK2913" s="25"/>
      <c r="BL2913" s="25"/>
      <c r="BM2913" s="25"/>
      <c r="BN2913" s="25"/>
      <c r="BO2913" s="25"/>
      <c r="BP2913" s="25"/>
      <c r="BQ2913" s="25"/>
      <c r="BR2913" s="25"/>
      <c r="BS2913" s="25"/>
      <c r="BT2913" s="25"/>
      <c r="BU2913"/>
      <c r="BV2913"/>
      <c r="BW2913"/>
      <c r="BX2913"/>
      <c r="BY2913"/>
      <c r="BZ2913"/>
      <c r="CA2913"/>
      <c r="CB2913"/>
      <c r="CC2913"/>
      <c r="CD2913" s="25"/>
    </row>
    <row r="2914" spans="1:82" s="17" customFormat="1" x14ac:dyDescent="0.2">
      <c r="A2914" s="25"/>
      <c r="B2914" s="20">
        <v>39169001700</v>
      </c>
      <c r="C2914" s="20">
        <v>17</v>
      </c>
      <c r="D2914" s="20" t="s">
        <v>90</v>
      </c>
      <c r="E2914" s="20" t="s">
        <v>265</v>
      </c>
      <c r="F2914" s="20" t="s">
        <v>8</v>
      </c>
      <c r="G2914" s="861">
        <v>26.868430600334399</v>
      </c>
      <c r="H2914" s="861">
        <v>36.3273008835586</v>
      </c>
      <c r="I2914" s="861">
        <v>15.323158819500801</v>
      </c>
      <c r="J2914" s="861">
        <v>54.169077639942401</v>
      </c>
      <c r="K2914" s="982">
        <v>0</v>
      </c>
      <c r="L2914" s="735">
        <v>7550</v>
      </c>
      <c r="M2914" s="735">
        <v>7993</v>
      </c>
      <c r="N2914" s="845">
        <f t="shared" si="206"/>
        <v>5.8675496688741724E-2</v>
      </c>
      <c r="O2914" s="735">
        <v>48.424713038547502</v>
      </c>
      <c r="P2914" s="735">
        <f t="shared" si="207"/>
        <v>165.06034829029005</v>
      </c>
      <c r="Q2914" s="849">
        <v>24.5</v>
      </c>
      <c r="R2914" s="71">
        <v>80326</v>
      </c>
      <c r="S2914" s="845">
        <v>6.9069069069069067E-2</v>
      </c>
      <c r="T2914" s="845">
        <v>6.9999999999999993E-3</v>
      </c>
      <c r="U2914" s="845">
        <v>0</v>
      </c>
      <c r="V2914" s="845">
        <v>0</v>
      </c>
      <c r="W2914" s="845">
        <v>0.1345744680851064</v>
      </c>
      <c r="X2914" s="845">
        <v>1.1857707509881422E-2</v>
      </c>
      <c r="Y2914" s="845">
        <v>0.97923182784936824</v>
      </c>
      <c r="Z2914" s="845">
        <v>3.7532841236081571E-4</v>
      </c>
      <c r="AA2914" s="845">
        <v>0</v>
      </c>
      <c r="AB2914" s="845">
        <v>6.2554735393469281E-4</v>
      </c>
      <c r="AC2914" s="845">
        <v>0</v>
      </c>
      <c r="AD2914" s="845">
        <v>2.7524083573126487E-3</v>
      </c>
      <c r="AE2914" s="845">
        <v>1.7014888027023646E-2</v>
      </c>
      <c r="AF2914" s="845">
        <v>1.3261603903415489E-2</v>
      </c>
      <c r="AG2914" s="845">
        <v>0.97923182784936824</v>
      </c>
      <c r="AH2914" s="20" t="str">
        <f t="shared" si="208"/>
        <v>Yes</v>
      </c>
      <c r="AI2914" s="25"/>
      <c r="AJ2914" s="25"/>
      <c r="AK2914" s="25"/>
      <c r="AL2914" s="25"/>
      <c r="AM2914" s="25"/>
      <c r="AN2914" s="25"/>
      <c r="AO2914" s="25"/>
      <c r="AP2914" s="25"/>
      <c r="AQ2914" s="25"/>
      <c r="AR2914" s="25"/>
      <c r="AS2914" s="25"/>
      <c r="AT2914" s="25"/>
      <c r="AU2914" s="36"/>
      <c r="AV2914" s="36"/>
      <c r="AW2914" s="36"/>
      <c r="AX2914" s="25"/>
      <c r="AY2914" s="25"/>
      <c r="AZ2914" s="25"/>
      <c r="BA2914" s="25"/>
      <c r="BB2914" s="25"/>
      <c r="BC2914" s="25"/>
      <c r="BD2914" s="25"/>
      <c r="BE2914" s="25"/>
      <c r="BF2914" s="25"/>
      <c r="BG2914" s="25"/>
      <c r="BH2914" s="25"/>
      <c r="BI2914" s="25"/>
      <c r="BJ2914" s="25"/>
      <c r="BK2914" s="25"/>
      <c r="BL2914" s="25"/>
      <c r="BM2914" s="25"/>
      <c r="BN2914" s="25"/>
      <c r="BO2914" s="25"/>
      <c r="BP2914" s="25"/>
      <c r="BQ2914" s="25"/>
      <c r="BR2914" s="25"/>
      <c r="BS2914" s="25"/>
      <c r="BT2914" s="25"/>
      <c r="BU2914"/>
      <c r="BV2914"/>
      <c r="BW2914"/>
      <c r="BX2914"/>
      <c r="BY2914"/>
      <c r="BZ2914"/>
      <c r="CA2914"/>
      <c r="CB2914"/>
      <c r="CC2914"/>
      <c r="CD2914" s="25"/>
    </row>
    <row r="2915" spans="1:82" s="17" customFormat="1" x14ac:dyDescent="0.2">
      <c r="A2915" s="25"/>
      <c r="B2915" s="20">
        <v>39113001200</v>
      </c>
      <c r="C2915" s="20">
        <v>12</v>
      </c>
      <c r="D2915" s="20" t="s">
        <v>62</v>
      </c>
      <c r="E2915" s="20" t="s">
        <v>2833</v>
      </c>
      <c r="F2915" s="20" t="s">
        <v>6</v>
      </c>
      <c r="G2915" s="861">
        <v>26.867069030374701</v>
      </c>
      <c r="H2915" s="861">
        <v>35.230400388172598</v>
      </c>
      <c r="I2915" s="861">
        <v>89.780987114919</v>
      </c>
      <c r="J2915" s="861">
        <v>47.592802789075598</v>
      </c>
      <c r="K2915" s="982">
        <v>0</v>
      </c>
      <c r="L2915" s="735">
        <v>1077</v>
      </c>
      <c r="M2915" s="735">
        <v>1148</v>
      </c>
      <c r="N2915" s="845">
        <f t="shared" si="206"/>
        <v>6.5923862581244191E-2</v>
      </c>
      <c r="O2915" s="735">
        <v>0.27813679808746306</v>
      </c>
      <c r="P2915" s="735">
        <f t="shared" si="207"/>
        <v>4127.4653619870869</v>
      </c>
      <c r="Q2915" s="849">
        <v>43.1</v>
      </c>
      <c r="R2915" s="71">
        <v>19182</v>
      </c>
      <c r="S2915" s="845">
        <v>0.57229965156794427</v>
      </c>
      <c r="T2915" s="845">
        <v>0.41399999999999998</v>
      </c>
      <c r="U2915" s="845">
        <v>0</v>
      </c>
      <c r="V2915" s="845">
        <v>4.2999999999999997E-2</v>
      </c>
      <c r="W2915" s="845">
        <v>0.66006600660066006</v>
      </c>
      <c r="X2915" s="845">
        <v>0.65749999999999997</v>
      </c>
      <c r="Y2915" s="845">
        <v>0.20818815331010454</v>
      </c>
      <c r="Z2915" s="845">
        <v>0.58885017421602792</v>
      </c>
      <c r="AA2915" s="845">
        <v>0</v>
      </c>
      <c r="AB2915" s="845">
        <v>8.710801393728223E-4</v>
      </c>
      <c r="AC2915" s="845">
        <v>0</v>
      </c>
      <c r="AD2915" s="845">
        <v>4.6167247386759584E-2</v>
      </c>
      <c r="AE2915" s="845">
        <v>0.15592334494773519</v>
      </c>
      <c r="AF2915" s="845">
        <v>3.8327526132404179E-2</v>
      </c>
      <c r="AG2915" s="845">
        <v>0.20121951219512196</v>
      </c>
      <c r="AH2915" s="20" t="str">
        <f t="shared" si="208"/>
        <v>No</v>
      </c>
      <c r="AI2915" s="25"/>
      <c r="AJ2915" s="25"/>
      <c r="AK2915" s="25"/>
      <c r="AL2915" s="25"/>
      <c r="AM2915" s="25"/>
      <c r="AN2915" s="25"/>
      <c r="AO2915" s="25"/>
      <c r="AP2915" s="25"/>
      <c r="AQ2915" s="25"/>
      <c r="AR2915" s="25"/>
      <c r="AS2915" s="25"/>
      <c r="AT2915" s="25"/>
      <c r="AU2915" s="36"/>
      <c r="AV2915" s="36"/>
      <c r="AW2915" s="36"/>
      <c r="AX2915" s="25"/>
      <c r="AY2915" s="25"/>
      <c r="AZ2915" s="25"/>
      <c r="BA2915" s="25"/>
      <c r="BB2915" s="25"/>
      <c r="BC2915" s="25"/>
      <c r="BD2915" s="25"/>
      <c r="BE2915" s="25"/>
      <c r="BF2915" s="25"/>
      <c r="BG2915" s="25"/>
      <c r="BH2915" s="25"/>
      <c r="BI2915" s="25"/>
      <c r="BJ2915" s="25"/>
      <c r="BK2915" s="25"/>
      <c r="BL2915" s="25"/>
      <c r="BM2915" s="25"/>
      <c r="BN2915" s="25"/>
      <c r="BO2915" s="25"/>
      <c r="BP2915" s="25"/>
      <c r="BQ2915" s="25"/>
      <c r="BR2915" s="25"/>
      <c r="BS2915" s="25"/>
      <c r="BT2915" s="25"/>
      <c r="BU2915"/>
      <c r="BV2915"/>
      <c r="BW2915"/>
      <c r="BX2915"/>
      <c r="BY2915"/>
      <c r="BZ2915"/>
      <c r="CA2915"/>
      <c r="CB2915"/>
      <c r="CC2915"/>
      <c r="CD2915" s="25"/>
    </row>
    <row r="2916" spans="1:82" s="17" customFormat="1" x14ac:dyDescent="0.2">
      <c r="A2916" s="25"/>
      <c r="B2916" s="20">
        <v>39017000400</v>
      </c>
      <c r="C2916" s="20">
        <v>4</v>
      </c>
      <c r="D2916" s="20" t="s">
        <v>15</v>
      </c>
      <c r="E2916" s="20" t="s">
        <v>2828</v>
      </c>
      <c r="F2916" s="20" t="s">
        <v>6</v>
      </c>
      <c r="G2916" s="861">
        <v>26.839334437437198</v>
      </c>
      <c r="H2916" s="861">
        <v>38.530814976732898</v>
      </c>
      <c r="I2916" s="861">
        <v>58.141399843247598</v>
      </c>
      <c r="J2916" s="861">
        <v>59.7054528548585</v>
      </c>
      <c r="K2916" s="982">
        <v>0</v>
      </c>
      <c r="L2916" s="735">
        <v>4162</v>
      </c>
      <c r="M2916" s="735">
        <v>3549</v>
      </c>
      <c r="N2916" s="845">
        <f t="shared" si="206"/>
        <v>-0.14728495915425277</v>
      </c>
      <c r="O2916" s="735">
        <v>0.91466095572153039</v>
      </c>
      <c r="P2916" s="735">
        <f t="shared" si="207"/>
        <v>3880.1262673340757</v>
      </c>
      <c r="Q2916" s="849">
        <v>40.799999999999997</v>
      </c>
      <c r="R2916" s="71">
        <v>28800</v>
      </c>
      <c r="S2916" s="845">
        <v>0.37678506041742954</v>
      </c>
      <c r="T2916" s="845">
        <v>0.122</v>
      </c>
      <c r="U2916" s="845">
        <v>0</v>
      </c>
      <c r="V2916" s="845">
        <v>6.8000000000000005E-2</v>
      </c>
      <c r="W2916" s="845">
        <v>0.56708407871198574</v>
      </c>
      <c r="X2916" s="845">
        <v>0.42113564668769715</v>
      </c>
      <c r="Y2916" s="845">
        <v>0.61792054099746407</v>
      </c>
      <c r="Z2916" s="845">
        <v>0.16229923922231615</v>
      </c>
      <c r="AA2916" s="845">
        <v>2.5359256128486898E-3</v>
      </c>
      <c r="AB2916" s="845">
        <v>5.3536207382361232E-3</v>
      </c>
      <c r="AC2916" s="845">
        <v>0</v>
      </c>
      <c r="AD2916" s="845">
        <v>0.12482389405466328</v>
      </c>
      <c r="AE2916" s="845">
        <v>8.7066779374471687E-2</v>
      </c>
      <c r="AF2916" s="845">
        <v>0.26852634544942239</v>
      </c>
      <c r="AG2916" s="845">
        <v>0.53198083967314735</v>
      </c>
      <c r="AH2916" s="20" t="str">
        <f t="shared" si="208"/>
        <v>No</v>
      </c>
      <c r="AI2916" s="25"/>
      <c r="AJ2916" s="25"/>
      <c r="AK2916" s="25"/>
      <c r="AL2916" s="25"/>
      <c r="AM2916" s="25"/>
      <c r="AN2916" s="25"/>
      <c r="AO2916" s="25"/>
      <c r="AP2916" s="25"/>
      <c r="AQ2916" s="25"/>
      <c r="AR2916" s="25"/>
      <c r="AS2916" s="25"/>
      <c r="AT2916" s="25"/>
      <c r="AU2916" s="36"/>
      <c r="AV2916" s="36"/>
      <c r="AW2916" s="36"/>
      <c r="AX2916" s="25"/>
      <c r="AY2916" s="25"/>
      <c r="AZ2916" s="25"/>
      <c r="BA2916" s="25"/>
      <c r="BB2916" s="25"/>
      <c r="BC2916" s="25"/>
      <c r="BD2916" s="25"/>
      <c r="BE2916" s="25"/>
      <c r="BF2916" s="25"/>
      <c r="BG2916" s="25"/>
      <c r="BH2916" s="25"/>
      <c r="BI2916" s="25"/>
      <c r="BJ2916" s="25"/>
      <c r="BK2916" s="25"/>
      <c r="BL2916" s="25"/>
      <c r="BM2916" s="25"/>
      <c r="BN2916" s="25"/>
      <c r="BO2916" s="25"/>
      <c r="BP2916" s="25"/>
      <c r="BQ2916" s="25"/>
      <c r="BR2916" s="25"/>
      <c r="BS2916" s="25"/>
      <c r="BT2916" s="25"/>
      <c r="BU2916"/>
      <c r="BV2916"/>
      <c r="BW2916"/>
      <c r="BX2916"/>
      <c r="BY2916"/>
      <c r="BZ2916"/>
      <c r="CA2916"/>
      <c r="CB2916"/>
      <c r="CC2916"/>
      <c r="CD2916" s="25"/>
    </row>
    <row r="2917" spans="1:82" s="17" customFormat="1" x14ac:dyDescent="0.2">
      <c r="A2917" s="25"/>
      <c r="B2917" s="20">
        <v>39157020400</v>
      </c>
      <c r="C2917" s="20">
        <v>204</v>
      </c>
      <c r="D2917" s="20" t="s">
        <v>84</v>
      </c>
      <c r="E2917" s="20" t="s">
        <v>265</v>
      </c>
      <c r="F2917" s="20" t="s">
        <v>8</v>
      </c>
      <c r="G2917" s="861">
        <v>26.8013524589628</v>
      </c>
      <c r="H2917" s="861">
        <v>37.504018544949297</v>
      </c>
      <c r="I2917" s="861">
        <v>32.879088269146301</v>
      </c>
      <c r="J2917" s="861">
        <v>29.4995733513347</v>
      </c>
      <c r="K2917" s="982">
        <v>0</v>
      </c>
      <c r="L2917" s="735">
        <v>5546</v>
      </c>
      <c r="M2917" s="735">
        <v>5466</v>
      </c>
      <c r="N2917" s="845">
        <f t="shared" si="206"/>
        <v>-1.4424810674359899E-2</v>
      </c>
      <c r="O2917" s="735">
        <v>63.657245129206409</v>
      </c>
      <c r="P2917" s="735">
        <f t="shared" si="207"/>
        <v>85.866109802671289</v>
      </c>
      <c r="Q2917" s="849">
        <v>45.3</v>
      </c>
      <c r="R2917" s="71">
        <v>57537</v>
      </c>
      <c r="S2917" s="845">
        <v>0.12355425004589682</v>
      </c>
      <c r="T2917" s="845">
        <v>3.1E-2</v>
      </c>
      <c r="U2917" s="845">
        <v>0</v>
      </c>
      <c r="V2917" s="845">
        <v>2.2000000000000002E-2</v>
      </c>
      <c r="W2917" s="845">
        <v>0.23971377459749552</v>
      </c>
      <c r="X2917" s="845">
        <v>0.54477611940298509</v>
      </c>
      <c r="Y2917" s="845">
        <v>0.98225393340651301</v>
      </c>
      <c r="Z2917" s="845">
        <v>3.8419319429198683E-3</v>
      </c>
      <c r="AA2917" s="845">
        <v>0</v>
      </c>
      <c r="AB2917" s="845">
        <v>0</v>
      </c>
      <c r="AC2917" s="845">
        <v>0</v>
      </c>
      <c r="AD2917" s="845">
        <v>1.0976948408342481E-3</v>
      </c>
      <c r="AE2917" s="845">
        <v>1.2806439809732895E-2</v>
      </c>
      <c r="AF2917" s="845">
        <v>0</v>
      </c>
      <c r="AG2917" s="845">
        <v>0.98225393340651301</v>
      </c>
      <c r="AH2917" s="20" t="str">
        <f t="shared" si="208"/>
        <v>Yes</v>
      </c>
      <c r="AI2917" s="25"/>
      <c r="AJ2917" s="25"/>
      <c r="AK2917" s="25"/>
      <c r="AL2917" s="25"/>
      <c r="AM2917" s="25"/>
      <c r="AN2917" s="25"/>
      <c r="AO2917" s="25"/>
      <c r="AP2917" s="25"/>
      <c r="AQ2917" s="25"/>
      <c r="AR2917" s="25"/>
      <c r="AS2917" s="25"/>
      <c r="AT2917" s="25"/>
      <c r="AU2917" s="36"/>
      <c r="AV2917" s="36"/>
      <c r="AW2917" s="36"/>
      <c r="AX2917" s="25"/>
      <c r="AY2917" s="25"/>
      <c r="AZ2917" s="25"/>
      <c r="BA2917" s="25"/>
      <c r="BB2917" s="25"/>
      <c r="BC2917" s="25"/>
      <c r="BD2917" s="25"/>
      <c r="BE2917" s="25"/>
      <c r="BF2917" s="25"/>
      <c r="BG2917" s="25"/>
      <c r="BH2917" s="25"/>
      <c r="BI2917" s="25"/>
      <c r="BJ2917" s="25"/>
      <c r="BK2917" s="25"/>
      <c r="BL2917" s="25"/>
      <c r="BM2917" s="25"/>
      <c r="BN2917" s="25"/>
      <c r="BO2917" s="25"/>
      <c r="BP2917" s="25"/>
      <c r="BQ2917" s="25"/>
      <c r="BR2917" s="25"/>
      <c r="BS2917" s="25"/>
      <c r="BT2917" s="25"/>
      <c r="BU2917"/>
      <c r="BV2917"/>
      <c r="BW2917"/>
      <c r="BX2917"/>
      <c r="BY2917"/>
      <c r="BZ2917"/>
      <c r="CA2917"/>
      <c r="CB2917"/>
      <c r="CC2917"/>
      <c r="CD2917" s="25"/>
    </row>
    <row r="2918" spans="1:82" s="17" customFormat="1" x14ac:dyDescent="0.2">
      <c r="A2918" s="25"/>
      <c r="B2918" s="20">
        <v>39157021400</v>
      </c>
      <c r="C2918" s="20">
        <v>214</v>
      </c>
      <c r="D2918" s="20" t="s">
        <v>84</v>
      </c>
      <c r="E2918" s="20" t="s">
        <v>265</v>
      </c>
      <c r="F2918" s="20" t="s">
        <v>8</v>
      </c>
      <c r="G2918" s="861">
        <v>26.7159507262655</v>
      </c>
      <c r="H2918" s="861">
        <v>39.2212704755798</v>
      </c>
      <c r="I2918" s="861">
        <v>22.014302278561399</v>
      </c>
      <c r="J2918" s="861">
        <v>40.876022811820803</v>
      </c>
      <c r="K2918" s="982">
        <v>0</v>
      </c>
      <c r="L2918" s="735">
        <v>2338</v>
      </c>
      <c r="M2918" s="735">
        <v>2757</v>
      </c>
      <c r="N2918" s="845">
        <f t="shared" si="206"/>
        <v>0.17921300256629599</v>
      </c>
      <c r="O2918" s="735">
        <v>56.46158506882103</v>
      </c>
      <c r="P2918" s="735">
        <f t="shared" si="207"/>
        <v>48.829659965080552</v>
      </c>
      <c r="Q2918" s="849">
        <v>33.299999999999997</v>
      </c>
      <c r="R2918" s="71">
        <v>57991</v>
      </c>
      <c r="S2918" s="845">
        <v>6.3112078346028291E-2</v>
      </c>
      <c r="T2918" s="845">
        <v>4.0999999999999995E-2</v>
      </c>
      <c r="U2918" s="845">
        <v>8.0000000000000002E-3</v>
      </c>
      <c r="V2918" s="845">
        <v>0</v>
      </c>
      <c r="W2918" s="845">
        <v>0.17094972067039105</v>
      </c>
      <c r="X2918" s="845">
        <v>0.24836601307189543</v>
      </c>
      <c r="Y2918" s="845">
        <v>0.96336597751178821</v>
      </c>
      <c r="Z2918" s="845">
        <v>2.176278563656148E-3</v>
      </c>
      <c r="AA2918" s="845">
        <v>0</v>
      </c>
      <c r="AB2918" s="845">
        <v>7.2542618788538262E-3</v>
      </c>
      <c r="AC2918" s="845">
        <v>0</v>
      </c>
      <c r="AD2918" s="845">
        <v>0</v>
      </c>
      <c r="AE2918" s="845">
        <v>2.720348204570185E-2</v>
      </c>
      <c r="AF2918" s="845">
        <v>5.4406964091403701E-3</v>
      </c>
      <c r="AG2918" s="845">
        <v>0.96010155966630395</v>
      </c>
      <c r="AH2918" s="20" t="str">
        <f t="shared" si="208"/>
        <v>Yes</v>
      </c>
      <c r="AI2918" s="25"/>
      <c r="AJ2918" s="25"/>
      <c r="AK2918" s="25"/>
      <c r="AL2918" s="25"/>
      <c r="AM2918" s="25"/>
      <c r="AN2918" s="25"/>
      <c r="AO2918" s="25"/>
      <c r="AP2918" s="25"/>
      <c r="AQ2918" s="25"/>
      <c r="AR2918" s="25"/>
      <c r="AS2918" s="25"/>
      <c r="AT2918" s="25"/>
      <c r="AU2918" s="36"/>
      <c r="AV2918" s="36"/>
      <c r="AW2918" s="36"/>
      <c r="AX2918" s="25"/>
      <c r="AY2918" s="25"/>
      <c r="AZ2918" s="25"/>
      <c r="BA2918" s="25"/>
      <c r="BB2918" s="25"/>
      <c r="BC2918" s="25"/>
      <c r="BD2918" s="25"/>
      <c r="BE2918" s="25"/>
      <c r="BF2918" s="25"/>
      <c r="BG2918" s="25"/>
      <c r="BH2918" s="25"/>
      <c r="BI2918" s="25"/>
      <c r="BJ2918" s="25"/>
      <c r="BK2918" s="25"/>
      <c r="BL2918" s="25"/>
      <c r="BM2918" s="25"/>
      <c r="BN2918" s="25"/>
      <c r="BO2918" s="25"/>
      <c r="BP2918" s="25"/>
      <c r="BQ2918" s="25"/>
      <c r="BR2918" s="25"/>
      <c r="BS2918" s="25"/>
      <c r="BT2918" s="25"/>
      <c r="BU2918"/>
      <c r="BV2918"/>
      <c r="BW2918"/>
      <c r="BX2918"/>
      <c r="BY2918"/>
      <c r="BZ2918"/>
      <c r="CA2918"/>
      <c r="CB2918"/>
      <c r="CC2918"/>
      <c r="CD2918" s="25"/>
    </row>
    <row r="2919" spans="1:82" s="17" customFormat="1" x14ac:dyDescent="0.2">
      <c r="A2919" s="25"/>
      <c r="B2919" s="20">
        <v>39019720600</v>
      </c>
      <c r="C2919" s="20">
        <v>7206</v>
      </c>
      <c r="D2919" s="20" t="s">
        <v>16</v>
      </c>
      <c r="E2919" s="20" t="s">
        <v>2844</v>
      </c>
      <c r="F2919" s="20" t="s">
        <v>8</v>
      </c>
      <c r="G2919" s="861">
        <v>26.713220842292699</v>
      </c>
      <c r="H2919" s="861">
        <v>40.1126629868265</v>
      </c>
      <c r="I2919" s="861">
        <v>14.8555479601358</v>
      </c>
      <c r="J2919" s="861">
        <v>40.230187197567602</v>
      </c>
      <c r="K2919" s="982">
        <v>0</v>
      </c>
      <c r="L2919" s="735">
        <v>3482</v>
      </c>
      <c r="M2919" s="735">
        <v>3136</v>
      </c>
      <c r="N2919" s="845">
        <f t="shared" si="206"/>
        <v>-9.9368179207352095E-2</v>
      </c>
      <c r="O2919" s="735">
        <v>105.19472732251269</v>
      </c>
      <c r="P2919" s="735">
        <f t="shared" si="207"/>
        <v>29.811380093086335</v>
      </c>
      <c r="Q2919" s="849">
        <v>40.200000000000003</v>
      </c>
      <c r="R2919" s="71">
        <v>57590</v>
      </c>
      <c r="S2919" s="845">
        <v>9.1987179487179493E-2</v>
      </c>
      <c r="T2919" s="845">
        <v>0.10099999999999999</v>
      </c>
      <c r="U2919" s="845">
        <v>2.5000000000000001E-2</v>
      </c>
      <c r="V2919" s="845">
        <v>0</v>
      </c>
      <c r="W2919" s="845">
        <v>0.14698596201486375</v>
      </c>
      <c r="X2919" s="845">
        <v>0</v>
      </c>
      <c r="Y2919" s="845">
        <v>0.92506377551020413</v>
      </c>
      <c r="Z2919" s="845">
        <v>0</v>
      </c>
      <c r="AA2919" s="845">
        <v>0</v>
      </c>
      <c r="AB2919" s="845">
        <v>0</v>
      </c>
      <c r="AC2919" s="845">
        <v>0</v>
      </c>
      <c r="AD2919" s="845">
        <v>0</v>
      </c>
      <c r="AE2919" s="845">
        <v>7.4936224489795922E-2</v>
      </c>
      <c r="AF2919" s="845">
        <v>4.1454081632653059E-2</v>
      </c>
      <c r="AG2919" s="845">
        <v>0.92506377551020413</v>
      </c>
      <c r="AH2919" s="20" t="str">
        <f t="shared" si="208"/>
        <v>Yes</v>
      </c>
      <c r="AI2919" s="25"/>
      <c r="AJ2919" s="25"/>
      <c r="AK2919" s="25"/>
      <c r="AL2919" s="25"/>
      <c r="AM2919" s="25"/>
      <c r="AN2919" s="25"/>
      <c r="AO2919" s="25"/>
      <c r="AP2919" s="25"/>
      <c r="AQ2919" s="25"/>
      <c r="AR2919" s="25"/>
      <c r="AS2919" s="25"/>
      <c r="AT2919" s="25"/>
      <c r="AU2919" s="36"/>
      <c r="AV2919" s="36"/>
      <c r="AW2919" s="36"/>
      <c r="AX2919" s="25"/>
      <c r="AY2919" s="25"/>
      <c r="AZ2919" s="25"/>
      <c r="BA2919" s="25"/>
      <c r="BB2919" s="25"/>
      <c r="BC2919" s="25"/>
      <c r="BD2919" s="25"/>
      <c r="BE2919" s="25"/>
      <c r="BF2919" s="25"/>
      <c r="BG2919" s="25"/>
      <c r="BH2919" s="25"/>
      <c r="BI2919" s="25"/>
      <c r="BJ2919" s="25"/>
      <c r="BK2919" s="25"/>
      <c r="BL2919" s="25"/>
      <c r="BM2919" s="25"/>
      <c r="BN2919" s="25"/>
      <c r="BO2919" s="25"/>
      <c r="BP2919" s="25"/>
      <c r="BQ2919" s="25"/>
      <c r="BR2919" s="25"/>
      <c r="BS2919" s="25"/>
      <c r="BT2919" s="25"/>
      <c r="BU2919"/>
      <c r="BV2919"/>
      <c r="BW2919"/>
      <c r="BX2919"/>
      <c r="BY2919"/>
      <c r="BZ2919"/>
      <c r="CA2919"/>
      <c r="CB2919"/>
      <c r="CC2919"/>
      <c r="CD2919" s="25"/>
    </row>
    <row r="2920" spans="1:82" s="17" customFormat="1" x14ac:dyDescent="0.2">
      <c r="A2920" s="25"/>
      <c r="B2920" s="20">
        <v>39055312000</v>
      </c>
      <c r="C2920" s="20">
        <v>3120</v>
      </c>
      <c r="D2920" s="20" t="s">
        <v>34</v>
      </c>
      <c r="E2920" s="20" t="s">
        <v>2829</v>
      </c>
      <c r="F2920" s="20" t="s">
        <v>8</v>
      </c>
      <c r="G2920" s="861">
        <v>26.6806591488393</v>
      </c>
      <c r="H2920" s="861">
        <v>38.2511549006244</v>
      </c>
      <c r="I2920" s="861">
        <v>16.1590982342526</v>
      </c>
      <c r="J2920" s="861">
        <v>36.852838972087703</v>
      </c>
      <c r="K2920" s="982">
        <v>0</v>
      </c>
      <c r="L2920" s="735">
        <v>2801</v>
      </c>
      <c r="M2920" s="735">
        <v>2785</v>
      </c>
      <c r="N2920" s="845">
        <f t="shared" si="206"/>
        <v>-5.7122456265619424E-3</v>
      </c>
      <c r="O2920" s="735">
        <v>25.046486410317925</v>
      </c>
      <c r="P2920" s="735">
        <f t="shared" si="207"/>
        <v>111.19324101494398</v>
      </c>
      <c r="Q2920" s="849">
        <v>47</v>
      </c>
      <c r="R2920" s="71">
        <v>81458</v>
      </c>
      <c r="S2920" s="845">
        <v>4.5918367346938778E-2</v>
      </c>
      <c r="T2920" s="845">
        <v>1.3000000000000001E-2</v>
      </c>
      <c r="U2920" s="845">
        <v>1.3999999999999999E-2</v>
      </c>
      <c r="V2920" s="845">
        <v>0</v>
      </c>
      <c r="W2920" s="845">
        <v>0.12861136999068035</v>
      </c>
      <c r="X2920" s="845">
        <v>7.9710144927536225E-2</v>
      </c>
      <c r="Y2920" s="845">
        <v>0.93213644524236983</v>
      </c>
      <c r="Z2920" s="845">
        <v>1.5080789946140035E-2</v>
      </c>
      <c r="AA2920" s="845">
        <v>0</v>
      </c>
      <c r="AB2920" s="845">
        <v>0</v>
      </c>
      <c r="AC2920" s="845">
        <v>0</v>
      </c>
      <c r="AD2920" s="845">
        <v>8.2585278276481149E-3</v>
      </c>
      <c r="AE2920" s="845">
        <v>4.452423698384201E-2</v>
      </c>
      <c r="AF2920" s="845">
        <v>4.3447037701974868E-2</v>
      </c>
      <c r="AG2920" s="845">
        <v>0.92603231597845603</v>
      </c>
      <c r="AH2920" s="20" t="str">
        <f t="shared" si="208"/>
        <v>Yes</v>
      </c>
      <c r="AI2920" s="25"/>
      <c r="AJ2920" s="25"/>
      <c r="AK2920" s="25"/>
      <c r="AL2920" s="25"/>
      <c r="AM2920" s="25"/>
      <c r="AN2920" s="25"/>
      <c r="AO2920" s="25"/>
      <c r="AP2920" s="25"/>
      <c r="AQ2920" s="25"/>
      <c r="AR2920" s="25"/>
      <c r="AS2920" s="25"/>
      <c r="AT2920" s="25"/>
      <c r="AU2920" s="36"/>
      <c r="AV2920" s="36"/>
      <c r="AW2920" s="36"/>
      <c r="AX2920" s="25"/>
      <c r="AY2920" s="25"/>
      <c r="AZ2920" s="25"/>
      <c r="BA2920" s="25"/>
      <c r="BB2920" s="25"/>
      <c r="BC2920" s="25"/>
      <c r="BD2920" s="25"/>
      <c r="BE2920" s="25"/>
      <c r="BF2920" s="25"/>
      <c r="BG2920" s="25"/>
      <c r="BH2920" s="25"/>
      <c r="BI2920" s="25"/>
      <c r="BJ2920" s="25"/>
      <c r="BK2920" s="25"/>
      <c r="BL2920" s="25"/>
      <c r="BM2920" s="25"/>
      <c r="BN2920" s="25"/>
      <c r="BO2920" s="25"/>
      <c r="BP2920" s="25"/>
      <c r="BQ2920" s="25"/>
      <c r="BR2920" s="25"/>
      <c r="BS2920" s="25"/>
      <c r="BT2920" s="25"/>
      <c r="BU2920"/>
      <c r="BV2920"/>
      <c r="BW2920"/>
      <c r="BX2920"/>
      <c r="BY2920"/>
      <c r="BZ2920"/>
      <c r="CA2920"/>
      <c r="CB2920"/>
      <c r="CC2920"/>
      <c r="CD2920" s="25"/>
    </row>
    <row r="2921" spans="1:82" s="17" customFormat="1" x14ac:dyDescent="0.2">
      <c r="A2921" s="25"/>
      <c r="B2921" s="20">
        <v>39031961000</v>
      </c>
      <c r="C2921" s="20">
        <v>9610</v>
      </c>
      <c r="D2921" s="20" t="s">
        <v>22</v>
      </c>
      <c r="E2921" s="20" t="s">
        <v>265</v>
      </c>
      <c r="F2921" s="20" t="s">
        <v>8</v>
      </c>
      <c r="G2921" s="861">
        <v>26.6464775429451</v>
      </c>
      <c r="H2921" s="861">
        <v>30.5053409456042</v>
      </c>
      <c r="I2921" s="861">
        <v>25.351779608477099</v>
      </c>
      <c r="J2921" s="861">
        <v>43.076386359905797</v>
      </c>
      <c r="K2921" s="982">
        <v>0</v>
      </c>
      <c r="L2921" s="735">
        <v>4960</v>
      </c>
      <c r="M2921" s="735">
        <v>4679</v>
      </c>
      <c r="N2921" s="845">
        <f t="shared" si="206"/>
        <v>-5.6653225806451615E-2</v>
      </c>
      <c r="O2921" s="735">
        <v>101.42217062147054</v>
      </c>
      <c r="P2921" s="735">
        <f t="shared" si="207"/>
        <v>46.133897266535925</v>
      </c>
      <c r="Q2921" s="849">
        <v>38.5</v>
      </c>
      <c r="R2921" s="71">
        <v>64268</v>
      </c>
      <c r="S2921" s="845">
        <v>0.13751351351351351</v>
      </c>
      <c r="T2921" s="845">
        <v>3.5000000000000003E-2</v>
      </c>
      <c r="U2921" s="845">
        <v>2.5000000000000001E-2</v>
      </c>
      <c r="V2921" s="845">
        <v>0</v>
      </c>
      <c r="W2921" s="845">
        <v>0.15857605177993528</v>
      </c>
      <c r="X2921" s="845">
        <v>0.53469387755102038</v>
      </c>
      <c r="Y2921" s="845">
        <v>0.94315024577901263</v>
      </c>
      <c r="Z2921" s="845">
        <v>1.4105578114981834E-2</v>
      </c>
      <c r="AA2921" s="845">
        <v>0</v>
      </c>
      <c r="AB2921" s="845">
        <v>0</v>
      </c>
      <c r="AC2921" s="845">
        <v>0</v>
      </c>
      <c r="AD2921" s="845">
        <v>0</v>
      </c>
      <c r="AE2921" s="845">
        <v>4.2744176106005553E-2</v>
      </c>
      <c r="AF2921" s="845">
        <v>0</v>
      </c>
      <c r="AG2921" s="845">
        <v>0.94315024577901263</v>
      </c>
      <c r="AH2921" s="20" t="str">
        <f t="shared" si="208"/>
        <v>Yes</v>
      </c>
      <c r="AI2921" s="25"/>
      <c r="AJ2921" s="25"/>
      <c r="AK2921" s="25"/>
      <c r="AL2921" s="25"/>
      <c r="AM2921" s="25"/>
      <c r="AN2921" s="25"/>
      <c r="AO2921" s="25"/>
      <c r="AP2921" s="25"/>
      <c r="AQ2921" s="25"/>
      <c r="AR2921" s="25"/>
      <c r="AS2921" s="25"/>
      <c r="AT2921" s="25"/>
      <c r="AU2921" s="36"/>
      <c r="AV2921" s="36"/>
      <c r="AW2921" s="36"/>
      <c r="AX2921" s="25"/>
      <c r="AY2921" s="25"/>
      <c r="AZ2921" s="25"/>
      <c r="BA2921" s="25"/>
      <c r="BB2921" s="25"/>
      <c r="BC2921" s="25"/>
      <c r="BD2921" s="25"/>
      <c r="BE2921" s="25"/>
      <c r="BF2921" s="25"/>
      <c r="BG2921" s="25"/>
      <c r="BH2921" s="25"/>
      <c r="BI2921" s="25"/>
      <c r="BJ2921" s="25"/>
      <c r="BK2921" s="25"/>
      <c r="BL2921" s="25"/>
      <c r="BM2921" s="25"/>
      <c r="BN2921" s="25"/>
      <c r="BO2921" s="25"/>
      <c r="BP2921" s="25"/>
      <c r="BQ2921" s="25"/>
      <c r="BR2921" s="25"/>
      <c r="BS2921" s="25"/>
      <c r="BT2921" s="25"/>
      <c r="BU2921"/>
      <c r="BV2921"/>
      <c r="BW2921"/>
      <c r="BX2921"/>
      <c r="BY2921"/>
      <c r="BZ2921"/>
      <c r="CA2921"/>
      <c r="CB2921"/>
      <c r="CC2921"/>
      <c r="CD2921" s="25"/>
    </row>
    <row r="2922" spans="1:82" s="17" customFormat="1" x14ac:dyDescent="0.2">
      <c r="A2922" s="25"/>
      <c r="B2922" s="20">
        <v>39093070400</v>
      </c>
      <c r="C2922" s="20">
        <v>704</v>
      </c>
      <c r="D2922" s="20" t="s">
        <v>52</v>
      </c>
      <c r="E2922" s="20" t="s">
        <v>2829</v>
      </c>
      <c r="F2922" s="20" t="s">
        <v>8</v>
      </c>
      <c r="G2922" s="861">
        <v>26.6317925976991</v>
      </c>
      <c r="H2922" s="861">
        <v>35.240685270768701</v>
      </c>
      <c r="I2922" s="861">
        <v>38.653147351365902</v>
      </c>
      <c r="J2922" s="861">
        <v>38.105247311446</v>
      </c>
      <c r="K2922" s="982">
        <v>0</v>
      </c>
      <c r="L2922" s="735">
        <v>4870</v>
      </c>
      <c r="M2922" s="735">
        <v>5035</v>
      </c>
      <c r="N2922" s="845">
        <f t="shared" si="206"/>
        <v>3.3880903490759756E-2</v>
      </c>
      <c r="O2922" s="735">
        <v>2.3048464882721027</v>
      </c>
      <c r="P2922" s="735">
        <f t="shared" si="207"/>
        <v>2184.5272670522359</v>
      </c>
      <c r="Q2922" s="849">
        <v>32.9</v>
      </c>
      <c r="R2922" s="71">
        <v>52261</v>
      </c>
      <c r="S2922" s="845">
        <v>0.19551282051282051</v>
      </c>
      <c r="T2922" s="845">
        <v>8.4000000000000005E-2</v>
      </c>
      <c r="U2922" s="845">
        <v>0</v>
      </c>
      <c r="V2922" s="845">
        <v>7.2000000000000008E-2</v>
      </c>
      <c r="W2922" s="845">
        <v>0.39755973563802743</v>
      </c>
      <c r="X2922" s="845">
        <v>0.34271099744245526</v>
      </c>
      <c r="Y2922" s="845">
        <v>0.49791459781529296</v>
      </c>
      <c r="Z2922" s="845">
        <v>0.25243296921549158</v>
      </c>
      <c r="AA2922" s="845">
        <v>2.3833167825223437E-3</v>
      </c>
      <c r="AB2922" s="845">
        <v>2.7805362462760674E-3</v>
      </c>
      <c r="AC2922" s="845">
        <v>0</v>
      </c>
      <c r="AD2922" s="845">
        <v>1.211519364448858E-2</v>
      </c>
      <c r="AE2922" s="845">
        <v>0.23237338629592849</v>
      </c>
      <c r="AF2922" s="845">
        <v>0.11022840119165839</v>
      </c>
      <c r="AG2922" s="845">
        <v>0.46037735849056605</v>
      </c>
      <c r="AH2922" s="20" t="str">
        <f t="shared" si="208"/>
        <v>No</v>
      </c>
      <c r="AI2922" s="25"/>
      <c r="AJ2922" s="25"/>
      <c r="AK2922" s="25"/>
      <c r="AL2922" s="25"/>
      <c r="AM2922" s="25"/>
      <c r="AN2922" s="25"/>
      <c r="AO2922" s="25"/>
      <c r="AP2922" s="25"/>
      <c r="AQ2922" s="25"/>
      <c r="AR2922" s="25"/>
      <c r="AS2922" s="25"/>
      <c r="AT2922" s="25"/>
      <c r="AU2922" s="36"/>
      <c r="AV2922" s="36"/>
      <c r="AW2922" s="36"/>
      <c r="AX2922" s="25"/>
      <c r="AY2922" s="25"/>
      <c r="AZ2922" s="25"/>
      <c r="BA2922" s="25"/>
      <c r="BB2922" s="25"/>
      <c r="BC2922" s="25"/>
      <c r="BD2922" s="25"/>
      <c r="BE2922" s="25"/>
      <c r="BF2922" s="25"/>
      <c r="BG2922" s="25"/>
      <c r="BH2922" s="25"/>
      <c r="BI2922" s="25"/>
      <c r="BJ2922" s="25"/>
      <c r="BK2922" s="25"/>
      <c r="BL2922" s="25"/>
      <c r="BM2922" s="25"/>
      <c r="BN2922" s="25"/>
      <c r="BO2922" s="25"/>
      <c r="BP2922" s="25"/>
      <c r="BQ2922" s="25"/>
      <c r="BR2922" s="25"/>
      <c r="BS2922" s="25"/>
      <c r="BT2922" s="25"/>
      <c r="BU2922"/>
      <c r="BV2922"/>
      <c r="BW2922"/>
      <c r="BX2922"/>
      <c r="BY2922"/>
      <c r="BZ2922"/>
      <c r="CA2922"/>
      <c r="CB2922"/>
      <c r="CC2922"/>
      <c r="CD2922" s="25"/>
    </row>
    <row r="2923" spans="1:82" s="17" customFormat="1" x14ac:dyDescent="0.2">
      <c r="A2923" s="25"/>
      <c r="B2923" s="20">
        <v>39013011000</v>
      </c>
      <c r="C2923" s="20">
        <v>110</v>
      </c>
      <c r="D2923" s="20" t="s">
        <v>13</v>
      </c>
      <c r="E2923" s="20" t="s">
        <v>2841</v>
      </c>
      <c r="F2923" s="20" t="s">
        <v>8</v>
      </c>
      <c r="G2923" s="861">
        <v>26.622890336146899</v>
      </c>
      <c r="H2923" s="861">
        <v>36.708626965240597</v>
      </c>
      <c r="I2923" s="861">
        <v>27.3063259020591</v>
      </c>
      <c r="J2923" s="861">
        <v>41.020780087514296</v>
      </c>
      <c r="K2923" s="982">
        <v>0</v>
      </c>
      <c r="L2923" s="735">
        <v>4810</v>
      </c>
      <c r="M2923" s="735">
        <v>4327</v>
      </c>
      <c r="N2923" s="845">
        <f t="shared" si="206"/>
        <v>-0.10041580041580042</v>
      </c>
      <c r="O2923" s="735">
        <v>130.74192838669055</v>
      </c>
      <c r="P2923" s="735">
        <f t="shared" si="207"/>
        <v>33.095733353436493</v>
      </c>
      <c r="Q2923" s="849">
        <v>45.8</v>
      </c>
      <c r="R2923" s="71">
        <v>65147</v>
      </c>
      <c r="S2923" s="845">
        <v>0.11462907326091981</v>
      </c>
      <c r="T2923" s="845">
        <v>6.7000000000000004E-2</v>
      </c>
      <c r="U2923" s="845">
        <v>0.01</v>
      </c>
      <c r="V2923" s="845">
        <v>0</v>
      </c>
      <c r="W2923" s="845">
        <v>0.21683389074693424</v>
      </c>
      <c r="X2923" s="845">
        <v>0.17737789203084833</v>
      </c>
      <c r="Y2923" s="845">
        <v>0.99098682690085504</v>
      </c>
      <c r="Z2923" s="845">
        <v>0</v>
      </c>
      <c r="AA2923" s="845">
        <v>0</v>
      </c>
      <c r="AB2923" s="845">
        <v>2.3110700254217703E-3</v>
      </c>
      <c r="AC2923" s="845">
        <v>0</v>
      </c>
      <c r="AD2923" s="845">
        <v>2.3110700254217703E-4</v>
      </c>
      <c r="AE2923" s="845">
        <v>6.4709960711809567E-3</v>
      </c>
      <c r="AF2923" s="845">
        <v>3.2354980355904783E-3</v>
      </c>
      <c r="AG2923" s="845">
        <v>0.98798243586780676</v>
      </c>
      <c r="AH2923" s="20" t="str">
        <f t="shared" si="208"/>
        <v>Yes</v>
      </c>
      <c r="AI2923" s="25"/>
      <c r="AJ2923" s="25"/>
      <c r="AK2923" s="25"/>
      <c r="AL2923" s="25"/>
      <c r="AM2923" s="25"/>
      <c r="AN2923" s="25"/>
      <c r="AO2923" s="25"/>
      <c r="AP2923" s="25"/>
      <c r="AQ2923" s="25"/>
      <c r="AR2923" s="25"/>
      <c r="AS2923" s="25"/>
      <c r="AT2923" s="25"/>
      <c r="AU2923" s="36"/>
      <c r="AV2923" s="36"/>
      <c r="AW2923" s="36"/>
      <c r="AX2923" s="25"/>
      <c r="AY2923" s="25"/>
      <c r="AZ2923" s="25"/>
      <c r="BA2923" s="25"/>
      <c r="BB2923" s="25"/>
      <c r="BC2923" s="25"/>
      <c r="BD2923" s="25"/>
      <c r="BE2923" s="25"/>
      <c r="BF2923" s="25"/>
      <c r="BG2923" s="25"/>
      <c r="BH2923" s="25"/>
      <c r="BI2923" s="25"/>
      <c r="BJ2923" s="25"/>
      <c r="BK2923" s="25"/>
      <c r="BL2923" s="25"/>
      <c r="BM2923" s="25"/>
      <c r="BN2923" s="25"/>
      <c r="BO2923" s="25"/>
      <c r="BP2923" s="25"/>
      <c r="BQ2923" s="25"/>
      <c r="BR2923" s="25"/>
      <c r="BS2923" s="25"/>
      <c r="BT2923" s="25"/>
      <c r="BU2923"/>
      <c r="BV2923"/>
      <c r="BW2923"/>
      <c r="BX2923"/>
      <c r="BY2923"/>
      <c r="BZ2923"/>
      <c r="CA2923"/>
      <c r="CB2923"/>
      <c r="CC2923"/>
      <c r="CD2923" s="25"/>
    </row>
    <row r="2924" spans="1:82" s="17" customFormat="1" x14ac:dyDescent="0.2">
      <c r="A2924" s="25"/>
      <c r="B2924" s="20">
        <v>39167021201</v>
      </c>
      <c r="C2924" s="20">
        <v>212.01</v>
      </c>
      <c r="D2924" s="20" t="s">
        <v>89</v>
      </c>
      <c r="E2924" s="20" t="s">
        <v>265</v>
      </c>
      <c r="F2924" s="20" t="s">
        <v>8</v>
      </c>
      <c r="G2924" s="861">
        <v>26.531303971404899</v>
      </c>
      <c r="H2924" s="861">
        <v>38.547686565509999</v>
      </c>
      <c r="I2924" s="861">
        <v>20.944168687866899</v>
      </c>
      <c r="J2924" s="861">
        <v>58.345170204216103</v>
      </c>
      <c r="K2924" s="982">
        <v>0</v>
      </c>
      <c r="L2924" s="735" t="s">
        <v>2466</v>
      </c>
      <c r="M2924" s="735">
        <v>3424</v>
      </c>
      <c r="N2924" s="845" t="str">
        <f t="shared" si="206"/>
        <v/>
      </c>
      <c r="O2924" s="735">
        <v>92.596417363475851</v>
      </c>
      <c r="P2924" s="735">
        <f t="shared" si="207"/>
        <v>36.977672543847014</v>
      </c>
      <c r="Q2924" s="849">
        <v>41.8</v>
      </c>
      <c r="R2924" s="71">
        <v>62273</v>
      </c>
      <c r="S2924" s="845">
        <v>0.17854001759014951</v>
      </c>
      <c r="T2924" s="845">
        <v>7.0999999999999994E-2</v>
      </c>
      <c r="U2924" s="845">
        <v>0</v>
      </c>
      <c r="V2924" s="845">
        <v>0</v>
      </c>
      <c r="W2924" s="845">
        <v>0.22637517630465445</v>
      </c>
      <c r="X2924" s="845">
        <v>0.47975077881619937</v>
      </c>
      <c r="Y2924" s="845">
        <v>0.96641355140186913</v>
      </c>
      <c r="Z2924" s="845">
        <v>1.5478971962616822E-2</v>
      </c>
      <c r="AA2924" s="845">
        <v>1.4602803738317756E-3</v>
      </c>
      <c r="AB2924" s="845">
        <v>3.7967289719626168E-3</v>
      </c>
      <c r="AC2924" s="845">
        <v>0</v>
      </c>
      <c r="AD2924" s="845">
        <v>0</v>
      </c>
      <c r="AE2924" s="845">
        <v>1.2850467289719626E-2</v>
      </c>
      <c r="AF2924" s="845">
        <v>1.1682242990654205E-2</v>
      </c>
      <c r="AG2924" s="845">
        <v>0.96641355140186913</v>
      </c>
      <c r="AH2924" s="20" t="str">
        <f t="shared" si="208"/>
        <v>Yes</v>
      </c>
      <c r="AI2924" s="25"/>
      <c r="AJ2924" s="25"/>
      <c r="AK2924" s="25"/>
      <c r="AL2924" s="25"/>
      <c r="AM2924" s="25"/>
      <c r="AN2924" s="25"/>
      <c r="AO2924" s="25"/>
      <c r="AP2924" s="25"/>
      <c r="AQ2924" s="25"/>
      <c r="AR2924" s="25"/>
      <c r="AS2924" s="25"/>
      <c r="AT2924" s="25"/>
      <c r="AU2924" s="36"/>
      <c r="AV2924" s="36"/>
      <c r="AW2924" s="36"/>
      <c r="AX2924" s="25"/>
      <c r="AY2924" s="25"/>
      <c r="AZ2924" s="25"/>
      <c r="BA2924" s="25"/>
      <c r="BB2924" s="25"/>
      <c r="BC2924" s="25"/>
      <c r="BD2924" s="25"/>
      <c r="BE2924" s="25"/>
      <c r="BF2924" s="25"/>
      <c r="BG2924" s="25"/>
      <c r="BH2924" s="25"/>
      <c r="BI2924" s="25"/>
      <c r="BJ2924" s="25"/>
      <c r="BK2924" s="25"/>
      <c r="BL2924" s="25"/>
      <c r="BM2924" s="25"/>
      <c r="BN2924" s="25"/>
      <c r="BO2924" s="25"/>
      <c r="BP2924" s="25"/>
      <c r="BQ2924" s="25"/>
      <c r="BR2924" s="25"/>
      <c r="BS2924" s="25"/>
      <c r="BT2924" s="25"/>
      <c r="BU2924"/>
      <c r="BV2924"/>
      <c r="BW2924"/>
      <c r="BX2924"/>
      <c r="BY2924"/>
      <c r="BZ2924"/>
      <c r="CA2924"/>
      <c r="CB2924"/>
      <c r="CC2924"/>
      <c r="CD2924" s="25"/>
    </row>
    <row r="2925" spans="1:82" s="17" customFormat="1" x14ac:dyDescent="0.2">
      <c r="A2925" s="25"/>
      <c r="B2925" s="20">
        <v>39035198900</v>
      </c>
      <c r="C2925" s="20">
        <v>1989</v>
      </c>
      <c r="D2925" s="20" t="s">
        <v>24</v>
      </c>
      <c r="E2925" s="20" t="s">
        <v>2829</v>
      </c>
      <c r="F2925" s="20" t="s">
        <v>6</v>
      </c>
      <c r="G2925" s="861">
        <v>26.447705151905701</v>
      </c>
      <c r="H2925" s="861">
        <v>35.777272220874998</v>
      </c>
      <c r="I2925" s="861">
        <v>73.625689441138604</v>
      </c>
      <c r="J2925" s="861">
        <v>22.2557755034764</v>
      </c>
      <c r="K2925" s="982">
        <v>0</v>
      </c>
      <c r="L2925" s="735" t="s">
        <v>2466</v>
      </c>
      <c r="M2925" s="735">
        <v>1805</v>
      </c>
      <c r="N2925" s="845" t="str">
        <f t="shared" si="206"/>
        <v/>
      </c>
      <c r="O2925" s="735">
        <v>0.25130153975880609</v>
      </c>
      <c r="P2925" s="735">
        <f t="shared" si="207"/>
        <v>7182.6062097844715</v>
      </c>
      <c r="Q2925" s="849">
        <v>34.1</v>
      </c>
      <c r="R2925" s="71">
        <v>26004</v>
      </c>
      <c r="S2925" s="845">
        <v>0.47423822714681441</v>
      </c>
      <c r="T2925" s="845">
        <v>8.1000000000000003E-2</v>
      </c>
      <c r="U2925" s="845">
        <v>0</v>
      </c>
      <c r="V2925" s="845">
        <v>9.1999999999999998E-2</v>
      </c>
      <c r="W2925" s="845">
        <v>0.65535248041775462</v>
      </c>
      <c r="X2925" s="845">
        <v>0.41832669322709165</v>
      </c>
      <c r="Y2925" s="845">
        <v>0.34127423822714681</v>
      </c>
      <c r="Z2925" s="845">
        <v>0.60664819944598336</v>
      </c>
      <c r="AA2925" s="845">
        <v>0</v>
      </c>
      <c r="AB2925" s="845">
        <v>7.2022160664819944E-3</v>
      </c>
      <c r="AC2925" s="845">
        <v>0</v>
      </c>
      <c r="AD2925" s="845">
        <v>2.548476454293629E-2</v>
      </c>
      <c r="AE2925" s="845">
        <v>1.9390581717451522E-2</v>
      </c>
      <c r="AF2925" s="845">
        <v>5.4847645429362879E-2</v>
      </c>
      <c r="AG2925" s="845">
        <v>0.29362880886426596</v>
      </c>
      <c r="AH2925" s="20" t="str">
        <f t="shared" si="208"/>
        <v>No</v>
      </c>
      <c r="AI2925" s="25"/>
      <c r="AJ2925" s="25"/>
      <c r="AK2925" s="25"/>
      <c r="AL2925" s="25"/>
      <c r="AM2925" s="25"/>
      <c r="AN2925" s="25"/>
      <c r="AO2925" s="25"/>
      <c r="AP2925" s="25"/>
      <c r="AQ2925" s="25"/>
      <c r="AR2925" s="25"/>
      <c r="AS2925" s="25"/>
      <c r="AT2925" s="25"/>
      <c r="AU2925" s="36"/>
      <c r="AV2925" s="36"/>
      <c r="AW2925" s="36"/>
      <c r="AX2925" s="25"/>
      <c r="AY2925" s="25"/>
      <c r="AZ2925" s="25"/>
      <c r="BA2925" s="25"/>
      <c r="BB2925" s="25"/>
      <c r="BC2925" s="25"/>
      <c r="BD2925" s="25"/>
      <c r="BE2925" s="25"/>
      <c r="BF2925" s="25"/>
      <c r="BG2925" s="25"/>
      <c r="BH2925" s="25"/>
      <c r="BI2925" s="25"/>
      <c r="BJ2925" s="25"/>
      <c r="BK2925" s="25"/>
      <c r="BL2925" s="25"/>
      <c r="BM2925" s="25"/>
      <c r="BN2925" s="25"/>
      <c r="BO2925" s="25"/>
      <c r="BP2925" s="25"/>
      <c r="BQ2925" s="25"/>
      <c r="BR2925" s="25"/>
      <c r="BS2925" s="25"/>
      <c r="BT2925" s="25"/>
      <c r="BU2925"/>
      <c r="BV2925"/>
      <c r="BW2925"/>
      <c r="BX2925"/>
      <c r="BY2925"/>
      <c r="BZ2925"/>
      <c r="CA2925"/>
      <c r="CB2925"/>
      <c r="CC2925"/>
      <c r="CD2925" s="25"/>
    </row>
    <row r="2926" spans="1:82" s="17" customFormat="1" x14ac:dyDescent="0.2">
      <c r="A2926" s="25"/>
      <c r="B2926" s="20">
        <v>39153501700</v>
      </c>
      <c r="C2926" s="20">
        <v>5017</v>
      </c>
      <c r="D2926" s="20" t="s">
        <v>82</v>
      </c>
      <c r="E2926" s="20" t="s">
        <v>2843</v>
      </c>
      <c r="F2926" s="20" t="s">
        <v>6</v>
      </c>
      <c r="G2926" s="861">
        <v>26.4187038207947</v>
      </c>
      <c r="H2926" s="861">
        <v>40.674687815119903</v>
      </c>
      <c r="I2926" s="861">
        <v>49.464830092201403</v>
      </c>
      <c r="J2926" s="861">
        <v>50.640696217108399</v>
      </c>
      <c r="K2926" s="982">
        <v>0</v>
      </c>
      <c r="L2926" s="735">
        <v>1480</v>
      </c>
      <c r="M2926" s="735">
        <v>1449</v>
      </c>
      <c r="N2926" s="845">
        <f t="shared" si="206"/>
        <v>-2.0945945945945947E-2</v>
      </c>
      <c r="O2926" s="735">
        <v>0.14387015853906759</v>
      </c>
      <c r="P2926" s="735">
        <f t="shared" si="207"/>
        <v>10071.581311328906</v>
      </c>
      <c r="Q2926" s="849">
        <v>21.5</v>
      </c>
      <c r="R2926" s="71">
        <v>41745</v>
      </c>
      <c r="S2926" s="845">
        <v>0.50820842255531762</v>
      </c>
      <c r="T2926" s="845">
        <v>5.9000000000000004E-2</v>
      </c>
      <c r="U2926" s="845">
        <v>0</v>
      </c>
      <c r="V2926" s="845">
        <v>0.12</v>
      </c>
      <c r="W2926" s="845">
        <v>0.8904665314401623</v>
      </c>
      <c r="X2926" s="845">
        <v>0.36218678815489752</v>
      </c>
      <c r="Y2926" s="845">
        <v>0.85645272601794342</v>
      </c>
      <c r="Z2926" s="845">
        <v>0.14354727398205658</v>
      </c>
      <c r="AA2926" s="845">
        <v>0</v>
      </c>
      <c r="AB2926" s="845">
        <v>0</v>
      </c>
      <c r="AC2926" s="845">
        <v>0</v>
      </c>
      <c r="AD2926" s="845">
        <v>0</v>
      </c>
      <c r="AE2926" s="845">
        <v>0</v>
      </c>
      <c r="AF2926" s="845">
        <v>6.0041407867494824E-2</v>
      </c>
      <c r="AG2926" s="845">
        <v>0.79641131815044863</v>
      </c>
      <c r="AH2926" s="20" t="str">
        <f t="shared" si="208"/>
        <v>No</v>
      </c>
      <c r="AI2926" s="25"/>
      <c r="AJ2926" s="25"/>
      <c r="AK2926" s="25"/>
      <c r="AL2926" s="25"/>
      <c r="AM2926" s="25"/>
      <c r="AN2926" s="25"/>
      <c r="AO2926" s="25"/>
      <c r="AP2926" s="25"/>
      <c r="AQ2926" s="25"/>
      <c r="AR2926" s="25"/>
      <c r="AS2926" s="25"/>
      <c r="AT2926" s="25"/>
      <c r="AU2926" s="36"/>
      <c r="AV2926" s="36"/>
      <c r="AW2926" s="36"/>
      <c r="AX2926" s="25"/>
      <c r="AY2926" s="25"/>
      <c r="AZ2926" s="25"/>
      <c r="BA2926" s="25"/>
      <c r="BB2926" s="25"/>
      <c r="BC2926" s="25"/>
      <c r="BD2926" s="25"/>
      <c r="BE2926" s="25"/>
      <c r="BF2926" s="25"/>
      <c r="BG2926" s="25"/>
      <c r="BH2926" s="25"/>
      <c r="BI2926" s="25"/>
      <c r="BJ2926" s="25"/>
      <c r="BK2926" s="25"/>
      <c r="BL2926" s="25"/>
      <c r="BM2926" s="25"/>
      <c r="BN2926" s="25"/>
      <c r="BO2926" s="25"/>
      <c r="BP2926" s="25"/>
      <c r="BQ2926" s="25"/>
      <c r="BR2926" s="25"/>
      <c r="BS2926" s="25"/>
      <c r="BT2926" s="25"/>
      <c r="BU2926"/>
      <c r="BV2926"/>
      <c r="BW2926"/>
      <c r="BX2926"/>
      <c r="BY2926"/>
      <c r="BZ2926"/>
      <c r="CA2926"/>
      <c r="CB2926"/>
      <c r="CC2926"/>
      <c r="CD2926" s="25"/>
    </row>
    <row r="2927" spans="1:82" s="17" customFormat="1" x14ac:dyDescent="0.2">
      <c r="A2927" s="25"/>
      <c r="B2927" s="20">
        <v>39017010500</v>
      </c>
      <c r="C2927" s="20">
        <v>105</v>
      </c>
      <c r="D2927" s="20" t="s">
        <v>15</v>
      </c>
      <c r="E2927" s="20" t="s">
        <v>2828</v>
      </c>
      <c r="F2927" s="20" t="s">
        <v>6</v>
      </c>
      <c r="G2927" s="861">
        <v>26.4053495479899</v>
      </c>
      <c r="H2927" s="861">
        <v>32.521411497916802</v>
      </c>
      <c r="I2927" s="861">
        <v>37.493801498695099</v>
      </c>
      <c r="J2927" s="861">
        <v>44.909099435929498</v>
      </c>
      <c r="K2927" s="982">
        <v>0</v>
      </c>
      <c r="L2927" s="735">
        <v>2360</v>
      </c>
      <c r="M2927" s="735">
        <v>2453</v>
      </c>
      <c r="N2927" s="845">
        <f t="shared" si="206"/>
        <v>3.9406779661016952E-2</v>
      </c>
      <c r="O2927" s="735">
        <v>1.0129061943840352</v>
      </c>
      <c r="P2927" s="735">
        <f t="shared" si="207"/>
        <v>2421.7444948016232</v>
      </c>
      <c r="Q2927" s="849">
        <v>36.5</v>
      </c>
      <c r="R2927" s="71">
        <v>52284</v>
      </c>
      <c r="S2927" s="845">
        <v>0.21200980392156862</v>
      </c>
      <c r="T2927" s="845">
        <v>0.15</v>
      </c>
      <c r="U2927" s="845">
        <v>0.02</v>
      </c>
      <c r="V2927" s="845">
        <v>0</v>
      </c>
      <c r="W2927" s="845">
        <v>0.54545454545454541</v>
      </c>
      <c r="X2927" s="845">
        <v>0.35555555555555557</v>
      </c>
      <c r="Y2927" s="845">
        <v>0.87280880554423157</v>
      </c>
      <c r="Z2927" s="845">
        <v>3.9951080309824707E-2</v>
      </c>
      <c r="AA2927" s="845">
        <v>8.1532816958825927E-4</v>
      </c>
      <c r="AB2927" s="845">
        <v>1.2229922543823889E-3</v>
      </c>
      <c r="AC2927" s="845">
        <v>0</v>
      </c>
      <c r="AD2927" s="845">
        <v>0</v>
      </c>
      <c r="AE2927" s="845">
        <v>8.520179372197309E-2</v>
      </c>
      <c r="AF2927" s="845">
        <v>3.6689767631471665E-2</v>
      </c>
      <c r="AG2927" s="845">
        <v>0.84223399918467179</v>
      </c>
      <c r="AH2927" s="20" t="str">
        <f t="shared" si="208"/>
        <v>No</v>
      </c>
      <c r="AI2927" s="25"/>
      <c r="AJ2927" s="25"/>
      <c r="AK2927" s="25"/>
      <c r="AL2927" s="25"/>
      <c r="AM2927" s="25"/>
      <c r="AN2927" s="25"/>
      <c r="AO2927" s="25"/>
      <c r="AP2927" s="25"/>
      <c r="AQ2927" s="25"/>
      <c r="AR2927" s="25"/>
      <c r="AS2927" s="25"/>
      <c r="AT2927" s="25"/>
      <c r="AU2927" s="36"/>
      <c r="AV2927" s="36"/>
      <c r="AW2927" s="36"/>
      <c r="AX2927" s="25"/>
      <c r="AY2927" s="25"/>
      <c r="AZ2927" s="25"/>
      <c r="BA2927" s="25"/>
      <c r="BB2927" s="25"/>
      <c r="BC2927" s="25"/>
      <c r="BD2927" s="25"/>
      <c r="BE2927" s="25"/>
      <c r="BF2927" s="25"/>
      <c r="BG2927" s="25"/>
      <c r="BH2927" s="25"/>
      <c r="BI2927" s="25"/>
      <c r="BJ2927" s="25"/>
      <c r="BK2927" s="25"/>
      <c r="BL2927" s="25"/>
      <c r="BM2927" s="25"/>
      <c r="BN2927" s="25"/>
      <c r="BO2927" s="25"/>
      <c r="BP2927" s="25"/>
      <c r="BQ2927" s="25"/>
      <c r="BR2927" s="25"/>
      <c r="BS2927" s="25"/>
      <c r="BT2927" s="25"/>
      <c r="BU2927"/>
      <c r="BV2927"/>
      <c r="BW2927"/>
      <c r="BX2927"/>
      <c r="BY2927"/>
      <c r="BZ2927"/>
      <c r="CA2927"/>
      <c r="CB2927"/>
      <c r="CC2927"/>
      <c r="CD2927" s="25"/>
    </row>
    <row r="2928" spans="1:82" s="17" customFormat="1" x14ac:dyDescent="0.2">
      <c r="A2928" s="25"/>
      <c r="B2928" s="20">
        <v>39035117400</v>
      </c>
      <c r="C2928" s="20">
        <v>1174</v>
      </c>
      <c r="D2928" s="20" t="s">
        <v>24</v>
      </c>
      <c r="E2928" s="20" t="s">
        <v>2829</v>
      </c>
      <c r="F2928" s="20" t="s">
        <v>6</v>
      </c>
      <c r="G2928" s="861">
        <v>26.4048091324278</v>
      </c>
      <c r="H2928" s="861">
        <v>39.942865709720699</v>
      </c>
      <c r="I2928" s="861">
        <v>78.253199111254006</v>
      </c>
      <c r="J2928" s="861">
        <v>37.850746504424798</v>
      </c>
      <c r="K2928" s="982">
        <v>0</v>
      </c>
      <c r="L2928" s="735">
        <v>1531</v>
      </c>
      <c r="M2928" s="735">
        <v>1439</v>
      </c>
      <c r="N2928" s="845">
        <f t="shared" si="206"/>
        <v>-6.0091443500979752E-2</v>
      </c>
      <c r="O2928" s="735">
        <v>0.28892989782875877</v>
      </c>
      <c r="P2928" s="735">
        <f t="shared" si="207"/>
        <v>4980.4468516887709</v>
      </c>
      <c r="Q2928" s="849">
        <v>34.9</v>
      </c>
      <c r="R2928" s="71">
        <v>32452</v>
      </c>
      <c r="S2928" s="845">
        <v>0.20361362056984017</v>
      </c>
      <c r="T2928" s="845">
        <v>9.4E-2</v>
      </c>
      <c r="U2928" s="845">
        <v>9.0999999999999998E-2</v>
      </c>
      <c r="V2928" s="845">
        <v>2.5000000000000001E-2</v>
      </c>
      <c r="W2928" s="845">
        <v>0.54634146341463419</v>
      </c>
      <c r="X2928" s="845">
        <v>0.50297619047619047</v>
      </c>
      <c r="Y2928" s="845">
        <v>0.1271716469770674</v>
      </c>
      <c r="Z2928" s="845">
        <v>0.86587908269631686</v>
      </c>
      <c r="AA2928" s="845">
        <v>0</v>
      </c>
      <c r="AB2928" s="845">
        <v>0</v>
      </c>
      <c r="AC2928" s="845">
        <v>0</v>
      </c>
      <c r="AD2928" s="845">
        <v>0</v>
      </c>
      <c r="AE2928" s="845">
        <v>6.9492703266157054E-3</v>
      </c>
      <c r="AF2928" s="845">
        <v>6.9492703266157054E-3</v>
      </c>
      <c r="AG2928" s="845">
        <v>0.1271716469770674</v>
      </c>
      <c r="AH2928" s="20" t="str">
        <f t="shared" si="208"/>
        <v>No</v>
      </c>
      <c r="AI2928" s="25"/>
      <c r="AJ2928" s="25"/>
      <c r="AK2928" s="25"/>
      <c r="AL2928" s="25"/>
      <c r="AM2928" s="25"/>
      <c r="AN2928" s="25"/>
      <c r="AO2928" s="25"/>
      <c r="AP2928" s="25"/>
      <c r="AQ2928" s="25"/>
      <c r="AR2928" s="25"/>
      <c r="AS2928" s="25"/>
      <c r="AT2928" s="25"/>
      <c r="AU2928" s="36"/>
      <c r="AV2928" s="36"/>
      <c r="AW2928" s="36"/>
      <c r="AX2928" s="25"/>
      <c r="AY2928" s="25"/>
      <c r="AZ2928" s="25"/>
      <c r="BA2928" s="25"/>
      <c r="BB2928" s="25"/>
      <c r="BC2928" s="25"/>
      <c r="BD2928" s="25"/>
      <c r="BE2928" s="25"/>
      <c r="BF2928" s="25"/>
      <c r="BG2928" s="25"/>
      <c r="BH2928" s="25"/>
      <c r="BI2928" s="25"/>
      <c r="BJ2928" s="25"/>
      <c r="BK2928" s="25"/>
      <c r="BL2928" s="25"/>
      <c r="BM2928" s="25"/>
      <c r="BN2928" s="25"/>
      <c r="BO2928" s="25"/>
      <c r="BP2928" s="25"/>
      <c r="BQ2928" s="25"/>
      <c r="BR2928" s="25"/>
      <c r="BS2928" s="25"/>
      <c r="BT2928" s="25"/>
      <c r="BU2928"/>
      <c r="BV2928"/>
      <c r="BW2928"/>
      <c r="BX2928"/>
      <c r="BY2928"/>
      <c r="BZ2928"/>
      <c r="CA2928"/>
      <c r="CB2928"/>
      <c r="CC2928"/>
      <c r="CD2928" s="25"/>
    </row>
    <row r="2929" spans="1:82" s="17" customFormat="1" x14ac:dyDescent="0.2">
      <c r="A2929" s="25"/>
      <c r="B2929" s="20">
        <v>39113070202</v>
      </c>
      <c r="C2929" s="20">
        <v>702.02</v>
      </c>
      <c r="D2929" s="20" t="s">
        <v>62</v>
      </c>
      <c r="E2929" s="20" t="s">
        <v>2833</v>
      </c>
      <c r="F2929" s="20" t="s">
        <v>6</v>
      </c>
      <c r="G2929" s="861">
        <v>26.404731062206601</v>
      </c>
      <c r="H2929" s="861">
        <v>35.567077421587697</v>
      </c>
      <c r="I2929" s="861">
        <v>41.108647162273698</v>
      </c>
      <c r="J2929" s="861">
        <v>34.388158861818098</v>
      </c>
      <c r="K2929" s="982">
        <v>0</v>
      </c>
      <c r="L2929" s="735">
        <v>1857</v>
      </c>
      <c r="M2929" s="735">
        <v>2002</v>
      </c>
      <c r="N2929" s="845">
        <f t="shared" si="206"/>
        <v>7.8082929456112005E-2</v>
      </c>
      <c r="O2929" s="735">
        <v>0.97021449260630011</v>
      </c>
      <c r="P2929" s="735">
        <f t="shared" si="207"/>
        <v>2063.4612400212668</v>
      </c>
      <c r="Q2929" s="849">
        <v>37.5</v>
      </c>
      <c r="R2929" s="71">
        <v>38540</v>
      </c>
      <c r="S2929" s="845">
        <v>0.2777222777222777</v>
      </c>
      <c r="T2929" s="845">
        <v>7.0000000000000007E-2</v>
      </c>
      <c r="U2929" s="845">
        <v>0</v>
      </c>
      <c r="V2929" s="845">
        <v>0</v>
      </c>
      <c r="W2929" s="845">
        <v>0.45435016111707843</v>
      </c>
      <c r="X2929" s="845">
        <v>0.26241134751773049</v>
      </c>
      <c r="Y2929" s="845">
        <v>2.9970029970029972E-2</v>
      </c>
      <c r="Z2929" s="845">
        <v>0.78221778221778226</v>
      </c>
      <c r="AA2929" s="845">
        <v>0</v>
      </c>
      <c r="AB2929" s="845">
        <v>0</v>
      </c>
      <c r="AC2929" s="845">
        <v>5.994005994005994E-3</v>
      </c>
      <c r="AD2929" s="845">
        <v>0</v>
      </c>
      <c r="AE2929" s="845">
        <v>0.18181818181818182</v>
      </c>
      <c r="AF2929" s="845">
        <v>0</v>
      </c>
      <c r="AG2929" s="845">
        <v>2.9970029970029972E-2</v>
      </c>
      <c r="AH2929" s="20" t="str">
        <f t="shared" si="208"/>
        <v>No</v>
      </c>
      <c r="AI2929" s="25"/>
      <c r="AJ2929" s="25"/>
      <c r="AK2929" s="25"/>
      <c r="AL2929" s="25"/>
      <c r="AM2929" s="25"/>
      <c r="AN2929" s="25"/>
      <c r="AO2929" s="25"/>
      <c r="AP2929" s="25"/>
      <c r="AQ2929" s="25"/>
      <c r="AR2929" s="25"/>
      <c r="AS2929" s="25"/>
      <c r="AT2929" s="25"/>
      <c r="AU2929" s="36"/>
      <c r="AV2929" s="36"/>
      <c r="AW2929" s="36"/>
      <c r="AX2929" s="25"/>
      <c r="AY2929" s="25"/>
      <c r="AZ2929" s="25"/>
      <c r="BA2929" s="25"/>
      <c r="BB2929" s="25"/>
      <c r="BC2929" s="25"/>
      <c r="BD2929" s="25"/>
      <c r="BE2929" s="25"/>
      <c r="BF2929" s="25"/>
      <c r="BG2929" s="25"/>
      <c r="BH2929" s="25"/>
      <c r="BI2929" s="25"/>
      <c r="BJ2929" s="25"/>
      <c r="BK2929" s="25"/>
      <c r="BL2929" s="25"/>
      <c r="BM2929" s="25"/>
      <c r="BN2929" s="25"/>
      <c r="BO2929" s="25"/>
      <c r="BP2929" s="25"/>
      <c r="BQ2929" s="25"/>
      <c r="BR2929" s="25"/>
      <c r="BS2929" s="25"/>
      <c r="BT2929" s="25"/>
      <c r="BU2929"/>
      <c r="BV2929"/>
      <c r="BW2929"/>
      <c r="BX2929"/>
      <c r="BY2929"/>
      <c r="BZ2929"/>
      <c r="CA2929"/>
      <c r="CB2929"/>
      <c r="CC2929"/>
      <c r="CD2929" s="25"/>
    </row>
    <row r="2930" spans="1:82" s="17" customFormat="1" x14ac:dyDescent="0.2">
      <c r="A2930" s="25"/>
      <c r="B2930" s="20">
        <v>39035120802</v>
      </c>
      <c r="C2930" s="20">
        <v>1208.02</v>
      </c>
      <c r="D2930" s="20" t="s">
        <v>24</v>
      </c>
      <c r="E2930" s="20" t="s">
        <v>2829</v>
      </c>
      <c r="F2930" s="20" t="s">
        <v>8</v>
      </c>
      <c r="G2930" s="861">
        <v>26.394532525415499</v>
      </c>
      <c r="H2930" s="861">
        <v>51.018258003561499</v>
      </c>
      <c r="I2930" s="861">
        <v>94.290184609886893</v>
      </c>
      <c r="J2930" s="861">
        <v>41.446110510186202</v>
      </c>
      <c r="K2930" s="982">
        <v>0</v>
      </c>
      <c r="L2930" s="735">
        <v>1916</v>
      </c>
      <c r="M2930" s="735">
        <v>2112</v>
      </c>
      <c r="N2930" s="845">
        <f t="shared" si="206"/>
        <v>0.1022964509394572</v>
      </c>
      <c r="O2930" s="735">
        <v>0.24613742338763092</v>
      </c>
      <c r="P2930" s="735">
        <f t="shared" si="207"/>
        <v>8580.572474238932</v>
      </c>
      <c r="Q2930" s="849">
        <v>41.7</v>
      </c>
      <c r="R2930" s="71"/>
      <c r="S2930" s="845">
        <v>0.51467803030303028</v>
      </c>
      <c r="T2930" s="845">
        <v>0.10400000000000001</v>
      </c>
      <c r="U2930" s="845">
        <v>0</v>
      </c>
      <c r="V2930" s="845">
        <v>0</v>
      </c>
      <c r="W2930" s="845">
        <v>0.32989690721649484</v>
      </c>
      <c r="X2930" s="845">
        <v>0.43181818181818182</v>
      </c>
      <c r="Y2930" s="845">
        <v>1.4678030303030304E-2</v>
      </c>
      <c r="Z2930" s="845">
        <v>0.90814393939393945</v>
      </c>
      <c r="AA2930" s="845">
        <v>0</v>
      </c>
      <c r="AB2930" s="845">
        <v>3.787878787878788E-3</v>
      </c>
      <c r="AC2930" s="845">
        <v>0</v>
      </c>
      <c r="AD2930" s="845">
        <v>0</v>
      </c>
      <c r="AE2930" s="845">
        <v>7.3390151515151519E-2</v>
      </c>
      <c r="AF2930" s="845">
        <v>6.7234848484848481E-2</v>
      </c>
      <c r="AG2930" s="845">
        <v>1.4678030303030304E-2</v>
      </c>
      <c r="AH2930" s="20" t="str">
        <f t="shared" si="208"/>
        <v>No</v>
      </c>
      <c r="AI2930" s="25"/>
      <c r="AJ2930" s="25"/>
      <c r="AK2930" s="25"/>
      <c r="AL2930" s="25"/>
      <c r="AM2930" s="25"/>
      <c r="AN2930" s="25"/>
      <c r="AO2930" s="25"/>
      <c r="AP2930" s="25"/>
      <c r="AQ2930" s="25"/>
      <c r="AR2930" s="25"/>
      <c r="AS2930" s="25"/>
      <c r="AT2930" s="25"/>
      <c r="AU2930" s="36"/>
      <c r="AV2930" s="36"/>
      <c r="AW2930" s="36"/>
      <c r="AX2930" s="25"/>
      <c r="AY2930" s="25"/>
      <c r="AZ2930" s="25"/>
      <c r="BA2930" s="25"/>
      <c r="BB2930" s="25"/>
      <c r="BC2930" s="25"/>
      <c r="BD2930" s="25"/>
      <c r="BE2930" s="25"/>
      <c r="BF2930" s="25"/>
      <c r="BG2930" s="25"/>
      <c r="BH2930" s="25"/>
      <c r="BI2930" s="25"/>
      <c r="BJ2930" s="25"/>
      <c r="BK2930" s="25"/>
      <c r="BL2930" s="25"/>
      <c r="BM2930" s="25"/>
      <c r="BN2930" s="25"/>
      <c r="BO2930" s="25"/>
      <c r="BP2930" s="25"/>
      <c r="BQ2930" s="25"/>
      <c r="BR2930" s="25"/>
      <c r="BS2930" s="25"/>
      <c r="BT2930" s="25"/>
      <c r="BU2930"/>
      <c r="BV2930"/>
      <c r="BW2930"/>
      <c r="BX2930"/>
      <c r="BY2930"/>
      <c r="BZ2930"/>
      <c r="CA2930"/>
      <c r="CB2930"/>
      <c r="CC2930"/>
      <c r="CD2930" s="25"/>
    </row>
    <row r="2931" spans="1:82" s="17" customFormat="1" x14ac:dyDescent="0.2">
      <c r="A2931" s="25"/>
      <c r="B2931" s="20">
        <v>39095001100</v>
      </c>
      <c r="C2931" s="20">
        <v>11</v>
      </c>
      <c r="D2931" s="20" t="s">
        <v>53</v>
      </c>
      <c r="E2931" s="20" t="s">
        <v>2839</v>
      </c>
      <c r="F2931" s="20" t="s">
        <v>6</v>
      </c>
      <c r="G2931" s="861">
        <v>26.293099741333499</v>
      </c>
      <c r="H2931" s="861">
        <v>38.039138021461703</v>
      </c>
      <c r="I2931" s="861">
        <v>74.018223984027202</v>
      </c>
      <c r="J2931" s="861">
        <v>32.635543260750602</v>
      </c>
      <c r="K2931" s="982">
        <v>0</v>
      </c>
      <c r="L2931" s="735">
        <v>2505</v>
      </c>
      <c r="M2931" s="735">
        <v>2372</v>
      </c>
      <c r="N2931" s="845">
        <f t="shared" si="206"/>
        <v>-5.3093812375249502E-2</v>
      </c>
      <c r="O2931" s="735">
        <v>1.9087450559763381</v>
      </c>
      <c r="P2931" s="735">
        <f t="shared" si="207"/>
        <v>1242.7013196828968</v>
      </c>
      <c r="Q2931" s="849">
        <v>30.2</v>
      </c>
      <c r="R2931" s="71">
        <v>34198</v>
      </c>
      <c r="S2931" s="845">
        <v>0.47596964586846541</v>
      </c>
      <c r="T2931" s="845">
        <v>7.2999999999999995E-2</v>
      </c>
      <c r="U2931" s="845">
        <v>0</v>
      </c>
      <c r="V2931" s="845">
        <v>0</v>
      </c>
      <c r="W2931" s="845">
        <v>0.36203090507726271</v>
      </c>
      <c r="X2931" s="845">
        <v>0.73780487804878048</v>
      </c>
      <c r="Y2931" s="845">
        <v>0.18634064080944351</v>
      </c>
      <c r="Z2931" s="845">
        <v>0.60160202360876902</v>
      </c>
      <c r="AA2931" s="845">
        <v>1.2647554806070826E-3</v>
      </c>
      <c r="AB2931" s="845">
        <v>6.8296795952782458E-2</v>
      </c>
      <c r="AC2931" s="845">
        <v>0</v>
      </c>
      <c r="AD2931" s="845">
        <v>6.1973018549747051E-2</v>
      </c>
      <c r="AE2931" s="845">
        <v>8.0522765598650931E-2</v>
      </c>
      <c r="AF2931" s="845">
        <v>0.13743676222596965</v>
      </c>
      <c r="AG2931" s="845">
        <v>0.1703204047217538</v>
      </c>
      <c r="AH2931" s="20" t="str">
        <f t="shared" si="208"/>
        <v>No</v>
      </c>
      <c r="AI2931" s="25"/>
      <c r="AJ2931" s="25"/>
      <c r="AK2931" s="25"/>
      <c r="AL2931" s="25"/>
      <c r="AM2931" s="25"/>
      <c r="AN2931" s="25"/>
      <c r="AO2931" s="25"/>
      <c r="AP2931" s="25"/>
      <c r="AQ2931" s="25"/>
      <c r="AR2931" s="25"/>
      <c r="AS2931" s="25"/>
      <c r="AT2931" s="25"/>
      <c r="AU2931" s="36"/>
      <c r="AV2931" s="36"/>
      <c r="AW2931" s="36"/>
      <c r="AX2931" s="25"/>
      <c r="AY2931" s="25"/>
      <c r="AZ2931" s="25"/>
      <c r="BA2931" s="25"/>
      <c r="BB2931" s="25"/>
      <c r="BC2931" s="25"/>
      <c r="BD2931" s="25"/>
      <c r="BE2931" s="25"/>
      <c r="BF2931" s="25"/>
      <c r="BG2931" s="25"/>
      <c r="BH2931" s="25"/>
      <c r="BI2931" s="25"/>
      <c r="BJ2931" s="25"/>
      <c r="BK2931" s="25"/>
      <c r="BL2931" s="25"/>
      <c r="BM2931" s="25"/>
      <c r="BN2931" s="25"/>
      <c r="BO2931" s="25"/>
      <c r="BP2931" s="25"/>
      <c r="BQ2931" s="25"/>
      <c r="BR2931" s="25"/>
      <c r="BS2931" s="25"/>
      <c r="BT2931" s="25"/>
      <c r="BU2931"/>
      <c r="BV2931"/>
      <c r="BW2931"/>
      <c r="BX2931"/>
      <c r="BY2931"/>
      <c r="BZ2931"/>
      <c r="CA2931"/>
      <c r="CB2931"/>
      <c r="CC2931"/>
      <c r="CD2931" s="25"/>
    </row>
    <row r="2932" spans="1:82" s="17" customFormat="1" x14ac:dyDescent="0.2">
      <c r="A2932" s="25"/>
      <c r="B2932" s="20">
        <v>39001770200</v>
      </c>
      <c r="C2932" s="20">
        <v>7702</v>
      </c>
      <c r="D2932" s="20" t="s">
        <v>5</v>
      </c>
      <c r="E2932" s="20" t="s">
        <v>265</v>
      </c>
      <c r="F2932" s="20" t="s">
        <v>8</v>
      </c>
      <c r="G2932" s="861">
        <v>26.286498618452399</v>
      </c>
      <c r="H2932" s="861">
        <v>36.079051611666401</v>
      </c>
      <c r="I2932" s="861">
        <v>22.1292762456461</v>
      </c>
      <c r="J2932" s="861">
        <v>49.375261351822999</v>
      </c>
      <c r="K2932" s="982">
        <v>0</v>
      </c>
      <c r="L2932" s="735">
        <v>4956</v>
      </c>
      <c r="M2932" s="735">
        <v>4809</v>
      </c>
      <c r="N2932" s="845">
        <f t="shared" si="206"/>
        <v>-2.9661016949152543E-2</v>
      </c>
      <c r="O2932" s="735">
        <v>85.976400100153356</v>
      </c>
      <c r="P2932" s="735">
        <f t="shared" si="207"/>
        <v>55.933953903606415</v>
      </c>
      <c r="Q2932" s="849">
        <v>40.799999999999997</v>
      </c>
      <c r="R2932" s="71">
        <v>49188</v>
      </c>
      <c r="S2932" s="845">
        <v>0.17321657411362665</v>
      </c>
      <c r="T2932" s="845">
        <v>3.6000000000000004E-2</v>
      </c>
      <c r="U2932" s="845">
        <v>0</v>
      </c>
      <c r="V2932" s="845">
        <v>1.8000000000000002E-2</v>
      </c>
      <c r="W2932" s="845">
        <v>0.26419213973799127</v>
      </c>
      <c r="X2932" s="845">
        <v>0.34710743801652894</v>
      </c>
      <c r="Y2932" s="845">
        <v>0.97587856103139947</v>
      </c>
      <c r="Z2932" s="845">
        <v>2.079434393844874E-3</v>
      </c>
      <c r="AA2932" s="845">
        <v>0</v>
      </c>
      <c r="AB2932" s="845">
        <v>6.6541900603035971E-3</v>
      </c>
      <c r="AC2932" s="845">
        <v>1.6635475150758993E-3</v>
      </c>
      <c r="AD2932" s="845">
        <v>0</v>
      </c>
      <c r="AE2932" s="845">
        <v>1.3724266999376169E-2</v>
      </c>
      <c r="AF2932" s="845">
        <v>2.2873778332293615E-3</v>
      </c>
      <c r="AG2932" s="845">
        <v>0.97359118319817006</v>
      </c>
      <c r="AH2932" s="20" t="str">
        <f t="shared" si="208"/>
        <v>Yes</v>
      </c>
      <c r="AI2932" s="25"/>
      <c r="AJ2932" s="25"/>
      <c r="AK2932" s="25"/>
      <c r="AL2932" s="25"/>
      <c r="AM2932" s="25"/>
      <c r="AN2932" s="25"/>
      <c r="AO2932" s="25"/>
      <c r="AP2932" s="25"/>
      <c r="AQ2932" s="25"/>
      <c r="AR2932" s="25"/>
      <c r="AS2932" s="25"/>
      <c r="AT2932" s="25"/>
      <c r="AU2932" s="36"/>
      <c r="AV2932" s="36"/>
      <c r="AW2932" s="36"/>
      <c r="AX2932" s="25"/>
      <c r="AY2932" s="25"/>
      <c r="AZ2932" s="25"/>
      <c r="BA2932" s="25"/>
      <c r="BB2932" s="25"/>
      <c r="BC2932" s="25"/>
      <c r="BD2932" s="25"/>
      <c r="BE2932" s="25"/>
      <c r="BF2932" s="25"/>
      <c r="BG2932" s="25"/>
      <c r="BH2932" s="25"/>
      <c r="BI2932" s="25"/>
      <c r="BJ2932" s="25"/>
      <c r="BK2932" s="25"/>
      <c r="BL2932" s="25"/>
      <c r="BM2932" s="25"/>
      <c r="BN2932" s="25"/>
      <c r="BO2932" s="25"/>
      <c r="BP2932" s="25"/>
      <c r="BQ2932" s="25"/>
      <c r="BR2932" s="25"/>
      <c r="BS2932" s="25"/>
      <c r="BT2932" s="25"/>
      <c r="BU2932"/>
      <c r="BV2932"/>
      <c r="BW2932"/>
      <c r="BX2932"/>
      <c r="BY2932"/>
      <c r="BZ2932"/>
      <c r="CA2932"/>
      <c r="CB2932"/>
      <c r="CC2932"/>
      <c r="CD2932" s="25"/>
    </row>
    <row r="2933" spans="1:82" s="17" customFormat="1" x14ac:dyDescent="0.2">
      <c r="A2933" s="25"/>
      <c r="B2933" s="20">
        <v>39023000600</v>
      </c>
      <c r="C2933" s="20">
        <v>6</v>
      </c>
      <c r="D2933" s="20" t="s">
        <v>18</v>
      </c>
      <c r="E2933" s="20" t="s">
        <v>2838</v>
      </c>
      <c r="F2933" s="20" t="s">
        <v>6</v>
      </c>
      <c r="G2933" s="861">
        <v>26.2464804437274</v>
      </c>
      <c r="H2933" s="861">
        <v>36.6092195595335</v>
      </c>
      <c r="I2933" s="861">
        <v>40.472588624152003</v>
      </c>
      <c r="J2933" s="861">
        <v>36.480418822232103</v>
      </c>
      <c r="K2933" s="982">
        <v>0</v>
      </c>
      <c r="L2933" s="735">
        <v>2700</v>
      </c>
      <c r="M2933" s="735">
        <v>2840</v>
      </c>
      <c r="N2933" s="845">
        <f t="shared" si="206"/>
        <v>5.185185185185185E-2</v>
      </c>
      <c r="O2933" s="735">
        <v>0.4439225012504015</v>
      </c>
      <c r="P2933" s="735">
        <f t="shared" si="207"/>
        <v>6397.5130614027003</v>
      </c>
      <c r="Q2933" s="849">
        <v>32.200000000000003</v>
      </c>
      <c r="R2933" s="71">
        <v>42137</v>
      </c>
      <c r="S2933" s="845">
        <v>0.26119670369043352</v>
      </c>
      <c r="T2933" s="845">
        <v>5.2999999999999999E-2</v>
      </c>
      <c r="U2933" s="845">
        <v>0</v>
      </c>
      <c r="V2933" s="845">
        <v>0</v>
      </c>
      <c r="W2933" s="845">
        <v>0.7160603371783496</v>
      </c>
      <c r="X2933" s="845">
        <v>0.2701363073110285</v>
      </c>
      <c r="Y2933" s="845">
        <v>0.62183098591549291</v>
      </c>
      <c r="Z2933" s="845">
        <v>0.23661971830985915</v>
      </c>
      <c r="AA2933" s="845">
        <v>0</v>
      </c>
      <c r="AB2933" s="845">
        <v>0</v>
      </c>
      <c r="AC2933" s="845">
        <v>0</v>
      </c>
      <c r="AD2933" s="845">
        <v>1.7253521126760565E-2</v>
      </c>
      <c r="AE2933" s="845">
        <v>0.12429577464788732</v>
      </c>
      <c r="AF2933" s="845">
        <v>4.7183098591549295E-2</v>
      </c>
      <c r="AG2933" s="845">
        <v>0.60105633802816905</v>
      </c>
      <c r="AH2933" s="20" t="str">
        <f t="shared" si="208"/>
        <v>No</v>
      </c>
      <c r="AI2933" s="25"/>
      <c r="AJ2933" s="25"/>
      <c r="AK2933" s="25"/>
      <c r="AL2933" s="25"/>
      <c r="AM2933" s="25"/>
      <c r="AN2933" s="25"/>
      <c r="AO2933" s="25"/>
      <c r="AP2933" s="25"/>
      <c r="AQ2933" s="25"/>
      <c r="AR2933" s="25"/>
      <c r="AS2933" s="25"/>
      <c r="AT2933" s="25"/>
      <c r="AU2933" s="36"/>
      <c r="AV2933" s="36"/>
      <c r="AW2933" s="36"/>
      <c r="AX2933" s="25"/>
      <c r="AY2933" s="25"/>
      <c r="AZ2933" s="25"/>
      <c r="BA2933" s="25"/>
      <c r="BB2933" s="25"/>
      <c r="BC2933" s="25"/>
      <c r="BD2933" s="25"/>
      <c r="BE2933" s="25"/>
      <c r="BF2933" s="25"/>
      <c r="BG2933" s="25"/>
      <c r="BH2933" s="25"/>
      <c r="BI2933" s="25"/>
      <c r="BJ2933" s="25"/>
      <c r="BK2933" s="25"/>
      <c r="BL2933" s="25"/>
      <c r="BM2933" s="25"/>
      <c r="BN2933" s="25"/>
      <c r="BO2933" s="25"/>
      <c r="BP2933" s="25"/>
      <c r="BQ2933" s="25"/>
      <c r="BR2933" s="25"/>
      <c r="BS2933" s="25"/>
      <c r="BT2933" s="25"/>
      <c r="BU2933"/>
      <c r="BV2933"/>
      <c r="BW2933"/>
      <c r="BX2933"/>
      <c r="BY2933"/>
      <c r="BZ2933"/>
      <c r="CA2933"/>
      <c r="CB2933"/>
      <c r="CC2933"/>
      <c r="CD2933" s="25"/>
    </row>
    <row r="2934" spans="1:82" s="17" customFormat="1" x14ac:dyDescent="0.2">
      <c r="A2934" s="25"/>
      <c r="B2934" s="20">
        <v>39019720400</v>
      </c>
      <c r="C2934" s="20">
        <v>7204</v>
      </c>
      <c r="D2934" s="20" t="s">
        <v>16</v>
      </c>
      <c r="E2934" s="20" t="s">
        <v>2844</v>
      </c>
      <c r="F2934" s="20" t="s">
        <v>8</v>
      </c>
      <c r="G2934" s="861">
        <v>26.241668829652699</v>
      </c>
      <c r="H2934" s="861">
        <v>35.6185406608747</v>
      </c>
      <c r="I2934" s="861">
        <v>23.480174930782599</v>
      </c>
      <c r="J2934" s="861">
        <v>47.473801909466403</v>
      </c>
      <c r="K2934" s="982">
        <v>0</v>
      </c>
      <c r="L2934" s="735">
        <v>4161</v>
      </c>
      <c r="M2934" s="735">
        <v>4310</v>
      </c>
      <c r="N2934" s="845">
        <f t="shared" si="206"/>
        <v>3.5808699831771207E-2</v>
      </c>
      <c r="O2934" s="735">
        <v>67.014206486067621</v>
      </c>
      <c r="P2934" s="735">
        <f t="shared" si="207"/>
        <v>64.314721101652637</v>
      </c>
      <c r="Q2934" s="849">
        <v>51.8</v>
      </c>
      <c r="R2934" s="71">
        <v>80833</v>
      </c>
      <c r="S2934" s="845">
        <v>0.12639664804469275</v>
      </c>
      <c r="T2934" s="845">
        <v>0.03</v>
      </c>
      <c r="U2934" s="845">
        <v>8.0000000000000002E-3</v>
      </c>
      <c r="V2934" s="845">
        <v>0</v>
      </c>
      <c r="W2934" s="845">
        <v>0.20335429769392033</v>
      </c>
      <c r="X2934" s="845">
        <v>0.14690721649484537</v>
      </c>
      <c r="Y2934" s="845">
        <v>0.96542923433874706</v>
      </c>
      <c r="Z2934" s="845">
        <v>0</v>
      </c>
      <c r="AA2934" s="845">
        <v>0</v>
      </c>
      <c r="AB2934" s="845">
        <v>3.0162412993039443E-3</v>
      </c>
      <c r="AC2934" s="845">
        <v>0</v>
      </c>
      <c r="AD2934" s="845">
        <v>5.5684454756380506E-3</v>
      </c>
      <c r="AE2934" s="845">
        <v>2.5986078886310906E-2</v>
      </c>
      <c r="AF2934" s="845">
        <v>2.3433874709976796E-2</v>
      </c>
      <c r="AG2934" s="845">
        <v>0.95730858468677493</v>
      </c>
      <c r="AH2934" s="20" t="str">
        <f t="shared" si="208"/>
        <v>Yes</v>
      </c>
      <c r="AI2934" s="25"/>
      <c r="AJ2934" s="25"/>
      <c r="AK2934" s="25"/>
      <c r="AL2934" s="25"/>
      <c r="AM2934" s="25"/>
      <c r="AN2934" s="25"/>
      <c r="AO2934" s="25"/>
      <c r="AP2934" s="25"/>
      <c r="AQ2934" s="25"/>
      <c r="AR2934" s="25"/>
      <c r="AS2934" s="25"/>
      <c r="AT2934" s="25"/>
      <c r="AU2934" s="36"/>
      <c r="AV2934" s="36"/>
      <c r="AW2934" s="36"/>
      <c r="AX2934" s="25"/>
      <c r="AY2934" s="25"/>
      <c r="AZ2934" s="25"/>
      <c r="BA2934" s="25"/>
      <c r="BB2934" s="25"/>
      <c r="BC2934" s="25"/>
      <c r="BD2934" s="25"/>
      <c r="BE2934" s="25"/>
      <c r="BF2934" s="25"/>
      <c r="BG2934" s="25"/>
      <c r="BH2934" s="25"/>
      <c r="BI2934" s="25"/>
      <c r="BJ2934" s="25"/>
      <c r="BK2934" s="25"/>
      <c r="BL2934" s="25"/>
      <c r="BM2934" s="25"/>
      <c r="BN2934" s="25"/>
      <c r="BO2934" s="25"/>
      <c r="BP2934" s="25"/>
      <c r="BQ2934" s="25"/>
      <c r="BR2934" s="25"/>
      <c r="BS2934" s="25"/>
      <c r="BT2934" s="25"/>
      <c r="BU2934"/>
      <c r="BV2934"/>
      <c r="BW2934"/>
      <c r="BX2934"/>
      <c r="BY2934"/>
      <c r="BZ2934"/>
      <c r="CA2934"/>
      <c r="CB2934"/>
      <c r="CC2934"/>
      <c r="CD2934" s="25"/>
    </row>
    <row r="2935" spans="1:82" s="17" customFormat="1" x14ac:dyDescent="0.2">
      <c r="A2935" s="25"/>
      <c r="B2935" s="20">
        <v>39035198600</v>
      </c>
      <c r="C2935" s="20">
        <v>1986</v>
      </c>
      <c r="D2935" s="20" t="s">
        <v>24</v>
      </c>
      <c r="E2935" s="20" t="s">
        <v>2829</v>
      </c>
      <c r="F2935" s="20" t="s">
        <v>6</v>
      </c>
      <c r="G2935" s="861">
        <v>26.229555709542002</v>
      </c>
      <c r="H2935" s="861">
        <v>38.607094108275099</v>
      </c>
      <c r="I2935" s="861">
        <v>36.104471772102499</v>
      </c>
      <c r="J2935" s="861">
        <v>36.502613592461998</v>
      </c>
      <c r="K2935" s="982">
        <v>0</v>
      </c>
      <c r="L2935" s="735" t="s">
        <v>2466</v>
      </c>
      <c r="M2935" s="735">
        <v>4424</v>
      </c>
      <c r="N2935" s="845" t="str">
        <f t="shared" si="206"/>
        <v/>
      </c>
      <c r="O2935" s="735">
        <v>0.74960305512753878</v>
      </c>
      <c r="P2935" s="735">
        <f t="shared" si="207"/>
        <v>5901.7902471692742</v>
      </c>
      <c r="Q2935" s="849">
        <v>48</v>
      </c>
      <c r="R2935" s="71">
        <v>27950</v>
      </c>
      <c r="S2935" s="845">
        <v>0.42667928098391672</v>
      </c>
      <c r="T2935" s="845">
        <v>0.10300000000000001</v>
      </c>
      <c r="U2935" s="845">
        <v>0</v>
      </c>
      <c r="V2935" s="845">
        <v>5.9000000000000004E-2</v>
      </c>
      <c r="W2935" s="845">
        <v>0.77184014869888473</v>
      </c>
      <c r="X2935" s="845">
        <v>0.28657435279951837</v>
      </c>
      <c r="Y2935" s="845">
        <v>0.11008137432188066</v>
      </c>
      <c r="Z2935" s="845">
        <v>0.78503616636528029</v>
      </c>
      <c r="AA2935" s="845">
        <v>9.9457504520795662E-3</v>
      </c>
      <c r="AB2935" s="845">
        <v>1.8083182640144665E-3</v>
      </c>
      <c r="AC2935" s="845">
        <v>0</v>
      </c>
      <c r="AD2935" s="845">
        <v>4.1365280289330925E-2</v>
      </c>
      <c r="AE2935" s="845">
        <v>5.1763110307414102E-2</v>
      </c>
      <c r="AF2935" s="845">
        <v>4.7468354430379748E-3</v>
      </c>
      <c r="AG2935" s="845">
        <v>0.11008137432188066</v>
      </c>
      <c r="AH2935" s="20" t="str">
        <f t="shared" si="208"/>
        <v>No</v>
      </c>
      <c r="AI2935" s="25"/>
      <c r="AJ2935" s="25"/>
      <c r="AK2935" s="25"/>
      <c r="AL2935" s="25"/>
      <c r="AM2935" s="25"/>
      <c r="AN2935" s="25"/>
      <c r="AO2935" s="25"/>
      <c r="AP2935" s="25"/>
      <c r="AQ2935" s="25"/>
      <c r="AR2935" s="25"/>
      <c r="AS2935" s="25"/>
      <c r="AT2935" s="25"/>
      <c r="AU2935" s="36"/>
      <c r="AV2935" s="36"/>
      <c r="AW2935" s="36"/>
      <c r="AX2935" s="25"/>
      <c r="AY2935" s="25"/>
      <c r="AZ2935" s="25"/>
      <c r="BA2935" s="25"/>
      <c r="BB2935" s="25"/>
      <c r="BC2935" s="25"/>
      <c r="BD2935" s="25"/>
      <c r="BE2935" s="25"/>
      <c r="BF2935" s="25"/>
      <c r="BG2935" s="25"/>
      <c r="BH2935" s="25"/>
      <c r="BI2935" s="25"/>
      <c r="BJ2935" s="25"/>
      <c r="BK2935" s="25"/>
      <c r="BL2935" s="25"/>
      <c r="BM2935" s="25"/>
      <c r="BN2935" s="25"/>
      <c r="BO2935" s="25"/>
      <c r="BP2935" s="25"/>
      <c r="BQ2935" s="25"/>
      <c r="BR2935" s="25"/>
      <c r="BS2935" s="25"/>
      <c r="BT2935" s="25"/>
      <c r="BU2935"/>
      <c r="BV2935"/>
      <c r="BW2935"/>
      <c r="BX2935"/>
      <c r="BY2935"/>
      <c r="BZ2935"/>
      <c r="CA2935"/>
      <c r="CB2935"/>
      <c r="CC2935"/>
      <c r="CD2935" s="25"/>
    </row>
    <row r="2936" spans="1:82" s="17" customFormat="1" x14ac:dyDescent="0.2">
      <c r="A2936" s="25"/>
      <c r="B2936" s="20">
        <v>39017012300</v>
      </c>
      <c r="C2936" s="20">
        <v>123</v>
      </c>
      <c r="D2936" s="20" t="s">
        <v>15</v>
      </c>
      <c r="E2936" s="20" t="s">
        <v>2828</v>
      </c>
      <c r="F2936" s="20" t="s">
        <v>6</v>
      </c>
      <c r="G2936" s="861">
        <v>26.210723045672101</v>
      </c>
      <c r="H2936" s="861">
        <v>40.224050960439001</v>
      </c>
      <c r="I2936" s="861">
        <v>45.431530163970102</v>
      </c>
      <c r="J2936" s="861">
        <v>32.508437406123598</v>
      </c>
      <c r="K2936" s="982">
        <v>0</v>
      </c>
      <c r="L2936" s="735">
        <v>2455</v>
      </c>
      <c r="M2936" s="735">
        <v>2188</v>
      </c>
      <c r="N2936" s="845">
        <f t="shared" si="206"/>
        <v>-0.10875763747454176</v>
      </c>
      <c r="O2936" s="735">
        <v>0.61150357945079525</v>
      </c>
      <c r="P2936" s="735">
        <f t="shared" si="207"/>
        <v>3578.0657277020205</v>
      </c>
      <c r="Q2936" s="849">
        <v>47.9</v>
      </c>
      <c r="R2936" s="71">
        <v>41792</v>
      </c>
      <c r="S2936" s="845">
        <v>0.30393053016453381</v>
      </c>
      <c r="T2936" s="845">
        <v>0.11</v>
      </c>
      <c r="U2936" s="845">
        <v>0</v>
      </c>
      <c r="V2936" s="845">
        <v>4.7E-2</v>
      </c>
      <c r="W2936" s="845">
        <v>0.36151603498542273</v>
      </c>
      <c r="X2936" s="845">
        <v>0.68279569892473113</v>
      </c>
      <c r="Y2936" s="845">
        <v>0.77787934186471663</v>
      </c>
      <c r="Z2936" s="845">
        <v>0.13162705667276051</v>
      </c>
      <c r="AA2936" s="845">
        <v>0</v>
      </c>
      <c r="AB2936" s="845">
        <v>3.6563071297989031E-3</v>
      </c>
      <c r="AC2936" s="845">
        <v>0</v>
      </c>
      <c r="AD2936" s="845">
        <v>5.9414990859232176E-3</v>
      </c>
      <c r="AE2936" s="845">
        <v>8.0895795246800725E-2</v>
      </c>
      <c r="AF2936" s="845">
        <v>5.3016453382084092E-2</v>
      </c>
      <c r="AG2936" s="845">
        <v>0.77787934186471663</v>
      </c>
      <c r="AH2936" s="20" t="str">
        <f t="shared" si="208"/>
        <v>No</v>
      </c>
      <c r="AI2936" s="25"/>
      <c r="AJ2936" s="25"/>
      <c r="AK2936" s="25"/>
      <c r="AL2936" s="25"/>
      <c r="AM2936" s="25"/>
      <c r="AN2936" s="25"/>
      <c r="AO2936" s="25"/>
      <c r="AP2936" s="25"/>
      <c r="AQ2936" s="25"/>
      <c r="AR2936" s="25"/>
      <c r="AS2936" s="25"/>
      <c r="AT2936" s="25"/>
      <c r="AU2936" s="36"/>
      <c r="AV2936" s="36"/>
      <c r="AW2936" s="36"/>
      <c r="AX2936" s="25"/>
      <c r="AY2936" s="25"/>
      <c r="AZ2936" s="25"/>
      <c r="BA2936" s="25"/>
      <c r="BB2936" s="25"/>
      <c r="BC2936" s="25"/>
      <c r="BD2936" s="25"/>
      <c r="BE2936" s="25"/>
      <c r="BF2936" s="25"/>
      <c r="BG2936" s="25"/>
      <c r="BH2936" s="25"/>
      <c r="BI2936" s="25"/>
      <c r="BJ2936" s="25"/>
      <c r="BK2936" s="25"/>
      <c r="BL2936" s="25"/>
      <c r="BM2936" s="25"/>
      <c r="BN2936" s="25"/>
      <c r="BO2936" s="25"/>
      <c r="BP2936" s="25"/>
      <c r="BQ2936" s="25"/>
      <c r="BR2936" s="25"/>
      <c r="BS2936" s="25"/>
      <c r="BT2936" s="25"/>
      <c r="BU2936"/>
      <c r="BV2936"/>
      <c r="BW2936"/>
      <c r="BX2936"/>
      <c r="BY2936"/>
      <c r="BZ2936"/>
      <c r="CA2936"/>
      <c r="CB2936"/>
      <c r="CC2936"/>
      <c r="CD2936" s="25"/>
    </row>
    <row r="2937" spans="1:82" s="17" customFormat="1" x14ac:dyDescent="0.2">
      <c r="A2937" s="25"/>
      <c r="B2937" s="20">
        <v>39113001100</v>
      </c>
      <c r="C2937" s="20">
        <v>11</v>
      </c>
      <c r="D2937" s="20" t="s">
        <v>62</v>
      </c>
      <c r="E2937" s="20" t="s">
        <v>2833</v>
      </c>
      <c r="F2937" s="20" t="s">
        <v>6</v>
      </c>
      <c r="G2937" s="861">
        <v>26.076025283520199</v>
      </c>
      <c r="H2937" s="861">
        <v>41.544269973415503</v>
      </c>
      <c r="I2937" s="861">
        <v>73.940945453452599</v>
      </c>
      <c r="J2937" s="861">
        <v>40.747713121632103</v>
      </c>
      <c r="K2937" s="982">
        <v>0</v>
      </c>
      <c r="L2937" s="735">
        <v>4130</v>
      </c>
      <c r="M2937" s="735">
        <v>3779</v>
      </c>
      <c r="N2937" s="845">
        <f t="shared" si="206"/>
        <v>-8.4987893462469738E-2</v>
      </c>
      <c r="O2937" s="735">
        <v>0.62158277630085335</v>
      </c>
      <c r="P2937" s="735">
        <f t="shared" si="207"/>
        <v>6079.6407881336145</v>
      </c>
      <c r="Q2937" s="849">
        <v>36</v>
      </c>
      <c r="R2937" s="71">
        <v>32668</v>
      </c>
      <c r="S2937" s="845">
        <v>0.25006615506747815</v>
      </c>
      <c r="T2937" s="845">
        <v>0.17100000000000001</v>
      </c>
      <c r="U2937" s="845">
        <v>2.1000000000000001E-2</v>
      </c>
      <c r="V2937" s="845">
        <v>0.161</v>
      </c>
      <c r="W2937" s="845">
        <v>0.63208109719737626</v>
      </c>
      <c r="X2937" s="845">
        <v>0.4679245283018868</v>
      </c>
      <c r="Y2937" s="845">
        <v>0.22730881185498808</v>
      </c>
      <c r="Z2937" s="845">
        <v>0.68774808150304312</v>
      </c>
      <c r="AA2937" s="845">
        <v>7.9386080973802599E-3</v>
      </c>
      <c r="AB2937" s="845">
        <v>0</v>
      </c>
      <c r="AC2937" s="845">
        <v>0</v>
      </c>
      <c r="AD2937" s="845">
        <v>2.7785128340830908E-2</v>
      </c>
      <c r="AE2937" s="845">
        <v>4.9219370203757606E-2</v>
      </c>
      <c r="AF2937" s="845">
        <v>3.4929875628473141E-2</v>
      </c>
      <c r="AG2937" s="845">
        <v>0.21593014024874305</v>
      </c>
      <c r="AH2937" s="20" t="str">
        <f t="shared" si="208"/>
        <v>No</v>
      </c>
      <c r="AI2937" s="25"/>
      <c r="AJ2937" s="25"/>
      <c r="AK2937" s="25"/>
      <c r="AL2937" s="25"/>
      <c r="AM2937" s="25"/>
      <c r="AN2937" s="25"/>
      <c r="AO2937" s="25"/>
      <c r="AP2937" s="25"/>
      <c r="AQ2937" s="25"/>
      <c r="AR2937" s="25"/>
      <c r="AS2937" s="25"/>
      <c r="AT2937" s="25"/>
      <c r="AU2937" s="36"/>
      <c r="AV2937" s="36"/>
      <c r="AW2937" s="36"/>
      <c r="AX2937" s="25"/>
      <c r="AY2937" s="25"/>
      <c r="AZ2937" s="25"/>
      <c r="BA2937" s="25"/>
      <c r="BB2937" s="25"/>
      <c r="BC2937" s="25"/>
      <c r="BD2937" s="25"/>
      <c r="BE2937" s="25"/>
      <c r="BF2937" s="25"/>
      <c r="BG2937" s="25"/>
      <c r="BH2937" s="25"/>
      <c r="BI2937" s="25"/>
      <c r="BJ2937" s="25"/>
      <c r="BK2937" s="25"/>
      <c r="BL2937" s="25"/>
      <c r="BM2937" s="25"/>
      <c r="BN2937" s="25"/>
      <c r="BO2937" s="25"/>
      <c r="BP2937" s="25"/>
      <c r="BQ2937" s="25"/>
      <c r="BR2937" s="25"/>
      <c r="BS2937" s="25"/>
      <c r="BT2937" s="25"/>
      <c r="BU2937"/>
      <c r="BV2937"/>
      <c r="BW2937"/>
      <c r="BX2937"/>
      <c r="BY2937"/>
      <c r="BZ2937"/>
      <c r="CA2937"/>
      <c r="CB2937"/>
      <c r="CC2937"/>
      <c r="CD2937" s="25"/>
    </row>
    <row r="2938" spans="1:82" s="17" customFormat="1" x14ac:dyDescent="0.2">
      <c r="A2938" s="25"/>
      <c r="B2938" s="20">
        <v>39081011100</v>
      </c>
      <c r="C2938" s="20">
        <v>111</v>
      </c>
      <c r="D2938" s="20" t="s">
        <v>47</v>
      </c>
      <c r="E2938" s="20" t="s">
        <v>2840</v>
      </c>
      <c r="F2938" s="20" t="s">
        <v>8</v>
      </c>
      <c r="G2938" s="861">
        <v>26.043724924282401</v>
      </c>
      <c r="H2938" s="861">
        <v>25.828938486576401</v>
      </c>
      <c r="I2938" s="861">
        <v>21.944447372281601</v>
      </c>
      <c r="J2938" s="861">
        <v>44.4499211844999</v>
      </c>
      <c r="K2938" s="982">
        <v>0</v>
      </c>
      <c r="L2938" s="735">
        <v>3271</v>
      </c>
      <c r="M2938" s="735">
        <v>2445</v>
      </c>
      <c r="N2938" s="845">
        <f t="shared" si="206"/>
        <v>-0.25252216447569553</v>
      </c>
      <c r="O2938" s="735">
        <v>61.580682314406459</v>
      </c>
      <c r="P2938" s="735">
        <f t="shared" si="207"/>
        <v>39.704009571001549</v>
      </c>
      <c r="Q2938" s="849">
        <v>48.7</v>
      </c>
      <c r="R2938" s="71">
        <v>60865</v>
      </c>
      <c r="S2938" s="845">
        <v>0.1188037689471528</v>
      </c>
      <c r="T2938" s="845">
        <v>2.7000000000000003E-2</v>
      </c>
      <c r="U2938" s="845">
        <v>0</v>
      </c>
      <c r="V2938" s="845">
        <v>0</v>
      </c>
      <c r="W2938" s="845">
        <v>0.24301964839710444</v>
      </c>
      <c r="X2938" s="845">
        <v>0.33617021276595743</v>
      </c>
      <c r="Y2938" s="845">
        <v>0.99222903885480573</v>
      </c>
      <c r="Z2938" s="845">
        <v>0</v>
      </c>
      <c r="AA2938" s="845">
        <v>0</v>
      </c>
      <c r="AB2938" s="845">
        <v>0</v>
      </c>
      <c r="AC2938" s="845">
        <v>0</v>
      </c>
      <c r="AD2938" s="845">
        <v>4.0899795501022495E-4</v>
      </c>
      <c r="AE2938" s="845">
        <v>7.3619631901840491E-3</v>
      </c>
      <c r="AF2938" s="845">
        <v>7.770961145194274E-3</v>
      </c>
      <c r="AG2938" s="845">
        <v>0.98445807770961147</v>
      </c>
      <c r="AH2938" s="20" t="str">
        <f t="shared" si="208"/>
        <v>Yes</v>
      </c>
      <c r="AI2938" s="25"/>
      <c r="AJ2938" s="25"/>
      <c r="AK2938" s="25"/>
      <c r="AL2938" s="25"/>
      <c r="AM2938" s="25"/>
      <c r="AN2938" s="25"/>
      <c r="AO2938" s="25"/>
      <c r="AP2938" s="25"/>
      <c r="AQ2938" s="25"/>
      <c r="AR2938" s="25"/>
      <c r="AS2938" s="25"/>
      <c r="AT2938" s="25"/>
      <c r="AU2938" s="36"/>
      <c r="AV2938" s="36"/>
      <c r="AW2938" s="36"/>
      <c r="AX2938" s="25"/>
      <c r="AY2938" s="25"/>
      <c r="AZ2938" s="25"/>
      <c r="BA2938" s="25"/>
      <c r="BB2938" s="25"/>
      <c r="BC2938" s="25"/>
      <c r="BD2938" s="25"/>
      <c r="BE2938" s="25"/>
      <c r="BF2938" s="25"/>
      <c r="BG2938" s="25"/>
      <c r="BH2938" s="25"/>
      <c r="BI2938" s="25"/>
      <c r="BJ2938" s="25"/>
      <c r="BK2938" s="25"/>
      <c r="BL2938" s="25"/>
      <c r="BM2938" s="25"/>
      <c r="BN2938" s="25"/>
      <c r="BO2938" s="25"/>
      <c r="BP2938" s="25"/>
      <c r="BQ2938" s="25"/>
      <c r="BR2938" s="25"/>
      <c r="BS2938" s="25"/>
      <c r="BT2938" s="25"/>
      <c r="BU2938"/>
      <c r="BV2938"/>
      <c r="BW2938"/>
      <c r="BX2938"/>
      <c r="BY2938"/>
      <c r="BZ2938"/>
      <c r="CA2938"/>
      <c r="CB2938"/>
      <c r="CC2938"/>
      <c r="CD2938" s="25"/>
    </row>
    <row r="2939" spans="1:82" s="17" customFormat="1" x14ac:dyDescent="0.2">
      <c r="A2939" s="25"/>
      <c r="B2939" s="20">
        <v>39089759101</v>
      </c>
      <c r="C2939" s="20">
        <v>7591.01</v>
      </c>
      <c r="D2939" s="20" t="s">
        <v>50</v>
      </c>
      <c r="E2939" s="20" t="s">
        <v>2830</v>
      </c>
      <c r="F2939" s="20" t="s">
        <v>8</v>
      </c>
      <c r="G2939" s="861">
        <v>26.0412735070887</v>
      </c>
      <c r="H2939" s="861">
        <v>49.8096323189123</v>
      </c>
      <c r="I2939" s="861">
        <v>30.668974948807001</v>
      </c>
      <c r="J2939" s="861">
        <v>41.856344345298197</v>
      </c>
      <c r="K2939" s="982">
        <v>1</v>
      </c>
      <c r="L2939" s="735" t="s">
        <v>2466</v>
      </c>
      <c r="M2939" s="735">
        <v>4591</v>
      </c>
      <c r="N2939" s="845" t="str">
        <f t="shared" si="206"/>
        <v/>
      </c>
      <c r="O2939" s="735">
        <v>27.25825100409438</v>
      </c>
      <c r="P2939" s="735">
        <f t="shared" si="207"/>
        <v>168.42606663613157</v>
      </c>
      <c r="Q2939" s="849">
        <v>40.5</v>
      </c>
      <c r="R2939" s="71">
        <v>85673</v>
      </c>
      <c r="S2939" s="845">
        <v>0.10778965742963124</v>
      </c>
      <c r="T2939" s="845">
        <v>5.5E-2</v>
      </c>
      <c r="U2939" s="845">
        <v>3.0000000000000001E-3</v>
      </c>
      <c r="V2939" s="845">
        <v>0.26500000000000001</v>
      </c>
      <c r="W2939" s="845">
        <v>0.28096017457719585</v>
      </c>
      <c r="X2939" s="845">
        <v>0.39805825242718446</v>
      </c>
      <c r="Y2939" s="845">
        <v>0.93029840993247659</v>
      </c>
      <c r="Z2939" s="845">
        <v>2.3306469178828143E-2</v>
      </c>
      <c r="AA2939" s="845">
        <v>0</v>
      </c>
      <c r="AB2939" s="845">
        <v>0</v>
      </c>
      <c r="AC2939" s="845">
        <v>0</v>
      </c>
      <c r="AD2939" s="845">
        <v>2.0257024613373992E-2</v>
      </c>
      <c r="AE2939" s="845">
        <v>2.6138096275321279E-2</v>
      </c>
      <c r="AF2939" s="845">
        <v>3.6811152254410805E-2</v>
      </c>
      <c r="AG2939" s="845">
        <v>0.9050315835329994</v>
      </c>
      <c r="AH2939" s="20" t="str">
        <f t="shared" si="208"/>
        <v>Yes</v>
      </c>
      <c r="AI2939" s="25"/>
      <c r="AJ2939" s="25"/>
      <c r="AK2939" s="25"/>
      <c r="AL2939" s="25"/>
      <c r="AM2939" s="25"/>
      <c r="AN2939" s="25"/>
      <c r="AO2939" s="25"/>
      <c r="AP2939" s="25"/>
      <c r="AQ2939" s="25"/>
      <c r="AR2939" s="25"/>
      <c r="AS2939" s="25"/>
      <c r="AT2939" s="25"/>
      <c r="AU2939" s="36"/>
      <c r="AV2939" s="36"/>
      <c r="AW2939" s="36"/>
      <c r="AX2939" s="25"/>
      <c r="AY2939" s="25"/>
      <c r="AZ2939" s="25"/>
      <c r="BA2939" s="25"/>
      <c r="BB2939" s="25"/>
      <c r="BC2939" s="25"/>
      <c r="BD2939" s="25"/>
      <c r="BE2939" s="25"/>
      <c r="BF2939" s="25"/>
      <c r="BG2939" s="25"/>
      <c r="BH2939" s="25"/>
      <c r="BI2939" s="25"/>
      <c r="BJ2939" s="25"/>
      <c r="BK2939" s="25"/>
      <c r="BL2939" s="25"/>
      <c r="BM2939" s="25"/>
      <c r="BN2939" s="25"/>
      <c r="BO2939" s="25"/>
      <c r="BP2939" s="25"/>
      <c r="BQ2939" s="25"/>
      <c r="BR2939" s="25"/>
      <c r="BS2939" s="25"/>
      <c r="BT2939" s="25"/>
      <c r="BU2939"/>
      <c r="BV2939"/>
      <c r="BW2939"/>
      <c r="BX2939"/>
      <c r="BY2939"/>
      <c r="BZ2939"/>
      <c r="CA2939"/>
      <c r="CB2939"/>
      <c r="CC2939"/>
      <c r="CD2939" s="25"/>
    </row>
    <row r="2940" spans="1:82" s="17" customFormat="1" x14ac:dyDescent="0.2">
      <c r="A2940" s="25"/>
      <c r="B2940" s="20">
        <v>39035116500</v>
      </c>
      <c r="C2940" s="20">
        <v>1165</v>
      </c>
      <c r="D2940" s="20" t="s">
        <v>24</v>
      </c>
      <c r="E2940" s="20" t="s">
        <v>2829</v>
      </c>
      <c r="F2940" s="20" t="s">
        <v>6</v>
      </c>
      <c r="G2940" s="861">
        <v>26.013956291198401</v>
      </c>
      <c r="H2940" s="861">
        <v>18.414548071454099</v>
      </c>
      <c r="I2940" s="861">
        <v>96.173981174980398</v>
      </c>
      <c r="J2940" s="861">
        <v>40.821476334729901</v>
      </c>
      <c r="K2940" s="982">
        <v>0</v>
      </c>
      <c r="L2940" s="735">
        <v>2024</v>
      </c>
      <c r="M2940" s="735">
        <v>2548</v>
      </c>
      <c r="N2940" s="845">
        <f t="shared" si="206"/>
        <v>0.25889328063241107</v>
      </c>
      <c r="O2940" s="735">
        <v>0.31209757175294522</v>
      </c>
      <c r="P2940" s="735">
        <f t="shared" si="207"/>
        <v>8164.1135036352771</v>
      </c>
      <c r="Q2940" s="849">
        <v>38.5</v>
      </c>
      <c r="R2940" s="71">
        <v>28553</v>
      </c>
      <c r="S2940" s="845">
        <v>0.38108320251177397</v>
      </c>
      <c r="T2940" s="845">
        <v>0.14699999999999999</v>
      </c>
      <c r="U2940" s="845">
        <v>0</v>
      </c>
      <c r="V2940" s="845">
        <v>1.7000000000000001E-2</v>
      </c>
      <c r="W2940" s="845">
        <v>0.71370967741935487</v>
      </c>
      <c r="X2940" s="845">
        <v>0.71412429378531073</v>
      </c>
      <c r="Y2940" s="845">
        <v>4.2778649921507067E-2</v>
      </c>
      <c r="Z2940" s="845">
        <v>0.92896389324960749</v>
      </c>
      <c r="AA2940" s="845">
        <v>0</v>
      </c>
      <c r="AB2940" s="845">
        <v>0</v>
      </c>
      <c r="AC2940" s="845">
        <v>0</v>
      </c>
      <c r="AD2940" s="845">
        <v>0</v>
      </c>
      <c r="AE2940" s="845">
        <v>2.8257456828885402E-2</v>
      </c>
      <c r="AF2940" s="845">
        <v>4.7095761381475663E-3</v>
      </c>
      <c r="AG2940" s="845">
        <v>4.2778649921507067E-2</v>
      </c>
      <c r="AH2940" s="20" t="str">
        <f t="shared" si="208"/>
        <v>No</v>
      </c>
      <c r="AI2940" s="25"/>
      <c r="AJ2940" s="25"/>
      <c r="AK2940" s="25"/>
      <c r="AL2940" s="25"/>
      <c r="AM2940" s="25"/>
      <c r="AN2940" s="25"/>
      <c r="AO2940" s="25"/>
      <c r="AP2940" s="25"/>
      <c r="AQ2940" s="25"/>
      <c r="AR2940" s="25"/>
      <c r="AS2940" s="25"/>
      <c r="AT2940" s="25"/>
      <c r="AU2940" s="36"/>
      <c r="AV2940" s="36"/>
      <c r="AW2940" s="36"/>
      <c r="AX2940" s="25"/>
      <c r="AY2940" s="25"/>
      <c r="AZ2940" s="25"/>
      <c r="BA2940" s="25"/>
      <c r="BB2940" s="25"/>
      <c r="BC2940" s="25"/>
      <c r="BD2940" s="25"/>
      <c r="BE2940" s="25"/>
      <c r="BF2940" s="25"/>
      <c r="BG2940" s="25"/>
      <c r="BH2940" s="25"/>
      <c r="BI2940" s="25"/>
      <c r="BJ2940" s="25"/>
      <c r="BK2940" s="25"/>
      <c r="BL2940" s="25"/>
      <c r="BM2940" s="25"/>
      <c r="BN2940" s="25"/>
      <c r="BO2940" s="25"/>
      <c r="BP2940" s="25"/>
      <c r="BQ2940" s="25"/>
      <c r="BR2940" s="25"/>
      <c r="BS2940" s="25"/>
      <c r="BT2940" s="25"/>
      <c r="BU2940"/>
      <c r="BV2940"/>
      <c r="BW2940"/>
      <c r="BX2940"/>
      <c r="BY2940"/>
      <c r="BZ2940"/>
      <c r="CA2940"/>
      <c r="CB2940"/>
      <c r="CC2940"/>
      <c r="CD2940" s="25"/>
    </row>
    <row r="2941" spans="1:82" s="17" customFormat="1" x14ac:dyDescent="0.2">
      <c r="A2941" s="25"/>
      <c r="B2941" s="20">
        <v>39155930300</v>
      </c>
      <c r="C2941" s="20">
        <v>9303</v>
      </c>
      <c r="D2941" s="20" t="s">
        <v>83</v>
      </c>
      <c r="E2941" s="20" t="s">
        <v>2842</v>
      </c>
      <c r="F2941" s="20" t="s">
        <v>8</v>
      </c>
      <c r="G2941" s="861">
        <v>25.995564763814802</v>
      </c>
      <c r="H2941" s="861">
        <v>29.753126048037299</v>
      </c>
      <c r="I2941" s="861">
        <v>23.996803307063502</v>
      </c>
      <c r="J2941" s="861">
        <v>35.003634845238999</v>
      </c>
      <c r="K2941" s="982">
        <v>0</v>
      </c>
      <c r="L2941" s="735">
        <v>3780</v>
      </c>
      <c r="M2941" s="735">
        <v>2948</v>
      </c>
      <c r="N2941" s="845">
        <f t="shared" si="206"/>
        <v>-0.22010582010582011</v>
      </c>
      <c r="O2941" s="735">
        <v>44.203115666040645</v>
      </c>
      <c r="P2941" s="735">
        <f t="shared" si="207"/>
        <v>66.692131438708103</v>
      </c>
      <c r="Q2941" s="849">
        <v>46.4</v>
      </c>
      <c r="R2941" s="71">
        <v>51819</v>
      </c>
      <c r="S2941" s="845">
        <v>0.13839891451831751</v>
      </c>
      <c r="T2941" s="845">
        <v>6.6000000000000003E-2</v>
      </c>
      <c r="U2941" s="845">
        <v>0</v>
      </c>
      <c r="V2941" s="845">
        <v>0</v>
      </c>
      <c r="W2941" s="845">
        <v>0.20431765612952968</v>
      </c>
      <c r="X2941" s="845">
        <v>0.12830188679245283</v>
      </c>
      <c r="Y2941" s="845">
        <v>0.97896879240162826</v>
      </c>
      <c r="Z2941" s="845">
        <v>0</v>
      </c>
      <c r="AA2941" s="845">
        <v>0</v>
      </c>
      <c r="AB2941" s="845">
        <v>0</v>
      </c>
      <c r="AC2941" s="845">
        <v>0</v>
      </c>
      <c r="AD2941" s="845">
        <v>2.3744911804613297E-3</v>
      </c>
      <c r="AE2941" s="845">
        <v>1.8656716417910446E-2</v>
      </c>
      <c r="AF2941" s="845">
        <v>8.4803256445047485E-3</v>
      </c>
      <c r="AG2941" s="845">
        <v>0.97286295793758482</v>
      </c>
      <c r="AH2941" s="20" t="str">
        <f t="shared" si="208"/>
        <v>Yes</v>
      </c>
      <c r="AI2941" s="25"/>
      <c r="AJ2941" s="25"/>
      <c r="AK2941" s="25"/>
      <c r="AL2941" s="25"/>
      <c r="AM2941" s="25"/>
      <c r="AN2941" s="25"/>
      <c r="AO2941" s="25"/>
      <c r="AP2941" s="25"/>
      <c r="AQ2941" s="25"/>
      <c r="AR2941" s="25"/>
      <c r="AS2941" s="25"/>
      <c r="AT2941" s="25"/>
      <c r="AU2941" s="36"/>
      <c r="AV2941" s="36"/>
      <c r="AW2941" s="36"/>
      <c r="AX2941" s="25"/>
      <c r="AY2941" s="25"/>
      <c r="AZ2941" s="25"/>
      <c r="BA2941" s="25"/>
      <c r="BB2941" s="25"/>
      <c r="BC2941" s="25"/>
      <c r="BD2941" s="25"/>
      <c r="BE2941" s="25"/>
      <c r="BF2941" s="25"/>
      <c r="BG2941" s="25"/>
      <c r="BH2941" s="25"/>
      <c r="BI2941" s="25"/>
      <c r="BJ2941" s="25"/>
      <c r="BK2941" s="25"/>
      <c r="BL2941" s="25"/>
      <c r="BM2941" s="25"/>
      <c r="BN2941" s="25"/>
      <c r="BO2941" s="25"/>
      <c r="BP2941" s="25"/>
      <c r="BQ2941" s="25"/>
      <c r="BR2941" s="25"/>
      <c r="BS2941" s="25"/>
      <c r="BT2941" s="25"/>
      <c r="BU2941"/>
      <c r="BV2941"/>
      <c r="BW2941"/>
      <c r="BX2941"/>
      <c r="BY2941"/>
      <c r="BZ2941"/>
      <c r="CA2941"/>
      <c r="CB2941"/>
      <c r="CC2941"/>
      <c r="CD2941" s="25"/>
    </row>
    <row r="2942" spans="1:82" s="17" customFormat="1" x14ac:dyDescent="0.2">
      <c r="A2942" s="25"/>
      <c r="B2942" s="20">
        <v>39089754400</v>
      </c>
      <c r="C2942" s="20">
        <v>7544</v>
      </c>
      <c r="D2942" s="20" t="s">
        <v>50</v>
      </c>
      <c r="E2942" s="20" t="s">
        <v>2830</v>
      </c>
      <c r="F2942" s="20" t="s">
        <v>8</v>
      </c>
      <c r="G2942" s="861">
        <v>25.945099779089301</v>
      </c>
      <c r="H2942" s="861">
        <v>36.618474965414201</v>
      </c>
      <c r="I2942" s="861">
        <v>20.421707584797002</v>
      </c>
      <c r="J2942" s="861">
        <v>51.530955860365999</v>
      </c>
      <c r="K2942" s="982">
        <v>0</v>
      </c>
      <c r="L2942" s="735">
        <v>6223</v>
      </c>
      <c r="M2942" s="735">
        <v>6325</v>
      </c>
      <c r="N2942" s="845">
        <f t="shared" si="206"/>
        <v>1.6390808291820665E-2</v>
      </c>
      <c r="O2942" s="735">
        <v>94.333683253858652</v>
      </c>
      <c r="P2942" s="735">
        <f t="shared" si="207"/>
        <v>67.049221251957007</v>
      </c>
      <c r="Q2942" s="849">
        <v>37.6</v>
      </c>
      <c r="R2942" s="71">
        <v>77143</v>
      </c>
      <c r="S2942" s="845">
        <v>0.1449802371541502</v>
      </c>
      <c r="T2942" s="845">
        <v>0.03</v>
      </c>
      <c r="U2942" s="845">
        <v>3.2000000000000001E-2</v>
      </c>
      <c r="V2942" s="845">
        <v>0</v>
      </c>
      <c r="W2942" s="845">
        <v>0.12601994560290117</v>
      </c>
      <c r="X2942" s="845">
        <v>0.32374100719424459</v>
      </c>
      <c r="Y2942" s="845">
        <v>0.97517786561264819</v>
      </c>
      <c r="Z2942" s="845">
        <v>1.7549407114624507E-2</v>
      </c>
      <c r="AA2942" s="845">
        <v>0</v>
      </c>
      <c r="AB2942" s="845">
        <v>2.0553359683794467E-3</v>
      </c>
      <c r="AC2942" s="845">
        <v>0</v>
      </c>
      <c r="AD2942" s="845">
        <v>2.3715415019762848E-3</v>
      </c>
      <c r="AE2942" s="845">
        <v>2.8458498023715413E-3</v>
      </c>
      <c r="AF2942" s="845">
        <v>0</v>
      </c>
      <c r="AG2942" s="845">
        <v>0.97517786561264819</v>
      </c>
      <c r="AH2942" s="20" t="str">
        <f t="shared" si="208"/>
        <v>Yes</v>
      </c>
      <c r="AI2942" s="25"/>
      <c r="AJ2942" s="25"/>
      <c r="AK2942" s="25"/>
      <c r="AL2942" s="25"/>
      <c r="AM2942" s="25"/>
      <c r="AN2942" s="25"/>
      <c r="AO2942" s="25"/>
      <c r="AP2942" s="25"/>
      <c r="AQ2942" s="25"/>
      <c r="AR2942" s="25"/>
      <c r="AS2942" s="25"/>
      <c r="AT2942" s="25"/>
      <c r="AU2942" s="36"/>
      <c r="AV2942" s="36"/>
      <c r="AW2942" s="36"/>
      <c r="AX2942" s="25"/>
      <c r="AY2942" s="25"/>
      <c r="AZ2942" s="25"/>
      <c r="BA2942" s="25"/>
      <c r="BB2942" s="25"/>
      <c r="BC2942" s="25"/>
      <c r="BD2942" s="25"/>
      <c r="BE2942" s="25"/>
      <c r="BF2942" s="25"/>
      <c r="BG2942" s="25"/>
      <c r="BH2942" s="25"/>
      <c r="BI2942" s="25"/>
      <c r="BJ2942" s="25"/>
      <c r="BK2942" s="25"/>
      <c r="BL2942" s="25"/>
      <c r="BM2942" s="25"/>
      <c r="BN2942" s="25"/>
      <c r="BO2942" s="25"/>
      <c r="BP2942" s="25"/>
      <c r="BQ2942" s="25"/>
      <c r="BR2942" s="25"/>
      <c r="BS2942" s="25"/>
      <c r="BT2942" s="25"/>
      <c r="BU2942"/>
      <c r="BV2942"/>
      <c r="BW2942"/>
      <c r="BX2942"/>
      <c r="BY2942"/>
      <c r="BZ2942"/>
      <c r="CA2942"/>
      <c r="CB2942"/>
      <c r="CC2942"/>
      <c r="CD2942" s="25"/>
    </row>
    <row r="2943" spans="1:82" s="17" customFormat="1" x14ac:dyDescent="0.2">
      <c r="A2943" s="25"/>
      <c r="B2943" s="20">
        <v>39151714801</v>
      </c>
      <c r="C2943" s="20">
        <v>7148.01</v>
      </c>
      <c r="D2943" s="20" t="s">
        <v>81</v>
      </c>
      <c r="E2943" s="20" t="s">
        <v>2844</v>
      </c>
      <c r="F2943" s="20" t="s">
        <v>8</v>
      </c>
      <c r="G2943" s="861">
        <v>25.915571262133899</v>
      </c>
      <c r="H2943" s="861">
        <v>22.137532556776701</v>
      </c>
      <c r="I2943" s="861">
        <v>30.494024863660201</v>
      </c>
      <c r="J2943" s="861">
        <v>43.124046249461202</v>
      </c>
      <c r="K2943" s="982">
        <v>0</v>
      </c>
      <c r="L2943" s="735">
        <v>6520</v>
      </c>
      <c r="M2943" s="735">
        <v>6528</v>
      </c>
      <c r="N2943" s="845">
        <f t="shared" si="206"/>
        <v>1.2269938650306749E-3</v>
      </c>
      <c r="O2943" s="735">
        <v>33.714606898330508</v>
      </c>
      <c r="P2943" s="735">
        <f t="shared" si="207"/>
        <v>193.62527404474218</v>
      </c>
      <c r="Q2943" s="849">
        <v>36.299999999999997</v>
      </c>
      <c r="R2943" s="71">
        <v>67946</v>
      </c>
      <c r="S2943" s="845">
        <v>0.10913105188456079</v>
      </c>
      <c r="T2943" s="845">
        <v>1.1000000000000001E-2</v>
      </c>
      <c r="U2943" s="845">
        <v>0</v>
      </c>
      <c r="V2943" s="845">
        <v>1.6E-2</v>
      </c>
      <c r="W2943" s="845">
        <v>0.29785407725321889</v>
      </c>
      <c r="X2943" s="845">
        <v>0.31412103746397696</v>
      </c>
      <c r="Y2943" s="845">
        <v>0.98039215686274506</v>
      </c>
      <c r="Z2943" s="845">
        <v>4.5955882352941178E-3</v>
      </c>
      <c r="AA2943" s="845">
        <v>0</v>
      </c>
      <c r="AB2943" s="845">
        <v>2.2977941176470589E-3</v>
      </c>
      <c r="AC2943" s="845">
        <v>0</v>
      </c>
      <c r="AD2943" s="845">
        <v>0</v>
      </c>
      <c r="AE2943" s="845">
        <v>1.2714460784313725E-2</v>
      </c>
      <c r="AF2943" s="845">
        <v>6.1274509803921568E-3</v>
      </c>
      <c r="AG2943" s="845">
        <v>0.9765625</v>
      </c>
      <c r="AH2943" s="20" t="str">
        <f t="shared" si="208"/>
        <v>Yes</v>
      </c>
      <c r="AI2943" s="25"/>
      <c r="AJ2943" s="25"/>
      <c r="AK2943" s="25"/>
      <c r="AL2943" s="25"/>
      <c r="AM2943" s="25"/>
      <c r="AN2943" s="25"/>
      <c r="AO2943" s="25"/>
      <c r="AP2943" s="25"/>
      <c r="AQ2943" s="25"/>
      <c r="AR2943" s="25"/>
      <c r="AS2943" s="25"/>
      <c r="AT2943" s="25"/>
      <c r="AU2943" s="36"/>
      <c r="AV2943" s="36"/>
      <c r="AW2943" s="36"/>
      <c r="AX2943" s="25"/>
      <c r="AY2943" s="25"/>
      <c r="AZ2943" s="25"/>
      <c r="BA2943" s="25"/>
      <c r="BB2943" s="25"/>
      <c r="BC2943" s="25"/>
      <c r="BD2943" s="25"/>
      <c r="BE2943" s="25"/>
      <c r="BF2943" s="25"/>
      <c r="BG2943" s="25"/>
      <c r="BH2943" s="25"/>
      <c r="BI2943" s="25"/>
      <c r="BJ2943" s="25"/>
      <c r="BK2943" s="25"/>
      <c r="BL2943" s="25"/>
      <c r="BM2943" s="25"/>
      <c r="BN2943" s="25"/>
      <c r="BO2943" s="25"/>
      <c r="BP2943" s="25"/>
      <c r="BQ2943" s="25"/>
      <c r="BR2943" s="25"/>
      <c r="BS2943" s="25"/>
      <c r="BT2943" s="25"/>
      <c r="BU2943"/>
      <c r="BV2943"/>
      <c r="BW2943"/>
      <c r="BX2943"/>
      <c r="BY2943"/>
      <c r="BZ2943"/>
      <c r="CA2943"/>
      <c r="CB2943"/>
      <c r="CC2943"/>
      <c r="CD2943" s="25"/>
    </row>
    <row r="2944" spans="1:82" s="17" customFormat="1" x14ac:dyDescent="0.2">
      <c r="A2944" s="25"/>
      <c r="B2944" s="20">
        <v>39075976302</v>
      </c>
      <c r="C2944" s="20">
        <v>9763.02</v>
      </c>
      <c r="D2944" s="20" t="s">
        <v>44</v>
      </c>
      <c r="E2944" s="20" t="s">
        <v>265</v>
      </c>
      <c r="F2944" s="20" t="s">
        <v>8</v>
      </c>
      <c r="G2944" s="861">
        <v>25.9114683488447</v>
      </c>
      <c r="H2944" s="861">
        <v>41.118130364367602</v>
      </c>
      <c r="I2944" s="861">
        <v>24.317917121969302</v>
      </c>
      <c r="J2944" s="861">
        <v>48.554191541805302</v>
      </c>
      <c r="K2944" s="982">
        <v>0</v>
      </c>
      <c r="L2944" s="735">
        <v>6151</v>
      </c>
      <c r="M2944" s="735">
        <v>6492</v>
      </c>
      <c r="N2944" s="845">
        <f t="shared" si="206"/>
        <v>5.5438140139814664E-2</v>
      </c>
      <c r="O2944" s="735">
        <v>42.810294214053364</v>
      </c>
      <c r="P2944" s="735">
        <f t="shared" si="207"/>
        <v>151.64576929884464</v>
      </c>
      <c r="Q2944" s="849">
        <v>29.4</v>
      </c>
      <c r="R2944" s="71">
        <v>96875</v>
      </c>
      <c r="S2944" s="845">
        <v>6.2819693094629162E-2</v>
      </c>
      <c r="T2944" s="845">
        <v>0.05</v>
      </c>
      <c r="U2944" s="845">
        <v>0</v>
      </c>
      <c r="V2944" s="845">
        <v>4.8000000000000001E-2</v>
      </c>
      <c r="W2944" s="845">
        <v>0.14698492462311558</v>
      </c>
      <c r="X2944" s="845">
        <v>0.23931623931623933</v>
      </c>
      <c r="Y2944" s="845">
        <v>0.99938385705483668</v>
      </c>
      <c r="Z2944" s="845">
        <v>0</v>
      </c>
      <c r="AA2944" s="845">
        <v>0</v>
      </c>
      <c r="AB2944" s="845">
        <v>0</v>
      </c>
      <c r="AC2944" s="845">
        <v>0</v>
      </c>
      <c r="AD2944" s="845">
        <v>0</v>
      </c>
      <c r="AE2944" s="845">
        <v>6.1614294516327791E-4</v>
      </c>
      <c r="AF2944" s="845">
        <v>4.1589648798521254E-3</v>
      </c>
      <c r="AG2944" s="845">
        <v>0.99522489217498455</v>
      </c>
      <c r="AH2944" s="20" t="str">
        <f t="shared" si="208"/>
        <v>Yes</v>
      </c>
      <c r="AI2944" s="25"/>
      <c r="AJ2944" s="25"/>
      <c r="AK2944" s="25"/>
      <c r="AL2944" s="25"/>
      <c r="AM2944" s="25"/>
      <c r="AN2944" s="25"/>
      <c r="AO2944" s="25"/>
      <c r="AP2944" s="25"/>
      <c r="AQ2944" s="25"/>
      <c r="AR2944" s="25"/>
      <c r="AS2944" s="25"/>
      <c r="AT2944" s="25"/>
      <c r="AU2944" s="36"/>
      <c r="AV2944" s="36"/>
      <c r="AW2944" s="36"/>
      <c r="AX2944" s="25"/>
      <c r="AY2944" s="25"/>
      <c r="AZ2944" s="25"/>
      <c r="BA2944" s="25"/>
      <c r="BB2944" s="25"/>
      <c r="BC2944" s="25"/>
      <c r="BD2944" s="25"/>
      <c r="BE2944" s="25"/>
      <c r="BF2944" s="25"/>
      <c r="BG2944" s="25"/>
      <c r="BH2944" s="25"/>
      <c r="BI2944" s="25"/>
      <c r="BJ2944" s="25"/>
      <c r="BK2944" s="25"/>
      <c r="BL2944" s="25"/>
      <c r="BM2944" s="25"/>
      <c r="BN2944" s="25"/>
      <c r="BO2944" s="25"/>
      <c r="BP2944" s="25"/>
      <c r="BQ2944" s="25"/>
      <c r="BR2944" s="25"/>
      <c r="BS2944" s="25"/>
      <c r="BT2944" s="25"/>
      <c r="BU2944"/>
      <c r="BV2944"/>
      <c r="BW2944"/>
      <c r="BX2944"/>
      <c r="BY2944"/>
      <c r="BZ2944"/>
      <c r="CA2944"/>
      <c r="CB2944"/>
      <c r="CC2944"/>
      <c r="CD2944" s="25"/>
    </row>
    <row r="2945" spans="1:82" s="17" customFormat="1" x14ac:dyDescent="0.2">
      <c r="A2945" s="25"/>
      <c r="B2945" s="20">
        <v>39061006600</v>
      </c>
      <c r="C2945" s="20">
        <v>66</v>
      </c>
      <c r="D2945" s="20" t="s">
        <v>37</v>
      </c>
      <c r="E2945" s="20" t="s">
        <v>2828</v>
      </c>
      <c r="F2945" s="20" t="s">
        <v>6</v>
      </c>
      <c r="G2945" s="861">
        <v>25.9101757157494</v>
      </c>
      <c r="H2945" s="861">
        <v>40.149256702010597</v>
      </c>
      <c r="I2945" s="861">
        <v>85.882554667319297</v>
      </c>
      <c r="J2945" s="861">
        <v>36.919489857903798</v>
      </c>
      <c r="K2945" s="982">
        <v>0</v>
      </c>
      <c r="L2945" s="735">
        <v>2473</v>
      </c>
      <c r="M2945" s="735">
        <v>1960</v>
      </c>
      <c r="N2945" s="845">
        <f t="shared" si="206"/>
        <v>-0.20744035584310555</v>
      </c>
      <c r="O2945" s="735">
        <v>0.30550642180361209</v>
      </c>
      <c r="P2945" s="735">
        <f t="shared" si="207"/>
        <v>6415.5770881305461</v>
      </c>
      <c r="Q2945" s="849">
        <v>39.200000000000003</v>
      </c>
      <c r="R2945" s="71">
        <v>19547</v>
      </c>
      <c r="S2945" s="845">
        <v>0.45804597701149424</v>
      </c>
      <c r="T2945" s="845">
        <v>0.29299999999999998</v>
      </c>
      <c r="U2945" s="845">
        <v>0</v>
      </c>
      <c r="V2945" s="845">
        <v>7.6999999999999999E-2</v>
      </c>
      <c r="W2945" s="845">
        <v>0.92113564668769721</v>
      </c>
      <c r="X2945" s="845">
        <v>0.61529680365296802</v>
      </c>
      <c r="Y2945" s="845">
        <v>0.32908163265306123</v>
      </c>
      <c r="Z2945" s="845">
        <v>0.52806122448979587</v>
      </c>
      <c r="AA2945" s="845">
        <v>0</v>
      </c>
      <c r="AB2945" s="845">
        <v>1.7857142857142856E-2</v>
      </c>
      <c r="AC2945" s="845">
        <v>0</v>
      </c>
      <c r="AD2945" s="845">
        <v>0</v>
      </c>
      <c r="AE2945" s="845">
        <v>0.125</v>
      </c>
      <c r="AF2945" s="845">
        <v>4.0816326530612242E-2</v>
      </c>
      <c r="AG2945" s="845">
        <v>0.29081632653061223</v>
      </c>
      <c r="AH2945" s="20" t="str">
        <f t="shared" si="208"/>
        <v>No</v>
      </c>
      <c r="AI2945" s="25"/>
      <c r="AJ2945" s="25"/>
      <c r="AK2945" s="25"/>
      <c r="AL2945" s="25"/>
      <c r="AM2945" s="25"/>
      <c r="AN2945" s="25"/>
      <c r="AO2945" s="25"/>
      <c r="AP2945" s="25"/>
      <c r="AQ2945" s="25"/>
      <c r="AR2945" s="25"/>
      <c r="AS2945" s="25"/>
      <c r="AT2945" s="25"/>
      <c r="AU2945" s="36"/>
      <c r="AV2945" s="36"/>
      <c r="AW2945" s="36"/>
      <c r="AX2945" s="25"/>
      <c r="AY2945" s="25"/>
      <c r="AZ2945" s="25"/>
      <c r="BA2945" s="25"/>
      <c r="BB2945" s="25"/>
      <c r="BC2945" s="25"/>
      <c r="BD2945" s="25"/>
      <c r="BE2945" s="25"/>
      <c r="BF2945" s="25"/>
      <c r="BG2945" s="25"/>
      <c r="BH2945" s="25"/>
      <c r="BI2945" s="25"/>
      <c r="BJ2945" s="25"/>
      <c r="BK2945" s="25"/>
      <c r="BL2945" s="25"/>
      <c r="BM2945" s="25"/>
      <c r="BN2945" s="25"/>
      <c r="BO2945" s="25"/>
      <c r="BP2945" s="25"/>
      <c r="BQ2945" s="25"/>
      <c r="BR2945" s="25"/>
      <c r="BS2945" s="25"/>
      <c r="BT2945" s="25"/>
      <c r="BU2945"/>
      <c r="BV2945"/>
      <c r="BW2945"/>
      <c r="BX2945"/>
      <c r="BY2945"/>
      <c r="BZ2945"/>
      <c r="CA2945"/>
      <c r="CB2945"/>
      <c r="CC2945"/>
      <c r="CD2945" s="25"/>
    </row>
    <row r="2946" spans="1:82" s="17" customFormat="1" x14ac:dyDescent="0.2">
      <c r="A2946" s="25"/>
      <c r="B2946" s="20">
        <v>39095004702</v>
      </c>
      <c r="C2946" s="20">
        <v>47.02</v>
      </c>
      <c r="D2946" s="20" t="s">
        <v>53</v>
      </c>
      <c r="E2946" s="20" t="s">
        <v>2839</v>
      </c>
      <c r="F2946" s="20" t="s">
        <v>6</v>
      </c>
      <c r="G2946" s="861">
        <v>25.8658438100003</v>
      </c>
      <c r="H2946" s="861">
        <v>26.746895244799301</v>
      </c>
      <c r="I2946" s="861">
        <v>67.779929397365507</v>
      </c>
      <c r="J2946" s="861">
        <v>31.295783425815198</v>
      </c>
      <c r="K2946" s="982">
        <v>0</v>
      </c>
      <c r="L2946" s="735">
        <v>4225</v>
      </c>
      <c r="M2946" s="735">
        <v>3435</v>
      </c>
      <c r="N2946" s="845">
        <f t="shared" si="206"/>
        <v>-0.18698224852071005</v>
      </c>
      <c r="O2946" s="735">
        <v>0.82329644362730303</v>
      </c>
      <c r="P2946" s="735">
        <f t="shared" si="207"/>
        <v>4172.2517163635239</v>
      </c>
      <c r="Q2946" s="849">
        <v>32.799999999999997</v>
      </c>
      <c r="R2946" s="71">
        <v>21434</v>
      </c>
      <c r="S2946" s="845">
        <v>0.44534050179211471</v>
      </c>
      <c r="T2946" s="845">
        <v>0.26400000000000001</v>
      </c>
      <c r="U2946" s="845">
        <v>1.2E-2</v>
      </c>
      <c r="V2946" s="845">
        <v>4.4000000000000004E-2</v>
      </c>
      <c r="W2946" s="845">
        <v>0.50843727072633893</v>
      </c>
      <c r="X2946" s="845">
        <v>0.26406926406926406</v>
      </c>
      <c r="Y2946" s="845">
        <v>0.56128093158660841</v>
      </c>
      <c r="Z2946" s="845">
        <v>0.15574963609898107</v>
      </c>
      <c r="AA2946" s="845">
        <v>3.2023289665211062E-3</v>
      </c>
      <c r="AB2946" s="845">
        <v>0</v>
      </c>
      <c r="AC2946" s="845">
        <v>0</v>
      </c>
      <c r="AD2946" s="845">
        <v>0.13828238719068414</v>
      </c>
      <c r="AE2946" s="845">
        <v>0.14148471615720523</v>
      </c>
      <c r="AF2946" s="845">
        <v>0.30655021834061136</v>
      </c>
      <c r="AG2946" s="845">
        <v>0.49024745269286751</v>
      </c>
      <c r="AH2946" s="20" t="str">
        <f t="shared" si="208"/>
        <v>No</v>
      </c>
      <c r="AI2946" s="25"/>
      <c r="AJ2946" s="25"/>
      <c r="AK2946" s="25"/>
      <c r="AL2946" s="25"/>
      <c r="AM2946" s="25"/>
      <c r="AN2946" s="25"/>
      <c r="AO2946" s="25"/>
      <c r="AP2946" s="25"/>
      <c r="AQ2946" s="25"/>
      <c r="AR2946" s="25"/>
      <c r="AS2946" s="25"/>
      <c r="AT2946" s="25"/>
      <c r="AU2946" s="36"/>
      <c r="AV2946" s="36"/>
      <c r="AW2946" s="36"/>
      <c r="AX2946" s="25"/>
      <c r="AY2946" s="25"/>
      <c r="AZ2946" s="25"/>
      <c r="BA2946" s="25"/>
      <c r="BB2946" s="25"/>
      <c r="BC2946" s="25"/>
      <c r="BD2946" s="25"/>
      <c r="BE2946" s="25"/>
      <c r="BF2946" s="25"/>
      <c r="BG2946" s="25"/>
      <c r="BH2946" s="25"/>
      <c r="BI2946" s="25"/>
      <c r="BJ2946" s="25"/>
      <c r="BK2946" s="25"/>
      <c r="BL2946" s="25"/>
      <c r="BM2946" s="25"/>
      <c r="BN2946" s="25"/>
      <c r="BO2946" s="25"/>
      <c r="BP2946" s="25"/>
      <c r="BQ2946" s="25"/>
      <c r="BR2946" s="25"/>
      <c r="BS2946" s="25"/>
      <c r="BT2946" s="25"/>
      <c r="BU2946"/>
      <c r="BV2946"/>
      <c r="BW2946"/>
      <c r="BX2946"/>
      <c r="BY2946"/>
      <c r="BZ2946"/>
      <c r="CA2946"/>
      <c r="CB2946"/>
      <c r="CC2946"/>
      <c r="CD2946" s="25"/>
    </row>
    <row r="2947" spans="1:82" s="17" customFormat="1" x14ac:dyDescent="0.2">
      <c r="A2947" s="25"/>
      <c r="B2947" s="20">
        <v>39155933301</v>
      </c>
      <c r="C2947" s="20">
        <v>9333.01</v>
      </c>
      <c r="D2947" s="20" t="s">
        <v>83</v>
      </c>
      <c r="E2947" s="20" t="s">
        <v>2842</v>
      </c>
      <c r="F2947" s="20" t="s">
        <v>6</v>
      </c>
      <c r="G2947" s="861">
        <v>25.829542424662399</v>
      </c>
      <c r="H2947" s="861">
        <v>32.323430102140797</v>
      </c>
      <c r="I2947" s="861">
        <v>41.072909177354397</v>
      </c>
      <c r="J2947" s="861">
        <v>33.551627074732302</v>
      </c>
      <c r="K2947" s="982">
        <v>0</v>
      </c>
      <c r="L2947" s="735">
        <v>2768</v>
      </c>
      <c r="M2947" s="735">
        <v>1978</v>
      </c>
      <c r="N2947" s="845">
        <f t="shared" si="206"/>
        <v>-0.28540462427745666</v>
      </c>
      <c r="O2947" s="735">
        <v>7.8084949200789966</v>
      </c>
      <c r="P2947" s="735">
        <f t="shared" si="207"/>
        <v>253.31386140928541</v>
      </c>
      <c r="Q2947" s="849">
        <v>52.3</v>
      </c>
      <c r="R2947" s="71">
        <v>36458</v>
      </c>
      <c r="S2947" s="845">
        <v>0.16632962588473205</v>
      </c>
      <c r="T2947" s="845">
        <v>5.9000000000000004E-2</v>
      </c>
      <c r="U2947" s="845">
        <v>4.7E-2</v>
      </c>
      <c r="V2947" s="845">
        <v>0.113</v>
      </c>
      <c r="W2947" s="845">
        <v>0.27436140018921473</v>
      </c>
      <c r="X2947" s="845">
        <v>0.3</v>
      </c>
      <c r="Y2947" s="845">
        <v>0.95247724974721937</v>
      </c>
      <c r="Z2947" s="845">
        <v>0</v>
      </c>
      <c r="AA2947" s="845">
        <v>0</v>
      </c>
      <c r="AB2947" s="845">
        <v>7.0778564206268957E-3</v>
      </c>
      <c r="AC2947" s="845">
        <v>0</v>
      </c>
      <c r="AD2947" s="845">
        <v>3.0333670374115269E-3</v>
      </c>
      <c r="AE2947" s="845">
        <v>3.7411526794742161E-2</v>
      </c>
      <c r="AF2947" s="845">
        <v>0</v>
      </c>
      <c r="AG2947" s="845">
        <v>0.95247724974721937</v>
      </c>
      <c r="AH2947" s="20" t="str">
        <f t="shared" si="208"/>
        <v>Yes</v>
      </c>
      <c r="AI2947" s="25"/>
      <c r="AJ2947" s="25"/>
      <c r="AK2947" s="25"/>
      <c r="AL2947" s="25"/>
      <c r="AM2947" s="25"/>
      <c r="AN2947" s="25"/>
      <c r="AO2947" s="25"/>
      <c r="AP2947" s="25"/>
      <c r="AQ2947" s="25"/>
      <c r="AR2947" s="25"/>
      <c r="AS2947" s="25"/>
      <c r="AT2947" s="25"/>
      <c r="AU2947" s="36"/>
      <c r="AV2947" s="36"/>
      <c r="AW2947" s="36"/>
      <c r="AX2947" s="25"/>
      <c r="AY2947" s="25"/>
      <c r="AZ2947" s="25"/>
      <c r="BA2947" s="25"/>
      <c r="BB2947" s="25"/>
      <c r="BC2947" s="25"/>
      <c r="BD2947" s="25"/>
      <c r="BE2947" s="25"/>
      <c r="BF2947" s="25"/>
      <c r="BG2947" s="25"/>
      <c r="BH2947" s="25"/>
      <c r="BI2947" s="25"/>
      <c r="BJ2947" s="25"/>
      <c r="BK2947" s="25"/>
      <c r="BL2947" s="25"/>
      <c r="BM2947" s="25"/>
      <c r="BN2947" s="25"/>
      <c r="BO2947" s="25"/>
      <c r="BP2947" s="25"/>
      <c r="BQ2947" s="25"/>
      <c r="BR2947" s="25"/>
      <c r="BS2947" s="25"/>
      <c r="BT2947" s="25"/>
      <c r="BU2947"/>
      <c r="BV2947"/>
      <c r="BW2947"/>
      <c r="BX2947"/>
      <c r="BY2947"/>
      <c r="BZ2947"/>
      <c r="CA2947"/>
      <c r="CB2947"/>
      <c r="CC2947"/>
      <c r="CD2947" s="25"/>
    </row>
    <row r="2948" spans="1:82" s="17" customFormat="1" x14ac:dyDescent="0.2">
      <c r="A2948" s="25"/>
      <c r="B2948" s="20">
        <v>39133600703</v>
      </c>
      <c r="C2948" s="20">
        <v>6007.03</v>
      </c>
      <c r="D2948" s="20" t="s">
        <v>72</v>
      </c>
      <c r="E2948" s="20" t="s">
        <v>2843</v>
      </c>
      <c r="F2948" s="20" t="s">
        <v>8</v>
      </c>
      <c r="G2948" s="861">
        <v>25.8146708445569</v>
      </c>
      <c r="H2948" s="861">
        <v>42.071333986411098</v>
      </c>
      <c r="I2948" s="861">
        <v>24.510931555137201</v>
      </c>
      <c r="J2948" s="861">
        <v>52.072006970428099</v>
      </c>
      <c r="K2948" s="982">
        <v>0</v>
      </c>
      <c r="L2948" s="735">
        <v>1824</v>
      </c>
      <c r="M2948" s="735">
        <v>1834</v>
      </c>
      <c r="N2948" s="845">
        <f t="shared" si="206"/>
        <v>5.4824561403508769E-3</v>
      </c>
      <c r="O2948" s="735">
        <v>20.559244575064866</v>
      </c>
      <c r="P2948" s="735">
        <f t="shared" si="207"/>
        <v>89.205612263806316</v>
      </c>
      <c r="Q2948" s="849">
        <v>38.4</v>
      </c>
      <c r="R2948" s="71">
        <v>74167</v>
      </c>
      <c r="S2948" s="845">
        <v>7.8014184397163122E-2</v>
      </c>
      <c r="T2948" s="845">
        <v>5.0000000000000001E-3</v>
      </c>
      <c r="U2948" s="845">
        <v>0</v>
      </c>
      <c r="V2948" s="845">
        <v>0</v>
      </c>
      <c r="W2948" s="845">
        <v>0.17336683417085427</v>
      </c>
      <c r="X2948" s="845">
        <v>0.63043478260869568</v>
      </c>
      <c r="Y2948" s="845">
        <v>0.94711014176663033</v>
      </c>
      <c r="Z2948" s="845">
        <v>3.4896401308615051E-2</v>
      </c>
      <c r="AA2948" s="845">
        <v>0</v>
      </c>
      <c r="AB2948" s="845">
        <v>0</v>
      </c>
      <c r="AC2948" s="845">
        <v>0</v>
      </c>
      <c r="AD2948" s="845">
        <v>0</v>
      </c>
      <c r="AE2948" s="845">
        <v>1.7993456924754635E-2</v>
      </c>
      <c r="AF2948" s="845">
        <v>1.5812431842966195E-2</v>
      </c>
      <c r="AG2948" s="845">
        <v>0.93129770992366412</v>
      </c>
      <c r="AH2948" s="20" t="str">
        <f t="shared" si="208"/>
        <v>Yes</v>
      </c>
      <c r="AI2948" s="25"/>
      <c r="AJ2948" s="25"/>
      <c r="AK2948" s="25"/>
      <c r="AL2948" s="25"/>
      <c r="AM2948" s="25"/>
      <c r="AN2948" s="25"/>
      <c r="AO2948" s="25"/>
      <c r="AP2948" s="25"/>
      <c r="AQ2948" s="25"/>
      <c r="AR2948" s="25"/>
      <c r="AS2948" s="25"/>
      <c r="AT2948" s="25"/>
      <c r="AU2948" s="36"/>
      <c r="AV2948" s="36"/>
      <c r="AW2948" s="36"/>
      <c r="AX2948" s="25"/>
      <c r="AY2948" s="25"/>
      <c r="AZ2948" s="25"/>
      <c r="BA2948" s="25"/>
      <c r="BB2948" s="25"/>
      <c r="BC2948" s="25"/>
      <c r="BD2948" s="25"/>
      <c r="BE2948" s="25"/>
      <c r="BF2948" s="25"/>
      <c r="BG2948" s="25"/>
      <c r="BH2948" s="25"/>
      <c r="BI2948" s="25"/>
      <c r="BJ2948" s="25"/>
      <c r="BK2948" s="25"/>
      <c r="BL2948" s="25"/>
      <c r="BM2948" s="25"/>
      <c r="BN2948" s="25"/>
      <c r="BO2948" s="25"/>
      <c r="BP2948" s="25"/>
      <c r="BQ2948" s="25"/>
      <c r="BR2948" s="25"/>
      <c r="BS2948" s="25"/>
      <c r="BT2948" s="25"/>
      <c r="BU2948"/>
      <c r="BV2948"/>
      <c r="BW2948"/>
      <c r="BX2948"/>
      <c r="BY2948"/>
      <c r="BZ2948"/>
      <c r="CA2948"/>
      <c r="CB2948"/>
      <c r="CC2948"/>
      <c r="CD2948" s="25"/>
    </row>
    <row r="2949" spans="1:82" s="17" customFormat="1" x14ac:dyDescent="0.2">
      <c r="A2949" s="25"/>
      <c r="B2949" s="20">
        <v>39013011200</v>
      </c>
      <c r="C2949" s="20">
        <v>112</v>
      </c>
      <c r="D2949" s="20" t="s">
        <v>13</v>
      </c>
      <c r="E2949" s="20" t="s">
        <v>2841</v>
      </c>
      <c r="F2949" s="20" t="s">
        <v>8</v>
      </c>
      <c r="G2949" s="861">
        <v>25.761341697208199</v>
      </c>
      <c r="H2949" s="861">
        <v>35.760288922269602</v>
      </c>
      <c r="I2949" s="861">
        <v>24.2366673528294</v>
      </c>
      <c r="J2949" s="861">
        <v>40.826436914256398</v>
      </c>
      <c r="K2949" s="982">
        <v>0</v>
      </c>
      <c r="L2949" s="735">
        <v>3877</v>
      </c>
      <c r="M2949" s="735">
        <v>3163</v>
      </c>
      <c r="N2949" s="845">
        <f t="shared" si="206"/>
        <v>-0.18416301263863813</v>
      </c>
      <c r="O2949" s="735">
        <v>65.342923524077491</v>
      </c>
      <c r="P2949" s="735">
        <f t="shared" si="207"/>
        <v>48.406159832051301</v>
      </c>
      <c r="Q2949" s="849">
        <v>45.4</v>
      </c>
      <c r="R2949" s="71">
        <v>66463</v>
      </c>
      <c r="S2949" s="845">
        <v>7.3031931710401524E-2</v>
      </c>
      <c r="T2949" s="845">
        <v>7.2000000000000008E-2</v>
      </c>
      <c r="U2949" s="845">
        <v>0</v>
      </c>
      <c r="V2949" s="845">
        <v>0.125</v>
      </c>
      <c r="W2949" s="845">
        <v>8.7912087912087919E-2</v>
      </c>
      <c r="X2949" s="845">
        <v>0.45535714285714285</v>
      </c>
      <c r="Y2949" s="845">
        <v>0.97344293392349035</v>
      </c>
      <c r="Z2949" s="845">
        <v>0</v>
      </c>
      <c r="AA2949" s="845">
        <v>1.8969332911792601E-3</v>
      </c>
      <c r="AB2949" s="845">
        <v>0</v>
      </c>
      <c r="AC2949" s="845">
        <v>0</v>
      </c>
      <c r="AD2949" s="845">
        <v>0</v>
      </c>
      <c r="AE2949" s="845">
        <v>2.4660132785330382E-2</v>
      </c>
      <c r="AF2949" s="845">
        <v>0</v>
      </c>
      <c r="AG2949" s="845">
        <v>0.97344293392349035</v>
      </c>
      <c r="AH2949" s="20" t="str">
        <f t="shared" si="208"/>
        <v>Yes</v>
      </c>
      <c r="AI2949" s="25"/>
      <c r="AJ2949" s="25"/>
      <c r="AK2949" s="25"/>
      <c r="AL2949" s="25"/>
      <c r="AM2949" s="25"/>
      <c r="AN2949" s="25"/>
      <c r="AO2949" s="25"/>
      <c r="AP2949" s="25"/>
      <c r="AQ2949" s="25"/>
      <c r="AR2949" s="25"/>
      <c r="AS2949" s="25"/>
      <c r="AT2949" s="25"/>
      <c r="AU2949" s="36"/>
      <c r="AV2949" s="36"/>
      <c r="AW2949" s="36"/>
      <c r="AX2949" s="25"/>
      <c r="AY2949" s="25"/>
      <c r="AZ2949" s="25"/>
      <c r="BA2949" s="25"/>
      <c r="BB2949" s="25"/>
      <c r="BC2949" s="25"/>
      <c r="BD2949" s="25"/>
      <c r="BE2949" s="25"/>
      <c r="BF2949" s="25"/>
      <c r="BG2949" s="25"/>
      <c r="BH2949" s="25"/>
      <c r="BI2949" s="25"/>
      <c r="BJ2949" s="25"/>
      <c r="BK2949" s="25"/>
      <c r="BL2949" s="25"/>
      <c r="BM2949" s="25"/>
      <c r="BN2949" s="25"/>
      <c r="BO2949" s="25"/>
      <c r="BP2949" s="25"/>
      <c r="BQ2949" s="25"/>
      <c r="BR2949" s="25"/>
      <c r="BS2949" s="25"/>
      <c r="BT2949" s="25"/>
      <c r="BU2949"/>
      <c r="BV2949"/>
      <c r="BW2949"/>
      <c r="BX2949"/>
      <c r="BY2949"/>
      <c r="BZ2949"/>
      <c r="CA2949"/>
      <c r="CB2949"/>
      <c r="CC2949"/>
      <c r="CD2949" s="25"/>
    </row>
    <row r="2950" spans="1:82" s="17" customFormat="1" x14ac:dyDescent="0.2">
      <c r="A2950" s="25"/>
      <c r="B2950" s="20">
        <v>39035112200</v>
      </c>
      <c r="C2950" s="20">
        <v>1122</v>
      </c>
      <c r="D2950" s="20" t="s">
        <v>24</v>
      </c>
      <c r="E2950" s="20" t="s">
        <v>2829</v>
      </c>
      <c r="F2950" s="20" t="s">
        <v>6</v>
      </c>
      <c r="G2950" s="861">
        <v>25.737090649432801</v>
      </c>
      <c r="H2950" s="861">
        <v>54.009685729219498</v>
      </c>
      <c r="I2950" s="861">
        <v>100</v>
      </c>
      <c r="J2950" s="861">
        <v>17.221193847818501</v>
      </c>
      <c r="K2950" s="982">
        <v>0</v>
      </c>
      <c r="L2950" s="735">
        <v>1178</v>
      </c>
      <c r="M2950" s="735">
        <v>752</v>
      </c>
      <c r="N2950" s="845">
        <f t="shared" si="206"/>
        <v>-0.36162988115449918</v>
      </c>
      <c r="O2950" s="735">
        <v>0.19286111703424</v>
      </c>
      <c r="P2950" s="735">
        <f t="shared" si="207"/>
        <v>3899.1789094869346</v>
      </c>
      <c r="Q2950" s="849">
        <v>40.9</v>
      </c>
      <c r="R2950" s="71">
        <v>30227</v>
      </c>
      <c r="S2950" s="845">
        <v>0.37777777777777777</v>
      </c>
      <c r="T2950" s="845">
        <v>3.7999999999999999E-2</v>
      </c>
      <c r="U2950" s="845">
        <v>0</v>
      </c>
      <c r="V2950" s="845">
        <v>0.182</v>
      </c>
      <c r="W2950" s="845">
        <v>0.3774193548387097</v>
      </c>
      <c r="X2950" s="845">
        <v>0.95726495726495731</v>
      </c>
      <c r="Y2950" s="845">
        <v>0</v>
      </c>
      <c r="Z2950" s="845">
        <v>0.93617021276595747</v>
      </c>
      <c r="AA2950" s="845">
        <v>0</v>
      </c>
      <c r="AB2950" s="845">
        <v>0</v>
      </c>
      <c r="AC2950" s="845">
        <v>0</v>
      </c>
      <c r="AD2950" s="845">
        <v>0</v>
      </c>
      <c r="AE2950" s="845">
        <v>6.3829787234042548E-2</v>
      </c>
      <c r="AF2950" s="845">
        <v>0</v>
      </c>
      <c r="AG2950" s="845">
        <v>0</v>
      </c>
      <c r="AH2950" s="20" t="str">
        <f t="shared" si="208"/>
        <v>No</v>
      </c>
      <c r="AI2950" s="25"/>
      <c r="AJ2950" s="25"/>
      <c r="AK2950" s="25"/>
      <c r="AL2950" s="25"/>
      <c r="AM2950" s="25"/>
      <c r="AN2950" s="25"/>
      <c r="AO2950" s="25"/>
      <c r="AP2950" s="25"/>
      <c r="AQ2950" s="25"/>
      <c r="AR2950" s="25"/>
      <c r="AS2950" s="25"/>
      <c r="AT2950" s="25"/>
      <c r="AU2950" s="36"/>
      <c r="AV2950" s="36"/>
      <c r="AW2950" s="36"/>
      <c r="AX2950" s="25"/>
      <c r="AY2950" s="25"/>
      <c r="AZ2950" s="25"/>
      <c r="BA2950" s="25"/>
      <c r="BB2950" s="25"/>
      <c r="BC2950" s="25"/>
      <c r="BD2950" s="25"/>
      <c r="BE2950" s="25"/>
      <c r="BF2950" s="25"/>
      <c r="BG2950" s="25"/>
      <c r="BH2950" s="25"/>
      <c r="BI2950" s="25"/>
      <c r="BJ2950" s="25"/>
      <c r="BK2950" s="25"/>
      <c r="BL2950" s="25"/>
      <c r="BM2950" s="25"/>
      <c r="BN2950" s="25"/>
      <c r="BO2950" s="25"/>
      <c r="BP2950" s="25"/>
      <c r="BQ2950" s="25"/>
      <c r="BR2950" s="25"/>
      <c r="BS2950" s="25"/>
      <c r="BT2950" s="25"/>
      <c r="BU2950"/>
      <c r="BV2950"/>
      <c r="BW2950"/>
      <c r="BX2950"/>
      <c r="BY2950"/>
      <c r="BZ2950"/>
      <c r="CA2950"/>
      <c r="CB2950"/>
      <c r="CC2950"/>
      <c r="CD2950" s="25"/>
    </row>
    <row r="2951" spans="1:82" s="17" customFormat="1" x14ac:dyDescent="0.2">
      <c r="A2951" s="25"/>
      <c r="B2951" s="20">
        <v>39023002607</v>
      </c>
      <c r="C2951" s="20">
        <v>26.07</v>
      </c>
      <c r="D2951" s="20" t="s">
        <v>18</v>
      </c>
      <c r="E2951" s="20" t="s">
        <v>2838</v>
      </c>
      <c r="F2951" s="20" t="s">
        <v>8</v>
      </c>
      <c r="G2951" s="861">
        <v>25.722900038865799</v>
      </c>
      <c r="H2951" s="861">
        <v>43.938227827094003</v>
      </c>
      <c r="I2951" s="861">
        <v>27.313658699125298</v>
      </c>
      <c r="J2951" s="861">
        <v>40.829958343351997</v>
      </c>
      <c r="K2951" s="982">
        <v>0</v>
      </c>
      <c r="L2951" s="735" t="s">
        <v>2466</v>
      </c>
      <c r="M2951" s="735">
        <v>3536</v>
      </c>
      <c r="N2951" s="845" t="str">
        <f t="shared" si="206"/>
        <v/>
      </c>
      <c r="O2951" s="735">
        <v>1.2841240417895201</v>
      </c>
      <c r="P2951" s="735">
        <f t="shared" si="207"/>
        <v>2753.6280646784926</v>
      </c>
      <c r="Q2951" s="849">
        <v>39.200000000000003</v>
      </c>
      <c r="R2951" s="71">
        <v>73235</v>
      </c>
      <c r="S2951" s="845">
        <v>5.7427483152651629E-2</v>
      </c>
      <c r="T2951" s="845">
        <v>8.6999999999999994E-2</v>
      </c>
      <c r="U2951" s="845">
        <v>0</v>
      </c>
      <c r="V2951" s="845">
        <v>0.04</v>
      </c>
      <c r="W2951" s="845">
        <v>0.17709720372836218</v>
      </c>
      <c r="X2951" s="845">
        <v>0.62406015037593987</v>
      </c>
      <c r="Y2951" s="845">
        <v>0.91572398190045246</v>
      </c>
      <c r="Z2951" s="845">
        <v>2.91289592760181E-2</v>
      </c>
      <c r="AA2951" s="845">
        <v>0</v>
      </c>
      <c r="AB2951" s="845">
        <v>2.7149321266968326E-2</v>
      </c>
      <c r="AC2951" s="845">
        <v>0</v>
      </c>
      <c r="AD2951" s="845">
        <v>1.3574660633484163E-2</v>
      </c>
      <c r="AE2951" s="845">
        <v>1.4423076923076924E-2</v>
      </c>
      <c r="AF2951" s="845">
        <v>1.7816742081447963E-2</v>
      </c>
      <c r="AG2951" s="845">
        <v>0.91572398190045246</v>
      </c>
      <c r="AH2951" s="20" t="str">
        <f t="shared" si="208"/>
        <v>Yes</v>
      </c>
      <c r="AI2951" s="25"/>
      <c r="AJ2951" s="25"/>
      <c r="AK2951" s="25"/>
      <c r="AL2951" s="25"/>
      <c r="AM2951" s="25"/>
      <c r="AN2951" s="25"/>
      <c r="AO2951" s="25"/>
      <c r="AP2951" s="25"/>
      <c r="AQ2951" s="25"/>
      <c r="AR2951" s="25"/>
      <c r="AS2951" s="25"/>
      <c r="AT2951" s="25"/>
      <c r="AU2951" s="36"/>
      <c r="AV2951" s="36"/>
      <c r="AW2951" s="36"/>
      <c r="AX2951" s="25"/>
      <c r="AY2951" s="25"/>
      <c r="AZ2951" s="25"/>
      <c r="BA2951" s="25"/>
      <c r="BB2951" s="25"/>
      <c r="BC2951" s="25"/>
      <c r="BD2951" s="25"/>
      <c r="BE2951" s="25"/>
      <c r="BF2951" s="25"/>
      <c r="BG2951" s="25"/>
      <c r="BH2951" s="25"/>
      <c r="BI2951" s="25"/>
      <c r="BJ2951" s="25"/>
      <c r="BK2951" s="25"/>
      <c r="BL2951" s="25"/>
      <c r="BM2951" s="25"/>
      <c r="BN2951" s="25"/>
      <c r="BO2951" s="25"/>
      <c r="BP2951" s="25"/>
      <c r="BQ2951" s="25"/>
      <c r="BR2951" s="25"/>
      <c r="BS2951" s="25"/>
      <c r="BT2951" s="25"/>
      <c r="BU2951"/>
      <c r="BV2951"/>
      <c r="BW2951"/>
      <c r="BX2951"/>
      <c r="BY2951"/>
      <c r="BZ2951"/>
      <c r="CA2951"/>
      <c r="CB2951"/>
      <c r="CC2951"/>
      <c r="CD2951" s="25"/>
    </row>
    <row r="2952" spans="1:82" s="17" customFormat="1" x14ac:dyDescent="0.2">
      <c r="A2952" s="25"/>
      <c r="B2952" s="20">
        <v>39141956500</v>
      </c>
      <c r="C2952" s="20">
        <v>9565</v>
      </c>
      <c r="D2952" s="20" t="s">
        <v>76</v>
      </c>
      <c r="E2952" s="20" t="s">
        <v>265</v>
      </c>
      <c r="F2952" s="20" t="s">
        <v>6</v>
      </c>
      <c r="G2952" s="861">
        <v>25.7055627499597</v>
      </c>
      <c r="H2952" s="861">
        <v>29.778738744374198</v>
      </c>
      <c r="I2952" s="861">
        <v>39.890303267561002</v>
      </c>
      <c r="J2952" s="861">
        <v>42.621917686048498</v>
      </c>
      <c r="K2952" s="982">
        <v>0</v>
      </c>
      <c r="L2952" s="735">
        <v>4167</v>
      </c>
      <c r="M2952" s="735">
        <v>3775</v>
      </c>
      <c r="N2952" s="845">
        <f t="shared" si="206"/>
        <v>-9.4072474202063841E-2</v>
      </c>
      <c r="O2952" s="735">
        <v>5.0059928653494863</v>
      </c>
      <c r="P2952" s="735">
        <f t="shared" si="207"/>
        <v>754.09616064973227</v>
      </c>
      <c r="Q2952" s="849">
        <v>39.700000000000003</v>
      </c>
      <c r="R2952" s="71">
        <v>37044</v>
      </c>
      <c r="S2952" s="845">
        <v>0.25224002172142274</v>
      </c>
      <c r="T2952" s="845">
        <v>0.11699999999999999</v>
      </c>
      <c r="U2952" s="845">
        <v>1.4999999999999999E-2</v>
      </c>
      <c r="V2952" s="845">
        <v>0</v>
      </c>
      <c r="W2952" s="845">
        <v>0.46918489065606361</v>
      </c>
      <c r="X2952" s="845">
        <v>0.57768361581920902</v>
      </c>
      <c r="Y2952" s="845">
        <v>0.81218543046357616</v>
      </c>
      <c r="Z2952" s="845">
        <v>0.14437086092715232</v>
      </c>
      <c r="AA2952" s="845">
        <v>2.6490066225165563E-4</v>
      </c>
      <c r="AB2952" s="845">
        <v>0</v>
      </c>
      <c r="AC2952" s="845">
        <v>1.5894039735099338E-3</v>
      </c>
      <c r="AD2952" s="845">
        <v>0</v>
      </c>
      <c r="AE2952" s="845">
        <v>4.1589403973509936E-2</v>
      </c>
      <c r="AF2952" s="845">
        <v>0</v>
      </c>
      <c r="AG2952" s="845">
        <v>0.81218543046357616</v>
      </c>
      <c r="AH2952" s="20" t="str">
        <f t="shared" si="208"/>
        <v>No</v>
      </c>
      <c r="AI2952" s="25"/>
      <c r="AJ2952" s="25"/>
      <c r="AK2952" s="25"/>
      <c r="AL2952" s="25"/>
      <c r="AM2952" s="25"/>
      <c r="AN2952" s="25"/>
      <c r="AO2952" s="25"/>
      <c r="AP2952" s="25"/>
      <c r="AQ2952" s="25"/>
      <c r="AR2952" s="25"/>
      <c r="AS2952" s="25"/>
      <c r="AT2952" s="25"/>
      <c r="AU2952" s="36"/>
      <c r="AV2952" s="36"/>
      <c r="AW2952" s="36"/>
      <c r="AX2952" s="25"/>
      <c r="AY2952" s="25"/>
      <c r="AZ2952" s="25"/>
      <c r="BA2952" s="25"/>
      <c r="BB2952" s="25"/>
      <c r="BC2952" s="25"/>
      <c r="BD2952" s="25"/>
      <c r="BE2952" s="25"/>
      <c r="BF2952" s="25"/>
      <c r="BG2952" s="25"/>
      <c r="BH2952" s="25"/>
      <c r="BI2952" s="25"/>
      <c r="BJ2952" s="25"/>
      <c r="BK2952" s="25"/>
      <c r="BL2952" s="25"/>
      <c r="BM2952" s="25"/>
      <c r="BN2952" s="25"/>
      <c r="BO2952" s="25"/>
      <c r="BP2952" s="25"/>
      <c r="BQ2952" s="25"/>
      <c r="BR2952" s="25"/>
      <c r="BS2952" s="25"/>
      <c r="BT2952" s="25"/>
      <c r="BU2952"/>
      <c r="BV2952"/>
      <c r="BW2952"/>
      <c r="BX2952"/>
      <c r="BY2952"/>
      <c r="BZ2952"/>
      <c r="CA2952"/>
      <c r="CB2952"/>
      <c r="CC2952"/>
      <c r="CD2952" s="25"/>
    </row>
    <row r="2953" spans="1:82" s="17" customFormat="1" x14ac:dyDescent="0.2">
      <c r="A2953" s="25"/>
      <c r="B2953" s="20">
        <v>39093057100</v>
      </c>
      <c r="C2953" s="20">
        <v>571</v>
      </c>
      <c r="D2953" s="20" t="s">
        <v>52</v>
      </c>
      <c r="E2953" s="20" t="s">
        <v>2829</v>
      </c>
      <c r="F2953" s="20" t="s">
        <v>8</v>
      </c>
      <c r="G2953" s="861">
        <v>25.653300362633299</v>
      </c>
      <c r="H2953" s="861">
        <v>36.620579933056497</v>
      </c>
      <c r="I2953" s="861">
        <v>26.648305914943901</v>
      </c>
      <c r="J2953" s="861">
        <v>47.841640237785697</v>
      </c>
      <c r="K2953" s="982">
        <v>0</v>
      </c>
      <c r="L2953" s="735">
        <v>3868</v>
      </c>
      <c r="M2953" s="735">
        <v>3748</v>
      </c>
      <c r="N2953" s="845">
        <f t="shared" si="206"/>
        <v>-3.1023784901758014E-2</v>
      </c>
      <c r="O2953" s="735">
        <v>27.224977878373352</v>
      </c>
      <c r="P2953" s="735">
        <f t="shared" si="207"/>
        <v>137.66769680196109</v>
      </c>
      <c r="Q2953" s="849">
        <v>46.9</v>
      </c>
      <c r="R2953" s="71">
        <v>74519</v>
      </c>
      <c r="S2953" s="845">
        <v>8.537886872998933E-2</v>
      </c>
      <c r="T2953" s="845">
        <v>5.0999999999999997E-2</v>
      </c>
      <c r="U2953" s="845">
        <v>2.8999999999999998E-2</v>
      </c>
      <c r="V2953" s="845">
        <v>4.0999999999999995E-2</v>
      </c>
      <c r="W2953" s="845">
        <v>0.15943012211668928</v>
      </c>
      <c r="X2953" s="845">
        <v>0.37021276595744679</v>
      </c>
      <c r="Y2953" s="845">
        <v>0.93383137673425831</v>
      </c>
      <c r="Z2953" s="845">
        <v>8.0042689434364994E-4</v>
      </c>
      <c r="AA2953" s="845">
        <v>0</v>
      </c>
      <c r="AB2953" s="845">
        <v>0</v>
      </c>
      <c r="AC2953" s="845">
        <v>0</v>
      </c>
      <c r="AD2953" s="845">
        <v>0</v>
      </c>
      <c r="AE2953" s="845">
        <v>6.5368196371398082E-2</v>
      </c>
      <c r="AF2953" s="845">
        <v>5.869797225186766E-2</v>
      </c>
      <c r="AG2953" s="845">
        <v>0.91808964781216651</v>
      </c>
      <c r="AH2953" s="20" t="str">
        <f t="shared" si="208"/>
        <v>Yes</v>
      </c>
      <c r="AI2953" s="25"/>
      <c r="AJ2953" s="25"/>
      <c r="AK2953" s="25"/>
      <c r="AL2953" s="25"/>
      <c r="AM2953" s="25"/>
      <c r="AN2953" s="25"/>
      <c r="AO2953" s="25"/>
      <c r="AP2953" s="25"/>
      <c r="AQ2953" s="25"/>
      <c r="AR2953" s="25"/>
      <c r="AS2953" s="25"/>
      <c r="AT2953" s="25"/>
      <c r="AU2953" s="36"/>
      <c r="AV2953" s="36"/>
      <c r="AW2953" s="36"/>
      <c r="AX2953" s="25"/>
      <c r="AY2953" s="25"/>
      <c r="AZ2953" s="25"/>
      <c r="BA2953" s="25"/>
      <c r="BB2953" s="25"/>
      <c r="BC2953" s="25"/>
      <c r="BD2953" s="25"/>
      <c r="BE2953" s="25"/>
      <c r="BF2953" s="25"/>
      <c r="BG2953" s="25"/>
      <c r="BH2953" s="25"/>
      <c r="BI2953" s="25"/>
      <c r="BJ2953" s="25"/>
      <c r="BK2953" s="25"/>
      <c r="BL2953" s="25"/>
      <c r="BM2953" s="25"/>
      <c r="BN2953" s="25"/>
      <c r="BO2953" s="25"/>
      <c r="BP2953" s="25"/>
      <c r="BQ2953" s="25"/>
      <c r="BR2953" s="25"/>
      <c r="BS2953" s="25"/>
      <c r="BT2953" s="25"/>
      <c r="BU2953"/>
      <c r="BV2953"/>
      <c r="BW2953"/>
      <c r="BX2953"/>
      <c r="BY2953"/>
      <c r="BZ2953"/>
      <c r="CA2953"/>
      <c r="CB2953"/>
      <c r="CC2953"/>
      <c r="CD2953" s="25"/>
    </row>
    <row r="2954" spans="1:82" s="17" customFormat="1" x14ac:dyDescent="0.2">
      <c r="A2954" s="25"/>
      <c r="B2954" s="20">
        <v>39113070700</v>
      </c>
      <c r="C2954" s="20">
        <v>707</v>
      </c>
      <c r="D2954" s="20" t="s">
        <v>62</v>
      </c>
      <c r="E2954" s="20" t="s">
        <v>2833</v>
      </c>
      <c r="F2954" s="20" t="s">
        <v>8</v>
      </c>
      <c r="G2954" s="861">
        <v>25.635225403708802</v>
      </c>
      <c r="H2954" s="861">
        <v>36.965918568316802</v>
      </c>
      <c r="I2954" s="861">
        <v>39.563843075557898</v>
      </c>
      <c r="J2954" s="861">
        <v>30.4729768963923</v>
      </c>
      <c r="K2954" s="982">
        <v>1</v>
      </c>
      <c r="L2954" s="735">
        <v>3561</v>
      </c>
      <c r="M2954" s="735">
        <v>3349</v>
      </c>
      <c r="N2954" s="845">
        <f t="shared" si="206"/>
        <v>-5.9533838809323225E-2</v>
      </c>
      <c r="O2954" s="735">
        <v>1.2710000433168012</v>
      </c>
      <c r="P2954" s="735">
        <f t="shared" si="207"/>
        <v>2634.9330337239417</v>
      </c>
      <c r="Q2954" s="849">
        <v>49</v>
      </c>
      <c r="R2954" s="71">
        <v>48097</v>
      </c>
      <c r="S2954" s="845">
        <v>0.25938892425206872</v>
      </c>
      <c r="T2954" s="845">
        <v>4.4000000000000004E-2</v>
      </c>
      <c r="U2954" s="845">
        <v>3.5000000000000003E-2</v>
      </c>
      <c r="V2954" s="845">
        <v>0</v>
      </c>
      <c r="W2954" s="845">
        <v>0.40706195869420386</v>
      </c>
      <c r="X2954" s="845">
        <v>0.49590834697217678</v>
      </c>
      <c r="Y2954" s="845">
        <v>0.14959689459540162</v>
      </c>
      <c r="Z2954" s="845">
        <v>0.79785010450880856</v>
      </c>
      <c r="AA2954" s="845">
        <v>0</v>
      </c>
      <c r="AB2954" s="845">
        <v>0</v>
      </c>
      <c r="AC2954" s="845">
        <v>0</v>
      </c>
      <c r="AD2954" s="845">
        <v>4.6581068975813676E-2</v>
      </c>
      <c r="AE2954" s="845">
        <v>5.9719319199761124E-3</v>
      </c>
      <c r="AF2954" s="845">
        <v>5.0164228127799346E-2</v>
      </c>
      <c r="AG2954" s="845">
        <v>0.14780531501940877</v>
      </c>
      <c r="AH2954" s="20" t="str">
        <f t="shared" si="208"/>
        <v>No</v>
      </c>
      <c r="AI2954" s="25"/>
      <c r="AJ2954" s="25"/>
      <c r="AK2954" s="25"/>
      <c r="AL2954" s="25"/>
      <c r="AM2954" s="25"/>
      <c r="AN2954" s="25"/>
      <c r="AO2954" s="25"/>
      <c r="AP2954" s="25"/>
      <c r="AQ2954" s="25"/>
      <c r="AR2954" s="25"/>
      <c r="AS2954" s="25"/>
      <c r="AT2954" s="25"/>
      <c r="AU2954" s="36"/>
      <c r="AV2954" s="36"/>
      <c r="AW2954" s="36"/>
      <c r="AX2954" s="25"/>
      <c r="AY2954" s="25"/>
      <c r="AZ2954" s="25"/>
      <c r="BA2954" s="25"/>
      <c r="BB2954" s="25"/>
      <c r="BC2954" s="25"/>
      <c r="BD2954" s="25"/>
      <c r="BE2954" s="25"/>
      <c r="BF2954" s="25"/>
      <c r="BG2954" s="25"/>
      <c r="BH2954" s="25"/>
      <c r="BI2954" s="25"/>
      <c r="BJ2954" s="25"/>
      <c r="BK2954" s="25"/>
      <c r="BL2954" s="25"/>
      <c r="BM2954" s="25"/>
      <c r="BN2954" s="25"/>
      <c r="BO2954" s="25"/>
      <c r="BP2954" s="25"/>
      <c r="BQ2954" s="25"/>
      <c r="BR2954" s="25"/>
      <c r="BS2954" s="25"/>
      <c r="BT2954" s="25"/>
      <c r="BU2954"/>
      <c r="BV2954"/>
      <c r="BW2954"/>
      <c r="BX2954"/>
      <c r="BY2954"/>
      <c r="BZ2954"/>
      <c r="CA2954"/>
      <c r="CB2954"/>
      <c r="CC2954"/>
      <c r="CD2954" s="25"/>
    </row>
    <row r="2955" spans="1:82" s="17" customFormat="1" x14ac:dyDescent="0.2">
      <c r="A2955" s="25"/>
      <c r="B2955" s="20">
        <v>39035109701</v>
      </c>
      <c r="C2955" s="20">
        <v>1097.01</v>
      </c>
      <c r="D2955" s="20" t="s">
        <v>24</v>
      </c>
      <c r="E2955" s="20" t="s">
        <v>2829</v>
      </c>
      <c r="F2955" s="20" t="s">
        <v>6</v>
      </c>
      <c r="G2955" s="861">
        <v>25.587410492467601</v>
      </c>
      <c r="H2955" s="861">
        <v>25.4264840581064</v>
      </c>
      <c r="I2955" s="861">
        <v>54.210274375909997</v>
      </c>
      <c r="J2955" s="861">
        <v>62.024112521409201</v>
      </c>
      <c r="K2955" s="982">
        <v>0</v>
      </c>
      <c r="L2955" s="735">
        <v>2282</v>
      </c>
      <c r="M2955" s="735">
        <v>2829</v>
      </c>
      <c r="N2955" s="845">
        <f t="shared" ref="N2955:N3018" si="209">IF(OR(L2955="",M2955=""),"",(M2955-L2955)/L2955)</f>
        <v>0.23970201577563541</v>
      </c>
      <c r="O2955" s="735">
        <v>0.29566081675950245</v>
      </c>
      <c r="P2955" s="735">
        <f t="shared" ref="P2955:P3018" si="210">M2955/O2955</f>
        <v>9568.3967561422796</v>
      </c>
      <c r="Q2955" s="849">
        <v>15.9</v>
      </c>
      <c r="R2955" s="71">
        <v>15565</v>
      </c>
      <c r="S2955" s="845">
        <v>0.80887681159420288</v>
      </c>
      <c r="T2955" s="845">
        <v>9.6999999999999989E-2</v>
      </c>
      <c r="U2955" s="845">
        <v>0</v>
      </c>
      <c r="V2955" s="845">
        <v>1.9E-2</v>
      </c>
      <c r="W2955" s="845">
        <v>0.96991404011461313</v>
      </c>
      <c r="X2955" s="845">
        <v>0.50369276218611525</v>
      </c>
      <c r="Y2955" s="845">
        <v>0.18699186991869918</v>
      </c>
      <c r="Z2955" s="845">
        <v>0.49522799575821846</v>
      </c>
      <c r="AA2955" s="845">
        <v>0</v>
      </c>
      <c r="AB2955" s="845">
        <v>1.2371862849063274E-2</v>
      </c>
      <c r="AC2955" s="845">
        <v>0</v>
      </c>
      <c r="AD2955" s="845">
        <v>0.18663838812301167</v>
      </c>
      <c r="AE2955" s="845">
        <v>0.11876988335100742</v>
      </c>
      <c r="AF2955" s="845">
        <v>0.34535171438670909</v>
      </c>
      <c r="AG2955" s="845">
        <v>0.13644397313538353</v>
      </c>
      <c r="AH2955" s="20" t="str">
        <f t="shared" ref="AH2955:AH3018" si="211">IF(AG2955&gt;=0.9,"Yes","No")</f>
        <v>No</v>
      </c>
      <c r="AI2955" s="25"/>
      <c r="AJ2955" s="25"/>
      <c r="AK2955" s="25"/>
      <c r="AL2955" s="25"/>
      <c r="AM2955" s="25"/>
      <c r="AN2955" s="25"/>
      <c r="AO2955" s="25"/>
      <c r="AP2955" s="25"/>
      <c r="AQ2955" s="25"/>
      <c r="AR2955" s="25"/>
      <c r="AS2955" s="25"/>
      <c r="AT2955" s="25"/>
      <c r="AU2955" s="36"/>
      <c r="AV2955" s="36"/>
      <c r="AW2955" s="36"/>
      <c r="AX2955" s="25"/>
      <c r="AY2955" s="25"/>
      <c r="AZ2955" s="25"/>
      <c r="BA2955" s="25"/>
      <c r="BB2955" s="25"/>
      <c r="BC2955" s="25"/>
      <c r="BD2955" s="25"/>
      <c r="BE2955" s="25"/>
      <c r="BF2955" s="25"/>
      <c r="BG2955" s="25"/>
      <c r="BH2955" s="25"/>
      <c r="BI2955" s="25"/>
      <c r="BJ2955" s="25"/>
      <c r="BK2955" s="25"/>
      <c r="BL2955" s="25"/>
      <c r="BM2955" s="25"/>
      <c r="BN2955" s="25"/>
      <c r="BO2955" s="25"/>
      <c r="BP2955" s="25"/>
      <c r="BQ2955" s="25"/>
      <c r="BR2955" s="25"/>
      <c r="BS2955" s="25"/>
      <c r="BT2955" s="25"/>
      <c r="BU2955"/>
      <c r="BV2955"/>
      <c r="BW2955"/>
      <c r="BX2955"/>
      <c r="BY2955"/>
      <c r="BZ2955"/>
      <c r="CA2955"/>
      <c r="CB2955"/>
      <c r="CC2955"/>
      <c r="CD2955" s="25"/>
    </row>
    <row r="2956" spans="1:82" s="17" customFormat="1" x14ac:dyDescent="0.2">
      <c r="A2956" s="25"/>
      <c r="B2956" s="20">
        <v>39023000700</v>
      </c>
      <c r="C2956" s="20">
        <v>7</v>
      </c>
      <c r="D2956" s="20" t="s">
        <v>18</v>
      </c>
      <c r="E2956" s="20" t="s">
        <v>2838</v>
      </c>
      <c r="F2956" s="20" t="s">
        <v>6</v>
      </c>
      <c r="G2956" s="861">
        <v>25.573753812640799</v>
      </c>
      <c r="H2956" s="861">
        <v>31.9769576605952</v>
      </c>
      <c r="I2956" s="861">
        <v>45.582684309774201</v>
      </c>
      <c r="J2956" s="861">
        <v>35.215926122915498</v>
      </c>
      <c r="K2956" s="982">
        <v>0</v>
      </c>
      <c r="L2956" s="735">
        <v>2829</v>
      </c>
      <c r="M2956" s="735">
        <v>1930</v>
      </c>
      <c r="N2956" s="845">
        <f t="shared" si="209"/>
        <v>-0.31778013432308239</v>
      </c>
      <c r="O2956" s="735">
        <v>0.35037535365365058</v>
      </c>
      <c r="P2956" s="735">
        <f t="shared" si="210"/>
        <v>5508.3783144970394</v>
      </c>
      <c r="Q2956" s="849">
        <v>20.3</v>
      </c>
      <c r="R2956" s="71">
        <v>49107</v>
      </c>
      <c r="S2956" s="845">
        <v>0.29175257731958765</v>
      </c>
      <c r="T2956" s="845">
        <v>7.2999999999999995E-2</v>
      </c>
      <c r="U2956" s="845">
        <v>0</v>
      </c>
      <c r="V2956" s="845">
        <v>3.7000000000000005E-2</v>
      </c>
      <c r="W2956" s="845">
        <v>0.66297117516629711</v>
      </c>
      <c r="X2956" s="845">
        <v>0.36454849498327757</v>
      </c>
      <c r="Y2956" s="845">
        <v>0.81139896373056997</v>
      </c>
      <c r="Z2956" s="845">
        <v>0.1</v>
      </c>
      <c r="AA2956" s="845">
        <v>0</v>
      </c>
      <c r="AB2956" s="845">
        <v>3.6269430051813472E-3</v>
      </c>
      <c r="AC2956" s="845">
        <v>0</v>
      </c>
      <c r="AD2956" s="845">
        <v>3.1088082901554403E-3</v>
      </c>
      <c r="AE2956" s="845">
        <v>8.1865284974093261E-2</v>
      </c>
      <c r="AF2956" s="845">
        <v>8.8082901554404139E-2</v>
      </c>
      <c r="AG2956" s="845">
        <v>0.76165803108808294</v>
      </c>
      <c r="AH2956" s="20" t="str">
        <f t="shared" si="211"/>
        <v>No</v>
      </c>
      <c r="AI2956" s="25"/>
      <c r="AJ2956" s="25"/>
      <c r="AK2956" s="25"/>
      <c r="AL2956" s="25"/>
      <c r="AM2956" s="25"/>
      <c r="AN2956" s="25"/>
      <c r="AO2956" s="25"/>
      <c r="AP2956" s="25"/>
      <c r="AQ2956" s="25"/>
      <c r="AR2956" s="25"/>
      <c r="AS2956" s="25"/>
      <c r="AT2956" s="25"/>
      <c r="AU2956" s="36"/>
      <c r="AV2956" s="36"/>
      <c r="AW2956" s="36"/>
      <c r="AX2956" s="25"/>
      <c r="AY2956" s="25"/>
      <c r="AZ2956" s="25"/>
      <c r="BA2956" s="25"/>
      <c r="BB2956" s="25"/>
      <c r="BC2956" s="25"/>
      <c r="BD2956" s="25"/>
      <c r="BE2956" s="25"/>
      <c r="BF2956" s="25"/>
      <c r="BG2956" s="25"/>
      <c r="BH2956" s="25"/>
      <c r="BI2956" s="25"/>
      <c r="BJ2956" s="25"/>
      <c r="BK2956" s="25"/>
      <c r="BL2956" s="25"/>
      <c r="BM2956" s="25"/>
      <c r="BN2956" s="25"/>
      <c r="BO2956" s="25"/>
      <c r="BP2956" s="25"/>
      <c r="BQ2956" s="25"/>
      <c r="BR2956" s="25"/>
      <c r="BS2956" s="25"/>
      <c r="BT2956" s="25"/>
      <c r="BU2956"/>
      <c r="BV2956"/>
      <c r="BW2956"/>
      <c r="BX2956"/>
      <c r="BY2956"/>
      <c r="BZ2956"/>
      <c r="CA2956"/>
      <c r="CB2956"/>
      <c r="CC2956"/>
      <c r="CD2956" s="25"/>
    </row>
    <row r="2957" spans="1:82" s="17" customFormat="1" x14ac:dyDescent="0.2">
      <c r="A2957" s="25"/>
      <c r="B2957" s="20">
        <v>39035119502</v>
      </c>
      <c r="C2957" s="20">
        <v>1195.02</v>
      </c>
      <c r="D2957" s="20" t="s">
        <v>24</v>
      </c>
      <c r="E2957" s="20" t="s">
        <v>2829</v>
      </c>
      <c r="F2957" s="20" t="s">
        <v>6</v>
      </c>
      <c r="G2957" s="861">
        <v>25.532681852323801</v>
      </c>
      <c r="H2957" s="861">
        <v>51.026758559711297</v>
      </c>
      <c r="I2957" s="861">
        <v>40.189911296066903</v>
      </c>
      <c r="J2957" s="861">
        <v>20.085872913000099</v>
      </c>
      <c r="K2957" s="982">
        <v>0</v>
      </c>
      <c r="L2957" s="735">
        <v>1983</v>
      </c>
      <c r="M2957" s="735">
        <v>1631</v>
      </c>
      <c r="N2957" s="845">
        <f t="shared" si="209"/>
        <v>-0.17750882501260717</v>
      </c>
      <c r="O2957" s="735">
        <v>0.13331682823825783</v>
      </c>
      <c r="P2957" s="735">
        <f t="shared" si="210"/>
        <v>12234.014426784519</v>
      </c>
      <c r="Q2957" s="849">
        <v>58.3</v>
      </c>
      <c r="R2957" s="71">
        <v>30181</v>
      </c>
      <c r="S2957" s="845">
        <v>0.32863274064990805</v>
      </c>
      <c r="T2957" s="845">
        <v>5.7000000000000002E-2</v>
      </c>
      <c r="U2957" s="845">
        <v>0</v>
      </c>
      <c r="V2957" s="845">
        <v>7.0000000000000007E-2</v>
      </c>
      <c r="W2957" s="845">
        <v>0.79409351927809679</v>
      </c>
      <c r="X2957" s="845">
        <v>0.40702479338842973</v>
      </c>
      <c r="Y2957" s="845">
        <v>0.1079092581238504</v>
      </c>
      <c r="Z2957" s="845">
        <v>0.82342121397915391</v>
      </c>
      <c r="AA2957" s="845">
        <v>0</v>
      </c>
      <c r="AB2957" s="845">
        <v>1.9006744328632742E-2</v>
      </c>
      <c r="AC2957" s="845">
        <v>0</v>
      </c>
      <c r="AD2957" s="845">
        <v>1.5328019619865114E-2</v>
      </c>
      <c r="AE2957" s="845">
        <v>3.4334763948497854E-2</v>
      </c>
      <c r="AF2957" s="845">
        <v>4.2305334150827711E-2</v>
      </c>
      <c r="AG2957" s="845">
        <v>9.5033721643163704E-2</v>
      </c>
      <c r="AH2957" s="20" t="str">
        <f t="shared" si="211"/>
        <v>No</v>
      </c>
      <c r="AI2957" s="25"/>
      <c r="AJ2957" s="25"/>
      <c r="AK2957" s="25"/>
      <c r="AL2957" s="25"/>
      <c r="AM2957" s="25"/>
      <c r="AN2957" s="25"/>
      <c r="AO2957" s="25"/>
      <c r="AP2957" s="25"/>
      <c r="AQ2957" s="25"/>
      <c r="AR2957" s="25"/>
      <c r="AS2957" s="25"/>
      <c r="AT2957" s="25"/>
      <c r="AU2957" s="36"/>
      <c r="AV2957" s="36"/>
      <c r="AW2957" s="36"/>
      <c r="AX2957" s="25"/>
      <c r="AY2957" s="25"/>
      <c r="AZ2957" s="25"/>
      <c r="BA2957" s="25"/>
      <c r="BB2957" s="25"/>
      <c r="BC2957" s="25"/>
      <c r="BD2957" s="25"/>
      <c r="BE2957" s="25"/>
      <c r="BF2957" s="25"/>
      <c r="BG2957" s="25"/>
      <c r="BH2957" s="25"/>
      <c r="BI2957" s="25"/>
      <c r="BJ2957" s="25"/>
      <c r="BK2957" s="25"/>
      <c r="BL2957" s="25"/>
      <c r="BM2957" s="25"/>
      <c r="BN2957" s="25"/>
      <c r="BO2957" s="25"/>
      <c r="BP2957" s="25"/>
      <c r="BQ2957" s="25"/>
      <c r="BR2957" s="25"/>
      <c r="BS2957" s="25"/>
      <c r="BT2957" s="25"/>
      <c r="BU2957"/>
      <c r="BV2957"/>
      <c r="BW2957"/>
      <c r="BX2957"/>
      <c r="BY2957"/>
      <c r="BZ2957"/>
      <c r="CA2957"/>
      <c r="CB2957"/>
      <c r="CC2957"/>
      <c r="CD2957" s="25"/>
    </row>
    <row r="2958" spans="1:82" s="17" customFormat="1" x14ac:dyDescent="0.2">
      <c r="A2958" s="25"/>
      <c r="B2958" s="20">
        <v>39113002300</v>
      </c>
      <c r="C2958" s="20">
        <v>23</v>
      </c>
      <c r="D2958" s="20" t="s">
        <v>62</v>
      </c>
      <c r="E2958" s="20" t="s">
        <v>2833</v>
      </c>
      <c r="F2958" s="20" t="s">
        <v>6</v>
      </c>
      <c r="G2958" s="861">
        <v>25.528071476431101</v>
      </c>
      <c r="H2958" s="861">
        <v>38.343881884835</v>
      </c>
      <c r="I2958" s="861">
        <v>88.640771475911194</v>
      </c>
      <c r="J2958" s="861">
        <v>32.324552220515699</v>
      </c>
      <c r="K2958" s="982">
        <v>0</v>
      </c>
      <c r="L2958" s="735">
        <v>3028</v>
      </c>
      <c r="M2958" s="735">
        <v>2574</v>
      </c>
      <c r="N2958" s="845">
        <f t="shared" si="209"/>
        <v>-0.1499339498018494</v>
      </c>
      <c r="O2958" s="735">
        <v>0.40143311700376882</v>
      </c>
      <c r="P2958" s="735">
        <f t="shared" si="210"/>
        <v>6412.0270375596201</v>
      </c>
      <c r="Q2958" s="849">
        <v>35.5</v>
      </c>
      <c r="R2958" s="71">
        <v>34868</v>
      </c>
      <c r="S2958" s="845">
        <v>0.36688311688311687</v>
      </c>
      <c r="T2958" s="845">
        <v>7.4999999999999997E-2</v>
      </c>
      <c r="U2958" s="845">
        <v>0</v>
      </c>
      <c r="V2958" s="845">
        <v>1.4999999999999999E-2</v>
      </c>
      <c r="W2958" s="845">
        <v>0.48544698544698545</v>
      </c>
      <c r="X2958" s="845">
        <v>0.51177730192719484</v>
      </c>
      <c r="Y2958" s="845">
        <v>0.71173271173271169</v>
      </c>
      <c r="Z2958" s="845">
        <v>0.18531468531468531</v>
      </c>
      <c r="AA2958" s="845">
        <v>0</v>
      </c>
      <c r="AB2958" s="845">
        <v>0</v>
      </c>
      <c r="AC2958" s="845">
        <v>0</v>
      </c>
      <c r="AD2958" s="845">
        <v>5.944055944055944E-2</v>
      </c>
      <c r="AE2958" s="845">
        <v>4.3512043512043512E-2</v>
      </c>
      <c r="AF2958" s="845">
        <v>7.3815073815073809E-2</v>
      </c>
      <c r="AG2958" s="845">
        <v>0.69735819735819737</v>
      </c>
      <c r="AH2958" s="20" t="str">
        <f t="shared" si="211"/>
        <v>No</v>
      </c>
      <c r="AI2958" s="25"/>
      <c r="AU2958" s="19"/>
      <c r="AV2958" s="19"/>
      <c r="AW2958" s="19"/>
      <c r="BU2958"/>
      <c r="BV2958"/>
      <c r="BW2958"/>
      <c r="BX2958"/>
      <c r="BY2958"/>
      <c r="BZ2958"/>
      <c r="CA2958"/>
      <c r="CB2958"/>
      <c r="CC2958"/>
    </row>
    <row r="2959" spans="1:82" s="17" customFormat="1" x14ac:dyDescent="0.2">
      <c r="A2959" s="25"/>
      <c r="B2959" s="20">
        <v>39013011700</v>
      </c>
      <c r="C2959" s="20">
        <v>117</v>
      </c>
      <c r="D2959" s="20" t="s">
        <v>13</v>
      </c>
      <c r="E2959" s="20" t="s">
        <v>2841</v>
      </c>
      <c r="F2959" s="20" t="s">
        <v>8</v>
      </c>
      <c r="G2959" s="861">
        <v>25.452664826140499</v>
      </c>
      <c r="H2959" s="861">
        <v>6.0906028238777496</v>
      </c>
      <c r="I2959" s="861">
        <v>76.814033039327796</v>
      </c>
      <c r="J2959" s="861">
        <v>32.606592347138097</v>
      </c>
      <c r="K2959" s="982">
        <v>0</v>
      </c>
      <c r="L2959" s="735">
        <v>1390</v>
      </c>
      <c r="M2959" s="735">
        <v>1236</v>
      </c>
      <c r="N2959" s="845">
        <f t="shared" si="209"/>
        <v>-0.11079136690647481</v>
      </c>
      <c r="O2959" s="735">
        <v>0.50226137910725777</v>
      </c>
      <c r="P2959" s="735">
        <f t="shared" si="210"/>
        <v>2460.8700796324865</v>
      </c>
      <c r="Q2959" s="849">
        <v>26.1</v>
      </c>
      <c r="R2959" s="71">
        <v>35238</v>
      </c>
      <c r="S2959" s="845">
        <v>0.44336569579288027</v>
      </c>
      <c r="T2959" s="845">
        <v>2.7000000000000003E-2</v>
      </c>
      <c r="U2959" s="845">
        <v>0</v>
      </c>
      <c r="V2959" s="845">
        <v>5.5E-2</v>
      </c>
      <c r="W2959" s="845">
        <v>0.60040983606557374</v>
      </c>
      <c r="X2959" s="845">
        <v>0.44027303754266212</v>
      </c>
      <c r="Y2959" s="845">
        <v>0.68851132686084138</v>
      </c>
      <c r="Z2959" s="845">
        <v>0.19660194174757281</v>
      </c>
      <c r="AA2959" s="845">
        <v>0</v>
      </c>
      <c r="AB2959" s="845">
        <v>0</v>
      </c>
      <c r="AC2959" s="845">
        <v>0</v>
      </c>
      <c r="AD2959" s="845">
        <v>0</v>
      </c>
      <c r="AE2959" s="845">
        <v>0.11488673139158576</v>
      </c>
      <c r="AF2959" s="845">
        <v>0</v>
      </c>
      <c r="AG2959" s="845">
        <v>0.68851132686084138</v>
      </c>
      <c r="AH2959" s="20" t="str">
        <f t="shared" si="211"/>
        <v>No</v>
      </c>
      <c r="AI2959" s="25"/>
      <c r="AU2959" s="19"/>
      <c r="AV2959" s="19"/>
      <c r="AW2959" s="19"/>
      <c r="BU2959"/>
      <c r="BV2959"/>
      <c r="BW2959"/>
      <c r="BX2959"/>
      <c r="BY2959"/>
      <c r="BZ2959"/>
      <c r="CA2959"/>
      <c r="CB2959"/>
      <c r="CC2959"/>
    </row>
    <row r="2960" spans="1:82" s="17" customFormat="1" x14ac:dyDescent="0.2">
      <c r="A2960" s="25"/>
      <c r="B2960" s="20">
        <v>39017013000</v>
      </c>
      <c r="C2960" s="20">
        <v>130</v>
      </c>
      <c r="D2960" s="20" t="s">
        <v>15</v>
      </c>
      <c r="E2960" s="20" t="s">
        <v>2828</v>
      </c>
      <c r="F2960" s="20" t="s">
        <v>6</v>
      </c>
      <c r="G2960" s="861">
        <v>25.372495713587501</v>
      </c>
      <c r="H2960" s="861">
        <v>42.251067872189999</v>
      </c>
      <c r="I2960" s="861">
        <v>44.903141753907498</v>
      </c>
      <c r="J2960" s="861">
        <v>41.985560982432801</v>
      </c>
      <c r="K2960" s="982">
        <v>0</v>
      </c>
      <c r="L2960" s="735">
        <v>1318</v>
      </c>
      <c r="M2960" s="735">
        <v>1604</v>
      </c>
      <c r="N2960" s="845">
        <f t="shared" si="209"/>
        <v>0.21699544764795145</v>
      </c>
      <c r="O2960" s="735">
        <v>0.59945680600054962</v>
      </c>
      <c r="P2960" s="735">
        <f t="shared" si="210"/>
        <v>2675.7557574524049</v>
      </c>
      <c r="Q2960" s="849">
        <v>30.6</v>
      </c>
      <c r="R2960" s="71">
        <v>49844</v>
      </c>
      <c r="S2960" s="845">
        <v>0.31109725685785539</v>
      </c>
      <c r="T2960" s="845">
        <v>5.9000000000000004E-2</v>
      </c>
      <c r="U2960" s="845">
        <v>0</v>
      </c>
      <c r="V2960" s="845">
        <v>0.125</v>
      </c>
      <c r="W2960" s="845">
        <v>0.60648148148148151</v>
      </c>
      <c r="X2960" s="845">
        <v>0.2951653944020356</v>
      </c>
      <c r="Y2960" s="845">
        <v>0.3322942643391521</v>
      </c>
      <c r="Z2960" s="845">
        <v>0.33167082294264338</v>
      </c>
      <c r="AA2960" s="845">
        <v>0</v>
      </c>
      <c r="AB2960" s="845">
        <v>0</v>
      </c>
      <c r="AC2960" s="845">
        <v>0</v>
      </c>
      <c r="AD2960" s="845">
        <v>2.7431421446384038E-2</v>
      </c>
      <c r="AE2960" s="845">
        <v>0.30860349127182046</v>
      </c>
      <c r="AF2960" s="845">
        <v>6.9201995012468834E-2</v>
      </c>
      <c r="AG2960" s="845">
        <v>0.3322942643391521</v>
      </c>
      <c r="AH2960" s="20" t="str">
        <f t="shared" si="211"/>
        <v>No</v>
      </c>
      <c r="AI2960" s="25"/>
      <c r="AU2960" s="19"/>
      <c r="AV2960" s="19"/>
      <c r="AW2960" s="19"/>
      <c r="BU2960"/>
      <c r="BV2960"/>
      <c r="BW2960"/>
      <c r="BX2960"/>
      <c r="BY2960"/>
      <c r="BZ2960"/>
      <c r="CA2960"/>
      <c r="CB2960"/>
      <c r="CC2960"/>
    </row>
    <row r="2961" spans="1:81" s="17" customFormat="1" x14ac:dyDescent="0.2">
      <c r="A2961" s="25"/>
      <c r="B2961" s="20">
        <v>39155930102</v>
      </c>
      <c r="C2961" s="20">
        <v>9301.02</v>
      </c>
      <c r="D2961" s="20" t="s">
        <v>83</v>
      </c>
      <c r="E2961" s="20" t="s">
        <v>2842</v>
      </c>
      <c r="F2961" s="20" t="s">
        <v>8</v>
      </c>
      <c r="G2961" s="861">
        <v>25.232789098830601</v>
      </c>
      <c r="H2961" s="861">
        <v>31.929453020360999</v>
      </c>
      <c r="I2961" s="861">
        <v>20.936808070433798</v>
      </c>
      <c r="J2961" s="861">
        <v>39.329522638043997</v>
      </c>
      <c r="K2961" s="982">
        <v>0</v>
      </c>
      <c r="L2961" s="735">
        <v>2672</v>
      </c>
      <c r="M2961" s="735">
        <v>2352</v>
      </c>
      <c r="N2961" s="845">
        <f t="shared" si="209"/>
        <v>-0.11976047904191617</v>
      </c>
      <c r="O2961" s="735">
        <v>32.327422151756522</v>
      </c>
      <c r="P2961" s="735">
        <f t="shared" si="210"/>
        <v>72.755569217949642</v>
      </c>
      <c r="Q2961" s="849">
        <v>44</v>
      </c>
      <c r="R2961" s="71">
        <v>80344</v>
      </c>
      <c r="S2961" s="845">
        <v>0.16608996539792387</v>
      </c>
      <c r="T2961" s="845">
        <v>2.7000000000000003E-2</v>
      </c>
      <c r="U2961" s="845">
        <v>6.9999999999999993E-3</v>
      </c>
      <c r="V2961" s="845">
        <v>0.33799999999999997</v>
      </c>
      <c r="W2961" s="845">
        <v>0.1580161476355248</v>
      </c>
      <c r="X2961" s="845">
        <v>0.31386861313868614</v>
      </c>
      <c r="Y2961" s="845">
        <v>0.9642857142857143</v>
      </c>
      <c r="Z2961" s="845">
        <v>7.6530612244897957E-3</v>
      </c>
      <c r="AA2961" s="845">
        <v>0</v>
      </c>
      <c r="AB2961" s="845">
        <v>4.6768707482993197E-3</v>
      </c>
      <c r="AC2961" s="845">
        <v>0</v>
      </c>
      <c r="AD2961" s="845">
        <v>0</v>
      </c>
      <c r="AE2961" s="845">
        <v>2.33843537414966E-2</v>
      </c>
      <c r="AF2961" s="845">
        <v>3.8265306122448979E-3</v>
      </c>
      <c r="AG2961" s="845">
        <v>0.9642857142857143</v>
      </c>
      <c r="AH2961" s="20" t="str">
        <f t="shared" si="211"/>
        <v>Yes</v>
      </c>
      <c r="AI2961" s="25"/>
      <c r="AU2961" s="19"/>
      <c r="AV2961" s="19"/>
      <c r="AW2961" s="19"/>
      <c r="BU2961"/>
      <c r="BV2961"/>
      <c r="BW2961"/>
      <c r="BX2961"/>
      <c r="BY2961"/>
      <c r="BZ2961"/>
      <c r="CA2961"/>
      <c r="CB2961"/>
      <c r="CC2961"/>
    </row>
    <row r="2962" spans="1:81" s="17" customFormat="1" x14ac:dyDescent="0.2">
      <c r="A2962" s="25"/>
      <c r="B2962" s="20">
        <v>39045030100</v>
      </c>
      <c r="C2962" s="20">
        <v>301</v>
      </c>
      <c r="D2962" s="20" t="s">
        <v>29</v>
      </c>
      <c r="E2962" s="20" t="s">
        <v>2830</v>
      </c>
      <c r="F2962" s="20" t="s">
        <v>8</v>
      </c>
      <c r="G2962" s="861">
        <v>25.220885110962001</v>
      </c>
      <c r="H2962" s="861">
        <v>46.314829265054399</v>
      </c>
      <c r="I2962" s="861">
        <v>31.616310612351601</v>
      </c>
      <c r="J2962" s="861">
        <v>42.901936435282501</v>
      </c>
      <c r="K2962" s="982">
        <v>0</v>
      </c>
      <c r="L2962" s="735">
        <v>3818</v>
      </c>
      <c r="M2962" s="735">
        <v>3806</v>
      </c>
      <c r="N2962" s="845">
        <f t="shared" si="209"/>
        <v>-3.1430068098480882E-3</v>
      </c>
      <c r="O2962" s="735">
        <v>11.86869734317043</v>
      </c>
      <c r="P2962" s="735">
        <f t="shared" si="210"/>
        <v>320.67546167482953</v>
      </c>
      <c r="Q2962" s="849">
        <v>51.4</v>
      </c>
      <c r="R2962" s="71">
        <v>68982</v>
      </c>
      <c r="S2962" s="845">
        <v>5.5687516495117446E-2</v>
      </c>
      <c r="T2962" s="845">
        <v>7.0999999999999994E-2</v>
      </c>
      <c r="U2962" s="845">
        <v>1.6E-2</v>
      </c>
      <c r="V2962" s="845">
        <v>0</v>
      </c>
      <c r="W2962" s="845">
        <v>0.17696460707858427</v>
      </c>
      <c r="X2962" s="845">
        <v>0.33559322033898303</v>
      </c>
      <c r="Y2962" s="845">
        <v>0.90357330530740931</v>
      </c>
      <c r="Z2962" s="845">
        <v>2.9427220178665267E-2</v>
      </c>
      <c r="AA2962" s="845">
        <v>1.5764582238570678E-3</v>
      </c>
      <c r="AB2962" s="845">
        <v>2.627430373095113E-3</v>
      </c>
      <c r="AC2962" s="845">
        <v>0</v>
      </c>
      <c r="AD2962" s="845">
        <v>1.8917498686284815E-2</v>
      </c>
      <c r="AE2962" s="845">
        <v>4.3878087230688388E-2</v>
      </c>
      <c r="AF2962" s="845">
        <v>2.3121387283236993E-2</v>
      </c>
      <c r="AG2962" s="845">
        <v>0.90357330530740931</v>
      </c>
      <c r="AH2962" s="20" t="str">
        <f t="shared" si="211"/>
        <v>Yes</v>
      </c>
      <c r="AI2962" s="25"/>
      <c r="AU2962" s="19"/>
      <c r="AV2962" s="19"/>
      <c r="AW2962" s="19"/>
      <c r="BU2962"/>
      <c r="BV2962"/>
      <c r="BW2962"/>
      <c r="BX2962"/>
      <c r="BY2962"/>
      <c r="BZ2962"/>
      <c r="CA2962"/>
      <c r="CB2962"/>
      <c r="CC2962"/>
    </row>
    <row r="2963" spans="1:81" s="17" customFormat="1" x14ac:dyDescent="0.2">
      <c r="A2963" s="25"/>
      <c r="B2963" s="20">
        <v>39095007401</v>
      </c>
      <c r="C2963" s="20">
        <v>74.010000000000005</v>
      </c>
      <c r="D2963" s="20" t="s">
        <v>53</v>
      </c>
      <c r="E2963" s="20" t="s">
        <v>2839</v>
      </c>
      <c r="F2963" s="20" t="s">
        <v>6</v>
      </c>
      <c r="G2963" s="861">
        <v>25.186770345519601</v>
      </c>
      <c r="H2963" s="861">
        <v>47.131853449115397</v>
      </c>
      <c r="I2963" s="861">
        <v>46.550204973309398</v>
      </c>
      <c r="J2963" s="861">
        <v>27.8528778359257</v>
      </c>
      <c r="K2963" s="982">
        <v>0</v>
      </c>
      <c r="L2963" s="735" t="s">
        <v>2466</v>
      </c>
      <c r="M2963" s="735">
        <v>2579</v>
      </c>
      <c r="N2963" s="845" t="str">
        <f t="shared" si="209"/>
        <v/>
      </c>
      <c r="O2963" s="735">
        <v>1.2621671842346798</v>
      </c>
      <c r="P2963" s="735">
        <f t="shared" si="210"/>
        <v>2043.3109275961624</v>
      </c>
      <c r="Q2963" s="849">
        <v>38.200000000000003</v>
      </c>
      <c r="R2963" s="71">
        <v>36970</v>
      </c>
      <c r="S2963" s="845">
        <v>0.26987204342768517</v>
      </c>
      <c r="T2963" s="845">
        <v>3.4000000000000002E-2</v>
      </c>
      <c r="U2963" s="845">
        <v>0</v>
      </c>
      <c r="V2963" s="845">
        <v>0</v>
      </c>
      <c r="W2963" s="845">
        <v>0.59083969465648856</v>
      </c>
      <c r="X2963" s="845">
        <v>0.44573643410852715</v>
      </c>
      <c r="Y2963" s="845">
        <v>0.4292361380379992</v>
      </c>
      <c r="Z2963" s="845">
        <v>0.48119426134160526</v>
      </c>
      <c r="AA2963" s="845">
        <v>1.9387359441644049E-3</v>
      </c>
      <c r="AB2963" s="845">
        <v>6.2039550213260956E-2</v>
      </c>
      <c r="AC2963" s="845">
        <v>0</v>
      </c>
      <c r="AD2963" s="845">
        <v>2.055060100814269E-2</v>
      </c>
      <c r="AE2963" s="845">
        <v>5.0407134548274522E-3</v>
      </c>
      <c r="AF2963" s="845">
        <v>1.8999612252811167E-2</v>
      </c>
      <c r="AG2963" s="845">
        <v>0.41993020550601007</v>
      </c>
      <c r="AH2963" s="20" t="str">
        <f t="shared" si="211"/>
        <v>No</v>
      </c>
      <c r="AI2963" s="25"/>
      <c r="AU2963" s="19"/>
      <c r="AV2963" s="19"/>
      <c r="AW2963" s="19"/>
      <c r="BU2963"/>
      <c r="BV2963"/>
      <c r="BW2963"/>
      <c r="BX2963"/>
      <c r="BY2963"/>
      <c r="BZ2963"/>
      <c r="CA2963"/>
      <c r="CB2963"/>
      <c r="CC2963"/>
    </row>
    <row r="2964" spans="1:81" s="17" customFormat="1" x14ac:dyDescent="0.2">
      <c r="A2964" s="25"/>
      <c r="B2964" s="20">
        <v>39095005501</v>
      </c>
      <c r="C2964" s="20">
        <v>55.01</v>
      </c>
      <c r="D2964" s="20" t="s">
        <v>53</v>
      </c>
      <c r="E2964" s="20" t="s">
        <v>2839</v>
      </c>
      <c r="F2964" s="20" t="s">
        <v>6</v>
      </c>
      <c r="G2964" s="861">
        <v>25.121988661322</v>
      </c>
      <c r="H2964" s="861">
        <v>27.296457882943599</v>
      </c>
      <c r="I2964" s="861">
        <v>48.485692089634099</v>
      </c>
      <c r="J2964" s="861">
        <v>35.507671116006499</v>
      </c>
      <c r="K2964" s="982">
        <v>0</v>
      </c>
      <c r="L2964" s="735">
        <v>2803</v>
      </c>
      <c r="M2964" s="735">
        <v>2731</v>
      </c>
      <c r="N2964" s="845">
        <f t="shared" si="209"/>
        <v>-2.5686764181234393E-2</v>
      </c>
      <c r="O2964" s="735">
        <v>0.66471888166312865</v>
      </c>
      <c r="P2964" s="735">
        <f t="shared" si="210"/>
        <v>4108.5037229076897</v>
      </c>
      <c r="Q2964" s="849">
        <v>37.6</v>
      </c>
      <c r="R2964" s="71">
        <v>40809</v>
      </c>
      <c r="S2964" s="845">
        <v>0.18412348401323042</v>
      </c>
      <c r="T2964" s="845">
        <v>5.4000000000000006E-2</v>
      </c>
      <c r="U2964" s="845">
        <v>2.7000000000000003E-2</v>
      </c>
      <c r="V2964" s="845">
        <v>0</v>
      </c>
      <c r="W2964" s="845">
        <v>0.27208201892744477</v>
      </c>
      <c r="X2964" s="845">
        <v>0.56811594202898552</v>
      </c>
      <c r="Y2964" s="845">
        <v>0.88136213841083855</v>
      </c>
      <c r="Z2964" s="845">
        <v>1.3914317099963384E-2</v>
      </c>
      <c r="AA2964" s="845">
        <v>3.6616623947272062E-3</v>
      </c>
      <c r="AB2964" s="845">
        <v>0</v>
      </c>
      <c r="AC2964" s="845">
        <v>0</v>
      </c>
      <c r="AD2964" s="845">
        <v>0</v>
      </c>
      <c r="AE2964" s="845">
        <v>0.1010618820944709</v>
      </c>
      <c r="AF2964" s="845">
        <v>2.6363969242035885E-2</v>
      </c>
      <c r="AG2964" s="845">
        <v>0.88136213841083855</v>
      </c>
      <c r="AH2964" s="20" t="str">
        <f t="shared" si="211"/>
        <v>No</v>
      </c>
      <c r="AI2964" s="25"/>
      <c r="AU2964" s="19"/>
      <c r="AV2964" s="19"/>
      <c r="AW2964" s="19"/>
      <c r="BU2964"/>
      <c r="BV2964"/>
      <c r="BW2964"/>
      <c r="BX2964"/>
      <c r="BY2964"/>
      <c r="BZ2964"/>
      <c r="CA2964"/>
      <c r="CB2964"/>
      <c r="CC2964"/>
    </row>
    <row r="2965" spans="1:81" s="17" customFormat="1" x14ac:dyDescent="0.2">
      <c r="A2965" s="25"/>
      <c r="B2965" s="20">
        <v>39075976402</v>
      </c>
      <c r="C2965" s="20">
        <v>9764.02</v>
      </c>
      <c r="D2965" s="20" t="s">
        <v>44</v>
      </c>
      <c r="E2965" s="20" t="s">
        <v>265</v>
      </c>
      <c r="F2965" s="20" t="s">
        <v>8</v>
      </c>
      <c r="G2965" s="861">
        <v>25.116513673905398</v>
      </c>
      <c r="H2965" s="861">
        <v>40.513179341525003</v>
      </c>
      <c r="I2965" s="861">
        <v>15.46724574165</v>
      </c>
      <c r="J2965" s="861">
        <v>36.461765601375198</v>
      </c>
      <c r="K2965" s="982">
        <v>0</v>
      </c>
      <c r="L2965" s="735" t="s">
        <v>2466</v>
      </c>
      <c r="M2965" s="735">
        <v>3059</v>
      </c>
      <c r="N2965" s="845" t="str">
        <f t="shared" si="209"/>
        <v/>
      </c>
      <c r="O2965" s="735">
        <v>35.911213507462783</v>
      </c>
      <c r="P2965" s="735">
        <f t="shared" si="210"/>
        <v>85.182306617522215</v>
      </c>
      <c r="Q2965" s="849">
        <v>22.2</v>
      </c>
      <c r="R2965" s="71">
        <v>99000</v>
      </c>
      <c r="S2965" s="845">
        <v>3.6441234405778067E-2</v>
      </c>
      <c r="T2965" s="845">
        <v>2.7000000000000003E-2</v>
      </c>
      <c r="U2965" s="845">
        <v>0</v>
      </c>
      <c r="V2965" s="845">
        <v>0</v>
      </c>
      <c r="W2965" s="845">
        <v>0.15068493150684931</v>
      </c>
      <c r="X2965" s="845">
        <v>6.363636363636363E-2</v>
      </c>
      <c r="Y2965" s="845">
        <v>0.98103955541026477</v>
      </c>
      <c r="Z2965" s="845">
        <v>0</v>
      </c>
      <c r="AA2965" s="845">
        <v>0</v>
      </c>
      <c r="AB2965" s="845">
        <v>0</v>
      </c>
      <c r="AC2965" s="845">
        <v>0</v>
      </c>
      <c r="AD2965" s="845">
        <v>1.8960444589735208E-2</v>
      </c>
      <c r="AE2965" s="845">
        <v>0</v>
      </c>
      <c r="AF2965" s="845">
        <v>1.2749264465511605E-2</v>
      </c>
      <c r="AG2965" s="845">
        <v>0.97482837528604116</v>
      </c>
      <c r="AH2965" s="20" t="str">
        <f t="shared" si="211"/>
        <v>Yes</v>
      </c>
      <c r="AI2965" s="25"/>
      <c r="AU2965" s="19"/>
      <c r="AV2965" s="19"/>
      <c r="AW2965" s="19"/>
      <c r="BU2965"/>
      <c r="BV2965"/>
      <c r="BW2965"/>
      <c r="BX2965"/>
      <c r="BY2965"/>
      <c r="BZ2965"/>
      <c r="CA2965"/>
      <c r="CB2965"/>
      <c r="CC2965"/>
    </row>
    <row r="2966" spans="1:81" s="17" customFormat="1" x14ac:dyDescent="0.2">
      <c r="A2966" s="25"/>
      <c r="B2966" s="20">
        <v>39045030200</v>
      </c>
      <c r="C2966" s="20">
        <v>302</v>
      </c>
      <c r="D2966" s="20" t="s">
        <v>29</v>
      </c>
      <c r="E2966" s="20" t="s">
        <v>2830</v>
      </c>
      <c r="F2966" s="20" t="s">
        <v>8</v>
      </c>
      <c r="G2966" s="861">
        <v>25.114608589344101</v>
      </c>
      <c r="H2966" s="861">
        <v>35.089581131666598</v>
      </c>
      <c r="I2966" s="861">
        <v>26.0101541342055</v>
      </c>
      <c r="J2966" s="861">
        <v>32.0350866492021</v>
      </c>
      <c r="K2966" s="982">
        <v>0</v>
      </c>
      <c r="L2966" s="735">
        <v>3069</v>
      </c>
      <c r="M2966" s="735">
        <v>2910</v>
      </c>
      <c r="N2966" s="845">
        <f t="shared" si="209"/>
        <v>-5.1808406647116327E-2</v>
      </c>
      <c r="O2966" s="735">
        <v>36.196480454112972</v>
      </c>
      <c r="P2966" s="735">
        <f t="shared" si="210"/>
        <v>80.394556694236257</v>
      </c>
      <c r="Q2966" s="849">
        <v>49.2</v>
      </c>
      <c r="R2966" s="71">
        <v>73075</v>
      </c>
      <c r="S2966" s="845">
        <v>6.5539841324594686E-2</v>
      </c>
      <c r="T2966" s="845">
        <v>3.7000000000000005E-2</v>
      </c>
      <c r="U2966" s="845">
        <v>8.0000000000000002E-3</v>
      </c>
      <c r="V2966" s="845">
        <v>0</v>
      </c>
      <c r="W2966" s="845">
        <v>0.19293712316968131</v>
      </c>
      <c r="X2966" s="845">
        <v>0.18303571428571427</v>
      </c>
      <c r="Y2966" s="845">
        <v>0.94776632302405495</v>
      </c>
      <c r="Z2966" s="845">
        <v>1.3745704467353953E-3</v>
      </c>
      <c r="AA2966" s="845">
        <v>0</v>
      </c>
      <c r="AB2966" s="845">
        <v>0</v>
      </c>
      <c r="AC2966" s="845">
        <v>0</v>
      </c>
      <c r="AD2966" s="845">
        <v>9.2783505154639175E-3</v>
      </c>
      <c r="AE2966" s="845">
        <v>4.1580756013745702E-2</v>
      </c>
      <c r="AF2966" s="845">
        <v>1.4776632302405498E-2</v>
      </c>
      <c r="AG2966" s="845">
        <v>0.94261168384879723</v>
      </c>
      <c r="AH2966" s="20" t="str">
        <f t="shared" si="211"/>
        <v>Yes</v>
      </c>
      <c r="AI2966" s="25"/>
      <c r="AU2966" s="19"/>
      <c r="AV2966" s="19"/>
      <c r="AW2966" s="19"/>
      <c r="BU2966"/>
      <c r="BV2966"/>
      <c r="BW2966"/>
      <c r="BX2966"/>
      <c r="BY2966"/>
      <c r="BZ2966"/>
      <c r="CA2966"/>
      <c r="CB2966"/>
      <c r="CC2966"/>
    </row>
    <row r="2967" spans="1:81" s="17" customFormat="1" x14ac:dyDescent="0.2">
      <c r="A2967" s="25"/>
      <c r="B2967" s="20">
        <v>39151712400</v>
      </c>
      <c r="C2967" s="20">
        <v>7124</v>
      </c>
      <c r="D2967" s="20" t="s">
        <v>81</v>
      </c>
      <c r="E2967" s="20" t="s">
        <v>2844</v>
      </c>
      <c r="F2967" s="20" t="s">
        <v>8</v>
      </c>
      <c r="G2967" s="861">
        <v>25.080053044743799</v>
      </c>
      <c r="H2967" s="861">
        <v>34.309192887707901</v>
      </c>
      <c r="I2967" s="861">
        <v>28.250607114721898</v>
      </c>
      <c r="J2967" s="861">
        <v>35.8680062561493</v>
      </c>
      <c r="K2967" s="982">
        <v>0</v>
      </c>
      <c r="L2967" s="735">
        <v>7083</v>
      </c>
      <c r="M2967" s="735">
        <v>6346</v>
      </c>
      <c r="N2967" s="845">
        <f t="shared" si="209"/>
        <v>-0.10405195538613582</v>
      </c>
      <c r="O2967" s="735">
        <v>6.4839112330905646</v>
      </c>
      <c r="P2967" s="735">
        <f t="shared" si="210"/>
        <v>978.73024041619567</v>
      </c>
      <c r="Q2967" s="849">
        <v>42.9</v>
      </c>
      <c r="R2967" s="71">
        <v>77614</v>
      </c>
      <c r="S2967" s="845">
        <v>5.6232091690544411E-2</v>
      </c>
      <c r="T2967" s="845">
        <v>3.3000000000000002E-2</v>
      </c>
      <c r="U2967" s="845">
        <v>0</v>
      </c>
      <c r="V2967" s="845">
        <v>7.0000000000000007E-2</v>
      </c>
      <c r="W2967" s="845">
        <v>0.2358775334195774</v>
      </c>
      <c r="X2967" s="845">
        <v>0.3327239488117002</v>
      </c>
      <c r="Y2967" s="845">
        <v>0.80286794831389852</v>
      </c>
      <c r="Z2967" s="845">
        <v>0.17191931925622439</v>
      </c>
      <c r="AA2967" s="845">
        <v>0</v>
      </c>
      <c r="AB2967" s="845">
        <v>3.1515915537346359E-3</v>
      </c>
      <c r="AC2967" s="845">
        <v>0</v>
      </c>
      <c r="AD2967" s="845">
        <v>0</v>
      </c>
      <c r="AE2967" s="845">
        <v>2.2061140876142454E-2</v>
      </c>
      <c r="AF2967" s="845">
        <v>1.0085092971950834E-2</v>
      </c>
      <c r="AG2967" s="845">
        <v>0.80176489127009143</v>
      </c>
      <c r="AH2967" s="20" t="str">
        <f t="shared" si="211"/>
        <v>No</v>
      </c>
      <c r="AI2967" s="25"/>
      <c r="AU2967" s="19"/>
      <c r="AV2967" s="19"/>
      <c r="AW2967" s="19"/>
      <c r="BU2967"/>
      <c r="BV2967"/>
      <c r="BW2967"/>
      <c r="BX2967"/>
      <c r="BY2967"/>
      <c r="BZ2967"/>
      <c r="CA2967"/>
      <c r="CB2967"/>
      <c r="CC2967"/>
    </row>
    <row r="2968" spans="1:81" s="17" customFormat="1" x14ac:dyDescent="0.2">
      <c r="A2968" s="25"/>
      <c r="B2968" s="20">
        <v>39129021600</v>
      </c>
      <c r="C2968" s="20">
        <v>216</v>
      </c>
      <c r="D2968" s="20" t="s">
        <v>70</v>
      </c>
      <c r="E2968" s="20" t="s">
        <v>2830</v>
      </c>
      <c r="F2968" s="20" t="s">
        <v>8</v>
      </c>
      <c r="G2968" s="861">
        <v>25.075893068310801</v>
      </c>
      <c r="H2968" s="861">
        <v>40.014609783290702</v>
      </c>
      <c r="I2968" s="861">
        <v>30.4016705176629</v>
      </c>
      <c r="J2968" s="861">
        <v>54.579550043577399</v>
      </c>
      <c r="K2968" s="982">
        <v>0</v>
      </c>
      <c r="L2968" s="735">
        <v>3324</v>
      </c>
      <c r="M2968" s="735">
        <v>3650</v>
      </c>
      <c r="N2968" s="845">
        <f t="shared" si="209"/>
        <v>9.8074608904933816E-2</v>
      </c>
      <c r="O2968" s="735">
        <v>99.727075581053541</v>
      </c>
      <c r="P2968" s="735">
        <f t="shared" si="210"/>
        <v>36.599890037219126</v>
      </c>
      <c r="Q2968" s="849">
        <v>45.4</v>
      </c>
      <c r="R2968" s="71">
        <v>77827</v>
      </c>
      <c r="S2968" s="845">
        <v>0.15371946198188308</v>
      </c>
      <c r="T2968" s="845">
        <v>3.7999999999999999E-2</v>
      </c>
      <c r="U2968" s="845">
        <v>1.3000000000000001E-2</v>
      </c>
      <c r="V2968" s="845">
        <v>0</v>
      </c>
      <c r="W2968" s="845">
        <v>0.30286113049546404</v>
      </c>
      <c r="X2968" s="845">
        <v>0.22350230414746544</v>
      </c>
      <c r="Y2968" s="845">
        <v>0.94904109589041097</v>
      </c>
      <c r="Z2968" s="845">
        <v>1.9178082191780822E-3</v>
      </c>
      <c r="AA2968" s="845">
        <v>0</v>
      </c>
      <c r="AB2968" s="845">
        <v>7.3972602739726025E-3</v>
      </c>
      <c r="AC2968" s="845">
        <v>0</v>
      </c>
      <c r="AD2968" s="845">
        <v>5.7534246575342467E-3</v>
      </c>
      <c r="AE2968" s="845">
        <v>3.5890410958904106E-2</v>
      </c>
      <c r="AF2968" s="845">
        <v>1.8630136986301369E-2</v>
      </c>
      <c r="AG2968" s="845">
        <v>0.9452054794520548</v>
      </c>
      <c r="AH2968" s="20" t="str">
        <f t="shared" si="211"/>
        <v>Yes</v>
      </c>
      <c r="AI2968" s="25"/>
      <c r="AU2968" s="19"/>
      <c r="AV2968" s="19"/>
      <c r="AW2968" s="19"/>
      <c r="BU2968"/>
      <c r="BV2968"/>
      <c r="BW2968"/>
      <c r="BX2968"/>
      <c r="BY2968"/>
      <c r="BZ2968"/>
      <c r="CA2968"/>
      <c r="CB2968"/>
      <c r="CC2968"/>
    </row>
    <row r="2969" spans="1:81" s="17" customFormat="1" x14ac:dyDescent="0.2">
      <c r="A2969" s="25"/>
      <c r="B2969" s="20">
        <v>39093097500</v>
      </c>
      <c r="C2969" s="20">
        <v>975</v>
      </c>
      <c r="D2969" s="20" t="s">
        <v>52</v>
      </c>
      <c r="E2969" s="20" t="s">
        <v>2829</v>
      </c>
      <c r="F2969" s="20" t="s">
        <v>6</v>
      </c>
      <c r="G2969" s="861">
        <v>25.071044629174601</v>
      </c>
      <c r="H2969" s="861">
        <v>30.0709969123705</v>
      </c>
      <c r="I2969" s="861">
        <v>41.0052085817033</v>
      </c>
      <c r="J2969" s="861">
        <v>48.845753087244802</v>
      </c>
      <c r="K2969" s="982">
        <v>0</v>
      </c>
      <c r="L2969" s="735" t="s">
        <v>2466</v>
      </c>
      <c r="M2969" s="735">
        <v>6249</v>
      </c>
      <c r="N2969" s="845" t="str">
        <f t="shared" si="209"/>
        <v/>
      </c>
      <c r="O2969" s="735">
        <v>2.5550584477393605</v>
      </c>
      <c r="P2969" s="735">
        <f t="shared" si="210"/>
        <v>2445.7366153517655</v>
      </c>
      <c r="Q2969" s="849">
        <v>44.9</v>
      </c>
      <c r="R2969" s="71">
        <v>32904</v>
      </c>
      <c r="S2969" s="845">
        <v>0.31380083253282098</v>
      </c>
      <c r="T2969" s="845">
        <v>4.4000000000000004E-2</v>
      </c>
      <c r="U2969" s="845">
        <v>0</v>
      </c>
      <c r="V2969" s="845">
        <v>0</v>
      </c>
      <c r="W2969" s="845">
        <v>0.42562929061784899</v>
      </c>
      <c r="X2969" s="845">
        <v>0.53302611367127495</v>
      </c>
      <c r="Y2969" s="845">
        <v>0.59865578492558813</v>
      </c>
      <c r="Z2969" s="845">
        <v>7.329172667626821E-2</v>
      </c>
      <c r="AA2969" s="845">
        <v>1.7122739638342134E-2</v>
      </c>
      <c r="AB2969" s="845">
        <v>9.4415106417026721E-3</v>
      </c>
      <c r="AC2969" s="845">
        <v>1.9203072491598655E-3</v>
      </c>
      <c r="AD2969" s="845">
        <v>0.10913746199391902</v>
      </c>
      <c r="AE2969" s="845">
        <v>0.19043046887501999</v>
      </c>
      <c r="AF2969" s="845">
        <v>0.31589054248679788</v>
      </c>
      <c r="AG2969" s="845">
        <v>0.52104336693871023</v>
      </c>
      <c r="AH2969" s="20" t="str">
        <f t="shared" si="211"/>
        <v>No</v>
      </c>
      <c r="AI2969" s="25"/>
      <c r="AU2969" s="19"/>
      <c r="AV2969" s="19"/>
      <c r="AW2969" s="19"/>
      <c r="BU2969"/>
      <c r="BV2969"/>
      <c r="BW2969"/>
      <c r="BX2969"/>
      <c r="BY2969"/>
      <c r="BZ2969"/>
      <c r="CA2969"/>
      <c r="CB2969"/>
      <c r="CC2969"/>
    </row>
    <row r="2970" spans="1:81" s="17" customFormat="1" x14ac:dyDescent="0.2">
      <c r="A2970" s="25"/>
      <c r="B2970" s="20">
        <v>39095004800</v>
      </c>
      <c r="C2970" s="20">
        <v>48</v>
      </c>
      <c r="D2970" s="20" t="s">
        <v>53</v>
      </c>
      <c r="E2970" s="20" t="s">
        <v>2839</v>
      </c>
      <c r="F2970" s="20" t="s">
        <v>6</v>
      </c>
      <c r="G2970" s="861">
        <v>25.014691000124401</v>
      </c>
      <c r="H2970" s="861">
        <v>45.849603815333701</v>
      </c>
      <c r="I2970" s="861">
        <v>94.991711123861705</v>
      </c>
      <c r="J2970" s="861">
        <v>35.653167029043502</v>
      </c>
      <c r="K2970" s="982">
        <v>0</v>
      </c>
      <c r="L2970" s="735">
        <v>2897</v>
      </c>
      <c r="M2970" s="735">
        <v>2979</v>
      </c>
      <c r="N2970" s="845">
        <f t="shared" si="209"/>
        <v>2.8305143251639627E-2</v>
      </c>
      <c r="O2970" s="735">
        <v>0.47720103240165068</v>
      </c>
      <c r="P2970" s="735">
        <f t="shared" si="210"/>
        <v>6242.6520433271708</v>
      </c>
      <c r="Q2970" s="849">
        <v>28.7</v>
      </c>
      <c r="R2970" s="71">
        <v>28780</v>
      </c>
      <c r="S2970" s="845">
        <v>0.64667802385008522</v>
      </c>
      <c r="T2970" s="845">
        <v>0.20399999999999999</v>
      </c>
      <c r="U2970" s="845">
        <v>9.6999999999999989E-2</v>
      </c>
      <c r="V2970" s="845">
        <v>3.5000000000000003E-2</v>
      </c>
      <c r="W2970" s="845">
        <v>0.53257042253521125</v>
      </c>
      <c r="X2970" s="845">
        <v>0.69586776859504129</v>
      </c>
      <c r="Y2970" s="845">
        <v>0.65156092648539776</v>
      </c>
      <c r="Z2970" s="845">
        <v>0.14031554212823094</v>
      </c>
      <c r="AA2970" s="845">
        <v>0</v>
      </c>
      <c r="AB2970" s="845">
        <v>0</v>
      </c>
      <c r="AC2970" s="845">
        <v>0</v>
      </c>
      <c r="AD2970" s="845">
        <v>8.69419268210809E-2</v>
      </c>
      <c r="AE2970" s="845">
        <v>0.12118160456529037</v>
      </c>
      <c r="AF2970" s="845">
        <v>0.16482040953340046</v>
      </c>
      <c r="AG2970" s="845">
        <v>0.64384021483719367</v>
      </c>
      <c r="AH2970" s="20" t="str">
        <f t="shared" si="211"/>
        <v>No</v>
      </c>
      <c r="AI2970" s="25"/>
      <c r="AU2970" s="19"/>
      <c r="AV2970" s="19"/>
      <c r="AW2970" s="19"/>
      <c r="BU2970"/>
      <c r="BV2970"/>
      <c r="BW2970"/>
      <c r="BX2970"/>
      <c r="BY2970"/>
      <c r="BZ2970"/>
      <c r="CA2970"/>
      <c r="CB2970"/>
      <c r="CC2970"/>
    </row>
    <row r="2971" spans="1:81" s="17" customFormat="1" x14ac:dyDescent="0.2">
      <c r="A2971" s="25"/>
      <c r="B2971" s="20">
        <v>39023002608</v>
      </c>
      <c r="C2971" s="20">
        <v>26.08</v>
      </c>
      <c r="D2971" s="20" t="s">
        <v>18</v>
      </c>
      <c r="E2971" s="20" t="s">
        <v>2838</v>
      </c>
      <c r="F2971" s="20" t="s">
        <v>8</v>
      </c>
      <c r="G2971" s="861">
        <v>25.008710806291401</v>
      </c>
      <c r="H2971" s="861">
        <v>37.3764309320214</v>
      </c>
      <c r="I2971" s="861">
        <v>25.707862534232699</v>
      </c>
      <c r="J2971" s="861">
        <v>34.346858428732403</v>
      </c>
      <c r="K2971" s="982">
        <v>0</v>
      </c>
      <c r="L2971" s="735" t="s">
        <v>2466</v>
      </c>
      <c r="M2971" s="735">
        <v>4089</v>
      </c>
      <c r="N2971" s="845" t="str">
        <f t="shared" si="209"/>
        <v/>
      </c>
      <c r="O2971" s="735">
        <v>1.2488794784467177</v>
      </c>
      <c r="P2971" s="735">
        <f t="shared" si="210"/>
        <v>3274.1349910606714</v>
      </c>
      <c r="Q2971" s="849">
        <v>45.2</v>
      </c>
      <c r="R2971" s="71">
        <v>72008</v>
      </c>
      <c r="S2971" s="845">
        <v>0.19261083743842364</v>
      </c>
      <c r="T2971" s="845">
        <v>9.0000000000000011E-3</v>
      </c>
      <c r="U2971" s="845">
        <v>0</v>
      </c>
      <c r="V2971" s="845">
        <v>0</v>
      </c>
      <c r="W2971" s="845">
        <v>0.32657534246575343</v>
      </c>
      <c r="X2971" s="845">
        <v>0.27013422818791949</v>
      </c>
      <c r="Y2971" s="845">
        <v>0.98190266568843243</v>
      </c>
      <c r="Z2971" s="845">
        <v>1.0271460014673514E-2</v>
      </c>
      <c r="AA2971" s="845">
        <v>0</v>
      </c>
      <c r="AB2971" s="845">
        <v>0</v>
      </c>
      <c r="AC2971" s="845">
        <v>0</v>
      </c>
      <c r="AD2971" s="845">
        <v>0</v>
      </c>
      <c r="AE2971" s="845">
        <v>7.8258742968941065E-3</v>
      </c>
      <c r="AF2971" s="845">
        <v>7.0921985815602835E-3</v>
      </c>
      <c r="AG2971" s="845">
        <v>0.97481046710687214</v>
      </c>
      <c r="AH2971" s="20" t="str">
        <f t="shared" si="211"/>
        <v>Yes</v>
      </c>
      <c r="AI2971" s="25"/>
      <c r="AU2971" s="19"/>
      <c r="AV2971" s="19"/>
      <c r="AW2971" s="19"/>
      <c r="BU2971"/>
      <c r="BV2971"/>
      <c r="BW2971"/>
      <c r="BX2971"/>
      <c r="BY2971"/>
      <c r="BZ2971"/>
      <c r="CA2971"/>
      <c r="CB2971"/>
      <c r="CC2971"/>
    </row>
    <row r="2972" spans="1:81" s="17" customFormat="1" x14ac:dyDescent="0.2">
      <c r="A2972" s="25"/>
      <c r="B2972" s="20">
        <v>39023000902</v>
      </c>
      <c r="C2972" s="20">
        <v>9.02</v>
      </c>
      <c r="D2972" s="20" t="s">
        <v>18</v>
      </c>
      <c r="E2972" s="20" t="s">
        <v>2838</v>
      </c>
      <c r="F2972" s="20" t="s">
        <v>6</v>
      </c>
      <c r="G2972" s="861">
        <v>25.007353455766999</v>
      </c>
      <c r="H2972" s="861">
        <v>17.981410912253601</v>
      </c>
      <c r="I2972" s="861">
        <v>56.033010339097302</v>
      </c>
      <c r="J2972" s="861">
        <v>37.9266966861694</v>
      </c>
      <c r="K2972" s="982">
        <v>0</v>
      </c>
      <c r="L2972" s="735">
        <v>1061</v>
      </c>
      <c r="M2972" s="735">
        <v>1019</v>
      </c>
      <c r="N2972" s="845">
        <f t="shared" si="209"/>
        <v>-3.9585296889726673E-2</v>
      </c>
      <c r="O2972" s="735">
        <v>0.46695156449965325</v>
      </c>
      <c r="P2972" s="735">
        <f t="shared" si="210"/>
        <v>2182.2391816844565</v>
      </c>
      <c r="Q2972" s="849">
        <v>36</v>
      </c>
      <c r="R2972" s="71">
        <v>33462</v>
      </c>
      <c r="S2972" s="845">
        <v>9.6172718351324835E-2</v>
      </c>
      <c r="T2972" s="845">
        <v>0.28199999999999997</v>
      </c>
      <c r="U2972" s="845">
        <v>6.3E-2</v>
      </c>
      <c r="V2972" s="845">
        <v>0</v>
      </c>
      <c r="W2972" s="845">
        <v>0.40090090090090091</v>
      </c>
      <c r="X2972" s="845">
        <v>0.20224719101123595</v>
      </c>
      <c r="Y2972" s="845">
        <v>0.28459273797841023</v>
      </c>
      <c r="Z2972" s="845">
        <v>0.62414131501472037</v>
      </c>
      <c r="AA2972" s="845">
        <v>0</v>
      </c>
      <c r="AB2972" s="845">
        <v>0</v>
      </c>
      <c r="AC2972" s="845">
        <v>0</v>
      </c>
      <c r="AD2972" s="845">
        <v>1.1776251226692836E-2</v>
      </c>
      <c r="AE2972" s="845">
        <v>7.9489695780176645E-2</v>
      </c>
      <c r="AF2972" s="845">
        <v>0.1069676153091266</v>
      </c>
      <c r="AG2972" s="845">
        <v>0.26889106967615312</v>
      </c>
      <c r="AH2972" s="20" t="str">
        <f t="shared" si="211"/>
        <v>No</v>
      </c>
      <c r="AI2972" s="25"/>
      <c r="AU2972" s="19"/>
      <c r="AV2972" s="19"/>
      <c r="AW2972" s="19"/>
      <c r="BU2972"/>
      <c r="BV2972"/>
      <c r="BW2972"/>
      <c r="BX2972"/>
      <c r="BY2972"/>
      <c r="BZ2972"/>
      <c r="CA2972"/>
      <c r="CB2972"/>
      <c r="CC2972"/>
    </row>
    <row r="2973" spans="1:81" s="17" customFormat="1" x14ac:dyDescent="0.2">
      <c r="A2973" s="25"/>
      <c r="B2973" s="20">
        <v>39089752500</v>
      </c>
      <c r="C2973" s="20">
        <v>7525</v>
      </c>
      <c r="D2973" s="20" t="s">
        <v>50</v>
      </c>
      <c r="E2973" s="20" t="s">
        <v>2830</v>
      </c>
      <c r="F2973" s="20" t="s">
        <v>6</v>
      </c>
      <c r="G2973" s="861">
        <v>24.9370523450952</v>
      </c>
      <c r="H2973" s="861">
        <v>28.415976902522299</v>
      </c>
      <c r="I2973" s="861">
        <v>42.867400462238798</v>
      </c>
      <c r="J2973" s="861">
        <v>38.946014324180901</v>
      </c>
      <c r="K2973" s="982">
        <v>0</v>
      </c>
      <c r="L2973" s="735">
        <v>3884</v>
      </c>
      <c r="M2973" s="735">
        <v>4182</v>
      </c>
      <c r="N2973" s="845">
        <f t="shared" si="209"/>
        <v>7.6725025746652936E-2</v>
      </c>
      <c r="O2973" s="735">
        <v>5.7309189732149006</v>
      </c>
      <c r="P2973" s="735">
        <f t="shared" si="210"/>
        <v>729.72589903046628</v>
      </c>
      <c r="Q2973" s="849">
        <v>32.6</v>
      </c>
      <c r="R2973" s="71">
        <v>36286</v>
      </c>
      <c r="S2973" s="845">
        <v>0.38150876301752601</v>
      </c>
      <c r="T2973" s="845">
        <v>0</v>
      </c>
      <c r="U2973" s="845">
        <v>3.9E-2</v>
      </c>
      <c r="V2973" s="845">
        <v>2.6000000000000002E-2</v>
      </c>
      <c r="W2973" s="845">
        <v>0.58241758241758246</v>
      </c>
      <c r="X2973" s="845">
        <v>0.44129979035639411</v>
      </c>
      <c r="Y2973" s="845">
        <v>0.76518412242945955</v>
      </c>
      <c r="Z2973" s="845">
        <v>0.11429937828790053</v>
      </c>
      <c r="AA2973" s="845">
        <v>0</v>
      </c>
      <c r="AB2973" s="845">
        <v>0</v>
      </c>
      <c r="AC2973" s="845">
        <v>0</v>
      </c>
      <c r="AD2973" s="845">
        <v>8.60832137733142E-3</v>
      </c>
      <c r="AE2973" s="845">
        <v>0.11190817790530846</v>
      </c>
      <c r="AF2973" s="845">
        <v>1.9607843137254902E-2</v>
      </c>
      <c r="AG2973" s="845">
        <v>0.75131516021042566</v>
      </c>
      <c r="AH2973" s="20" t="str">
        <f t="shared" si="211"/>
        <v>No</v>
      </c>
      <c r="AI2973" s="25"/>
      <c r="AU2973" s="19"/>
      <c r="AV2973" s="19"/>
      <c r="AW2973" s="19"/>
      <c r="BU2973"/>
      <c r="BV2973"/>
      <c r="BW2973"/>
      <c r="BX2973"/>
      <c r="BY2973"/>
      <c r="BZ2973"/>
      <c r="CA2973"/>
      <c r="CB2973"/>
      <c r="CC2973"/>
    </row>
    <row r="2974" spans="1:81" s="17" customFormat="1" x14ac:dyDescent="0.2">
      <c r="A2974" s="25"/>
      <c r="B2974" s="20">
        <v>39003012100</v>
      </c>
      <c r="C2974" s="20">
        <v>121</v>
      </c>
      <c r="D2974" s="20" t="s">
        <v>7</v>
      </c>
      <c r="E2974" s="20" t="s">
        <v>2835</v>
      </c>
      <c r="F2974" s="20" t="s">
        <v>8</v>
      </c>
      <c r="G2974" s="861">
        <v>24.8851128308414</v>
      </c>
      <c r="H2974" s="861">
        <v>37.150730426841498</v>
      </c>
      <c r="I2974" s="861">
        <v>21.432084071618501</v>
      </c>
      <c r="J2974" s="861">
        <v>45.111612407696001</v>
      </c>
      <c r="K2974" s="982">
        <v>0</v>
      </c>
      <c r="L2974" s="735">
        <v>3444</v>
      </c>
      <c r="M2974" s="735">
        <v>3459</v>
      </c>
      <c r="N2974" s="845">
        <f t="shared" si="209"/>
        <v>4.3554006968641113E-3</v>
      </c>
      <c r="O2974" s="735">
        <v>13.591587877984507</v>
      </c>
      <c r="P2974" s="735">
        <f t="shared" si="210"/>
        <v>254.49565062245944</v>
      </c>
      <c r="Q2974" s="849">
        <v>44.3</v>
      </c>
      <c r="R2974" s="71">
        <v>96977</v>
      </c>
      <c r="S2974" s="845">
        <v>1.6067776803973123E-2</v>
      </c>
      <c r="T2974" s="845">
        <v>1.4999999999999999E-2</v>
      </c>
      <c r="U2974" s="845">
        <v>0</v>
      </c>
      <c r="V2974" s="845">
        <v>0</v>
      </c>
      <c r="W2974" s="845">
        <v>0.18252730109204368</v>
      </c>
      <c r="X2974" s="845">
        <v>0.3504273504273504</v>
      </c>
      <c r="Y2974" s="845">
        <v>0.80861520670714082</v>
      </c>
      <c r="Z2974" s="845">
        <v>7.5166233015322353E-2</v>
      </c>
      <c r="AA2974" s="845">
        <v>7.8057241977450131E-3</v>
      </c>
      <c r="AB2974" s="845">
        <v>3.2379300375831165E-2</v>
      </c>
      <c r="AC2974" s="845">
        <v>0</v>
      </c>
      <c r="AD2974" s="845">
        <v>8.6730268863833473E-3</v>
      </c>
      <c r="AE2974" s="845">
        <v>6.7360508817577339E-2</v>
      </c>
      <c r="AF2974" s="845">
        <v>3.151199768719283E-2</v>
      </c>
      <c r="AG2974" s="845">
        <v>0.80716970222607687</v>
      </c>
      <c r="AH2974" s="20" t="str">
        <f t="shared" si="211"/>
        <v>No</v>
      </c>
      <c r="AI2974" s="25"/>
      <c r="AU2974" s="19"/>
      <c r="AV2974" s="19"/>
      <c r="AW2974" s="19"/>
      <c r="BU2974"/>
      <c r="BV2974"/>
      <c r="BW2974"/>
      <c r="BX2974"/>
      <c r="BY2974"/>
      <c r="BZ2974"/>
      <c r="CA2974"/>
      <c r="CB2974"/>
      <c r="CC2974"/>
    </row>
    <row r="2975" spans="1:81" s="17" customFormat="1" x14ac:dyDescent="0.2">
      <c r="A2975" s="25"/>
      <c r="B2975" s="20">
        <v>39087051402</v>
      </c>
      <c r="C2975" s="20">
        <v>514.02</v>
      </c>
      <c r="D2975" s="20" t="s">
        <v>49</v>
      </c>
      <c r="E2975" s="20" t="s">
        <v>2834</v>
      </c>
      <c r="F2975" s="20" t="s">
        <v>8</v>
      </c>
      <c r="G2975" s="861">
        <v>24.866224983401001</v>
      </c>
      <c r="H2975" s="861">
        <v>31.364526779261499</v>
      </c>
      <c r="I2975" s="861">
        <v>25.5179816835767</v>
      </c>
      <c r="J2975" s="861">
        <v>40.147378386541398</v>
      </c>
      <c r="K2975" s="982">
        <v>0</v>
      </c>
      <c r="L2975" s="735">
        <v>3669</v>
      </c>
      <c r="M2975" s="735">
        <v>3151</v>
      </c>
      <c r="N2975" s="845">
        <f t="shared" si="209"/>
        <v>-0.14118288361951487</v>
      </c>
      <c r="O2975" s="735">
        <v>29.06232955640866</v>
      </c>
      <c r="P2975" s="735">
        <f t="shared" si="210"/>
        <v>108.42214124246483</v>
      </c>
      <c r="Q2975" s="849">
        <v>46.2</v>
      </c>
      <c r="R2975" s="71">
        <v>59853</v>
      </c>
      <c r="S2975" s="845">
        <v>0.11411315956770503</v>
      </c>
      <c r="T2975" s="845">
        <v>2.3E-2</v>
      </c>
      <c r="U2975" s="845">
        <v>6.0000000000000001E-3</v>
      </c>
      <c r="V2975" s="845">
        <v>1.9E-2</v>
      </c>
      <c r="W2975" s="845">
        <v>0.15996908809891808</v>
      </c>
      <c r="X2975" s="845">
        <v>8.6956521739130432E-2</v>
      </c>
      <c r="Y2975" s="845">
        <v>0.90447476991431297</v>
      </c>
      <c r="Z2975" s="845">
        <v>1.2694382735639479E-3</v>
      </c>
      <c r="AA2975" s="845">
        <v>3.1735956839098697E-3</v>
      </c>
      <c r="AB2975" s="845">
        <v>5.2999047921294826E-2</v>
      </c>
      <c r="AC2975" s="845">
        <v>0</v>
      </c>
      <c r="AD2975" s="845">
        <v>1.8724214535068232E-2</v>
      </c>
      <c r="AE2975" s="845">
        <v>1.9358933671850206E-2</v>
      </c>
      <c r="AF2975" s="845">
        <v>2.4754046334496984E-2</v>
      </c>
      <c r="AG2975" s="845">
        <v>0.89749285940971124</v>
      </c>
      <c r="AH2975" s="20" t="str">
        <f t="shared" si="211"/>
        <v>No</v>
      </c>
      <c r="AI2975" s="25"/>
      <c r="AU2975" s="19"/>
      <c r="AV2975" s="19"/>
      <c r="AW2975" s="19"/>
      <c r="BU2975"/>
      <c r="BV2975"/>
      <c r="BW2975"/>
      <c r="BX2975"/>
      <c r="BY2975"/>
      <c r="BZ2975"/>
      <c r="CA2975"/>
      <c r="CB2975"/>
      <c r="CC2975"/>
    </row>
    <row r="2976" spans="1:81" s="17" customFormat="1" x14ac:dyDescent="0.2">
      <c r="A2976" s="25"/>
      <c r="B2976" s="20">
        <v>39125960100</v>
      </c>
      <c r="C2976" s="20">
        <v>9601</v>
      </c>
      <c r="D2976" s="20" t="s">
        <v>68</v>
      </c>
      <c r="E2976" s="20" t="s">
        <v>265</v>
      </c>
      <c r="F2976" s="20" t="s">
        <v>8</v>
      </c>
      <c r="G2976" s="861">
        <v>24.8179810054671</v>
      </c>
      <c r="H2976" s="861">
        <v>38.085032240316998</v>
      </c>
      <c r="I2976" s="861">
        <v>18.008363854207499</v>
      </c>
      <c r="J2976" s="861">
        <v>33.605163893826102</v>
      </c>
      <c r="K2976" s="982">
        <v>0</v>
      </c>
      <c r="L2976" s="735">
        <v>2899</v>
      </c>
      <c r="M2976" s="735">
        <v>2939</v>
      </c>
      <c r="N2976" s="845">
        <f t="shared" si="209"/>
        <v>1.3797861331493619E-2</v>
      </c>
      <c r="O2976" s="735">
        <v>87.296083378544935</v>
      </c>
      <c r="P2976" s="735">
        <f t="shared" si="210"/>
        <v>33.667031626785771</v>
      </c>
      <c r="Q2976" s="849">
        <v>47.8</v>
      </c>
      <c r="R2976" s="71">
        <v>69677</v>
      </c>
      <c r="S2976" s="845">
        <v>9.2208234093228994E-2</v>
      </c>
      <c r="T2976" s="845">
        <v>0</v>
      </c>
      <c r="U2976" s="845">
        <v>8.0000000000000002E-3</v>
      </c>
      <c r="V2976" s="845">
        <v>0</v>
      </c>
      <c r="W2976" s="845">
        <v>0.11014948859166011</v>
      </c>
      <c r="X2976" s="845">
        <v>0.15</v>
      </c>
      <c r="Y2976" s="845">
        <v>0.97107859816264031</v>
      </c>
      <c r="Z2976" s="845">
        <v>7.4855392990813199E-3</v>
      </c>
      <c r="AA2976" s="845">
        <v>0</v>
      </c>
      <c r="AB2976" s="845">
        <v>0</v>
      </c>
      <c r="AC2976" s="845">
        <v>0</v>
      </c>
      <c r="AD2976" s="845">
        <v>0</v>
      </c>
      <c r="AE2976" s="845">
        <v>2.1435862538278325E-2</v>
      </c>
      <c r="AF2976" s="845">
        <v>2.1435862538278325E-2</v>
      </c>
      <c r="AG2976" s="845">
        <v>0.960871044572984</v>
      </c>
      <c r="AH2976" s="20" t="str">
        <f t="shared" si="211"/>
        <v>Yes</v>
      </c>
      <c r="AI2976" s="25"/>
      <c r="AU2976" s="19"/>
      <c r="AV2976" s="19"/>
      <c r="AW2976" s="19"/>
      <c r="BU2976"/>
      <c r="BV2976"/>
      <c r="BW2976"/>
      <c r="BX2976"/>
      <c r="BY2976"/>
      <c r="BZ2976"/>
      <c r="CA2976"/>
      <c r="CB2976"/>
      <c r="CC2976"/>
    </row>
    <row r="2977" spans="1:81" s="17" customFormat="1" x14ac:dyDescent="0.2">
      <c r="A2977" s="25"/>
      <c r="B2977" s="20">
        <v>39113004200</v>
      </c>
      <c r="C2977" s="20">
        <v>42</v>
      </c>
      <c r="D2977" s="20" t="s">
        <v>62</v>
      </c>
      <c r="E2977" s="20" t="s">
        <v>2833</v>
      </c>
      <c r="F2977" s="20" t="s">
        <v>6</v>
      </c>
      <c r="G2977" s="861">
        <v>24.798558559685201</v>
      </c>
      <c r="H2977" s="861">
        <v>40.097578850916797</v>
      </c>
      <c r="I2977" s="861">
        <v>73.242205728193497</v>
      </c>
      <c r="J2977" s="861">
        <v>39.177462792400803</v>
      </c>
      <c r="K2977" s="982">
        <v>0</v>
      </c>
      <c r="L2977" s="735">
        <v>2417</v>
      </c>
      <c r="M2977" s="735">
        <v>1798</v>
      </c>
      <c r="N2977" s="845">
        <f t="shared" si="209"/>
        <v>-0.25610260653702938</v>
      </c>
      <c r="O2977" s="735">
        <v>0.61234026282846532</v>
      </c>
      <c r="P2977" s="735">
        <f t="shared" si="210"/>
        <v>2936.2759712955103</v>
      </c>
      <c r="Q2977" s="849">
        <v>48.1</v>
      </c>
      <c r="R2977" s="71">
        <v>32287</v>
      </c>
      <c r="S2977" s="845">
        <v>0.39265850945494996</v>
      </c>
      <c r="T2977" s="845">
        <v>0.16699999999999998</v>
      </c>
      <c r="U2977" s="845">
        <v>0.04</v>
      </c>
      <c r="V2977" s="845">
        <v>0.06</v>
      </c>
      <c r="W2977" s="845">
        <v>0.50489236790606651</v>
      </c>
      <c r="X2977" s="845">
        <v>0.43798449612403101</v>
      </c>
      <c r="Y2977" s="845">
        <v>1.1123470522803115E-2</v>
      </c>
      <c r="Z2977" s="845">
        <v>0.7992213570634038</v>
      </c>
      <c r="AA2977" s="845">
        <v>0</v>
      </c>
      <c r="AB2977" s="845">
        <v>0</v>
      </c>
      <c r="AC2977" s="845">
        <v>0</v>
      </c>
      <c r="AD2977" s="845">
        <v>0</v>
      </c>
      <c r="AE2977" s="845">
        <v>0.18965517241379309</v>
      </c>
      <c r="AF2977" s="845">
        <v>8.6763070077864296E-2</v>
      </c>
      <c r="AG2977" s="845">
        <v>1.1123470522803115E-2</v>
      </c>
      <c r="AH2977" s="20" t="str">
        <f t="shared" si="211"/>
        <v>No</v>
      </c>
      <c r="AI2977" s="25"/>
      <c r="AU2977" s="19"/>
      <c r="AV2977" s="19"/>
      <c r="AW2977" s="19"/>
      <c r="BU2977"/>
      <c r="BV2977"/>
      <c r="BW2977"/>
      <c r="BX2977"/>
      <c r="BY2977"/>
      <c r="BZ2977"/>
      <c r="CA2977"/>
      <c r="CB2977"/>
      <c r="CC2977"/>
    </row>
    <row r="2978" spans="1:81" s="17" customFormat="1" x14ac:dyDescent="0.2">
      <c r="A2978" s="25"/>
      <c r="B2978" s="20">
        <v>39081011200</v>
      </c>
      <c r="C2978" s="20">
        <v>112</v>
      </c>
      <c r="D2978" s="20" t="s">
        <v>47</v>
      </c>
      <c r="E2978" s="20" t="s">
        <v>2840</v>
      </c>
      <c r="F2978" s="20" t="s">
        <v>6</v>
      </c>
      <c r="G2978" s="861">
        <v>24.729942700304399</v>
      </c>
      <c r="H2978" s="861">
        <v>26.6713715729786</v>
      </c>
      <c r="I2978" s="861">
        <v>44.752326762418399</v>
      </c>
      <c r="J2978" s="861">
        <v>35.5938890366766</v>
      </c>
      <c r="K2978" s="982">
        <v>0</v>
      </c>
      <c r="L2978" s="735">
        <v>2011</v>
      </c>
      <c r="M2978" s="735">
        <v>2233</v>
      </c>
      <c r="N2978" s="845">
        <f t="shared" si="209"/>
        <v>0.11039283938339135</v>
      </c>
      <c r="O2978" s="735">
        <v>0.59320195103135054</v>
      </c>
      <c r="P2978" s="735">
        <f t="shared" si="210"/>
        <v>3764.3166818950444</v>
      </c>
      <c r="Q2978" s="849">
        <v>45.1</v>
      </c>
      <c r="R2978" s="71">
        <v>40833</v>
      </c>
      <c r="S2978" s="845">
        <v>0.24752920035938905</v>
      </c>
      <c r="T2978" s="845">
        <v>7.0000000000000007E-2</v>
      </c>
      <c r="U2978" s="845">
        <v>0</v>
      </c>
      <c r="V2978" s="845">
        <v>3.7000000000000005E-2</v>
      </c>
      <c r="W2978" s="845">
        <v>0.40733944954128443</v>
      </c>
      <c r="X2978" s="845">
        <v>0.28603603603603606</v>
      </c>
      <c r="Y2978" s="845">
        <v>0.90595611285266453</v>
      </c>
      <c r="Z2978" s="845">
        <v>3.2691446484549934E-2</v>
      </c>
      <c r="AA2978" s="845">
        <v>0</v>
      </c>
      <c r="AB2978" s="845">
        <v>0</v>
      </c>
      <c r="AC2978" s="845">
        <v>0</v>
      </c>
      <c r="AD2978" s="845">
        <v>0</v>
      </c>
      <c r="AE2978" s="845">
        <v>6.1352440662785487E-2</v>
      </c>
      <c r="AF2978" s="845">
        <v>2.7765338110165697E-2</v>
      </c>
      <c r="AG2978" s="845">
        <v>0.90595611285266453</v>
      </c>
      <c r="AH2978" s="20" t="str">
        <f t="shared" si="211"/>
        <v>Yes</v>
      </c>
      <c r="AI2978" s="25"/>
      <c r="AU2978" s="19"/>
      <c r="AV2978" s="19"/>
      <c r="AW2978" s="19"/>
      <c r="BU2978"/>
      <c r="BV2978"/>
      <c r="BW2978"/>
      <c r="BX2978"/>
      <c r="BY2978"/>
      <c r="BZ2978"/>
      <c r="CA2978"/>
      <c r="CB2978"/>
      <c r="CC2978"/>
    </row>
    <row r="2979" spans="1:81" s="17" customFormat="1" x14ac:dyDescent="0.2">
      <c r="A2979" s="25"/>
      <c r="B2979" s="20">
        <v>39075976802</v>
      </c>
      <c r="C2979" s="20">
        <v>9768.02</v>
      </c>
      <c r="D2979" s="20" t="s">
        <v>44</v>
      </c>
      <c r="E2979" s="20" t="s">
        <v>265</v>
      </c>
      <c r="F2979" s="20" t="s">
        <v>8</v>
      </c>
      <c r="G2979" s="861">
        <v>24.649418646678502</v>
      </c>
      <c r="H2979" s="861">
        <v>31.766585031341901</v>
      </c>
      <c r="I2979" s="861">
        <v>24.2089878347848</v>
      </c>
      <c r="J2979" s="861">
        <v>40.678882974064301</v>
      </c>
      <c r="K2979" s="982">
        <v>0</v>
      </c>
      <c r="L2979" s="735">
        <v>4749</v>
      </c>
      <c r="M2979" s="735">
        <v>4683</v>
      </c>
      <c r="N2979" s="845">
        <f t="shared" si="209"/>
        <v>-1.3897662665824383E-2</v>
      </c>
      <c r="O2979" s="735">
        <v>43.421201265669133</v>
      </c>
      <c r="P2979" s="735">
        <f t="shared" si="210"/>
        <v>107.85053990900529</v>
      </c>
      <c r="Q2979" s="849">
        <v>26.8</v>
      </c>
      <c r="R2979" s="71">
        <v>90189</v>
      </c>
      <c r="S2979" s="845">
        <v>6.2941554271034039E-2</v>
      </c>
      <c r="T2979" s="845">
        <v>3.0000000000000001E-3</v>
      </c>
      <c r="U2979" s="845">
        <v>0.02</v>
      </c>
      <c r="V2979" s="845">
        <v>0.22399999999999998</v>
      </c>
      <c r="W2979" s="845">
        <v>0.13732097725358045</v>
      </c>
      <c r="X2979" s="845">
        <v>6.1349693251533742E-2</v>
      </c>
      <c r="Y2979" s="845">
        <v>0.99017723681400815</v>
      </c>
      <c r="Z2979" s="845">
        <v>0</v>
      </c>
      <c r="AA2979" s="845">
        <v>0</v>
      </c>
      <c r="AB2979" s="845">
        <v>2.3489216314328421E-3</v>
      </c>
      <c r="AC2979" s="845">
        <v>0</v>
      </c>
      <c r="AD2979" s="845">
        <v>1.2812299807815502E-3</v>
      </c>
      <c r="AE2979" s="845">
        <v>6.1926115737774932E-3</v>
      </c>
      <c r="AF2979" s="845">
        <v>4.6978432628656842E-3</v>
      </c>
      <c r="AG2979" s="845">
        <v>0.99017723681400815</v>
      </c>
      <c r="AH2979" s="20" t="str">
        <f t="shared" si="211"/>
        <v>Yes</v>
      </c>
      <c r="AI2979" s="25"/>
      <c r="AU2979" s="19"/>
      <c r="AV2979" s="19"/>
      <c r="AW2979" s="19"/>
      <c r="BU2979"/>
      <c r="BV2979"/>
      <c r="BW2979"/>
      <c r="BX2979"/>
      <c r="BY2979"/>
      <c r="BZ2979"/>
      <c r="CA2979"/>
      <c r="CB2979"/>
      <c r="CC2979"/>
    </row>
    <row r="2980" spans="1:81" s="17" customFormat="1" x14ac:dyDescent="0.2">
      <c r="A2980" s="25"/>
      <c r="B2980" s="20">
        <v>39035120400</v>
      </c>
      <c r="C2980" s="20">
        <v>1204</v>
      </c>
      <c r="D2980" s="20" t="s">
        <v>24</v>
      </c>
      <c r="E2980" s="20" t="s">
        <v>2829</v>
      </c>
      <c r="F2980" s="20" t="s">
        <v>6</v>
      </c>
      <c r="G2980" s="861">
        <v>24.599206569111999</v>
      </c>
      <c r="H2980" s="861">
        <v>44.874437846759498</v>
      </c>
      <c r="I2980" s="861">
        <v>62.2923628223338</v>
      </c>
      <c r="J2980" s="861">
        <v>9.0454821946878301</v>
      </c>
      <c r="K2980" s="982">
        <v>0</v>
      </c>
      <c r="L2980" s="735">
        <v>2396</v>
      </c>
      <c r="M2980" s="735">
        <v>1155</v>
      </c>
      <c r="N2980" s="845">
        <f t="shared" si="209"/>
        <v>-0.51794657762938234</v>
      </c>
      <c r="O2980" s="735">
        <v>0.35675530572223363</v>
      </c>
      <c r="P2980" s="735">
        <f t="shared" si="210"/>
        <v>3237.5131679170381</v>
      </c>
      <c r="Q2980" s="849">
        <v>53.4</v>
      </c>
      <c r="R2980" s="71">
        <v>26806</v>
      </c>
      <c r="S2980" s="845">
        <v>0.49004329004329006</v>
      </c>
      <c r="T2980" s="845">
        <v>0.35700000000000004</v>
      </c>
      <c r="U2980" s="845">
        <v>0</v>
      </c>
      <c r="V2980" s="845">
        <v>0</v>
      </c>
      <c r="W2980" s="845">
        <v>0.6</v>
      </c>
      <c r="X2980" s="845">
        <v>0.3888888888888889</v>
      </c>
      <c r="Y2980" s="845">
        <v>3.2034632034632034E-2</v>
      </c>
      <c r="Z2980" s="845">
        <v>0.92554112554112555</v>
      </c>
      <c r="AA2980" s="845">
        <v>0</v>
      </c>
      <c r="AB2980" s="845">
        <v>0</v>
      </c>
      <c r="AC2980" s="845">
        <v>0</v>
      </c>
      <c r="AD2980" s="845">
        <v>8.658008658008658E-3</v>
      </c>
      <c r="AE2980" s="845">
        <v>3.3766233766233764E-2</v>
      </c>
      <c r="AF2980" s="845">
        <v>0</v>
      </c>
      <c r="AG2980" s="845">
        <v>3.2034632034632034E-2</v>
      </c>
      <c r="AH2980" s="20" t="str">
        <f t="shared" si="211"/>
        <v>No</v>
      </c>
      <c r="AI2980" s="25"/>
      <c r="AU2980" s="19"/>
      <c r="AV2980" s="19"/>
      <c r="AW2980" s="19"/>
      <c r="BU2980"/>
      <c r="BV2980"/>
      <c r="BW2980"/>
      <c r="BX2980"/>
      <c r="BY2980"/>
      <c r="BZ2980"/>
      <c r="CA2980"/>
      <c r="CB2980"/>
      <c r="CC2980"/>
    </row>
    <row r="2981" spans="1:81" s="17" customFormat="1" x14ac:dyDescent="0.2">
      <c r="A2981" s="25"/>
      <c r="B2981" s="20">
        <v>39009972600</v>
      </c>
      <c r="C2981" s="20">
        <v>9726</v>
      </c>
      <c r="D2981" s="20" t="s">
        <v>11</v>
      </c>
      <c r="E2981" s="20" t="s">
        <v>265</v>
      </c>
      <c r="F2981" s="20" t="s">
        <v>6</v>
      </c>
      <c r="G2981" s="861">
        <v>24.577224361615201</v>
      </c>
      <c r="H2981" s="861">
        <v>41.482807714215099</v>
      </c>
      <c r="I2981" s="861">
        <v>39.014241934735203</v>
      </c>
      <c r="J2981" s="861">
        <v>39.737333976934501</v>
      </c>
      <c r="K2981" s="982">
        <v>0</v>
      </c>
      <c r="L2981" s="735">
        <v>4427</v>
      </c>
      <c r="M2981" s="735">
        <v>3660</v>
      </c>
      <c r="N2981" s="845">
        <f t="shared" si="209"/>
        <v>-0.17325502597695958</v>
      </c>
      <c r="O2981" s="735">
        <v>33.942727250589577</v>
      </c>
      <c r="P2981" s="735">
        <f t="shared" si="210"/>
        <v>107.82869546631456</v>
      </c>
      <c r="Q2981" s="849">
        <v>41.9</v>
      </c>
      <c r="R2981" s="71">
        <v>46691</v>
      </c>
      <c r="S2981" s="845">
        <v>0.22728520450178424</v>
      </c>
      <c r="T2981" s="845">
        <v>3.7999999999999999E-2</v>
      </c>
      <c r="U2981" s="845">
        <v>1.2E-2</v>
      </c>
      <c r="V2981" s="845">
        <v>0.04</v>
      </c>
      <c r="W2981" s="845">
        <v>0.26098901098901101</v>
      </c>
      <c r="X2981" s="845">
        <v>0.49473684210526314</v>
      </c>
      <c r="Y2981" s="845">
        <v>0.96584699453551914</v>
      </c>
      <c r="Z2981" s="845">
        <v>5.7377049180327867E-3</v>
      </c>
      <c r="AA2981" s="845">
        <v>4.9180327868852463E-3</v>
      </c>
      <c r="AB2981" s="845">
        <v>3.5519125683060111E-3</v>
      </c>
      <c r="AC2981" s="845">
        <v>0</v>
      </c>
      <c r="AD2981" s="845">
        <v>0</v>
      </c>
      <c r="AE2981" s="845">
        <v>1.9945355191256831E-2</v>
      </c>
      <c r="AF2981" s="845">
        <v>4.6448087431693987E-3</v>
      </c>
      <c r="AG2981" s="845">
        <v>0.96284153005464479</v>
      </c>
      <c r="AH2981" s="20" t="str">
        <f t="shared" si="211"/>
        <v>Yes</v>
      </c>
      <c r="AI2981" s="25"/>
      <c r="AU2981" s="19"/>
      <c r="AV2981" s="19"/>
      <c r="AW2981" s="19"/>
      <c r="BU2981"/>
      <c r="BV2981"/>
      <c r="BW2981"/>
      <c r="BX2981"/>
      <c r="BY2981"/>
      <c r="BZ2981"/>
      <c r="CA2981"/>
      <c r="CB2981"/>
      <c r="CC2981"/>
    </row>
    <row r="2982" spans="1:81" s="17" customFormat="1" x14ac:dyDescent="0.2">
      <c r="A2982" s="25"/>
      <c r="B2982" s="20">
        <v>39155931400</v>
      </c>
      <c r="C2982" s="20">
        <v>9314</v>
      </c>
      <c r="D2982" s="20" t="s">
        <v>83</v>
      </c>
      <c r="E2982" s="20" t="s">
        <v>2842</v>
      </c>
      <c r="F2982" s="20" t="s">
        <v>8</v>
      </c>
      <c r="G2982" s="861">
        <v>24.531654682731102</v>
      </c>
      <c r="H2982" s="861">
        <v>20.1480445739553</v>
      </c>
      <c r="I2982" s="861">
        <v>45.720524470284197</v>
      </c>
      <c r="J2982" s="861">
        <v>40.401414113849903</v>
      </c>
      <c r="K2982" s="982">
        <v>0</v>
      </c>
      <c r="L2982" s="735">
        <v>4416</v>
      </c>
      <c r="M2982" s="735">
        <v>4145</v>
      </c>
      <c r="N2982" s="845">
        <f t="shared" si="209"/>
        <v>-6.1367753623188408E-2</v>
      </c>
      <c r="O2982" s="735">
        <v>6.1176724861489813</v>
      </c>
      <c r="P2982" s="735">
        <f t="shared" si="210"/>
        <v>677.54526078090839</v>
      </c>
      <c r="Q2982" s="849">
        <v>46.3</v>
      </c>
      <c r="R2982" s="71">
        <v>48243</v>
      </c>
      <c r="S2982" s="845">
        <v>0.16014056224899598</v>
      </c>
      <c r="T2982" s="845">
        <v>0.06</v>
      </c>
      <c r="U2982" s="845">
        <v>1.6E-2</v>
      </c>
      <c r="V2982" s="845">
        <v>0</v>
      </c>
      <c r="W2982" s="845">
        <v>0.33818181818181819</v>
      </c>
      <c r="X2982" s="845">
        <v>0.39477726574500765</v>
      </c>
      <c r="Y2982" s="845">
        <v>0.90325693606755131</v>
      </c>
      <c r="Z2982" s="845">
        <v>2.1471652593486129E-2</v>
      </c>
      <c r="AA2982" s="845">
        <v>0</v>
      </c>
      <c r="AB2982" s="845">
        <v>0</v>
      </c>
      <c r="AC2982" s="845">
        <v>0</v>
      </c>
      <c r="AD2982" s="845">
        <v>0</v>
      </c>
      <c r="AE2982" s="845">
        <v>7.5271411338962604E-2</v>
      </c>
      <c r="AF2982" s="845">
        <v>7.2376357056694813E-3</v>
      </c>
      <c r="AG2982" s="845">
        <v>0.90325693606755131</v>
      </c>
      <c r="AH2982" s="20" t="str">
        <f t="shared" si="211"/>
        <v>Yes</v>
      </c>
      <c r="AI2982" s="25"/>
      <c r="AU2982" s="19"/>
      <c r="AV2982" s="19"/>
      <c r="AW2982" s="19"/>
      <c r="BU2982"/>
      <c r="BV2982"/>
      <c r="BW2982"/>
      <c r="BX2982"/>
      <c r="BY2982"/>
      <c r="BZ2982"/>
      <c r="CA2982"/>
      <c r="CB2982"/>
      <c r="CC2982"/>
    </row>
    <row r="2983" spans="1:81" s="17" customFormat="1" x14ac:dyDescent="0.2">
      <c r="A2983" s="25"/>
      <c r="B2983" s="20">
        <v>39099801200</v>
      </c>
      <c r="C2983" s="20">
        <v>8012</v>
      </c>
      <c r="D2983" s="20" t="s">
        <v>55</v>
      </c>
      <c r="E2983" s="20" t="s">
        <v>2842</v>
      </c>
      <c r="F2983" s="20" t="s">
        <v>6</v>
      </c>
      <c r="G2983" s="861">
        <v>24.4819022489114</v>
      </c>
      <c r="H2983" s="861">
        <v>21.992077983367601</v>
      </c>
      <c r="I2983" s="861">
        <v>55.684664689032303</v>
      </c>
      <c r="J2983" s="861">
        <v>36.965496116859399</v>
      </c>
      <c r="K2983" s="982">
        <v>0</v>
      </c>
      <c r="L2983" s="735">
        <v>1742</v>
      </c>
      <c r="M2983" s="735">
        <v>1158</v>
      </c>
      <c r="N2983" s="845">
        <f t="shared" si="209"/>
        <v>-0.33524684270952926</v>
      </c>
      <c r="O2983" s="735">
        <v>0.48559334892081807</v>
      </c>
      <c r="P2983" s="735">
        <f t="shared" si="210"/>
        <v>2384.7114104291945</v>
      </c>
      <c r="Q2983" s="849">
        <v>34.799999999999997</v>
      </c>
      <c r="R2983" s="71">
        <v>36898</v>
      </c>
      <c r="S2983" s="845">
        <v>0.37910189982728842</v>
      </c>
      <c r="T2983" s="845">
        <v>0.11800000000000001</v>
      </c>
      <c r="U2983" s="845">
        <v>1.6E-2</v>
      </c>
      <c r="V2983" s="845">
        <v>0</v>
      </c>
      <c r="W2983" s="845">
        <v>0.41104294478527609</v>
      </c>
      <c r="X2983" s="845">
        <v>0.47263681592039802</v>
      </c>
      <c r="Y2983" s="845">
        <v>0.56476683937823835</v>
      </c>
      <c r="Z2983" s="845">
        <v>0.23575129533678757</v>
      </c>
      <c r="AA2983" s="845">
        <v>1.7271157167530224E-3</v>
      </c>
      <c r="AB2983" s="845">
        <v>2.9360967184801381E-2</v>
      </c>
      <c r="AC2983" s="845">
        <v>0</v>
      </c>
      <c r="AD2983" s="845">
        <v>1.468048359240069E-2</v>
      </c>
      <c r="AE2983" s="845">
        <v>0.153713298791019</v>
      </c>
      <c r="AF2983" s="845">
        <v>6.4766839378238336E-2</v>
      </c>
      <c r="AG2983" s="845">
        <v>0.55958549222797926</v>
      </c>
      <c r="AH2983" s="20" t="str">
        <f t="shared" si="211"/>
        <v>No</v>
      </c>
      <c r="AI2983" s="25"/>
      <c r="AU2983" s="19"/>
      <c r="AV2983" s="19"/>
      <c r="AW2983" s="19"/>
      <c r="BU2983"/>
      <c r="BV2983"/>
      <c r="BW2983"/>
      <c r="BX2983"/>
      <c r="BY2983"/>
      <c r="BZ2983"/>
      <c r="CA2983"/>
      <c r="CB2983"/>
      <c r="CC2983"/>
    </row>
    <row r="2984" spans="1:81" s="17" customFormat="1" x14ac:dyDescent="0.2">
      <c r="A2984" s="25"/>
      <c r="B2984" s="20">
        <v>39035198000</v>
      </c>
      <c r="C2984" s="20">
        <v>1980</v>
      </c>
      <c r="D2984" s="20" t="s">
        <v>24</v>
      </c>
      <c r="E2984" s="20" t="s">
        <v>2829</v>
      </c>
      <c r="F2984" s="20" t="s">
        <v>6</v>
      </c>
      <c r="G2984" s="861">
        <v>24.480431780853301</v>
      </c>
      <c r="H2984" s="861">
        <v>41.794979834847702</v>
      </c>
      <c r="I2984" s="861">
        <v>83.318102865146003</v>
      </c>
      <c r="J2984" s="861">
        <v>25.0167671591404</v>
      </c>
      <c r="K2984" s="982">
        <v>0</v>
      </c>
      <c r="L2984" s="735" t="s">
        <v>2466</v>
      </c>
      <c r="M2984" s="735">
        <v>2391</v>
      </c>
      <c r="N2984" s="845" t="str">
        <f t="shared" si="209"/>
        <v/>
      </c>
      <c r="O2984" s="735">
        <v>0.77397961491027856</v>
      </c>
      <c r="P2984" s="735">
        <f t="shared" si="210"/>
        <v>3089.2286488413133</v>
      </c>
      <c r="Q2984" s="849">
        <v>34.9</v>
      </c>
      <c r="R2984" s="71">
        <v>31724</v>
      </c>
      <c r="S2984" s="845">
        <v>0.54370556252613966</v>
      </c>
      <c r="T2984" s="845">
        <v>0.2</v>
      </c>
      <c r="U2984" s="845">
        <v>8.199999999999999E-2</v>
      </c>
      <c r="V2984" s="845">
        <v>0</v>
      </c>
      <c r="W2984" s="845">
        <v>0.33585313174946002</v>
      </c>
      <c r="X2984" s="845">
        <v>0.77170418006430863</v>
      </c>
      <c r="Y2984" s="845">
        <v>0.28774571309075703</v>
      </c>
      <c r="Z2984" s="845">
        <v>0.55416143872856549</v>
      </c>
      <c r="AA2984" s="845">
        <v>0</v>
      </c>
      <c r="AB2984" s="845">
        <v>0</v>
      </c>
      <c r="AC2984" s="845">
        <v>0</v>
      </c>
      <c r="AD2984" s="845">
        <v>3.5549979088247592E-2</v>
      </c>
      <c r="AE2984" s="845">
        <v>0.12254286909242995</v>
      </c>
      <c r="AF2984" s="845">
        <v>7.9046424090338768E-2</v>
      </c>
      <c r="AG2984" s="845">
        <v>0.28774571309075703</v>
      </c>
      <c r="AH2984" s="20" t="str">
        <f t="shared" si="211"/>
        <v>No</v>
      </c>
      <c r="AI2984" s="25"/>
      <c r="AU2984" s="19"/>
      <c r="AV2984" s="19"/>
      <c r="AW2984" s="19"/>
      <c r="BU2984"/>
      <c r="BV2984"/>
      <c r="BW2984"/>
      <c r="BX2984"/>
      <c r="BY2984"/>
      <c r="BZ2984"/>
      <c r="CA2984"/>
      <c r="CB2984"/>
      <c r="CC2984"/>
    </row>
    <row r="2985" spans="1:81" s="17" customFormat="1" x14ac:dyDescent="0.2">
      <c r="A2985" s="25"/>
      <c r="B2985" s="20">
        <v>39061008502</v>
      </c>
      <c r="C2985" s="20">
        <v>85.02</v>
      </c>
      <c r="D2985" s="20" t="s">
        <v>37</v>
      </c>
      <c r="E2985" s="20" t="s">
        <v>2828</v>
      </c>
      <c r="F2985" s="20" t="s">
        <v>6</v>
      </c>
      <c r="G2985" s="861">
        <v>24.468791003646601</v>
      </c>
      <c r="H2985" s="861">
        <v>25.023269555121999</v>
      </c>
      <c r="I2985" s="861">
        <v>69.664679966628597</v>
      </c>
      <c r="J2985" s="861">
        <v>53.460815859303203</v>
      </c>
      <c r="K2985" s="982">
        <v>0</v>
      </c>
      <c r="L2985" s="735">
        <v>1646</v>
      </c>
      <c r="M2985" s="735">
        <v>2262</v>
      </c>
      <c r="N2985" s="845">
        <f t="shared" si="209"/>
        <v>0.37424058323207776</v>
      </c>
      <c r="O2985" s="735">
        <v>0.40803430560922538</v>
      </c>
      <c r="P2985" s="735">
        <f t="shared" si="210"/>
        <v>5543.6515236694786</v>
      </c>
      <c r="Q2985" s="849">
        <v>16.100000000000001</v>
      </c>
      <c r="R2985" s="71">
        <v>12610</v>
      </c>
      <c r="S2985" s="845">
        <v>0.87975243147656945</v>
      </c>
      <c r="T2985" s="845">
        <v>0.16699999999999998</v>
      </c>
      <c r="U2985" s="845">
        <v>0</v>
      </c>
      <c r="V2985" s="845">
        <v>0.01</v>
      </c>
      <c r="W2985" s="845">
        <v>0.95338512763596006</v>
      </c>
      <c r="X2985" s="845">
        <v>0.65308498253783465</v>
      </c>
      <c r="Y2985" s="845">
        <v>0.12466843501326259</v>
      </c>
      <c r="Z2985" s="845">
        <v>0.7816091954022989</v>
      </c>
      <c r="AA2985" s="845">
        <v>0</v>
      </c>
      <c r="AB2985" s="845">
        <v>0</v>
      </c>
      <c r="AC2985" s="845">
        <v>0</v>
      </c>
      <c r="AD2985" s="845">
        <v>4.9071618037135278E-2</v>
      </c>
      <c r="AE2985" s="845">
        <v>4.4650751547303275E-2</v>
      </c>
      <c r="AF2985" s="845">
        <v>0.11538461538461539</v>
      </c>
      <c r="AG2985" s="845">
        <v>7.8691423519009721E-2</v>
      </c>
      <c r="AH2985" s="20" t="str">
        <f t="shared" si="211"/>
        <v>No</v>
      </c>
      <c r="AI2985" s="25"/>
      <c r="AU2985" s="19"/>
      <c r="AV2985" s="19"/>
      <c r="AW2985" s="19"/>
      <c r="BU2985"/>
      <c r="BV2985"/>
      <c r="BW2985"/>
      <c r="BX2985"/>
      <c r="BY2985"/>
      <c r="BZ2985"/>
      <c r="CA2985"/>
      <c r="CB2985"/>
      <c r="CC2985"/>
    </row>
    <row r="2986" spans="1:81" s="17" customFormat="1" x14ac:dyDescent="0.2">
      <c r="A2986" s="25"/>
      <c r="B2986" s="20">
        <v>39035108400</v>
      </c>
      <c r="C2986" s="20">
        <v>1084</v>
      </c>
      <c r="D2986" s="20" t="s">
        <v>24</v>
      </c>
      <c r="E2986" s="20" t="s">
        <v>2829</v>
      </c>
      <c r="F2986" s="20" t="s">
        <v>6</v>
      </c>
      <c r="G2986" s="861">
        <v>24.465422604709602</v>
      </c>
      <c r="H2986" s="861">
        <v>43.009412632343903</v>
      </c>
      <c r="I2986" s="861">
        <v>91.373213193456294</v>
      </c>
      <c r="J2986" s="861">
        <v>12.856843896933899</v>
      </c>
      <c r="K2986" s="982">
        <v>0</v>
      </c>
      <c r="L2986" s="735">
        <v>1232</v>
      </c>
      <c r="M2986" s="735">
        <v>1136</v>
      </c>
      <c r="N2986" s="845">
        <f t="shared" si="209"/>
        <v>-7.792207792207792E-2</v>
      </c>
      <c r="O2986" s="735">
        <v>0.21551566118965698</v>
      </c>
      <c r="P2986" s="735">
        <f t="shared" si="210"/>
        <v>5271.0786479702892</v>
      </c>
      <c r="Q2986" s="849">
        <v>40.4</v>
      </c>
      <c r="R2986" s="71">
        <v>21071</v>
      </c>
      <c r="S2986" s="845">
        <v>0.50812274368231047</v>
      </c>
      <c r="T2986" s="845">
        <v>8.199999999999999E-2</v>
      </c>
      <c r="U2986" s="845">
        <v>0</v>
      </c>
      <c r="V2986" s="845">
        <v>0</v>
      </c>
      <c r="W2986" s="845">
        <v>0.59665427509293678</v>
      </c>
      <c r="X2986" s="845">
        <v>0.61370716510903423</v>
      </c>
      <c r="Y2986" s="845">
        <v>0.37235915492957744</v>
      </c>
      <c r="Z2986" s="845">
        <v>0.19630281690140844</v>
      </c>
      <c r="AA2986" s="845">
        <v>0</v>
      </c>
      <c r="AB2986" s="845">
        <v>0.33362676056338031</v>
      </c>
      <c r="AC2986" s="845">
        <v>0</v>
      </c>
      <c r="AD2986" s="845">
        <v>5.1056338028169015E-2</v>
      </c>
      <c r="AE2986" s="845">
        <v>4.6654929577464789E-2</v>
      </c>
      <c r="AF2986" s="845">
        <v>0.16109154929577466</v>
      </c>
      <c r="AG2986" s="845">
        <v>0.24295774647887325</v>
      </c>
      <c r="AH2986" s="20" t="str">
        <f t="shared" si="211"/>
        <v>No</v>
      </c>
      <c r="AI2986" s="25"/>
      <c r="AU2986" s="19"/>
      <c r="AV2986" s="19"/>
      <c r="AW2986" s="19"/>
      <c r="BU2986"/>
      <c r="BV2986"/>
      <c r="BW2986"/>
      <c r="BX2986"/>
      <c r="BY2986"/>
      <c r="BZ2986"/>
      <c r="CA2986"/>
      <c r="CB2986"/>
      <c r="CC2986"/>
    </row>
    <row r="2987" spans="1:81" s="17" customFormat="1" x14ac:dyDescent="0.2">
      <c r="A2987" s="25"/>
      <c r="B2987" s="20">
        <v>39155921100</v>
      </c>
      <c r="C2987" s="20">
        <v>9211</v>
      </c>
      <c r="D2987" s="20" t="s">
        <v>83</v>
      </c>
      <c r="E2987" s="20" t="s">
        <v>2842</v>
      </c>
      <c r="F2987" s="20" t="s">
        <v>6</v>
      </c>
      <c r="G2987" s="861">
        <v>24.438781036747699</v>
      </c>
      <c r="H2987" s="861">
        <v>27.210371352586701</v>
      </c>
      <c r="I2987" s="861">
        <v>42.5305737861487</v>
      </c>
      <c r="J2987" s="861">
        <v>33.745292453334301</v>
      </c>
      <c r="K2987" s="982">
        <v>0</v>
      </c>
      <c r="L2987" s="735">
        <v>3857</v>
      </c>
      <c r="M2987" s="735">
        <v>3654</v>
      </c>
      <c r="N2987" s="845">
        <f t="shared" si="209"/>
        <v>-5.2631578947368418E-2</v>
      </c>
      <c r="O2987" s="735">
        <v>1.1845811137719857</v>
      </c>
      <c r="P2987" s="735">
        <f t="shared" si="210"/>
        <v>3084.6346928196431</v>
      </c>
      <c r="Q2987" s="849">
        <v>43.1</v>
      </c>
      <c r="R2987" s="71">
        <v>31146</v>
      </c>
      <c r="S2987" s="845">
        <v>0.34904063205417607</v>
      </c>
      <c r="T2987" s="845">
        <v>0.13200000000000001</v>
      </c>
      <c r="U2987" s="845">
        <v>0</v>
      </c>
      <c r="V2987" s="845">
        <v>2.7000000000000003E-2</v>
      </c>
      <c r="W2987" s="845">
        <v>0.47823660714285715</v>
      </c>
      <c r="X2987" s="845">
        <v>0.56592765460910155</v>
      </c>
      <c r="Y2987" s="845">
        <v>0.73453749315818284</v>
      </c>
      <c r="Z2987" s="845">
        <v>0.15298303229337712</v>
      </c>
      <c r="AA2987" s="845">
        <v>0</v>
      </c>
      <c r="AB2987" s="845">
        <v>0</v>
      </c>
      <c r="AC2987" s="845">
        <v>0</v>
      </c>
      <c r="AD2987" s="845">
        <v>4.6524356869184456E-3</v>
      </c>
      <c r="AE2987" s="845">
        <v>0.10782703886152162</v>
      </c>
      <c r="AF2987" s="845">
        <v>1.8062397372742199E-2</v>
      </c>
      <c r="AG2987" s="845">
        <v>0.73453749315818284</v>
      </c>
      <c r="AH2987" s="20" t="str">
        <f t="shared" si="211"/>
        <v>No</v>
      </c>
      <c r="AI2987" s="25"/>
      <c r="AU2987" s="19"/>
      <c r="AV2987" s="19"/>
      <c r="AW2987" s="19"/>
      <c r="BU2987"/>
      <c r="BV2987"/>
      <c r="BW2987"/>
      <c r="BX2987"/>
      <c r="BY2987"/>
      <c r="BZ2987"/>
      <c r="CA2987"/>
      <c r="CB2987"/>
      <c r="CC2987"/>
    </row>
    <row r="2988" spans="1:81" s="17" customFormat="1" x14ac:dyDescent="0.2">
      <c r="A2988" s="25"/>
      <c r="B2988" s="20">
        <v>39113004300</v>
      </c>
      <c r="C2988" s="20">
        <v>43</v>
      </c>
      <c r="D2988" s="20" t="s">
        <v>62</v>
      </c>
      <c r="E2988" s="20" t="s">
        <v>2833</v>
      </c>
      <c r="F2988" s="20" t="s">
        <v>6</v>
      </c>
      <c r="G2988" s="861">
        <v>24.370564551193201</v>
      </c>
      <c r="H2988" s="861">
        <v>31.441050509082199</v>
      </c>
      <c r="I2988" s="861">
        <v>52.790683333085198</v>
      </c>
      <c r="J2988" s="861">
        <v>53.611401321508097</v>
      </c>
      <c r="K2988" s="982">
        <v>0</v>
      </c>
      <c r="L2988" s="735">
        <v>2189</v>
      </c>
      <c r="M2988" s="735">
        <v>2426</v>
      </c>
      <c r="N2988" s="845">
        <f t="shared" si="209"/>
        <v>0.10826861580630424</v>
      </c>
      <c r="O2988" s="735">
        <v>2.7714401360707406</v>
      </c>
      <c r="P2988" s="735">
        <f t="shared" si="210"/>
        <v>875.35717204395598</v>
      </c>
      <c r="Q2988" s="849">
        <v>18.8</v>
      </c>
      <c r="R2988" s="71">
        <v>29104</v>
      </c>
      <c r="S2988" s="845">
        <v>0.48070469798657717</v>
      </c>
      <c r="T2988" s="845">
        <v>0.113</v>
      </c>
      <c r="U2988" s="845">
        <v>0</v>
      </c>
      <c r="V2988" s="845">
        <v>0</v>
      </c>
      <c r="W2988" s="845">
        <v>0.76168224299065423</v>
      </c>
      <c r="X2988" s="845">
        <v>0.40950920245398775</v>
      </c>
      <c r="Y2988" s="845">
        <v>2.1434460016488046E-2</v>
      </c>
      <c r="Z2988" s="845">
        <v>0.8833470733718054</v>
      </c>
      <c r="AA2988" s="845">
        <v>0</v>
      </c>
      <c r="AB2988" s="845">
        <v>0</v>
      </c>
      <c r="AC2988" s="845">
        <v>0</v>
      </c>
      <c r="AD2988" s="845">
        <v>0</v>
      </c>
      <c r="AE2988" s="845">
        <v>9.5218466611706506E-2</v>
      </c>
      <c r="AF2988" s="845">
        <v>1.8136850783182192E-2</v>
      </c>
      <c r="AG2988" s="845">
        <v>2.1434460016488046E-2</v>
      </c>
      <c r="AH2988" s="20" t="str">
        <f t="shared" si="211"/>
        <v>No</v>
      </c>
      <c r="AI2988" s="25"/>
      <c r="AU2988" s="19"/>
      <c r="AV2988" s="19"/>
      <c r="AW2988" s="19"/>
      <c r="BU2988"/>
      <c r="BV2988"/>
      <c r="BW2988"/>
      <c r="BX2988"/>
      <c r="BY2988"/>
      <c r="BZ2988"/>
      <c r="CA2988"/>
      <c r="CB2988"/>
      <c r="CC2988"/>
    </row>
    <row r="2989" spans="1:81" s="17" customFormat="1" x14ac:dyDescent="0.2">
      <c r="A2989" s="25"/>
      <c r="B2989" s="20">
        <v>39119912500</v>
      </c>
      <c r="C2989" s="20">
        <v>9125</v>
      </c>
      <c r="D2989" s="20" t="s">
        <v>65</v>
      </c>
      <c r="E2989" s="20" t="s">
        <v>265</v>
      </c>
      <c r="F2989" s="20" t="s">
        <v>8</v>
      </c>
      <c r="G2989" s="861">
        <v>24.321473975843901</v>
      </c>
      <c r="H2989" s="861">
        <v>31.3875790945273</v>
      </c>
      <c r="I2989" s="861">
        <v>34.025298206101603</v>
      </c>
      <c r="J2989" s="861">
        <v>48.273508443837997</v>
      </c>
      <c r="K2989" s="982">
        <v>0</v>
      </c>
      <c r="L2989" s="735">
        <v>4497</v>
      </c>
      <c r="M2989" s="735">
        <v>4634</v>
      </c>
      <c r="N2989" s="845">
        <f t="shared" si="209"/>
        <v>3.0464754280631532E-2</v>
      </c>
      <c r="O2989" s="735">
        <v>71.296031548191166</v>
      </c>
      <c r="P2989" s="735">
        <f t="shared" si="210"/>
        <v>64.99660499150977</v>
      </c>
      <c r="Q2989" s="849">
        <v>42</v>
      </c>
      <c r="R2989" s="71">
        <v>50339</v>
      </c>
      <c r="S2989" s="845">
        <v>0.17549956559513466</v>
      </c>
      <c r="T2989" s="845">
        <v>2.3E-2</v>
      </c>
      <c r="U2989" s="845">
        <v>3.0000000000000001E-3</v>
      </c>
      <c r="V2989" s="845">
        <v>5.9000000000000004E-2</v>
      </c>
      <c r="W2989" s="845">
        <v>0.24533634821933295</v>
      </c>
      <c r="X2989" s="845">
        <v>0.3686635944700461</v>
      </c>
      <c r="Y2989" s="845">
        <v>0.97993094518774282</v>
      </c>
      <c r="Z2989" s="845">
        <v>0</v>
      </c>
      <c r="AA2989" s="845">
        <v>0</v>
      </c>
      <c r="AB2989" s="845">
        <v>0</v>
      </c>
      <c r="AC2989" s="845">
        <v>0</v>
      </c>
      <c r="AD2989" s="845">
        <v>2.1579628830384117E-3</v>
      </c>
      <c r="AE2989" s="845">
        <v>1.7911091929218817E-2</v>
      </c>
      <c r="AF2989" s="845">
        <v>1.5105740181268882E-3</v>
      </c>
      <c r="AG2989" s="845">
        <v>0.97993094518774282</v>
      </c>
      <c r="AH2989" s="20" t="str">
        <f t="shared" si="211"/>
        <v>Yes</v>
      </c>
      <c r="AI2989" s="25"/>
      <c r="AU2989" s="19"/>
      <c r="AV2989" s="19"/>
      <c r="AW2989" s="19"/>
      <c r="BU2989"/>
      <c r="BV2989"/>
      <c r="BW2989"/>
      <c r="BX2989"/>
      <c r="BY2989"/>
      <c r="BZ2989"/>
      <c r="CA2989"/>
      <c r="CB2989"/>
      <c r="CC2989"/>
    </row>
    <row r="2990" spans="1:81" s="17" customFormat="1" x14ac:dyDescent="0.2">
      <c r="A2990" s="25"/>
      <c r="B2990" s="20">
        <v>39095010300</v>
      </c>
      <c r="C2990" s="20">
        <v>103</v>
      </c>
      <c r="D2990" s="20" t="s">
        <v>53</v>
      </c>
      <c r="E2990" s="20" t="s">
        <v>2839</v>
      </c>
      <c r="F2990" s="20" t="s">
        <v>6</v>
      </c>
      <c r="G2990" s="861">
        <v>24.309654447673999</v>
      </c>
      <c r="H2990" s="861">
        <v>25.385048937412201</v>
      </c>
      <c r="I2990" s="861">
        <v>71.802429479157894</v>
      </c>
      <c r="J2990" s="861">
        <v>49.821342479931197</v>
      </c>
      <c r="K2990" s="982">
        <v>0</v>
      </c>
      <c r="L2990" s="735">
        <v>2213</v>
      </c>
      <c r="M2990" s="735">
        <v>1543</v>
      </c>
      <c r="N2990" s="845">
        <f t="shared" si="209"/>
        <v>-0.30275643922277451</v>
      </c>
      <c r="O2990" s="735">
        <v>0.98094658820653824</v>
      </c>
      <c r="P2990" s="735">
        <f t="shared" si="210"/>
        <v>1572.9704537951066</v>
      </c>
      <c r="Q2990" s="849">
        <v>39.4</v>
      </c>
      <c r="R2990" s="71">
        <v>32308</v>
      </c>
      <c r="S2990" s="845">
        <v>0.49606299212598426</v>
      </c>
      <c r="T2990" s="845">
        <v>0.18100000000000002</v>
      </c>
      <c r="U2990" s="845">
        <v>0</v>
      </c>
      <c r="V2990" s="845">
        <v>0.1</v>
      </c>
      <c r="W2990" s="845">
        <v>0.48928571428571427</v>
      </c>
      <c r="X2990" s="845">
        <v>0.46715328467153283</v>
      </c>
      <c r="Y2990" s="845">
        <v>0.49189889825016203</v>
      </c>
      <c r="Z2990" s="845">
        <v>0.27802981205443938</v>
      </c>
      <c r="AA2990" s="845">
        <v>0</v>
      </c>
      <c r="AB2990" s="845">
        <v>0</v>
      </c>
      <c r="AC2990" s="845">
        <v>0</v>
      </c>
      <c r="AD2990" s="845">
        <v>7.5826312378483474E-2</v>
      </c>
      <c r="AE2990" s="845">
        <v>0.15424497731691511</v>
      </c>
      <c r="AF2990" s="845">
        <v>0.23136746597537264</v>
      </c>
      <c r="AG2990" s="845">
        <v>0.38820479585223588</v>
      </c>
      <c r="AH2990" s="20" t="str">
        <f t="shared" si="211"/>
        <v>No</v>
      </c>
      <c r="AI2990" s="25"/>
      <c r="AU2990" s="19"/>
      <c r="AV2990" s="19"/>
      <c r="AW2990" s="19"/>
      <c r="BU2990"/>
      <c r="BV2990"/>
      <c r="BW2990"/>
      <c r="BX2990"/>
      <c r="BY2990"/>
      <c r="BZ2990"/>
      <c r="CA2990"/>
      <c r="CB2990"/>
      <c r="CC2990"/>
    </row>
    <row r="2991" spans="1:81" s="17" customFormat="1" x14ac:dyDescent="0.2">
      <c r="A2991" s="25"/>
      <c r="B2991" s="20">
        <v>39151700702</v>
      </c>
      <c r="C2991" s="20">
        <v>7007.02</v>
      </c>
      <c r="D2991" s="20" t="s">
        <v>81</v>
      </c>
      <c r="E2991" s="20" t="s">
        <v>2844</v>
      </c>
      <c r="F2991" s="20" t="s">
        <v>6</v>
      </c>
      <c r="G2991" s="861">
        <v>24.2676452231571</v>
      </c>
      <c r="H2991" s="861">
        <v>39.231601022626599</v>
      </c>
      <c r="I2991" s="861">
        <v>38.683333715048398</v>
      </c>
      <c r="J2991" s="861">
        <v>19.6694717049681</v>
      </c>
      <c r="K2991" s="982">
        <v>2</v>
      </c>
      <c r="L2991" s="735" t="s">
        <v>2466</v>
      </c>
      <c r="M2991" s="735">
        <v>3899</v>
      </c>
      <c r="N2991" s="845" t="str">
        <f t="shared" si="209"/>
        <v/>
      </c>
      <c r="O2991" s="735">
        <v>0.90997946704859589</v>
      </c>
      <c r="P2991" s="735">
        <f t="shared" si="210"/>
        <v>4284.712063499539</v>
      </c>
      <c r="Q2991" s="849">
        <v>39.4</v>
      </c>
      <c r="R2991" s="71">
        <v>37722</v>
      </c>
      <c r="S2991" s="845">
        <v>0.13088330109606705</v>
      </c>
      <c r="T2991" s="845">
        <v>1.7000000000000001E-2</v>
      </c>
      <c r="U2991" s="845">
        <v>0</v>
      </c>
      <c r="V2991" s="845">
        <v>6.6000000000000003E-2</v>
      </c>
      <c r="W2991" s="845">
        <v>0.60991253644314869</v>
      </c>
      <c r="X2991" s="845">
        <v>0.4541108986615679</v>
      </c>
      <c r="Y2991" s="845">
        <v>0.71710695050012829</v>
      </c>
      <c r="Z2991" s="845">
        <v>0.17158245704026673</v>
      </c>
      <c r="AA2991" s="845">
        <v>0</v>
      </c>
      <c r="AB2991" s="845">
        <v>5.1295203898435492E-4</v>
      </c>
      <c r="AC2991" s="845">
        <v>0</v>
      </c>
      <c r="AD2991" s="845">
        <v>0</v>
      </c>
      <c r="AE2991" s="845">
        <v>0.11079764042062067</v>
      </c>
      <c r="AF2991" s="845">
        <v>0.17081302898179021</v>
      </c>
      <c r="AG2991" s="845">
        <v>0.58835598871505512</v>
      </c>
      <c r="AH2991" s="20" t="str">
        <f t="shared" si="211"/>
        <v>No</v>
      </c>
      <c r="AI2991" s="25"/>
      <c r="AU2991" s="19"/>
      <c r="AV2991" s="19"/>
      <c r="AW2991" s="19"/>
      <c r="BU2991"/>
      <c r="BV2991"/>
      <c r="BW2991"/>
      <c r="BX2991"/>
      <c r="BY2991"/>
      <c r="BZ2991"/>
      <c r="CA2991"/>
      <c r="CB2991"/>
      <c r="CC2991"/>
    </row>
    <row r="2992" spans="1:81" s="17" customFormat="1" x14ac:dyDescent="0.2">
      <c r="A2992" s="25"/>
      <c r="B2992" s="20">
        <v>39139001500</v>
      </c>
      <c r="C2992" s="20">
        <v>15</v>
      </c>
      <c r="D2992" s="20" t="s">
        <v>75</v>
      </c>
      <c r="E2992" s="20" t="s">
        <v>2836</v>
      </c>
      <c r="F2992" s="20" t="s">
        <v>8</v>
      </c>
      <c r="G2992" s="861">
        <v>24.1777914657957</v>
      </c>
      <c r="H2992" s="861">
        <v>23.209906145143901</v>
      </c>
      <c r="I2992" s="861">
        <v>42.4568360107302</v>
      </c>
      <c r="J2992" s="861">
        <v>54.864745047360699</v>
      </c>
      <c r="K2992" s="982">
        <v>0</v>
      </c>
      <c r="L2992" s="735">
        <v>2062</v>
      </c>
      <c r="M2992" s="735">
        <v>2019</v>
      </c>
      <c r="N2992" s="845">
        <f t="shared" si="209"/>
        <v>-2.0853540252182348E-2</v>
      </c>
      <c r="O2992" s="735">
        <v>2.5656704655682763</v>
      </c>
      <c r="P2992" s="735">
        <f t="shared" si="210"/>
        <v>786.92880753600878</v>
      </c>
      <c r="Q2992" s="849">
        <v>36.6</v>
      </c>
      <c r="R2992" s="71">
        <v>44531</v>
      </c>
      <c r="S2992" s="845">
        <v>0.17453580901856763</v>
      </c>
      <c r="T2992" s="845">
        <v>7.2000000000000008E-2</v>
      </c>
      <c r="U2992" s="845">
        <v>0.14000000000000001</v>
      </c>
      <c r="V2992" s="845">
        <v>0.114</v>
      </c>
      <c r="W2992" s="845">
        <v>0.38902743142144636</v>
      </c>
      <c r="X2992" s="845">
        <v>0.4358974358974359</v>
      </c>
      <c r="Y2992" s="845">
        <v>0.93808816245666171</v>
      </c>
      <c r="Z2992" s="845">
        <v>2.4764735017335313E-2</v>
      </c>
      <c r="AA2992" s="845">
        <v>0</v>
      </c>
      <c r="AB2992" s="845">
        <v>5.4482417038137689E-3</v>
      </c>
      <c r="AC2992" s="845">
        <v>0</v>
      </c>
      <c r="AD2992" s="845">
        <v>0</v>
      </c>
      <c r="AE2992" s="845">
        <v>3.1698860822189201E-2</v>
      </c>
      <c r="AF2992" s="845">
        <v>0</v>
      </c>
      <c r="AG2992" s="845">
        <v>0.93808816245666171</v>
      </c>
      <c r="AH2992" s="20" t="str">
        <f t="shared" si="211"/>
        <v>Yes</v>
      </c>
      <c r="AI2992" s="25"/>
      <c r="AU2992" s="19"/>
      <c r="AV2992" s="19"/>
      <c r="AW2992" s="19"/>
      <c r="BU2992"/>
      <c r="BV2992"/>
      <c r="BW2992"/>
      <c r="BX2992"/>
      <c r="BY2992"/>
      <c r="BZ2992"/>
      <c r="CA2992"/>
      <c r="CB2992"/>
      <c r="CC2992"/>
    </row>
    <row r="2993" spans="1:81" s="17" customFormat="1" x14ac:dyDescent="0.2">
      <c r="A2993" s="25"/>
      <c r="B2993" s="20">
        <v>39099801300</v>
      </c>
      <c r="C2993" s="20">
        <v>8013</v>
      </c>
      <c r="D2993" s="20" t="s">
        <v>55</v>
      </c>
      <c r="E2993" s="20" t="s">
        <v>2842</v>
      </c>
      <c r="F2993" s="20" t="s">
        <v>6</v>
      </c>
      <c r="G2993" s="861">
        <v>24.163002732337201</v>
      </c>
      <c r="H2993" s="861">
        <v>34.387012766774198</v>
      </c>
      <c r="I2993" s="861">
        <v>56.1753482100589</v>
      </c>
      <c r="J2993" s="861">
        <v>29.5735262973372</v>
      </c>
      <c r="K2993" s="982">
        <v>0</v>
      </c>
      <c r="L2993" s="735">
        <v>2375</v>
      </c>
      <c r="M2993" s="735">
        <v>2469</v>
      </c>
      <c r="N2993" s="845">
        <f t="shared" si="209"/>
        <v>3.9578947368421054E-2</v>
      </c>
      <c r="O2993" s="735">
        <v>1.2434531987098583</v>
      </c>
      <c r="P2993" s="735">
        <f t="shared" si="210"/>
        <v>1985.5994600855945</v>
      </c>
      <c r="Q2993" s="849">
        <v>28.9</v>
      </c>
      <c r="R2993" s="71">
        <v>27896</v>
      </c>
      <c r="S2993" s="845">
        <v>0.50182260024301339</v>
      </c>
      <c r="T2993" s="845">
        <v>0.10300000000000001</v>
      </c>
      <c r="U2993" s="845">
        <v>0</v>
      </c>
      <c r="V2993" s="845">
        <v>8.5999999999999993E-2</v>
      </c>
      <c r="W2993" s="845">
        <v>0.36625971143174252</v>
      </c>
      <c r="X2993" s="845">
        <v>0.64242424242424245</v>
      </c>
      <c r="Y2993" s="845">
        <v>0.5451599837991089</v>
      </c>
      <c r="Z2993" s="845">
        <v>0.23653300931551235</v>
      </c>
      <c r="AA2993" s="845">
        <v>0</v>
      </c>
      <c r="AB2993" s="845">
        <v>0</v>
      </c>
      <c r="AC2993" s="845">
        <v>2.8351559335763467E-3</v>
      </c>
      <c r="AD2993" s="845">
        <v>2.1061158363710003E-2</v>
      </c>
      <c r="AE2993" s="845">
        <v>0.19441069258809235</v>
      </c>
      <c r="AF2993" s="845">
        <v>7.2093965168084251E-2</v>
      </c>
      <c r="AG2993" s="845">
        <v>0.53624949372215469</v>
      </c>
      <c r="AH2993" s="20" t="str">
        <f t="shared" si="211"/>
        <v>No</v>
      </c>
      <c r="AI2993" s="25"/>
      <c r="AU2993" s="19"/>
      <c r="AV2993" s="19"/>
      <c r="AW2993" s="19"/>
      <c r="BU2993"/>
      <c r="BV2993"/>
      <c r="BW2993"/>
      <c r="BX2993"/>
      <c r="BY2993"/>
      <c r="BZ2993"/>
      <c r="CA2993"/>
      <c r="CB2993"/>
      <c r="CC2993"/>
    </row>
    <row r="2994" spans="1:81" s="17" customFormat="1" x14ac:dyDescent="0.2">
      <c r="A2994" s="25"/>
      <c r="B2994" s="20">
        <v>39155931500</v>
      </c>
      <c r="C2994" s="20">
        <v>9315</v>
      </c>
      <c r="D2994" s="20" t="s">
        <v>83</v>
      </c>
      <c r="E2994" s="20" t="s">
        <v>2842</v>
      </c>
      <c r="F2994" s="20" t="s">
        <v>8</v>
      </c>
      <c r="G2994" s="861">
        <v>24.102102301939301</v>
      </c>
      <c r="H2994" s="861">
        <v>25.757322577904802</v>
      </c>
      <c r="I2994" s="861">
        <v>25.113963466301801</v>
      </c>
      <c r="J2994" s="861">
        <v>16.706309726580798</v>
      </c>
      <c r="K2994" s="982">
        <v>0</v>
      </c>
      <c r="L2994" s="735">
        <v>3791</v>
      </c>
      <c r="M2994" s="735">
        <v>4067</v>
      </c>
      <c r="N2994" s="845">
        <f t="shared" si="209"/>
        <v>7.2804009496175145E-2</v>
      </c>
      <c r="O2994" s="735">
        <v>18.026583913545458</v>
      </c>
      <c r="P2994" s="735">
        <f t="shared" si="210"/>
        <v>225.61124279037651</v>
      </c>
      <c r="Q2994" s="849">
        <v>50</v>
      </c>
      <c r="R2994" s="71">
        <v>48119</v>
      </c>
      <c r="S2994" s="845">
        <v>0.19695106958446029</v>
      </c>
      <c r="T2994" s="845">
        <v>3.2000000000000001E-2</v>
      </c>
      <c r="U2994" s="845">
        <v>2.7000000000000003E-2</v>
      </c>
      <c r="V2994" s="845">
        <v>0</v>
      </c>
      <c r="W2994" s="845">
        <v>0.13951011714589989</v>
      </c>
      <c r="X2994" s="845">
        <v>0.21755725190839695</v>
      </c>
      <c r="Y2994" s="845">
        <v>0.90877796901893293</v>
      </c>
      <c r="Z2994" s="845">
        <v>7.6223260388492749E-3</v>
      </c>
      <c r="AA2994" s="845">
        <v>0</v>
      </c>
      <c r="AB2994" s="845">
        <v>0</v>
      </c>
      <c r="AC2994" s="845">
        <v>0</v>
      </c>
      <c r="AD2994" s="845">
        <v>1.7211703958691911E-3</v>
      </c>
      <c r="AE2994" s="845">
        <v>8.1878534546348664E-2</v>
      </c>
      <c r="AF2994" s="845">
        <v>3.8603393164494716E-2</v>
      </c>
      <c r="AG2994" s="845">
        <v>0.89451684288173106</v>
      </c>
      <c r="AH2994" s="20" t="str">
        <f t="shared" si="211"/>
        <v>No</v>
      </c>
      <c r="AI2994" s="25"/>
      <c r="AU2994" s="19"/>
      <c r="AV2994" s="19"/>
      <c r="AW2994" s="19"/>
      <c r="BU2994"/>
      <c r="BV2994"/>
      <c r="BW2994"/>
      <c r="BX2994"/>
      <c r="BY2994"/>
      <c r="BZ2994"/>
      <c r="CA2994"/>
      <c r="CB2994"/>
      <c r="CC2994"/>
    </row>
    <row r="2995" spans="1:81" s="17" customFormat="1" x14ac:dyDescent="0.2">
      <c r="A2995" s="25"/>
      <c r="B2995" s="20">
        <v>39163953000</v>
      </c>
      <c r="C2995" s="20">
        <v>9530</v>
      </c>
      <c r="D2995" s="20" t="s">
        <v>87</v>
      </c>
      <c r="E2995" s="20" t="s">
        <v>265</v>
      </c>
      <c r="F2995" s="20" t="s">
        <v>8</v>
      </c>
      <c r="G2995" s="861">
        <v>24.067213080059499</v>
      </c>
      <c r="H2995" s="861">
        <v>27.921172493293501</v>
      </c>
      <c r="I2995" s="861">
        <v>17.4686235150639</v>
      </c>
      <c r="J2995" s="861">
        <v>48.464812585249398</v>
      </c>
      <c r="K2995" s="982">
        <v>0</v>
      </c>
      <c r="L2995" s="735">
        <v>5216</v>
      </c>
      <c r="M2995" s="735">
        <v>5146</v>
      </c>
      <c r="N2995" s="845">
        <f t="shared" si="209"/>
        <v>-1.3420245398773007E-2</v>
      </c>
      <c r="O2995" s="735">
        <v>204.65142058123195</v>
      </c>
      <c r="P2995" s="735">
        <f t="shared" si="210"/>
        <v>25.145195598373121</v>
      </c>
      <c r="Q2995" s="849">
        <v>43.8</v>
      </c>
      <c r="R2995" s="71">
        <v>48629</v>
      </c>
      <c r="S2995" s="845">
        <v>0.14943910256410256</v>
      </c>
      <c r="T2995" s="845">
        <v>3.7999999999999999E-2</v>
      </c>
      <c r="U2995" s="845">
        <v>0</v>
      </c>
      <c r="V2995" s="845">
        <v>0</v>
      </c>
      <c r="W2995" s="845">
        <v>0.20076117982873454</v>
      </c>
      <c r="X2995" s="845">
        <v>0.2014218009478673</v>
      </c>
      <c r="Y2995" s="845">
        <v>0.93159735717061798</v>
      </c>
      <c r="Z2995" s="845">
        <v>1.2436844150796735E-2</v>
      </c>
      <c r="AA2995" s="845">
        <v>0</v>
      </c>
      <c r="AB2995" s="845">
        <v>0</v>
      </c>
      <c r="AC2995" s="845">
        <v>0</v>
      </c>
      <c r="AD2995" s="845">
        <v>0</v>
      </c>
      <c r="AE2995" s="845">
        <v>5.596579867858531E-2</v>
      </c>
      <c r="AF2995" s="845">
        <v>1.7489312087057909E-3</v>
      </c>
      <c r="AG2995" s="845">
        <v>0.92984842596191219</v>
      </c>
      <c r="AH2995" s="20" t="str">
        <f t="shared" si="211"/>
        <v>Yes</v>
      </c>
      <c r="AI2995" s="25"/>
      <c r="AU2995" s="19"/>
      <c r="AV2995" s="19"/>
      <c r="AW2995" s="19"/>
      <c r="BU2995"/>
      <c r="BV2995"/>
      <c r="BW2995"/>
      <c r="BX2995"/>
      <c r="BY2995"/>
      <c r="BZ2995"/>
      <c r="CA2995"/>
      <c r="CB2995"/>
      <c r="CC2995"/>
    </row>
    <row r="2996" spans="1:81" s="17" customFormat="1" x14ac:dyDescent="0.2">
      <c r="A2996" s="25"/>
      <c r="B2996" s="20">
        <v>39099814200</v>
      </c>
      <c r="C2996" s="20">
        <v>8142</v>
      </c>
      <c r="D2996" s="20" t="s">
        <v>55</v>
      </c>
      <c r="E2996" s="20" t="s">
        <v>2842</v>
      </c>
      <c r="F2996" s="20" t="s">
        <v>6</v>
      </c>
      <c r="G2996" s="861">
        <v>24.065029385804099</v>
      </c>
      <c r="H2996" s="861">
        <v>30.498639873087601</v>
      </c>
      <c r="I2996" s="861">
        <v>73.671360438843806</v>
      </c>
      <c r="J2996" s="861">
        <v>33.407407515711903</v>
      </c>
      <c r="K2996" s="982">
        <v>0</v>
      </c>
      <c r="L2996" s="735" t="s">
        <v>2466</v>
      </c>
      <c r="M2996" s="735">
        <v>1888</v>
      </c>
      <c r="N2996" s="845" t="str">
        <f t="shared" si="209"/>
        <v/>
      </c>
      <c r="O2996" s="735">
        <v>3.2123842452697593</v>
      </c>
      <c r="P2996" s="735">
        <f t="shared" si="210"/>
        <v>587.72545743246087</v>
      </c>
      <c r="Q2996" s="849">
        <v>45.9</v>
      </c>
      <c r="R2996" s="71">
        <v>41429</v>
      </c>
      <c r="S2996" s="845">
        <v>0.28919491525423729</v>
      </c>
      <c r="T2996" s="845">
        <v>9.0999999999999998E-2</v>
      </c>
      <c r="U2996" s="845">
        <v>2.7999999999999997E-2</v>
      </c>
      <c r="V2996" s="845">
        <v>0</v>
      </c>
      <c r="W2996" s="845">
        <v>0.1997690531177829</v>
      </c>
      <c r="X2996" s="845">
        <v>0.67630057803468213</v>
      </c>
      <c r="Y2996" s="845">
        <v>0.16101694915254236</v>
      </c>
      <c r="Z2996" s="845">
        <v>0.77383474576271183</v>
      </c>
      <c r="AA2996" s="845">
        <v>7.4152542372881358E-3</v>
      </c>
      <c r="AB2996" s="845">
        <v>0</v>
      </c>
      <c r="AC2996" s="845">
        <v>0</v>
      </c>
      <c r="AD2996" s="845">
        <v>2.1716101694915255E-2</v>
      </c>
      <c r="AE2996" s="845">
        <v>3.6016949152542374E-2</v>
      </c>
      <c r="AF2996" s="845">
        <v>4.7139830508474576E-2</v>
      </c>
      <c r="AG2996" s="845">
        <v>0.14671610169491525</v>
      </c>
      <c r="AH2996" s="20" t="str">
        <f t="shared" si="211"/>
        <v>No</v>
      </c>
      <c r="AI2996" s="25"/>
      <c r="AU2996" s="19"/>
      <c r="AV2996" s="19"/>
      <c r="AW2996" s="19"/>
      <c r="BU2996"/>
      <c r="BV2996"/>
      <c r="BW2996"/>
      <c r="BX2996"/>
      <c r="BY2996"/>
      <c r="BZ2996"/>
      <c r="CA2996"/>
      <c r="CB2996"/>
      <c r="CC2996"/>
    </row>
    <row r="2997" spans="1:81" s="17" customFormat="1" x14ac:dyDescent="0.2">
      <c r="A2997" s="25"/>
      <c r="B2997" s="20">
        <v>39099810200</v>
      </c>
      <c r="C2997" s="20">
        <v>8102</v>
      </c>
      <c r="D2997" s="20" t="s">
        <v>55</v>
      </c>
      <c r="E2997" s="20" t="s">
        <v>2842</v>
      </c>
      <c r="F2997" s="20" t="s">
        <v>6</v>
      </c>
      <c r="G2997" s="861">
        <v>24.063784979691199</v>
      </c>
      <c r="H2997" s="861">
        <v>16.471462247610798</v>
      </c>
      <c r="I2997" s="861">
        <v>45.460638781028102</v>
      </c>
      <c r="J2997" s="861">
        <v>22.927753921529298</v>
      </c>
      <c r="K2997" s="982">
        <v>0</v>
      </c>
      <c r="L2997" s="735">
        <v>2382</v>
      </c>
      <c r="M2997" s="735">
        <v>2015</v>
      </c>
      <c r="N2997" s="845">
        <f t="shared" si="209"/>
        <v>-0.15407220822837953</v>
      </c>
      <c r="O2997" s="735">
        <v>1.4031203409655808</v>
      </c>
      <c r="P2997" s="735">
        <f t="shared" si="210"/>
        <v>1436.0849466506515</v>
      </c>
      <c r="Q2997" s="849">
        <v>42.1</v>
      </c>
      <c r="R2997" s="71">
        <v>33000</v>
      </c>
      <c r="S2997" s="845">
        <v>0.43870967741935485</v>
      </c>
      <c r="T2997" s="845">
        <v>0.16</v>
      </c>
      <c r="U2997" s="845">
        <v>3.6000000000000004E-2</v>
      </c>
      <c r="V2997" s="845">
        <v>0</v>
      </c>
      <c r="W2997" s="845">
        <v>0.32258064516129031</v>
      </c>
      <c r="X2997" s="845">
        <v>0.29642857142857143</v>
      </c>
      <c r="Y2997" s="845">
        <v>0.51761786600496273</v>
      </c>
      <c r="Z2997" s="845">
        <v>0.23870967741935484</v>
      </c>
      <c r="AA2997" s="845">
        <v>3.9702233250620347E-3</v>
      </c>
      <c r="AB2997" s="845">
        <v>0</v>
      </c>
      <c r="AC2997" s="845">
        <v>0</v>
      </c>
      <c r="AD2997" s="845">
        <v>9.6774193548387094E-2</v>
      </c>
      <c r="AE2997" s="845">
        <v>0.14292803970223325</v>
      </c>
      <c r="AF2997" s="845">
        <v>0.3066997518610422</v>
      </c>
      <c r="AG2997" s="845">
        <v>0.43920595533498757</v>
      </c>
      <c r="AH2997" s="20" t="str">
        <f t="shared" si="211"/>
        <v>No</v>
      </c>
      <c r="AI2997" s="25"/>
      <c r="AU2997" s="19"/>
      <c r="AV2997" s="19"/>
      <c r="AW2997" s="19"/>
      <c r="BU2997"/>
      <c r="BV2997"/>
      <c r="BW2997"/>
      <c r="BX2997"/>
      <c r="BY2997"/>
      <c r="BZ2997"/>
      <c r="CA2997"/>
      <c r="CB2997"/>
      <c r="CC2997"/>
    </row>
    <row r="2998" spans="1:81" s="17" customFormat="1" x14ac:dyDescent="0.2">
      <c r="A2998" s="25"/>
      <c r="B2998" s="20">
        <v>39023000500</v>
      </c>
      <c r="C2998" s="20">
        <v>5</v>
      </c>
      <c r="D2998" s="20" t="s">
        <v>18</v>
      </c>
      <c r="E2998" s="20" t="s">
        <v>2838</v>
      </c>
      <c r="F2998" s="20" t="s">
        <v>6</v>
      </c>
      <c r="G2998" s="861">
        <v>24.0426552243967</v>
      </c>
      <c r="H2998" s="861">
        <v>42.632900439729099</v>
      </c>
      <c r="I2998" s="861">
        <v>49.874208801030399</v>
      </c>
      <c r="J2998" s="861">
        <v>45.481684158204502</v>
      </c>
      <c r="K2998" s="982">
        <v>0</v>
      </c>
      <c r="L2998" s="735">
        <v>1503</v>
      </c>
      <c r="M2998" s="735">
        <v>1343</v>
      </c>
      <c r="N2998" s="845">
        <f t="shared" si="209"/>
        <v>-0.10645375914836992</v>
      </c>
      <c r="O2998" s="735">
        <v>0.81950723704287587</v>
      </c>
      <c r="P2998" s="735">
        <f t="shared" si="210"/>
        <v>1638.7896766428867</v>
      </c>
      <c r="Q2998" s="849">
        <v>47.2</v>
      </c>
      <c r="R2998" s="71">
        <v>43011</v>
      </c>
      <c r="S2998" s="845">
        <v>0.17572598659717051</v>
      </c>
      <c r="T2998" s="845">
        <v>0.13100000000000001</v>
      </c>
      <c r="U2998" s="845">
        <v>0</v>
      </c>
      <c r="V2998" s="845">
        <v>5.2999999999999999E-2</v>
      </c>
      <c r="W2998" s="845">
        <v>0.52467105263157898</v>
      </c>
      <c r="X2998" s="845">
        <v>0.15360501567398119</v>
      </c>
      <c r="Y2998" s="845">
        <v>0.8950111690245719</v>
      </c>
      <c r="Z2998" s="845">
        <v>6.7014147431124346E-3</v>
      </c>
      <c r="AA2998" s="845">
        <v>0</v>
      </c>
      <c r="AB2998" s="845">
        <v>0</v>
      </c>
      <c r="AC2998" s="845">
        <v>0</v>
      </c>
      <c r="AD2998" s="845">
        <v>0</v>
      </c>
      <c r="AE2998" s="845">
        <v>9.8287416232315711E-2</v>
      </c>
      <c r="AF2998" s="845">
        <v>1.7870439314966492E-2</v>
      </c>
      <c r="AG2998" s="845">
        <v>0.87714072970960533</v>
      </c>
      <c r="AH2998" s="20" t="str">
        <f t="shared" si="211"/>
        <v>No</v>
      </c>
      <c r="AI2998" s="25"/>
      <c r="AU2998" s="19"/>
      <c r="AV2998" s="19"/>
      <c r="AW2998" s="19"/>
      <c r="BU2998"/>
      <c r="BV2998"/>
      <c r="BW2998"/>
      <c r="BX2998"/>
      <c r="BY2998"/>
      <c r="BZ2998"/>
      <c r="CA2998"/>
      <c r="CB2998"/>
      <c r="CC2998"/>
    </row>
    <row r="2999" spans="1:81" s="17" customFormat="1" x14ac:dyDescent="0.2">
      <c r="A2999" s="25"/>
      <c r="B2999" s="20">
        <v>39035151800</v>
      </c>
      <c r="C2999" s="20">
        <v>1518</v>
      </c>
      <c r="D2999" s="20" t="s">
        <v>24</v>
      </c>
      <c r="E2999" s="20" t="s">
        <v>2829</v>
      </c>
      <c r="F2999" s="20" t="s">
        <v>6</v>
      </c>
      <c r="G2999" s="861">
        <v>23.9943493457098</v>
      </c>
      <c r="H2999" s="861">
        <v>53.590952755622801</v>
      </c>
      <c r="I2999" s="861">
        <v>82.681289374926806</v>
      </c>
      <c r="J2999" s="861">
        <v>39.650239414150697</v>
      </c>
      <c r="K2999" s="982">
        <v>0</v>
      </c>
      <c r="L2999" s="735">
        <v>1806</v>
      </c>
      <c r="M2999" s="735">
        <v>1443</v>
      </c>
      <c r="N2999" s="845">
        <f t="shared" si="209"/>
        <v>-0.2009966777408638</v>
      </c>
      <c r="O2999" s="735">
        <v>0.2281392712648399</v>
      </c>
      <c r="P2999" s="735">
        <f t="shared" si="210"/>
        <v>6325.0837613348267</v>
      </c>
      <c r="Q2999" s="849">
        <v>28.9</v>
      </c>
      <c r="R2999" s="71">
        <v>26458</v>
      </c>
      <c r="S2999" s="845">
        <v>0.45114345114345117</v>
      </c>
      <c r="T2999" s="845">
        <v>6.8000000000000005E-2</v>
      </c>
      <c r="U2999" s="845">
        <v>0</v>
      </c>
      <c r="V2999" s="845">
        <v>0.04</v>
      </c>
      <c r="W2999" s="845">
        <v>0.65896980461811727</v>
      </c>
      <c r="X2999" s="845">
        <v>0.54986522911051217</v>
      </c>
      <c r="Y2999" s="845">
        <v>1.3167013167013167E-2</v>
      </c>
      <c r="Z2999" s="845">
        <v>0.91891891891891897</v>
      </c>
      <c r="AA2999" s="845">
        <v>2.772002772002772E-3</v>
      </c>
      <c r="AB2999" s="845">
        <v>0</v>
      </c>
      <c r="AC2999" s="845">
        <v>0</v>
      </c>
      <c r="AD2999" s="845">
        <v>3.4650034650034649E-3</v>
      </c>
      <c r="AE2999" s="845">
        <v>6.1677061677061676E-2</v>
      </c>
      <c r="AF2999" s="845">
        <v>0</v>
      </c>
      <c r="AG2999" s="845">
        <v>1.3167013167013167E-2</v>
      </c>
      <c r="AH2999" s="20" t="str">
        <f t="shared" si="211"/>
        <v>No</v>
      </c>
      <c r="AI2999" s="25"/>
      <c r="AU2999" s="19"/>
      <c r="AV2999" s="19"/>
      <c r="AW2999" s="19"/>
      <c r="BU2999"/>
      <c r="BV2999"/>
      <c r="BW2999"/>
      <c r="BX2999"/>
      <c r="BY2999"/>
      <c r="BZ2999"/>
      <c r="CA2999"/>
      <c r="CB2999"/>
      <c r="CC2999"/>
    </row>
    <row r="3000" spans="1:81" s="17" customFormat="1" x14ac:dyDescent="0.2">
      <c r="A3000" s="25"/>
      <c r="B3000" s="20">
        <v>39113001700</v>
      </c>
      <c r="C3000" s="20">
        <v>17</v>
      </c>
      <c r="D3000" s="20" t="s">
        <v>62</v>
      </c>
      <c r="E3000" s="20" t="s">
        <v>2833</v>
      </c>
      <c r="F3000" s="20" t="s">
        <v>6</v>
      </c>
      <c r="G3000" s="861">
        <v>23.990350914573799</v>
      </c>
      <c r="H3000" s="861">
        <v>38.433851049282602</v>
      </c>
      <c r="I3000" s="861">
        <v>74.310280253806496</v>
      </c>
      <c r="J3000" s="861">
        <v>34.3773652135798</v>
      </c>
      <c r="K3000" s="982">
        <v>0</v>
      </c>
      <c r="L3000" s="735">
        <v>682</v>
      </c>
      <c r="M3000" s="735">
        <v>711</v>
      </c>
      <c r="N3000" s="845">
        <f t="shared" si="209"/>
        <v>4.2521994134897358E-2</v>
      </c>
      <c r="O3000" s="735">
        <v>1.4106690242682234</v>
      </c>
      <c r="P3000" s="735">
        <f t="shared" si="210"/>
        <v>504.01617088659566</v>
      </c>
      <c r="Q3000" s="849">
        <v>38.799999999999997</v>
      </c>
      <c r="R3000" s="71">
        <v>35833</v>
      </c>
      <c r="S3000" s="845">
        <v>0.31645569620253167</v>
      </c>
      <c r="T3000" s="845">
        <v>0.13900000000000001</v>
      </c>
      <c r="U3000" s="845">
        <v>0</v>
      </c>
      <c r="V3000" s="845">
        <v>0</v>
      </c>
      <c r="W3000" s="845">
        <v>0.78894472361809043</v>
      </c>
      <c r="X3000" s="845">
        <v>0.43949044585987262</v>
      </c>
      <c r="Y3000" s="845">
        <v>0.71448663853727146</v>
      </c>
      <c r="Z3000" s="845">
        <v>0.20253164556962025</v>
      </c>
      <c r="AA3000" s="845">
        <v>0</v>
      </c>
      <c r="AB3000" s="845">
        <v>0</v>
      </c>
      <c r="AC3000" s="845">
        <v>0</v>
      </c>
      <c r="AD3000" s="845">
        <v>0</v>
      </c>
      <c r="AE3000" s="845">
        <v>8.2981715893108293E-2</v>
      </c>
      <c r="AF3000" s="845">
        <v>6.0478199718706049E-2</v>
      </c>
      <c r="AG3000" s="845">
        <v>0.71448663853727146</v>
      </c>
      <c r="AH3000" s="20" t="str">
        <f t="shared" si="211"/>
        <v>No</v>
      </c>
      <c r="AI3000" s="25"/>
      <c r="AU3000" s="19"/>
      <c r="AV3000" s="19"/>
      <c r="AW3000" s="19"/>
      <c r="BU3000"/>
      <c r="BV3000"/>
      <c r="BW3000"/>
      <c r="BX3000"/>
      <c r="BY3000"/>
      <c r="BZ3000"/>
      <c r="CA3000"/>
      <c r="CB3000"/>
      <c r="CC3000"/>
    </row>
    <row r="3001" spans="1:81" s="17" customFormat="1" x14ac:dyDescent="0.2">
      <c r="A3001" s="25"/>
      <c r="B3001" s="20">
        <v>39035119600</v>
      </c>
      <c r="C3001" s="20">
        <v>1196</v>
      </c>
      <c r="D3001" s="20" t="s">
        <v>24</v>
      </c>
      <c r="E3001" s="20" t="s">
        <v>2829</v>
      </c>
      <c r="F3001" s="20" t="s">
        <v>6</v>
      </c>
      <c r="G3001" s="861">
        <v>23.980205572976299</v>
      </c>
      <c r="H3001" s="861">
        <v>36.868052193006399</v>
      </c>
      <c r="I3001" s="861">
        <v>75.204681872756595</v>
      </c>
      <c r="J3001" s="861">
        <v>51.295232348814501</v>
      </c>
      <c r="K3001" s="982">
        <v>0</v>
      </c>
      <c r="L3001" s="735">
        <v>2331</v>
      </c>
      <c r="M3001" s="735">
        <v>2201</v>
      </c>
      <c r="N3001" s="845">
        <f t="shared" si="209"/>
        <v>-5.5770055770055768E-2</v>
      </c>
      <c r="O3001" s="735">
        <v>0.47616936743389143</v>
      </c>
      <c r="P3001" s="735">
        <f t="shared" si="210"/>
        <v>4622.3048993288594</v>
      </c>
      <c r="Q3001" s="849">
        <v>44</v>
      </c>
      <c r="R3001" s="71">
        <v>35417</v>
      </c>
      <c r="S3001" s="845">
        <v>0.16946842344388915</v>
      </c>
      <c r="T3001" s="845">
        <v>0.11900000000000001</v>
      </c>
      <c r="U3001" s="845">
        <v>0</v>
      </c>
      <c r="V3001" s="845">
        <v>0</v>
      </c>
      <c r="W3001" s="845">
        <v>0.63100000000000001</v>
      </c>
      <c r="X3001" s="845">
        <v>0.34072900158478603</v>
      </c>
      <c r="Y3001" s="845">
        <v>0.11949114039073148</v>
      </c>
      <c r="Z3001" s="845">
        <v>0.84643343934575188</v>
      </c>
      <c r="AA3001" s="845">
        <v>0</v>
      </c>
      <c r="AB3001" s="845">
        <v>2.862335302135393E-2</v>
      </c>
      <c r="AC3001" s="845">
        <v>0</v>
      </c>
      <c r="AD3001" s="845">
        <v>0</v>
      </c>
      <c r="AE3001" s="845">
        <v>5.4520672421626533E-3</v>
      </c>
      <c r="AF3001" s="845">
        <v>1.7264879600181735E-2</v>
      </c>
      <c r="AG3001" s="845">
        <v>0.10222626079054975</v>
      </c>
      <c r="AH3001" s="20" t="str">
        <f t="shared" si="211"/>
        <v>No</v>
      </c>
      <c r="AI3001" s="25"/>
      <c r="AU3001" s="19"/>
      <c r="AV3001" s="19"/>
      <c r="AW3001" s="19"/>
      <c r="BU3001"/>
      <c r="BV3001"/>
      <c r="BW3001"/>
      <c r="BX3001"/>
      <c r="BY3001"/>
      <c r="BZ3001"/>
      <c r="CA3001"/>
      <c r="CB3001"/>
      <c r="CC3001"/>
    </row>
    <row r="3002" spans="1:81" s="17" customFormat="1" x14ac:dyDescent="0.2">
      <c r="A3002" s="25"/>
      <c r="B3002" s="20">
        <v>39093022200</v>
      </c>
      <c r="C3002" s="20">
        <v>222</v>
      </c>
      <c r="D3002" s="20" t="s">
        <v>52</v>
      </c>
      <c r="E3002" s="20" t="s">
        <v>2829</v>
      </c>
      <c r="F3002" s="20" t="s">
        <v>6</v>
      </c>
      <c r="G3002" s="861">
        <v>23.7974851178652</v>
      </c>
      <c r="H3002" s="861">
        <v>30.538022846329302</v>
      </c>
      <c r="I3002" s="861">
        <v>50.452883889508897</v>
      </c>
      <c r="J3002" s="861">
        <v>32.522317910729399</v>
      </c>
      <c r="K3002" s="982">
        <v>0</v>
      </c>
      <c r="L3002" s="735">
        <v>2576</v>
      </c>
      <c r="M3002" s="735">
        <v>2346</v>
      </c>
      <c r="N3002" s="845">
        <f t="shared" si="209"/>
        <v>-8.9285714285714288E-2</v>
      </c>
      <c r="O3002" s="735">
        <v>0.58255711451895431</v>
      </c>
      <c r="P3002" s="735">
        <f t="shared" si="210"/>
        <v>4027.0729539320896</v>
      </c>
      <c r="Q3002" s="849">
        <v>41</v>
      </c>
      <c r="R3002" s="71">
        <v>43988</v>
      </c>
      <c r="S3002" s="845">
        <v>0.2391304347826087</v>
      </c>
      <c r="T3002" s="845">
        <v>8.8000000000000009E-2</v>
      </c>
      <c r="U3002" s="845">
        <v>0</v>
      </c>
      <c r="V3002" s="845">
        <v>0</v>
      </c>
      <c r="W3002" s="845">
        <v>0.44424620874219445</v>
      </c>
      <c r="X3002" s="845">
        <v>0.43574297188755018</v>
      </c>
      <c r="Y3002" s="845">
        <v>0.78005115089514065</v>
      </c>
      <c r="Z3002" s="845">
        <v>5.6692242114236999E-2</v>
      </c>
      <c r="AA3002" s="845">
        <v>0</v>
      </c>
      <c r="AB3002" s="845">
        <v>0</v>
      </c>
      <c r="AC3002" s="845">
        <v>0</v>
      </c>
      <c r="AD3002" s="845">
        <v>2.9838022165387893E-3</v>
      </c>
      <c r="AE3002" s="845">
        <v>0.16027280477408354</v>
      </c>
      <c r="AF3002" s="845">
        <v>5.5413469735720373E-2</v>
      </c>
      <c r="AG3002" s="845">
        <v>0.77536231884057971</v>
      </c>
      <c r="AH3002" s="20" t="str">
        <f t="shared" si="211"/>
        <v>No</v>
      </c>
      <c r="AI3002" s="25"/>
      <c r="AU3002" s="19"/>
      <c r="AV3002" s="19"/>
      <c r="AW3002" s="19"/>
      <c r="BU3002"/>
      <c r="BV3002"/>
      <c r="BW3002"/>
      <c r="BX3002"/>
      <c r="BY3002"/>
      <c r="BZ3002"/>
      <c r="CA3002"/>
      <c r="CB3002"/>
      <c r="CC3002"/>
    </row>
    <row r="3003" spans="1:81" s="17" customFormat="1" x14ac:dyDescent="0.2">
      <c r="A3003" s="25"/>
      <c r="B3003" s="20">
        <v>39055311000</v>
      </c>
      <c r="C3003" s="20">
        <v>3110</v>
      </c>
      <c r="D3003" s="20" t="s">
        <v>34</v>
      </c>
      <c r="E3003" s="20" t="s">
        <v>2829</v>
      </c>
      <c r="F3003" s="20" t="s">
        <v>8</v>
      </c>
      <c r="G3003" s="861">
        <v>23.691432679881999</v>
      </c>
      <c r="H3003" s="861">
        <v>25.738941657030399</v>
      </c>
      <c r="I3003" s="861">
        <v>11.798307599383801</v>
      </c>
      <c r="J3003" s="861">
        <v>42.538612813060901</v>
      </c>
      <c r="K3003" s="982">
        <v>0</v>
      </c>
      <c r="L3003" s="735">
        <v>3662</v>
      </c>
      <c r="M3003" s="735">
        <v>3664</v>
      </c>
      <c r="N3003" s="845">
        <f t="shared" si="209"/>
        <v>5.461496450027307E-4</v>
      </c>
      <c r="O3003" s="735">
        <v>23.683832278287952</v>
      </c>
      <c r="P3003" s="735">
        <f t="shared" si="210"/>
        <v>154.70469292923323</v>
      </c>
      <c r="Q3003" s="849">
        <v>25.3</v>
      </c>
      <c r="R3003" s="71">
        <v>85266</v>
      </c>
      <c r="S3003" s="845">
        <v>0.10557103064066853</v>
      </c>
      <c r="T3003" s="845">
        <v>5.2000000000000005E-2</v>
      </c>
      <c r="U3003" s="845">
        <v>0</v>
      </c>
      <c r="V3003" s="845">
        <v>0</v>
      </c>
      <c r="W3003" s="845">
        <v>9.8214285714285712E-2</v>
      </c>
      <c r="X3003" s="845">
        <v>0.27272727272727271</v>
      </c>
      <c r="Y3003" s="845">
        <v>0.9751637554585153</v>
      </c>
      <c r="Z3003" s="845">
        <v>1.6375545851528384E-2</v>
      </c>
      <c r="AA3003" s="845">
        <v>1.3646288209606986E-3</v>
      </c>
      <c r="AB3003" s="845">
        <v>1.0917030567685589E-3</v>
      </c>
      <c r="AC3003" s="845">
        <v>0</v>
      </c>
      <c r="AD3003" s="845">
        <v>0</v>
      </c>
      <c r="AE3003" s="845">
        <v>6.0043668122270744E-3</v>
      </c>
      <c r="AF3003" s="845">
        <v>3.8209606986899561E-3</v>
      </c>
      <c r="AG3003" s="845">
        <v>0.9743449781659389</v>
      </c>
      <c r="AH3003" s="20" t="str">
        <f t="shared" si="211"/>
        <v>Yes</v>
      </c>
      <c r="AI3003" s="25"/>
      <c r="AU3003" s="19"/>
      <c r="AV3003" s="19"/>
      <c r="AW3003" s="19"/>
      <c r="BU3003"/>
      <c r="BV3003"/>
      <c r="BW3003"/>
      <c r="BX3003"/>
      <c r="BY3003"/>
      <c r="BZ3003"/>
      <c r="CA3003"/>
      <c r="CB3003"/>
      <c r="CC3003"/>
    </row>
    <row r="3004" spans="1:81" s="17" customFormat="1" x14ac:dyDescent="0.2">
      <c r="A3004" s="25"/>
      <c r="B3004" s="20">
        <v>39009973901</v>
      </c>
      <c r="C3004" s="20">
        <v>9739.01</v>
      </c>
      <c r="D3004" s="20" t="s">
        <v>11</v>
      </c>
      <c r="E3004" s="20" t="s">
        <v>265</v>
      </c>
      <c r="F3004" s="20" t="s">
        <v>6</v>
      </c>
      <c r="G3004" s="861">
        <v>23.583081489191098</v>
      </c>
      <c r="H3004" s="861">
        <v>14.6731499854611</v>
      </c>
      <c r="I3004" s="861">
        <v>59.753888096862902</v>
      </c>
      <c r="J3004" s="861">
        <v>32.846442802618398</v>
      </c>
      <c r="K3004" s="982">
        <v>0</v>
      </c>
      <c r="L3004" s="735">
        <v>6658</v>
      </c>
      <c r="M3004" s="735">
        <v>5317</v>
      </c>
      <c r="N3004" s="845">
        <f t="shared" si="209"/>
        <v>-0.2014118353860018</v>
      </c>
      <c r="O3004" s="735">
        <v>0.45139473632564286</v>
      </c>
      <c r="P3004" s="735">
        <f t="shared" si="210"/>
        <v>11779.047410433774</v>
      </c>
      <c r="Q3004" s="849">
        <v>19.8</v>
      </c>
      <c r="R3004" s="71">
        <v>11107</v>
      </c>
      <c r="S3004" s="845">
        <v>0.86582478295185472</v>
      </c>
      <c r="T3004" s="845">
        <v>0.11</v>
      </c>
      <c r="U3004" s="845">
        <v>0</v>
      </c>
      <c r="V3004" s="845">
        <v>0.183</v>
      </c>
      <c r="W3004" s="845">
        <v>0.98446601941747569</v>
      </c>
      <c r="X3004" s="845">
        <v>0.92110453648915191</v>
      </c>
      <c r="Y3004" s="845">
        <v>0.87022757193906342</v>
      </c>
      <c r="Z3004" s="845">
        <v>4.5702463795373328E-2</v>
      </c>
      <c r="AA3004" s="845">
        <v>0</v>
      </c>
      <c r="AB3004" s="845">
        <v>1.7491066390821892E-2</v>
      </c>
      <c r="AC3004" s="845">
        <v>0</v>
      </c>
      <c r="AD3004" s="845">
        <v>4.1376716193342114E-3</v>
      </c>
      <c r="AE3004" s="845">
        <v>6.2441226255407184E-2</v>
      </c>
      <c r="AF3004" s="845">
        <v>3.6298664660522853E-2</v>
      </c>
      <c r="AG3004" s="845">
        <v>0.84352078239608796</v>
      </c>
      <c r="AH3004" s="20" t="str">
        <f t="shared" si="211"/>
        <v>No</v>
      </c>
      <c r="AI3004" s="25"/>
      <c r="AU3004" s="19"/>
      <c r="AV3004" s="19"/>
      <c r="AW3004" s="19"/>
      <c r="BU3004"/>
      <c r="BV3004"/>
      <c r="BW3004"/>
      <c r="BX3004"/>
      <c r="BY3004"/>
      <c r="BZ3004"/>
      <c r="CA3004"/>
      <c r="CB3004"/>
      <c r="CC3004"/>
    </row>
    <row r="3005" spans="1:81" s="17" customFormat="1" x14ac:dyDescent="0.2">
      <c r="A3005" s="25"/>
      <c r="B3005" s="20">
        <v>39151701500</v>
      </c>
      <c r="C3005" s="20">
        <v>7015</v>
      </c>
      <c r="D3005" s="20" t="s">
        <v>81</v>
      </c>
      <c r="E3005" s="20" t="s">
        <v>2844</v>
      </c>
      <c r="F3005" s="20" t="s">
        <v>6</v>
      </c>
      <c r="G3005" s="861">
        <v>23.503348606503799</v>
      </c>
      <c r="H3005" s="861">
        <v>35.876579111950598</v>
      </c>
      <c r="I3005" s="861">
        <v>62.104056609727202</v>
      </c>
      <c r="J3005" s="861">
        <v>24.265273189904999</v>
      </c>
      <c r="K3005" s="982">
        <v>0</v>
      </c>
      <c r="L3005" s="735">
        <v>2856</v>
      </c>
      <c r="M3005" s="735">
        <v>2642</v>
      </c>
      <c r="N3005" s="845">
        <f t="shared" si="209"/>
        <v>-7.4929971988795516E-2</v>
      </c>
      <c r="O3005" s="735">
        <v>0.84609693439866795</v>
      </c>
      <c r="P3005" s="735">
        <f t="shared" si="210"/>
        <v>3122.5736586289649</v>
      </c>
      <c r="Q3005" s="849">
        <v>38.1</v>
      </c>
      <c r="R3005" s="71">
        <v>45656</v>
      </c>
      <c r="S3005" s="845">
        <v>0.38824884792626729</v>
      </c>
      <c r="T3005" s="845">
        <v>4.2000000000000003E-2</v>
      </c>
      <c r="U3005" s="845">
        <v>0</v>
      </c>
      <c r="V3005" s="845">
        <v>0.02</v>
      </c>
      <c r="W3005" s="845">
        <v>0.78033658104517267</v>
      </c>
      <c r="X3005" s="845">
        <v>0.37911464245175935</v>
      </c>
      <c r="Y3005" s="845">
        <v>0.69871309613928845</v>
      </c>
      <c r="Z3005" s="845">
        <v>0.16691900075700228</v>
      </c>
      <c r="AA3005" s="845">
        <v>0</v>
      </c>
      <c r="AB3005" s="845">
        <v>0</v>
      </c>
      <c r="AC3005" s="845">
        <v>0</v>
      </c>
      <c r="AD3005" s="845">
        <v>7.9485238455715371E-3</v>
      </c>
      <c r="AE3005" s="845">
        <v>0.12641937925813779</v>
      </c>
      <c r="AF3005" s="845">
        <v>1.4004542013626041E-2</v>
      </c>
      <c r="AG3005" s="845">
        <v>0.69871309613928845</v>
      </c>
      <c r="AH3005" s="20" t="str">
        <f t="shared" si="211"/>
        <v>No</v>
      </c>
      <c r="AI3005" s="25"/>
      <c r="AU3005" s="19"/>
      <c r="AV3005" s="19"/>
      <c r="AW3005" s="19"/>
      <c r="BU3005"/>
      <c r="BV3005"/>
      <c r="BW3005"/>
      <c r="BX3005"/>
      <c r="BY3005"/>
      <c r="BZ3005"/>
      <c r="CA3005"/>
      <c r="CB3005"/>
      <c r="CC3005"/>
    </row>
    <row r="3006" spans="1:81" s="17" customFormat="1" x14ac:dyDescent="0.2">
      <c r="A3006" s="25"/>
      <c r="B3006" s="20">
        <v>39095002000</v>
      </c>
      <c r="C3006" s="20">
        <v>20</v>
      </c>
      <c r="D3006" s="20" t="s">
        <v>53</v>
      </c>
      <c r="E3006" s="20" t="s">
        <v>2839</v>
      </c>
      <c r="F3006" s="20" t="s">
        <v>6</v>
      </c>
      <c r="G3006" s="861">
        <v>23.4990564005533</v>
      </c>
      <c r="H3006" s="861">
        <v>41.7082215265442</v>
      </c>
      <c r="I3006" s="861">
        <v>71.960678989335804</v>
      </c>
      <c r="J3006" s="861">
        <v>38.236966869622002</v>
      </c>
      <c r="K3006" s="982">
        <v>0</v>
      </c>
      <c r="L3006" s="735">
        <v>1801</v>
      </c>
      <c r="M3006" s="735">
        <v>1281</v>
      </c>
      <c r="N3006" s="845">
        <f t="shared" si="209"/>
        <v>-0.2887284841754581</v>
      </c>
      <c r="O3006" s="735">
        <v>0.46772647153194846</v>
      </c>
      <c r="P3006" s="735">
        <f t="shared" si="210"/>
        <v>2738.7802016087094</v>
      </c>
      <c r="Q3006" s="849">
        <v>40.700000000000003</v>
      </c>
      <c r="R3006" s="71">
        <v>39009</v>
      </c>
      <c r="S3006" s="845">
        <v>0.42779078844652613</v>
      </c>
      <c r="T3006" s="845">
        <v>3.3000000000000002E-2</v>
      </c>
      <c r="U3006" s="845">
        <v>0</v>
      </c>
      <c r="V3006" s="845">
        <v>6.4000000000000001E-2</v>
      </c>
      <c r="W3006" s="845">
        <v>0.32335329341317365</v>
      </c>
      <c r="X3006" s="845">
        <v>0.24074074074074073</v>
      </c>
      <c r="Y3006" s="845">
        <v>0.58313817330210771</v>
      </c>
      <c r="Z3006" s="845">
        <v>0.22872755659640906</v>
      </c>
      <c r="AA3006" s="845">
        <v>9.3676814988290398E-3</v>
      </c>
      <c r="AB3006" s="845">
        <v>0</v>
      </c>
      <c r="AC3006" s="845">
        <v>0</v>
      </c>
      <c r="AD3006" s="845">
        <v>8.5089773614363776E-2</v>
      </c>
      <c r="AE3006" s="845">
        <v>9.3676814988290405E-2</v>
      </c>
      <c r="AF3006" s="845">
        <v>0.1795472287275566</v>
      </c>
      <c r="AG3006" s="845">
        <v>0.50663544106167058</v>
      </c>
      <c r="AH3006" s="20" t="str">
        <f t="shared" si="211"/>
        <v>No</v>
      </c>
      <c r="AI3006" s="25"/>
      <c r="AU3006" s="19"/>
      <c r="AV3006" s="19"/>
      <c r="AW3006" s="19"/>
      <c r="BU3006"/>
      <c r="BV3006"/>
      <c r="BW3006"/>
      <c r="BX3006"/>
      <c r="BY3006"/>
      <c r="BZ3006"/>
      <c r="CA3006"/>
      <c r="CB3006"/>
      <c r="CC3006"/>
    </row>
    <row r="3007" spans="1:81" s="17" customFormat="1" x14ac:dyDescent="0.2">
      <c r="A3007" s="25"/>
      <c r="B3007" s="20">
        <v>39111966600</v>
      </c>
      <c r="C3007" s="20">
        <v>9666</v>
      </c>
      <c r="D3007" s="20" t="s">
        <v>61</v>
      </c>
      <c r="E3007" s="20" t="s">
        <v>265</v>
      </c>
      <c r="F3007" s="20" t="s">
        <v>8</v>
      </c>
      <c r="G3007" s="861">
        <v>23.442641246093501</v>
      </c>
      <c r="H3007" s="861">
        <v>25.921308309809799</v>
      </c>
      <c r="I3007" s="861">
        <v>21.8103850914719</v>
      </c>
      <c r="J3007" s="861">
        <v>47.493081347675897</v>
      </c>
      <c r="K3007" s="982">
        <v>0</v>
      </c>
      <c r="L3007" s="735">
        <v>3258</v>
      </c>
      <c r="M3007" s="735">
        <v>2742</v>
      </c>
      <c r="N3007" s="845">
        <f t="shared" si="209"/>
        <v>-0.15837937384898712</v>
      </c>
      <c r="O3007" s="735">
        <v>102.40780333157592</v>
      </c>
      <c r="P3007" s="735">
        <f t="shared" si="210"/>
        <v>26.775303353807466</v>
      </c>
      <c r="Q3007" s="849">
        <v>53.4</v>
      </c>
      <c r="R3007" s="71">
        <v>61146</v>
      </c>
      <c r="S3007" s="845">
        <v>0.12946754194018964</v>
      </c>
      <c r="T3007" s="845">
        <v>4.4000000000000004E-2</v>
      </c>
      <c r="U3007" s="845">
        <v>8.0000000000000002E-3</v>
      </c>
      <c r="V3007" s="845">
        <v>0</v>
      </c>
      <c r="W3007" s="845">
        <v>0.10575427682737169</v>
      </c>
      <c r="X3007" s="845">
        <v>0.41911764705882354</v>
      </c>
      <c r="Y3007" s="845">
        <v>0.98723559445660103</v>
      </c>
      <c r="Z3007" s="845">
        <v>0</v>
      </c>
      <c r="AA3007" s="845">
        <v>0</v>
      </c>
      <c r="AB3007" s="845">
        <v>0</v>
      </c>
      <c r="AC3007" s="845">
        <v>0</v>
      </c>
      <c r="AD3007" s="845">
        <v>0</v>
      </c>
      <c r="AE3007" s="845">
        <v>1.2764405543398978E-2</v>
      </c>
      <c r="AF3007" s="845">
        <v>7.2939460247994166E-4</v>
      </c>
      <c r="AG3007" s="845">
        <v>0.98723559445660103</v>
      </c>
      <c r="AH3007" s="20" t="str">
        <f t="shared" si="211"/>
        <v>Yes</v>
      </c>
      <c r="AI3007" s="25"/>
      <c r="AU3007" s="19"/>
      <c r="AV3007" s="19"/>
      <c r="AW3007" s="19"/>
      <c r="BU3007"/>
      <c r="BV3007"/>
      <c r="BW3007"/>
      <c r="BX3007"/>
      <c r="BY3007"/>
      <c r="BZ3007"/>
      <c r="CA3007"/>
      <c r="CB3007"/>
      <c r="CC3007"/>
    </row>
    <row r="3008" spans="1:81" s="17" customFormat="1" x14ac:dyDescent="0.2">
      <c r="A3008" s="25"/>
      <c r="B3008" s="20">
        <v>39133601502</v>
      </c>
      <c r="C3008" s="20">
        <v>6015.02</v>
      </c>
      <c r="D3008" s="20" t="s">
        <v>72</v>
      </c>
      <c r="E3008" s="20" t="s">
        <v>2843</v>
      </c>
      <c r="F3008" s="20" t="s">
        <v>6</v>
      </c>
      <c r="G3008" s="861">
        <v>23.430508009814101</v>
      </c>
      <c r="H3008" s="861">
        <v>28.1720997217374</v>
      </c>
      <c r="I3008" s="861">
        <v>59.188287306132104</v>
      </c>
      <c r="J3008" s="861">
        <v>60.396933165982702</v>
      </c>
      <c r="K3008" s="982">
        <v>0</v>
      </c>
      <c r="L3008" s="735">
        <v>5960</v>
      </c>
      <c r="M3008" s="735">
        <v>6719</v>
      </c>
      <c r="N3008" s="845">
        <f t="shared" si="209"/>
        <v>0.12734899328859062</v>
      </c>
      <c r="O3008" s="735">
        <v>0.64343770288582525</v>
      </c>
      <c r="P3008" s="735">
        <f t="shared" si="210"/>
        <v>10442.347363023973</v>
      </c>
      <c r="Q3008" s="849">
        <v>19.8</v>
      </c>
      <c r="R3008" s="71">
        <v>29778</v>
      </c>
      <c r="S3008" s="845">
        <v>0.37314319667260842</v>
      </c>
      <c r="T3008" s="845">
        <v>0.12300000000000001</v>
      </c>
      <c r="U3008" s="845">
        <v>0</v>
      </c>
      <c r="V3008" s="845">
        <v>3.3000000000000002E-2</v>
      </c>
      <c r="W3008" s="845">
        <v>0.96595744680851059</v>
      </c>
      <c r="X3008" s="845">
        <v>0.71585903083700442</v>
      </c>
      <c r="Y3008" s="845">
        <v>0.82556928114302719</v>
      </c>
      <c r="Z3008" s="845">
        <v>8.7810686114005054E-2</v>
      </c>
      <c r="AA3008" s="845">
        <v>0</v>
      </c>
      <c r="AB3008" s="845">
        <v>3.6910254502158062E-2</v>
      </c>
      <c r="AC3008" s="845">
        <v>7.4415835689834798E-4</v>
      </c>
      <c r="AD3008" s="845">
        <v>2.8278017562137223E-3</v>
      </c>
      <c r="AE3008" s="845">
        <v>4.6137818127697572E-2</v>
      </c>
      <c r="AF3008" s="845">
        <v>3.3933621074564664E-2</v>
      </c>
      <c r="AG3008" s="845">
        <v>0.80681649054918891</v>
      </c>
      <c r="AH3008" s="20" t="str">
        <f t="shared" si="211"/>
        <v>No</v>
      </c>
      <c r="AI3008" s="25"/>
      <c r="AU3008" s="19"/>
      <c r="AV3008" s="19"/>
      <c r="AW3008" s="19"/>
      <c r="BU3008"/>
      <c r="BV3008"/>
      <c r="BW3008"/>
      <c r="BX3008"/>
      <c r="BY3008"/>
      <c r="BZ3008"/>
      <c r="CA3008"/>
      <c r="CB3008"/>
      <c r="CC3008"/>
    </row>
    <row r="3009" spans="1:81" s="17" customFormat="1" x14ac:dyDescent="0.2">
      <c r="A3009" s="25"/>
      <c r="B3009" s="20">
        <v>39017014000</v>
      </c>
      <c r="C3009" s="20">
        <v>140</v>
      </c>
      <c r="D3009" s="20" t="s">
        <v>15</v>
      </c>
      <c r="E3009" s="20" t="s">
        <v>2828</v>
      </c>
      <c r="F3009" s="20" t="s">
        <v>6</v>
      </c>
      <c r="G3009" s="861">
        <v>23.298286500380101</v>
      </c>
      <c r="H3009" s="861">
        <v>30.605254533105001</v>
      </c>
      <c r="I3009" s="861">
        <v>38.817961731651899</v>
      </c>
      <c r="J3009" s="861">
        <v>38.094501200762402</v>
      </c>
      <c r="K3009" s="982">
        <v>2</v>
      </c>
      <c r="L3009" s="735">
        <v>2344</v>
      </c>
      <c r="M3009" s="735">
        <v>2386</v>
      </c>
      <c r="N3009" s="845">
        <f t="shared" si="209"/>
        <v>1.7918088737201365E-2</v>
      </c>
      <c r="O3009" s="735">
        <v>1.6093162682511311</v>
      </c>
      <c r="P3009" s="735">
        <f t="shared" si="210"/>
        <v>1482.617212707918</v>
      </c>
      <c r="Q3009" s="849">
        <v>34.299999999999997</v>
      </c>
      <c r="R3009" s="71">
        <v>34643</v>
      </c>
      <c r="S3009" s="845">
        <v>0.42414082145850796</v>
      </c>
      <c r="T3009" s="845">
        <v>0.11599999999999999</v>
      </c>
      <c r="U3009" s="845">
        <v>6.0999999999999999E-2</v>
      </c>
      <c r="V3009" s="845">
        <v>8.199999999999999E-2</v>
      </c>
      <c r="W3009" s="845">
        <v>0.62061855670103094</v>
      </c>
      <c r="X3009" s="845">
        <v>0.43023255813953487</v>
      </c>
      <c r="Y3009" s="845">
        <v>0.60980720871751881</v>
      </c>
      <c r="Z3009" s="845">
        <v>0.26445934618608552</v>
      </c>
      <c r="AA3009" s="845">
        <v>0</v>
      </c>
      <c r="AB3009" s="845">
        <v>0</v>
      </c>
      <c r="AC3009" s="845">
        <v>0</v>
      </c>
      <c r="AD3009" s="845">
        <v>6.119027661357921E-2</v>
      </c>
      <c r="AE3009" s="845">
        <v>6.4543168482816424E-2</v>
      </c>
      <c r="AF3009" s="845">
        <v>0.134953897736798</v>
      </c>
      <c r="AG3009" s="845">
        <v>0.51383067896060353</v>
      </c>
      <c r="AH3009" s="20" t="str">
        <f t="shared" si="211"/>
        <v>No</v>
      </c>
      <c r="AI3009" s="25"/>
      <c r="AU3009" s="19"/>
      <c r="AV3009" s="19"/>
      <c r="AW3009" s="19"/>
      <c r="BU3009"/>
      <c r="BV3009"/>
      <c r="BW3009"/>
      <c r="BX3009"/>
      <c r="BY3009"/>
      <c r="BZ3009"/>
      <c r="CA3009"/>
      <c r="CB3009"/>
      <c r="CC3009"/>
    </row>
    <row r="3010" spans="1:81" s="17" customFormat="1" x14ac:dyDescent="0.2">
      <c r="A3010" s="25"/>
      <c r="B3010" s="20">
        <v>39151700500</v>
      </c>
      <c r="C3010" s="20">
        <v>7005</v>
      </c>
      <c r="D3010" s="20" t="s">
        <v>81</v>
      </c>
      <c r="E3010" s="20" t="s">
        <v>2844</v>
      </c>
      <c r="F3010" s="20" t="s">
        <v>6</v>
      </c>
      <c r="G3010" s="861">
        <v>23.226426368527001</v>
      </c>
      <c r="H3010" s="861">
        <v>33.3680256164822</v>
      </c>
      <c r="I3010" s="861">
        <v>53.652332276187202</v>
      </c>
      <c r="J3010" s="861">
        <v>33.473696935532999</v>
      </c>
      <c r="K3010" s="982">
        <v>0</v>
      </c>
      <c r="L3010" s="735">
        <v>2925</v>
      </c>
      <c r="M3010" s="735">
        <v>2771</v>
      </c>
      <c r="N3010" s="845">
        <f t="shared" si="209"/>
        <v>-5.2649572649572651E-2</v>
      </c>
      <c r="O3010" s="735">
        <v>0.54750598835760678</v>
      </c>
      <c r="P3010" s="735">
        <f t="shared" si="210"/>
        <v>5061.1318577763295</v>
      </c>
      <c r="Q3010" s="849">
        <v>29</v>
      </c>
      <c r="R3010" s="71">
        <v>48382</v>
      </c>
      <c r="S3010" s="845">
        <v>0.35020021842009463</v>
      </c>
      <c r="T3010" s="845">
        <v>0.14899999999999999</v>
      </c>
      <c r="U3010" s="845">
        <v>0</v>
      </c>
      <c r="V3010" s="845">
        <v>4.4999999999999998E-2</v>
      </c>
      <c r="W3010" s="845">
        <v>0.67808219178082196</v>
      </c>
      <c r="X3010" s="845">
        <v>0.36075036075036077</v>
      </c>
      <c r="Y3010" s="845">
        <v>0.36160230963551065</v>
      </c>
      <c r="Z3010" s="845">
        <v>0.30927463009743777</v>
      </c>
      <c r="AA3010" s="845">
        <v>0</v>
      </c>
      <c r="AB3010" s="845">
        <v>0</v>
      </c>
      <c r="AC3010" s="845">
        <v>0</v>
      </c>
      <c r="AD3010" s="845">
        <v>4.3305665824612052E-2</v>
      </c>
      <c r="AE3010" s="845">
        <v>0.28581739444243953</v>
      </c>
      <c r="AF3010" s="845">
        <v>0.23709852038975099</v>
      </c>
      <c r="AG3010" s="845">
        <v>0.36160230963551065</v>
      </c>
      <c r="AH3010" s="20" t="str">
        <f t="shared" si="211"/>
        <v>No</v>
      </c>
      <c r="AI3010" s="25"/>
      <c r="AU3010" s="19"/>
      <c r="AV3010" s="19"/>
      <c r="AW3010" s="19"/>
      <c r="BU3010"/>
      <c r="BV3010"/>
      <c r="BW3010"/>
      <c r="BX3010"/>
      <c r="BY3010"/>
      <c r="BZ3010"/>
      <c r="CA3010"/>
      <c r="CB3010"/>
      <c r="CC3010"/>
    </row>
    <row r="3011" spans="1:81" s="17" customFormat="1" x14ac:dyDescent="0.2">
      <c r="A3011" s="25"/>
      <c r="B3011" s="20">
        <v>39095007402</v>
      </c>
      <c r="C3011" s="20">
        <v>74.02</v>
      </c>
      <c r="D3011" s="20" t="s">
        <v>53</v>
      </c>
      <c r="E3011" s="20" t="s">
        <v>2839</v>
      </c>
      <c r="F3011" s="20" t="s">
        <v>8</v>
      </c>
      <c r="G3011" s="861">
        <v>23.219752845190701</v>
      </c>
      <c r="H3011" s="861">
        <v>39.724829202437803</v>
      </c>
      <c r="I3011" s="861">
        <v>43.7299807562338</v>
      </c>
      <c r="J3011" s="861">
        <v>30.309872829740801</v>
      </c>
      <c r="K3011" s="982">
        <v>0</v>
      </c>
      <c r="L3011" s="735" t="s">
        <v>2466</v>
      </c>
      <c r="M3011" s="735">
        <v>3352</v>
      </c>
      <c r="N3011" s="845" t="str">
        <f t="shared" si="209"/>
        <v/>
      </c>
      <c r="O3011" s="735">
        <v>0.76855217686694322</v>
      </c>
      <c r="P3011" s="735">
        <f t="shared" si="210"/>
        <v>4361.4475384933039</v>
      </c>
      <c r="Q3011" s="849">
        <v>37</v>
      </c>
      <c r="R3011" s="71">
        <v>46214</v>
      </c>
      <c r="S3011" s="845">
        <v>0.27520686484829909</v>
      </c>
      <c r="T3011" s="845">
        <v>0.10300000000000001</v>
      </c>
      <c r="U3011" s="845">
        <v>0</v>
      </c>
      <c r="V3011" s="845">
        <v>3.7999999999999999E-2</v>
      </c>
      <c r="W3011" s="845">
        <v>0.58033898305084741</v>
      </c>
      <c r="X3011" s="845">
        <v>0.60046728971962615</v>
      </c>
      <c r="Y3011" s="845">
        <v>0.39797136038186159</v>
      </c>
      <c r="Z3011" s="845">
        <v>0.49612171837708829</v>
      </c>
      <c r="AA3011" s="845">
        <v>1.7899761336515514E-3</v>
      </c>
      <c r="AB3011" s="845">
        <v>1.9093078758949882E-2</v>
      </c>
      <c r="AC3011" s="845">
        <v>0</v>
      </c>
      <c r="AD3011" s="845">
        <v>0</v>
      </c>
      <c r="AE3011" s="845">
        <v>8.502386634844869E-2</v>
      </c>
      <c r="AF3011" s="845">
        <v>9.0095465393794746E-2</v>
      </c>
      <c r="AG3011" s="845">
        <v>0.30787589498806683</v>
      </c>
      <c r="AH3011" s="20" t="str">
        <f t="shared" si="211"/>
        <v>No</v>
      </c>
      <c r="AI3011" s="25"/>
      <c r="AU3011" s="19"/>
      <c r="AV3011" s="19"/>
      <c r="AW3011" s="19"/>
      <c r="BU3011"/>
      <c r="BV3011"/>
      <c r="BW3011"/>
      <c r="BX3011"/>
      <c r="BY3011"/>
      <c r="BZ3011"/>
      <c r="CA3011"/>
      <c r="CB3011"/>
      <c r="CC3011"/>
    </row>
    <row r="3012" spans="1:81" s="17" customFormat="1" x14ac:dyDescent="0.2">
      <c r="A3012" s="25"/>
      <c r="B3012" s="20">
        <v>39141956900</v>
      </c>
      <c r="C3012" s="20">
        <v>9569</v>
      </c>
      <c r="D3012" s="20" t="s">
        <v>76</v>
      </c>
      <c r="E3012" s="20" t="s">
        <v>265</v>
      </c>
      <c r="F3012" s="20" t="s">
        <v>6</v>
      </c>
      <c r="G3012" s="861">
        <v>23.079782992468001</v>
      </c>
      <c r="H3012" s="861">
        <v>31.188516732903999</v>
      </c>
      <c r="I3012" s="861">
        <v>23.560768351194799</v>
      </c>
      <c r="J3012" s="861">
        <v>43.118771822002998</v>
      </c>
      <c r="K3012" s="982">
        <v>0</v>
      </c>
      <c r="L3012" s="735">
        <v>4771</v>
      </c>
      <c r="M3012" s="735">
        <v>4232</v>
      </c>
      <c r="N3012" s="845">
        <f t="shared" si="209"/>
        <v>-0.11297421924124922</v>
      </c>
      <c r="O3012" s="735">
        <v>65.664064380588997</v>
      </c>
      <c r="P3012" s="735">
        <f t="shared" si="210"/>
        <v>64.449254549205534</v>
      </c>
      <c r="Q3012" s="849">
        <v>37.4</v>
      </c>
      <c r="R3012" s="71">
        <v>50921</v>
      </c>
      <c r="S3012" s="845">
        <v>0.29242135367016203</v>
      </c>
      <c r="T3012" s="845">
        <v>2.1000000000000001E-2</v>
      </c>
      <c r="U3012" s="845">
        <v>6.0000000000000001E-3</v>
      </c>
      <c r="V3012" s="845">
        <v>0</v>
      </c>
      <c r="W3012" s="845">
        <v>0.2714819427148194</v>
      </c>
      <c r="X3012" s="845">
        <v>9.862385321100918E-2</v>
      </c>
      <c r="Y3012" s="845">
        <v>0.96124763705103966</v>
      </c>
      <c r="Z3012" s="845">
        <v>3.780718336483932E-3</v>
      </c>
      <c r="AA3012" s="845">
        <v>0</v>
      </c>
      <c r="AB3012" s="845">
        <v>1.0160680529300567E-2</v>
      </c>
      <c r="AC3012" s="845">
        <v>0</v>
      </c>
      <c r="AD3012" s="845">
        <v>0</v>
      </c>
      <c r="AE3012" s="845">
        <v>2.4810964083175804E-2</v>
      </c>
      <c r="AF3012" s="845">
        <v>1.5122873345935728E-2</v>
      </c>
      <c r="AG3012" s="845">
        <v>0.94612476370510401</v>
      </c>
      <c r="AH3012" s="20" t="str">
        <f t="shared" si="211"/>
        <v>Yes</v>
      </c>
      <c r="AI3012" s="25"/>
      <c r="AU3012" s="19"/>
      <c r="AV3012" s="19"/>
      <c r="AW3012" s="19"/>
      <c r="BU3012"/>
      <c r="BV3012"/>
      <c r="BW3012"/>
      <c r="BX3012"/>
      <c r="BY3012"/>
      <c r="BZ3012"/>
      <c r="CA3012"/>
      <c r="CB3012"/>
      <c r="CC3012"/>
    </row>
    <row r="3013" spans="1:81" s="17" customFormat="1" x14ac:dyDescent="0.2">
      <c r="A3013" s="25"/>
      <c r="B3013" s="20">
        <v>39003013000</v>
      </c>
      <c r="C3013" s="20">
        <v>130</v>
      </c>
      <c r="D3013" s="20" t="s">
        <v>7</v>
      </c>
      <c r="E3013" s="20" t="s">
        <v>2835</v>
      </c>
      <c r="F3013" s="20" t="s">
        <v>8</v>
      </c>
      <c r="G3013" s="861">
        <v>23.064351575254602</v>
      </c>
      <c r="H3013" s="861">
        <v>42.3235751814588</v>
      </c>
      <c r="I3013" s="861">
        <v>43.769593441366702</v>
      </c>
      <c r="J3013" s="861">
        <v>38.836108914963901</v>
      </c>
      <c r="K3013" s="982">
        <v>0</v>
      </c>
      <c r="L3013" s="735">
        <v>4430</v>
      </c>
      <c r="M3013" s="735">
        <v>4608</v>
      </c>
      <c r="N3013" s="845">
        <f t="shared" si="209"/>
        <v>4.018058690744921E-2</v>
      </c>
      <c r="O3013" s="735">
        <v>1.0072694889707428</v>
      </c>
      <c r="P3013" s="735">
        <f t="shared" si="210"/>
        <v>4574.743949316472</v>
      </c>
      <c r="Q3013" s="849">
        <v>35.799999999999997</v>
      </c>
      <c r="R3013" s="71">
        <v>41386</v>
      </c>
      <c r="S3013" s="845">
        <v>0.16827246246919111</v>
      </c>
      <c r="T3013" s="845">
        <v>5.7000000000000002E-2</v>
      </c>
      <c r="U3013" s="845">
        <v>0</v>
      </c>
      <c r="V3013" s="845">
        <v>0</v>
      </c>
      <c r="W3013" s="845">
        <v>0.40948942753996903</v>
      </c>
      <c r="X3013" s="845">
        <v>0.41687657430730479</v>
      </c>
      <c r="Y3013" s="845">
        <v>0.63259548611111116</v>
      </c>
      <c r="Z3013" s="845">
        <v>0.24500868055555555</v>
      </c>
      <c r="AA3013" s="845">
        <v>6.9444444444444441E-3</v>
      </c>
      <c r="AB3013" s="845">
        <v>0</v>
      </c>
      <c r="AC3013" s="845">
        <v>0</v>
      </c>
      <c r="AD3013" s="845">
        <v>1.4105902777777778E-2</v>
      </c>
      <c r="AE3013" s="845">
        <v>0.1013454861111111</v>
      </c>
      <c r="AF3013" s="845">
        <v>3.2335069444444448E-2</v>
      </c>
      <c r="AG3013" s="845">
        <v>0.62651909722222221</v>
      </c>
      <c r="AH3013" s="20" t="str">
        <f t="shared" si="211"/>
        <v>No</v>
      </c>
      <c r="AI3013" s="25"/>
      <c r="AU3013" s="19"/>
      <c r="AV3013" s="19"/>
      <c r="AW3013" s="19"/>
      <c r="BU3013"/>
      <c r="BV3013"/>
      <c r="BW3013"/>
      <c r="BX3013"/>
      <c r="BY3013"/>
      <c r="BZ3013"/>
      <c r="CA3013"/>
      <c r="CB3013"/>
      <c r="CC3013"/>
    </row>
    <row r="3014" spans="1:81" s="17" customFormat="1" x14ac:dyDescent="0.2">
      <c r="A3014" s="25"/>
      <c r="B3014" s="20">
        <v>39113070102</v>
      </c>
      <c r="C3014" s="20">
        <v>701.02</v>
      </c>
      <c r="D3014" s="20" t="s">
        <v>62</v>
      </c>
      <c r="E3014" s="20" t="s">
        <v>2833</v>
      </c>
      <c r="F3014" s="20" t="s">
        <v>6</v>
      </c>
      <c r="G3014" s="861">
        <v>22.8402511421444</v>
      </c>
      <c r="H3014" s="861">
        <v>26.1926812131925</v>
      </c>
      <c r="I3014" s="861">
        <v>53.242334727380502</v>
      </c>
      <c r="J3014" s="861">
        <v>33.287740989321897</v>
      </c>
      <c r="K3014" s="982">
        <v>0</v>
      </c>
      <c r="L3014" s="735">
        <v>3429</v>
      </c>
      <c r="M3014" s="735">
        <v>3155</v>
      </c>
      <c r="N3014" s="845">
        <f t="shared" si="209"/>
        <v>-7.9906678331875189E-2</v>
      </c>
      <c r="O3014" s="735">
        <v>1.9966566564662724</v>
      </c>
      <c r="P3014" s="735">
        <f t="shared" si="210"/>
        <v>1580.1414778962496</v>
      </c>
      <c r="Q3014" s="849">
        <v>49.6</v>
      </c>
      <c r="R3014" s="71">
        <v>43173</v>
      </c>
      <c r="S3014" s="845">
        <v>0.18092105263157895</v>
      </c>
      <c r="T3014" s="845">
        <v>9.9000000000000005E-2</v>
      </c>
      <c r="U3014" s="845">
        <v>6.3E-2</v>
      </c>
      <c r="V3014" s="845">
        <v>0.17499999999999999</v>
      </c>
      <c r="W3014" s="845">
        <v>0.45412039742840443</v>
      </c>
      <c r="X3014" s="845">
        <v>0.47361647361647363</v>
      </c>
      <c r="Y3014" s="845">
        <v>0.28399366085578448</v>
      </c>
      <c r="Z3014" s="845">
        <v>0.62250396196513469</v>
      </c>
      <c r="AA3014" s="845">
        <v>1.9017432646592711E-3</v>
      </c>
      <c r="AB3014" s="845">
        <v>5.388272583201268E-3</v>
      </c>
      <c r="AC3014" s="845">
        <v>0</v>
      </c>
      <c r="AD3014" s="845">
        <v>5.7052297939778132E-3</v>
      </c>
      <c r="AE3014" s="845">
        <v>8.0507131537242468E-2</v>
      </c>
      <c r="AF3014" s="845">
        <v>9.5087163232963554E-4</v>
      </c>
      <c r="AG3014" s="845">
        <v>0.28399366085578448</v>
      </c>
      <c r="AH3014" s="20" t="str">
        <f t="shared" si="211"/>
        <v>No</v>
      </c>
      <c r="AI3014" s="25"/>
      <c r="AU3014" s="19"/>
      <c r="AV3014" s="19"/>
      <c r="AW3014" s="19"/>
      <c r="BU3014"/>
      <c r="BV3014"/>
      <c r="BW3014"/>
      <c r="BX3014"/>
      <c r="BY3014"/>
      <c r="BZ3014"/>
      <c r="CA3014"/>
      <c r="CB3014"/>
      <c r="CC3014"/>
    </row>
    <row r="3015" spans="1:81" s="17" customFormat="1" x14ac:dyDescent="0.2">
      <c r="A3015" s="25"/>
      <c r="B3015" s="20">
        <v>39023002403</v>
      </c>
      <c r="C3015" s="20">
        <v>24.03</v>
      </c>
      <c r="D3015" s="20" t="s">
        <v>18</v>
      </c>
      <c r="E3015" s="20" t="s">
        <v>2838</v>
      </c>
      <c r="F3015" s="20" t="s">
        <v>8</v>
      </c>
      <c r="G3015" s="861">
        <v>22.727493781922401</v>
      </c>
      <c r="H3015" s="861">
        <v>35.898471157445201</v>
      </c>
      <c r="I3015" s="861">
        <v>26.840194809287901</v>
      </c>
      <c r="J3015" s="861">
        <v>15.896487940988701</v>
      </c>
      <c r="K3015" s="982">
        <v>0</v>
      </c>
      <c r="L3015" s="735">
        <v>3962</v>
      </c>
      <c r="M3015" s="735">
        <v>3534</v>
      </c>
      <c r="N3015" s="845">
        <f t="shared" si="209"/>
        <v>-0.10802624936900555</v>
      </c>
      <c r="O3015" s="735">
        <v>1.2837383257330861</v>
      </c>
      <c r="P3015" s="735">
        <f t="shared" si="210"/>
        <v>2752.8974785277123</v>
      </c>
      <c r="Q3015" s="849">
        <v>42.7</v>
      </c>
      <c r="R3015" s="71">
        <v>53466</v>
      </c>
      <c r="S3015" s="845">
        <v>0.18805627332759114</v>
      </c>
      <c r="T3015" s="845">
        <v>8.3000000000000004E-2</v>
      </c>
      <c r="U3015" s="845">
        <v>4.0000000000000001E-3</v>
      </c>
      <c r="V3015" s="845">
        <v>0</v>
      </c>
      <c r="W3015" s="845">
        <v>0.34212103055721987</v>
      </c>
      <c r="X3015" s="845">
        <v>0.43607705779334499</v>
      </c>
      <c r="Y3015" s="845">
        <v>0.87379739671760048</v>
      </c>
      <c r="Z3015" s="845">
        <v>7.4702886247877756E-2</v>
      </c>
      <c r="AA3015" s="845">
        <v>0</v>
      </c>
      <c r="AB3015" s="845">
        <v>0</v>
      </c>
      <c r="AC3015" s="845">
        <v>0</v>
      </c>
      <c r="AD3015" s="845">
        <v>2.8296547821165816E-3</v>
      </c>
      <c r="AE3015" s="845">
        <v>4.8670062252405208E-2</v>
      </c>
      <c r="AF3015" s="845">
        <v>1.9241652518392757E-2</v>
      </c>
      <c r="AG3015" s="845">
        <v>0.85908319185059423</v>
      </c>
      <c r="AH3015" s="20" t="str">
        <f t="shared" si="211"/>
        <v>No</v>
      </c>
      <c r="AI3015" s="25"/>
      <c r="AU3015" s="19"/>
      <c r="AV3015" s="19"/>
      <c r="AW3015" s="19"/>
      <c r="BU3015"/>
      <c r="BV3015"/>
      <c r="BW3015"/>
      <c r="BX3015"/>
      <c r="BY3015"/>
      <c r="BZ3015"/>
      <c r="CA3015"/>
      <c r="CB3015"/>
      <c r="CC3015"/>
    </row>
    <row r="3016" spans="1:81" s="17" customFormat="1" x14ac:dyDescent="0.2">
      <c r="A3016" s="25"/>
      <c r="B3016" s="20">
        <v>39089759000</v>
      </c>
      <c r="C3016" s="20">
        <v>7590</v>
      </c>
      <c r="D3016" s="20" t="s">
        <v>50</v>
      </c>
      <c r="E3016" s="20" t="s">
        <v>2830</v>
      </c>
      <c r="F3016" s="20" t="s">
        <v>6</v>
      </c>
      <c r="G3016" s="861">
        <v>22.719842169248601</v>
      </c>
      <c r="H3016" s="861">
        <v>30.803497871440999</v>
      </c>
      <c r="I3016" s="861">
        <v>38.6357580523674</v>
      </c>
      <c r="J3016" s="861">
        <v>28.475809472769001</v>
      </c>
      <c r="K3016" s="982">
        <v>1</v>
      </c>
      <c r="L3016" s="735">
        <v>3249</v>
      </c>
      <c r="M3016" s="735">
        <v>3278</v>
      </c>
      <c r="N3016" s="845">
        <f t="shared" si="209"/>
        <v>8.925823330255463E-3</v>
      </c>
      <c r="O3016" s="735">
        <v>1.3364258262946236</v>
      </c>
      <c r="P3016" s="735">
        <f t="shared" si="210"/>
        <v>2452.8110243788001</v>
      </c>
      <c r="Q3016" s="849">
        <v>40.9</v>
      </c>
      <c r="R3016" s="71">
        <v>34556</v>
      </c>
      <c r="S3016" s="845">
        <v>0.25122549019607843</v>
      </c>
      <c r="T3016" s="845">
        <v>0.1</v>
      </c>
      <c r="U3016" s="845">
        <v>0</v>
      </c>
      <c r="V3016" s="845">
        <v>0</v>
      </c>
      <c r="W3016" s="845">
        <v>0.60918774966711053</v>
      </c>
      <c r="X3016" s="845">
        <v>0.47103825136612021</v>
      </c>
      <c r="Y3016" s="845">
        <v>0.8523489932885906</v>
      </c>
      <c r="Z3016" s="845">
        <v>4.4539353264185476E-2</v>
      </c>
      <c r="AA3016" s="845">
        <v>3.0506406345332519E-4</v>
      </c>
      <c r="AB3016" s="845">
        <v>1.6778523489932886E-2</v>
      </c>
      <c r="AC3016" s="845">
        <v>0</v>
      </c>
      <c r="AD3016" s="845">
        <v>1.7693715680292862E-2</v>
      </c>
      <c r="AE3016" s="845">
        <v>6.8334350213544851E-2</v>
      </c>
      <c r="AF3016" s="845">
        <v>3.3557046979865771E-3</v>
      </c>
      <c r="AG3016" s="845">
        <v>0.85112873703477732</v>
      </c>
      <c r="AH3016" s="20" t="str">
        <f t="shared" si="211"/>
        <v>No</v>
      </c>
      <c r="AI3016" s="25"/>
      <c r="AU3016" s="19"/>
      <c r="AV3016" s="19"/>
      <c r="AW3016" s="19"/>
      <c r="BU3016"/>
      <c r="BV3016"/>
      <c r="BW3016"/>
      <c r="BX3016"/>
      <c r="BY3016"/>
      <c r="BZ3016"/>
      <c r="CA3016"/>
      <c r="CB3016"/>
      <c r="CC3016"/>
    </row>
    <row r="3017" spans="1:81" s="17" customFormat="1" x14ac:dyDescent="0.2">
      <c r="A3017" s="25"/>
      <c r="B3017" s="20">
        <v>39155930200</v>
      </c>
      <c r="C3017" s="20">
        <v>9302</v>
      </c>
      <c r="D3017" s="20" t="s">
        <v>83</v>
      </c>
      <c r="E3017" s="20" t="s">
        <v>2842</v>
      </c>
      <c r="F3017" s="20" t="s">
        <v>8</v>
      </c>
      <c r="G3017" s="861">
        <v>22.687895698340999</v>
      </c>
      <c r="H3017" s="861">
        <v>39.075875527508302</v>
      </c>
      <c r="I3017" s="861">
        <v>26.314084896272899</v>
      </c>
      <c r="J3017" s="861">
        <v>34.461492410436101</v>
      </c>
      <c r="K3017" s="982">
        <v>0</v>
      </c>
      <c r="L3017" s="735">
        <v>2681</v>
      </c>
      <c r="M3017" s="735">
        <v>2764</v>
      </c>
      <c r="N3017" s="845">
        <f t="shared" si="209"/>
        <v>3.0958597538232002E-2</v>
      </c>
      <c r="O3017" s="735">
        <v>49.745453464649309</v>
      </c>
      <c r="P3017" s="735">
        <f t="shared" si="210"/>
        <v>55.562866704274505</v>
      </c>
      <c r="Q3017" s="849">
        <v>43.1</v>
      </c>
      <c r="R3017" s="71">
        <v>56786</v>
      </c>
      <c r="S3017" s="845">
        <v>0.20115774240231549</v>
      </c>
      <c r="T3017" s="845">
        <v>3.5000000000000003E-2</v>
      </c>
      <c r="U3017" s="845">
        <v>0</v>
      </c>
      <c r="V3017" s="845">
        <v>0</v>
      </c>
      <c r="W3017" s="845">
        <v>0.16848816029143898</v>
      </c>
      <c r="X3017" s="845">
        <v>0.61621621621621625</v>
      </c>
      <c r="Y3017" s="845">
        <v>0.97250361794500728</v>
      </c>
      <c r="Z3017" s="845">
        <v>0</v>
      </c>
      <c r="AA3017" s="845">
        <v>0</v>
      </c>
      <c r="AB3017" s="845">
        <v>6.5123010130246021E-3</v>
      </c>
      <c r="AC3017" s="845">
        <v>0</v>
      </c>
      <c r="AD3017" s="845">
        <v>0</v>
      </c>
      <c r="AE3017" s="845">
        <v>2.0984081041968163E-2</v>
      </c>
      <c r="AF3017" s="845">
        <v>8.6830680173661367E-3</v>
      </c>
      <c r="AG3017" s="845">
        <v>0.97250361794500728</v>
      </c>
      <c r="AH3017" s="20" t="str">
        <f t="shared" si="211"/>
        <v>Yes</v>
      </c>
      <c r="AI3017" s="25"/>
      <c r="AU3017" s="19"/>
      <c r="AV3017" s="19"/>
      <c r="AW3017" s="19"/>
      <c r="BU3017"/>
      <c r="BV3017"/>
      <c r="BW3017"/>
      <c r="BX3017"/>
      <c r="BY3017"/>
      <c r="BZ3017"/>
      <c r="CA3017"/>
      <c r="CB3017"/>
      <c r="CC3017"/>
    </row>
    <row r="3018" spans="1:81" s="17" customFormat="1" x14ac:dyDescent="0.2">
      <c r="A3018" s="25"/>
      <c r="B3018" s="20">
        <v>39113000700</v>
      </c>
      <c r="C3018" s="20">
        <v>7</v>
      </c>
      <c r="D3018" s="20" t="s">
        <v>62</v>
      </c>
      <c r="E3018" s="20" t="s">
        <v>2833</v>
      </c>
      <c r="F3018" s="20" t="s">
        <v>6</v>
      </c>
      <c r="G3018" s="861">
        <v>22.5845414692436</v>
      </c>
      <c r="H3018" s="861">
        <v>45.9062857457535</v>
      </c>
      <c r="I3018" s="861">
        <v>76.768011726388096</v>
      </c>
      <c r="J3018" s="861">
        <v>37.874138088640301</v>
      </c>
      <c r="K3018" s="982">
        <v>1</v>
      </c>
      <c r="L3018" s="735">
        <v>2643</v>
      </c>
      <c r="M3018" s="735">
        <v>1766</v>
      </c>
      <c r="N3018" s="845">
        <f t="shared" si="209"/>
        <v>-0.33181990162693908</v>
      </c>
      <c r="O3018" s="735">
        <v>0.68749582020281941</v>
      </c>
      <c r="P3018" s="735">
        <f t="shared" si="210"/>
        <v>2568.7428899262386</v>
      </c>
      <c r="Q3018" s="849">
        <v>35.299999999999997</v>
      </c>
      <c r="R3018" s="71">
        <v>45221</v>
      </c>
      <c r="S3018" s="845">
        <v>0.25651189127972818</v>
      </c>
      <c r="T3018" s="845">
        <v>0.153</v>
      </c>
      <c r="U3018" s="845">
        <v>0.24600000000000002</v>
      </c>
      <c r="V3018" s="845">
        <v>8.8000000000000009E-2</v>
      </c>
      <c r="W3018" s="845">
        <v>0.70891364902506959</v>
      </c>
      <c r="X3018" s="845">
        <v>0.29273084479371314</v>
      </c>
      <c r="Y3018" s="845">
        <v>7.3046432616081541E-2</v>
      </c>
      <c r="Z3018" s="845">
        <v>0.90430351075877691</v>
      </c>
      <c r="AA3018" s="845">
        <v>0</v>
      </c>
      <c r="AB3018" s="845">
        <v>0</v>
      </c>
      <c r="AC3018" s="845">
        <v>0</v>
      </c>
      <c r="AD3018" s="845">
        <v>0</v>
      </c>
      <c r="AE3018" s="845">
        <v>2.2650056625141562E-2</v>
      </c>
      <c r="AF3018" s="845">
        <v>0</v>
      </c>
      <c r="AG3018" s="845">
        <v>7.3046432616081541E-2</v>
      </c>
      <c r="AH3018" s="20" t="str">
        <f t="shared" si="211"/>
        <v>No</v>
      </c>
      <c r="AI3018" s="25"/>
      <c r="AU3018" s="19"/>
      <c r="AV3018" s="19"/>
      <c r="AW3018" s="19"/>
      <c r="BU3018"/>
      <c r="BV3018"/>
      <c r="BW3018"/>
      <c r="BX3018"/>
      <c r="BY3018"/>
      <c r="BZ3018"/>
      <c r="CA3018"/>
      <c r="CB3018"/>
      <c r="CC3018"/>
    </row>
    <row r="3019" spans="1:81" s="17" customFormat="1" x14ac:dyDescent="0.2">
      <c r="A3019" s="25"/>
      <c r="B3019" s="20">
        <v>39095010500</v>
      </c>
      <c r="C3019" s="20">
        <v>105</v>
      </c>
      <c r="D3019" s="20" t="s">
        <v>53</v>
      </c>
      <c r="E3019" s="20" t="s">
        <v>2839</v>
      </c>
      <c r="F3019" s="20" t="s">
        <v>6</v>
      </c>
      <c r="G3019" s="861">
        <v>22.549874851548999</v>
      </c>
      <c r="H3019" s="861">
        <v>38.798142281682303</v>
      </c>
      <c r="I3019" s="861">
        <v>39.333981177981201</v>
      </c>
      <c r="J3019" s="861">
        <v>19.212352173689499</v>
      </c>
      <c r="K3019" s="982">
        <v>1</v>
      </c>
      <c r="L3019" s="735" t="s">
        <v>2466</v>
      </c>
      <c r="M3019" s="735">
        <v>2668</v>
      </c>
      <c r="N3019" s="845" t="str">
        <f t="shared" ref="N3019:N3082" si="212">IF(OR(L3019="",M3019=""),"",(M3019-L3019)/L3019)</f>
        <v/>
      </c>
      <c r="O3019" s="735">
        <v>0.59526875588629635</v>
      </c>
      <c r="P3019" s="735">
        <f t="shared" ref="P3019:P3082" si="213">M3019/O3019</f>
        <v>4482.0091322072021</v>
      </c>
      <c r="Q3019" s="849">
        <v>29.3</v>
      </c>
      <c r="R3019" s="71">
        <v>15833</v>
      </c>
      <c r="S3019" s="845">
        <v>0.65477560414269276</v>
      </c>
      <c r="T3019" s="845">
        <v>0.23300000000000001</v>
      </c>
      <c r="U3019" s="845">
        <v>0</v>
      </c>
      <c r="V3019" s="845">
        <v>6.7000000000000004E-2</v>
      </c>
      <c r="W3019" s="845">
        <v>0.8972712680577849</v>
      </c>
      <c r="X3019" s="845">
        <v>0.35420393559928443</v>
      </c>
      <c r="Y3019" s="845">
        <v>0.14430284857571216</v>
      </c>
      <c r="Z3019" s="845">
        <v>0.80659670164917541</v>
      </c>
      <c r="AA3019" s="845">
        <v>3.373313343328336E-3</v>
      </c>
      <c r="AB3019" s="845">
        <v>1.5367316341829085E-2</v>
      </c>
      <c r="AC3019" s="845">
        <v>0</v>
      </c>
      <c r="AD3019" s="845">
        <v>0</v>
      </c>
      <c r="AE3019" s="845">
        <v>3.0359820089955022E-2</v>
      </c>
      <c r="AF3019" s="845">
        <v>5.0599700149925035E-2</v>
      </c>
      <c r="AG3019" s="845">
        <v>0.12781109445277361</v>
      </c>
      <c r="AH3019" s="20" t="str">
        <f t="shared" ref="AH3019:AH3082" si="214">IF(AG3019&gt;=0.9,"Yes","No")</f>
        <v>No</v>
      </c>
      <c r="AI3019" s="25"/>
      <c r="AU3019" s="19"/>
      <c r="AV3019" s="19"/>
      <c r="AW3019" s="19"/>
      <c r="BU3019"/>
      <c r="BV3019"/>
      <c r="BW3019"/>
      <c r="BX3019"/>
      <c r="BY3019"/>
      <c r="BZ3019"/>
      <c r="CA3019"/>
      <c r="CB3019"/>
      <c r="CC3019"/>
    </row>
    <row r="3020" spans="1:81" s="17" customFormat="1" x14ac:dyDescent="0.2">
      <c r="A3020" s="25"/>
      <c r="B3020" s="20">
        <v>39139003100</v>
      </c>
      <c r="C3020" s="20">
        <v>31</v>
      </c>
      <c r="D3020" s="20" t="s">
        <v>75</v>
      </c>
      <c r="E3020" s="20" t="s">
        <v>2836</v>
      </c>
      <c r="F3020" s="20" t="s">
        <v>6</v>
      </c>
      <c r="G3020" s="861">
        <v>22.466562226790501</v>
      </c>
      <c r="H3020" s="861">
        <v>30.481774962584002</v>
      </c>
      <c r="I3020" s="861">
        <v>52.816379466971199</v>
      </c>
      <c r="J3020" s="861">
        <v>46.569826028610599</v>
      </c>
      <c r="K3020" s="982">
        <v>0</v>
      </c>
      <c r="L3020" s="735">
        <v>2318</v>
      </c>
      <c r="M3020" s="735">
        <v>2364</v>
      </c>
      <c r="N3020" s="845">
        <f t="shared" si="212"/>
        <v>1.9844693701466781E-2</v>
      </c>
      <c r="O3020" s="735">
        <v>1.2189851327155321</v>
      </c>
      <c r="P3020" s="735">
        <f t="shared" si="213"/>
        <v>1939.318156189255</v>
      </c>
      <c r="Q3020" s="849">
        <v>37</v>
      </c>
      <c r="R3020" s="71">
        <v>25431</v>
      </c>
      <c r="S3020" s="845">
        <v>0.4220363994097393</v>
      </c>
      <c r="T3020" s="845">
        <v>0.114</v>
      </c>
      <c r="U3020" s="845">
        <v>0</v>
      </c>
      <c r="V3020" s="845">
        <v>4.9000000000000002E-2</v>
      </c>
      <c r="W3020" s="845">
        <v>0.7623318385650224</v>
      </c>
      <c r="X3020" s="845">
        <v>0.55000000000000004</v>
      </c>
      <c r="Y3020" s="845">
        <v>0.52326565143824022</v>
      </c>
      <c r="Z3020" s="845">
        <v>0.36759729272419628</v>
      </c>
      <c r="AA3020" s="845">
        <v>0</v>
      </c>
      <c r="AB3020" s="845">
        <v>0</v>
      </c>
      <c r="AC3020" s="845">
        <v>0</v>
      </c>
      <c r="AD3020" s="845">
        <v>5.9221658206429781E-3</v>
      </c>
      <c r="AE3020" s="845">
        <v>0.10321489001692047</v>
      </c>
      <c r="AF3020" s="845">
        <v>2.7918781725888325E-2</v>
      </c>
      <c r="AG3020" s="845">
        <v>0.51269035532994922</v>
      </c>
      <c r="AH3020" s="20" t="str">
        <f t="shared" si="214"/>
        <v>No</v>
      </c>
      <c r="AI3020" s="25"/>
      <c r="AU3020" s="19"/>
      <c r="AV3020" s="19"/>
      <c r="AW3020" s="19"/>
      <c r="BU3020"/>
      <c r="BV3020"/>
      <c r="BW3020"/>
      <c r="BX3020"/>
      <c r="BY3020"/>
      <c r="BZ3020"/>
      <c r="CA3020"/>
      <c r="CB3020"/>
      <c r="CC3020"/>
    </row>
    <row r="3021" spans="1:81" s="17" customFormat="1" x14ac:dyDescent="0.2">
      <c r="A3021" s="25"/>
      <c r="B3021" s="20">
        <v>39023002800</v>
      </c>
      <c r="C3021" s="20">
        <v>28</v>
      </c>
      <c r="D3021" s="20" t="s">
        <v>18</v>
      </c>
      <c r="E3021" s="20" t="s">
        <v>2838</v>
      </c>
      <c r="F3021" s="20" t="s">
        <v>8</v>
      </c>
      <c r="G3021" s="861">
        <v>22.466141668720599</v>
      </c>
      <c r="H3021" s="861">
        <v>42.518138578968497</v>
      </c>
      <c r="I3021" s="861">
        <v>26.0278101628206</v>
      </c>
      <c r="J3021" s="861">
        <v>49.248015502906199</v>
      </c>
      <c r="K3021" s="982">
        <v>0</v>
      </c>
      <c r="L3021" s="735">
        <v>4619</v>
      </c>
      <c r="M3021" s="735">
        <v>4663</v>
      </c>
      <c r="N3021" s="845">
        <f t="shared" si="212"/>
        <v>9.5258714007360901E-3</v>
      </c>
      <c r="O3021" s="735">
        <v>26.487778355090597</v>
      </c>
      <c r="P3021" s="735">
        <f t="shared" si="213"/>
        <v>176.04345436180509</v>
      </c>
      <c r="Q3021" s="849">
        <v>47.7</v>
      </c>
      <c r="R3021" s="71">
        <v>89236</v>
      </c>
      <c r="S3021" s="845">
        <v>4.12280701754386E-2</v>
      </c>
      <c r="T3021" s="845">
        <v>4.2000000000000003E-2</v>
      </c>
      <c r="U3021" s="845">
        <v>0</v>
      </c>
      <c r="V3021" s="845">
        <v>0.19800000000000001</v>
      </c>
      <c r="W3021" s="845">
        <v>6.0097455332972387E-2</v>
      </c>
      <c r="X3021" s="845">
        <v>0.22522522522522523</v>
      </c>
      <c r="Y3021" s="845">
        <v>0.94166845378511688</v>
      </c>
      <c r="Z3021" s="845">
        <v>0</v>
      </c>
      <c r="AA3021" s="845">
        <v>6.4336264207591682E-4</v>
      </c>
      <c r="AB3021" s="845">
        <v>0</v>
      </c>
      <c r="AC3021" s="845">
        <v>0</v>
      </c>
      <c r="AD3021" s="845">
        <v>6.0047179927085565E-3</v>
      </c>
      <c r="AE3021" s="845">
        <v>5.1683465580098648E-2</v>
      </c>
      <c r="AF3021" s="845">
        <v>4.9753377653870896E-2</v>
      </c>
      <c r="AG3021" s="845">
        <v>0.91636285653013083</v>
      </c>
      <c r="AH3021" s="20" t="str">
        <f t="shared" si="214"/>
        <v>Yes</v>
      </c>
      <c r="AI3021" s="25"/>
      <c r="AU3021" s="19"/>
      <c r="AV3021" s="19"/>
      <c r="AW3021" s="19"/>
      <c r="BU3021"/>
      <c r="BV3021"/>
      <c r="BW3021"/>
      <c r="BX3021"/>
      <c r="BY3021"/>
      <c r="BZ3021"/>
      <c r="CA3021"/>
      <c r="CB3021"/>
      <c r="CC3021"/>
    </row>
    <row r="3022" spans="1:81" s="17" customFormat="1" x14ac:dyDescent="0.2">
      <c r="A3022" s="25"/>
      <c r="B3022" s="20">
        <v>39099801700</v>
      </c>
      <c r="C3022" s="20">
        <v>8017</v>
      </c>
      <c r="D3022" s="20" t="s">
        <v>55</v>
      </c>
      <c r="E3022" s="20" t="s">
        <v>2842</v>
      </c>
      <c r="F3022" s="20" t="s">
        <v>8</v>
      </c>
      <c r="G3022" s="861">
        <v>22.462682361379098</v>
      </c>
      <c r="H3022" s="861">
        <v>38.056115348763001</v>
      </c>
      <c r="I3022" s="861">
        <v>60.955242060937003</v>
      </c>
      <c r="J3022" s="861">
        <v>34.073663952480899</v>
      </c>
      <c r="K3022" s="982">
        <v>0</v>
      </c>
      <c r="L3022" s="735">
        <v>931</v>
      </c>
      <c r="M3022" s="735">
        <v>816</v>
      </c>
      <c r="N3022" s="845">
        <f t="shared" si="212"/>
        <v>-0.12352309344790548</v>
      </c>
      <c r="O3022" s="735">
        <v>0.80245889623022248</v>
      </c>
      <c r="P3022" s="735">
        <f t="shared" si="213"/>
        <v>1016.8745138640629</v>
      </c>
      <c r="Q3022" s="849">
        <v>49.4</v>
      </c>
      <c r="R3022" s="71">
        <v>28333</v>
      </c>
      <c r="S3022" s="845">
        <v>0.30759493670886073</v>
      </c>
      <c r="T3022" s="845">
        <v>0.16500000000000001</v>
      </c>
      <c r="U3022" s="845">
        <v>0</v>
      </c>
      <c r="V3022" s="845">
        <v>0</v>
      </c>
      <c r="W3022" s="845">
        <v>0.48148148148148145</v>
      </c>
      <c r="X3022" s="845">
        <v>0.53846153846153844</v>
      </c>
      <c r="Y3022" s="845">
        <v>0.3639705882352941</v>
      </c>
      <c r="Z3022" s="845">
        <v>0.49142156862745096</v>
      </c>
      <c r="AA3022" s="845">
        <v>6.1274509803921568E-3</v>
      </c>
      <c r="AB3022" s="845">
        <v>0</v>
      </c>
      <c r="AC3022" s="845">
        <v>0</v>
      </c>
      <c r="AD3022" s="845">
        <v>3.0637254901960783E-2</v>
      </c>
      <c r="AE3022" s="845">
        <v>0.10784313725490197</v>
      </c>
      <c r="AF3022" s="845">
        <v>0.24754901960784315</v>
      </c>
      <c r="AG3022" s="845">
        <v>0.27696078431372551</v>
      </c>
      <c r="AH3022" s="20" t="str">
        <f t="shared" si="214"/>
        <v>No</v>
      </c>
      <c r="AI3022" s="25"/>
      <c r="AU3022" s="19"/>
      <c r="AV3022" s="19"/>
      <c r="AW3022" s="19"/>
      <c r="BU3022"/>
      <c r="BV3022"/>
      <c r="BW3022"/>
      <c r="BX3022"/>
      <c r="BY3022"/>
      <c r="BZ3022"/>
      <c r="CA3022"/>
      <c r="CB3022"/>
      <c r="CC3022"/>
    </row>
    <row r="3023" spans="1:81" s="17" customFormat="1" x14ac:dyDescent="0.2">
      <c r="A3023" s="25"/>
      <c r="B3023" s="20">
        <v>39113000200</v>
      </c>
      <c r="C3023" s="20">
        <v>2</v>
      </c>
      <c r="D3023" s="20" t="s">
        <v>62</v>
      </c>
      <c r="E3023" s="20" t="s">
        <v>2833</v>
      </c>
      <c r="F3023" s="20" t="s">
        <v>6</v>
      </c>
      <c r="G3023" s="861">
        <v>22.4258119808574</v>
      </c>
      <c r="H3023" s="861">
        <v>25.5562854466339</v>
      </c>
      <c r="I3023" s="861">
        <v>91.074221163678601</v>
      </c>
      <c r="J3023" s="861">
        <v>37.8528167509997</v>
      </c>
      <c r="K3023" s="982">
        <v>0</v>
      </c>
      <c r="L3023" s="735">
        <v>2542</v>
      </c>
      <c r="M3023" s="735">
        <v>1742</v>
      </c>
      <c r="N3023" s="845">
        <f t="shared" si="212"/>
        <v>-0.3147128245476003</v>
      </c>
      <c r="O3023" s="735">
        <v>0.68647226338039058</v>
      </c>
      <c r="P3023" s="735">
        <f t="shared" si="213"/>
        <v>2537.611631126772</v>
      </c>
      <c r="Q3023" s="849">
        <v>43.8</v>
      </c>
      <c r="R3023" s="71">
        <v>26554</v>
      </c>
      <c r="S3023" s="845">
        <v>0.36739380022962115</v>
      </c>
      <c r="T3023" s="845">
        <v>0.14599999999999999</v>
      </c>
      <c r="U3023" s="845">
        <v>0.13100000000000001</v>
      </c>
      <c r="V3023" s="845">
        <v>0</v>
      </c>
      <c r="W3023" s="845">
        <v>0.69633507853403143</v>
      </c>
      <c r="X3023" s="845">
        <v>0.58834586466165417</v>
      </c>
      <c r="Y3023" s="845">
        <v>0.28185993111366248</v>
      </c>
      <c r="Z3023" s="845">
        <v>0.65327210103329503</v>
      </c>
      <c r="AA3023" s="845">
        <v>3.5591274397244549E-2</v>
      </c>
      <c r="AB3023" s="845">
        <v>0</v>
      </c>
      <c r="AC3023" s="845">
        <v>0</v>
      </c>
      <c r="AD3023" s="845">
        <v>0</v>
      </c>
      <c r="AE3023" s="845">
        <v>2.9276693455797934E-2</v>
      </c>
      <c r="AF3023" s="845">
        <v>2.6406429391504019E-2</v>
      </c>
      <c r="AG3023" s="845">
        <v>0.28185993111366248</v>
      </c>
      <c r="AH3023" s="20" t="str">
        <f t="shared" si="214"/>
        <v>No</v>
      </c>
      <c r="AI3023" s="25"/>
      <c r="AU3023" s="19"/>
      <c r="AV3023" s="19"/>
      <c r="AW3023" s="19"/>
      <c r="BU3023"/>
      <c r="BV3023"/>
      <c r="BW3023"/>
      <c r="BX3023"/>
      <c r="BY3023"/>
      <c r="BZ3023"/>
      <c r="CA3023"/>
      <c r="CB3023"/>
      <c r="CC3023"/>
    </row>
    <row r="3024" spans="1:81" s="17" customFormat="1" x14ac:dyDescent="0.2">
      <c r="A3024" s="25"/>
      <c r="B3024" s="20">
        <v>39049009325</v>
      </c>
      <c r="C3024" s="20">
        <v>93.25</v>
      </c>
      <c r="D3024" s="20" t="s">
        <v>31</v>
      </c>
      <c r="E3024" s="20" t="s">
        <v>2830</v>
      </c>
      <c r="F3024" s="20" t="s">
        <v>6</v>
      </c>
      <c r="G3024" s="861">
        <v>22.3993517629766</v>
      </c>
      <c r="H3024" s="861">
        <v>40.6259223941911</v>
      </c>
      <c r="I3024" s="861">
        <v>57.492790134778701</v>
      </c>
      <c r="J3024" s="861">
        <v>0.97244012120294698</v>
      </c>
      <c r="K3024" s="982">
        <v>1</v>
      </c>
      <c r="L3024" s="735">
        <v>3848</v>
      </c>
      <c r="M3024" s="735">
        <v>4492</v>
      </c>
      <c r="N3024" s="845">
        <f t="shared" si="212"/>
        <v>0.16735966735966737</v>
      </c>
      <c r="O3024" s="735">
        <v>2.0030701994226532</v>
      </c>
      <c r="P3024" s="735">
        <f t="shared" si="213"/>
        <v>2242.55745070479</v>
      </c>
      <c r="Q3024" s="849">
        <v>36.1</v>
      </c>
      <c r="R3024" s="71">
        <v>23207</v>
      </c>
      <c r="S3024" s="845">
        <v>0.49013381719210708</v>
      </c>
      <c r="T3024" s="845">
        <v>0.11800000000000001</v>
      </c>
      <c r="U3024" s="845">
        <v>0</v>
      </c>
      <c r="V3024" s="845">
        <v>2.4E-2</v>
      </c>
      <c r="W3024" s="845">
        <v>0.85319351763584361</v>
      </c>
      <c r="X3024" s="845">
        <v>0.53351955307262566</v>
      </c>
      <c r="Y3024" s="845">
        <v>0.22328584149599287</v>
      </c>
      <c r="Z3024" s="845">
        <v>0.55454140694568121</v>
      </c>
      <c r="AA3024" s="845">
        <v>0</v>
      </c>
      <c r="AB3024" s="845">
        <v>1.5360641139804097E-2</v>
      </c>
      <c r="AC3024" s="845">
        <v>0</v>
      </c>
      <c r="AD3024" s="845">
        <v>7.3909171861086378E-2</v>
      </c>
      <c r="AE3024" s="845">
        <v>0.13290293855743543</v>
      </c>
      <c r="AF3024" s="845">
        <v>0.16607301869991095</v>
      </c>
      <c r="AG3024" s="845">
        <v>0.12577916295636687</v>
      </c>
      <c r="AH3024" s="20" t="str">
        <f t="shared" si="214"/>
        <v>No</v>
      </c>
      <c r="AI3024" s="25"/>
      <c r="AU3024" s="19"/>
      <c r="AV3024" s="19"/>
      <c r="AW3024" s="19"/>
      <c r="BU3024"/>
      <c r="BV3024"/>
      <c r="BW3024"/>
      <c r="BX3024"/>
      <c r="BY3024"/>
      <c r="BZ3024"/>
      <c r="CA3024"/>
      <c r="CB3024"/>
      <c r="CC3024"/>
    </row>
    <row r="3025" spans="1:81" s="17" customFormat="1" x14ac:dyDescent="0.2">
      <c r="A3025" s="25"/>
      <c r="B3025" s="20">
        <v>39031960900</v>
      </c>
      <c r="C3025" s="20">
        <v>9609</v>
      </c>
      <c r="D3025" s="20" t="s">
        <v>22</v>
      </c>
      <c r="E3025" s="20" t="s">
        <v>265</v>
      </c>
      <c r="F3025" s="20" t="s">
        <v>8</v>
      </c>
      <c r="G3025" s="861">
        <v>22.324478899288099</v>
      </c>
      <c r="H3025" s="861">
        <v>28.070360801904599</v>
      </c>
      <c r="I3025" s="861">
        <v>30.0391551096704</v>
      </c>
      <c r="J3025" s="861">
        <v>39.7107679312412</v>
      </c>
      <c r="K3025" s="982">
        <v>0</v>
      </c>
      <c r="L3025" s="735">
        <v>4485</v>
      </c>
      <c r="M3025" s="735">
        <v>5026</v>
      </c>
      <c r="N3025" s="845">
        <f t="shared" si="212"/>
        <v>0.12062430323299889</v>
      </c>
      <c r="O3025" s="735">
        <v>93.525522400950337</v>
      </c>
      <c r="P3025" s="735">
        <f t="shared" si="213"/>
        <v>53.739341636106481</v>
      </c>
      <c r="Q3025" s="849">
        <v>38</v>
      </c>
      <c r="R3025" s="71">
        <v>58917</v>
      </c>
      <c r="S3025" s="845">
        <v>9.2205705102450783E-2</v>
      </c>
      <c r="T3025" s="845">
        <v>1.6E-2</v>
      </c>
      <c r="U3025" s="845">
        <v>0</v>
      </c>
      <c r="V3025" s="845">
        <v>9.9000000000000005E-2</v>
      </c>
      <c r="W3025" s="845">
        <v>0.17041296393099845</v>
      </c>
      <c r="X3025" s="845">
        <v>0.43251533742331288</v>
      </c>
      <c r="Y3025" s="845">
        <v>0.98388380421806609</v>
      </c>
      <c r="Z3025" s="845">
        <v>0</v>
      </c>
      <c r="AA3025" s="845">
        <v>0</v>
      </c>
      <c r="AB3025" s="845">
        <v>0</v>
      </c>
      <c r="AC3025" s="845">
        <v>0</v>
      </c>
      <c r="AD3025" s="845">
        <v>0</v>
      </c>
      <c r="AE3025" s="845">
        <v>1.6116195781933945E-2</v>
      </c>
      <c r="AF3025" s="845">
        <v>0</v>
      </c>
      <c r="AG3025" s="845">
        <v>0.98388380421806609</v>
      </c>
      <c r="AH3025" s="20" t="str">
        <f t="shared" si="214"/>
        <v>Yes</v>
      </c>
      <c r="AI3025" s="25"/>
      <c r="AU3025" s="19"/>
      <c r="AV3025" s="19"/>
      <c r="AW3025" s="19"/>
      <c r="BU3025"/>
      <c r="BV3025"/>
      <c r="BW3025"/>
      <c r="BX3025"/>
      <c r="BY3025"/>
      <c r="BZ3025"/>
      <c r="CA3025"/>
      <c r="CB3025"/>
      <c r="CC3025"/>
    </row>
    <row r="3026" spans="1:81" s="17" customFormat="1" x14ac:dyDescent="0.2">
      <c r="A3026" s="25"/>
      <c r="B3026" s="20">
        <v>39035122200</v>
      </c>
      <c r="C3026" s="20">
        <v>1222</v>
      </c>
      <c r="D3026" s="20" t="s">
        <v>24</v>
      </c>
      <c r="E3026" s="20" t="s">
        <v>2829</v>
      </c>
      <c r="F3026" s="20" t="s">
        <v>6</v>
      </c>
      <c r="G3026" s="861">
        <v>22.250204047848801</v>
      </c>
      <c r="H3026" s="861">
        <v>33.612182392881003</v>
      </c>
      <c r="I3026" s="861">
        <v>72.484664520614601</v>
      </c>
      <c r="J3026" s="861">
        <v>24.046758269085299</v>
      </c>
      <c r="K3026" s="982">
        <v>0</v>
      </c>
      <c r="L3026" s="735">
        <v>1660</v>
      </c>
      <c r="M3026" s="735">
        <v>1780</v>
      </c>
      <c r="N3026" s="845">
        <f t="shared" si="212"/>
        <v>7.2289156626506021E-2</v>
      </c>
      <c r="O3026" s="735">
        <v>0.72676395414031458</v>
      </c>
      <c r="P3026" s="735">
        <f t="shared" si="213"/>
        <v>2449.2133791989631</v>
      </c>
      <c r="Q3026" s="849">
        <v>42</v>
      </c>
      <c r="R3026" s="71">
        <v>47019</v>
      </c>
      <c r="S3026" s="845">
        <v>0.34494382022471909</v>
      </c>
      <c r="T3026" s="845">
        <v>0.39200000000000002</v>
      </c>
      <c r="U3026" s="845">
        <v>0</v>
      </c>
      <c r="V3026" s="845">
        <v>0.11599999999999999</v>
      </c>
      <c r="W3026" s="845">
        <v>0.34227330779054915</v>
      </c>
      <c r="X3026" s="845">
        <v>0.54850746268656714</v>
      </c>
      <c r="Y3026" s="845">
        <v>4.101123595505618E-2</v>
      </c>
      <c r="Z3026" s="845">
        <v>0.93876404494382026</v>
      </c>
      <c r="AA3026" s="845">
        <v>1.6853932584269663E-3</v>
      </c>
      <c r="AB3026" s="845">
        <v>0</v>
      </c>
      <c r="AC3026" s="845">
        <v>0</v>
      </c>
      <c r="AD3026" s="845">
        <v>1.4606741573033709E-2</v>
      </c>
      <c r="AE3026" s="845">
        <v>3.9325842696629216E-3</v>
      </c>
      <c r="AF3026" s="845">
        <v>1.4044943820224719E-2</v>
      </c>
      <c r="AG3026" s="845">
        <v>4.101123595505618E-2</v>
      </c>
      <c r="AH3026" s="20" t="str">
        <f t="shared" si="214"/>
        <v>No</v>
      </c>
      <c r="AI3026" s="25"/>
      <c r="AU3026" s="19"/>
      <c r="AV3026" s="19"/>
      <c r="AW3026" s="19"/>
      <c r="BU3026"/>
      <c r="BV3026"/>
      <c r="BW3026"/>
      <c r="BX3026"/>
      <c r="BY3026"/>
      <c r="BZ3026"/>
      <c r="CA3026"/>
      <c r="CB3026"/>
      <c r="CC3026"/>
    </row>
    <row r="3027" spans="1:81" s="17" customFormat="1" x14ac:dyDescent="0.2">
      <c r="A3027" s="25"/>
      <c r="B3027" s="20">
        <v>39095003300</v>
      </c>
      <c r="C3027" s="20">
        <v>33</v>
      </c>
      <c r="D3027" s="20" t="s">
        <v>53</v>
      </c>
      <c r="E3027" s="20" t="s">
        <v>2839</v>
      </c>
      <c r="F3027" s="20" t="s">
        <v>6</v>
      </c>
      <c r="G3027" s="861">
        <v>22.208079405922302</v>
      </c>
      <c r="H3027" s="861">
        <v>38.947142964920403</v>
      </c>
      <c r="I3027" s="861">
        <v>69.628009506300998</v>
      </c>
      <c r="J3027" s="861">
        <v>38.600243068183602</v>
      </c>
      <c r="K3027" s="982">
        <v>0</v>
      </c>
      <c r="L3027" s="735">
        <v>1833</v>
      </c>
      <c r="M3027" s="735">
        <v>1171</v>
      </c>
      <c r="N3027" s="845">
        <f t="shared" si="212"/>
        <v>-0.36115657392253137</v>
      </c>
      <c r="O3027" s="735">
        <v>0.29710290832184555</v>
      </c>
      <c r="P3027" s="735">
        <f t="shared" si="213"/>
        <v>3941.3952782026604</v>
      </c>
      <c r="Q3027" s="849">
        <v>36.1</v>
      </c>
      <c r="R3027" s="71">
        <v>19601</v>
      </c>
      <c r="S3027" s="845">
        <v>0.40873362445414846</v>
      </c>
      <c r="T3027" s="845">
        <v>0.33100000000000002</v>
      </c>
      <c r="U3027" s="845">
        <v>0</v>
      </c>
      <c r="V3027" s="845">
        <v>0.17499999999999999</v>
      </c>
      <c r="W3027" s="845">
        <v>0.39849624060150374</v>
      </c>
      <c r="X3027" s="845">
        <v>0.44811320754716982</v>
      </c>
      <c r="Y3027" s="845">
        <v>5.0384286934244238E-2</v>
      </c>
      <c r="Z3027" s="845">
        <v>0.84286934244235701</v>
      </c>
      <c r="AA3027" s="845">
        <v>0</v>
      </c>
      <c r="AB3027" s="845">
        <v>0</v>
      </c>
      <c r="AC3027" s="845">
        <v>0</v>
      </c>
      <c r="AD3027" s="845">
        <v>0</v>
      </c>
      <c r="AE3027" s="845">
        <v>0.1067463706233988</v>
      </c>
      <c r="AF3027" s="845">
        <v>0</v>
      </c>
      <c r="AG3027" s="845">
        <v>5.0384286934244238E-2</v>
      </c>
      <c r="AH3027" s="20" t="str">
        <f t="shared" si="214"/>
        <v>No</v>
      </c>
      <c r="AI3027" s="25"/>
      <c r="AU3027" s="19"/>
      <c r="AV3027" s="19"/>
      <c r="AW3027" s="19"/>
      <c r="BU3027"/>
      <c r="BV3027"/>
      <c r="BW3027"/>
      <c r="BX3027"/>
      <c r="BY3027"/>
      <c r="BZ3027"/>
      <c r="CA3027"/>
      <c r="CB3027"/>
      <c r="CC3027"/>
    </row>
    <row r="3028" spans="1:81" s="17" customFormat="1" x14ac:dyDescent="0.2">
      <c r="A3028" s="25"/>
      <c r="B3028" s="20">
        <v>39139000600</v>
      </c>
      <c r="C3028" s="20">
        <v>6</v>
      </c>
      <c r="D3028" s="20" t="s">
        <v>75</v>
      </c>
      <c r="E3028" s="20" t="s">
        <v>2836</v>
      </c>
      <c r="F3028" s="20" t="s">
        <v>6</v>
      </c>
      <c r="G3028" s="861">
        <v>22.1518182612487</v>
      </c>
      <c r="H3028" s="861">
        <v>34.296824793308602</v>
      </c>
      <c r="I3028" s="861">
        <v>77.425598395474097</v>
      </c>
      <c r="J3028" s="861">
        <v>25.536760693962002</v>
      </c>
      <c r="K3028" s="982">
        <v>0</v>
      </c>
      <c r="L3028" s="735">
        <v>3149</v>
      </c>
      <c r="M3028" s="735">
        <v>3429</v>
      </c>
      <c r="N3028" s="845">
        <f t="shared" si="212"/>
        <v>8.8917116544934893E-2</v>
      </c>
      <c r="O3028" s="735">
        <v>1.1447419347419321</v>
      </c>
      <c r="P3028" s="735">
        <f t="shared" si="213"/>
        <v>2995.4349499505543</v>
      </c>
      <c r="Q3028" s="849">
        <v>27.9</v>
      </c>
      <c r="R3028" s="71">
        <v>27386</v>
      </c>
      <c r="S3028" s="845">
        <v>0.48553719008264462</v>
      </c>
      <c r="T3028" s="845">
        <v>0.19600000000000001</v>
      </c>
      <c r="U3028" s="845">
        <v>0</v>
      </c>
      <c r="V3028" s="845">
        <v>0.14400000000000002</v>
      </c>
      <c r="W3028" s="845">
        <v>0.67901234567901236</v>
      </c>
      <c r="X3028" s="845">
        <v>0.51298701298701299</v>
      </c>
      <c r="Y3028" s="845">
        <v>0.74832312627588216</v>
      </c>
      <c r="Z3028" s="845">
        <v>0.21201516477107027</v>
      </c>
      <c r="AA3028" s="845">
        <v>0</v>
      </c>
      <c r="AB3028" s="845">
        <v>0</v>
      </c>
      <c r="AC3028" s="845">
        <v>0</v>
      </c>
      <c r="AD3028" s="845">
        <v>0</v>
      </c>
      <c r="AE3028" s="845">
        <v>3.9661708953047534E-2</v>
      </c>
      <c r="AF3028" s="845">
        <v>1.5164771070282881E-2</v>
      </c>
      <c r="AG3028" s="845">
        <v>0.73636628754738986</v>
      </c>
      <c r="AH3028" s="20" t="str">
        <f t="shared" si="214"/>
        <v>No</v>
      </c>
      <c r="AI3028" s="25"/>
      <c r="AU3028" s="19"/>
      <c r="AV3028" s="19"/>
      <c r="AW3028" s="19"/>
      <c r="BU3028"/>
      <c r="BV3028"/>
      <c r="BW3028"/>
      <c r="BX3028"/>
      <c r="BY3028"/>
      <c r="BZ3028"/>
      <c r="CA3028"/>
      <c r="CB3028"/>
      <c r="CC3028"/>
    </row>
    <row r="3029" spans="1:81" s="17" customFormat="1" x14ac:dyDescent="0.2">
      <c r="A3029" s="25"/>
      <c r="B3029" s="20">
        <v>39035150400</v>
      </c>
      <c r="C3029" s="20">
        <v>1504</v>
      </c>
      <c r="D3029" s="20" t="s">
        <v>24</v>
      </c>
      <c r="E3029" s="20" t="s">
        <v>2829</v>
      </c>
      <c r="F3029" s="20" t="s">
        <v>6</v>
      </c>
      <c r="G3029" s="861">
        <v>22.148708960681699</v>
      </c>
      <c r="H3029" s="861">
        <v>44.130605639390602</v>
      </c>
      <c r="I3029" s="861">
        <v>82.591945824014502</v>
      </c>
      <c r="J3029" s="861">
        <v>52.5806931202548</v>
      </c>
      <c r="K3029" s="982">
        <v>0</v>
      </c>
      <c r="L3029" s="735">
        <v>1349</v>
      </c>
      <c r="M3029" s="735">
        <v>1018</v>
      </c>
      <c r="N3029" s="845">
        <f t="shared" si="212"/>
        <v>-0.24536693847294291</v>
      </c>
      <c r="O3029" s="735">
        <v>0.16278491718635729</v>
      </c>
      <c r="P3029" s="735">
        <f t="shared" si="213"/>
        <v>6253.6506305101138</v>
      </c>
      <c r="Q3029" s="849">
        <v>28</v>
      </c>
      <c r="R3029" s="71"/>
      <c r="S3029" s="845">
        <v>0.29174852652259331</v>
      </c>
      <c r="T3029" s="845">
        <v>0.18600000000000003</v>
      </c>
      <c r="U3029" s="845">
        <v>0</v>
      </c>
      <c r="V3029" s="845">
        <v>0</v>
      </c>
      <c r="W3029" s="845">
        <v>0.46981627296587924</v>
      </c>
      <c r="X3029" s="845">
        <v>0.5027932960893855</v>
      </c>
      <c r="Y3029" s="845">
        <v>0.16601178781925344</v>
      </c>
      <c r="Z3029" s="845">
        <v>0.83398821218074659</v>
      </c>
      <c r="AA3029" s="845">
        <v>0</v>
      </c>
      <c r="AB3029" s="845">
        <v>0</v>
      </c>
      <c r="AC3029" s="845">
        <v>0</v>
      </c>
      <c r="AD3029" s="845">
        <v>0</v>
      </c>
      <c r="AE3029" s="845">
        <v>0</v>
      </c>
      <c r="AF3029" s="845">
        <v>0</v>
      </c>
      <c r="AG3029" s="845">
        <v>0.16601178781925344</v>
      </c>
      <c r="AH3029" s="20" t="str">
        <f t="shared" si="214"/>
        <v>No</v>
      </c>
      <c r="AI3029" s="25"/>
      <c r="AU3029" s="19"/>
      <c r="AV3029" s="19"/>
      <c r="AW3029" s="19"/>
      <c r="BU3029"/>
      <c r="BV3029"/>
      <c r="BW3029"/>
      <c r="BX3029"/>
      <c r="BY3029"/>
      <c r="BZ3029"/>
      <c r="CA3029"/>
      <c r="CB3029"/>
      <c r="CC3029"/>
    </row>
    <row r="3030" spans="1:81" s="17" customFormat="1" x14ac:dyDescent="0.2">
      <c r="A3030" s="25"/>
      <c r="B3030" s="20">
        <v>39081012000</v>
      </c>
      <c r="C3030" s="20">
        <v>120</v>
      </c>
      <c r="D3030" s="20" t="s">
        <v>47</v>
      </c>
      <c r="E3030" s="20" t="s">
        <v>2840</v>
      </c>
      <c r="F3030" s="20" t="s">
        <v>8</v>
      </c>
      <c r="G3030" s="861">
        <v>22.144793893057798</v>
      </c>
      <c r="H3030" s="861">
        <v>26.182253487419398</v>
      </c>
      <c r="I3030" s="861">
        <v>21.324084747678299</v>
      </c>
      <c r="J3030" s="861">
        <v>40.4144394305292</v>
      </c>
      <c r="K3030" s="982">
        <v>0</v>
      </c>
      <c r="L3030" s="735">
        <v>3029</v>
      </c>
      <c r="M3030" s="735">
        <v>2712</v>
      </c>
      <c r="N3030" s="845">
        <f t="shared" si="212"/>
        <v>-0.1046550016507098</v>
      </c>
      <c r="O3030" s="735">
        <v>29.038371145263675</v>
      </c>
      <c r="P3030" s="735">
        <f t="shared" si="213"/>
        <v>93.393668206570283</v>
      </c>
      <c r="Q3030" s="849">
        <v>47</v>
      </c>
      <c r="R3030" s="71">
        <v>55436</v>
      </c>
      <c r="S3030" s="845">
        <v>0.141635687732342</v>
      </c>
      <c r="T3030" s="845">
        <v>9.1999999999999998E-2</v>
      </c>
      <c r="U3030" s="845">
        <v>1.6E-2</v>
      </c>
      <c r="V3030" s="845">
        <v>4.2999999999999997E-2</v>
      </c>
      <c r="W3030" s="845">
        <v>0.17962466487935658</v>
      </c>
      <c r="X3030" s="845">
        <v>0.48756218905472637</v>
      </c>
      <c r="Y3030" s="845">
        <v>0.99299410029498525</v>
      </c>
      <c r="Z3030" s="845">
        <v>5.5309734513274336E-3</v>
      </c>
      <c r="AA3030" s="845">
        <v>0</v>
      </c>
      <c r="AB3030" s="845">
        <v>0</v>
      </c>
      <c r="AC3030" s="845">
        <v>0</v>
      </c>
      <c r="AD3030" s="845">
        <v>0</v>
      </c>
      <c r="AE3030" s="845">
        <v>1.4749262536873156E-3</v>
      </c>
      <c r="AF3030" s="845">
        <v>1.733038348082596E-2</v>
      </c>
      <c r="AG3030" s="845">
        <v>0.97566371681415931</v>
      </c>
      <c r="AH3030" s="20" t="str">
        <f t="shared" si="214"/>
        <v>Yes</v>
      </c>
      <c r="AI3030" s="25"/>
      <c r="AU3030" s="19"/>
      <c r="AV3030" s="19"/>
      <c r="AW3030" s="19"/>
      <c r="BU3030"/>
      <c r="BV3030"/>
      <c r="BW3030"/>
      <c r="BX3030"/>
      <c r="BY3030"/>
      <c r="BZ3030"/>
      <c r="CA3030"/>
      <c r="CB3030"/>
      <c r="CC3030"/>
    </row>
    <row r="3031" spans="1:81" s="17" customFormat="1" x14ac:dyDescent="0.2">
      <c r="A3031" s="25"/>
      <c r="B3031" s="20">
        <v>39087051300</v>
      </c>
      <c r="C3031" s="20">
        <v>513</v>
      </c>
      <c r="D3031" s="20" t="s">
        <v>49</v>
      </c>
      <c r="E3031" s="20" t="s">
        <v>2834</v>
      </c>
      <c r="F3031" s="20" t="s">
        <v>8</v>
      </c>
      <c r="G3031" s="861">
        <v>22.062011687168798</v>
      </c>
      <c r="H3031" s="861">
        <v>35.131792325580101</v>
      </c>
      <c r="I3031" s="861">
        <v>34.633589370797701</v>
      </c>
      <c r="J3031" s="861">
        <v>35.792648096154899</v>
      </c>
      <c r="K3031" s="982">
        <v>0</v>
      </c>
      <c r="L3031" s="735">
        <v>3771</v>
      </c>
      <c r="M3031" s="735">
        <v>3294</v>
      </c>
      <c r="N3031" s="845">
        <f t="shared" si="212"/>
        <v>-0.12649164677804295</v>
      </c>
      <c r="O3031" s="735">
        <v>18.56791651448933</v>
      </c>
      <c r="P3031" s="735">
        <f t="shared" si="213"/>
        <v>177.40277954338887</v>
      </c>
      <c r="Q3031" s="849">
        <v>48</v>
      </c>
      <c r="R3031" s="71">
        <v>55932</v>
      </c>
      <c r="S3031" s="845">
        <v>0.14246153846153847</v>
      </c>
      <c r="T3031" s="845">
        <v>3.1E-2</v>
      </c>
      <c r="U3031" s="845">
        <v>2.2000000000000002E-2</v>
      </c>
      <c r="V3031" s="845">
        <v>1.3000000000000001E-2</v>
      </c>
      <c r="W3031" s="845">
        <v>0.29082628497072216</v>
      </c>
      <c r="X3031" s="845">
        <v>0.60626398210290833</v>
      </c>
      <c r="Y3031" s="845">
        <v>0.93958712811171829</v>
      </c>
      <c r="Z3031" s="845">
        <v>7.5895567698846386E-3</v>
      </c>
      <c r="AA3031" s="845">
        <v>0</v>
      </c>
      <c r="AB3031" s="845">
        <v>1.426836672738312E-2</v>
      </c>
      <c r="AC3031" s="845">
        <v>0</v>
      </c>
      <c r="AD3031" s="845">
        <v>1.1839708561020037E-2</v>
      </c>
      <c r="AE3031" s="845">
        <v>2.6715239829993929E-2</v>
      </c>
      <c r="AF3031" s="845">
        <v>1.0321797207043109E-2</v>
      </c>
      <c r="AG3031" s="845">
        <v>0.93958712811171829</v>
      </c>
      <c r="AH3031" s="20" t="str">
        <f t="shared" si="214"/>
        <v>Yes</v>
      </c>
      <c r="AI3031" s="25"/>
      <c r="AU3031" s="19"/>
      <c r="AV3031" s="19"/>
      <c r="AW3031" s="19"/>
      <c r="BU3031"/>
      <c r="BV3031"/>
      <c r="BW3031"/>
      <c r="BX3031"/>
      <c r="BY3031"/>
      <c r="BZ3031"/>
      <c r="CA3031"/>
      <c r="CB3031"/>
      <c r="CC3031"/>
    </row>
    <row r="3032" spans="1:81" s="17" customFormat="1" x14ac:dyDescent="0.2">
      <c r="A3032" s="25"/>
      <c r="B3032" s="20">
        <v>39099813800</v>
      </c>
      <c r="C3032" s="20">
        <v>8138</v>
      </c>
      <c r="D3032" s="20" t="s">
        <v>55</v>
      </c>
      <c r="E3032" s="20" t="s">
        <v>2842</v>
      </c>
      <c r="F3032" s="20" t="s">
        <v>6</v>
      </c>
      <c r="G3032" s="861">
        <v>22.032808774640301</v>
      </c>
      <c r="H3032" s="861">
        <v>31.015001202331302</v>
      </c>
      <c r="I3032" s="861">
        <v>41.168119653823503</v>
      </c>
      <c r="J3032" s="861">
        <v>44.861107940424603</v>
      </c>
      <c r="K3032" s="982">
        <v>0</v>
      </c>
      <c r="L3032" s="735">
        <v>2987</v>
      </c>
      <c r="M3032" s="735">
        <v>2957</v>
      </c>
      <c r="N3032" s="845">
        <f t="shared" si="212"/>
        <v>-1.0043521928356211E-2</v>
      </c>
      <c r="O3032" s="735">
        <v>4.0733866535008918</v>
      </c>
      <c r="P3032" s="735">
        <f t="shared" si="213"/>
        <v>725.93157771030451</v>
      </c>
      <c r="Q3032" s="849">
        <v>40.1</v>
      </c>
      <c r="R3032" s="71">
        <v>23056</v>
      </c>
      <c r="S3032" s="845">
        <v>0.49917965545529125</v>
      </c>
      <c r="T3032" s="845">
        <v>0.22500000000000001</v>
      </c>
      <c r="U3032" s="845">
        <v>0</v>
      </c>
      <c r="V3032" s="845">
        <v>4.9000000000000002E-2</v>
      </c>
      <c r="W3032" s="845">
        <v>0.60317460317460314</v>
      </c>
      <c r="X3032" s="845">
        <v>0.39342105263157895</v>
      </c>
      <c r="Y3032" s="845">
        <v>0.22489009130875887</v>
      </c>
      <c r="Z3032" s="845">
        <v>0.55224890091308754</v>
      </c>
      <c r="AA3032" s="845">
        <v>2.7054447074737909E-3</v>
      </c>
      <c r="AB3032" s="845">
        <v>0</v>
      </c>
      <c r="AC3032" s="845">
        <v>0</v>
      </c>
      <c r="AD3032" s="845">
        <v>6.4930672979370982E-2</v>
      </c>
      <c r="AE3032" s="845">
        <v>0.15522489009130877</v>
      </c>
      <c r="AF3032" s="845">
        <v>0.18194115657761245</v>
      </c>
      <c r="AG3032" s="845">
        <v>0.20730470071017923</v>
      </c>
      <c r="AH3032" s="20" t="str">
        <f t="shared" si="214"/>
        <v>No</v>
      </c>
      <c r="AI3032" s="25"/>
      <c r="AU3032" s="19"/>
      <c r="AV3032" s="19"/>
      <c r="AW3032" s="19"/>
      <c r="BU3032"/>
      <c r="BV3032"/>
      <c r="BW3032"/>
      <c r="BX3032"/>
      <c r="BY3032"/>
      <c r="BZ3032"/>
      <c r="CA3032"/>
      <c r="CB3032"/>
      <c r="CC3032"/>
    </row>
    <row r="3033" spans="1:81" s="17" customFormat="1" x14ac:dyDescent="0.2">
      <c r="A3033" s="25"/>
      <c r="B3033" s="20">
        <v>39081000200</v>
      </c>
      <c r="C3033" s="20">
        <v>2</v>
      </c>
      <c r="D3033" s="20" t="s">
        <v>47</v>
      </c>
      <c r="E3033" s="20" t="s">
        <v>2840</v>
      </c>
      <c r="F3033" s="20" t="s">
        <v>6</v>
      </c>
      <c r="G3033" s="861">
        <v>21.790639608407499</v>
      </c>
      <c r="H3033" s="861">
        <v>28.479374388613099</v>
      </c>
      <c r="I3033" s="861">
        <v>30.493702615484199</v>
      </c>
      <c r="J3033" s="861">
        <v>30.859110818698799</v>
      </c>
      <c r="K3033" s="982">
        <v>0</v>
      </c>
      <c r="L3033" s="735">
        <v>2985</v>
      </c>
      <c r="M3033" s="735">
        <v>3556</v>
      </c>
      <c r="N3033" s="845">
        <f t="shared" si="212"/>
        <v>0.19128978224455612</v>
      </c>
      <c r="O3033" s="735">
        <v>1.3476112058290493</v>
      </c>
      <c r="P3033" s="735">
        <f t="shared" si="213"/>
        <v>2638.7432700311747</v>
      </c>
      <c r="Q3033" s="849">
        <v>21.9</v>
      </c>
      <c r="R3033" s="71">
        <v>17250</v>
      </c>
      <c r="S3033" s="845">
        <v>0.6001011122345804</v>
      </c>
      <c r="T3033" s="845">
        <v>0.11199999999999999</v>
      </c>
      <c r="U3033" s="845">
        <v>0</v>
      </c>
      <c r="V3033" s="845">
        <v>0.109</v>
      </c>
      <c r="W3033" s="845">
        <v>0.82905225863596099</v>
      </c>
      <c r="X3033" s="845">
        <v>0.29700854700854701</v>
      </c>
      <c r="Y3033" s="845">
        <v>0.68869516310461187</v>
      </c>
      <c r="Z3033" s="845">
        <v>0.17604049493813273</v>
      </c>
      <c r="AA3033" s="845">
        <v>4.4994375703037125E-3</v>
      </c>
      <c r="AB3033" s="845">
        <v>8.1552305961754782E-3</v>
      </c>
      <c r="AC3033" s="845">
        <v>0</v>
      </c>
      <c r="AD3033" s="845">
        <v>1.8841394825646795E-2</v>
      </c>
      <c r="AE3033" s="845">
        <v>0.10376827896512936</v>
      </c>
      <c r="AF3033" s="845">
        <v>5.5118110236220472E-2</v>
      </c>
      <c r="AG3033" s="845">
        <v>0.66338582677165359</v>
      </c>
      <c r="AH3033" s="20" t="str">
        <f t="shared" si="214"/>
        <v>No</v>
      </c>
      <c r="AI3033" s="25"/>
      <c r="AU3033" s="19"/>
      <c r="AV3033" s="19"/>
      <c r="AW3033" s="19"/>
      <c r="BU3033"/>
      <c r="BV3033"/>
      <c r="BW3033"/>
      <c r="BX3033"/>
      <c r="BY3033"/>
      <c r="BZ3033"/>
      <c r="CA3033"/>
      <c r="CB3033"/>
      <c r="CC3033"/>
    </row>
    <row r="3034" spans="1:81" s="17" customFormat="1" x14ac:dyDescent="0.2">
      <c r="A3034" s="25"/>
      <c r="B3034" s="20">
        <v>39095006600</v>
      </c>
      <c r="C3034" s="20">
        <v>66</v>
      </c>
      <c r="D3034" s="20" t="s">
        <v>53</v>
      </c>
      <c r="E3034" s="20" t="s">
        <v>2839</v>
      </c>
      <c r="F3034" s="20" t="s">
        <v>6</v>
      </c>
      <c r="G3034" s="861">
        <v>21.6257773953979</v>
      </c>
      <c r="H3034" s="861">
        <v>37.572020608267898</v>
      </c>
      <c r="I3034" s="861">
        <v>58.422272887326898</v>
      </c>
      <c r="J3034" s="861">
        <v>42.532349521940802</v>
      </c>
      <c r="K3034" s="982">
        <v>0</v>
      </c>
      <c r="L3034" s="735">
        <v>2530</v>
      </c>
      <c r="M3034" s="735">
        <v>1806</v>
      </c>
      <c r="N3034" s="845">
        <f t="shared" si="212"/>
        <v>-0.28616600790513835</v>
      </c>
      <c r="O3034" s="735">
        <v>1.1445218565115345</v>
      </c>
      <c r="P3034" s="735">
        <f t="shared" si="213"/>
        <v>1577.951517242868</v>
      </c>
      <c r="Q3034" s="849">
        <v>40.9</v>
      </c>
      <c r="R3034" s="71">
        <v>44160</v>
      </c>
      <c r="S3034" s="845">
        <v>0.20178372352285395</v>
      </c>
      <c r="T3034" s="845">
        <v>7.8E-2</v>
      </c>
      <c r="U3034" s="845">
        <v>0</v>
      </c>
      <c r="V3034" s="845">
        <v>0</v>
      </c>
      <c r="W3034" s="845">
        <v>0.52774869109947642</v>
      </c>
      <c r="X3034" s="845">
        <v>0.20238095238095238</v>
      </c>
      <c r="Y3034" s="845">
        <v>0.35492801771871541</v>
      </c>
      <c r="Z3034" s="845">
        <v>0.54485049833887045</v>
      </c>
      <c r="AA3034" s="845">
        <v>2.2148394241417496E-3</v>
      </c>
      <c r="AB3034" s="845">
        <v>0</v>
      </c>
      <c r="AC3034" s="845">
        <v>0</v>
      </c>
      <c r="AD3034" s="845">
        <v>8.8593576965669985E-3</v>
      </c>
      <c r="AE3034" s="845">
        <v>8.9147286821705432E-2</v>
      </c>
      <c r="AF3034" s="845">
        <v>2.8792912513842746E-2</v>
      </c>
      <c r="AG3034" s="845">
        <v>0.3433001107419712</v>
      </c>
      <c r="AH3034" s="20" t="str">
        <f t="shared" si="214"/>
        <v>No</v>
      </c>
      <c r="AI3034" s="25"/>
      <c r="AU3034" s="19"/>
      <c r="AV3034" s="19"/>
      <c r="AW3034" s="19"/>
      <c r="BU3034"/>
      <c r="BV3034"/>
      <c r="BW3034"/>
      <c r="BX3034"/>
      <c r="BY3034"/>
      <c r="BZ3034"/>
      <c r="CA3034"/>
      <c r="CB3034"/>
      <c r="CC3034"/>
    </row>
    <row r="3035" spans="1:81" s="17" customFormat="1" x14ac:dyDescent="0.2">
      <c r="A3035" s="25"/>
      <c r="B3035" s="20">
        <v>39023003301</v>
      </c>
      <c r="C3035" s="20">
        <v>33.01</v>
      </c>
      <c r="D3035" s="20" t="s">
        <v>18</v>
      </c>
      <c r="E3035" s="20" t="s">
        <v>2838</v>
      </c>
      <c r="F3035" s="20" t="s">
        <v>8</v>
      </c>
      <c r="G3035" s="861">
        <v>21.578965647135899</v>
      </c>
      <c r="H3035" s="861">
        <v>39.112436752630899</v>
      </c>
      <c r="I3035" s="861">
        <v>13.630743901689501</v>
      </c>
      <c r="J3035" s="861">
        <v>36.947368380767898</v>
      </c>
      <c r="K3035" s="982">
        <v>0</v>
      </c>
      <c r="L3035" s="735">
        <v>3545</v>
      </c>
      <c r="M3035" s="735">
        <v>3630</v>
      </c>
      <c r="N3035" s="845">
        <f t="shared" si="212"/>
        <v>2.3977433004231313E-2</v>
      </c>
      <c r="O3035" s="735">
        <v>50.695141608198348</v>
      </c>
      <c r="P3035" s="735">
        <f t="shared" si="213"/>
        <v>71.604494727616299</v>
      </c>
      <c r="Q3035" s="849">
        <v>47.2</v>
      </c>
      <c r="R3035" s="71">
        <v>92386</v>
      </c>
      <c r="S3035" s="845">
        <v>6.0614525139664803E-2</v>
      </c>
      <c r="T3035" s="845">
        <v>4.5999999999999999E-2</v>
      </c>
      <c r="U3035" s="845">
        <v>0.02</v>
      </c>
      <c r="V3035" s="845">
        <v>0</v>
      </c>
      <c r="W3035" s="845">
        <v>0.10996563573883161</v>
      </c>
      <c r="X3035" s="845">
        <v>8.1250000000000003E-2</v>
      </c>
      <c r="Y3035" s="845">
        <v>0.9559228650137741</v>
      </c>
      <c r="Z3035" s="845">
        <v>1.652892561983471E-3</v>
      </c>
      <c r="AA3035" s="845">
        <v>0</v>
      </c>
      <c r="AB3035" s="845">
        <v>0</v>
      </c>
      <c r="AC3035" s="845">
        <v>0</v>
      </c>
      <c r="AD3035" s="845">
        <v>0</v>
      </c>
      <c r="AE3035" s="845">
        <v>4.2424242424242427E-2</v>
      </c>
      <c r="AF3035" s="845">
        <v>3.884297520661157E-2</v>
      </c>
      <c r="AG3035" s="845">
        <v>0.9559228650137741</v>
      </c>
      <c r="AH3035" s="20" t="str">
        <f t="shared" si="214"/>
        <v>Yes</v>
      </c>
      <c r="AI3035" s="25"/>
      <c r="AU3035" s="19"/>
      <c r="AV3035" s="19"/>
      <c r="AW3035" s="19"/>
      <c r="BU3035"/>
      <c r="BV3035"/>
      <c r="BW3035"/>
      <c r="BX3035"/>
      <c r="BY3035"/>
      <c r="BZ3035"/>
      <c r="CA3035"/>
      <c r="CB3035"/>
      <c r="CC3035"/>
    </row>
    <row r="3036" spans="1:81" s="17" customFormat="1" x14ac:dyDescent="0.2">
      <c r="A3036" s="25"/>
      <c r="B3036" s="20">
        <v>39113003800</v>
      </c>
      <c r="C3036" s="20">
        <v>38</v>
      </c>
      <c r="D3036" s="20" t="s">
        <v>62</v>
      </c>
      <c r="E3036" s="20" t="s">
        <v>2833</v>
      </c>
      <c r="F3036" s="20" t="s">
        <v>6</v>
      </c>
      <c r="G3036" s="861">
        <v>21.500290506834499</v>
      </c>
      <c r="H3036" s="861">
        <v>42.566361829907997</v>
      </c>
      <c r="I3036" s="861">
        <v>77.295501984268199</v>
      </c>
      <c r="J3036" s="861">
        <v>38.770484039876798</v>
      </c>
      <c r="K3036" s="982">
        <v>0</v>
      </c>
      <c r="L3036" s="735">
        <v>3276</v>
      </c>
      <c r="M3036" s="735">
        <v>2122</v>
      </c>
      <c r="N3036" s="845">
        <f t="shared" si="212"/>
        <v>-0.35225885225885228</v>
      </c>
      <c r="O3036" s="735">
        <v>0.91661926586991171</v>
      </c>
      <c r="P3036" s="735">
        <f t="shared" si="213"/>
        <v>2315.0288009560099</v>
      </c>
      <c r="Q3036" s="849">
        <v>37.700000000000003</v>
      </c>
      <c r="R3036" s="71">
        <v>38799</v>
      </c>
      <c r="S3036" s="845">
        <v>0.23185673892554196</v>
      </c>
      <c r="T3036" s="845">
        <v>0</v>
      </c>
      <c r="U3036" s="845">
        <v>0</v>
      </c>
      <c r="V3036" s="845">
        <v>0</v>
      </c>
      <c r="W3036" s="845">
        <v>0.43927125506072873</v>
      </c>
      <c r="X3036" s="845">
        <v>0.59216589861751157</v>
      </c>
      <c r="Y3036" s="845">
        <v>7.540056550424128E-3</v>
      </c>
      <c r="Z3036" s="845">
        <v>0.94250706880301605</v>
      </c>
      <c r="AA3036" s="845">
        <v>1.0838831291234684E-2</v>
      </c>
      <c r="AB3036" s="845">
        <v>0</v>
      </c>
      <c r="AC3036" s="845">
        <v>0</v>
      </c>
      <c r="AD3036" s="845">
        <v>3.2516493873704054E-2</v>
      </c>
      <c r="AE3036" s="845">
        <v>6.5975494816211122E-3</v>
      </c>
      <c r="AF3036" s="845">
        <v>0</v>
      </c>
      <c r="AG3036" s="845">
        <v>7.540056550424128E-3</v>
      </c>
      <c r="AH3036" s="20" t="str">
        <f t="shared" si="214"/>
        <v>No</v>
      </c>
      <c r="AI3036" s="25"/>
      <c r="AU3036" s="19"/>
      <c r="AV3036" s="19"/>
      <c r="AW3036" s="19"/>
      <c r="BU3036"/>
      <c r="BV3036"/>
      <c r="BW3036"/>
      <c r="BX3036"/>
      <c r="BY3036"/>
      <c r="BZ3036"/>
      <c r="CA3036"/>
      <c r="CB3036"/>
      <c r="CC3036"/>
    </row>
    <row r="3037" spans="1:81" s="17" customFormat="1" x14ac:dyDescent="0.2">
      <c r="A3037" s="25"/>
      <c r="B3037" s="20">
        <v>39049008730</v>
      </c>
      <c r="C3037" s="20">
        <v>87.3</v>
      </c>
      <c r="D3037" s="20" t="s">
        <v>31</v>
      </c>
      <c r="E3037" s="20" t="s">
        <v>2830</v>
      </c>
      <c r="F3037" s="20" t="s">
        <v>6</v>
      </c>
      <c r="G3037" s="861">
        <v>21.443443856953301</v>
      </c>
      <c r="H3037" s="861">
        <v>41.970735836110499</v>
      </c>
      <c r="I3037" s="861">
        <v>71.9875010720435</v>
      </c>
      <c r="J3037" s="861">
        <v>50.390053398323097</v>
      </c>
      <c r="K3037" s="982">
        <v>0</v>
      </c>
      <c r="L3037" s="735">
        <v>2049</v>
      </c>
      <c r="M3037" s="735">
        <v>1920</v>
      </c>
      <c r="N3037" s="845">
        <f t="shared" si="212"/>
        <v>-6.2957540263543194E-2</v>
      </c>
      <c r="O3037" s="735">
        <v>1.8002827819931575</v>
      </c>
      <c r="P3037" s="735">
        <f t="shared" si="213"/>
        <v>1066.4991184742096</v>
      </c>
      <c r="Q3037" s="849">
        <v>30.4</v>
      </c>
      <c r="R3037" s="71">
        <v>33491</v>
      </c>
      <c r="S3037" s="845">
        <v>0.40145170295924065</v>
      </c>
      <c r="T3037" s="845">
        <v>8.3000000000000004E-2</v>
      </c>
      <c r="U3037" s="845">
        <v>0</v>
      </c>
      <c r="V3037" s="845">
        <v>5.7999999999999996E-2</v>
      </c>
      <c r="W3037" s="845">
        <v>0.78818443804034577</v>
      </c>
      <c r="X3037" s="845">
        <v>0.58135283363802559</v>
      </c>
      <c r="Y3037" s="845">
        <v>0.25364583333333335</v>
      </c>
      <c r="Z3037" s="845">
        <v>0.63437500000000002</v>
      </c>
      <c r="AA3037" s="845">
        <v>0</v>
      </c>
      <c r="AB3037" s="845">
        <v>3.1250000000000002E-3</v>
      </c>
      <c r="AC3037" s="845">
        <v>0</v>
      </c>
      <c r="AD3037" s="845">
        <v>3.7499999999999999E-2</v>
      </c>
      <c r="AE3037" s="845">
        <v>7.1354166666666663E-2</v>
      </c>
      <c r="AF3037" s="845">
        <v>4.5312499999999999E-2</v>
      </c>
      <c r="AG3037" s="845">
        <v>0.24270833333333333</v>
      </c>
      <c r="AH3037" s="20" t="str">
        <f t="shared" si="214"/>
        <v>No</v>
      </c>
      <c r="AI3037" s="25"/>
      <c r="AU3037" s="19"/>
      <c r="AV3037" s="19"/>
      <c r="AW3037" s="19"/>
      <c r="BU3037"/>
      <c r="BV3037"/>
      <c r="BW3037"/>
      <c r="BX3037"/>
      <c r="BY3037"/>
      <c r="BZ3037"/>
      <c r="CA3037"/>
      <c r="CB3037"/>
      <c r="CC3037"/>
    </row>
    <row r="3038" spans="1:81" s="17" customFormat="1" x14ac:dyDescent="0.2">
      <c r="A3038" s="25"/>
      <c r="B3038" s="20">
        <v>39095002600</v>
      </c>
      <c r="C3038" s="20">
        <v>26</v>
      </c>
      <c r="D3038" s="20" t="s">
        <v>53</v>
      </c>
      <c r="E3038" s="20" t="s">
        <v>2839</v>
      </c>
      <c r="F3038" s="20" t="s">
        <v>8</v>
      </c>
      <c r="G3038" s="861">
        <v>21.398663735706801</v>
      </c>
      <c r="H3038" s="861">
        <v>7.0679278067617402</v>
      </c>
      <c r="I3038" s="861">
        <v>80.783868537172694</v>
      </c>
      <c r="J3038" s="861">
        <v>13.3575815888628</v>
      </c>
      <c r="K3038" s="982">
        <v>0</v>
      </c>
      <c r="L3038" s="735">
        <v>1084</v>
      </c>
      <c r="M3038" s="735">
        <v>1010</v>
      </c>
      <c r="N3038" s="845">
        <f t="shared" si="212"/>
        <v>-6.8265682656826573E-2</v>
      </c>
      <c r="O3038" s="735">
        <v>0.40772079065644823</v>
      </c>
      <c r="P3038" s="735">
        <f t="shared" si="213"/>
        <v>2477.185424794885</v>
      </c>
      <c r="Q3038" s="849">
        <v>46.8</v>
      </c>
      <c r="R3038" s="71">
        <v>18144</v>
      </c>
      <c r="S3038" s="845">
        <v>0.58217821782178214</v>
      </c>
      <c r="T3038" s="845">
        <v>0.39600000000000002</v>
      </c>
      <c r="U3038" s="845">
        <v>0.27500000000000002</v>
      </c>
      <c r="V3038" s="845">
        <v>7.0000000000000007E-2</v>
      </c>
      <c r="W3038" s="845">
        <v>0.39655172413793105</v>
      </c>
      <c r="X3038" s="845">
        <v>0.62732919254658381</v>
      </c>
      <c r="Y3038" s="845">
        <v>3.6633663366336632E-2</v>
      </c>
      <c r="Z3038" s="845">
        <v>0.81287128712871282</v>
      </c>
      <c r="AA3038" s="845">
        <v>0</v>
      </c>
      <c r="AB3038" s="845">
        <v>2.9702970297029702E-2</v>
      </c>
      <c r="AC3038" s="845">
        <v>0</v>
      </c>
      <c r="AD3038" s="845">
        <v>0</v>
      </c>
      <c r="AE3038" s="845">
        <v>0.12079207920792079</v>
      </c>
      <c r="AF3038" s="845">
        <v>2.7722772277227723E-2</v>
      </c>
      <c r="AG3038" s="845">
        <v>3.6633663366336632E-2</v>
      </c>
      <c r="AH3038" s="20" t="str">
        <f t="shared" si="214"/>
        <v>No</v>
      </c>
      <c r="AI3038" s="25"/>
      <c r="AU3038" s="19"/>
      <c r="AV3038" s="19"/>
      <c r="AW3038" s="19"/>
      <c r="BU3038"/>
      <c r="BV3038"/>
      <c r="BW3038"/>
      <c r="BX3038"/>
      <c r="BY3038"/>
      <c r="BZ3038"/>
      <c r="CA3038"/>
      <c r="CB3038"/>
      <c r="CC3038"/>
    </row>
    <row r="3039" spans="1:81" s="17" customFormat="1" x14ac:dyDescent="0.2">
      <c r="A3039" s="25"/>
      <c r="B3039" s="20">
        <v>39035199000</v>
      </c>
      <c r="C3039" s="20">
        <v>1990</v>
      </c>
      <c r="D3039" s="20" t="s">
        <v>24</v>
      </c>
      <c r="E3039" s="20" t="s">
        <v>2829</v>
      </c>
      <c r="F3039" s="20" t="s">
        <v>6</v>
      </c>
      <c r="G3039" s="861">
        <v>21.3835009381548</v>
      </c>
      <c r="H3039" s="861">
        <v>38.281551579672303</v>
      </c>
      <c r="I3039" s="861">
        <v>87.834536013936102</v>
      </c>
      <c r="J3039" s="861">
        <v>25.765452864746301</v>
      </c>
      <c r="K3039" s="982">
        <v>1</v>
      </c>
      <c r="L3039" s="735" t="s">
        <v>2466</v>
      </c>
      <c r="M3039" s="735">
        <v>1191</v>
      </c>
      <c r="N3039" s="845" t="str">
        <f t="shared" si="212"/>
        <v/>
      </c>
      <c r="O3039" s="735">
        <v>0.29066967415537676</v>
      </c>
      <c r="P3039" s="735">
        <f t="shared" si="213"/>
        <v>4097.4346686175249</v>
      </c>
      <c r="Q3039" s="849">
        <v>43.7</v>
      </c>
      <c r="R3039" s="71">
        <v>29792</v>
      </c>
      <c r="S3039" s="845">
        <v>0.40218303946263645</v>
      </c>
      <c r="T3039" s="845">
        <v>0.16699999999999998</v>
      </c>
      <c r="U3039" s="845">
        <v>0</v>
      </c>
      <c r="V3039" s="845">
        <v>3.1E-2</v>
      </c>
      <c r="W3039" s="845">
        <v>0.51376146788990829</v>
      </c>
      <c r="X3039" s="845">
        <v>0.36428571428571427</v>
      </c>
      <c r="Y3039" s="845">
        <v>4.1981528127623846E-2</v>
      </c>
      <c r="Z3039" s="845">
        <v>0.83963056255247692</v>
      </c>
      <c r="AA3039" s="845">
        <v>0</v>
      </c>
      <c r="AB3039" s="845">
        <v>1.595298068849706E-2</v>
      </c>
      <c r="AC3039" s="845">
        <v>0</v>
      </c>
      <c r="AD3039" s="845">
        <v>1.4273719563392108E-2</v>
      </c>
      <c r="AE3039" s="845">
        <v>8.8161209068010074E-2</v>
      </c>
      <c r="AF3039" s="845">
        <v>1.8471872376154493E-2</v>
      </c>
      <c r="AG3039" s="845">
        <v>4.1981528127623846E-2</v>
      </c>
      <c r="AH3039" s="20" t="str">
        <f t="shared" si="214"/>
        <v>No</v>
      </c>
      <c r="AI3039" s="25"/>
      <c r="AU3039" s="19"/>
      <c r="AV3039" s="19"/>
      <c r="AW3039" s="19"/>
      <c r="BU3039"/>
      <c r="BV3039"/>
      <c r="BW3039"/>
      <c r="BX3039"/>
      <c r="BY3039"/>
      <c r="BZ3039"/>
      <c r="CA3039"/>
      <c r="CB3039"/>
      <c r="CC3039"/>
    </row>
    <row r="3040" spans="1:81" s="17" customFormat="1" x14ac:dyDescent="0.2">
      <c r="A3040" s="25"/>
      <c r="B3040" s="20">
        <v>39067975600</v>
      </c>
      <c r="C3040" s="20">
        <v>9756</v>
      </c>
      <c r="D3040" s="20" t="s">
        <v>40</v>
      </c>
      <c r="E3040" s="20" t="s">
        <v>265</v>
      </c>
      <c r="F3040" s="20" t="s">
        <v>8</v>
      </c>
      <c r="G3040" s="861">
        <v>21.335030608517801</v>
      </c>
      <c r="H3040" s="861">
        <v>29.749507453668802</v>
      </c>
      <c r="I3040" s="861">
        <v>25.250890933725699</v>
      </c>
      <c r="J3040" s="861">
        <v>38.819640420761502</v>
      </c>
      <c r="K3040" s="982">
        <v>0</v>
      </c>
      <c r="L3040" s="735">
        <v>4211</v>
      </c>
      <c r="M3040" s="735">
        <v>3449</v>
      </c>
      <c r="N3040" s="845">
        <f t="shared" si="212"/>
        <v>-0.18095464260270719</v>
      </c>
      <c r="O3040" s="735">
        <v>79.550205734342157</v>
      </c>
      <c r="P3040" s="735">
        <f t="shared" si="213"/>
        <v>43.356267506308313</v>
      </c>
      <c r="Q3040" s="849">
        <v>50.3</v>
      </c>
      <c r="R3040" s="71">
        <v>52011</v>
      </c>
      <c r="S3040" s="845">
        <v>0.17812313209802749</v>
      </c>
      <c r="T3040" s="845">
        <v>7.5999999999999998E-2</v>
      </c>
      <c r="U3040" s="845">
        <v>0.02</v>
      </c>
      <c r="V3040" s="845">
        <v>4.0999999999999995E-2</v>
      </c>
      <c r="W3040" s="845">
        <v>0.22184531886024422</v>
      </c>
      <c r="X3040" s="845">
        <v>0.15596330275229359</v>
      </c>
      <c r="Y3040" s="845">
        <v>0.97013627138300962</v>
      </c>
      <c r="Z3040" s="845">
        <v>6.088721368512612E-3</v>
      </c>
      <c r="AA3040" s="845">
        <v>0</v>
      </c>
      <c r="AB3040" s="845">
        <v>0</v>
      </c>
      <c r="AC3040" s="845">
        <v>0</v>
      </c>
      <c r="AD3040" s="845">
        <v>7.8283560452305015E-3</v>
      </c>
      <c r="AE3040" s="845">
        <v>1.5946651203247317E-2</v>
      </c>
      <c r="AF3040" s="845">
        <v>1.2177442737025224E-2</v>
      </c>
      <c r="AG3040" s="845">
        <v>0.96201797622499274</v>
      </c>
      <c r="AH3040" s="20" t="str">
        <f t="shared" si="214"/>
        <v>Yes</v>
      </c>
      <c r="AI3040" s="25"/>
      <c r="AU3040" s="19"/>
      <c r="AV3040" s="19"/>
      <c r="AW3040" s="19"/>
      <c r="BU3040"/>
      <c r="BV3040"/>
      <c r="BW3040"/>
      <c r="BX3040"/>
      <c r="BY3040"/>
      <c r="BZ3040"/>
      <c r="CA3040"/>
      <c r="CB3040"/>
      <c r="CC3040"/>
    </row>
    <row r="3041" spans="1:81" s="17" customFormat="1" x14ac:dyDescent="0.2">
      <c r="A3041" s="25"/>
      <c r="B3041" s="20">
        <v>39095001002</v>
      </c>
      <c r="C3041" s="20">
        <v>10.02</v>
      </c>
      <c r="D3041" s="20" t="s">
        <v>53</v>
      </c>
      <c r="E3041" s="20" t="s">
        <v>2839</v>
      </c>
      <c r="F3041" s="20" t="s">
        <v>8</v>
      </c>
      <c r="G3041" s="861">
        <v>21.230552696726701</v>
      </c>
      <c r="H3041" s="861">
        <v>40.927268999907902</v>
      </c>
      <c r="I3041" s="861">
        <v>48.516931128341596</v>
      </c>
      <c r="J3041" s="861">
        <v>47.279647974536701</v>
      </c>
      <c r="K3041" s="982">
        <v>0</v>
      </c>
      <c r="L3041" s="735" t="s">
        <v>2466</v>
      </c>
      <c r="M3041" s="735">
        <v>2502</v>
      </c>
      <c r="N3041" s="845" t="str">
        <f t="shared" si="212"/>
        <v/>
      </c>
      <c r="O3041" s="735">
        <v>0.40862542801403057</v>
      </c>
      <c r="P3041" s="735">
        <f t="shared" si="213"/>
        <v>6122.9669728583103</v>
      </c>
      <c r="Q3041" s="849">
        <v>33.5</v>
      </c>
      <c r="R3041" s="71">
        <v>27610</v>
      </c>
      <c r="S3041" s="845">
        <v>0.46522781774580335</v>
      </c>
      <c r="T3041" s="845">
        <v>8.199999999999999E-2</v>
      </c>
      <c r="U3041" s="845">
        <v>0</v>
      </c>
      <c r="V3041" s="845">
        <v>0</v>
      </c>
      <c r="W3041" s="845">
        <v>0.37091675447839834</v>
      </c>
      <c r="X3041" s="845">
        <v>0.55681818181818177</v>
      </c>
      <c r="Y3041" s="845">
        <v>0.24700239808153476</v>
      </c>
      <c r="Z3041" s="845">
        <v>0.64348521183053553</v>
      </c>
      <c r="AA3041" s="845">
        <v>0</v>
      </c>
      <c r="AB3041" s="845">
        <v>1.9184652278177457E-2</v>
      </c>
      <c r="AC3041" s="845">
        <v>0</v>
      </c>
      <c r="AD3041" s="845">
        <v>2.7577937649880094E-2</v>
      </c>
      <c r="AE3041" s="845">
        <v>6.2749800159872096E-2</v>
      </c>
      <c r="AF3041" s="845">
        <v>7.7138289368505197E-2</v>
      </c>
      <c r="AG3041" s="845">
        <v>0.24100719424460432</v>
      </c>
      <c r="AH3041" s="20" t="str">
        <f t="shared" si="214"/>
        <v>No</v>
      </c>
      <c r="AI3041" s="25"/>
      <c r="AU3041" s="19"/>
      <c r="AV3041" s="19"/>
      <c r="AW3041" s="19"/>
      <c r="BU3041"/>
      <c r="BV3041"/>
      <c r="BW3041"/>
      <c r="BX3041"/>
      <c r="BY3041"/>
      <c r="BZ3041"/>
      <c r="CA3041"/>
      <c r="CB3041"/>
      <c r="CC3041"/>
    </row>
    <row r="3042" spans="1:81" s="17" customFormat="1" x14ac:dyDescent="0.2">
      <c r="A3042" s="25"/>
      <c r="B3042" s="20">
        <v>39115969000</v>
      </c>
      <c r="C3042" s="20">
        <v>9690</v>
      </c>
      <c r="D3042" s="20" t="s">
        <v>63</v>
      </c>
      <c r="E3042" s="20" t="s">
        <v>265</v>
      </c>
      <c r="F3042" s="20" t="s">
        <v>8</v>
      </c>
      <c r="G3042" s="861">
        <v>21.0484998856533</v>
      </c>
      <c r="H3042" s="861">
        <v>34.810063458186903</v>
      </c>
      <c r="I3042" s="861">
        <v>26.4601698061741</v>
      </c>
      <c r="J3042" s="861">
        <v>33.869659113462099</v>
      </c>
      <c r="K3042" s="982">
        <v>0</v>
      </c>
      <c r="L3042" s="735">
        <v>3845</v>
      </c>
      <c r="M3042" s="735">
        <v>3442</v>
      </c>
      <c r="N3042" s="845">
        <f t="shared" si="212"/>
        <v>-0.10481144343302991</v>
      </c>
      <c r="O3042" s="735">
        <v>151.40488733749439</v>
      </c>
      <c r="P3042" s="735">
        <f t="shared" si="213"/>
        <v>22.733744336320459</v>
      </c>
      <c r="Q3042" s="849">
        <v>49.4</v>
      </c>
      <c r="R3042" s="71">
        <v>57309</v>
      </c>
      <c r="S3042" s="845">
        <v>0.1356769320162696</v>
      </c>
      <c r="T3042" s="845">
        <v>1.2E-2</v>
      </c>
      <c r="U3042" s="845">
        <v>0</v>
      </c>
      <c r="V3042" s="845">
        <v>0</v>
      </c>
      <c r="W3042" s="845">
        <v>0.13202042304886943</v>
      </c>
      <c r="X3042" s="845">
        <v>0.40331491712707185</v>
      </c>
      <c r="Y3042" s="845">
        <v>0.9677513073794306</v>
      </c>
      <c r="Z3042" s="845">
        <v>8.4253341080767E-3</v>
      </c>
      <c r="AA3042" s="845">
        <v>0</v>
      </c>
      <c r="AB3042" s="845">
        <v>0</v>
      </c>
      <c r="AC3042" s="845">
        <v>0</v>
      </c>
      <c r="AD3042" s="845">
        <v>0</v>
      </c>
      <c r="AE3042" s="845">
        <v>2.3823358512492735E-2</v>
      </c>
      <c r="AF3042" s="845">
        <v>1.1911679256246368E-2</v>
      </c>
      <c r="AG3042" s="845">
        <v>0.9677513073794306</v>
      </c>
      <c r="AH3042" s="20" t="str">
        <f t="shared" si="214"/>
        <v>Yes</v>
      </c>
      <c r="AI3042" s="25"/>
      <c r="AU3042" s="19"/>
      <c r="AV3042" s="19"/>
      <c r="AW3042" s="19"/>
      <c r="BU3042"/>
      <c r="BV3042"/>
      <c r="BW3042"/>
      <c r="BX3042"/>
      <c r="BY3042"/>
      <c r="BZ3042"/>
      <c r="CA3042"/>
      <c r="CB3042"/>
      <c r="CC3042"/>
    </row>
    <row r="3043" spans="1:81" s="17" customFormat="1" x14ac:dyDescent="0.2">
      <c r="A3043" s="25"/>
      <c r="B3043" s="20">
        <v>39113002000</v>
      </c>
      <c r="C3043" s="20">
        <v>20</v>
      </c>
      <c r="D3043" s="20" t="s">
        <v>62</v>
      </c>
      <c r="E3043" s="20" t="s">
        <v>2833</v>
      </c>
      <c r="F3043" s="20" t="s">
        <v>6</v>
      </c>
      <c r="G3043" s="861">
        <v>20.9446428301327</v>
      </c>
      <c r="H3043" s="861">
        <v>50.173924826954398</v>
      </c>
      <c r="I3043" s="861">
        <v>78.393582670903797</v>
      </c>
      <c r="J3043" s="861">
        <v>47.023284131326797</v>
      </c>
      <c r="K3043" s="982">
        <v>0</v>
      </c>
      <c r="L3043" s="735">
        <v>3081</v>
      </c>
      <c r="M3043" s="735">
        <v>2799</v>
      </c>
      <c r="N3043" s="845">
        <f t="shared" si="212"/>
        <v>-9.1528724440116851E-2</v>
      </c>
      <c r="O3043" s="735">
        <v>0.7243944451930322</v>
      </c>
      <c r="P3043" s="735">
        <f t="shared" si="213"/>
        <v>3863.9169841427201</v>
      </c>
      <c r="Q3043" s="849">
        <v>31.8</v>
      </c>
      <c r="R3043" s="71">
        <v>28129</v>
      </c>
      <c r="S3043" s="845">
        <v>0.41300464451589852</v>
      </c>
      <c r="T3043" s="845">
        <v>0.13200000000000001</v>
      </c>
      <c r="U3043" s="845">
        <v>0</v>
      </c>
      <c r="V3043" s="845">
        <v>0</v>
      </c>
      <c r="W3043" s="845">
        <v>0.69230769230769229</v>
      </c>
      <c r="X3043" s="845">
        <v>0.61561561561561562</v>
      </c>
      <c r="Y3043" s="845">
        <v>0.62951053947838509</v>
      </c>
      <c r="Z3043" s="845">
        <v>0.21114683815648447</v>
      </c>
      <c r="AA3043" s="845">
        <v>5.3590568060021436E-3</v>
      </c>
      <c r="AB3043" s="845">
        <v>0</v>
      </c>
      <c r="AC3043" s="845">
        <v>0</v>
      </c>
      <c r="AD3043" s="845">
        <v>5.8592354412290104E-2</v>
      </c>
      <c r="AE3043" s="845">
        <v>9.5391211146838156E-2</v>
      </c>
      <c r="AF3043" s="845">
        <v>0.16112897463379777</v>
      </c>
      <c r="AG3043" s="845">
        <v>0.58449446230796709</v>
      </c>
      <c r="AH3043" s="20" t="str">
        <f t="shared" si="214"/>
        <v>No</v>
      </c>
      <c r="AI3043" s="25"/>
      <c r="AU3043" s="19"/>
      <c r="AV3043" s="19"/>
      <c r="AW3043" s="19"/>
      <c r="BU3043"/>
      <c r="BV3043"/>
      <c r="BW3043"/>
      <c r="BX3043"/>
      <c r="BY3043"/>
      <c r="BZ3043"/>
      <c r="CA3043"/>
      <c r="CB3043"/>
      <c r="CC3043"/>
    </row>
    <row r="3044" spans="1:81" s="17" customFormat="1" x14ac:dyDescent="0.2">
      <c r="A3044" s="25"/>
      <c r="B3044" s="20">
        <v>39093071400</v>
      </c>
      <c r="C3044" s="20">
        <v>714</v>
      </c>
      <c r="D3044" s="20" t="s">
        <v>52</v>
      </c>
      <c r="E3044" s="20" t="s">
        <v>2829</v>
      </c>
      <c r="F3044" s="20" t="s">
        <v>6</v>
      </c>
      <c r="G3044" s="861">
        <v>20.895455784361801</v>
      </c>
      <c r="H3044" s="861">
        <v>28.1581520812462</v>
      </c>
      <c r="I3044" s="861">
        <v>51.899182286127498</v>
      </c>
      <c r="J3044" s="861">
        <v>48.396844022364199</v>
      </c>
      <c r="K3044" s="982">
        <v>0</v>
      </c>
      <c r="L3044" s="735">
        <v>3383</v>
      </c>
      <c r="M3044" s="735">
        <v>2579</v>
      </c>
      <c r="N3044" s="845">
        <f t="shared" si="212"/>
        <v>-0.2376588826485368</v>
      </c>
      <c r="O3044" s="735">
        <v>0.95166073947729446</v>
      </c>
      <c r="P3044" s="735">
        <f t="shared" si="213"/>
        <v>2709.9993653374117</v>
      </c>
      <c r="Q3044" s="849">
        <v>41.5</v>
      </c>
      <c r="R3044" s="71">
        <v>29167</v>
      </c>
      <c r="S3044" s="845">
        <v>0.40248158200853046</v>
      </c>
      <c r="T3044" s="845">
        <v>0.11699999999999999</v>
      </c>
      <c r="U3044" s="845">
        <v>0.11900000000000001</v>
      </c>
      <c r="V3044" s="845">
        <v>7.2999999999999995E-2</v>
      </c>
      <c r="W3044" s="845">
        <v>0.50327332242225864</v>
      </c>
      <c r="X3044" s="845">
        <v>0.27317073170731709</v>
      </c>
      <c r="Y3044" s="845">
        <v>0.52074447460255913</v>
      </c>
      <c r="Z3044" s="845">
        <v>0.25281116711903839</v>
      </c>
      <c r="AA3044" s="845">
        <v>1.0856921287320668E-2</v>
      </c>
      <c r="AB3044" s="845">
        <v>5.4284606436603338E-3</v>
      </c>
      <c r="AC3044" s="845">
        <v>0</v>
      </c>
      <c r="AD3044" s="845">
        <v>1.7836370686312525E-2</v>
      </c>
      <c r="AE3044" s="845">
        <v>0.19232260566110895</v>
      </c>
      <c r="AF3044" s="845">
        <v>6.8631252423419928E-2</v>
      </c>
      <c r="AG3044" s="845">
        <v>0.52074447460255913</v>
      </c>
      <c r="AH3044" s="20" t="str">
        <f t="shared" si="214"/>
        <v>No</v>
      </c>
      <c r="AI3044" s="25"/>
      <c r="AU3044" s="19"/>
      <c r="AV3044" s="19"/>
      <c r="AW3044" s="19"/>
      <c r="BU3044"/>
      <c r="BV3044"/>
      <c r="BW3044"/>
      <c r="BX3044"/>
      <c r="BY3044"/>
      <c r="BZ3044"/>
      <c r="CA3044"/>
      <c r="CB3044"/>
      <c r="CC3044"/>
    </row>
    <row r="3045" spans="1:81" s="17" customFormat="1" x14ac:dyDescent="0.2">
      <c r="A3045" s="25"/>
      <c r="B3045" s="20">
        <v>39035114800</v>
      </c>
      <c r="C3045" s="20">
        <v>1148</v>
      </c>
      <c r="D3045" s="20" t="s">
        <v>24</v>
      </c>
      <c r="E3045" s="20" t="s">
        <v>2829</v>
      </c>
      <c r="F3045" s="20" t="s">
        <v>6</v>
      </c>
      <c r="G3045" s="861">
        <v>20.873962281903601</v>
      </c>
      <c r="H3045" s="861">
        <v>35.997809483668298</v>
      </c>
      <c r="I3045" s="861">
        <v>55.535637993991003</v>
      </c>
      <c r="J3045" s="861">
        <v>69.990016490908204</v>
      </c>
      <c r="K3045" s="982">
        <v>0</v>
      </c>
      <c r="L3045" s="735" t="s">
        <v>2466</v>
      </c>
      <c r="M3045" s="735">
        <v>2433</v>
      </c>
      <c r="N3045" s="845" t="str">
        <f t="shared" si="212"/>
        <v/>
      </c>
      <c r="O3045" s="735">
        <v>0.48419681741318882</v>
      </c>
      <c r="P3045" s="735">
        <f t="shared" si="213"/>
        <v>5024.8161749559831</v>
      </c>
      <c r="Q3045" s="849">
        <v>17.8</v>
      </c>
      <c r="R3045" s="71"/>
      <c r="S3045" s="845">
        <v>0.63789560213727903</v>
      </c>
      <c r="T3045" s="845">
        <v>0.44799999999999995</v>
      </c>
      <c r="U3045" s="845">
        <v>0</v>
      </c>
      <c r="V3045" s="845">
        <v>0</v>
      </c>
      <c r="W3045" s="845">
        <v>0.96952595936794583</v>
      </c>
      <c r="X3045" s="845">
        <v>0.44470314318975551</v>
      </c>
      <c r="Y3045" s="845">
        <v>6.9872585285655573E-3</v>
      </c>
      <c r="Z3045" s="845">
        <v>0.98725852856555696</v>
      </c>
      <c r="AA3045" s="845">
        <v>0</v>
      </c>
      <c r="AB3045" s="845">
        <v>0</v>
      </c>
      <c r="AC3045" s="845">
        <v>0</v>
      </c>
      <c r="AD3045" s="845">
        <v>0</v>
      </c>
      <c r="AE3045" s="845">
        <v>5.7542129058775178E-3</v>
      </c>
      <c r="AF3045" s="845">
        <v>0</v>
      </c>
      <c r="AG3045" s="845">
        <v>6.9872585285655573E-3</v>
      </c>
      <c r="AH3045" s="20" t="str">
        <f t="shared" si="214"/>
        <v>No</v>
      </c>
      <c r="AI3045" s="25"/>
      <c r="AU3045" s="19"/>
      <c r="AV3045" s="19"/>
      <c r="AW3045" s="19"/>
      <c r="BU3045"/>
      <c r="BV3045"/>
      <c r="BW3045"/>
      <c r="BX3045"/>
      <c r="BY3045"/>
      <c r="BZ3045"/>
      <c r="CA3045"/>
      <c r="CB3045"/>
      <c r="CC3045"/>
    </row>
    <row r="3046" spans="1:81" s="17" customFormat="1" x14ac:dyDescent="0.2">
      <c r="A3046" s="25"/>
      <c r="B3046" s="20">
        <v>39095007306</v>
      </c>
      <c r="C3046" s="20">
        <v>73.06</v>
      </c>
      <c r="D3046" s="20" t="s">
        <v>53</v>
      </c>
      <c r="E3046" s="20" t="s">
        <v>2839</v>
      </c>
      <c r="F3046" s="20" t="s">
        <v>6</v>
      </c>
      <c r="G3046" s="861">
        <v>20.770646138275101</v>
      </c>
      <c r="H3046" s="861">
        <v>32.365142732523097</v>
      </c>
      <c r="I3046" s="861">
        <v>55.654906879250298</v>
      </c>
      <c r="J3046" s="861">
        <v>38.246667473735002</v>
      </c>
      <c r="K3046" s="982">
        <v>0</v>
      </c>
      <c r="L3046" s="735" t="s">
        <v>2466</v>
      </c>
      <c r="M3046" s="735">
        <v>3726</v>
      </c>
      <c r="N3046" s="845" t="str">
        <f t="shared" si="212"/>
        <v/>
      </c>
      <c r="O3046" s="735">
        <v>1.2275091100707796</v>
      </c>
      <c r="P3046" s="735">
        <f t="shared" si="213"/>
        <v>3035.4153540947282</v>
      </c>
      <c r="Q3046" s="849">
        <v>34.6</v>
      </c>
      <c r="R3046" s="71">
        <v>38478</v>
      </c>
      <c r="S3046" s="845">
        <v>0.33981912852836393</v>
      </c>
      <c r="T3046" s="845">
        <v>0.19699999999999998</v>
      </c>
      <c r="U3046" s="845">
        <v>0</v>
      </c>
      <c r="V3046" s="845">
        <v>0</v>
      </c>
      <c r="W3046" s="845">
        <v>0.67429483767961684</v>
      </c>
      <c r="X3046" s="845">
        <v>0.53906866614048932</v>
      </c>
      <c r="Y3046" s="845">
        <v>0.35050993022007515</v>
      </c>
      <c r="Z3046" s="845">
        <v>0.6178207192699946</v>
      </c>
      <c r="AA3046" s="845">
        <v>1.3955984970477724E-2</v>
      </c>
      <c r="AB3046" s="845">
        <v>3.2206119162640902E-3</v>
      </c>
      <c r="AC3046" s="845">
        <v>0</v>
      </c>
      <c r="AD3046" s="845">
        <v>6.1728395061728392E-3</v>
      </c>
      <c r="AE3046" s="845">
        <v>8.3199141170155668E-3</v>
      </c>
      <c r="AF3046" s="845">
        <v>2.0128824476650563E-2</v>
      </c>
      <c r="AG3046" s="845">
        <v>0.35050993022007515</v>
      </c>
      <c r="AH3046" s="20" t="str">
        <f t="shared" si="214"/>
        <v>No</v>
      </c>
      <c r="AI3046" s="25"/>
      <c r="AU3046" s="19"/>
      <c r="AV3046" s="19"/>
      <c r="AW3046" s="19"/>
      <c r="BU3046"/>
      <c r="BV3046"/>
      <c r="BW3046"/>
      <c r="BX3046"/>
      <c r="BY3046"/>
      <c r="BZ3046"/>
      <c r="CA3046"/>
      <c r="CB3046"/>
      <c r="CC3046"/>
    </row>
    <row r="3047" spans="1:81" s="17" customFormat="1" x14ac:dyDescent="0.2">
      <c r="A3047" s="25"/>
      <c r="B3047" s="20">
        <v>39113000100</v>
      </c>
      <c r="C3047" s="20">
        <v>1</v>
      </c>
      <c r="D3047" s="20" t="s">
        <v>62</v>
      </c>
      <c r="E3047" s="20" t="s">
        <v>2833</v>
      </c>
      <c r="F3047" s="20" t="s">
        <v>6</v>
      </c>
      <c r="G3047" s="861">
        <v>20.6866198103356</v>
      </c>
      <c r="H3047" s="861">
        <v>31.544544466572301</v>
      </c>
      <c r="I3047" s="861">
        <v>47.6762473660891</v>
      </c>
      <c r="J3047" s="861">
        <v>30.7053351901844</v>
      </c>
      <c r="K3047" s="982">
        <v>0</v>
      </c>
      <c r="L3047" s="735">
        <v>2727</v>
      </c>
      <c r="M3047" s="735">
        <v>2763</v>
      </c>
      <c r="N3047" s="845">
        <f t="shared" si="212"/>
        <v>1.3201320132013201E-2</v>
      </c>
      <c r="O3047" s="735">
        <v>0.79350518717246166</v>
      </c>
      <c r="P3047" s="735">
        <f t="shared" si="213"/>
        <v>3482.0188256683509</v>
      </c>
      <c r="Q3047" s="849">
        <v>44.8</v>
      </c>
      <c r="R3047" s="71">
        <v>41671</v>
      </c>
      <c r="S3047" s="845">
        <v>0.21534563879840754</v>
      </c>
      <c r="T3047" s="845">
        <v>0.111</v>
      </c>
      <c r="U3047" s="845">
        <v>0</v>
      </c>
      <c r="V3047" s="845">
        <v>0.16</v>
      </c>
      <c r="W3047" s="845">
        <v>0.33016421780466726</v>
      </c>
      <c r="X3047" s="845">
        <v>0.19633507853403143</v>
      </c>
      <c r="Y3047" s="845">
        <v>6.8403908794788276E-2</v>
      </c>
      <c r="Z3047" s="845">
        <v>0.82989504162142602</v>
      </c>
      <c r="AA3047" s="845">
        <v>0</v>
      </c>
      <c r="AB3047" s="845">
        <v>0</v>
      </c>
      <c r="AC3047" s="845">
        <v>0</v>
      </c>
      <c r="AD3047" s="845">
        <v>0</v>
      </c>
      <c r="AE3047" s="845">
        <v>0.10170104958378574</v>
      </c>
      <c r="AF3047" s="845">
        <v>1.2305465074194716E-2</v>
      </c>
      <c r="AG3047" s="845">
        <v>6.8403908794788276E-2</v>
      </c>
      <c r="AH3047" s="20" t="str">
        <f t="shared" si="214"/>
        <v>No</v>
      </c>
      <c r="AI3047" s="25"/>
      <c r="AU3047" s="19"/>
      <c r="AV3047" s="19"/>
      <c r="AW3047" s="19"/>
      <c r="BU3047"/>
      <c r="BV3047"/>
      <c r="BW3047"/>
      <c r="BX3047"/>
      <c r="BY3047"/>
      <c r="BZ3047"/>
      <c r="CA3047"/>
      <c r="CB3047"/>
      <c r="CC3047"/>
    </row>
    <row r="3048" spans="1:81" s="17" customFormat="1" x14ac:dyDescent="0.2">
      <c r="A3048" s="25"/>
      <c r="B3048" s="20">
        <v>39113004100</v>
      </c>
      <c r="C3048" s="20">
        <v>41</v>
      </c>
      <c r="D3048" s="20" t="s">
        <v>62</v>
      </c>
      <c r="E3048" s="20" t="s">
        <v>2833</v>
      </c>
      <c r="F3048" s="20" t="s">
        <v>6</v>
      </c>
      <c r="G3048" s="861">
        <v>20.487899865513501</v>
      </c>
      <c r="H3048" s="861">
        <v>41.571921464790101</v>
      </c>
      <c r="I3048" s="861">
        <v>73.456494850325896</v>
      </c>
      <c r="J3048" s="861">
        <v>40.2524699025128</v>
      </c>
      <c r="K3048" s="982">
        <v>2</v>
      </c>
      <c r="L3048" s="735">
        <v>2343</v>
      </c>
      <c r="M3048" s="735">
        <v>1724</v>
      </c>
      <c r="N3048" s="845">
        <f t="shared" si="212"/>
        <v>-0.26419120785317968</v>
      </c>
      <c r="O3048" s="735">
        <v>0.82598603126405867</v>
      </c>
      <c r="P3048" s="735">
        <f t="shared" si="213"/>
        <v>2087.2023675287264</v>
      </c>
      <c r="Q3048" s="849">
        <v>36.200000000000003</v>
      </c>
      <c r="R3048" s="71">
        <v>24620</v>
      </c>
      <c r="S3048" s="845">
        <v>0.41879350348027844</v>
      </c>
      <c r="T3048" s="845">
        <v>0.1</v>
      </c>
      <c r="U3048" s="845">
        <v>1.9E-2</v>
      </c>
      <c r="V3048" s="845">
        <v>0.22399999999999998</v>
      </c>
      <c r="W3048" s="845">
        <v>0.69707602339181285</v>
      </c>
      <c r="X3048" s="845">
        <v>0.47651006711409394</v>
      </c>
      <c r="Y3048" s="845">
        <v>8.4686774941995363E-2</v>
      </c>
      <c r="Z3048" s="845">
        <v>0.73781902552204182</v>
      </c>
      <c r="AA3048" s="845">
        <v>0</v>
      </c>
      <c r="AB3048" s="845">
        <v>0</v>
      </c>
      <c r="AC3048" s="845">
        <v>0</v>
      </c>
      <c r="AD3048" s="845">
        <v>5.6844547563805102E-2</v>
      </c>
      <c r="AE3048" s="845">
        <v>0.12064965197215777</v>
      </c>
      <c r="AF3048" s="845">
        <v>6.7285382830626447E-2</v>
      </c>
      <c r="AG3048" s="845">
        <v>8.4686774941995363E-2</v>
      </c>
      <c r="AH3048" s="20" t="str">
        <f t="shared" si="214"/>
        <v>No</v>
      </c>
      <c r="AI3048" s="25"/>
      <c r="AU3048" s="19"/>
      <c r="AV3048" s="19"/>
      <c r="AW3048" s="19"/>
      <c r="BU3048"/>
      <c r="BV3048"/>
      <c r="BW3048"/>
      <c r="BX3048"/>
      <c r="BY3048"/>
      <c r="BZ3048"/>
      <c r="CA3048"/>
      <c r="CB3048"/>
      <c r="CC3048"/>
    </row>
    <row r="3049" spans="1:81" s="17" customFormat="1" x14ac:dyDescent="0.2">
      <c r="A3049" s="25"/>
      <c r="B3049" s="20">
        <v>39113003500</v>
      </c>
      <c r="C3049" s="20">
        <v>35</v>
      </c>
      <c r="D3049" s="20" t="s">
        <v>62</v>
      </c>
      <c r="E3049" s="20" t="s">
        <v>2833</v>
      </c>
      <c r="F3049" s="20" t="s">
        <v>6</v>
      </c>
      <c r="G3049" s="861">
        <v>20.4695258100022</v>
      </c>
      <c r="H3049" s="861">
        <v>19.9642803992075</v>
      </c>
      <c r="I3049" s="861">
        <v>77.148985477058204</v>
      </c>
      <c r="J3049" s="861">
        <v>44.987955383228197</v>
      </c>
      <c r="K3049" s="982">
        <v>0</v>
      </c>
      <c r="L3049" s="735">
        <v>2312</v>
      </c>
      <c r="M3049" s="735">
        <v>2204</v>
      </c>
      <c r="N3049" s="845">
        <f t="shared" si="212"/>
        <v>-4.6712802768166091E-2</v>
      </c>
      <c r="O3049" s="735">
        <v>1.6018853461068592</v>
      </c>
      <c r="P3049" s="735">
        <f t="shared" si="213"/>
        <v>1375.8787452276092</v>
      </c>
      <c r="Q3049" s="849">
        <v>29.1</v>
      </c>
      <c r="R3049" s="71">
        <v>32277</v>
      </c>
      <c r="S3049" s="845">
        <v>0.41510318949343339</v>
      </c>
      <c r="T3049" s="845">
        <v>0.184</v>
      </c>
      <c r="U3049" s="845">
        <v>0</v>
      </c>
      <c r="V3049" s="845">
        <v>9.8000000000000004E-2</v>
      </c>
      <c r="W3049" s="845">
        <v>0.53692848769050405</v>
      </c>
      <c r="X3049" s="845">
        <v>0.5240174672489083</v>
      </c>
      <c r="Y3049" s="845">
        <v>0.18738656987295826</v>
      </c>
      <c r="Z3049" s="845">
        <v>0.76451905626134298</v>
      </c>
      <c r="AA3049" s="845">
        <v>2.7223230490018148E-3</v>
      </c>
      <c r="AB3049" s="845">
        <v>0</v>
      </c>
      <c r="AC3049" s="845">
        <v>0</v>
      </c>
      <c r="AD3049" s="845">
        <v>7.2595281306715061E-3</v>
      </c>
      <c r="AE3049" s="845">
        <v>3.8112522686025406E-2</v>
      </c>
      <c r="AF3049" s="845">
        <v>0</v>
      </c>
      <c r="AG3049" s="845">
        <v>0.18738656987295826</v>
      </c>
      <c r="AH3049" s="20" t="str">
        <f t="shared" si="214"/>
        <v>No</v>
      </c>
      <c r="AI3049" s="25"/>
      <c r="AU3049" s="19"/>
      <c r="AV3049" s="19"/>
      <c r="AW3049" s="19"/>
      <c r="BU3049"/>
      <c r="BV3049"/>
      <c r="BW3049"/>
      <c r="BX3049"/>
      <c r="BY3049"/>
      <c r="BZ3049"/>
      <c r="CA3049"/>
      <c r="CB3049"/>
      <c r="CC3049"/>
    </row>
    <row r="3050" spans="1:81" s="17" customFormat="1" x14ac:dyDescent="0.2">
      <c r="A3050" s="25"/>
      <c r="B3050" s="20">
        <v>39035111700</v>
      </c>
      <c r="C3050" s="20">
        <v>1117</v>
      </c>
      <c r="D3050" s="20" t="s">
        <v>24</v>
      </c>
      <c r="E3050" s="20" t="s">
        <v>2829</v>
      </c>
      <c r="F3050" s="20" t="s">
        <v>6</v>
      </c>
      <c r="G3050" s="861">
        <v>20.283766175584802</v>
      </c>
      <c r="H3050" s="861">
        <v>25.8047603488398</v>
      </c>
      <c r="I3050" s="861">
        <v>100</v>
      </c>
      <c r="J3050" s="861">
        <v>13.7679617515443</v>
      </c>
      <c r="K3050" s="982">
        <v>0</v>
      </c>
      <c r="L3050" s="735">
        <v>990</v>
      </c>
      <c r="M3050" s="735">
        <v>688</v>
      </c>
      <c r="N3050" s="845">
        <f t="shared" si="212"/>
        <v>-0.30505050505050507</v>
      </c>
      <c r="O3050" s="735">
        <v>0.15336788553828534</v>
      </c>
      <c r="P3050" s="735">
        <f t="shared" si="213"/>
        <v>4485.9456566495728</v>
      </c>
      <c r="Q3050" s="849">
        <v>31.5</v>
      </c>
      <c r="R3050" s="71">
        <v>17941</v>
      </c>
      <c r="S3050" s="845">
        <v>0.44622093023255816</v>
      </c>
      <c r="T3050" s="845">
        <v>7.6999999999999999E-2</v>
      </c>
      <c r="U3050" s="845">
        <v>0</v>
      </c>
      <c r="V3050" s="845">
        <v>0</v>
      </c>
      <c r="W3050" s="845">
        <v>0.59705882352941175</v>
      </c>
      <c r="X3050" s="845">
        <v>0.76847290640394084</v>
      </c>
      <c r="Y3050" s="845">
        <v>3.4883720930232558E-2</v>
      </c>
      <c r="Z3050" s="845">
        <v>0.93459302325581395</v>
      </c>
      <c r="AA3050" s="845">
        <v>0</v>
      </c>
      <c r="AB3050" s="845">
        <v>8.7209302325581394E-3</v>
      </c>
      <c r="AC3050" s="845">
        <v>0</v>
      </c>
      <c r="AD3050" s="845">
        <v>0</v>
      </c>
      <c r="AE3050" s="845">
        <v>2.1802325581395349E-2</v>
      </c>
      <c r="AF3050" s="845">
        <v>0</v>
      </c>
      <c r="AG3050" s="845">
        <v>3.4883720930232558E-2</v>
      </c>
      <c r="AH3050" s="20" t="str">
        <f t="shared" si="214"/>
        <v>No</v>
      </c>
      <c r="AI3050" s="25"/>
      <c r="AU3050" s="19"/>
      <c r="AV3050" s="19"/>
      <c r="AW3050" s="19"/>
      <c r="BU3050"/>
      <c r="BV3050"/>
      <c r="BW3050"/>
      <c r="BX3050"/>
      <c r="BY3050"/>
      <c r="BZ3050"/>
      <c r="CA3050"/>
      <c r="CB3050"/>
      <c r="CC3050"/>
    </row>
    <row r="3051" spans="1:81" s="17" customFormat="1" x14ac:dyDescent="0.2">
      <c r="A3051" s="25"/>
      <c r="B3051" s="20">
        <v>39113003402</v>
      </c>
      <c r="C3051" s="20">
        <v>34.020000000000003</v>
      </c>
      <c r="D3051" s="20" t="s">
        <v>62</v>
      </c>
      <c r="E3051" s="20" t="s">
        <v>2833</v>
      </c>
      <c r="F3051" s="20" t="s">
        <v>6</v>
      </c>
      <c r="G3051" s="861">
        <v>20.241671545688899</v>
      </c>
      <c r="H3051" s="861">
        <v>54.5528126827937</v>
      </c>
      <c r="I3051" s="861">
        <v>56.539944042405303</v>
      </c>
      <c r="J3051" s="861">
        <v>38.215172153599099</v>
      </c>
      <c r="K3051" s="982">
        <v>0</v>
      </c>
      <c r="L3051" s="735">
        <v>7101</v>
      </c>
      <c r="M3051" s="735">
        <v>7151</v>
      </c>
      <c r="N3051" s="845">
        <f t="shared" si="212"/>
        <v>7.041261794113505E-3</v>
      </c>
      <c r="O3051" s="735">
        <v>0.58210151397181509</v>
      </c>
      <c r="P3051" s="735">
        <f t="shared" si="213"/>
        <v>12284.798833810019</v>
      </c>
      <c r="Q3051" s="849">
        <v>20.6</v>
      </c>
      <c r="R3051" s="71">
        <v>40125</v>
      </c>
      <c r="S3051" s="845">
        <v>0.45261918775750443</v>
      </c>
      <c r="T3051" s="845">
        <v>0.156</v>
      </c>
      <c r="U3051" s="845">
        <v>0</v>
      </c>
      <c r="V3051" s="845">
        <v>4.5999999999999999E-2</v>
      </c>
      <c r="W3051" s="845">
        <v>0.65486725663716816</v>
      </c>
      <c r="X3051" s="845">
        <v>0.65990990990990994</v>
      </c>
      <c r="Y3051" s="845">
        <v>0.83764508460355191</v>
      </c>
      <c r="Z3051" s="845">
        <v>7.1318696685778213E-2</v>
      </c>
      <c r="AA3051" s="845">
        <v>0</v>
      </c>
      <c r="AB3051" s="845">
        <v>4.3210739756677385E-2</v>
      </c>
      <c r="AC3051" s="845">
        <v>0</v>
      </c>
      <c r="AD3051" s="845">
        <v>1.0208362466787862E-2</v>
      </c>
      <c r="AE3051" s="845">
        <v>3.7617116487204588E-2</v>
      </c>
      <c r="AF3051" s="845">
        <v>5.509718920430709E-2</v>
      </c>
      <c r="AG3051" s="845">
        <v>0.81541043210739761</v>
      </c>
      <c r="AH3051" s="20" t="str">
        <f t="shared" si="214"/>
        <v>No</v>
      </c>
      <c r="AI3051" s="25"/>
      <c r="AU3051" s="19"/>
      <c r="AV3051" s="19"/>
      <c r="AW3051" s="19"/>
      <c r="BU3051"/>
      <c r="BV3051"/>
      <c r="BW3051"/>
      <c r="BX3051"/>
      <c r="BY3051"/>
      <c r="BZ3051"/>
      <c r="CA3051"/>
      <c r="CB3051"/>
      <c r="CC3051"/>
    </row>
    <row r="3052" spans="1:81" s="17" customFormat="1" x14ac:dyDescent="0.2">
      <c r="A3052" s="25"/>
      <c r="B3052" s="20">
        <v>39113001801</v>
      </c>
      <c r="C3052" s="20">
        <v>18.010000000000002</v>
      </c>
      <c r="D3052" s="20" t="s">
        <v>62</v>
      </c>
      <c r="E3052" s="20" t="s">
        <v>2833</v>
      </c>
      <c r="F3052" s="20" t="s">
        <v>6</v>
      </c>
      <c r="G3052" s="861">
        <v>20.0781655367003</v>
      </c>
      <c r="H3052" s="861">
        <v>41.714406561954497</v>
      </c>
      <c r="I3052" s="861">
        <v>46.337189068072597</v>
      </c>
      <c r="J3052" s="861">
        <v>44.0965122610572</v>
      </c>
      <c r="K3052" s="982">
        <v>0</v>
      </c>
      <c r="L3052" s="735" t="s">
        <v>2466</v>
      </c>
      <c r="M3052" s="735">
        <v>2261</v>
      </c>
      <c r="N3052" s="845" t="str">
        <f t="shared" si="212"/>
        <v/>
      </c>
      <c r="O3052" s="735">
        <v>1.1516330860684918</v>
      </c>
      <c r="P3052" s="735">
        <f t="shared" si="213"/>
        <v>1963.2989251105366</v>
      </c>
      <c r="Q3052" s="849">
        <v>36.700000000000003</v>
      </c>
      <c r="R3052" s="71">
        <v>24955</v>
      </c>
      <c r="S3052" s="845">
        <v>0.53869969040247678</v>
      </c>
      <c r="T3052" s="845">
        <v>0.113</v>
      </c>
      <c r="U3052" s="845">
        <v>0</v>
      </c>
      <c r="V3052" s="845">
        <v>0</v>
      </c>
      <c r="W3052" s="845">
        <v>0.73655913978494625</v>
      </c>
      <c r="X3052" s="845">
        <v>0.52700729927007295</v>
      </c>
      <c r="Y3052" s="845">
        <v>0.55152587350729765</v>
      </c>
      <c r="Z3052" s="845">
        <v>0.42193719593100398</v>
      </c>
      <c r="AA3052" s="845">
        <v>0</v>
      </c>
      <c r="AB3052" s="845">
        <v>0</v>
      </c>
      <c r="AC3052" s="845">
        <v>0</v>
      </c>
      <c r="AD3052" s="845">
        <v>0</v>
      </c>
      <c r="AE3052" s="845">
        <v>2.6536930561698365E-2</v>
      </c>
      <c r="AF3052" s="845">
        <v>3.9363113666519241E-2</v>
      </c>
      <c r="AG3052" s="845">
        <v>0.5356037151702786</v>
      </c>
      <c r="AH3052" s="20" t="str">
        <f t="shared" si="214"/>
        <v>No</v>
      </c>
      <c r="AI3052" s="25"/>
      <c r="AU3052" s="19"/>
      <c r="AV3052" s="19"/>
      <c r="AW3052" s="19"/>
      <c r="BU3052"/>
      <c r="BV3052"/>
      <c r="BW3052"/>
      <c r="BX3052"/>
      <c r="BY3052"/>
      <c r="BZ3052"/>
      <c r="CA3052"/>
      <c r="CB3052"/>
      <c r="CC3052"/>
    </row>
    <row r="3053" spans="1:81" s="17" customFormat="1" x14ac:dyDescent="0.2">
      <c r="A3053" s="25"/>
      <c r="B3053" s="20">
        <v>39035198200</v>
      </c>
      <c r="C3053" s="20">
        <v>1982</v>
      </c>
      <c r="D3053" s="20" t="s">
        <v>24</v>
      </c>
      <c r="E3053" s="20" t="s">
        <v>2829</v>
      </c>
      <c r="F3053" s="20" t="s">
        <v>6</v>
      </c>
      <c r="G3053" s="861">
        <v>20.070131259447699</v>
      </c>
      <c r="H3053" s="861">
        <v>22.4660970693254</v>
      </c>
      <c r="I3053" s="861">
        <v>84.089104563195804</v>
      </c>
      <c r="J3053" s="861">
        <v>13.4932611647607</v>
      </c>
      <c r="K3053" s="982">
        <v>0</v>
      </c>
      <c r="L3053" s="735" t="s">
        <v>2466</v>
      </c>
      <c r="M3053" s="735">
        <v>3550</v>
      </c>
      <c r="N3053" s="845" t="str">
        <f t="shared" si="212"/>
        <v/>
      </c>
      <c r="O3053" s="735">
        <v>1.471823745167695</v>
      </c>
      <c r="P3053" s="735">
        <f t="shared" si="213"/>
        <v>2411.9735883154435</v>
      </c>
      <c r="Q3053" s="849">
        <v>46.8</v>
      </c>
      <c r="R3053" s="71">
        <v>27674</v>
      </c>
      <c r="S3053" s="845">
        <v>0.37165623221400113</v>
      </c>
      <c r="T3053" s="845">
        <v>0.11900000000000001</v>
      </c>
      <c r="U3053" s="845">
        <v>0</v>
      </c>
      <c r="V3053" s="845">
        <v>2.7999999999999997E-2</v>
      </c>
      <c r="W3053" s="845">
        <v>0.63093788063337397</v>
      </c>
      <c r="X3053" s="845">
        <v>0.66602316602316602</v>
      </c>
      <c r="Y3053" s="845">
        <v>4.3943661971830986E-2</v>
      </c>
      <c r="Z3053" s="845">
        <v>0.75943661971830989</v>
      </c>
      <c r="AA3053" s="845">
        <v>0</v>
      </c>
      <c r="AB3053" s="845">
        <v>0</v>
      </c>
      <c r="AC3053" s="845">
        <v>0</v>
      </c>
      <c r="AD3053" s="845">
        <v>8.0563380281690147E-2</v>
      </c>
      <c r="AE3053" s="845">
        <v>0.11605633802816902</v>
      </c>
      <c r="AF3053" s="845">
        <v>6.1971830985915494E-2</v>
      </c>
      <c r="AG3053" s="845">
        <v>4.3943661971830986E-2</v>
      </c>
      <c r="AH3053" s="20" t="str">
        <f t="shared" si="214"/>
        <v>No</v>
      </c>
      <c r="AI3053" s="25"/>
      <c r="AU3053" s="19"/>
      <c r="AV3053" s="19"/>
      <c r="AW3053" s="19"/>
      <c r="BU3053"/>
      <c r="BV3053"/>
      <c r="BW3053"/>
      <c r="BX3053"/>
      <c r="BY3053"/>
      <c r="BZ3053"/>
      <c r="CA3053"/>
      <c r="CB3053"/>
      <c r="CC3053"/>
    </row>
    <row r="3054" spans="1:81" s="17" customFormat="1" x14ac:dyDescent="0.2">
      <c r="A3054" s="25"/>
      <c r="B3054" s="20">
        <v>39035196400</v>
      </c>
      <c r="C3054" s="20">
        <v>1964</v>
      </c>
      <c r="D3054" s="20" t="s">
        <v>24</v>
      </c>
      <c r="E3054" s="20" t="s">
        <v>2829</v>
      </c>
      <c r="F3054" s="20" t="s">
        <v>6</v>
      </c>
      <c r="G3054" s="861">
        <v>20.047425640019402</v>
      </c>
      <c r="H3054" s="861">
        <v>33.235982148207398</v>
      </c>
      <c r="I3054" s="861">
        <v>51.924716347042803</v>
      </c>
      <c r="J3054" s="861">
        <v>41.399617085743202</v>
      </c>
      <c r="K3054" s="982">
        <v>0</v>
      </c>
      <c r="L3054" s="735">
        <v>2672</v>
      </c>
      <c r="M3054" s="735">
        <v>2786</v>
      </c>
      <c r="N3054" s="845">
        <f t="shared" si="212"/>
        <v>4.2664670658682638E-2</v>
      </c>
      <c r="O3054" s="735">
        <v>0.50670888987208518</v>
      </c>
      <c r="P3054" s="735">
        <f t="shared" si="213"/>
        <v>5498.2260143557078</v>
      </c>
      <c r="Q3054" s="849">
        <v>35</v>
      </c>
      <c r="R3054" s="71">
        <v>35403</v>
      </c>
      <c r="S3054" s="845">
        <v>0.43395549174443648</v>
      </c>
      <c r="T3054" s="845">
        <v>6.5000000000000002E-2</v>
      </c>
      <c r="U3054" s="845">
        <v>0</v>
      </c>
      <c r="V3054" s="845">
        <v>8.0000000000000002E-3</v>
      </c>
      <c r="W3054" s="845">
        <v>0.55384615384615388</v>
      </c>
      <c r="X3054" s="845">
        <v>0.47530864197530864</v>
      </c>
      <c r="Y3054" s="845">
        <v>0.39303661162957643</v>
      </c>
      <c r="Z3054" s="845">
        <v>0.34242641780330224</v>
      </c>
      <c r="AA3054" s="845">
        <v>1.5793251974156496E-2</v>
      </c>
      <c r="AB3054" s="845">
        <v>1.1844938980617373E-2</v>
      </c>
      <c r="AC3054" s="845">
        <v>0</v>
      </c>
      <c r="AD3054" s="845">
        <v>0.14106245513280688</v>
      </c>
      <c r="AE3054" s="845">
        <v>9.5836324479540561E-2</v>
      </c>
      <c r="AF3054" s="845">
        <v>0.3388370423546303</v>
      </c>
      <c r="AG3054" s="845">
        <v>0.30904522613065327</v>
      </c>
      <c r="AH3054" s="20" t="str">
        <f t="shared" si="214"/>
        <v>No</v>
      </c>
      <c r="AI3054" s="25"/>
      <c r="AU3054" s="19"/>
      <c r="AV3054" s="19"/>
      <c r="AW3054" s="19"/>
      <c r="BU3054"/>
      <c r="BV3054"/>
      <c r="BW3054"/>
      <c r="BX3054"/>
      <c r="BY3054"/>
      <c r="BZ3054"/>
      <c r="CA3054"/>
      <c r="CB3054"/>
      <c r="CC3054"/>
    </row>
    <row r="3055" spans="1:81" s="17" customFormat="1" x14ac:dyDescent="0.2">
      <c r="A3055" s="25"/>
      <c r="B3055" s="20">
        <v>39093023300</v>
      </c>
      <c r="C3055" s="20">
        <v>233</v>
      </c>
      <c r="D3055" s="20" t="s">
        <v>52</v>
      </c>
      <c r="E3055" s="20" t="s">
        <v>2829</v>
      </c>
      <c r="F3055" s="20" t="s">
        <v>6</v>
      </c>
      <c r="G3055" s="861">
        <v>20.037021217362199</v>
      </c>
      <c r="H3055" s="861">
        <v>22.450011009103001</v>
      </c>
      <c r="I3055" s="861">
        <v>54.919841248805199</v>
      </c>
      <c r="J3055" s="861">
        <v>53.451825028045498</v>
      </c>
      <c r="K3055" s="982">
        <v>0</v>
      </c>
      <c r="L3055" s="735">
        <v>2714</v>
      </c>
      <c r="M3055" s="735">
        <v>2556</v>
      </c>
      <c r="N3055" s="845">
        <f t="shared" si="212"/>
        <v>-5.8216654384672072E-2</v>
      </c>
      <c r="O3055" s="735">
        <v>0.42406295062103588</v>
      </c>
      <c r="P3055" s="735">
        <f t="shared" si="213"/>
        <v>6027.4070070416765</v>
      </c>
      <c r="Q3055" s="849">
        <v>33.9</v>
      </c>
      <c r="R3055" s="71">
        <v>42098</v>
      </c>
      <c r="S3055" s="845">
        <v>0.426056338028169</v>
      </c>
      <c r="T3055" s="845">
        <v>0.184</v>
      </c>
      <c r="U3055" s="845">
        <v>0</v>
      </c>
      <c r="V3055" s="845">
        <v>3.4000000000000002E-2</v>
      </c>
      <c r="W3055" s="845">
        <v>0.64116379310344829</v>
      </c>
      <c r="X3055" s="845">
        <v>0.44369747899159662</v>
      </c>
      <c r="Y3055" s="845">
        <v>0.37597809076682315</v>
      </c>
      <c r="Z3055" s="845">
        <v>0.24295774647887325</v>
      </c>
      <c r="AA3055" s="845">
        <v>1.4084507042253521E-2</v>
      </c>
      <c r="AB3055" s="845">
        <v>1.5258215962441314E-2</v>
      </c>
      <c r="AC3055" s="845">
        <v>0</v>
      </c>
      <c r="AD3055" s="845">
        <v>4.9687010954616591E-2</v>
      </c>
      <c r="AE3055" s="845">
        <v>0.30203442879499215</v>
      </c>
      <c r="AF3055" s="845">
        <v>0.38419405320813771</v>
      </c>
      <c r="AG3055" s="845">
        <v>0.31924882629107981</v>
      </c>
      <c r="AH3055" s="20" t="str">
        <f t="shared" si="214"/>
        <v>No</v>
      </c>
      <c r="AI3055" s="25"/>
      <c r="AU3055" s="19"/>
      <c r="AV3055" s="19"/>
      <c r="AW3055" s="19"/>
      <c r="BU3055"/>
      <c r="BV3055"/>
      <c r="BW3055"/>
      <c r="BX3055"/>
      <c r="BY3055"/>
      <c r="BZ3055"/>
      <c r="CA3055"/>
      <c r="CB3055"/>
      <c r="CC3055"/>
    </row>
    <row r="3056" spans="1:81" s="17" customFormat="1" x14ac:dyDescent="0.2">
      <c r="A3056" s="25"/>
      <c r="B3056" s="20">
        <v>39099800501</v>
      </c>
      <c r="C3056" s="20">
        <v>8005.01</v>
      </c>
      <c r="D3056" s="20" t="s">
        <v>55</v>
      </c>
      <c r="E3056" s="20" t="s">
        <v>2842</v>
      </c>
      <c r="F3056" s="20" t="s">
        <v>6</v>
      </c>
      <c r="G3056" s="861">
        <v>20.016634361344501</v>
      </c>
      <c r="H3056" s="861">
        <v>23.743842163357002</v>
      </c>
      <c r="I3056" s="861">
        <v>57.719190653081398</v>
      </c>
      <c r="J3056" s="861">
        <v>42.672919610043401</v>
      </c>
      <c r="K3056" s="982">
        <v>0</v>
      </c>
      <c r="L3056" s="735" t="s">
        <v>2466</v>
      </c>
      <c r="M3056" s="735">
        <v>2051</v>
      </c>
      <c r="N3056" s="845" t="str">
        <f t="shared" si="212"/>
        <v/>
      </c>
      <c r="O3056" s="735">
        <v>1.1011224294770992</v>
      </c>
      <c r="P3056" s="735">
        <f t="shared" si="213"/>
        <v>1862.644829579921</v>
      </c>
      <c r="Q3056" s="849">
        <v>26.7</v>
      </c>
      <c r="R3056" s="71">
        <v>15469</v>
      </c>
      <c r="S3056" s="845">
        <v>0.74864465253819612</v>
      </c>
      <c r="T3056" s="845">
        <v>0.308</v>
      </c>
      <c r="U3056" s="845">
        <v>0</v>
      </c>
      <c r="V3056" s="845">
        <v>3.5000000000000003E-2</v>
      </c>
      <c r="W3056" s="845">
        <v>0.72229140722291407</v>
      </c>
      <c r="X3056" s="845">
        <v>0.43448275862068964</v>
      </c>
      <c r="Y3056" s="845">
        <v>0.17454900048756705</v>
      </c>
      <c r="Z3056" s="845">
        <v>0.48220380302291566</v>
      </c>
      <c r="AA3056" s="845">
        <v>0</v>
      </c>
      <c r="AB3056" s="845">
        <v>0</v>
      </c>
      <c r="AC3056" s="845">
        <v>0</v>
      </c>
      <c r="AD3056" s="845">
        <v>8.8249634324719647E-2</v>
      </c>
      <c r="AE3056" s="845">
        <v>0.25499756216479769</v>
      </c>
      <c r="AF3056" s="845">
        <v>0.4251584592881521</v>
      </c>
      <c r="AG3056" s="845">
        <v>0.16089712335446124</v>
      </c>
      <c r="AH3056" s="20" t="str">
        <f t="shared" si="214"/>
        <v>No</v>
      </c>
      <c r="AI3056" s="25"/>
      <c r="AU3056" s="19"/>
      <c r="AV3056" s="19"/>
      <c r="AW3056" s="19"/>
      <c r="BU3056"/>
      <c r="BV3056"/>
      <c r="BW3056"/>
      <c r="BX3056"/>
      <c r="BY3056"/>
      <c r="BZ3056"/>
      <c r="CA3056"/>
      <c r="CB3056"/>
      <c r="CC3056"/>
    </row>
    <row r="3057" spans="1:81" s="17" customFormat="1" x14ac:dyDescent="0.2">
      <c r="A3057" s="25"/>
      <c r="B3057" s="20">
        <v>39035151200</v>
      </c>
      <c r="C3057" s="20">
        <v>1512</v>
      </c>
      <c r="D3057" s="20" t="s">
        <v>24</v>
      </c>
      <c r="E3057" s="20" t="s">
        <v>2829</v>
      </c>
      <c r="F3057" s="20" t="s">
        <v>6</v>
      </c>
      <c r="G3057" s="861">
        <v>19.923199304539899</v>
      </c>
      <c r="H3057" s="861">
        <v>19.728338954329502</v>
      </c>
      <c r="I3057" s="861">
        <v>77.016567497980105</v>
      </c>
      <c r="J3057" s="861">
        <v>41.0629800386996</v>
      </c>
      <c r="K3057" s="982">
        <v>0</v>
      </c>
      <c r="L3057" s="735">
        <v>1391</v>
      </c>
      <c r="M3057" s="735">
        <v>1658</v>
      </c>
      <c r="N3057" s="845">
        <f t="shared" si="212"/>
        <v>0.19194823867721064</v>
      </c>
      <c r="O3057" s="735">
        <v>0.31619450175777064</v>
      </c>
      <c r="P3057" s="735">
        <f t="shared" si="213"/>
        <v>5243.6079399956034</v>
      </c>
      <c r="Q3057" s="849">
        <v>37.299999999999997</v>
      </c>
      <c r="R3057" s="71">
        <v>16835</v>
      </c>
      <c r="S3057" s="845">
        <v>0.47137637028014617</v>
      </c>
      <c r="T3057" s="845">
        <v>0.27200000000000002</v>
      </c>
      <c r="U3057" s="845">
        <v>0</v>
      </c>
      <c r="V3057" s="845">
        <v>3.4000000000000002E-2</v>
      </c>
      <c r="W3057" s="845">
        <v>0.80572963294538946</v>
      </c>
      <c r="X3057" s="845">
        <v>0.4777777777777778</v>
      </c>
      <c r="Y3057" s="845">
        <v>0.10675512665862485</v>
      </c>
      <c r="Z3057" s="845">
        <v>0.83112183353437874</v>
      </c>
      <c r="AA3057" s="845">
        <v>0</v>
      </c>
      <c r="AB3057" s="845">
        <v>0</v>
      </c>
      <c r="AC3057" s="845">
        <v>0</v>
      </c>
      <c r="AD3057" s="845">
        <v>4.1616405307599517E-2</v>
      </c>
      <c r="AE3057" s="845">
        <v>2.0506634499396863E-2</v>
      </c>
      <c r="AF3057" s="845">
        <v>9.6501809408926411E-3</v>
      </c>
      <c r="AG3057" s="845">
        <v>9.7104945717732205E-2</v>
      </c>
      <c r="AH3057" s="20" t="str">
        <f t="shared" si="214"/>
        <v>No</v>
      </c>
      <c r="AI3057" s="25"/>
      <c r="AU3057" s="19"/>
      <c r="AV3057" s="19"/>
      <c r="AW3057" s="19"/>
      <c r="BU3057"/>
      <c r="BV3057"/>
      <c r="BW3057"/>
      <c r="BX3057"/>
      <c r="BY3057"/>
      <c r="BZ3057"/>
      <c r="CA3057"/>
      <c r="CB3057"/>
      <c r="CC3057"/>
    </row>
    <row r="3058" spans="1:81" s="17" customFormat="1" x14ac:dyDescent="0.2">
      <c r="A3058" s="25"/>
      <c r="B3058" s="20">
        <v>39087051002</v>
      </c>
      <c r="C3058" s="20">
        <v>510.02</v>
      </c>
      <c r="D3058" s="20" t="s">
        <v>49</v>
      </c>
      <c r="E3058" s="20" t="s">
        <v>2834</v>
      </c>
      <c r="F3058" s="20" t="s">
        <v>6</v>
      </c>
      <c r="G3058" s="861">
        <v>19.760353889453</v>
      </c>
      <c r="H3058" s="861">
        <v>25.630853154135298</v>
      </c>
      <c r="I3058" s="861">
        <v>36.341303483966598</v>
      </c>
      <c r="J3058" s="861">
        <v>36.993272166238</v>
      </c>
      <c r="K3058" s="982">
        <v>1</v>
      </c>
      <c r="L3058" s="735">
        <v>4892</v>
      </c>
      <c r="M3058" s="735">
        <v>3918</v>
      </c>
      <c r="N3058" s="845">
        <f t="shared" si="212"/>
        <v>-0.19910057236304171</v>
      </c>
      <c r="O3058" s="735">
        <v>23.175074730362372</v>
      </c>
      <c r="P3058" s="735">
        <f t="shared" si="213"/>
        <v>169.06094351734316</v>
      </c>
      <c r="Q3058" s="849">
        <v>35.5</v>
      </c>
      <c r="R3058" s="71">
        <v>49826</v>
      </c>
      <c r="S3058" s="845">
        <v>0.26680401751223282</v>
      </c>
      <c r="T3058" s="845">
        <v>4.5999999999999999E-2</v>
      </c>
      <c r="U3058" s="845">
        <v>8.5000000000000006E-2</v>
      </c>
      <c r="V3058" s="845">
        <v>0.126</v>
      </c>
      <c r="W3058" s="845">
        <v>0.27408513816280805</v>
      </c>
      <c r="X3058" s="845">
        <v>0.45776566757493187</v>
      </c>
      <c r="Y3058" s="845">
        <v>0.99285349668198064</v>
      </c>
      <c r="Z3058" s="845">
        <v>7.6569678407350692E-4</v>
      </c>
      <c r="AA3058" s="845">
        <v>0</v>
      </c>
      <c r="AB3058" s="845">
        <v>0</v>
      </c>
      <c r="AC3058" s="845">
        <v>0</v>
      </c>
      <c r="AD3058" s="845">
        <v>2.5523226135783564E-4</v>
      </c>
      <c r="AE3058" s="845">
        <v>6.1255742725880554E-3</v>
      </c>
      <c r="AF3058" s="845">
        <v>1.7866258295048494E-3</v>
      </c>
      <c r="AG3058" s="845">
        <v>0.99132210311383362</v>
      </c>
      <c r="AH3058" s="20" t="str">
        <f t="shared" si="214"/>
        <v>Yes</v>
      </c>
      <c r="AI3058" s="25"/>
      <c r="AU3058" s="19"/>
      <c r="AV3058" s="19"/>
      <c r="AW3058" s="19"/>
      <c r="BU3058"/>
      <c r="BV3058"/>
      <c r="BW3058"/>
      <c r="BX3058"/>
      <c r="BY3058"/>
      <c r="BZ3058"/>
      <c r="CA3058"/>
      <c r="CB3058"/>
      <c r="CC3058"/>
    </row>
    <row r="3059" spans="1:81" s="17" customFormat="1" x14ac:dyDescent="0.2">
      <c r="A3059" s="25"/>
      <c r="B3059" s="20">
        <v>39093091200</v>
      </c>
      <c r="C3059" s="20">
        <v>912</v>
      </c>
      <c r="D3059" s="20" t="s">
        <v>52</v>
      </c>
      <c r="E3059" s="20" t="s">
        <v>2829</v>
      </c>
      <c r="F3059" s="20" t="s">
        <v>8</v>
      </c>
      <c r="G3059" s="861">
        <v>19.752981955303401</v>
      </c>
      <c r="H3059" s="861">
        <v>41.986069765244402</v>
      </c>
      <c r="I3059" s="861">
        <v>23.298547546360901</v>
      </c>
      <c r="J3059" s="861">
        <v>28.849439929680202</v>
      </c>
      <c r="K3059" s="982">
        <v>0</v>
      </c>
      <c r="L3059" s="735">
        <v>3567</v>
      </c>
      <c r="M3059" s="735">
        <v>3682</v>
      </c>
      <c r="N3059" s="845">
        <f t="shared" si="212"/>
        <v>3.2239977572189514E-2</v>
      </c>
      <c r="O3059" s="735">
        <v>12.092799916367184</v>
      </c>
      <c r="P3059" s="735">
        <f t="shared" si="213"/>
        <v>304.47870017402181</v>
      </c>
      <c r="Q3059" s="849">
        <v>51</v>
      </c>
      <c r="R3059" s="71">
        <v>76458</v>
      </c>
      <c r="S3059" s="845">
        <v>7.4990336296868965E-2</v>
      </c>
      <c r="T3059" s="845">
        <v>2.2000000000000002E-2</v>
      </c>
      <c r="U3059" s="845">
        <v>0</v>
      </c>
      <c r="V3059" s="845">
        <v>0</v>
      </c>
      <c r="W3059" s="845">
        <v>5.9701492537313432E-2</v>
      </c>
      <c r="X3059" s="845">
        <v>0.1875</v>
      </c>
      <c r="Y3059" s="845">
        <v>0.83432916892992937</v>
      </c>
      <c r="Z3059" s="845">
        <v>0.12167300380228137</v>
      </c>
      <c r="AA3059" s="845">
        <v>8.1477457903313415E-4</v>
      </c>
      <c r="AB3059" s="845">
        <v>0</v>
      </c>
      <c r="AC3059" s="845">
        <v>0</v>
      </c>
      <c r="AD3059" s="845">
        <v>0</v>
      </c>
      <c r="AE3059" s="845">
        <v>4.3183052688756114E-2</v>
      </c>
      <c r="AF3059" s="845">
        <v>2.9603476371537207E-2</v>
      </c>
      <c r="AG3059" s="845">
        <v>0.82862574687669743</v>
      </c>
      <c r="AH3059" s="20" t="str">
        <f t="shared" si="214"/>
        <v>No</v>
      </c>
      <c r="AI3059" s="25"/>
      <c r="AU3059" s="19"/>
      <c r="AV3059" s="19"/>
      <c r="AW3059" s="19"/>
      <c r="BU3059"/>
      <c r="BV3059"/>
      <c r="BW3059"/>
      <c r="BX3059"/>
      <c r="BY3059"/>
      <c r="BZ3059"/>
      <c r="CA3059"/>
      <c r="CB3059"/>
      <c r="CC3059"/>
    </row>
    <row r="3060" spans="1:81" s="17" customFormat="1" x14ac:dyDescent="0.2">
      <c r="A3060" s="25"/>
      <c r="B3060" s="20">
        <v>39007001401</v>
      </c>
      <c r="C3060" s="20">
        <v>14.01</v>
      </c>
      <c r="D3060" s="20" t="s">
        <v>10</v>
      </c>
      <c r="E3060" s="20" t="s">
        <v>2829</v>
      </c>
      <c r="F3060" s="20" t="s">
        <v>8</v>
      </c>
      <c r="G3060" s="861">
        <v>19.6820157216167</v>
      </c>
      <c r="H3060" s="861">
        <v>41.567579887758299</v>
      </c>
      <c r="I3060" s="861">
        <v>35.221963128592002</v>
      </c>
      <c r="J3060" s="861">
        <v>45.637807302184299</v>
      </c>
      <c r="K3060" s="982">
        <v>0</v>
      </c>
      <c r="L3060" s="735" t="s">
        <v>2466</v>
      </c>
      <c r="M3060" s="735">
        <v>3550</v>
      </c>
      <c r="N3060" s="845" t="str">
        <f t="shared" si="212"/>
        <v/>
      </c>
      <c r="O3060" s="735">
        <v>48.891783522512</v>
      </c>
      <c r="P3060" s="735">
        <f t="shared" si="213"/>
        <v>72.609337279860497</v>
      </c>
      <c r="Q3060" s="849">
        <v>20.399999999999999</v>
      </c>
      <c r="R3060" s="71">
        <v>87643</v>
      </c>
      <c r="S3060" s="845">
        <v>0.17352112676056339</v>
      </c>
      <c r="T3060" s="845">
        <v>6.0000000000000001E-3</v>
      </c>
      <c r="U3060" s="845">
        <v>0</v>
      </c>
      <c r="V3060" s="845">
        <v>0</v>
      </c>
      <c r="W3060" s="845">
        <v>0.13620488940628639</v>
      </c>
      <c r="X3060" s="845">
        <v>0.19658119658119658</v>
      </c>
      <c r="Y3060" s="845">
        <v>0.99661971830985918</v>
      </c>
      <c r="Z3060" s="845">
        <v>0</v>
      </c>
      <c r="AA3060" s="845">
        <v>0</v>
      </c>
      <c r="AB3060" s="845">
        <v>0</v>
      </c>
      <c r="AC3060" s="845">
        <v>0</v>
      </c>
      <c r="AD3060" s="845">
        <v>0</v>
      </c>
      <c r="AE3060" s="845">
        <v>3.3802816901408453E-3</v>
      </c>
      <c r="AF3060" s="845">
        <v>0</v>
      </c>
      <c r="AG3060" s="845">
        <v>0.99661971830985918</v>
      </c>
      <c r="AH3060" s="20" t="str">
        <f t="shared" si="214"/>
        <v>Yes</v>
      </c>
      <c r="AI3060" s="25"/>
      <c r="AU3060" s="19"/>
      <c r="AV3060" s="19"/>
      <c r="AW3060" s="19"/>
      <c r="BU3060"/>
      <c r="BV3060"/>
      <c r="BW3060"/>
      <c r="BX3060"/>
      <c r="BY3060"/>
      <c r="BZ3060"/>
      <c r="CA3060"/>
      <c r="CB3060"/>
      <c r="CC3060"/>
    </row>
    <row r="3061" spans="1:81" s="17" customFormat="1" x14ac:dyDescent="0.2">
      <c r="A3061" s="25"/>
      <c r="B3061" s="20">
        <v>39095000701</v>
      </c>
      <c r="C3061" s="20">
        <v>7.01</v>
      </c>
      <c r="D3061" s="20" t="s">
        <v>53</v>
      </c>
      <c r="E3061" s="20" t="s">
        <v>2839</v>
      </c>
      <c r="F3061" s="20" t="s">
        <v>6</v>
      </c>
      <c r="G3061" s="861">
        <v>19.241754552960199</v>
      </c>
      <c r="H3061" s="861">
        <v>31.563879746543101</v>
      </c>
      <c r="I3061" s="861">
        <v>74.371860171566595</v>
      </c>
      <c r="J3061" s="861">
        <v>19.669655212387301</v>
      </c>
      <c r="K3061" s="982">
        <v>0</v>
      </c>
      <c r="L3061" s="735" t="s">
        <v>2466</v>
      </c>
      <c r="M3061" s="735">
        <v>1326</v>
      </c>
      <c r="N3061" s="845" t="str">
        <f t="shared" si="212"/>
        <v/>
      </c>
      <c r="O3061" s="735">
        <v>0.24141114686429971</v>
      </c>
      <c r="P3061" s="735">
        <f t="shared" si="213"/>
        <v>5492.7041158764787</v>
      </c>
      <c r="Q3061" s="849">
        <v>52.9</v>
      </c>
      <c r="R3061" s="71">
        <v>27830</v>
      </c>
      <c r="S3061" s="845">
        <v>0.59428129829984544</v>
      </c>
      <c r="T3061" s="845">
        <v>0</v>
      </c>
      <c r="U3061" s="845">
        <v>0</v>
      </c>
      <c r="V3061" s="845">
        <v>0.38600000000000001</v>
      </c>
      <c r="W3061" s="845">
        <v>0.26782608695652171</v>
      </c>
      <c r="X3061" s="845">
        <v>0.72727272727272729</v>
      </c>
      <c r="Y3061" s="845">
        <v>0.55806938159879338</v>
      </c>
      <c r="Z3061" s="845">
        <v>0.22021116138763197</v>
      </c>
      <c r="AA3061" s="845">
        <v>0</v>
      </c>
      <c r="AB3061" s="845">
        <v>0</v>
      </c>
      <c r="AC3061" s="845">
        <v>0</v>
      </c>
      <c r="AD3061" s="845">
        <v>0</v>
      </c>
      <c r="AE3061" s="845">
        <v>0.22171945701357465</v>
      </c>
      <c r="AF3061" s="845">
        <v>0</v>
      </c>
      <c r="AG3061" s="845">
        <v>0.55806938159879338</v>
      </c>
      <c r="AH3061" s="20" t="str">
        <f t="shared" si="214"/>
        <v>No</v>
      </c>
      <c r="AI3061" s="25"/>
      <c r="AU3061" s="19"/>
      <c r="AV3061" s="19"/>
      <c r="AW3061" s="19"/>
      <c r="BU3061"/>
      <c r="BV3061"/>
      <c r="BW3061"/>
      <c r="BX3061"/>
      <c r="BY3061"/>
      <c r="BZ3061"/>
      <c r="CA3061"/>
      <c r="CB3061"/>
      <c r="CC3061"/>
    </row>
    <row r="3062" spans="1:81" s="17" customFormat="1" x14ac:dyDescent="0.2">
      <c r="A3062" s="25"/>
      <c r="B3062" s="20">
        <v>39001770500</v>
      </c>
      <c r="C3062" s="20">
        <v>7705</v>
      </c>
      <c r="D3062" s="20" t="s">
        <v>5</v>
      </c>
      <c r="E3062" s="20" t="s">
        <v>265</v>
      </c>
      <c r="F3062" s="20" t="s">
        <v>6</v>
      </c>
      <c r="G3062" s="861">
        <v>19.018362425054399</v>
      </c>
      <c r="H3062" s="861">
        <v>29.666832674322499</v>
      </c>
      <c r="I3062" s="861">
        <v>32.402040768325101</v>
      </c>
      <c r="J3062" s="861">
        <v>43.087373719435497</v>
      </c>
      <c r="K3062" s="982">
        <v>0</v>
      </c>
      <c r="L3062" s="735">
        <v>3096</v>
      </c>
      <c r="M3062" s="735">
        <v>3044</v>
      </c>
      <c r="N3062" s="845">
        <f t="shared" si="212"/>
        <v>-1.6795865633074936E-2</v>
      </c>
      <c r="O3062" s="735">
        <v>152.44249287306573</v>
      </c>
      <c r="P3062" s="735">
        <f t="shared" si="213"/>
        <v>19.968185658933347</v>
      </c>
      <c r="Q3062" s="849">
        <v>50.3</v>
      </c>
      <c r="R3062" s="71">
        <v>40104</v>
      </c>
      <c r="S3062" s="845">
        <v>0.28712220762155061</v>
      </c>
      <c r="T3062" s="845">
        <v>8.0000000000000002E-3</v>
      </c>
      <c r="U3062" s="845">
        <v>5.0000000000000001E-3</v>
      </c>
      <c r="V3062" s="845">
        <v>0</v>
      </c>
      <c r="W3062" s="845">
        <v>0.24501197126895452</v>
      </c>
      <c r="X3062" s="845">
        <v>0.5895765472312704</v>
      </c>
      <c r="Y3062" s="845">
        <v>0.9747043363994744</v>
      </c>
      <c r="Z3062" s="845">
        <v>2.6281208935611039E-3</v>
      </c>
      <c r="AA3062" s="845">
        <v>0</v>
      </c>
      <c r="AB3062" s="845">
        <v>0</v>
      </c>
      <c r="AC3062" s="845">
        <v>0</v>
      </c>
      <c r="AD3062" s="845">
        <v>0</v>
      </c>
      <c r="AE3062" s="845">
        <v>2.2667542706964521E-2</v>
      </c>
      <c r="AF3062" s="845">
        <v>0</v>
      </c>
      <c r="AG3062" s="845">
        <v>0.9747043363994744</v>
      </c>
      <c r="AH3062" s="20" t="str">
        <f t="shared" si="214"/>
        <v>Yes</v>
      </c>
      <c r="AI3062" s="25"/>
      <c r="AU3062" s="19"/>
      <c r="AV3062" s="19"/>
      <c r="AW3062" s="19"/>
      <c r="BU3062"/>
      <c r="BV3062"/>
      <c r="BW3062"/>
      <c r="BX3062"/>
      <c r="BY3062"/>
      <c r="BZ3062"/>
      <c r="CA3062"/>
      <c r="CB3062"/>
      <c r="CC3062"/>
    </row>
    <row r="3063" spans="1:81" s="17" customFormat="1" x14ac:dyDescent="0.2">
      <c r="A3063" s="25"/>
      <c r="B3063" s="20">
        <v>39035119800</v>
      </c>
      <c r="C3063" s="20">
        <v>1198</v>
      </c>
      <c r="D3063" s="20" t="s">
        <v>24</v>
      </c>
      <c r="E3063" s="20" t="s">
        <v>2829</v>
      </c>
      <c r="F3063" s="20" t="s">
        <v>6</v>
      </c>
      <c r="G3063" s="861">
        <v>18.876806956629</v>
      </c>
      <c r="H3063" s="861">
        <v>37.911029511908097</v>
      </c>
      <c r="I3063" s="861">
        <v>68.316570157939793</v>
      </c>
      <c r="J3063" s="861">
        <v>15.3937720802292</v>
      </c>
      <c r="K3063" s="982">
        <v>0</v>
      </c>
      <c r="L3063" s="735">
        <v>3737</v>
      </c>
      <c r="M3063" s="735">
        <v>3167</v>
      </c>
      <c r="N3063" s="845">
        <f t="shared" si="212"/>
        <v>-0.15252876639015253</v>
      </c>
      <c r="O3063" s="735">
        <v>0.38943576462982299</v>
      </c>
      <c r="P3063" s="735">
        <f t="shared" si="213"/>
        <v>8132.2782539256059</v>
      </c>
      <c r="Q3063" s="849">
        <v>35.9</v>
      </c>
      <c r="R3063" s="71">
        <v>40159</v>
      </c>
      <c r="S3063" s="845">
        <v>0.28148886673313395</v>
      </c>
      <c r="T3063" s="845">
        <v>0.20800000000000002</v>
      </c>
      <c r="U3063" s="845">
        <v>0</v>
      </c>
      <c r="V3063" s="845">
        <v>0</v>
      </c>
      <c r="W3063" s="845">
        <v>0.26833477135461603</v>
      </c>
      <c r="X3063" s="845">
        <v>0.45016077170418006</v>
      </c>
      <c r="Y3063" s="845">
        <v>2.7470792548152826E-2</v>
      </c>
      <c r="Z3063" s="845">
        <v>0.73192295547837072</v>
      </c>
      <c r="AA3063" s="845">
        <v>0</v>
      </c>
      <c r="AB3063" s="845">
        <v>0</v>
      </c>
      <c r="AC3063" s="845">
        <v>0</v>
      </c>
      <c r="AD3063" s="845">
        <v>6.0625197347647618E-2</v>
      </c>
      <c r="AE3063" s="845">
        <v>0.17998105462582886</v>
      </c>
      <c r="AF3063" s="845">
        <v>6.0625197347647618E-2</v>
      </c>
      <c r="AG3063" s="845">
        <v>2.7470792548152826E-2</v>
      </c>
      <c r="AH3063" s="20" t="str">
        <f t="shared" si="214"/>
        <v>No</v>
      </c>
      <c r="AI3063" s="25"/>
      <c r="AU3063" s="19"/>
      <c r="AV3063" s="19"/>
      <c r="AW3063" s="19"/>
      <c r="BU3063"/>
      <c r="BV3063"/>
      <c r="BW3063"/>
      <c r="BX3063"/>
      <c r="BY3063"/>
      <c r="BZ3063"/>
      <c r="CA3063"/>
      <c r="CB3063"/>
      <c r="CC3063"/>
    </row>
    <row r="3064" spans="1:81" s="17" customFormat="1" x14ac:dyDescent="0.2">
      <c r="A3064" s="25"/>
      <c r="B3064" s="20">
        <v>39087050600</v>
      </c>
      <c r="C3064" s="20">
        <v>506</v>
      </c>
      <c r="D3064" s="20" t="s">
        <v>49</v>
      </c>
      <c r="E3064" s="20" t="s">
        <v>2834</v>
      </c>
      <c r="F3064" s="20" t="s">
        <v>8</v>
      </c>
      <c r="G3064" s="861">
        <v>18.8022397622806</v>
      </c>
      <c r="H3064" s="861">
        <v>25.762838730879299</v>
      </c>
      <c r="I3064" s="861">
        <v>28.180199801151801</v>
      </c>
      <c r="J3064" s="861">
        <v>41.297741019646502</v>
      </c>
      <c r="K3064" s="982">
        <v>0</v>
      </c>
      <c r="L3064" s="735">
        <v>1455</v>
      </c>
      <c r="M3064" s="735">
        <v>1170</v>
      </c>
      <c r="N3064" s="845">
        <f t="shared" si="212"/>
        <v>-0.19587628865979381</v>
      </c>
      <c r="O3064" s="735">
        <v>95.143109363540674</v>
      </c>
      <c r="P3064" s="735">
        <f t="shared" si="213"/>
        <v>12.29726469764031</v>
      </c>
      <c r="Q3064" s="849">
        <v>38.6</v>
      </c>
      <c r="R3064" s="71">
        <v>39167</v>
      </c>
      <c r="S3064" s="845">
        <v>0.26837606837606837</v>
      </c>
      <c r="T3064" s="845">
        <v>6.5000000000000002E-2</v>
      </c>
      <c r="U3064" s="845">
        <v>4.0999999999999995E-2</v>
      </c>
      <c r="V3064" s="845">
        <v>0</v>
      </c>
      <c r="W3064" s="845">
        <v>0.22967479674796748</v>
      </c>
      <c r="X3064" s="845">
        <v>0.48672566371681414</v>
      </c>
      <c r="Y3064" s="845">
        <v>0.89572649572649576</v>
      </c>
      <c r="Z3064" s="845">
        <v>1.1111111111111112E-2</v>
      </c>
      <c r="AA3064" s="845">
        <v>0</v>
      </c>
      <c r="AB3064" s="845">
        <v>2.3931623931623933E-2</v>
      </c>
      <c r="AC3064" s="845">
        <v>0</v>
      </c>
      <c r="AD3064" s="845">
        <v>0</v>
      </c>
      <c r="AE3064" s="845">
        <v>6.9230769230769235E-2</v>
      </c>
      <c r="AF3064" s="845">
        <v>2.9059829059829061E-2</v>
      </c>
      <c r="AG3064" s="845">
        <v>0.89572649572649576</v>
      </c>
      <c r="AH3064" s="20" t="str">
        <f t="shared" si="214"/>
        <v>No</v>
      </c>
      <c r="AI3064" s="25"/>
      <c r="AU3064" s="19"/>
      <c r="AV3064" s="19"/>
      <c r="AW3064" s="19"/>
      <c r="BU3064"/>
      <c r="BV3064"/>
      <c r="BW3064"/>
      <c r="BX3064"/>
      <c r="BY3064"/>
      <c r="BZ3064"/>
      <c r="CA3064"/>
      <c r="CB3064"/>
      <c r="CC3064"/>
    </row>
    <row r="3065" spans="1:81" s="17" customFormat="1" x14ac:dyDescent="0.2">
      <c r="A3065" s="25"/>
      <c r="B3065" s="20">
        <v>39003013700</v>
      </c>
      <c r="C3065" s="20">
        <v>137</v>
      </c>
      <c r="D3065" s="20" t="s">
        <v>7</v>
      </c>
      <c r="E3065" s="20" t="s">
        <v>2835</v>
      </c>
      <c r="F3065" s="20" t="s">
        <v>6</v>
      </c>
      <c r="G3065" s="861">
        <v>18.790622109725199</v>
      </c>
      <c r="H3065" s="861">
        <v>20.9559120985565</v>
      </c>
      <c r="I3065" s="861">
        <v>54.977838470289299</v>
      </c>
      <c r="J3065" s="861">
        <v>37.736041313782898</v>
      </c>
      <c r="K3065" s="982">
        <v>0</v>
      </c>
      <c r="L3065" s="735">
        <v>1175</v>
      </c>
      <c r="M3065" s="735">
        <v>1052</v>
      </c>
      <c r="N3065" s="845">
        <f t="shared" si="212"/>
        <v>-0.10468085106382979</v>
      </c>
      <c r="O3065" s="735">
        <v>0.52774836869810959</v>
      </c>
      <c r="P3065" s="735">
        <f t="shared" si="213"/>
        <v>1993.3742336241698</v>
      </c>
      <c r="Q3065" s="849">
        <v>31.5</v>
      </c>
      <c r="R3065" s="71">
        <v>40313</v>
      </c>
      <c r="S3065" s="845">
        <v>0.51140684410646386</v>
      </c>
      <c r="T3065" s="845">
        <v>0.14599999999999999</v>
      </c>
      <c r="U3065" s="845">
        <v>0</v>
      </c>
      <c r="V3065" s="845">
        <v>4.0999999999999995E-2</v>
      </c>
      <c r="W3065" s="845">
        <v>0.61904761904761907</v>
      </c>
      <c r="X3065" s="845">
        <v>0.45726495726495725</v>
      </c>
      <c r="Y3065" s="845">
        <v>0.51520912547528519</v>
      </c>
      <c r="Z3065" s="845">
        <v>0.40969581749049427</v>
      </c>
      <c r="AA3065" s="845">
        <v>0</v>
      </c>
      <c r="AB3065" s="845">
        <v>0</v>
      </c>
      <c r="AC3065" s="845">
        <v>0</v>
      </c>
      <c r="AD3065" s="845">
        <v>0</v>
      </c>
      <c r="AE3065" s="845">
        <v>7.5095057034220536E-2</v>
      </c>
      <c r="AF3065" s="845">
        <v>7.2243346007604556E-2</v>
      </c>
      <c r="AG3065" s="845">
        <v>0.48098859315589354</v>
      </c>
      <c r="AH3065" s="20" t="str">
        <f t="shared" si="214"/>
        <v>No</v>
      </c>
      <c r="AI3065" s="25"/>
      <c r="AU3065" s="19"/>
      <c r="AV3065" s="19"/>
      <c r="AW3065" s="19"/>
      <c r="BU3065"/>
      <c r="BV3065"/>
      <c r="BW3065"/>
      <c r="BX3065"/>
      <c r="BY3065"/>
      <c r="BZ3065"/>
      <c r="CA3065"/>
      <c r="CB3065"/>
      <c r="CC3065"/>
    </row>
    <row r="3066" spans="1:81" s="17" customFormat="1" x14ac:dyDescent="0.2">
      <c r="A3066" s="25"/>
      <c r="B3066" s="20">
        <v>39099802300</v>
      </c>
      <c r="C3066" s="20">
        <v>8023</v>
      </c>
      <c r="D3066" s="20" t="s">
        <v>55</v>
      </c>
      <c r="E3066" s="20" t="s">
        <v>2842</v>
      </c>
      <c r="F3066" s="20" t="s">
        <v>6</v>
      </c>
      <c r="G3066" s="861">
        <v>18.771521092452701</v>
      </c>
      <c r="H3066" s="861">
        <v>29.4553006018443</v>
      </c>
      <c r="I3066" s="861">
        <v>75.394505575888303</v>
      </c>
      <c r="J3066" s="861">
        <v>32.698637392518002</v>
      </c>
      <c r="K3066" s="982">
        <v>0</v>
      </c>
      <c r="L3066" s="735">
        <v>925</v>
      </c>
      <c r="M3066" s="735">
        <v>928</v>
      </c>
      <c r="N3066" s="845">
        <f t="shared" si="212"/>
        <v>3.2432432432432431E-3</v>
      </c>
      <c r="O3066" s="735">
        <v>0.36861945285146502</v>
      </c>
      <c r="P3066" s="735">
        <f t="shared" si="213"/>
        <v>2517.5014308697837</v>
      </c>
      <c r="Q3066" s="849">
        <v>38.9</v>
      </c>
      <c r="R3066" s="71">
        <v>25625</v>
      </c>
      <c r="S3066" s="845">
        <v>0.48208469055374592</v>
      </c>
      <c r="T3066" s="845">
        <v>1.8000000000000002E-2</v>
      </c>
      <c r="U3066" s="845">
        <v>0</v>
      </c>
      <c r="V3066" s="845">
        <v>0</v>
      </c>
      <c r="W3066" s="845">
        <v>0.42926829268292682</v>
      </c>
      <c r="X3066" s="845">
        <v>0.41477272727272729</v>
      </c>
      <c r="Y3066" s="845">
        <v>7.8663793103448273E-2</v>
      </c>
      <c r="Z3066" s="845">
        <v>0.68318965517241381</v>
      </c>
      <c r="AA3066" s="845">
        <v>0</v>
      </c>
      <c r="AB3066" s="845">
        <v>0</v>
      </c>
      <c r="AC3066" s="845">
        <v>0</v>
      </c>
      <c r="AD3066" s="845">
        <v>0</v>
      </c>
      <c r="AE3066" s="845">
        <v>0.23814655172413793</v>
      </c>
      <c r="AF3066" s="845">
        <v>0.23383620689655171</v>
      </c>
      <c r="AG3066" s="845">
        <v>7.8663793103448273E-2</v>
      </c>
      <c r="AH3066" s="20" t="str">
        <f t="shared" si="214"/>
        <v>No</v>
      </c>
      <c r="AI3066" s="25"/>
      <c r="AU3066" s="19"/>
      <c r="AV3066" s="19"/>
      <c r="AW3066" s="19"/>
      <c r="BU3066"/>
      <c r="BV3066"/>
      <c r="BW3066"/>
      <c r="BX3066"/>
      <c r="BY3066"/>
      <c r="BZ3066"/>
      <c r="CA3066"/>
      <c r="CB3066"/>
      <c r="CC3066"/>
    </row>
    <row r="3067" spans="1:81" s="17" customFormat="1" x14ac:dyDescent="0.2">
      <c r="A3067" s="25"/>
      <c r="B3067" s="20">
        <v>39163953200</v>
      </c>
      <c r="C3067" s="20">
        <v>9532</v>
      </c>
      <c r="D3067" s="20" t="s">
        <v>87</v>
      </c>
      <c r="E3067" s="20" t="s">
        <v>265</v>
      </c>
      <c r="F3067" s="20" t="s">
        <v>8</v>
      </c>
      <c r="G3067" s="861">
        <v>18.664953813576101</v>
      </c>
      <c r="H3067" s="861">
        <v>32.352224306751701</v>
      </c>
      <c r="I3067" s="861">
        <v>18.208019040612399</v>
      </c>
      <c r="J3067" s="861">
        <v>46.368734067498302</v>
      </c>
      <c r="K3067" s="982">
        <v>0</v>
      </c>
      <c r="L3067" s="735">
        <v>3109</v>
      </c>
      <c r="M3067" s="735">
        <v>2513</v>
      </c>
      <c r="N3067" s="845">
        <f t="shared" si="212"/>
        <v>-0.19170151174010935</v>
      </c>
      <c r="O3067" s="735">
        <v>142.22037297306358</v>
      </c>
      <c r="P3067" s="735">
        <f t="shared" si="213"/>
        <v>17.669761001653118</v>
      </c>
      <c r="Q3067" s="849">
        <v>46.9</v>
      </c>
      <c r="R3067" s="71">
        <v>62074</v>
      </c>
      <c r="S3067" s="845">
        <v>0.13569438917628332</v>
      </c>
      <c r="T3067" s="845">
        <v>4.2999999999999997E-2</v>
      </c>
      <c r="U3067" s="845">
        <v>2.7999999999999997E-2</v>
      </c>
      <c r="V3067" s="845">
        <v>0</v>
      </c>
      <c r="W3067" s="845">
        <v>0.15384615384615385</v>
      </c>
      <c r="X3067" s="845">
        <v>0.14814814814814814</v>
      </c>
      <c r="Y3067" s="845">
        <v>0.97890966971746918</v>
      </c>
      <c r="Z3067" s="845">
        <v>0</v>
      </c>
      <c r="AA3067" s="845">
        <v>0</v>
      </c>
      <c r="AB3067" s="845">
        <v>0</v>
      </c>
      <c r="AC3067" s="845">
        <v>0</v>
      </c>
      <c r="AD3067" s="845">
        <v>0</v>
      </c>
      <c r="AE3067" s="845">
        <v>2.109033028253084E-2</v>
      </c>
      <c r="AF3067" s="845">
        <v>0</v>
      </c>
      <c r="AG3067" s="845">
        <v>0.97890966971746918</v>
      </c>
      <c r="AH3067" s="20" t="str">
        <f t="shared" si="214"/>
        <v>Yes</v>
      </c>
      <c r="AI3067" s="25"/>
      <c r="AU3067" s="19"/>
      <c r="AV3067" s="19"/>
      <c r="AW3067" s="19"/>
      <c r="BU3067"/>
      <c r="BV3067"/>
      <c r="BW3067"/>
      <c r="BX3067"/>
      <c r="BY3067"/>
      <c r="BZ3067"/>
      <c r="CA3067"/>
      <c r="CB3067"/>
      <c r="CC3067"/>
    </row>
    <row r="3068" spans="1:81" s="17" customFormat="1" x14ac:dyDescent="0.2">
      <c r="A3068" s="25"/>
      <c r="B3068" s="20">
        <v>39113070300</v>
      </c>
      <c r="C3068" s="20">
        <v>703</v>
      </c>
      <c r="D3068" s="20" t="s">
        <v>62</v>
      </c>
      <c r="E3068" s="20" t="s">
        <v>2833</v>
      </c>
      <c r="F3068" s="20" t="s">
        <v>6</v>
      </c>
      <c r="G3068" s="861">
        <v>18.5879466766463</v>
      </c>
      <c r="H3068" s="861">
        <v>26.7406608557026</v>
      </c>
      <c r="I3068" s="861">
        <v>37.187713192987196</v>
      </c>
      <c r="J3068" s="861">
        <v>40.112117285133003</v>
      </c>
      <c r="K3068" s="982">
        <v>1</v>
      </c>
      <c r="L3068" s="735">
        <v>2734</v>
      </c>
      <c r="M3068" s="735">
        <v>2538</v>
      </c>
      <c r="N3068" s="845">
        <f t="shared" si="212"/>
        <v>-7.1689831748354055E-2</v>
      </c>
      <c r="O3068" s="735">
        <v>3.7864648729989732</v>
      </c>
      <c r="P3068" s="735">
        <f t="shared" si="213"/>
        <v>670.28219860120919</v>
      </c>
      <c r="Q3068" s="849">
        <v>42</v>
      </c>
      <c r="R3068" s="71">
        <v>31092</v>
      </c>
      <c r="S3068" s="845">
        <v>0.36012608353033887</v>
      </c>
      <c r="T3068" s="845">
        <v>2.4E-2</v>
      </c>
      <c r="U3068" s="845">
        <v>0</v>
      </c>
      <c r="V3068" s="845">
        <v>3.7999999999999999E-2</v>
      </c>
      <c r="W3068" s="845">
        <v>0.66916666666666669</v>
      </c>
      <c r="X3068" s="845">
        <v>0.52179327521793273</v>
      </c>
      <c r="Y3068" s="845">
        <v>0.23798266351457842</v>
      </c>
      <c r="Z3068" s="845">
        <v>0.72261623325453117</v>
      </c>
      <c r="AA3068" s="845">
        <v>0</v>
      </c>
      <c r="AB3068" s="845">
        <v>0</v>
      </c>
      <c r="AC3068" s="845">
        <v>0</v>
      </c>
      <c r="AD3068" s="845">
        <v>7.8802206461780935E-4</v>
      </c>
      <c r="AE3068" s="845">
        <v>3.8613081166272656E-2</v>
      </c>
      <c r="AF3068" s="845">
        <v>7.8802206461780935E-4</v>
      </c>
      <c r="AG3068" s="845">
        <v>0.23798266351457842</v>
      </c>
      <c r="AH3068" s="20" t="str">
        <f t="shared" si="214"/>
        <v>No</v>
      </c>
      <c r="AI3068" s="25"/>
      <c r="AU3068" s="19"/>
      <c r="AV3068" s="19"/>
      <c r="AW3068" s="19"/>
      <c r="BU3068"/>
      <c r="BV3068"/>
      <c r="BW3068"/>
      <c r="BX3068"/>
      <c r="BY3068"/>
      <c r="BZ3068"/>
      <c r="CA3068"/>
      <c r="CB3068"/>
      <c r="CC3068"/>
    </row>
    <row r="3069" spans="1:81" s="17" customFormat="1" x14ac:dyDescent="0.2">
      <c r="A3069" s="25"/>
      <c r="B3069" s="20">
        <v>39023000300</v>
      </c>
      <c r="C3069" s="20">
        <v>3</v>
      </c>
      <c r="D3069" s="20" t="s">
        <v>18</v>
      </c>
      <c r="E3069" s="20" t="s">
        <v>2838</v>
      </c>
      <c r="F3069" s="20" t="s">
        <v>6</v>
      </c>
      <c r="G3069" s="861">
        <v>18.319865583229799</v>
      </c>
      <c r="H3069" s="861">
        <v>16.289603745902301</v>
      </c>
      <c r="I3069" s="861">
        <v>71.836746283536797</v>
      </c>
      <c r="J3069" s="861">
        <v>36.691275641829399</v>
      </c>
      <c r="K3069" s="982">
        <v>0</v>
      </c>
      <c r="L3069" s="735">
        <v>1360</v>
      </c>
      <c r="M3069" s="735">
        <v>1174</v>
      </c>
      <c r="N3069" s="845">
        <f t="shared" si="212"/>
        <v>-0.13676470588235295</v>
      </c>
      <c r="O3069" s="735">
        <v>0.35244833614313392</v>
      </c>
      <c r="P3069" s="735">
        <f t="shared" si="213"/>
        <v>3330.9846567788113</v>
      </c>
      <c r="Q3069" s="849">
        <v>37.9</v>
      </c>
      <c r="R3069" s="71">
        <v>24583</v>
      </c>
      <c r="S3069" s="845">
        <v>0.47189097103918226</v>
      </c>
      <c r="T3069" s="845">
        <v>0.26700000000000002</v>
      </c>
      <c r="U3069" s="845">
        <v>0</v>
      </c>
      <c r="V3069" s="845">
        <v>0.03</v>
      </c>
      <c r="W3069" s="845">
        <v>0.59706362153344206</v>
      </c>
      <c r="X3069" s="845">
        <v>0.68852459016393441</v>
      </c>
      <c r="Y3069" s="845">
        <v>0.64565587734241903</v>
      </c>
      <c r="Z3069" s="845">
        <v>0.25553662691652468</v>
      </c>
      <c r="AA3069" s="845">
        <v>0</v>
      </c>
      <c r="AB3069" s="845">
        <v>0</v>
      </c>
      <c r="AC3069" s="845">
        <v>0</v>
      </c>
      <c r="AD3069" s="845">
        <v>3.3219761499148209E-2</v>
      </c>
      <c r="AE3069" s="845">
        <v>6.5587734241908002E-2</v>
      </c>
      <c r="AF3069" s="845">
        <v>3.3219761499148209E-2</v>
      </c>
      <c r="AG3069" s="845">
        <v>0.64565587734241903</v>
      </c>
      <c r="AH3069" s="20" t="str">
        <f t="shared" si="214"/>
        <v>No</v>
      </c>
      <c r="AI3069" s="25"/>
      <c r="AU3069" s="19"/>
      <c r="AV3069" s="19"/>
      <c r="AW3069" s="19"/>
      <c r="BU3069"/>
      <c r="BV3069"/>
      <c r="BW3069"/>
      <c r="BX3069"/>
      <c r="BY3069"/>
      <c r="BZ3069"/>
      <c r="CA3069"/>
      <c r="CB3069"/>
      <c r="CC3069"/>
    </row>
    <row r="3070" spans="1:81" s="17" customFormat="1" x14ac:dyDescent="0.2">
      <c r="A3070" s="25"/>
      <c r="B3070" s="20">
        <v>39035118602</v>
      </c>
      <c r="C3070" s="20">
        <v>1186.02</v>
      </c>
      <c r="D3070" s="20" t="s">
        <v>24</v>
      </c>
      <c r="E3070" s="20" t="s">
        <v>2829</v>
      </c>
      <c r="F3070" s="20" t="s">
        <v>6</v>
      </c>
      <c r="G3070" s="861">
        <v>18.286615405215599</v>
      </c>
      <c r="H3070" s="861">
        <v>29.881570894721001</v>
      </c>
      <c r="I3070" s="861">
        <v>55.970277416545002</v>
      </c>
      <c r="J3070" s="861">
        <v>45.7407097658079</v>
      </c>
      <c r="K3070" s="982">
        <v>0</v>
      </c>
      <c r="L3070" s="735">
        <v>2261</v>
      </c>
      <c r="M3070" s="735">
        <v>1411</v>
      </c>
      <c r="N3070" s="845">
        <f t="shared" si="212"/>
        <v>-0.37593984962406013</v>
      </c>
      <c r="O3070" s="735">
        <v>0.16796872476762065</v>
      </c>
      <c r="P3070" s="735">
        <f t="shared" si="213"/>
        <v>8400.3733549330282</v>
      </c>
      <c r="Q3070" s="849">
        <v>50.4</v>
      </c>
      <c r="R3070" s="71">
        <v>20479</v>
      </c>
      <c r="S3070" s="845">
        <v>0.40467753366406806</v>
      </c>
      <c r="T3070" s="845">
        <v>0.19</v>
      </c>
      <c r="U3070" s="845">
        <v>0</v>
      </c>
      <c r="V3070" s="845">
        <v>2.2000000000000002E-2</v>
      </c>
      <c r="W3070" s="845">
        <v>0.92</v>
      </c>
      <c r="X3070" s="845">
        <v>0.19843924191750278</v>
      </c>
      <c r="Y3070" s="845">
        <v>2.6222537207654145E-2</v>
      </c>
      <c r="Z3070" s="845">
        <v>0.96031183557760458</v>
      </c>
      <c r="AA3070" s="845">
        <v>4.2523033309709423E-3</v>
      </c>
      <c r="AB3070" s="845">
        <v>9.2133238837703753E-3</v>
      </c>
      <c r="AC3070" s="845">
        <v>0</v>
      </c>
      <c r="AD3070" s="845">
        <v>0</v>
      </c>
      <c r="AE3070" s="845">
        <v>0</v>
      </c>
      <c r="AF3070" s="845">
        <v>0</v>
      </c>
      <c r="AG3070" s="845">
        <v>2.6222537207654145E-2</v>
      </c>
      <c r="AH3070" s="20" t="str">
        <f t="shared" si="214"/>
        <v>No</v>
      </c>
      <c r="AI3070" s="25"/>
      <c r="AU3070" s="19"/>
      <c r="AV3070" s="19"/>
      <c r="AW3070" s="19"/>
      <c r="BU3070"/>
      <c r="BV3070"/>
      <c r="BW3070"/>
      <c r="BX3070"/>
      <c r="BY3070"/>
      <c r="BZ3070"/>
      <c r="CA3070"/>
      <c r="CB3070"/>
      <c r="CC3070"/>
    </row>
    <row r="3071" spans="1:81" s="17" customFormat="1" x14ac:dyDescent="0.2">
      <c r="A3071" s="25"/>
      <c r="B3071" s="20">
        <v>39081011900</v>
      </c>
      <c r="C3071" s="20">
        <v>119</v>
      </c>
      <c r="D3071" s="20" t="s">
        <v>47</v>
      </c>
      <c r="E3071" s="20" t="s">
        <v>2840</v>
      </c>
      <c r="F3071" s="20" t="s">
        <v>8</v>
      </c>
      <c r="G3071" s="861">
        <v>18.251751850963899</v>
      </c>
      <c r="H3071" s="861">
        <v>34.445677304773199</v>
      </c>
      <c r="I3071" s="861">
        <v>41.782298715291098</v>
      </c>
      <c r="J3071" s="861">
        <v>22.901731643707301</v>
      </c>
      <c r="K3071" s="982">
        <v>0</v>
      </c>
      <c r="L3071" s="735">
        <v>3623</v>
      </c>
      <c r="M3071" s="735">
        <v>2989</v>
      </c>
      <c r="N3071" s="845">
        <f t="shared" si="212"/>
        <v>-0.17499309964118134</v>
      </c>
      <c r="O3071" s="735">
        <v>29.250382543261946</v>
      </c>
      <c r="P3071" s="735">
        <f t="shared" si="213"/>
        <v>102.18669774930993</v>
      </c>
      <c r="Q3071" s="849">
        <v>46.9</v>
      </c>
      <c r="R3071" s="71">
        <v>52688</v>
      </c>
      <c r="S3071" s="845">
        <v>0.21545667447306791</v>
      </c>
      <c r="T3071" s="845">
        <v>6.4000000000000001E-2</v>
      </c>
      <c r="U3071" s="845">
        <v>2.1000000000000001E-2</v>
      </c>
      <c r="V3071" s="845">
        <v>0</v>
      </c>
      <c r="W3071" s="845">
        <v>0.21298495645288995</v>
      </c>
      <c r="X3071" s="845">
        <v>0.1449814126394052</v>
      </c>
      <c r="Y3071" s="845">
        <v>0.93844095015055207</v>
      </c>
      <c r="Z3071" s="845">
        <v>0</v>
      </c>
      <c r="AA3071" s="845">
        <v>0</v>
      </c>
      <c r="AB3071" s="845">
        <v>0</v>
      </c>
      <c r="AC3071" s="845">
        <v>0</v>
      </c>
      <c r="AD3071" s="845">
        <v>1.873536299765808E-2</v>
      </c>
      <c r="AE3071" s="845">
        <v>4.2823686851789895E-2</v>
      </c>
      <c r="AF3071" s="845">
        <v>3.6801605888256944E-3</v>
      </c>
      <c r="AG3071" s="845">
        <v>0.93476078956172637</v>
      </c>
      <c r="AH3071" s="20" t="str">
        <f t="shared" si="214"/>
        <v>Yes</v>
      </c>
      <c r="AI3071" s="25"/>
      <c r="AU3071" s="19"/>
      <c r="AV3071" s="19"/>
      <c r="AW3071" s="19"/>
      <c r="BU3071"/>
      <c r="BV3071"/>
      <c r="BW3071"/>
      <c r="BX3071"/>
      <c r="BY3071"/>
      <c r="BZ3071"/>
      <c r="CA3071"/>
      <c r="CB3071"/>
      <c r="CC3071"/>
    </row>
    <row r="3072" spans="1:81" s="17" customFormat="1" x14ac:dyDescent="0.2">
      <c r="A3072" s="25"/>
      <c r="B3072" s="20">
        <v>39151700800</v>
      </c>
      <c r="C3072" s="20">
        <v>7008</v>
      </c>
      <c r="D3072" s="20" t="s">
        <v>81</v>
      </c>
      <c r="E3072" s="20" t="s">
        <v>2844</v>
      </c>
      <c r="F3072" s="20" t="s">
        <v>6</v>
      </c>
      <c r="G3072" s="861">
        <v>18.166390732129599</v>
      </c>
      <c r="H3072" s="861">
        <v>34.1089981982173</v>
      </c>
      <c r="I3072" s="861">
        <v>57.453497108004498</v>
      </c>
      <c r="J3072" s="861">
        <v>18.3518694097816</v>
      </c>
      <c r="K3072" s="982">
        <v>0</v>
      </c>
      <c r="L3072" s="735">
        <v>3998</v>
      </c>
      <c r="M3072" s="735">
        <v>3516</v>
      </c>
      <c r="N3072" s="845">
        <f t="shared" si="212"/>
        <v>-0.12056028014007003</v>
      </c>
      <c r="O3072" s="735">
        <v>0.74245051263961215</v>
      </c>
      <c r="P3072" s="735">
        <f t="shared" si="213"/>
        <v>4735.6691660157521</v>
      </c>
      <c r="Q3072" s="849">
        <v>39.200000000000003</v>
      </c>
      <c r="R3072" s="71">
        <v>35811</v>
      </c>
      <c r="S3072" s="845">
        <v>0.27782522060916598</v>
      </c>
      <c r="T3072" s="845">
        <v>0.11699999999999999</v>
      </c>
      <c r="U3072" s="845">
        <v>0</v>
      </c>
      <c r="V3072" s="845">
        <v>2.2000000000000002E-2</v>
      </c>
      <c r="W3072" s="845">
        <v>0.60470324748040316</v>
      </c>
      <c r="X3072" s="845">
        <v>0.54351851851851851</v>
      </c>
      <c r="Y3072" s="845">
        <v>0.65500568828213879</v>
      </c>
      <c r="Z3072" s="845">
        <v>0.14362912400455063</v>
      </c>
      <c r="AA3072" s="845">
        <v>0</v>
      </c>
      <c r="AB3072" s="845">
        <v>0</v>
      </c>
      <c r="AC3072" s="845">
        <v>0</v>
      </c>
      <c r="AD3072" s="845">
        <v>1.7064846416382253E-2</v>
      </c>
      <c r="AE3072" s="845">
        <v>0.18430034129692832</v>
      </c>
      <c r="AF3072" s="845">
        <v>0.12002275312855518</v>
      </c>
      <c r="AG3072" s="845">
        <v>0.6481797497155859</v>
      </c>
      <c r="AH3072" s="20" t="str">
        <f t="shared" si="214"/>
        <v>No</v>
      </c>
      <c r="AI3072" s="25"/>
      <c r="AU3072" s="19"/>
      <c r="AV3072" s="19"/>
      <c r="AW3072" s="19"/>
      <c r="BU3072"/>
      <c r="BV3072"/>
      <c r="BW3072"/>
      <c r="BX3072"/>
      <c r="BY3072"/>
      <c r="BZ3072"/>
      <c r="CA3072"/>
      <c r="CB3072"/>
      <c r="CC3072"/>
    </row>
    <row r="3073" spans="1:81" s="17" customFormat="1" x14ac:dyDescent="0.2">
      <c r="A3073" s="25"/>
      <c r="B3073" s="20">
        <v>39035116400</v>
      </c>
      <c r="C3073" s="20">
        <v>1164</v>
      </c>
      <c r="D3073" s="20" t="s">
        <v>24</v>
      </c>
      <c r="E3073" s="20" t="s">
        <v>2829</v>
      </c>
      <c r="F3073" s="20" t="s">
        <v>6</v>
      </c>
      <c r="G3073" s="861">
        <v>18.1492805712641</v>
      </c>
      <c r="H3073" s="861">
        <v>32.601834592892203</v>
      </c>
      <c r="I3073" s="861">
        <v>92.694410350064004</v>
      </c>
      <c r="J3073" s="861">
        <v>19.985036700669301</v>
      </c>
      <c r="K3073" s="982">
        <v>0</v>
      </c>
      <c r="L3073" s="735">
        <v>3238</v>
      </c>
      <c r="M3073" s="735">
        <v>2508</v>
      </c>
      <c r="N3073" s="845">
        <f t="shared" si="212"/>
        <v>-0.22544780728844965</v>
      </c>
      <c r="O3073" s="735">
        <v>0.32438874786958</v>
      </c>
      <c r="P3073" s="735">
        <f t="shared" si="213"/>
        <v>7731.4642276320192</v>
      </c>
      <c r="Q3073" s="849">
        <v>35.1</v>
      </c>
      <c r="R3073" s="71"/>
      <c r="S3073" s="845">
        <v>0.47368421052631576</v>
      </c>
      <c r="T3073" s="845">
        <v>0.29199999999999998</v>
      </c>
      <c r="U3073" s="845">
        <v>0</v>
      </c>
      <c r="V3073" s="845">
        <v>8.4000000000000005E-2</v>
      </c>
      <c r="W3073" s="845">
        <v>0.43191489361702129</v>
      </c>
      <c r="X3073" s="845">
        <v>0.53448275862068961</v>
      </c>
      <c r="Y3073" s="845">
        <v>2.751196172248804E-2</v>
      </c>
      <c r="Z3073" s="845">
        <v>0.8935406698564593</v>
      </c>
      <c r="AA3073" s="845">
        <v>0</v>
      </c>
      <c r="AB3073" s="845">
        <v>0</v>
      </c>
      <c r="AC3073" s="845">
        <v>0</v>
      </c>
      <c r="AD3073" s="845">
        <v>0</v>
      </c>
      <c r="AE3073" s="845">
        <v>7.8947368421052627E-2</v>
      </c>
      <c r="AF3073" s="845">
        <v>7.1770334928229667E-3</v>
      </c>
      <c r="AG3073" s="845">
        <v>2.751196172248804E-2</v>
      </c>
      <c r="AH3073" s="20" t="str">
        <f t="shared" si="214"/>
        <v>No</v>
      </c>
      <c r="AI3073" s="25"/>
      <c r="AU3073" s="19"/>
      <c r="AV3073" s="19"/>
      <c r="AW3073" s="19"/>
      <c r="BU3073"/>
      <c r="BV3073"/>
      <c r="BW3073"/>
      <c r="BX3073"/>
      <c r="BY3073"/>
      <c r="BZ3073"/>
      <c r="CA3073"/>
      <c r="CB3073"/>
      <c r="CC3073"/>
    </row>
    <row r="3074" spans="1:81" s="17" customFormat="1" x14ac:dyDescent="0.2">
      <c r="A3074" s="25"/>
      <c r="B3074" s="20">
        <v>39003013400</v>
      </c>
      <c r="C3074" s="20">
        <v>134</v>
      </c>
      <c r="D3074" s="20" t="s">
        <v>7</v>
      </c>
      <c r="E3074" s="20" t="s">
        <v>2835</v>
      </c>
      <c r="F3074" s="20" t="s">
        <v>6</v>
      </c>
      <c r="G3074" s="861">
        <v>18.0612006339319</v>
      </c>
      <c r="H3074" s="861">
        <v>27.905072444515501</v>
      </c>
      <c r="I3074" s="861">
        <v>34.834515220451799</v>
      </c>
      <c r="J3074" s="861">
        <v>46.533621461148002</v>
      </c>
      <c r="K3074" s="982">
        <v>0</v>
      </c>
      <c r="L3074" s="735">
        <v>2670</v>
      </c>
      <c r="M3074" s="735">
        <v>2232</v>
      </c>
      <c r="N3074" s="845">
        <f t="shared" si="212"/>
        <v>-0.16404494382022472</v>
      </c>
      <c r="O3074" s="735">
        <v>0.80047008401131237</v>
      </c>
      <c r="P3074" s="735">
        <f t="shared" si="213"/>
        <v>2788.361544775054</v>
      </c>
      <c r="Q3074" s="849">
        <v>32.9</v>
      </c>
      <c r="R3074" s="71">
        <v>33456</v>
      </c>
      <c r="S3074" s="845">
        <v>0.37296795169530889</v>
      </c>
      <c r="T3074" s="845">
        <v>8.5999999999999993E-2</v>
      </c>
      <c r="U3074" s="845">
        <v>0</v>
      </c>
      <c r="V3074" s="845">
        <v>4.4000000000000004E-2</v>
      </c>
      <c r="W3074" s="845">
        <v>0.70397111913357402</v>
      </c>
      <c r="X3074" s="845">
        <v>0.20170940170940171</v>
      </c>
      <c r="Y3074" s="845">
        <v>0.70788530465949817</v>
      </c>
      <c r="Z3074" s="845">
        <v>0.19892473118279569</v>
      </c>
      <c r="AA3074" s="845">
        <v>8.960573476702509E-4</v>
      </c>
      <c r="AB3074" s="845">
        <v>0</v>
      </c>
      <c r="AC3074" s="845">
        <v>0</v>
      </c>
      <c r="AD3074" s="845">
        <v>3.5842293906810036E-3</v>
      </c>
      <c r="AE3074" s="845">
        <v>8.8709677419354843E-2</v>
      </c>
      <c r="AF3074" s="845">
        <v>3.5394265232974911E-2</v>
      </c>
      <c r="AG3074" s="845">
        <v>0.69354838709677424</v>
      </c>
      <c r="AH3074" s="20" t="str">
        <f t="shared" si="214"/>
        <v>No</v>
      </c>
      <c r="AI3074" s="25"/>
      <c r="AU3074" s="19"/>
      <c r="AV3074" s="19"/>
      <c r="AW3074" s="19"/>
      <c r="BU3074"/>
      <c r="BV3074"/>
      <c r="BW3074"/>
      <c r="BX3074"/>
      <c r="BY3074"/>
      <c r="BZ3074"/>
      <c r="CA3074"/>
      <c r="CB3074"/>
      <c r="CC3074"/>
    </row>
    <row r="3075" spans="1:81" s="17" customFormat="1" x14ac:dyDescent="0.2">
      <c r="A3075" s="25"/>
      <c r="B3075" s="20">
        <v>39035109301</v>
      </c>
      <c r="C3075" s="20">
        <v>1093.01</v>
      </c>
      <c r="D3075" s="20" t="s">
        <v>24</v>
      </c>
      <c r="E3075" s="20" t="s">
        <v>2829</v>
      </c>
      <c r="F3075" s="20" t="s">
        <v>6</v>
      </c>
      <c r="G3075" s="861">
        <v>17.923737066823399</v>
      </c>
      <c r="H3075" s="861">
        <v>41.0011567668233</v>
      </c>
      <c r="I3075" s="861">
        <v>28.0451385849288</v>
      </c>
      <c r="J3075" s="861">
        <v>41.768457558761803</v>
      </c>
      <c r="K3075" s="982">
        <v>1</v>
      </c>
      <c r="L3075" s="735">
        <v>1410</v>
      </c>
      <c r="M3075" s="735">
        <v>1332</v>
      </c>
      <c r="N3075" s="845">
        <f t="shared" si="212"/>
        <v>-5.5319148936170209E-2</v>
      </c>
      <c r="O3075" s="735">
        <v>0.296914876570611</v>
      </c>
      <c r="P3075" s="735">
        <f t="shared" si="213"/>
        <v>4486.134259706686</v>
      </c>
      <c r="Q3075" s="849">
        <v>51.1</v>
      </c>
      <c r="R3075" s="71">
        <v>11036</v>
      </c>
      <c r="S3075" s="845">
        <v>0.67720090293453727</v>
      </c>
      <c r="T3075" s="845">
        <v>0.47499999999999998</v>
      </c>
      <c r="U3075" s="845">
        <v>0</v>
      </c>
      <c r="V3075" s="845">
        <v>0</v>
      </c>
      <c r="W3075" s="845">
        <v>0.85180995475113119</v>
      </c>
      <c r="X3075" s="845">
        <v>0.32669322709163345</v>
      </c>
      <c r="Y3075" s="845">
        <v>6.6066066066066062E-2</v>
      </c>
      <c r="Z3075" s="845">
        <v>0.84459459459459463</v>
      </c>
      <c r="AA3075" s="845">
        <v>3.7537537537537537E-3</v>
      </c>
      <c r="AB3075" s="845">
        <v>2.8528528528528527E-2</v>
      </c>
      <c r="AC3075" s="845">
        <v>0</v>
      </c>
      <c r="AD3075" s="845">
        <v>1.7267267267267267E-2</v>
      </c>
      <c r="AE3075" s="845">
        <v>3.9789789789789788E-2</v>
      </c>
      <c r="AF3075" s="845">
        <v>4.4294294294294295E-2</v>
      </c>
      <c r="AG3075" s="845">
        <v>6.6066066066066062E-2</v>
      </c>
      <c r="AH3075" s="20" t="str">
        <f t="shared" si="214"/>
        <v>No</v>
      </c>
      <c r="AI3075" s="25"/>
      <c r="AU3075" s="19"/>
      <c r="AV3075" s="19"/>
      <c r="AW3075" s="19"/>
      <c r="BU3075"/>
      <c r="BV3075"/>
      <c r="BW3075"/>
      <c r="BX3075"/>
      <c r="BY3075"/>
      <c r="BZ3075"/>
      <c r="CA3075"/>
      <c r="CB3075"/>
      <c r="CC3075"/>
    </row>
    <row r="3076" spans="1:81" s="17" customFormat="1" x14ac:dyDescent="0.2">
      <c r="A3076" s="25"/>
      <c r="B3076" s="20">
        <v>39087050501</v>
      </c>
      <c r="C3076" s="20">
        <v>505.01</v>
      </c>
      <c r="D3076" s="20" t="s">
        <v>49</v>
      </c>
      <c r="E3076" s="20" t="s">
        <v>2834</v>
      </c>
      <c r="F3076" s="20" t="s">
        <v>8</v>
      </c>
      <c r="G3076" s="861">
        <v>17.8568226411737</v>
      </c>
      <c r="H3076" s="861">
        <v>37.267543791631297</v>
      </c>
      <c r="I3076" s="861">
        <v>27.7311682534759</v>
      </c>
      <c r="J3076" s="861">
        <v>38.715940240962802</v>
      </c>
      <c r="K3076" s="982">
        <v>0</v>
      </c>
      <c r="L3076" s="735" t="s">
        <v>2466</v>
      </c>
      <c r="M3076" s="735">
        <v>3090</v>
      </c>
      <c r="N3076" s="845" t="str">
        <f t="shared" si="212"/>
        <v/>
      </c>
      <c r="O3076" s="735">
        <v>71.327191922900369</v>
      </c>
      <c r="P3076" s="735">
        <f t="shared" si="213"/>
        <v>43.321486752767029</v>
      </c>
      <c r="Q3076" s="849">
        <v>44.3</v>
      </c>
      <c r="R3076" s="71">
        <v>61250</v>
      </c>
      <c r="S3076" s="845">
        <v>0.25501618122977349</v>
      </c>
      <c r="T3076" s="845">
        <v>0</v>
      </c>
      <c r="U3076" s="845">
        <v>0</v>
      </c>
      <c r="V3076" s="845">
        <v>0</v>
      </c>
      <c r="W3076" s="845">
        <v>6.7298578199052134E-2</v>
      </c>
      <c r="X3076" s="845">
        <v>0.23943661971830985</v>
      </c>
      <c r="Y3076" s="845">
        <v>0.99611650485436898</v>
      </c>
      <c r="Z3076" s="845">
        <v>0</v>
      </c>
      <c r="AA3076" s="845">
        <v>9.7087378640776695E-4</v>
      </c>
      <c r="AB3076" s="845">
        <v>0</v>
      </c>
      <c r="AC3076" s="845">
        <v>0</v>
      </c>
      <c r="AD3076" s="845">
        <v>0</v>
      </c>
      <c r="AE3076" s="845">
        <v>2.9126213592233011E-3</v>
      </c>
      <c r="AF3076" s="845">
        <v>2.9126213592233011E-3</v>
      </c>
      <c r="AG3076" s="845">
        <v>0.99611650485436898</v>
      </c>
      <c r="AH3076" s="20" t="str">
        <f t="shared" si="214"/>
        <v>Yes</v>
      </c>
      <c r="AI3076" s="25"/>
      <c r="AU3076" s="19"/>
      <c r="AV3076" s="19"/>
      <c r="AW3076" s="19"/>
      <c r="BU3076"/>
      <c r="BV3076"/>
      <c r="BW3076"/>
      <c r="BX3076"/>
      <c r="BY3076"/>
      <c r="BZ3076"/>
      <c r="CA3076"/>
      <c r="CB3076"/>
      <c r="CC3076"/>
    </row>
    <row r="3077" spans="1:81" s="17" customFormat="1" x14ac:dyDescent="0.2">
      <c r="A3077" s="25"/>
      <c r="B3077" s="20">
        <v>39003012700</v>
      </c>
      <c r="C3077" s="20">
        <v>127</v>
      </c>
      <c r="D3077" s="20" t="s">
        <v>7</v>
      </c>
      <c r="E3077" s="20" t="s">
        <v>2835</v>
      </c>
      <c r="F3077" s="20" t="s">
        <v>6</v>
      </c>
      <c r="G3077" s="861">
        <v>17.656473096977901</v>
      </c>
      <c r="H3077" s="861">
        <v>20.874423644380499</v>
      </c>
      <c r="I3077" s="861">
        <v>70.243994812001304</v>
      </c>
      <c r="J3077" s="861">
        <v>34.158549723335398</v>
      </c>
      <c r="K3077" s="982">
        <v>0</v>
      </c>
      <c r="L3077" s="735">
        <v>1872</v>
      </c>
      <c r="M3077" s="735">
        <v>1719</v>
      </c>
      <c r="N3077" s="845">
        <f t="shared" si="212"/>
        <v>-8.1730769230769232E-2</v>
      </c>
      <c r="O3077" s="735">
        <v>0.35766419020356044</v>
      </c>
      <c r="P3077" s="735">
        <f t="shared" si="213"/>
        <v>4806.1842563037999</v>
      </c>
      <c r="Q3077" s="849">
        <v>28.7</v>
      </c>
      <c r="R3077" s="71">
        <v>36424</v>
      </c>
      <c r="S3077" s="845">
        <v>0.35776614310645727</v>
      </c>
      <c r="T3077" s="845">
        <v>0.20199999999999999</v>
      </c>
      <c r="U3077" s="845">
        <v>0</v>
      </c>
      <c r="V3077" s="845">
        <v>0</v>
      </c>
      <c r="W3077" s="845">
        <v>0.72848948374760991</v>
      </c>
      <c r="X3077" s="845">
        <v>0.49081364829396323</v>
      </c>
      <c r="Y3077" s="845">
        <v>0.61140197789412454</v>
      </c>
      <c r="Z3077" s="845">
        <v>0.26876090750436299</v>
      </c>
      <c r="AA3077" s="845">
        <v>2.9086678301337987E-3</v>
      </c>
      <c r="AB3077" s="845">
        <v>0</v>
      </c>
      <c r="AC3077" s="845">
        <v>0</v>
      </c>
      <c r="AD3077" s="845">
        <v>4.6538685282140778E-3</v>
      </c>
      <c r="AE3077" s="845">
        <v>0.11227457824316463</v>
      </c>
      <c r="AF3077" s="845">
        <v>3.8976148923792905E-2</v>
      </c>
      <c r="AG3077" s="845">
        <v>0.58406050029086676</v>
      </c>
      <c r="AH3077" s="20" t="str">
        <f t="shared" si="214"/>
        <v>No</v>
      </c>
      <c r="AI3077" s="25"/>
      <c r="AU3077" s="19"/>
      <c r="AV3077" s="19"/>
      <c r="AW3077" s="19"/>
      <c r="BU3077"/>
      <c r="BV3077"/>
      <c r="BW3077"/>
      <c r="BX3077"/>
      <c r="BY3077"/>
      <c r="BZ3077"/>
      <c r="CA3077"/>
      <c r="CB3077"/>
      <c r="CC3077"/>
    </row>
    <row r="3078" spans="1:81" s="17" customFormat="1" x14ac:dyDescent="0.2">
      <c r="A3078" s="25"/>
      <c r="B3078" s="20">
        <v>39061008501</v>
      </c>
      <c r="C3078" s="20">
        <v>85.01</v>
      </c>
      <c r="D3078" s="20" t="s">
        <v>37</v>
      </c>
      <c r="E3078" s="20" t="s">
        <v>2828</v>
      </c>
      <c r="F3078" s="20" t="s">
        <v>6</v>
      </c>
      <c r="G3078" s="861">
        <v>17.647196689235599</v>
      </c>
      <c r="H3078" s="861">
        <v>42.312434122405499</v>
      </c>
      <c r="I3078" s="861">
        <v>51.498244613167401</v>
      </c>
      <c r="J3078" s="861">
        <v>40.751312135858797</v>
      </c>
      <c r="K3078" s="982">
        <v>0</v>
      </c>
      <c r="L3078" s="735">
        <v>3350</v>
      </c>
      <c r="M3078" s="735">
        <v>3306</v>
      </c>
      <c r="N3078" s="845">
        <f t="shared" si="212"/>
        <v>-1.3134328358208954E-2</v>
      </c>
      <c r="O3078" s="735">
        <v>2.3722209288443414</v>
      </c>
      <c r="P3078" s="735">
        <f t="shared" si="213"/>
        <v>1393.6307364131389</v>
      </c>
      <c r="Q3078" s="849">
        <v>37.5</v>
      </c>
      <c r="R3078" s="71">
        <v>23253</v>
      </c>
      <c r="S3078" s="845">
        <v>0.38475499092558985</v>
      </c>
      <c r="T3078" s="845">
        <v>0.16800000000000001</v>
      </c>
      <c r="U3078" s="845">
        <v>1.8000000000000002E-2</v>
      </c>
      <c r="V3078" s="845">
        <v>0.10400000000000001</v>
      </c>
      <c r="W3078" s="845">
        <v>0.73565573770491799</v>
      </c>
      <c r="X3078" s="845">
        <v>0.627669452181987</v>
      </c>
      <c r="Y3078" s="845">
        <v>0.16394434361766486</v>
      </c>
      <c r="Z3078" s="845">
        <v>0.55656382335148213</v>
      </c>
      <c r="AA3078" s="845">
        <v>8.1669691470054439E-3</v>
      </c>
      <c r="AB3078" s="845">
        <v>1.8451300665456746E-2</v>
      </c>
      <c r="AC3078" s="845">
        <v>0</v>
      </c>
      <c r="AD3078" s="845">
        <v>4.9909255898366603E-2</v>
      </c>
      <c r="AE3078" s="845">
        <v>0.20296430732002421</v>
      </c>
      <c r="AF3078" s="845">
        <v>0.19177253478523895</v>
      </c>
      <c r="AG3078" s="845">
        <v>0.15940713853599517</v>
      </c>
      <c r="AH3078" s="20" t="str">
        <f t="shared" si="214"/>
        <v>No</v>
      </c>
      <c r="AI3078" s="25"/>
      <c r="AU3078" s="19"/>
      <c r="AV3078" s="19"/>
      <c r="AW3078" s="19"/>
      <c r="BU3078"/>
      <c r="BV3078"/>
      <c r="BW3078"/>
      <c r="BX3078"/>
      <c r="BY3078"/>
      <c r="BZ3078"/>
      <c r="CA3078"/>
      <c r="CB3078"/>
      <c r="CC3078"/>
    </row>
    <row r="3079" spans="1:81" s="17" customFormat="1" x14ac:dyDescent="0.2">
      <c r="A3079" s="25"/>
      <c r="B3079" s="20">
        <v>39007000101</v>
      </c>
      <c r="C3079" s="20">
        <v>1.01</v>
      </c>
      <c r="D3079" s="20" t="s">
        <v>10</v>
      </c>
      <c r="E3079" s="20" t="s">
        <v>2829</v>
      </c>
      <c r="F3079" s="20" t="s">
        <v>8</v>
      </c>
      <c r="G3079" s="861">
        <v>17.539254248146701</v>
      </c>
      <c r="H3079" s="861">
        <v>20.9536140093801</v>
      </c>
      <c r="I3079" s="861">
        <v>47.4298278783114</v>
      </c>
      <c r="J3079" s="861">
        <v>17.3484709866825</v>
      </c>
      <c r="K3079" s="982">
        <v>0</v>
      </c>
      <c r="L3079" s="735">
        <v>4763</v>
      </c>
      <c r="M3079" s="735">
        <v>4677</v>
      </c>
      <c r="N3079" s="845">
        <f t="shared" si="212"/>
        <v>-1.8055847155154313E-2</v>
      </c>
      <c r="O3079" s="735">
        <v>11.107555238931194</v>
      </c>
      <c r="P3079" s="735">
        <f t="shared" si="213"/>
        <v>421.0647527196125</v>
      </c>
      <c r="Q3079" s="849">
        <v>40.200000000000003</v>
      </c>
      <c r="R3079" s="71">
        <v>36950</v>
      </c>
      <c r="S3079" s="845">
        <v>0.18486819582334818</v>
      </c>
      <c r="T3079" s="845">
        <v>0.13300000000000001</v>
      </c>
      <c r="U3079" s="845">
        <v>2.2000000000000002E-2</v>
      </c>
      <c r="V3079" s="845">
        <v>0</v>
      </c>
      <c r="W3079" s="845">
        <v>0.33521524347212422</v>
      </c>
      <c r="X3079" s="845">
        <v>0.45473684210526316</v>
      </c>
      <c r="Y3079" s="845">
        <v>0.73102416078682919</v>
      </c>
      <c r="Z3079" s="845">
        <v>0.2155227710070558</v>
      </c>
      <c r="AA3079" s="845">
        <v>1.2828736369467607E-3</v>
      </c>
      <c r="AB3079" s="845">
        <v>1.9243104554201411E-3</v>
      </c>
      <c r="AC3079" s="845">
        <v>1.2828736369467607E-3</v>
      </c>
      <c r="AD3079" s="845">
        <v>0</v>
      </c>
      <c r="AE3079" s="845">
        <v>4.896301047680137E-2</v>
      </c>
      <c r="AF3079" s="845">
        <v>3.9982895018174043E-2</v>
      </c>
      <c r="AG3079" s="845">
        <v>0.71755398759888822</v>
      </c>
      <c r="AH3079" s="20" t="str">
        <f t="shared" si="214"/>
        <v>No</v>
      </c>
      <c r="AI3079" s="25"/>
      <c r="AU3079" s="19"/>
      <c r="AV3079" s="19"/>
      <c r="AW3079" s="19"/>
      <c r="BU3079"/>
      <c r="BV3079"/>
      <c r="BW3079"/>
      <c r="BX3079"/>
      <c r="BY3079"/>
      <c r="BZ3079"/>
      <c r="CA3079"/>
      <c r="CB3079"/>
      <c r="CC3079"/>
    </row>
    <row r="3080" spans="1:81" s="17" customFormat="1" x14ac:dyDescent="0.2">
      <c r="A3080" s="25"/>
      <c r="B3080" s="20">
        <v>39115969100</v>
      </c>
      <c r="C3080" s="20">
        <v>9691</v>
      </c>
      <c r="D3080" s="20" t="s">
        <v>63</v>
      </c>
      <c r="E3080" s="20" t="s">
        <v>265</v>
      </c>
      <c r="F3080" s="20" t="s">
        <v>8</v>
      </c>
      <c r="G3080" s="861">
        <v>17.463843417687599</v>
      </c>
      <c r="H3080" s="861">
        <v>19.902952971437401</v>
      </c>
      <c r="I3080" s="861">
        <v>20.7786606506479</v>
      </c>
      <c r="J3080" s="861">
        <v>47.370975678205497</v>
      </c>
      <c r="K3080" s="982">
        <v>0</v>
      </c>
      <c r="L3080" s="735">
        <v>3176</v>
      </c>
      <c r="M3080" s="735">
        <v>3211</v>
      </c>
      <c r="N3080" s="845">
        <f t="shared" si="212"/>
        <v>1.1020151133501259E-2</v>
      </c>
      <c r="O3080" s="735">
        <v>85.927165897298281</v>
      </c>
      <c r="P3080" s="735">
        <f t="shared" si="213"/>
        <v>37.368857292906014</v>
      </c>
      <c r="Q3080" s="849">
        <v>39.9</v>
      </c>
      <c r="R3080" s="71">
        <v>49303</v>
      </c>
      <c r="S3080" s="845">
        <v>0.14254247954688484</v>
      </c>
      <c r="T3080" s="845">
        <v>6.4000000000000001E-2</v>
      </c>
      <c r="U3080" s="845">
        <v>2.7999999999999997E-2</v>
      </c>
      <c r="V3080" s="845">
        <v>0.02</v>
      </c>
      <c r="W3080" s="845">
        <v>0.15184893784421716</v>
      </c>
      <c r="X3080" s="845">
        <v>0.43523316062176165</v>
      </c>
      <c r="Y3080" s="845">
        <v>0.83836810962317032</v>
      </c>
      <c r="Z3080" s="845">
        <v>6.4465898473995642E-2</v>
      </c>
      <c r="AA3080" s="845">
        <v>3.1142946122703209E-3</v>
      </c>
      <c r="AB3080" s="845">
        <v>0</v>
      </c>
      <c r="AC3080" s="845">
        <v>0</v>
      </c>
      <c r="AD3080" s="845">
        <v>8.7200249143568973E-3</v>
      </c>
      <c r="AE3080" s="845">
        <v>8.5331672376206785E-2</v>
      </c>
      <c r="AF3080" s="845">
        <v>1.3391466832762379E-2</v>
      </c>
      <c r="AG3080" s="845">
        <v>0.83120523201494867</v>
      </c>
      <c r="AH3080" s="20" t="str">
        <f t="shared" si="214"/>
        <v>No</v>
      </c>
      <c r="AI3080" s="25"/>
      <c r="AU3080" s="19"/>
      <c r="AV3080" s="19"/>
      <c r="AW3080" s="19"/>
      <c r="BU3080"/>
      <c r="BV3080"/>
      <c r="BW3080"/>
      <c r="BX3080"/>
      <c r="BY3080"/>
      <c r="BZ3080"/>
      <c r="CA3080"/>
      <c r="CB3080"/>
      <c r="CC3080"/>
    </row>
    <row r="3081" spans="1:81" s="17" customFormat="1" x14ac:dyDescent="0.2">
      <c r="A3081" s="25"/>
      <c r="B3081" s="20">
        <v>39113060300</v>
      </c>
      <c r="C3081" s="20">
        <v>603</v>
      </c>
      <c r="D3081" s="20" t="s">
        <v>62</v>
      </c>
      <c r="E3081" s="20" t="s">
        <v>2833</v>
      </c>
      <c r="F3081" s="20" t="s">
        <v>8</v>
      </c>
      <c r="G3081" s="861">
        <v>17.4497486442446</v>
      </c>
      <c r="H3081" s="861">
        <v>29.874100208830502</v>
      </c>
      <c r="I3081" s="861">
        <v>40.515629763947899</v>
      </c>
      <c r="J3081" s="861">
        <v>42.901243486064097</v>
      </c>
      <c r="K3081" s="982">
        <v>0</v>
      </c>
      <c r="L3081" s="735">
        <v>4202</v>
      </c>
      <c r="M3081" s="735">
        <v>4395</v>
      </c>
      <c r="N3081" s="845">
        <f t="shared" si="212"/>
        <v>4.5930509281294621E-2</v>
      </c>
      <c r="O3081" s="735">
        <v>2.0780500803148474</v>
      </c>
      <c r="P3081" s="735">
        <f t="shared" si="213"/>
        <v>2114.9634658150826</v>
      </c>
      <c r="Q3081" s="849">
        <v>39.5</v>
      </c>
      <c r="R3081" s="71">
        <v>61757</v>
      </c>
      <c r="S3081" s="845">
        <v>0.22516166960611406</v>
      </c>
      <c r="T3081" s="845">
        <v>0.182</v>
      </c>
      <c r="U3081" s="845">
        <v>0</v>
      </c>
      <c r="V3081" s="845">
        <v>7.2999999999999995E-2</v>
      </c>
      <c r="W3081" s="845">
        <v>0.44213155703580348</v>
      </c>
      <c r="X3081" s="845">
        <v>7.3446327683615822E-2</v>
      </c>
      <c r="Y3081" s="845">
        <v>0.23321956769055746</v>
      </c>
      <c r="Z3081" s="845">
        <v>0.6420932878270762</v>
      </c>
      <c r="AA3081" s="845">
        <v>1.1376564277588168E-3</v>
      </c>
      <c r="AB3081" s="845">
        <v>0</v>
      </c>
      <c r="AC3081" s="845">
        <v>0</v>
      </c>
      <c r="AD3081" s="845">
        <v>2.2980659840728099E-2</v>
      </c>
      <c r="AE3081" s="845">
        <v>0.10056882821387941</v>
      </c>
      <c r="AF3081" s="845">
        <v>7.0307167235494877E-2</v>
      </c>
      <c r="AG3081" s="845">
        <v>0.23208191126279865</v>
      </c>
      <c r="AH3081" s="20" t="str">
        <f t="shared" si="214"/>
        <v>No</v>
      </c>
      <c r="AI3081" s="25"/>
      <c r="AU3081" s="19"/>
      <c r="AV3081" s="19"/>
      <c r="AW3081" s="19"/>
      <c r="BU3081"/>
      <c r="BV3081"/>
      <c r="BW3081"/>
      <c r="BX3081"/>
      <c r="BY3081"/>
      <c r="BZ3081"/>
      <c r="CA3081"/>
      <c r="CB3081"/>
      <c r="CC3081"/>
    </row>
    <row r="3082" spans="1:81" s="17" customFormat="1" x14ac:dyDescent="0.2">
      <c r="A3082" s="25"/>
      <c r="B3082" s="20">
        <v>39035116800</v>
      </c>
      <c r="C3082" s="20">
        <v>1168</v>
      </c>
      <c r="D3082" s="20" t="s">
        <v>24</v>
      </c>
      <c r="E3082" s="20" t="s">
        <v>2829</v>
      </c>
      <c r="F3082" s="20" t="s">
        <v>6</v>
      </c>
      <c r="G3082" s="861">
        <v>17.435397373690499</v>
      </c>
      <c r="H3082" s="861">
        <v>24.909400577885499</v>
      </c>
      <c r="I3082" s="861">
        <v>88.175445253779699</v>
      </c>
      <c r="J3082" s="861">
        <v>31.2024190743143</v>
      </c>
      <c r="K3082" s="982">
        <v>0</v>
      </c>
      <c r="L3082" s="735">
        <v>2678</v>
      </c>
      <c r="M3082" s="735">
        <v>1428</v>
      </c>
      <c r="N3082" s="845">
        <f t="shared" si="212"/>
        <v>-0.46676624346527257</v>
      </c>
      <c r="O3082" s="735">
        <v>0.33736679972635086</v>
      </c>
      <c r="P3082" s="735">
        <f t="shared" si="213"/>
        <v>4232.7816523685706</v>
      </c>
      <c r="Q3082" s="849">
        <v>42.9</v>
      </c>
      <c r="R3082" s="71">
        <v>23601</v>
      </c>
      <c r="S3082" s="845">
        <v>0.24649859943977592</v>
      </c>
      <c r="T3082" s="845">
        <v>0.29199999999999998</v>
      </c>
      <c r="U3082" s="845">
        <v>0.10300000000000001</v>
      </c>
      <c r="V3082" s="845">
        <v>0.151</v>
      </c>
      <c r="W3082" s="845">
        <v>0.61235216819973715</v>
      </c>
      <c r="X3082" s="845">
        <v>0.5622317596566524</v>
      </c>
      <c r="Y3082" s="845">
        <v>0</v>
      </c>
      <c r="Z3082" s="845">
        <v>0.98459383753501406</v>
      </c>
      <c r="AA3082" s="845">
        <v>0</v>
      </c>
      <c r="AB3082" s="845">
        <v>0</v>
      </c>
      <c r="AC3082" s="845">
        <v>0</v>
      </c>
      <c r="AD3082" s="845">
        <v>0</v>
      </c>
      <c r="AE3082" s="845">
        <v>1.5406162464985995E-2</v>
      </c>
      <c r="AF3082" s="845">
        <v>0</v>
      </c>
      <c r="AG3082" s="845">
        <v>0</v>
      </c>
      <c r="AH3082" s="20" t="str">
        <f t="shared" si="214"/>
        <v>No</v>
      </c>
      <c r="AI3082" s="25"/>
      <c r="AU3082" s="19"/>
      <c r="AV3082" s="19"/>
      <c r="AW3082" s="19"/>
      <c r="BU3082"/>
      <c r="BV3082"/>
      <c r="BW3082"/>
      <c r="BX3082"/>
      <c r="BY3082"/>
      <c r="BZ3082"/>
      <c r="CA3082"/>
      <c r="CB3082"/>
      <c r="CC3082"/>
    </row>
    <row r="3083" spans="1:81" s="17" customFormat="1" x14ac:dyDescent="0.2">
      <c r="A3083" s="25"/>
      <c r="B3083" s="20">
        <v>39151700200</v>
      </c>
      <c r="C3083" s="20">
        <v>7002</v>
      </c>
      <c r="D3083" s="20" t="s">
        <v>81</v>
      </c>
      <c r="E3083" s="20" t="s">
        <v>2844</v>
      </c>
      <c r="F3083" s="20" t="s">
        <v>6</v>
      </c>
      <c r="G3083" s="861">
        <v>17.4334464281743</v>
      </c>
      <c r="H3083" s="861">
        <v>11.2835502300627</v>
      </c>
      <c r="I3083" s="861">
        <v>37.025585190806098</v>
      </c>
      <c r="J3083" s="861">
        <v>36.350513623642897</v>
      </c>
      <c r="K3083" s="982">
        <v>1</v>
      </c>
      <c r="L3083" s="735">
        <v>6179</v>
      </c>
      <c r="M3083" s="735">
        <v>5447</v>
      </c>
      <c r="N3083" s="845">
        <f t="shared" ref="N3083:N3146" si="215">IF(OR(L3083="",M3083=""),"",(M3083-L3083)/L3083)</f>
        <v>-0.11846577116038194</v>
      </c>
      <c r="O3083" s="735">
        <v>1.5518090544438832</v>
      </c>
      <c r="P3083" s="735">
        <f t="shared" ref="P3083:P3146" si="216">M3083/O3083</f>
        <v>3510.096802439411</v>
      </c>
      <c r="Q3083" s="849">
        <v>33.700000000000003</v>
      </c>
      <c r="R3083" s="71">
        <v>29713</v>
      </c>
      <c r="S3083" s="845">
        <v>0.3523844869177955</v>
      </c>
      <c r="T3083" s="845">
        <v>0.13600000000000001</v>
      </c>
      <c r="U3083" s="845">
        <v>4.5999999999999999E-2</v>
      </c>
      <c r="V3083" s="845">
        <v>4.9000000000000002E-2</v>
      </c>
      <c r="W3083" s="845">
        <v>0.45414497396876252</v>
      </c>
      <c r="X3083" s="845">
        <v>0.41093474426807758</v>
      </c>
      <c r="Y3083" s="845">
        <v>0.52230585643473471</v>
      </c>
      <c r="Z3083" s="845">
        <v>0.23205434183954471</v>
      </c>
      <c r="AA3083" s="845">
        <v>0</v>
      </c>
      <c r="AB3083" s="845">
        <v>0</v>
      </c>
      <c r="AC3083" s="845">
        <v>0</v>
      </c>
      <c r="AD3083" s="845">
        <v>1.0280888562511473E-2</v>
      </c>
      <c r="AE3083" s="845">
        <v>0.23535891316320912</v>
      </c>
      <c r="AF3083" s="845">
        <v>6.7927299430879384E-2</v>
      </c>
      <c r="AG3083" s="845">
        <v>0.49770515880301081</v>
      </c>
      <c r="AH3083" s="20" t="str">
        <f t="shared" ref="AH3083:AH3146" si="217">IF(AG3083&gt;=0.9,"Yes","No")</f>
        <v>No</v>
      </c>
      <c r="AI3083" s="25"/>
      <c r="AU3083" s="19"/>
      <c r="AV3083" s="19"/>
      <c r="AW3083" s="19"/>
      <c r="BU3083"/>
      <c r="BV3083"/>
      <c r="BW3083"/>
      <c r="BX3083"/>
      <c r="BY3083"/>
      <c r="BZ3083"/>
      <c r="CA3083"/>
      <c r="CB3083"/>
      <c r="CC3083"/>
    </row>
    <row r="3084" spans="1:81" s="17" customFormat="1" x14ac:dyDescent="0.2">
      <c r="A3084" s="25"/>
      <c r="B3084" s="20">
        <v>39151702500</v>
      </c>
      <c r="C3084" s="20">
        <v>7025</v>
      </c>
      <c r="D3084" s="20" t="s">
        <v>81</v>
      </c>
      <c r="E3084" s="20" t="s">
        <v>2844</v>
      </c>
      <c r="F3084" s="20" t="s">
        <v>6</v>
      </c>
      <c r="G3084" s="861">
        <v>17.172078182108301</v>
      </c>
      <c r="H3084" s="861">
        <v>28.547295423934202</v>
      </c>
      <c r="I3084" s="861">
        <v>56.122331909459902</v>
      </c>
      <c r="J3084" s="861">
        <v>12.487359549637301</v>
      </c>
      <c r="K3084" s="982">
        <v>0</v>
      </c>
      <c r="L3084" s="735">
        <v>3238</v>
      </c>
      <c r="M3084" s="735">
        <v>2504</v>
      </c>
      <c r="N3084" s="845">
        <f t="shared" si="215"/>
        <v>-0.22668313773934529</v>
      </c>
      <c r="O3084" s="735">
        <v>1.7568760190177091</v>
      </c>
      <c r="P3084" s="735">
        <f t="shared" si="216"/>
        <v>1425.2570886590036</v>
      </c>
      <c r="Q3084" s="849">
        <v>42.1</v>
      </c>
      <c r="R3084" s="71">
        <v>34173</v>
      </c>
      <c r="S3084" s="845">
        <v>0.39017571884984026</v>
      </c>
      <c r="T3084" s="845">
        <v>3.6000000000000004E-2</v>
      </c>
      <c r="U3084" s="845">
        <v>0</v>
      </c>
      <c r="V3084" s="845">
        <v>0</v>
      </c>
      <c r="W3084" s="845">
        <v>0.46469622331691296</v>
      </c>
      <c r="X3084" s="845">
        <v>0.47879858657243818</v>
      </c>
      <c r="Y3084" s="845">
        <v>0.86022364217252401</v>
      </c>
      <c r="Z3084" s="845">
        <v>7.1884984025559109E-2</v>
      </c>
      <c r="AA3084" s="845">
        <v>0</v>
      </c>
      <c r="AB3084" s="845">
        <v>1.7172523961661343E-2</v>
      </c>
      <c r="AC3084" s="845">
        <v>0</v>
      </c>
      <c r="AD3084" s="845">
        <v>1.1980830670926517E-3</v>
      </c>
      <c r="AE3084" s="845">
        <v>4.9520766773162937E-2</v>
      </c>
      <c r="AF3084" s="845">
        <v>2.8354632587859425E-2</v>
      </c>
      <c r="AG3084" s="845">
        <v>0.86022364217252401</v>
      </c>
      <c r="AH3084" s="20" t="str">
        <f t="shared" si="217"/>
        <v>No</v>
      </c>
      <c r="AI3084" s="25"/>
      <c r="AU3084" s="19"/>
      <c r="AV3084" s="19"/>
      <c r="AW3084" s="19"/>
      <c r="BU3084"/>
      <c r="BV3084"/>
      <c r="BW3084"/>
      <c r="BX3084"/>
      <c r="BY3084"/>
      <c r="BZ3084"/>
      <c r="CA3084"/>
      <c r="CB3084"/>
      <c r="CC3084"/>
    </row>
    <row r="3085" spans="1:81" s="17" customFormat="1" x14ac:dyDescent="0.2">
      <c r="A3085" s="25"/>
      <c r="B3085" s="20">
        <v>39013011600</v>
      </c>
      <c r="C3085" s="20">
        <v>116</v>
      </c>
      <c r="D3085" s="20" t="s">
        <v>13</v>
      </c>
      <c r="E3085" s="20" t="s">
        <v>2841</v>
      </c>
      <c r="F3085" s="20" t="s">
        <v>6</v>
      </c>
      <c r="G3085" s="861">
        <v>17.1524920005306</v>
      </c>
      <c r="H3085" s="861">
        <v>16.354218664815701</v>
      </c>
      <c r="I3085" s="861">
        <v>55.9553421061756</v>
      </c>
      <c r="J3085" s="861">
        <v>31.111958999690199</v>
      </c>
      <c r="K3085" s="982">
        <v>0</v>
      </c>
      <c r="L3085" s="735">
        <v>1256</v>
      </c>
      <c r="M3085" s="735">
        <v>963</v>
      </c>
      <c r="N3085" s="845">
        <f t="shared" si="215"/>
        <v>-0.23328025477707007</v>
      </c>
      <c r="O3085" s="735">
        <v>0.31724933285504542</v>
      </c>
      <c r="P3085" s="735">
        <f t="shared" si="216"/>
        <v>3035.4673761914732</v>
      </c>
      <c r="Q3085" s="849">
        <v>48.2</v>
      </c>
      <c r="R3085" s="71">
        <v>27219</v>
      </c>
      <c r="S3085" s="845">
        <v>0.37112299465240639</v>
      </c>
      <c r="T3085" s="845">
        <v>0.158</v>
      </c>
      <c r="U3085" s="845">
        <v>0</v>
      </c>
      <c r="V3085" s="845">
        <v>0.13300000000000001</v>
      </c>
      <c r="W3085" s="845">
        <v>0.56019656019656017</v>
      </c>
      <c r="X3085" s="845">
        <v>0.27631578947368424</v>
      </c>
      <c r="Y3085" s="845">
        <v>0.87850467289719625</v>
      </c>
      <c r="Z3085" s="845">
        <v>6.2305295950155761E-3</v>
      </c>
      <c r="AA3085" s="845">
        <v>1.2461059190031152E-2</v>
      </c>
      <c r="AB3085" s="845">
        <v>2.6998961578400829E-2</v>
      </c>
      <c r="AC3085" s="845">
        <v>0</v>
      </c>
      <c r="AD3085" s="845">
        <v>0</v>
      </c>
      <c r="AE3085" s="845">
        <v>7.5804776739356178E-2</v>
      </c>
      <c r="AF3085" s="845">
        <v>1.0384215991692628E-2</v>
      </c>
      <c r="AG3085" s="845">
        <v>0.86812045690550366</v>
      </c>
      <c r="AH3085" s="20" t="str">
        <f t="shared" si="217"/>
        <v>No</v>
      </c>
      <c r="AI3085" s="25"/>
      <c r="AU3085" s="19"/>
      <c r="AV3085" s="19"/>
      <c r="AW3085" s="19"/>
      <c r="BU3085"/>
      <c r="BV3085"/>
      <c r="BW3085"/>
      <c r="BX3085"/>
      <c r="BY3085"/>
      <c r="BZ3085"/>
      <c r="CA3085"/>
      <c r="CB3085"/>
      <c r="CC3085"/>
    </row>
    <row r="3086" spans="1:81" s="17" customFormat="1" x14ac:dyDescent="0.2">
      <c r="A3086" s="25"/>
      <c r="B3086" s="20">
        <v>39093023100</v>
      </c>
      <c r="C3086" s="20">
        <v>231</v>
      </c>
      <c r="D3086" s="20" t="s">
        <v>52</v>
      </c>
      <c r="E3086" s="20" t="s">
        <v>2829</v>
      </c>
      <c r="F3086" s="20" t="s">
        <v>6</v>
      </c>
      <c r="G3086" s="861">
        <v>16.909136114834102</v>
      </c>
      <c r="H3086" s="861">
        <v>22.668686326613901</v>
      </c>
      <c r="I3086" s="861">
        <v>70.037001937178005</v>
      </c>
      <c r="J3086" s="861">
        <v>39.273025449032197</v>
      </c>
      <c r="K3086" s="982">
        <v>0</v>
      </c>
      <c r="L3086" s="735">
        <v>3648</v>
      </c>
      <c r="M3086" s="735">
        <v>4006</v>
      </c>
      <c r="N3086" s="845">
        <f t="shared" si="215"/>
        <v>9.8135964912280702E-2</v>
      </c>
      <c r="O3086" s="735">
        <v>2.4516405984581917</v>
      </c>
      <c r="P3086" s="735">
        <f t="shared" si="216"/>
        <v>1634.0078568283325</v>
      </c>
      <c r="Q3086" s="849">
        <v>29.2</v>
      </c>
      <c r="R3086" s="71">
        <v>34509</v>
      </c>
      <c r="S3086" s="845">
        <v>0.38042935596605093</v>
      </c>
      <c r="T3086" s="845">
        <v>0.10400000000000001</v>
      </c>
      <c r="U3086" s="845">
        <v>0</v>
      </c>
      <c r="V3086" s="845">
        <v>2.1000000000000001E-2</v>
      </c>
      <c r="W3086" s="845">
        <v>0.56174161313347604</v>
      </c>
      <c r="X3086" s="845">
        <v>0.56162642947903429</v>
      </c>
      <c r="Y3086" s="845">
        <v>0.32201697453819272</v>
      </c>
      <c r="Z3086" s="845">
        <v>0.18472291562656015</v>
      </c>
      <c r="AA3086" s="845">
        <v>1.4478282576135796E-2</v>
      </c>
      <c r="AB3086" s="845">
        <v>0</v>
      </c>
      <c r="AC3086" s="845">
        <v>0</v>
      </c>
      <c r="AD3086" s="845">
        <v>8.6370444333499746E-2</v>
      </c>
      <c r="AE3086" s="845">
        <v>0.39241138292561156</v>
      </c>
      <c r="AF3086" s="845">
        <v>0.54468297553669498</v>
      </c>
      <c r="AG3086" s="845">
        <v>0.19945082376435347</v>
      </c>
      <c r="AH3086" s="20" t="str">
        <f t="shared" si="217"/>
        <v>No</v>
      </c>
      <c r="AI3086" s="25"/>
      <c r="AU3086" s="19"/>
      <c r="AV3086" s="19"/>
      <c r="AW3086" s="19"/>
      <c r="BU3086"/>
      <c r="BV3086"/>
      <c r="BW3086"/>
      <c r="BX3086"/>
      <c r="BY3086"/>
      <c r="BZ3086"/>
      <c r="CA3086"/>
      <c r="CB3086"/>
      <c r="CC3086"/>
    </row>
    <row r="3087" spans="1:81" s="17" customFormat="1" x14ac:dyDescent="0.2">
      <c r="A3087" s="25"/>
      <c r="B3087" s="20">
        <v>39035120702</v>
      </c>
      <c r="C3087" s="20">
        <v>1207.02</v>
      </c>
      <c r="D3087" s="20" t="s">
        <v>24</v>
      </c>
      <c r="E3087" s="20" t="s">
        <v>2829</v>
      </c>
      <c r="F3087" s="20" t="s">
        <v>6</v>
      </c>
      <c r="G3087" s="861">
        <v>16.855328224017999</v>
      </c>
      <c r="H3087" s="861">
        <v>23.0502198390936</v>
      </c>
      <c r="I3087" s="861">
        <v>79.191182245642096</v>
      </c>
      <c r="J3087" s="861">
        <v>23.200975720852</v>
      </c>
      <c r="K3087" s="982">
        <v>0</v>
      </c>
      <c r="L3087" s="735">
        <v>1627</v>
      </c>
      <c r="M3087" s="735">
        <v>1231</v>
      </c>
      <c r="N3087" s="845">
        <f t="shared" si="215"/>
        <v>-0.24339274738783037</v>
      </c>
      <c r="O3087" s="735">
        <v>0.24030303366913913</v>
      </c>
      <c r="P3087" s="735">
        <f t="shared" si="216"/>
        <v>5122.69854110498</v>
      </c>
      <c r="Q3087" s="849">
        <v>47.2</v>
      </c>
      <c r="R3087" s="71">
        <v>32772</v>
      </c>
      <c r="S3087" s="845">
        <v>0.34362307067424858</v>
      </c>
      <c r="T3087" s="845">
        <v>0.17</v>
      </c>
      <c r="U3087" s="845">
        <v>0</v>
      </c>
      <c r="V3087" s="845">
        <v>3.5000000000000003E-2</v>
      </c>
      <c r="W3087" s="845">
        <v>0.42718446601941745</v>
      </c>
      <c r="X3087" s="845">
        <v>0.56818181818181823</v>
      </c>
      <c r="Y3087" s="845">
        <v>0</v>
      </c>
      <c r="Z3087" s="845">
        <v>0.87571080422420799</v>
      </c>
      <c r="AA3087" s="845">
        <v>0</v>
      </c>
      <c r="AB3087" s="845">
        <v>0</v>
      </c>
      <c r="AC3087" s="845">
        <v>0</v>
      </c>
      <c r="AD3087" s="845">
        <v>1.462225832656377E-2</v>
      </c>
      <c r="AE3087" s="845">
        <v>0.10966693744922827</v>
      </c>
      <c r="AF3087" s="845">
        <v>1.462225832656377E-2</v>
      </c>
      <c r="AG3087" s="845">
        <v>0</v>
      </c>
      <c r="AH3087" s="20" t="str">
        <f t="shared" si="217"/>
        <v>No</v>
      </c>
      <c r="AI3087" s="25"/>
      <c r="AU3087" s="19"/>
      <c r="AV3087" s="19"/>
      <c r="AW3087" s="19"/>
      <c r="BU3087"/>
      <c r="BV3087"/>
      <c r="BW3087"/>
      <c r="BX3087"/>
      <c r="BY3087"/>
      <c r="BZ3087"/>
      <c r="CA3087"/>
      <c r="CB3087"/>
      <c r="CC3087"/>
    </row>
    <row r="3088" spans="1:81" s="17" customFormat="1" x14ac:dyDescent="0.2">
      <c r="A3088" s="25"/>
      <c r="B3088" s="20">
        <v>39035105100</v>
      </c>
      <c r="C3088" s="20">
        <v>1051</v>
      </c>
      <c r="D3088" s="20" t="s">
        <v>24</v>
      </c>
      <c r="E3088" s="20" t="s">
        <v>2829</v>
      </c>
      <c r="F3088" s="20" t="s">
        <v>6</v>
      </c>
      <c r="G3088" s="861">
        <v>16.8267155554176</v>
      </c>
      <c r="H3088" s="861">
        <v>23.482954381840099</v>
      </c>
      <c r="I3088" s="861">
        <v>70.954015953779304</v>
      </c>
      <c r="J3088" s="861">
        <v>17.882114759258702</v>
      </c>
      <c r="K3088" s="982">
        <v>0</v>
      </c>
      <c r="L3088" s="735">
        <v>3203</v>
      </c>
      <c r="M3088" s="735">
        <v>3292</v>
      </c>
      <c r="N3088" s="845">
        <f t="shared" si="215"/>
        <v>2.778645020293475E-2</v>
      </c>
      <c r="O3088" s="735">
        <v>0.92080770208632357</v>
      </c>
      <c r="P3088" s="735">
        <f t="shared" si="216"/>
        <v>3575.1221373812778</v>
      </c>
      <c r="Q3088" s="849">
        <v>42</v>
      </c>
      <c r="R3088" s="71">
        <v>31850</v>
      </c>
      <c r="S3088" s="845">
        <v>0.53918590522478738</v>
      </c>
      <c r="T3088" s="845">
        <v>0.20499999999999999</v>
      </c>
      <c r="U3088" s="845">
        <v>5.0999999999999997E-2</v>
      </c>
      <c r="V3088" s="845">
        <v>7.8E-2</v>
      </c>
      <c r="W3088" s="845">
        <v>0.49282920469361147</v>
      </c>
      <c r="X3088" s="845">
        <v>0.5</v>
      </c>
      <c r="Y3088" s="845">
        <v>0.46628189550425275</v>
      </c>
      <c r="Z3088" s="845">
        <v>0.16069258809234507</v>
      </c>
      <c r="AA3088" s="845">
        <v>2.551640340218712E-2</v>
      </c>
      <c r="AB3088" s="845">
        <v>0</v>
      </c>
      <c r="AC3088" s="845">
        <v>2.7339003645200487E-3</v>
      </c>
      <c r="AD3088" s="845">
        <v>9.8724179829890638E-2</v>
      </c>
      <c r="AE3088" s="845">
        <v>0.24605103280680438</v>
      </c>
      <c r="AF3088" s="845">
        <v>0.36573511543134873</v>
      </c>
      <c r="AG3088" s="845">
        <v>0.34416767922235725</v>
      </c>
      <c r="AH3088" s="20" t="str">
        <f t="shared" si="217"/>
        <v>No</v>
      </c>
      <c r="AI3088" s="25"/>
      <c r="AU3088" s="19"/>
      <c r="AV3088" s="19"/>
      <c r="AW3088" s="19"/>
      <c r="BU3088"/>
      <c r="BV3088"/>
      <c r="BW3088"/>
      <c r="BX3088"/>
      <c r="BY3088"/>
      <c r="BZ3088"/>
      <c r="CA3088"/>
      <c r="CB3088"/>
      <c r="CC3088"/>
    </row>
    <row r="3089" spans="1:81" s="17" customFormat="1" x14ac:dyDescent="0.2">
      <c r="A3089" s="25"/>
      <c r="B3089" s="20">
        <v>39113060200</v>
      </c>
      <c r="C3089" s="20">
        <v>602</v>
      </c>
      <c r="D3089" s="20" t="s">
        <v>62</v>
      </c>
      <c r="E3089" s="20" t="s">
        <v>2833</v>
      </c>
      <c r="F3089" s="20" t="s">
        <v>6</v>
      </c>
      <c r="G3089" s="861">
        <v>16.758938379669601</v>
      </c>
      <c r="H3089" s="861">
        <v>24.742321275583301</v>
      </c>
      <c r="I3089" s="861">
        <v>60.416614330479497</v>
      </c>
      <c r="J3089" s="861">
        <v>31.391161787282101</v>
      </c>
      <c r="K3089" s="982">
        <v>0</v>
      </c>
      <c r="L3089" s="735">
        <v>1698</v>
      </c>
      <c r="M3089" s="735">
        <v>1442</v>
      </c>
      <c r="N3089" s="845">
        <f t="shared" si="215"/>
        <v>-0.15076560659599528</v>
      </c>
      <c r="O3089" s="735">
        <v>2.5749651028320746</v>
      </c>
      <c r="P3089" s="735">
        <f t="shared" si="216"/>
        <v>560.00758938985882</v>
      </c>
      <c r="Q3089" s="849">
        <v>52.3</v>
      </c>
      <c r="R3089" s="71">
        <v>29031</v>
      </c>
      <c r="S3089" s="845">
        <v>0.21918767507002801</v>
      </c>
      <c r="T3089" s="845">
        <v>0.16800000000000001</v>
      </c>
      <c r="U3089" s="845">
        <v>0</v>
      </c>
      <c r="V3089" s="845">
        <v>0</v>
      </c>
      <c r="W3089" s="845">
        <v>0.21726190476190477</v>
      </c>
      <c r="X3089" s="845">
        <v>0.5</v>
      </c>
      <c r="Y3089" s="845">
        <v>0.4445214979195562</v>
      </c>
      <c r="Z3089" s="845">
        <v>0.5423023578363384</v>
      </c>
      <c r="AA3089" s="845">
        <v>0</v>
      </c>
      <c r="AB3089" s="845">
        <v>0</v>
      </c>
      <c r="AC3089" s="845">
        <v>0</v>
      </c>
      <c r="AD3089" s="845">
        <v>0</v>
      </c>
      <c r="AE3089" s="845">
        <v>1.3176144244105409E-2</v>
      </c>
      <c r="AF3089" s="845">
        <v>2.0804438280166435E-3</v>
      </c>
      <c r="AG3089" s="845">
        <v>0.4445214979195562</v>
      </c>
      <c r="AH3089" s="20" t="str">
        <f t="shared" si="217"/>
        <v>No</v>
      </c>
      <c r="AI3089" s="25"/>
      <c r="AU3089" s="19"/>
      <c r="AV3089" s="19"/>
      <c r="AW3089" s="19"/>
      <c r="BU3089"/>
      <c r="BV3089"/>
      <c r="BW3089"/>
      <c r="BX3089"/>
      <c r="BY3089"/>
      <c r="BZ3089"/>
      <c r="CA3089"/>
      <c r="CB3089"/>
      <c r="CC3089"/>
    </row>
    <row r="3090" spans="1:81" s="17" customFormat="1" x14ac:dyDescent="0.2">
      <c r="A3090" s="25"/>
      <c r="B3090" s="20">
        <v>39023001101</v>
      </c>
      <c r="C3090" s="20">
        <v>11.01</v>
      </c>
      <c r="D3090" s="20" t="s">
        <v>18</v>
      </c>
      <c r="E3090" s="20" t="s">
        <v>2838</v>
      </c>
      <c r="F3090" s="20" t="s">
        <v>6</v>
      </c>
      <c r="G3090" s="861">
        <v>16.6544691542734</v>
      </c>
      <c r="H3090" s="861">
        <v>0</v>
      </c>
      <c r="I3090" s="861">
        <v>78.984522656924895</v>
      </c>
      <c r="J3090" s="861">
        <v>23.725999180829799</v>
      </c>
      <c r="K3090" s="982">
        <v>0</v>
      </c>
      <c r="L3090" s="735">
        <v>1410</v>
      </c>
      <c r="M3090" s="735">
        <v>1079</v>
      </c>
      <c r="N3090" s="845">
        <f t="shared" si="215"/>
        <v>-0.2347517730496454</v>
      </c>
      <c r="O3090" s="735">
        <v>0.21215850292069488</v>
      </c>
      <c r="P3090" s="735">
        <f t="shared" si="216"/>
        <v>5085.8202011508893</v>
      </c>
      <c r="Q3090" s="849">
        <v>46</v>
      </c>
      <c r="R3090" s="71">
        <v>22409</v>
      </c>
      <c r="S3090" s="845">
        <v>0.37652582159624415</v>
      </c>
      <c r="T3090" s="845">
        <v>6.7000000000000004E-2</v>
      </c>
      <c r="U3090" s="845">
        <v>0</v>
      </c>
      <c r="V3090" s="845">
        <v>0</v>
      </c>
      <c r="W3090" s="845">
        <v>0.62166962699822381</v>
      </c>
      <c r="X3090" s="845">
        <v>0.6</v>
      </c>
      <c r="Y3090" s="845">
        <v>0.44300278035217794</v>
      </c>
      <c r="Z3090" s="845">
        <v>0.42446709916589437</v>
      </c>
      <c r="AA3090" s="845">
        <v>0</v>
      </c>
      <c r="AB3090" s="845">
        <v>0</v>
      </c>
      <c r="AC3090" s="845">
        <v>0</v>
      </c>
      <c r="AD3090" s="845">
        <v>1.9462465245597776E-2</v>
      </c>
      <c r="AE3090" s="845">
        <v>0.11306765523632993</v>
      </c>
      <c r="AF3090" s="845">
        <v>0.11677479147358666</v>
      </c>
      <c r="AG3090" s="845">
        <v>0.33920296570898978</v>
      </c>
      <c r="AH3090" s="20" t="str">
        <f t="shared" si="217"/>
        <v>No</v>
      </c>
      <c r="AI3090" s="25"/>
      <c r="AU3090" s="19"/>
      <c r="AV3090" s="19"/>
      <c r="AW3090" s="19"/>
      <c r="BU3090"/>
      <c r="BV3090"/>
      <c r="BW3090"/>
      <c r="BX3090"/>
      <c r="BY3090"/>
      <c r="BZ3090"/>
      <c r="CA3090"/>
      <c r="CB3090"/>
      <c r="CC3090"/>
    </row>
    <row r="3091" spans="1:81" s="17" customFormat="1" x14ac:dyDescent="0.2">
      <c r="A3091" s="25"/>
      <c r="B3091" s="20">
        <v>39099813602</v>
      </c>
      <c r="C3091" s="20">
        <v>8136.02</v>
      </c>
      <c r="D3091" s="20" t="s">
        <v>55</v>
      </c>
      <c r="E3091" s="20" t="s">
        <v>2842</v>
      </c>
      <c r="F3091" s="20" t="s">
        <v>8</v>
      </c>
      <c r="G3091" s="861">
        <v>16.377405702284701</v>
      </c>
      <c r="H3091" s="861">
        <v>16.101408981067699</v>
      </c>
      <c r="I3091" s="861">
        <v>32.312603562697198</v>
      </c>
      <c r="J3091" s="861">
        <v>24.4613835731632</v>
      </c>
      <c r="K3091" s="982">
        <v>0</v>
      </c>
      <c r="L3091" s="735" t="s">
        <v>2466</v>
      </c>
      <c r="M3091" s="735">
        <v>2419</v>
      </c>
      <c r="N3091" s="845" t="str">
        <f t="shared" si="215"/>
        <v/>
      </c>
      <c r="O3091" s="735">
        <v>18.252169505133367</v>
      </c>
      <c r="P3091" s="735">
        <f t="shared" si="216"/>
        <v>132.53219017715475</v>
      </c>
      <c r="Q3091" s="849">
        <v>41.8</v>
      </c>
      <c r="R3091" s="71">
        <v>48700</v>
      </c>
      <c r="S3091" s="845">
        <v>0.25811823480432972</v>
      </c>
      <c r="T3091" s="845">
        <v>6.2E-2</v>
      </c>
      <c r="U3091" s="845">
        <v>0</v>
      </c>
      <c r="V3091" s="845">
        <v>0</v>
      </c>
      <c r="W3091" s="845">
        <v>0.25342465753424659</v>
      </c>
      <c r="X3091" s="845">
        <v>0.53667953667953672</v>
      </c>
      <c r="Y3091" s="845">
        <v>0.99173212071103767</v>
      </c>
      <c r="Z3091" s="845">
        <v>8.2678792889623806E-3</v>
      </c>
      <c r="AA3091" s="845">
        <v>0</v>
      </c>
      <c r="AB3091" s="845">
        <v>0</v>
      </c>
      <c r="AC3091" s="845">
        <v>0</v>
      </c>
      <c r="AD3091" s="845">
        <v>0</v>
      </c>
      <c r="AE3091" s="845">
        <v>0</v>
      </c>
      <c r="AF3091" s="845">
        <v>0</v>
      </c>
      <c r="AG3091" s="845">
        <v>0.99173212071103767</v>
      </c>
      <c r="AH3091" s="20" t="str">
        <f t="shared" si="217"/>
        <v>Yes</v>
      </c>
      <c r="AI3091" s="25"/>
      <c r="AU3091" s="19"/>
      <c r="AV3091" s="19"/>
      <c r="AW3091" s="19"/>
      <c r="BU3091"/>
      <c r="BV3091"/>
      <c r="BW3091"/>
      <c r="BX3091"/>
      <c r="BY3091"/>
      <c r="BZ3091"/>
      <c r="CA3091"/>
      <c r="CB3091"/>
      <c r="CC3091"/>
    </row>
    <row r="3092" spans="1:81" s="17" customFormat="1" x14ac:dyDescent="0.2">
      <c r="A3092" s="25"/>
      <c r="B3092" s="20">
        <v>39093022400</v>
      </c>
      <c r="C3092" s="20">
        <v>224</v>
      </c>
      <c r="D3092" s="20" t="s">
        <v>52</v>
      </c>
      <c r="E3092" s="20" t="s">
        <v>2829</v>
      </c>
      <c r="F3092" s="20" t="s">
        <v>6</v>
      </c>
      <c r="G3092" s="861">
        <v>16.325567180265399</v>
      </c>
      <c r="H3092" s="861">
        <v>26.351613690778098</v>
      </c>
      <c r="I3092" s="861">
        <v>54.052193834257899</v>
      </c>
      <c r="J3092" s="861">
        <v>17.4351008383188</v>
      </c>
      <c r="K3092" s="982">
        <v>0</v>
      </c>
      <c r="L3092" s="735">
        <v>3887</v>
      </c>
      <c r="M3092" s="735">
        <v>2987</v>
      </c>
      <c r="N3092" s="845">
        <f t="shared" si="215"/>
        <v>-0.23154103421661951</v>
      </c>
      <c r="O3092" s="735">
        <v>0.69415183531479618</v>
      </c>
      <c r="P3092" s="735">
        <f t="shared" si="216"/>
        <v>4303.093139047025</v>
      </c>
      <c r="Q3092" s="849">
        <v>50.7</v>
      </c>
      <c r="R3092" s="71">
        <v>28198</v>
      </c>
      <c r="S3092" s="845">
        <v>0.28375209380234506</v>
      </c>
      <c r="T3092" s="845">
        <v>0.26400000000000001</v>
      </c>
      <c r="U3092" s="845">
        <v>3.9E-2</v>
      </c>
      <c r="V3092" s="845">
        <v>9.3000000000000013E-2</v>
      </c>
      <c r="W3092" s="845">
        <v>0.61058823529411765</v>
      </c>
      <c r="X3092" s="845">
        <v>0.45375722543352603</v>
      </c>
      <c r="Y3092" s="845">
        <v>0.58520254435888852</v>
      </c>
      <c r="Z3092" s="845">
        <v>0.19852695011717442</v>
      </c>
      <c r="AA3092" s="845">
        <v>0</v>
      </c>
      <c r="AB3092" s="845">
        <v>0</v>
      </c>
      <c r="AC3092" s="845">
        <v>0</v>
      </c>
      <c r="AD3092" s="845">
        <v>5.3565450284566458E-3</v>
      </c>
      <c r="AE3092" s="845">
        <v>0.21091396049548042</v>
      </c>
      <c r="AF3092" s="845">
        <v>0.19785738198861735</v>
      </c>
      <c r="AG3092" s="845">
        <v>0.5239370605959156</v>
      </c>
      <c r="AH3092" s="20" t="str">
        <f t="shared" si="217"/>
        <v>No</v>
      </c>
      <c r="AI3092" s="25"/>
      <c r="AU3092" s="19"/>
      <c r="AV3092" s="19"/>
      <c r="AW3092" s="19"/>
      <c r="BU3092"/>
      <c r="BV3092"/>
      <c r="BW3092"/>
      <c r="BX3092"/>
      <c r="BY3092"/>
      <c r="BZ3092"/>
      <c r="CA3092"/>
      <c r="CB3092"/>
      <c r="CC3092"/>
    </row>
    <row r="3093" spans="1:81" s="17" customFormat="1" x14ac:dyDescent="0.2">
      <c r="A3093" s="25"/>
      <c r="B3093" s="20">
        <v>39099813700</v>
      </c>
      <c r="C3093" s="20">
        <v>8137</v>
      </c>
      <c r="D3093" s="20" t="s">
        <v>55</v>
      </c>
      <c r="E3093" s="20" t="s">
        <v>2842</v>
      </c>
      <c r="F3093" s="20" t="s">
        <v>6</v>
      </c>
      <c r="G3093" s="861">
        <v>16.264777326830298</v>
      </c>
      <c r="H3093" s="861">
        <v>25.461145143697198</v>
      </c>
      <c r="I3093" s="861">
        <v>43.148196817804703</v>
      </c>
      <c r="J3093" s="861">
        <v>19.039205063005198</v>
      </c>
      <c r="K3093" s="982">
        <v>0</v>
      </c>
      <c r="L3093" s="735">
        <v>2748</v>
      </c>
      <c r="M3093" s="735">
        <v>2403</v>
      </c>
      <c r="N3093" s="845">
        <f t="shared" si="215"/>
        <v>-0.12554585152838427</v>
      </c>
      <c r="O3093" s="735">
        <v>1.8671745948671556</v>
      </c>
      <c r="P3093" s="735">
        <f t="shared" si="216"/>
        <v>1286.971238043739</v>
      </c>
      <c r="Q3093" s="849">
        <v>42.8</v>
      </c>
      <c r="R3093" s="71">
        <v>18618</v>
      </c>
      <c r="S3093" s="845">
        <v>0.4990234375</v>
      </c>
      <c r="T3093" s="845">
        <v>0.23300000000000001</v>
      </c>
      <c r="U3093" s="845">
        <v>3.6000000000000004E-2</v>
      </c>
      <c r="V3093" s="845">
        <v>2.6000000000000002E-2</v>
      </c>
      <c r="W3093" s="845">
        <v>0.68027210884353739</v>
      </c>
      <c r="X3093" s="845">
        <v>0.56555555555555559</v>
      </c>
      <c r="Y3093" s="845">
        <v>0.28256346233874324</v>
      </c>
      <c r="Z3093" s="845">
        <v>0.43528922180607577</v>
      </c>
      <c r="AA3093" s="845">
        <v>2.9130253849354972E-3</v>
      </c>
      <c r="AB3093" s="845">
        <v>0</v>
      </c>
      <c r="AC3093" s="845">
        <v>0</v>
      </c>
      <c r="AD3093" s="845">
        <v>2.1639617145235122E-2</v>
      </c>
      <c r="AE3093" s="845">
        <v>0.2575946733250104</v>
      </c>
      <c r="AF3093" s="845">
        <v>0.22388680815647108</v>
      </c>
      <c r="AG3093" s="845">
        <v>0.24427798585101956</v>
      </c>
      <c r="AH3093" s="20" t="str">
        <f t="shared" si="217"/>
        <v>No</v>
      </c>
      <c r="AI3093" s="25"/>
      <c r="AU3093" s="19"/>
      <c r="AV3093" s="19"/>
      <c r="AW3093" s="19"/>
      <c r="BU3093"/>
      <c r="BV3093"/>
      <c r="BW3093"/>
      <c r="BX3093"/>
      <c r="BY3093"/>
      <c r="BZ3093"/>
      <c r="CA3093"/>
      <c r="CB3093"/>
      <c r="CC3093"/>
    </row>
    <row r="3094" spans="1:81" s="17" customFormat="1" x14ac:dyDescent="0.2">
      <c r="A3094" s="25"/>
      <c r="B3094" s="20">
        <v>39151701000</v>
      </c>
      <c r="C3094" s="20">
        <v>7010</v>
      </c>
      <c r="D3094" s="20" t="s">
        <v>81</v>
      </c>
      <c r="E3094" s="20" t="s">
        <v>2844</v>
      </c>
      <c r="F3094" s="20" t="s">
        <v>6</v>
      </c>
      <c r="G3094" s="861">
        <v>16.2174422702921</v>
      </c>
      <c r="H3094" s="861">
        <v>24.041873320798501</v>
      </c>
      <c r="I3094" s="861">
        <v>59.600208285114398</v>
      </c>
      <c r="J3094" s="861">
        <v>22.059292558397502</v>
      </c>
      <c r="K3094" s="982">
        <v>0</v>
      </c>
      <c r="L3094" s="735">
        <v>3214</v>
      </c>
      <c r="M3094" s="735">
        <v>3012</v>
      </c>
      <c r="N3094" s="845">
        <f t="shared" si="215"/>
        <v>-6.2850031113876784E-2</v>
      </c>
      <c r="O3094" s="735">
        <v>0.64028595096523444</v>
      </c>
      <c r="P3094" s="735">
        <f t="shared" si="216"/>
        <v>4704.1481941926013</v>
      </c>
      <c r="Q3094" s="849">
        <v>31.3</v>
      </c>
      <c r="R3094" s="71">
        <v>28712</v>
      </c>
      <c r="S3094" s="845">
        <v>0.36611092208234092</v>
      </c>
      <c r="T3094" s="845">
        <v>7.4999999999999997E-2</v>
      </c>
      <c r="U3094" s="845">
        <v>0</v>
      </c>
      <c r="V3094" s="845">
        <v>0.11599999999999999</v>
      </c>
      <c r="W3094" s="845">
        <v>0.52373887240356087</v>
      </c>
      <c r="X3094" s="845">
        <v>0.65439093484419264</v>
      </c>
      <c r="Y3094" s="845">
        <v>0.66600265604249664</v>
      </c>
      <c r="Z3094" s="845">
        <v>0.17330677290836655</v>
      </c>
      <c r="AA3094" s="845">
        <v>0</v>
      </c>
      <c r="AB3094" s="845">
        <v>0</v>
      </c>
      <c r="AC3094" s="845">
        <v>0</v>
      </c>
      <c r="AD3094" s="845">
        <v>0</v>
      </c>
      <c r="AE3094" s="845">
        <v>0.16069057104913678</v>
      </c>
      <c r="AF3094" s="845">
        <v>8.2005312084993356E-2</v>
      </c>
      <c r="AG3094" s="845">
        <v>0.63047808764940239</v>
      </c>
      <c r="AH3094" s="20" t="str">
        <f t="shared" si="217"/>
        <v>No</v>
      </c>
      <c r="AI3094" s="25"/>
      <c r="AU3094" s="19"/>
      <c r="AV3094" s="19"/>
      <c r="AW3094" s="19"/>
      <c r="BU3094"/>
      <c r="BV3094"/>
      <c r="BW3094"/>
      <c r="BX3094"/>
      <c r="BY3094"/>
      <c r="BZ3094"/>
      <c r="CA3094"/>
      <c r="CB3094"/>
      <c r="CC3094"/>
    </row>
    <row r="3095" spans="1:81" s="17" customFormat="1" x14ac:dyDescent="0.2">
      <c r="A3095" s="25"/>
      <c r="B3095" s="20">
        <v>39023002301</v>
      </c>
      <c r="C3095" s="20">
        <v>23.01</v>
      </c>
      <c r="D3095" s="20" t="s">
        <v>18</v>
      </c>
      <c r="E3095" s="20" t="s">
        <v>2838</v>
      </c>
      <c r="F3095" s="20" t="s">
        <v>8</v>
      </c>
      <c r="G3095" s="861">
        <v>16.1778007702369</v>
      </c>
      <c r="H3095" s="861">
        <v>45.4977682459661</v>
      </c>
      <c r="I3095" s="861">
        <v>22.403644549391899</v>
      </c>
      <c r="J3095" s="861">
        <v>47.4121447557864</v>
      </c>
      <c r="K3095" s="982">
        <v>0</v>
      </c>
      <c r="L3095" s="735">
        <v>3205</v>
      </c>
      <c r="M3095" s="735">
        <v>3121</v>
      </c>
      <c r="N3095" s="845">
        <f t="shared" si="215"/>
        <v>-2.6209048361934478E-2</v>
      </c>
      <c r="O3095" s="735">
        <v>41.511529564512173</v>
      </c>
      <c r="P3095" s="735">
        <f t="shared" si="216"/>
        <v>75.183931614702885</v>
      </c>
      <c r="Q3095" s="849">
        <v>51.2</v>
      </c>
      <c r="R3095" s="71">
        <v>78292</v>
      </c>
      <c r="S3095" s="845">
        <v>0.1076478149100257</v>
      </c>
      <c r="T3095" s="845">
        <v>1.4999999999999999E-2</v>
      </c>
      <c r="U3095" s="845">
        <v>0</v>
      </c>
      <c r="V3095" s="845">
        <v>7.9000000000000001E-2</v>
      </c>
      <c r="W3095" s="845">
        <v>4.6362909672262191E-2</v>
      </c>
      <c r="X3095" s="845">
        <v>0.27586206896551724</v>
      </c>
      <c r="Y3095" s="845">
        <v>0.91060557513617435</v>
      </c>
      <c r="Z3095" s="845">
        <v>2.6594040371675745E-2</v>
      </c>
      <c r="AA3095" s="845">
        <v>1.6020506247997437E-3</v>
      </c>
      <c r="AB3095" s="845">
        <v>2.5632809996795898E-3</v>
      </c>
      <c r="AC3095" s="845">
        <v>0</v>
      </c>
      <c r="AD3095" s="845">
        <v>0</v>
      </c>
      <c r="AE3095" s="845">
        <v>5.8635052867670616E-2</v>
      </c>
      <c r="AF3095" s="845">
        <v>3.3322652995834666E-2</v>
      </c>
      <c r="AG3095" s="845">
        <v>0.91060557513617435</v>
      </c>
      <c r="AH3095" s="20" t="str">
        <f t="shared" si="217"/>
        <v>Yes</v>
      </c>
      <c r="AI3095" s="25"/>
      <c r="AU3095" s="19"/>
      <c r="AV3095" s="19"/>
      <c r="AW3095" s="19"/>
      <c r="BU3095"/>
      <c r="BV3095"/>
      <c r="BW3095"/>
      <c r="BX3095"/>
      <c r="BY3095"/>
      <c r="BZ3095"/>
      <c r="CA3095"/>
      <c r="CB3095"/>
      <c r="CC3095"/>
    </row>
    <row r="3096" spans="1:81" s="17" customFormat="1" x14ac:dyDescent="0.2">
      <c r="A3096" s="25"/>
      <c r="B3096" s="20">
        <v>39087051101</v>
      </c>
      <c r="C3096" s="20">
        <v>511.01</v>
      </c>
      <c r="D3096" s="20" t="s">
        <v>49</v>
      </c>
      <c r="E3096" s="20" t="s">
        <v>2834</v>
      </c>
      <c r="F3096" s="20" t="s">
        <v>8</v>
      </c>
      <c r="G3096" s="861">
        <v>16.098840071772301</v>
      </c>
      <c r="H3096" s="861">
        <v>13.460992124733799</v>
      </c>
      <c r="I3096" s="861">
        <v>19.161757437365001</v>
      </c>
      <c r="J3096" s="861">
        <v>36.558420155151403</v>
      </c>
      <c r="K3096" s="982">
        <v>0</v>
      </c>
      <c r="L3096" s="735" t="s">
        <v>2466</v>
      </c>
      <c r="M3096" s="735">
        <v>3753</v>
      </c>
      <c r="N3096" s="845" t="str">
        <f t="shared" si="215"/>
        <v/>
      </c>
      <c r="O3096" s="735">
        <v>24.702290235610388</v>
      </c>
      <c r="P3096" s="735">
        <f t="shared" si="216"/>
        <v>151.92923264215159</v>
      </c>
      <c r="Q3096" s="849">
        <v>48.1</v>
      </c>
      <c r="R3096" s="71">
        <v>55942</v>
      </c>
      <c r="S3096" s="845">
        <v>0.11164401811883826</v>
      </c>
      <c r="T3096" s="845">
        <v>4.0000000000000001E-3</v>
      </c>
      <c r="U3096" s="845">
        <v>0</v>
      </c>
      <c r="V3096" s="845">
        <v>0</v>
      </c>
      <c r="W3096" s="845">
        <v>0.16082916368834882</v>
      </c>
      <c r="X3096" s="845">
        <v>0.21777777777777776</v>
      </c>
      <c r="Y3096" s="845">
        <v>0.97495337063682386</v>
      </c>
      <c r="Z3096" s="845">
        <v>1.5187849720223821E-2</v>
      </c>
      <c r="AA3096" s="845">
        <v>0</v>
      </c>
      <c r="AB3096" s="845">
        <v>0</v>
      </c>
      <c r="AC3096" s="845">
        <v>0</v>
      </c>
      <c r="AD3096" s="845">
        <v>0</v>
      </c>
      <c r="AE3096" s="845">
        <v>9.8587796429523041E-3</v>
      </c>
      <c r="AF3096" s="845">
        <v>0</v>
      </c>
      <c r="AG3096" s="845">
        <v>0.97495337063682386</v>
      </c>
      <c r="AH3096" s="20" t="str">
        <f t="shared" si="217"/>
        <v>Yes</v>
      </c>
      <c r="AI3096" s="25"/>
      <c r="AU3096" s="19"/>
      <c r="AV3096" s="19"/>
      <c r="AW3096" s="19"/>
      <c r="BU3096"/>
      <c r="BV3096"/>
      <c r="BW3096"/>
      <c r="BX3096"/>
      <c r="BY3096"/>
      <c r="BZ3096"/>
      <c r="CA3096"/>
      <c r="CB3096"/>
      <c r="CC3096"/>
    </row>
    <row r="3097" spans="1:81" s="17" customFormat="1" x14ac:dyDescent="0.2">
      <c r="A3097" s="25"/>
      <c r="B3097" s="20">
        <v>39129021404</v>
      </c>
      <c r="C3097" s="20">
        <v>214.04</v>
      </c>
      <c r="D3097" s="20" t="s">
        <v>70</v>
      </c>
      <c r="E3097" s="20" t="s">
        <v>2830</v>
      </c>
      <c r="F3097" s="20" t="s">
        <v>8</v>
      </c>
      <c r="G3097" s="861">
        <v>16.0929981390188</v>
      </c>
      <c r="H3097" s="861">
        <v>30.1657621326084</v>
      </c>
      <c r="I3097" s="861">
        <v>20.947132958634199</v>
      </c>
      <c r="J3097" s="861">
        <v>26.845128723002301</v>
      </c>
      <c r="K3097" s="982">
        <v>0</v>
      </c>
      <c r="L3097" s="735" t="s">
        <v>2466</v>
      </c>
      <c r="M3097" s="735">
        <v>1689</v>
      </c>
      <c r="N3097" s="845" t="str">
        <f t="shared" si="215"/>
        <v/>
      </c>
      <c r="O3097" s="735">
        <v>24.662264955339893</v>
      </c>
      <c r="P3097" s="735">
        <f t="shared" si="216"/>
        <v>68.485194002195499</v>
      </c>
      <c r="Q3097" s="849">
        <v>43.9</v>
      </c>
      <c r="R3097" s="71">
        <v>81393</v>
      </c>
      <c r="S3097" s="845">
        <v>2.664298401420959E-2</v>
      </c>
      <c r="T3097" s="845">
        <v>4.0000000000000001E-3</v>
      </c>
      <c r="U3097" s="845">
        <v>7.2000000000000008E-2</v>
      </c>
      <c r="V3097" s="845">
        <v>0</v>
      </c>
      <c r="W3097" s="845">
        <v>0.14900153609831029</v>
      </c>
      <c r="X3097" s="845">
        <v>0.4329896907216495</v>
      </c>
      <c r="Y3097" s="845">
        <v>0.97039668442865601</v>
      </c>
      <c r="Z3097" s="845">
        <v>0</v>
      </c>
      <c r="AA3097" s="845">
        <v>0</v>
      </c>
      <c r="AB3097" s="845">
        <v>5.920663114268798E-3</v>
      </c>
      <c r="AC3097" s="845">
        <v>0</v>
      </c>
      <c r="AD3097" s="845">
        <v>0</v>
      </c>
      <c r="AE3097" s="845">
        <v>2.3682652457075192E-2</v>
      </c>
      <c r="AF3097" s="845">
        <v>0</v>
      </c>
      <c r="AG3097" s="845">
        <v>0.97039668442865601</v>
      </c>
      <c r="AH3097" s="20" t="str">
        <f t="shared" si="217"/>
        <v>Yes</v>
      </c>
      <c r="AI3097" s="25"/>
      <c r="AU3097" s="19"/>
      <c r="AV3097" s="19"/>
      <c r="AW3097" s="19"/>
      <c r="BU3097"/>
      <c r="BV3097"/>
      <c r="BW3097"/>
      <c r="BX3097"/>
      <c r="BY3097"/>
      <c r="BZ3097"/>
      <c r="CA3097"/>
      <c r="CB3097"/>
      <c r="CC3097"/>
    </row>
    <row r="3098" spans="1:81" s="17" customFormat="1" x14ac:dyDescent="0.2">
      <c r="A3098" s="25"/>
      <c r="B3098" s="20">
        <v>39095001800</v>
      </c>
      <c r="C3098" s="20">
        <v>18</v>
      </c>
      <c r="D3098" s="20" t="s">
        <v>53</v>
      </c>
      <c r="E3098" s="20" t="s">
        <v>2839</v>
      </c>
      <c r="F3098" s="20" t="s">
        <v>6</v>
      </c>
      <c r="G3098" s="861">
        <v>16.0925609598115</v>
      </c>
      <c r="H3098" s="861">
        <v>23.163722967770099</v>
      </c>
      <c r="I3098" s="861">
        <v>94.880797209152803</v>
      </c>
      <c r="J3098" s="861">
        <v>30.532636380877701</v>
      </c>
      <c r="K3098" s="982">
        <v>0</v>
      </c>
      <c r="L3098" s="735">
        <v>2542</v>
      </c>
      <c r="M3098" s="735">
        <v>2488</v>
      </c>
      <c r="N3098" s="845">
        <f t="shared" si="215"/>
        <v>-2.1243115656963022E-2</v>
      </c>
      <c r="O3098" s="735">
        <v>0.30346703020192634</v>
      </c>
      <c r="P3098" s="735">
        <f t="shared" si="216"/>
        <v>8198.5842031817756</v>
      </c>
      <c r="Q3098" s="849">
        <v>32.9</v>
      </c>
      <c r="R3098" s="71">
        <v>20755</v>
      </c>
      <c r="S3098" s="845">
        <v>0.60702614379084963</v>
      </c>
      <c r="T3098" s="845">
        <v>0.12</v>
      </c>
      <c r="U3098" s="845">
        <v>0</v>
      </c>
      <c r="V3098" s="845">
        <v>0</v>
      </c>
      <c r="W3098" s="845">
        <v>0.56083429895712633</v>
      </c>
      <c r="X3098" s="845">
        <v>0.80578512396694213</v>
      </c>
      <c r="Y3098" s="845">
        <v>0.40393890675241156</v>
      </c>
      <c r="Z3098" s="845">
        <v>0.42081993569131831</v>
      </c>
      <c r="AA3098" s="845">
        <v>0</v>
      </c>
      <c r="AB3098" s="845">
        <v>1.2057877813504822E-2</v>
      </c>
      <c r="AC3098" s="845">
        <v>0</v>
      </c>
      <c r="AD3098" s="845">
        <v>0</v>
      </c>
      <c r="AE3098" s="845">
        <v>0.16318327974276528</v>
      </c>
      <c r="AF3098" s="845">
        <v>1.8488745980707395E-2</v>
      </c>
      <c r="AG3098" s="845">
        <v>0.40112540192926044</v>
      </c>
      <c r="AH3098" s="20" t="str">
        <f t="shared" si="217"/>
        <v>No</v>
      </c>
      <c r="AI3098" s="25"/>
      <c r="AU3098" s="19"/>
      <c r="AV3098" s="19"/>
      <c r="AW3098" s="19"/>
      <c r="BU3098"/>
      <c r="BV3098"/>
      <c r="BW3098"/>
      <c r="BX3098"/>
      <c r="BY3098"/>
      <c r="BZ3098"/>
      <c r="CA3098"/>
      <c r="CB3098"/>
      <c r="CC3098"/>
    </row>
    <row r="3099" spans="1:81" s="17" customFormat="1" x14ac:dyDescent="0.2">
      <c r="A3099" s="25"/>
      <c r="B3099" s="20">
        <v>39099811100</v>
      </c>
      <c r="C3099" s="20">
        <v>8111</v>
      </c>
      <c r="D3099" s="20" t="s">
        <v>55</v>
      </c>
      <c r="E3099" s="20" t="s">
        <v>2842</v>
      </c>
      <c r="F3099" s="20" t="s">
        <v>8</v>
      </c>
      <c r="G3099" s="861">
        <v>16.080152211205199</v>
      </c>
      <c r="H3099" s="861">
        <v>27.458490782777901</v>
      </c>
      <c r="I3099" s="861">
        <v>32.8345882450934</v>
      </c>
      <c r="J3099" s="861">
        <v>23.844596949220399</v>
      </c>
      <c r="K3099" s="982">
        <v>0</v>
      </c>
      <c r="L3099" s="735">
        <v>1132</v>
      </c>
      <c r="M3099" s="735">
        <v>1047</v>
      </c>
      <c r="N3099" s="845">
        <f t="shared" si="215"/>
        <v>-7.5088339222614847E-2</v>
      </c>
      <c r="O3099" s="735">
        <v>1.3608491044385529</v>
      </c>
      <c r="P3099" s="735">
        <f t="shared" si="216"/>
        <v>769.37258994042691</v>
      </c>
      <c r="Q3099" s="849">
        <v>49.3</v>
      </c>
      <c r="R3099" s="71">
        <v>56429</v>
      </c>
      <c r="S3099" s="845">
        <v>0.19712918660287082</v>
      </c>
      <c r="T3099" s="845">
        <v>2.8999999999999998E-2</v>
      </c>
      <c r="U3099" s="845">
        <v>1.1000000000000001E-2</v>
      </c>
      <c r="V3099" s="845">
        <v>9.5000000000000001E-2</v>
      </c>
      <c r="W3099" s="845">
        <v>0.28486055776892433</v>
      </c>
      <c r="X3099" s="845">
        <v>0.27972027972027974</v>
      </c>
      <c r="Y3099" s="845">
        <v>0.91690544412607455</v>
      </c>
      <c r="Z3099" s="845">
        <v>1.7191977077363897E-2</v>
      </c>
      <c r="AA3099" s="845">
        <v>0</v>
      </c>
      <c r="AB3099" s="845">
        <v>0</v>
      </c>
      <c r="AC3099" s="845">
        <v>0</v>
      </c>
      <c r="AD3099" s="845">
        <v>1.2416427889207259E-2</v>
      </c>
      <c r="AE3099" s="845">
        <v>5.3486150907354348E-2</v>
      </c>
      <c r="AF3099" s="845">
        <v>5.5396370582617004E-2</v>
      </c>
      <c r="AG3099" s="845">
        <v>0.90830945558739251</v>
      </c>
      <c r="AH3099" s="20" t="str">
        <f t="shared" si="217"/>
        <v>Yes</v>
      </c>
      <c r="AI3099" s="25"/>
      <c r="AU3099" s="19"/>
      <c r="AV3099" s="19"/>
      <c r="AW3099" s="19"/>
      <c r="BU3099"/>
      <c r="BV3099"/>
      <c r="BW3099"/>
      <c r="BX3099"/>
      <c r="BY3099"/>
      <c r="BZ3099"/>
      <c r="CA3099"/>
      <c r="CB3099"/>
      <c r="CC3099"/>
    </row>
    <row r="3100" spans="1:81" s="17" customFormat="1" x14ac:dyDescent="0.2">
      <c r="A3100" s="25"/>
      <c r="B3100" s="20">
        <v>39093070901</v>
      </c>
      <c r="C3100" s="20">
        <v>709.01</v>
      </c>
      <c r="D3100" s="20" t="s">
        <v>52</v>
      </c>
      <c r="E3100" s="20" t="s">
        <v>2829</v>
      </c>
      <c r="F3100" s="20" t="s">
        <v>6</v>
      </c>
      <c r="G3100" s="861">
        <v>16.0676435759244</v>
      </c>
      <c r="H3100" s="861">
        <v>40.0089659845437</v>
      </c>
      <c r="I3100" s="861">
        <v>66.572390854118296</v>
      </c>
      <c r="J3100" s="861">
        <v>38.2212128181786</v>
      </c>
      <c r="K3100" s="982">
        <v>0</v>
      </c>
      <c r="L3100" s="735">
        <v>1836</v>
      </c>
      <c r="M3100" s="735">
        <v>2155</v>
      </c>
      <c r="N3100" s="845">
        <f t="shared" si="215"/>
        <v>0.17374727668845316</v>
      </c>
      <c r="O3100" s="735">
        <v>3.0029821256592566</v>
      </c>
      <c r="P3100" s="735">
        <f t="shared" si="216"/>
        <v>717.61998900573019</v>
      </c>
      <c r="Q3100" s="849">
        <v>22.6</v>
      </c>
      <c r="R3100" s="71">
        <v>23967</v>
      </c>
      <c r="S3100" s="845">
        <v>0.52216981132075468</v>
      </c>
      <c r="T3100" s="845">
        <v>0.122</v>
      </c>
      <c r="U3100" s="845">
        <v>0</v>
      </c>
      <c r="V3100" s="845">
        <v>0.10800000000000001</v>
      </c>
      <c r="W3100" s="845">
        <v>0.87118193891102258</v>
      </c>
      <c r="X3100" s="845">
        <v>0.46646341463414637</v>
      </c>
      <c r="Y3100" s="845">
        <v>0.4853828306264501</v>
      </c>
      <c r="Z3100" s="845">
        <v>0.25800464037122972</v>
      </c>
      <c r="AA3100" s="845">
        <v>0</v>
      </c>
      <c r="AB3100" s="845">
        <v>0</v>
      </c>
      <c r="AC3100" s="845">
        <v>0</v>
      </c>
      <c r="AD3100" s="845">
        <v>0</v>
      </c>
      <c r="AE3100" s="845">
        <v>0.25661252900232018</v>
      </c>
      <c r="AF3100" s="845">
        <v>0.3888631090487239</v>
      </c>
      <c r="AG3100" s="845">
        <v>0.22830626450116009</v>
      </c>
      <c r="AH3100" s="20" t="str">
        <f t="shared" si="217"/>
        <v>No</v>
      </c>
      <c r="AI3100" s="25"/>
      <c r="AU3100" s="19"/>
      <c r="AV3100" s="19"/>
      <c r="AW3100" s="19"/>
      <c r="BU3100"/>
      <c r="BV3100"/>
      <c r="BW3100"/>
      <c r="BX3100"/>
      <c r="BY3100"/>
      <c r="BZ3100"/>
      <c r="CA3100"/>
      <c r="CB3100"/>
      <c r="CC3100"/>
    </row>
    <row r="3101" spans="1:81" s="17" customFormat="1" x14ac:dyDescent="0.2">
      <c r="A3101" s="25"/>
      <c r="B3101" s="20">
        <v>39099810300</v>
      </c>
      <c r="C3101" s="20">
        <v>8103</v>
      </c>
      <c r="D3101" s="20" t="s">
        <v>55</v>
      </c>
      <c r="E3101" s="20" t="s">
        <v>2842</v>
      </c>
      <c r="F3101" s="20" t="s">
        <v>6</v>
      </c>
      <c r="G3101" s="861">
        <v>15.9293350566467</v>
      </c>
      <c r="H3101" s="861">
        <v>0.62964372046481498</v>
      </c>
      <c r="I3101" s="861">
        <v>64.432880742287097</v>
      </c>
      <c r="J3101" s="861">
        <v>35.348517029169003</v>
      </c>
      <c r="K3101" s="982">
        <v>0</v>
      </c>
      <c r="L3101" s="735">
        <v>1770</v>
      </c>
      <c r="M3101" s="735">
        <v>1668</v>
      </c>
      <c r="N3101" s="845">
        <f t="shared" si="215"/>
        <v>-5.7627118644067797E-2</v>
      </c>
      <c r="O3101" s="735">
        <v>0.59036873339159845</v>
      </c>
      <c r="P3101" s="735">
        <f t="shared" si="216"/>
        <v>2825.3528780522261</v>
      </c>
      <c r="Q3101" s="849">
        <v>27.6</v>
      </c>
      <c r="R3101" s="71">
        <v>19899</v>
      </c>
      <c r="S3101" s="845">
        <v>0.51898734177215189</v>
      </c>
      <c r="T3101" s="845">
        <v>0.28899999999999998</v>
      </c>
      <c r="U3101" s="845">
        <v>0</v>
      </c>
      <c r="V3101" s="845">
        <v>2.5000000000000001E-2</v>
      </c>
      <c r="W3101" s="845">
        <v>0.6382393397524071</v>
      </c>
      <c r="X3101" s="845">
        <v>0.6056034482758621</v>
      </c>
      <c r="Y3101" s="845">
        <v>0.33693045563549162</v>
      </c>
      <c r="Z3101" s="845">
        <v>0.33752997601918466</v>
      </c>
      <c r="AA3101" s="845">
        <v>5.3956834532374104E-3</v>
      </c>
      <c r="AB3101" s="845">
        <v>0</v>
      </c>
      <c r="AC3101" s="845">
        <v>0</v>
      </c>
      <c r="AD3101" s="845">
        <v>0.11270983213429256</v>
      </c>
      <c r="AE3101" s="845">
        <v>0.20743405275779375</v>
      </c>
      <c r="AF3101" s="845">
        <v>0.35551558752997603</v>
      </c>
      <c r="AG3101" s="845">
        <v>0.28477218225419665</v>
      </c>
      <c r="AH3101" s="20" t="str">
        <f t="shared" si="217"/>
        <v>No</v>
      </c>
      <c r="AI3101" s="25"/>
      <c r="AU3101" s="19"/>
      <c r="AV3101" s="19"/>
      <c r="AW3101" s="19"/>
      <c r="BU3101"/>
      <c r="BV3101"/>
      <c r="BW3101"/>
      <c r="BX3101"/>
      <c r="BY3101"/>
      <c r="BZ3101"/>
      <c r="CA3101"/>
      <c r="CB3101"/>
      <c r="CC3101"/>
    </row>
    <row r="3102" spans="1:81" s="17" customFormat="1" x14ac:dyDescent="0.2">
      <c r="A3102" s="25"/>
      <c r="B3102" s="20">
        <v>39035116300</v>
      </c>
      <c r="C3102" s="20">
        <v>1163</v>
      </c>
      <c r="D3102" s="20" t="s">
        <v>24</v>
      </c>
      <c r="E3102" s="20" t="s">
        <v>2829</v>
      </c>
      <c r="F3102" s="20" t="s">
        <v>6</v>
      </c>
      <c r="G3102" s="861">
        <v>15.730664512161599</v>
      </c>
      <c r="H3102" s="861">
        <v>34.384975054535602</v>
      </c>
      <c r="I3102" s="861">
        <v>74.0887531684034</v>
      </c>
      <c r="J3102" s="861">
        <v>22.075467718414899</v>
      </c>
      <c r="K3102" s="982">
        <v>0</v>
      </c>
      <c r="L3102" s="735">
        <v>1937</v>
      </c>
      <c r="M3102" s="735">
        <v>1167</v>
      </c>
      <c r="N3102" s="845">
        <f t="shared" si="215"/>
        <v>-0.39752194114610223</v>
      </c>
      <c r="O3102" s="735">
        <v>0.2100681458340749</v>
      </c>
      <c r="P3102" s="735">
        <f t="shared" si="216"/>
        <v>5555.3401272069605</v>
      </c>
      <c r="Q3102" s="849">
        <v>37.299999999999997</v>
      </c>
      <c r="R3102" s="71">
        <v>27271</v>
      </c>
      <c r="S3102" s="845">
        <v>0.46272493573264784</v>
      </c>
      <c r="T3102" s="845">
        <v>9.8000000000000004E-2</v>
      </c>
      <c r="U3102" s="845">
        <v>6.2E-2</v>
      </c>
      <c r="V3102" s="845">
        <v>0.223</v>
      </c>
      <c r="W3102" s="845">
        <v>0.38500851788756391</v>
      </c>
      <c r="X3102" s="845">
        <v>0.4247787610619469</v>
      </c>
      <c r="Y3102" s="845">
        <v>3.3419023136246784E-2</v>
      </c>
      <c r="Z3102" s="845">
        <v>0.95029991431019711</v>
      </c>
      <c r="AA3102" s="845">
        <v>0</v>
      </c>
      <c r="AB3102" s="845">
        <v>3.4275921165381321E-3</v>
      </c>
      <c r="AC3102" s="845">
        <v>0</v>
      </c>
      <c r="AD3102" s="845">
        <v>6.8551842330762643E-3</v>
      </c>
      <c r="AE3102" s="845">
        <v>5.9982862039417309E-3</v>
      </c>
      <c r="AF3102" s="845">
        <v>4.8843187660668377E-2</v>
      </c>
      <c r="AG3102" s="845">
        <v>3.3419023136246784E-2</v>
      </c>
      <c r="AH3102" s="20" t="str">
        <f t="shared" si="217"/>
        <v>No</v>
      </c>
      <c r="AI3102" s="25"/>
      <c r="AU3102" s="19"/>
      <c r="AV3102" s="19"/>
      <c r="AW3102" s="19"/>
      <c r="BU3102"/>
      <c r="BV3102"/>
      <c r="BW3102"/>
      <c r="BX3102"/>
      <c r="BY3102"/>
      <c r="BZ3102"/>
      <c r="CA3102"/>
      <c r="CB3102"/>
      <c r="CC3102"/>
    </row>
    <row r="3103" spans="1:81" s="17" customFormat="1" x14ac:dyDescent="0.2">
      <c r="A3103" s="25"/>
      <c r="B3103" s="20">
        <v>39093023200</v>
      </c>
      <c r="C3103" s="20">
        <v>232</v>
      </c>
      <c r="D3103" s="20" t="s">
        <v>52</v>
      </c>
      <c r="E3103" s="20" t="s">
        <v>2829</v>
      </c>
      <c r="F3103" s="20" t="s">
        <v>6</v>
      </c>
      <c r="G3103" s="861">
        <v>15.6675441811516</v>
      </c>
      <c r="H3103" s="861">
        <v>43.122030462005199</v>
      </c>
      <c r="I3103" s="861">
        <v>60.339441973088597</v>
      </c>
      <c r="J3103" s="861">
        <v>40.072616816443897</v>
      </c>
      <c r="K3103" s="982">
        <v>1</v>
      </c>
      <c r="L3103" s="735">
        <v>2858</v>
      </c>
      <c r="M3103" s="735">
        <v>3163</v>
      </c>
      <c r="N3103" s="845">
        <f t="shared" si="215"/>
        <v>0.10671798460461862</v>
      </c>
      <c r="O3103" s="735">
        <v>0.63150444347020573</v>
      </c>
      <c r="P3103" s="735">
        <f t="shared" si="216"/>
        <v>5008.6741791061204</v>
      </c>
      <c r="Q3103" s="849">
        <v>36</v>
      </c>
      <c r="R3103" s="71">
        <v>37955</v>
      </c>
      <c r="S3103" s="845">
        <v>0.4056392181992951</v>
      </c>
      <c r="T3103" s="845">
        <v>0.125</v>
      </c>
      <c r="U3103" s="845">
        <v>7.4999999999999997E-2</v>
      </c>
      <c r="V3103" s="845">
        <v>0</v>
      </c>
      <c r="W3103" s="845">
        <v>0.54308617234468937</v>
      </c>
      <c r="X3103" s="845">
        <v>0.3837638376383764</v>
      </c>
      <c r="Y3103" s="845">
        <v>0.42143534619032563</v>
      </c>
      <c r="Z3103" s="845">
        <v>0.32405943724312364</v>
      </c>
      <c r="AA3103" s="845">
        <v>0</v>
      </c>
      <c r="AB3103" s="845">
        <v>0</v>
      </c>
      <c r="AC3103" s="845">
        <v>0</v>
      </c>
      <c r="AD3103" s="845">
        <v>2.0550110654441987E-2</v>
      </c>
      <c r="AE3103" s="845">
        <v>0.23395510591210875</v>
      </c>
      <c r="AF3103" s="845">
        <v>0.28548846032247865</v>
      </c>
      <c r="AG3103" s="845">
        <v>0.33449257034460955</v>
      </c>
      <c r="AH3103" s="20" t="str">
        <f t="shared" si="217"/>
        <v>No</v>
      </c>
      <c r="AI3103" s="25"/>
      <c r="AU3103" s="19"/>
      <c r="AV3103" s="19"/>
      <c r="AW3103" s="19"/>
      <c r="BU3103"/>
      <c r="BV3103"/>
      <c r="BW3103"/>
      <c r="BX3103"/>
      <c r="BY3103"/>
      <c r="BZ3103"/>
      <c r="CA3103"/>
      <c r="CB3103"/>
      <c r="CC3103"/>
    </row>
    <row r="3104" spans="1:81" s="17" customFormat="1" x14ac:dyDescent="0.2">
      <c r="A3104" s="25"/>
      <c r="B3104" s="20">
        <v>39139000700</v>
      </c>
      <c r="C3104" s="20">
        <v>7</v>
      </c>
      <c r="D3104" s="20" t="s">
        <v>75</v>
      </c>
      <c r="E3104" s="20" t="s">
        <v>2836</v>
      </c>
      <c r="F3104" s="20" t="s">
        <v>6</v>
      </c>
      <c r="G3104" s="861">
        <v>15.5192985290268</v>
      </c>
      <c r="H3104" s="861">
        <v>9.8115052424743592</v>
      </c>
      <c r="I3104" s="861">
        <v>57.881661321537301</v>
      </c>
      <c r="J3104" s="861">
        <v>34.492948200066799</v>
      </c>
      <c r="K3104" s="982">
        <v>0</v>
      </c>
      <c r="L3104" s="735">
        <v>3052</v>
      </c>
      <c r="M3104" s="735">
        <v>3026</v>
      </c>
      <c r="N3104" s="845">
        <f t="shared" si="215"/>
        <v>-8.5190039318479693E-3</v>
      </c>
      <c r="O3104" s="735">
        <v>1.022747938406559</v>
      </c>
      <c r="P3104" s="735">
        <f t="shared" si="216"/>
        <v>2958.6957708411587</v>
      </c>
      <c r="Q3104" s="849">
        <v>26.7</v>
      </c>
      <c r="R3104" s="71">
        <v>26659</v>
      </c>
      <c r="S3104" s="845">
        <v>0.46795727636849133</v>
      </c>
      <c r="T3104" s="845">
        <v>0.128</v>
      </c>
      <c r="U3104" s="845">
        <v>0</v>
      </c>
      <c r="V3104" s="845">
        <v>2.5000000000000001E-2</v>
      </c>
      <c r="W3104" s="845">
        <v>0.52792654934965566</v>
      </c>
      <c r="X3104" s="845">
        <v>0.672463768115942</v>
      </c>
      <c r="Y3104" s="845">
        <v>0.28883013879709185</v>
      </c>
      <c r="Z3104" s="845">
        <v>0.34534038334434897</v>
      </c>
      <c r="AA3104" s="845">
        <v>0</v>
      </c>
      <c r="AB3104" s="845">
        <v>1.3218770654329148E-2</v>
      </c>
      <c r="AC3104" s="845">
        <v>0</v>
      </c>
      <c r="AD3104" s="845">
        <v>0</v>
      </c>
      <c r="AE3104" s="845">
        <v>0.35261070720422999</v>
      </c>
      <c r="AF3104" s="845">
        <v>1.1896893588896233E-2</v>
      </c>
      <c r="AG3104" s="845">
        <v>0.28883013879709185</v>
      </c>
      <c r="AH3104" s="20" t="str">
        <f t="shared" si="217"/>
        <v>No</v>
      </c>
      <c r="AI3104" s="25"/>
      <c r="AU3104" s="19"/>
      <c r="AV3104" s="19"/>
      <c r="AW3104" s="19"/>
      <c r="BU3104"/>
      <c r="BV3104"/>
      <c r="BW3104"/>
      <c r="BX3104"/>
      <c r="BY3104"/>
      <c r="BZ3104"/>
      <c r="CA3104"/>
      <c r="CB3104"/>
      <c r="CC3104"/>
    </row>
    <row r="3105" spans="1:81" s="17" customFormat="1" x14ac:dyDescent="0.2">
      <c r="A3105" s="25"/>
      <c r="B3105" s="20">
        <v>39095003000</v>
      </c>
      <c r="C3105" s="20">
        <v>30</v>
      </c>
      <c r="D3105" s="20" t="s">
        <v>53</v>
      </c>
      <c r="E3105" s="20" t="s">
        <v>2839</v>
      </c>
      <c r="F3105" s="20" t="s">
        <v>6</v>
      </c>
      <c r="G3105" s="861">
        <v>15.5145256873904</v>
      </c>
      <c r="H3105" s="861">
        <v>9.5292770803512603</v>
      </c>
      <c r="I3105" s="861">
        <v>57.350240077478396</v>
      </c>
      <c r="J3105" s="861">
        <v>30.9917524047186</v>
      </c>
      <c r="K3105" s="982">
        <v>0</v>
      </c>
      <c r="L3105" s="735">
        <v>1869</v>
      </c>
      <c r="M3105" s="735">
        <v>1826</v>
      </c>
      <c r="N3105" s="845">
        <f t="shared" si="215"/>
        <v>-2.3006955591225255E-2</v>
      </c>
      <c r="O3105" s="735">
        <v>0.56752191036120248</v>
      </c>
      <c r="P3105" s="735">
        <f t="shared" si="216"/>
        <v>3217.496922432179</v>
      </c>
      <c r="Q3105" s="849">
        <v>38.799999999999997</v>
      </c>
      <c r="R3105" s="71">
        <v>17634</v>
      </c>
      <c r="S3105" s="845">
        <v>0.62465602641717111</v>
      </c>
      <c r="T3105" s="845">
        <v>0.14499999999999999</v>
      </c>
      <c r="U3105" s="845">
        <v>0</v>
      </c>
      <c r="V3105" s="845">
        <v>0.11199999999999999</v>
      </c>
      <c r="W3105" s="845">
        <v>0.61053837342497141</v>
      </c>
      <c r="X3105" s="845">
        <v>0.47654784240150094</v>
      </c>
      <c r="Y3105" s="845">
        <v>0.43537787513691129</v>
      </c>
      <c r="Z3105" s="845">
        <v>0.41566265060240964</v>
      </c>
      <c r="AA3105" s="845">
        <v>9.8576122672508221E-3</v>
      </c>
      <c r="AB3105" s="845">
        <v>2.0810514786418401E-2</v>
      </c>
      <c r="AC3105" s="845">
        <v>0</v>
      </c>
      <c r="AD3105" s="845">
        <v>5.4764512595837896E-3</v>
      </c>
      <c r="AE3105" s="845">
        <v>0.11281489594742607</v>
      </c>
      <c r="AF3105" s="845">
        <v>0.10131434830230011</v>
      </c>
      <c r="AG3105" s="845">
        <v>0.42880613362541076</v>
      </c>
      <c r="AH3105" s="20" t="str">
        <f t="shared" si="217"/>
        <v>No</v>
      </c>
      <c r="AI3105" s="25"/>
      <c r="AU3105" s="19"/>
      <c r="AV3105" s="19"/>
      <c r="AW3105" s="19"/>
      <c r="BU3105"/>
      <c r="BV3105"/>
      <c r="BW3105"/>
      <c r="BX3105"/>
      <c r="BY3105"/>
      <c r="BZ3105"/>
      <c r="CA3105"/>
      <c r="CB3105"/>
      <c r="CC3105"/>
    </row>
    <row r="3106" spans="1:81" s="17" customFormat="1" x14ac:dyDescent="0.2">
      <c r="A3106" s="25"/>
      <c r="B3106" s="20">
        <v>39093023600</v>
      </c>
      <c r="C3106" s="20">
        <v>236</v>
      </c>
      <c r="D3106" s="20" t="s">
        <v>52</v>
      </c>
      <c r="E3106" s="20" t="s">
        <v>2829</v>
      </c>
      <c r="F3106" s="20" t="s">
        <v>6</v>
      </c>
      <c r="G3106" s="861">
        <v>15.500102316530301</v>
      </c>
      <c r="H3106" s="861">
        <v>4.7938105531133397</v>
      </c>
      <c r="I3106" s="861">
        <v>44.923744364570801</v>
      </c>
      <c r="J3106" s="861">
        <v>48.9238091619046</v>
      </c>
      <c r="K3106" s="982">
        <v>0</v>
      </c>
      <c r="L3106" s="735">
        <v>2844</v>
      </c>
      <c r="M3106" s="735">
        <v>2691</v>
      </c>
      <c r="N3106" s="845">
        <f t="shared" si="215"/>
        <v>-5.3797468354430382E-2</v>
      </c>
      <c r="O3106" s="735">
        <v>0.58280460600261219</v>
      </c>
      <c r="P3106" s="735">
        <f t="shared" si="216"/>
        <v>4617.327955688701</v>
      </c>
      <c r="Q3106" s="849">
        <v>41.5</v>
      </c>
      <c r="R3106" s="71">
        <v>43375</v>
      </c>
      <c r="S3106" s="845">
        <v>0.28019323671497587</v>
      </c>
      <c r="T3106" s="845">
        <v>6.4000000000000001E-2</v>
      </c>
      <c r="U3106" s="845">
        <v>6.2E-2</v>
      </c>
      <c r="V3106" s="845">
        <v>3.7000000000000005E-2</v>
      </c>
      <c r="W3106" s="845">
        <v>0.36135181975736569</v>
      </c>
      <c r="X3106" s="845">
        <v>0.46522781774580335</v>
      </c>
      <c r="Y3106" s="845">
        <v>0.57302118171683392</v>
      </c>
      <c r="Z3106" s="845">
        <v>0.13563730955035302</v>
      </c>
      <c r="AA3106" s="845">
        <v>0</v>
      </c>
      <c r="AB3106" s="845">
        <v>0</v>
      </c>
      <c r="AC3106" s="845">
        <v>0</v>
      </c>
      <c r="AD3106" s="845">
        <v>0.12263099219620958</v>
      </c>
      <c r="AE3106" s="845">
        <v>0.16871051653660349</v>
      </c>
      <c r="AF3106" s="845">
        <v>0.38015607580824973</v>
      </c>
      <c r="AG3106" s="845">
        <v>0.46116685247120032</v>
      </c>
      <c r="AH3106" s="20" t="str">
        <f t="shared" si="217"/>
        <v>No</v>
      </c>
      <c r="AI3106" s="25"/>
      <c r="AU3106" s="19"/>
      <c r="AV3106" s="19"/>
      <c r="AW3106" s="19"/>
      <c r="BU3106"/>
      <c r="BV3106"/>
      <c r="BW3106"/>
      <c r="BX3106"/>
      <c r="BY3106"/>
      <c r="BZ3106"/>
      <c r="CA3106"/>
      <c r="CB3106"/>
      <c r="CC3106"/>
    </row>
    <row r="3107" spans="1:81" s="17" customFormat="1" x14ac:dyDescent="0.2">
      <c r="A3107" s="25"/>
      <c r="B3107" s="20">
        <v>39093022601</v>
      </c>
      <c r="C3107" s="20">
        <v>226.01</v>
      </c>
      <c r="D3107" s="20" t="s">
        <v>52</v>
      </c>
      <c r="E3107" s="20" t="s">
        <v>2829</v>
      </c>
      <c r="F3107" s="20" t="s">
        <v>6</v>
      </c>
      <c r="G3107" s="861">
        <v>15.3542624617569</v>
      </c>
      <c r="H3107" s="861">
        <v>29.883622123486301</v>
      </c>
      <c r="I3107" s="861">
        <v>51.060274502525701</v>
      </c>
      <c r="J3107" s="861">
        <v>47.731963618776902</v>
      </c>
      <c r="K3107" s="982">
        <v>0</v>
      </c>
      <c r="L3107" s="735">
        <v>2764</v>
      </c>
      <c r="M3107" s="735">
        <v>2916</v>
      </c>
      <c r="N3107" s="845">
        <f t="shared" si="215"/>
        <v>5.4992764109985527E-2</v>
      </c>
      <c r="O3107" s="735">
        <v>1.1224028360500853</v>
      </c>
      <c r="P3107" s="735">
        <f t="shared" si="216"/>
        <v>2597.9977119996147</v>
      </c>
      <c r="Q3107" s="849">
        <v>40.200000000000003</v>
      </c>
      <c r="R3107" s="71">
        <v>47355</v>
      </c>
      <c r="S3107" s="845">
        <v>0.24416517055655296</v>
      </c>
      <c r="T3107" s="845">
        <v>3.2000000000000001E-2</v>
      </c>
      <c r="U3107" s="845">
        <v>0</v>
      </c>
      <c r="V3107" s="845">
        <v>1.9E-2</v>
      </c>
      <c r="W3107" s="845">
        <v>0.54531607006854532</v>
      </c>
      <c r="X3107" s="845">
        <v>0.5544692737430168</v>
      </c>
      <c r="Y3107" s="845">
        <v>0.4660493827160494</v>
      </c>
      <c r="Z3107" s="845">
        <v>0.39231824417009603</v>
      </c>
      <c r="AA3107" s="845">
        <v>4.11522633744856E-3</v>
      </c>
      <c r="AB3107" s="845">
        <v>1.1659807956104253E-2</v>
      </c>
      <c r="AC3107" s="845">
        <v>0</v>
      </c>
      <c r="AD3107" s="845">
        <v>1.5089163237311385E-2</v>
      </c>
      <c r="AE3107" s="845">
        <v>0.1107681755829904</v>
      </c>
      <c r="AF3107" s="845">
        <v>0.26303155006858708</v>
      </c>
      <c r="AG3107" s="845">
        <v>0.41289437585733885</v>
      </c>
      <c r="AH3107" s="20" t="str">
        <f t="shared" si="217"/>
        <v>No</v>
      </c>
      <c r="AI3107" s="25"/>
      <c r="AU3107" s="19"/>
      <c r="AV3107" s="19"/>
      <c r="AW3107" s="19"/>
      <c r="BU3107"/>
      <c r="BV3107"/>
      <c r="BW3107"/>
      <c r="BX3107"/>
      <c r="BY3107"/>
      <c r="BZ3107"/>
      <c r="CA3107"/>
      <c r="CB3107"/>
      <c r="CC3107"/>
    </row>
    <row r="3108" spans="1:81" s="17" customFormat="1" x14ac:dyDescent="0.2">
      <c r="A3108" s="25"/>
      <c r="B3108" s="20">
        <v>39155930500</v>
      </c>
      <c r="C3108" s="20">
        <v>9305</v>
      </c>
      <c r="D3108" s="20" t="s">
        <v>83</v>
      </c>
      <c r="E3108" s="20" t="s">
        <v>2842</v>
      </c>
      <c r="F3108" s="20" t="s">
        <v>8</v>
      </c>
      <c r="G3108" s="861">
        <v>15.276545632789899</v>
      </c>
      <c r="H3108" s="861">
        <v>25.996367073867798</v>
      </c>
      <c r="I3108" s="861">
        <v>29.3604603714363</v>
      </c>
      <c r="J3108" s="861">
        <v>39.991380595989803</v>
      </c>
      <c r="K3108" s="982">
        <v>0</v>
      </c>
      <c r="L3108" s="735">
        <v>6044</v>
      </c>
      <c r="M3108" s="735">
        <v>6365</v>
      </c>
      <c r="N3108" s="845">
        <f t="shared" si="215"/>
        <v>5.3110522832561215E-2</v>
      </c>
      <c r="O3108" s="735">
        <v>53.891231184069028</v>
      </c>
      <c r="P3108" s="735">
        <f t="shared" si="216"/>
        <v>118.10826845391462</v>
      </c>
      <c r="Q3108" s="849">
        <v>24.6</v>
      </c>
      <c r="R3108" s="71">
        <v>60560</v>
      </c>
      <c r="S3108" s="845">
        <v>0.23742138364779874</v>
      </c>
      <c r="T3108" s="845">
        <v>1.7000000000000001E-2</v>
      </c>
      <c r="U3108" s="845">
        <v>6.9999999999999993E-3</v>
      </c>
      <c r="V3108" s="845">
        <v>0</v>
      </c>
      <c r="W3108" s="845">
        <v>0.10756722951844903</v>
      </c>
      <c r="X3108" s="845">
        <v>0.20348837209302326</v>
      </c>
      <c r="Y3108" s="845">
        <v>0.98915946582875103</v>
      </c>
      <c r="Z3108" s="845">
        <v>4.0848389630793397E-3</v>
      </c>
      <c r="AA3108" s="845">
        <v>1.5710919088766692E-4</v>
      </c>
      <c r="AB3108" s="845">
        <v>0</v>
      </c>
      <c r="AC3108" s="845">
        <v>0</v>
      </c>
      <c r="AD3108" s="845">
        <v>9.4265514532600159E-4</v>
      </c>
      <c r="AE3108" s="845">
        <v>5.6559308719560091E-3</v>
      </c>
      <c r="AF3108" s="845">
        <v>9.5836606441476822E-3</v>
      </c>
      <c r="AG3108" s="845">
        <v>0.98240377062058126</v>
      </c>
      <c r="AH3108" s="20" t="str">
        <f t="shared" si="217"/>
        <v>Yes</v>
      </c>
      <c r="AI3108" s="25"/>
      <c r="AU3108" s="19"/>
      <c r="AV3108" s="19"/>
      <c r="AW3108" s="19"/>
      <c r="BU3108"/>
      <c r="BV3108"/>
      <c r="BW3108"/>
      <c r="BX3108"/>
      <c r="BY3108"/>
      <c r="BZ3108"/>
      <c r="CA3108"/>
      <c r="CB3108"/>
      <c r="CC3108"/>
    </row>
    <row r="3109" spans="1:81" s="17" customFormat="1" x14ac:dyDescent="0.2">
      <c r="A3109" s="25"/>
      <c r="B3109" s="20">
        <v>39095001500</v>
      </c>
      <c r="C3109" s="20">
        <v>15</v>
      </c>
      <c r="D3109" s="20" t="s">
        <v>53</v>
      </c>
      <c r="E3109" s="20" t="s">
        <v>2839</v>
      </c>
      <c r="F3109" s="20" t="s">
        <v>6</v>
      </c>
      <c r="G3109" s="861">
        <v>15.264912483725601</v>
      </c>
      <c r="H3109" s="861">
        <v>30.870586564051099</v>
      </c>
      <c r="I3109" s="861">
        <v>93.703126257690201</v>
      </c>
      <c r="J3109" s="861">
        <v>34.4674321675584</v>
      </c>
      <c r="K3109" s="982">
        <v>0</v>
      </c>
      <c r="L3109" s="735">
        <v>1549</v>
      </c>
      <c r="M3109" s="735">
        <v>1199</v>
      </c>
      <c r="N3109" s="845">
        <f t="shared" si="215"/>
        <v>-0.22595222724338282</v>
      </c>
      <c r="O3109" s="735">
        <v>0.5836536446493571</v>
      </c>
      <c r="P3109" s="735">
        <f t="shared" si="216"/>
        <v>2054.3005444955729</v>
      </c>
      <c r="Q3109" s="849">
        <v>34.5</v>
      </c>
      <c r="R3109" s="71">
        <v>23690</v>
      </c>
      <c r="S3109" s="845">
        <v>0.56880733944954132</v>
      </c>
      <c r="T3109" s="845">
        <v>0.188</v>
      </c>
      <c r="U3109" s="845">
        <v>0</v>
      </c>
      <c r="V3109" s="845">
        <v>0.223</v>
      </c>
      <c r="W3109" s="845">
        <v>0.54797047970479706</v>
      </c>
      <c r="X3109" s="845">
        <v>0.79797979797979801</v>
      </c>
      <c r="Y3109" s="845">
        <v>7.9232693911592988E-2</v>
      </c>
      <c r="Z3109" s="845">
        <v>0.82568807339449546</v>
      </c>
      <c r="AA3109" s="845">
        <v>0</v>
      </c>
      <c r="AB3109" s="845">
        <v>0</v>
      </c>
      <c r="AC3109" s="845">
        <v>0</v>
      </c>
      <c r="AD3109" s="845">
        <v>5.0041701417848205E-3</v>
      </c>
      <c r="AE3109" s="845">
        <v>9.0075062552126772E-2</v>
      </c>
      <c r="AF3109" s="845">
        <v>4.0033361134278564E-2</v>
      </c>
      <c r="AG3109" s="845">
        <v>7.9232693911592988E-2</v>
      </c>
      <c r="AH3109" s="20" t="str">
        <f t="shared" si="217"/>
        <v>No</v>
      </c>
      <c r="AI3109" s="25"/>
      <c r="AU3109" s="19"/>
      <c r="AV3109" s="19"/>
      <c r="AW3109" s="19"/>
      <c r="BU3109"/>
      <c r="BV3109"/>
      <c r="BW3109"/>
      <c r="BX3109"/>
      <c r="BY3109"/>
      <c r="BZ3109"/>
      <c r="CA3109"/>
      <c r="CB3109"/>
      <c r="CC3109"/>
    </row>
    <row r="3110" spans="1:81" s="17" customFormat="1" x14ac:dyDescent="0.2">
      <c r="A3110" s="25"/>
      <c r="B3110" s="20">
        <v>39025041701</v>
      </c>
      <c r="C3110" s="20">
        <v>417.01</v>
      </c>
      <c r="D3110" s="20" t="s">
        <v>19</v>
      </c>
      <c r="E3110" s="20" t="s">
        <v>2828</v>
      </c>
      <c r="F3110" s="20" t="s">
        <v>8</v>
      </c>
      <c r="G3110" s="861">
        <v>15.2246909579221</v>
      </c>
      <c r="H3110" s="861">
        <v>31.4416366962298</v>
      </c>
      <c r="I3110" s="861">
        <v>34.421538137716396</v>
      </c>
      <c r="J3110" s="861">
        <v>50.3782736288641</v>
      </c>
      <c r="K3110" s="982">
        <v>0</v>
      </c>
      <c r="L3110" s="735">
        <v>4688</v>
      </c>
      <c r="M3110" s="735">
        <v>4282</v>
      </c>
      <c r="N3110" s="845">
        <f t="shared" si="215"/>
        <v>-8.660409556313993E-2</v>
      </c>
      <c r="O3110" s="735">
        <v>12.186838185909664</v>
      </c>
      <c r="P3110" s="735">
        <f t="shared" si="216"/>
        <v>351.36266968333246</v>
      </c>
      <c r="Q3110" s="849">
        <v>34.299999999999997</v>
      </c>
      <c r="R3110" s="71">
        <v>63656</v>
      </c>
      <c r="S3110" s="845">
        <v>0.26798773295588585</v>
      </c>
      <c r="T3110" s="845">
        <v>0.109</v>
      </c>
      <c r="U3110" s="845">
        <v>0</v>
      </c>
      <c r="V3110" s="845">
        <v>0</v>
      </c>
      <c r="W3110" s="845">
        <v>0.24008069939475454</v>
      </c>
      <c r="X3110" s="845">
        <v>0.27731092436974791</v>
      </c>
      <c r="Y3110" s="845">
        <v>0.93204110228865011</v>
      </c>
      <c r="Z3110" s="845">
        <v>0</v>
      </c>
      <c r="AA3110" s="845">
        <v>0</v>
      </c>
      <c r="AB3110" s="845">
        <v>3.0359645025688931E-3</v>
      </c>
      <c r="AC3110" s="845">
        <v>0</v>
      </c>
      <c r="AD3110" s="845">
        <v>2.2652965903783278E-2</v>
      </c>
      <c r="AE3110" s="845">
        <v>4.2269967304997665E-2</v>
      </c>
      <c r="AF3110" s="845">
        <v>5.7449789817842128E-2</v>
      </c>
      <c r="AG3110" s="845">
        <v>0.87669313404950955</v>
      </c>
      <c r="AH3110" s="20" t="str">
        <f t="shared" si="217"/>
        <v>No</v>
      </c>
      <c r="AI3110" s="25"/>
      <c r="AU3110" s="19"/>
      <c r="AV3110" s="19"/>
      <c r="AW3110" s="19"/>
      <c r="BU3110"/>
      <c r="BV3110"/>
      <c r="BW3110"/>
      <c r="BX3110"/>
      <c r="BY3110"/>
      <c r="BZ3110"/>
      <c r="CA3110"/>
      <c r="CB3110"/>
      <c r="CC3110"/>
    </row>
    <row r="3111" spans="1:81" s="17" customFormat="1" x14ac:dyDescent="0.2">
      <c r="A3111" s="25"/>
      <c r="B3111" s="20">
        <v>39095001400</v>
      </c>
      <c r="C3111" s="20">
        <v>14</v>
      </c>
      <c r="D3111" s="20" t="s">
        <v>53</v>
      </c>
      <c r="E3111" s="20" t="s">
        <v>2839</v>
      </c>
      <c r="F3111" s="20" t="s">
        <v>8</v>
      </c>
      <c r="G3111" s="861">
        <v>15.1928325421576</v>
      </c>
      <c r="H3111" s="861">
        <v>32.102989227384597</v>
      </c>
      <c r="I3111" s="861">
        <v>80.367450092742104</v>
      </c>
      <c r="J3111" s="861">
        <v>41.799977528155097</v>
      </c>
      <c r="K3111" s="982">
        <v>0</v>
      </c>
      <c r="L3111" s="735">
        <v>1472</v>
      </c>
      <c r="M3111" s="735">
        <v>1516</v>
      </c>
      <c r="N3111" s="845">
        <f t="shared" si="215"/>
        <v>2.9891304347826088E-2</v>
      </c>
      <c r="O3111" s="735">
        <v>0.50130423185610684</v>
      </c>
      <c r="P3111" s="735">
        <f t="shared" si="216"/>
        <v>3024.1117143314859</v>
      </c>
      <c r="Q3111" s="849">
        <v>34.6</v>
      </c>
      <c r="R3111" s="71">
        <v>36829</v>
      </c>
      <c r="S3111" s="845">
        <v>0.22163588390501318</v>
      </c>
      <c r="T3111" s="845">
        <v>4.0999999999999995E-2</v>
      </c>
      <c r="U3111" s="845">
        <v>0</v>
      </c>
      <c r="V3111" s="845">
        <v>5.7000000000000002E-2</v>
      </c>
      <c r="W3111" s="845">
        <v>0.61143695014662758</v>
      </c>
      <c r="X3111" s="845">
        <v>0.51318944844124703</v>
      </c>
      <c r="Y3111" s="845">
        <v>0.10224274406332454</v>
      </c>
      <c r="Z3111" s="845">
        <v>0.7895778364116095</v>
      </c>
      <c r="AA3111" s="845">
        <v>3.2981530343007917E-3</v>
      </c>
      <c r="AB3111" s="845">
        <v>3.4960422163588391E-2</v>
      </c>
      <c r="AC3111" s="845">
        <v>0</v>
      </c>
      <c r="AD3111" s="845">
        <v>0</v>
      </c>
      <c r="AE3111" s="845">
        <v>6.9920844327176782E-2</v>
      </c>
      <c r="AF3111" s="845">
        <v>0</v>
      </c>
      <c r="AG3111" s="845">
        <v>0.10224274406332454</v>
      </c>
      <c r="AH3111" s="20" t="str">
        <f t="shared" si="217"/>
        <v>No</v>
      </c>
      <c r="AI3111" s="25"/>
      <c r="AU3111" s="19"/>
      <c r="AV3111" s="19"/>
      <c r="AW3111" s="19"/>
      <c r="BU3111"/>
      <c r="BV3111"/>
      <c r="BW3111"/>
      <c r="BX3111"/>
      <c r="BY3111"/>
      <c r="BZ3111"/>
      <c r="CA3111"/>
      <c r="CB3111"/>
      <c r="CC3111"/>
    </row>
    <row r="3112" spans="1:81" s="17" customFormat="1" x14ac:dyDescent="0.2">
      <c r="A3112" s="25"/>
      <c r="B3112" s="20">
        <v>39035114501</v>
      </c>
      <c r="C3112" s="20">
        <v>1145.01</v>
      </c>
      <c r="D3112" s="20" t="s">
        <v>24</v>
      </c>
      <c r="E3112" s="20" t="s">
        <v>2829</v>
      </c>
      <c r="F3112" s="20" t="s">
        <v>8</v>
      </c>
      <c r="G3112" s="861">
        <v>15.1384888706658</v>
      </c>
      <c r="H3112" s="861">
        <v>37.465131810567698</v>
      </c>
      <c r="I3112" s="861">
        <v>83.266796672259204</v>
      </c>
      <c r="J3112" s="861">
        <v>31.6114327407447</v>
      </c>
      <c r="K3112" s="982">
        <v>0</v>
      </c>
      <c r="L3112" s="735">
        <v>1224</v>
      </c>
      <c r="M3112" s="735">
        <v>723</v>
      </c>
      <c r="N3112" s="845">
        <f t="shared" si="215"/>
        <v>-0.40931372549019607</v>
      </c>
      <c r="O3112" s="735">
        <v>1.2189646693011267</v>
      </c>
      <c r="P3112" s="735">
        <f t="shared" si="216"/>
        <v>593.12629660917094</v>
      </c>
      <c r="Q3112" s="849">
        <v>49.4</v>
      </c>
      <c r="R3112" s="71">
        <v>27841</v>
      </c>
      <c r="S3112" s="845">
        <v>0.32226832641770403</v>
      </c>
      <c r="T3112" s="845">
        <v>0.13500000000000001</v>
      </c>
      <c r="U3112" s="845">
        <v>0</v>
      </c>
      <c r="V3112" s="845">
        <v>0</v>
      </c>
      <c r="W3112" s="845">
        <v>0.38274932614555257</v>
      </c>
      <c r="X3112" s="845">
        <v>0.4859154929577465</v>
      </c>
      <c r="Y3112" s="845">
        <v>3.5961272475795295E-2</v>
      </c>
      <c r="Z3112" s="845">
        <v>0.95573997233748276</v>
      </c>
      <c r="AA3112" s="845">
        <v>0</v>
      </c>
      <c r="AB3112" s="845">
        <v>0</v>
      </c>
      <c r="AC3112" s="845">
        <v>0</v>
      </c>
      <c r="AD3112" s="845">
        <v>0</v>
      </c>
      <c r="AE3112" s="845">
        <v>8.2987551867219917E-3</v>
      </c>
      <c r="AF3112" s="845">
        <v>8.2987551867219917E-3</v>
      </c>
      <c r="AG3112" s="845">
        <v>3.5961272475795295E-2</v>
      </c>
      <c r="AH3112" s="20" t="str">
        <f t="shared" si="217"/>
        <v>No</v>
      </c>
      <c r="AI3112" s="25"/>
      <c r="AU3112" s="19"/>
      <c r="AV3112" s="19"/>
      <c r="AW3112" s="19"/>
      <c r="BU3112"/>
      <c r="BV3112"/>
      <c r="BW3112"/>
      <c r="BX3112"/>
      <c r="BY3112"/>
      <c r="BZ3112"/>
      <c r="CA3112"/>
      <c r="CB3112"/>
      <c r="CC3112"/>
    </row>
    <row r="3113" spans="1:81" s="17" customFormat="1" x14ac:dyDescent="0.2">
      <c r="A3113" s="25"/>
      <c r="B3113" s="20">
        <v>39151701800</v>
      </c>
      <c r="C3113" s="20">
        <v>7018</v>
      </c>
      <c r="D3113" s="20" t="s">
        <v>81</v>
      </c>
      <c r="E3113" s="20" t="s">
        <v>2844</v>
      </c>
      <c r="F3113" s="20" t="s">
        <v>6</v>
      </c>
      <c r="G3113" s="861">
        <v>15.133661490879099</v>
      </c>
      <c r="H3113" s="861">
        <v>31.1502818227729</v>
      </c>
      <c r="I3113" s="861">
        <v>67.117996522757096</v>
      </c>
      <c r="J3113" s="861">
        <v>21.106716470672001</v>
      </c>
      <c r="K3113" s="982">
        <v>0</v>
      </c>
      <c r="L3113" s="735">
        <v>2406</v>
      </c>
      <c r="M3113" s="735">
        <v>2186</v>
      </c>
      <c r="N3113" s="845">
        <f t="shared" si="215"/>
        <v>-9.1438071487946804E-2</v>
      </c>
      <c r="O3113" s="735">
        <v>2.1092660537348955</v>
      </c>
      <c r="P3113" s="735">
        <f t="shared" si="216"/>
        <v>1036.3794534735109</v>
      </c>
      <c r="Q3113" s="849">
        <v>36</v>
      </c>
      <c r="R3113" s="71">
        <v>29276</v>
      </c>
      <c r="S3113" s="845">
        <v>0.45954692556634302</v>
      </c>
      <c r="T3113" s="845">
        <v>8.8000000000000009E-2</v>
      </c>
      <c r="U3113" s="845">
        <v>0</v>
      </c>
      <c r="V3113" s="845">
        <v>4.2000000000000003E-2</v>
      </c>
      <c r="W3113" s="845">
        <v>0.57906458797327398</v>
      </c>
      <c r="X3113" s="845">
        <v>0.5115384615384615</v>
      </c>
      <c r="Y3113" s="845">
        <v>0.45654162854528818</v>
      </c>
      <c r="Z3113" s="845">
        <v>0.47849954254345839</v>
      </c>
      <c r="AA3113" s="845">
        <v>4.5745654162854531E-4</v>
      </c>
      <c r="AB3113" s="845">
        <v>0</v>
      </c>
      <c r="AC3113" s="845">
        <v>0</v>
      </c>
      <c r="AD3113" s="845">
        <v>0</v>
      </c>
      <c r="AE3113" s="845">
        <v>6.4501372369624888E-2</v>
      </c>
      <c r="AF3113" s="845">
        <v>4.483074107959744E-2</v>
      </c>
      <c r="AG3113" s="845">
        <v>0.42314730100640441</v>
      </c>
      <c r="AH3113" s="20" t="str">
        <f t="shared" si="217"/>
        <v>No</v>
      </c>
      <c r="AI3113" s="25"/>
      <c r="AU3113" s="19"/>
      <c r="AV3113" s="19"/>
      <c r="AW3113" s="19"/>
      <c r="BU3113"/>
      <c r="BV3113"/>
      <c r="BW3113"/>
      <c r="BX3113"/>
      <c r="BY3113"/>
      <c r="BZ3113"/>
      <c r="CA3113"/>
      <c r="CB3113"/>
      <c r="CC3113"/>
    </row>
    <row r="3114" spans="1:81" s="17" customFormat="1" x14ac:dyDescent="0.2">
      <c r="A3114" s="25"/>
      <c r="B3114" s="20">
        <v>39035119900</v>
      </c>
      <c r="C3114" s="20">
        <v>1199</v>
      </c>
      <c r="D3114" s="20" t="s">
        <v>24</v>
      </c>
      <c r="E3114" s="20" t="s">
        <v>2829</v>
      </c>
      <c r="F3114" s="20" t="s">
        <v>6</v>
      </c>
      <c r="G3114" s="861">
        <v>14.849718403614601</v>
      </c>
      <c r="H3114" s="861">
        <v>28.928857632342702</v>
      </c>
      <c r="I3114" s="861">
        <v>85.606330227694897</v>
      </c>
      <c r="J3114" s="861">
        <v>24.5448979007258</v>
      </c>
      <c r="K3114" s="982">
        <v>0</v>
      </c>
      <c r="L3114" s="735">
        <v>1739</v>
      </c>
      <c r="M3114" s="735">
        <v>1794</v>
      </c>
      <c r="N3114" s="845">
        <f t="shared" si="215"/>
        <v>3.1627372052903967E-2</v>
      </c>
      <c r="O3114" s="735">
        <v>0.22076317562708811</v>
      </c>
      <c r="P3114" s="735">
        <f t="shared" si="216"/>
        <v>8126.3552895724533</v>
      </c>
      <c r="Q3114" s="849">
        <v>54.1</v>
      </c>
      <c r="R3114" s="71">
        <v>26239</v>
      </c>
      <c r="S3114" s="845">
        <v>0.55574136008918618</v>
      </c>
      <c r="T3114" s="845">
        <v>0.1</v>
      </c>
      <c r="U3114" s="845">
        <v>0</v>
      </c>
      <c r="V3114" s="845">
        <v>3.5000000000000003E-2</v>
      </c>
      <c r="W3114" s="845">
        <v>0.60750507099391482</v>
      </c>
      <c r="X3114" s="845">
        <v>0.41402337228714525</v>
      </c>
      <c r="Y3114" s="845">
        <v>1.6164994425863992E-2</v>
      </c>
      <c r="Z3114" s="845">
        <v>0.8940914158305463</v>
      </c>
      <c r="AA3114" s="845">
        <v>0</v>
      </c>
      <c r="AB3114" s="845">
        <v>0</v>
      </c>
      <c r="AC3114" s="845">
        <v>0</v>
      </c>
      <c r="AD3114" s="845">
        <v>3.6231884057971016E-2</v>
      </c>
      <c r="AE3114" s="845">
        <v>5.3511705685618728E-2</v>
      </c>
      <c r="AF3114" s="845">
        <v>4.0133779264214048E-2</v>
      </c>
      <c r="AG3114" s="845">
        <v>1.6164994425863992E-2</v>
      </c>
      <c r="AH3114" s="20" t="str">
        <f t="shared" si="217"/>
        <v>No</v>
      </c>
      <c r="AI3114" s="25"/>
      <c r="AU3114" s="19"/>
      <c r="AV3114" s="19"/>
      <c r="AW3114" s="19"/>
      <c r="BU3114"/>
      <c r="BV3114"/>
      <c r="BW3114"/>
      <c r="BX3114"/>
      <c r="BY3114"/>
      <c r="BZ3114"/>
      <c r="CA3114"/>
      <c r="CB3114"/>
      <c r="CC3114"/>
    </row>
    <row r="3115" spans="1:81" s="17" customFormat="1" x14ac:dyDescent="0.2">
      <c r="A3115" s="25"/>
      <c r="B3115" s="20">
        <v>39017014400</v>
      </c>
      <c r="C3115" s="20">
        <v>144</v>
      </c>
      <c r="D3115" s="20" t="s">
        <v>15</v>
      </c>
      <c r="E3115" s="20" t="s">
        <v>2828</v>
      </c>
      <c r="F3115" s="20" t="s">
        <v>6</v>
      </c>
      <c r="G3115" s="861">
        <v>14.7602581663613</v>
      </c>
      <c r="H3115" s="861">
        <v>12.9143527100365</v>
      </c>
      <c r="I3115" s="861">
        <v>58.039459937433399</v>
      </c>
      <c r="J3115" s="861">
        <v>27.2923901396913</v>
      </c>
      <c r="K3115" s="982">
        <v>0</v>
      </c>
      <c r="L3115" s="735">
        <v>1588</v>
      </c>
      <c r="M3115" s="735">
        <v>2287</v>
      </c>
      <c r="N3115" s="845">
        <f t="shared" si="215"/>
        <v>0.44017632241813603</v>
      </c>
      <c r="O3115" s="735">
        <v>0.54848900445338344</v>
      </c>
      <c r="P3115" s="735">
        <f t="shared" si="216"/>
        <v>4169.6369141970172</v>
      </c>
      <c r="Q3115" s="849">
        <v>34.1</v>
      </c>
      <c r="R3115" s="71">
        <v>16368</v>
      </c>
      <c r="S3115" s="845">
        <v>0.46382783882783885</v>
      </c>
      <c r="T3115" s="845">
        <v>0.151</v>
      </c>
      <c r="U3115" s="845">
        <v>0</v>
      </c>
      <c r="V3115" s="845">
        <v>1.4999999999999999E-2</v>
      </c>
      <c r="W3115" s="845">
        <v>0.88391376451077941</v>
      </c>
      <c r="X3115" s="845">
        <v>0.58911819887429639</v>
      </c>
      <c r="Y3115" s="845">
        <v>0.61303017052907738</v>
      </c>
      <c r="Z3115" s="845">
        <v>9.6633143856580672E-2</v>
      </c>
      <c r="AA3115" s="845">
        <v>2.6235242675994755E-3</v>
      </c>
      <c r="AB3115" s="845">
        <v>0</v>
      </c>
      <c r="AC3115" s="845">
        <v>2.1862702229995625E-3</v>
      </c>
      <c r="AD3115" s="845">
        <v>0.15391342369916922</v>
      </c>
      <c r="AE3115" s="845">
        <v>0.13161346742457367</v>
      </c>
      <c r="AF3115" s="845">
        <v>0.17533887188456493</v>
      </c>
      <c r="AG3115" s="845">
        <v>0.61171840839527769</v>
      </c>
      <c r="AH3115" s="20" t="str">
        <f t="shared" si="217"/>
        <v>No</v>
      </c>
      <c r="AI3115" s="25"/>
      <c r="AU3115" s="19"/>
      <c r="AV3115" s="19"/>
      <c r="AW3115" s="19"/>
      <c r="BU3115"/>
      <c r="BV3115"/>
      <c r="BW3115"/>
      <c r="BX3115"/>
      <c r="BY3115"/>
      <c r="BZ3115"/>
      <c r="CA3115"/>
      <c r="CB3115"/>
      <c r="CC3115"/>
    </row>
    <row r="3116" spans="1:81" s="17" customFormat="1" x14ac:dyDescent="0.2">
      <c r="A3116" s="25"/>
      <c r="B3116" s="20">
        <v>39139001600</v>
      </c>
      <c r="C3116" s="20">
        <v>16</v>
      </c>
      <c r="D3116" s="20" t="s">
        <v>75</v>
      </c>
      <c r="E3116" s="20" t="s">
        <v>2836</v>
      </c>
      <c r="F3116" s="20" t="s">
        <v>6</v>
      </c>
      <c r="G3116" s="861">
        <v>14.728625676514399</v>
      </c>
      <c r="H3116" s="861">
        <v>20.4162349189866</v>
      </c>
      <c r="I3116" s="861">
        <v>34.116785550878099</v>
      </c>
      <c r="J3116" s="861">
        <v>49.367075593932498</v>
      </c>
      <c r="K3116" s="982">
        <v>0</v>
      </c>
      <c r="L3116" s="735">
        <v>2218</v>
      </c>
      <c r="M3116" s="735">
        <v>1686</v>
      </c>
      <c r="N3116" s="845">
        <f t="shared" si="215"/>
        <v>-0.23985572587917042</v>
      </c>
      <c r="O3116" s="735">
        <v>1.412219610537131</v>
      </c>
      <c r="P3116" s="735">
        <f t="shared" si="216"/>
        <v>1193.8653077893021</v>
      </c>
      <c r="Q3116" s="849">
        <v>34.5</v>
      </c>
      <c r="R3116" s="71">
        <v>41094</v>
      </c>
      <c r="S3116" s="845">
        <v>0.22350090854027863</v>
      </c>
      <c r="T3116" s="845">
        <v>3.1E-2</v>
      </c>
      <c r="U3116" s="845">
        <v>1.8000000000000002E-2</v>
      </c>
      <c r="V3116" s="845">
        <v>0</v>
      </c>
      <c r="W3116" s="845">
        <v>0.32467532467532467</v>
      </c>
      <c r="X3116" s="845">
        <v>0.4177777777777778</v>
      </c>
      <c r="Y3116" s="845">
        <v>0.94424673784104385</v>
      </c>
      <c r="Z3116" s="845">
        <v>0</v>
      </c>
      <c r="AA3116" s="845">
        <v>2.3724792408066431E-3</v>
      </c>
      <c r="AB3116" s="845">
        <v>0</v>
      </c>
      <c r="AC3116" s="845">
        <v>0</v>
      </c>
      <c r="AD3116" s="845">
        <v>1.4827995255041519E-2</v>
      </c>
      <c r="AE3116" s="845">
        <v>3.8552787663107949E-2</v>
      </c>
      <c r="AF3116" s="845">
        <v>3.6773428232502965E-2</v>
      </c>
      <c r="AG3116" s="845">
        <v>0.93772241992882566</v>
      </c>
      <c r="AH3116" s="20" t="str">
        <f t="shared" si="217"/>
        <v>Yes</v>
      </c>
      <c r="AI3116" s="25"/>
      <c r="AU3116" s="19"/>
      <c r="AV3116" s="19"/>
      <c r="AW3116" s="19"/>
      <c r="BU3116"/>
      <c r="BV3116"/>
      <c r="BW3116"/>
      <c r="BX3116"/>
      <c r="BY3116"/>
      <c r="BZ3116"/>
      <c r="CA3116"/>
      <c r="CB3116"/>
      <c r="CC3116"/>
    </row>
    <row r="3117" spans="1:81" s="17" customFormat="1" x14ac:dyDescent="0.2">
      <c r="A3117" s="25"/>
      <c r="B3117" s="20">
        <v>39003011200</v>
      </c>
      <c r="C3117" s="20">
        <v>112</v>
      </c>
      <c r="D3117" s="20" t="s">
        <v>7</v>
      </c>
      <c r="E3117" s="20" t="s">
        <v>2835</v>
      </c>
      <c r="F3117" s="20" t="s">
        <v>8</v>
      </c>
      <c r="G3117" s="861">
        <v>14.708353762238</v>
      </c>
      <c r="H3117" s="861">
        <v>24.893370069846</v>
      </c>
      <c r="I3117" s="861">
        <v>49.802836961792003</v>
      </c>
      <c r="J3117" s="861">
        <v>39.128956269077896</v>
      </c>
      <c r="K3117" s="982">
        <v>0</v>
      </c>
      <c r="L3117" s="735">
        <v>2757</v>
      </c>
      <c r="M3117" s="735">
        <v>2596</v>
      </c>
      <c r="N3117" s="845">
        <f t="shared" si="215"/>
        <v>-5.8396808124773304E-2</v>
      </c>
      <c r="O3117" s="735">
        <v>5.7214857252761675</v>
      </c>
      <c r="P3117" s="735">
        <f t="shared" si="216"/>
        <v>453.72830146748203</v>
      </c>
      <c r="Q3117" s="849">
        <v>45.4</v>
      </c>
      <c r="R3117" s="71">
        <v>54201</v>
      </c>
      <c r="S3117" s="845">
        <v>0.12849584278155707</v>
      </c>
      <c r="T3117" s="845">
        <v>2.5000000000000001E-2</v>
      </c>
      <c r="U3117" s="845">
        <v>3.2000000000000001E-2</v>
      </c>
      <c r="V3117" s="845">
        <v>0</v>
      </c>
      <c r="W3117" s="845">
        <v>0.20408163265306123</v>
      </c>
      <c r="X3117" s="845">
        <v>0.10909090909090909</v>
      </c>
      <c r="Y3117" s="845">
        <v>0.76425269645608629</v>
      </c>
      <c r="Z3117" s="845">
        <v>0.20107858243451462</v>
      </c>
      <c r="AA3117" s="845">
        <v>0</v>
      </c>
      <c r="AB3117" s="845">
        <v>0</v>
      </c>
      <c r="AC3117" s="845">
        <v>0</v>
      </c>
      <c r="AD3117" s="845">
        <v>1.1171032357473035E-2</v>
      </c>
      <c r="AE3117" s="845">
        <v>2.3497688751926041E-2</v>
      </c>
      <c r="AF3117" s="845">
        <v>7.5500770416024654E-2</v>
      </c>
      <c r="AG3117" s="845">
        <v>0.70570107858243447</v>
      </c>
      <c r="AH3117" s="20" t="str">
        <f t="shared" si="217"/>
        <v>No</v>
      </c>
      <c r="AI3117" s="25"/>
      <c r="AU3117" s="19"/>
      <c r="AV3117" s="19"/>
      <c r="AW3117" s="19"/>
      <c r="BU3117"/>
      <c r="BV3117"/>
      <c r="BW3117"/>
      <c r="BX3117"/>
      <c r="BY3117"/>
      <c r="BZ3117"/>
      <c r="CA3117"/>
      <c r="CB3117"/>
      <c r="CC3117"/>
    </row>
    <row r="3118" spans="1:81" s="17" customFormat="1" x14ac:dyDescent="0.2">
      <c r="A3118" s="25"/>
      <c r="B3118" s="20">
        <v>39035120801</v>
      </c>
      <c r="C3118" s="20">
        <v>1208.01</v>
      </c>
      <c r="D3118" s="20" t="s">
        <v>24</v>
      </c>
      <c r="E3118" s="20" t="s">
        <v>2829</v>
      </c>
      <c r="F3118" s="20" t="s">
        <v>6</v>
      </c>
      <c r="G3118" s="861">
        <v>14.4053235820602</v>
      </c>
      <c r="H3118" s="861">
        <v>39.767089977052002</v>
      </c>
      <c r="I3118" s="861">
        <v>100</v>
      </c>
      <c r="J3118" s="861">
        <v>16.5489447187013</v>
      </c>
      <c r="K3118" s="982">
        <v>0</v>
      </c>
      <c r="L3118" s="735">
        <v>1964</v>
      </c>
      <c r="M3118" s="735">
        <v>1433</v>
      </c>
      <c r="N3118" s="845">
        <f t="shared" si="215"/>
        <v>-0.27036659877800406</v>
      </c>
      <c r="O3118" s="735">
        <v>0.23861538113393116</v>
      </c>
      <c r="P3118" s="735">
        <f t="shared" si="216"/>
        <v>6005.4804228889125</v>
      </c>
      <c r="Q3118" s="849">
        <v>59.7</v>
      </c>
      <c r="R3118" s="71">
        <v>28724</v>
      </c>
      <c r="S3118" s="845">
        <v>0.36566643405443128</v>
      </c>
      <c r="T3118" s="845">
        <v>5.2000000000000005E-2</v>
      </c>
      <c r="U3118" s="845">
        <v>4.9000000000000002E-2</v>
      </c>
      <c r="V3118" s="845">
        <v>0</v>
      </c>
      <c r="W3118" s="845">
        <v>0.50056497175141246</v>
      </c>
      <c r="X3118" s="845">
        <v>0.84424379232505642</v>
      </c>
      <c r="Y3118" s="845">
        <v>5.2337752965805999E-2</v>
      </c>
      <c r="Z3118" s="845">
        <v>0.94766224703419399</v>
      </c>
      <c r="AA3118" s="845">
        <v>0</v>
      </c>
      <c r="AB3118" s="845">
        <v>0</v>
      </c>
      <c r="AC3118" s="845">
        <v>0</v>
      </c>
      <c r="AD3118" s="845">
        <v>0</v>
      </c>
      <c r="AE3118" s="845">
        <v>0</v>
      </c>
      <c r="AF3118" s="845">
        <v>0</v>
      </c>
      <c r="AG3118" s="845">
        <v>5.2337752965805999E-2</v>
      </c>
      <c r="AH3118" s="20" t="str">
        <f t="shared" si="217"/>
        <v>No</v>
      </c>
      <c r="AI3118" s="25"/>
      <c r="AU3118" s="19"/>
      <c r="AV3118" s="19"/>
      <c r="AW3118" s="19"/>
      <c r="BU3118"/>
      <c r="BV3118"/>
      <c r="BW3118"/>
      <c r="BX3118"/>
      <c r="BY3118"/>
      <c r="BZ3118"/>
      <c r="CA3118"/>
      <c r="CB3118"/>
      <c r="CC3118"/>
    </row>
    <row r="3119" spans="1:81" s="17" customFormat="1" x14ac:dyDescent="0.2">
      <c r="A3119" s="25"/>
      <c r="B3119" s="20">
        <v>39095001202</v>
      </c>
      <c r="C3119" s="20">
        <v>12.02</v>
      </c>
      <c r="D3119" s="20" t="s">
        <v>53</v>
      </c>
      <c r="E3119" s="20" t="s">
        <v>2839</v>
      </c>
      <c r="F3119" s="20" t="s">
        <v>6</v>
      </c>
      <c r="G3119" s="861">
        <v>14.344993748056901</v>
      </c>
      <c r="H3119" s="861">
        <v>36.505118299593299</v>
      </c>
      <c r="I3119" s="861">
        <v>31.5674406400761</v>
      </c>
      <c r="J3119" s="861">
        <v>44.443211897334301</v>
      </c>
      <c r="K3119" s="982">
        <v>0</v>
      </c>
      <c r="L3119" s="735">
        <v>2957</v>
      </c>
      <c r="M3119" s="735">
        <v>2871</v>
      </c>
      <c r="N3119" s="845">
        <f t="shared" si="215"/>
        <v>-2.9083530605343254E-2</v>
      </c>
      <c r="O3119" s="735">
        <v>1.207900525844499</v>
      </c>
      <c r="P3119" s="735">
        <f t="shared" si="216"/>
        <v>2376.851353709571</v>
      </c>
      <c r="Q3119" s="849">
        <v>26.7</v>
      </c>
      <c r="R3119" s="71">
        <v>25768</v>
      </c>
      <c r="S3119" s="845">
        <v>0.37683089214380827</v>
      </c>
      <c r="T3119" s="845">
        <v>0.14300000000000002</v>
      </c>
      <c r="U3119" s="845">
        <v>0</v>
      </c>
      <c r="V3119" s="845">
        <v>0.05</v>
      </c>
      <c r="W3119" s="845">
        <v>0.7995310668229777</v>
      </c>
      <c r="X3119" s="845">
        <v>0.18181818181818182</v>
      </c>
      <c r="Y3119" s="845">
        <v>0.31522117729014282</v>
      </c>
      <c r="Z3119" s="845">
        <v>0.58934169278996862</v>
      </c>
      <c r="AA3119" s="845">
        <v>0</v>
      </c>
      <c r="AB3119" s="845">
        <v>0</v>
      </c>
      <c r="AC3119" s="845">
        <v>0</v>
      </c>
      <c r="AD3119" s="845">
        <v>2.0202020202020204E-2</v>
      </c>
      <c r="AE3119" s="845">
        <v>7.5235109717868343E-2</v>
      </c>
      <c r="AF3119" s="845">
        <v>5.7471264367816091E-2</v>
      </c>
      <c r="AG3119" s="845">
        <v>0.30163706025774989</v>
      </c>
      <c r="AH3119" s="20" t="str">
        <f t="shared" si="217"/>
        <v>No</v>
      </c>
      <c r="AI3119" s="25"/>
      <c r="AU3119" s="19"/>
      <c r="AV3119" s="19"/>
      <c r="AW3119" s="19"/>
      <c r="BU3119"/>
      <c r="BV3119"/>
      <c r="BW3119"/>
      <c r="BX3119"/>
      <c r="BY3119"/>
      <c r="BZ3119"/>
      <c r="CA3119"/>
      <c r="CB3119"/>
      <c r="CC3119"/>
    </row>
    <row r="3120" spans="1:81" s="17" customFormat="1" x14ac:dyDescent="0.2">
      <c r="A3120" s="25"/>
      <c r="B3120" s="20">
        <v>39035112100</v>
      </c>
      <c r="C3120" s="20">
        <v>1121</v>
      </c>
      <c r="D3120" s="20" t="s">
        <v>24</v>
      </c>
      <c r="E3120" s="20" t="s">
        <v>2829</v>
      </c>
      <c r="F3120" s="20" t="s">
        <v>6</v>
      </c>
      <c r="G3120" s="861">
        <v>14.274337094451401</v>
      </c>
      <c r="H3120" s="861">
        <v>24.4758271714866</v>
      </c>
      <c r="I3120" s="861">
        <v>64.391888941167196</v>
      </c>
      <c r="J3120" s="861">
        <v>26.742917525353299</v>
      </c>
      <c r="K3120" s="982">
        <v>0</v>
      </c>
      <c r="L3120" s="735">
        <v>1687</v>
      </c>
      <c r="M3120" s="735">
        <v>1618</v>
      </c>
      <c r="N3120" s="845">
        <f t="shared" si="215"/>
        <v>-4.090100770598696E-2</v>
      </c>
      <c r="O3120" s="735">
        <v>0.22954854414370265</v>
      </c>
      <c r="P3120" s="735">
        <f t="shared" si="216"/>
        <v>7048.6179994550303</v>
      </c>
      <c r="Q3120" s="849">
        <v>59.7</v>
      </c>
      <c r="R3120" s="71">
        <v>11511</v>
      </c>
      <c r="S3120" s="845">
        <v>0.53905160390516038</v>
      </c>
      <c r="T3120" s="845">
        <v>6.9000000000000006E-2</v>
      </c>
      <c r="U3120" s="845">
        <v>0</v>
      </c>
      <c r="V3120" s="845">
        <v>2.7000000000000003E-2</v>
      </c>
      <c r="W3120" s="845">
        <v>0.78466741826381059</v>
      </c>
      <c r="X3120" s="845">
        <v>0.35344827586206895</v>
      </c>
      <c r="Y3120" s="845">
        <v>8.3436341161928301E-2</v>
      </c>
      <c r="Z3120" s="845">
        <v>0.65389369592088997</v>
      </c>
      <c r="AA3120" s="845">
        <v>5.5624227441285539E-3</v>
      </c>
      <c r="AB3120" s="845">
        <v>6.180469715698393E-3</v>
      </c>
      <c r="AC3120" s="845">
        <v>0</v>
      </c>
      <c r="AD3120" s="845">
        <v>0</v>
      </c>
      <c r="AE3120" s="845">
        <v>0.25092707045735474</v>
      </c>
      <c r="AF3120" s="845">
        <v>0.15945611866501855</v>
      </c>
      <c r="AG3120" s="845">
        <v>8.3436341161928301E-2</v>
      </c>
      <c r="AH3120" s="20" t="str">
        <f t="shared" si="217"/>
        <v>No</v>
      </c>
      <c r="AI3120" s="25"/>
      <c r="AU3120" s="19"/>
      <c r="AV3120" s="19"/>
      <c r="AW3120" s="19"/>
      <c r="BU3120"/>
      <c r="BV3120"/>
      <c r="BW3120"/>
      <c r="BX3120"/>
      <c r="BY3120"/>
      <c r="BZ3120"/>
      <c r="CA3120"/>
      <c r="CB3120"/>
      <c r="CC3120"/>
    </row>
    <row r="3121" spans="1:81" s="17" customFormat="1" x14ac:dyDescent="0.2">
      <c r="A3121" s="25"/>
      <c r="B3121" s="20">
        <v>39099804300</v>
      </c>
      <c r="C3121" s="20">
        <v>8043</v>
      </c>
      <c r="D3121" s="20" t="s">
        <v>55</v>
      </c>
      <c r="E3121" s="20" t="s">
        <v>2842</v>
      </c>
      <c r="F3121" s="20" t="s">
        <v>6</v>
      </c>
      <c r="G3121" s="861">
        <v>14.0701223907104</v>
      </c>
      <c r="H3121" s="861">
        <v>21.0700169138746</v>
      </c>
      <c r="I3121" s="861">
        <v>77.616540588245002</v>
      </c>
      <c r="J3121" s="861">
        <v>3.0799590157637402</v>
      </c>
      <c r="K3121" s="982">
        <v>0</v>
      </c>
      <c r="L3121" s="735">
        <v>988</v>
      </c>
      <c r="M3121" s="735">
        <v>843</v>
      </c>
      <c r="N3121" s="845">
        <f t="shared" si="215"/>
        <v>-0.14676113360323886</v>
      </c>
      <c r="O3121" s="735">
        <v>0.41672855401641207</v>
      </c>
      <c r="P3121" s="735">
        <f t="shared" si="216"/>
        <v>2022.8995394608837</v>
      </c>
      <c r="Q3121" s="849">
        <v>30.3</v>
      </c>
      <c r="R3121" s="71"/>
      <c r="S3121" s="845">
        <v>0.53143534994068797</v>
      </c>
      <c r="T3121" s="845">
        <v>0.32799999999999996</v>
      </c>
      <c r="U3121" s="845">
        <v>0</v>
      </c>
      <c r="V3121" s="845">
        <v>0</v>
      </c>
      <c r="W3121" s="845">
        <v>0.41764705882352943</v>
      </c>
      <c r="X3121" s="845">
        <v>0.323943661971831</v>
      </c>
      <c r="Y3121" s="845">
        <v>0.48279952550415184</v>
      </c>
      <c r="Z3121" s="845">
        <v>0.42704626334519574</v>
      </c>
      <c r="AA3121" s="845">
        <v>0</v>
      </c>
      <c r="AB3121" s="845">
        <v>0</v>
      </c>
      <c r="AC3121" s="845">
        <v>0</v>
      </c>
      <c r="AD3121" s="845">
        <v>1.542111506524318E-2</v>
      </c>
      <c r="AE3121" s="845">
        <v>7.4733096085409248E-2</v>
      </c>
      <c r="AF3121" s="845">
        <v>0.13523131672597866</v>
      </c>
      <c r="AG3121" s="845">
        <v>0.44365361803084225</v>
      </c>
      <c r="AH3121" s="20" t="str">
        <f t="shared" si="217"/>
        <v>No</v>
      </c>
      <c r="AI3121" s="25"/>
      <c r="AU3121" s="19"/>
      <c r="AV3121" s="19"/>
      <c r="AW3121" s="19"/>
      <c r="BU3121"/>
      <c r="BV3121"/>
      <c r="BW3121"/>
      <c r="BX3121"/>
      <c r="BY3121"/>
      <c r="BZ3121"/>
      <c r="CA3121"/>
      <c r="CB3121"/>
      <c r="CC3121"/>
    </row>
    <row r="3122" spans="1:81" s="17" customFormat="1" x14ac:dyDescent="0.2">
      <c r="A3122" s="25"/>
      <c r="B3122" s="20">
        <v>39113003900</v>
      </c>
      <c r="C3122" s="20">
        <v>39</v>
      </c>
      <c r="D3122" s="20" t="s">
        <v>62</v>
      </c>
      <c r="E3122" s="20" t="s">
        <v>2833</v>
      </c>
      <c r="F3122" s="20" t="s">
        <v>6</v>
      </c>
      <c r="G3122" s="861">
        <v>14.018094139877499</v>
      </c>
      <c r="H3122" s="861">
        <v>31.254626548913802</v>
      </c>
      <c r="I3122" s="861">
        <v>80.425580889269597</v>
      </c>
      <c r="J3122" s="861">
        <v>14.9001303569871</v>
      </c>
      <c r="K3122" s="982">
        <v>0</v>
      </c>
      <c r="L3122" s="735">
        <v>2290</v>
      </c>
      <c r="M3122" s="735">
        <v>2212</v>
      </c>
      <c r="N3122" s="845">
        <f t="shared" si="215"/>
        <v>-3.4061135371179038E-2</v>
      </c>
      <c r="O3122" s="735">
        <v>0.53923954114214068</v>
      </c>
      <c r="P3122" s="735">
        <f t="shared" si="216"/>
        <v>4102.0730700030927</v>
      </c>
      <c r="Q3122" s="849">
        <v>38.799999999999997</v>
      </c>
      <c r="R3122" s="71">
        <v>29897</v>
      </c>
      <c r="S3122" s="845">
        <v>0.36980108499095843</v>
      </c>
      <c r="T3122" s="845">
        <v>0.114</v>
      </c>
      <c r="U3122" s="845">
        <v>0.26400000000000001</v>
      </c>
      <c r="V3122" s="845">
        <v>0</v>
      </c>
      <c r="W3122" s="845">
        <v>0.51059322033898302</v>
      </c>
      <c r="X3122" s="845">
        <v>0.4170124481327801</v>
      </c>
      <c r="Y3122" s="845">
        <v>2.2603978300180832E-2</v>
      </c>
      <c r="Z3122" s="845">
        <v>0.97694394213381552</v>
      </c>
      <c r="AA3122" s="845">
        <v>0</v>
      </c>
      <c r="AB3122" s="845">
        <v>0</v>
      </c>
      <c r="AC3122" s="845">
        <v>0</v>
      </c>
      <c r="AD3122" s="845">
        <v>0</v>
      </c>
      <c r="AE3122" s="845">
        <v>4.5207956600361662E-4</v>
      </c>
      <c r="AF3122" s="845">
        <v>0</v>
      </c>
      <c r="AG3122" s="845">
        <v>2.2603978300180832E-2</v>
      </c>
      <c r="AH3122" s="20" t="str">
        <f t="shared" si="217"/>
        <v>No</v>
      </c>
      <c r="AI3122" s="25"/>
      <c r="AU3122" s="19"/>
      <c r="AV3122" s="19"/>
      <c r="AW3122" s="19"/>
      <c r="BU3122"/>
      <c r="BV3122"/>
      <c r="BW3122"/>
      <c r="BX3122"/>
      <c r="BY3122"/>
      <c r="BZ3122"/>
      <c r="CA3122"/>
      <c r="CB3122"/>
      <c r="CC3122"/>
    </row>
    <row r="3123" spans="1:81" s="17" customFormat="1" x14ac:dyDescent="0.2">
      <c r="A3123" s="25"/>
      <c r="B3123" s="20">
        <v>39031961100</v>
      </c>
      <c r="C3123" s="20">
        <v>9611</v>
      </c>
      <c r="D3123" s="20" t="s">
        <v>22</v>
      </c>
      <c r="E3123" s="20" t="s">
        <v>265</v>
      </c>
      <c r="F3123" s="20" t="s">
        <v>8</v>
      </c>
      <c r="G3123" s="861">
        <v>13.9728704366537</v>
      </c>
      <c r="H3123" s="861">
        <v>31.950330484111401</v>
      </c>
      <c r="I3123" s="861">
        <v>18.411979961460499</v>
      </c>
      <c r="J3123" s="861">
        <v>46.0233755406461</v>
      </c>
      <c r="K3123" s="982">
        <v>0</v>
      </c>
      <c r="L3123" s="735">
        <v>4414</v>
      </c>
      <c r="M3123" s="735">
        <v>4580</v>
      </c>
      <c r="N3123" s="845">
        <f t="shared" si="215"/>
        <v>3.7607612143180785E-2</v>
      </c>
      <c r="O3123" s="735">
        <v>181.47242768616417</v>
      </c>
      <c r="P3123" s="735">
        <f t="shared" si="216"/>
        <v>25.237993773470574</v>
      </c>
      <c r="Q3123" s="849">
        <v>44.6</v>
      </c>
      <c r="R3123" s="71">
        <v>62363</v>
      </c>
      <c r="S3123" s="845">
        <v>0.12814847547503314</v>
      </c>
      <c r="T3123" s="845">
        <v>9.0000000000000011E-3</v>
      </c>
      <c r="U3123" s="845">
        <v>0</v>
      </c>
      <c r="V3123" s="845">
        <v>8.5999999999999993E-2</v>
      </c>
      <c r="W3123" s="845">
        <v>0.13799177921315325</v>
      </c>
      <c r="X3123" s="845">
        <v>0.42127659574468085</v>
      </c>
      <c r="Y3123" s="845">
        <v>0.95087336244541487</v>
      </c>
      <c r="Z3123" s="845">
        <v>1.7467248908296944E-3</v>
      </c>
      <c r="AA3123" s="845">
        <v>0</v>
      </c>
      <c r="AB3123" s="845">
        <v>2.7510917030567687E-2</v>
      </c>
      <c r="AC3123" s="845">
        <v>0</v>
      </c>
      <c r="AD3123" s="845">
        <v>8.7336244541484712E-3</v>
      </c>
      <c r="AE3123" s="845">
        <v>1.1135371179039301E-2</v>
      </c>
      <c r="AF3123" s="845">
        <v>3.9301310043668124E-3</v>
      </c>
      <c r="AG3123" s="845">
        <v>0.95</v>
      </c>
      <c r="AH3123" s="20" t="str">
        <f t="shared" si="217"/>
        <v>Yes</v>
      </c>
      <c r="AI3123" s="25"/>
      <c r="AU3123" s="19"/>
      <c r="AV3123" s="19"/>
      <c r="AW3123" s="19"/>
      <c r="BU3123"/>
      <c r="BV3123"/>
      <c r="BW3123"/>
      <c r="BX3123"/>
      <c r="BY3123"/>
      <c r="BZ3123"/>
      <c r="CA3123"/>
      <c r="CB3123"/>
      <c r="CC3123"/>
    </row>
    <row r="3124" spans="1:81" s="17" customFormat="1" x14ac:dyDescent="0.2">
      <c r="A3124" s="25"/>
      <c r="B3124" s="20">
        <v>39151701700</v>
      </c>
      <c r="C3124" s="20">
        <v>7017</v>
      </c>
      <c r="D3124" s="20" t="s">
        <v>81</v>
      </c>
      <c r="E3124" s="20" t="s">
        <v>2844</v>
      </c>
      <c r="F3124" s="20" t="s">
        <v>6</v>
      </c>
      <c r="G3124" s="861">
        <v>13.594529373495799</v>
      </c>
      <c r="H3124" s="861">
        <v>22.806805688734201</v>
      </c>
      <c r="I3124" s="861">
        <v>84.112858459163306</v>
      </c>
      <c r="J3124" s="861">
        <v>15.3523450513154</v>
      </c>
      <c r="K3124" s="982">
        <v>2</v>
      </c>
      <c r="L3124" s="735">
        <v>2840</v>
      </c>
      <c r="M3124" s="735">
        <v>2893</v>
      </c>
      <c r="N3124" s="845">
        <f t="shared" si="215"/>
        <v>1.8661971830985915E-2</v>
      </c>
      <c r="O3124" s="735">
        <v>0.41079956926906513</v>
      </c>
      <c r="P3124" s="735">
        <f t="shared" si="216"/>
        <v>7042.3637618401335</v>
      </c>
      <c r="Q3124" s="849">
        <v>28.3</v>
      </c>
      <c r="R3124" s="71">
        <v>28854</v>
      </c>
      <c r="S3124" s="845">
        <v>0.50177053824362605</v>
      </c>
      <c r="T3124" s="845">
        <v>0.18100000000000002</v>
      </c>
      <c r="U3124" s="845">
        <v>0</v>
      </c>
      <c r="V3124" s="845">
        <v>3.4000000000000002E-2</v>
      </c>
      <c r="W3124" s="845">
        <v>0.68355481727574752</v>
      </c>
      <c r="X3124" s="845">
        <v>0.47023086269744835</v>
      </c>
      <c r="Y3124" s="845">
        <v>0.49602488765986863</v>
      </c>
      <c r="Z3124" s="845">
        <v>0.35084687175941931</v>
      </c>
      <c r="AA3124" s="845">
        <v>6.9132388524023505E-4</v>
      </c>
      <c r="AB3124" s="845">
        <v>0</v>
      </c>
      <c r="AC3124" s="845">
        <v>0</v>
      </c>
      <c r="AD3124" s="845">
        <v>8.6415485655029385E-3</v>
      </c>
      <c r="AE3124" s="845">
        <v>0.1437953681299689</v>
      </c>
      <c r="AF3124" s="845">
        <v>8.1576218458347741E-2</v>
      </c>
      <c r="AG3124" s="845">
        <v>0.49602488765986863</v>
      </c>
      <c r="AH3124" s="20" t="str">
        <f t="shared" si="217"/>
        <v>No</v>
      </c>
      <c r="AI3124" s="25"/>
      <c r="AU3124" s="19"/>
      <c r="AV3124" s="19"/>
      <c r="AW3124" s="19"/>
      <c r="BU3124"/>
      <c r="BV3124"/>
      <c r="BW3124"/>
      <c r="BX3124"/>
      <c r="BY3124"/>
      <c r="BZ3124"/>
      <c r="CA3124"/>
      <c r="CB3124"/>
      <c r="CC3124"/>
    </row>
    <row r="3125" spans="1:81" s="17" customFormat="1" x14ac:dyDescent="0.2">
      <c r="A3125" s="25"/>
      <c r="B3125" s="20">
        <v>39151702100</v>
      </c>
      <c r="C3125" s="20">
        <v>7021</v>
      </c>
      <c r="D3125" s="20" t="s">
        <v>81</v>
      </c>
      <c r="E3125" s="20" t="s">
        <v>2844</v>
      </c>
      <c r="F3125" s="20" t="s">
        <v>6</v>
      </c>
      <c r="G3125" s="861">
        <v>13.523294203708399</v>
      </c>
      <c r="H3125" s="861">
        <v>27.0550085502129</v>
      </c>
      <c r="I3125" s="861">
        <v>60.905090892527198</v>
      </c>
      <c r="J3125" s="861">
        <v>27.447637882239398</v>
      </c>
      <c r="K3125" s="982">
        <v>0</v>
      </c>
      <c r="L3125" s="735">
        <v>3350</v>
      </c>
      <c r="M3125" s="735">
        <v>3268</v>
      </c>
      <c r="N3125" s="845">
        <f t="shared" si="215"/>
        <v>-2.4477611940298509E-2</v>
      </c>
      <c r="O3125" s="735">
        <v>0.97049982210149999</v>
      </c>
      <c r="P3125" s="735">
        <f t="shared" si="216"/>
        <v>3367.3370417766191</v>
      </c>
      <c r="Q3125" s="849">
        <v>32.6</v>
      </c>
      <c r="R3125" s="71">
        <v>38042</v>
      </c>
      <c r="S3125" s="845">
        <v>0.3295774647887324</v>
      </c>
      <c r="T3125" s="845">
        <v>0.13200000000000001</v>
      </c>
      <c r="U3125" s="845">
        <v>0</v>
      </c>
      <c r="V3125" s="845">
        <v>0</v>
      </c>
      <c r="W3125" s="845">
        <v>0.5078125</v>
      </c>
      <c r="X3125" s="845">
        <v>0.32615384615384613</v>
      </c>
      <c r="Y3125" s="845">
        <v>0.40361077111383109</v>
      </c>
      <c r="Z3125" s="845">
        <v>0.4694002447980416</v>
      </c>
      <c r="AA3125" s="845">
        <v>2.7539779681762548E-3</v>
      </c>
      <c r="AB3125" s="845">
        <v>0</v>
      </c>
      <c r="AC3125" s="845">
        <v>0</v>
      </c>
      <c r="AD3125" s="845">
        <v>0</v>
      </c>
      <c r="AE3125" s="845">
        <v>0.12423500611995104</v>
      </c>
      <c r="AF3125" s="845">
        <v>3.3353733170134639E-2</v>
      </c>
      <c r="AG3125" s="845">
        <v>0.40361077111383109</v>
      </c>
      <c r="AH3125" s="20" t="str">
        <f t="shared" si="217"/>
        <v>No</v>
      </c>
      <c r="AI3125" s="25"/>
      <c r="AU3125" s="19"/>
      <c r="AV3125" s="19"/>
      <c r="AW3125" s="19"/>
      <c r="BU3125"/>
      <c r="BV3125"/>
      <c r="BW3125"/>
      <c r="BX3125"/>
      <c r="BY3125"/>
      <c r="BZ3125"/>
      <c r="CA3125"/>
      <c r="CB3125"/>
      <c r="CC3125"/>
    </row>
    <row r="3126" spans="1:81" s="17" customFormat="1" x14ac:dyDescent="0.2">
      <c r="A3126" s="25"/>
      <c r="B3126" s="20">
        <v>39023000901</v>
      </c>
      <c r="C3126" s="20">
        <v>9.01</v>
      </c>
      <c r="D3126" s="20" t="s">
        <v>18</v>
      </c>
      <c r="E3126" s="20" t="s">
        <v>2838</v>
      </c>
      <c r="F3126" s="20" t="s">
        <v>6</v>
      </c>
      <c r="G3126" s="861">
        <v>13.463380299674</v>
      </c>
      <c r="H3126" s="861">
        <v>25.010639230056601</v>
      </c>
      <c r="I3126" s="861">
        <v>87.528128095320795</v>
      </c>
      <c r="J3126" s="861">
        <v>17.2747784986474</v>
      </c>
      <c r="K3126" s="982">
        <v>1</v>
      </c>
      <c r="L3126" s="735">
        <v>2618</v>
      </c>
      <c r="M3126" s="735">
        <v>1599</v>
      </c>
      <c r="N3126" s="845">
        <f t="shared" si="215"/>
        <v>-0.38922841864018337</v>
      </c>
      <c r="O3126" s="735">
        <v>0.57542233273032284</v>
      </c>
      <c r="P3126" s="735">
        <f t="shared" si="216"/>
        <v>2778.8285387063461</v>
      </c>
      <c r="Q3126" s="849">
        <v>42.1</v>
      </c>
      <c r="R3126" s="71">
        <v>23059</v>
      </c>
      <c r="S3126" s="845">
        <v>0.45084533500313084</v>
      </c>
      <c r="T3126" s="845">
        <v>0.14000000000000001</v>
      </c>
      <c r="U3126" s="845">
        <v>0</v>
      </c>
      <c r="V3126" s="845">
        <v>4.5999999999999999E-2</v>
      </c>
      <c r="W3126" s="845">
        <v>0.67746288798920373</v>
      </c>
      <c r="X3126" s="845">
        <v>0.58565737051792832</v>
      </c>
      <c r="Y3126" s="845">
        <v>0.68542839274546596</v>
      </c>
      <c r="Z3126" s="845">
        <v>0.22388993120700437</v>
      </c>
      <c r="AA3126" s="845">
        <v>1.3758599124452783E-2</v>
      </c>
      <c r="AB3126" s="845">
        <v>6.8792995622263915E-3</v>
      </c>
      <c r="AC3126" s="845">
        <v>2.5015634771732333E-3</v>
      </c>
      <c r="AD3126" s="845">
        <v>6.2539086929330832E-4</v>
      </c>
      <c r="AE3126" s="845">
        <v>6.6916823014383994E-2</v>
      </c>
      <c r="AF3126" s="845">
        <v>4.4402751719824891E-2</v>
      </c>
      <c r="AG3126" s="845">
        <v>0.68542839274546596</v>
      </c>
      <c r="AH3126" s="20" t="str">
        <f t="shared" si="217"/>
        <v>No</v>
      </c>
      <c r="AI3126" s="25"/>
      <c r="AU3126" s="19"/>
      <c r="AV3126" s="19"/>
      <c r="AW3126" s="19"/>
      <c r="BU3126"/>
      <c r="BV3126"/>
      <c r="BW3126"/>
      <c r="BX3126"/>
      <c r="BY3126"/>
      <c r="BZ3126"/>
      <c r="CA3126"/>
      <c r="CB3126"/>
      <c r="CC3126"/>
    </row>
    <row r="3127" spans="1:81" s="17" customFormat="1" x14ac:dyDescent="0.2">
      <c r="A3127" s="25"/>
      <c r="B3127" s="20">
        <v>39003014100</v>
      </c>
      <c r="C3127" s="20">
        <v>141</v>
      </c>
      <c r="D3127" s="20" t="s">
        <v>7</v>
      </c>
      <c r="E3127" s="20" t="s">
        <v>2835</v>
      </c>
      <c r="F3127" s="20" t="s">
        <v>6</v>
      </c>
      <c r="G3127" s="861">
        <v>13.3712348009282</v>
      </c>
      <c r="H3127" s="861">
        <v>13.3220913522659</v>
      </c>
      <c r="I3127" s="861">
        <v>49.4544941078574</v>
      </c>
      <c r="J3127" s="861">
        <v>17.803744710089902</v>
      </c>
      <c r="K3127" s="982">
        <v>0</v>
      </c>
      <c r="L3127" s="735">
        <v>2039</v>
      </c>
      <c r="M3127" s="735">
        <v>1897</v>
      </c>
      <c r="N3127" s="845">
        <f t="shared" si="215"/>
        <v>-6.9641981363413444E-2</v>
      </c>
      <c r="O3127" s="735">
        <v>1.0534399711973967</v>
      </c>
      <c r="P3127" s="735">
        <f t="shared" si="216"/>
        <v>1800.7670601712286</v>
      </c>
      <c r="Q3127" s="849">
        <v>38.4</v>
      </c>
      <c r="R3127" s="71">
        <v>26144</v>
      </c>
      <c r="S3127" s="845">
        <v>0.51080653663679498</v>
      </c>
      <c r="T3127" s="845">
        <v>8.5999999999999993E-2</v>
      </c>
      <c r="U3127" s="845">
        <v>0</v>
      </c>
      <c r="V3127" s="845">
        <v>1.8000000000000002E-2</v>
      </c>
      <c r="W3127" s="845">
        <v>0.85501858736059477</v>
      </c>
      <c r="X3127" s="845">
        <v>0.42318840579710143</v>
      </c>
      <c r="Y3127" s="845">
        <v>0.51186083289404327</v>
      </c>
      <c r="Z3127" s="845">
        <v>0.36847654190827622</v>
      </c>
      <c r="AA3127" s="845">
        <v>0</v>
      </c>
      <c r="AB3127" s="845">
        <v>5.2714812862414339E-3</v>
      </c>
      <c r="AC3127" s="845">
        <v>0</v>
      </c>
      <c r="AD3127" s="845">
        <v>3.479177648919346E-2</v>
      </c>
      <c r="AE3127" s="845">
        <v>7.9599367422245645E-2</v>
      </c>
      <c r="AF3127" s="845">
        <v>4.6389035318924618E-2</v>
      </c>
      <c r="AG3127" s="845">
        <v>0.51186083289404327</v>
      </c>
      <c r="AH3127" s="20" t="str">
        <f t="shared" si="217"/>
        <v>No</v>
      </c>
      <c r="AI3127" s="25"/>
      <c r="AU3127" s="19"/>
      <c r="AV3127" s="19"/>
      <c r="AW3127" s="19"/>
      <c r="BU3127"/>
      <c r="BV3127"/>
      <c r="BW3127"/>
      <c r="BX3127"/>
      <c r="BY3127"/>
      <c r="BZ3127"/>
      <c r="CA3127"/>
      <c r="CB3127"/>
      <c r="CC3127"/>
    </row>
    <row r="3128" spans="1:81" s="17" customFormat="1" x14ac:dyDescent="0.2">
      <c r="A3128" s="25"/>
      <c r="B3128" s="20">
        <v>39131952601</v>
      </c>
      <c r="C3128" s="20">
        <v>9526.01</v>
      </c>
      <c r="D3128" s="20" t="s">
        <v>71</v>
      </c>
      <c r="E3128" s="20" t="s">
        <v>265</v>
      </c>
      <c r="F3128" s="20" t="s">
        <v>8</v>
      </c>
      <c r="G3128" s="861">
        <v>13.3054686619242</v>
      </c>
      <c r="H3128" s="861">
        <v>21.8266555183577</v>
      </c>
      <c r="I3128" s="861">
        <v>29.181729323376</v>
      </c>
      <c r="J3128" s="861">
        <v>28.173324359876599</v>
      </c>
      <c r="K3128" s="982">
        <v>0</v>
      </c>
      <c r="L3128" s="735" t="s">
        <v>2466</v>
      </c>
      <c r="M3128" s="735">
        <v>2843</v>
      </c>
      <c r="N3128" s="845" t="str">
        <f t="shared" si="215"/>
        <v/>
      </c>
      <c r="O3128" s="735">
        <v>89.743309284921779</v>
      </c>
      <c r="P3128" s="735">
        <f t="shared" si="216"/>
        <v>31.679241858285994</v>
      </c>
      <c r="Q3128" s="849">
        <v>47.3</v>
      </c>
      <c r="R3128" s="71">
        <v>45721</v>
      </c>
      <c r="S3128" s="845">
        <v>0.20963770664790715</v>
      </c>
      <c r="T3128" s="845">
        <v>4.5999999999999999E-2</v>
      </c>
      <c r="U3128" s="845">
        <v>0</v>
      </c>
      <c r="V3128" s="845">
        <v>0</v>
      </c>
      <c r="W3128" s="845">
        <v>0.23981552651806304</v>
      </c>
      <c r="X3128" s="845">
        <v>0.49358974358974361</v>
      </c>
      <c r="Y3128" s="845">
        <v>0.9162856137882518</v>
      </c>
      <c r="Z3128" s="845">
        <v>0</v>
      </c>
      <c r="AA3128" s="845">
        <v>0</v>
      </c>
      <c r="AB3128" s="845">
        <v>7.3865634892718961E-3</v>
      </c>
      <c r="AC3128" s="845">
        <v>0</v>
      </c>
      <c r="AD3128" s="845">
        <v>0</v>
      </c>
      <c r="AE3128" s="845">
        <v>7.6327822722476263E-2</v>
      </c>
      <c r="AF3128" s="845">
        <v>0</v>
      </c>
      <c r="AG3128" s="845">
        <v>0.9162856137882518</v>
      </c>
      <c r="AH3128" s="20" t="str">
        <f t="shared" si="217"/>
        <v>Yes</v>
      </c>
      <c r="AI3128" s="25"/>
      <c r="AU3128" s="19"/>
      <c r="AV3128" s="19"/>
      <c r="AW3128" s="19"/>
      <c r="BU3128"/>
      <c r="BV3128"/>
      <c r="BW3128"/>
      <c r="BX3128"/>
      <c r="BY3128"/>
      <c r="BZ3128"/>
      <c r="CA3128"/>
      <c r="CB3128"/>
      <c r="CC3128"/>
    </row>
    <row r="3129" spans="1:81" s="17" customFormat="1" x14ac:dyDescent="0.2">
      <c r="A3129" s="25"/>
      <c r="B3129" s="20">
        <v>39095000900</v>
      </c>
      <c r="C3129" s="20">
        <v>9</v>
      </c>
      <c r="D3129" s="20" t="s">
        <v>53</v>
      </c>
      <c r="E3129" s="20" t="s">
        <v>2839</v>
      </c>
      <c r="F3129" s="20" t="s">
        <v>6</v>
      </c>
      <c r="G3129" s="861">
        <v>13.2451796300415</v>
      </c>
      <c r="H3129" s="861">
        <v>27.5349188682207</v>
      </c>
      <c r="I3129" s="861">
        <v>75.512346457700602</v>
      </c>
      <c r="J3129" s="861">
        <v>31.3220064093384</v>
      </c>
      <c r="K3129" s="982">
        <v>0</v>
      </c>
      <c r="L3129" s="735">
        <v>2692</v>
      </c>
      <c r="M3129" s="735">
        <v>2167</v>
      </c>
      <c r="N3129" s="845">
        <f t="shared" si="215"/>
        <v>-0.1950222882615156</v>
      </c>
      <c r="O3129" s="735">
        <v>1.6820416986393039</v>
      </c>
      <c r="P3129" s="735">
        <f t="shared" si="216"/>
        <v>1288.3152669479036</v>
      </c>
      <c r="Q3129" s="849">
        <v>32.9</v>
      </c>
      <c r="R3129" s="71">
        <v>32112</v>
      </c>
      <c r="S3129" s="845">
        <v>0.43875174662319516</v>
      </c>
      <c r="T3129" s="845">
        <v>0.121</v>
      </c>
      <c r="U3129" s="845">
        <v>0</v>
      </c>
      <c r="V3129" s="845">
        <v>0</v>
      </c>
      <c r="W3129" s="845">
        <v>0.38535414165666265</v>
      </c>
      <c r="X3129" s="845">
        <v>0.62928348909657317</v>
      </c>
      <c r="Y3129" s="845">
        <v>0.34517766497461927</v>
      </c>
      <c r="Z3129" s="845">
        <v>0.45454545454545453</v>
      </c>
      <c r="AA3129" s="845">
        <v>0</v>
      </c>
      <c r="AB3129" s="845">
        <v>0</v>
      </c>
      <c r="AC3129" s="845">
        <v>0</v>
      </c>
      <c r="AD3129" s="845">
        <v>3.7378864790032301E-2</v>
      </c>
      <c r="AE3129" s="845">
        <v>0.16289801568989387</v>
      </c>
      <c r="AF3129" s="845">
        <v>6.1836640516843559E-2</v>
      </c>
      <c r="AG3129" s="845">
        <v>0.33548684817720353</v>
      </c>
      <c r="AH3129" s="20" t="str">
        <f t="shared" si="217"/>
        <v>No</v>
      </c>
      <c r="AI3129" s="25"/>
      <c r="AU3129" s="19"/>
      <c r="AV3129" s="19"/>
      <c r="AW3129" s="19"/>
      <c r="BU3129"/>
      <c r="BV3129"/>
      <c r="BW3129"/>
      <c r="BX3129"/>
      <c r="BY3129"/>
      <c r="BZ3129"/>
      <c r="CA3129"/>
      <c r="CB3129"/>
      <c r="CC3129"/>
    </row>
    <row r="3130" spans="1:81" s="17" customFormat="1" x14ac:dyDescent="0.2">
      <c r="A3130" s="25"/>
      <c r="B3130" s="20">
        <v>39095003600</v>
      </c>
      <c r="C3130" s="20">
        <v>36</v>
      </c>
      <c r="D3130" s="20" t="s">
        <v>53</v>
      </c>
      <c r="E3130" s="20" t="s">
        <v>2839</v>
      </c>
      <c r="F3130" s="20" t="s">
        <v>8</v>
      </c>
      <c r="G3130" s="861">
        <v>12.500732800616101</v>
      </c>
      <c r="H3130" s="861">
        <v>15.0499484536957</v>
      </c>
      <c r="I3130" s="861">
        <v>83.290839446164497</v>
      </c>
      <c r="J3130" s="861">
        <v>35.942675424321102</v>
      </c>
      <c r="K3130" s="982">
        <v>0</v>
      </c>
      <c r="L3130" s="735">
        <v>1203</v>
      </c>
      <c r="M3130" s="735">
        <v>941</v>
      </c>
      <c r="N3130" s="845">
        <f t="shared" si="215"/>
        <v>-0.21778886118038238</v>
      </c>
      <c r="O3130" s="735">
        <v>0.43237881891280189</v>
      </c>
      <c r="P3130" s="735">
        <f t="shared" si="216"/>
        <v>2176.3323244327844</v>
      </c>
      <c r="Q3130" s="849">
        <v>43.8</v>
      </c>
      <c r="R3130" s="71">
        <v>31894</v>
      </c>
      <c r="S3130" s="845">
        <v>0.3188097768331562</v>
      </c>
      <c r="T3130" s="845">
        <v>0.20899999999999999</v>
      </c>
      <c r="U3130" s="845">
        <v>0</v>
      </c>
      <c r="V3130" s="845">
        <v>0.16</v>
      </c>
      <c r="W3130" s="845">
        <v>0.5</v>
      </c>
      <c r="X3130" s="845">
        <v>0.43881856540084391</v>
      </c>
      <c r="Y3130" s="845">
        <v>5.4197662061636558E-2</v>
      </c>
      <c r="Z3130" s="845">
        <v>0.8639744952178533</v>
      </c>
      <c r="AA3130" s="845">
        <v>0</v>
      </c>
      <c r="AB3130" s="845">
        <v>5.2072263549415514E-2</v>
      </c>
      <c r="AC3130" s="845">
        <v>0</v>
      </c>
      <c r="AD3130" s="845">
        <v>0</v>
      </c>
      <c r="AE3130" s="845">
        <v>2.975557917109458E-2</v>
      </c>
      <c r="AF3130" s="845">
        <v>0</v>
      </c>
      <c r="AG3130" s="845">
        <v>5.4197662061636558E-2</v>
      </c>
      <c r="AH3130" s="20" t="str">
        <f t="shared" si="217"/>
        <v>No</v>
      </c>
      <c r="AI3130" s="25"/>
      <c r="AU3130" s="19"/>
      <c r="AV3130" s="19"/>
      <c r="AW3130" s="19"/>
      <c r="BU3130"/>
      <c r="BV3130"/>
      <c r="BW3130"/>
      <c r="BX3130"/>
      <c r="BY3130"/>
      <c r="BZ3130"/>
      <c r="CA3130"/>
      <c r="CB3130"/>
      <c r="CC3130"/>
    </row>
    <row r="3131" spans="1:81" s="17" customFormat="1" x14ac:dyDescent="0.2">
      <c r="A3131" s="25"/>
      <c r="B3131" s="20">
        <v>39055312100</v>
      </c>
      <c r="C3131" s="20">
        <v>3121</v>
      </c>
      <c r="D3131" s="20" t="s">
        <v>34</v>
      </c>
      <c r="E3131" s="20" t="s">
        <v>2829</v>
      </c>
      <c r="F3131" s="20" t="s">
        <v>8</v>
      </c>
      <c r="G3131" s="861">
        <v>12.142110215990799</v>
      </c>
      <c r="H3131" s="861">
        <v>35.0951798714704</v>
      </c>
      <c r="I3131" s="861">
        <v>19.445449025269401</v>
      </c>
      <c r="J3131" s="861">
        <v>46.208924986420499</v>
      </c>
      <c r="K3131" s="982">
        <v>0</v>
      </c>
      <c r="L3131" s="735">
        <v>4164</v>
      </c>
      <c r="M3131" s="735">
        <v>4448</v>
      </c>
      <c r="N3131" s="845">
        <f t="shared" si="215"/>
        <v>6.8203650336215171E-2</v>
      </c>
      <c r="O3131" s="735">
        <v>26.843325933260754</v>
      </c>
      <c r="P3131" s="735">
        <f t="shared" si="216"/>
        <v>165.70226845432063</v>
      </c>
      <c r="Q3131" s="849">
        <v>23.9</v>
      </c>
      <c r="R3131" s="71">
        <v>93611</v>
      </c>
      <c r="S3131" s="845">
        <v>5.6654676258992807E-2</v>
      </c>
      <c r="T3131" s="845">
        <v>6.9999999999999993E-3</v>
      </c>
      <c r="U3131" s="845">
        <v>0</v>
      </c>
      <c r="V3131" s="845">
        <v>0</v>
      </c>
      <c r="W3131" s="845">
        <v>8.3035714285714282E-2</v>
      </c>
      <c r="X3131" s="845">
        <v>0</v>
      </c>
      <c r="Y3131" s="845">
        <v>0.95526079136690645</v>
      </c>
      <c r="Z3131" s="845">
        <v>5.8453237410071943E-3</v>
      </c>
      <c r="AA3131" s="845">
        <v>4.0467625899280575E-3</v>
      </c>
      <c r="AB3131" s="845">
        <v>0</v>
      </c>
      <c r="AC3131" s="845">
        <v>0</v>
      </c>
      <c r="AD3131" s="845">
        <v>4.721223021582734E-3</v>
      </c>
      <c r="AE3131" s="845">
        <v>3.012589928057554E-2</v>
      </c>
      <c r="AF3131" s="845">
        <v>4.721223021582734E-3</v>
      </c>
      <c r="AG3131" s="845">
        <v>0.95526079136690645</v>
      </c>
      <c r="AH3131" s="20" t="str">
        <f t="shared" si="217"/>
        <v>Yes</v>
      </c>
      <c r="AI3131" s="25"/>
      <c r="AU3131" s="19"/>
      <c r="AV3131" s="19"/>
      <c r="AW3131" s="19"/>
      <c r="BU3131"/>
      <c r="BV3131"/>
      <c r="BW3131"/>
      <c r="BX3131"/>
      <c r="BY3131"/>
      <c r="BZ3131"/>
      <c r="CA3131"/>
      <c r="CB3131"/>
      <c r="CC3131"/>
    </row>
    <row r="3132" spans="1:81" s="17" customFormat="1" x14ac:dyDescent="0.2">
      <c r="A3132" s="25"/>
      <c r="B3132" s="20">
        <v>39105964200</v>
      </c>
      <c r="C3132" s="20">
        <v>9642</v>
      </c>
      <c r="D3132" s="20" t="s">
        <v>58</v>
      </c>
      <c r="E3132" s="20" t="s">
        <v>265</v>
      </c>
      <c r="F3132" s="20" t="s">
        <v>8</v>
      </c>
      <c r="G3132" s="861">
        <v>12.133136302707801</v>
      </c>
      <c r="H3132" s="861">
        <v>24.013989563102101</v>
      </c>
      <c r="I3132" s="861">
        <v>17.893403982842901</v>
      </c>
      <c r="J3132" s="861">
        <v>28.543289270048199</v>
      </c>
      <c r="K3132" s="982">
        <v>0</v>
      </c>
      <c r="L3132" s="735">
        <v>4800</v>
      </c>
      <c r="M3132" s="735">
        <v>4248</v>
      </c>
      <c r="N3132" s="845">
        <f t="shared" si="215"/>
        <v>-0.115</v>
      </c>
      <c r="O3132" s="735">
        <v>110.64088707341595</v>
      </c>
      <c r="P3132" s="735">
        <f t="shared" si="216"/>
        <v>38.394486092480733</v>
      </c>
      <c r="Q3132" s="849">
        <v>47.1</v>
      </c>
      <c r="R3132" s="71">
        <v>56228</v>
      </c>
      <c r="S3132" s="845">
        <v>0.15545410860163383</v>
      </c>
      <c r="T3132" s="845">
        <v>6.5000000000000002E-2</v>
      </c>
      <c r="U3132" s="845">
        <v>3.6000000000000004E-2</v>
      </c>
      <c r="V3132" s="845">
        <v>0</v>
      </c>
      <c r="W3132" s="845">
        <v>0.10505581089954039</v>
      </c>
      <c r="X3132" s="845">
        <v>0.25</v>
      </c>
      <c r="Y3132" s="845">
        <v>0.95951035781544258</v>
      </c>
      <c r="Z3132" s="845">
        <v>9.6516007532956687E-3</v>
      </c>
      <c r="AA3132" s="845">
        <v>0</v>
      </c>
      <c r="AB3132" s="845">
        <v>0</v>
      </c>
      <c r="AC3132" s="845">
        <v>0</v>
      </c>
      <c r="AD3132" s="845">
        <v>2.8248587570621469E-3</v>
      </c>
      <c r="AE3132" s="845">
        <v>2.8013182674199624E-2</v>
      </c>
      <c r="AF3132" s="845">
        <v>1.5301318267419962E-2</v>
      </c>
      <c r="AG3132" s="845">
        <v>0.9442090395480226</v>
      </c>
      <c r="AH3132" s="20" t="str">
        <f t="shared" si="217"/>
        <v>Yes</v>
      </c>
      <c r="AI3132" s="25"/>
      <c r="AU3132" s="19"/>
      <c r="AV3132" s="19"/>
      <c r="AW3132" s="19"/>
      <c r="BU3132"/>
      <c r="BV3132"/>
      <c r="BW3132"/>
      <c r="BX3132"/>
      <c r="BY3132"/>
      <c r="BZ3132"/>
      <c r="CA3132"/>
      <c r="CB3132"/>
      <c r="CC3132"/>
    </row>
    <row r="3133" spans="1:81" s="17" customFormat="1" x14ac:dyDescent="0.2">
      <c r="A3133" s="25"/>
      <c r="B3133" s="20">
        <v>39105964300</v>
      </c>
      <c r="C3133" s="20">
        <v>9643</v>
      </c>
      <c r="D3133" s="20" t="s">
        <v>58</v>
      </c>
      <c r="E3133" s="20" t="s">
        <v>265</v>
      </c>
      <c r="F3133" s="20" t="s">
        <v>8</v>
      </c>
      <c r="G3133" s="861">
        <v>12.0182004858073</v>
      </c>
      <c r="H3133" s="861">
        <v>28.1554248923097</v>
      </c>
      <c r="I3133" s="861">
        <v>28.675757913723999</v>
      </c>
      <c r="J3133" s="861">
        <v>37.336613645219998</v>
      </c>
      <c r="K3133" s="982">
        <v>0</v>
      </c>
      <c r="L3133" s="735">
        <v>4658</v>
      </c>
      <c r="M3133" s="735">
        <v>4453</v>
      </c>
      <c r="N3133" s="845">
        <f t="shared" si="215"/>
        <v>-4.4010304851867757E-2</v>
      </c>
      <c r="O3133" s="735">
        <v>129.24451649316646</v>
      </c>
      <c r="P3133" s="735">
        <f t="shared" si="216"/>
        <v>34.454072952761933</v>
      </c>
      <c r="Q3133" s="849">
        <v>37.4</v>
      </c>
      <c r="R3133" s="71">
        <v>45656</v>
      </c>
      <c r="S3133" s="845">
        <v>0.21233034276512538</v>
      </c>
      <c r="T3133" s="845">
        <v>8.3000000000000004E-2</v>
      </c>
      <c r="U3133" s="845">
        <v>0</v>
      </c>
      <c r="V3133" s="845">
        <v>0</v>
      </c>
      <c r="W3133" s="845">
        <v>0.13318534961154274</v>
      </c>
      <c r="X3133" s="845">
        <v>0.35</v>
      </c>
      <c r="Y3133" s="845">
        <v>0.96451830226813384</v>
      </c>
      <c r="Z3133" s="845">
        <v>0</v>
      </c>
      <c r="AA3133" s="845">
        <v>0</v>
      </c>
      <c r="AB3133" s="845">
        <v>0</v>
      </c>
      <c r="AC3133" s="845">
        <v>0</v>
      </c>
      <c r="AD3133" s="845">
        <v>0</v>
      </c>
      <c r="AE3133" s="845">
        <v>3.5481697731866157E-2</v>
      </c>
      <c r="AF3133" s="845">
        <v>6.7370312149112955E-4</v>
      </c>
      <c r="AG3133" s="845">
        <v>0.96384459914664267</v>
      </c>
      <c r="AH3133" s="20" t="str">
        <f t="shared" si="217"/>
        <v>Yes</v>
      </c>
      <c r="AI3133" s="25"/>
      <c r="AU3133" s="19"/>
      <c r="AV3133" s="19"/>
      <c r="AW3133" s="19"/>
      <c r="BU3133"/>
      <c r="BV3133"/>
      <c r="BW3133"/>
      <c r="BX3133"/>
      <c r="BY3133"/>
      <c r="BZ3133"/>
      <c r="CA3133"/>
      <c r="CB3133"/>
      <c r="CC3133"/>
    </row>
    <row r="3134" spans="1:81" s="17" customFormat="1" x14ac:dyDescent="0.2">
      <c r="A3134" s="25"/>
      <c r="B3134" s="20">
        <v>39155934000</v>
      </c>
      <c r="C3134" s="20">
        <v>9340</v>
      </c>
      <c r="D3134" s="20" t="s">
        <v>83</v>
      </c>
      <c r="E3134" s="20" t="s">
        <v>2842</v>
      </c>
      <c r="F3134" s="20" t="s">
        <v>6</v>
      </c>
      <c r="G3134" s="861">
        <v>11.952251376386499</v>
      </c>
      <c r="H3134" s="861">
        <v>13.905872878127999</v>
      </c>
      <c r="I3134" s="861">
        <v>58.138068945504202</v>
      </c>
      <c r="J3134" s="861">
        <v>15.369278860817399</v>
      </c>
      <c r="K3134" s="982">
        <v>0</v>
      </c>
      <c r="L3134" s="735" t="s">
        <v>2466</v>
      </c>
      <c r="M3134" s="735">
        <v>4899</v>
      </c>
      <c r="N3134" s="845" t="str">
        <f t="shared" si="215"/>
        <v/>
      </c>
      <c r="O3134" s="735">
        <v>6.2586499673158738</v>
      </c>
      <c r="P3134" s="735">
        <f t="shared" si="216"/>
        <v>782.75666886368754</v>
      </c>
      <c r="Q3134" s="849">
        <v>29.5</v>
      </c>
      <c r="R3134" s="71">
        <v>24698</v>
      </c>
      <c r="S3134" s="845">
        <v>0.54149203688181058</v>
      </c>
      <c r="T3134" s="845">
        <v>0.105</v>
      </c>
      <c r="U3134" s="845">
        <v>0</v>
      </c>
      <c r="V3134" s="845">
        <v>0.10400000000000001</v>
      </c>
      <c r="W3134" s="845">
        <v>0.53665360940123108</v>
      </c>
      <c r="X3134" s="845">
        <v>0.4045881126173097</v>
      </c>
      <c r="Y3134" s="845">
        <v>0.3959991835068381</v>
      </c>
      <c r="Z3134" s="845">
        <v>0.54684629516227801</v>
      </c>
      <c r="AA3134" s="845">
        <v>0</v>
      </c>
      <c r="AB3134" s="845">
        <v>0</v>
      </c>
      <c r="AC3134" s="845">
        <v>0</v>
      </c>
      <c r="AD3134" s="845">
        <v>1.0206164523372118E-3</v>
      </c>
      <c r="AE3134" s="845">
        <v>5.6133904878546644E-2</v>
      </c>
      <c r="AF3134" s="845">
        <v>2.3065931822820983E-2</v>
      </c>
      <c r="AG3134" s="845">
        <v>0.3819146764645846</v>
      </c>
      <c r="AH3134" s="20" t="str">
        <f t="shared" si="217"/>
        <v>No</v>
      </c>
      <c r="AI3134" s="25"/>
      <c r="AU3134" s="19"/>
      <c r="AV3134" s="19"/>
      <c r="AW3134" s="19"/>
      <c r="BU3134"/>
      <c r="BV3134"/>
      <c r="BW3134"/>
      <c r="BX3134"/>
      <c r="BY3134"/>
      <c r="BZ3134"/>
      <c r="CA3134"/>
      <c r="CB3134"/>
      <c r="CC3134"/>
    </row>
    <row r="3135" spans="1:81" s="17" customFormat="1" x14ac:dyDescent="0.2">
      <c r="A3135" s="25"/>
      <c r="B3135" s="20">
        <v>39023002501</v>
      </c>
      <c r="C3135" s="20">
        <v>25.01</v>
      </c>
      <c r="D3135" s="20" t="s">
        <v>18</v>
      </c>
      <c r="E3135" s="20" t="s">
        <v>2838</v>
      </c>
      <c r="F3135" s="20" t="s">
        <v>8</v>
      </c>
      <c r="G3135" s="861">
        <v>11.946749630063</v>
      </c>
      <c r="H3135" s="861">
        <v>27.989470011352999</v>
      </c>
      <c r="I3135" s="861">
        <v>44.042441280527903</v>
      </c>
      <c r="J3135" s="861">
        <v>19.671675310709499</v>
      </c>
      <c r="K3135" s="982">
        <v>0</v>
      </c>
      <c r="L3135" s="735">
        <v>2139</v>
      </c>
      <c r="M3135" s="735">
        <v>2075</v>
      </c>
      <c r="N3135" s="845">
        <f t="shared" si="215"/>
        <v>-2.9920523609163162E-2</v>
      </c>
      <c r="O3135" s="735">
        <v>2.382957271568324</v>
      </c>
      <c r="P3135" s="735">
        <f t="shared" si="216"/>
        <v>870.76676730940949</v>
      </c>
      <c r="Q3135" s="849">
        <v>69.5</v>
      </c>
      <c r="R3135" s="71">
        <v>53456</v>
      </c>
      <c r="S3135" s="845">
        <v>4.960835509138381E-2</v>
      </c>
      <c r="T3135" s="845">
        <v>0</v>
      </c>
      <c r="U3135" s="845">
        <v>0</v>
      </c>
      <c r="V3135" s="845">
        <v>0.12</v>
      </c>
      <c r="W3135" s="845">
        <v>0.30295358649789028</v>
      </c>
      <c r="X3135" s="845">
        <v>0.5821727019498607</v>
      </c>
      <c r="Y3135" s="845">
        <v>0.94987951807228921</v>
      </c>
      <c r="Z3135" s="845">
        <v>3.9518072289156624E-2</v>
      </c>
      <c r="AA3135" s="845">
        <v>0</v>
      </c>
      <c r="AB3135" s="845">
        <v>0</v>
      </c>
      <c r="AC3135" s="845">
        <v>0</v>
      </c>
      <c r="AD3135" s="845">
        <v>0</v>
      </c>
      <c r="AE3135" s="845">
        <v>1.0602409638554217E-2</v>
      </c>
      <c r="AF3135" s="845">
        <v>0</v>
      </c>
      <c r="AG3135" s="845">
        <v>0.94987951807228921</v>
      </c>
      <c r="AH3135" s="20" t="str">
        <f t="shared" si="217"/>
        <v>Yes</v>
      </c>
      <c r="AI3135" s="25"/>
      <c r="AU3135" s="19"/>
      <c r="AV3135" s="19"/>
      <c r="AW3135" s="19"/>
      <c r="BU3135"/>
      <c r="BV3135"/>
      <c r="BW3135"/>
      <c r="BX3135"/>
      <c r="BY3135"/>
      <c r="BZ3135"/>
      <c r="CA3135"/>
      <c r="CB3135"/>
      <c r="CC3135"/>
    </row>
    <row r="3136" spans="1:81" s="17" customFormat="1" x14ac:dyDescent="0.2">
      <c r="A3136" s="25"/>
      <c r="B3136" s="20">
        <v>39093097600</v>
      </c>
      <c r="C3136" s="20">
        <v>976</v>
      </c>
      <c r="D3136" s="20" t="s">
        <v>52</v>
      </c>
      <c r="E3136" s="20" t="s">
        <v>2829</v>
      </c>
      <c r="F3136" s="20" t="s">
        <v>6</v>
      </c>
      <c r="G3136" s="861">
        <v>11.305178751590301</v>
      </c>
      <c r="H3136" s="861">
        <v>19.262539469330399</v>
      </c>
      <c r="I3136" s="861">
        <v>60.133223353862299</v>
      </c>
      <c r="J3136" s="861">
        <v>23.5457033313346</v>
      </c>
      <c r="K3136" s="982">
        <v>0</v>
      </c>
      <c r="L3136" s="735" t="s">
        <v>2466</v>
      </c>
      <c r="M3136" s="735">
        <v>2707</v>
      </c>
      <c r="N3136" s="845" t="str">
        <f t="shared" si="215"/>
        <v/>
      </c>
      <c r="O3136" s="735">
        <v>0.62511561105197511</v>
      </c>
      <c r="P3136" s="735">
        <f t="shared" si="216"/>
        <v>4330.398972830847</v>
      </c>
      <c r="Q3136" s="849">
        <v>43.3</v>
      </c>
      <c r="R3136" s="71">
        <v>26186</v>
      </c>
      <c r="S3136" s="845">
        <v>0.43079922027290446</v>
      </c>
      <c r="T3136" s="845">
        <v>0.20600000000000002</v>
      </c>
      <c r="U3136" s="845">
        <v>2.4E-2</v>
      </c>
      <c r="V3136" s="845">
        <v>0.121</v>
      </c>
      <c r="W3136" s="845">
        <v>0.82394868139700639</v>
      </c>
      <c r="X3136" s="845">
        <v>0.54844290657439443</v>
      </c>
      <c r="Y3136" s="845">
        <v>0.59142962689323975</v>
      </c>
      <c r="Z3136" s="845">
        <v>0.19320280753601773</v>
      </c>
      <c r="AA3136" s="845">
        <v>0</v>
      </c>
      <c r="AB3136" s="845">
        <v>0</v>
      </c>
      <c r="AC3136" s="845">
        <v>0</v>
      </c>
      <c r="AD3136" s="845">
        <v>1.3668267454746953E-2</v>
      </c>
      <c r="AE3136" s="845">
        <v>0.20169929811599557</v>
      </c>
      <c r="AF3136" s="845">
        <v>0.11747321758404138</v>
      </c>
      <c r="AG3136" s="845">
        <v>0.56963428149242701</v>
      </c>
      <c r="AH3136" s="20" t="str">
        <f t="shared" si="217"/>
        <v>No</v>
      </c>
      <c r="AI3136" s="25"/>
      <c r="AU3136" s="19"/>
      <c r="AV3136" s="19"/>
      <c r="AW3136" s="19"/>
      <c r="BU3136"/>
      <c r="BV3136"/>
      <c r="BW3136"/>
      <c r="BX3136"/>
      <c r="BY3136"/>
      <c r="BZ3136"/>
      <c r="CA3136"/>
      <c r="CB3136"/>
      <c r="CC3136"/>
    </row>
    <row r="3137" spans="1:81" s="17" customFormat="1" x14ac:dyDescent="0.2">
      <c r="A3137" s="25"/>
      <c r="B3137" s="20">
        <v>39151700300</v>
      </c>
      <c r="C3137" s="20">
        <v>7003</v>
      </c>
      <c r="D3137" s="20" t="s">
        <v>81</v>
      </c>
      <c r="E3137" s="20" t="s">
        <v>2844</v>
      </c>
      <c r="F3137" s="20" t="s">
        <v>6</v>
      </c>
      <c r="G3137" s="861">
        <v>11.150293083279401</v>
      </c>
      <c r="H3137" s="861">
        <v>18.037468933471999</v>
      </c>
      <c r="I3137" s="861">
        <v>38.925822769430198</v>
      </c>
      <c r="J3137" s="861">
        <v>29.210779155558001</v>
      </c>
      <c r="K3137" s="982">
        <v>0</v>
      </c>
      <c r="L3137" s="735">
        <v>2750</v>
      </c>
      <c r="M3137" s="735">
        <v>3014</v>
      </c>
      <c r="N3137" s="845">
        <f t="shared" si="215"/>
        <v>9.6000000000000002E-2</v>
      </c>
      <c r="O3137" s="735">
        <v>0.54537238782922448</v>
      </c>
      <c r="P3137" s="735">
        <f t="shared" si="216"/>
        <v>5526.4990807414888</v>
      </c>
      <c r="Q3137" s="849">
        <v>25</v>
      </c>
      <c r="R3137" s="71">
        <v>40761</v>
      </c>
      <c r="S3137" s="845">
        <v>0.35085945399393326</v>
      </c>
      <c r="T3137" s="845">
        <v>0.18100000000000002</v>
      </c>
      <c r="U3137" s="845">
        <v>0</v>
      </c>
      <c r="V3137" s="845">
        <v>0</v>
      </c>
      <c r="W3137" s="845">
        <v>0.48870056497175141</v>
      </c>
      <c r="X3137" s="845">
        <v>0.3603082851637765</v>
      </c>
      <c r="Y3137" s="845">
        <v>0.65129396151293961</v>
      </c>
      <c r="Z3137" s="845">
        <v>0.14863968148639681</v>
      </c>
      <c r="AA3137" s="845">
        <v>0</v>
      </c>
      <c r="AB3137" s="845">
        <v>3.3178500331785005E-3</v>
      </c>
      <c r="AC3137" s="845">
        <v>0</v>
      </c>
      <c r="AD3137" s="845">
        <v>0.1108161911081619</v>
      </c>
      <c r="AE3137" s="845">
        <v>8.5932315859323163E-2</v>
      </c>
      <c r="AF3137" s="845">
        <v>0.26211015262110154</v>
      </c>
      <c r="AG3137" s="845">
        <v>0.5</v>
      </c>
      <c r="AH3137" s="20" t="str">
        <f t="shared" si="217"/>
        <v>No</v>
      </c>
      <c r="AI3137" s="25"/>
      <c r="AU3137" s="19"/>
      <c r="AV3137" s="19"/>
      <c r="AW3137" s="19"/>
      <c r="BU3137"/>
      <c r="BV3137"/>
      <c r="BW3137"/>
      <c r="BX3137"/>
      <c r="BY3137"/>
      <c r="BZ3137"/>
      <c r="CA3137"/>
      <c r="CB3137"/>
      <c r="CC3137"/>
    </row>
    <row r="3138" spans="1:81" s="17" customFormat="1" x14ac:dyDescent="0.2">
      <c r="A3138" s="25"/>
      <c r="B3138" s="20">
        <v>39035111401</v>
      </c>
      <c r="C3138" s="20">
        <v>1114.01</v>
      </c>
      <c r="D3138" s="20" t="s">
        <v>24</v>
      </c>
      <c r="E3138" s="20" t="s">
        <v>2829</v>
      </c>
      <c r="F3138" s="20" t="s">
        <v>6</v>
      </c>
      <c r="G3138" s="861">
        <v>10.715424764877501</v>
      </c>
      <c r="H3138" s="861">
        <v>34.635210241387199</v>
      </c>
      <c r="I3138" s="861">
        <v>100</v>
      </c>
      <c r="J3138" s="861">
        <v>15.6873778179528</v>
      </c>
      <c r="K3138" s="982">
        <v>0</v>
      </c>
      <c r="L3138" s="735">
        <v>1262</v>
      </c>
      <c r="M3138" s="735">
        <v>808</v>
      </c>
      <c r="N3138" s="845">
        <f t="shared" si="215"/>
        <v>-0.35974643423137875</v>
      </c>
      <c r="O3138" s="735">
        <v>0.25375058575075854</v>
      </c>
      <c r="P3138" s="735">
        <f t="shared" si="216"/>
        <v>3184.2291027995575</v>
      </c>
      <c r="Q3138" s="849">
        <v>38.1</v>
      </c>
      <c r="R3138" s="71">
        <v>16136</v>
      </c>
      <c r="S3138" s="845">
        <v>0.52599009900990101</v>
      </c>
      <c r="T3138" s="845">
        <v>0.434</v>
      </c>
      <c r="U3138" s="845">
        <v>0</v>
      </c>
      <c r="V3138" s="845">
        <v>3.4000000000000002E-2</v>
      </c>
      <c r="W3138" s="845">
        <v>0.70270270270270274</v>
      </c>
      <c r="X3138" s="845">
        <v>0.63461538461538458</v>
      </c>
      <c r="Y3138" s="845">
        <v>1.3613861386138614E-2</v>
      </c>
      <c r="Z3138" s="845">
        <v>0.85024752475247523</v>
      </c>
      <c r="AA3138" s="845">
        <v>0</v>
      </c>
      <c r="AB3138" s="845">
        <v>1.2376237623762376E-3</v>
      </c>
      <c r="AC3138" s="845">
        <v>0</v>
      </c>
      <c r="AD3138" s="845">
        <v>3.7128712871287127E-3</v>
      </c>
      <c r="AE3138" s="845">
        <v>0.13118811881188119</v>
      </c>
      <c r="AF3138" s="845">
        <v>1.4851485148514851E-2</v>
      </c>
      <c r="AG3138" s="845">
        <v>1.3613861386138614E-2</v>
      </c>
      <c r="AH3138" s="20" t="str">
        <f t="shared" si="217"/>
        <v>No</v>
      </c>
      <c r="AI3138" s="25"/>
      <c r="AU3138" s="19"/>
      <c r="AV3138" s="19"/>
      <c r="AW3138" s="19"/>
      <c r="BU3138"/>
      <c r="BV3138"/>
      <c r="BW3138"/>
      <c r="BX3138"/>
      <c r="BY3138"/>
      <c r="BZ3138"/>
      <c r="CA3138"/>
      <c r="CB3138"/>
      <c r="CC3138"/>
    </row>
    <row r="3139" spans="1:81" s="17" customFormat="1" x14ac:dyDescent="0.2">
      <c r="A3139" s="25"/>
      <c r="B3139" s="20">
        <v>39035122300</v>
      </c>
      <c r="C3139" s="20">
        <v>1223</v>
      </c>
      <c r="D3139" s="20" t="s">
        <v>24</v>
      </c>
      <c r="E3139" s="20" t="s">
        <v>2829</v>
      </c>
      <c r="F3139" s="20" t="s">
        <v>6</v>
      </c>
      <c r="G3139" s="861">
        <v>10.5106519706332</v>
      </c>
      <c r="H3139" s="861">
        <v>24.385533377816799</v>
      </c>
      <c r="I3139" s="861">
        <v>58.281706051942002</v>
      </c>
      <c r="J3139" s="861">
        <v>32.048898261530297</v>
      </c>
      <c r="K3139" s="982">
        <v>0</v>
      </c>
      <c r="L3139" s="735">
        <v>2067</v>
      </c>
      <c r="M3139" s="735">
        <v>1676</v>
      </c>
      <c r="N3139" s="845">
        <f t="shared" si="215"/>
        <v>-0.189163038219642</v>
      </c>
      <c r="O3139" s="735">
        <v>0.5952355511006574</v>
      </c>
      <c r="P3139" s="735">
        <f t="shared" si="216"/>
        <v>2815.6920346926318</v>
      </c>
      <c r="Q3139" s="849">
        <v>53.9</v>
      </c>
      <c r="R3139" s="71">
        <v>24712</v>
      </c>
      <c r="S3139" s="845">
        <v>0.33353221957040574</v>
      </c>
      <c r="T3139" s="845">
        <v>0.13</v>
      </c>
      <c r="U3139" s="845">
        <v>0</v>
      </c>
      <c r="V3139" s="845">
        <v>0</v>
      </c>
      <c r="W3139" s="845">
        <v>0.5062146892655367</v>
      </c>
      <c r="X3139" s="845">
        <v>0.8459821428571429</v>
      </c>
      <c r="Y3139" s="845">
        <v>0</v>
      </c>
      <c r="Z3139" s="845">
        <v>1</v>
      </c>
      <c r="AA3139" s="845">
        <v>0</v>
      </c>
      <c r="AB3139" s="845">
        <v>0</v>
      </c>
      <c r="AC3139" s="845">
        <v>0</v>
      </c>
      <c r="AD3139" s="845">
        <v>0</v>
      </c>
      <c r="AE3139" s="845">
        <v>0</v>
      </c>
      <c r="AF3139" s="845">
        <v>0</v>
      </c>
      <c r="AG3139" s="845">
        <v>0</v>
      </c>
      <c r="AH3139" s="20" t="str">
        <f t="shared" si="217"/>
        <v>No</v>
      </c>
      <c r="AI3139" s="25"/>
      <c r="AU3139" s="19"/>
      <c r="AV3139" s="19"/>
      <c r="AW3139" s="19"/>
      <c r="BU3139"/>
      <c r="BV3139"/>
      <c r="BW3139"/>
      <c r="BX3139"/>
      <c r="BY3139"/>
      <c r="BZ3139"/>
      <c r="CA3139"/>
      <c r="CB3139"/>
      <c r="CC3139"/>
    </row>
    <row r="3140" spans="1:81" s="17" customFormat="1" x14ac:dyDescent="0.2">
      <c r="A3140" s="25"/>
      <c r="B3140" s="20">
        <v>39035152701</v>
      </c>
      <c r="C3140" s="20">
        <v>1527.01</v>
      </c>
      <c r="D3140" s="20" t="s">
        <v>24</v>
      </c>
      <c r="E3140" s="20" t="s">
        <v>2829</v>
      </c>
      <c r="F3140" s="20" t="s">
        <v>6</v>
      </c>
      <c r="G3140" s="861">
        <v>8.2687389616532698</v>
      </c>
      <c r="H3140" s="861">
        <v>24.5501771262077</v>
      </c>
      <c r="I3140" s="861">
        <v>65.362391175259106</v>
      </c>
      <c r="J3140" s="861">
        <v>47.414334899625501</v>
      </c>
      <c r="K3140" s="982">
        <v>0</v>
      </c>
      <c r="L3140" s="735">
        <v>2181</v>
      </c>
      <c r="M3140" s="735">
        <v>2004</v>
      </c>
      <c r="N3140" s="845">
        <f t="shared" si="215"/>
        <v>-8.11554332874828E-2</v>
      </c>
      <c r="O3140" s="735">
        <v>0.3342208393381389</v>
      </c>
      <c r="P3140" s="735">
        <f t="shared" si="216"/>
        <v>5996.0354476056691</v>
      </c>
      <c r="Q3140" s="849">
        <v>62.7</v>
      </c>
      <c r="R3140" s="71">
        <v>18581</v>
      </c>
      <c r="S3140" s="845">
        <v>0.39351351351351349</v>
      </c>
      <c r="T3140" s="845">
        <v>0.1</v>
      </c>
      <c r="U3140" s="845">
        <v>0</v>
      </c>
      <c r="V3140" s="845">
        <v>7.2000000000000008E-2</v>
      </c>
      <c r="W3140" s="845">
        <v>0.92344827586206901</v>
      </c>
      <c r="X3140" s="845">
        <v>0.76250933532486931</v>
      </c>
      <c r="Y3140" s="845">
        <v>9.5309381237524957E-2</v>
      </c>
      <c r="Z3140" s="845">
        <v>0.88023952095808389</v>
      </c>
      <c r="AA3140" s="845">
        <v>0</v>
      </c>
      <c r="AB3140" s="845">
        <v>0</v>
      </c>
      <c r="AC3140" s="845">
        <v>0</v>
      </c>
      <c r="AD3140" s="845">
        <v>1.5469061876247504E-2</v>
      </c>
      <c r="AE3140" s="845">
        <v>8.9820359281437123E-3</v>
      </c>
      <c r="AF3140" s="845">
        <v>3.9920159680638719E-3</v>
      </c>
      <c r="AG3140" s="845">
        <v>9.5309381237524957E-2</v>
      </c>
      <c r="AH3140" s="20" t="str">
        <f t="shared" si="217"/>
        <v>No</v>
      </c>
      <c r="AI3140" s="25"/>
      <c r="AU3140" s="19"/>
      <c r="AV3140" s="19"/>
      <c r="AW3140" s="19"/>
      <c r="BU3140"/>
      <c r="BV3140"/>
      <c r="BW3140"/>
      <c r="BX3140"/>
      <c r="BY3140"/>
      <c r="BZ3140"/>
      <c r="CA3140"/>
      <c r="CB3140"/>
      <c r="CC3140"/>
    </row>
    <row r="3141" spans="1:81" s="17" customFormat="1" x14ac:dyDescent="0.2">
      <c r="A3141" s="25"/>
      <c r="B3141" s="20">
        <v>39113070201</v>
      </c>
      <c r="C3141" s="20">
        <v>702.01</v>
      </c>
      <c r="D3141" s="20" t="s">
        <v>62</v>
      </c>
      <c r="E3141" s="20" t="s">
        <v>2833</v>
      </c>
      <c r="F3141" s="20" t="s">
        <v>8</v>
      </c>
      <c r="G3141" s="861">
        <v>8.1097692699464599</v>
      </c>
      <c r="H3141" s="861">
        <v>28.0309766813415</v>
      </c>
      <c r="I3141" s="861">
        <v>55.031185622769001</v>
      </c>
      <c r="J3141" s="861">
        <v>24.933647716627799</v>
      </c>
      <c r="K3141" s="982">
        <v>1</v>
      </c>
      <c r="L3141" s="735">
        <v>1514</v>
      </c>
      <c r="M3141" s="735">
        <v>1051</v>
      </c>
      <c r="N3141" s="845">
        <f t="shared" si="215"/>
        <v>-0.30581241743725229</v>
      </c>
      <c r="O3141" s="735">
        <v>1.472616799001444</v>
      </c>
      <c r="P3141" s="735">
        <f t="shared" si="216"/>
        <v>713.69551176698849</v>
      </c>
      <c r="Q3141" s="849">
        <v>32.200000000000003</v>
      </c>
      <c r="R3141" s="71">
        <v>31544</v>
      </c>
      <c r="S3141" s="845">
        <v>0.31208372978116078</v>
      </c>
      <c r="T3141" s="845">
        <v>0.10300000000000001</v>
      </c>
      <c r="U3141" s="845">
        <v>0</v>
      </c>
      <c r="V3141" s="845">
        <v>4.7E-2</v>
      </c>
      <c r="W3141" s="845">
        <v>0.52515090543259557</v>
      </c>
      <c r="X3141" s="845">
        <v>0.4942528735632184</v>
      </c>
      <c r="Y3141" s="845">
        <v>0.58420551855375835</v>
      </c>
      <c r="Z3141" s="845">
        <v>0.29210275927687918</v>
      </c>
      <c r="AA3141" s="845">
        <v>0</v>
      </c>
      <c r="AB3141" s="845">
        <v>0</v>
      </c>
      <c r="AC3141" s="845">
        <v>0</v>
      </c>
      <c r="AD3141" s="845">
        <v>8.5632730732635581E-3</v>
      </c>
      <c r="AE3141" s="845">
        <v>0.11512844909609896</v>
      </c>
      <c r="AF3141" s="845">
        <v>8.5632730732635581E-3</v>
      </c>
      <c r="AG3141" s="845">
        <v>0.58420551855375835</v>
      </c>
      <c r="AH3141" s="20" t="str">
        <f t="shared" si="217"/>
        <v>No</v>
      </c>
      <c r="AI3141" s="25"/>
      <c r="AU3141" s="19"/>
      <c r="AV3141" s="19"/>
      <c r="AW3141" s="19"/>
      <c r="BU3141"/>
      <c r="BV3141"/>
      <c r="BW3141"/>
      <c r="BX3141"/>
      <c r="BY3141"/>
      <c r="BZ3141"/>
      <c r="CA3141"/>
      <c r="CB3141"/>
      <c r="CC3141"/>
    </row>
    <row r="3142" spans="1:81" s="17" customFormat="1" x14ac:dyDescent="0.2">
      <c r="A3142" s="25"/>
      <c r="B3142" s="20">
        <v>39093097300</v>
      </c>
      <c r="C3142" s="20">
        <v>973</v>
      </c>
      <c r="D3142" s="20" t="s">
        <v>52</v>
      </c>
      <c r="E3142" s="20" t="s">
        <v>2829</v>
      </c>
      <c r="F3142" s="20" t="s">
        <v>6</v>
      </c>
      <c r="G3142" s="861">
        <v>7.2571958117715303</v>
      </c>
      <c r="H3142" s="861">
        <v>12.427484055915601</v>
      </c>
      <c r="I3142" s="861">
        <v>78.017011634344499</v>
      </c>
      <c r="J3142" s="861">
        <v>32.856575606211699</v>
      </c>
      <c r="K3142" s="982">
        <v>0</v>
      </c>
      <c r="L3142" s="735">
        <v>3004</v>
      </c>
      <c r="M3142" s="735">
        <v>2615</v>
      </c>
      <c r="N3142" s="845">
        <f t="shared" si="215"/>
        <v>-0.12949400798934754</v>
      </c>
      <c r="O3142" s="735">
        <v>0.84924675580846587</v>
      </c>
      <c r="P3142" s="735">
        <f t="shared" si="216"/>
        <v>3079.1992811448217</v>
      </c>
      <c r="Q3142" s="849">
        <v>33</v>
      </c>
      <c r="R3142" s="71">
        <v>17045</v>
      </c>
      <c r="S3142" s="845">
        <v>0.59876065065840434</v>
      </c>
      <c r="T3142" s="845">
        <v>9.0999999999999998E-2</v>
      </c>
      <c r="U3142" s="845">
        <v>0.113</v>
      </c>
      <c r="V3142" s="845">
        <v>2.3E-2</v>
      </c>
      <c r="W3142" s="845">
        <v>0.76822916666666663</v>
      </c>
      <c r="X3142" s="845">
        <v>0.488135593220339</v>
      </c>
      <c r="Y3142" s="845">
        <v>0.3904397705544933</v>
      </c>
      <c r="Z3142" s="845">
        <v>0.32313575525812621</v>
      </c>
      <c r="AA3142" s="845">
        <v>8.4130019120458883E-3</v>
      </c>
      <c r="AB3142" s="845">
        <v>4.5889101338432124E-3</v>
      </c>
      <c r="AC3142" s="845">
        <v>0</v>
      </c>
      <c r="AD3142" s="845">
        <v>6.6921606118546847E-2</v>
      </c>
      <c r="AE3142" s="845">
        <v>0.20650095602294455</v>
      </c>
      <c r="AF3142" s="845">
        <v>0.38891013384321221</v>
      </c>
      <c r="AG3142" s="845">
        <v>0.26309751434034417</v>
      </c>
      <c r="AH3142" s="20" t="str">
        <f t="shared" si="217"/>
        <v>No</v>
      </c>
      <c r="AI3142" s="25"/>
      <c r="AU3142" s="19"/>
      <c r="AV3142" s="19"/>
      <c r="AW3142" s="19"/>
      <c r="BU3142"/>
      <c r="BV3142"/>
      <c r="BW3142"/>
      <c r="BX3142"/>
      <c r="BY3142"/>
      <c r="BZ3142"/>
      <c r="CA3142"/>
      <c r="CB3142"/>
      <c r="CC3142"/>
    </row>
    <row r="3143" spans="1:81" s="17" customFormat="1" x14ac:dyDescent="0.2">
      <c r="A3143" s="25"/>
      <c r="B3143" s="20">
        <v>39095006700</v>
      </c>
      <c r="C3143" s="20">
        <v>67</v>
      </c>
      <c r="D3143" s="20" t="s">
        <v>53</v>
      </c>
      <c r="E3143" s="20" t="s">
        <v>2839</v>
      </c>
      <c r="F3143" s="20" t="s">
        <v>6</v>
      </c>
      <c r="G3143" s="861">
        <v>7.0722056161749798</v>
      </c>
      <c r="H3143" s="861">
        <v>27.1087507630135</v>
      </c>
      <c r="I3143" s="861">
        <v>70.575041822703398</v>
      </c>
      <c r="J3143" s="861">
        <v>38.084340617488799</v>
      </c>
      <c r="K3143" s="982">
        <v>0</v>
      </c>
      <c r="L3143" s="735">
        <v>1640</v>
      </c>
      <c r="M3143" s="735">
        <v>1735</v>
      </c>
      <c r="N3143" s="845">
        <f t="shared" si="215"/>
        <v>5.7926829268292686E-2</v>
      </c>
      <c r="O3143" s="735">
        <v>0.60143596566549495</v>
      </c>
      <c r="P3143" s="735">
        <f t="shared" si="216"/>
        <v>2884.7626331760939</v>
      </c>
      <c r="Q3143" s="849">
        <v>25.8</v>
      </c>
      <c r="R3143" s="71">
        <v>33958</v>
      </c>
      <c r="S3143" s="845">
        <v>0.41556195965417869</v>
      </c>
      <c r="T3143" s="845">
        <v>5.2999999999999999E-2</v>
      </c>
      <c r="U3143" s="845">
        <v>4.7E-2</v>
      </c>
      <c r="V3143" s="845">
        <v>0.161</v>
      </c>
      <c r="W3143" s="845">
        <v>0.64914285714285713</v>
      </c>
      <c r="X3143" s="845">
        <v>0.63732394366197187</v>
      </c>
      <c r="Y3143" s="845">
        <v>0.5342939481268012</v>
      </c>
      <c r="Z3143" s="845">
        <v>0.31700288184438041</v>
      </c>
      <c r="AA3143" s="845">
        <v>0</v>
      </c>
      <c r="AB3143" s="845">
        <v>4.9567723342939483E-2</v>
      </c>
      <c r="AC3143" s="845">
        <v>0</v>
      </c>
      <c r="AD3143" s="845">
        <v>2.9971181556195964E-2</v>
      </c>
      <c r="AE3143" s="845">
        <v>6.9164265129683003E-2</v>
      </c>
      <c r="AF3143" s="845">
        <v>6.8587896253602301E-2</v>
      </c>
      <c r="AG3143" s="845">
        <v>0.50432276657060515</v>
      </c>
      <c r="AH3143" s="20" t="str">
        <f t="shared" si="217"/>
        <v>No</v>
      </c>
      <c r="AI3143" s="25"/>
      <c r="AU3143" s="19"/>
      <c r="AV3143" s="19"/>
      <c r="AW3143" s="19"/>
      <c r="BU3143"/>
      <c r="BV3143"/>
      <c r="BW3143"/>
      <c r="BX3143"/>
      <c r="BY3143"/>
      <c r="BZ3143"/>
      <c r="CA3143"/>
      <c r="CB3143"/>
      <c r="CC3143"/>
    </row>
    <row r="3144" spans="1:81" s="17" customFormat="1" x14ac:dyDescent="0.2">
      <c r="A3144" s="25"/>
      <c r="B3144" s="20">
        <v>39095002900</v>
      </c>
      <c r="C3144" s="20">
        <v>29</v>
      </c>
      <c r="D3144" s="20" t="s">
        <v>53</v>
      </c>
      <c r="E3144" s="20" t="s">
        <v>2839</v>
      </c>
      <c r="F3144" s="20" t="s">
        <v>6</v>
      </c>
      <c r="G3144" s="861">
        <v>6.7229557098783399</v>
      </c>
      <c r="H3144" s="861">
        <v>24.649992165255</v>
      </c>
      <c r="I3144" s="861">
        <v>70.010259374248506</v>
      </c>
      <c r="J3144" s="861">
        <v>33.931566935242301</v>
      </c>
      <c r="K3144" s="982">
        <v>0</v>
      </c>
      <c r="L3144" s="735">
        <v>1527</v>
      </c>
      <c r="M3144" s="735">
        <v>1660</v>
      </c>
      <c r="N3144" s="845">
        <f t="shared" si="215"/>
        <v>8.7098886705959402E-2</v>
      </c>
      <c r="O3144" s="735">
        <v>0.31926169730562975</v>
      </c>
      <c r="P3144" s="735">
        <f t="shared" si="216"/>
        <v>5199.4962565486812</v>
      </c>
      <c r="Q3144" s="849">
        <v>45.1</v>
      </c>
      <c r="R3144" s="71">
        <v>11055</v>
      </c>
      <c r="S3144" s="845">
        <v>0.67590361445783131</v>
      </c>
      <c r="T3144" s="845">
        <v>0.24100000000000002</v>
      </c>
      <c r="U3144" s="845">
        <v>0</v>
      </c>
      <c r="V3144" s="845">
        <v>4.5999999999999999E-2</v>
      </c>
      <c r="W3144" s="845">
        <v>0.88888888888888884</v>
      </c>
      <c r="X3144" s="845">
        <v>0.45043103448275862</v>
      </c>
      <c r="Y3144" s="845">
        <v>0.37168674698795179</v>
      </c>
      <c r="Z3144" s="845">
        <v>0.50120481927710847</v>
      </c>
      <c r="AA3144" s="845">
        <v>3.0120481927710845E-3</v>
      </c>
      <c r="AB3144" s="845">
        <v>0</v>
      </c>
      <c r="AC3144" s="845">
        <v>0</v>
      </c>
      <c r="AD3144" s="845">
        <v>0</v>
      </c>
      <c r="AE3144" s="845">
        <v>0.12409638554216867</v>
      </c>
      <c r="AF3144" s="845">
        <v>0.11325301204819277</v>
      </c>
      <c r="AG3144" s="845">
        <v>0.32710843373493975</v>
      </c>
      <c r="AH3144" s="20" t="str">
        <f t="shared" si="217"/>
        <v>No</v>
      </c>
      <c r="AI3144" s="25"/>
      <c r="AU3144" s="19"/>
      <c r="AV3144" s="19"/>
      <c r="AW3144" s="19"/>
      <c r="BU3144"/>
      <c r="BV3144"/>
      <c r="BW3144"/>
      <c r="BX3144"/>
      <c r="BY3144"/>
      <c r="BZ3144"/>
      <c r="CA3144"/>
      <c r="CB3144"/>
      <c r="CC3144"/>
    </row>
    <row r="3145" spans="1:81" s="17" customFormat="1" x14ac:dyDescent="0.2">
      <c r="A3145" s="25"/>
      <c r="B3145" s="20">
        <v>39093022800</v>
      </c>
      <c r="C3145" s="20">
        <v>228</v>
      </c>
      <c r="D3145" s="20" t="s">
        <v>52</v>
      </c>
      <c r="E3145" s="20" t="s">
        <v>2829</v>
      </c>
      <c r="F3145" s="20" t="s">
        <v>6</v>
      </c>
      <c r="G3145" s="861">
        <v>6.6599495481833699</v>
      </c>
      <c r="H3145" s="861">
        <v>17.1284298155947</v>
      </c>
      <c r="I3145" s="861">
        <v>37.201449689908003</v>
      </c>
      <c r="J3145" s="861">
        <v>38.962085527721598</v>
      </c>
      <c r="K3145" s="982">
        <v>0</v>
      </c>
      <c r="L3145" s="735">
        <v>4303</v>
      </c>
      <c r="M3145" s="735">
        <v>4552</v>
      </c>
      <c r="N3145" s="845">
        <f t="shared" si="215"/>
        <v>5.7866604694399255E-2</v>
      </c>
      <c r="O3145" s="735">
        <v>0.77631784958271488</v>
      </c>
      <c r="P3145" s="735">
        <f t="shared" si="216"/>
        <v>5863.5776601643047</v>
      </c>
      <c r="Q3145" s="849">
        <v>23.7</v>
      </c>
      <c r="R3145" s="71">
        <v>34985</v>
      </c>
      <c r="S3145" s="845">
        <v>0.47620106761565834</v>
      </c>
      <c r="T3145" s="845">
        <v>9.6000000000000002E-2</v>
      </c>
      <c r="U3145" s="845">
        <v>2.1000000000000001E-2</v>
      </c>
      <c r="V3145" s="845">
        <v>0.16800000000000001</v>
      </c>
      <c r="W3145" s="845">
        <v>0.55527795128044977</v>
      </c>
      <c r="X3145" s="845">
        <v>0.38582677165354329</v>
      </c>
      <c r="Y3145" s="845">
        <v>0.33391915641476272</v>
      </c>
      <c r="Z3145" s="845">
        <v>0.41366432337434095</v>
      </c>
      <c r="AA3145" s="845">
        <v>0</v>
      </c>
      <c r="AB3145" s="845">
        <v>4.0421792618629174E-2</v>
      </c>
      <c r="AC3145" s="845">
        <v>0</v>
      </c>
      <c r="AD3145" s="845">
        <v>6.8321616871704752E-2</v>
      </c>
      <c r="AE3145" s="845">
        <v>0.14367311072056238</v>
      </c>
      <c r="AF3145" s="845">
        <v>0.33985061511423548</v>
      </c>
      <c r="AG3145" s="845">
        <v>0.17003514938488576</v>
      </c>
      <c r="AH3145" s="20" t="str">
        <f t="shared" si="217"/>
        <v>No</v>
      </c>
      <c r="AI3145" s="25"/>
      <c r="AU3145" s="19"/>
      <c r="AV3145" s="19"/>
      <c r="AW3145" s="19"/>
      <c r="BU3145"/>
      <c r="BV3145"/>
      <c r="BW3145"/>
      <c r="BX3145"/>
      <c r="BY3145"/>
      <c r="BZ3145"/>
      <c r="CA3145"/>
      <c r="CB3145"/>
      <c r="CC3145"/>
    </row>
    <row r="3146" spans="1:81" s="17" customFormat="1" x14ac:dyDescent="0.2">
      <c r="A3146" s="25"/>
      <c r="B3146" s="20">
        <v>39035120701</v>
      </c>
      <c r="C3146" s="20">
        <v>1207.01</v>
      </c>
      <c r="D3146" s="20" t="s">
        <v>24</v>
      </c>
      <c r="E3146" s="20" t="s">
        <v>2829</v>
      </c>
      <c r="F3146" s="20" t="s">
        <v>6</v>
      </c>
      <c r="G3146" s="861">
        <v>5.8797177621603103</v>
      </c>
      <c r="H3146" s="861">
        <v>38.456193427564799</v>
      </c>
      <c r="I3146" s="861">
        <v>84.154531363015394</v>
      </c>
      <c r="J3146" s="861">
        <v>21.0648634242438</v>
      </c>
      <c r="K3146" s="982">
        <v>0</v>
      </c>
      <c r="L3146" s="735">
        <v>1498</v>
      </c>
      <c r="M3146" s="735">
        <v>1106</v>
      </c>
      <c r="N3146" s="845">
        <f t="shared" si="215"/>
        <v>-0.26168224299065418</v>
      </c>
      <c r="O3146" s="735">
        <v>0.23770418003965277</v>
      </c>
      <c r="P3146" s="735">
        <f t="shared" si="216"/>
        <v>4652.8420317030268</v>
      </c>
      <c r="Q3146" s="849">
        <v>53.5</v>
      </c>
      <c r="R3146" s="71">
        <v>16778</v>
      </c>
      <c r="S3146" s="845">
        <v>0.56871609403254975</v>
      </c>
      <c r="T3146" s="845">
        <v>0.129</v>
      </c>
      <c r="U3146" s="845">
        <v>3.5000000000000003E-2</v>
      </c>
      <c r="V3146" s="845">
        <v>0</v>
      </c>
      <c r="W3146" s="845">
        <v>0.5181950509461426</v>
      </c>
      <c r="X3146" s="845">
        <v>0.49157303370786515</v>
      </c>
      <c r="Y3146" s="845">
        <v>7.2332730560578659E-3</v>
      </c>
      <c r="Z3146" s="845">
        <v>0.98282097649186262</v>
      </c>
      <c r="AA3146" s="845">
        <v>0</v>
      </c>
      <c r="AB3146" s="845">
        <v>7.2332730560578659E-3</v>
      </c>
      <c r="AC3146" s="845">
        <v>0</v>
      </c>
      <c r="AD3146" s="845">
        <v>0</v>
      </c>
      <c r="AE3146" s="845">
        <v>2.7124773960216998E-3</v>
      </c>
      <c r="AF3146" s="845">
        <v>0</v>
      </c>
      <c r="AG3146" s="845">
        <v>7.2332730560578659E-3</v>
      </c>
      <c r="AH3146" s="20" t="str">
        <f t="shared" si="217"/>
        <v>No</v>
      </c>
      <c r="AI3146" s="25"/>
      <c r="AU3146" s="19"/>
      <c r="AV3146" s="19"/>
      <c r="AW3146" s="19"/>
      <c r="BU3146"/>
      <c r="BV3146"/>
      <c r="BW3146"/>
      <c r="BX3146"/>
      <c r="BY3146"/>
      <c r="BZ3146"/>
      <c r="CA3146"/>
      <c r="CB3146"/>
      <c r="CC3146"/>
    </row>
    <row r="3147" spans="1:81" s="17" customFormat="1" x14ac:dyDescent="0.2">
      <c r="A3147" s="25"/>
      <c r="B3147" s="20">
        <v>39099802100</v>
      </c>
      <c r="C3147" s="20">
        <v>8021</v>
      </c>
      <c r="D3147" s="20" t="s">
        <v>55</v>
      </c>
      <c r="E3147" s="20" t="s">
        <v>2842</v>
      </c>
      <c r="F3147" s="20" t="s">
        <v>6</v>
      </c>
      <c r="G3147" s="861">
        <v>5.7253477495024301</v>
      </c>
      <c r="H3147" s="861">
        <v>16.2694491569411</v>
      </c>
      <c r="I3147" s="861">
        <v>44.923542252368797</v>
      </c>
      <c r="J3147" s="861">
        <v>48.164316071614401</v>
      </c>
      <c r="K3147" s="982">
        <v>0</v>
      </c>
      <c r="L3147" s="735">
        <v>926</v>
      </c>
      <c r="M3147" s="735">
        <v>742</v>
      </c>
      <c r="N3147" s="845">
        <f t="shared" ref="N3147:N3152" si="218">IF(OR(L3147="",M3147=""),"",(M3147-L3147)/L3147)</f>
        <v>-0.19870410367170627</v>
      </c>
      <c r="O3147" s="735">
        <v>0.37981834596144154</v>
      </c>
      <c r="P3147" s="735">
        <f t="shared" ref="P3147:P3152" si="219">M3147/O3147</f>
        <v>1953.5654554067446</v>
      </c>
      <c r="Q3147" s="849">
        <v>36.299999999999997</v>
      </c>
      <c r="R3147" s="71">
        <v>17052</v>
      </c>
      <c r="S3147" s="845">
        <v>0.61443661971830987</v>
      </c>
      <c r="T3147" s="845">
        <v>0.153</v>
      </c>
      <c r="U3147" s="845">
        <v>0</v>
      </c>
      <c r="V3147" s="845">
        <v>0</v>
      </c>
      <c r="W3147" s="845">
        <v>0.50819672131147542</v>
      </c>
      <c r="X3147" s="845">
        <v>0.52258064516129032</v>
      </c>
      <c r="Y3147" s="845">
        <v>0.16307277628032346</v>
      </c>
      <c r="Z3147" s="845">
        <v>0.73180592991913751</v>
      </c>
      <c r="AA3147" s="845">
        <v>0</v>
      </c>
      <c r="AB3147" s="845">
        <v>0</v>
      </c>
      <c r="AC3147" s="845">
        <v>0</v>
      </c>
      <c r="AD3147" s="845">
        <v>7.5471698113207544E-2</v>
      </c>
      <c r="AE3147" s="845">
        <v>2.9649595687331536E-2</v>
      </c>
      <c r="AF3147" s="845">
        <v>0.11455525606469003</v>
      </c>
      <c r="AG3147" s="845">
        <v>0.1307277628032345</v>
      </c>
      <c r="AH3147" s="20" t="str">
        <f t="shared" ref="AH3147:AH3178" si="220">IF(AG3147&gt;=0.9,"Yes","No")</f>
        <v>No</v>
      </c>
      <c r="AI3147" s="25"/>
      <c r="AU3147" s="19"/>
      <c r="AV3147" s="19"/>
      <c r="AW3147" s="19"/>
      <c r="BU3147"/>
      <c r="BV3147"/>
      <c r="BW3147"/>
      <c r="BX3147"/>
      <c r="BY3147"/>
      <c r="BZ3147"/>
      <c r="CA3147"/>
      <c r="CB3147"/>
      <c r="CC3147"/>
    </row>
    <row r="3148" spans="1:81" s="17" customFormat="1" x14ac:dyDescent="0.2">
      <c r="A3148" s="25"/>
      <c r="B3148" s="20">
        <v>39155920700</v>
      </c>
      <c r="C3148" s="20">
        <v>9207</v>
      </c>
      <c r="D3148" s="20" t="s">
        <v>83</v>
      </c>
      <c r="E3148" s="20" t="s">
        <v>2842</v>
      </c>
      <c r="F3148" s="20" t="s">
        <v>6</v>
      </c>
      <c r="G3148" s="861">
        <v>5.2170728260778301</v>
      </c>
      <c r="H3148" s="861">
        <v>19.814753237938199</v>
      </c>
      <c r="I3148" s="861">
        <v>65.806341032152801</v>
      </c>
      <c r="J3148" s="861">
        <v>19.403608792495099</v>
      </c>
      <c r="K3148" s="982">
        <v>0</v>
      </c>
      <c r="L3148" s="735">
        <v>4969</v>
      </c>
      <c r="M3148" s="735">
        <v>4127</v>
      </c>
      <c r="N3148" s="845">
        <f t="shared" si="218"/>
        <v>-0.1694505936808211</v>
      </c>
      <c r="O3148" s="735">
        <v>7.1691560777087897</v>
      </c>
      <c r="P3148" s="735">
        <f t="shared" si="219"/>
        <v>575.66050386769643</v>
      </c>
      <c r="Q3148" s="849">
        <v>36.1</v>
      </c>
      <c r="R3148" s="71">
        <v>31691</v>
      </c>
      <c r="S3148" s="845">
        <v>0.44286249531659799</v>
      </c>
      <c r="T3148" s="845">
        <v>5.9000000000000004E-2</v>
      </c>
      <c r="U3148" s="845">
        <v>0</v>
      </c>
      <c r="V3148" s="845">
        <v>9.5000000000000001E-2</v>
      </c>
      <c r="W3148" s="845">
        <v>0.43157894736842106</v>
      </c>
      <c r="X3148" s="845">
        <v>0.63858093126385806</v>
      </c>
      <c r="Y3148" s="845">
        <v>0.55536709474194335</v>
      </c>
      <c r="Z3148" s="845">
        <v>0.32517567240126</v>
      </c>
      <c r="AA3148" s="845">
        <v>6.5422825296825781E-3</v>
      </c>
      <c r="AB3148" s="845">
        <v>8.9653501332687176E-3</v>
      </c>
      <c r="AC3148" s="845">
        <v>0</v>
      </c>
      <c r="AD3148" s="845">
        <v>3.343833292948873E-2</v>
      </c>
      <c r="AE3148" s="845">
        <v>7.0511267264356678E-2</v>
      </c>
      <c r="AF3148" s="845">
        <v>7.1965107826508362E-2</v>
      </c>
      <c r="AG3148" s="845">
        <v>0.51490186576205477</v>
      </c>
      <c r="AH3148" s="20" t="str">
        <f t="shared" si="220"/>
        <v>No</v>
      </c>
      <c r="AI3148" s="25"/>
      <c r="AU3148" s="19"/>
      <c r="AV3148" s="19"/>
      <c r="AW3148" s="19"/>
      <c r="BU3148"/>
      <c r="BV3148"/>
      <c r="BW3148"/>
      <c r="BX3148"/>
      <c r="BY3148"/>
      <c r="BZ3148"/>
      <c r="CA3148"/>
      <c r="CB3148"/>
      <c r="CC3148"/>
    </row>
    <row r="3149" spans="1:81" s="17" customFormat="1" x14ac:dyDescent="0.2">
      <c r="A3149" s="25"/>
      <c r="B3149" s="20">
        <v>39151700100</v>
      </c>
      <c r="C3149" s="20">
        <v>7001</v>
      </c>
      <c r="D3149" s="20" t="s">
        <v>81</v>
      </c>
      <c r="E3149" s="20" t="s">
        <v>2844</v>
      </c>
      <c r="F3149" s="20" t="s">
        <v>6</v>
      </c>
      <c r="G3149" s="861">
        <v>5.2005297764483096</v>
      </c>
      <c r="H3149" s="861">
        <v>19.771849026625699</v>
      </c>
      <c r="I3149" s="861">
        <v>56.4013444058277</v>
      </c>
      <c r="J3149" s="861">
        <v>22.919586083408198</v>
      </c>
      <c r="K3149" s="982">
        <v>0</v>
      </c>
      <c r="L3149" s="735">
        <v>1152</v>
      </c>
      <c r="M3149" s="735">
        <v>1328</v>
      </c>
      <c r="N3149" s="845">
        <f t="shared" si="218"/>
        <v>0.15277777777777779</v>
      </c>
      <c r="O3149" s="735">
        <v>0.43456145441532551</v>
      </c>
      <c r="P3149" s="735">
        <f t="shared" si="219"/>
        <v>3055.9544260241364</v>
      </c>
      <c r="Q3149" s="849">
        <v>56.2</v>
      </c>
      <c r="R3149" s="71">
        <v>13125</v>
      </c>
      <c r="S3149" s="845">
        <v>0.478984238178634</v>
      </c>
      <c r="T3149" s="845">
        <v>0.13900000000000001</v>
      </c>
      <c r="U3149" s="845">
        <v>0</v>
      </c>
      <c r="V3149" s="845">
        <v>0</v>
      </c>
      <c r="W3149" s="845">
        <v>0.87206266318537862</v>
      </c>
      <c r="X3149" s="845">
        <v>0.38173652694610777</v>
      </c>
      <c r="Y3149" s="845">
        <v>0.55572289156626509</v>
      </c>
      <c r="Z3149" s="845">
        <v>0.38554216867469882</v>
      </c>
      <c r="AA3149" s="845">
        <v>0</v>
      </c>
      <c r="AB3149" s="845">
        <v>1.0542168674698794E-2</v>
      </c>
      <c r="AC3149" s="845">
        <v>3.0120481927710845E-3</v>
      </c>
      <c r="AD3149" s="845">
        <v>0</v>
      </c>
      <c r="AE3149" s="845">
        <v>4.5180722891566265E-2</v>
      </c>
      <c r="AF3149" s="845">
        <v>2.1837349397590362E-2</v>
      </c>
      <c r="AG3149" s="845">
        <v>0.54442771084337349</v>
      </c>
      <c r="AH3149" s="20" t="str">
        <f t="shared" si="220"/>
        <v>No</v>
      </c>
      <c r="AI3149" s="25"/>
      <c r="AU3149" s="19"/>
      <c r="AV3149" s="19"/>
      <c r="AW3149" s="19"/>
      <c r="BU3149"/>
      <c r="BV3149"/>
      <c r="BW3149"/>
      <c r="BX3149"/>
      <c r="BY3149"/>
      <c r="BZ3149"/>
      <c r="CA3149"/>
      <c r="CB3149"/>
      <c r="CC3149"/>
    </row>
    <row r="3150" spans="1:81" s="17" customFormat="1" x14ac:dyDescent="0.2">
      <c r="A3150" s="25"/>
      <c r="B3150" s="20">
        <v>39095010400</v>
      </c>
      <c r="C3150" s="20">
        <v>104</v>
      </c>
      <c r="D3150" s="20" t="s">
        <v>53</v>
      </c>
      <c r="E3150" s="20" t="s">
        <v>2839</v>
      </c>
      <c r="F3150" s="20" t="s">
        <v>6</v>
      </c>
      <c r="G3150" s="861">
        <v>3.3029134290462299</v>
      </c>
      <c r="H3150" s="861">
        <v>37.841638908074401</v>
      </c>
      <c r="I3150" s="861">
        <v>53.001743059897898</v>
      </c>
      <c r="J3150" s="861">
        <v>30.446846014587699</v>
      </c>
      <c r="K3150" s="982">
        <v>0</v>
      </c>
      <c r="L3150" s="735">
        <v>3049</v>
      </c>
      <c r="M3150" s="735">
        <v>2887</v>
      </c>
      <c r="N3150" s="845">
        <f t="shared" si="218"/>
        <v>-5.313217448343719E-2</v>
      </c>
      <c r="O3150" s="735">
        <v>0.50415096307140961</v>
      </c>
      <c r="P3150" s="735">
        <f t="shared" si="219"/>
        <v>5726.4593573553793</v>
      </c>
      <c r="Q3150" s="849">
        <v>19.600000000000001</v>
      </c>
      <c r="R3150" s="71">
        <v>18350</v>
      </c>
      <c r="S3150" s="845">
        <v>0.60313315926892952</v>
      </c>
      <c r="T3150" s="845">
        <v>0.157</v>
      </c>
      <c r="U3150" s="845">
        <v>0</v>
      </c>
      <c r="V3150" s="845">
        <v>0</v>
      </c>
      <c r="W3150" s="845">
        <v>0.78609625668449201</v>
      </c>
      <c r="X3150" s="845">
        <v>0.51020408163265307</v>
      </c>
      <c r="Y3150" s="845">
        <v>0.76515413924489084</v>
      </c>
      <c r="Z3150" s="845">
        <v>0.11361274679598199</v>
      </c>
      <c r="AA3150" s="845">
        <v>1.7319016279875303E-3</v>
      </c>
      <c r="AB3150" s="845">
        <v>5.5420852095600971E-2</v>
      </c>
      <c r="AC3150" s="845">
        <v>0</v>
      </c>
      <c r="AD3150" s="845">
        <v>0</v>
      </c>
      <c r="AE3150" s="845">
        <v>6.4080360235538619E-2</v>
      </c>
      <c r="AF3150" s="845">
        <v>2.6324904745410462E-2</v>
      </c>
      <c r="AG3150" s="845">
        <v>0.74748874263941811</v>
      </c>
      <c r="AH3150" s="20" t="str">
        <f t="shared" si="220"/>
        <v>No</v>
      </c>
      <c r="AI3150" s="25"/>
      <c r="AU3150" s="19"/>
      <c r="AV3150" s="19"/>
      <c r="AW3150" s="19"/>
      <c r="BU3150"/>
      <c r="BV3150"/>
      <c r="BW3150"/>
      <c r="BX3150"/>
      <c r="BY3150"/>
      <c r="BZ3150"/>
      <c r="CA3150"/>
      <c r="CB3150"/>
      <c r="CC3150"/>
    </row>
    <row r="3151" spans="1:81" s="17" customFormat="1" x14ac:dyDescent="0.2">
      <c r="A3151" s="25"/>
      <c r="B3151" s="20">
        <v>39113004600</v>
      </c>
      <c r="C3151" s="20">
        <v>46</v>
      </c>
      <c r="D3151" s="20" t="s">
        <v>62</v>
      </c>
      <c r="E3151" s="20" t="s">
        <v>2833</v>
      </c>
      <c r="F3151" s="20" t="s">
        <v>6</v>
      </c>
      <c r="G3151" s="861">
        <v>2.5789676748417798</v>
      </c>
      <c r="H3151" s="861">
        <v>20.6411684208658</v>
      </c>
      <c r="I3151" s="861">
        <v>62.978006038954099</v>
      </c>
      <c r="J3151" s="861">
        <v>19.139578287943799</v>
      </c>
      <c r="K3151" s="982">
        <v>0</v>
      </c>
      <c r="L3151" s="735">
        <v>1632</v>
      </c>
      <c r="M3151" s="735">
        <v>1550</v>
      </c>
      <c r="N3151" s="845">
        <f t="shared" si="218"/>
        <v>-5.0245098039215688E-2</v>
      </c>
      <c r="O3151" s="735">
        <v>1.3062940277359034</v>
      </c>
      <c r="P3151" s="735">
        <f t="shared" si="219"/>
        <v>1186.5628771850797</v>
      </c>
      <c r="Q3151" s="849">
        <v>49.7</v>
      </c>
      <c r="R3151" s="71">
        <v>29063</v>
      </c>
      <c r="S3151" s="845">
        <v>0.43035019455252921</v>
      </c>
      <c r="T3151" s="845">
        <v>8.3000000000000004E-2</v>
      </c>
      <c r="U3151" s="845">
        <v>0</v>
      </c>
      <c r="V3151" s="845">
        <v>0</v>
      </c>
      <c r="W3151" s="845">
        <v>0.30086580086580089</v>
      </c>
      <c r="X3151" s="845">
        <v>0.48201438848920863</v>
      </c>
      <c r="Y3151" s="845">
        <v>0.35354838709677422</v>
      </c>
      <c r="Z3151" s="845">
        <v>0.51677419354838705</v>
      </c>
      <c r="AA3151" s="845">
        <v>0</v>
      </c>
      <c r="AB3151" s="845">
        <v>3.8709677419354839E-3</v>
      </c>
      <c r="AC3151" s="845">
        <v>0</v>
      </c>
      <c r="AD3151" s="845">
        <v>2.5806451612903226E-3</v>
      </c>
      <c r="AE3151" s="845">
        <v>0.12322580645161291</v>
      </c>
      <c r="AF3151" s="845">
        <v>1.032258064516129E-2</v>
      </c>
      <c r="AG3151" s="845">
        <v>0.35096774193548386</v>
      </c>
      <c r="AH3151" s="20" t="str">
        <f t="shared" si="220"/>
        <v>No</v>
      </c>
      <c r="AI3151" s="25"/>
      <c r="AU3151" s="19"/>
      <c r="AV3151" s="19"/>
      <c r="AW3151" s="19"/>
      <c r="BU3151"/>
      <c r="BV3151"/>
      <c r="BW3151"/>
      <c r="BX3151"/>
      <c r="BY3151"/>
      <c r="BZ3151"/>
      <c r="CA3151"/>
      <c r="CB3151"/>
      <c r="CC3151"/>
    </row>
    <row r="3152" spans="1:81" s="17" customFormat="1" x14ac:dyDescent="0.2">
      <c r="A3152" s="25"/>
      <c r="B3152" s="20">
        <v>39151702300</v>
      </c>
      <c r="C3152" s="20">
        <v>7023</v>
      </c>
      <c r="D3152" s="20" t="s">
        <v>81</v>
      </c>
      <c r="E3152" s="20" t="s">
        <v>2844</v>
      </c>
      <c r="F3152" s="20" t="s">
        <v>6</v>
      </c>
      <c r="G3152" s="861">
        <v>0</v>
      </c>
      <c r="H3152" s="861">
        <v>19.036016689505299</v>
      </c>
      <c r="I3152" s="861">
        <v>30.501956373027099</v>
      </c>
      <c r="J3152" s="861">
        <v>26.5230632387218</v>
      </c>
      <c r="K3152" s="982">
        <v>1</v>
      </c>
      <c r="L3152" s="735">
        <v>3411</v>
      </c>
      <c r="M3152" s="735">
        <v>3413</v>
      </c>
      <c r="N3152" s="845">
        <f t="shared" si="218"/>
        <v>5.863383172090296E-4</v>
      </c>
      <c r="O3152" s="735">
        <v>2.2485276969090027</v>
      </c>
      <c r="P3152" s="735">
        <f t="shared" si="219"/>
        <v>1517.8821255756686</v>
      </c>
      <c r="Q3152" s="849">
        <v>24</v>
      </c>
      <c r="R3152" s="71">
        <v>19202</v>
      </c>
      <c r="S3152" s="845">
        <v>0.58056941590842381</v>
      </c>
      <c r="T3152" s="845">
        <v>0.10400000000000001</v>
      </c>
      <c r="U3152" s="845">
        <v>0.03</v>
      </c>
      <c r="V3152" s="845">
        <v>2.2000000000000002E-2</v>
      </c>
      <c r="W3152" s="845">
        <v>0.792332268370607</v>
      </c>
      <c r="X3152" s="845">
        <v>0.41532258064516131</v>
      </c>
      <c r="Y3152" s="845">
        <v>0.30823322590096691</v>
      </c>
      <c r="Z3152" s="845">
        <v>0.50776443012012895</v>
      </c>
      <c r="AA3152" s="845">
        <v>0</v>
      </c>
      <c r="AB3152" s="845">
        <v>0</v>
      </c>
      <c r="AC3152" s="845">
        <v>0</v>
      </c>
      <c r="AD3152" s="845">
        <v>3.5159683562847933E-3</v>
      </c>
      <c r="AE3152" s="845">
        <v>0.1804863756226194</v>
      </c>
      <c r="AF3152" s="845">
        <v>4.1019630823322592E-2</v>
      </c>
      <c r="AG3152" s="845">
        <v>0.30823322590096691</v>
      </c>
      <c r="AH3152" s="20" t="str">
        <f t="shared" si="220"/>
        <v>No</v>
      </c>
      <c r="AI3152" s="25"/>
      <c r="AU3152" s="19"/>
      <c r="AV3152" s="19"/>
      <c r="AW3152" s="19"/>
      <c r="BU3152"/>
      <c r="BV3152"/>
      <c r="BW3152"/>
      <c r="BX3152"/>
      <c r="BY3152"/>
      <c r="BZ3152"/>
      <c r="CA3152"/>
      <c r="CB3152"/>
      <c r="CC3152"/>
    </row>
    <row r="3153" spans="1:81" s="17" customFormat="1" x14ac:dyDescent="0.2">
      <c r="A3153" s="25"/>
      <c r="B3153" s="20">
        <v>39007990000</v>
      </c>
      <c r="C3153" s="20">
        <v>9900</v>
      </c>
      <c r="D3153" s="20" t="s">
        <v>10</v>
      </c>
      <c r="E3153" s="20" t="s">
        <v>2829</v>
      </c>
      <c r="F3153" s="20" t="s">
        <v>8</v>
      </c>
      <c r="G3153" s="861"/>
      <c r="H3153" s="861"/>
      <c r="I3153" s="861"/>
      <c r="J3153" s="861"/>
      <c r="K3153" s="982"/>
      <c r="L3153" s="735">
        <v>0</v>
      </c>
      <c r="M3153" s="735">
        <v>0</v>
      </c>
      <c r="N3153" s="845"/>
      <c r="O3153" s="840">
        <v>0</v>
      </c>
      <c r="P3153" s="735"/>
      <c r="Q3153" s="849"/>
      <c r="R3153" s="71"/>
      <c r="S3153" s="845"/>
      <c r="T3153" s="845" t="s">
        <v>2466</v>
      </c>
      <c r="U3153" s="845" t="s">
        <v>2466</v>
      </c>
      <c r="V3153" s="845" t="s">
        <v>2466</v>
      </c>
      <c r="W3153" s="845" t="s">
        <v>2466</v>
      </c>
      <c r="X3153" s="845"/>
      <c r="Y3153" s="845"/>
      <c r="Z3153" s="845" t="s">
        <v>2466</v>
      </c>
      <c r="AA3153" s="845" t="s">
        <v>2466</v>
      </c>
      <c r="AB3153" s="845" t="s">
        <v>2466</v>
      </c>
      <c r="AC3153" s="845" t="s">
        <v>2466</v>
      </c>
      <c r="AD3153" s="845" t="s">
        <v>2466</v>
      </c>
      <c r="AE3153" s="845" t="s">
        <v>2466</v>
      </c>
      <c r="AF3153" s="845" t="s">
        <v>2466</v>
      </c>
      <c r="AG3153" s="845" t="s">
        <v>2466</v>
      </c>
      <c r="AH3153" s="20" t="str">
        <f t="shared" si="220"/>
        <v>Yes</v>
      </c>
      <c r="AI3153" s="25"/>
      <c r="AU3153" s="19"/>
      <c r="AV3153" s="19"/>
      <c r="AW3153" s="19"/>
      <c r="BU3153"/>
      <c r="BV3153"/>
      <c r="BW3153"/>
      <c r="BX3153"/>
      <c r="BY3153"/>
      <c r="BZ3153"/>
      <c r="CA3153"/>
      <c r="CB3153"/>
      <c r="CC3153"/>
    </row>
    <row r="3154" spans="1:81" s="17" customFormat="1" x14ac:dyDescent="0.2">
      <c r="A3154" s="25"/>
      <c r="B3154" s="20">
        <v>39017010104</v>
      </c>
      <c r="C3154" s="20">
        <v>101.04</v>
      </c>
      <c r="D3154" s="20" t="s">
        <v>15</v>
      </c>
      <c r="E3154" s="20" t="s">
        <v>2828</v>
      </c>
      <c r="F3154" s="20" t="s">
        <v>8</v>
      </c>
      <c r="G3154" s="861"/>
      <c r="H3154" s="861"/>
      <c r="I3154" s="861"/>
      <c r="J3154" s="861"/>
      <c r="K3154" s="982">
        <v>0</v>
      </c>
      <c r="L3154" s="735">
        <v>4999</v>
      </c>
      <c r="M3154" s="735">
        <v>4540</v>
      </c>
      <c r="N3154" s="845">
        <f>IF(OR(L3154="",M3154=""),"",(M3154-L3154)/L3154)</f>
        <v>-9.1818363672734549E-2</v>
      </c>
      <c r="O3154" s="735">
        <v>0.39886476544481125</v>
      </c>
      <c r="P3154" s="735">
        <f t="shared" ref="P3154:P3161" si="221">M3154/O3154</f>
        <v>11382.303961938134</v>
      </c>
      <c r="Q3154" s="849">
        <v>19.5</v>
      </c>
      <c r="R3154" s="71"/>
      <c r="S3154" s="845">
        <v>0.70930232558139539</v>
      </c>
      <c r="T3154" s="845">
        <v>0.10400000000000001</v>
      </c>
      <c r="U3154" s="845">
        <v>0</v>
      </c>
      <c r="V3154" s="845">
        <v>0</v>
      </c>
      <c r="W3154" s="845">
        <v>0.62857142857142856</v>
      </c>
      <c r="X3154" s="845">
        <v>1</v>
      </c>
      <c r="Y3154" s="845">
        <v>0.82180616740088108</v>
      </c>
      <c r="Z3154" s="845">
        <v>9.2731277533039641E-2</v>
      </c>
      <c r="AA3154" s="845">
        <v>0</v>
      </c>
      <c r="AB3154" s="845">
        <v>4.5154185022026429E-2</v>
      </c>
      <c r="AC3154" s="845">
        <v>0</v>
      </c>
      <c r="AD3154" s="845">
        <v>3.3480176211453744E-2</v>
      </c>
      <c r="AE3154" s="845">
        <v>6.8281938325991188E-3</v>
      </c>
      <c r="AF3154" s="845">
        <v>5.2422907488986786E-2</v>
      </c>
      <c r="AG3154" s="845">
        <v>0.78171806167400881</v>
      </c>
      <c r="AH3154" s="20" t="str">
        <f t="shared" si="220"/>
        <v>No</v>
      </c>
      <c r="AI3154" s="25"/>
      <c r="AU3154" s="19"/>
      <c r="AV3154" s="19"/>
      <c r="AW3154" s="19"/>
      <c r="BU3154"/>
      <c r="BV3154"/>
      <c r="BW3154"/>
      <c r="BX3154"/>
      <c r="BY3154"/>
      <c r="BZ3154"/>
      <c r="CA3154"/>
      <c r="CB3154"/>
      <c r="CC3154"/>
    </row>
    <row r="3155" spans="1:81" s="17" customFormat="1" x14ac:dyDescent="0.2">
      <c r="A3155" s="25"/>
      <c r="B3155" s="20">
        <v>39017010201</v>
      </c>
      <c r="C3155" s="20">
        <v>102.01</v>
      </c>
      <c r="D3155" s="20" t="s">
        <v>15</v>
      </c>
      <c r="E3155" s="20" t="s">
        <v>2828</v>
      </c>
      <c r="F3155" s="20" t="s">
        <v>8</v>
      </c>
      <c r="G3155" s="861"/>
      <c r="H3155" s="861"/>
      <c r="I3155" s="861"/>
      <c r="J3155" s="861"/>
      <c r="K3155" s="982">
        <v>0</v>
      </c>
      <c r="L3155" s="735">
        <v>1988</v>
      </c>
      <c r="M3155" s="735">
        <v>1766</v>
      </c>
      <c r="N3155" s="845">
        <f>IF(OR(L3155="",M3155=""),"",(M3155-L3155)/L3155)</f>
        <v>-0.11167002012072434</v>
      </c>
      <c r="O3155" s="735">
        <v>0.6438774732444621</v>
      </c>
      <c r="P3155" s="735">
        <f t="shared" si="221"/>
        <v>2742.757859039898</v>
      </c>
      <c r="Q3155" s="849">
        <v>19.399999999999999</v>
      </c>
      <c r="R3155" s="71"/>
      <c r="S3155" s="845">
        <v>0</v>
      </c>
      <c r="T3155" s="845">
        <v>7.2999999999999995E-2</v>
      </c>
      <c r="U3155" s="845">
        <v>0</v>
      </c>
      <c r="V3155" s="845" t="s">
        <v>2466</v>
      </c>
      <c r="W3155" s="845">
        <v>0</v>
      </c>
      <c r="X3155" s="845"/>
      <c r="Y3155" s="845">
        <v>0.85560588901472256</v>
      </c>
      <c r="Z3155" s="845">
        <v>4.4167610419026046E-2</v>
      </c>
      <c r="AA3155" s="845">
        <v>0</v>
      </c>
      <c r="AB3155" s="845">
        <v>5.7757644394110984E-2</v>
      </c>
      <c r="AC3155" s="845">
        <v>0</v>
      </c>
      <c r="AD3155" s="845">
        <v>3.1710079275198186E-2</v>
      </c>
      <c r="AE3155" s="845">
        <v>1.0758776896942242E-2</v>
      </c>
      <c r="AF3155" s="845">
        <v>3.6806342015855038E-2</v>
      </c>
      <c r="AG3155" s="845">
        <v>0.83238958097395244</v>
      </c>
      <c r="AH3155" s="20" t="str">
        <f t="shared" si="220"/>
        <v>No</v>
      </c>
      <c r="AI3155" s="25"/>
      <c r="AU3155" s="19"/>
      <c r="AV3155" s="19"/>
      <c r="AW3155" s="19"/>
      <c r="BU3155"/>
      <c r="BV3155"/>
      <c r="BW3155"/>
      <c r="BX3155"/>
      <c r="BY3155"/>
      <c r="BZ3155"/>
      <c r="CA3155"/>
      <c r="CB3155"/>
      <c r="CC3155"/>
    </row>
    <row r="3156" spans="1:81" s="17" customFormat="1" x14ac:dyDescent="0.2">
      <c r="A3156" s="25"/>
      <c r="B3156" s="20">
        <v>39035980100</v>
      </c>
      <c r="C3156" s="20">
        <v>9801</v>
      </c>
      <c r="D3156" s="20" t="s">
        <v>24</v>
      </c>
      <c r="E3156" s="20" t="s">
        <v>2829</v>
      </c>
      <c r="F3156" s="20" t="s">
        <v>8</v>
      </c>
      <c r="G3156" s="861"/>
      <c r="H3156" s="861"/>
      <c r="I3156" s="861"/>
      <c r="J3156" s="861"/>
      <c r="K3156" s="982">
        <v>0</v>
      </c>
      <c r="L3156" s="735">
        <v>0</v>
      </c>
      <c r="M3156" s="735">
        <v>0</v>
      </c>
      <c r="N3156" s="845"/>
      <c r="O3156" s="735">
        <v>1.1066676286788051</v>
      </c>
      <c r="P3156" s="735">
        <f t="shared" si="221"/>
        <v>0</v>
      </c>
      <c r="Q3156" s="849"/>
      <c r="R3156" s="71"/>
      <c r="S3156" s="845"/>
      <c r="T3156" s="845" t="s">
        <v>2466</v>
      </c>
      <c r="U3156" s="845" t="s">
        <v>2466</v>
      </c>
      <c r="V3156" s="845" t="s">
        <v>2466</v>
      </c>
      <c r="W3156" s="845" t="s">
        <v>2466</v>
      </c>
      <c r="X3156" s="845"/>
      <c r="Y3156" s="845"/>
      <c r="Z3156" s="845" t="s">
        <v>2466</v>
      </c>
      <c r="AA3156" s="845" t="s">
        <v>2466</v>
      </c>
      <c r="AB3156" s="845" t="s">
        <v>2466</v>
      </c>
      <c r="AC3156" s="845" t="s">
        <v>2466</v>
      </c>
      <c r="AD3156" s="845" t="s">
        <v>2466</v>
      </c>
      <c r="AE3156" s="845" t="s">
        <v>2466</v>
      </c>
      <c r="AF3156" s="845" t="s">
        <v>2466</v>
      </c>
      <c r="AG3156" s="845" t="s">
        <v>2466</v>
      </c>
      <c r="AH3156" s="20" t="str">
        <f t="shared" si="220"/>
        <v>Yes</v>
      </c>
      <c r="AI3156" s="25"/>
      <c r="AU3156" s="19"/>
      <c r="AV3156" s="19"/>
      <c r="AW3156" s="19"/>
      <c r="BU3156"/>
      <c r="BV3156"/>
      <c r="BW3156"/>
      <c r="BX3156"/>
      <c r="BY3156"/>
      <c r="BZ3156"/>
      <c r="CA3156"/>
      <c r="CB3156"/>
      <c r="CC3156"/>
    </row>
    <row r="3157" spans="1:81" s="17" customFormat="1" x14ac:dyDescent="0.2">
      <c r="A3157" s="25"/>
      <c r="B3157" s="20">
        <v>39035980200</v>
      </c>
      <c r="C3157" s="20">
        <v>9802</v>
      </c>
      <c r="D3157" s="20" t="s">
        <v>24</v>
      </c>
      <c r="E3157" s="20" t="s">
        <v>2829</v>
      </c>
      <c r="F3157" s="20" t="s">
        <v>8</v>
      </c>
      <c r="G3157" s="861"/>
      <c r="H3157" s="861"/>
      <c r="I3157" s="861"/>
      <c r="J3157" s="861"/>
      <c r="K3157" s="982">
        <v>0</v>
      </c>
      <c r="L3157" s="735" t="s">
        <v>2466</v>
      </c>
      <c r="M3157" s="735">
        <v>0</v>
      </c>
      <c r="N3157" s="845" t="str">
        <f>IF(OR(L3157="",M3157=""),"",(M3157-L3157)/L3157)</f>
        <v/>
      </c>
      <c r="O3157" s="735">
        <v>0.23826016714802603</v>
      </c>
      <c r="P3157" s="735">
        <f t="shared" si="221"/>
        <v>0</v>
      </c>
      <c r="Q3157" s="849"/>
      <c r="R3157" s="71"/>
      <c r="S3157" s="845"/>
      <c r="T3157" s="845" t="s">
        <v>2466</v>
      </c>
      <c r="U3157" s="845" t="s">
        <v>2466</v>
      </c>
      <c r="V3157" s="845" t="s">
        <v>2466</v>
      </c>
      <c r="W3157" s="845" t="s">
        <v>2466</v>
      </c>
      <c r="X3157" s="845"/>
      <c r="Y3157" s="845"/>
      <c r="Z3157" s="845" t="s">
        <v>2466</v>
      </c>
      <c r="AA3157" s="845" t="s">
        <v>2466</v>
      </c>
      <c r="AB3157" s="845" t="s">
        <v>2466</v>
      </c>
      <c r="AC3157" s="845" t="s">
        <v>2466</v>
      </c>
      <c r="AD3157" s="845" t="s">
        <v>2466</v>
      </c>
      <c r="AE3157" s="845" t="s">
        <v>2466</v>
      </c>
      <c r="AF3157" s="845" t="s">
        <v>2466</v>
      </c>
      <c r="AG3157" s="845" t="s">
        <v>2466</v>
      </c>
      <c r="AH3157" s="20" t="str">
        <f t="shared" si="220"/>
        <v>Yes</v>
      </c>
      <c r="AI3157" s="25"/>
      <c r="AU3157" s="19"/>
      <c r="AV3157" s="19"/>
      <c r="AW3157" s="19"/>
      <c r="BU3157"/>
      <c r="BV3157"/>
      <c r="BW3157"/>
      <c r="BX3157"/>
      <c r="BY3157"/>
      <c r="BZ3157"/>
      <c r="CA3157"/>
      <c r="CB3157"/>
      <c r="CC3157"/>
    </row>
    <row r="3158" spans="1:81" s="17" customFormat="1" x14ac:dyDescent="0.2">
      <c r="A3158" s="25"/>
      <c r="B3158" s="20">
        <v>39035980500</v>
      </c>
      <c r="C3158" s="20">
        <v>9805</v>
      </c>
      <c r="D3158" s="20" t="s">
        <v>24</v>
      </c>
      <c r="E3158" s="20" t="s">
        <v>2829</v>
      </c>
      <c r="F3158" s="20" t="s">
        <v>8</v>
      </c>
      <c r="G3158" s="861"/>
      <c r="H3158" s="861"/>
      <c r="I3158" s="861"/>
      <c r="J3158" s="861"/>
      <c r="K3158" s="982">
        <v>0</v>
      </c>
      <c r="L3158" s="735">
        <v>0</v>
      </c>
      <c r="M3158" s="735">
        <v>0</v>
      </c>
      <c r="N3158" s="845"/>
      <c r="O3158" s="735">
        <v>3.0590989855934128</v>
      </c>
      <c r="P3158" s="735">
        <f t="shared" si="221"/>
        <v>0</v>
      </c>
      <c r="Q3158" s="849"/>
      <c r="R3158" s="71"/>
      <c r="S3158" s="845"/>
      <c r="T3158" s="845" t="s">
        <v>2466</v>
      </c>
      <c r="U3158" s="845" t="s">
        <v>2466</v>
      </c>
      <c r="V3158" s="845" t="s">
        <v>2466</v>
      </c>
      <c r="W3158" s="845" t="s">
        <v>2466</v>
      </c>
      <c r="X3158" s="845"/>
      <c r="Y3158" s="845"/>
      <c r="Z3158" s="845" t="s">
        <v>2466</v>
      </c>
      <c r="AA3158" s="845" t="s">
        <v>2466</v>
      </c>
      <c r="AB3158" s="845" t="s">
        <v>2466</v>
      </c>
      <c r="AC3158" s="845" t="s">
        <v>2466</v>
      </c>
      <c r="AD3158" s="845" t="s">
        <v>2466</v>
      </c>
      <c r="AE3158" s="845" t="s">
        <v>2466</v>
      </c>
      <c r="AF3158" s="845" t="s">
        <v>2466</v>
      </c>
      <c r="AG3158" s="845" t="s">
        <v>2466</v>
      </c>
      <c r="AH3158" s="20" t="str">
        <f t="shared" si="220"/>
        <v>Yes</v>
      </c>
      <c r="AI3158" s="25"/>
      <c r="AU3158" s="19"/>
      <c r="AV3158" s="19"/>
      <c r="AW3158" s="19"/>
      <c r="BU3158"/>
      <c r="BV3158"/>
      <c r="BW3158"/>
      <c r="BX3158"/>
      <c r="BY3158"/>
      <c r="BZ3158"/>
      <c r="CA3158"/>
      <c r="CB3158"/>
      <c r="CC3158"/>
    </row>
    <row r="3159" spans="1:81" s="17" customFormat="1" x14ac:dyDescent="0.2">
      <c r="A3159" s="25"/>
      <c r="B3159" s="20">
        <v>39035980900</v>
      </c>
      <c r="C3159" s="20">
        <v>9809</v>
      </c>
      <c r="D3159" s="20" t="s">
        <v>24</v>
      </c>
      <c r="E3159" s="20" t="s">
        <v>2829</v>
      </c>
      <c r="F3159" s="20" t="s">
        <v>8</v>
      </c>
      <c r="G3159" s="861"/>
      <c r="H3159" s="861"/>
      <c r="I3159" s="861"/>
      <c r="J3159" s="861"/>
      <c r="K3159" s="982">
        <v>0</v>
      </c>
      <c r="L3159" s="735" t="s">
        <v>2466</v>
      </c>
      <c r="M3159" s="735">
        <v>0</v>
      </c>
      <c r="N3159" s="845" t="str">
        <f>IF(OR(L3159="",M3159=""),"",(M3159-L3159)/L3159)</f>
        <v/>
      </c>
      <c r="O3159" s="735">
        <v>0.42429577022266718</v>
      </c>
      <c r="P3159" s="735">
        <f t="shared" si="221"/>
        <v>0</v>
      </c>
      <c r="Q3159" s="849"/>
      <c r="R3159" s="71"/>
      <c r="S3159" s="845"/>
      <c r="T3159" s="845" t="s">
        <v>2466</v>
      </c>
      <c r="U3159" s="845" t="s">
        <v>2466</v>
      </c>
      <c r="V3159" s="845" t="s">
        <v>2466</v>
      </c>
      <c r="W3159" s="845" t="s">
        <v>2466</v>
      </c>
      <c r="X3159" s="845"/>
      <c r="Y3159" s="845"/>
      <c r="Z3159" s="845" t="s">
        <v>2466</v>
      </c>
      <c r="AA3159" s="845" t="s">
        <v>2466</v>
      </c>
      <c r="AB3159" s="845" t="s">
        <v>2466</v>
      </c>
      <c r="AC3159" s="845" t="s">
        <v>2466</v>
      </c>
      <c r="AD3159" s="845" t="s">
        <v>2466</v>
      </c>
      <c r="AE3159" s="845" t="s">
        <v>2466</v>
      </c>
      <c r="AF3159" s="845" t="s">
        <v>2466</v>
      </c>
      <c r="AG3159" s="845" t="s">
        <v>2466</v>
      </c>
      <c r="AH3159" s="20" t="str">
        <f t="shared" si="220"/>
        <v>Yes</v>
      </c>
      <c r="AI3159" s="25"/>
      <c r="AU3159" s="19"/>
      <c r="AV3159" s="19"/>
      <c r="AW3159" s="19"/>
      <c r="BU3159"/>
      <c r="BV3159"/>
      <c r="BW3159"/>
      <c r="BX3159"/>
      <c r="BY3159"/>
      <c r="BZ3159"/>
      <c r="CA3159"/>
      <c r="CB3159"/>
      <c r="CC3159"/>
    </row>
    <row r="3160" spans="1:81" s="17" customFormat="1" x14ac:dyDescent="0.2">
      <c r="A3160" s="25"/>
      <c r="B3160" s="20">
        <v>39035981000</v>
      </c>
      <c r="C3160" s="20">
        <v>9810</v>
      </c>
      <c r="D3160" s="20" t="s">
        <v>24</v>
      </c>
      <c r="E3160" s="20" t="s">
        <v>2829</v>
      </c>
      <c r="F3160" s="20" t="s">
        <v>8</v>
      </c>
      <c r="G3160" s="861"/>
      <c r="H3160" s="861"/>
      <c r="I3160" s="861"/>
      <c r="J3160" s="861"/>
      <c r="K3160" s="982">
        <v>0</v>
      </c>
      <c r="L3160" s="735" t="s">
        <v>2466</v>
      </c>
      <c r="M3160" s="735">
        <v>24</v>
      </c>
      <c r="N3160" s="845" t="str">
        <f>IF(OR(L3160="",M3160=""),"",(M3160-L3160)/L3160)</f>
        <v/>
      </c>
      <c r="O3160" s="735">
        <v>1.2872032065042955</v>
      </c>
      <c r="P3160" s="735">
        <f t="shared" si="221"/>
        <v>18.645074747116013</v>
      </c>
      <c r="Q3160" s="849"/>
      <c r="R3160" s="71"/>
      <c r="S3160" s="845"/>
      <c r="T3160" s="845" t="s">
        <v>2466</v>
      </c>
      <c r="U3160" s="845" t="s">
        <v>2466</v>
      </c>
      <c r="V3160" s="845" t="s">
        <v>2466</v>
      </c>
      <c r="W3160" s="845" t="s">
        <v>2466</v>
      </c>
      <c r="X3160" s="845"/>
      <c r="Y3160" s="845">
        <v>1</v>
      </c>
      <c r="Z3160" s="845">
        <v>0</v>
      </c>
      <c r="AA3160" s="845">
        <v>0</v>
      </c>
      <c r="AB3160" s="845">
        <v>0</v>
      </c>
      <c r="AC3160" s="845">
        <v>0</v>
      </c>
      <c r="AD3160" s="845">
        <v>0</v>
      </c>
      <c r="AE3160" s="845">
        <v>0</v>
      </c>
      <c r="AF3160" s="845">
        <v>0</v>
      </c>
      <c r="AG3160" s="845">
        <v>1</v>
      </c>
      <c r="AH3160" s="20" t="str">
        <f t="shared" si="220"/>
        <v>Yes</v>
      </c>
      <c r="AI3160" s="25"/>
      <c r="AU3160" s="19"/>
      <c r="AV3160" s="19"/>
      <c r="AW3160" s="19"/>
      <c r="BU3160"/>
      <c r="BV3160"/>
      <c r="BW3160"/>
      <c r="BX3160"/>
      <c r="BY3160"/>
      <c r="BZ3160"/>
      <c r="CA3160"/>
      <c r="CB3160"/>
      <c r="CC3160"/>
    </row>
    <row r="3161" spans="1:81" s="17" customFormat="1" x14ac:dyDescent="0.2">
      <c r="A3161" s="25"/>
      <c r="B3161" s="20">
        <v>39035981100</v>
      </c>
      <c r="C3161" s="20">
        <v>9811</v>
      </c>
      <c r="D3161" s="20" t="s">
        <v>24</v>
      </c>
      <c r="E3161" s="20" t="s">
        <v>2829</v>
      </c>
      <c r="F3161" s="20" t="s">
        <v>8</v>
      </c>
      <c r="G3161" s="861"/>
      <c r="H3161" s="861"/>
      <c r="I3161" s="861"/>
      <c r="J3161" s="861"/>
      <c r="K3161" s="982">
        <v>0</v>
      </c>
      <c r="L3161" s="735">
        <v>0</v>
      </c>
      <c r="M3161" s="735">
        <v>0</v>
      </c>
      <c r="N3161" s="845"/>
      <c r="O3161" s="735">
        <v>1.1208379640013098</v>
      </c>
      <c r="P3161" s="735">
        <f t="shared" si="221"/>
        <v>0</v>
      </c>
      <c r="Q3161" s="849"/>
      <c r="R3161" s="71"/>
      <c r="S3161" s="845"/>
      <c r="T3161" s="845" t="s">
        <v>2466</v>
      </c>
      <c r="U3161" s="845" t="s">
        <v>2466</v>
      </c>
      <c r="V3161" s="845" t="s">
        <v>2466</v>
      </c>
      <c r="W3161" s="845" t="s">
        <v>2466</v>
      </c>
      <c r="X3161" s="845"/>
      <c r="Y3161" s="845"/>
      <c r="Z3161" s="845" t="s">
        <v>2466</v>
      </c>
      <c r="AA3161" s="845" t="s">
        <v>2466</v>
      </c>
      <c r="AB3161" s="845" t="s">
        <v>2466</v>
      </c>
      <c r="AC3161" s="845" t="s">
        <v>2466</v>
      </c>
      <c r="AD3161" s="845" t="s">
        <v>2466</v>
      </c>
      <c r="AE3161" s="845" t="s">
        <v>2466</v>
      </c>
      <c r="AF3161" s="845" t="s">
        <v>2466</v>
      </c>
      <c r="AG3161" s="845" t="s">
        <v>2466</v>
      </c>
      <c r="AH3161" s="20" t="str">
        <f t="shared" si="220"/>
        <v>Yes</v>
      </c>
      <c r="AI3161" s="25"/>
      <c r="AU3161" s="19"/>
      <c r="AV3161" s="19"/>
      <c r="AW3161" s="19"/>
      <c r="BU3161"/>
      <c r="BV3161"/>
      <c r="BW3161"/>
      <c r="BX3161"/>
      <c r="BY3161"/>
      <c r="BZ3161"/>
      <c r="CA3161"/>
      <c r="CB3161"/>
      <c r="CC3161"/>
    </row>
    <row r="3162" spans="1:81" s="17" customFormat="1" x14ac:dyDescent="0.2">
      <c r="A3162" s="25"/>
      <c r="B3162" s="20">
        <v>39035990000</v>
      </c>
      <c r="C3162" s="20">
        <v>9900</v>
      </c>
      <c r="D3162" s="20" t="s">
        <v>24</v>
      </c>
      <c r="E3162" s="20" t="s">
        <v>2829</v>
      </c>
      <c r="F3162" s="20" t="s">
        <v>8</v>
      </c>
      <c r="G3162" s="861"/>
      <c r="H3162" s="861"/>
      <c r="I3162" s="861"/>
      <c r="J3162" s="861"/>
      <c r="K3162" s="982"/>
      <c r="L3162" s="735">
        <v>0</v>
      </c>
      <c r="M3162" s="735">
        <v>0</v>
      </c>
      <c r="N3162" s="845"/>
      <c r="O3162" s="840">
        <v>0</v>
      </c>
      <c r="P3162" s="735"/>
      <c r="Q3162" s="849"/>
      <c r="R3162" s="71"/>
      <c r="S3162" s="845"/>
      <c r="T3162" s="845" t="s">
        <v>2466</v>
      </c>
      <c r="U3162" s="845" t="s">
        <v>2466</v>
      </c>
      <c r="V3162" s="845" t="s">
        <v>2466</v>
      </c>
      <c r="W3162" s="845" t="s">
        <v>2466</v>
      </c>
      <c r="X3162" s="845"/>
      <c r="Y3162" s="845"/>
      <c r="Z3162" s="845" t="s">
        <v>2466</v>
      </c>
      <c r="AA3162" s="845" t="s">
        <v>2466</v>
      </c>
      <c r="AB3162" s="845" t="s">
        <v>2466</v>
      </c>
      <c r="AC3162" s="845" t="s">
        <v>2466</v>
      </c>
      <c r="AD3162" s="845" t="s">
        <v>2466</v>
      </c>
      <c r="AE3162" s="845" t="s">
        <v>2466</v>
      </c>
      <c r="AF3162" s="845" t="s">
        <v>2466</v>
      </c>
      <c r="AG3162" s="845" t="s">
        <v>2466</v>
      </c>
      <c r="AH3162" s="20" t="str">
        <f t="shared" si="220"/>
        <v>Yes</v>
      </c>
      <c r="AI3162" s="25"/>
      <c r="AU3162" s="19"/>
      <c r="AV3162" s="19"/>
      <c r="AW3162" s="19"/>
      <c r="BU3162"/>
      <c r="BV3162"/>
      <c r="BW3162"/>
      <c r="BX3162"/>
      <c r="BY3162"/>
      <c r="BZ3162"/>
      <c r="CA3162"/>
      <c r="CB3162"/>
      <c r="CC3162"/>
    </row>
    <row r="3163" spans="1:81" s="17" customFormat="1" x14ac:dyDescent="0.2">
      <c r="A3163" s="25"/>
      <c r="B3163" s="20">
        <v>39043990100</v>
      </c>
      <c r="C3163" s="20">
        <v>9901</v>
      </c>
      <c r="D3163" s="20" t="s">
        <v>28</v>
      </c>
      <c r="E3163" s="20" t="s">
        <v>2837</v>
      </c>
      <c r="F3163" s="20" t="s">
        <v>8</v>
      </c>
      <c r="G3163" s="861"/>
      <c r="H3163" s="861"/>
      <c r="I3163" s="861"/>
      <c r="J3163" s="861"/>
      <c r="K3163" s="982"/>
      <c r="L3163" s="735">
        <v>0</v>
      </c>
      <c r="M3163" s="735">
        <v>0</v>
      </c>
      <c r="N3163" s="845"/>
      <c r="O3163" s="840">
        <v>0</v>
      </c>
      <c r="P3163" s="735"/>
      <c r="Q3163" s="849"/>
      <c r="R3163" s="71"/>
      <c r="S3163" s="845"/>
      <c r="T3163" s="845" t="s">
        <v>2466</v>
      </c>
      <c r="U3163" s="845" t="s">
        <v>2466</v>
      </c>
      <c r="V3163" s="845" t="s">
        <v>2466</v>
      </c>
      <c r="W3163" s="845" t="s">
        <v>2466</v>
      </c>
      <c r="X3163" s="845"/>
      <c r="Y3163" s="845"/>
      <c r="Z3163" s="845" t="s">
        <v>2466</v>
      </c>
      <c r="AA3163" s="845" t="s">
        <v>2466</v>
      </c>
      <c r="AB3163" s="845" t="s">
        <v>2466</v>
      </c>
      <c r="AC3163" s="845" t="s">
        <v>2466</v>
      </c>
      <c r="AD3163" s="845" t="s">
        <v>2466</v>
      </c>
      <c r="AE3163" s="845" t="s">
        <v>2466</v>
      </c>
      <c r="AF3163" s="845" t="s">
        <v>2466</v>
      </c>
      <c r="AG3163" s="845" t="s">
        <v>2466</v>
      </c>
      <c r="AH3163" s="20" t="str">
        <f t="shared" si="220"/>
        <v>Yes</v>
      </c>
      <c r="AI3163" s="25"/>
      <c r="AU3163" s="19"/>
      <c r="AV3163" s="19"/>
      <c r="AW3163" s="19"/>
      <c r="BU3163"/>
      <c r="BV3163"/>
      <c r="BW3163"/>
      <c r="BX3163"/>
      <c r="BY3163"/>
      <c r="BZ3163"/>
      <c r="CA3163"/>
      <c r="CB3163"/>
      <c r="CC3163"/>
    </row>
    <row r="3164" spans="1:81" s="17" customFormat="1" x14ac:dyDescent="0.2">
      <c r="A3164" s="25"/>
      <c r="B3164" s="20">
        <v>39049001121</v>
      </c>
      <c r="C3164" s="20">
        <v>11.21</v>
      </c>
      <c r="D3164" s="20" t="s">
        <v>31</v>
      </c>
      <c r="E3164" s="20" t="s">
        <v>2830</v>
      </c>
      <c r="F3164" s="20" t="s">
        <v>6</v>
      </c>
      <c r="G3164" s="861"/>
      <c r="H3164" s="861"/>
      <c r="I3164" s="861"/>
      <c r="J3164" s="861"/>
      <c r="K3164" s="982">
        <v>0</v>
      </c>
      <c r="L3164" s="735">
        <v>8826</v>
      </c>
      <c r="M3164" s="735">
        <v>10370</v>
      </c>
      <c r="N3164" s="845">
        <f>IF(OR(L3164="",M3164=""),"",(M3164-L3164)/L3164)</f>
        <v>0.17493768411511443</v>
      </c>
      <c r="O3164" s="735">
        <v>0.34770507112482463</v>
      </c>
      <c r="P3164" s="735">
        <f>M3164/O3164</f>
        <v>29824.12642545905</v>
      </c>
      <c r="Q3164" s="849">
        <v>19.399999999999999</v>
      </c>
      <c r="R3164" s="71"/>
      <c r="S3164" s="845">
        <v>0.55958549222797926</v>
      </c>
      <c r="T3164" s="845">
        <v>0.122</v>
      </c>
      <c r="U3164" s="845" t="s">
        <v>2466</v>
      </c>
      <c r="V3164" s="845">
        <v>0</v>
      </c>
      <c r="W3164" s="845">
        <v>1</v>
      </c>
      <c r="X3164" s="845">
        <v>0.34328358208955223</v>
      </c>
      <c r="Y3164" s="845">
        <v>0.72526518804243012</v>
      </c>
      <c r="Z3164" s="845">
        <v>5.7859209257473482E-2</v>
      </c>
      <c r="AA3164" s="845">
        <v>9.6432015429122472E-4</v>
      </c>
      <c r="AB3164" s="845">
        <v>0.15207328833172612</v>
      </c>
      <c r="AC3164" s="845">
        <v>0</v>
      </c>
      <c r="AD3164" s="845">
        <v>1.1089681774349084E-2</v>
      </c>
      <c r="AE3164" s="845">
        <v>5.2748312439729987E-2</v>
      </c>
      <c r="AF3164" s="845">
        <v>3.8090646094503376E-2</v>
      </c>
      <c r="AG3164" s="845">
        <v>0.71340405014464803</v>
      </c>
      <c r="AH3164" s="20" t="str">
        <f t="shared" si="220"/>
        <v>No</v>
      </c>
      <c r="AI3164" s="25"/>
      <c r="AU3164" s="19"/>
      <c r="AV3164" s="19"/>
      <c r="AW3164" s="19"/>
      <c r="BU3164"/>
      <c r="BV3164"/>
      <c r="BW3164"/>
      <c r="BX3164"/>
      <c r="BY3164"/>
      <c r="BZ3164"/>
      <c r="CA3164"/>
      <c r="CB3164"/>
      <c r="CC3164"/>
    </row>
    <row r="3165" spans="1:81" s="17" customFormat="1" x14ac:dyDescent="0.2">
      <c r="A3165" s="25"/>
      <c r="B3165" s="20">
        <v>39049980000</v>
      </c>
      <c r="C3165" s="20">
        <v>9800</v>
      </c>
      <c r="D3165" s="20" t="s">
        <v>31</v>
      </c>
      <c r="E3165" s="20" t="s">
        <v>2830</v>
      </c>
      <c r="F3165" s="20" t="s">
        <v>8</v>
      </c>
      <c r="G3165" s="861"/>
      <c r="H3165" s="861"/>
      <c r="I3165" s="861"/>
      <c r="J3165" s="861"/>
      <c r="K3165" s="982">
        <v>0</v>
      </c>
      <c r="L3165" s="735">
        <v>0</v>
      </c>
      <c r="M3165" s="735">
        <v>0</v>
      </c>
      <c r="N3165" s="845"/>
      <c r="O3165" s="735">
        <v>4.3471767134869204</v>
      </c>
      <c r="P3165" s="735">
        <f>M3165/O3165</f>
        <v>0</v>
      </c>
      <c r="Q3165" s="849"/>
      <c r="R3165" s="71"/>
      <c r="S3165" s="845"/>
      <c r="T3165" s="845" t="s">
        <v>2466</v>
      </c>
      <c r="U3165" s="845" t="s">
        <v>2466</v>
      </c>
      <c r="V3165" s="845" t="s">
        <v>2466</v>
      </c>
      <c r="W3165" s="845" t="s">
        <v>2466</v>
      </c>
      <c r="X3165" s="845"/>
      <c r="Y3165" s="845"/>
      <c r="Z3165" s="845" t="s">
        <v>2466</v>
      </c>
      <c r="AA3165" s="845" t="s">
        <v>2466</v>
      </c>
      <c r="AB3165" s="845" t="s">
        <v>2466</v>
      </c>
      <c r="AC3165" s="845" t="s">
        <v>2466</v>
      </c>
      <c r="AD3165" s="845" t="s">
        <v>2466</v>
      </c>
      <c r="AE3165" s="845" t="s">
        <v>2466</v>
      </c>
      <c r="AF3165" s="845" t="s">
        <v>2466</v>
      </c>
      <c r="AG3165" s="845" t="s">
        <v>2466</v>
      </c>
      <c r="AH3165" s="20" t="str">
        <f t="shared" si="220"/>
        <v>Yes</v>
      </c>
      <c r="AI3165" s="25"/>
      <c r="AU3165" s="19"/>
      <c r="AV3165" s="19"/>
      <c r="AW3165" s="19"/>
      <c r="BU3165"/>
      <c r="BV3165"/>
      <c r="BW3165"/>
      <c r="BX3165"/>
      <c r="BY3165"/>
      <c r="BZ3165"/>
      <c r="CA3165"/>
      <c r="CB3165"/>
      <c r="CC3165"/>
    </row>
    <row r="3166" spans="1:81" s="17" customFormat="1" x14ac:dyDescent="0.2">
      <c r="A3166" s="25"/>
      <c r="B3166" s="20">
        <v>39065000401</v>
      </c>
      <c r="C3166" s="20">
        <v>4.01</v>
      </c>
      <c r="D3166" s="20" t="s">
        <v>39</v>
      </c>
      <c r="E3166" s="20" t="s">
        <v>265</v>
      </c>
      <c r="F3166" s="20" t="s">
        <v>8</v>
      </c>
      <c r="G3166" s="861"/>
      <c r="H3166" s="861"/>
      <c r="I3166" s="861"/>
      <c r="J3166" s="861"/>
      <c r="K3166" s="982">
        <v>0</v>
      </c>
      <c r="L3166" s="735" t="s">
        <v>2466</v>
      </c>
      <c r="M3166" s="735">
        <v>1748</v>
      </c>
      <c r="N3166" s="845" t="str">
        <f>IF(OR(L3166="",M3166=""),"",(M3166-L3166)/L3166)</f>
        <v/>
      </c>
      <c r="O3166" s="735">
        <v>0.49748992863137126</v>
      </c>
      <c r="P3166" s="735">
        <f>M3166/O3166</f>
        <v>3513.638969152335</v>
      </c>
      <c r="Q3166" s="849">
        <v>19.7</v>
      </c>
      <c r="R3166" s="71">
        <v>40921</v>
      </c>
      <c r="S3166" s="845">
        <v>7.2289156626506021E-2</v>
      </c>
      <c r="T3166" s="845">
        <v>0.115</v>
      </c>
      <c r="U3166" s="845">
        <v>0</v>
      </c>
      <c r="V3166" s="845">
        <v>0</v>
      </c>
      <c r="W3166" s="845">
        <v>0.8392857142857143</v>
      </c>
      <c r="X3166" s="845">
        <v>0.19148936170212766</v>
      </c>
      <c r="Y3166" s="845">
        <v>0.74485125858123569</v>
      </c>
      <c r="Z3166" s="845">
        <v>0.10697940503432495</v>
      </c>
      <c r="AA3166" s="845">
        <v>5.7208237986270023E-4</v>
      </c>
      <c r="AB3166" s="845">
        <v>5.205949656750572E-2</v>
      </c>
      <c r="AC3166" s="845">
        <v>0</v>
      </c>
      <c r="AD3166" s="845">
        <v>2.9176201372997711E-2</v>
      </c>
      <c r="AE3166" s="845">
        <v>6.6361556064073221E-2</v>
      </c>
      <c r="AF3166" s="845">
        <v>7.780320366132723E-2</v>
      </c>
      <c r="AG3166" s="845">
        <v>0.71281464530892447</v>
      </c>
      <c r="AH3166" s="20" t="str">
        <f t="shared" si="220"/>
        <v>No</v>
      </c>
      <c r="AI3166" s="25"/>
      <c r="AU3166" s="19"/>
      <c r="AV3166" s="19"/>
      <c r="AW3166" s="19"/>
      <c r="BU3166"/>
      <c r="BV3166"/>
      <c r="BW3166"/>
      <c r="BX3166"/>
      <c r="BY3166"/>
      <c r="BZ3166"/>
      <c r="CA3166"/>
      <c r="CB3166"/>
      <c r="CC3166"/>
    </row>
    <row r="3167" spans="1:81" s="17" customFormat="1" x14ac:dyDescent="0.2">
      <c r="A3167" s="25"/>
      <c r="B3167" s="20">
        <v>39085990000</v>
      </c>
      <c r="C3167" s="20">
        <v>9900</v>
      </c>
      <c r="D3167" s="20" t="s">
        <v>48</v>
      </c>
      <c r="E3167" s="20" t="s">
        <v>2829</v>
      </c>
      <c r="F3167" s="20" t="s">
        <v>8</v>
      </c>
      <c r="G3167" s="861"/>
      <c r="H3167" s="861"/>
      <c r="I3167" s="861"/>
      <c r="J3167" s="861"/>
      <c r="K3167" s="982"/>
      <c r="L3167" s="735">
        <v>0</v>
      </c>
      <c r="M3167" s="735">
        <v>0</v>
      </c>
      <c r="N3167" s="845"/>
      <c r="O3167" s="840">
        <v>0</v>
      </c>
      <c r="P3167" s="735"/>
      <c r="Q3167" s="849"/>
      <c r="R3167" s="71"/>
      <c r="S3167" s="845"/>
      <c r="T3167" s="845" t="s">
        <v>2466</v>
      </c>
      <c r="U3167" s="845" t="s">
        <v>2466</v>
      </c>
      <c r="V3167" s="845" t="s">
        <v>2466</v>
      </c>
      <c r="W3167" s="845" t="s">
        <v>2466</v>
      </c>
      <c r="X3167" s="845"/>
      <c r="Y3167" s="845"/>
      <c r="Z3167" s="845" t="s">
        <v>2466</v>
      </c>
      <c r="AA3167" s="845" t="s">
        <v>2466</v>
      </c>
      <c r="AB3167" s="845" t="s">
        <v>2466</v>
      </c>
      <c r="AC3167" s="845" t="s">
        <v>2466</v>
      </c>
      <c r="AD3167" s="845" t="s">
        <v>2466</v>
      </c>
      <c r="AE3167" s="845" t="s">
        <v>2466</v>
      </c>
      <c r="AF3167" s="845" t="s">
        <v>2466</v>
      </c>
      <c r="AG3167" s="845" t="s">
        <v>2466</v>
      </c>
      <c r="AH3167" s="20" t="str">
        <f t="shared" si="220"/>
        <v>Yes</v>
      </c>
      <c r="AI3167" s="25"/>
      <c r="AU3167" s="19"/>
      <c r="AV3167" s="19"/>
      <c r="AW3167" s="19"/>
      <c r="BU3167"/>
      <c r="BV3167"/>
      <c r="BW3167"/>
      <c r="BX3167"/>
      <c r="BY3167"/>
      <c r="BZ3167"/>
      <c r="CA3167"/>
      <c r="CB3167"/>
      <c r="CC3167"/>
    </row>
    <row r="3168" spans="1:81" s="17" customFormat="1" x14ac:dyDescent="0.2">
      <c r="A3168" s="25"/>
      <c r="B3168" s="20">
        <v>39093990200</v>
      </c>
      <c r="C3168" s="20">
        <v>9902</v>
      </c>
      <c r="D3168" s="20" t="s">
        <v>52</v>
      </c>
      <c r="E3168" s="20" t="s">
        <v>2829</v>
      </c>
      <c r="F3168" s="20" t="s">
        <v>8</v>
      </c>
      <c r="G3168" s="861"/>
      <c r="H3168" s="861"/>
      <c r="I3168" s="861"/>
      <c r="J3168" s="861"/>
      <c r="K3168" s="982"/>
      <c r="L3168" s="735">
        <v>0</v>
      </c>
      <c r="M3168" s="735">
        <v>0</v>
      </c>
      <c r="N3168" s="845"/>
      <c r="O3168" s="840">
        <v>0</v>
      </c>
      <c r="P3168" s="735"/>
      <c r="Q3168" s="849"/>
      <c r="R3168" s="71"/>
      <c r="S3168" s="845"/>
      <c r="T3168" s="845" t="s">
        <v>2466</v>
      </c>
      <c r="U3168" s="845" t="s">
        <v>2466</v>
      </c>
      <c r="V3168" s="845" t="s">
        <v>2466</v>
      </c>
      <c r="W3168" s="845" t="s">
        <v>2466</v>
      </c>
      <c r="X3168" s="845"/>
      <c r="Y3168" s="845"/>
      <c r="Z3168" s="845" t="s">
        <v>2466</v>
      </c>
      <c r="AA3168" s="845" t="s">
        <v>2466</v>
      </c>
      <c r="AB3168" s="845" t="s">
        <v>2466</v>
      </c>
      <c r="AC3168" s="845" t="s">
        <v>2466</v>
      </c>
      <c r="AD3168" s="845" t="s">
        <v>2466</v>
      </c>
      <c r="AE3168" s="845" t="s">
        <v>2466</v>
      </c>
      <c r="AF3168" s="845" t="s">
        <v>2466</v>
      </c>
      <c r="AG3168" s="845" t="s">
        <v>2466</v>
      </c>
      <c r="AH3168" s="20" t="str">
        <f t="shared" si="220"/>
        <v>Yes</v>
      </c>
      <c r="AI3168" s="25"/>
      <c r="AU3168" s="19"/>
      <c r="AV3168" s="19"/>
      <c r="AW3168" s="19"/>
      <c r="BU3168"/>
      <c r="BV3168"/>
      <c r="BW3168"/>
      <c r="BX3168"/>
      <c r="BY3168"/>
      <c r="BZ3168"/>
      <c r="CA3168"/>
      <c r="CB3168"/>
      <c r="CC3168"/>
    </row>
    <row r="3169" spans="1:145" s="17" customFormat="1" x14ac:dyDescent="0.2">
      <c r="A3169" s="25"/>
      <c r="B3169" s="20">
        <v>39095990000</v>
      </c>
      <c r="C3169" s="20">
        <v>9900</v>
      </c>
      <c r="D3169" s="20" t="s">
        <v>53</v>
      </c>
      <c r="E3169" s="20" t="s">
        <v>2839</v>
      </c>
      <c r="F3169" s="20" t="s">
        <v>8</v>
      </c>
      <c r="G3169" s="861"/>
      <c r="H3169" s="861"/>
      <c r="I3169" s="861"/>
      <c r="J3169" s="861"/>
      <c r="K3169" s="982"/>
      <c r="L3169" s="735">
        <v>0</v>
      </c>
      <c r="M3169" s="735">
        <v>0</v>
      </c>
      <c r="N3169" s="845"/>
      <c r="O3169" s="840">
        <v>0</v>
      </c>
      <c r="P3169" s="735"/>
      <c r="Q3169" s="849"/>
      <c r="R3169" s="71"/>
      <c r="S3169" s="845"/>
      <c r="T3169" s="845" t="s">
        <v>2466</v>
      </c>
      <c r="U3169" s="845" t="s">
        <v>2466</v>
      </c>
      <c r="V3169" s="845" t="s">
        <v>2466</v>
      </c>
      <c r="W3169" s="845" t="s">
        <v>2466</v>
      </c>
      <c r="X3169" s="845"/>
      <c r="Y3169" s="845"/>
      <c r="Z3169" s="845" t="s">
        <v>2466</v>
      </c>
      <c r="AA3169" s="845" t="s">
        <v>2466</v>
      </c>
      <c r="AB3169" s="845" t="s">
        <v>2466</v>
      </c>
      <c r="AC3169" s="845" t="s">
        <v>2466</v>
      </c>
      <c r="AD3169" s="845" t="s">
        <v>2466</v>
      </c>
      <c r="AE3169" s="845" t="s">
        <v>2466</v>
      </c>
      <c r="AF3169" s="845" t="s">
        <v>2466</v>
      </c>
      <c r="AG3169" s="845" t="s">
        <v>2466</v>
      </c>
      <c r="AH3169" s="20" t="str">
        <f t="shared" si="220"/>
        <v>Yes</v>
      </c>
      <c r="AI3169" s="25"/>
      <c r="AU3169" s="19"/>
      <c r="AV3169" s="19"/>
      <c r="AW3169" s="19"/>
      <c r="BU3169"/>
      <c r="BV3169"/>
      <c r="BW3169"/>
      <c r="BX3169"/>
      <c r="BY3169"/>
      <c r="BZ3169"/>
      <c r="CA3169"/>
      <c r="CB3169"/>
      <c r="CC3169"/>
    </row>
    <row r="3170" spans="1:145" s="17" customFormat="1" x14ac:dyDescent="0.2">
      <c r="A3170" s="25"/>
      <c r="B3170" s="20">
        <v>39097041000</v>
      </c>
      <c r="C3170" s="20">
        <v>410</v>
      </c>
      <c r="D3170" s="20" t="s">
        <v>54</v>
      </c>
      <c r="E3170" s="20" t="s">
        <v>2830</v>
      </c>
      <c r="F3170" s="20" t="s">
        <v>8</v>
      </c>
      <c r="G3170" s="861"/>
      <c r="H3170" s="861"/>
      <c r="I3170" s="861"/>
      <c r="J3170" s="861"/>
      <c r="K3170" s="982">
        <v>0</v>
      </c>
      <c r="L3170" s="735">
        <v>4568</v>
      </c>
      <c r="M3170" s="735">
        <v>4600</v>
      </c>
      <c r="N3170" s="845">
        <f>IF(OR(L3170="",M3170=""),"",(M3170-L3170)/L3170)</f>
        <v>7.0052539404553416E-3</v>
      </c>
      <c r="O3170" s="735">
        <v>4.6762172201632231</v>
      </c>
      <c r="P3170" s="735">
        <f t="shared" ref="P3170:P3178" si="222">M3170/O3170</f>
        <v>983.70109501445211</v>
      </c>
      <c r="Q3170" s="849">
        <v>41.7</v>
      </c>
      <c r="R3170" s="71"/>
      <c r="S3170" s="845">
        <v>6.535947712418301E-2</v>
      </c>
      <c r="T3170" s="845">
        <v>0.159</v>
      </c>
      <c r="U3170" s="845">
        <v>0.34200000000000003</v>
      </c>
      <c r="V3170" s="845">
        <v>0</v>
      </c>
      <c r="W3170" s="845">
        <v>0.57627118644067798</v>
      </c>
      <c r="X3170" s="845">
        <v>0</v>
      </c>
      <c r="Y3170" s="845">
        <v>0.49304347826086958</v>
      </c>
      <c r="Z3170" s="845">
        <v>0.38347826086956521</v>
      </c>
      <c r="AA3170" s="845">
        <v>7.8260869565217397E-3</v>
      </c>
      <c r="AB3170" s="845">
        <v>2.8260869565217392E-3</v>
      </c>
      <c r="AC3170" s="845">
        <v>1.0869565217391304E-3</v>
      </c>
      <c r="AD3170" s="845">
        <v>1.3043478260869565E-2</v>
      </c>
      <c r="AE3170" s="845">
        <v>9.8695652173913045E-2</v>
      </c>
      <c r="AF3170" s="845">
        <v>4.4782608695652176E-2</v>
      </c>
      <c r="AG3170" s="845">
        <v>0.48934782608695654</v>
      </c>
      <c r="AH3170" s="20" t="str">
        <f t="shared" si="220"/>
        <v>No</v>
      </c>
      <c r="AI3170" s="25"/>
      <c r="AU3170" s="19"/>
      <c r="AV3170" s="19"/>
      <c r="AW3170" s="19"/>
      <c r="BU3170"/>
      <c r="BV3170"/>
      <c r="BW3170"/>
      <c r="BX3170"/>
      <c r="BY3170"/>
      <c r="BZ3170"/>
      <c r="CA3170"/>
      <c r="CB3170"/>
      <c r="CC3170"/>
    </row>
    <row r="3171" spans="1:145" s="17" customFormat="1" x14ac:dyDescent="0.2">
      <c r="A3171" s="25"/>
      <c r="B3171" s="20">
        <v>39099800502</v>
      </c>
      <c r="C3171" s="20">
        <v>8005.02</v>
      </c>
      <c r="D3171" s="20" t="s">
        <v>55</v>
      </c>
      <c r="E3171" s="20" t="s">
        <v>2842</v>
      </c>
      <c r="F3171" s="20" t="s">
        <v>8</v>
      </c>
      <c r="G3171" s="861"/>
      <c r="H3171" s="861"/>
      <c r="I3171" s="861"/>
      <c r="J3171" s="861"/>
      <c r="K3171" s="982">
        <v>0</v>
      </c>
      <c r="L3171" s="735" t="s">
        <v>2466</v>
      </c>
      <c r="M3171" s="735">
        <v>839</v>
      </c>
      <c r="N3171" s="845" t="str">
        <f>IF(OR(L3171="",M3171=""),"",(M3171-L3171)/L3171)</f>
        <v/>
      </c>
      <c r="O3171" s="735">
        <v>0.43082205500935677</v>
      </c>
      <c r="P3171" s="735">
        <f t="shared" si="222"/>
        <v>1947.4397613691765</v>
      </c>
      <c r="Q3171" s="849">
        <v>33.6</v>
      </c>
      <c r="R3171" s="71"/>
      <c r="S3171" s="845"/>
      <c r="T3171" s="845" t="s">
        <v>2466</v>
      </c>
      <c r="U3171" s="845" t="s">
        <v>2466</v>
      </c>
      <c r="V3171" s="845" t="s">
        <v>2466</v>
      </c>
      <c r="W3171" s="845" t="s">
        <v>2466</v>
      </c>
      <c r="X3171" s="845"/>
      <c r="Y3171" s="845">
        <v>0.35041716328963052</v>
      </c>
      <c r="Z3171" s="845">
        <v>0.49344457687723481</v>
      </c>
      <c r="AA3171" s="845">
        <v>0</v>
      </c>
      <c r="AB3171" s="845">
        <v>0</v>
      </c>
      <c r="AC3171" s="845">
        <v>8.3432657926102508E-3</v>
      </c>
      <c r="AD3171" s="845">
        <v>2.5029797377830752E-2</v>
      </c>
      <c r="AE3171" s="845">
        <v>0.12276519666269368</v>
      </c>
      <c r="AF3171" s="845">
        <v>9.2967818831942786E-2</v>
      </c>
      <c r="AG3171" s="845">
        <v>0.34326579261025031</v>
      </c>
      <c r="AH3171" s="20" t="str">
        <f t="shared" si="220"/>
        <v>No</v>
      </c>
      <c r="AI3171" s="25"/>
      <c r="AU3171" s="19"/>
      <c r="AV3171" s="19"/>
      <c r="AW3171" s="19"/>
      <c r="BU3171"/>
      <c r="BV3171"/>
      <c r="BW3171"/>
      <c r="BX3171"/>
      <c r="BY3171"/>
      <c r="BZ3171"/>
      <c r="CA3171"/>
      <c r="CB3171"/>
      <c r="CC3171"/>
    </row>
    <row r="3172" spans="1:145" s="17" customFormat="1" x14ac:dyDescent="0.2">
      <c r="A3172" s="25"/>
      <c r="B3172" s="20">
        <v>39101010202</v>
      </c>
      <c r="C3172" s="20">
        <v>102.02</v>
      </c>
      <c r="D3172" s="20" t="s">
        <v>56</v>
      </c>
      <c r="E3172" s="20" t="s">
        <v>265</v>
      </c>
      <c r="F3172" s="20" t="s">
        <v>8</v>
      </c>
      <c r="G3172" s="861"/>
      <c r="H3172" s="861"/>
      <c r="I3172" s="861"/>
      <c r="J3172" s="861"/>
      <c r="K3172" s="982">
        <v>0</v>
      </c>
      <c r="L3172" s="735">
        <v>5930</v>
      </c>
      <c r="M3172" s="735">
        <v>4711</v>
      </c>
      <c r="N3172" s="845">
        <f>IF(OR(L3172="",M3172=""),"",(M3172-L3172)/L3172)</f>
        <v>-0.20556492411467117</v>
      </c>
      <c r="O3172" s="735">
        <v>2.0701724379730839</v>
      </c>
      <c r="P3172" s="735">
        <f t="shared" si="222"/>
        <v>2275.6558408306137</v>
      </c>
      <c r="Q3172" s="849">
        <v>43.2</v>
      </c>
      <c r="R3172" s="71"/>
      <c r="S3172" s="845">
        <v>0</v>
      </c>
      <c r="T3172" s="845">
        <v>0.81</v>
      </c>
      <c r="U3172" s="845" t="s">
        <v>2466</v>
      </c>
      <c r="V3172" s="845">
        <v>0</v>
      </c>
      <c r="W3172" s="845">
        <v>1</v>
      </c>
      <c r="X3172" s="845">
        <v>0</v>
      </c>
      <c r="Y3172" s="845">
        <v>0.4453406919974528</v>
      </c>
      <c r="Z3172" s="845">
        <v>0.42517512205476543</v>
      </c>
      <c r="AA3172" s="845">
        <v>8.703035448949268E-3</v>
      </c>
      <c r="AB3172" s="845">
        <v>5.3067289322861391E-3</v>
      </c>
      <c r="AC3172" s="845">
        <v>2.7594990447887924E-3</v>
      </c>
      <c r="AD3172" s="845">
        <v>1.7406070897898536E-2</v>
      </c>
      <c r="AE3172" s="845">
        <v>9.5308851623859048E-2</v>
      </c>
      <c r="AF3172" s="845">
        <v>7.3445128422840164E-2</v>
      </c>
      <c r="AG3172" s="845">
        <v>0.43111865845892594</v>
      </c>
      <c r="AH3172" s="20" t="str">
        <f t="shared" si="220"/>
        <v>No</v>
      </c>
      <c r="AI3172" s="25"/>
      <c r="AU3172" s="19"/>
      <c r="AV3172" s="19"/>
      <c r="AW3172" s="19"/>
      <c r="BU3172"/>
      <c r="BV3172"/>
      <c r="BW3172"/>
      <c r="BX3172"/>
      <c r="BY3172"/>
      <c r="BZ3172"/>
      <c r="CA3172"/>
      <c r="CB3172"/>
      <c r="CC3172"/>
    </row>
    <row r="3173" spans="1:145" s="17" customFormat="1" x14ac:dyDescent="0.2">
      <c r="A3173" s="25"/>
      <c r="B3173" s="20">
        <v>39113003403</v>
      </c>
      <c r="C3173" s="20">
        <v>34.03</v>
      </c>
      <c r="D3173" s="20" t="s">
        <v>62</v>
      </c>
      <c r="E3173" s="20" t="s">
        <v>2833</v>
      </c>
      <c r="F3173" s="20" t="s">
        <v>8</v>
      </c>
      <c r="G3173" s="861"/>
      <c r="H3173" s="861"/>
      <c r="I3173" s="861"/>
      <c r="J3173" s="861"/>
      <c r="K3173" s="982">
        <v>0</v>
      </c>
      <c r="L3173" s="735">
        <v>3889</v>
      </c>
      <c r="M3173" s="735">
        <v>3525</v>
      </c>
      <c r="N3173" s="845">
        <f>IF(OR(L3173="",M3173=""),"",(M3173-L3173)/L3173)</f>
        <v>-9.3597325790691688E-2</v>
      </c>
      <c r="O3173" s="735">
        <v>0.33688031100652427</v>
      </c>
      <c r="P3173" s="735">
        <f t="shared" si="222"/>
        <v>10463.65692749474</v>
      </c>
      <c r="Q3173" s="849">
        <v>19.5</v>
      </c>
      <c r="R3173" s="71">
        <v>111875</v>
      </c>
      <c r="S3173" s="845">
        <v>0.38425925925925924</v>
      </c>
      <c r="T3173" s="845">
        <v>0.248</v>
      </c>
      <c r="U3173" s="845">
        <v>0</v>
      </c>
      <c r="V3173" s="845">
        <v>0</v>
      </c>
      <c r="W3173" s="845">
        <v>0.44594594594594594</v>
      </c>
      <c r="X3173" s="845">
        <v>0.21212121212121213</v>
      </c>
      <c r="Y3173" s="845">
        <v>0.83943262411347519</v>
      </c>
      <c r="Z3173" s="845">
        <v>6.0141843971631206E-2</v>
      </c>
      <c r="AA3173" s="845">
        <v>0</v>
      </c>
      <c r="AB3173" s="845">
        <v>1.9007092198581561E-2</v>
      </c>
      <c r="AC3173" s="845">
        <v>0</v>
      </c>
      <c r="AD3173" s="845">
        <v>1.5319148936170212E-2</v>
      </c>
      <c r="AE3173" s="845">
        <v>6.6099290780141845E-2</v>
      </c>
      <c r="AF3173" s="845">
        <v>8.5390070921985819E-2</v>
      </c>
      <c r="AG3173" s="845">
        <v>0.79773049645390071</v>
      </c>
      <c r="AH3173" s="20" t="str">
        <f t="shared" si="220"/>
        <v>No</v>
      </c>
      <c r="AI3173" s="25"/>
      <c r="AU3173" s="19"/>
      <c r="AV3173" s="19"/>
      <c r="AW3173" s="19"/>
      <c r="BU3173"/>
      <c r="BV3173"/>
      <c r="BW3173"/>
      <c r="BX3173"/>
      <c r="BY3173"/>
      <c r="BZ3173"/>
      <c r="CA3173"/>
      <c r="CB3173"/>
      <c r="CC3173"/>
    </row>
    <row r="3174" spans="1:145" s="17" customFormat="1" x14ac:dyDescent="0.2">
      <c r="A3174" s="25"/>
      <c r="B3174" s="20">
        <v>39113980000</v>
      </c>
      <c r="C3174" s="20">
        <v>9800</v>
      </c>
      <c r="D3174" s="20" t="s">
        <v>62</v>
      </c>
      <c r="E3174" s="20" t="s">
        <v>2833</v>
      </c>
      <c r="F3174" s="20" t="s">
        <v>8</v>
      </c>
      <c r="G3174" s="861"/>
      <c r="H3174" s="861"/>
      <c r="I3174" s="861"/>
      <c r="J3174" s="861"/>
      <c r="K3174" s="982">
        <v>0</v>
      </c>
      <c r="L3174" s="735">
        <v>0</v>
      </c>
      <c r="M3174" s="735">
        <v>0</v>
      </c>
      <c r="N3174" s="845"/>
      <c r="O3174" s="735">
        <v>1.4584719464214067</v>
      </c>
      <c r="P3174" s="735">
        <f t="shared" si="222"/>
        <v>0</v>
      </c>
      <c r="Q3174" s="849"/>
      <c r="R3174" s="71"/>
      <c r="S3174" s="845"/>
      <c r="T3174" s="845" t="s">
        <v>2466</v>
      </c>
      <c r="U3174" s="845" t="s">
        <v>2466</v>
      </c>
      <c r="V3174" s="845" t="s">
        <v>2466</v>
      </c>
      <c r="W3174" s="845" t="s">
        <v>2466</v>
      </c>
      <c r="X3174" s="845"/>
      <c r="Y3174" s="845"/>
      <c r="Z3174" s="845" t="s">
        <v>2466</v>
      </c>
      <c r="AA3174" s="845" t="s">
        <v>2466</v>
      </c>
      <c r="AB3174" s="845" t="s">
        <v>2466</v>
      </c>
      <c r="AC3174" s="845" t="s">
        <v>2466</v>
      </c>
      <c r="AD3174" s="845" t="s">
        <v>2466</v>
      </c>
      <c r="AE3174" s="845" t="s">
        <v>2466</v>
      </c>
      <c r="AF3174" s="845" t="s">
        <v>2466</v>
      </c>
      <c r="AG3174" s="845" t="s">
        <v>2466</v>
      </c>
      <c r="AH3174" s="20" t="str">
        <f t="shared" si="220"/>
        <v>Yes</v>
      </c>
      <c r="AI3174" s="25"/>
      <c r="AU3174" s="19"/>
      <c r="AV3174" s="19"/>
      <c r="AW3174" s="19"/>
      <c r="BU3174"/>
      <c r="BV3174"/>
      <c r="BW3174"/>
      <c r="BX3174"/>
      <c r="BY3174"/>
      <c r="BZ3174"/>
      <c r="CA3174"/>
      <c r="CB3174"/>
      <c r="CC3174"/>
    </row>
    <row r="3175" spans="1:145" s="17" customFormat="1" x14ac:dyDescent="0.2">
      <c r="A3175" s="25"/>
      <c r="B3175" s="20">
        <v>39129021300</v>
      </c>
      <c r="C3175" s="20">
        <v>213</v>
      </c>
      <c r="D3175" s="20" t="s">
        <v>70</v>
      </c>
      <c r="E3175" s="20" t="s">
        <v>2830</v>
      </c>
      <c r="F3175" s="20" t="s">
        <v>8</v>
      </c>
      <c r="G3175" s="861"/>
      <c r="H3175" s="861"/>
      <c r="I3175" s="861"/>
      <c r="J3175" s="861"/>
      <c r="K3175" s="982">
        <v>0</v>
      </c>
      <c r="L3175" s="735">
        <v>3215</v>
      </c>
      <c r="M3175" s="735">
        <v>3324</v>
      </c>
      <c r="N3175" s="845">
        <f>IF(OR(L3175="",M3175=""),"",(M3175-L3175)/L3175)</f>
        <v>3.3903576982892689E-2</v>
      </c>
      <c r="O3175" s="735">
        <v>1.9875658811422112</v>
      </c>
      <c r="P3175" s="735">
        <f t="shared" si="222"/>
        <v>1672.3973939871462</v>
      </c>
      <c r="Q3175" s="849">
        <v>39</v>
      </c>
      <c r="R3175" s="71"/>
      <c r="S3175" s="845"/>
      <c r="T3175" s="845" t="s">
        <v>2466</v>
      </c>
      <c r="U3175" s="845" t="s">
        <v>2466</v>
      </c>
      <c r="V3175" s="845" t="s">
        <v>2466</v>
      </c>
      <c r="W3175" s="845" t="s">
        <v>2466</v>
      </c>
      <c r="X3175" s="845"/>
      <c r="Y3175" s="845">
        <v>0.50601684717208184</v>
      </c>
      <c r="Z3175" s="845">
        <v>0.3805655836341757</v>
      </c>
      <c r="AA3175" s="845">
        <v>5.7160048134777377E-3</v>
      </c>
      <c r="AB3175" s="845">
        <v>2.4067388688327317E-3</v>
      </c>
      <c r="AC3175" s="845">
        <v>0</v>
      </c>
      <c r="AD3175" s="845">
        <v>1.3537906137184115E-2</v>
      </c>
      <c r="AE3175" s="845">
        <v>9.1756919374247889E-2</v>
      </c>
      <c r="AF3175" s="845">
        <v>4.1516245487364621E-2</v>
      </c>
      <c r="AG3175" s="845">
        <v>0.49187725631768953</v>
      </c>
      <c r="AH3175" s="20" t="str">
        <f t="shared" si="220"/>
        <v>No</v>
      </c>
      <c r="AI3175" s="25"/>
      <c r="AU3175" s="19"/>
      <c r="AV3175" s="19"/>
      <c r="AW3175" s="19"/>
      <c r="BU3175"/>
      <c r="BV3175"/>
      <c r="BW3175"/>
      <c r="BX3175"/>
      <c r="BY3175"/>
      <c r="BZ3175"/>
      <c r="CA3175"/>
      <c r="CB3175"/>
      <c r="CC3175"/>
    </row>
    <row r="3176" spans="1:145" s="17" customFormat="1" x14ac:dyDescent="0.2">
      <c r="A3176" s="25"/>
      <c r="B3176" s="20">
        <v>39139001700</v>
      </c>
      <c r="C3176" s="20">
        <v>17</v>
      </c>
      <c r="D3176" s="20" t="s">
        <v>75</v>
      </c>
      <c r="E3176" s="20" t="s">
        <v>2836</v>
      </c>
      <c r="F3176" s="20" t="s">
        <v>6</v>
      </c>
      <c r="G3176" s="861"/>
      <c r="H3176" s="861"/>
      <c r="I3176" s="861"/>
      <c r="J3176" s="861"/>
      <c r="K3176" s="982">
        <v>0</v>
      </c>
      <c r="L3176" s="735">
        <v>5315</v>
      </c>
      <c r="M3176" s="735">
        <v>4907</v>
      </c>
      <c r="N3176" s="845">
        <f>IF(OR(L3176="",M3176=""),"",(M3176-L3176)/L3176)</f>
        <v>-7.676387582314205E-2</v>
      </c>
      <c r="O3176" s="735">
        <v>6.8381101564207567</v>
      </c>
      <c r="P3176" s="735">
        <f t="shared" si="222"/>
        <v>717.59592749357671</v>
      </c>
      <c r="Q3176" s="849">
        <v>36.200000000000003</v>
      </c>
      <c r="R3176" s="71"/>
      <c r="S3176" s="845">
        <v>0.47272727272727272</v>
      </c>
      <c r="T3176" s="845">
        <v>0.75</v>
      </c>
      <c r="U3176" s="845">
        <v>0</v>
      </c>
      <c r="V3176" s="845" t="s">
        <v>2466</v>
      </c>
      <c r="W3176" s="845">
        <v>0</v>
      </c>
      <c r="X3176" s="845"/>
      <c r="Y3176" s="845">
        <v>0.42408803749745261</v>
      </c>
      <c r="Z3176" s="845">
        <v>0.44935805991440797</v>
      </c>
      <c r="AA3176" s="845">
        <v>7.7440391277766455E-3</v>
      </c>
      <c r="AB3176" s="845">
        <v>2.8530670470756064E-3</v>
      </c>
      <c r="AC3176" s="845">
        <v>3.0568575504381496E-3</v>
      </c>
      <c r="AD3176" s="845">
        <v>3.7089871611982884E-2</v>
      </c>
      <c r="AE3176" s="845">
        <v>7.5810067250866114E-2</v>
      </c>
      <c r="AF3176" s="845">
        <v>7.7032810271041363E-2</v>
      </c>
      <c r="AG3176" s="845">
        <v>0.40065212961076013</v>
      </c>
      <c r="AH3176" s="20" t="str">
        <f t="shared" si="220"/>
        <v>No</v>
      </c>
      <c r="AI3176" s="25"/>
      <c r="AU3176" s="19"/>
      <c r="AV3176" s="19"/>
      <c r="AW3176" s="19"/>
      <c r="BU3176"/>
      <c r="BV3176"/>
      <c r="BW3176"/>
      <c r="BX3176"/>
      <c r="BY3176"/>
      <c r="BZ3176"/>
      <c r="CA3176"/>
      <c r="CB3176"/>
      <c r="CC3176"/>
    </row>
    <row r="3177" spans="1:145" s="17" customFormat="1" x14ac:dyDescent="0.2">
      <c r="A3177" s="25"/>
      <c r="B3177" s="20">
        <v>39165031700</v>
      </c>
      <c r="C3177" s="20">
        <v>317</v>
      </c>
      <c r="D3177" s="20" t="s">
        <v>88</v>
      </c>
      <c r="E3177" s="20" t="s">
        <v>2828</v>
      </c>
      <c r="F3177" s="20" t="s">
        <v>8</v>
      </c>
      <c r="G3177" s="861"/>
      <c r="H3177" s="861"/>
      <c r="I3177" s="861"/>
      <c r="J3177" s="861"/>
      <c r="K3177" s="982">
        <v>0</v>
      </c>
      <c r="L3177" s="735">
        <v>4332</v>
      </c>
      <c r="M3177" s="735">
        <v>4552</v>
      </c>
      <c r="N3177" s="845">
        <f>IF(OR(L3177="",M3177=""),"",(M3177-L3177)/L3177)</f>
        <v>5.0784856879039705E-2</v>
      </c>
      <c r="O3177" s="735">
        <v>2.9994326885153155</v>
      </c>
      <c r="P3177" s="735">
        <f t="shared" si="222"/>
        <v>1517.620321145859</v>
      </c>
      <c r="Q3177" s="849">
        <v>33.200000000000003</v>
      </c>
      <c r="R3177" s="71"/>
      <c r="S3177" s="845">
        <v>0.66666666666666663</v>
      </c>
      <c r="T3177" s="845" t="s">
        <v>2466</v>
      </c>
      <c r="U3177" s="845" t="s">
        <v>2466</v>
      </c>
      <c r="V3177" s="845" t="s">
        <v>2466</v>
      </c>
      <c r="W3177" s="845" t="s">
        <v>2466</v>
      </c>
      <c r="X3177" s="845"/>
      <c r="Y3177" s="845">
        <v>0.38642355008787344</v>
      </c>
      <c r="Z3177" s="845">
        <v>0.54569420035149385</v>
      </c>
      <c r="AA3177" s="845">
        <v>3.2952548330404219E-3</v>
      </c>
      <c r="AB3177" s="845">
        <v>4.8330404217926184E-3</v>
      </c>
      <c r="AC3177" s="845">
        <v>0</v>
      </c>
      <c r="AD3177" s="845">
        <v>1.6476274165202108E-2</v>
      </c>
      <c r="AE3177" s="845">
        <v>4.3277680140597539E-2</v>
      </c>
      <c r="AF3177" s="845">
        <v>2.2627416520210896E-2</v>
      </c>
      <c r="AG3177" s="845">
        <v>0.38027240773286469</v>
      </c>
      <c r="AH3177" s="20" t="str">
        <f t="shared" si="220"/>
        <v>No</v>
      </c>
      <c r="AI3177" s="25"/>
      <c r="AU3177" s="19"/>
      <c r="AV3177" s="19"/>
      <c r="AW3177" s="19"/>
      <c r="BU3177"/>
      <c r="BV3177"/>
      <c r="BW3177"/>
      <c r="BX3177"/>
      <c r="BY3177"/>
      <c r="BZ3177"/>
      <c r="CA3177"/>
      <c r="CB3177"/>
      <c r="CC3177"/>
      <c r="CL3177"/>
      <c r="CM3177"/>
      <c r="CN3177"/>
      <c r="CO3177"/>
    </row>
    <row r="3178" spans="1:145" s="17" customFormat="1" x14ac:dyDescent="0.2">
      <c r="A3178" s="25"/>
      <c r="B3178" s="20">
        <v>39173021800</v>
      </c>
      <c r="C3178" s="20">
        <v>218</v>
      </c>
      <c r="D3178" s="20" t="s">
        <v>92</v>
      </c>
      <c r="E3178" s="20" t="s">
        <v>2839</v>
      </c>
      <c r="F3178" s="20" t="s">
        <v>8</v>
      </c>
      <c r="G3178" s="861"/>
      <c r="H3178" s="861"/>
      <c r="I3178" s="861"/>
      <c r="J3178" s="861"/>
      <c r="K3178" s="982">
        <v>0</v>
      </c>
      <c r="L3178" s="735">
        <v>5737</v>
      </c>
      <c r="M3178" s="735">
        <v>4569</v>
      </c>
      <c r="N3178" s="845">
        <f>IF(OR(L3178="",M3178=""),"",(M3178-L3178)/L3178)</f>
        <v>-0.2035907268607286</v>
      </c>
      <c r="O3178" s="735">
        <v>1.0376086243886271</v>
      </c>
      <c r="P3178" s="735">
        <f t="shared" si="222"/>
        <v>4403.3943941937796</v>
      </c>
      <c r="Q3178" s="849">
        <v>19.600000000000001</v>
      </c>
      <c r="R3178" s="71"/>
      <c r="S3178" s="845">
        <v>0.60573476702508966</v>
      </c>
      <c r="T3178" s="845">
        <v>0.106</v>
      </c>
      <c r="U3178" s="845" t="s">
        <v>2466</v>
      </c>
      <c r="V3178" s="845">
        <v>0.158</v>
      </c>
      <c r="W3178" s="845">
        <v>1</v>
      </c>
      <c r="X3178" s="845">
        <v>0.76729559748427678</v>
      </c>
      <c r="Y3178" s="845">
        <v>0.81527686583497483</v>
      </c>
      <c r="Z3178" s="845">
        <v>0.11643685708032392</v>
      </c>
      <c r="AA3178" s="845">
        <v>3.064127817903261E-3</v>
      </c>
      <c r="AB3178" s="845">
        <v>2.2980958634274459E-2</v>
      </c>
      <c r="AC3178" s="845">
        <v>1.969796454366382E-3</v>
      </c>
      <c r="AD3178" s="845">
        <v>1.094331363536879E-3</v>
      </c>
      <c r="AE3178" s="845">
        <v>3.9177062814620266E-2</v>
      </c>
      <c r="AF3178" s="845">
        <v>3.1516743269862112E-2</v>
      </c>
      <c r="AG3178" s="845">
        <v>0.79142044210987084</v>
      </c>
      <c r="AH3178" s="20" t="str">
        <f t="shared" si="220"/>
        <v>No</v>
      </c>
      <c r="AI3178" s="25"/>
      <c r="AJ3178" s="11"/>
      <c r="AK3178" s="11"/>
      <c r="AL3178" s="11"/>
      <c r="AM3178" s="11"/>
      <c r="AN3178" s="11"/>
      <c r="AO3178" s="11"/>
      <c r="AP3178" s="11"/>
      <c r="AU3178" s="19"/>
      <c r="AV3178" s="19"/>
      <c r="AW3178" s="19"/>
      <c r="BU3178"/>
      <c r="BV3178"/>
      <c r="BW3178"/>
      <c r="BX3178"/>
      <c r="BY3178"/>
      <c r="BZ3178"/>
      <c r="CA3178"/>
      <c r="CB3178"/>
      <c r="CC3178"/>
      <c r="CL3178"/>
      <c r="CM3178"/>
      <c r="CN3178"/>
      <c r="CO3178"/>
      <c r="EO3178"/>
    </row>
    <row r="3179" spans="1:145" x14ac:dyDescent="0.2">
      <c r="A3179" s="1"/>
      <c r="B3179" s="6"/>
      <c r="C3179" s="1"/>
      <c r="D3179" s="1"/>
      <c r="E3179" s="1"/>
      <c r="F3179" s="1"/>
      <c r="G3179" s="859"/>
      <c r="H3179" s="859"/>
      <c r="I3179" s="859"/>
      <c r="J3179" s="859"/>
      <c r="K3179" s="859"/>
      <c r="L3179" s="853"/>
      <c r="AJ3179" s="1"/>
      <c r="AK3179" s="1"/>
      <c r="AL3179" s="1"/>
      <c r="AM3179" s="1"/>
      <c r="AN3179" s="1"/>
      <c r="AO3179" s="1"/>
      <c r="AP3179" s="1"/>
      <c r="AQ3179" s="1"/>
      <c r="AR3179" s="1"/>
      <c r="AS3179" s="1"/>
      <c r="AT3179" s="1"/>
      <c r="EN3179" s="17"/>
    </row>
    <row r="3180" spans="1:145" x14ac:dyDescent="0.2">
      <c r="EN3180" s="17"/>
    </row>
    <row r="3181" spans="1:145" x14ac:dyDescent="0.2">
      <c r="EN3181" s="17"/>
    </row>
    <row r="3182" spans="1:145" x14ac:dyDescent="0.2">
      <c r="EN3182" s="17"/>
    </row>
  </sheetData>
  <sheetProtection algorithmName="SHA-512" hashValue="NTdSx1rXDA5DW2xlC9lCkNiQ1ea4rOnvYSeJ4b4nfESMSzUM6QkYdLgrj/0H8R8WgCKjOxXIfBFufb//ztUbJw==" saltValue="Kwl2INjZXixEeGhM4+nhuQ==" spinCount="100000" sheet="1" objects="1" scenarios="1"/>
  <autoFilter ref="B10:AH3178" xr:uid="{703DBB5D-F0F1-4A5A-AEFC-ED4A7DDFE0B3}">
    <sortState xmlns:xlrd2="http://schemas.microsoft.com/office/spreadsheetml/2017/richdata2" ref="B11:AH3178">
      <sortCondition descending="1" ref="G10:G3178"/>
    </sortState>
  </autoFilter>
  <mergeCells count="22">
    <mergeCell ref="BO8:BS8"/>
    <mergeCell ref="BE8:BF8"/>
    <mergeCell ref="BK8:BL8"/>
    <mergeCell ref="BE6:BF6"/>
    <mergeCell ref="BR5:BS5"/>
    <mergeCell ref="BH6:BK6"/>
    <mergeCell ref="BN6:BP6"/>
    <mergeCell ref="BR6:BS6"/>
    <mergeCell ref="F2:P2"/>
    <mergeCell ref="O3:P3"/>
    <mergeCell ref="BA8:BC8"/>
    <mergeCell ref="G8:J8"/>
    <mergeCell ref="AJ6:AP6"/>
    <mergeCell ref="AR6:BC6"/>
    <mergeCell ref="DD8:DE8"/>
    <mergeCell ref="CY6:DA6"/>
    <mergeCell ref="BY8:CC8"/>
    <mergeCell ref="CV8:CW8"/>
    <mergeCell ref="CV6:CW6"/>
    <mergeCell ref="CE6:CJ6"/>
    <mergeCell ref="CQ6:CT6"/>
    <mergeCell ref="CL6:CO6"/>
  </mergeCells>
  <phoneticPr fontId="30" type="noConversion"/>
  <hyperlinks>
    <hyperlink ref="AS8" r:id="rId1" xr:uid="{4A147275-D3C2-4A06-8191-B49E0458BE42}"/>
    <hyperlink ref="BE8:BF8" r:id="rId2" display="See 26 U.S.C. §42(g)(2)(C)." xr:uid="{08020BF9-D2A9-4EBA-8EFB-8C54128B5403}"/>
    <hyperlink ref="BR6" r:id="rId3" xr:uid="{4A54E0D9-5218-4225-AD39-6A720A117421}"/>
    <hyperlink ref="C8" r:id="rId4" xr:uid="{54770F2C-D930-47FD-B660-B3EA80B51906}"/>
    <hyperlink ref="BL6" r:id="rId5" xr:uid="{4FDC4AEF-CDCD-40A5-B64A-ADD574A6779C}"/>
    <hyperlink ref="CV8:CW8" r:id="rId6" display="See 40 U.S.C. §14102" xr:uid="{5AFB67BB-8201-449E-A3C6-527F0279102B}"/>
    <hyperlink ref="CE8" r:id="rId7" xr:uid="{367C44EA-99E5-491F-9306-C76A2DF564B6}"/>
    <hyperlink ref="CQ8" r:id="rId8" xr:uid="{DCCAA023-1959-46B6-968B-5A30ADFCD6B5}"/>
    <hyperlink ref="AK8" r:id="rId9" xr:uid="{E1F8D9E2-FE41-4E09-80D8-2BCA6394B9AB}"/>
    <hyperlink ref="CY8" r:id="rId10" xr:uid="{2992E6D3-6576-4104-A687-0D5F8EF584ED}"/>
    <hyperlink ref="BX6" r:id="rId11" location="year2026" xr:uid="{83F82A47-9783-483B-B5D3-F50F906292DD}"/>
    <hyperlink ref="BR6:BS6" r:id="rId12" display="Click here" xr:uid="{DBE13B53-93D1-484B-8633-D9BED562EB7D}"/>
  </hyperlinks>
  <pageMargins left="0.7" right="0.7" top="0.75" bottom="0.75" header="0.3" footer="0.3"/>
  <pageSetup fitToHeight="0" orientation="portrait" r:id="rId13"/>
  <drawing r:id="rId1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AFCAD-92E1-48F7-8E85-4580BFA41AD0}">
  <sheetPr>
    <pageSetUpPr autoPageBreaks="0" fitToPage="1"/>
  </sheetPr>
  <dimension ref="A1:P179"/>
  <sheetViews>
    <sheetView showGridLines="0" zoomScale="85" zoomScaleNormal="85" zoomScaleSheetLayoutView="40" zoomScalePageLayoutView="70" workbookViewId="0">
      <selection activeCell="N97" sqref="N97"/>
    </sheetView>
  </sheetViews>
  <sheetFormatPr defaultColWidth="0" defaultRowHeight="0" customHeight="1" zeroHeight="1" x14ac:dyDescent="0.2"/>
  <cols>
    <col min="1" max="1" width="2.625" style="251" customWidth="1"/>
    <col min="2" max="6" width="14.625" style="251" customWidth="1"/>
    <col min="7" max="7" width="5.625" style="251" customWidth="1"/>
    <col min="8" max="12" width="14.625" style="251" customWidth="1"/>
    <col min="13" max="13" width="2.125" style="251" customWidth="1"/>
    <col min="14" max="14" width="16.625" style="251" customWidth="1"/>
    <col min="15" max="15" width="14.875" style="251" bestFit="1" customWidth="1"/>
    <col min="16" max="16" width="8.875" style="251" customWidth="1"/>
    <col min="17" max="16384" width="8.875" style="251" hidden="1"/>
  </cols>
  <sheetData>
    <row r="1" spans="2:16" ht="55.5" customHeight="1" x14ac:dyDescent="0.2">
      <c r="B1" s="1"/>
      <c r="C1" s="1"/>
      <c r="D1" s="1"/>
      <c r="E1" s="1"/>
      <c r="F1" s="1"/>
      <c r="G1" s="1"/>
      <c r="H1" s="1"/>
      <c r="I1" s="1"/>
      <c r="J1" s="1"/>
      <c r="K1" s="1"/>
      <c r="L1" s="1"/>
    </row>
    <row r="2" spans="2:16" ht="25.5" customHeight="1" x14ac:dyDescent="0.2">
      <c r="B2" s="1211" t="s">
        <v>596</v>
      </c>
      <c r="C2" s="1212"/>
      <c r="D2" s="1212"/>
      <c r="E2" s="1212"/>
      <c r="F2" s="1212"/>
      <c r="G2" s="27"/>
      <c r="H2" s="27"/>
      <c r="I2" s="1217" t="str">
        <f>CONCATENATE(IF(Instructions!$K$2="","",Instructions!$K$2)," ",IF(Details!$E$11="","",Details!$E$11))</f>
        <v>2026 9% LIHTC AHFA Proposal Application</v>
      </c>
      <c r="J2" s="1217"/>
      <c r="K2" s="1217"/>
      <c r="L2" s="1218"/>
    </row>
    <row r="3" spans="2:16" ht="20.25" customHeight="1" x14ac:dyDescent="0.2">
      <c r="B3" s="1166" t="s">
        <v>437</v>
      </c>
      <c r="C3" s="1167"/>
      <c r="D3" s="1167"/>
      <c r="E3" s="1167"/>
      <c r="F3" s="1167"/>
      <c r="G3" s="93"/>
      <c r="H3" s="98"/>
      <c r="I3" s="1304" t="str">
        <f>IF(Details!$E$12="","",CONCATENATE("Project Name: ",Details!$E$12))</f>
        <v/>
      </c>
      <c r="J3" s="1304"/>
      <c r="K3" s="1304"/>
      <c r="L3" s="1305"/>
    </row>
    <row r="4" spans="2:16" ht="15" customHeight="1" x14ac:dyDescent="0.2"/>
    <row r="5" spans="2:16" ht="15" customHeight="1" x14ac:dyDescent="0.2"/>
    <row r="6" spans="2:16" ht="15" customHeight="1" x14ac:dyDescent="0.2">
      <c r="B6" s="1609" t="s">
        <v>296</v>
      </c>
      <c r="C6" s="1609"/>
      <c r="H6" s="1609" t="str">
        <f>IF(D15="New Construction","Project Rendering","Existing Photograph")</f>
        <v>Existing Photograph</v>
      </c>
      <c r="I6" s="1609"/>
      <c r="J6" s="1609"/>
      <c r="K6" s="1609"/>
      <c r="L6" s="1609"/>
    </row>
    <row r="7" spans="2:16" ht="3" customHeight="1" x14ac:dyDescent="0.2">
      <c r="B7" s="1610"/>
      <c r="C7" s="1610"/>
      <c r="D7" s="1610"/>
      <c r="E7" s="1610"/>
      <c r="F7" s="1610"/>
      <c r="H7" s="1610"/>
      <c r="I7" s="1610"/>
      <c r="J7" s="1610"/>
      <c r="K7" s="1610"/>
      <c r="L7" s="1610"/>
    </row>
    <row r="8" spans="2:16" ht="5.25" customHeight="1" x14ac:dyDescent="0.2">
      <c r="B8" s="252"/>
      <c r="C8" s="252"/>
      <c r="H8" s="252"/>
      <c r="I8" s="252"/>
      <c r="J8" s="252"/>
      <c r="K8" s="252"/>
    </row>
    <row r="9" spans="2:16" ht="15" customHeight="1" x14ac:dyDescent="0.2">
      <c r="B9" s="1601" t="s">
        <v>298</v>
      </c>
      <c r="C9" s="1605"/>
      <c r="D9" s="1611" t="str">
        <f>IF(Details!E12="","",Details!E12)</f>
        <v/>
      </c>
      <c r="E9" s="1611"/>
      <c r="F9" s="1611"/>
      <c r="H9" s="1617"/>
      <c r="I9" s="1617"/>
      <c r="J9" s="1617"/>
      <c r="K9" s="1617"/>
      <c r="L9" s="1617"/>
      <c r="N9" s="1193" t="s">
        <v>422</v>
      </c>
      <c r="O9" s="1193"/>
      <c r="P9" s="254"/>
    </row>
    <row r="10" spans="2:16" ht="15" customHeight="1" x14ac:dyDescent="0.2">
      <c r="B10" s="1601" t="s">
        <v>2528</v>
      </c>
      <c r="C10" s="1605"/>
      <c r="D10" s="1618" t="str">
        <f>IF(OR(Details!E9="",Details!E9="TBD"),"TBD",Details!E9)</f>
        <v>TBD</v>
      </c>
      <c r="E10" s="1619"/>
      <c r="F10" s="1620"/>
      <c r="H10" s="1617"/>
      <c r="I10" s="1617"/>
      <c r="J10" s="1617"/>
      <c r="K10" s="1617"/>
      <c r="L10" s="1617"/>
      <c r="N10" s="1193"/>
      <c r="O10" s="1193"/>
      <c r="P10" s="254"/>
    </row>
    <row r="11" spans="2:16" ht="15" customHeight="1" x14ac:dyDescent="0.2">
      <c r="B11" s="1601" t="s">
        <v>2419</v>
      </c>
      <c r="C11" s="1605"/>
      <c r="D11" s="1621">
        <f>IF(Details!E10="","",Details!E10)</f>
        <v>0.09</v>
      </c>
      <c r="E11" s="1621"/>
      <c r="F11" s="1621"/>
      <c r="H11" s="1617"/>
      <c r="I11" s="1617"/>
      <c r="J11" s="1617"/>
      <c r="K11" s="1617"/>
      <c r="L11" s="1617"/>
      <c r="N11" s="1193"/>
      <c r="O11" s="1193"/>
      <c r="P11" s="254"/>
    </row>
    <row r="12" spans="2:16" ht="15" customHeight="1" x14ac:dyDescent="0.2">
      <c r="B12" s="1601" t="s">
        <v>2576</v>
      </c>
      <c r="C12" s="1605"/>
      <c r="D12" s="1611" t="str">
        <f>IF(Details!E14="","",Details!E14)</f>
        <v/>
      </c>
      <c r="E12" s="1611"/>
      <c r="F12" s="1611"/>
      <c r="H12" s="1617"/>
      <c r="I12" s="1617"/>
      <c r="J12" s="1617"/>
      <c r="K12" s="1617"/>
      <c r="L12" s="1617"/>
      <c r="N12" s="1193"/>
      <c r="O12" s="1193"/>
      <c r="P12" s="254"/>
    </row>
    <row r="13" spans="2:16" ht="15" customHeight="1" x14ac:dyDescent="0.2">
      <c r="B13" s="1601" t="s">
        <v>2577</v>
      </c>
      <c r="C13" s="1605"/>
      <c r="D13" s="1611" t="str">
        <f>IF(Details!E15="","",Details!E15)</f>
        <v/>
      </c>
      <c r="E13" s="1611"/>
      <c r="F13" s="1611"/>
      <c r="H13" s="1617"/>
      <c r="I13" s="1617"/>
      <c r="J13" s="1617"/>
      <c r="K13" s="1617"/>
      <c r="L13" s="1617"/>
      <c r="N13" s="1193"/>
      <c r="O13" s="1193"/>
      <c r="P13" s="254"/>
    </row>
    <row r="14" spans="2:16" ht="15" customHeight="1" x14ac:dyDescent="0.2">
      <c r="B14" s="1601" t="s">
        <v>2578</v>
      </c>
      <c r="C14" s="1605"/>
      <c r="D14" s="1611" t="str">
        <f>IF(Details!E18="","",Details!E18)</f>
        <v>Input Census Tract</v>
      </c>
      <c r="E14" s="1611"/>
      <c r="F14" s="1611"/>
      <c r="H14" s="1617"/>
      <c r="I14" s="1617"/>
      <c r="J14" s="1617"/>
      <c r="K14" s="1617"/>
      <c r="L14" s="1617"/>
      <c r="N14" s="1193"/>
      <c r="O14" s="1193"/>
      <c r="P14" s="254"/>
    </row>
    <row r="15" spans="2:16" ht="15" customHeight="1" x14ac:dyDescent="0.2">
      <c r="B15" s="1601" t="s">
        <v>651</v>
      </c>
      <c r="C15" s="1605"/>
      <c r="D15" s="1611" t="str">
        <f>IF(Details!J10="","",Details!J10)</f>
        <v/>
      </c>
      <c r="E15" s="1611"/>
      <c r="F15" s="1611"/>
      <c r="H15" s="1617"/>
      <c r="I15" s="1617"/>
      <c r="J15" s="1617"/>
      <c r="K15" s="1617"/>
      <c r="L15" s="1617"/>
      <c r="N15" s="1193"/>
      <c r="O15" s="1193"/>
    </row>
    <row r="16" spans="2:16" ht="15" customHeight="1" x14ac:dyDescent="0.2">
      <c r="B16" s="1601" t="s">
        <v>1964</v>
      </c>
      <c r="C16" s="1605"/>
      <c r="D16" s="1611" t="str">
        <f>IF(Details!J15="","",Details!J15)</f>
        <v/>
      </c>
      <c r="E16" s="1611"/>
      <c r="F16" s="1611"/>
      <c r="H16" s="1617"/>
      <c r="I16" s="1617"/>
      <c r="J16" s="1617"/>
      <c r="K16" s="1617"/>
      <c r="L16" s="1617"/>
      <c r="N16" s="1193"/>
      <c r="O16" s="1193"/>
    </row>
    <row r="17" spans="2:15" ht="15" customHeight="1" x14ac:dyDescent="0.2">
      <c r="B17" s="1601" t="s">
        <v>2483</v>
      </c>
      <c r="C17" s="1605"/>
      <c r="D17" s="1618" t="str">
        <f>IF(Details!$E$21="","",Details!$E$21)</f>
        <v/>
      </c>
      <c r="E17" s="1619"/>
      <c r="F17" s="1620"/>
      <c r="H17" s="1617"/>
      <c r="I17" s="1617"/>
      <c r="J17" s="1617"/>
      <c r="K17" s="1617"/>
      <c r="L17" s="1617"/>
      <c r="N17" s="1193"/>
      <c r="O17" s="1193"/>
    </row>
    <row r="18" spans="2:15" ht="15" customHeight="1" x14ac:dyDescent="0.2">
      <c r="B18" s="1601" t="s">
        <v>3418</v>
      </c>
      <c r="C18" s="1605"/>
      <c r="D18" s="1618" t="str">
        <f>Details!$E$22</f>
        <v>Input Census Tract</v>
      </c>
      <c r="E18" s="1619"/>
      <c r="F18" s="1620"/>
      <c r="H18" s="1617"/>
      <c r="I18" s="1617"/>
      <c r="J18" s="1617"/>
      <c r="K18" s="1617"/>
      <c r="L18" s="1617"/>
      <c r="N18" s="253"/>
      <c r="O18" s="253"/>
    </row>
    <row r="19" spans="2:15" ht="15" customHeight="1" x14ac:dyDescent="0.2">
      <c r="B19" s="1601" t="s">
        <v>2418</v>
      </c>
      <c r="C19" s="1605"/>
      <c r="D19" s="1622" t="str">
        <f>IF(Team!E12="","",Team!E12)</f>
        <v/>
      </c>
      <c r="E19" s="1622"/>
      <c r="F19" s="1622"/>
      <c r="H19" s="1617"/>
      <c r="I19" s="1617"/>
      <c r="J19" s="1617"/>
      <c r="K19" s="1617"/>
      <c r="L19" s="1617"/>
      <c r="N19" s="253"/>
      <c r="O19" s="253"/>
    </row>
    <row r="20" spans="2:15" ht="15" customHeight="1" x14ac:dyDescent="0.2">
      <c r="B20" s="1601" t="s">
        <v>2529</v>
      </c>
      <c r="C20" s="1605"/>
      <c r="D20" s="697">
        <f>Revenue!C101</f>
        <v>0</v>
      </c>
      <c r="H20" s="1617"/>
      <c r="I20" s="1617"/>
      <c r="J20" s="1617"/>
      <c r="K20" s="1617"/>
      <c r="L20" s="1617"/>
      <c r="N20" s="253"/>
      <c r="O20" s="253"/>
    </row>
    <row r="21" spans="2:15" ht="15" customHeight="1" x14ac:dyDescent="0.2">
      <c r="B21" s="1601" t="s">
        <v>2530</v>
      </c>
      <c r="C21" s="1605"/>
      <c r="D21" s="264">
        <f>SUM(Site!F91:I98)</f>
        <v>0</v>
      </c>
      <c r="E21" s="256"/>
      <c r="F21" s="256"/>
      <c r="H21" s="1617"/>
      <c r="I21" s="1617"/>
      <c r="J21" s="1617"/>
      <c r="K21" s="1617"/>
      <c r="L21" s="1617"/>
      <c r="N21" s="253"/>
      <c r="O21" s="253"/>
    </row>
    <row r="22" spans="2:15" ht="15" customHeight="1" x14ac:dyDescent="0.2">
      <c r="D22" s="256"/>
      <c r="E22" s="256"/>
      <c r="F22" s="256"/>
      <c r="N22" s="253"/>
      <c r="O22" s="253"/>
    </row>
    <row r="23" spans="2:15" ht="15" customHeight="1" x14ac:dyDescent="0.2">
      <c r="D23" s="256"/>
      <c r="E23" s="256"/>
      <c r="F23" s="256"/>
      <c r="N23" s="253"/>
      <c r="O23" s="253"/>
    </row>
    <row r="24" spans="2:15" ht="15" customHeight="1" x14ac:dyDescent="0.2">
      <c r="B24" s="1609" t="s">
        <v>2129</v>
      </c>
      <c r="C24" s="1609"/>
      <c r="D24" s="1609"/>
      <c r="E24" s="1609"/>
      <c r="F24" s="1609"/>
      <c r="H24" s="1609" t="s">
        <v>337</v>
      </c>
      <c r="I24" s="1609"/>
      <c r="J24" s="1609"/>
      <c r="K24" s="1609"/>
      <c r="L24" s="1609"/>
      <c r="N24" s="253"/>
      <c r="O24" s="253"/>
    </row>
    <row r="25" spans="2:15" ht="3" customHeight="1" x14ac:dyDescent="0.2">
      <c r="B25" s="1610"/>
      <c r="C25" s="1610"/>
      <c r="D25" s="1610"/>
      <c r="E25" s="1610"/>
      <c r="F25" s="1610"/>
      <c r="H25" s="1692"/>
      <c r="I25" s="1692"/>
      <c r="J25" s="1692"/>
      <c r="K25" s="1692"/>
      <c r="L25" s="1692"/>
      <c r="N25" s="253"/>
      <c r="O25" s="253"/>
    </row>
    <row r="26" spans="2:15" ht="5.25" customHeight="1" x14ac:dyDescent="0.2">
      <c r="B26" s="252"/>
      <c r="C26" s="252"/>
      <c r="N26" s="253"/>
      <c r="O26" s="253"/>
    </row>
    <row r="27" spans="2:15" ht="15" customHeight="1" x14ac:dyDescent="0.2">
      <c r="B27" s="252"/>
      <c r="C27" s="252"/>
      <c r="D27" s="998" t="s">
        <v>163</v>
      </c>
      <c r="E27" s="1067" t="s">
        <v>2531</v>
      </c>
      <c r="H27" s="1624"/>
      <c r="I27" s="1625"/>
      <c r="J27" s="1625"/>
      <c r="K27" s="1625"/>
      <c r="L27" s="1626"/>
      <c r="N27" s="1193" t="s">
        <v>423</v>
      </c>
      <c r="O27" s="1193"/>
    </row>
    <row r="28" spans="2:15" ht="15" customHeight="1" x14ac:dyDescent="0.2">
      <c r="B28" s="1601" t="s">
        <v>2526</v>
      </c>
      <c r="C28" s="1601"/>
      <c r="D28" s="257">
        <f>IF(OLIHTCs!F19="","N/A",OLIHTCs!F19)</f>
        <v>0</v>
      </c>
      <c r="E28" s="686" t="str">
        <f t="shared" ref="E28:E36" si="0">IF(D28="N/A","N/A","")</f>
        <v/>
      </c>
      <c r="H28" s="1627"/>
      <c r="I28" s="1628"/>
      <c r="J28" s="1628"/>
      <c r="K28" s="1628"/>
      <c r="L28" s="1629"/>
      <c r="N28" s="1193"/>
      <c r="O28" s="1193"/>
    </row>
    <row r="29" spans="2:15" ht="15" customHeight="1" x14ac:dyDescent="0.2">
      <c r="B29" s="1601" t="str">
        <f>Sources!C44</f>
        <v>HDAP: OHTF</v>
      </c>
      <c r="C29" s="1605"/>
      <c r="D29" s="257" t="str">
        <f>IF(Sources!G44=0,"N/A",Sources!G44)</f>
        <v>N/A</v>
      </c>
      <c r="E29" s="686" t="str">
        <f t="shared" si="0"/>
        <v>N/A</v>
      </c>
      <c r="H29" s="1627"/>
      <c r="I29" s="1628"/>
      <c r="J29" s="1628"/>
      <c r="K29" s="1628"/>
      <c r="L29" s="1629"/>
      <c r="N29" s="1193"/>
      <c r="O29" s="1193"/>
    </row>
    <row r="30" spans="2:15" ht="15" customHeight="1" x14ac:dyDescent="0.2">
      <c r="B30" s="1601" t="str">
        <f>Sources!C45</f>
        <v>HDAP: HOME</v>
      </c>
      <c r="C30" s="1605"/>
      <c r="D30" s="257" t="str">
        <f>IF(Sources!G45=0,"N/A",Sources!G45)</f>
        <v>N/A</v>
      </c>
      <c r="E30" s="686" t="str">
        <f t="shared" si="0"/>
        <v>N/A</v>
      </c>
      <c r="H30" s="1627"/>
      <c r="I30" s="1628"/>
      <c r="J30" s="1628"/>
      <c r="K30" s="1628"/>
      <c r="L30" s="1629"/>
      <c r="N30" s="1193"/>
      <c r="O30" s="1193"/>
    </row>
    <row r="31" spans="2:15" ht="15" customHeight="1" x14ac:dyDescent="0.2">
      <c r="B31" s="1601" t="str">
        <f>Sources!C46</f>
        <v>HDAP: NHTF</v>
      </c>
      <c r="C31" s="1605"/>
      <c r="D31" s="257" t="str">
        <f>IF(Sources!G46=0,"N/A",Sources!G46)</f>
        <v>N/A</v>
      </c>
      <c r="E31" s="686"/>
      <c r="H31" s="1627"/>
      <c r="I31" s="1628"/>
      <c r="J31" s="1628"/>
      <c r="K31" s="1628"/>
      <c r="L31" s="1629"/>
      <c r="N31" s="1193"/>
      <c r="O31" s="1193"/>
    </row>
    <row r="32" spans="2:15" ht="15" customHeight="1" x14ac:dyDescent="0.2">
      <c r="B32" s="1601" t="str">
        <f>Sources!C47</f>
        <v>HDAP: Other</v>
      </c>
      <c r="C32" s="1605"/>
      <c r="D32" s="257" t="str">
        <f>IF(Sources!G47=0,"N/A",Sources!G47)</f>
        <v>N/A</v>
      </c>
      <c r="E32" s="686" t="str">
        <f t="shared" si="0"/>
        <v>N/A</v>
      </c>
      <c r="H32" s="1627"/>
      <c r="I32" s="1628"/>
      <c r="J32" s="1628"/>
      <c r="K32" s="1628"/>
      <c r="L32" s="1629"/>
      <c r="N32" s="1193"/>
      <c r="O32" s="1193"/>
    </row>
    <row r="33" spans="2:15" ht="15" customHeight="1" x14ac:dyDescent="0.2">
      <c r="B33" s="1601" t="s">
        <v>2532</v>
      </c>
      <c r="C33" s="1605"/>
      <c r="D33" s="257" t="str">
        <f>IF(Bonds!E20="Yes",Bonds!G34,"N/A")</f>
        <v>N/A</v>
      </c>
      <c r="E33" s="686" t="str">
        <f t="shared" si="0"/>
        <v>N/A</v>
      </c>
      <c r="F33" s="258"/>
      <c r="H33" s="1627"/>
      <c r="I33" s="1628"/>
      <c r="J33" s="1628"/>
      <c r="K33" s="1628"/>
      <c r="L33" s="1629"/>
      <c r="N33" s="1193"/>
      <c r="O33" s="1193"/>
    </row>
    <row r="34" spans="2:15" ht="15" customHeight="1" x14ac:dyDescent="0.2">
      <c r="B34" s="1601" t="s">
        <v>2533</v>
      </c>
      <c r="C34" s="1605"/>
      <c r="D34" s="257"/>
      <c r="E34" s="686"/>
      <c r="F34" s="258"/>
      <c r="H34" s="1627"/>
      <c r="I34" s="1628"/>
      <c r="J34" s="1628"/>
      <c r="K34" s="1628"/>
      <c r="L34" s="1629"/>
      <c r="N34" s="1690" t="s">
        <v>2525</v>
      </c>
      <c r="O34" s="253"/>
    </row>
    <row r="35" spans="2:15" ht="15" customHeight="1" x14ac:dyDescent="0.2">
      <c r="B35" s="1601" t="s">
        <v>2151</v>
      </c>
      <c r="C35" s="1605"/>
      <c r="D35" s="257" t="str">
        <f>IF(OR(HDL!E15="",HDL!E15=0),"N/A",HDL!E15)</f>
        <v>N/A</v>
      </c>
      <c r="E35" s="686" t="str">
        <f t="shared" si="0"/>
        <v>N/A</v>
      </c>
      <c r="F35" s="258"/>
      <c r="H35" s="1627"/>
      <c r="I35" s="1628"/>
      <c r="J35" s="1628"/>
      <c r="K35" s="1628"/>
      <c r="L35" s="1629"/>
      <c r="N35" s="1690"/>
      <c r="O35" s="1068">
        <f>LEN(H27)</f>
        <v>0</v>
      </c>
    </row>
    <row r="36" spans="2:15" ht="15" customHeight="1" x14ac:dyDescent="0.2">
      <c r="B36" s="1601" t="s">
        <v>2130</v>
      </c>
      <c r="C36" s="1605"/>
      <c r="D36" s="257" t="str">
        <f>IF(Uses!K75&gt;0,Sources!G38,"N/A")</f>
        <v>N/A</v>
      </c>
      <c r="E36" s="686" t="str">
        <f t="shared" si="0"/>
        <v>N/A</v>
      </c>
      <c r="F36" s="258"/>
      <c r="H36" s="1630"/>
      <c r="I36" s="1631"/>
      <c r="J36" s="1631"/>
      <c r="K36" s="1631"/>
      <c r="L36" s="1632"/>
    </row>
    <row r="37" spans="2:15" ht="15" customHeight="1" x14ac:dyDescent="0.2">
      <c r="D37" s="259"/>
      <c r="E37" s="259"/>
      <c r="F37" s="259"/>
    </row>
    <row r="38" spans="2:15" ht="15" customHeight="1" x14ac:dyDescent="0.2">
      <c r="D38" s="259"/>
      <c r="E38" s="259"/>
      <c r="F38" s="259"/>
    </row>
    <row r="39" spans="2:15" ht="15" customHeight="1" x14ac:dyDescent="0.2">
      <c r="B39" s="1609" t="s">
        <v>2755</v>
      </c>
      <c r="C39" s="1609"/>
      <c r="D39" s="1609"/>
      <c r="H39" s="1609" t="str">
        <f>IF(D17="","Competitive Scoring",CONCATENATE("Competitive Scoring: ",$D$17," Pool"))</f>
        <v>Competitive Scoring</v>
      </c>
      <c r="I39" s="1609"/>
      <c r="J39" s="1609"/>
      <c r="K39" s="1609"/>
      <c r="L39" s="1609"/>
    </row>
    <row r="40" spans="2:15" ht="3" customHeight="1" x14ac:dyDescent="0.2">
      <c r="B40" s="1610"/>
      <c r="C40" s="1610"/>
      <c r="D40" s="1610"/>
      <c r="E40" s="1610"/>
      <c r="F40" s="1610"/>
      <c r="H40" s="1692"/>
      <c r="I40" s="1692"/>
      <c r="J40" s="1692"/>
      <c r="K40" s="1692"/>
      <c r="L40" s="1692"/>
    </row>
    <row r="41" spans="2:15" ht="15" customHeight="1" x14ac:dyDescent="0.2">
      <c r="D41" s="259"/>
      <c r="E41" s="259"/>
      <c r="F41" s="259"/>
    </row>
    <row r="42" spans="2:15" ht="30" customHeight="1" x14ac:dyDescent="0.2">
      <c r="B42" s="1704" t="s">
        <v>2760</v>
      </c>
      <c r="C42" s="1704"/>
      <c r="D42" s="1704"/>
      <c r="E42" s="1069" t="s">
        <v>3408</v>
      </c>
      <c r="F42" s="1069" t="s">
        <v>3409</v>
      </c>
      <c r="H42" s="1647" t="s">
        <v>2759</v>
      </c>
      <c r="I42" s="1647"/>
      <c r="J42" s="995" t="s">
        <v>2433</v>
      </c>
      <c r="K42" s="995" t="s">
        <v>3416</v>
      </c>
      <c r="L42" s="995" t="s">
        <v>3417</v>
      </c>
    </row>
    <row r="43" spans="2:15" ht="15" customHeight="1" x14ac:dyDescent="0.2">
      <c r="B43" s="1697" t="s">
        <v>2756</v>
      </c>
      <c r="C43" s="1697"/>
      <c r="D43" s="1698"/>
      <c r="E43" s="1070" t="str">
        <f>IF(OR('NA-GO'!$J$104="Yes",'NA-SR'!$J$103="Yes",PA!$I$91="Yes",TPSHN!$I$224="Yes"),"Yes","No")</f>
        <v>No</v>
      </c>
      <c r="F43" s="1070" t="str">
        <f>IF(OR('NA-GO'!$J$105="Yes",'NA-SR'!$J$104="Yes",PA!$I$92="Yes",TPSHN!J225="Yes"),"Yes","No")</f>
        <v>No</v>
      </c>
      <c r="H43" s="1693" t="str">
        <f>IF($D$16="General Occupancy", "Opportunity General Occ. Index","Opportunity Senior Index")</f>
        <v>Opportunity Senior Index</v>
      </c>
      <c r="I43" s="1693"/>
      <c r="J43" s="48">
        <v>40</v>
      </c>
      <c r="K43" s="880" t="str">
        <f>IF($D$17="New Affordability - General Occupancy",'NA-GO'!$K$217,IF($D$17="New Affordability - Senior",'NA-SR'!$K$217,IF($D$17="Preserved Affordability",PA!$K$194,IF($D$17="Tenant Populations with Special Housing Needs",TPSHN!$K$323,""))))</f>
        <v/>
      </c>
      <c r="L43" s="880" t="str">
        <f>IF($D$17="New Affordability - General Occupancy",'NA-GO'!$K$218,IF($D$17="New Affordability - Senior",'NA-SR'!$K$218,IF($D$17="Preserved Affordability",PA!$K$195,IF($D$17="Tenant Populations with Special Housing Needs",TPSHN!$K$324,""))))</f>
        <v/>
      </c>
    </row>
    <row r="44" spans="2:15" ht="15" customHeight="1" x14ac:dyDescent="0.2">
      <c r="B44" s="1699" t="s">
        <v>3412</v>
      </c>
      <c r="C44" s="1699"/>
      <c r="D44" s="1700"/>
      <c r="E44" s="20" t="str">
        <f>IF(OR('NA-GO'!$J$133="Yes",'NA-SR'!$J$133="Yes",PA!$J$120="Yes",TPSHN!$J$252="Yes"),"Yes","No")</f>
        <v>No</v>
      </c>
      <c r="F44" s="20" t="str">
        <f>IF(OR('NA-GO'!$J$134="Yes",'NA-SR'!$J$134="Yes",PA!$J$121="Yes",TPSHN!$J$253="Yes"),"Yes","No")</f>
        <v>No</v>
      </c>
      <c r="H44" s="1693" t="s">
        <v>2989</v>
      </c>
      <c r="I44" s="1693"/>
      <c r="J44" s="48">
        <v>35</v>
      </c>
      <c r="K44" s="880" t="str">
        <f>IF($D$17="New Affordability - General Occupancy",'NA-GO'!$K$239,IF($D$17="New Affordability - Senior",'NA-SR'!$K$239,IF($D$17="Preserved Affordability",PA!$K$226,IF($D$17="Tenant Populations with Special Housing Needs",TPSHN!$K$355,""))))</f>
        <v/>
      </c>
      <c r="L44" s="880" t="str">
        <f>IF($D$17="New Affordability - General Occupancy",'NA-GO'!$K$240,IF($D$17="New Affordability - Senior",'NA-SR'!$K$240,IF($D$17="Preserved Affordability",PA!$K$227,IF($D$17="Tenant Populations with Special Housing Needs",TPSHN!$K$356,""))))</f>
        <v/>
      </c>
    </row>
    <row r="45" spans="2:15" ht="15" customHeight="1" thickBot="1" x14ac:dyDescent="0.25">
      <c r="B45" s="1699" t="s">
        <v>2757</v>
      </c>
      <c r="C45" s="1699"/>
      <c r="D45" s="1700"/>
      <c r="E45" s="20" t="str">
        <f>IF(OR($D$17="Preserved Affordability",$D$17="Tenant Populations with Special Housing Needs"),"Ineligible Pool",IF(OR('NA-GO'!$I$164="Yes",'NA-SR'!$I$164="Yes"),"Yes","No"))</f>
        <v>No</v>
      </c>
      <c r="F45" s="20" t="str">
        <f>IF(OR($D$17="Preserved Affordability",$D$17="Tenant Populations with Special Housing Needs"),"Ineligible Pool",IF(OR('NA-GO'!$I$165="Yes",'NA-SR'!$I$165="Yes"),"Yes","No"))</f>
        <v>No</v>
      </c>
      <c r="H45" s="1705" t="s">
        <v>2688</v>
      </c>
      <c r="I45" s="1705"/>
      <c r="J45" s="284">
        <v>25</v>
      </c>
      <c r="K45" s="1072" t="str">
        <f>IF($D$17="New Affordability - General Occupancy",'NA-GO'!$K$258,IF($D$17="New Affordability - Senior",'NA-SR'!$K$258,IF($D$17="Preserved Affordability",PA!$K$245,IF($D$17="Tenant Populations with Special Housing Needs",TPSHN!$K$374,""))))</f>
        <v/>
      </c>
      <c r="L45" s="1072" t="str">
        <f>IF($D$17="New Affordability - General Occupancy",'NA-GO'!$K$259,IF($D$17="New Affordability - Senior",'NA-SR'!$K$259,IF($D$17="Preserved Affordability",PA!$K$246,IF($D$17="Tenant Populations with Special Housing Needs",TPSHN!$K$375,""))))</f>
        <v/>
      </c>
    </row>
    <row r="46" spans="2:15" ht="15" customHeight="1" thickTop="1" x14ac:dyDescent="0.2">
      <c r="B46" s="1699" t="s">
        <v>3394</v>
      </c>
      <c r="C46" s="1699"/>
      <c r="D46" s="1700"/>
      <c r="E46" s="20" t="str">
        <f>IF($D$17&lt;&gt;"Tenant Populations with Special Housing Needs","Ineligible Pool",IF(TPSHN!$J$269="Yes","Yes","No"))</f>
        <v>Ineligible Pool</v>
      </c>
      <c r="F46" s="20" t="str">
        <f>IF($D$17&lt;&gt;"Tenant Populations with Special Housing Needs","Ineligible Pool",IF(TPSHN!$J$253="Yes","Yes","No"))</f>
        <v>Ineligible Pool</v>
      </c>
      <c r="H46" s="1706" t="s">
        <v>325</v>
      </c>
      <c r="I46" s="1706"/>
      <c r="J46" s="1073">
        <f>SUM(J43:J45)</f>
        <v>100</v>
      </c>
      <c r="K46" s="1074">
        <f>SUM(K43:K45)</f>
        <v>0</v>
      </c>
      <c r="L46" s="1074">
        <f>SUM(L43:L45)</f>
        <v>0</v>
      </c>
    </row>
    <row r="47" spans="2:15" ht="15" customHeight="1" x14ac:dyDescent="0.2">
      <c r="B47" s="1699" t="s">
        <v>3395</v>
      </c>
      <c r="C47" s="1699"/>
      <c r="D47" s="1700"/>
      <c r="E47" s="20" t="str">
        <f>IF($D$17&lt;&gt;"Tenant Populations with Special Housing Needs","Ineligible Pool",IF(TPSHN!$J$282="Yes","Yes","No"))</f>
        <v>Ineligible Pool</v>
      </c>
      <c r="F47" s="20" t="str">
        <f>IF($D$17&lt;&gt;"Tenant Populations with Special Housing Needs","Ineligible Pool",IF(TPSHN!$J$283="Yes","Yes","No"))</f>
        <v>Ineligible Pool</v>
      </c>
      <c r="H47" s="1693"/>
      <c r="I47" s="1693"/>
      <c r="J47" s="1693"/>
    </row>
    <row r="48" spans="2:15" ht="15" customHeight="1" x14ac:dyDescent="0.2">
      <c r="B48" s="1699" t="s">
        <v>2758</v>
      </c>
      <c r="C48" s="1699"/>
      <c r="D48" s="1700"/>
      <c r="E48" s="20" t="str">
        <f>IF($D$17&lt;&gt;"Tenant Populations with Special Housing Needs","Ineligible Pool",IF(TPSHN!$J$291="Yes","Yes","No"))</f>
        <v>Ineligible Pool</v>
      </c>
      <c r="F48" s="20" t="str">
        <f>IF($D$17&lt;&gt;"Tenant Populations with Special Housing Needs","Ineligible Pool",IF(TPSHN!$J$2929="Yes","Yes","No"))</f>
        <v>Ineligible Pool</v>
      </c>
      <c r="H48" s="1693" t="s">
        <v>3396</v>
      </c>
      <c r="I48" s="1693"/>
      <c r="J48" s="1693"/>
      <c r="K48" s="1693"/>
      <c r="L48" s="48" t="str">
        <f>IF(Details!$E$13="","Enter Census Tract",VLOOKUP(Details!$E$13,Data!$B$11:$K$3178,10,FALSE))</f>
        <v>Enter Census Tract</v>
      </c>
    </row>
    <row r="49" spans="2:14" ht="15" customHeight="1" x14ac:dyDescent="0.2">
      <c r="D49" s="259"/>
      <c r="E49" s="259"/>
      <c r="F49" s="259"/>
    </row>
    <row r="50" spans="2:14" ht="15" customHeight="1" x14ac:dyDescent="0.2">
      <c r="D50" s="259"/>
      <c r="E50" s="259"/>
      <c r="F50" s="259"/>
    </row>
    <row r="51" spans="2:14" ht="15" customHeight="1" x14ac:dyDescent="0.2">
      <c r="B51" s="1609" t="s">
        <v>297</v>
      </c>
      <c r="C51" s="1609"/>
      <c r="D51" s="1609"/>
      <c r="H51" s="1609" t="s">
        <v>402</v>
      </c>
      <c r="I51" s="1609"/>
      <c r="J51" s="1609"/>
      <c r="K51" s="1609"/>
      <c r="L51" s="1609"/>
    </row>
    <row r="52" spans="2:14" ht="3" customHeight="1" x14ac:dyDescent="0.2">
      <c r="B52" s="1610"/>
      <c r="C52" s="1610"/>
      <c r="D52" s="1610"/>
      <c r="E52" s="1610"/>
      <c r="F52" s="1610"/>
      <c r="H52" s="1692"/>
      <c r="I52" s="1692"/>
      <c r="J52" s="1692"/>
      <c r="K52" s="1692"/>
      <c r="L52" s="1692"/>
    </row>
    <row r="53" spans="2:14" ht="5.0999999999999996" customHeight="1" x14ac:dyDescent="0.2">
      <c r="B53" s="252"/>
      <c r="C53" s="252"/>
      <c r="D53" s="252"/>
    </row>
    <row r="54" spans="2:14" ht="15" customHeight="1" x14ac:dyDescent="0.2">
      <c r="B54" s="1601" t="s">
        <v>288</v>
      </c>
      <c r="C54" s="1605"/>
      <c r="D54" s="1611" t="str">
        <f>IF(Team!$E$12="","",Team!$E$12)</f>
        <v/>
      </c>
      <c r="E54" s="1611"/>
      <c r="F54" s="1611"/>
      <c r="H54" s="1340" t="s">
        <v>403</v>
      </c>
      <c r="I54" s="1340"/>
      <c r="J54" s="1635"/>
      <c r="K54" s="534" t="str">
        <f>IF(Details!$J$12="","",Details!$J$12)</f>
        <v/>
      </c>
    </row>
    <row r="55" spans="2:14" ht="15" customHeight="1" x14ac:dyDescent="0.2">
      <c r="B55" s="1601" t="s">
        <v>338</v>
      </c>
      <c r="C55" s="1605"/>
      <c r="D55" s="1611" t="str">
        <f>IF(OR(Team!$E$56="No",Team!$E$56=""),"N/A",Team!$E$61)</f>
        <v>N/A</v>
      </c>
      <c r="E55" s="1611"/>
      <c r="F55" s="1611"/>
      <c r="H55" s="1340" t="s">
        <v>420</v>
      </c>
      <c r="I55" s="1340"/>
      <c r="J55" s="1635"/>
      <c r="K55" s="984" t="str">
        <f>IF(Details!$J$13="","",Details!$J$13)</f>
        <v/>
      </c>
    </row>
    <row r="56" spans="2:14" ht="15" customHeight="1" x14ac:dyDescent="0.2">
      <c r="B56" s="1601" t="s">
        <v>339</v>
      </c>
      <c r="C56" s="1605"/>
      <c r="D56" s="1611" t="str">
        <f>IF(OR(Team!$E$105="No",Team!$E$105=""),"N/A",Team!$E$110)</f>
        <v>N/A</v>
      </c>
      <c r="E56" s="1611"/>
      <c r="F56" s="1611"/>
      <c r="H56" s="1340" t="s">
        <v>421</v>
      </c>
      <c r="I56" s="1340"/>
      <c r="J56" s="1635"/>
      <c r="K56" s="534">
        <f>SUM(Site!$F$88:$I$95)</f>
        <v>0</v>
      </c>
      <c r="M56" s="251" t="s">
        <v>2278</v>
      </c>
    </row>
    <row r="57" spans="2:14" ht="15" customHeight="1" x14ac:dyDescent="0.2">
      <c r="B57" s="1601" t="s">
        <v>232</v>
      </c>
      <c r="C57" s="1605"/>
      <c r="D57" s="1611" t="str">
        <f>IF(OR(Team!$E$154="No",Team!$E$154=""),"N/A",Team!$E$156)</f>
        <v>N/A</v>
      </c>
      <c r="E57" s="1611"/>
      <c r="F57" s="1611"/>
      <c r="H57" s="1613" t="s">
        <v>2534</v>
      </c>
      <c r="I57" s="1613"/>
      <c r="J57" s="1614"/>
      <c r="K57" s="262">
        <f>SUM(Site!$J$88:$J$95)</f>
        <v>0</v>
      </c>
    </row>
    <row r="58" spans="2:14" ht="15" customHeight="1" x14ac:dyDescent="0.2">
      <c r="B58" s="1601" t="s">
        <v>340</v>
      </c>
      <c r="C58" s="1605"/>
      <c r="D58" s="1611" t="str">
        <f>IF(Team!$E$173="","",Team!$E$173)</f>
        <v/>
      </c>
      <c r="E58" s="1611"/>
      <c r="F58" s="1611"/>
      <c r="H58" s="1613" t="s">
        <v>404</v>
      </c>
      <c r="I58" s="1613"/>
      <c r="J58" s="1614"/>
      <c r="K58" s="262" t="str">
        <f>IF(Details!$J$14="","",Details!$J$14)</f>
        <v/>
      </c>
    </row>
    <row r="59" spans="2:14" ht="15" customHeight="1" x14ac:dyDescent="0.2">
      <c r="B59" s="1601" t="s">
        <v>2527</v>
      </c>
      <c r="C59" s="1605"/>
      <c r="D59" s="1618" t="str">
        <f>IF(Team!$E$201="","",Team!$E$201)</f>
        <v>N/A</v>
      </c>
      <c r="E59" s="1619"/>
      <c r="F59" s="1620"/>
      <c r="H59" s="1613" t="s">
        <v>418</v>
      </c>
      <c r="I59" s="1613"/>
      <c r="J59" s="1614"/>
      <c r="K59" s="880">
        <f>IF(OR(Revenue!$C$101=0,K58=0,K58=""),0,K58/Revenue!$C$101)</f>
        <v>0</v>
      </c>
    </row>
    <row r="60" spans="2:14" ht="15" customHeight="1" x14ac:dyDescent="0.2">
      <c r="B60" s="1601" t="s">
        <v>341</v>
      </c>
      <c r="C60" s="1605"/>
      <c r="D60" s="1611" t="str">
        <f>IF(Team!$E$327="","N/A",Team!$E$327)</f>
        <v>N/A</v>
      </c>
      <c r="E60" s="1611"/>
      <c r="F60" s="1611"/>
      <c r="H60" s="1613" t="s">
        <v>2997</v>
      </c>
      <c r="I60" s="1613"/>
      <c r="J60" s="1614"/>
      <c r="K60" s="880" t="str">
        <f>IF(OR(Details!$E$20="",Details!$E$20="Input Census Tract"),"",Details!$E$20)</f>
        <v/>
      </c>
    </row>
    <row r="61" spans="2:14" ht="15" customHeight="1" x14ac:dyDescent="0.2">
      <c r="B61" s="1601" t="s">
        <v>342</v>
      </c>
      <c r="C61" s="1605"/>
      <c r="D61" s="1611" t="str">
        <f>IF(OR(Team!$E$334="No",Team!$E$334=""),"N/A",Team!$E$348)</f>
        <v>N/A</v>
      </c>
      <c r="E61" s="1611"/>
      <c r="F61" s="1611"/>
      <c r="H61" s="1613" t="s">
        <v>405</v>
      </c>
      <c r="I61" s="1613"/>
      <c r="J61" s="1614"/>
      <c r="K61" s="255" t="str">
        <f>IF(IFERROR(IF(VLOOKUP($D$13,Data!$BH$11:$BH$25,1,FALSE)=$D$13,1,0),0)+IFERROR(IF(VLOOKUP($D$14,Data!$BK$11:$BK$19,1,FALSE)=$D$14,1,0),0)&gt;0,"Yes","No")</f>
        <v>No</v>
      </c>
    </row>
    <row r="62" spans="2:14" ht="15" customHeight="1" x14ac:dyDescent="0.2">
      <c r="B62" s="1601" t="s">
        <v>343</v>
      </c>
      <c r="C62" s="1605"/>
      <c r="D62" s="1611" t="str">
        <f>IF(OR(Team!$E$355="No",Team!$E$355=""),"N/A",Team!$E$369)</f>
        <v>N/A</v>
      </c>
      <c r="E62" s="1611"/>
      <c r="F62" s="1611"/>
      <c r="H62" s="1613" t="s">
        <v>406</v>
      </c>
      <c r="I62" s="1613"/>
      <c r="J62" s="1614"/>
      <c r="K62" s="255" t="str">
        <f>IF(OR(Details!$J$17="",Details!$J$17="Input Census Tract"),"",Details!$J$17)</f>
        <v/>
      </c>
    </row>
    <row r="63" spans="2:14" ht="15" customHeight="1" x14ac:dyDescent="0.2">
      <c r="B63" s="1601" t="s">
        <v>216</v>
      </c>
      <c r="C63" s="1605"/>
      <c r="D63" s="1611" t="str">
        <f>IF(Team!$E$395="","",Team!$E$395)</f>
        <v/>
      </c>
      <c r="E63" s="1611"/>
      <c r="F63" s="1611"/>
      <c r="H63" s="1613" t="s">
        <v>675</v>
      </c>
      <c r="I63" s="1613"/>
      <c r="J63" s="1614"/>
      <c r="K63" s="255" t="str">
        <f>IF(OR(Details!$J$18="",Details!$J$18="Input Zip Code Tabulation Area"),"",Details!$J$18)</f>
        <v/>
      </c>
    </row>
    <row r="64" spans="2:14" ht="15" customHeight="1" x14ac:dyDescent="0.2">
      <c r="B64" s="1601" t="s">
        <v>225</v>
      </c>
      <c r="C64" s="1605"/>
      <c r="D64" s="1611" t="str">
        <f>IF(Team!$E$379="","",Team!$E$379)</f>
        <v/>
      </c>
      <c r="E64" s="1611"/>
      <c r="F64" s="1611"/>
      <c r="H64" s="1613" t="str">
        <f>IF($D$16="","Neighborhood Opportunity Index",IF($D$16="General Occupancy","Neighborhood Opportunity General Occupancy Index","Neighborhood Opportunity Senior Index"))</f>
        <v>Neighborhood Opportunity Index</v>
      </c>
      <c r="I64" s="1613"/>
      <c r="J64" s="1614"/>
      <c r="K64" s="281" t="str">
        <f>IF(OR(H64="",Details!$E$13="",Details!$E$13="Enter Census Tract"),"",IF(H64="Neighborhood Opportunity General Occupancy Index",VLOOKUP(Details!$E$13,Data!$B$11:$J$3178,6,FALSE),IF(H64="Neighborhood Opportunity Senior Index",VLOOKUP(Details!$E$13,Data!$B$11:$J$3178,7,FALSE))))</f>
        <v/>
      </c>
      <c r="M64" s="253"/>
      <c r="N64" s="253"/>
    </row>
    <row r="65" spans="2:14" ht="15" customHeight="1" x14ac:dyDescent="0.2">
      <c r="B65" s="1601" t="s">
        <v>361</v>
      </c>
      <c r="C65" s="1601"/>
      <c r="D65" s="1611" t="str">
        <f>IF(Team!$E$411="","",Team!$E$411)</f>
        <v/>
      </c>
      <c r="E65" s="1611"/>
      <c r="F65" s="1611"/>
      <c r="H65" s="1601" t="s">
        <v>2780</v>
      </c>
      <c r="I65" s="1601"/>
      <c r="J65" s="1605"/>
      <c r="K65" s="281" t="str">
        <f>IF(OR(Details!$E$13="",Details!$E$13="Enter Census Tract"),"",VLOOKUP(Details!$E$13,Data!$B$11:$J$3178,8,FALSE))</f>
        <v/>
      </c>
      <c r="L65" s="977"/>
      <c r="M65" s="253"/>
      <c r="N65" s="253"/>
    </row>
    <row r="66" spans="2:14" ht="15" customHeight="1" x14ac:dyDescent="0.2">
      <c r="B66" s="1601" t="s">
        <v>2998</v>
      </c>
      <c r="C66" s="1601"/>
      <c r="D66" s="1611" t="str">
        <f>IF(OR(Team!$E$427="",Team!$E$427="N/A",Team!$E$427="NA"),"N/A",Team!$E$427)</f>
        <v>N/A</v>
      </c>
      <c r="E66" s="1611"/>
      <c r="F66" s="1611"/>
      <c r="H66" s="1601" t="s">
        <v>2810</v>
      </c>
      <c r="I66" s="1601"/>
      <c r="J66" s="1605"/>
      <c r="K66" s="281" t="str">
        <f>IF(OR(Details!$E$13="",Details!$E$13="Enter Census Tract"),"",VLOOKUP(Details!$E$13,Data!$B$11:$J$3178,9,FALSE))</f>
        <v/>
      </c>
    </row>
    <row r="67" spans="2:14" ht="15" customHeight="1" x14ac:dyDescent="0.2"/>
    <row r="68" spans="2:14" ht="15" hidden="1" customHeight="1" x14ac:dyDescent="0.2"/>
    <row r="69" spans="2:14" ht="15" hidden="1" customHeight="1" x14ac:dyDescent="0.2">
      <c r="B69" s="1609" t="s">
        <v>3013</v>
      </c>
      <c r="C69" s="1609"/>
      <c r="D69" s="1609"/>
      <c r="E69" s="1609"/>
      <c r="F69" s="1609"/>
      <c r="H69" s="1609" t="s">
        <v>3004</v>
      </c>
      <c r="I69" s="1609"/>
      <c r="J69" s="1609"/>
      <c r="K69" s="1609"/>
      <c r="L69" s="1609"/>
    </row>
    <row r="70" spans="2:14" ht="3" hidden="1" customHeight="1" x14ac:dyDescent="0.2">
      <c r="B70" s="1610"/>
      <c r="C70" s="1610"/>
      <c r="D70" s="1610"/>
      <c r="E70" s="1610"/>
      <c r="F70" s="1610"/>
      <c r="H70" s="1610"/>
      <c r="I70" s="1610"/>
      <c r="J70" s="1610"/>
      <c r="K70" s="1610"/>
      <c r="L70" s="1610"/>
    </row>
    <row r="71" spans="2:14" ht="5.0999999999999996" hidden="1" customHeight="1" x14ac:dyDescent="0.2">
      <c r="B71" s="252"/>
      <c r="C71" s="252"/>
      <c r="D71" s="252"/>
    </row>
    <row r="72" spans="2:14" ht="30" hidden="1" customHeight="1" x14ac:dyDescent="0.2">
      <c r="B72" s="252"/>
      <c r="C72" s="252"/>
      <c r="D72" s="995" t="str">
        <f>IF(Details!$E$13="","Census Tract",CONCATENATE("Census Tract ",VLOOKUP(Details!$E$13,Data!$B$11:$C$3178,2,FALSE)))</f>
        <v>Census Tract</v>
      </c>
      <c r="E72" s="995" t="str">
        <f>IF(OR(Details!$E$18="",Details!$E$18="Input Census Tract"),"County",CONCATENATE(Details!$E$18," County"))</f>
        <v>County</v>
      </c>
      <c r="F72" s="995" t="s">
        <v>3003</v>
      </c>
      <c r="H72" s="252"/>
      <c r="I72" s="252"/>
      <c r="J72" s="995" t="str">
        <f>IF(Details!$E$13="","Census Tract",CONCATENATE("Census Tract ",VLOOKUP(Details!$E$13,Data!$B$11:$C$3178,2,FALSE)))</f>
        <v>Census Tract</v>
      </c>
      <c r="K72" s="995" t="str">
        <f>IF(OR(Details!$E$18="",Details!$E$18="Input Census Tract"),"County",CONCATENATE(Details!$E$18," County"))</f>
        <v>County</v>
      </c>
      <c r="L72" s="995" t="s">
        <v>3003</v>
      </c>
    </row>
    <row r="73" spans="2:14" ht="15" hidden="1" customHeight="1" x14ac:dyDescent="0.2">
      <c r="B73" s="1601" t="s">
        <v>3002</v>
      </c>
      <c r="C73" s="1601"/>
      <c r="D73" s="965" t="str">
        <f>IF(Details!$E$13="","",VLOOKUP(Details!$E$13,Data!$B$11:$AH$3178,13,FALSE))</f>
        <v/>
      </c>
      <c r="E73" s="965" t="str">
        <f>IF(OR(Details!$E$18="",Details!$E$18="Input Census Tract"),"",VLOOKUP(Details!$E$18,Data!$DC$11:$EA$99,6,FALSE))</f>
        <v/>
      </c>
      <c r="F73" s="965">
        <f>VLOOKUP("Ohio",Data!$DC$11:$EA$99,6,FALSE)</f>
        <v>1.9001624514073067E-2</v>
      </c>
      <c r="H73" s="1601" t="s">
        <v>3005</v>
      </c>
      <c r="I73" s="1601"/>
      <c r="J73" s="965" t="str">
        <f>IF(Details!$E$13="","",VLOOKUP(Details!$E$13,Data!$B$11:$AH$3178,24,FALSE))</f>
        <v/>
      </c>
      <c r="K73" s="965" t="str">
        <f>IF(OR(Details!$E$18="",Details!$E$18="Input Census Tract"),"",VLOOKUP(Details!$E$18,Data!$DC$11:$EA$99,17,FALSE))</f>
        <v/>
      </c>
      <c r="L73" s="1075">
        <f>VLOOKUP("Ohio",Data!$DC$11:$EA$99,17,FALSE)</f>
        <v>0.77819662164307335</v>
      </c>
    </row>
    <row r="74" spans="2:14" ht="15" hidden="1" customHeight="1" x14ac:dyDescent="0.2">
      <c r="B74" s="1601" t="s">
        <v>3001</v>
      </c>
      <c r="C74" s="1601"/>
      <c r="D74" s="262" t="str">
        <f>IF(Details!$E$13="","",VLOOKUP(Details!$E$13,Data!$B$11:$AH$3178,15,FALSE))</f>
        <v/>
      </c>
      <c r="E74" s="262" t="str">
        <f>IF(OR(Details!$E$18="",Details!$E$18="Input Census Tract"),"",VLOOKUP(Details!$E$18,Data!$DC$11:$EA$99,8,FALSE))</f>
        <v/>
      </c>
      <c r="F74" s="262">
        <f>VLOOKUP("Ohio",Data!$DC$11:$EA$99,8,FALSE)</f>
        <v>288.29558747950369</v>
      </c>
      <c r="H74" s="1601" t="s">
        <v>3009</v>
      </c>
      <c r="I74" s="1601"/>
      <c r="J74" s="879" t="str">
        <f>IF(Details!$E$13="","",VLOOKUP(Details!$E$13,Data!$B$11:$AH$3178,25,FALSE))</f>
        <v/>
      </c>
      <c r="K74" s="879" t="str">
        <f>IF(OR(Details!$E$18="",Details!$E$18="Input Census Tract"),"",VLOOKUP(Details!$E$18,Data!$DC$11:$EA$99,18,FALSE))</f>
        <v/>
      </c>
      <c r="L74" s="1076">
        <f>VLOOKUP("Ohio",Data!$DC$11:$EA$99,18,FALSE)</f>
        <v>0.12278950353844119</v>
      </c>
    </row>
    <row r="75" spans="2:14" ht="15" hidden="1" customHeight="1" x14ac:dyDescent="0.2">
      <c r="B75" s="1601" t="s">
        <v>2999</v>
      </c>
      <c r="C75" s="1601"/>
      <c r="D75" s="880" t="str">
        <f>IF(Details!$E$13="","",VLOOKUP(Details!$E$13,Data!$B$11:$AH$3178,16,FALSE))</f>
        <v/>
      </c>
      <c r="E75" s="880" t="str">
        <f>IF(OR(Details!$E$18="",Details!$E$18="Input Census Tract"),"",VLOOKUP(Details!$E$18,Data!$DC$11:$EA$99,9,FALSE))</f>
        <v/>
      </c>
      <c r="F75" s="880">
        <f>VLOOKUP("Ohio",Data!$DC$11:$EA$99,9,FALSE)</f>
        <v>39.6</v>
      </c>
      <c r="H75" s="1601" t="s">
        <v>3008</v>
      </c>
      <c r="I75" s="1601"/>
      <c r="J75" s="879" t="str">
        <f>IF(Details!$E$13="","",VLOOKUP(Details!$E$13,Data!$B$11:$AH$3178,26,FALSE))</f>
        <v/>
      </c>
      <c r="K75" s="879" t="str">
        <f>IF(OR(Details!$E$18="",Details!$E$18="Input Census Tract"),"",VLOOKUP(Details!$E$18,Data!$DC$11:$EA$99,19,FALSE))</f>
        <v/>
      </c>
      <c r="L75" s="1076">
        <f>VLOOKUP("Ohio",Data!$DC$11:$EA$99,19,FALSE)</f>
        <v>1.4559365897212964E-3</v>
      </c>
    </row>
    <row r="76" spans="2:14" ht="15" hidden="1" customHeight="1" x14ac:dyDescent="0.2">
      <c r="B76" s="1601" t="s">
        <v>2785</v>
      </c>
      <c r="C76" s="1601"/>
      <c r="D76" s="257" t="str">
        <f>IF(Details!$E$13="","",VLOOKUP(Details!$E$13,Data!$B$11:$AH$3178,17,FALSE))</f>
        <v/>
      </c>
      <c r="E76" s="257" t="str">
        <f>IF(OR(Details!$E$18="",Details!$E$18="Input Census Tract"),"",VLOOKUP(Details!$E$18,Data!$DC$11:$EA$99,10,FALSE))</f>
        <v/>
      </c>
      <c r="F76" s="257">
        <f>VLOOKUP("Ohio",Data!$DC$11:$EA$99,10,FALSE)</f>
        <v>69680</v>
      </c>
      <c r="H76" s="1601" t="s">
        <v>3006</v>
      </c>
      <c r="I76" s="1601"/>
      <c r="J76" s="879" t="str">
        <f>IF(Details!$E$13="","",VLOOKUP(Details!$E$13,Data!$B$11:$AH$3178,27,FALSE))</f>
        <v/>
      </c>
      <c r="K76" s="879" t="str">
        <f>IF(OR(Details!$E$18="",Details!$E$18="Input Census Tract"),"",VLOOKUP(Details!$E$18,Data!$DC$11:$EA$99,20,FALSE))</f>
        <v/>
      </c>
      <c r="L76" s="1076">
        <f>VLOOKUP("Ohio",Data!$DC$11:$EA$99,20,FALSE)</f>
        <v>2.4458053898940631E-2</v>
      </c>
    </row>
    <row r="77" spans="2:14" ht="15" hidden="1" customHeight="1" x14ac:dyDescent="0.2">
      <c r="B77" s="1601" t="s">
        <v>2789</v>
      </c>
      <c r="C77" s="1601"/>
      <c r="D77" s="879" t="str">
        <f>IF(Details!$E$13="","",VLOOKUP(Details!$E$13,Data!$B$11:$AH$3178,18,FALSE))</f>
        <v/>
      </c>
      <c r="E77" s="879" t="str">
        <f>IF(OR(Details!$E$18="",Details!$E$18="Input Census Tract"),"",VLOOKUP(Details!$E$18,Data!$DC$11:$EA$99,11,FALSE))</f>
        <v/>
      </c>
      <c r="F77" s="879">
        <f>VLOOKUP("Ohio",Data!$DC$11:$EA$99,11,FALSE)</f>
        <v>0.13238334360874307</v>
      </c>
      <c r="H77" s="1601" t="s">
        <v>3007</v>
      </c>
      <c r="I77" s="1601"/>
      <c r="J77" s="879" t="str">
        <f>IF(Details!$E$13="","",VLOOKUP(Details!$E$13,Data!$B$11:$AH$3178,28,FALSE))</f>
        <v/>
      </c>
      <c r="K77" s="879" t="str">
        <f>IF(OR(Details!$E$18="",Details!$E$18="Input Census Tract"),"",VLOOKUP(Details!$E$18,Data!$DC$11:$EA$99,21,FALSE))</f>
        <v/>
      </c>
      <c r="L77" s="1076">
        <f>VLOOKUP("Ohio",Data!$DC$11:$EA$99,21,FALSE)</f>
        <v>3.5899690035166246E-4</v>
      </c>
    </row>
    <row r="78" spans="2:14" ht="15" hidden="1" customHeight="1" x14ac:dyDescent="0.2">
      <c r="B78" s="1601" t="s">
        <v>2823</v>
      </c>
      <c r="C78" s="1601"/>
      <c r="D78" s="879" t="str">
        <f>IF(Details!$E$13="","",VLOOKUP(Details!$E$13,Data!$B$11:$AH$3178,19,FALSE))</f>
        <v/>
      </c>
      <c r="E78" s="879" t="str">
        <f>IF(OR(Details!$E$18="",Details!$E$18="Input Census Tract"),"",VLOOKUP(Details!$E$18,Data!$DC$11:$EA$99,12,FALSE))</f>
        <v/>
      </c>
      <c r="F78" s="879">
        <f>VLOOKUP("Ohio",Data!$DC$11:$EA$99,12,FALSE)</f>
        <v>4.8359935013382691E-2</v>
      </c>
      <c r="H78" s="1601" t="s">
        <v>3010</v>
      </c>
      <c r="I78" s="1601"/>
      <c r="J78" s="879" t="str">
        <f>IF(Details!$E$13="","",VLOOKUP(Details!$E$13,Data!$B$11:$AH$3178,29,FALSE))</f>
        <v/>
      </c>
      <c r="K78" s="879" t="str">
        <f>IF(OR(Details!$E$18="",Details!$E$18="Input Census Tract"),"",VLOOKUP(Details!$E$18,Data!$DC$11:$EA$99,22,FALSE))</f>
        <v/>
      </c>
      <c r="L78" s="1076">
        <f>VLOOKUP("Ohio",Data!$DC$11:$EA$99,22,FALSE)</f>
        <v>1.5833299802055101E-2</v>
      </c>
    </row>
    <row r="79" spans="2:14" ht="15" hidden="1" customHeight="1" x14ac:dyDescent="0.2">
      <c r="B79" s="1601" t="s">
        <v>2819</v>
      </c>
      <c r="C79" s="1601"/>
      <c r="D79" s="879" t="str">
        <f>IF(Details!$E$13="","",VLOOKUP(Details!$E$13,Data!$B$11:$AH$3178,21,FALSE))</f>
        <v/>
      </c>
      <c r="E79" s="879" t="str">
        <f>IF(OR(Details!$E$18="",Details!$E$18="Input Census Tract"),"",VLOOKUP(Details!$E$18,Data!$DC$11:$EA$99,14,FALSE))</f>
        <v/>
      </c>
      <c r="F79" s="879">
        <f>VLOOKUP("Ohio",Data!$DC$11:$EA$99,14,FALSE)</f>
        <v>4.2999999999999997E-2</v>
      </c>
      <c r="H79" s="1602" t="s">
        <v>3011</v>
      </c>
      <c r="I79" s="1603"/>
      <c r="J79" s="879" t="str">
        <f>IF(Details!$E$13="","",VLOOKUP(Details!$E$13,Data!$B$11:$AH$3178,30,FALSE))</f>
        <v/>
      </c>
      <c r="K79" s="879" t="str">
        <f>IF(OR(Details!$E$18="",Details!$E$18="Input Census Tract"),"",VLOOKUP(Details!$E$18,Data!$DC$11:$EA$99,23,FALSE))</f>
        <v/>
      </c>
      <c r="L79" s="1076">
        <f>VLOOKUP("Ohio",Data!$DC$11:$EA$99,23,FALSE)</f>
        <v>5.6907587627416732E-2</v>
      </c>
    </row>
    <row r="80" spans="2:14" ht="15" hidden="1" customHeight="1" x14ac:dyDescent="0.2">
      <c r="B80" s="1601" t="s">
        <v>3030</v>
      </c>
      <c r="C80" s="1601"/>
      <c r="D80" s="879" t="str">
        <f>IF(Details!$E$13="","",VLOOKUP(Details!$E$13,Data!$B$11:$AH$3178,23,FALSE))</f>
        <v/>
      </c>
      <c r="E80" s="879" t="str">
        <f>IF(OR(Details!$E$18="",Details!$E$18="Input Census Tract"),"",VLOOKUP(Details!$E$18,Data!$DC$11:$EA$99,15,FALSE))</f>
        <v/>
      </c>
      <c r="F80" s="879">
        <f>VLOOKUP("Ohio",Data!$DC$11:$EA$99,15,FALSE)</f>
        <v>0.33005064010861418</v>
      </c>
      <c r="H80" s="1601" t="s">
        <v>3012</v>
      </c>
      <c r="I80" s="1601"/>
      <c r="J80" s="879" t="str">
        <f>IF(Details!$E$13="","",VLOOKUP(Details!$E$13,Data!$B$11:$AH$3178,31,FALSE))</f>
        <v/>
      </c>
      <c r="K80" s="879" t="str">
        <f>IF(OR(Details!$E$18="",Details!$E$18="Input Census Tract"),"",VLOOKUP(Details!$E$18,Data!$DC$11:$EA$99,24,FALSE))</f>
        <v/>
      </c>
      <c r="L80" s="1076">
        <f>VLOOKUP("Ohio",Data!$DC$11:$EA$99,24,FALSE)</f>
        <v>4.563301365716229E-2</v>
      </c>
    </row>
    <row r="81" spans="2:12" ht="5.0999999999999996" hidden="1" customHeight="1" x14ac:dyDescent="0.2"/>
    <row r="82" spans="2:12" ht="15" hidden="1" customHeight="1" x14ac:dyDescent="0.2">
      <c r="B82" s="1604" t="s">
        <v>3397</v>
      </c>
      <c r="C82" s="1604"/>
      <c r="D82" s="1604"/>
      <c r="E82" s="1604"/>
      <c r="F82" s="1604"/>
      <c r="H82" s="1604" t="s">
        <v>3397</v>
      </c>
      <c r="I82" s="1604"/>
      <c r="J82" s="1604"/>
      <c r="K82" s="1604"/>
      <c r="L82" s="1604"/>
    </row>
    <row r="83" spans="2:12" ht="15" hidden="1" customHeight="1" x14ac:dyDescent="0.2"/>
    <row r="84" spans="2:12" ht="15" customHeight="1" x14ac:dyDescent="0.2"/>
    <row r="85" spans="2:12" s="260" customFormat="1" ht="15" customHeight="1" x14ac:dyDescent="0.2">
      <c r="B85" s="1609" t="s">
        <v>3477</v>
      </c>
      <c r="C85" s="1609"/>
      <c r="D85" s="1609"/>
      <c r="E85" s="1609"/>
      <c r="F85" s="1609"/>
      <c r="H85" s="1609" t="s">
        <v>3476</v>
      </c>
      <c r="I85" s="1609"/>
      <c r="J85" s="1609"/>
      <c r="K85" s="1609"/>
      <c r="L85" s="1609"/>
    </row>
    <row r="86" spans="2:12" s="260" customFormat="1" ht="3" customHeight="1" x14ac:dyDescent="0.2">
      <c r="B86" s="1692"/>
      <c r="C86" s="1692"/>
      <c r="D86" s="1692"/>
      <c r="E86" s="1692"/>
      <c r="F86" s="1692"/>
      <c r="H86" s="1692"/>
      <c r="I86" s="1692"/>
      <c r="J86" s="1692"/>
      <c r="K86" s="1692"/>
      <c r="L86" s="1692"/>
    </row>
    <row r="87" spans="2:12" ht="5.25" customHeight="1" x14ac:dyDescent="0.2"/>
    <row r="88" spans="2:12" ht="45" customHeight="1" x14ac:dyDescent="0.2">
      <c r="B88" s="270" t="s">
        <v>452</v>
      </c>
      <c r="C88" s="995" t="s">
        <v>344</v>
      </c>
      <c r="D88" s="995" t="s">
        <v>345</v>
      </c>
      <c r="E88" s="260"/>
      <c r="F88" s="260"/>
      <c r="H88" s="330" t="s">
        <v>2163</v>
      </c>
      <c r="I88" s="995" t="s">
        <v>344</v>
      </c>
      <c r="J88" s="996" t="s">
        <v>345</v>
      </c>
      <c r="K88" s="997" t="s">
        <v>346</v>
      </c>
      <c r="L88" s="995" t="s">
        <v>347</v>
      </c>
    </row>
    <row r="89" spans="2:12" ht="15" customHeight="1" x14ac:dyDescent="0.2">
      <c r="B89" s="263" t="s">
        <v>255</v>
      </c>
      <c r="C89" s="262">
        <f>Revenue!E110</f>
        <v>0</v>
      </c>
      <c r="D89" s="255">
        <f t="shared" ref="D89:D98" si="1">IF($C$98=0,0,C89/$C$98)</f>
        <v>0</v>
      </c>
      <c r="H89" s="251" t="s">
        <v>348</v>
      </c>
      <c r="I89" s="262">
        <f>Revenue!N110</f>
        <v>0</v>
      </c>
      <c r="J89" s="544" t="e">
        <f t="shared" ref="J89:J94" si="2">I89/$I$95</f>
        <v>#DIV/0!</v>
      </c>
      <c r="K89" s="541">
        <f>SUMIFS(Revenue!$C$47:$C$92,Revenue!$M$47:$M$92,"&gt;0",Revenue!$D$47:$D$92,0)</f>
        <v>0</v>
      </c>
      <c r="L89" s="255">
        <f t="shared" ref="L89:L95" si="3">IF($I$95=0,0,IF(I89=0,0,K89/I89))</f>
        <v>0</v>
      </c>
    </row>
    <row r="90" spans="2:12" ht="15" customHeight="1" x14ac:dyDescent="0.2">
      <c r="B90" s="263" t="s">
        <v>249</v>
      </c>
      <c r="C90" s="262">
        <f>Revenue!E111</f>
        <v>0</v>
      </c>
      <c r="D90" s="255">
        <f t="shared" si="1"/>
        <v>0</v>
      </c>
      <c r="H90" s="251" t="s">
        <v>349</v>
      </c>
      <c r="I90" s="262">
        <f>Revenue!N111</f>
        <v>0</v>
      </c>
      <c r="J90" s="544" t="e">
        <f t="shared" si="2"/>
        <v>#DIV/0!</v>
      </c>
      <c r="K90" s="541">
        <f>SUMIFS(Revenue!$C$47:$C$92,Revenue!$M$47:$M$92,"&gt;0",Revenue!$D$47:$D$92,1)</f>
        <v>0</v>
      </c>
      <c r="L90" s="255">
        <f t="shared" si="3"/>
        <v>0</v>
      </c>
    </row>
    <row r="91" spans="2:12" ht="15" customHeight="1" x14ac:dyDescent="0.2">
      <c r="B91" s="263" t="s">
        <v>250</v>
      </c>
      <c r="C91" s="262">
        <f>Revenue!E112</f>
        <v>0</v>
      </c>
      <c r="D91" s="255">
        <f t="shared" si="1"/>
        <v>0</v>
      </c>
      <c r="H91" s="251" t="s">
        <v>350</v>
      </c>
      <c r="I91" s="262">
        <f>Revenue!N112</f>
        <v>0</v>
      </c>
      <c r="J91" s="544" t="e">
        <f t="shared" si="2"/>
        <v>#DIV/0!</v>
      </c>
      <c r="K91" s="541">
        <f>SUMIFS(Revenue!$C$47:$C$92,Revenue!$M$47:$M$92,"&gt;0",Revenue!$D$47:$D$92,2)</f>
        <v>0</v>
      </c>
      <c r="L91" s="255">
        <f t="shared" si="3"/>
        <v>0</v>
      </c>
    </row>
    <row r="92" spans="2:12" ht="15" customHeight="1" x14ac:dyDescent="0.2">
      <c r="B92" s="263" t="s">
        <v>251</v>
      </c>
      <c r="C92" s="262">
        <f>Revenue!E113</f>
        <v>0</v>
      </c>
      <c r="D92" s="255">
        <f t="shared" si="1"/>
        <v>0</v>
      </c>
      <c r="H92" s="251" t="s">
        <v>351</v>
      </c>
      <c r="I92" s="262">
        <f>Revenue!N113</f>
        <v>0</v>
      </c>
      <c r="J92" s="544" t="e">
        <f t="shared" si="2"/>
        <v>#DIV/0!</v>
      </c>
      <c r="K92" s="541">
        <f>SUMIFS(Revenue!$C$47:$C$92,Revenue!$M$47:$M$92,"&gt;0",Revenue!$D$47:$D$92,3)</f>
        <v>0</v>
      </c>
      <c r="L92" s="255">
        <f t="shared" si="3"/>
        <v>0</v>
      </c>
    </row>
    <row r="93" spans="2:12" ht="15" customHeight="1" x14ac:dyDescent="0.2">
      <c r="B93" s="263" t="s">
        <v>252</v>
      </c>
      <c r="C93" s="262">
        <f>Revenue!E114</f>
        <v>0</v>
      </c>
      <c r="D93" s="255">
        <f t="shared" si="1"/>
        <v>0</v>
      </c>
      <c r="H93" s="251" t="s">
        <v>352</v>
      </c>
      <c r="I93" s="262">
        <f>Revenue!N114</f>
        <v>0</v>
      </c>
      <c r="J93" s="544" t="e">
        <f t="shared" si="2"/>
        <v>#DIV/0!</v>
      </c>
      <c r="K93" s="541">
        <f>SUMIFS(Revenue!$C$47:$C$92,Revenue!$M$47:$M$92,"&gt;0",Revenue!$D$47:$D$92,4)</f>
        <v>0</v>
      </c>
      <c r="L93" s="255">
        <f t="shared" si="3"/>
        <v>0</v>
      </c>
    </row>
    <row r="94" spans="2:12" ht="15" customHeight="1" thickBot="1" x14ac:dyDescent="0.25">
      <c r="B94" s="263" t="s">
        <v>253</v>
      </c>
      <c r="C94" s="262">
        <f>Revenue!E115</f>
        <v>0</v>
      </c>
      <c r="D94" s="255">
        <f t="shared" si="1"/>
        <v>0</v>
      </c>
      <c r="H94" s="271" t="s">
        <v>353</v>
      </c>
      <c r="I94" s="272">
        <f>Revenue!N115</f>
        <v>0</v>
      </c>
      <c r="J94" s="545" t="e">
        <f t="shared" si="2"/>
        <v>#DIV/0!</v>
      </c>
      <c r="K94" s="542">
        <f>SUMIFS(Revenue!$C$47:$C$92,Revenue!$M$47:$M$92,"&gt;0",Revenue!$D$47:$D$92,5)</f>
        <v>0</v>
      </c>
      <c r="L94" s="267">
        <f t="shared" si="3"/>
        <v>0</v>
      </c>
    </row>
    <row r="95" spans="2:12" ht="15" customHeight="1" thickTop="1" x14ac:dyDescent="0.2">
      <c r="B95" s="263" t="s">
        <v>254</v>
      </c>
      <c r="C95" s="262">
        <f>Revenue!E116</f>
        <v>0</v>
      </c>
      <c r="D95" s="255">
        <f t="shared" si="1"/>
        <v>0</v>
      </c>
      <c r="H95" s="251" t="s">
        <v>199</v>
      </c>
      <c r="I95" s="318">
        <f>SUM(I89:I94)</f>
        <v>0</v>
      </c>
      <c r="J95" s="546" t="e">
        <f>SUM(J89:J94)</f>
        <v>#DIV/0!</v>
      </c>
      <c r="K95" s="543">
        <f>IF($I$95=0,0,SUM(K89:K94))</f>
        <v>0</v>
      </c>
      <c r="L95" s="319">
        <f t="shared" si="3"/>
        <v>0</v>
      </c>
    </row>
    <row r="96" spans="2:12" ht="15" customHeight="1" x14ac:dyDescent="0.2">
      <c r="B96" s="251" t="s">
        <v>354</v>
      </c>
      <c r="C96" s="262">
        <f>Revenue!E117</f>
        <v>0</v>
      </c>
      <c r="D96" s="255">
        <f t="shared" si="1"/>
        <v>0</v>
      </c>
    </row>
    <row r="97" spans="2:12" ht="15" customHeight="1" thickBot="1" x14ac:dyDescent="0.25">
      <c r="B97" s="265" t="s">
        <v>363</v>
      </c>
      <c r="C97" s="272">
        <f>Revenue!E118</f>
        <v>0</v>
      </c>
      <c r="D97" s="267">
        <f t="shared" si="1"/>
        <v>0</v>
      </c>
    </row>
    <row r="98" spans="2:12" ht="15" customHeight="1" thickTop="1" x14ac:dyDescent="0.2">
      <c r="B98" s="251" t="s">
        <v>199</v>
      </c>
      <c r="C98" s="268">
        <f>SUM(C89:C96)</f>
        <v>0</v>
      </c>
      <c r="D98" s="269">
        <f t="shared" si="1"/>
        <v>0</v>
      </c>
      <c r="H98" s="1071"/>
      <c r="I98" s="1071"/>
      <c r="J98" s="1071"/>
    </row>
    <row r="99" spans="2:12" ht="15" customHeight="1" x14ac:dyDescent="0.2">
      <c r="K99" s="263"/>
    </row>
    <row r="100" spans="2:12" ht="15" customHeight="1" x14ac:dyDescent="0.2">
      <c r="K100" s="263"/>
    </row>
    <row r="101" spans="2:12" ht="15" customHeight="1" x14ac:dyDescent="0.2">
      <c r="B101" s="1609" t="s">
        <v>367</v>
      </c>
      <c r="C101" s="1609"/>
      <c r="D101" s="1609"/>
      <c r="E101" s="1609"/>
      <c r="H101" s="1609" t="s">
        <v>2288</v>
      </c>
      <c r="I101" s="1609"/>
      <c r="J101" s="1609"/>
      <c r="K101" s="1609"/>
      <c r="L101" s="1609"/>
    </row>
    <row r="102" spans="2:12" ht="3" customHeight="1" x14ac:dyDescent="0.2">
      <c r="B102" s="1692"/>
      <c r="C102" s="1692"/>
      <c r="D102" s="1692"/>
      <c r="E102" s="1692"/>
      <c r="F102" s="1692"/>
      <c r="H102" s="1692"/>
      <c r="I102" s="1692"/>
      <c r="J102" s="1692"/>
      <c r="K102" s="1692"/>
      <c r="L102" s="1692"/>
    </row>
    <row r="103" spans="2:12" ht="5.25" customHeight="1" x14ac:dyDescent="0.2"/>
    <row r="104" spans="2:12" ht="30" customHeight="1" x14ac:dyDescent="0.2">
      <c r="B104" s="1647" t="s">
        <v>364</v>
      </c>
      <c r="C104" s="1647"/>
      <c r="D104" s="1647"/>
      <c r="E104" s="995" t="s">
        <v>365</v>
      </c>
      <c r="F104" s="995" t="s">
        <v>366</v>
      </c>
      <c r="H104" s="1647" t="s">
        <v>355</v>
      </c>
      <c r="I104" s="1647"/>
      <c r="J104" s="998" t="s">
        <v>163</v>
      </c>
      <c r="K104" s="999" t="s">
        <v>356</v>
      </c>
      <c r="L104" s="997" t="s">
        <v>322</v>
      </c>
    </row>
    <row r="105" spans="2:12" ht="15" customHeight="1" x14ac:dyDescent="0.2">
      <c r="B105" s="1601" t="s">
        <v>2137</v>
      </c>
      <c r="C105" s="1601"/>
      <c r="D105" s="1605"/>
      <c r="E105" s="273">
        <f>OpBudget!F29</f>
        <v>0</v>
      </c>
      <c r="F105" s="49">
        <f>IF(E105=0,0,E105/$C$98)</f>
        <v>0</v>
      </c>
      <c r="H105" s="1601" t="s">
        <v>165</v>
      </c>
      <c r="I105" s="1601"/>
      <c r="J105" s="257">
        <f>SUM(Uses!K9:K13)</f>
        <v>0</v>
      </c>
      <c r="K105" s="50">
        <f t="shared" ref="K105:K114" si="4">IF($C$98=0,0,J105/$C$98)</f>
        <v>0</v>
      </c>
      <c r="L105" s="51">
        <f>SUM(Uses!I9:I13)</f>
        <v>0</v>
      </c>
    </row>
    <row r="106" spans="2:12" ht="15" customHeight="1" x14ac:dyDescent="0.2">
      <c r="B106" s="1601" t="s">
        <v>378</v>
      </c>
      <c r="C106" s="1601"/>
      <c r="D106" s="1605"/>
      <c r="E106" s="273">
        <f>OpBudget!F30</f>
        <v>0</v>
      </c>
      <c r="F106" s="49">
        <f t="shared" ref="F106:F109" si="5">IF(E106=0,0,E106/$C$98)</f>
        <v>0</v>
      </c>
      <c r="H106" s="1601" t="s">
        <v>217</v>
      </c>
      <c r="I106" s="1601"/>
      <c r="J106" s="257">
        <f>SUM(Uses!K15:K23)</f>
        <v>0</v>
      </c>
      <c r="K106" s="50">
        <f t="shared" si="4"/>
        <v>0</v>
      </c>
      <c r="L106" s="51">
        <f>SUM(Uses!I15:I23)</f>
        <v>0</v>
      </c>
    </row>
    <row r="107" spans="2:12" ht="15" customHeight="1" x14ac:dyDescent="0.2">
      <c r="B107" s="1601" t="s">
        <v>2099</v>
      </c>
      <c r="C107" s="1601"/>
      <c r="D107" s="1605"/>
      <c r="E107" s="273">
        <f>OpBudget!F31</f>
        <v>0</v>
      </c>
      <c r="F107" s="49">
        <f t="shared" si="5"/>
        <v>0</v>
      </c>
      <c r="H107" s="1601" t="s">
        <v>218</v>
      </c>
      <c r="I107" s="1601"/>
      <c r="J107" s="257">
        <f>SUM(Uses!K25:K30)</f>
        <v>0</v>
      </c>
      <c r="K107" s="50">
        <f t="shared" si="4"/>
        <v>0</v>
      </c>
      <c r="L107" s="51">
        <f>SUM(Uses!I25:I30)</f>
        <v>0</v>
      </c>
    </row>
    <row r="108" spans="2:12" ht="15" customHeight="1" thickBot="1" x14ac:dyDescent="0.25">
      <c r="B108" s="1646" t="s">
        <v>2100</v>
      </c>
      <c r="C108" s="1646"/>
      <c r="D108" s="810" t="str">
        <f>IF(E105=0,"",-E108/E105)</f>
        <v/>
      </c>
      <c r="E108" s="275">
        <f>OpBudget!F33</f>
        <v>0</v>
      </c>
      <c r="F108" s="52">
        <f t="shared" si="5"/>
        <v>0</v>
      </c>
      <c r="H108" s="1601" t="s">
        <v>194</v>
      </c>
      <c r="I108" s="1601"/>
      <c r="J108" s="257">
        <f>SUM(Uses!K32:K45)</f>
        <v>0</v>
      </c>
      <c r="K108" s="50">
        <f t="shared" si="4"/>
        <v>0</v>
      </c>
      <c r="L108" s="51">
        <f>SUM(Uses!I32:I45)</f>
        <v>0</v>
      </c>
    </row>
    <row r="109" spans="2:12" ht="15" customHeight="1" thickTop="1" x14ac:dyDescent="0.2">
      <c r="B109" s="1601" t="s">
        <v>369</v>
      </c>
      <c r="C109" s="1601"/>
      <c r="D109" s="1605"/>
      <c r="E109" s="276">
        <f>SUM(E104:E108)</f>
        <v>0</v>
      </c>
      <c r="F109" s="53">
        <f t="shared" si="5"/>
        <v>0</v>
      </c>
      <c r="H109" s="1601" t="s">
        <v>358</v>
      </c>
      <c r="I109" s="1601"/>
      <c r="J109" s="257">
        <f>SUM(Uses!K47:K55)</f>
        <v>0</v>
      </c>
      <c r="K109" s="50">
        <f t="shared" si="4"/>
        <v>0</v>
      </c>
      <c r="L109" s="51">
        <f>SUM(Uses!I47:I55)</f>
        <v>0</v>
      </c>
    </row>
    <row r="110" spans="2:12" ht="15" customHeight="1" x14ac:dyDescent="0.2">
      <c r="B110" s="1601"/>
      <c r="C110" s="1601"/>
      <c r="D110" s="1601"/>
      <c r="E110" s="277"/>
      <c r="F110" s="54"/>
      <c r="H110" s="1601" t="s">
        <v>195</v>
      </c>
      <c r="I110" s="1601"/>
      <c r="J110" s="257">
        <f>SUM(Uses!K57:K69)-J111</f>
        <v>0</v>
      </c>
      <c r="K110" s="50">
        <f t="shared" si="4"/>
        <v>0</v>
      </c>
      <c r="L110" s="51">
        <f>SUM(Uses!I57:I69)-L111</f>
        <v>0</v>
      </c>
    </row>
    <row r="111" spans="2:12" ht="15" customHeight="1" x14ac:dyDescent="0.2">
      <c r="B111" s="1316" t="s">
        <v>2739</v>
      </c>
      <c r="C111" s="1316"/>
      <c r="D111" s="1691"/>
      <c r="E111" s="109">
        <f>-OpBudget!F57+OpBudget!F46</f>
        <v>0</v>
      </c>
      <c r="F111" s="109">
        <f>IF($E$109=0,0,E111/Revenue!$C$101)</f>
        <v>0</v>
      </c>
      <c r="H111" s="1601" t="s">
        <v>226</v>
      </c>
      <c r="I111" s="1601"/>
      <c r="J111" s="257">
        <f>Uses!K59</f>
        <v>0</v>
      </c>
      <c r="K111" s="50">
        <f t="shared" si="4"/>
        <v>0</v>
      </c>
      <c r="L111" s="51">
        <f>Uses!H59</f>
        <v>0</v>
      </c>
    </row>
    <row r="112" spans="2:12" ht="15" customHeight="1" x14ac:dyDescent="0.2">
      <c r="B112" s="1316" t="s">
        <v>2740</v>
      </c>
      <c r="C112" s="1316"/>
      <c r="D112" s="1691"/>
      <c r="E112" s="109">
        <f>-OpBudget!F46</f>
        <v>0</v>
      </c>
      <c r="F112" s="109">
        <f>IF($E$109=0,0,E112/Revenue!$C$101)</f>
        <v>0</v>
      </c>
      <c r="H112" s="1601" t="s">
        <v>426</v>
      </c>
      <c r="I112" s="1601"/>
      <c r="J112" s="257">
        <f>SUM(Uses!K71:K78)</f>
        <v>8000</v>
      </c>
      <c r="K112" s="50">
        <f t="shared" si="4"/>
        <v>0</v>
      </c>
      <c r="L112" s="51">
        <f>SUM(Uses!I71:I78)</f>
        <v>0</v>
      </c>
    </row>
    <row r="113" spans="2:14" ht="15" customHeight="1" thickBot="1" x14ac:dyDescent="0.25">
      <c r="B113" s="1316" t="s">
        <v>2741</v>
      </c>
      <c r="C113" s="1316"/>
      <c r="D113" s="1691"/>
      <c r="E113" s="109">
        <f>-OpBudget!F68</f>
        <v>0</v>
      </c>
      <c r="F113" s="109">
        <f>IF($E$109=0,0,E113/Revenue!$C$101)</f>
        <v>0</v>
      </c>
      <c r="H113" s="1646" t="s">
        <v>359</v>
      </c>
      <c r="I113" s="1646"/>
      <c r="J113" s="278">
        <f>SUM(Uses!K80:K83)</f>
        <v>0</v>
      </c>
      <c r="K113" s="55">
        <f t="shared" si="4"/>
        <v>0</v>
      </c>
      <c r="L113" s="56">
        <f>SUM(Uses!I80:I83)</f>
        <v>0</v>
      </c>
    </row>
    <row r="114" spans="2:14" ht="15" customHeight="1" thickTop="1" x14ac:dyDescent="0.2">
      <c r="B114" s="1316" t="s">
        <v>2742</v>
      </c>
      <c r="C114" s="1316"/>
      <c r="D114" s="1691"/>
      <c r="E114" s="109">
        <f>-OpBudget!F88</f>
        <v>0</v>
      </c>
      <c r="F114" s="109">
        <f>IF($E$109=0,0,E114/Revenue!$C$101)</f>
        <v>0</v>
      </c>
      <c r="H114" s="1648" t="s">
        <v>372</v>
      </c>
      <c r="I114" s="1648"/>
      <c r="J114" s="279">
        <f>SUM(J105:J113)</f>
        <v>8000</v>
      </c>
      <c r="K114" s="57">
        <f t="shared" si="4"/>
        <v>0</v>
      </c>
      <c r="L114" s="58">
        <f>SUM(L105:L113)</f>
        <v>0</v>
      </c>
    </row>
    <row r="115" spans="2:14" ht="15" customHeight="1" x14ac:dyDescent="0.2">
      <c r="B115" s="1316" t="s">
        <v>2748</v>
      </c>
      <c r="C115" s="1316"/>
      <c r="D115" s="1691"/>
      <c r="E115" s="807">
        <f>-OpBudget!F91+Cashflow!F32</f>
        <v>0</v>
      </c>
      <c r="F115" s="807">
        <f>IF($E$109=0,0,E115/Revenue!$C$101)</f>
        <v>0</v>
      </c>
      <c r="H115" s="1649" t="s">
        <v>385</v>
      </c>
      <c r="I115" s="1649"/>
      <c r="J115" s="1649"/>
      <c r="K115" s="1650"/>
      <c r="L115" s="59">
        <f>L114/J114</f>
        <v>0</v>
      </c>
    </row>
    <row r="116" spans="2:14" ht="15" customHeight="1" x14ac:dyDescent="0.2">
      <c r="B116" s="1316" t="s">
        <v>2745</v>
      </c>
      <c r="C116" s="1316"/>
      <c r="D116" s="1691"/>
      <c r="E116" s="808">
        <f>-OpBudget!F93</f>
        <v>0</v>
      </c>
      <c r="F116" s="109">
        <f>IF($E$109=0,0,E116/Revenue!$C$101)</f>
        <v>0</v>
      </c>
      <c r="H116" s="258"/>
      <c r="I116" s="258"/>
      <c r="J116" s="258"/>
      <c r="K116" s="258"/>
      <c r="L116" s="60"/>
    </row>
    <row r="117" spans="2:14" ht="15" customHeight="1" x14ac:dyDescent="0.2">
      <c r="B117" s="1316" t="s">
        <v>2746</v>
      </c>
      <c r="C117" s="1316"/>
      <c r="D117" s="1691"/>
      <c r="E117" s="109">
        <f>-OpBudget!F101+OpBudget!F91+OpBudget!F93</f>
        <v>0</v>
      </c>
      <c r="F117" s="109">
        <f>IF($E$109=0,0,E117/Revenue!$C$101)</f>
        <v>0</v>
      </c>
      <c r="H117" s="1601"/>
      <c r="I117" s="1601"/>
      <c r="J117" s="258"/>
      <c r="K117" s="61"/>
    </row>
    <row r="118" spans="2:14" ht="15" customHeight="1" x14ac:dyDescent="0.2">
      <c r="B118" s="1316" t="s">
        <v>2747</v>
      </c>
      <c r="C118" s="1316"/>
      <c r="D118" s="1691"/>
      <c r="E118" s="109">
        <f>-OpBudget!F108</f>
        <v>0</v>
      </c>
      <c r="F118" s="109">
        <f>IF($E$109=0,0,E118/Revenue!$C$101)</f>
        <v>0</v>
      </c>
      <c r="H118" s="1612" t="s">
        <v>375</v>
      </c>
      <c r="I118" s="1612"/>
      <c r="J118" s="998" t="s">
        <v>376</v>
      </c>
      <c r="K118" s="998" t="s">
        <v>377</v>
      </c>
      <c r="L118" s="998" t="s">
        <v>301</v>
      </c>
      <c r="N118" s="742"/>
    </row>
    <row r="119" spans="2:14" ht="15" customHeight="1" thickBot="1" x14ac:dyDescent="0.25">
      <c r="B119" s="1336" t="s">
        <v>435</v>
      </c>
      <c r="C119" s="1336"/>
      <c r="D119" s="1703"/>
      <c r="E119" s="809">
        <f>Cashflow!F36</f>
        <v>0</v>
      </c>
      <c r="F119" s="809">
        <f>IF($E$109=0,0,E119/Revenue!$C$101)</f>
        <v>0</v>
      </c>
      <c r="H119" s="1655" t="s">
        <v>373</v>
      </c>
      <c r="I119" s="1655"/>
      <c r="J119" s="257">
        <f>K114</f>
        <v>0</v>
      </c>
      <c r="K119" s="257">
        <f>IF(Details!$J$10="Adaptive Reuse", Data!$CN$15, SUMIFS(Data!$CN$11:$CN$15, Data!$CL$11:$CL$15, TRIM(Details!$E$20), Data!$CM$11:$CM$15, TRIM(Details!$J$10)))</f>
        <v>0</v>
      </c>
      <c r="L119" s="63" t="str">
        <f>IF(OR(K119=0,K119=""),"",(J119-K119)/K119)</f>
        <v/>
      </c>
    </row>
    <row r="120" spans="2:14" ht="15" customHeight="1" thickTop="1" x14ac:dyDescent="0.2">
      <c r="B120" s="1316" t="s">
        <v>2750</v>
      </c>
      <c r="C120" s="1316"/>
      <c r="D120" s="1691"/>
      <c r="E120" s="785">
        <f>SUM(E111:E119)</f>
        <v>0</v>
      </c>
      <c r="F120" s="104">
        <f>IF($E$109=0,0,E120/Revenue!$C$101)</f>
        <v>0</v>
      </c>
      <c r="H120" s="1655" t="s">
        <v>374</v>
      </c>
      <c r="I120" s="1655"/>
      <c r="J120" s="257">
        <f>IF(Details!F130=0,0,J114/Details!F130)</f>
        <v>0</v>
      </c>
      <c r="K120" s="257">
        <f>IF(Details!$J$10="Adaptive Reuse", Data!$CO$15, SUMIFS(Data!$CO$11:$CO$15, Data!$CL$11:$CL$15, TRIM(Details!$E$20), Data!$CM$11:$CM$15, TRIM(Details!$J$10)))</f>
        <v>0</v>
      </c>
      <c r="L120" s="63" t="str">
        <f>IF(OR(K120=0,K120=""),"",(J120-K120)/K120)</f>
        <v/>
      </c>
    </row>
    <row r="121" spans="2:14" ht="15" customHeight="1" x14ac:dyDescent="0.2">
      <c r="B121" s="1702"/>
      <c r="C121" s="1702"/>
      <c r="D121" s="1702"/>
      <c r="E121" s="806"/>
      <c r="F121" s="806"/>
      <c r="H121" s="280"/>
      <c r="I121" s="280"/>
      <c r="J121" s="258"/>
      <c r="K121" s="61"/>
      <c r="L121" s="226"/>
    </row>
    <row r="122" spans="2:14" ht="15" customHeight="1" x14ac:dyDescent="0.2">
      <c r="B122" s="1601" t="s">
        <v>2734</v>
      </c>
      <c r="C122" s="1601"/>
      <c r="D122" s="1605"/>
      <c r="E122" s="320">
        <f>E109+E120</f>
        <v>0</v>
      </c>
      <c r="F122" s="321">
        <f>IF(E122=0,0,E122/$C$98)</f>
        <v>0</v>
      </c>
      <c r="K122" s="258"/>
      <c r="L122" s="61"/>
    </row>
    <row r="123" spans="2:14" ht="15" customHeight="1" x14ac:dyDescent="0.2">
      <c r="E123" s="277"/>
      <c r="F123" s="54"/>
      <c r="K123" s="258"/>
      <c r="L123" s="61"/>
    </row>
    <row r="124" spans="2:14" ht="15" customHeight="1" x14ac:dyDescent="0.2">
      <c r="E124" s="277"/>
      <c r="F124" s="54"/>
      <c r="K124" s="258"/>
      <c r="L124" s="61"/>
    </row>
    <row r="125" spans="2:14" ht="15" customHeight="1" x14ac:dyDescent="0.2">
      <c r="B125" s="1609" t="s">
        <v>384</v>
      </c>
      <c r="C125" s="1609"/>
      <c r="D125" s="1609"/>
      <c r="E125" s="1609"/>
      <c r="H125" s="1609" t="s">
        <v>398</v>
      </c>
      <c r="I125" s="1609"/>
      <c r="J125" s="1609"/>
      <c r="K125" s="1609"/>
      <c r="L125" s="1609"/>
    </row>
    <row r="126" spans="2:14" ht="3" customHeight="1" x14ac:dyDescent="0.2">
      <c r="B126" s="1692"/>
      <c r="C126" s="1692"/>
      <c r="D126" s="1692"/>
      <c r="E126" s="1692"/>
      <c r="F126" s="1692"/>
      <c r="H126" s="1692"/>
      <c r="I126" s="1692"/>
      <c r="J126" s="1692"/>
      <c r="K126" s="1692"/>
      <c r="L126" s="1692"/>
    </row>
    <row r="127" spans="2:14" s="254" customFormat="1" ht="15" customHeight="1" x14ac:dyDescent="0.2">
      <c r="B127" s="251"/>
      <c r="C127" s="251"/>
      <c r="D127" s="251"/>
      <c r="E127" s="251"/>
      <c r="F127" s="251"/>
      <c r="G127" s="251"/>
      <c r="H127" s="251"/>
      <c r="I127" s="251"/>
      <c r="J127" s="251"/>
      <c r="K127" s="258"/>
      <c r="L127" s="61"/>
    </row>
    <row r="128" spans="2:14" ht="30" customHeight="1" x14ac:dyDescent="0.2">
      <c r="B128" s="1340"/>
      <c r="C128" s="1635"/>
      <c r="D128" s="998" t="s">
        <v>165</v>
      </c>
      <c r="E128" s="995" t="s">
        <v>105</v>
      </c>
      <c r="F128" s="995" t="s">
        <v>104</v>
      </c>
      <c r="G128" s="254"/>
      <c r="H128" s="1690"/>
      <c r="I128" s="1701"/>
      <c r="J128" s="995" t="s">
        <v>399</v>
      </c>
      <c r="K128" s="995" t="s">
        <v>400</v>
      </c>
      <c r="L128" s="64"/>
    </row>
    <row r="129" spans="2:12" ht="15" customHeight="1" x14ac:dyDescent="0.2">
      <c r="B129" s="1601" t="s">
        <v>322</v>
      </c>
      <c r="C129" s="1605"/>
      <c r="D129" s="273">
        <f>LIHTCs!$F$10</f>
        <v>0</v>
      </c>
      <c r="E129" s="273">
        <f>LIHTCs!$G$10</f>
        <v>0</v>
      </c>
      <c r="F129" s="273">
        <f>LIHTCs!$H$10</f>
        <v>0</v>
      </c>
      <c r="H129" s="1601" t="s">
        <v>393</v>
      </c>
      <c r="I129" s="1601"/>
      <c r="J129" s="273">
        <f>Cashflow!$F$39</f>
        <v>0</v>
      </c>
      <c r="K129" s="62">
        <f>Cashflow!$T$39</f>
        <v>0</v>
      </c>
    </row>
    <row r="130" spans="2:12" ht="15" customHeight="1" x14ac:dyDescent="0.2">
      <c r="B130" s="1335" t="s">
        <v>386</v>
      </c>
      <c r="C130" s="1657"/>
      <c r="D130" s="273">
        <f>SUM(LIHTCs!$F$12:$F$13)</f>
        <v>0</v>
      </c>
      <c r="E130" s="273">
        <f>SUM(LIHTCs!$G$12:$G$13)</f>
        <v>0</v>
      </c>
      <c r="F130" s="273">
        <f>SUM(LIHTCs!$H$12:$H$13)</f>
        <v>0</v>
      </c>
      <c r="H130" s="1601" t="s">
        <v>321</v>
      </c>
      <c r="I130" s="1601"/>
      <c r="J130" s="281">
        <f>IF($L$95=1,1.15,1.2)</f>
        <v>1.2</v>
      </c>
      <c r="K130" s="65">
        <v>1</v>
      </c>
    </row>
    <row r="131" spans="2:12" ht="15" customHeight="1" x14ac:dyDescent="0.2">
      <c r="B131" s="1335" t="s">
        <v>387</v>
      </c>
      <c r="C131" s="1657"/>
      <c r="D131" s="273">
        <f>D129-D130</f>
        <v>0</v>
      </c>
      <c r="E131" s="273">
        <f>E129-E130</f>
        <v>0</v>
      </c>
      <c r="F131" s="273">
        <f>F129-F130</f>
        <v>0</v>
      </c>
      <c r="H131" s="1601" t="s">
        <v>394</v>
      </c>
      <c r="I131" s="1601"/>
      <c r="J131" s="273">
        <f>J129/J130</f>
        <v>0</v>
      </c>
      <c r="K131" s="62">
        <f>K129/K130</f>
        <v>0</v>
      </c>
    </row>
    <row r="132" spans="2:12" ht="15" customHeight="1" x14ac:dyDescent="0.2">
      <c r="B132" s="1601" t="s">
        <v>3414</v>
      </c>
      <c r="C132" s="1605"/>
      <c r="D132" s="1077"/>
      <c r="E132" s="273">
        <f>LIHTCs!$G$17</f>
        <v>0</v>
      </c>
      <c r="F132" s="273">
        <f>LIHTCs!$H$17</f>
        <v>0</v>
      </c>
      <c r="H132" s="1601" t="s">
        <v>164</v>
      </c>
      <c r="I132" s="1601"/>
      <c r="J132" s="282">
        <f>Sources!$H$38</f>
        <v>0</v>
      </c>
      <c r="K132" s="282">
        <f>Sources!$H$38</f>
        <v>0</v>
      </c>
    </row>
    <row r="133" spans="2:12" ht="15" customHeight="1" x14ac:dyDescent="0.2">
      <c r="B133" s="1601" t="s">
        <v>3413</v>
      </c>
      <c r="C133" s="1605"/>
      <c r="D133" s="1077"/>
      <c r="E133" s="283">
        <f>LIHTCs!$G$18</f>
        <v>1</v>
      </c>
      <c r="F133" s="283">
        <f>LIHTCs!$H$18</f>
        <v>1</v>
      </c>
      <c r="H133" s="1601" t="s">
        <v>3451</v>
      </c>
      <c r="I133" s="1601"/>
      <c r="J133" s="48">
        <f>Sources!$L$38</f>
        <v>0</v>
      </c>
      <c r="K133" s="48">
        <f>Sources!$L$38</f>
        <v>0</v>
      </c>
    </row>
    <row r="134" spans="2:12" ht="15" customHeight="1" thickBot="1" x14ac:dyDescent="0.25">
      <c r="B134" s="1601" t="s">
        <v>388</v>
      </c>
      <c r="C134" s="1605"/>
      <c r="D134" s="283">
        <f>LIHTCs!$F$20</f>
        <v>0</v>
      </c>
      <c r="E134" s="283">
        <f>LIHTCs!$G$20</f>
        <v>0</v>
      </c>
      <c r="F134" s="283">
        <f>LIHTCs!$H$20</f>
        <v>0</v>
      </c>
      <c r="H134" s="1646" t="s">
        <v>202</v>
      </c>
      <c r="I134" s="1646"/>
      <c r="J134" s="284">
        <f>Sources!$K$38</f>
        <v>0</v>
      </c>
      <c r="K134" s="284">
        <f>Sources!$K$38</f>
        <v>0</v>
      </c>
    </row>
    <row r="135" spans="2:12" ht="15" customHeight="1" thickTop="1" thickBot="1" x14ac:dyDescent="0.25">
      <c r="B135" s="1335" t="s">
        <v>389</v>
      </c>
      <c r="C135" s="1657"/>
      <c r="D135" s="255">
        <f>LIHTCs!$F$24</f>
        <v>0</v>
      </c>
      <c r="E135" s="255">
        <f>LIHTCs!$F$24</f>
        <v>0</v>
      </c>
      <c r="F135" s="255">
        <f>LIHTCs!$F$24</f>
        <v>0</v>
      </c>
      <c r="H135" s="1601" t="s">
        <v>396</v>
      </c>
      <c r="I135" s="1601"/>
      <c r="J135" s="1078">
        <f>ROUNDDOWN(-PV(J132/12,J133*12,J131/12,,0),-4)</f>
        <v>0</v>
      </c>
      <c r="K135" s="285">
        <f>ROUNDDOWN(-PV(K132/12,K133*12,K131/12,,0),-4)</f>
        <v>0</v>
      </c>
    </row>
    <row r="136" spans="2:12" ht="15" customHeight="1" x14ac:dyDescent="0.2">
      <c r="B136" s="1601" t="s">
        <v>390</v>
      </c>
      <c r="C136" s="1605"/>
      <c r="D136" s="273">
        <f>D134*D135</f>
        <v>0</v>
      </c>
      <c r="E136" s="273">
        <f>E134*E135</f>
        <v>0</v>
      </c>
      <c r="F136" s="273">
        <f>F134*F135</f>
        <v>0</v>
      </c>
      <c r="H136" s="1658" t="s">
        <v>397</v>
      </c>
      <c r="I136" s="1695"/>
      <c r="J136" s="1079">
        <f>SUM(Sources!G38:G39)</f>
        <v>0</v>
      </c>
      <c r="K136" s="258"/>
      <c r="L136" s="61"/>
    </row>
    <row r="137" spans="2:12" ht="15" customHeight="1" thickBot="1" x14ac:dyDescent="0.25">
      <c r="B137" s="1646" t="str">
        <f>IF(OR(F137=0.04,E137=0.04),"30% Present Value Rate","70% Present Value Rate")</f>
        <v>70% Present Value Rate</v>
      </c>
      <c r="C137" s="1660"/>
      <c r="D137" s="267">
        <f>LIHTCs!$F$27</f>
        <v>0.04</v>
      </c>
      <c r="E137" s="267">
        <f>LIHTCs!$G$27</f>
        <v>0.09</v>
      </c>
      <c r="F137" s="267">
        <f>LIHTCs!$H$27</f>
        <v>0.09</v>
      </c>
      <c r="H137" s="1606" t="s">
        <v>2754</v>
      </c>
      <c r="I137" s="1601"/>
      <c r="J137" s="287">
        <f>J136-MIN(J135,K135,L135)</f>
        <v>0</v>
      </c>
      <c r="K137" s="258"/>
      <c r="L137" s="61"/>
    </row>
    <row r="138" spans="2:12" ht="15" customHeight="1" thickTop="1" thickBot="1" x14ac:dyDescent="0.25">
      <c r="B138" s="1601" t="s">
        <v>391</v>
      </c>
      <c r="C138" s="1605"/>
      <c r="D138" s="286">
        <f>D136*D137</f>
        <v>0</v>
      </c>
      <c r="E138" s="283">
        <f>E136*E137</f>
        <v>0</v>
      </c>
      <c r="F138" s="283">
        <f>F136*F137</f>
        <v>0</v>
      </c>
      <c r="H138" s="1607" t="s">
        <v>2753</v>
      </c>
      <c r="I138" s="1694"/>
      <c r="J138" s="1080">
        <f>IF(J135=0,0,(J136-J135)/J135)</f>
        <v>0</v>
      </c>
      <c r="K138" s="258"/>
      <c r="L138" s="61"/>
    </row>
    <row r="139" spans="2:12" ht="15" customHeight="1" x14ac:dyDescent="0.2">
      <c r="B139" s="1658" t="s">
        <v>2752</v>
      </c>
      <c r="C139" s="1659"/>
      <c r="D139" s="812">
        <f>SUM(D138:F138)*10</f>
        <v>0</v>
      </c>
      <c r="E139" s="277"/>
      <c r="F139" s="277"/>
      <c r="K139" s="258"/>
      <c r="L139" s="61"/>
    </row>
    <row r="140" spans="2:12" ht="15" customHeight="1" x14ac:dyDescent="0.2">
      <c r="B140" s="1606" t="s">
        <v>2123</v>
      </c>
      <c r="C140" s="1605"/>
      <c r="D140" s="287">
        <f>LIHTCs!$F$34</f>
        <v>0</v>
      </c>
      <c r="E140" s="277"/>
      <c r="F140" s="277"/>
      <c r="H140" s="1601"/>
      <c r="I140" s="1601"/>
      <c r="J140" s="995" t="s">
        <v>260</v>
      </c>
      <c r="K140" s="995" t="s">
        <v>261</v>
      </c>
    </row>
    <row r="141" spans="2:12" ht="15" customHeight="1" x14ac:dyDescent="0.2">
      <c r="B141" s="1606" t="s">
        <v>392</v>
      </c>
      <c r="C141" s="1605"/>
      <c r="D141" s="811">
        <f>LIHTCs!$F$46</f>
        <v>0</v>
      </c>
      <c r="H141" s="1601" t="s">
        <v>321</v>
      </c>
      <c r="I141" s="1601"/>
      <c r="J141" s="288" t="str">
        <f>Cashflow!F47</f>
        <v/>
      </c>
      <c r="K141" s="66" t="str">
        <f>Cashflow!T47</f>
        <v/>
      </c>
    </row>
    <row r="142" spans="2:12" ht="15" customHeight="1" thickBot="1" x14ac:dyDescent="0.25">
      <c r="B142" s="1607" t="s">
        <v>3449</v>
      </c>
      <c r="C142" s="1608"/>
      <c r="D142" s="778">
        <f>LIHTCs!$F$48</f>
        <v>0</v>
      </c>
      <c r="H142" s="1601" t="s">
        <v>401</v>
      </c>
      <c r="I142" s="1601"/>
      <c r="J142" s="288">
        <f>J130</f>
        <v>1.2</v>
      </c>
      <c r="K142" s="66">
        <v>1</v>
      </c>
    </row>
    <row r="143" spans="2:12" ht="15" customHeight="1" x14ac:dyDescent="0.2"/>
    <row r="144" spans="2:12" ht="15" customHeight="1" x14ac:dyDescent="0.2">
      <c r="K144" s="258"/>
      <c r="L144" s="61"/>
    </row>
    <row r="145" spans="2:15" ht="15" customHeight="1" x14ac:dyDescent="0.2">
      <c r="B145" s="1609" t="s">
        <v>380</v>
      </c>
      <c r="C145" s="1609"/>
      <c r="D145" s="1609"/>
      <c r="H145" s="1609" t="s">
        <v>379</v>
      </c>
      <c r="I145" s="1609"/>
      <c r="J145" s="1609"/>
    </row>
    <row r="146" spans="2:15" ht="3" customHeight="1" x14ac:dyDescent="0.2">
      <c r="B146" s="1692"/>
      <c r="C146" s="1692"/>
      <c r="D146" s="1692"/>
      <c r="E146" s="1692"/>
      <c r="F146" s="1692"/>
      <c r="H146" s="1692"/>
      <c r="I146" s="1692"/>
      <c r="J146" s="1692"/>
      <c r="K146" s="1692"/>
      <c r="L146" s="1692"/>
    </row>
    <row r="147" spans="2:15" ht="5.25" customHeight="1" x14ac:dyDescent="0.2"/>
    <row r="148" spans="2:15" ht="30" customHeight="1" x14ac:dyDescent="0.2">
      <c r="B148" s="1471" t="s">
        <v>2751</v>
      </c>
      <c r="C148" s="1471"/>
      <c r="D148" s="995" t="s">
        <v>163</v>
      </c>
      <c r="E148" s="995" t="s">
        <v>383</v>
      </c>
      <c r="F148" s="261"/>
      <c r="H148" s="1471" t="s">
        <v>2317</v>
      </c>
      <c r="I148" s="1471"/>
      <c r="J148" s="995" t="s">
        <v>101</v>
      </c>
      <c r="K148" s="995" t="s">
        <v>383</v>
      </c>
      <c r="L148" s="261"/>
    </row>
    <row r="149" spans="2:15" ht="15" customHeight="1" x14ac:dyDescent="0.2">
      <c r="B149" s="1549" t="str">
        <f>IF(OR(Sources!C10="",Sources!C10="[Specify Here]",Sources!G10=0),"",Sources!C10)</f>
        <v/>
      </c>
      <c r="C149" s="1550"/>
      <c r="D149" s="62">
        <f>Sources!G10</f>
        <v>0</v>
      </c>
      <c r="E149" s="63" t="e">
        <f t="shared" ref="E149:E159" si="6">D149/$D$169</f>
        <v>#DIV/0!</v>
      </c>
      <c r="F149" s="61"/>
      <c r="H149" s="1661" t="str">
        <f>IF(OR(Sources!C36="",Sources!C36="[Specify Here]",Sources!G36=0),"",Sources!C36)</f>
        <v/>
      </c>
      <c r="I149" s="1662"/>
      <c r="J149" s="62">
        <f>Sources!G36</f>
        <v>0</v>
      </c>
      <c r="K149" s="63" t="e">
        <f t="shared" ref="K149:K168" si="7">J149/$J$169</f>
        <v>#DIV/0!</v>
      </c>
      <c r="L149" s="61"/>
      <c r="N149" s="1661"/>
      <c r="O149" s="1661"/>
    </row>
    <row r="150" spans="2:15" ht="15" customHeight="1" x14ac:dyDescent="0.2">
      <c r="B150" s="1549" t="str">
        <f>IF(OR(Sources!C11="",Sources!C11="[Specify Here]",Sources!G11=0),"",Sources!C11)</f>
        <v/>
      </c>
      <c r="C150" s="1550"/>
      <c r="D150" s="62">
        <f>Sources!G11</f>
        <v>0</v>
      </c>
      <c r="E150" s="63" t="e">
        <f t="shared" si="6"/>
        <v>#DIV/0!</v>
      </c>
      <c r="F150" s="61"/>
      <c r="H150" s="1661" t="str">
        <f>IF(OR(Sources!C37="",Sources!C37="[Specify Here]",Sources!G37=0),"",Sources!C37)</f>
        <v/>
      </c>
      <c r="I150" s="1662"/>
      <c r="J150" s="62">
        <f>Sources!G37</f>
        <v>0</v>
      </c>
      <c r="K150" s="63" t="e">
        <f t="shared" si="7"/>
        <v>#DIV/0!</v>
      </c>
      <c r="L150" s="61"/>
      <c r="N150" s="531"/>
      <c r="O150" s="531"/>
    </row>
    <row r="151" spans="2:15" ht="15" customHeight="1" x14ac:dyDescent="0.2">
      <c r="B151" s="1549" t="str">
        <f>IF(OR(Sources!C12="",Sources!C12="[Specify Here]",Sources!G12=0),"",Sources!C12)</f>
        <v/>
      </c>
      <c r="C151" s="1550"/>
      <c r="D151" s="62">
        <f>Sources!G12</f>
        <v>0</v>
      </c>
      <c r="E151" s="63" t="e">
        <f t="shared" si="6"/>
        <v>#DIV/0!</v>
      </c>
      <c r="F151" s="61"/>
      <c r="H151" s="1661" t="str">
        <f>IF(OR(Sources!C38="",Sources!C38="[Specify Here]",Sources!G38=0),"",Sources!C38)</f>
        <v/>
      </c>
      <c r="I151" s="1662"/>
      <c r="J151" s="62">
        <f>Sources!G38</f>
        <v>0</v>
      </c>
      <c r="K151" s="63" t="e">
        <f t="shared" si="7"/>
        <v>#DIV/0!</v>
      </c>
      <c r="L151" s="61"/>
      <c r="N151" s="1661"/>
      <c r="O151" s="1661"/>
    </row>
    <row r="152" spans="2:15" ht="15" customHeight="1" x14ac:dyDescent="0.2">
      <c r="B152" s="1549" t="str">
        <f>IF(OR(Sources!C13="",Sources!C13="[Specify Here]",Sources!G13=0),"",Sources!C13)</f>
        <v/>
      </c>
      <c r="C152" s="1550"/>
      <c r="D152" s="62">
        <f>Sources!G13</f>
        <v>0</v>
      </c>
      <c r="E152" s="63" t="e">
        <f t="shared" si="6"/>
        <v>#DIV/0!</v>
      </c>
      <c r="F152" s="61"/>
      <c r="H152" s="1661" t="str">
        <f>IF(OR(Sources!C39="",Sources!C39="[Specify Here]",Sources!G39=0),"",Sources!C39)</f>
        <v/>
      </c>
      <c r="I152" s="1662"/>
      <c r="J152" s="62">
        <f>Sources!G39</f>
        <v>0</v>
      </c>
      <c r="K152" s="63" t="e">
        <f t="shared" si="7"/>
        <v>#DIV/0!</v>
      </c>
      <c r="L152" s="61"/>
      <c r="N152" s="1661"/>
      <c r="O152" s="1661"/>
    </row>
    <row r="153" spans="2:15" ht="15" customHeight="1" x14ac:dyDescent="0.2">
      <c r="B153" s="1549" t="str">
        <f>IF(OR(Sources!C14="",Sources!C14="[Specify Here]",Sources!G14=0),"",Sources!C14)</f>
        <v/>
      </c>
      <c r="C153" s="1550"/>
      <c r="D153" s="62">
        <f>Sources!G14</f>
        <v>0</v>
      </c>
      <c r="E153" s="63" t="e">
        <f t="shared" si="6"/>
        <v>#DIV/0!</v>
      </c>
      <c r="F153" s="61"/>
      <c r="H153" s="1661" t="str">
        <f>IF(OR(Sources!C40="",Sources!C40="[Specify Here]",Sources!G40=0),"",Sources!C40)</f>
        <v/>
      </c>
      <c r="I153" s="1662"/>
      <c r="J153" s="62">
        <f>Sources!G40</f>
        <v>0</v>
      </c>
      <c r="K153" s="63" t="e">
        <f t="shared" si="7"/>
        <v>#DIV/0!</v>
      </c>
      <c r="L153" s="61"/>
      <c r="N153" s="1661"/>
      <c r="O153" s="1661"/>
    </row>
    <row r="154" spans="2:15" ht="15" customHeight="1" x14ac:dyDescent="0.2">
      <c r="B154" s="1549" t="str">
        <f>IF(OR(Sources!C15="",Sources!C15="[Specify Here]",Sources!G15=0),"",Sources!C15)</f>
        <v/>
      </c>
      <c r="C154" s="1550"/>
      <c r="D154" s="62">
        <f>Sources!G15</f>
        <v>0</v>
      </c>
      <c r="E154" s="63" t="e">
        <f t="shared" si="6"/>
        <v>#DIV/0!</v>
      </c>
      <c r="F154" s="61"/>
      <c r="H154" s="1661" t="str">
        <f>IF(OR(Sources!C41="",Sources!C41="[Specify Here]",Sources!G41=0),"",Sources!C41)</f>
        <v/>
      </c>
      <c r="I154" s="1662"/>
      <c r="J154" s="62">
        <f>Sources!G41</f>
        <v>0</v>
      </c>
      <c r="K154" s="63" t="e">
        <f t="shared" si="7"/>
        <v>#DIV/0!</v>
      </c>
      <c r="L154" s="61"/>
      <c r="N154" s="1661"/>
      <c r="O154" s="1661"/>
    </row>
    <row r="155" spans="2:15" ht="15" customHeight="1" x14ac:dyDescent="0.2">
      <c r="B155" s="1549" t="str">
        <f>IF(OR(Sources!C16="",Sources!C16="[Specify Here]",Sources!G16=0),"",Sources!C16)</f>
        <v/>
      </c>
      <c r="C155" s="1550"/>
      <c r="D155" s="62">
        <f>Sources!G16</f>
        <v>0</v>
      </c>
      <c r="E155" s="63" t="e">
        <f t="shared" si="6"/>
        <v>#DIV/0!</v>
      </c>
      <c r="F155" s="61"/>
      <c r="H155" s="1661" t="str">
        <f>IF(OR(Sources!C42="",Sources!C42="[Specify Here]",Sources!G42=0),"",Sources!C42)</f>
        <v/>
      </c>
      <c r="I155" s="1662"/>
      <c r="J155" s="62">
        <f>Sources!G42</f>
        <v>0</v>
      </c>
      <c r="K155" s="63" t="e">
        <f t="shared" si="7"/>
        <v>#DIV/0!</v>
      </c>
      <c r="L155" s="61"/>
      <c r="N155" s="1661"/>
      <c r="O155" s="1661"/>
    </row>
    <row r="156" spans="2:15" ht="15" customHeight="1" x14ac:dyDescent="0.2">
      <c r="B156" s="1549" t="str">
        <f>IF(OR(Sources!C17="",Sources!C17="[Specify Here]",Sources!G17=0),"",Sources!C17)</f>
        <v/>
      </c>
      <c r="C156" s="1550"/>
      <c r="D156" s="62">
        <f>Sources!G17</f>
        <v>0</v>
      </c>
      <c r="E156" s="63" t="e">
        <f t="shared" si="6"/>
        <v>#DIV/0!</v>
      </c>
      <c r="F156" s="61"/>
      <c r="H156" s="1661" t="str">
        <f>IF(OR(Sources!C43="",Sources!C43="[Specify Here]",Sources!G43=0),"",Sources!C43)</f>
        <v/>
      </c>
      <c r="I156" s="1662"/>
      <c r="J156" s="62">
        <f>Sources!G43</f>
        <v>0</v>
      </c>
      <c r="K156" s="63" t="e">
        <f t="shared" si="7"/>
        <v>#DIV/0!</v>
      </c>
      <c r="L156" s="61"/>
      <c r="N156" s="1661"/>
      <c r="O156" s="1661"/>
    </row>
    <row r="157" spans="2:15" ht="15" customHeight="1" x14ac:dyDescent="0.2">
      <c r="B157" s="1549" t="str">
        <f>IF(OR(Sources!C18="",Sources!C18="[Specify Here]",Sources!G18=0),"",Sources!C18)</f>
        <v/>
      </c>
      <c r="C157" s="1550"/>
      <c r="D157" s="62">
        <f>Sources!G18</f>
        <v>0</v>
      </c>
      <c r="E157" s="63" t="e">
        <f t="shared" si="6"/>
        <v>#DIV/0!</v>
      </c>
      <c r="F157" s="61"/>
      <c r="H157" s="1661" t="str">
        <f>IF(OR(Sources!C44="",Sources!C44="[Specify Here]",Sources!G44=0),"",Sources!C44)</f>
        <v/>
      </c>
      <c r="I157" s="1662"/>
      <c r="J157" s="62">
        <f>Sources!G44</f>
        <v>0</v>
      </c>
      <c r="K157" s="63" t="e">
        <f t="shared" si="7"/>
        <v>#DIV/0!</v>
      </c>
      <c r="L157" s="61"/>
      <c r="N157" s="1661"/>
      <c r="O157" s="1661"/>
    </row>
    <row r="158" spans="2:15" ht="15" customHeight="1" x14ac:dyDescent="0.2">
      <c r="B158" s="1549" t="str">
        <f>IF(OR(Sources!C19="",Sources!C19="[Specify Here]",Sources!G19=0),"",Sources!C19)</f>
        <v/>
      </c>
      <c r="C158" s="1550"/>
      <c r="D158" s="62">
        <f>Sources!G19</f>
        <v>0</v>
      </c>
      <c r="E158" s="63" t="e">
        <f t="shared" si="6"/>
        <v>#DIV/0!</v>
      </c>
      <c r="F158" s="61"/>
      <c r="H158" s="1661" t="str">
        <f>IF(OR(Sources!C45="",Sources!C45="[Specify Here]",Sources!G45=0),"",Sources!C45)</f>
        <v/>
      </c>
      <c r="I158" s="1662"/>
      <c r="J158" s="62">
        <f>Sources!G45</f>
        <v>0</v>
      </c>
      <c r="K158" s="63" t="e">
        <f t="shared" si="7"/>
        <v>#DIV/0!</v>
      </c>
      <c r="L158" s="61"/>
      <c r="N158" s="1696"/>
      <c r="O158" s="1696"/>
    </row>
    <row r="159" spans="2:15" ht="15" customHeight="1" x14ac:dyDescent="0.2">
      <c r="B159" s="1549" t="str">
        <f>IF(OR(Sources!C20="",Sources!C20="[Specify Here]",Sources!G20=0),"",Sources!C20)</f>
        <v/>
      </c>
      <c r="C159" s="1550"/>
      <c r="D159" s="62">
        <f>Sources!G20</f>
        <v>0</v>
      </c>
      <c r="E159" s="63" t="e">
        <f t="shared" si="6"/>
        <v>#DIV/0!</v>
      </c>
      <c r="F159" s="61"/>
      <c r="H159" s="1661" t="str">
        <f>IF(OR(Sources!C46="",Sources!C46="[Specify Here]",Sources!G46=0),"",Sources!C46)</f>
        <v/>
      </c>
      <c r="I159" s="1662"/>
      <c r="J159" s="62">
        <f>Sources!G46</f>
        <v>0</v>
      </c>
      <c r="K159" s="63" t="e">
        <f t="shared" si="7"/>
        <v>#DIV/0!</v>
      </c>
      <c r="L159" s="61"/>
      <c r="N159" s="1696"/>
      <c r="O159" s="1696"/>
    </row>
    <row r="160" spans="2:15" ht="15" customHeight="1" x14ac:dyDescent="0.2">
      <c r="B160" s="1549" t="str">
        <f>IF(OR(Sources!C21="",Sources!C21="[Specify Here]",Sources!G21=0),"",Sources!C21)</f>
        <v/>
      </c>
      <c r="C160" s="1550"/>
      <c r="D160" s="62">
        <f>Sources!G21</f>
        <v>0</v>
      </c>
      <c r="E160" s="63" t="e">
        <f t="shared" ref="E160:E168" si="8">D160/$D$169</f>
        <v>#DIV/0!</v>
      </c>
      <c r="F160" s="61"/>
      <c r="H160" s="1661" t="str">
        <f>IF(OR(Sources!C47="",Sources!C47="[Specify Here]",Sources!G47=0),"",Sources!C47)</f>
        <v/>
      </c>
      <c r="I160" s="1662"/>
      <c r="J160" s="62">
        <f>Sources!G47</f>
        <v>0</v>
      </c>
      <c r="K160" s="63" t="e">
        <f t="shared" si="7"/>
        <v>#DIV/0!</v>
      </c>
      <c r="L160" s="61"/>
      <c r="N160" s="324"/>
      <c r="O160" s="324"/>
    </row>
    <row r="161" spans="2:15" ht="15" customHeight="1" x14ac:dyDescent="0.2">
      <c r="B161" s="1549" t="str">
        <f>IF(OR(Sources!C22="",Sources!C22="[Specify Here]",Sources!G22=0),"",Sources!C22)</f>
        <v/>
      </c>
      <c r="C161" s="1550"/>
      <c r="D161" s="62">
        <f>Sources!G22</f>
        <v>0</v>
      </c>
      <c r="E161" s="63" t="e">
        <f t="shared" si="8"/>
        <v>#DIV/0!</v>
      </c>
      <c r="F161" s="61"/>
      <c r="H161" s="1661" t="str">
        <f>IF(OR(Sources!C48="",Sources!C48="[Specify Here]",Sources!G48=0),"",Sources!C48)</f>
        <v/>
      </c>
      <c r="I161" s="1662"/>
      <c r="J161" s="62">
        <f>Sources!G48</f>
        <v>0</v>
      </c>
      <c r="K161" s="63" t="e">
        <f t="shared" si="7"/>
        <v>#DIV/0!</v>
      </c>
      <c r="L161" s="61"/>
      <c r="N161" s="324"/>
      <c r="O161" s="324"/>
    </row>
    <row r="162" spans="2:15" ht="15" customHeight="1" x14ac:dyDescent="0.2">
      <c r="B162" s="1549" t="str">
        <f>IF(OR(Sources!C23="",Sources!C23="[Specify Here]",Sources!G23=0),"",Sources!C23)</f>
        <v/>
      </c>
      <c r="C162" s="1550"/>
      <c r="D162" s="62">
        <f>Sources!G23</f>
        <v>0</v>
      </c>
      <c r="E162" s="63" t="e">
        <f t="shared" si="8"/>
        <v>#DIV/0!</v>
      </c>
      <c r="F162" s="61"/>
      <c r="H162" s="1661" t="str">
        <f>IF(OR(Sources!C49="",Sources!C49="[Specify Here]",Sources!G49=0),"",Sources!C49)</f>
        <v/>
      </c>
      <c r="I162" s="1662"/>
      <c r="J162" s="62">
        <f>Sources!G49</f>
        <v>0</v>
      </c>
      <c r="K162" s="63" t="e">
        <f t="shared" si="7"/>
        <v>#DIV/0!</v>
      </c>
      <c r="L162" s="61"/>
      <c r="N162" s="1696"/>
      <c r="O162" s="1696"/>
    </row>
    <row r="163" spans="2:15" ht="15" customHeight="1" x14ac:dyDescent="0.2">
      <c r="B163" s="1549" t="str">
        <f>IF(OR(Sources!C24="",Sources!C24="[Specify Here]",Sources!G24=0),"",Sources!C24)</f>
        <v/>
      </c>
      <c r="C163" s="1550"/>
      <c r="D163" s="62">
        <f>Sources!G24</f>
        <v>0</v>
      </c>
      <c r="E163" s="63" t="e">
        <f t="shared" si="8"/>
        <v>#DIV/0!</v>
      </c>
      <c r="F163" s="61"/>
      <c r="H163" s="1661" t="str">
        <f>IF(OR(Sources!C50="",Sources!C50="[Specify Here]",Sources!G50=0),"",Sources!C50)</f>
        <v/>
      </c>
      <c r="I163" s="1662"/>
      <c r="J163" s="62">
        <f>Sources!G50</f>
        <v>0</v>
      </c>
      <c r="K163" s="63" t="e">
        <f t="shared" si="7"/>
        <v>#DIV/0!</v>
      </c>
      <c r="L163" s="61"/>
      <c r="N163" s="1696"/>
      <c r="O163" s="1696"/>
    </row>
    <row r="164" spans="2:15" ht="15" customHeight="1" x14ac:dyDescent="0.2">
      <c r="B164" s="1549" t="str">
        <f>IF(OR(Sources!C25="",Sources!C25="[Specify Here]",Sources!G25=0),"",Sources!C25)</f>
        <v/>
      </c>
      <c r="C164" s="1550"/>
      <c r="D164" s="62">
        <f>Sources!G25</f>
        <v>0</v>
      </c>
      <c r="E164" s="63" t="e">
        <f t="shared" si="8"/>
        <v>#DIV/0!</v>
      </c>
      <c r="F164" s="61"/>
      <c r="H164" s="1661" t="str">
        <f>IF(OR(Sources!C51="",Sources!C51="[Specify Here]",Sources!G51=0),"",Sources!C51)</f>
        <v/>
      </c>
      <c r="I164" s="1662"/>
      <c r="J164" s="62">
        <f>Sources!G51</f>
        <v>0</v>
      </c>
      <c r="K164" s="63" t="e">
        <f t="shared" si="7"/>
        <v>#DIV/0!</v>
      </c>
      <c r="L164" s="61"/>
      <c r="N164" s="324"/>
      <c r="O164" s="324"/>
    </row>
    <row r="165" spans="2:15" ht="15" customHeight="1" x14ac:dyDescent="0.2">
      <c r="B165" s="1549" t="str">
        <f>IF(OR(Sources!C26="",Sources!C26="[Specify Here]",Sources!G26=0),"",Sources!C26)</f>
        <v/>
      </c>
      <c r="C165" s="1550"/>
      <c r="D165" s="62">
        <f>Sources!G26</f>
        <v>0</v>
      </c>
      <c r="E165" s="63" t="e">
        <f t="shared" si="8"/>
        <v>#DIV/0!</v>
      </c>
      <c r="F165" s="61"/>
      <c r="H165" s="1661" t="str">
        <f>IF(OR(Sources!C52="",Sources!C52="[Specify Here]",Sources!G52=0),"",Sources!C52)</f>
        <v/>
      </c>
      <c r="I165" s="1662"/>
      <c r="J165" s="62">
        <f>Sources!G52</f>
        <v>0</v>
      </c>
      <c r="K165" s="63" t="e">
        <f t="shared" si="7"/>
        <v>#DIV/0!</v>
      </c>
      <c r="L165" s="61"/>
      <c r="N165" s="324"/>
      <c r="O165" s="324"/>
    </row>
    <row r="166" spans="2:15" ht="15" customHeight="1" x14ac:dyDescent="0.2">
      <c r="B166" s="1549" t="str">
        <f>IF(OR(Sources!C27="",Sources!C27="[Specify Here]",Sources!G27=0),"",Sources!C27)</f>
        <v/>
      </c>
      <c r="C166" s="1550"/>
      <c r="D166" s="62">
        <f>Sources!G27</f>
        <v>0</v>
      </c>
      <c r="E166" s="63" t="e">
        <f t="shared" si="8"/>
        <v>#DIV/0!</v>
      </c>
      <c r="F166" s="61"/>
      <c r="H166" s="1661" t="str">
        <f>IF(OR(Sources!C53="",Sources!C53="[Specify Here]",Sources!G53=0),"",Sources!C53)</f>
        <v/>
      </c>
      <c r="I166" s="1662"/>
      <c r="J166" s="62">
        <f>Sources!G53</f>
        <v>0</v>
      </c>
      <c r="K166" s="63" t="e">
        <f t="shared" si="7"/>
        <v>#DIV/0!</v>
      </c>
      <c r="L166" s="61"/>
      <c r="N166" s="324"/>
      <c r="O166" s="324"/>
    </row>
    <row r="167" spans="2:15" ht="15" customHeight="1" x14ac:dyDescent="0.2">
      <c r="B167" s="698"/>
      <c r="C167" s="699"/>
      <c r="D167" s="62">
        <f>Sources!G28</f>
        <v>0</v>
      </c>
      <c r="E167" s="63" t="e">
        <f t="shared" si="8"/>
        <v>#DIV/0!</v>
      </c>
      <c r="F167" s="61"/>
      <c r="H167" s="1661" t="str">
        <f>IF(OR(Sources!C54="",Sources!C54="[Specify Here]",Sources!G54=0),"",Sources!C54)</f>
        <v/>
      </c>
      <c r="I167" s="1662"/>
      <c r="J167" s="62">
        <f>Sources!G54</f>
        <v>0</v>
      </c>
      <c r="K167" s="63" t="e">
        <f t="shared" si="7"/>
        <v>#DIV/0!</v>
      </c>
      <c r="L167" s="61"/>
      <c r="N167" s="324"/>
      <c r="O167" s="324"/>
    </row>
    <row r="168" spans="2:15" ht="15" customHeight="1" thickBot="1" x14ac:dyDescent="0.25">
      <c r="B168" s="1663" t="str">
        <f>IF(OR(Sources!C28="",Sources!C28="[Specify Here]",Sources!G28=0),"",Sources!C28)</f>
        <v/>
      </c>
      <c r="C168" s="1664"/>
      <c r="D168" s="67">
        <f>Sources!G29</f>
        <v>0</v>
      </c>
      <c r="E168" s="68" t="e">
        <f t="shared" si="8"/>
        <v>#DIV/0!</v>
      </c>
      <c r="F168" s="61"/>
      <c r="H168" s="1665" t="str">
        <f>IF(OR(Sources!C55="",Sources!C55="[Specify Here]",Sources!G55=0),"",Sources!C55)</f>
        <v/>
      </c>
      <c r="I168" s="1666"/>
      <c r="J168" s="67">
        <f>Sources!G55</f>
        <v>0</v>
      </c>
      <c r="K168" s="68" t="e">
        <f t="shared" si="7"/>
        <v>#DIV/0!</v>
      </c>
      <c r="L168" s="61"/>
      <c r="N168" s="1696"/>
      <c r="O168" s="1696"/>
    </row>
    <row r="169" spans="2:15" ht="15" customHeight="1" thickTop="1" x14ac:dyDescent="0.2">
      <c r="B169" s="1675" t="s">
        <v>382</v>
      </c>
      <c r="C169" s="1675"/>
      <c r="D169" s="289">
        <f>SUM(D149:D168)</f>
        <v>0</v>
      </c>
      <c r="E169" s="69">
        <f>IF(D169=0,0,D169/$D$169)</f>
        <v>0</v>
      </c>
      <c r="F169" s="61"/>
      <c r="H169" s="1675" t="s">
        <v>360</v>
      </c>
      <c r="I169" s="1675"/>
      <c r="J169" s="289">
        <f>SUM(J149:J168)</f>
        <v>0</v>
      </c>
      <c r="K169" s="69">
        <f>IF(J169=0,0,SUM(K149:K163))</f>
        <v>0</v>
      </c>
      <c r="L169" s="61"/>
    </row>
    <row r="170" spans="2:15" ht="15" customHeight="1" x14ac:dyDescent="0.2">
      <c r="L170" s="61"/>
    </row>
    <row r="171" spans="2:15" ht="15" customHeight="1" x14ac:dyDescent="0.2"/>
    <row r="172" spans="2:15" ht="15" hidden="1" customHeight="1" x14ac:dyDescent="0.2"/>
    <row r="173" spans="2:15" ht="15" hidden="1" customHeight="1" x14ac:dyDescent="0.2"/>
    <row r="177" s="251" customFormat="1" ht="0" hidden="1" customHeight="1" x14ac:dyDescent="0.2"/>
    <row r="178" s="251" customFormat="1" ht="0" hidden="1" customHeight="1" x14ac:dyDescent="0.2"/>
    <row r="179" s="251" customFormat="1" ht="0" hidden="1" customHeight="1" x14ac:dyDescent="0.2"/>
  </sheetData>
  <sheetProtection algorithmName="SHA-512" hashValue="iUiYIiIr/GdLk9RFLQ8vGHnsBXozx+2iv7GCj3yfQ8jw4/vuTFhn40twPuHKa3Z1DN9L4UR/6JmqAJLbvixJ0g==" saltValue="L5ssN9ZGq2HUoHSca8lg+w==" spinCount="100000" sheet="1" objects="1" scenarios="1"/>
  <mergeCells count="269">
    <mergeCell ref="B19:C19"/>
    <mergeCell ref="B20:C20"/>
    <mergeCell ref="B21:C21"/>
    <mergeCell ref="B18:C18"/>
    <mergeCell ref="D18:F18"/>
    <mergeCell ref="H74:I74"/>
    <mergeCell ref="H75:I75"/>
    <mergeCell ref="B44:D44"/>
    <mergeCell ref="H63:J63"/>
    <mergeCell ref="H64:J64"/>
    <mergeCell ref="H65:J65"/>
    <mergeCell ref="H43:I43"/>
    <mergeCell ref="H44:I44"/>
    <mergeCell ref="H45:I45"/>
    <mergeCell ref="H46:I46"/>
    <mergeCell ref="D57:F57"/>
    <mergeCell ref="D58:F58"/>
    <mergeCell ref="D60:F60"/>
    <mergeCell ref="H69:L69"/>
    <mergeCell ref="H59:J59"/>
    <mergeCell ref="H60:J60"/>
    <mergeCell ref="H61:J61"/>
    <mergeCell ref="H62:J62"/>
    <mergeCell ref="D54:F54"/>
    <mergeCell ref="D55:F55"/>
    <mergeCell ref="B39:D39"/>
    <mergeCell ref="B40:F40"/>
    <mergeCell ref="B42:D42"/>
    <mergeCell ref="B122:D122"/>
    <mergeCell ref="H119:I119"/>
    <mergeCell ref="H120:I120"/>
    <mergeCell ref="H85:L85"/>
    <mergeCell ref="B107:D107"/>
    <mergeCell ref="B108:C108"/>
    <mergeCell ref="B106:D106"/>
    <mergeCell ref="B116:D116"/>
    <mergeCell ref="H115:K115"/>
    <mergeCell ref="H101:L101"/>
    <mergeCell ref="B109:D109"/>
    <mergeCell ref="B105:D105"/>
    <mergeCell ref="H111:I111"/>
    <mergeCell ref="H110:I110"/>
    <mergeCell ref="H70:L70"/>
    <mergeCell ref="H73:I73"/>
    <mergeCell ref="B69:F69"/>
    <mergeCell ref="B125:E125"/>
    <mergeCell ref="B129:C129"/>
    <mergeCell ref="H129:I129"/>
    <mergeCell ref="H128:I128"/>
    <mergeCell ref="B126:F126"/>
    <mergeCell ref="B120:D120"/>
    <mergeCell ref="B74:C74"/>
    <mergeCell ref="B75:C75"/>
    <mergeCell ref="B76:C76"/>
    <mergeCell ref="B77:C77"/>
    <mergeCell ref="B78:C78"/>
    <mergeCell ref="H104:I104"/>
    <mergeCell ref="H105:I105"/>
    <mergeCell ref="B121:D121"/>
    <mergeCell ref="B118:D118"/>
    <mergeCell ref="B119:D119"/>
    <mergeCell ref="H117:I117"/>
    <mergeCell ref="B82:F82"/>
    <mergeCell ref="H82:L82"/>
    <mergeCell ref="B79:C79"/>
    <mergeCell ref="H76:I76"/>
    <mergeCell ref="H77:I77"/>
    <mergeCell ref="H118:I118"/>
    <mergeCell ref="B128:C128"/>
    <mergeCell ref="N27:O33"/>
    <mergeCell ref="H27:L36"/>
    <mergeCell ref="B29:C29"/>
    <mergeCell ref="B59:C59"/>
    <mergeCell ref="D59:F59"/>
    <mergeCell ref="B32:C32"/>
    <mergeCell ref="B34:C34"/>
    <mergeCell ref="H51:L51"/>
    <mergeCell ref="H54:J54"/>
    <mergeCell ref="H39:L39"/>
    <mergeCell ref="H40:L40"/>
    <mergeCell ref="H55:J55"/>
    <mergeCell ref="H56:J56"/>
    <mergeCell ref="H57:J57"/>
    <mergeCell ref="H58:J58"/>
    <mergeCell ref="H42:I42"/>
    <mergeCell ref="B33:C33"/>
    <mergeCell ref="B35:C35"/>
    <mergeCell ref="H47:J47"/>
    <mergeCell ref="B43:D43"/>
    <mergeCell ref="B45:D45"/>
    <mergeCell ref="B46:D46"/>
    <mergeCell ref="B47:D47"/>
    <mergeCell ref="B48:D48"/>
    <mergeCell ref="I3:L3"/>
    <mergeCell ref="H52:L52"/>
    <mergeCell ref="B52:F52"/>
    <mergeCell ref="B7:F7"/>
    <mergeCell ref="H102:L102"/>
    <mergeCell ref="B102:F102"/>
    <mergeCell ref="B11:C11"/>
    <mergeCell ref="B12:C12"/>
    <mergeCell ref="D11:F11"/>
    <mergeCell ref="B56:C56"/>
    <mergeCell ref="B57:C57"/>
    <mergeCell ref="D61:F61"/>
    <mergeCell ref="B51:D51"/>
    <mergeCell ref="B54:C54"/>
    <mergeCell ref="B55:C55"/>
    <mergeCell ref="D16:F16"/>
    <mergeCell ref="H24:L24"/>
    <mergeCell ref="D12:F12"/>
    <mergeCell ref="D13:F13"/>
    <mergeCell ref="D14:F14"/>
    <mergeCell ref="D15:F15"/>
    <mergeCell ref="B13:C13"/>
    <mergeCell ref="B14:C14"/>
    <mergeCell ref="B15:C15"/>
    <mergeCell ref="N9:O17"/>
    <mergeCell ref="B16:C16"/>
    <mergeCell ref="D65:F65"/>
    <mergeCell ref="B62:C62"/>
    <mergeCell ref="B169:C169"/>
    <mergeCell ref="B168:C168"/>
    <mergeCell ref="B134:C134"/>
    <mergeCell ref="B135:C135"/>
    <mergeCell ref="B136:C136"/>
    <mergeCell ref="B115:D115"/>
    <mergeCell ref="B117:D117"/>
    <mergeCell ref="B110:D110"/>
    <mergeCell ref="B101:E101"/>
    <mergeCell ref="B104:D104"/>
    <mergeCell ref="B111:D111"/>
    <mergeCell ref="B112:D112"/>
    <mergeCell ref="H160:I160"/>
    <mergeCell ref="H161:I161"/>
    <mergeCell ref="H109:I109"/>
    <mergeCell ref="B86:F86"/>
    <mergeCell ref="H86:L86"/>
    <mergeCell ref="H106:I106"/>
    <mergeCell ref="H112:I112"/>
    <mergeCell ref="B65:C65"/>
    <mergeCell ref="H169:I169"/>
    <mergeCell ref="B133:C133"/>
    <mergeCell ref="B153:C153"/>
    <mergeCell ref="H154:I154"/>
    <mergeCell ref="H158:I158"/>
    <mergeCell ref="H134:I134"/>
    <mergeCell ref="B151:C151"/>
    <mergeCell ref="B152:C152"/>
    <mergeCell ref="B145:D145"/>
    <mergeCell ref="B148:C148"/>
    <mergeCell ref="B149:C149"/>
    <mergeCell ref="H151:I151"/>
    <mergeCell ref="H152:I152"/>
    <mergeCell ref="H153:I153"/>
    <mergeCell ref="B137:C137"/>
    <mergeCell ref="B164:C164"/>
    <mergeCell ref="B165:C165"/>
    <mergeCell ref="B166:C166"/>
    <mergeCell ref="H164:I164"/>
    <mergeCell ref="H165:I165"/>
    <mergeCell ref="H168:I168"/>
    <mergeCell ref="H166:I166"/>
    <mergeCell ref="B159:C159"/>
    <mergeCell ref="B160:C160"/>
    <mergeCell ref="B2:F2"/>
    <mergeCell ref="B3:F3"/>
    <mergeCell ref="B6:C6"/>
    <mergeCell ref="H6:L6"/>
    <mergeCell ref="B9:C9"/>
    <mergeCell ref="D9:F9"/>
    <mergeCell ref="D62:F62"/>
    <mergeCell ref="D63:F63"/>
    <mergeCell ref="D64:F64"/>
    <mergeCell ref="B63:C63"/>
    <mergeCell ref="B64:C64"/>
    <mergeCell ref="I2:L2"/>
    <mergeCell ref="B24:F24"/>
    <mergeCell ref="B28:C28"/>
    <mergeCell ref="B36:C36"/>
    <mergeCell ref="B58:C58"/>
    <mergeCell ref="B60:C60"/>
    <mergeCell ref="B10:C10"/>
    <mergeCell ref="D10:F10"/>
    <mergeCell ref="B17:C17"/>
    <mergeCell ref="D19:F19"/>
    <mergeCell ref="H9:L21"/>
    <mergeCell ref="B30:C30"/>
    <mergeCell ref="B31:C31"/>
    <mergeCell ref="N158:O158"/>
    <mergeCell ref="N159:O159"/>
    <mergeCell ref="N162:O162"/>
    <mergeCell ref="H125:L125"/>
    <mergeCell ref="N151:O151"/>
    <mergeCell ref="N152:O152"/>
    <mergeCell ref="N153:O153"/>
    <mergeCell ref="N168:O168"/>
    <mergeCell ref="H155:I155"/>
    <mergeCell ref="H156:I156"/>
    <mergeCell ref="H157:I157"/>
    <mergeCell ref="H162:I162"/>
    <mergeCell ref="H159:I159"/>
    <mergeCell ref="H163:I163"/>
    <mergeCell ref="N149:O149"/>
    <mergeCell ref="H167:I167"/>
    <mergeCell ref="H150:I150"/>
    <mergeCell ref="H149:I149"/>
    <mergeCell ref="H145:J145"/>
    <mergeCell ref="H148:I148"/>
    <mergeCell ref="H133:I133"/>
    <mergeCell ref="H135:I135"/>
    <mergeCell ref="N163:O163"/>
    <mergeCell ref="H126:L126"/>
    <mergeCell ref="B161:C161"/>
    <mergeCell ref="B154:C154"/>
    <mergeCell ref="B155:C155"/>
    <mergeCell ref="B158:C158"/>
    <mergeCell ref="B162:C162"/>
    <mergeCell ref="B163:C163"/>
    <mergeCell ref="B156:C156"/>
    <mergeCell ref="B146:F146"/>
    <mergeCell ref="B157:C157"/>
    <mergeCell ref="B150:C150"/>
    <mergeCell ref="N154:O154"/>
    <mergeCell ref="N155:O155"/>
    <mergeCell ref="N156:O156"/>
    <mergeCell ref="N157:O157"/>
    <mergeCell ref="H141:I141"/>
    <mergeCell ref="B132:C132"/>
    <mergeCell ref="B131:C131"/>
    <mergeCell ref="H130:I130"/>
    <mergeCell ref="H131:I131"/>
    <mergeCell ref="H137:I137"/>
    <mergeCell ref="H138:I138"/>
    <mergeCell ref="H140:I140"/>
    <mergeCell ref="H136:I136"/>
    <mergeCell ref="H146:L146"/>
    <mergeCell ref="H132:I132"/>
    <mergeCell ref="B138:C138"/>
    <mergeCell ref="H142:I142"/>
    <mergeCell ref="B139:C139"/>
    <mergeCell ref="B130:C130"/>
    <mergeCell ref="B140:C140"/>
    <mergeCell ref="B141:C141"/>
    <mergeCell ref="B142:C142"/>
    <mergeCell ref="N34:N35"/>
    <mergeCell ref="H7:L7"/>
    <mergeCell ref="B25:F25"/>
    <mergeCell ref="B113:D113"/>
    <mergeCell ref="B114:D114"/>
    <mergeCell ref="H113:I113"/>
    <mergeCell ref="H108:I108"/>
    <mergeCell ref="B85:F85"/>
    <mergeCell ref="H107:I107"/>
    <mergeCell ref="H114:I114"/>
    <mergeCell ref="H80:I80"/>
    <mergeCell ref="B80:C80"/>
    <mergeCell ref="D17:F17"/>
    <mergeCell ref="H25:L25"/>
    <mergeCell ref="H78:I78"/>
    <mergeCell ref="H79:I79"/>
    <mergeCell ref="H48:K48"/>
    <mergeCell ref="B61:C61"/>
    <mergeCell ref="D56:F56"/>
    <mergeCell ref="B66:C66"/>
    <mergeCell ref="D66:F66"/>
    <mergeCell ref="H66:J66"/>
    <mergeCell ref="B70:F70"/>
    <mergeCell ref="B73:C73"/>
  </mergeCells>
  <conditionalFormatting sqref="B6:B11 M9:N10 D9:D11 M11 E51:F51 B51:B55 E53:F53">
    <cfRule type="expression" dxfId="145" priority="40">
      <formula>CELL("protect",#REF!)=0</formula>
    </cfRule>
  </conditionalFormatting>
  <conditionalFormatting sqref="B69:B73 E71:F71">
    <cfRule type="expression" dxfId="144" priority="12">
      <formula>CELL("protect",#REF!)=0</formula>
    </cfRule>
  </conditionalFormatting>
  <conditionalFormatting sqref="B28:C33 B35:C36">
    <cfRule type="expression" dxfId="143" priority="16">
      <formula>OR($D28="",$D28=0,$D28="N/A")</formula>
    </cfRule>
  </conditionalFormatting>
  <conditionalFormatting sqref="C89:D97">
    <cfRule type="expression" dxfId="141" priority="39">
      <formula>$C89=0</formula>
    </cfRule>
  </conditionalFormatting>
  <conditionalFormatting sqref="D54:D55">
    <cfRule type="expression" dxfId="140" priority="48">
      <formula>CELL("protect",#REF!)=0</formula>
    </cfRule>
  </conditionalFormatting>
  <conditionalFormatting sqref="D28:E36">
    <cfRule type="expression" dxfId="139" priority="15">
      <formula>OR($D28="",$D28=0,$D28="N/A")</formula>
    </cfRule>
  </conditionalFormatting>
  <conditionalFormatting sqref="D149:E168">
    <cfRule type="expression" dxfId="138" priority="37">
      <formula>$D149=0</formula>
    </cfRule>
  </conditionalFormatting>
  <conditionalFormatting sqref="D73:F80">
    <cfRule type="expression" dxfId="137" priority="5">
      <formula>CELL("protect",#REF!)=0</formula>
    </cfRule>
  </conditionalFormatting>
  <conditionalFormatting sqref="D129:F138">
    <cfRule type="expression" dxfId="136" priority="35">
      <formula>D$129=0</formula>
    </cfRule>
  </conditionalFormatting>
  <conditionalFormatting sqref="E39:F39 B39:B40">
    <cfRule type="expression" dxfId="135" priority="14">
      <formula>CELL("protect",#REF!)=0</formula>
    </cfRule>
  </conditionalFormatting>
  <conditionalFormatting sqref="G9:H9 G10:G11">
    <cfRule type="expression" dxfId="134" priority="47">
      <formula>CELL("protect",#REF!)=0</formula>
    </cfRule>
  </conditionalFormatting>
  <conditionalFormatting sqref="H69:H70">
    <cfRule type="expression" dxfId="133" priority="10">
      <formula>CELL("protect",#REF!)=0</formula>
    </cfRule>
  </conditionalFormatting>
  <conditionalFormatting sqref="H72:H73">
    <cfRule type="expression" dxfId="132" priority="8">
      <formula>CELL("protect",#REF!)=0</formula>
    </cfRule>
  </conditionalFormatting>
  <conditionalFormatting sqref="I89:L95">
    <cfRule type="expression" dxfId="131" priority="38">
      <formula>$I89=0</formula>
    </cfRule>
  </conditionalFormatting>
  <conditionalFormatting sqref="J149:K168">
    <cfRule type="expression" dxfId="130" priority="36">
      <formula>$J149=0</formula>
    </cfRule>
  </conditionalFormatting>
  <conditionalFormatting sqref="J73:L80">
    <cfRule type="expression" dxfId="129" priority="1">
      <formula>CELL("protect",#REF!)=0</formula>
    </cfRule>
  </conditionalFormatting>
  <conditionalFormatting sqref="M1:N4 B5:N5 D6:I6 M6:N7 G7:H7 D8:I8 L8:N8">
    <cfRule type="expression" dxfId="128" priority="41">
      <formula>CELL("protect",#REF!)=0</formula>
    </cfRule>
  </conditionalFormatting>
  <conditionalFormatting sqref="N27">
    <cfRule type="expression" dxfId="127" priority="18">
      <formula>CELL("protect",#REF!)=0</formula>
    </cfRule>
  </conditionalFormatting>
  <dataValidations count="1">
    <dataValidation type="textLength" allowBlank="1" showInputMessage="1" showErrorMessage="1" errorTitle="Narrative Exceeds Maximum Length" error="Your project narrative exceeds the maximum length allowable. Please ensure it is 1,000 characters or less." sqref="H27:L36" xr:uid="{17272D7D-AF1C-485D-AF7E-267B221F2BC5}">
      <formula1>0</formula1>
      <formula2>1000</formula2>
    </dataValidation>
  </dataValidations>
  <pageMargins left="0.7" right="0.7" top="0.75" bottom="0.75" header="0.3" footer="0.3"/>
  <pageSetup scale="54" fitToHeight="0" orientation="portrait" r:id="rId1"/>
  <headerFooter>
    <oddFooter>&amp;L&amp;"Arial,Bold"&amp;9Proposal Summary Tab&amp;"Arial,Regular"
Affordable Housing Funding Application&amp;C&amp;9Ohio Housing Finance Agency&amp;R&amp;"Arial,Regular"&amp;9Page &amp;P of &amp;N</oddFooter>
  </headerFooter>
  <rowBreaks count="3" manualBreakCount="3">
    <brk id="84" min="1" max="11" man="1"/>
    <brk id="144" min="1" max="11" man="1"/>
    <brk id="171" min="1" max="11" man="1"/>
  </rowBreaks>
  <ignoredErrors>
    <ignoredError sqref="J136" formulaRange="1"/>
    <ignoredError sqref="J89:J95 K149 E149 E152:E159" evalError="1"/>
    <ignoredError sqref="K114"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7" id="{3925C190-C68C-4D0F-BEE2-5657C9A3CE45}">
            <xm:f>OR(Bonds!$E$20="No",Bonds!$E$20="")</xm:f>
            <x14:dxf>
              <font>
                <color theme="0"/>
              </font>
            </x14:dxf>
          </x14:cfRule>
          <xm:sqref>B33:C34</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27824-DB00-48DB-A1F4-7E888C716710}">
  <sheetPr>
    <tabColor rgb="FFC12637"/>
    <pageSetUpPr autoPageBreaks="0" fitToPage="1"/>
  </sheetPr>
  <dimension ref="A1:S186"/>
  <sheetViews>
    <sheetView showGridLines="0" zoomScale="85" zoomScaleNormal="85" zoomScaleSheetLayoutView="70" zoomScalePageLayoutView="85" workbookViewId="0">
      <selection activeCell="S40" sqref="S40"/>
    </sheetView>
  </sheetViews>
  <sheetFormatPr defaultColWidth="0" defaultRowHeight="15" customHeight="1" zeroHeight="1" outlineLevelCol="1" x14ac:dyDescent="0.2"/>
  <cols>
    <col min="1" max="1" width="1.625" style="1" customWidth="1"/>
    <col min="2" max="2" width="2.625" style="1" customWidth="1"/>
    <col min="3" max="5" width="15.625" style="1" customWidth="1"/>
    <col min="6" max="7" width="1.625" style="1" customWidth="1"/>
    <col min="8" max="11" width="15.625" style="1" customWidth="1"/>
    <col min="12" max="12" width="2.625" style="1" customWidth="1"/>
    <col min="13" max="13" width="1.625" style="1" customWidth="1"/>
    <col min="14" max="14" width="1.625" style="1" hidden="1" customWidth="1" outlineLevel="1"/>
    <col min="15" max="17" width="15.625" style="1" hidden="1" customWidth="1" outlineLevel="1"/>
    <col min="18" max="18" width="2.625" style="1" hidden="1" customWidth="1" outlineLevel="1"/>
    <col min="19" max="19" width="9" style="1" customWidth="1" collapsed="1"/>
    <col min="20" max="16384" width="9" style="1" hidden="1"/>
  </cols>
  <sheetData>
    <row r="1" spans="2:13" s="83" customFormat="1" ht="55.5" customHeight="1" x14ac:dyDescent="0.2">
      <c r="B1" s="1"/>
      <c r="C1" s="1"/>
      <c r="D1" s="1"/>
      <c r="E1" s="1"/>
      <c r="F1" s="1"/>
      <c r="G1" s="1"/>
      <c r="H1" s="1"/>
      <c r="I1" s="1755"/>
      <c r="J1" s="1755"/>
      <c r="K1" s="1755"/>
      <c r="L1" s="1755"/>
    </row>
    <row r="2" spans="2:13" s="83" customFormat="1" ht="25.5" customHeight="1" x14ac:dyDescent="0.2">
      <c r="B2" s="1211" t="s">
        <v>3386</v>
      </c>
      <c r="C2" s="1212"/>
      <c r="D2" s="1212"/>
      <c r="E2" s="1212"/>
      <c r="F2" s="1212"/>
      <c r="G2" s="1212"/>
      <c r="H2" s="1217" t="str">
        <f>CONCATENATE(IF(Instructions!$K$2="","",Instructions!$K$2)," ",IF(Details!$E$11="","",Details!$E$11))</f>
        <v>2026 9% LIHTC AHFA Proposal Application</v>
      </c>
      <c r="I2" s="1217"/>
      <c r="J2" s="1217"/>
      <c r="K2" s="1217"/>
      <c r="L2" s="1218"/>
    </row>
    <row r="3" spans="2:13" s="83" customFormat="1" ht="20.25" customHeight="1" x14ac:dyDescent="0.2">
      <c r="B3" s="1166" t="s">
        <v>3387</v>
      </c>
      <c r="C3" s="1167"/>
      <c r="D3" s="1167"/>
      <c r="E3" s="1167"/>
      <c r="F3" s="1167"/>
      <c r="G3" s="1167"/>
      <c r="H3" s="1304" t="str">
        <f>IF(Details!$E$12="","",CONCATENATE("Project Name: ",Details!$E$12))</f>
        <v/>
      </c>
      <c r="I3" s="1304"/>
      <c r="J3" s="1304"/>
      <c r="K3" s="1304"/>
      <c r="L3" s="1305"/>
    </row>
    <row r="4" spans="2:13" ht="15" customHeight="1" x14ac:dyDescent="0.2"/>
    <row r="5" spans="2:13" ht="5.0999999999999996" customHeight="1" x14ac:dyDescent="0.2"/>
    <row r="6" spans="2:13" ht="20.100000000000001" customHeight="1" x14ac:dyDescent="0.2">
      <c r="B6" s="1748" t="s">
        <v>2417</v>
      </c>
      <c r="C6" s="1748"/>
      <c r="D6" s="1748"/>
      <c r="E6" s="1748"/>
      <c r="F6" s="1748"/>
      <c r="G6" s="1748"/>
      <c r="H6" s="1748"/>
      <c r="I6" s="1748"/>
      <c r="J6" s="1748"/>
    </row>
    <row r="7" spans="2:13" ht="3" customHeight="1" x14ac:dyDescent="0.2">
      <c r="B7" s="1749"/>
      <c r="C7" s="1749"/>
      <c r="D7" s="1749"/>
      <c r="E7" s="1749"/>
      <c r="F7" s="1749"/>
      <c r="G7" s="1749"/>
      <c r="H7" s="1749"/>
      <c r="I7" s="1749"/>
      <c r="J7" s="1749"/>
      <c r="K7" s="1749"/>
      <c r="L7" s="1749"/>
    </row>
    <row r="8" spans="2:13" customFormat="1" ht="15" customHeight="1" x14ac:dyDescent="0.2">
      <c r="M8" s="1"/>
    </row>
    <row r="9" spans="2:13" ht="15" customHeight="1" x14ac:dyDescent="0.2"/>
    <row r="10" spans="2:13" ht="15" customHeight="1" x14ac:dyDescent="0.25">
      <c r="B10" s="1757" t="s">
        <v>296</v>
      </c>
      <c r="C10" s="1757"/>
      <c r="D10" s="1757"/>
      <c r="E10" s="1757"/>
      <c r="F10" s="8"/>
      <c r="G10" s="8"/>
      <c r="H10" s="1757" t="s">
        <v>297</v>
      </c>
      <c r="I10" s="1757"/>
      <c r="J10" s="1757"/>
    </row>
    <row r="11" spans="2:13" ht="3" customHeight="1" x14ac:dyDescent="0.25">
      <c r="B11" s="1758"/>
      <c r="C11" s="1758"/>
      <c r="D11" s="1758"/>
      <c r="E11" s="1758"/>
      <c r="F11" s="8"/>
      <c r="G11" s="8"/>
      <c r="H11" s="1758"/>
      <c r="I11" s="1758"/>
      <c r="J11" s="1758"/>
      <c r="K11" s="1758"/>
      <c r="L11" s="1758"/>
      <c r="M11" s="610"/>
    </row>
    <row r="12" spans="2:13" ht="5.0999999999999996" customHeight="1" x14ac:dyDescent="0.25">
      <c r="B12" s="611"/>
      <c r="C12" s="8"/>
      <c r="D12" s="8"/>
      <c r="E12" s="8"/>
      <c r="F12" s="8"/>
      <c r="G12" s="8"/>
      <c r="H12" s="1759"/>
      <c r="I12" s="1759"/>
      <c r="J12" s="8"/>
    </row>
    <row r="13" spans="2:13" ht="15" customHeight="1" x14ac:dyDescent="0.25">
      <c r="B13" s="1751" t="s">
        <v>298</v>
      </c>
      <c r="C13" s="1751"/>
      <c r="D13" s="1752" t="str">
        <f>IF(Details!$E$12="","Untitled Project",Details!$E$12)</f>
        <v>Untitled Project</v>
      </c>
      <c r="E13" s="1752"/>
      <c r="F13" s="8"/>
      <c r="G13" s="8"/>
      <c r="H13" s="1661" t="s">
        <v>2418</v>
      </c>
      <c r="I13" s="1662"/>
      <c r="J13" s="1752" t="str">
        <f>IF(Team!$E$12="","",Team!$E$12)</f>
        <v/>
      </c>
      <c r="K13" s="1752"/>
      <c r="L13" s="1752"/>
      <c r="M13" s="531"/>
    </row>
    <row r="14" spans="2:13" ht="15" customHeight="1" x14ac:dyDescent="0.25">
      <c r="B14" s="1751" t="s">
        <v>2419</v>
      </c>
      <c r="C14" s="1751"/>
      <c r="D14" s="1756" t="str">
        <f>IF(OR(LIHTCs!G27=0.09,LIHTCs!H27=0.09),"9% LIHTC","4% LIHTC")</f>
        <v>9% LIHTC</v>
      </c>
      <c r="E14" s="1756"/>
      <c r="F14" s="8"/>
      <c r="G14" s="8"/>
      <c r="H14" s="1661" t="s">
        <v>2420</v>
      </c>
      <c r="I14" s="1662"/>
      <c r="J14" s="1752" t="str">
        <f>IF(OR(Team!$E$56="No",Team!$E$56=""),"N/A",Team!$E$61)</f>
        <v>N/A</v>
      </c>
      <c r="K14" s="1752"/>
      <c r="L14" s="1752"/>
      <c r="M14" s="531"/>
    </row>
    <row r="15" spans="2:13" ht="15" customHeight="1" x14ac:dyDescent="0.25">
      <c r="B15" s="1751" t="s">
        <v>299</v>
      </c>
      <c r="C15" s="1751"/>
      <c r="D15" s="1752" t="str">
        <f>IF(Details!$E$14="","",Details!$E$14)</f>
        <v/>
      </c>
      <c r="E15" s="1752"/>
      <c r="F15" s="8"/>
      <c r="G15" s="8"/>
      <c r="H15" s="1661" t="s">
        <v>2421</v>
      </c>
      <c r="I15" s="1662"/>
      <c r="J15" s="1752" t="str">
        <f>IF(OR(Team!$E$105="No",Team!$E$105=""),"N/A",Team!$E$110)</f>
        <v>N/A</v>
      </c>
      <c r="K15" s="1752"/>
      <c r="L15" s="1752"/>
      <c r="M15" s="531"/>
    </row>
    <row r="16" spans="2:13" ht="15" customHeight="1" x14ac:dyDescent="0.25">
      <c r="B16" s="1751" t="s">
        <v>540</v>
      </c>
      <c r="C16" s="1751"/>
      <c r="D16" s="1752" t="str">
        <f>IF(Details!$E$15="","",Details!$E$15)</f>
        <v/>
      </c>
      <c r="E16" s="1752"/>
      <c r="F16" s="8"/>
      <c r="G16" s="8"/>
      <c r="H16" s="1661" t="s">
        <v>2422</v>
      </c>
      <c r="I16" s="1662"/>
      <c r="J16" s="1752" t="str">
        <f>IF(Team!$E$173="","",Team!$E$173)</f>
        <v/>
      </c>
      <c r="K16" s="1752"/>
      <c r="L16" s="1752"/>
      <c r="M16" s="531"/>
    </row>
    <row r="17" spans="2:18" ht="15" customHeight="1" x14ac:dyDescent="0.25">
      <c r="B17" s="1751" t="s">
        <v>300</v>
      </c>
      <c r="C17" s="1751"/>
      <c r="D17" s="1752" t="str">
        <f>IF(Details!$E$18="","",Details!$E$18)</f>
        <v>Input Census Tract</v>
      </c>
      <c r="E17" s="1752"/>
      <c r="F17" s="8"/>
      <c r="G17" s="8"/>
      <c r="H17" s="1661" t="s">
        <v>2472</v>
      </c>
      <c r="I17" s="1662"/>
      <c r="J17" s="1752" t="str">
        <f>IF(AND(Team!$E$318="",Team!$E$327=""),"N/A",IF(AND(Team!$E$318="",Team!$E$327&lt;&gt;""),Team!$E$327,Team!$E$318))</f>
        <v>N/A</v>
      </c>
      <c r="K17" s="1752"/>
      <c r="L17" s="1752"/>
      <c r="M17" s="531"/>
    </row>
    <row r="18" spans="2:18" ht="15" customHeight="1" x14ac:dyDescent="0.25">
      <c r="B18" s="1751" t="s">
        <v>2483</v>
      </c>
      <c r="C18" s="1751"/>
      <c r="D18" s="1752" t="str">
        <f>IF(Details!$E$21="","",Details!$E$21)</f>
        <v/>
      </c>
      <c r="E18" s="1752"/>
      <c r="F18" s="8"/>
      <c r="G18" s="8"/>
      <c r="H18" s="1661" t="s">
        <v>2473</v>
      </c>
      <c r="I18" s="1662"/>
      <c r="J18" s="1752" t="str">
        <f>IF(OR(Team!$E$334="",Team!$E$334="No"),"N/A",IF(AND(Team!$E$348="",Team!$E$339&lt;&gt;""),Team!$E$339,Team!$E$348))</f>
        <v>N/A</v>
      </c>
      <c r="K18" s="1752"/>
      <c r="L18" s="1752"/>
      <c r="M18" s="531"/>
    </row>
    <row r="19" spans="2:18" ht="15" customHeight="1" x14ac:dyDescent="0.25">
      <c r="B19" s="1751" t="s">
        <v>3105</v>
      </c>
      <c r="C19" s="1753"/>
      <c r="D19" s="1373" t="str">
        <f>Details!$E$20</f>
        <v>Input Census Tract</v>
      </c>
      <c r="E19" s="1754"/>
      <c r="F19" s="8"/>
      <c r="G19" s="8"/>
      <c r="H19" s="1661" t="s">
        <v>2474</v>
      </c>
      <c r="I19" s="1662"/>
      <c r="J19" s="1752" t="str">
        <f>IF(OR(Team!$E$355="",Team!$E$355="No"),"N/A",IF(AND(Team!$E$369="",Team!$E$360&lt;&gt;""),Team!$E$360,Team!$E$369))</f>
        <v>N/A</v>
      </c>
      <c r="K19" s="1752"/>
      <c r="L19" s="1752"/>
      <c r="M19" s="531"/>
    </row>
    <row r="20" spans="2:18" ht="15" customHeight="1" x14ac:dyDescent="0.25">
      <c r="B20" s="1751" t="s">
        <v>3418</v>
      </c>
      <c r="C20" s="1753"/>
      <c r="D20" s="1373" t="str">
        <f>IF(OR(D17="",D17="Input Census Tract"),"",VLOOKUP($D$17,Data!$CQ$11:$CS$98,3,FALSE))</f>
        <v/>
      </c>
      <c r="E20" s="1754"/>
      <c r="F20" s="8"/>
      <c r="G20" s="8"/>
      <c r="H20" s="531" t="s">
        <v>2423</v>
      </c>
      <c r="I20" s="967"/>
      <c r="J20" s="1752" t="str">
        <f>IF(Team!$E$395="","",Team!$E$395)</f>
        <v/>
      </c>
      <c r="K20" s="1752"/>
      <c r="L20" s="1752"/>
      <c r="M20" s="531"/>
    </row>
    <row r="21" spans="2:18" ht="15" customHeight="1" x14ac:dyDescent="0.25">
      <c r="B21" s="1751" t="s">
        <v>651</v>
      </c>
      <c r="C21" s="1751"/>
      <c r="D21" s="1752" t="str">
        <f>IF(Details!$J$10="","",Details!$J$10)</f>
        <v/>
      </c>
      <c r="E21" s="1752"/>
      <c r="F21" s="8"/>
      <c r="G21" s="8"/>
      <c r="H21" s="531" t="s">
        <v>2424</v>
      </c>
      <c r="I21" s="967"/>
      <c r="J21" s="1752" t="str">
        <f>IF(Team!$E$379="","",Team!$E$379)</f>
        <v/>
      </c>
      <c r="K21" s="1752"/>
      <c r="L21" s="1752"/>
      <c r="M21" s="531"/>
    </row>
    <row r="22" spans="2:18" ht="15" customHeight="1" x14ac:dyDescent="0.25">
      <c r="B22" s="1751" t="s">
        <v>1964</v>
      </c>
      <c r="C22" s="1751"/>
      <c r="D22" s="1752" t="str">
        <f>IF(Details!$J$15="","",Details!$J$15)</f>
        <v/>
      </c>
      <c r="E22" s="1752"/>
      <c r="F22" s="8"/>
      <c r="G22" s="8"/>
      <c r="H22" s="531" t="s">
        <v>2426</v>
      </c>
      <c r="I22" s="967"/>
      <c r="J22" s="1752" t="str">
        <f>IF(Team!$E$411="","",Team!$E$411)</f>
        <v/>
      </c>
      <c r="K22" s="1752"/>
      <c r="L22" s="1752"/>
      <c r="M22" s="531"/>
    </row>
    <row r="23" spans="2:18" ht="15" customHeight="1" x14ac:dyDescent="0.25">
      <c r="B23" s="1751" t="s">
        <v>2425</v>
      </c>
      <c r="C23" s="1751"/>
      <c r="D23" s="612">
        <f>Revenue!$C$101</f>
        <v>0</v>
      </c>
      <c r="E23" s="531"/>
      <c r="F23" s="8"/>
      <c r="G23" s="8"/>
      <c r="H23" s="1661" t="s">
        <v>3112</v>
      </c>
      <c r="I23" s="1662"/>
      <c r="J23" s="1752" t="str">
        <f>IF(Team!$E$427="","N/A",Team!$E$427)</f>
        <v>N/A</v>
      </c>
      <c r="K23" s="1752"/>
      <c r="L23" s="1752"/>
    </row>
    <row r="24" spans="2:18" ht="15" customHeight="1" x14ac:dyDescent="0.25">
      <c r="B24" s="611"/>
      <c r="C24" s="8"/>
      <c r="D24" s="8"/>
      <c r="E24" s="8"/>
      <c r="F24" s="8"/>
      <c r="G24" s="8"/>
      <c r="H24" s="8"/>
      <c r="I24" s="8"/>
    </row>
    <row r="25" spans="2:18" ht="15" customHeight="1" x14ac:dyDescent="0.25">
      <c r="B25" s="611"/>
      <c r="C25" s="8"/>
      <c r="D25" s="8"/>
      <c r="E25" s="8"/>
      <c r="F25" s="8"/>
      <c r="G25" s="8"/>
      <c r="H25" s="25"/>
      <c r="I25" s="25"/>
      <c r="J25" s="25"/>
    </row>
    <row r="26" spans="2:18" ht="15" customHeight="1" x14ac:dyDescent="0.2">
      <c r="B26" s="1748" t="s">
        <v>3118</v>
      </c>
      <c r="C26" s="1748"/>
      <c r="D26" s="1748"/>
      <c r="E26" s="1748"/>
      <c r="F26" s="1748"/>
      <c r="G26" s="1748"/>
      <c r="H26" s="1748"/>
      <c r="I26" s="1748"/>
      <c r="J26" s="1748"/>
      <c r="N26" s="1748" t="s">
        <v>3119</v>
      </c>
      <c r="O26" s="1748"/>
      <c r="P26" s="1748"/>
      <c r="Q26" s="1748"/>
      <c r="R26" s="1748"/>
    </row>
    <row r="27" spans="2:18" ht="3" customHeight="1" x14ac:dyDescent="0.2">
      <c r="B27" s="1749"/>
      <c r="C27" s="1749"/>
      <c r="D27" s="1749"/>
      <c r="E27" s="1749"/>
      <c r="F27" s="1749"/>
      <c r="G27" s="1749"/>
      <c r="H27" s="1749"/>
      <c r="I27" s="1749"/>
      <c r="J27" s="1749"/>
      <c r="K27" s="1749"/>
      <c r="L27" s="1749"/>
      <c r="N27" s="1750"/>
      <c r="O27" s="1750"/>
      <c r="P27" s="1750"/>
      <c r="Q27" s="1750"/>
      <c r="R27" s="1750"/>
    </row>
    <row r="28" spans="2:18" ht="15" customHeight="1" x14ac:dyDescent="0.25">
      <c r="B28" s="611"/>
      <c r="C28" s="8"/>
      <c r="D28" s="8"/>
      <c r="E28" s="8"/>
      <c r="F28" s="8"/>
      <c r="G28" s="8"/>
      <c r="H28" s="25"/>
      <c r="I28" s="25"/>
      <c r="J28" s="25"/>
    </row>
    <row r="29" spans="2:18" ht="15" customHeight="1" x14ac:dyDescent="0.2">
      <c r="B29" s="1148" t="s">
        <v>3120</v>
      </c>
      <c r="C29" s="1148"/>
      <c r="D29" s="1148"/>
      <c r="E29" s="1148"/>
      <c r="F29" s="1148"/>
      <c r="G29" s="1148"/>
      <c r="H29" s="1148"/>
      <c r="I29" s="1148"/>
      <c r="J29" s="1148"/>
      <c r="K29" s="1148"/>
    </row>
    <row r="30" spans="2:18" ht="15" customHeight="1" x14ac:dyDescent="0.2">
      <c r="B30" s="1148"/>
      <c r="C30" s="1148"/>
      <c r="D30" s="1148"/>
      <c r="E30" s="1148"/>
      <c r="F30" s="1148"/>
      <c r="G30" s="1148"/>
      <c r="H30" s="1148"/>
      <c r="I30" s="1148"/>
      <c r="J30" s="1148"/>
      <c r="K30" s="1148"/>
    </row>
    <row r="31" spans="2:18" ht="15" customHeight="1" x14ac:dyDescent="0.2">
      <c r="B31" s="1148"/>
      <c r="C31" s="1148"/>
      <c r="D31" s="1148"/>
      <c r="E31" s="1148"/>
      <c r="F31" s="1148"/>
      <c r="G31" s="1148"/>
      <c r="H31" s="1148"/>
      <c r="I31" s="1148"/>
      <c r="J31" s="1148"/>
      <c r="K31" s="1148"/>
    </row>
    <row r="32" spans="2:18" ht="15" customHeight="1" x14ac:dyDescent="0.25">
      <c r="B32" s="611"/>
      <c r="C32" s="8"/>
      <c r="D32" s="8"/>
      <c r="E32" s="8"/>
      <c r="F32" s="8"/>
      <c r="G32" s="8"/>
      <c r="H32" s="25"/>
      <c r="I32" s="25"/>
      <c r="J32" s="25"/>
    </row>
    <row r="33" spans="2:18" ht="15" customHeight="1" x14ac:dyDescent="0.2">
      <c r="B33" s="1148" t="s">
        <v>3121</v>
      </c>
      <c r="C33" s="1148"/>
      <c r="D33" s="1148"/>
      <c r="E33" s="1148"/>
      <c r="F33" s="1148"/>
      <c r="G33" s="1148"/>
      <c r="H33" s="1148"/>
      <c r="I33" s="1148"/>
      <c r="J33" s="1148"/>
      <c r="K33" s="1148"/>
    </row>
    <row r="34" spans="2:18" ht="15" customHeight="1" x14ac:dyDescent="0.2">
      <c r="B34" s="1148"/>
      <c r="C34" s="1148"/>
      <c r="D34" s="1148"/>
      <c r="E34" s="1148"/>
      <c r="F34" s="1148"/>
      <c r="G34" s="1148"/>
      <c r="H34" s="1148"/>
      <c r="I34" s="1148"/>
      <c r="J34" s="1148"/>
      <c r="K34" s="1148"/>
    </row>
    <row r="35" spans="2:18" ht="15" customHeight="1" x14ac:dyDescent="0.2">
      <c r="B35" s="1148"/>
      <c r="C35" s="1148"/>
      <c r="D35" s="1148"/>
      <c r="E35" s="1148"/>
      <c r="F35" s="1148"/>
      <c r="G35" s="1148"/>
      <c r="H35" s="1148"/>
      <c r="I35" s="1148"/>
      <c r="J35" s="1148"/>
      <c r="K35" s="1148"/>
    </row>
    <row r="36" spans="2:18" ht="15" customHeight="1" x14ac:dyDescent="0.25">
      <c r="B36" s="611"/>
      <c r="C36" s="8"/>
      <c r="D36" s="8"/>
      <c r="E36" s="8"/>
      <c r="F36" s="8"/>
      <c r="G36" s="8"/>
      <c r="H36" s="25"/>
      <c r="I36" s="25"/>
      <c r="J36" s="25"/>
    </row>
    <row r="37" spans="2:18" ht="15" customHeight="1" x14ac:dyDescent="0.2">
      <c r="B37" s="746" t="s">
        <v>2476</v>
      </c>
      <c r="C37" s="1731" t="s">
        <v>3164</v>
      </c>
      <c r="D37" s="1731"/>
      <c r="E37" s="1731"/>
      <c r="F37" s="1731"/>
      <c r="G37" s="1731"/>
      <c r="H37" s="1731"/>
      <c r="I37" s="1731"/>
      <c r="J37" s="1731"/>
      <c r="K37" s="1731"/>
    </row>
    <row r="38" spans="2:18" ht="15" customHeight="1" x14ac:dyDescent="0.25">
      <c r="B38" s="611"/>
      <c r="C38" s="8"/>
      <c r="D38" s="8"/>
      <c r="E38" s="8"/>
      <c r="F38" s="8"/>
      <c r="G38" s="8"/>
      <c r="H38" s="25"/>
      <c r="I38" s="25"/>
      <c r="J38" s="25"/>
    </row>
    <row r="39" spans="2:18" ht="15" customHeight="1" x14ac:dyDescent="0.2">
      <c r="B39" s="926"/>
      <c r="C39" s="1732" t="s">
        <v>3161</v>
      </c>
      <c r="D39" s="1733"/>
      <c r="E39" s="1736" t="s">
        <v>3122</v>
      </c>
      <c r="F39" s="1737" t="s">
        <v>3486</v>
      </c>
      <c r="G39" s="1738"/>
      <c r="H39" s="1738"/>
      <c r="I39" s="1738"/>
      <c r="J39" s="1739"/>
      <c r="K39" s="1736" t="s">
        <v>3487</v>
      </c>
      <c r="L39" s="76"/>
      <c r="M39" s="76"/>
      <c r="N39" s="767"/>
      <c r="O39" s="768"/>
      <c r="P39" s="768"/>
      <c r="Q39" s="768"/>
      <c r="R39" s="769"/>
    </row>
    <row r="40" spans="2:18" ht="15" customHeight="1" x14ac:dyDescent="0.25">
      <c r="B40" s="926"/>
      <c r="C40" s="1734"/>
      <c r="D40" s="1735"/>
      <c r="E40" s="1736"/>
      <c r="F40" s="1740"/>
      <c r="G40" s="1741"/>
      <c r="H40" s="1741"/>
      <c r="I40" s="1741"/>
      <c r="J40" s="1742"/>
      <c r="K40" s="1736"/>
      <c r="L40" s="76"/>
      <c r="M40" s="76"/>
      <c r="N40" s="770"/>
      <c r="O40" s="1743" t="s">
        <v>3194</v>
      </c>
      <c r="P40" s="1743"/>
      <c r="Q40" s="928"/>
      <c r="R40" s="771"/>
    </row>
    <row r="41" spans="2:18" ht="15" customHeight="1" x14ac:dyDescent="0.25">
      <c r="B41" s="611"/>
      <c r="C41" s="1709" t="s">
        <v>3123</v>
      </c>
      <c r="D41" s="1711"/>
      <c r="E41" s="1744" t="s">
        <v>3134</v>
      </c>
      <c r="F41" s="1707" t="s">
        <v>3137</v>
      </c>
      <c r="G41" s="1707"/>
      <c r="H41" s="1707"/>
      <c r="I41" s="1707"/>
      <c r="J41" s="1707"/>
      <c r="K41" s="1708"/>
      <c r="N41" s="770"/>
      <c r="O41" s="1730"/>
      <c r="P41" s="1730"/>
      <c r="Q41" s="891"/>
      <c r="R41" s="771"/>
    </row>
    <row r="42" spans="2:18" ht="15" customHeight="1" x14ac:dyDescent="0.25">
      <c r="B42" s="611"/>
      <c r="C42" s="1712"/>
      <c r="D42" s="1714"/>
      <c r="E42" s="1745"/>
      <c r="F42" s="1707"/>
      <c r="G42" s="1707"/>
      <c r="H42" s="1707"/>
      <c r="I42" s="1707"/>
      <c r="J42" s="1707"/>
      <c r="K42" s="1708"/>
      <c r="N42" s="770"/>
      <c r="O42" s="1730" t="s">
        <v>3191</v>
      </c>
      <c r="P42" s="1730"/>
      <c r="Q42" s="927">
        <f>K85+K86</f>
        <v>0</v>
      </c>
      <c r="R42" s="771"/>
    </row>
    <row r="43" spans="2:18" ht="15" customHeight="1" x14ac:dyDescent="0.25">
      <c r="B43" s="611"/>
      <c r="C43" s="1712"/>
      <c r="D43" s="1714"/>
      <c r="E43" s="1745"/>
      <c r="F43" s="1707"/>
      <c r="G43" s="1707"/>
      <c r="H43" s="1707"/>
      <c r="I43" s="1707"/>
      <c r="J43" s="1707"/>
      <c r="K43" s="1708"/>
      <c r="N43" s="770"/>
      <c r="O43" s="1730" t="s">
        <v>3192</v>
      </c>
      <c r="P43" s="1730"/>
      <c r="Q43" s="787"/>
      <c r="R43" s="771"/>
    </row>
    <row r="44" spans="2:18" ht="15" customHeight="1" x14ac:dyDescent="0.25">
      <c r="B44" s="611"/>
      <c r="C44" s="1715"/>
      <c r="D44" s="1717"/>
      <c r="E44" s="1746"/>
      <c r="F44" s="1707"/>
      <c r="G44" s="1707"/>
      <c r="H44" s="1707"/>
      <c r="I44" s="1707"/>
      <c r="J44" s="1707"/>
      <c r="K44" s="1708"/>
      <c r="N44" s="770"/>
      <c r="O44" s="633"/>
      <c r="P44" s="633"/>
      <c r="Q44" s="633"/>
      <c r="R44" s="771"/>
    </row>
    <row r="45" spans="2:18" ht="15" customHeight="1" x14ac:dyDescent="0.25">
      <c r="B45" s="611"/>
      <c r="C45" s="1707" t="s">
        <v>3124</v>
      </c>
      <c r="D45" s="1707"/>
      <c r="E45" s="1707" t="s">
        <v>3134</v>
      </c>
      <c r="F45" s="1707" t="s">
        <v>3138</v>
      </c>
      <c r="G45" s="1747"/>
      <c r="H45" s="1747"/>
      <c r="I45" s="1747"/>
      <c r="J45" s="1747"/>
      <c r="K45" s="1708"/>
      <c r="N45" s="770"/>
      <c r="O45" s="633" t="s">
        <v>2443</v>
      </c>
      <c r="P45" s="633"/>
      <c r="Q45" s="633"/>
      <c r="R45" s="771"/>
    </row>
    <row r="46" spans="2:18" ht="15" customHeight="1" x14ac:dyDescent="0.25">
      <c r="B46" s="611"/>
      <c r="C46" s="1707"/>
      <c r="D46" s="1707"/>
      <c r="E46" s="1707"/>
      <c r="F46" s="1747"/>
      <c r="G46" s="1747"/>
      <c r="H46" s="1747"/>
      <c r="I46" s="1747"/>
      <c r="J46" s="1747"/>
      <c r="K46" s="1708"/>
      <c r="N46" s="770"/>
      <c r="O46" s="779"/>
      <c r="P46" s="779"/>
      <c r="Q46" s="779"/>
      <c r="R46" s="771"/>
    </row>
    <row r="47" spans="2:18" ht="15" customHeight="1" x14ac:dyDescent="0.25">
      <c r="B47" s="611"/>
      <c r="C47" s="1707"/>
      <c r="D47" s="1707"/>
      <c r="E47" s="1707"/>
      <c r="F47" s="1747"/>
      <c r="G47" s="1747"/>
      <c r="H47" s="1747"/>
      <c r="I47" s="1747"/>
      <c r="J47" s="1747"/>
      <c r="K47" s="1708"/>
      <c r="N47" s="770"/>
      <c r="O47" s="1718"/>
      <c r="P47" s="1719"/>
      <c r="Q47" s="1720"/>
      <c r="R47" s="771"/>
    </row>
    <row r="48" spans="2:18" ht="15" customHeight="1" x14ac:dyDescent="0.25">
      <c r="B48" s="611"/>
      <c r="C48" s="1707" t="s">
        <v>3125</v>
      </c>
      <c r="D48" s="1707"/>
      <c r="E48" s="1707" t="s">
        <v>3134</v>
      </c>
      <c r="F48" s="1707" t="s">
        <v>3139</v>
      </c>
      <c r="G48" s="1747"/>
      <c r="H48" s="1747"/>
      <c r="I48" s="1747"/>
      <c r="J48" s="1747"/>
      <c r="K48" s="1708"/>
      <c r="N48" s="770"/>
      <c r="O48" s="1721"/>
      <c r="P48" s="1722"/>
      <c r="Q48" s="1723"/>
      <c r="R48" s="771"/>
    </row>
    <row r="49" spans="2:18" ht="15" customHeight="1" x14ac:dyDescent="0.25">
      <c r="B49" s="611"/>
      <c r="C49" s="1707"/>
      <c r="D49" s="1707"/>
      <c r="E49" s="1707"/>
      <c r="F49" s="1747"/>
      <c r="G49" s="1747"/>
      <c r="H49" s="1747"/>
      <c r="I49" s="1747"/>
      <c r="J49" s="1747"/>
      <c r="K49" s="1708"/>
      <c r="N49" s="770"/>
      <c r="O49" s="1721"/>
      <c r="P49" s="1722"/>
      <c r="Q49" s="1723"/>
      <c r="R49" s="771"/>
    </row>
    <row r="50" spans="2:18" ht="15" customHeight="1" x14ac:dyDescent="0.25">
      <c r="B50" s="611"/>
      <c r="C50" s="1707"/>
      <c r="D50" s="1707"/>
      <c r="E50" s="1707"/>
      <c r="F50" s="1747"/>
      <c r="G50" s="1747"/>
      <c r="H50" s="1747"/>
      <c r="I50" s="1747"/>
      <c r="J50" s="1747"/>
      <c r="K50" s="1708"/>
      <c r="N50" s="770"/>
      <c r="O50" s="1721"/>
      <c r="P50" s="1722"/>
      <c r="Q50" s="1723"/>
      <c r="R50" s="771"/>
    </row>
    <row r="51" spans="2:18" ht="15" customHeight="1" x14ac:dyDescent="0.25">
      <c r="B51" s="611"/>
      <c r="C51" s="1707" t="s">
        <v>3126</v>
      </c>
      <c r="D51" s="1707"/>
      <c r="E51" s="1707" t="s">
        <v>3134</v>
      </c>
      <c r="F51" s="1707" t="s">
        <v>3139</v>
      </c>
      <c r="G51" s="1707"/>
      <c r="H51" s="1707"/>
      <c r="I51" s="1707"/>
      <c r="J51" s="1707"/>
      <c r="K51" s="1708"/>
      <c r="N51" s="770"/>
      <c r="O51" s="1721"/>
      <c r="P51" s="1722"/>
      <c r="Q51" s="1723"/>
      <c r="R51" s="771"/>
    </row>
    <row r="52" spans="2:18" ht="15" customHeight="1" x14ac:dyDescent="0.25">
      <c r="B52" s="611"/>
      <c r="C52" s="1707"/>
      <c r="D52" s="1707"/>
      <c r="E52" s="1707"/>
      <c r="F52" s="1707"/>
      <c r="G52" s="1707"/>
      <c r="H52" s="1707"/>
      <c r="I52" s="1707"/>
      <c r="J52" s="1707"/>
      <c r="K52" s="1708"/>
      <c r="N52" s="770"/>
      <c r="O52" s="1721"/>
      <c r="P52" s="1722"/>
      <c r="Q52" s="1723"/>
      <c r="R52" s="771"/>
    </row>
    <row r="53" spans="2:18" ht="15" customHeight="1" x14ac:dyDescent="0.25">
      <c r="B53" s="611"/>
      <c r="C53" s="1707"/>
      <c r="D53" s="1707"/>
      <c r="E53" s="1707"/>
      <c r="F53" s="1707"/>
      <c r="G53" s="1707"/>
      <c r="H53" s="1707"/>
      <c r="I53" s="1707"/>
      <c r="J53" s="1707"/>
      <c r="K53" s="1708"/>
      <c r="N53" s="770"/>
      <c r="O53" s="1721"/>
      <c r="P53" s="1722"/>
      <c r="Q53" s="1723"/>
      <c r="R53" s="771"/>
    </row>
    <row r="54" spans="2:18" ht="15" customHeight="1" x14ac:dyDescent="0.25">
      <c r="B54" s="611"/>
      <c r="C54" s="1707" t="s">
        <v>2685</v>
      </c>
      <c r="D54" s="1707"/>
      <c r="E54" s="1707" t="s">
        <v>3140</v>
      </c>
      <c r="F54" s="1707" t="s">
        <v>3141</v>
      </c>
      <c r="G54" s="1707"/>
      <c r="H54" s="1707"/>
      <c r="I54" s="1707"/>
      <c r="J54" s="1707"/>
      <c r="K54" s="1708"/>
      <c r="N54" s="770"/>
      <c r="O54" s="1721"/>
      <c r="P54" s="1722"/>
      <c r="Q54" s="1723"/>
      <c r="R54" s="771"/>
    </row>
    <row r="55" spans="2:18" ht="15" customHeight="1" x14ac:dyDescent="0.25">
      <c r="B55" s="611"/>
      <c r="C55" s="1707"/>
      <c r="D55" s="1707"/>
      <c r="E55" s="1707"/>
      <c r="F55" s="1707"/>
      <c r="G55" s="1707"/>
      <c r="H55" s="1707"/>
      <c r="I55" s="1707"/>
      <c r="J55" s="1707"/>
      <c r="K55" s="1708"/>
      <c r="N55" s="770"/>
      <c r="O55" s="1721"/>
      <c r="P55" s="1722"/>
      <c r="Q55" s="1723"/>
      <c r="R55" s="771"/>
    </row>
    <row r="56" spans="2:18" ht="15" customHeight="1" x14ac:dyDescent="0.25">
      <c r="B56" s="611"/>
      <c r="C56" s="1707"/>
      <c r="D56" s="1707"/>
      <c r="E56" s="1707"/>
      <c r="F56" s="1707"/>
      <c r="G56" s="1707"/>
      <c r="H56" s="1707"/>
      <c r="I56" s="1707"/>
      <c r="J56" s="1707"/>
      <c r="K56" s="1708"/>
      <c r="N56" s="770"/>
      <c r="O56" s="1721"/>
      <c r="P56" s="1722"/>
      <c r="Q56" s="1723"/>
      <c r="R56" s="771"/>
    </row>
    <row r="57" spans="2:18" ht="15" customHeight="1" x14ac:dyDescent="0.25">
      <c r="B57" s="611"/>
      <c r="C57" s="1707" t="s">
        <v>3127</v>
      </c>
      <c r="D57" s="1707"/>
      <c r="E57" s="1707" t="s">
        <v>3134</v>
      </c>
      <c r="F57" s="1707" t="s">
        <v>3139</v>
      </c>
      <c r="G57" s="1747"/>
      <c r="H57" s="1747"/>
      <c r="I57" s="1747"/>
      <c r="J57" s="1747"/>
      <c r="K57" s="1708"/>
      <c r="N57" s="770"/>
      <c r="O57" s="1721"/>
      <c r="P57" s="1722"/>
      <c r="Q57" s="1723"/>
      <c r="R57" s="771"/>
    </row>
    <row r="58" spans="2:18" ht="15" customHeight="1" x14ac:dyDescent="0.25">
      <c r="B58" s="611"/>
      <c r="C58" s="1707"/>
      <c r="D58" s="1707"/>
      <c r="E58" s="1707"/>
      <c r="F58" s="1747"/>
      <c r="G58" s="1747"/>
      <c r="H58" s="1747"/>
      <c r="I58" s="1747"/>
      <c r="J58" s="1747"/>
      <c r="K58" s="1708"/>
      <c r="N58" s="770"/>
      <c r="O58" s="1721"/>
      <c r="P58" s="1722"/>
      <c r="Q58" s="1723"/>
      <c r="R58" s="771"/>
    </row>
    <row r="59" spans="2:18" ht="15" customHeight="1" x14ac:dyDescent="0.25">
      <c r="B59" s="611"/>
      <c r="C59" s="1707"/>
      <c r="D59" s="1707"/>
      <c r="E59" s="1707"/>
      <c r="F59" s="1747"/>
      <c r="G59" s="1747"/>
      <c r="H59" s="1747"/>
      <c r="I59" s="1747"/>
      <c r="J59" s="1747"/>
      <c r="K59" s="1708"/>
      <c r="N59" s="770"/>
      <c r="O59" s="1721"/>
      <c r="P59" s="1722"/>
      <c r="Q59" s="1723"/>
      <c r="R59" s="771"/>
    </row>
    <row r="60" spans="2:18" ht="15" customHeight="1" x14ac:dyDescent="0.25">
      <c r="B60" s="611"/>
      <c r="C60" s="1707" t="s">
        <v>3128</v>
      </c>
      <c r="D60" s="1707"/>
      <c r="E60" s="1707" t="s">
        <v>3134</v>
      </c>
      <c r="F60" s="1707" t="s">
        <v>3139</v>
      </c>
      <c r="G60" s="1707"/>
      <c r="H60" s="1707"/>
      <c r="I60" s="1707"/>
      <c r="J60" s="1707"/>
      <c r="K60" s="1708"/>
      <c r="N60" s="770"/>
      <c r="O60" s="1721"/>
      <c r="P60" s="1722"/>
      <c r="Q60" s="1723"/>
      <c r="R60" s="771"/>
    </row>
    <row r="61" spans="2:18" ht="15" customHeight="1" x14ac:dyDescent="0.25">
      <c r="B61" s="611"/>
      <c r="C61" s="1707"/>
      <c r="D61" s="1707"/>
      <c r="E61" s="1707"/>
      <c r="F61" s="1707"/>
      <c r="G61" s="1707"/>
      <c r="H61" s="1707"/>
      <c r="I61" s="1707"/>
      <c r="J61" s="1707"/>
      <c r="K61" s="1708"/>
      <c r="N61" s="770"/>
      <c r="O61" s="1721"/>
      <c r="P61" s="1722"/>
      <c r="Q61" s="1723"/>
      <c r="R61" s="771"/>
    </row>
    <row r="62" spans="2:18" ht="15" customHeight="1" x14ac:dyDescent="0.25">
      <c r="B62" s="611"/>
      <c r="C62" s="1707"/>
      <c r="D62" s="1707"/>
      <c r="E62" s="1707"/>
      <c r="F62" s="1707"/>
      <c r="G62" s="1707"/>
      <c r="H62" s="1707"/>
      <c r="I62" s="1707"/>
      <c r="J62" s="1707"/>
      <c r="K62" s="1708"/>
      <c r="N62" s="770"/>
      <c r="O62" s="1721"/>
      <c r="P62" s="1722"/>
      <c r="Q62" s="1723"/>
      <c r="R62" s="771"/>
    </row>
    <row r="63" spans="2:18" ht="15" customHeight="1" x14ac:dyDescent="0.25">
      <c r="B63" s="611"/>
      <c r="C63" s="1707" t="s">
        <v>3129</v>
      </c>
      <c r="D63" s="1707"/>
      <c r="E63" s="1707" t="s">
        <v>3134</v>
      </c>
      <c r="F63" s="1707" t="s">
        <v>3139</v>
      </c>
      <c r="G63" s="1707"/>
      <c r="H63" s="1707"/>
      <c r="I63" s="1707"/>
      <c r="J63" s="1707"/>
      <c r="K63" s="1708"/>
      <c r="N63" s="770"/>
      <c r="O63" s="1721"/>
      <c r="P63" s="1722"/>
      <c r="Q63" s="1723"/>
      <c r="R63" s="771"/>
    </row>
    <row r="64" spans="2:18" ht="15" customHeight="1" x14ac:dyDescent="0.25">
      <c r="B64" s="611"/>
      <c r="C64" s="1707"/>
      <c r="D64" s="1707"/>
      <c r="E64" s="1707"/>
      <c r="F64" s="1707"/>
      <c r="G64" s="1707"/>
      <c r="H64" s="1707"/>
      <c r="I64" s="1707"/>
      <c r="J64" s="1707"/>
      <c r="K64" s="1708"/>
      <c r="N64" s="770"/>
      <c r="O64" s="1721"/>
      <c r="P64" s="1722"/>
      <c r="Q64" s="1723"/>
      <c r="R64" s="771"/>
    </row>
    <row r="65" spans="2:18" ht="15" customHeight="1" x14ac:dyDescent="0.25">
      <c r="B65" s="611"/>
      <c r="C65" s="1707"/>
      <c r="D65" s="1707"/>
      <c r="E65" s="1707"/>
      <c r="F65" s="1707"/>
      <c r="G65" s="1707"/>
      <c r="H65" s="1707"/>
      <c r="I65" s="1707"/>
      <c r="J65" s="1707"/>
      <c r="K65" s="1708"/>
      <c r="N65" s="770"/>
      <c r="O65" s="1721"/>
      <c r="P65" s="1722"/>
      <c r="Q65" s="1723"/>
      <c r="R65" s="771"/>
    </row>
    <row r="66" spans="2:18" ht="15" customHeight="1" x14ac:dyDescent="0.25">
      <c r="B66" s="611"/>
      <c r="C66" s="1707" t="s">
        <v>3130</v>
      </c>
      <c r="D66" s="1707"/>
      <c r="E66" s="1707" t="s">
        <v>3134</v>
      </c>
      <c r="F66" s="1707" t="s">
        <v>3142</v>
      </c>
      <c r="G66" s="1707"/>
      <c r="H66" s="1707"/>
      <c r="I66" s="1707"/>
      <c r="J66" s="1707"/>
      <c r="K66" s="1708"/>
      <c r="N66" s="770"/>
      <c r="O66" s="1721"/>
      <c r="P66" s="1722"/>
      <c r="Q66" s="1723"/>
      <c r="R66" s="771"/>
    </row>
    <row r="67" spans="2:18" ht="15" customHeight="1" x14ac:dyDescent="0.25">
      <c r="B67" s="611"/>
      <c r="C67" s="1707"/>
      <c r="D67" s="1707"/>
      <c r="E67" s="1707"/>
      <c r="F67" s="1707"/>
      <c r="G67" s="1707"/>
      <c r="H67" s="1707"/>
      <c r="I67" s="1707"/>
      <c r="J67" s="1707"/>
      <c r="K67" s="1708"/>
      <c r="N67" s="770"/>
      <c r="O67" s="1721"/>
      <c r="P67" s="1722"/>
      <c r="Q67" s="1723"/>
      <c r="R67" s="771"/>
    </row>
    <row r="68" spans="2:18" ht="15" customHeight="1" x14ac:dyDescent="0.25">
      <c r="B68" s="611"/>
      <c r="C68" s="1707"/>
      <c r="D68" s="1707"/>
      <c r="E68" s="1707"/>
      <c r="F68" s="1707"/>
      <c r="G68" s="1707"/>
      <c r="H68" s="1707"/>
      <c r="I68" s="1707"/>
      <c r="J68" s="1707"/>
      <c r="K68" s="1708"/>
      <c r="N68" s="770"/>
      <c r="O68" s="1721"/>
      <c r="P68" s="1722"/>
      <c r="Q68" s="1723"/>
      <c r="R68" s="771"/>
    </row>
    <row r="69" spans="2:18" ht="15" customHeight="1" x14ac:dyDescent="0.25">
      <c r="B69" s="611"/>
      <c r="C69" s="1707"/>
      <c r="D69" s="1707"/>
      <c r="E69" s="1707"/>
      <c r="F69" s="1707"/>
      <c r="G69" s="1707"/>
      <c r="H69" s="1707"/>
      <c r="I69" s="1707"/>
      <c r="J69" s="1707"/>
      <c r="K69" s="1708"/>
      <c r="N69" s="770"/>
      <c r="O69" s="1721"/>
      <c r="P69" s="1722"/>
      <c r="Q69" s="1723"/>
      <c r="R69" s="771"/>
    </row>
    <row r="70" spans="2:18" ht="15" customHeight="1" x14ac:dyDescent="0.25">
      <c r="B70" s="611"/>
      <c r="C70" s="1707" t="s">
        <v>3131</v>
      </c>
      <c r="D70" s="1707"/>
      <c r="E70" s="1707" t="s">
        <v>3134</v>
      </c>
      <c r="F70" s="1709" t="s">
        <v>3139</v>
      </c>
      <c r="G70" s="1710"/>
      <c r="H70" s="1710"/>
      <c r="I70" s="1710"/>
      <c r="J70" s="1711"/>
      <c r="K70" s="1708"/>
      <c r="N70" s="770"/>
      <c r="O70" s="1721"/>
      <c r="P70" s="1722"/>
      <c r="Q70" s="1723"/>
      <c r="R70" s="771"/>
    </row>
    <row r="71" spans="2:18" ht="15" customHeight="1" x14ac:dyDescent="0.25">
      <c r="B71" s="611"/>
      <c r="C71" s="1707"/>
      <c r="D71" s="1707"/>
      <c r="E71" s="1707"/>
      <c r="F71" s="1712"/>
      <c r="G71" s="1713"/>
      <c r="H71" s="1713"/>
      <c r="I71" s="1713"/>
      <c r="J71" s="1714"/>
      <c r="K71" s="1708"/>
      <c r="N71" s="770"/>
      <c r="O71" s="1721"/>
      <c r="P71" s="1722"/>
      <c r="Q71" s="1723"/>
      <c r="R71" s="771"/>
    </row>
    <row r="72" spans="2:18" ht="15" customHeight="1" x14ac:dyDescent="0.25">
      <c r="B72" s="611"/>
      <c r="C72" s="1707"/>
      <c r="D72" s="1707"/>
      <c r="E72" s="1707"/>
      <c r="F72" s="1715"/>
      <c r="G72" s="1716"/>
      <c r="H72" s="1716"/>
      <c r="I72" s="1716"/>
      <c r="J72" s="1717"/>
      <c r="K72" s="1708"/>
      <c r="N72" s="770"/>
      <c r="O72" s="1721"/>
      <c r="P72" s="1722"/>
      <c r="Q72" s="1723"/>
      <c r="R72" s="771"/>
    </row>
    <row r="73" spans="2:18" ht="15" customHeight="1" x14ac:dyDescent="0.25">
      <c r="B73" s="611"/>
      <c r="C73" s="1707" t="s">
        <v>3132</v>
      </c>
      <c r="D73" s="1707"/>
      <c r="E73" s="1707" t="s">
        <v>3143</v>
      </c>
      <c r="F73" s="1707" t="s">
        <v>3139</v>
      </c>
      <c r="G73" s="1707"/>
      <c r="H73" s="1707"/>
      <c r="I73" s="1707"/>
      <c r="J73" s="1707"/>
      <c r="K73" s="1708"/>
      <c r="N73" s="770"/>
      <c r="O73" s="1721"/>
      <c r="P73" s="1722"/>
      <c r="Q73" s="1723"/>
      <c r="R73" s="771"/>
    </row>
    <row r="74" spans="2:18" ht="15" customHeight="1" x14ac:dyDescent="0.25">
      <c r="B74" s="611"/>
      <c r="C74" s="1707"/>
      <c r="D74" s="1707"/>
      <c r="E74" s="1707"/>
      <c r="F74" s="1707"/>
      <c r="G74" s="1707"/>
      <c r="H74" s="1707"/>
      <c r="I74" s="1707"/>
      <c r="J74" s="1707"/>
      <c r="K74" s="1708"/>
      <c r="N74" s="770"/>
      <c r="O74" s="1721"/>
      <c r="P74" s="1722"/>
      <c r="Q74" s="1723"/>
      <c r="R74" s="771"/>
    </row>
    <row r="75" spans="2:18" ht="15" customHeight="1" x14ac:dyDescent="0.25">
      <c r="B75" s="611"/>
      <c r="C75" s="1707"/>
      <c r="D75" s="1707"/>
      <c r="E75" s="1707"/>
      <c r="F75" s="1707"/>
      <c r="G75" s="1707"/>
      <c r="H75" s="1707"/>
      <c r="I75" s="1707"/>
      <c r="J75" s="1707"/>
      <c r="K75" s="1708"/>
      <c r="N75" s="770"/>
      <c r="O75" s="1721"/>
      <c r="P75" s="1722"/>
      <c r="Q75" s="1723"/>
      <c r="R75" s="771"/>
    </row>
    <row r="76" spans="2:18" ht="15" customHeight="1" x14ac:dyDescent="0.25">
      <c r="B76" s="611"/>
      <c r="C76" s="1707" t="s">
        <v>3133</v>
      </c>
      <c r="D76" s="1707"/>
      <c r="E76" s="1707" t="s">
        <v>3388</v>
      </c>
      <c r="F76" s="1707" t="s">
        <v>3139</v>
      </c>
      <c r="G76" s="1707"/>
      <c r="H76" s="1707"/>
      <c r="I76" s="1707"/>
      <c r="J76" s="1707"/>
      <c r="K76" s="1708"/>
      <c r="N76" s="770"/>
      <c r="O76" s="1721"/>
      <c r="P76" s="1722"/>
      <c r="Q76" s="1723"/>
      <c r="R76" s="771"/>
    </row>
    <row r="77" spans="2:18" ht="15" customHeight="1" x14ac:dyDescent="0.25">
      <c r="B77" s="611"/>
      <c r="C77" s="1707"/>
      <c r="D77" s="1707"/>
      <c r="E77" s="1707"/>
      <c r="F77" s="1707"/>
      <c r="G77" s="1707"/>
      <c r="H77" s="1707"/>
      <c r="I77" s="1707"/>
      <c r="J77" s="1707"/>
      <c r="K77" s="1708"/>
      <c r="N77" s="770"/>
      <c r="O77" s="1721"/>
      <c r="P77" s="1722"/>
      <c r="Q77" s="1723"/>
      <c r="R77" s="771"/>
    </row>
    <row r="78" spans="2:18" ht="15" customHeight="1" x14ac:dyDescent="0.25">
      <c r="B78" s="611"/>
      <c r="C78" s="1707"/>
      <c r="D78" s="1707"/>
      <c r="E78" s="1707"/>
      <c r="F78" s="1707"/>
      <c r="G78" s="1707"/>
      <c r="H78" s="1707"/>
      <c r="I78" s="1707"/>
      <c r="J78" s="1707"/>
      <c r="K78" s="1708"/>
      <c r="N78" s="770"/>
      <c r="O78" s="1721"/>
      <c r="P78" s="1722"/>
      <c r="Q78" s="1723"/>
      <c r="R78" s="771"/>
    </row>
    <row r="79" spans="2:18" ht="15" customHeight="1" x14ac:dyDescent="0.25">
      <c r="B79" s="611"/>
      <c r="C79" s="1709" t="s">
        <v>3144</v>
      </c>
      <c r="D79" s="1711"/>
      <c r="E79" s="1707" t="s">
        <v>3134</v>
      </c>
      <c r="F79" s="1707" t="s">
        <v>3145</v>
      </c>
      <c r="G79" s="1707"/>
      <c r="H79" s="1707"/>
      <c r="I79" s="1707"/>
      <c r="J79" s="1707"/>
      <c r="K79" s="1708"/>
      <c r="N79" s="770"/>
      <c r="O79" s="1721"/>
      <c r="P79" s="1722"/>
      <c r="Q79" s="1723"/>
      <c r="R79" s="771"/>
    </row>
    <row r="80" spans="2:18" ht="15" customHeight="1" x14ac:dyDescent="0.25">
      <c r="B80" s="611"/>
      <c r="C80" s="1712"/>
      <c r="D80" s="1714"/>
      <c r="E80" s="1707"/>
      <c r="F80" s="1707"/>
      <c r="G80" s="1707"/>
      <c r="H80" s="1707"/>
      <c r="I80" s="1707"/>
      <c r="J80" s="1707"/>
      <c r="K80" s="1708"/>
      <c r="N80" s="770"/>
      <c r="O80" s="1721"/>
      <c r="P80" s="1722"/>
      <c r="Q80" s="1723"/>
      <c r="R80" s="771"/>
    </row>
    <row r="81" spans="2:18" ht="15" customHeight="1" x14ac:dyDescent="0.25">
      <c r="B81" s="611"/>
      <c r="C81" s="1712"/>
      <c r="D81" s="1714"/>
      <c r="E81" s="1707"/>
      <c r="F81" s="1707"/>
      <c r="G81" s="1707"/>
      <c r="H81" s="1707"/>
      <c r="I81" s="1707"/>
      <c r="J81" s="1707"/>
      <c r="K81" s="1708"/>
      <c r="N81" s="770"/>
      <c r="O81" s="1721"/>
      <c r="P81" s="1722"/>
      <c r="Q81" s="1723"/>
      <c r="R81" s="771"/>
    </row>
    <row r="82" spans="2:18" ht="15" customHeight="1" x14ac:dyDescent="0.25">
      <c r="B82" s="611"/>
      <c r="C82" s="1712"/>
      <c r="D82" s="1714"/>
      <c r="E82" s="1707"/>
      <c r="F82" s="1707"/>
      <c r="G82" s="1707"/>
      <c r="H82" s="1707"/>
      <c r="I82" s="1707"/>
      <c r="J82" s="1707"/>
      <c r="K82" s="1708"/>
      <c r="N82" s="770"/>
      <c r="O82" s="1724"/>
      <c r="P82" s="1725"/>
      <c r="Q82" s="1726"/>
      <c r="R82" s="771"/>
    </row>
    <row r="83" spans="2:18" ht="15" customHeight="1" x14ac:dyDescent="0.25">
      <c r="B83" s="611"/>
      <c r="C83" s="1715"/>
      <c r="D83" s="1717"/>
      <c r="E83" s="1707"/>
      <c r="F83" s="1707"/>
      <c r="G83" s="1707"/>
      <c r="H83" s="1707"/>
      <c r="I83" s="1707"/>
      <c r="J83" s="1707"/>
      <c r="K83" s="1708"/>
      <c r="N83" s="772"/>
      <c r="O83" s="773"/>
      <c r="P83" s="773"/>
      <c r="Q83" s="773"/>
      <c r="R83" s="774"/>
    </row>
    <row r="84" spans="2:18" ht="15" customHeight="1" x14ac:dyDescent="0.25">
      <c r="B84" s="611"/>
      <c r="H84" s="25"/>
      <c r="I84" s="25"/>
      <c r="J84" s="25"/>
    </row>
    <row r="85" spans="2:18" ht="15" customHeight="1" x14ac:dyDescent="0.25">
      <c r="B85" s="611"/>
      <c r="F85" s="1284" t="s">
        <v>3190</v>
      </c>
      <c r="G85" s="1284"/>
      <c r="H85" s="1284"/>
      <c r="I85" s="1284"/>
      <c r="J85" s="1284"/>
      <c r="K85" s="78">
        <f>SUM(COUNTIF($K$41:$K$83,"Yes"))</f>
        <v>0</v>
      </c>
    </row>
    <row r="86" spans="2:18" ht="15" customHeight="1" x14ac:dyDescent="0.25">
      <c r="B86" s="611"/>
      <c r="F86" s="1284" t="s">
        <v>3452</v>
      </c>
      <c r="G86" s="1284"/>
      <c r="H86" s="1284"/>
      <c r="I86" s="1284"/>
      <c r="J86" s="1284"/>
      <c r="K86" s="78">
        <f>SUM(COUNTIF($K$41:$K$83,"Seeking Waiver"))</f>
        <v>0</v>
      </c>
    </row>
    <row r="87" spans="2:18" ht="15" customHeight="1" x14ac:dyDescent="0.25">
      <c r="B87" s="611"/>
      <c r="F87" s="1284" t="s">
        <v>4605</v>
      </c>
      <c r="G87" s="1284"/>
      <c r="H87" s="1284"/>
      <c r="I87" s="1284"/>
      <c r="J87" s="1284"/>
      <c r="K87" s="78">
        <v>2</v>
      </c>
    </row>
    <row r="88" spans="2:18" ht="15" customHeight="1" x14ac:dyDescent="0.25">
      <c r="B88" s="611"/>
      <c r="H88" s="25"/>
      <c r="I88" s="25"/>
      <c r="J88" s="25"/>
    </row>
    <row r="89" spans="2:18" ht="15" customHeight="1" x14ac:dyDescent="0.2">
      <c r="B89" s="746" t="s">
        <v>2477</v>
      </c>
      <c r="C89" s="1731" t="s">
        <v>3163</v>
      </c>
      <c r="D89" s="1731"/>
      <c r="E89" s="1731"/>
      <c r="F89" s="1731"/>
      <c r="G89" s="1731"/>
      <c r="H89" s="1731"/>
      <c r="I89" s="1731"/>
      <c r="J89" s="1731"/>
      <c r="K89" s="1731"/>
    </row>
    <row r="90" spans="2:18" ht="15" customHeight="1" x14ac:dyDescent="0.25">
      <c r="B90" s="611"/>
      <c r="C90" s="8"/>
      <c r="D90" s="8"/>
      <c r="E90" s="8"/>
      <c r="F90" s="8"/>
      <c r="G90" s="8"/>
      <c r="H90" s="25"/>
      <c r="I90" s="25"/>
      <c r="J90" s="25"/>
    </row>
    <row r="91" spans="2:18" ht="15" customHeight="1" x14ac:dyDescent="0.2">
      <c r="B91" s="926"/>
      <c r="C91" s="1732" t="s">
        <v>3161</v>
      </c>
      <c r="D91" s="1733"/>
      <c r="E91" s="1736" t="s">
        <v>3122</v>
      </c>
      <c r="F91" s="1737" t="s">
        <v>3486</v>
      </c>
      <c r="G91" s="1738"/>
      <c r="H91" s="1738"/>
      <c r="I91" s="1738"/>
      <c r="J91" s="1739"/>
      <c r="K91" s="1736" t="s">
        <v>3487</v>
      </c>
      <c r="N91" s="767"/>
      <c r="O91" s="768"/>
      <c r="P91" s="768"/>
      <c r="Q91" s="768"/>
      <c r="R91" s="769"/>
    </row>
    <row r="92" spans="2:18" ht="15" customHeight="1" x14ac:dyDescent="0.25">
      <c r="B92" s="926"/>
      <c r="C92" s="1734"/>
      <c r="D92" s="1735"/>
      <c r="E92" s="1736"/>
      <c r="F92" s="1740"/>
      <c r="G92" s="1741"/>
      <c r="H92" s="1741"/>
      <c r="I92" s="1741"/>
      <c r="J92" s="1742"/>
      <c r="K92" s="1736"/>
      <c r="N92" s="770"/>
      <c r="O92" s="1743" t="s">
        <v>3193</v>
      </c>
      <c r="P92" s="1743"/>
      <c r="Q92" s="928"/>
      <c r="R92" s="771"/>
    </row>
    <row r="93" spans="2:18" ht="15" customHeight="1" x14ac:dyDescent="0.25">
      <c r="B93" s="611"/>
      <c r="C93" s="1709" t="s">
        <v>3146</v>
      </c>
      <c r="D93" s="1711"/>
      <c r="E93" s="1744" t="s">
        <v>3134</v>
      </c>
      <c r="F93" s="1707" t="s">
        <v>3139</v>
      </c>
      <c r="G93" s="1707"/>
      <c r="H93" s="1707"/>
      <c r="I93" s="1707"/>
      <c r="J93" s="1707"/>
      <c r="K93" s="1708"/>
      <c r="N93" s="770"/>
      <c r="O93" s="1730"/>
      <c r="P93" s="1730"/>
      <c r="Q93" s="912"/>
      <c r="R93" s="771"/>
    </row>
    <row r="94" spans="2:18" ht="15" customHeight="1" x14ac:dyDescent="0.25">
      <c r="B94" s="611"/>
      <c r="C94" s="1712"/>
      <c r="D94" s="1714"/>
      <c r="E94" s="1745"/>
      <c r="F94" s="1707"/>
      <c r="G94" s="1707"/>
      <c r="H94" s="1707"/>
      <c r="I94" s="1707"/>
      <c r="J94" s="1707"/>
      <c r="K94" s="1708"/>
      <c r="N94" s="770"/>
      <c r="O94" s="1730" t="s">
        <v>3191</v>
      </c>
      <c r="P94" s="1730"/>
      <c r="Q94" s="927">
        <f>K130</f>
        <v>0</v>
      </c>
      <c r="R94" s="771"/>
    </row>
    <row r="95" spans="2:18" ht="15" customHeight="1" x14ac:dyDescent="0.25">
      <c r="B95" s="611"/>
      <c r="C95" s="1715"/>
      <c r="D95" s="1717"/>
      <c r="E95" s="1746"/>
      <c r="F95" s="1707"/>
      <c r="G95" s="1707"/>
      <c r="H95" s="1707"/>
      <c r="I95" s="1707"/>
      <c r="J95" s="1707"/>
      <c r="K95" s="1708"/>
      <c r="N95" s="770"/>
      <c r="O95" s="633" t="s">
        <v>3192</v>
      </c>
      <c r="P95" s="633"/>
      <c r="Q95" s="787"/>
      <c r="R95" s="771"/>
    </row>
    <row r="96" spans="2:18" ht="15" customHeight="1" x14ac:dyDescent="0.25">
      <c r="B96" s="611"/>
      <c r="C96" s="1707" t="s">
        <v>2683</v>
      </c>
      <c r="D96" s="1707"/>
      <c r="E96" s="1707" t="s">
        <v>3134</v>
      </c>
      <c r="F96" s="1707" t="s">
        <v>3139</v>
      </c>
      <c r="G96" s="1707"/>
      <c r="H96" s="1707"/>
      <c r="I96" s="1707"/>
      <c r="J96" s="1707"/>
      <c r="K96" s="1708"/>
      <c r="N96" s="770"/>
      <c r="O96" s="633"/>
      <c r="P96" s="633"/>
      <c r="Q96" s="633"/>
      <c r="R96" s="771"/>
    </row>
    <row r="97" spans="2:18" ht="15" customHeight="1" x14ac:dyDescent="0.25">
      <c r="B97" s="611"/>
      <c r="C97" s="1707"/>
      <c r="D97" s="1707"/>
      <c r="E97" s="1707"/>
      <c r="F97" s="1707"/>
      <c r="G97" s="1707"/>
      <c r="H97" s="1707"/>
      <c r="I97" s="1707"/>
      <c r="J97" s="1707"/>
      <c r="K97" s="1708"/>
      <c r="N97" s="770"/>
      <c r="O97" s="633" t="s">
        <v>2443</v>
      </c>
      <c r="P97" s="779"/>
      <c r="Q97" s="779"/>
      <c r="R97" s="771"/>
    </row>
    <row r="98" spans="2:18" ht="15" customHeight="1" x14ac:dyDescent="0.25">
      <c r="B98" s="611"/>
      <c r="C98" s="1707"/>
      <c r="D98" s="1707"/>
      <c r="E98" s="1707"/>
      <c r="F98" s="1707"/>
      <c r="G98" s="1707"/>
      <c r="H98" s="1707"/>
      <c r="I98" s="1707"/>
      <c r="J98" s="1707"/>
      <c r="K98" s="1708"/>
      <c r="N98" s="770"/>
      <c r="O98" s="779"/>
      <c r="P98" s="779"/>
      <c r="Q98" s="779"/>
      <c r="R98" s="771"/>
    </row>
    <row r="99" spans="2:18" ht="15" customHeight="1" x14ac:dyDescent="0.25">
      <c r="B99" s="611"/>
      <c r="C99" s="1707" t="s">
        <v>3147</v>
      </c>
      <c r="D99" s="1707"/>
      <c r="E99" s="1707" t="s">
        <v>3134</v>
      </c>
      <c r="F99" s="1707" t="s">
        <v>3139</v>
      </c>
      <c r="G99" s="1707"/>
      <c r="H99" s="1707"/>
      <c r="I99" s="1707"/>
      <c r="J99" s="1707"/>
      <c r="K99" s="1708"/>
      <c r="N99" s="770"/>
      <c r="O99" s="1718"/>
      <c r="P99" s="1719"/>
      <c r="Q99" s="1720"/>
      <c r="R99" s="771"/>
    </row>
    <row r="100" spans="2:18" ht="15" customHeight="1" x14ac:dyDescent="0.25">
      <c r="B100" s="611"/>
      <c r="C100" s="1707"/>
      <c r="D100" s="1707"/>
      <c r="E100" s="1707"/>
      <c r="F100" s="1707"/>
      <c r="G100" s="1707"/>
      <c r="H100" s="1707"/>
      <c r="I100" s="1707"/>
      <c r="J100" s="1707"/>
      <c r="K100" s="1708"/>
      <c r="N100" s="770"/>
      <c r="O100" s="1721"/>
      <c r="P100" s="1722"/>
      <c r="Q100" s="1723"/>
      <c r="R100" s="771"/>
    </row>
    <row r="101" spans="2:18" ht="15" customHeight="1" x14ac:dyDescent="0.25">
      <c r="B101" s="611"/>
      <c r="C101" s="1707"/>
      <c r="D101" s="1707"/>
      <c r="E101" s="1707"/>
      <c r="F101" s="1707"/>
      <c r="G101" s="1707"/>
      <c r="H101" s="1707"/>
      <c r="I101" s="1707"/>
      <c r="J101" s="1707"/>
      <c r="K101" s="1708"/>
      <c r="N101" s="770"/>
      <c r="O101" s="1721"/>
      <c r="P101" s="1722"/>
      <c r="Q101" s="1723"/>
      <c r="R101" s="771"/>
    </row>
    <row r="102" spans="2:18" ht="15" customHeight="1" x14ac:dyDescent="0.25">
      <c r="B102" s="611"/>
      <c r="C102" s="1707" t="s">
        <v>2684</v>
      </c>
      <c r="D102" s="1707"/>
      <c r="E102" s="1707" t="s">
        <v>3134</v>
      </c>
      <c r="F102" s="1707" t="s">
        <v>3139</v>
      </c>
      <c r="G102" s="1707"/>
      <c r="H102" s="1707"/>
      <c r="I102" s="1707"/>
      <c r="J102" s="1707"/>
      <c r="K102" s="1708"/>
      <c r="N102" s="770"/>
      <c r="O102" s="1721"/>
      <c r="P102" s="1722"/>
      <c r="Q102" s="1723"/>
      <c r="R102" s="771"/>
    </row>
    <row r="103" spans="2:18" ht="15" customHeight="1" x14ac:dyDescent="0.25">
      <c r="B103" s="611"/>
      <c r="C103" s="1707"/>
      <c r="D103" s="1707"/>
      <c r="E103" s="1707"/>
      <c r="F103" s="1707"/>
      <c r="G103" s="1707"/>
      <c r="H103" s="1707"/>
      <c r="I103" s="1707"/>
      <c r="J103" s="1707"/>
      <c r="K103" s="1708"/>
      <c r="N103" s="770"/>
      <c r="O103" s="1721"/>
      <c r="P103" s="1722"/>
      <c r="Q103" s="1723"/>
      <c r="R103" s="771"/>
    </row>
    <row r="104" spans="2:18" ht="15" customHeight="1" x14ac:dyDescent="0.25">
      <c r="B104" s="611"/>
      <c r="C104" s="1707"/>
      <c r="D104" s="1707"/>
      <c r="E104" s="1707"/>
      <c r="F104" s="1707"/>
      <c r="G104" s="1707"/>
      <c r="H104" s="1707"/>
      <c r="I104" s="1707"/>
      <c r="J104" s="1707"/>
      <c r="K104" s="1708"/>
      <c r="N104" s="770"/>
      <c r="O104" s="1721"/>
      <c r="P104" s="1722"/>
      <c r="Q104" s="1723"/>
      <c r="R104" s="771"/>
    </row>
    <row r="105" spans="2:18" ht="15" customHeight="1" x14ac:dyDescent="0.25">
      <c r="B105" s="611"/>
      <c r="C105" s="1707" t="s">
        <v>3148</v>
      </c>
      <c r="D105" s="1707"/>
      <c r="E105" s="1707" t="s">
        <v>3134</v>
      </c>
      <c r="F105" s="1707" t="s">
        <v>3139</v>
      </c>
      <c r="G105" s="1707"/>
      <c r="H105" s="1707"/>
      <c r="I105" s="1707"/>
      <c r="J105" s="1707"/>
      <c r="K105" s="1708"/>
      <c r="N105" s="770"/>
      <c r="O105" s="1721"/>
      <c r="P105" s="1722"/>
      <c r="Q105" s="1723"/>
      <c r="R105" s="771"/>
    </row>
    <row r="106" spans="2:18" ht="15" customHeight="1" x14ac:dyDescent="0.25">
      <c r="B106" s="611"/>
      <c r="C106" s="1707"/>
      <c r="D106" s="1707"/>
      <c r="E106" s="1707"/>
      <c r="F106" s="1707"/>
      <c r="G106" s="1707"/>
      <c r="H106" s="1707"/>
      <c r="I106" s="1707"/>
      <c r="J106" s="1707"/>
      <c r="K106" s="1708"/>
      <c r="N106" s="770"/>
      <c r="O106" s="1721"/>
      <c r="P106" s="1722"/>
      <c r="Q106" s="1723"/>
      <c r="R106" s="771"/>
    </row>
    <row r="107" spans="2:18" ht="15" customHeight="1" x14ac:dyDescent="0.25">
      <c r="B107" s="611"/>
      <c r="C107" s="1707"/>
      <c r="D107" s="1707"/>
      <c r="E107" s="1707"/>
      <c r="F107" s="1707"/>
      <c r="G107" s="1707"/>
      <c r="H107" s="1707"/>
      <c r="I107" s="1707"/>
      <c r="J107" s="1707"/>
      <c r="K107" s="1708"/>
      <c r="N107" s="770"/>
      <c r="O107" s="1721"/>
      <c r="P107" s="1722"/>
      <c r="Q107" s="1723"/>
      <c r="R107" s="771"/>
    </row>
    <row r="108" spans="2:18" ht="15" customHeight="1" x14ac:dyDescent="0.25">
      <c r="B108" s="611"/>
      <c r="C108" s="1707" t="s">
        <v>3149</v>
      </c>
      <c r="D108" s="1707"/>
      <c r="E108" s="1707" t="s">
        <v>3134</v>
      </c>
      <c r="F108" s="1707" t="s">
        <v>3139</v>
      </c>
      <c r="G108" s="1707"/>
      <c r="H108" s="1707"/>
      <c r="I108" s="1707"/>
      <c r="J108" s="1707"/>
      <c r="K108" s="1708"/>
      <c r="N108" s="770"/>
      <c r="O108" s="1721"/>
      <c r="P108" s="1722"/>
      <c r="Q108" s="1723"/>
      <c r="R108" s="771"/>
    </row>
    <row r="109" spans="2:18" ht="15" customHeight="1" x14ac:dyDescent="0.25">
      <c r="B109" s="611"/>
      <c r="C109" s="1707"/>
      <c r="D109" s="1707"/>
      <c r="E109" s="1707"/>
      <c r="F109" s="1707"/>
      <c r="G109" s="1707"/>
      <c r="H109" s="1707"/>
      <c r="I109" s="1707"/>
      <c r="J109" s="1707"/>
      <c r="K109" s="1708"/>
      <c r="N109" s="770"/>
      <c r="O109" s="1721"/>
      <c r="P109" s="1722"/>
      <c r="Q109" s="1723"/>
      <c r="R109" s="771"/>
    </row>
    <row r="110" spans="2:18" ht="15" customHeight="1" x14ac:dyDescent="0.25">
      <c r="B110" s="611"/>
      <c r="C110" s="1707"/>
      <c r="D110" s="1707"/>
      <c r="E110" s="1707"/>
      <c r="F110" s="1707"/>
      <c r="G110" s="1707"/>
      <c r="H110" s="1707"/>
      <c r="I110" s="1707"/>
      <c r="J110" s="1707"/>
      <c r="K110" s="1708"/>
      <c r="N110" s="770"/>
      <c r="O110" s="1721"/>
      <c r="P110" s="1722"/>
      <c r="Q110" s="1723"/>
      <c r="R110" s="771"/>
    </row>
    <row r="111" spans="2:18" ht="15" customHeight="1" x14ac:dyDescent="0.25">
      <c r="B111" s="611"/>
      <c r="C111" s="1707" t="s">
        <v>3150</v>
      </c>
      <c r="D111" s="1707"/>
      <c r="E111" s="1707" t="s">
        <v>3134</v>
      </c>
      <c r="F111" s="1707" t="s">
        <v>3139</v>
      </c>
      <c r="G111" s="1707"/>
      <c r="H111" s="1707"/>
      <c r="I111" s="1707"/>
      <c r="J111" s="1707"/>
      <c r="K111" s="1708"/>
      <c r="N111" s="770"/>
      <c r="O111" s="1721"/>
      <c r="P111" s="1722"/>
      <c r="Q111" s="1723"/>
      <c r="R111" s="771"/>
    </row>
    <row r="112" spans="2:18" ht="15" customHeight="1" x14ac:dyDescent="0.25">
      <c r="B112" s="611"/>
      <c r="C112" s="1707"/>
      <c r="D112" s="1707"/>
      <c r="E112" s="1707"/>
      <c r="F112" s="1707"/>
      <c r="G112" s="1707"/>
      <c r="H112" s="1707"/>
      <c r="I112" s="1707"/>
      <c r="J112" s="1707"/>
      <c r="K112" s="1708"/>
      <c r="N112" s="770"/>
      <c r="O112" s="1721"/>
      <c r="P112" s="1722"/>
      <c r="Q112" s="1723"/>
      <c r="R112" s="771"/>
    </row>
    <row r="113" spans="2:18" ht="15" customHeight="1" x14ac:dyDescent="0.25">
      <c r="B113" s="611"/>
      <c r="C113" s="1707"/>
      <c r="D113" s="1707"/>
      <c r="E113" s="1707"/>
      <c r="F113" s="1707"/>
      <c r="G113" s="1707"/>
      <c r="H113" s="1707"/>
      <c r="I113" s="1707"/>
      <c r="J113" s="1707"/>
      <c r="K113" s="1708"/>
      <c r="N113" s="770"/>
      <c r="O113" s="1721"/>
      <c r="P113" s="1722"/>
      <c r="Q113" s="1723"/>
      <c r="R113" s="771"/>
    </row>
    <row r="114" spans="2:18" ht="15" customHeight="1" x14ac:dyDescent="0.25">
      <c r="B114" s="611"/>
      <c r="C114" s="1707" t="s">
        <v>3151</v>
      </c>
      <c r="D114" s="1707"/>
      <c r="E114" s="1707" t="s">
        <v>3134</v>
      </c>
      <c r="F114" s="1707" t="s">
        <v>3158</v>
      </c>
      <c r="G114" s="1707"/>
      <c r="H114" s="1707"/>
      <c r="I114" s="1707"/>
      <c r="J114" s="1707"/>
      <c r="K114" s="1708"/>
      <c r="N114" s="770"/>
      <c r="O114" s="1721"/>
      <c r="P114" s="1722"/>
      <c r="Q114" s="1723"/>
      <c r="R114" s="771"/>
    </row>
    <row r="115" spans="2:18" ht="15" customHeight="1" x14ac:dyDescent="0.25">
      <c r="B115" s="611"/>
      <c r="C115" s="1707"/>
      <c r="D115" s="1707"/>
      <c r="E115" s="1707"/>
      <c r="F115" s="1707"/>
      <c r="G115" s="1707"/>
      <c r="H115" s="1707"/>
      <c r="I115" s="1707"/>
      <c r="J115" s="1707"/>
      <c r="K115" s="1708"/>
      <c r="N115" s="770"/>
      <c r="O115" s="1721"/>
      <c r="P115" s="1722"/>
      <c r="Q115" s="1723"/>
      <c r="R115" s="771"/>
    </row>
    <row r="116" spans="2:18" ht="15" customHeight="1" x14ac:dyDescent="0.25">
      <c r="B116" s="611"/>
      <c r="C116" s="1707"/>
      <c r="D116" s="1707"/>
      <c r="E116" s="1707"/>
      <c r="F116" s="1707"/>
      <c r="G116" s="1707"/>
      <c r="H116" s="1707"/>
      <c r="I116" s="1707"/>
      <c r="J116" s="1707"/>
      <c r="K116" s="1708"/>
      <c r="N116" s="770"/>
      <c r="O116" s="1721"/>
      <c r="P116" s="1722"/>
      <c r="Q116" s="1723"/>
      <c r="R116" s="771"/>
    </row>
    <row r="117" spans="2:18" ht="15" customHeight="1" x14ac:dyDescent="0.25">
      <c r="B117" s="611"/>
      <c r="C117" s="1707" t="s">
        <v>3152</v>
      </c>
      <c r="D117" s="1707"/>
      <c r="E117" s="1707" t="s">
        <v>3134</v>
      </c>
      <c r="F117" s="1707" t="s">
        <v>3159</v>
      </c>
      <c r="G117" s="1707"/>
      <c r="H117" s="1707"/>
      <c r="I117" s="1707"/>
      <c r="J117" s="1707"/>
      <c r="K117" s="1708"/>
      <c r="N117" s="770"/>
      <c r="O117" s="1721"/>
      <c r="P117" s="1722"/>
      <c r="Q117" s="1723"/>
      <c r="R117" s="771"/>
    </row>
    <row r="118" spans="2:18" ht="15" customHeight="1" x14ac:dyDescent="0.25">
      <c r="B118" s="611"/>
      <c r="C118" s="1707"/>
      <c r="D118" s="1707"/>
      <c r="E118" s="1707"/>
      <c r="F118" s="1707"/>
      <c r="G118" s="1707"/>
      <c r="H118" s="1707"/>
      <c r="I118" s="1707"/>
      <c r="J118" s="1707"/>
      <c r="K118" s="1708"/>
      <c r="N118" s="770"/>
      <c r="O118" s="1721"/>
      <c r="P118" s="1722"/>
      <c r="Q118" s="1723"/>
      <c r="R118" s="771"/>
    </row>
    <row r="119" spans="2:18" ht="15" customHeight="1" x14ac:dyDescent="0.25">
      <c r="B119" s="611"/>
      <c r="C119" s="1707"/>
      <c r="D119" s="1707"/>
      <c r="E119" s="1707"/>
      <c r="F119" s="1707"/>
      <c r="G119" s="1707"/>
      <c r="H119" s="1707"/>
      <c r="I119" s="1707"/>
      <c r="J119" s="1707"/>
      <c r="K119" s="1708"/>
      <c r="N119" s="770"/>
      <c r="O119" s="1721"/>
      <c r="P119" s="1722"/>
      <c r="Q119" s="1723"/>
      <c r="R119" s="771"/>
    </row>
    <row r="120" spans="2:18" ht="15" customHeight="1" x14ac:dyDescent="0.25">
      <c r="B120" s="611"/>
      <c r="C120" s="1707" t="s">
        <v>3153</v>
      </c>
      <c r="D120" s="1707"/>
      <c r="E120" s="1707" t="s">
        <v>3157</v>
      </c>
      <c r="F120" s="1709" t="s">
        <v>3160</v>
      </c>
      <c r="G120" s="1710"/>
      <c r="H120" s="1710"/>
      <c r="I120" s="1710"/>
      <c r="J120" s="1711"/>
      <c r="K120" s="1708"/>
      <c r="N120" s="770"/>
      <c r="O120" s="1721"/>
      <c r="P120" s="1722"/>
      <c r="Q120" s="1723"/>
      <c r="R120" s="771"/>
    </row>
    <row r="121" spans="2:18" ht="15" customHeight="1" x14ac:dyDescent="0.25">
      <c r="B121" s="611"/>
      <c r="C121" s="1707"/>
      <c r="D121" s="1707"/>
      <c r="E121" s="1707"/>
      <c r="F121" s="1712"/>
      <c r="G121" s="1713"/>
      <c r="H121" s="1713"/>
      <c r="I121" s="1713"/>
      <c r="J121" s="1714"/>
      <c r="K121" s="1708"/>
      <c r="N121" s="770"/>
      <c r="O121" s="1721"/>
      <c r="P121" s="1722"/>
      <c r="Q121" s="1723"/>
      <c r="R121" s="771"/>
    </row>
    <row r="122" spans="2:18" ht="15" customHeight="1" x14ac:dyDescent="0.25">
      <c r="B122" s="611"/>
      <c r="C122" s="1707"/>
      <c r="D122" s="1707"/>
      <c r="E122" s="1707"/>
      <c r="F122" s="1715"/>
      <c r="G122" s="1716"/>
      <c r="H122" s="1716"/>
      <c r="I122" s="1716"/>
      <c r="J122" s="1717"/>
      <c r="K122" s="1708"/>
      <c r="N122" s="770"/>
      <c r="O122" s="1721"/>
      <c r="P122" s="1722"/>
      <c r="Q122" s="1723"/>
      <c r="R122" s="771"/>
    </row>
    <row r="123" spans="2:18" ht="15" customHeight="1" x14ac:dyDescent="0.25">
      <c r="B123" s="611"/>
      <c r="C123" s="1707" t="s">
        <v>3154</v>
      </c>
      <c r="D123" s="1707"/>
      <c r="E123" s="1707" t="s">
        <v>3134</v>
      </c>
      <c r="F123" s="1707" t="s">
        <v>3139</v>
      </c>
      <c r="G123" s="1707"/>
      <c r="H123" s="1707"/>
      <c r="I123" s="1707"/>
      <c r="J123" s="1707"/>
      <c r="K123" s="1708"/>
      <c r="N123" s="770"/>
      <c r="O123" s="1721"/>
      <c r="P123" s="1722"/>
      <c r="Q123" s="1723"/>
      <c r="R123" s="771"/>
    </row>
    <row r="124" spans="2:18" ht="15" customHeight="1" x14ac:dyDescent="0.25">
      <c r="B124" s="611"/>
      <c r="C124" s="1707"/>
      <c r="D124" s="1707"/>
      <c r="E124" s="1707"/>
      <c r="F124" s="1707"/>
      <c r="G124" s="1707"/>
      <c r="H124" s="1707"/>
      <c r="I124" s="1707"/>
      <c r="J124" s="1707"/>
      <c r="K124" s="1708"/>
      <c r="N124" s="770"/>
      <c r="O124" s="1721"/>
      <c r="P124" s="1722"/>
      <c r="Q124" s="1723"/>
      <c r="R124" s="771"/>
    </row>
    <row r="125" spans="2:18" ht="15" customHeight="1" x14ac:dyDescent="0.25">
      <c r="B125" s="611"/>
      <c r="C125" s="1707"/>
      <c r="D125" s="1707"/>
      <c r="E125" s="1707"/>
      <c r="F125" s="1707"/>
      <c r="G125" s="1707"/>
      <c r="H125" s="1707"/>
      <c r="I125" s="1707"/>
      <c r="J125" s="1707"/>
      <c r="K125" s="1708"/>
      <c r="N125" s="770"/>
      <c r="O125" s="1721"/>
      <c r="P125" s="1722"/>
      <c r="Q125" s="1723"/>
      <c r="R125" s="771"/>
    </row>
    <row r="126" spans="2:18" ht="15" customHeight="1" x14ac:dyDescent="0.25">
      <c r="B126" s="611"/>
      <c r="C126" s="1707" t="s">
        <v>3155</v>
      </c>
      <c r="D126" s="1707"/>
      <c r="E126" s="1707" t="s">
        <v>3156</v>
      </c>
      <c r="F126" s="1707" t="s">
        <v>3139</v>
      </c>
      <c r="G126" s="1707"/>
      <c r="H126" s="1707"/>
      <c r="I126" s="1707"/>
      <c r="J126" s="1707"/>
      <c r="K126" s="1708"/>
      <c r="N126" s="770"/>
      <c r="O126" s="1721"/>
      <c r="P126" s="1722"/>
      <c r="Q126" s="1723"/>
      <c r="R126" s="771"/>
    </row>
    <row r="127" spans="2:18" ht="15" customHeight="1" x14ac:dyDescent="0.25">
      <c r="B127" s="611"/>
      <c r="C127" s="1707"/>
      <c r="D127" s="1707"/>
      <c r="E127" s="1707"/>
      <c r="F127" s="1707"/>
      <c r="G127" s="1707"/>
      <c r="H127" s="1707"/>
      <c r="I127" s="1707"/>
      <c r="J127" s="1707"/>
      <c r="K127" s="1708"/>
      <c r="N127" s="770"/>
      <c r="O127" s="1724"/>
      <c r="P127" s="1725"/>
      <c r="Q127" s="1726"/>
      <c r="R127" s="771"/>
    </row>
    <row r="128" spans="2:18" ht="15" customHeight="1" x14ac:dyDescent="0.25">
      <c r="B128" s="611"/>
      <c r="C128" s="1707"/>
      <c r="D128" s="1707"/>
      <c r="E128" s="1707"/>
      <c r="F128" s="1707"/>
      <c r="G128" s="1707"/>
      <c r="H128" s="1707"/>
      <c r="I128" s="1707"/>
      <c r="J128" s="1707"/>
      <c r="K128" s="1708"/>
      <c r="N128" s="772"/>
      <c r="O128" s="780"/>
      <c r="P128" s="780"/>
      <c r="Q128" s="780"/>
      <c r="R128" s="774"/>
    </row>
    <row r="129" spans="2:18" ht="15" customHeight="1" x14ac:dyDescent="0.25">
      <c r="B129" s="611"/>
      <c r="H129" s="25"/>
      <c r="I129" s="25"/>
      <c r="J129" s="25"/>
      <c r="N129"/>
      <c r="O129" s="888"/>
      <c r="P129" s="888"/>
      <c r="Q129" s="888"/>
      <c r="R129"/>
    </row>
    <row r="130" spans="2:18" ht="15" customHeight="1" x14ac:dyDescent="0.25">
      <c r="B130" s="611"/>
      <c r="F130" s="1284" t="s">
        <v>4606</v>
      </c>
      <c r="G130" s="1284"/>
      <c r="H130" s="1284"/>
      <c r="I130" s="1284"/>
      <c r="J130" s="1284"/>
      <c r="K130" s="78">
        <f>SUM(COUNTIF($K$93:$K$128,"Yes"))</f>
        <v>0</v>
      </c>
      <c r="N130"/>
      <c r="O130" s="888"/>
      <c r="P130" s="888"/>
      <c r="Q130" s="888"/>
      <c r="R130"/>
    </row>
    <row r="131" spans="2:18" ht="15" customHeight="1" x14ac:dyDescent="0.25">
      <c r="B131" s="611"/>
      <c r="F131" s="1284" t="s">
        <v>4607</v>
      </c>
      <c r="G131" s="1284"/>
      <c r="H131" s="1284"/>
      <c r="I131" s="1284"/>
      <c r="J131" s="1284"/>
      <c r="K131" s="78">
        <v>2</v>
      </c>
      <c r="N131"/>
      <c r="O131" s="888"/>
      <c r="P131" s="888"/>
      <c r="Q131" s="888"/>
      <c r="R131"/>
    </row>
    <row r="132" spans="2:18" ht="15" customHeight="1" x14ac:dyDescent="0.25">
      <c r="B132" s="611"/>
      <c r="H132" s="25"/>
      <c r="I132" s="25"/>
      <c r="J132" s="25"/>
      <c r="N132"/>
      <c r="O132" s="888"/>
      <c r="P132" s="888"/>
      <c r="Q132" s="888"/>
      <c r="R132"/>
    </row>
    <row r="133" spans="2:18" ht="15" customHeight="1" x14ac:dyDescent="0.2">
      <c r="B133" s="746" t="s">
        <v>2678</v>
      </c>
      <c r="C133" s="1731" t="s">
        <v>3162</v>
      </c>
      <c r="D133" s="1731"/>
      <c r="E133" s="1731"/>
      <c r="F133" s="1731"/>
      <c r="G133" s="1731"/>
      <c r="H133" s="1731"/>
      <c r="I133" s="1731"/>
      <c r="J133" s="1731"/>
      <c r="K133" s="1731"/>
      <c r="N133"/>
      <c r="O133" s="888"/>
      <c r="P133" s="888"/>
      <c r="Q133" s="888"/>
      <c r="R133"/>
    </row>
    <row r="134" spans="2:18" ht="15" customHeight="1" x14ac:dyDescent="0.25">
      <c r="B134" s="611"/>
      <c r="C134" s="8"/>
      <c r="D134" s="8"/>
      <c r="E134" s="8"/>
      <c r="F134" s="8"/>
      <c r="G134" s="8"/>
      <c r="H134" s="25"/>
      <c r="I134" s="25"/>
      <c r="J134" s="25"/>
      <c r="N134"/>
      <c r="O134" s="888"/>
      <c r="P134" s="888"/>
      <c r="Q134" s="888"/>
      <c r="R134"/>
    </row>
    <row r="135" spans="2:18" ht="15" customHeight="1" x14ac:dyDescent="0.2">
      <c r="B135" s="926"/>
      <c r="C135" s="1732" t="s">
        <v>3161</v>
      </c>
      <c r="D135" s="1733"/>
      <c r="E135" s="1736" t="s">
        <v>3122</v>
      </c>
      <c r="F135" s="1737" t="s">
        <v>3486</v>
      </c>
      <c r="G135" s="1738"/>
      <c r="H135" s="1738"/>
      <c r="I135" s="1738"/>
      <c r="J135" s="1739"/>
      <c r="K135" s="1736" t="s">
        <v>3136</v>
      </c>
      <c r="N135" s="767"/>
      <c r="O135" s="768"/>
      <c r="P135" s="768"/>
      <c r="Q135" s="768"/>
      <c r="R135" s="769"/>
    </row>
    <row r="136" spans="2:18" ht="15" customHeight="1" x14ac:dyDescent="0.25">
      <c r="B136" s="926"/>
      <c r="C136" s="1734"/>
      <c r="D136" s="1735"/>
      <c r="E136" s="1736"/>
      <c r="F136" s="1740"/>
      <c r="G136" s="1741"/>
      <c r="H136" s="1741"/>
      <c r="I136" s="1741"/>
      <c r="J136" s="1742"/>
      <c r="K136" s="1736"/>
      <c r="N136" s="770"/>
      <c r="O136" s="1743" t="s">
        <v>3193</v>
      </c>
      <c r="P136" s="1743"/>
      <c r="Q136" s="928"/>
      <c r="R136" s="771"/>
    </row>
    <row r="137" spans="2:18" ht="15" customHeight="1" x14ac:dyDescent="0.25">
      <c r="B137" s="611"/>
      <c r="C137" s="1709" t="s">
        <v>2686</v>
      </c>
      <c r="D137" s="1711"/>
      <c r="E137" s="1727" t="s">
        <v>3177</v>
      </c>
      <c r="F137" s="1707" t="s">
        <v>3178</v>
      </c>
      <c r="G137" s="1707"/>
      <c r="H137" s="1707"/>
      <c r="I137" s="1707"/>
      <c r="J137" s="1707"/>
      <c r="K137" s="1708"/>
      <c r="N137" s="770"/>
      <c r="O137" s="1730"/>
      <c r="P137" s="1730"/>
      <c r="Q137" s="912"/>
      <c r="R137" s="771"/>
    </row>
    <row r="138" spans="2:18" ht="15" customHeight="1" x14ac:dyDescent="0.25">
      <c r="B138" s="611"/>
      <c r="C138" s="1712"/>
      <c r="D138" s="1714"/>
      <c r="E138" s="1728"/>
      <c r="F138" s="1707"/>
      <c r="G138" s="1707"/>
      <c r="H138" s="1707"/>
      <c r="I138" s="1707"/>
      <c r="J138" s="1707"/>
      <c r="K138" s="1708"/>
      <c r="N138" s="770"/>
      <c r="O138" s="1730" t="s">
        <v>3191</v>
      </c>
      <c r="P138" s="1730"/>
      <c r="Q138" s="927">
        <f>K183+K184</f>
        <v>0</v>
      </c>
      <c r="R138" s="771"/>
    </row>
    <row r="139" spans="2:18" ht="15" customHeight="1" x14ac:dyDescent="0.25">
      <c r="B139" s="611"/>
      <c r="C139" s="1712"/>
      <c r="D139" s="1714"/>
      <c r="E139" s="1728"/>
      <c r="F139" s="1707"/>
      <c r="G139" s="1707"/>
      <c r="H139" s="1707"/>
      <c r="I139" s="1707"/>
      <c r="J139" s="1707"/>
      <c r="K139" s="1708"/>
      <c r="N139" s="770"/>
      <c r="O139" s="633" t="s">
        <v>3192</v>
      </c>
      <c r="P139" s="633"/>
      <c r="Q139" s="787"/>
      <c r="R139" s="771"/>
    </row>
    <row r="140" spans="2:18" ht="15" customHeight="1" x14ac:dyDescent="0.25">
      <c r="B140" s="611"/>
      <c r="C140" s="1712"/>
      <c r="D140" s="1714"/>
      <c r="E140" s="1728"/>
      <c r="F140" s="1707"/>
      <c r="G140" s="1707"/>
      <c r="H140" s="1707"/>
      <c r="I140" s="1707"/>
      <c r="J140" s="1707"/>
      <c r="K140" s="1708"/>
      <c r="N140" s="770"/>
      <c r="O140" s="633"/>
      <c r="P140" s="633"/>
      <c r="Q140" s="633"/>
      <c r="R140" s="771"/>
    </row>
    <row r="141" spans="2:18" ht="15" customHeight="1" x14ac:dyDescent="0.25">
      <c r="B141" s="611"/>
      <c r="C141" s="1712"/>
      <c r="D141" s="1714"/>
      <c r="E141" s="1728"/>
      <c r="F141" s="1707"/>
      <c r="G141" s="1707"/>
      <c r="H141" s="1707"/>
      <c r="I141" s="1707"/>
      <c r="J141" s="1707"/>
      <c r="K141" s="1708"/>
      <c r="N141" s="770"/>
      <c r="O141" s="633" t="s">
        <v>2443</v>
      </c>
      <c r="P141" s="779"/>
      <c r="Q141" s="779"/>
      <c r="R141" s="771"/>
    </row>
    <row r="142" spans="2:18" ht="15" customHeight="1" x14ac:dyDescent="0.25">
      <c r="B142" s="611"/>
      <c r="C142" s="1715"/>
      <c r="D142" s="1717"/>
      <c r="E142" s="1729"/>
      <c r="F142" s="1707"/>
      <c r="G142" s="1707"/>
      <c r="H142" s="1707"/>
      <c r="I142" s="1707"/>
      <c r="J142" s="1707"/>
      <c r="K142" s="1708"/>
      <c r="N142" s="770"/>
      <c r="O142" s="779"/>
      <c r="P142" s="779"/>
      <c r="Q142" s="779"/>
      <c r="R142" s="771"/>
    </row>
    <row r="143" spans="2:18" ht="15" customHeight="1" x14ac:dyDescent="0.25">
      <c r="B143" s="611"/>
      <c r="C143" s="1707" t="s">
        <v>3165</v>
      </c>
      <c r="D143" s="1707"/>
      <c r="E143" s="1707" t="s">
        <v>3134</v>
      </c>
      <c r="F143" s="1707" t="s">
        <v>3179</v>
      </c>
      <c r="G143" s="1707"/>
      <c r="H143" s="1707"/>
      <c r="I143" s="1707"/>
      <c r="J143" s="1707"/>
      <c r="K143" s="1708"/>
      <c r="N143" s="770"/>
      <c r="O143" s="1718"/>
      <c r="P143" s="1719"/>
      <c r="Q143" s="1720"/>
      <c r="R143" s="771"/>
    </row>
    <row r="144" spans="2:18" ht="15" customHeight="1" x14ac:dyDescent="0.25">
      <c r="B144" s="611"/>
      <c r="C144" s="1707"/>
      <c r="D144" s="1707"/>
      <c r="E144" s="1707"/>
      <c r="F144" s="1707"/>
      <c r="G144" s="1707"/>
      <c r="H144" s="1707"/>
      <c r="I144" s="1707"/>
      <c r="J144" s="1707"/>
      <c r="K144" s="1708"/>
      <c r="N144" s="770"/>
      <c r="O144" s="1721"/>
      <c r="P144" s="1722"/>
      <c r="Q144" s="1723"/>
      <c r="R144" s="771"/>
    </row>
    <row r="145" spans="2:18" ht="15" customHeight="1" x14ac:dyDescent="0.25">
      <c r="B145" s="611"/>
      <c r="C145" s="1707"/>
      <c r="D145" s="1707"/>
      <c r="E145" s="1707"/>
      <c r="F145" s="1707"/>
      <c r="G145" s="1707"/>
      <c r="H145" s="1707"/>
      <c r="I145" s="1707"/>
      <c r="J145" s="1707"/>
      <c r="K145" s="1708"/>
      <c r="N145" s="770"/>
      <c r="O145" s="1721"/>
      <c r="P145" s="1722"/>
      <c r="Q145" s="1723"/>
      <c r="R145" s="771"/>
    </row>
    <row r="146" spans="2:18" ht="15" customHeight="1" x14ac:dyDescent="0.25">
      <c r="B146" s="611"/>
      <c r="C146" s="1707" t="s">
        <v>3166</v>
      </c>
      <c r="D146" s="1707"/>
      <c r="E146" s="1707" t="s">
        <v>3134</v>
      </c>
      <c r="F146" s="1707" t="s">
        <v>3180</v>
      </c>
      <c r="G146" s="1707"/>
      <c r="H146" s="1707"/>
      <c r="I146" s="1707"/>
      <c r="J146" s="1707"/>
      <c r="K146" s="1708"/>
      <c r="N146" s="770"/>
      <c r="O146" s="1721"/>
      <c r="P146" s="1722"/>
      <c r="Q146" s="1723"/>
      <c r="R146" s="771"/>
    </row>
    <row r="147" spans="2:18" ht="15" customHeight="1" x14ac:dyDescent="0.25">
      <c r="B147" s="611"/>
      <c r="C147" s="1707"/>
      <c r="D147" s="1707"/>
      <c r="E147" s="1707"/>
      <c r="F147" s="1707"/>
      <c r="G147" s="1707"/>
      <c r="H147" s="1707"/>
      <c r="I147" s="1707"/>
      <c r="J147" s="1707"/>
      <c r="K147" s="1708"/>
      <c r="N147" s="770"/>
      <c r="O147" s="1721"/>
      <c r="P147" s="1722"/>
      <c r="Q147" s="1723"/>
      <c r="R147" s="771"/>
    </row>
    <row r="148" spans="2:18" ht="15" customHeight="1" x14ac:dyDescent="0.25">
      <c r="B148" s="611"/>
      <c r="C148" s="1707"/>
      <c r="D148" s="1707"/>
      <c r="E148" s="1707"/>
      <c r="F148" s="1707"/>
      <c r="G148" s="1707"/>
      <c r="H148" s="1707"/>
      <c r="I148" s="1707"/>
      <c r="J148" s="1707"/>
      <c r="K148" s="1708"/>
      <c r="N148" s="770"/>
      <c r="O148" s="1721"/>
      <c r="P148" s="1722"/>
      <c r="Q148" s="1723"/>
      <c r="R148" s="771"/>
    </row>
    <row r="149" spans="2:18" ht="15" customHeight="1" x14ac:dyDescent="0.25">
      <c r="B149" s="611"/>
      <c r="C149" s="1707"/>
      <c r="D149" s="1707"/>
      <c r="E149" s="1707"/>
      <c r="F149" s="1707"/>
      <c r="G149" s="1707"/>
      <c r="H149" s="1707"/>
      <c r="I149" s="1707"/>
      <c r="J149" s="1707"/>
      <c r="K149" s="1708"/>
      <c r="N149" s="770"/>
      <c r="O149" s="1721"/>
      <c r="P149" s="1722"/>
      <c r="Q149" s="1723"/>
      <c r="R149" s="771"/>
    </row>
    <row r="150" spans="2:18" ht="15" customHeight="1" x14ac:dyDescent="0.25">
      <c r="B150" s="611"/>
      <c r="C150" s="1707" t="s">
        <v>3167</v>
      </c>
      <c r="D150" s="1707"/>
      <c r="E150" s="1707" t="s">
        <v>3134</v>
      </c>
      <c r="F150" s="1707" t="s">
        <v>3181</v>
      </c>
      <c r="G150" s="1707"/>
      <c r="H150" s="1707"/>
      <c r="I150" s="1707"/>
      <c r="J150" s="1707"/>
      <c r="K150" s="1708"/>
      <c r="N150" s="770"/>
      <c r="O150" s="1721"/>
      <c r="P150" s="1722"/>
      <c r="Q150" s="1723"/>
      <c r="R150" s="771"/>
    </row>
    <row r="151" spans="2:18" ht="15" customHeight="1" x14ac:dyDescent="0.25">
      <c r="B151" s="611"/>
      <c r="C151" s="1707"/>
      <c r="D151" s="1707"/>
      <c r="E151" s="1707"/>
      <c r="F151" s="1707"/>
      <c r="G151" s="1707"/>
      <c r="H151" s="1707"/>
      <c r="I151" s="1707"/>
      <c r="J151" s="1707"/>
      <c r="K151" s="1708"/>
      <c r="N151" s="770"/>
      <c r="O151" s="1721"/>
      <c r="P151" s="1722"/>
      <c r="Q151" s="1723"/>
      <c r="R151" s="771"/>
    </row>
    <row r="152" spans="2:18" ht="15" customHeight="1" x14ac:dyDescent="0.25">
      <c r="B152" s="611"/>
      <c r="C152" s="1707"/>
      <c r="D152" s="1707"/>
      <c r="E152" s="1707"/>
      <c r="F152" s="1707"/>
      <c r="G152" s="1707"/>
      <c r="H152" s="1707"/>
      <c r="I152" s="1707"/>
      <c r="J152" s="1707"/>
      <c r="K152" s="1708"/>
      <c r="N152" s="770"/>
      <c r="O152" s="1721"/>
      <c r="P152" s="1722"/>
      <c r="Q152" s="1723"/>
      <c r="R152" s="771"/>
    </row>
    <row r="153" spans="2:18" ht="15" customHeight="1" x14ac:dyDescent="0.25">
      <c r="B153" s="611"/>
      <c r="C153" s="1707"/>
      <c r="D153" s="1707"/>
      <c r="E153" s="1707"/>
      <c r="F153" s="1707"/>
      <c r="G153" s="1707"/>
      <c r="H153" s="1707"/>
      <c r="I153" s="1707"/>
      <c r="J153" s="1707"/>
      <c r="K153" s="1708"/>
      <c r="N153" s="770"/>
      <c r="O153" s="1721"/>
      <c r="P153" s="1722"/>
      <c r="Q153" s="1723"/>
      <c r="R153" s="771"/>
    </row>
    <row r="154" spans="2:18" ht="15" customHeight="1" x14ac:dyDescent="0.25">
      <c r="B154" s="611"/>
      <c r="C154" s="1707" t="s">
        <v>3168</v>
      </c>
      <c r="D154" s="1707"/>
      <c r="E154" s="1707" t="s">
        <v>3176</v>
      </c>
      <c r="F154" s="1707" t="s">
        <v>3182</v>
      </c>
      <c r="G154" s="1707"/>
      <c r="H154" s="1707"/>
      <c r="I154" s="1707"/>
      <c r="J154" s="1707"/>
      <c r="K154" s="1708"/>
      <c r="N154" s="770"/>
      <c r="O154" s="1721"/>
      <c r="P154" s="1722"/>
      <c r="Q154" s="1723"/>
      <c r="R154" s="771"/>
    </row>
    <row r="155" spans="2:18" ht="15" customHeight="1" x14ac:dyDescent="0.25">
      <c r="B155" s="611"/>
      <c r="C155" s="1707"/>
      <c r="D155" s="1707"/>
      <c r="E155" s="1707"/>
      <c r="F155" s="1707"/>
      <c r="G155" s="1707"/>
      <c r="H155" s="1707"/>
      <c r="I155" s="1707"/>
      <c r="J155" s="1707"/>
      <c r="K155" s="1708"/>
      <c r="N155" s="770"/>
      <c r="O155" s="1721"/>
      <c r="P155" s="1722"/>
      <c r="Q155" s="1723"/>
      <c r="R155" s="771"/>
    </row>
    <row r="156" spans="2:18" ht="15" customHeight="1" x14ac:dyDescent="0.25">
      <c r="B156" s="611"/>
      <c r="C156" s="1707"/>
      <c r="D156" s="1707"/>
      <c r="E156" s="1707"/>
      <c r="F156" s="1707"/>
      <c r="G156" s="1707"/>
      <c r="H156" s="1707"/>
      <c r="I156" s="1707"/>
      <c r="J156" s="1707"/>
      <c r="K156" s="1708"/>
      <c r="N156" s="770"/>
      <c r="O156" s="1721"/>
      <c r="P156" s="1722"/>
      <c r="Q156" s="1723"/>
      <c r="R156" s="771"/>
    </row>
    <row r="157" spans="2:18" ht="15" customHeight="1" x14ac:dyDescent="0.25">
      <c r="B157" s="611"/>
      <c r="C157" s="1707" t="s">
        <v>3169</v>
      </c>
      <c r="D157" s="1707"/>
      <c r="E157" s="1707" t="s">
        <v>3134</v>
      </c>
      <c r="F157" s="1707" t="s">
        <v>3183</v>
      </c>
      <c r="G157" s="1707"/>
      <c r="H157" s="1707"/>
      <c r="I157" s="1707"/>
      <c r="J157" s="1707"/>
      <c r="K157" s="1708"/>
      <c r="N157" s="770"/>
      <c r="O157" s="1721"/>
      <c r="P157" s="1722"/>
      <c r="Q157" s="1723"/>
      <c r="R157" s="771"/>
    </row>
    <row r="158" spans="2:18" ht="15" customHeight="1" x14ac:dyDescent="0.25">
      <c r="B158" s="611"/>
      <c r="C158" s="1707"/>
      <c r="D158" s="1707"/>
      <c r="E158" s="1707"/>
      <c r="F158" s="1707"/>
      <c r="G158" s="1707"/>
      <c r="H158" s="1707"/>
      <c r="I158" s="1707"/>
      <c r="J158" s="1707"/>
      <c r="K158" s="1708"/>
      <c r="N158" s="770"/>
      <c r="O158" s="1721"/>
      <c r="P158" s="1722"/>
      <c r="Q158" s="1723"/>
      <c r="R158" s="771"/>
    </row>
    <row r="159" spans="2:18" ht="15" customHeight="1" x14ac:dyDescent="0.25">
      <c r="B159" s="611"/>
      <c r="C159" s="1707"/>
      <c r="D159" s="1707"/>
      <c r="E159" s="1707"/>
      <c r="F159" s="1707"/>
      <c r="G159" s="1707"/>
      <c r="H159" s="1707"/>
      <c r="I159" s="1707"/>
      <c r="J159" s="1707"/>
      <c r="K159" s="1708"/>
      <c r="N159" s="770"/>
      <c r="O159" s="1721"/>
      <c r="P159" s="1722"/>
      <c r="Q159" s="1723"/>
      <c r="R159" s="771"/>
    </row>
    <row r="160" spans="2:18" ht="15" customHeight="1" x14ac:dyDescent="0.25">
      <c r="B160" s="611"/>
      <c r="C160" s="1707"/>
      <c r="D160" s="1707"/>
      <c r="E160" s="1707"/>
      <c r="F160" s="1707"/>
      <c r="G160" s="1707"/>
      <c r="H160" s="1707"/>
      <c r="I160" s="1707"/>
      <c r="J160" s="1707"/>
      <c r="K160" s="1708"/>
      <c r="N160" s="770"/>
      <c r="O160" s="1721"/>
      <c r="P160" s="1722"/>
      <c r="Q160" s="1723"/>
      <c r="R160" s="771"/>
    </row>
    <row r="161" spans="2:18" ht="15" customHeight="1" x14ac:dyDescent="0.25">
      <c r="B161" s="611"/>
      <c r="C161" s="1707" t="s">
        <v>3170</v>
      </c>
      <c r="D161" s="1707"/>
      <c r="E161" s="1707" t="s">
        <v>3143</v>
      </c>
      <c r="F161" s="1707" t="s">
        <v>3184</v>
      </c>
      <c r="G161" s="1707"/>
      <c r="H161" s="1707"/>
      <c r="I161" s="1707"/>
      <c r="J161" s="1707"/>
      <c r="K161" s="1708"/>
      <c r="N161" s="770"/>
      <c r="O161" s="1721"/>
      <c r="P161" s="1722"/>
      <c r="Q161" s="1723"/>
      <c r="R161" s="771"/>
    </row>
    <row r="162" spans="2:18" ht="15" customHeight="1" x14ac:dyDescent="0.25">
      <c r="B162" s="611"/>
      <c r="C162" s="1707"/>
      <c r="D162" s="1707"/>
      <c r="E162" s="1707"/>
      <c r="F162" s="1707"/>
      <c r="G162" s="1707"/>
      <c r="H162" s="1707"/>
      <c r="I162" s="1707"/>
      <c r="J162" s="1707"/>
      <c r="K162" s="1708"/>
      <c r="N162" s="770"/>
      <c r="O162" s="1721"/>
      <c r="P162" s="1722"/>
      <c r="Q162" s="1723"/>
      <c r="R162" s="771"/>
    </row>
    <row r="163" spans="2:18" ht="15" customHeight="1" x14ac:dyDescent="0.25">
      <c r="B163" s="611"/>
      <c r="C163" s="1707"/>
      <c r="D163" s="1707"/>
      <c r="E163" s="1707"/>
      <c r="F163" s="1707"/>
      <c r="G163" s="1707"/>
      <c r="H163" s="1707"/>
      <c r="I163" s="1707"/>
      <c r="J163" s="1707"/>
      <c r="K163" s="1708"/>
      <c r="N163" s="770"/>
      <c r="O163" s="1721"/>
      <c r="P163" s="1722"/>
      <c r="Q163" s="1723"/>
      <c r="R163" s="771"/>
    </row>
    <row r="164" spans="2:18" ht="15" customHeight="1" x14ac:dyDescent="0.25">
      <c r="B164" s="611"/>
      <c r="C164" s="1707"/>
      <c r="D164" s="1707"/>
      <c r="E164" s="1707"/>
      <c r="F164" s="1707"/>
      <c r="G164" s="1707"/>
      <c r="H164" s="1707"/>
      <c r="I164" s="1707"/>
      <c r="J164" s="1707"/>
      <c r="K164" s="1708"/>
      <c r="N164" s="770"/>
      <c r="O164" s="1721"/>
      <c r="P164" s="1722"/>
      <c r="Q164" s="1723"/>
      <c r="R164" s="771"/>
    </row>
    <row r="165" spans="2:18" ht="15" customHeight="1" x14ac:dyDescent="0.25">
      <c r="B165" s="611"/>
      <c r="C165" s="1707" t="s">
        <v>3171</v>
      </c>
      <c r="D165" s="1707"/>
      <c r="E165" s="1707" t="s">
        <v>3134</v>
      </c>
      <c r="F165" s="1707" t="s">
        <v>3185</v>
      </c>
      <c r="G165" s="1707"/>
      <c r="H165" s="1707"/>
      <c r="I165" s="1707"/>
      <c r="J165" s="1707"/>
      <c r="K165" s="1708"/>
      <c r="N165" s="770"/>
      <c r="O165" s="1721"/>
      <c r="P165" s="1722"/>
      <c r="Q165" s="1723"/>
      <c r="R165" s="771"/>
    </row>
    <row r="166" spans="2:18" ht="15" customHeight="1" x14ac:dyDescent="0.25">
      <c r="B166" s="611"/>
      <c r="C166" s="1707"/>
      <c r="D166" s="1707"/>
      <c r="E166" s="1707"/>
      <c r="F166" s="1707"/>
      <c r="G166" s="1707"/>
      <c r="H166" s="1707"/>
      <c r="I166" s="1707"/>
      <c r="J166" s="1707"/>
      <c r="K166" s="1708"/>
      <c r="N166" s="770"/>
      <c r="O166" s="1721"/>
      <c r="P166" s="1722"/>
      <c r="Q166" s="1723"/>
      <c r="R166" s="771"/>
    </row>
    <row r="167" spans="2:18" ht="15" customHeight="1" x14ac:dyDescent="0.25">
      <c r="B167" s="611"/>
      <c r="C167" s="1707"/>
      <c r="D167" s="1707"/>
      <c r="E167" s="1707"/>
      <c r="F167" s="1707"/>
      <c r="G167" s="1707"/>
      <c r="H167" s="1707"/>
      <c r="I167" s="1707"/>
      <c r="J167" s="1707"/>
      <c r="K167" s="1708"/>
      <c r="N167" s="770"/>
      <c r="O167" s="1721"/>
      <c r="P167" s="1722"/>
      <c r="Q167" s="1723"/>
      <c r="R167" s="771"/>
    </row>
    <row r="168" spans="2:18" ht="15" customHeight="1" x14ac:dyDescent="0.25">
      <c r="B168" s="611"/>
      <c r="C168" s="1707" t="s">
        <v>3172</v>
      </c>
      <c r="D168" s="1707"/>
      <c r="E168" s="1707" t="s">
        <v>3134</v>
      </c>
      <c r="F168" s="1707" t="s">
        <v>3186</v>
      </c>
      <c r="G168" s="1707"/>
      <c r="H168" s="1707"/>
      <c r="I168" s="1707"/>
      <c r="J168" s="1707"/>
      <c r="K168" s="1708"/>
      <c r="N168" s="770"/>
      <c r="O168" s="1721"/>
      <c r="P168" s="1722"/>
      <c r="Q168" s="1723"/>
      <c r="R168" s="771"/>
    </row>
    <row r="169" spans="2:18" ht="15" customHeight="1" x14ac:dyDescent="0.25">
      <c r="B169" s="611"/>
      <c r="C169" s="1707"/>
      <c r="D169" s="1707"/>
      <c r="E169" s="1707"/>
      <c r="F169" s="1707"/>
      <c r="G169" s="1707"/>
      <c r="H169" s="1707"/>
      <c r="I169" s="1707"/>
      <c r="J169" s="1707"/>
      <c r="K169" s="1708"/>
      <c r="N169" s="770"/>
      <c r="O169" s="1721"/>
      <c r="P169" s="1722"/>
      <c r="Q169" s="1723"/>
      <c r="R169" s="771"/>
    </row>
    <row r="170" spans="2:18" ht="15" customHeight="1" x14ac:dyDescent="0.25">
      <c r="B170" s="611"/>
      <c r="C170" s="1707"/>
      <c r="D170" s="1707"/>
      <c r="E170" s="1707"/>
      <c r="F170" s="1707"/>
      <c r="G170" s="1707"/>
      <c r="H170" s="1707"/>
      <c r="I170" s="1707"/>
      <c r="J170" s="1707"/>
      <c r="K170" s="1708"/>
      <c r="N170" s="770"/>
      <c r="O170" s="1721"/>
      <c r="P170" s="1722"/>
      <c r="Q170" s="1723"/>
      <c r="R170" s="771"/>
    </row>
    <row r="171" spans="2:18" ht="15" customHeight="1" x14ac:dyDescent="0.25">
      <c r="B171" s="611"/>
      <c r="C171" s="1707" t="s">
        <v>3450</v>
      </c>
      <c r="D171" s="1707"/>
      <c r="E171" s="1707" t="s">
        <v>3156</v>
      </c>
      <c r="F171" s="1709" t="s">
        <v>3187</v>
      </c>
      <c r="G171" s="1710"/>
      <c r="H171" s="1710"/>
      <c r="I171" s="1710"/>
      <c r="J171" s="1711"/>
      <c r="K171" s="1708"/>
      <c r="N171" s="770"/>
      <c r="O171" s="1721"/>
      <c r="P171" s="1722"/>
      <c r="Q171" s="1723"/>
      <c r="R171" s="771"/>
    </row>
    <row r="172" spans="2:18" ht="15" customHeight="1" x14ac:dyDescent="0.25">
      <c r="B172" s="611"/>
      <c r="C172" s="1707"/>
      <c r="D172" s="1707"/>
      <c r="E172" s="1707"/>
      <c r="F172" s="1712"/>
      <c r="G172" s="1713"/>
      <c r="H172" s="1713"/>
      <c r="I172" s="1713"/>
      <c r="J172" s="1714"/>
      <c r="K172" s="1708"/>
      <c r="N172" s="770"/>
      <c r="O172" s="1721"/>
      <c r="P172" s="1722"/>
      <c r="Q172" s="1723"/>
      <c r="R172" s="771"/>
    </row>
    <row r="173" spans="2:18" ht="15" customHeight="1" x14ac:dyDescent="0.25">
      <c r="B173" s="611"/>
      <c r="C173" s="1707"/>
      <c r="D173" s="1707"/>
      <c r="E173" s="1707"/>
      <c r="F173" s="1712"/>
      <c r="G173" s="1713"/>
      <c r="H173" s="1713"/>
      <c r="I173" s="1713"/>
      <c r="J173" s="1714"/>
      <c r="K173" s="1708"/>
      <c r="N173" s="770"/>
      <c r="O173" s="1721"/>
      <c r="P173" s="1722"/>
      <c r="Q173" s="1723"/>
      <c r="R173" s="771"/>
    </row>
    <row r="174" spans="2:18" ht="15" customHeight="1" x14ac:dyDescent="0.25">
      <c r="B174" s="611"/>
      <c r="C174" s="1707"/>
      <c r="D174" s="1707"/>
      <c r="E174" s="1707"/>
      <c r="F174" s="1715"/>
      <c r="G174" s="1716"/>
      <c r="H174" s="1716"/>
      <c r="I174" s="1716"/>
      <c r="J174" s="1717"/>
      <c r="K174" s="1708"/>
      <c r="N174" s="770"/>
      <c r="O174" s="1721"/>
      <c r="P174" s="1722"/>
      <c r="Q174" s="1723"/>
      <c r="R174" s="771"/>
    </row>
    <row r="175" spans="2:18" ht="15" customHeight="1" x14ac:dyDescent="0.25">
      <c r="B175" s="611"/>
      <c r="C175" s="1707" t="s">
        <v>3173</v>
      </c>
      <c r="D175" s="1707"/>
      <c r="E175" s="1707" t="s">
        <v>3175</v>
      </c>
      <c r="F175" s="1707" t="s">
        <v>3188</v>
      </c>
      <c r="G175" s="1707"/>
      <c r="H175" s="1707"/>
      <c r="I175" s="1707"/>
      <c r="J175" s="1707"/>
      <c r="K175" s="1708"/>
      <c r="N175" s="770"/>
      <c r="O175" s="1721"/>
      <c r="P175" s="1722"/>
      <c r="Q175" s="1723"/>
      <c r="R175" s="771"/>
    </row>
    <row r="176" spans="2:18" ht="15" customHeight="1" x14ac:dyDescent="0.25">
      <c r="B176" s="611"/>
      <c r="C176" s="1707"/>
      <c r="D176" s="1707"/>
      <c r="E176" s="1707"/>
      <c r="F176" s="1707"/>
      <c r="G176" s="1707"/>
      <c r="H176" s="1707"/>
      <c r="I176" s="1707"/>
      <c r="J176" s="1707"/>
      <c r="K176" s="1708"/>
      <c r="N176" s="770"/>
      <c r="O176" s="1721"/>
      <c r="P176" s="1722"/>
      <c r="Q176" s="1723"/>
      <c r="R176" s="771"/>
    </row>
    <row r="177" spans="2:18" ht="15" customHeight="1" x14ac:dyDescent="0.25">
      <c r="B177" s="611"/>
      <c r="C177" s="1707"/>
      <c r="D177" s="1707"/>
      <c r="E177" s="1707"/>
      <c r="F177" s="1707"/>
      <c r="G177" s="1707"/>
      <c r="H177" s="1707"/>
      <c r="I177" s="1707"/>
      <c r="J177" s="1707"/>
      <c r="K177" s="1708"/>
      <c r="N177" s="770"/>
      <c r="O177" s="1721"/>
      <c r="P177" s="1722"/>
      <c r="Q177" s="1723"/>
      <c r="R177" s="771"/>
    </row>
    <row r="178" spans="2:18" ht="15" customHeight="1" x14ac:dyDescent="0.25">
      <c r="B178" s="611"/>
      <c r="C178" s="1707"/>
      <c r="D178" s="1707"/>
      <c r="E178" s="1707"/>
      <c r="F178" s="1707"/>
      <c r="G178" s="1707"/>
      <c r="H178" s="1707"/>
      <c r="I178" s="1707"/>
      <c r="J178" s="1707"/>
      <c r="K178" s="1708"/>
      <c r="N178" s="770"/>
      <c r="O178" s="1721"/>
      <c r="P178" s="1722"/>
      <c r="Q178" s="1723"/>
      <c r="R178" s="771"/>
    </row>
    <row r="179" spans="2:18" ht="15" customHeight="1" x14ac:dyDescent="0.25">
      <c r="B179" s="611"/>
      <c r="C179" s="1707" t="s">
        <v>3174</v>
      </c>
      <c r="D179" s="1707"/>
      <c r="E179" s="1707" t="s">
        <v>3134</v>
      </c>
      <c r="F179" s="1707" t="s">
        <v>3189</v>
      </c>
      <c r="G179" s="1707"/>
      <c r="H179" s="1707"/>
      <c r="I179" s="1707"/>
      <c r="J179" s="1707"/>
      <c r="K179" s="1708"/>
      <c r="N179" s="770"/>
      <c r="O179" s="1721"/>
      <c r="P179" s="1722"/>
      <c r="Q179" s="1723"/>
      <c r="R179" s="771"/>
    </row>
    <row r="180" spans="2:18" ht="15" customHeight="1" x14ac:dyDescent="0.25">
      <c r="B180" s="611"/>
      <c r="C180" s="1707"/>
      <c r="D180" s="1707"/>
      <c r="E180" s="1707"/>
      <c r="F180" s="1707"/>
      <c r="G180" s="1707"/>
      <c r="H180" s="1707"/>
      <c r="I180" s="1707"/>
      <c r="J180" s="1707"/>
      <c r="K180" s="1708"/>
      <c r="N180" s="770"/>
      <c r="O180" s="1724"/>
      <c r="P180" s="1725"/>
      <c r="Q180" s="1726"/>
      <c r="R180" s="771"/>
    </row>
    <row r="181" spans="2:18" ht="15" customHeight="1" x14ac:dyDescent="0.25">
      <c r="B181" s="611"/>
      <c r="C181" s="1707"/>
      <c r="D181" s="1707"/>
      <c r="E181" s="1707"/>
      <c r="F181" s="1707"/>
      <c r="G181" s="1707"/>
      <c r="H181" s="1707"/>
      <c r="I181" s="1707"/>
      <c r="J181" s="1707"/>
      <c r="K181" s="1708"/>
      <c r="N181" s="772"/>
      <c r="O181" s="773"/>
      <c r="P181" s="773"/>
      <c r="Q181" s="773"/>
      <c r="R181" s="774"/>
    </row>
    <row r="182" spans="2:18" ht="15" customHeight="1" x14ac:dyDescent="0.25">
      <c r="B182" s="611"/>
      <c r="H182" s="25"/>
      <c r="I182" s="25"/>
      <c r="J182" s="25"/>
    </row>
    <row r="183" spans="2:18" ht="15" customHeight="1" x14ac:dyDescent="0.25">
      <c r="B183" s="611"/>
      <c r="F183" s="1284" t="s">
        <v>4608</v>
      </c>
      <c r="G183" s="1284"/>
      <c r="H183" s="1284"/>
      <c r="I183" s="1284"/>
      <c r="J183" s="1284"/>
      <c r="K183" s="78">
        <f>SUM(COUNTIF($K$137:$K$181,"Yes"))</f>
        <v>0</v>
      </c>
    </row>
    <row r="184" spans="2:18" ht="15" customHeight="1" x14ac:dyDescent="0.25">
      <c r="B184" s="611"/>
      <c r="F184" s="1284" t="s">
        <v>4609</v>
      </c>
      <c r="G184" s="1284"/>
      <c r="H184" s="1284"/>
      <c r="I184" s="1284"/>
      <c r="J184" s="1285"/>
      <c r="K184" s="78">
        <f>SUM(COUNTIF($K$137:$K$181,"Seeking Waiver"))</f>
        <v>0</v>
      </c>
    </row>
    <row r="185" spans="2:18" ht="15" customHeight="1" x14ac:dyDescent="0.25">
      <c r="B185" s="611"/>
      <c r="F185" s="1284" t="s">
        <v>4610</v>
      </c>
      <c r="G185" s="1284"/>
      <c r="H185" s="1284"/>
      <c r="I185" s="1284"/>
      <c r="J185" s="1284"/>
      <c r="K185" s="78">
        <v>2</v>
      </c>
    </row>
    <row r="186" spans="2:18" ht="15" customHeight="1" x14ac:dyDescent="0.25">
      <c r="B186" s="611"/>
      <c r="C186" s="8"/>
      <c r="D186" s="8"/>
      <c r="E186" s="8"/>
      <c r="F186" s="8"/>
      <c r="G186" s="8"/>
      <c r="H186" s="25"/>
      <c r="I186" s="25"/>
      <c r="J186" s="25"/>
    </row>
  </sheetData>
  <sheetProtection algorithmName="SHA-512" hashValue="fcq+0QG0YgPVJMyMt2YYrciP2+s58fMJcMoCcV8nw26GvSrlpbScRzsrOO+6AcSyZJ+ptd1hOpwXkFkoxMh1lg==" saltValue="ybtF06db8eLeuUMzWB1J0A==" spinCount="100000" sheet="1" objects="1" scenarios="1"/>
  <dataConsolidate/>
  <mergeCells count="242">
    <mergeCell ref="I1:L1"/>
    <mergeCell ref="B2:G2"/>
    <mergeCell ref="H2:L2"/>
    <mergeCell ref="B3:G3"/>
    <mergeCell ref="H3:L3"/>
    <mergeCell ref="B6:J6"/>
    <mergeCell ref="H19:I19"/>
    <mergeCell ref="B13:C13"/>
    <mergeCell ref="D13:E13"/>
    <mergeCell ref="H13:I13"/>
    <mergeCell ref="J13:L13"/>
    <mergeCell ref="B14:C14"/>
    <mergeCell ref="D14:E14"/>
    <mergeCell ref="H14:I14"/>
    <mergeCell ref="J14:L14"/>
    <mergeCell ref="B7:L7"/>
    <mergeCell ref="B10:E10"/>
    <mergeCell ref="H10:J10"/>
    <mergeCell ref="B11:E11"/>
    <mergeCell ref="H11:L11"/>
    <mergeCell ref="H12:I12"/>
    <mergeCell ref="B17:C17"/>
    <mergeCell ref="D17:E17"/>
    <mergeCell ref="H17:I17"/>
    <mergeCell ref="J17:L17"/>
    <mergeCell ref="B18:C18"/>
    <mergeCell ref="D18:E18"/>
    <mergeCell ref="H18:I18"/>
    <mergeCell ref="J18:L18"/>
    <mergeCell ref="B15:C15"/>
    <mergeCell ref="D15:E15"/>
    <mergeCell ref="H15:I15"/>
    <mergeCell ref="J15:L15"/>
    <mergeCell ref="B16:C16"/>
    <mergeCell ref="D16:E16"/>
    <mergeCell ref="H16:I16"/>
    <mergeCell ref="J16:L16"/>
    <mergeCell ref="B21:C21"/>
    <mergeCell ref="D21:E21"/>
    <mergeCell ref="J21:L21"/>
    <mergeCell ref="B22:C22"/>
    <mergeCell ref="D22:E22"/>
    <mergeCell ref="B19:C19"/>
    <mergeCell ref="D19:E19"/>
    <mergeCell ref="J19:L19"/>
    <mergeCell ref="B20:C20"/>
    <mergeCell ref="D20:E20"/>
    <mergeCell ref="J20:L20"/>
    <mergeCell ref="J22:L22"/>
    <mergeCell ref="N26:R26"/>
    <mergeCell ref="B27:L27"/>
    <mergeCell ref="N27:R27"/>
    <mergeCell ref="B29:K31"/>
    <mergeCell ref="B33:K35"/>
    <mergeCell ref="C37:K37"/>
    <mergeCell ref="B26:J26"/>
    <mergeCell ref="B23:C23"/>
    <mergeCell ref="H23:I23"/>
    <mergeCell ref="J23:L23"/>
    <mergeCell ref="C39:D40"/>
    <mergeCell ref="E39:E40"/>
    <mergeCell ref="F39:J40"/>
    <mergeCell ref="K39:K40"/>
    <mergeCell ref="O40:P40"/>
    <mergeCell ref="C41:D44"/>
    <mergeCell ref="E41:E44"/>
    <mergeCell ref="F41:J44"/>
    <mergeCell ref="K41:K44"/>
    <mergeCell ref="O41:P41"/>
    <mergeCell ref="O42:P42"/>
    <mergeCell ref="O43:P43"/>
    <mergeCell ref="C45:D47"/>
    <mergeCell ref="E45:E47"/>
    <mergeCell ref="F45:J47"/>
    <mergeCell ref="K45:K47"/>
    <mergeCell ref="O47:Q82"/>
    <mergeCell ref="C48:D50"/>
    <mergeCell ref="E48:E50"/>
    <mergeCell ref="F48:J50"/>
    <mergeCell ref="C57:D59"/>
    <mergeCell ref="E57:E59"/>
    <mergeCell ref="F57:J59"/>
    <mergeCell ref="K57:K59"/>
    <mergeCell ref="C60:D62"/>
    <mergeCell ref="E60:E62"/>
    <mergeCell ref="F60:J62"/>
    <mergeCell ref="K60:K62"/>
    <mergeCell ref="K48:K50"/>
    <mergeCell ref="C51:D53"/>
    <mergeCell ref="E51:E53"/>
    <mergeCell ref="F51:J53"/>
    <mergeCell ref="K51:K53"/>
    <mergeCell ref="C54:D56"/>
    <mergeCell ref="E54:E56"/>
    <mergeCell ref="F54:J56"/>
    <mergeCell ref="K54:K56"/>
    <mergeCell ref="C70:D72"/>
    <mergeCell ref="E70:E72"/>
    <mergeCell ref="F70:J72"/>
    <mergeCell ref="K70:K72"/>
    <mergeCell ref="C73:D75"/>
    <mergeCell ref="E73:E75"/>
    <mergeCell ref="F73:J75"/>
    <mergeCell ref="K73:K75"/>
    <mergeCell ref="C63:D65"/>
    <mergeCell ref="E63:E65"/>
    <mergeCell ref="F63:J65"/>
    <mergeCell ref="K63:K65"/>
    <mergeCell ref="C66:D69"/>
    <mergeCell ref="E66:E69"/>
    <mergeCell ref="F66:J69"/>
    <mergeCell ref="K66:K69"/>
    <mergeCell ref="F85:J85"/>
    <mergeCell ref="F87:J87"/>
    <mergeCell ref="C89:K89"/>
    <mergeCell ref="C91:D92"/>
    <mergeCell ref="E91:E92"/>
    <mergeCell ref="F91:J92"/>
    <mergeCell ref="K91:K92"/>
    <mergeCell ref="C76:D78"/>
    <mergeCell ref="E76:E78"/>
    <mergeCell ref="F76:J78"/>
    <mergeCell ref="K76:K78"/>
    <mergeCell ref="C79:D83"/>
    <mergeCell ref="E79:E83"/>
    <mergeCell ref="F79:J83"/>
    <mergeCell ref="K79:K83"/>
    <mergeCell ref="F86:J86"/>
    <mergeCell ref="C96:D98"/>
    <mergeCell ref="E96:E98"/>
    <mergeCell ref="F96:J98"/>
    <mergeCell ref="K96:K98"/>
    <mergeCell ref="C99:D101"/>
    <mergeCell ref="E99:E101"/>
    <mergeCell ref="F99:J101"/>
    <mergeCell ref="K99:K101"/>
    <mergeCell ref="O92:P92"/>
    <mergeCell ref="C93:D95"/>
    <mergeCell ref="E93:E95"/>
    <mergeCell ref="F93:J95"/>
    <mergeCell ref="K93:K95"/>
    <mergeCell ref="O93:P93"/>
    <mergeCell ref="O94:P94"/>
    <mergeCell ref="E108:E110"/>
    <mergeCell ref="F108:J110"/>
    <mergeCell ref="K108:K110"/>
    <mergeCell ref="C111:D113"/>
    <mergeCell ref="E111:E113"/>
    <mergeCell ref="F111:J113"/>
    <mergeCell ref="K111:K113"/>
    <mergeCell ref="O99:Q127"/>
    <mergeCell ref="C102:D104"/>
    <mergeCell ref="E102:E104"/>
    <mergeCell ref="F102:J104"/>
    <mergeCell ref="K102:K104"/>
    <mergeCell ref="C105:D107"/>
    <mergeCell ref="E105:E107"/>
    <mergeCell ref="F105:J107"/>
    <mergeCell ref="K105:K107"/>
    <mergeCell ref="C108:D110"/>
    <mergeCell ref="C120:D122"/>
    <mergeCell ref="E120:E122"/>
    <mergeCell ref="F120:J122"/>
    <mergeCell ref="K120:K122"/>
    <mergeCell ref="C123:D125"/>
    <mergeCell ref="E123:E125"/>
    <mergeCell ref="F123:J125"/>
    <mergeCell ref="K123:K125"/>
    <mergeCell ref="C114:D116"/>
    <mergeCell ref="E114:E116"/>
    <mergeCell ref="F114:J116"/>
    <mergeCell ref="K114:K116"/>
    <mergeCell ref="C117:D119"/>
    <mergeCell ref="E117:E119"/>
    <mergeCell ref="F117:J119"/>
    <mergeCell ref="K117:K119"/>
    <mergeCell ref="C133:K133"/>
    <mergeCell ref="C135:D136"/>
    <mergeCell ref="E135:E136"/>
    <mergeCell ref="F135:J136"/>
    <mergeCell ref="K135:K136"/>
    <mergeCell ref="O136:P136"/>
    <mergeCell ref="C126:D128"/>
    <mergeCell ref="E126:E128"/>
    <mergeCell ref="F126:J128"/>
    <mergeCell ref="K126:K128"/>
    <mergeCell ref="F130:J130"/>
    <mergeCell ref="F131:J131"/>
    <mergeCell ref="O143:Q180"/>
    <mergeCell ref="C146:D149"/>
    <mergeCell ref="E146:E149"/>
    <mergeCell ref="F146:J149"/>
    <mergeCell ref="K146:K149"/>
    <mergeCell ref="C150:D153"/>
    <mergeCell ref="C137:D142"/>
    <mergeCell ref="E137:E142"/>
    <mergeCell ref="F137:J142"/>
    <mergeCell ref="K137:K142"/>
    <mergeCell ref="O137:P137"/>
    <mergeCell ref="O138:P138"/>
    <mergeCell ref="E150:E153"/>
    <mergeCell ref="F150:J153"/>
    <mergeCell ref="K150:K153"/>
    <mergeCell ref="C154:D156"/>
    <mergeCell ref="E154:E156"/>
    <mergeCell ref="F154:J156"/>
    <mergeCell ref="K154:K156"/>
    <mergeCell ref="C143:D145"/>
    <mergeCell ref="E143:E145"/>
    <mergeCell ref="F143:J145"/>
    <mergeCell ref="K143:K145"/>
    <mergeCell ref="C165:D167"/>
    <mergeCell ref="E165:E167"/>
    <mergeCell ref="F165:J167"/>
    <mergeCell ref="K165:K167"/>
    <mergeCell ref="C168:D170"/>
    <mergeCell ref="E168:E170"/>
    <mergeCell ref="F168:J170"/>
    <mergeCell ref="K168:K170"/>
    <mergeCell ref="C157:D160"/>
    <mergeCell ref="E157:E160"/>
    <mergeCell ref="F157:J160"/>
    <mergeCell ref="K157:K160"/>
    <mergeCell ref="C161:D164"/>
    <mergeCell ref="E161:E164"/>
    <mergeCell ref="F161:J164"/>
    <mergeCell ref="K161:K164"/>
    <mergeCell ref="C179:D181"/>
    <mergeCell ref="E179:E181"/>
    <mergeCell ref="F179:J181"/>
    <mergeCell ref="K179:K181"/>
    <mergeCell ref="F183:J183"/>
    <mergeCell ref="F185:J185"/>
    <mergeCell ref="C171:D174"/>
    <mergeCell ref="E171:E174"/>
    <mergeCell ref="F171:J174"/>
    <mergeCell ref="K171:K174"/>
    <mergeCell ref="C175:D178"/>
    <mergeCell ref="E175:E178"/>
    <mergeCell ref="F175:J178"/>
    <mergeCell ref="K175:K178"/>
    <mergeCell ref="F184:J184"/>
  </mergeCells>
  <conditionalFormatting sqref="C41:K83 C93:K128 C137:K181">
    <cfRule type="expression" dxfId="126" priority="1">
      <formula>$K41="Seeking Waiver"</formula>
    </cfRule>
  </conditionalFormatting>
  <conditionalFormatting sqref="C41:K83 C93:K128">
    <cfRule type="expression" dxfId="125" priority="6">
      <formula>$K41="Yes"</formula>
    </cfRule>
  </conditionalFormatting>
  <conditionalFormatting sqref="C137:K181">
    <cfRule type="expression" dxfId="124" priority="5">
      <formula>$K137="Yes"</formula>
    </cfRule>
  </conditionalFormatting>
  <dataValidations count="4">
    <dataValidation type="list" allowBlank="1" showInputMessage="1" showErrorMessage="1" sqref="Q43" xr:uid="{DEBA4A43-00F6-47DD-95E9-6953E8EA8A5B}">
      <formula1>"0,1,2,3,4,5,6,7,8,9,10,11,12,13"</formula1>
    </dataValidation>
    <dataValidation type="list" allowBlank="1" showInputMessage="1" showErrorMessage="1" sqref="Q95 Q139" xr:uid="{76FC93DF-0E89-4DA0-966E-C744AFA2B9F4}">
      <formula1>"0,1,2,3,4,5,6,7,8,9,10,11,12"</formula1>
    </dataValidation>
    <dataValidation type="list" allowBlank="1" showInputMessage="1" showErrorMessage="1" sqref="K70:K72 K93:K128 K79:K83 K137:K153 K168:K174 K179:K181 K41:K44" xr:uid="{A7C9BDDC-6584-4EF9-89CF-3102FC918E63}">
      <formula1>"Yes, No"</formula1>
    </dataValidation>
    <dataValidation type="list" allowBlank="1" showInputMessage="1" showErrorMessage="1" sqref="K45:K69 K73:K78 K175:K178 K154:K167" xr:uid="{F1B644A8-99B4-4DC3-96B4-7C7727BC58E1}">
      <formula1>"Yes, Seeking Waiver, No"</formula1>
    </dataValidation>
  </dataValidations>
  <pageMargins left="0.7" right="0.7" top="0.75" bottom="0.75" header="0.3" footer="0.3"/>
  <pageSetup scale="69" fitToHeight="0" orientation="portrait" r:id="rId1"/>
  <headerFooter>
    <oddFooter>&amp;L&amp;"-,Bold"&amp;9Amenities Workbook&amp;"-,Regular"
Affordable Housing Funding Application (AHFA)&amp;C&amp;9Ohio Housing Finance Agency&amp;R&amp;9Page &amp;P of &amp;N</oddFooter>
  </headerFooter>
  <rowBreaks count="3" manualBreakCount="3">
    <brk id="36" min="1" max="11" man="1"/>
    <brk id="88" min="1" max="11" man="1"/>
    <brk id="132" min="1" max="11"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33C8-085E-4D3C-A42F-42F0171AC679}">
  <sheetPr>
    <tabColor rgb="FFC12637"/>
    <pageSetUpPr autoPageBreaks="0" fitToPage="1"/>
  </sheetPr>
  <dimension ref="A1:XEV297"/>
  <sheetViews>
    <sheetView showGridLines="0" zoomScale="85" zoomScaleNormal="85" zoomScaleSheetLayoutView="70" zoomScalePageLayoutView="85" workbookViewId="0">
      <selection activeCell="J62" sqref="J62"/>
    </sheetView>
  </sheetViews>
  <sheetFormatPr defaultColWidth="0" defaultRowHeight="15" customHeight="1" zeroHeight="1" outlineLevelCol="1" x14ac:dyDescent="0.2"/>
  <cols>
    <col min="1" max="1" width="1.625" style="1" customWidth="1"/>
    <col min="2" max="2" width="2.625" style="1" customWidth="1"/>
    <col min="3" max="5" width="15.625" style="1" customWidth="1"/>
    <col min="6" max="7" width="1.625" style="1" customWidth="1"/>
    <col min="8" max="11" width="15.625" style="1" customWidth="1"/>
    <col min="12" max="12" width="2.625" style="1" customWidth="1"/>
    <col min="13" max="13" width="1.625" style="1" customWidth="1"/>
    <col min="14" max="14" width="1.625" style="1" hidden="1" customWidth="1" outlineLevel="1"/>
    <col min="15" max="17" width="15.625" style="1" hidden="1" customWidth="1" outlineLevel="1"/>
    <col min="18" max="18" width="2.625" style="1" hidden="1" customWidth="1" outlineLevel="1"/>
    <col min="19" max="19" width="9" style="1" customWidth="1" collapsed="1"/>
    <col min="20" max="16375" width="9" style="1" hidden="1"/>
    <col min="16376" max="16376" width="0" style="1" hidden="1"/>
    <col min="16377" max="16384" width="9" style="1" hidden="1"/>
  </cols>
  <sheetData>
    <row r="1" spans="2:13" s="83" customFormat="1" ht="55.5" customHeight="1" x14ac:dyDescent="0.2">
      <c r="B1" s="1"/>
      <c r="C1" s="1"/>
      <c r="D1" s="1"/>
      <c r="E1" s="1"/>
      <c r="F1" s="1"/>
      <c r="G1" s="1"/>
      <c r="H1" s="1"/>
      <c r="I1" s="1755" t="str">
        <f>IF(D18&lt;&gt;"New Affordability - General Occupancy","This is not the correct scoring workbook based on your Funding Pool selection. Please navigate to the correct scoring workbook.","")</f>
        <v>This is not the correct scoring workbook based on your Funding Pool selection. Please navigate to the correct scoring workbook.</v>
      </c>
      <c r="J1" s="1755"/>
      <c r="K1" s="1755"/>
      <c r="L1" s="1755"/>
    </row>
    <row r="2" spans="2:13" s="83" customFormat="1" ht="25.5" customHeight="1" x14ac:dyDescent="0.2">
      <c r="B2" s="1211" t="s">
        <v>3035</v>
      </c>
      <c r="C2" s="1212"/>
      <c r="D2" s="1212"/>
      <c r="E2" s="1212"/>
      <c r="F2" s="1212"/>
      <c r="G2" s="1212"/>
      <c r="H2" s="1217" t="str">
        <f>CONCATENATE(IF(Instructions!$K$2="","",Instructions!$K$2)," ",IF(Details!$E$11="","",Details!$E$11))</f>
        <v>2026 9% LIHTC AHFA Proposal Application</v>
      </c>
      <c r="I2" s="1217"/>
      <c r="J2" s="1217"/>
      <c r="K2" s="1217"/>
      <c r="L2" s="1218"/>
    </row>
    <row r="3" spans="2:13" s="83" customFormat="1" ht="20.25" customHeight="1" x14ac:dyDescent="0.2">
      <c r="B3" s="1166" t="s">
        <v>2682</v>
      </c>
      <c r="C3" s="1167"/>
      <c r="D3" s="1167"/>
      <c r="E3" s="1167"/>
      <c r="F3" s="1167"/>
      <c r="G3" s="1167"/>
      <c r="H3" s="1304" t="str">
        <f>IF(Details!$E$12="","",CONCATENATE("Project Name: ",Details!$E$12))</f>
        <v/>
      </c>
      <c r="I3" s="1304"/>
      <c r="J3" s="1304"/>
      <c r="K3" s="1304"/>
      <c r="L3" s="1305"/>
    </row>
    <row r="4" spans="2:13" ht="15" customHeight="1" x14ac:dyDescent="0.2"/>
    <row r="5" spans="2:13" ht="5.0999999999999996" customHeight="1" x14ac:dyDescent="0.2"/>
    <row r="6" spans="2:13" ht="20.100000000000001" customHeight="1" x14ac:dyDescent="0.2">
      <c r="B6" s="1748" t="s">
        <v>2417</v>
      </c>
      <c r="C6" s="1748"/>
      <c r="D6" s="1748"/>
      <c r="E6" s="1748"/>
      <c r="F6" s="1748"/>
      <c r="G6" s="1748"/>
      <c r="H6" s="1748"/>
      <c r="I6" s="1748"/>
      <c r="J6" s="1748"/>
    </row>
    <row r="7" spans="2:13" ht="3" customHeight="1" x14ac:dyDescent="0.2">
      <c r="B7" s="1749"/>
      <c r="C7" s="1749"/>
      <c r="D7" s="1749"/>
      <c r="E7" s="1749"/>
      <c r="F7" s="1749"/>
      <c r="G7" s="1749"/>
      <c r="H7" s="1749"/>
      <c r="I7" s="1749"/>
      <c r="J7" s="1749"/>
      <c r="K7" s="1749"/>
      <c r="L7" s="1749"/>
    </row>
    <row r="8" spans="2:13" customFormat="1" ht="15" customHeight="1" x14ac:dyDescent="0.2">
      <c r="M8" s="1"/>
    </row>
    <row r="9" spans="2:13" ht="15" customHeight="1" x14ac:dyDescent="0.2"/>
    <row r="10" spans="2:13" ht="15" customHeight="1" x14ac:dyDescent="0.25">
      <c r="B10" s="1757" t="s">
        <v>296</v>
      </c>
      <c r="C10" s="1757"/>
      <c r="D10" s="1757"/>
      <c r="E10" s="1757"/>
      <c r="F10" s="8"/>
      <c r="G10" s="8"/>
      <c r="H10" s="1757" t="s">
        <v>297</v>
      </c>
      <c r="I10" s="1757"/>
      <c r="J10" s="1757"/>
    </row>
    <row r="11" spans="2:13" ht="3" customHeight="1" x14ac:dyDescent="0.25">
      <c r="B11" s="1758"/>
      <c r="C11" s="1758"/>
      <c r="D11" s="1758"/>
      <c r="E11" s="1758"/>
      <c r="F11" s="8"/>
      <c r="G11" s="8"/>
      <c r="H11" s="1758"/>
      <c r="I11" s="1758"/>
      <c r="J11" s="1758"/>
      <c r="K11" s="1758"/>
      <c r="L11" s="1758"/>
      <c r="M11" s="610"/>
    </row>
    <row r="12" spans="2:13" ht="5.0999999999999996" customHeight="1" x14ac:dyDescent="0.25">
      <c r="B12" s="611"/>
      <c r="C12" s="8"/>
      <c r="D12" s="8"/>
      <c r="E12" s="8"/>
      <c r="F12" s="8"/>
      <c r="G12" s="8"/>
      <c r="H12" s="1759"/>
      <c r="I12" s="1759"/>
      <c r="J12" s="8"/>
    </row>
    <row r="13" spans="2:13" ht="15" customHeight="1" x14ac:dyDescent="0.25">
      <c r="B13" s="1751" t="s">
        <v>298</v>
      </c>
      <c r="C13" s="1751"/>
      <c r="D13" s="1752" t="str">
        <f>IF(Details!$E$12="","Untitled Project",Details!$E$12)</f>
        <v>Untitled Project</v>
      </c>
      <c r="E13" s="1752"/>
      <c r="F13" s="8"/>
      <c r="G13" s="8"/>
      <c r="H13" s="1661" t="s">
        <v>2418</v>
      </c>
      <c r="I13" s="1662"/>
      <c r="J13" s="1752" t="str">
        <f>IF(Team!$E$12="","",Team!$E$12)</f>
        <v/>
      </c>
      <c r="K13" s="1752"/>
      <c r="L13" s="1752"/>
      <c r="M13" s="531"/>
    </row>
    <row r="14" spans="2:13" ht="15" customHeight="1" x14ac:dyDescent="0.25">
      <c r="B14" s="1751" t="s">
        <v>2419</v>
      </c>
      <c r="C14" s="1751"/>
      <c r="D14" s="1756" t="str">
        <f>IF(OR(LIHTCs!G27=0.09,LIHTCs!H27=0.09),"9% LIHTC","4% LIHTC")</f>
        <v>9% LIHTC</v>
      </c>
      <c r="E14" s="1756"/>
      <c r="F14" s="8"/>
      <c r="G14" s="8"/>
      <c r="H14" s="1661" t="s">
        <v>2420</v>
      </c>
      <c r="I14" s="1662"/>
      <c r="J14" s="1752" t="str">
        <f>IF(OR(Team!$E$56="No",Team!$E$56=""),"N/A",Team!$E$61)</f>
        <v>N/A</v>
      </c>
      <c r="K14" s="1752"/>
      <c r="L14" s="1752"/>
      <c r="M14" s="531"/>
    </row>
    <row r="15" spans="2:13" ht="15" customHeight="1" x14ac:dyDescent="0.25">
      <c r="B15" s="1751" t="s">
        <v>299</v>
      </c>
      <c r="C15" s="1751"/>
      <c r="D15" s="1752" t="str">
        <f>IF(Details!$E$14="","",Details!$E$14)</f>
        <v/>
      </c>
      <c r="E15" s="1752"/>
      <c r="F15" s="8"/>
      <c r="G15" s="8"/>
      <c r="H15" s="1661" t="s">
        <v>2421</v>
      </c>
      <c r="I15" s="1662"/>
      <c r="J15" s="1752" t="str">
        <f>IF(OR(Team!$E$105="No",Team!$E$105=""),"N/A",Team!$E$110)</f>
        <v>N/A</v>
      </c>
      <c r="K15" s="1752"/>
      <c r="L15" s="1752"/>
      <c r="M15" s="531"/>
    </row>
    <row r="16" spans="2:13" ht="15" customHeight="1" x14ac:dyDescent="0.25">
      <c r="B16" s="1751" t="s">
        <v>540</v>
      </c>
      <c r="C16" s="1751"/>
      <c r="D16" s="1752" t="str">
        <f>IF(Details!$E$15="","",Details!$E$15)</f>
        <v/>
      </c>
      <c r="E16" s="1752"/>
      <c r="F16" s="8"/>
      <c r="G16" s="8"/>
      <c r="H16" s="1661" t="s">
        <v>2422</v>
      </c>
      <c r="I16" s="1662"/>
      <c r="J16" s="1752" t="str">
        <f>IF(Team!$E$173="","",Team!$E$173)</f>
        <v/>
      </c>
      <c r="K16" s="1752"/>
      <c r="L16" s="1752"/>
      <c r="M16" s="531"/>
    </row>
    <row r="17" spans="2:13" ht="15" customHeight="1" x14ac:dyDescent="0.25">
      <c r="B17" s="1751" t="s">
        <v>300</v>
      </c>
      <c r="C17" s="1751"/>
      <c r="D17" s="1752" t="str">
        <f>IF(Details!$E$18="","",Details!$E$18)</f>
        <v>Input Census Tract</v>
      </c>
      <c r="E17" s="1752"/>
      <c r="F17" s="8"/>
      <c r="G17" s="8"/>
      <c r="H17" s="1661" t="s">
        <v>2472</v>
      </c>
      <c r="I17" s="1662"/>
      <c r="J17" s="1752" t="str">
        <f>IF(AND(Team!$E$318="",Team!$E$327=""),"N/A",IF(AND(Team!$E$318="",Team!$E$327&lt;&gt;""),Team!$E$327,Team!$E$318))</f>
        <v>N/A</v>
      </c>
      <c r="K17" s="1752"/>
      <c r="L17" s="1752"/>
      <c r="M17" s="531"/>
    </row>
    <row r="18" spans="2:13" ht="15" customHeight="1" x14ac:dyDescent="0.25">
      <c r="B18" s="1751" t="s">
        <v>2483</v>
      </c>
      <c r="C18" s="1751"/>
      <c r="D18" s="1752" t="str">
        <f>IF(Details!$E$21="","",Details!$E$21)</f>
        <v/>
      </c>
      <c r="E18" s="1752"/>
      <c r="F18" s="8"/>
      <c r="G18" s="8"/>
      <c r="H18" s="1661" t="s">
        <v>2473</v>
      </c>
      <c r="I18" s="1662"/>
      <c r="J18" s="1752" t="str">
        <f>IF(OR(Team!$E$334="",Team!$E$334="No"),"N/A",IF(AND(Team!$E$348="",Team!$E$339&lt;&gt;""),Team!$E$339,Team!$E$348))</f>
        <v>N/A</v>
      </c>
      <c r="K18" s="1752"/>
      <c r="L18" s="1752"/>
      <c r="M18" s="531"/>
    </row>
    <row r="19" spans="2:13" ht="15" customHeight="1" x14ac:dyDescent="0.25">
      <c r="B19" s="1751" t="s">
        <v>3105</v>
      </c>
      <c r="C19" s="1753"/>
      <c r="D19" s="1373" t="str">
        <f>Details!$E$20</f>
        <v>Input Census Tract</v>
      </c>
      <c r="E19" s="1754"/>
      <c r="F19" s="8"/>
      <c r="G19" s="8"/>
      <c r="H19" s="1661" t="s">
        <v>2474</v>
      </c>
      <c r="I19" s="1662"/>
      <c r="J19" s="1752" t="str">
        <f>IF(OR(Team!$E$355="",Team!$E$355="No"),"N/A",IF(AND(Team!$E$369="",Team!$E$360&lt;&gt;""),Team!$E$360,Team!$E$369))</f>
        <v>N/A</v>
      </c>
      <c r="K19" s="1752"/>
      <c r="L19" s="1752"/>
      <c r="M19" s="531"/>
    </row>
    <row r="20" spans="2:13" ht="15" customHeight="1" x14ac:dyDescent="0.25">
      <c r="B20" s="1751" t="s">
        <v>3418</v>
      </c>
      <c r="C20" s="1753"/>
      <c r="D20" s="1373" t="str">
        <f>IF(OR(D17="",D17="Input Census Tract"),"",VLOOKUP($D$17,Data!$CQ$11:$CS$98,3,FALSE))</f>
        <v/>
      </c>
      <c r="E20" s="1754"/>
      <c r="F20" s="8"/>
      <c r="G20" s="8"/>
      <c r="H20" s="531" t="s">
        <v>2423</v>
      </c>
      <c r="I20" s="967"/>
      <c r="J20" s="1752" t="str">
        <f>IF(Team!$E$395="","",Team!$E$395)</f>
        <v/>
      </c>
      <c r="K20" s="1752"/>
      <c r="L20" s="1752"/>
      <c r="M20" s="531"/>
    </row>
    <row r="21" spans="2:13" ht="15" customHeight="1" x14ac:dyDescent="0.25">
      <c r="B21" s="1751" t="s">
        <v>651</v>
      </c>
      <c r="C21" s="1751"/>
      <c r="D21" s="1752" t="str">
        <f>IF(Details!$J$10="","",Details!$J$10)</f>
        <v/>
      </c>
      <c r="E21" s="1752"/>
      <c r="F21" s="8"/>
      <c r="G21" s="8"/>
      <c r="H21" s="531" t="s">
        <v>2424</v>
      </c>
      <c r="I21" s="967"/>
      <c r="J21" s="1752" t="str">
        <f>IF(Team!$E$379="","",Team!$E$379)</f>
        <v/>
      </c>
      <c r="K21" s="1752"/>
      <c r="L21" s="1752"/>
      <c r="M21" s="531"/>
    </row>
    <row r="22" spans="2:13" ht="15" customHeight="1" x14ac:dyDescent="0.25">
      <c r="B22" s="1751" t="s">
        <v>1964</v>
      </c>
      <c r="C22" s="1751"/>
      <c r="D22" s="1752" t="str">
        <f>IF(Details!$J$15="","",Details!$J$15)</f>
        <v/>
      </c>
      <c r="E22" s="1752"/>
      <c r="F22" s="8"/>
      <c r="G22" s="8"/>
      <c r="H22" s="531" t="s">
        <v>2426</v>
      </c>
      <c r="I22" s="967"/>
      <c r="J22" s="1752" t="str">
        <f>IF(Team!$E$411="","",Team!$E$411)</f>
        <v/>
      </c>
      <c r="K22" s="1752"/>
      <c r="L22" s="1752"/>
      <c r="M22" s="531"/>
    </row>
    <row r="23" spans="2:13" ht="15" customHeight="1" x14ac:dyDescent="0.25">
      <c r="B23" s="1751" t="s">
        <v>2425</v>
      </c>
      <c r="C23" s="1751"/>
      <c r="D23" s="612">
        <f>Revenue!$C$101</f>
        <v>0</v>
      </c>
      <c r="E23" s="531"/>
      <c r="F23" s="8"/>
      <c r="G23" s="8"/>
      <c r="H23" s="1661" t="s">
        <v>3112</v>
      </c>
      <c r="I23" s="1662"/>
      <c r="J23" s="1752" t="str">
        <f>IF(Team!$E$427="","N/A",Team!$E$427)</f>
        <v>N/A</v>
      </c>
      <c r="K23" s="1752"/>
      <c r="L23" s="1752"/>
    </row>
    <row r="24" spans="2:13" ht="15" customHeight="1" x14ac:dyDescent="0.25">
      <c r="B24" s="611"/>
      <c r="C24" s="8"/>
      <c r="D24" s="8"/>
      <c r="E24" s="8"/>
      <c r="F24" s="8"/>
      <c r="G24" s="8"/>
      <c r="H24" s="8"/>
      <c r="I24" s="8"/>
    </row>
    <row r="25" spans="2:13" ht="15" customHeight="1" x14ac:dyDescent="0.25">
      <c r="B25" s="1757" t="s">
        <v>355</v>
      </c>
      <c r="C25" s="1757"/>
      <c r="D25" s="1757"/>
      <c r="E25" s="1757"/>
      <c r="F25" s="8"/>
      <c r="G25" s="8"/>
      <c r="H25" s="1757" t="s">
        <v>2427</v>
      </c>
      <c r="I25" s="1757"/>
      <c r="J25" s="1757"/>
    </row>
    <row r="26" spans="2:13" ht="3" customHeight="1" x14ac:dyDescent="0.25">
      <c r="B26" s="1758"/>
      <c r="C26" s="1758"/>
      <c r="D26" s="1758"/>
      <c r="E26" s="1758"/>
      <c r="F26" s="8"/>
      <c r="G26" s="8"/>
      <c r="H26" s="1758"/>
      <c r="I26" s="1758"/>
      <c r="J26" s="1758"/>
      <c r="K26" s="1758"/>
      <c r="L26" s="1758"/>
    </row>
    <row r="27" spans="2:13" ht="15" customHeight="1" x14ac:dyDescent="0.25">
      <c r="B27" s="611"/>
      <c r="C27" s="8"/>
      <c r="D27" s="8"/>
      <c r="E27" s="8"/>
      <c r="F27" s="8"/>
      <c r="G27" s="8"/>
      <c r="H27" s="8"/>
      <c r="I27" s="8"/>
    </row>
    <row r="28" spans="2:13" ht="15" customHeight="1" x14ac:dyDescent="0.25">
      <c r="B28" s="1751"/>
      <c r="C28" s="1751"/>
      <c r="D28" s="1031" t="s">
        <v>2428</v>
      </c>
      <c r="E28" s="1031" t="s">
        <v>377</v>
      </c>
      <c r="F28" s="8"/>
      <c r="G28" s="8"/>
      <c r="H28" s="1661"/>
      <c r="I28" s="1661"/>
      <c r="J28" s="1031" t="s">
        <v>2428</v>
      </c>
      <c r="K28" s="1031" t="s">
        <v>377</v>
      </c>
      <c r="L28" s="324"/>
    </row>
    <row r="29" spans="2:13" ht="15" customHeight="1" x14ac:dyDescent="0.25">
      <c r="B29" s="1751" t="s">
        <v>2543</v>
      </c>
      <c r="C29" s="1751"/>
      <c r="D29" s="613">
        <f>Uses!K84</f>
        <v>8000</v>
      </c>
      <c r="E29" s="140"/>
      <c r="F29" s="8"/>
      <c r="G29" s="8"/>
      <c r="H29" s="1661" t="s">
        <v>2719</v>
      </c>
      <c r="I29" s="1662"/>
      <c r="J29" s="79">
        <f>LIHTCs!F33</f>
        <v>0</v>
      </c>
      <c r="K29" s="79">
        <v>1800000</v>
      </c>
      <c r="L29" s="324"/>
    </row>
    <row r="30" spans="2:13" ht="15" customHeight="1" x14ac:dyDescent="0.25">
      <c r="B30" s="1751" t="s">
        <v>373</v>
      </c>
      <c r="C30" s="1751"/>
      <c r="D30" s="613">
        <f>IFERROR(D29/D23,0)</f>
        <v>0</v>
      </c>
      <c r="E30" s="613" t="str" cm="1">
        <f t="array" ref="E30">IF(Details!$J$10="","",IF(Details!$J$10="Adaptive Reuse",Data!$CN$15,INDEX(Data!$CN$11:$CN$15,MATCH(Details!$E$20&amp;Details!$J$10,Data!$CL$11:$CL$15&amp;Data!$CM$11:$CM$15,0))))</f>
        <v/>
      </c>
      <c r="F30" s="8"/>
      <c r="G30" s="8"/>
      <c r="H30" s="1661" t="s">
        <v>2429</v>
      </c>
      <c r="I30" s="1662"/>
      <c r="J30" s="79">
        <f>SUM(Sources!$G$44:$G$47)</f>
        <v>0</v>
      </c>
      <c r="K30" s="79">
        <f>IF($I$105="Yes",1000000,0)</f>
        <v>0</v>
      </c>
    </row>
    <row r="31" spans="2:13" ht="15" customHeight="1" x14ac:dyDescent="0.25">
      <c r="B31" s="1751" t="s">
        <v>433</v>
      </c>
      <c r="C31" s="1751"/>
      <c r="D31" s="613">
        <f>IFERROR(D29/Details!F130,0)</f>
        <v>0</v>
      </c>
      <c r="E31" s="613" t="str" cm="1">
        <f t="array" ref="E31">IF(Details!$J$10="","",IF(Details!$J$10="Adaptive Reuse",Data!$CO$15,INDEX(Data!$CO$11:$CO$15,MATCH(Details!$E$20&amp;Details!$J$10,Data!$CL$11:$CL$15&amp;Data!$CM$11:$CM$15,0))))</f>
        <v/>
      </c>
      <c r="F31" s="8"/>
      <c r="G31" s="8"/>
      <c r="H31" s="1661" t="s">
        <v>2430</v>
      </c>
      <c r="I31" s="1662"/>
      <c r="J31" s="326">
        <f>HDL!$E$15</f>
        <v>0</v>
      </c>
      <c r="K31" s="326">
        <v>1750000</v>
      </c>
    </row>
    <row r="32" spans="2:13" ht="15" customHeight="1" x14ac:dyDescent="0.25">
      <c r="B32" s="611"/>
      <c r="C32" s="8"/>
      <c r="D32" s="743"/>
      <c r="E32" s="8"/>
      <c r="F32" s="8"/>
      <c r="G32" s="8"/>
      <c r="H32" s="1155" t="s">
        <v>2130</v>
      </c>
      <c r="I32" s="1324"/>
      <c r="J32" s="79">
        <f>IF(OR(Uses!$J$75&gt;0,Sources!$E$38="Multifamily Lending Program",Sources!$E$38="MLP",Sources!$E$38="OHFA MLP"),Sources!$G$38,0)</f>
        <v>0</v>
      </c>
      <c r="K32" s="79">
        <v>6000000</v>
      </c>
    </row>
    <row r="33" spans="2:18" ht="15" customHeight="1" x14ac:dyDescent="0.25">
      <c r="B33" s="611"/>
      <c r="C33" s="8"/>
      <c r="D33" s="8"/>
      <c r="E33" s="8"/>
      <c r="F33" s="8"/>
      <c r="G33" s="8"/>
      <c r="H33" s="25"/>
      <c r="I33" s="25"/>
      <c r="J33" s="25"/>
    </row>
    <row r="34" spans="2:18" ht="15" customHeight="1" x14ac:dyDescent="0.25">
      <c r="B34" s="611"/>
      <c r="C34" s="8"/>
      <c r="D34" s="8"/>
      <c r="E34" s="8"/>
      <c r="F34" s="8"/>
      <c r="G34" s="8"/>
      <c r="H34" s="25"/>
      <c r="I34" s="25"/>
      <c r="J34" s="25"/>
    </row>
    <row r="35" spans="2:18" ht="15" customHeight="1" x14ac:dyDescent="0.2">
      <c r="B35" s="1748" t="s">
        <v>3222</v>
      </c>
      <c r="C35" s="1748"/>
      <c r="D35" s="1748"/>
      <c r="E35" s="1748"/>
      <c r="F35" s="1748"/>
      <c r="G35" s="1748"/>
      <c r="H35" s="1748"/>
      <c r="I35" s="1748"/>
      <c r="J35" s="1748"/>
      <c r="N35" s="1748" t="s">
        <v>3203</v>
      </c>
      <c r="O35" s="1748"/>
      <c r="P35" s="1748"/>
      <c r="Q35" s="1748"/>
      <c r="R35" s="1748"/>
    </row>
    <row r="36" spans="2:18" ht="3" customHeight="1" x14ac:dyDescent="0.2">
      <c r="B36" s="1749"/>
      <c r="C36" s="1749"/>
      <c r="D36" s="1749"/>
      <c r="E36" s="1749"/>
      <c r="F36" s="1749"/>
      <c r="G36" s="1749"/>
      <c r="H36" s="1749"/>
      <c r="I36" s="1749"/>
      <c r="J36" s="1749"/>
      <c r="K36" s="1749"/>
      <c r="L36" s="1749"/>
      <c r="N36" s="1749"/>
      <c r="O36" s="1749"/>
      <c r="P36" s="1749"/>
      <c r="Q36" s="1749"/>
      <c r="R36" s="1749"/>
    </row>
    <row r="37" spans="2:18" ht="15" customHeight="1" x14ac:dyDescent="0.25">
      <c r="B37" s="611"/>
      <c r="C37" s="8"/>
      <c r="D37" s="8"/>
      <c r="E37" s="8"/>
      <c r="F37" s="8"/>
      <c r="G37" s="8"/>
      <c r="H37" s="25"/>
      <c r="I37" s="25"/>
      <c r="J37" s="25"/>
      <c r="Q37" s="4"/>
    </row>
    <row r="38" spans="2:18" ht="15" customHeight="1" x14ac:dyDescent="0.2">
      <c r="B38" s="746" t="s">
        <v>2476</v>
      </c>
      <c r="C38" s="1731" t="s">
        <v>3204</v>
      </c>
      <c r="D38" s="1731"/>
      <c r="E38" s="1731"/>
      <c r="F38" s="1731"/>
      <c r="G38" s="1731"/>
      <c r="H38" s="1731"/>
      <c r="I38" s="1731"/>
      <c r="J38" s="1731"/>
      <c r="K38" s="1731"/>
      <c r="N38" s="767"/>
      <c r="O38" s="768"/>
      <c r="P38" s="768"/>
      <c r="Q38" s="930"/>
      <c r="R38" s="769"/>
    </row>
    <row r="39" spans="2:18" ht="15" customHeight="1" x14ac:dyDescent="0.25">
      <c r="B39" s="611"/>
      <c r="C39" s="8"/>
      <c r="D39" s="8"/>
      <c r="E39" s="8"/>
      <c r="F39" s="8"/>
      <c r="G39" s="8"/>
      <c r="H39" s="8"/>
      <c r="I39" s="8"/>
      <c r="N39" s="770"/>
      <c r="O39" s="1776" t="s">
        <v>3219</v>
      </c>
      <c r="P39" s="1777"/>
      <c r="Q39" s="941"/>
      <c r="R39" s="771"/>
    </row>
    <row r="40" spans="2:18" ht="15" customHeight="1" x14ac:dyDescent="0.25">
      <c r="B40" s="611"/>
      <c r="C40" s="1148" t="s">
        <v>3221</v>
      </c>
      <c r="D40" s="1148"/>
      <c r="E40" s="1148"/>
      <c r="F40" s="1148"/>
      <c r="G40" s="1148"/>
      <c r="H40" s="1148"/>
      <c r="I40" s="1148"/>
      <c r="J40" s="1148"/>
      <c r="K40" s="1148"/>
      <c r="N40" s="770"/>
      <c r="O40" s="1776"/>
      <c r="P40" s="1776"/>
      <c r="Q40" s="931"/>
      <c r="R40" s="771"/>
    </row>
    <row r="41" spans="2:18" ht="15" customHeight="1" x14ac:dyDescent="0.25">
      <c r="B41" s="611"/>
      <c r="C41" s="1148"/>
      <c r="D41" s="1148"/>
      <c r="E41" s="1148"/>
      <c r="F41" s="1148"/>
      <c r="G41" s="1148"/>
      <c r="H41" s="1148"/>
      <c r="I41" s="1148"/>
      <c r="J41" s="1148"/>
      <c r="K41" s="1148"/>
      <c r="N41" s="770"/>
      <c r="O41" s="633" t="s">
        <v>2443</v>
      </c>
      <c r="P41" s="633"/>
      <c r="Q41" s="932"/>
      <c r="R41" s="771"/>
    </row>
    <row r="42" spans="2:18" ht="15" customHeight="1" x14ac:dyDescent="0.25">
      <c r="B42" s="611"/>
      <c r="C42" s="1148"/>
      <c r="D42" s="1148"/>
      <c r="E42" s="1148"/>
      <c r="F42" s="1148"/>
      <c r="G42" s="1148"/>
      <c r="H42" s="1148"/>
      <c r="I42" s="1148"/>
      <c r="J42" s="1148"/>
      <c r="K42" s="1148"/>
      <c r="N42" s="770"/>
      <c r="O42" s="633"/>
      <c r="P42" s="633"/>
      <c r="Q42" s="932"/>
      <c r="R42" s="771"/>
    </row>
    <row r="43" spans="2:18" ht="15" customHeight="1" x14ac:dyDescent="0.25">
      <c r="B43" s="611"/>
      <c r="C43" s="1852" t="s">
        <v>3205</v>
      </c>
      <c r="D43" s="1852"/>
      <c r="E43" s="1852"/>
      <c r="F43" s="1852"/>
      <c r="G43" s="1852"/>
      <c r="H43" s="1852"/>
      <c r="I43" s="1852"/>
      <c r="J43" s="1852"/>
      <c r="K43" s="1852"/>
      <c r="N43" s="770"/>
      <c r="O43" s="1817"/>
      <c r="P43" s="1818"/>
      <c r="Q43" s="1819"/>
      <c r="R43" s="771"/>
    </row>
    <row r="44" spans="2:18" ht="15" customHeight="1" x14ac:dyDescent="0.25">
      <c r="B44" s="611"/>
      <c r="C44" s="882" t="s">
        <v>3206</v>
      </c>
      <c r="D44" s="939"/>
      <c r="E44" s="939"/>
      <c r="F44" s="939"/>
      <c r="G44" s="939"/>
      <c r="H44" s="249"/>
      <c r="I44" s="249"/>
      <c r="J44" s="249"/>
      <c r="K44" s="882"/>
      <c r="N44" s="770"/>
      <c r="O44" s="1820"/>
      <c r="P44" s="1821"/>
      <c r="Q44" s="1822"/>
      <c r="R44" s="771"/>
    </row>
    <row r="45" spans="2:18" ht="15" customHeight="1" x14ac:dyDescent="0.25">
      <c r="B45" s="611"/>
      <c r="C45" s="8"/>
      <c r="D45" s="8"/>
      <c r="E45" s="8"/>
      <c r="F45" s="8"/>
      <c r="G45" s="8"/>
      <c r="H45" s="25"/>
      <c r="I45" s="25"/>
      <c r="J45" s="25"/>
      <c r="N45" s="770"/>
      <c r="O45" s="1820"/>
      <c r="P45" s="1821"/>
      <c r="Q45" s="1822"/>
      <c r="R45" s="771"/>
    </row>
    <row r="46" spans="2:18" ht="15" customHeight="1" x14ac:dyDescent="0.25">
      <c r="B46" s="611"/>
      <c r="C46" s="1155" t="s">
        <v>3210</v>
      </c>
      <c r="D46" s="1155"/>
      <c r="E46" s="1247" t="str">
        <f>IF(Details!$E$13="","",Details!$E$13)</f>
        <v/>
      </c>
      <c r="F46" s="1247"/>
      <c r="G46" s="1247"/>
      <c r="H46" s="1247"/>
      <c r="I46" s="25"/>
      <c r="J46" s="25"/>
      <c r="N46" s="770"/>
      <c r="O46" s="1820"/>
      <c r="P46" s="1821"/>
      <c r="Q46" s="1822"/>
      <c r="R46" s="771"/>
    </row>
    <row r="47" spans="2:18" ht="15" customHeight="1" x14ac:dyDescent="0.25">
      <c r="B47" s="611"/>
      <c r="C47" s="1155" t="s">
        <v>3209</v>
      </c>
      <c r="D47" s="1155"/>
      <c r="E47" s="1247" t="str">
        <f>IF(E46="","",CONCATENATE("Tract ",VLOOKUP(E46,Data!$B$11:$D$3178,2,FALSE),", ",VLOOKUP(E46,Data!$B$11:$D$3178,3,FALSE)," County"))</f>
        <v/>
      </c>
      <c r="F47" s="1247"/>
      <c r="G47" s="1247"/>
      <c r="H47" s="1247"/>
      <c r="I47" s="25"/>
      <c r="J47" s="25"/>
      <c r="N47" s="770"/>
      <c r="O47" s="1820"/>
      <c r="P47" s="1821"/>
      <c r="Q47" s="1822"/>
      <c r="R47" s="771"/>
    </row>
    <row r="48" spans="2:18" ht="15" customHeight="1" x14ac:dyDescent="0.25">
      <c r="B48" s="611"/>
      <c r="C48" s="1155" t="s">
        <v>2989</v>
      </c>
      <c r="D48" s="1155"/>
      <c r="E48" s="1763" t="str">
        <f>IF(E46="","",VLOOKUP(E46,Data!$B$11:$J$3178,8,FALSE))</f>
        <v/>
      </c>
      <c r="F48" s="1763"/>
      <c r="G48" s="1763"/>
      <c r="H48" s="1763"/>
      <c r="I48" s="25"/>
      <c r="J48" s="25"/>
      <c r="N48" s="770"/>
      <c r="O48" s="1820"/>
      <c r="P48" s="1821"/>
      <c r="Q48" s="1822"/>
      <c r="R48" s="771"/>
    </row>
    <row r="49" spans="2:18" ht="15" customHeight="1" x14ac:dyDescent="0.25">
      <c r="B49" s="611"/>
      <c r="C49" s="1155" t="s">
        <v>3207</v>
      </c>
      <c r="D49" s="1155"/>
      <c r="E49" s="1762">
        <f>IF(E48&gt;45,0.1,0.15)</f>
        <v>0.1</v>
      </c>
      <c r="F49" s="1762"/>
      <c r="G49" s="1762"/>
      <c r="H49" s="1762"/>
      <c r="I49" s="25"/>
      <c r="J49" s="25"/>
      <c r="N49" s="770"/>
      <c r="O49" s="1820"/>
      <c r="P49" s="1821"/>
      <c r="Q49" s="1822"/>
      <c r="R49" s="771"/>
    </row>
    <row r="50" spans="2:18" ht="15" customHeight="1" x14ac:dyDescent="0.25">
      <c r="B50" s="611"/>
      <c r="C50" s="1155" t="s">
        <v>3208</v>
      </c>
      <c r="D50" s="1155"/>
      <c r="E50" s="1865">
        <f>SUM(Revenue!G110:G111)</f>
        <v>0</v>
      </c>
      <c r="F50" s="1762"/>
      <c r="G50" s="1762"/>
      <c r="H50" s="1762"/>
      <c r="I50" s="25"/>
      <c r="J50" s="25"/>
      <c r="N50" s="770"/>
      <c r="O50" s="1823"/>
      <c r="P50" s="1824"/>
      <c r="Q50" s="1825"/>
      <c r="R50" s="771"/>
    </row>
    <row r="51" spans="2:18" ht="15" customHeight="1" x14ac:dyDescent="0.25">
      <c r="B51" s="611"/>
      <c r="C51" s="957" t="s">
        <v>3219</v>
      </c>
      <c r="D51" s="8"/>
      <c r="E51" s="203" t="str">
        <f>IF(E50&gt;=E49,"Yes","No")</f>
        <v>No</v>
      </c>
      <c r="F51" s="8"/>
      <c r="G51" s="8"/>
      <c r="H51" s="25"/>
      <c r="I51" s="25"/>
      <c r="J51" s="25"/>
      <c r="N51" s="772"/>
      <c r="O51" s="940"/>
      <c r="P51" s="940"/>
      <c r="Q51" s="940"/>
      <c r="R51" s="774"/>
    </row>
    <row r="52" spans="2:18" ht="15" customHeight="1" x14ac:dyDescent="0.25">
      <c r="B52" s="611"/>
      <c r="C52" s="8"/>
      <c r="D52" s="8"/>
      <c r="E52" s="8"/>
      <c r="F52" s="8"/>
      <c r="G52" s="8"/>
      <c r="H52" s="25"/>
      <c r="I52" s="25"/>
      <c r="J52" s="25"/>
    </row>
    <row r="53" spans="2:18" ht="15" customHeight="1" x14ac:dyDescent="0.25">
      <c r="B53" s="611"/>
      <c r="C53" s="8"/>
      <c r="D53" s="8"/>
      <c r="E53" s="8"/>
      <c r="F53" s="8"/>
      <c r="G53" s="8"/>
      <c r="H53" s="25"/>
      <c r="I53" s="25"/>
      <c r="J53" s="25"/>
    </row>
    <row r="54" spans="2:18" ht="15" customHeight="1" x14ac:dyDescent="0.2">
      <c r="B54" s="746" t="s">
        <v>2477</v>
      </c>
      <c r="C54" s="1731" t="s">
        <v>3223</v>
      </c>
      <c r="D54" s="1731"/>
      <c r="E54" s="1731"/>
      <c r="F54" s="1731"/>
      <c r="G54" s="1731"/>
      <c r="H54" s="1731"/>
      <c r="I54" s="1731"/>
      <c r="J54" s="1731"/>
      <c r="K54" s="1731"/>
      <c r="N54" s="767"/>
      <c r="O54" s="768"/>
      <c r="P54" s="768"/>
      <c r="Q54" s="930"/>
      <c r="R54" s="769"/>
    </row>
    <row r="55" spans="2:18" ht="15" customHeight="1" x14ac:dyDescent="0.25">
      <c r="B55" s="611"/>
      <c r="C55" s="8"/>
      <c r="D55" s="8"/>
      <c r="E55" s="8"/>
      <c r="F55" s="8"/>
      <c r="G55" s="8"/>
      <c r="H55" s="8"/>
      <c r="I55" s="8"/>
      <c r="N55" s="770"/>
      <c r="O55" s="1776" t="s">
        <v>3225</v>
      </c>
      <c r="P55" s="1777"/>
      <c r="Q55" s="941"/>
      <c r="R55" s="771"/>
    </row>
    <row r="56" spans="2:18" ht="15" customHeight="1" x14ac:dyDescent="0.25">
      <c r="B56" s="611"/>
      <c r="C56" s="1148" t="s">
        <v>3224</v>
      </c>
      <c r="D56" s="1148"/>
      <c r="E56" s="1148"/>
      <c r="F56" s="1148"/>
      <c r="G56" s="1148"/>
      <c r="H56" s="1148"/>
      <c r="I56" s="1148"/>
      <c r="J56" s="1148"/>
      <c r="K56" s="1148"/>
      <c r="N56" s="770"/>
      <c r="O56" s="1776"/>
      <c r="P56" s="1776"/>
      <c r="Q56" s="931"/>
      <c r="R56" s="771"/>
    </row>
    <row r="57" spans="2:18" ht="15" customHeight="1" x14ac:dyDescent="0.25">
      <c r="B57" s="611"/>
      <c r="C57" s="1148"/>
      <c r="D57" s="1148"/>
      <c r="E57" s="1148"/>
      <c r="F57" s="1148"/>
      <c r="G57" s="1148"/>
      <c r="H57" s="1148"/>
      <c r="I57" s="1148"/>
      <c r="J57" s="1148"/>
      <c r="K57" s="1148"/>
      <c r="N57" s="770"/>
      <c r="O57" s="633" t="s">
        <v>2443</v>
      </c>
      <c r="P57" s="633"/>
      <c r="Q57" s="932"/>
      <c r="R57" s="771"/>
    </row>
    <row r="58" spans="2:18" ht="15" customHeight="1" x14ac:dyDescent="0.25">
      <c r="B58" s="611"/>
      <c r="C58" s="86"/>
      <c r="D58" s="86"/>
      <c r="E58" s="86"/>
      <c r="F58" s="86"/>
      <c r="G58" s="86"/>
      <c r="H58" s="86"/>
      <c r="I58" s="86"/>
      <c r="J58" s="86"/>
      <c r="K58" s="86"/>
      <c r="N58" s="770"/>
      <c r="O58" s="1718"/>
      <c r="P58" s="1719"/>
      <c r="Q58" s="1720"/>
      <c r="R58" s="771"/>
    </row>
    <row r="59" spans="2:18" ht="15" customHeight="1" x14ac:dyDescent="0.25">
      <c r="B59" s="611"/>
      <c r="C59" s="1155" t="s">
        <v>3226</v>
      </c>
      <c r="D59" s="1155"/>
      <c r="E59" s="1155"/>
      <c r="F59" s="1796">
        <f>Revenue!C101</f>
        <v>0</v>
      </c>
      <c r="G59" s="1247"/>
      <c r="H59" s="1247"/>
      <c r="I59" s="25"/>
      <c r="J59" s="25"/>
      <c r="K59" s="25"/>
      <c r="N59" s="770"/>
      <c r="O59" s="1721"/>
      <c r="P59" s="1722"/>
      <c r="Q59" s="1723"/>
      <c r="R59" s="771"/>
    </row>
    <row r="60" spans="2:18" ht="15" customHeight="1" x14ac:dyDescent="0.25">
      <c r="B60" s="611"/>
      <c r="C60" s="1303" t="s">
        <v>3401</v>
      </c>
      <c r="D60" s="1303"/>
      <c r="E60" s="1303"/>
      <c r="F60" s="1760">
        <f>ROUNDUP(F59*0.15,0)</f>
        <v>0</v>
      </c>
      <c r="G60" s="1760"/>
      <c r="H60" s="1760"/>
      <c r="I60" s="94"/>
      <c r="J60" s="94"/>
      <c r="K60" s="94"/>
      <c r="N60" s="770"/>
      <c r="O60" s="1721"/>
      <c r="P60" s="1722"/>
      <c r="Q60" s="1723"/>
      <c r="R60" s="771"/>
    </row>
    <row r="61" spans="2:18" ht="15" customHeight="1" x14ac:dyDescent="0.25">
      <c r="B61" s="611"/>
      <c r="C61" s="1303" t="s">
        <v>3227</v>
      </c>
      <c r="D61" s="1303"/>
      <c r="E61" s="1303"/>
      <c r="F61" s="1866">
        <f>SUM(Revenue!N112:N114)</f>
        <v>0</v>
      </c>
      <c r="G61" s="1760"/>
      <c r="H61" s="1760"/>
      <c r="I61" s="94"/>
      <c r="J61" s="94"/>
      <c r="K61" s="94"/>
      <c r="N61" s="770"/>
      <c r="O61" s="1724"/>
      <c r="P61" s="1725"/>
      <c r="Q61" s="1726"/>
      <c r="R61" s="771"/>
    </row>
    <row r="62" spans="2:18" ht="15" customHeight="1" x14ac:dyDescent="0.25">
      <c r="B62" s="611"/>
      <c r="C62" s="1862" t="s">
        <v>3398</v>
      </c>
      <c r="D62" s="1862"/>
      <c r="E62" s="1862"/>
      <c r="F62" s="1863" t="str">
        <f>IF(F61&gt;=F60,"Yes","No")</f>
        <v>Yes</v>
      </c>
      <c r="G62" s="1864"/>
      <c r="H62" s="1864"/>
      <c r="I62" s="25"/>
      <c r="J62" s="25"/>
      <c r="N62" s="772"/>
      <c r="O62" s="773"/>
      <c r="P62" s="773"/>
      <c r="Q62" s="933"/>
      <c r="R62" s="774"/>
    </row>
    <row r="63" spans="2:18" ht="15" customHeight="1" x14ac:dyDescent="0.25">
      <c r="B63" s="611"/>
      <c r="C63" s="8"/>
      <c r="D63" s="8"/>
      <c r="E63" s="8"/>
      <c r="F63" s="8"/>
      <c r="G63" s="8"/>
      <c r="H63" s="25"/>
      <c r="I63" s="25"/>
      <c r="J63" s="25"/>
      <c r="Q63" s="4"/>
    </row>
    <row r="64" spans="2:18" ht="15" customHeight="1" x14ac:dyDescent="0.25">
      <c r="B64" s="611"/>
      <c r="C64" s="8"/>
      <c r="D64" s="8"/>
      <c r="E64" s="8"/>
      <c r="F64" s="8"/>
      <c r="G64" s="8"/>
      <c r="H64" s="25"/>
      <c r="I64" s="25"/>
      <c r="J64" s="25"/>
      <c r="Q64" s="4"/>
    </row>
    <row r="65" spans="2:18" ht="15" customHeight="1" x14ac:dyDescent="0.2">
      <c r="B65" s="746" t="s">
        <v>2678</v>
      </c>
      <c r="C65" s="1731" t="s">
        <v>3228</v>
      </c>
      <c r="D65" s="1731"/>
      <c r="E65" s="1731"/>
      <c r="F65" s="1731"/>
      <c r="G65" s="1731"/>
      <c r="H65" s="1731"/>
      <c r="I65" s="1731"/>
      <c r="J65" s="1731"/>
      <c r="K65" s="1731"/>
      <c r="N65" s="767"/>
      <c r="O65" s="768"/>
      <c r="P65" s="768"/>
      <c r="Q65" s="930"/>
      <c r="R65" s="769"/>
    </row>
    <row r="66" spans="2:18" ht="15" customHeight="1" x14ac:dyDescent="0.25">
      <c r="B66" s="611"/>
      <c r="C66" s="8"/>
      <c r="D66" s="8"/>
      <c r="E66" s="8"/>
      <c r="F66" s="8"/>
      <c r="G66" s="8"/>
      <c r="H66" s="8"/>
      <c r="I66" s="8"/>
      <c r="N66" s="770"/>
      <c r="O66" s="1776" t="s">
        <v>3230</v>
      </c>
      <c r="P66" s="1777"/>
      <c r="Q66" s="941"/>
      <c r="R66" s="771"/>
    </row>
    <row r="67" spans="2:18" ht="15" customHeight="1" x14ac:dyDescent="0.25">
      <c r="B67" s="611"/>
      <c r="C67" s="1148" t="s">
        <v>3229</v>
      </c>
      <c r="D67" s="1148"/>
      <c r="E67" s="1148"/>
      <c r="F67" s="1148"/>
      <c r="G67" s="1148"/>
      <c r="H67" s="1148"/>
      <c r="I67" s="1148"/>
      <c r="J67" s="1148"/>
      <c r="K67" s="1148"/>
      <c r="N67" s="770"/>
      <c r="O67" s="1776"/>
      <c r="P67" s="1776"/>
      <c r="Q67" s="931"/>
      <c r="R67" s="771"/>
    </row>
    <row r="68" spans="2:18" ht="15" customHeight="1" x14ac:dyDescent="0.25">
      <c r="B68" s="611"/>
      <c r="C68" s="1148"/>
      <c r="D68" s="1148"/>
      <c r="E68" s="1148"/>
      <c r="F68" s="1148"/>
      <c r="G68" s="1148"/>
      <c r="H68" s="1148"/>
      <c r="I68" s="1148"/>
      <c r="J68" s="1148"/>
      <c r="K68" s="1148"/>
      <c r="N68" s="770"/>
      <c r="O68" s="633" t="s">
        <v>2443</v>
      </c>
      <c r="P68" s="633"/>
      <c r="Q68" s="932"/>
      <c r="R68" s="771"/>
    </row>
    <row r="69" spans="2:18" ht="15" customHeight="1" x14ac:dyDescent="0.25">
      <c r="B69" s="611"/>
      <c r="C69" s="1148"/>
      <c r="D69" s="1148"/>
      <c r="E69" s="1148"/>
      <c r="F69" s="1148"/>
      <c r="G69" s="1148"/>
      <c r="H69" s="1148"/>
      <c r="I69" s="1148"/>
      <c r="J69" s="1148"/>
      <c r="K69" s="1148"/>
      <c r="N69" s="770"/>
      <c r="O69" s="968"/>
      <c r="P69" s="968"/>
      <c r="Q69" s="968"/>
      <c r="R69" s="771"/>
    </row>
    <row r="70" spans="2:18" ht="15" customHeight="1" x14ac:dyDescent="0.25">
      <c r="B70" s="611"/>
      <c r="C70" s="1148"/>
      <c r="D70" s="1148"/>
      <c r="E70" s="1148"/>
      <c r="F70" s="1148"/>
      <c r="G70" s="1148"/>
      <c r="H70" s="1148"/>
      <c r="I70" s="1148"/>
      <c r="J70" s="1148"/>
      <c r="K70" s="1148"/>
      <c r="N70" s="770"/>
      <c r="O70" s="1718"/>
      <c r="P70" s="1719"/>
      <c r="Q70" s="1720"/>
      <c r="R70" s="771"/>
    </row>
    <row r="71" spans="2:18" ht="15" customHeight="1" x14ac:dyDescent="0.25">
      <c r="B71" s="611"/>
      <c r="C71" s="1303"/>
      <c r="D71" s="1303"/>
      <c r="E71" s="1303"/>
      <c r="F71" s="1303"/>
      <c r="G71" s="1303"/>
      <c r="H71" s="1303"/>
      <c r="I71" s="94"/>
      <c r="J71" s="94"/>
      <c r="K71" s="94"/>
      <c r="N71" s="770"/>
      <c r="O71" s="1721"/>
      <c r="P71" s="1722"/>
      <c r="Q71" s="1723"/>
      <c r="R71" s="771"/>
    </row>
    <row r="72" spans="2:18" ht="15" customHeight="1" x14ac:dyDescent="0.25">
      <c r="B72" s="611"/>
      <c r="C72" s="1148" t="s">
        <v>2703</v>
      </c>
      <c r="D72" s="1388"/>
      <c r="E72" s="766">
        <f>SUM(Revenue!E109:F115)</f>
        <v>0</v>
      </c>
      <c r="F72" s="1857"/>
      <c r="G72" s="1303"/>
      <c r="H72" s="1303"/>
      <c r="I72" s="94"/>
      <c r="J72" s="94"/>
      <c r="K72" s="94"/>
      <c r="N72" s="770"/>
      <c r="O72" s="1721"/>
      <c r="P72" s="1722"/>
      <c r="Q72" s="1723"/>
      <c r="R72" s="771"/>
    </row>
    <row r="73" spans="2:18" ht="15" customHeight="1" x14ac:dyDescent="0.25">
      <c r="B73" s="611"/>
      <c r="C73" s="1149"/>
      <c r="D73" s="1149"/>
      <c r="E73" s="8"/>
      <c r="F73" s="8"/>
      <c r="G73" s="8"/>
      <c r="H73" s="25"/>
      <c r="I73" s="25"/>
      <c r="J73" s="25"/>
      <c r="N73" s="770"/>
      <c r="O73" s="1721"/>
      <c r="P73" s="1722"/>
      <c r="Q73" s="1723"/>
      <c r="R73" s="771"/>
    </row>
    <row r="74" spans="2:18" ht="15" customHeight="1" x14ac:dyDescent="0.25">
      <c r="B74" s="611"/>
      <c r="C74" s="1157" t="s">
        <v>3231</v>
      </c>
      <c r="D74" s="1157"/>
      <c r="E74" s="8"/>
      <c r="F74" s="8"/>
      <c r="G74" s="8"/>
      <c r="H74" s="25"/>
      <c r="I74" s="25"/>
      <c r="J74" s="25"/>
      <c r="N74" s="770"/>
      <c r="O74" s="1721"/>
      <c r="P74" s="1722"/>
      <c r="Q74" s="1723"/>
      <c r="R74" s="771"/>
    </row>
    <row r="75" spans="2:18" ht="15" customHeight="1" x14ac:dyDescent="0.25">
      <c r="B75" s="611"/>
      <c r="C75" s="1858" t="s">
        <v>3235</v>
      </c>
      <c r="D75" s="1859"/>
      <c r="E75" s="766">
        <f>ROUNDUP(E72,0)</f>
        <v>0</v>
      </c>
      <c r="F75" s="8"/>
      <c r="G75" s="8"/>
      <c r="H75" s="25"/>
      <c r="I75" s="25"/>
      <c r="J75" s="25"/>
      <c r="N75" s="770"/>
      <c r="O75" s="1721"/>
      <c r="P75" s="1722"/>
      <c r="Q75" s="1723"/>
      <c r="R75" s="771"/>
    </row>
    <row r="76" spans="2:18" ht="15" customHeight="1" thickBot="1" x14ac:dyDescent="0.3">
      <c r="B76" s="611"/>
      <c r="C76" s="1308" t="s">
        <v>3236</v>
      </c>
      <c r="D76" s="1395"/>
      <c r="E76" s="950">
        <v>11</v>
      </c>
      <c r="F76" s="8"/>
      <c r="G76" s="8"/>
      <c r="H76" s="25"/>
      <c r="I76" s="25"/>
      <c r="J76" s="25"/>
      <c r="N76" s="770"/>
      <c r="O76" s="1721"/>
      <c r="P76" s="1722"/>
      <c r="Q76" s="1723"/>
      <c r="R76" s="771"/>
    </row>
    <row r="77" spans="2:18" ht="15" customHeight="1" thickTop="1" x14ac:dyDescent="0.25">
      <c r="B77" s="611"/>
      <c r="C77" s="1860" t="s">
        <v>3232</v>
      </c>
      <c r="D77" s="1861"/>
      <c r="E77" s="125">
        <f>MIN(E75:E76)</f>
        <v>0</v>
      </c>
      <c r="F77" s="8"/>
      <c r="G77" s="8"/>
      <c r="H77" s="25"/>
      <c r="I77" s="25"/>
      <c r="J77" s="25"/>
      <c r="N77" s="770"/>
      <c r="O77" s="1721"/>
      <c r="P77" s="1722"/>
      <c r="Q77" s="1723"/>
      <c r="R77" s="771"/>
    </row>
    <row r="78" spans="2:18" ht="15" customHeight="1" x14ac:dyDescent="0.25">
      <c r="B78" s="611"/>
      <c r="C78" s="1759"/>
      <c r="D78" s="1759"/>
      <c r="E78" s="8"/>
      <c r="F78" s="8"/>
      <c r="G78" s="8"/>
      <c r="H78" s="25"/>
      <c r="I78" s="25"/>
      <c r="J78" s="25"/>
      <c r="N78" s="770"/>
      <c r="O78" s="1721"/>
      <c r="P78" s="1722"/>
      <c r="Q78" s="1723"/>
      <c r="R78" s="771"/>
    </row>
    <row r="79" spans="2:18" ht="15" customHeight="1" x14ac:dyDescent="0.25">
      <c r="B79" s="611"/>
      <c r="C79" s="1175" t="s">
        <v>3233</v>
      </c>
      <c r="D79" s="1176"/>
      <c r="E79" s="78">
        <f>SUMIF(Revenue!$N$47:$N$92, "811 PRA", Revenue!$C$47:$C$92)</f>
        <v>0</v>
      </c>
      <c r="F79" s="8"/>
      <c r="G79" s="8"/>
      <c r="H79" s="25"/>
      <c r="I79" s="25"/>
      <c r="J79" s="25"/>
      <c r="N79" s="770"/>
      <c r="O79" s="1721"/>
      <c r="P79" s="1722"/>
      <c r="Q79" s="1723"/>
      <c r="R79" s="771"/>
    </row>
    <row r="80" spans="2:18" ht="15" customHeight="1" x14ac:dyDescent="0.25">
      <c r="B80" s="611"/>
      <c r="C80" s="1175" t="s">
        <v>3234</v>
      </c>
      <c r="D80" s="1176"/>
      <c r="E80" s="78" t="str">
        <f>IF(E79=0,"N/A",IF(SUMIFS(Revenue!$C$47:$C$92,Revenue!$N$47:$N$92,"811 PRA",Revenue!$D$47:$D$92,1)=E79,"Yes","No"))</f>
        <v>N/A</v>
      </c>
      <c r="F80" s="8"/>
      <c r="G80" s="8"/>
      <c r="H80" s="25"/>
      <c r="I80" s="25"/>
      <c r="J80" s="25"/>
      <c r="N80" s="770"/>
      <c r="O80" s="1721"/>
      <c r="P80" s="1722"/>
      <c r="Q80" s="1723"/>
      <c r="R80" s="771"/>
    </row>
    <row r="81" spans="2:18" ht="15" customHeight="1" x14ac:dyDescent="0.25">
      <c r="B81" s="611"/>
      <c r="C81" s="1759"/>
      <c r="D81" s="1759"/>
      <c r="E81" s="8"/>
      <c r="F81" s="8"/>
      <c r="G81" s="8"/>
      <c r="H81" s="25"/>
      <c r="I81" s="25"/>
      <c r="J81" s="25"/>
      <c r="N81" s="770"/>
      <c r="O81" s="1721"/>
      <c r="P81" s="1722"/>
      <c r="Q81" s="1723"/>
      <c r="R81" s="771"/>
    </row>
    <row r="82" spans="2:18" ht="15" customHeight="1" x14ac:dyDescent="0.25">
      <c r="B82" s="611"/>
      <c r="C82" s="1759" t="s">
        <v>3399</v>
      </c>
      <c r="D82" s="1855"/>
      <c r="E82" s="969" t="str">
        <f>IF(AND(E79&gt;=E77,E80="Yes"),"Yes","No")</f>
        <v>No</v>
      </c>
      <c r="F82" s="8"/>
      <c r="G82" s="8"/>
      <c r="H82" s="25"/>
      <c r="I82" s="25"/>
      <c r="J82" s="25"/>
      <c r="N82" s="770"/>
      <c r="O82" s="1721"/>
      <c r="P82" s="1722"/>
      <c r="Q82" s="1723"/>
      <c r="R82" s="771"/>
    </row>
    <row r="83" spans="2:18" ht="15" customHeight="1" x14ac:dyDescent="0.25">
      <c r="B83" s="611"/>
      <c r="C83" s="1759"/>
      <c r="D83" s="1759"/>
      <c r="E83" s="8"/>
      <c r="F83" s="8"/>
      <c r="G83" s="8"/>
      <c r="H83" s="25"/>
      <c r="I83" s="25"/>
      <c r="J83" s="25"/>
      <c r="N83" s="770"/>
      <c r="O83" s="1721"/>
      <c r="P83" s="1722"/>
      <c r="Q83" s="1723"/>
      <c r="R83" s="771"/>
    </row>
    <row r="84" spans="2:18" ht="15" customHeight="1" x14ac:dyDescent="0.25">
      <c r="B84" s="611"/>
      <c r="C84" s="1301" t="s">
        <v>3237</v>
      </c>
      <c r="D84" s="1301"/>
      <c r="E84" s="131"/>
      <c r="F84" s="8"/>
      <c r="G84" s="8"/>
      <c r="H84" s="25"/>
      <c r="I84" s="25"/>
      <c r="J84" s="25"/>
      <c r="N84" s="770"/>
      <c r="O84" s="1721"/>
      <c r="P84" s="1722"/>
      <c r="Q84" s="1723"/>
      <c r="R84" s="771"/>
    </row>
    <row r="85" spans="2:18" ht="15" customHeight="1" x14ac:dyDescent="0.25">
      <c r="B85" s="611"/>
      <c r="C85" s="1858" t="s">
        <v>3239</v>
      </c>
      <c r="D85" s="1859"/>
      <c r="E85" s="328" t="str">
        <f>IF(OR($D$17="",$D$17="Input Census Tract"),"",ROUNDDOWN(VLOOKUP($D$17,Data!$AR$11:$BC$98,10,FALSE)*2*0.5*0.3/12,0))</f>
        <v/>
      </c>
      <c r="F85" s="8"/>
      <c r="G85" s="8"/>
      <c r="H85" s="25"/>
      <c r="I85" s="25"/>
      <c r="J85" s="25"/>
      <c r="N85" s="770"/>
      <c r="O85" s="1721"/>
      <c r="P85" s="1722"/>
      <c r="Q85" s="1723"/>
      <c r="R85" s="771"/>
    </row>
    <row r="86" spans="2:18" ht="15" customHeight="1" thickBot="1" x14ac:dyDescent="0.3">
      <c r="B86" s="611"/>
      <c r="C86" s="1308" t="s">
        <v>3240</v>
      </c>
      <c r="D86" s="1395"/>
      <c r="E86" s="327" t="str">
        <f>IF(OR($D$17="",$D$17="Input Census Tract"),"",VLOOKUP($D$17,Data!$BN$11:$BP$98,3,FALSE))</f>
        <v/>
      </c>
      <c r="F86" s="8"/>
      <c r="G86" s="8"/>
      <c r="H86" s="25"/>
      <c r="I86" s="25"/>
      <c r="J86" s="25"/>
      <c r="N86" s="770"/>
      <c r="O86" s="1721"/>
      <c r="P86" s="1722"/>
      <c r="Q86" s="1723"/>
      <c r="R86" s="771"/>
    </row>
    <row r="87" spans="2:18" ht="15" customHeight="1" thickTop="1" x14ac:dyDescent="0.25">
      <c r="B87" s="611"/>
      <c r="C87" s="1860" t="s">
        <v>3238</v>
      </c>
      <c r="D87" s="1861"/>
      <c r="E87" s="328">
        <f>MIN(E85:E86)</f>
        <v>0</v>
      </c>
      <c r="F87" s="8"/>
      <c r="G87" s="8"/>
      <c r="H87" s="25"/>
      <c r="I87" s="25"/>
      <c r="J87" s="25"/>
      <c r="N87" s="770"/>
      <c r="O87" s="1724"/>
      <c r="P87" s="1725"/>
      <c r="Q87" s="1726"/>
      <c r="R87" s="771"/>
    </row>
    <row r="88" spans="2:18" ht="15" customHeight="1" x14ac:dyDescent="0.25">
      <c r="B88" s="611"/>
      <c r="C88" s="1178" t="s">
        <v>3241</v>
      </c>
      <c r="D88" s="1389"/>
      <c r="E88" s="79" t="str">
        <f>_xlfn.XLOOKUP("811 PRA",Revenue!$N$47:$N$92,Revenue!$M$47:$M$92, "N/A")</f>
        <v>N/A</v>
      </c>
      <c r="F88" s="8"/>
      <c r="G88" s="8"/>
      <c r="H88" s="25"/>
      <c r="I88" s="25"/>
      <c r="J88" s="25"/>
      <c r="N88" s="772"/>
      <c r="O88" s="773"/>
      <c r="P88" s="773"/>
      <c r="Q88" s="773"/>
      <c r="R88" s="774"/>
    </row>
    <row r="89" spans="2:18" ht="15" customHeight="1" x14ac:dyDescent="0.25">
      <c r="B89" s="611"/>
      <c r="C89" s="8"/>
      <c r="D89" s="8"/>
      <c r="E89" s="8"/>
      <c r="F89" s="8"/>
      <c r="G89" s="8"/>
      <c r="H89" s="25"/>
      <c r="I89" s="25"/>
      <c r="J89" s="25"/>
    </row>
    <row r="90" spans="2:18" ht="15" customHeight="1" x14ac:dyDescent="0.25">
      <c r="B90" s="611"/>
      <c r="C90" s="8"/>
      <c r="D90" s="8"/>
      <c r="E90" s="8"/>
      <c r="F90" s="8"/>
      <c r="G90" s="8"/>
      <c r="H90" s="25"/>
      <c r="I90" s="25"/>
      <c r="J90" s="25"/>
    </row>
    <row r="91" spans="2:18" ht="15" customHeight="1" x14ac:dyDescent="0.2">
      <c r="B91" s="1748" t="s">
        <v>2475</v>
      </c>
      <c r="C91" s="1748"/>
      <c r="D91" s="1748"/>
      <c r="E91" s="1748"/>
      <c r="F91" s="1748"/>
      <c r="G91" s="1748"/>
      <c r="H91" s="1748"/>
      <c r="I91" s="1748"/>
      <c r="J91" s="1748"/>
      <c r="N91" s="1748" t="s">
        <v>2717</v>
      </c>
      <c r="O91" s="1748"/>
      <c r="P91" s="1748"/>
      <c r="Q91" s="1748"/>
      <c r="R91" s="1748"/>
    </row>
    <row r="92" spans="2:18" ht="3" customHeight="1" x14ac:dyDescent="0.2">
      <c r="B92" s="1749"/>
      <c r="C92" s="1749"/>
      <c r="D92" s="1749"/>
      <c r="E92" s="1749"/>
      <c r="F92" s="1749"/>
      <c r="G92" s="1749"/>
      <c r="H92" s="1749"/>
      <c r="I92" s="1749"/>
      <c r="J92" s="1749"/>
      <c r="K92" s="1749"/>
      <c r="L92" s="1749"/>
      <c r="N92" s="1749"/>
      <c r="O92" s="1749"/>
      <c r="P92" s="1749"/>
      <c r="Q92" s="1749"/>
      <c r="R92" s="1749"/>
    </row>
    <row r="93" spans="2:18" ht="15" customHeight="1" x14ac:dyDescent="0.25">
      <c r="B93" s="611"/>
      <c r="C93" s="8"/>
      <c r="D93" s="8"/>
      <c r="E93" s="8"/>
      <c r="F93" s="8"/>
      <c r="G93" s="8"/>
      <c r="H93" s="8"/>
      <c r="I93" s="8"/>
    </row>
    <row r="94" spans="2:18" ht="15" customHeight="1" x14ac:dyDescent="0.2">
      <c r="B94" s="746" t="s">
        <v>2476</v>
      </c>
      <c r="C94" s="1731" t="s">
        <v>2671</v>
      </c>
      <c r="D94" s="1731"/>
      <c r="E94" s="1731"/>
      <c r="F94" s="1731"/>
      <c r="G94" s="1731"/>
      <c r="H94" s="1731"/>
      <c r="I94" s="1731"/>
      <c r="J94" s="30"/>
      <c r="K94" s="30"/>
    </row>
    <row r="95" spans="2:18" ht="15" customHeight="1" x14ac:dyDescent="0.25">
      <c r="B95" s="611"/>
      <c r="C95" s="8"/>
      <c r="D95" s="8"/>
      <c r="E95" s="8"/>
      <c r="F95" s="8"/>
      <c r="G95" s="8"/>
      <c r="H95" s="8"/>
      <c r="I95" s="8"/>
    </row>
    <row r="96" spans="2:18" ht="15" customHeight="1" x14ac:dyDescent="0.25">
      <c r="B96" s="611"/>
      <c r="C96" s="1303" t="s">
        <v>3031</v>
      </c>
      <c r="D96" s="1303"/>
      <c r="E96" s="1303"/>
      <c r="F96" s="1303"/>
      <c r="G96" s="1303"/>
      <c r="H96" s="1303"/>
      <c r="I96" s="1303"/>
      <c r="J96" s="1303"/>
      <c r="K96" s="1303"/>
      <c r="N96" s="767"/>
      <c r="O96" s="768"/>
      <c r="P96" s="768"/>
      <c r="Q96" s="768"/>
      <c r="R96" s="769"/>
    </row>
    <row r="97" spans="2:18" ht="15" customHeight="1" x14ac:dyDescent="0.25">
      <c r="B97" s="611"/>
      <c r="C97" s="1303"/>
      <c r="D97" s="1303"/>
      <c r="E97" s="1303"/>
      <c r="F97" s="1303"/>
      <c r="G97" s="1303"/>
      <c r="H97" s="1303"/>
      <c r="I97" s="1303"/>
      <c r="J97" s="1303"/>
      <c r="K97" s="1303"/>
      <c r="N97" s="770"/>
      <c r="O97" s="1776" t="s">
        <v>2666</v>
      </c>
      <c r="P97" s="1777"/>
      <c r="Q97" s="78" t="str">
        <f>IF(OR(I106="",I106="No"),"No","Yes")</f>
        <v>No</v>
      </c>
      <c r="R97" s="771"/>
    </row>
    <row r="98" spans="2:18" ht="15" customHeight="1" x14ac:dyDescent="0.25">
      <c r="B98" s="611"/>
      <c r="C98" s="8"/>
      <c r="D98" s="8"/>
      <c r="E98" s="8"/>
      <c r="F98" s="8"/>
      <c r="G98" s="8"/>
      <c r="H98" s="8"/>
      <c r="I98" s="8"/>
      <c r="N98" s="770"/>
      <c r="O98" s="1730" t="s">
        <v>2718</v>
      </c>
      <c r="P98" s="1783"/>
      <c r="Q98" s="941"/>
      <c r="R98" s="771"/>
    </row>
    <row r="99" spans="2:18" ht="15" customHeight="1" x14ac:dyDescent="0.25">
      <c r="B99" s="611"/>
      <c r="C99" s="1155" t="s">
        <v>3032</v>
      </c>
      <c r="D99" s="1155"/>
      <c r="E99" s="1155"/>
      <c r="F99" s="1155"/>
      <c r="G99" s="1155"/>
      <c r="H99" s="1324"/>
      <c r="I99" s="355"/>
      <c r="N99" s="770"/>
      <c r="O99" s="633"/>
      <c r="P99" s="633"/>
      <c r="Q99" s="633"/>
      <c r="R99" s="771"/>
    </row>
    <row r="100" spans="2:18" ht="15" customHeight="1" x14ac:dyDescent="0.25">
      <c r="B100" s="611"/>
      <c r="C100" s="1155" t="s">
        <v>3033</v>
      </c>
      <c r="D100" s="1155"/>
      <c r="E100" s="1155"/>
      <c r="F100" s="1155"/>
      <c r="G100" s="1155"/>
      <c r="H100" s="1324"/>
      <c r="I100" s="355"/>
      <c r="N100" s="770"/>
      <c r="O100" s="633" t="s">
        <v>2443</v>
      </c>
      <c r="P100" s="633"/>
      <c r="Q100" s="633"/>
      <c r="R100" s="771"/>
    </row>
    <row r="101" spans="2:18" ht="15" customHeight="1" x14ac:dyDescent="0.25">
      <c r="B101" s="611"/>
      <c r="C101" s="1155" t="s">
        <v>3034</v>
      </c>
      <c r="D101" s="1155"/>
      <c r="E101" s="1155"/>
      <c r="F101" s="1155"/>
      <c r="G101" s="1155"/>
      <c r="H101" s="1324"/>
      <c r="I101" s="986" t="str">
        <f>IF(OR(Team!$E$334="Yes",Team!$E$355="Yes","Yes"),"Yes","No")</f>
        <v>No</v>
      </c>
      <c r="N101" s="770"/>
      <c r="O101" s="633"/>
      <c r="P101" s="633"/>
      <c r="Q101" s="633"/>
      <c r="R101" s="771"/>
    </row>
    <row r="102" spans="2:18" ht="15" customHeight="1" x14ac:dyDescent="0.25">
      <c r="B102" s="611"/>
      <c r="C102" s="1155" t="s">
        <v>2661</v>
      </c>
      <c r="D102" s="1155"/>
      <c r="E102" s="1155"/>
      <c r="F102" s="1155"/>
      <c r="G102" s="1155"/>
      <c r="H102" s="1324"/>
      <c r="I102" s="1247" t="str">
        <f>IF($I$218="Yes","N/A",IF(AND(Team!$E$318="",Team!$E$327=""),"",IF(Team!$E$327="",Team!$E$318,Team!$E$327)))</f>
        <v/>
      </c>
      <c r="J102" s="1247"/>
      <c r="K102" s="1247"/>
      <c r="N102" s="770"/>
      <c r="O102" s="1774"/>
      <c r="P102" s="1774"/>
      <c r="Q102" s="1774"/>
      <c r="R102" s="771"/>
    </row>
    <row r="103" spans="2:18" ht="15" customHeight="1" x14ac:dyDescent="0.25">
      <c r="B103" s="611"/>
      <c r="C103" s="1155" t="s">
        <v>3448</v>
      </c>
      <c r="D103" s="1155"/>
      <c r="E103" s="1155"/>
      <c r="F103" s="1155"/>
      <c r="G103" s="1155"/>
      <c r="H103" s="1324"/>
      <c r="I103" s="689"/>
      <c r="N103" s="770"/>
      <c r="O103" s="1774"/>
      <c r="P103" s="1774"/>
      <c r="Q103" s="1774"/>
      <c r="R103" s="771"/>
    </row>
    <row r="104" spans="2:18" ht="15" customHeight="1" x14ac:dyDescent="0.25">
      <c r="B104" s="611"/>
      <c r="C104" s="25"/>
      <c r="D104" s="25"/>
      <c r="E104" s="25"/>
      <c r="F104" s="25"/>
      <c r="G104" s="25"/>
      <c r="H104" s="25"/>
      <c r="I104" s="25"/>
      <c r="N104" s="770"/>
      <c r="O104" s="1774"/>
      <c r="P104" s="1774"/>
      <c r="Q104" s="1774"/>
      <c r="R104" s="771"/>
    </row>
    <row r="105" spans="2:18" ht="15" customHeight="1" x14ac:dyDescent="0.25">
      <c r="B105" s="611"/>
      <c r="C105" s="1296" t="s">
        <v>3062</v>
      </c>
      <c r="D105" s="1296"/>
      <c r="E105" s="1296"/>
      <c r="F105" s="1296"/>
      <c r="G105" s="1296"/>
      <c r="H105" s="1775"/>
      <c r="I105" s="203" t="str">
        <f>IF(AND(I99="Yes",I100="Yes",I101="No",I103="Yes"),"Yes","No")</f>
        <v>No</v>
      </c>
      <c r="J105" s="739"/>
      <c r="K105" s="739"/>
      <c r="N105" s="770"/>
      <c r="O105" s="1774"/>
      <c r="P105" s="1774"/>
      <c r="Q105" s="1774"/>
      <c r="R105" s="771"/>
    </row>
    <row r="106" spans="2:18" ht="15" customHeight="1" x14ac:dyDescent="0.25">
      <c r="B106" s="611"/>
      <c r="C106" s="1296" t="s">
        <v>3063</v>
      </c>
      <c r="D106" s="1296"/>
      <c r="E106" s="1296"/>
      <c r="F106" s="1296"/>
      <c r="G106" s="1296"/>
      <c r="H106" s="1775"/>
      <c r="I106" s="775"/>
      <c r="J106" s="739"/>
      <c r="K106" s="739"/>
      <c r="N106" s="770"/>
      <c r="O106" s="1774"/>
      <c r="P106" s="1774"/>
      <c r="Q106" s="1774"/>
      <c r="R106" s="771"/>
    </row>
    <row r="107" spans="2:18" ht="15" customHeight="1" x14ac:dyDescent="0.25">
      <c r="B107" s="611"/>
      <c r="C107" s="249"/>
      <c r="D107" s="249"/>
      <c r="E107" s="249"/>
      <c r="F107" s="249"/>
      <c r="G107" s="249"/>
      <c r="H107" s="249"/>
      <c r="I107" s="8"/>
      <c r="J107" s="739"/>
      <c r="K107" s="739"/>
      <c r="N107" s="772"/>
      <c r="O107" s="773"/>
      <c r="P107" s="773"/>
      <c r="Q107" s="773"/>
      <c r="R107" s="774"/>
    </row>
    <row r="108" spans="2:18" ht="15" customHeight="1" x14ac:dyDescent="0.25">
      <c r="B108" s="611"/>
      <c r="C108" s="249"/>
      <c r="D108" s="249"/>
      <c r="E108" s="249"/>
      <c r="F108" s="249"/>
      <c r="G108" s="249"/>
      <c r="H108" s="249"/>
      <c r="I108" s="8"/>
      <c r="J108" s="739"/>
      <c r="K108" s="739"/>
    </row>
    <row r="109" spans="2:18" ht="15" customHeight="1" x14ac:dyDescent="0.2">
      <c r="B109" s="746" t="s">
        <v>2477</v>
      </c>
      <c r="C109" s="1731" t="s">
        <v>3045</v>
      </c>
      <c r="D109" s="1731"/>
      <c r="E109" s="1731"/>
      <c r="F109" s="1731"/>
      <c r="G109" s="1731"/>
      <c r="H109" s="1731"/>
      <c r="I109" s="1731"/>
      <c r="J109" s="1731"/>
      <c r="K109" s="1731"/>
    </row>
    <row r="110" spans="2:18" ht="15" customHeight="1" x14ac:dyDescent="0.25">
      <c r="B110" s="611"/>
      <c r="C110" s="249"/>
      <c r="D110" s="249"/>
      <c r="E110" s="249"/>
      <c r="F110" s="249"/>
      <c r="G110" s="249"/>
      <c r="H110" s="249"/>
      <c r="I110" s="8"/>
      <c r="J110" s="739"/>
      <c r="K110" s="739"/>
    </row>
    <row r="111" spans="2:18" ht="15" customHeight="1" x14ac:dyDescent="0.25">
      <c r="B111" s="611"/>
      <c r="C111" s="1303" t="s">
        <v>3056</v>
      </c>
      <c r="D111" s="1303"/>
      <c r="E111" s="1303"/>
      <c r="F111" s="1303"/>
      <c r="G111" s="1303"/>
      <c r="H111" s="1303"/>
      <c r="I111" s="1303"/>
      <c r="J111" s="1303"/>
      <c r="K111" s="1303"/>
      <c r="N111" s="767"/>
      <c r="O111" s="768"/>
      <c r="P111" s="768"/>
      <c r="Q111" s="768"/>
      <c r="R111" s="769"/>
    </row>
    <row r="112" spans="2:18" ht="15" customHeight="1" x14ac:dyDescent="0.25">
      <c r="B112" s="611"/>
      <c r="C112" s="1303"/>
      <c r="D112" s="1303"/>
      <c r="E112" s="1303"/>
      <c r="F112" s="1303"/>
      <c r="G112" s="1303"/>
      <c r="H112" s="1303"/>
      <c r="I112" s="1303"/>
      <c r="J112" s="1303"/>
      <c r="K112" s="1303"/>
      <c r="N112" s="770"/>
      <c r="O112" s="1776" t="s">
        <v>3064</v>
      </c>
      <c r="P112" s="1777"/>
      <c r="Q112" s="78" t="str">
        <f>IF(OR(J134="",J134="No"),"No","Yes")</f>
        <v>No</v>
      </c>
      <c r="R112" s="771"/>
    </row>
    <row r="113" spans="2:18" ht="15" customHeight="1" x14ac:dyDescent="0.25">
      <c r="B113" s="611"/>
      <c r="C113" s="1303"/>
      <c r="D113" s="1303"/>
      <c r="E113" s="1303"/>
      <c r="F113" s="1303"/>
      <c r="G113" s="1303"/>
      <c r="H113" s="1303"/>
      <c r="I113" s="1303"/>
      <c r="J113" s="1303"/>
      <c r="K113" s="1303"/>
      <c r="N113" s="770"/>
      <c r="O113" s="1730" t="s">
        <v>3065</v>
      </c>
      <c r="P113" s="1730"/>
      <c r="Q113" s="941"/>
      <c r="R113" s="771"/>
    </row>
    <row r="114" spans="2:18" ht="15" customHeight="1" x14ac:dyDescent="0.25">
      <c r="B114" s="611"/>
      <c r="C114" s="1303"/>
      <c r="D114" s="1303"/>
      <c r="E114" s="1303"/>
      <c r="F114" s="1303"/>
      <c r="G114" s="1303"/>
      <c r="H114" s="1303"/>
      <c r="I114" s="1303"/>
      <c r="J114" s="1303"/>
      <c r="K114" s="1303"/>
      <c r="N114" s="770"/>
      <c r="O114" s="633"/>
      <c r="P114" s="633"/>
      <c r="Q114" s="633"/>
      <c r="R114" s="771"/>
    </row>
    <row r="115" spans="2:18" ht="15" customHeight="1" x14ac:dyDescent="0.25">
      <c r="B115" s="611"/>
      <c r="C115" s="1303"/>
      <c r="D115" s="1303"/>
      <c r="E115" s="1303"/>
      <c r="F115" s="1303"/>
      <c r="G115" s="1303"/>
      <c r="H115" s="1303"/>
      <c r="I115" s="1303"/>
      <c r="J115" s="1303"/>
      <c r="K115" s="1303"/>
      <c r="N115" s="770"/>
      <c r="O115" s="633" t="s">
        <v>2443</v>
      </c>
      <c r="P115" s="633"/>
      <c r="Q115" s="633"/>
      <c r="R115" s="771"/>
    </row>
    <row r="116" spans="2:18" ht="15" customHeight="1" x14ac:dyDescent="0.25">
      <c r="B116" s="611"/>
      <c r="C116" s="1303"/>
      <c r="D116" s="1303"/>
      <c r="E116" s="1303"/>
      <c r="F116" s="1303"/>
      <c r="G116" s="1303"/>
      <c r="H116" s="1303"/>
      <c r="I116" s="1303"/>
      <c r="J116" s="1303"/>
      <c r="K116" s="1303"/>
      <c r="N116" s="770"/>
      <c r="O116" s="633"/>
      <c r="P116" s="633"/>
      <c r="Q116" s="633"/>
      <c r="R116" s="771"/>
    </row>
    <row r="117" spans="2:18" ht="15" customHeight="1" x14ac:dyDescent="0.25">
      <c r="B117" s="611"/>
      <c r="C117" s="1303"/>
      <c r="D117" s="1303"/>
      <c r="E117" s="1303"/>
      <c r="F117" s="1303"/>
      <c r="G117" s="1303"/>
      <c r="H117" s="1303"/>
      <c r="I117" s="1303"/>
      <c r="J117" s="1303"/>
      <c r="K117" s="1303"/>
      <c r="N117" s="770"/>
      <c r="O117" s="1787"/>
      <c r="P117" s="1788"/>
      <c r="Q117" s="1789"/>
      <c r="R117" s="771"/>
    </row>
    <row r="118" spans="2:18" ht="15" customHeight="1" x14ac:dyDescent="0.25">
      <c r="B118" s="611"/>
      <c r="C118" s="94"/>
      <c r="D118" s="94"/>
      <c r="E118" s="94"/>
      <c r="F118" s="94"/>
      <c r="G118" s="94"/>
      <c r="H118" s="94"/>
      <c r="I118" s="94"/>
      <c r="J118" s="94"/>
      <c r="K118" s="94"/>
      <c r="N118" s="770"/>
      <c r="O118" s="1790"/>
      <c r="P118" s="1791"/>
      <c r="Q118" s="1792"/>
      <c r="R118" s="771"/>
    </row>
    <row r="119" spans="2:18" ht="15" customHeight="1" x14ac:dyDescent="0.25">
      <c r="B119" s="611"/>
      <c r="C119" s="1155" t="s">
        <v>3046</v>
      </c>
      <c r="D119" s="1155"/>
      <c r="E119" s="1155"/>
      <c r="F119" s="1155"/>
      <c r="G119" s="1155"/>
      <c r="H119" s="1155"/>
      <c r="I119" s="1324"/>
      <c r="J119" s="78" t="str">
        <f>IF(Details!$E$13="","Input Census Tract",VLOOKUP(Details!$E$13,Data!$B$11:$F$3178,5,FALSE))</f>
        <v>Input Census Tract</v>
      </c>
      <c r="N119" s="770"/>
      <c r="O119" s="1790"/>
      <c r="P119" s="1791"/>
      <c r="Q119" s="1792"/>
      <c r="R119" s="771"/>
    </row>
    <row r="120" spans="2:18" ht="15" customHeight="1" x14ac:dyDescent="0.25">
      <c r="B120" s="611"/>
      <c r="C120" s="1155" t="s">
        <v>3052</v>
      </c>
      <c r="D120" s="1155"/>
      <c r="E120" s="1155"/>
      <c r="F120" s="1155"/>
      <c r="G120" s="1155"/>
      <c r="H120" s="1155"/>
      <c r="I120" s="1324"/>
      <c r="J120" s="355"/>
      <c r="N120" s="770"/>
      <c r="O120" s="1790"/>
      <c r="P120" s="1791"/>
      <c r="Q120" s="1792"/>
      <c r="R120" s="771"/>
    </row>
    <row r="121" spans="2:18" ht="15" customHeight="1" x14ac:dyDescent="0.25">
      <c r="B121" s="611"/>
      <c r="C121" s="1155" t="s">
        <v>3058</v>
      </c>
      <c r="D121" s="1155"/>
      <c r="E121" s="1155"/>
      <c r="F121" s="1155"/>
      <c r="G121" s="1155"/>
      <c r="H121" s="1155"/>
      <c r="I121" s="1324"/>
      <c r="J121" s="355"/>
      <c r="N121" s="770"/>
      <c r="O121" s="1790"/>
      <c r="P121" s="1791"/>
      <c r="Q121" s="1792"/>
      <c r="R121" s="771"/>
    </row>
    <row r="122" spans="2:18" ht="15" customHeight="1" x14ac:dyDescent="0.25">
      <c r="B122" s="611"/>
      <c r="C122" s="1155" t="s">
        <v>3047</v>
      </c>
      <c r="D122" s="1155"/>
      <c r="E122" s="1155"/>
      <c r="F122" s="1155"/>
      <c r="G122" s="1155"/>
      <c r="H122" s="1155"/>
      <c r="I122" s="1324"/>
      <c r="J122" s="362"/>
      <c r="N122" s="770"/>
      <c r="O122" s="1790"/>
      <c r="P122" s="1791"/>
      <c r="Q122" s="1792"/>
      <c r="R122" s="771"/>
    </row>
    <row r="123" spans="2:18" ht="15" customHeight="1" x14ac:dyDescent="0.25">
      <c r="B123" s="611"/>
      <c r="C123" s="1236" t="s">
        <v>3048</v>
      </c>
      <c r="D123" s="1236"/>
      <c r="E123" s="1236"/>
      <c r="F123" s="1236"/>
      <c r="G123" s="1236"/>
      <c r="H123" s="1236"/>
      <c r="I123" s="1593"/>
      <c r="J123" s="78" t="str">
        <f>IF(J122="","",IF(J122&lt;EDATE(DATE(2025,2,26),-120),"Yes","No"))</f>
        <v/>
      </c>
      <c r="N123" s="770"/>
      <c r="O123" s="1790"/>
      <c r="P123" s="1791"/>
      <c r="Q123" s="1792"/>
      <c r="R123" s="771"/>
    </row>
    <row r="124" spans="2:18" ht="15" customHeight="1" x14ac:dyDescent="0.25">
      <c r="B124" s="611"/>
      <c r="C124" s="1236" t="s">
        <v>3049</v>
      </c>
      <c r="D124" s="1236"/>
      <c r="E124" s="1236"/>
      <c r="F124" s="1236"/>
      <c r="G124" s="1236"/>
      <c r="H124" s="1236"/>
      <c r="I124" s="1593"/>
      <c r="J124" s="355"/>
      <c r="N124" s="770"/>
      <c r="O124" s="1790"/>
      <c r="P124" s="1791"/>
      <c r="Q124" s="1792"/>
      <c r="R124" s="771"/>
    </row>
    <row r="125" spans="2:18" ht="15" customHeight="1" x14ac:dyDescent="0.25">
      <c r="B125" s="611"/>
      <c r="C125" s="1155" t="s">
        <v>3050</v>
      </c>
      <c r="D125" s="1155"/>
      <c r="E125" s="1155"/>
      <c r="F125" s="1155"/>
      <c r="G125" s="1155"/>
      <c r="H125" s="1155"/>
      <c r="I125" s="1324"/>
      <c r="J125" s="355"/>
      <c r="N125" s="770"/>
      <c r="O125" s="1790"/>
      <c r="P125" s="1791"/>
      <c r="Q125" s="1792"/>
      <c r="R125" s="771"/>
    </row>
    <row r="126" spans="2:18" ht="15" customHeight="1" x14ac:dyDescent="0.25">
      <c r="B126" s="611"/>
      <c r="C126" s="1236" t="s">
        <v>3053</v>
      </c>
      <c r="D126" s="1236"/>
      <c r="E126" s="1236"/>
      <c r="F126" s="1236"/>
      <c r="G126" s="1236"/>
      <c r="H126" s="1236"/>
      <c r="I126" s="1593"/>
      <c r="J126" s="355"/>
      <c r="N126" s="770"/>
      <c r="O126" s="1790"/>
      <c r="P126" s="1791"/>
      <c r="Q126" s="1792"/>
      <c r="R126" s="771"/>
    </row>
    <row r="127" spans="2:18" ht="15" customHeight="1" x14ac:dyDescent="0.25">
      <c r="B127" s="611"/>
      <c r="C127" s="1236" t="s">
        <v>3054</v>
      </c>
      <c r="D127" s="1236"/>
      <c r="E127" s="1236"/>
      <c r="F127" s="1236"/>
      <c r="G127" s="1236"/>
      <c r="H127" s="1236"/>
      <c r="I127" s="1593"/>
      <c r="J127" s="355"/>
      <c r="N127" s="770"/>
      <c r="O127" s="1790"/>
      <c r="P127" s="1791"/>
      <c r="Q127" s="1792"/>
      <c r="R127" s="771"/>
    </row>
    <row r="128" spans="2:18" ht="15" customHeight="1" x14ac:dyDescent="0.25">
      <c r="B128" s="611"/>
      <c r="C128" s="1236" t="s">
        <v>3055</v>
      </c>
      <c r="D128" s="1236"/>
      <c r="E128" s="1236"/>
      <c r="F128" s="1236"/>
      <c r="G128" s="1236"/>
      <c r="H128" s="1236"/>
      <c r="I128" s="1593"/>
      <c r="J128" s="355"/>
      <c r="N128" s="770"/>
      <c r="O128" s="1790"/>
      <c r="P128" s="1791"/>
      <c r="Q128" s="1792"/>
      <c r="R128" s="771"/>
    </row>
    <row r="129" spans="2:18" ht="15" customHeight="1" x14ac:dyDescent="0.25">
      <c r="B129" s="611"/>
      <c r="C129" s="1155" t="s">
        <v>3051</v>
      </c>
      <c r="D129" s="1155"/>
      <c r="E129" s="1155"/>
      <c r="F129" s="1155"/>
      <c r="G129" s="1155"/>
      <c r="H129" s="1155"/>
      <c r="I129" s="1324"/>
      <c r="J129" s="355"/>
      <c r="N129" s="770"/>
      <c r="O129" s="1790"/>
      <c r="P129" s="1791"/>
      <c r="Q129" s="1792"/>
      <c r="R129" s="771"/>
    </row>
    <row r="130" spans="2:18" ht="15" customHeight="1" x14ac:dyDescent="0.25">
      <c r="B130" s="611"/>
      <c r="C130" s="25" t="s">
        <v>3059</v>
      </c>
      <c r="D130" s="25"/>
      <c r="E130" s="25"/>
      <c r="F130" s="25"/>
      <c r="G130" s="25"/>
      <c r="H130" s="25"/>
      <c r="I130" s="883"/>
      <c r="J130" s="355"/>
      <c r="N130" s="770"/>
      <c r="O130" s="1790"/>
      <c r="P130" s="1791"/>
      <c r="Q130" s="1792"/>
      <c r="R130" s="771"/>
    </row>
    <row r="131" spans="2:18" ht="15" customHeight="1" x14ac:dyDescent="0.25">
      <c r="B131" s="611"/>
      <c r="C131" s="1155" t="s">
        <v>3057</v>
      </c>
      <c r="D131" s="1155"/>
      <c r="E131" s="1155"/>
      <c r="F131" s="1155"/>
      <c r="G131" s="1155"/>
      <c r="H131" s="1155"/>
      <c r="I131" s="1324"/>
      <c r="J131" s="355"/>
      <c r="K131" s="739"/>
      <c r="N131" s="770"/>
      <c r="O131" s="1790"/>
      <c r="P131" s="1791"/>
      <c r="Q131" s="1792"/>
      <c r="R131" s="771"/>
    </row>
    <row r="132" spans="2:18" ht="15" customHeight="1" x14ac:dyDescent="0.25">
      <c r="B132" s="611"/>
      <c r="C132" s="249"/>
      <c r="D132" s="249"/>
      <c r="E132" s="249"/>
      <c r="F132" s="249"/>
      <c r="G132" s="249"/>
      <c r="H132" s="249"/>
      <c r="I132" s="8"/>
      <c r="J132" s="739"/>
      <c r="K132" s="739"/>
      <c r="N132" s="770"/>
      <c r="O132" s="1790"/>
      <c r="P132" s="1791"/>
      <c r="Q132" s="1792"/>
      <c r="R132" s="771"/>
    </row>
    <row r="133" spans="2:18" ht="15" customHeight="1" x14ac:dyDescent="0.25">
      <c r="B133" s="611"/>
      <c r="C133" s="1296" t="s">
        <v>3060</v>
      </c>
      <c r="D133" s="1296"/>
      <c r="E133" s="1296"/>
      <c r="F133" s="1296"/>
      <c r="G133" s="1296"/>
      <c r="H133" s="1296"/>
      <c r="I133" s="1296"/>
      <c r="J133" s="925" t="str">
        <f>IF(AND(J119="Yes",J120="Yes",J121="Yes",OR(J123="No",AND(J123="Yes",J124="Yes")),J125="Yes",OR(J126="Yes",J127="Yes"),J128="Yes",J129="Yes",J130="No",J131="Yes"),"Yes","No")</f>
        <v>No</v>
      </c>
      <c r="K133" s="739"/>
      <c r="N133" s="770"/>
      <c r="O133" s="1793"/>
      <c r="P133" s="1794"/>
      <c r="Q133" s="1795"/>
      <c r="R133" s="771"/>
    </row>
    <row r="134" spans="2:18" ht="15" customHeight="1" x14ac:dyDescent="0.25">
      <c r="B134" s="611"/>
      <c r="C134" s="1296" t="s">
        <v>3061</v>
      </c>
      <c r="D134" s="1296"/>
      <c r="E134" s="1296"/>
      <c r="F134" s="1296"/>
      <c r="G134" s="1296"/>
      <c r="H134" s="1296"/>
      <c r="I134" s="1296"/>
      <c r="J134" s="775"/>
      <c r="K134" s="739"/>
      <c r="N134" s="772"/>
      <c r="O134" s="773"/>
      <c r="P134" s="773"/>
      <c r="Q134" s="773"/>
      <c r="R134" s="774"/>
    </row>
    <row r="135" spans="2:18" ht="15" customHeight="1" x14ac:dyDescent="0.25">
      <c r="B135" s="611"/>
      <c r="C135" s="249"/>
      <c r="D135" s="249"/>
      <c r="E135" s="249"/>
      <c r="F135" s="249"/>
      <c r="G135" s="249"/>
      <c r="H135" s="249"/>
      <c r="I135" s="8"/>
      <c r="J135" s="739"/>
      <c r="K135" s="739"/>
    </row>
    <row r="136" spans="2:18" ht="15" customHeight="1" x14ac:dyDescent="0.25">
      <c r="B136" s="611"/>
      <c r="C136" s="249"/>
      <c r="D136" s="249"/>
      <c r="E136" s="249"/>
      <c r="F136" s="249"/>
      <c r="G136" s="249"/>
      <c r="H136" s="249"/>
      <c r="I136" s="8"/>
      <c r="J136" s="739"/>
      <c r="K136" s="739"/>
    </row>
    <row r="137" spans="2:18" ht="15" customHeight="1" x14ac:dyDescent="0.2">
      <c r="B137" s="746" t="s">
        <v>2678</v>
      </c>
      <c r="C137" s="1731" t="s">
        <v>3067</v>
      </c>
      <c r="D137" s="1731"/>
      <c r="E137" s="1731"/>
      <c r="F137" s="1731"/>
      <c r="G137" s="1731"/>
      <c r="H137" s="1731"/>
      <c r="I137" s="1731"/>
      <c r="J137" s="1731"/>
      <c r="K137" s="1731"/>
    </row>
    <row r="138" spans="2:18" ht="15" customHeight="1" x14ac:dyDescent="0.25">
      <c r="B138" s="611"/>
      <c r="C138" s="8"/>
      <c r="D138" s="8"/>
      <c r="E138" s="8"/>
      <c r="F138" s="8"/>
      <c r="G138" s="8"/>
      <c r="H138" s="8"/>
      <c r="I138" s="8"/>
    </row>
    <row r="139" spans="2:18" ht="15" customHeight="1" x14ac:dyDescent="0.25">
      <c r="B139" s="611"/>
      <c r="C139" s="1303" t="s">
        <v>3073</v>
      </c>
      <c r="D139" s="1303"/>
      <c r="E139" s="1303"/>
      <c r="F139" s="1303"/>
      <c r="G139" s="1303"/>
      <c r="H139" s="1303"/>
      <c r="I139" s="1303"/>
      <c r="J139" s="1303"/>
      <c r="K139" s="1303"/>
      <c r="N139" s="767"/>
      <c r="O139" s="768"/>
      <c r="P139" s="768"/>
      <c r="Q139" s="768"/>
      <c r="R139" s="769"/>
    </row>
    <row r="140" spans="2:18" ht="15" customHeight="1" x14ac:dyDescent="0.25">
      <c r="B140" s="611"/>
      <c r="C140" s="1303"/>
      <c r="D140" s="1303"/>
      <c r="E140" s="1303"/>
      <c r="F140" s="1303"/>
      <c r="G140" s="1303"/>
      <c r="H140" s="1303"/>
      <c r="I140" s="1303"/>
      <c r="J140" s="1303"/>
      <c r="K140" s="1303"/>
      <c r="N140" s="770"/>
      <c r="O140" s="1776" t="s">
        <v>2731</v>
      </c>
      <c r="P140" s="1777"/>
      <c r="Q140" s="78" t="str">
        <f>IF(OR(I165="",I165="No"),"No","Yes")</f>
        <v>No</v>
      </c>
      <c r="R140" s="771"/>
    </row>
    <row r="141" spans="2:18" ht="15" customHeight="1" x14ac:dyDescent="0.25">
      <c r="B141" s="611"/>
      <c r="C141" s="1303"/>
      <c r="D141" s="1303"/>
      <c r="E141" s="1303"/>
      <c r="F141" s="1303"/>
      <c r="G141" s="1303"/>
      <c r="H141" s="1303"/>
      <c r="I141" s="1303"/>
      <c r="J141" s="1303"/>
      <c r="K141" s="1303"/>
      <c r="N141" s="770"/>
      <c r="O141" s="1730" t="s">
        <v>3446</v>
      </c>
      <c r="P141" s="1730"/>
      <c r="Q141" s="941"/>
      <c r="R141" s="771"/>
    </row>
    <row r="142" spans="2:18" ht="15" customHeight="1" x14ac:dyDescent="0.25">
      <c r="B142" s="611"/>
      <c r="C142" s="94"/>
      <c r="D142" s="94"/>
      <c r="E142" s="94"/>
      <c r="F142" s="94"/>
      <c r="G142" s="94"/>
      <c r="H142" s="94"/>
      <c r="I142" s="94"/>
      <c r="J142" s="94"/>
      <c r="K142" s="94"/>
      <c r="N142" s="770"/>
      <c r="O142" s="1730" t="s">
        <v>3447</v>
      </c>
      <c r="P142" s="1730"/>
      <c r="Q142" s="941"/>
      <c r="R142" s="771"/>
    </row>
    <row r="143" spans="2:18" ht="15" customHeight="1" x14ac:dyDescent="0.25">
      <c r="B143" s="611"/>
      <c r="C143" s="1303" t="s">
        <v>3072</v>
      </c>
      <c r="D143" s="1303"/>
      <c r="E143" s="1303"/>
      <c r="F143" s="1303"/>
      <c r="G143" s="1303"/>
      <c r="H143" s="1303"/>
      <c r="I143" s="1303"/>
      <c r="J143" s="1303"/>
      <c r="K143" s="1303"/>
      <c r="N143" s="770"/>
      <c r="O143" s="633"/>
      <c r="P143" s="633"/>
      <c r="Q143" s="891"/>
      <c r="R143" s="771"/>
    </row>
    <row r="144" spans="2:18" ht="15" customHeight="1" x14ac:dyDescent="0.25">
      <c r="B144" s="611"/>
      <c r="C144" s="1303" t="s">
        <v>3116</v>
      </c>
      <c r="D144" s="1303"/>
      <c r="E144" s="1303"/>
      <c r="F144" s="1303"/>
      <c r="G144" s="1303"/>
      <c r="H144" s="1303"/>
      <c r="I144" s="1303"/>
      <c r="J144" s="1303"/>
      <c r="K144" s="1303"/>
      <c r="N144" s="770"/>
      <c r="O144" s="633" t="s">
        <v>2443</v>
      </c>
      <c r="P144" s="633"/>
      <c r="Q144" s="633"/>
      <c r="R144" s="771"/>
    </row>
    <row r="145" spans="2:18" ht="15" customHeight="1" x14ac:dyDescent="0.25">
      <c r="B145" s="611"/>
      <c r="C145" s="1778" t="s">
        <v>3113</v>
      </c>
      <c r="D145" s="1778"/>
      <c r="E145" s="1778"/>
      <c r="F145" s="1778"/>
      <c r="G145" s="1778"/>
      <c r="H145" s="1778"/>
      <c r="I145" s="1778"/>
      <c r="J145" s="1778"/>
      <c r="K145" s="1778"/>
      <c r="N145" s="770"/>
      <c r="O145" s="633"/>
      <c r="P145" s="633"/>
      <c r="Q145" s="633"/>
      <c r="R145" s="771"/>
    </row>
    <row r="146" spans="2:18" ht="15" customHeight="1" x14ac:dyDescent="0.25">
      <c r="B146" s="611"/>
      <c r="C146" s="1778" t="s">
        <v>3117</v>
      </c>
      <c r="D146" s="1778"/>
      <c r="E146" s="1778"/>
      <c r="F146" s="1778"/>
      <c r="G146" s="1778"/>
      <c r="H146" s="1778"/>
      <c r="I146" s="1778"/>
      <c r="J146" s="1778"/>
      <c r="K146" s="1778"/>
      <c r="N146" s="770"/>
      <c r="O146" s="1718"/>
      <c r="P146" s="1719"/>
      <c r="Q146" s="1720"/>
      <c r="R146" s="771"/>
    </row>
    <row r="147" spans="2:18" ht="15" customHeight="1" x14ac:dyDescent="0.25">
      <c r="B147" s="611"/>
      <c r="C147" s="1778" t="s">
        <v>3068</v>
      </c>
      <c r="D147" s="1778"/>
      <c r="E147" s="1778"/>
      <c r="F147" s="1778"/>
      <c r="G147" s="1778"/>
      <c r="H147" s="1778"/>
      <c r="I147" s="1778"/>
      <c r="J147" s="1778"/>
      <c r="K147" s="1778"/>
      <c r="N147" s="770"/>
      <c r="O147" s="1721"/>
      <c r="P147" s="1722"/>
      <c r="Q147" s="1723"/>
      <c r="R147" s="771"/>
    </row>
    <row r="148" spans="2:18" ht="15" customHeight="1" x14ac:dyDescent="0.25">
      <c r="B148" s="611"/>
      <c r="C148" s="94"/>
      <c r="D148" s="94"/>
      <c r="E148" s="94"/>
      <c r="F148" s="94"/>
      <c r="G148" s="94"/>
      <c r="H148" s="94"/>
      <c r="I148" s="94"/>
      <c r="J148" s="94"/>
      <c r="K148" s="94"/>
      <c r="N148" s="770"/>
      <c r="O148" s="1721"/>
      <c r="P148" s="1722"/>
      <c r="Q148" s="1723"/>
      <c r="R148" s="771"/>
    </row>
    <row r="149" spans="2:18" ht="15" customHeight="1" x14ac:dyDescent="0.25">
      <c r="B149" s="611"/>
      <c r="C149" s="1148" t="s">
        <v>3071</v>
      </c>
      <c r="D149" s="1148"/>
      <c r="E149" s="1148"/>
      <c r="F149" s="1148"/>
      <c r="G149" s="1148"/>
      <c r="H149" s="1148"/>
      <c r="I149" s="1148"/>
      <c r="J149" s="1148"/>
      <c r="K149" s="1148"/>
      <c r="N149" s="770"/>
      <c r="O149" s="1721"/>
      <c r="P149" s="1722"/>
      <c r="Q149" s="1723"/>
      <c r="R149" s="771"/>
    </row>
    <row r="150" spans="2:18" ht="15" customHeight="1" x14ac:dyDescent="0.25">
      <c r="B150" s="611"/>
      <c r="C150" s="1852" t="s">
        <v>3114</v>
      </c>
      <c r="D150" s="1852"/>
      <c r="E150" s="1852"/>
      <c r="F150" s="1852"/>
      <c r="G150" s="1852"/>
      <c r="H150" s="1852"/>
      <c r="I150" s="1852"/>
      <c r="J150" s="1852"/>
      <c r="K150" s="1852"/>
      <c r="N150" s="770"/>
      <c r="O150" s="1721"/>
      <c r="P150" s="1722"/>
      <c r="Q150" s="1723"/>
      <c r="R150" s="771"/>
    </row>
    <row r="151" spans="2:18" ht="15" customHeight="1" x14ac:dyDescent="0.25">
      <c r="B151" s="611"/>
      <c r="C151" s="1852" t="s">
        <v>3115</v>
      </c>
      <c r="D151" s="1852"/>
      <c r="E151" s="1852"/>
      <c r="F151" s="1852"/>
      <c r="G151" s="1852"/>
      <c r="H151" s="1852"/>
      <c r="I151" s="1852"/>
      <c r="J151" s="1852"/>
      <c r="K151" s="1852"/>
      <c r="N151" s="770"/>
      <c r="O151" s="1721"/>
      <c r="P151" s="1722"/>
      <c r="Q151" s="1723"/>
      <c r="R151" s="771"/>
    </row>
    <row r="152" spans="2:18" ht="15" customHeight="1" x14ac:dyDescent="0.25">
      <c r="B152" s="611"/>
      <c r="C152" s="1852" t="s">
        <v>3069</v>
      </c>
      <c r="D152" s="1852"/>
      <c r="E152" s="1852"/>
      <c r="F152" s="1852"/>
      <c r="G152" s="1852"/>
      <c r="H152" s="1852"/>
      <c r="I152" s="1852"/>
      <c r="J152" s="1852"/>
      <c r="K152" s="1852"/>
      <c r="N152" s="770"/>
      <c r="O152" s="1721"/>
      <c r="P152" s="1722"/>
      <c r="Q152" s="1723"/>
      <c r="R152" s="771"/>
    </row>
    <row r="153" spans="2:18" ht="15" customHeight="1" x14ac:dyDescent="0.25">
      <c r="B153" s="611"/>
      <c r="C153" s="892"/>
      <c r="D153" s="892"/>
      <c r="E153" s="892"/>
      <c r="F153" s="892"/>
      <c r="G153" s="892"/>
      <c r="H153" s="892"/>
      <c r="I153" s="892"/>
      <c r="J153" s="892"/>
      <c r="K153" s="892"/>
      <c r="N153" s="770"/>
      <c r="O153" s="1721"/>
      <c r="P153" s="1722"/>
      <c r="Q153" s="1723"/>
      <c r="R153" s="771"/>
    </row>
    <row r="154" spans="2:18" ht="15" customHeight="1" x14ac:dyDescent="0.25">
      <c r="B154" s="611"/>
      <c r="C154" s="1148" t="s">
        <v>3070</v>
      </c>
      <c r="D154" s="1148"/>
      <c r="E154" s="1148"/>
      <c r="F154" s="1148"/>
      <c r="G154" s="1148"/>
      <c r="H154" s="1148"/>
      <c r="I154" s="1148"/>
      <c r="J154" s="1148"/>
      <c r="K154" s="1148"/>
      <c r="N154" s="770"/>
      <c r="O154" s="1721"/>
      <c r="P154" s="1722"/>
      <c r="Q154" s="1723"/>
      <c r="R154" s="771"/>
    </row>
    <row r="155" spans="2:18" ht="15" customHeight="1" x14ac:dyDescent="0.25">
      <c r="B155" s="611"/>
      <c r="C155" s="1148"/>
      <c r="D155" s="1148"/>
      <c r="E155" s="1148"/>
      <c r="F155" s="1148"/>
      <c r="G155" s="1148"/>
      <c r="H155" s="1148"/>
      <c r="I155" s="1148"/>
      <c r="J155" s="1148"/>
      <c r="K155" s="1148"/>
      <c r="N155" s="770"/>
      <c r="O155" s="1721"/>
      <c r="P155" s="1722"/>
      <c r="Q155" s="1723"/>
      <c r="R155" s="771"/>
    </row>
    <row r="156" spans="2:18" ht="15" customHeight="1" x14ac:dyDescent="0.25">
      <c r="B156" s="611"/>
      <c r="C156" s="8"/>
      <c r="D156" s="8"/>
      <c r="E156" s="8"/>
      <c r="F156" s="8"/>
      <c r="G156" s="8"/>
      <c r="H156" s="8"/>
      <c r="I156" s="8"/>
      <c r="N156" s="770"/>
      <c r="O156" s="1721"/>
      <c r="P156" s="1722"/>
      <c r="Q156" s="1723"/>
      <c r="R156" s="771"/>
    </row>
    <row r="157" spans="2:18" ht="15" customHeight="1" x14ac:dyDescent="0.25">
      <c r="B157" s="611"/>
      <c r="C157" s="1149" t="s">
        <v>3424</v>
      </c>
      <c r="D157" s="1149"/>
      <c r="E157" s="1149"/>
      <c r="F157" s="1149"/>
      <c r="G157" s="1149"/>
      <c r="H157" s="1149"/>
      <c r="I157" s="80" t="str">
        <f>IF(OR($D$17="",$D$17="Input Census Tract"),"",VLOOKUP(Details!$E$18,Data!$DC$11:$DD$98,2,FALSE))</f>
        <v/>
      </c>
      <c r="N157" s="770"/>
      <c r="O157" s="1721"/>
      <c r="P157" s="1722"/>
      <c r="Q157" s="1723"/>
      <c r="R157" s="771"/>
    </row>
    <row r="158" spans="2:18" ht="15" customHeight="1" x14ac:dyDescent="0.25">
      <c r="B158" s="611"/>
      <c r="C158" s="1149" t="s">
        <v>2720</v>
      </c>
      <c r="D158" s="1149"/>
      <c r="E158" s="1149"/>
      <c r="F158" s="1149"/>
      <c r="G158" s="1149"/>
      <c r="H158" s="1149"/>
      <c r="I158" s="8"/>
      <c r="N158" s="770"/>
      <c r="O158" s="1721"/>
      <c r="P158" s="1722"/>
      <c r="Q158" s="1723"/>
      <c r="R158" s="771"/>
    </row>
    <row r="159" spans="2:18" ht="15" customHeight="1" x14ac:dyDescent="0.25">
      <c r="B159" s="611"/>
      <c r="C159" s="1236" t="s">
        <v>2672</v>
      </c>
      <c r="D159" s="1236"/>
      <c r="E159" s="1236"/>
      <c r="F159" s="1236"/>
      <c r="G159" s="1236"/>
      <c r="H159" s="1236"/>
      <c r="I159" s="355"/>
      <c r="J159" s="1853" t="s">
        <v>2673</v>
      </c>
      <c r="K159" s="1854"/>
      <c r="N159" s="770"/>
      <c r="O159" s="1721"/>
      <c r="P159" s="1722"/>
      <c r="Q159" s="1723"/>
      <c r="R159" s="771"/>
    </row>
    <row r="160" spans="2:18" ht="15" customHeight="1" x14ac:dyDescent="0.25">
      <c r="B160" s="611"/>
      <c r="C160" s="1236" t="s">
        <v>2674</v>
      </c>
      <c r="D160" s="1236"/>
      <c r="E160" s="1236"/>
      <c r="F160" s="1236"/>
      <c r="G160" s="1236"/>
      <c r="H160" s="1236"/>
      <c r="I160" s="355"/>
      <c r="J160" s="1853"/>
      <c r="K160" s="1854"/>
      <c r="N160" s="770"/>
      <c r="O160" s="1721"/>
      <c r="P160" s="1722"/>
      <c r="Q160" s="1723"/>
      <c r="R160" s="771"/>
    </row>
    <row r="161" spans="2:18" ht="15" customHeight="1" x14ac:dyDescent="0.25">
      <c r="B161" s="611"/>
      <c r="C161" s="1236" t="s">
        <v>2675</v>
      </c>
      <c r="D161" s="1236"/>
      <c r="E161" s="1236"/>
      <c r="F161" s="1236"/>
      <c r="G161" s="1236"/>
      <c r="H161" s="1236"/>
      <c r="I161" s="355"/>
      <c r="J161" s="1853"/>
      <c r="K161" s="1854"/>
      <c r="N161" s="770"/>
      <c r="O161" s="1721"/>
      <c r="P161" s="1722"/>
      <c r="Q161" s="1723"/>
      <c r="R161" s="771"/>
    </row>
    <row r="162" spans="2:18" ht="15" customHeight="1" x14ac:dyDescent="0.25">
      <c r="B162" s="611"/>
      <c r="C162" s="1149" t="s">
        <v>2721</v>
      </c>
      <c r="D162" s="1149"/>
      <c r="E162" s="1149"/>
      <c r="F162" s="1149"/>
      <c r="G162" s="1149"/>
      <c r="H162" s="1149"/>
      <c r="I162" s="355"/>
      <c r="N162" s="770"/>
      <c r="O162" s="1721"/>
      <c r="P162" s="1722"/>
      <c r="Q162" s="1723"/>
      <c r="R162" s="771"/>
    </row>
    <row r="163" spans="2:18" ht="15" customHeight="1" x14ac:dyDescent="0.25">
      <c r="B163" s="611"/>
      <c r="C163" s="249"/>
      <c r="D163" s="249"/>
      <c r="E163" s="249"/>
      <c r="F163" s="249"/>
      <c r="G163" s="249"/>
      <c r="H163" s="249"/>
      <c r="N163" s="770"/>
      <c r="O163" s="1721"/>
      <c r="P163" s="1722"/>
      <c r="Q163" s="1723"/>
      <c r="R163" s="771"/>
    </row>
    <row r="164" spans="2:18" ht="15" customHeight="1" x14ac:dyDescent="0.25">
      <c r="B164" s="611"/>
      <c r="C164" s="1296" t="s">
        <v>3410</v>
      </c>
      <c r="D164" s="1296"/>
      <c r="E164" s="1296"/>
      <c r="F164" s="1296"/>
      <c r="G164" s="1296"/>
      <c r="H164" s="1775"/>
      <c r="I164" s="925" t="str">
        <f>IF(AND(OR(I159="Yes",I160="Yes",I161="Yes"),I162="Yes"),"Yes","No")</f>
        <v>No</v>
      </c>
      <c r="J164" s="620"/>
      <c r="N164" s="770"/>
      <c r="O164" s="1721"/>
      <c r="P164" s="1722"/>
      <c r="Q164" s="1723"/>
      <c r="R164" s="771"/>
    </row>
    <row r="165" spans="2:18" ht="15" customHeight="1" x14ac:dyDescent="0.25">
      <c r="B165" s="611"/>
      <c r="C165" s="1296" t="s">
        <v>3411</v>
      </c>
      <c r="D165" s="1296"/>
      <c r="E165" s="1296"/>
      <c r="F165" s="1296"/>
      <c r="G165" s="1296"/>
      <c r="H165" s="1775"/>
      <c r="I165" s="775"/>
      <c r="J165" s="957"/>
      <c r="N165" s="770"/>
      <c r="O165" s="1721"/>
      <c r="P165" s="1722"/>
      <c r="Q165" s="1723"/>
      <c r="R165" s="771"/>
    </row>
    <row r="166" spans="2:18" ht="15" customHeight="1" x14ac:dyDescent="0.25">
      <c r="B166" s="611"/>
      <c r="C166" s="249"/>
      <c r="D166" s="249"/>
      <c r="E166" s="249"/>
      <c r="F166" s="249"/>
      <c r="G166" s="249"/>
      <c r="H166" s="249"/>
      <c r="N166" s="770"/>
      <c r="O166" s="1721"/>
      <c r="P166" s="1722"/>
      <c r="Q166" s="1723"/>
      <c r="R166" s="771"/>
    </row>
    <row r="167" spans="2:18" ht="15" customHeight="1" x14ac:dyDescent="0.25">
      <c r="B167" s="611"/>
      <c r="C167" s="249"/>
      <c r="D167" s="1149" t="s">
        <v>3066</v>
      </c>
      <c r="E167" s="1149"/>
      <c r="F167" s="1149"/>
      <c r="G167" s="1149"/>
      <c r="H167" s="1149"/>
      <c r="I167" s="1149"/>
      <c r="J167" s="1149"/>
      <c r="K167" s="1149"/>
      <c r="N167" s="770"/>
      <c r="O167" s="1721"/>
      <c r="P167" s="1722"/>
      <c r="Q167" s="1723"/>
      <c r="R167" s="771"/>
    </row>
    <row r="168" spans="2:18" ht="15" customHeight="1" x14ac:dyDescent="0.25">
      <c r="B168" s="611"/>
      <c r="C168" s="249"/>
      <c r="D168" s="1764" t="s">
        <v>2676</v>
      </c>
      <c r="E168" s="1764"/>
      <c r="F168" s="1764"/>
      <c r="G168" s="1764"/>
      <c r="H168" s="1764"/>
      <c r="I168" s="1764"/>
      <c r="J168" s="744" t="s">
        <v>2677</v>
      </c>
      <c r="K168" s="745">
        <f>LEN(D171)</f>
        <v>0</v>
      </c>
      <c r="N168" s="770"/>
      <c r="O168" s="1721"/>
      <c r="P168" s="1722"/>
      <c r="Q168" s="1723"/>
      <c r="R168" s="771"/>
    </row>
    <row r="169" spans="2:18" ht="15" customHeight="1" x14ac:dyDescent="0.25">
      <c r="B169" s="611"/>
      <c r="C169" s="249"/>
      <c r="D169" s="249"/>
      <c r="E169" s="249"/>
      <c r="F169" s="249"/>
      <c r="G169" s="249"/>
      <c r="H169" s="249"/>
      <c r="N169" s="770"/>
      <c r="O169" s="1721"/>
      <c r="P169" s="1722"/>
      <c r="Q169" s="1723"/>
      <c r="R169" s="771"/>
    </row>
    <row r="170" spans="2:18" ht="15" customHeight="1" x14ac:dyDescent="0.25">
      <c r="B170" s="611"/>
      <c r="C170" s="249"/>
      <c r="D170" s="1765"/>
      <c r="E170" s="1766"/>
      <c r="F170" s="1766"/>
      <c r="G170" s="1766"/>
      <c r="H170" s="1766"/>
      <c r="I170" s="1766"/>
      <c r="J170" s="1766"/>
      <c r="K170" s="1767"/>
      <c r="N170" s="770"/>
      <c r="O170" s="1721"/>
      <c r="P170" s="1722"/>
      <c r="Q170" s="1723"/>
      <c r="R170" s="771"/>
    </row>
    <row r="171" spans="2:18" ht="15" customHeight="1" x14ac:dyDescent="0.25">
      <c r="B171" s="611"/>
      <c r="C171" s="249"/>
      <c r="D171" s="1768"/>
      <c r="E171" s="1769"/>
      <c r="F171" s="1769"/>
      <c r="G171" s="1769"/>
      <c r="H171" s="1769"/>
      <c r="I171" s="1769"/>
      <c r="J171" s="1769"/>
      <c r="K171" s="1770"/>
      <c r="N171" s="770"/>
      <c r="O171" s="1721"/>
      <c r="P171" s="1722"/>
      <c r="Q171" s="1723"/>
      <c r="R171" s="771"/>
    </row>
    <row r="172" spans="2:18" ht="15" customHeight="1" x14ac:dyDescent="0.25">
      <c r="B172" s="611"/>
      <c r="C172" s="249"/>
      <c r="D172" s="1768"/>
      <c r="E172" s="1769"/>
      <c r="F172" s="1769"/>
      <c r="G172" s="1769"/>
      <c r="H172" s="1769"/>
      <c r="I172" s="1769"/>
      <c r="J172" s="1769"/>
      <c r="K172" s="1770"/>
      <c r="N172" s="770"/>
      <c r="O172" s="1721"/>
      <c r="P172" s="1722"/>
      <c r="Q172" s="1723"/>
      <c r="R172" s="771"/>
    </row>
    <row r="173" spans="2:18" ht="15" customHeight="1" x14ac:dyDescent="0.25">
      <c r="B173" s="611"/>
      <c r="C173" s="249"/>
      <c r="D173" s="1768"/>
      <c r="E173" s="1769"/>
      <c r="F173" s="1769"/>
      <c r="G173" s="1769"/>
      <c r="H173" s="1769"/>
      <c r="I173" s="1769"/>
      <c r="J173" s="1769"/>
      <c r="K173" s="1770"/>
      <c r="N173" s="770"/>
      <c r="O173" s="1721"/>
      <c r="P173" s="1722"/>
      <c r="Q173" s="1723"/>
      <c r="R173" s="771"/>
    </row>
    <row r="174" spans="2:18" ht="15" customHeight="1" x14ac:dyDescent="0.25">
      <c r="B174" s="611"/>
      <c r="C174" s="249"/>
      <c r="D174" s="1768"/>
      <c r="E174" s="1769"/>
      <c r="F174" s="1769"/>
      <c r="G174" s="1769"/>
      <c r="H174" s="1769"/>
      <c r="I174" s="1769"/>
      <c r="J174" s="1769"/>
      <c r="K174" s="1770"/>
      <c r="N174" s="770"/>
      <c r="O174" s="1721"/>
      <c r="P174" s="1722"/>
      <c r="Q174" s="1723"/>
      <c r="R174" s="771"/>
    </row>
    <row r="175" spans="2:18" ht="15" customHeight="1" x14ac:dyDescent="0.25">
      <c r="B175" s="611"/>
      <c r="C175" s="249"/>
      <c r="D175" s="1768"/>
      <c r="E175" s="1769"/>
      <c r="F175" s="1769"/>
      <c r="G175" s="1769"/>
      <c r="H175" s="1769"/>
      <c r="I175" s="1769"/>
      <c r="J175" s="1769"/>
      <c r="K175" s="1770"/>
      <c r="N175" s="770"/>
      <c r="O175" s="1721"/>
      <c r="P175" s="1722"/>
      <c r="Q175" s="1723"/>
      <c r="R175" s="771"/>
    </row>
    <row r="176" spans="2:18" ht="15" customHeight="1" x14ac:dyDescent="0.25">
      <c r="B176" s="611"/>
      <c r="C176" s="249"/>
      <c r="D176" s="1768"/>
      <c r="E176" s="1769"/>
      <c r="F176" s="1769"/>
      <c r="G176" s="1769"/>
      <c r="H176" s="1769"/>
      <c r="I176" s="1769"/>
      <c r="J176" s="1769"/>
      <c r="K176" s="1770"/>
      <c r="N176" s="770"/>
      <c r="O176" s="1721"/>
      <c r="P176" s="1722"/>
      <c r="Q176" s="1723"/>
      <c r="R176" s="771"/>
    </row>
    <row r="177" spans="2:18" ht="15" customHeight="1" x14ac:dyDescent="0.25">
      <c r="B177" s="611"/>
      <c r="C177" s="249"/>
      <c r="D177" s="1768"/>
      <c r="E177" s="1769"/>
      <c r="F177" s="1769"/>
      <c r="G177" s="1769"/>
      <c r="H177" s="1769"/>
      <c r="I177" s="1769"/>
      <c r="J177" s="1769"/>
      <c r="K177" s="1770"/>
      <c r="N177" s="770"/>
      <c r="O177" s="1721"/>
      <c r="P177" s="1722"/>
      <c r="Q177" s="1723"/>
      <c r="R177" s="771"/>
    </row>
    <row r="178" spans="2:18" ht="15" customHeight="1" x14ac:dyDescent="0.25">
      <c r="B178" s="611"/>
      <c r="C178" s="249"/>
      <c r="D178" s="1768"/>
      <c r="E178" s="1769"/>
      <c r="F178" s="1769"/>
      <c r="G178" s="1769"/>
      <c r="H178" s="1769"/>
      <c r="I178" s="1769"/>
      <c r="J178" s="1769"/>
      <c r="K178" s="1770"/>
      <c r="N178" s="770"/>
      <c r="O178" s="1721"/>
      <c r="P178" s="1722"/>
      <c r="Q178" s="1723"/>
      <c r="R178" s="771"/>
    </row>
    <row r="179" spans="2:18" ht="15" customHeight="1" x14ac:dyDescent="0.25">
      <c r="B179" s="611"/>
      <c r="C179" s="249"/>
      <c r="D179" s="1768"/>
      <c r="E179" s="1769"/>
      <c r="F179" s="1769"/>
      <c r="G179" s="1769"/>
      <c r="H179" s="1769"/>
      <c r="I179" s="1769"/>
      <c r="J179" s="1769"/>
      <c r="K179" s="1770"/>
      <c r="N179" s="770"/>
      <c r="O179" s="1721"/>
      <c r="P179" s="1722"/>
      <c r="Q179" s="1723"/>
      <c r="R179" s="771"/>
    </row>
    <row r="180" spans="2:18" ht="15" customHeight="1" x14ac:dyDescent="0.25">
      <c r="B180" s="611"/>
      <c r="C180" s="249"/>
      <c r="D180" s="1768"/>
      <c r="E180" s="1769"/>
      <c r="F180" s="1769"/>
      <c r="G180" s="1769"/>
      <c r="H180" s="1769"/>
      <c r="I180" s="1769"/>
      <c r="J180" s="1769"/>
      <c r="K180" s="1770"/>
      <c r="N180" s="770"/>
      <c r="O180" s="1721"/>
      <c r="P180" s="1722"/>
      <c r="Q180" s="1723"/>
      <c r="R180" s="771"/>
    </row>
    <row r="181" spans="2:18" ht="15" customHeight="1" x14ac:dyDescent="0.25">
      <c r="B181" s="611"/>
      <c r="C181" s="249"/>
      <c r="D181" s="1768"/>
      <c r="E181" s="1769"/>
      <c r="F181" s="1769"/>
      <c r="G181" s="1769"/>
      <c r="H181" s="1769"/>
      <c r="I181" s="1769"/>
      <c r="J181" s="1769"/>
      <c r="K181" s="1770"/>
      <c r="N181" s="770"/>
      <c r="O181" s="1721"/>
      <c r="P181" s="1722"/>
      <c r="Q181" s="1723"/>
      <c r="R181" s="771"/>
    </row>
    <row r="182" spans="2:18" ht="15" customHeight="1" x14ac:dyDescent="0.25">
      <c r="B182" s="611"/>
      <c r="C182" s="249"/>
      <c r="D182" s="1768"/>
      <c r="E182" s="1769"/>
      <c r="F182" s="1769"/>
      <c r="G182" s="1769"/>
      <c r="H182" s="1769"/>
      <c r="I182" s="1769"/>
      <c r="J182" s="1769"/>
      <c r="K182" s="1770"/>
      <c r="N182" s="770"/>
      <c r="O182" s="1721"/>
      <c r="P182" s="1722"/>
      <c r="Q182" s="1723"/>
      <c r="R182" s="771"/>
    </row>
    <row r="183" spans="2:18" ht="15" customHeight="1" x14ac:dyDescent="0.25">
      <c r="B183" s="611"/>
      <c r="C183" s="249"/>
      <c r="D183" s="1768"/>
      <c r="E183" s="1769"/>
      <c r="F183" s="1769"/>
      <c r="G183" s="1769"/>
      <c r="H183" s="1769"/>
      <c r="I183" s="1769"/>
      <c r="J183" s="1769"/>
      <c r="K183" s="1770"/>
      <c r="N183" s="770"/>
      <c r="O183" s="1721"/>
      <c r="P183" s="1722"/>
      <c r="Q183" s="1723"/>
      <c r="R183" s="771"/>
    </row>
    <row r="184" spans="2:18" ht="15" customHeight="1" x14ac:dyDescent="0.25">
      <c r="B184" s="611"/>
      <c r="C184" s="249"/>
      <c r="D184" s="1768"/>
      <c r="E184" s="1769"/>
      <c r="F184" s="1769"/>
      <c r="G184" s="1769"/>
      <c r="H184" s="1769"/>
      <c r="I184" s="1769"/>
      <c r="J184" s="1769"/>
      <c r="K184" s="1770"/>
      <c r="N184" s="770"/>
      <c r="O184" s="1721"/>
      <c r="P184" s="1722"/>
      <c r="Q184" s="1723"/>
      <c r="R184" s="771"/>
    </row>
    <row r="185" spans="2:18" ht="15" customHeight="1" x14ac:dyDescent="0.25">
      <c r="B185" s="611"/>
      <c r="C185" s="249"/>
      <c r="D185" s="1768"/>
      <c r="E185" s="1769"/>
      <c r="F185" s="1769"/>
      <c r="G185" s="1769"/>
      <c r="H185" s="1769"/>
      <c r="I185" s="1769"/>
      <c r="J185" s="1769"/>
      <c r="K185" s="1770"/>
      <c r="N185" s="770"/>
      <c r="O185" s="1721"/>
      <c r="P185" s="1722"/>
      <c r="Q185" s="1723"/>
      <c r="R185" s="771"/>
    </row>
    <row r="186" spans="2:18" ht="15" customHeight="1" x14ac:dyDescent="0.25">
      <c r="B186" s="611"/>
      <c r="C186" s="249"/>
      <c r="D186" s="1768"/>
      <c r="E186" s="1769"/>
      <c r="F186" s="1769"/>
      <c r="G186" s="1769"/>
      <c r="H186" s="1769"/>
      <c r="I186" s="1769"/>
      <c r="J186" s="1769"/>
      <c r="K186" s="1770"/>
      <c r="N186" s="770"/>
      <c r="O186" s="1724"/>
      <c r="P186" s="1725"/>
      <c r="Q186" s="1726"/>
      <c r="R186" s="771"/>
    </row>
    <row r="187" spans="2:18" ht="15" customHeight="1" x14ac:dyDescent="0.25">
      <c r="B187" s="611"/>
      <c r="C187" s="249"/>
      <c r="D187" s="1771"/>
      <c r="E187" s="1772"/>
      <c r="F187" s="1772"/>
      <c r="G187" s="1772"/>
      <c r="H187" s="1772"/>
      <c r="I187" s="1772"/>
      <c r="J187" s="1772"/>
      <c r="K187" s="1773"/>
      <c r="N187" s="772"/>
      <c r="O187" s="773"/>
      <c r="P187" s="773"/>
      <c r="Q187" s="773"/>
      <c r="R187" s="774"/>
    </row>
    <row r="188" spans="2:18" ht="15" customHeight="1" x14ac:dyDescent="0.25">
      <c r="B188" s="611"/>
      <c r="C188" s="249"/>
      <c r="D188" s="249"/>
      <c r="E188" s="249"/>
      <c r="F188" s="249"/>
      <c r="G188" s="249"/>
      <c r="H188" s="249"/>
      <c r="I188" s="8"/>
      <c r="J188" s="739"/>
      <c r="K188" s="739"/>
    </row>
    <row r="189" spans="2:18" ht="15" customHeight="1" x14ac:dyDescent="0.25">
      <c r="B189" s="611"/>
      <c r="C189" s="8"/>
      <c r="D189" s="8"/>
      <c r="E189" s="8"/>
      <c r="F189" s="8"/>
      <c r="G189" s="8"/>
      <c r="H189" s="8"/>
      <c r="I189" s="8"/>
    </row>
    <row r="190" spans="2:18" ht="15" customHeight="1" x14ac:dyDescent="0.2">
      <c r="B190" s="1748" t="s">
        <v>2431</v>
      </c>
      <c r="C190" s="1748"/>
      <c r="D190" s="1748"/>
      <c r="E190" s="1748"/>
      <c r="F190" s="1748"/>
      <c r="G190" s="1748"/>
      <c r="H190" s="1748"/>
      <c r="I190" s="1748"/>
      <c r="J190" s="1748"/>
    </row>
    <row r="191" spans="2:18" ht="3" customHeight="1" x14ac:dyDescent="0.2">
      <c r="B191" s="1749"/>
      <c r="C191" s="1749"/>
      <c r="D191" s="1749"/>
      <c r="E191" s="1749"/>
      <c r="F191" s="1749"/>
      <c r="G191" s="1749"/>
      <c r="H191" s="1749"/>
      <c r="I191" s="1749"/>
      <c r="J191" s="1749"/>
      <c r="K191" s="1749"/>
      <c r="L191" s="1749"/>
    </row>
    <row r="192" spans="2:18" ht="15" customHeight="1" x14ac:dyDescent="0.25">
      <c r="B192" s="531"/>
      <c r="C192" s="8"/>
      <c r="D192" s="8"/>
      <c r="E192" s="8"/>
      <c r="F192" s="8"/>
      <c r="G192" s="8"/>
      <c r="H192" s="8"/>
      <c r="I192" s="8"/>
    </row>
    <row r="193" spans="2:12" ht="15" customHeight="1" x14ac:dyDescent="0.25">
      <c r="B193" s="614"/>
      <c r="C193" s="615"/>
      <c r="D193" s="616"/>
      <c r="E193" s="616"/>
      <c r="F193" s="616"/>
      <c r="G193" s="616"/>
      <c r="H193" s="616"/>
      <c r="I193" s="616"/>
      <c r="J193" s="616"/>
      <c r="K193" s="617"/>
      <c r="L193" s="618"/>
    </row>
    <row r="194" spans="2:12" ht="15" customHeight="1" x14ac:dyDescent="0.2">
      <c r="B194" s="619"/>
      <c r="C194" s="1856" t="s">
        <v>2708</v>
      </c>
      <c r="D194" s="1856"/>
      <c r="E194" s="1856"/>
      <c r="F194" s="1856"/>
      <c r="G194" s="1856"/>
      <c r="H194" s="1856"/>
      <c r="I194" s="1284"/>
      <c r="J194" s="1284"/>
      <c r="K194" s="76"/>
      <c r="L194" s="622"/>
    </row>
    <row r="195" spans="2:12" ht="15" customHeight="1" x14ac:dyDescent="0.2">
      <c r="B195" s="619"/>
      <c r="C195" s="621"/>
      <c r="D195" s="621"/>
      <c r="E195" s="620"/>
      <c r="F195" s="620"/>
      <c r="G195" s="620"/>
      <c r="H195" s="620"/>
      <c r="I195" s="620"/>
      <c r="J195" s="129"/>
      <c r="K195" s="129"/>
      <c r="L195" s="622"/>
    </row>
    <row r="196" spans="2:12" ht="15" customHeight="1" x14ac:dyDescent="0.2">
      <c r="B196" s="619"/>
      <c r="C196" s="1180" t="s">
        <v>2432</v>
      </c>
      <c r="D196" s="1180"/>
      <c r="E196" s="1180"/>
      <c r="F196" s="1180" t="s">
        <v>2433</v>
      </c>
      <c r="G196" s="1180"/>
      <c r="H196" s="1180"/>
      <c r="I196" s="1004" t="s">
        <v>2434</v>
      </c>
      <c r="J196" s="1004" t="s">
        <v>2435</v>
      </c>
      <c r="K196" s="1004" t="s">
        <v>301</v>
      </c>
      <c r="L196" s="622"/>
    </row>
    <row r="197" spans="2:12" ht="15" customHeight="1" x14ac:dyDescent="0.2">
      <c r="B197" s="619"/>
      <c r="C197" s="1150" t="s">
        <v>3415</v>
      </c>
      <c r="D197" s="1150"/>
      <c r="E197" s="1150"/>
      <c r="F197" s="1761">
        <v>40</v>
      </c>
      <c r="G197" s="1761"/>
      <c r="H197" s="1761"/>
      <c r="I197" s="920">
        <f>K218</f>
        <v>0</v>
      </c>
      <c r="J197" s="920">
        <f>Q217</f>
        <v>0</v>
      </c>
      <c r="K197" s="920">
        <f t="shared" ref="K197:K200" si="0">IFERROR(I197-J197,"")</f>
        <v>0</v>
      </c>
      <c r="L197" s="622"/>
    </row>
    <row r="198" spans="2:12" ht="15" customHeight="1" x14ac:dyDescent="0.2">
      <c r="B198" s="619"/>
      <c r="C198" s="1130" t="s">
        <v>2780</v>
      </c>
      <c r="D198" s="1131"/>
      <c r="E198" s="1132"/>
      <c r="F198" s="1784">
        <v>35</v>
      </c>
      <c r="G198" s="1785"/>
      <c r="H198" s="1786"/>
      <c r="I198" s="920">
        <f>K240</f>
        <v>0</v>
      </c>
      <c r="J198" s="920">
        <f>Q239</f>
        <v>0</v>
      </c>
      <c r="K198" s="920">
        <f t="shared" si="0"/>
        <v>0</v>
      </c>
      <c r="L198" s="622"/>
    </row>
    <row r="199" spans="2:12" ht="15" customHeight="1" thickBot="1" x14ac:dyDescent="0.25">
      <c r="B199" s="619"/>
      <c r="C199" s="1779" t="s">
        <v>2681</v>
      </c>
      <c r="D199" s="1779"/>
      <c r="E199" s="1779"/>
      <c r="F199" s="1780">
        <v>25</v>
      </c>
      <c r="G199" s="1780"/>
      <c r="H199" s="1780"/>
      <c r="I199" s="921">
        <f>K259</f>
        <v>0</v>
      </c>
      <c r="J199" s="921">
        <f>Q258</f>
        <v>0</v>
      </c>
      <c r="K199" s="921">
        <f t="shared" si="0"/>
        <v>0</v>
      </c>
      <c r="L199" s="622"/>
    </row>
    <row r="200" spans="2:12" ht="15" customHeight="1" thickTop="1" x14ac:dyDescent="0.2">
      <c r="B200" s="619"/>
      <c r="C200" s="1781" t="s">
        <v>2436</v>
      </c>
      <c r="D200" s="1781"/>
      <c r="E200" s="1781"/>
      <c r="F200" s="1782">
        <f>SUM(F197:H199)</f>
        <v>100</v>
      </c>
      <c r="G200" s="1782"/>
      <c r="H200" s="1782"/>
      <c r="I200" s="922">
        <f>SUM(I197:I199)</f>
        <v>0</v>
      </c>
      <c r="J200" s="922">
        <f>SUM(J197:J199)</f>
        <v>0</v>
      </c>
      <c r="K200" s="922">
        <f t="shared" si="0"/>
        <v>0</v>
      </c>
      <c r="L200" s="622"/>
    </row>
    <row r="201" spans="2:12" ht="15" customHeight="1" x14ac:dyDescent="0.2">
      <c r="B201" s="619"/>
      <c r="C201" s="94"/>
      <c r="D201" s="94"/>
      <c r="E201" s="94"/>
      <c r="F201" s="94"/>
      <c r="G201" s="94"/>
      <c r="H201" s="94"/>
      <c r="L201" s="622"/>
    </row>
    <row r="202" spans="2:12" ht="15" customHeight="1" x14ac:dyDescent="0.2">
      <c r="B202" s="619"/>
      <c r="C202" s="1231" t="s">
        <v>2437</v>
      </c>
      <c r="D202" s="1231"/>
      <c r="E202" s="1231"/>
      <c r="F202" s="1231" t="s">
        <v>2478</v>
      </c>
      <c r="G202" s="1231"/>
      <c r="H202" s="1231"/>
      <c r="I202" s="1031" t="s">
        <v>2438</v>
      </c>
      <c r="L202" s="622"/>
    </row>
    <row r="203" spans="2:12" ht="15" customHeight="1" x14ac:dyDescent="0.2">
      <c r="B203" s="619"/>
      <c r="C203" s="1234" t="s">
        <v>3074</v>
      </c>
      <c r="D203" s="1234"/>
      <c r="E203" s="1234"/>
      <c r="F203" s="1796" t="str">
        <f>I286</f>
        <v>Enter Census Tract</v>
      </c>
      <c r="G203" s="1796"/>
      <c r="H203" s="1796"/>
      <c r="I203" s="89">
        <f>Q278</f>
        <v>0</v>
      </c>
      <c r="J203" s="623"/>
      <c r="K203" s="623"/>
      <c r="L203" s="622"/>
    </row>
    <row r="204" spans="2:12" ht="15" customHeight="1" x14ac:dyDescent="0.2">
      <c r="B204" s="619"/>
      <c r="C204" s="1234" t="s">
        <v>3075</v>
      </c>
      <c r="D204" s="1234"/>
      <c r="E204" s="1234"/>
      <c r="F204" s="1796">
        <f t="shared" ref="F204:F206" si="1">I288</f>
        <v>0</v>
      </c>
      <c r="G204" s="1796"/>
      <c r="H204" s="1796"/>
      <c r="I204" s="89">
        <f t="shared" ref="I204:I208" si="2">Q279</f>
        <v>0</v>
      </c>
      <c r="J204" s="623"/>
      <c r="K204" s="623"/>
      <c r="L204" s="622"/>
    </row>
    <row r="205" spans="2:12" ht="15" customHeight="1" x14ac:dyDescent="0.2">
      <c r="B205" s="619"/>
      <c r="C205" s="1168" t="s">
        <v>3076</v>
      </c>
      <c r="D205" s="1169"/>
      <c r="E205" s="1170"/>
      <c r="F205" s="1763" t="str">
        <f t="shared" si="1"/>
        <v>Input Census Tract</v>
      </c>
      <c r="G205" s="1763"/>
      <c r="H205" s="1763"/>
      <c r="I205" s="893">
        <f t="shared" si="2"/>
        <v>0</v>
      </c>
      <c r="J205" s="623"/>
      <c r="K205" s="623"/>
      <c r="L205" s="622"/>
    </row>
    <row r="206" spans="2:12" ht="15" customHeight="1" x14ac:dyDescent="0.2">
      <c r="B206" s="619"/>
      <c r="C206" s="1168" t="s">
        <v>3077</v>
      </c>
      <c r="D206" s="1169"/>
      <c r="E206" s="1170"/>
      <c r="F206" s="1763" t="str">
        <f t="shared" si="1"/>
        <v>Input Census Tract</v>
      </c>
      <c r="G206" s="1763"/>
      <c r="H206" s="1763"/>
      <c r="I206" s="893">
        <f t="shared" si="2"/>
        <v>0</v>
      </c>
      <c r="J206" s="623"/>
      <c r="K206" s="623"/>
      <c r="L206" s="622"/>
    </row>
    <row r="207" spans="2:12" ht="15" customHeight="1" x14ac:dyDescent="0.2">
      <c r="B207" s="619"/>
      <c r="C207" s="1168" t="s">
        <v>3078</v>
      </c>
      <c r="D207" s="1169"/>
      <c r="E207" s="1170"/>
      <c r="F207" s="1763" t="str">
        <f>I293</f>
        <v>Input Census Tract</v>
      </c>
      <c r="G207" s="1763"/>
      <c r="H207" s="1763"/>
      <c r="I207" s="893">
        <f t="shared" si="2"/>
        <v>0</v>
      </c>
      <c r="J207" s="623"/>
      <c r="K207" s="623"/>
      <c r="L207" s="622"/>
    </row>
    <row r="208" spans="2:12" ht="15" customHeight="1" x14ac:dyDescent="0.2">
      <c r="B208" s="619"/>
      <c r="C208" s="1168" t="s">
        <v>3079</v>
      </c>
      <c r="D208" s="1169"/>
      <c r="E208" s="1170"/>
      <c r="F208" s="1762">
        <f>I294</f>
        <v>0</v>
      </c>
      <c r="G208" s="1762"/>
      <c r="H208" s="1762"/>
      <c r="I208" s="188">
        <f t="shared" si="2"/>
        <v>0</v>
      </c>
      <c r="J208" s="623"/>
      <c r="K208" s="623"/>
      <c r="L208" s="622"/>
    </row>
    <row r="209" spans="2:18" ht="15" customHeight="1" x14ac:dyDescent="0.2">
      <c r="B209" s="619"/>
      <c r="C209" s="1168" t="s">
        <v>3080</v>
      </c>
      <c r="D209" s="1169"/>
      <c r="E209" s="1170"/>
      <c r="F209" s="1798"/>
      <c r="G209" s="1799"/>
      <c r="H209" s="1800"/>
      <c r="I209" s="89">
        <f>Q284</f>
        <v>0</v>
      </c>
      <c r="J209" s="623"/>
      <c r="K209" s="623"/>
      <c r="L209" s="622"/>
    </row>
    <row r="210" spans="2:18" ht="15" customHeight="1" x14ac:dyDescent="0.2">
      <c r="B210" s="624"/>
      <c r="C210" s="625"/>
      <c r="D210" s="625"/>
      <c r="E210" s="592"/>
      <c r="F210" s="626"/>
      <c r="G210" s="626"/>
      <c r="H210" s="626"/>
      <c r="I210" s="593"/>
      <c r="J210" s="594"/>
      <c r="K210" s="594"/>
      <c r="L210" s="627"/>
    </row>
    <row r="211" spans="2:18" ht="15" customHeight="1" x14ac:dyDescent="0.25">
      <c r="C211" s="531"/>
      <c r="D211" s="8"/>
      <c r="E211" s="8"/>
      <c r="F211" s="8"/>
      <c r="G211" s="8"/>
      <c r="H211" s="8"/>
      <c r="I211" s="8"/>
      <c r="J211" s="8"/>
    </row>
    <row r="212" spans="2:18" ht="15" customHeight="1" x14ac:dyDescent="0.25">
      <c r="C212" s="531"/>
      <c r="D212" s="8"/>
      <c r="E212" s="8"/>
      <c r="F212" s="8"/>
      <c r="G212" s="8"/>
      <c r="H212" s="8"/>
      <c r="I212" s="8"/>
      <c r="J212" s="8"/>
    </row>
    <row r="213" spans="2:18" ht="15" customHeight="1" x14ac:dyDescent="0.2">
      <c r="B213" s="1748" t="s">
        <v>2439</v>
      </c>
      <c r="C213" s="1748"/>
      <c r="D213" s="1748"/>
      <c r="E213" s="1748"/>
      <c r="F213" s="1748"/>
      <c r="G213" s="1748"/>
      <c r="H213" s="1748"/>
      <c r="I213" s="1748"/>
      <c r="J213" s="1748"/>
      <c r="K213" s="1748"/>
      <c r="L213" s="1748"/>
      <c r="M213" s="609"/>
      <c r="N213" s="1748" t="s">
        <v>2440</v>
      </c>
      <c r="O213" s="1748"/>
      <c r="P213" s="1748"/>
      <c r="Q213" s="1748"/>
      <c r="R213" s="1748"/>
    </row>
    <row r="214" spans="2:18" ht="3" customHeight="1" x14ac:dyDescent="0.2">
      <c r="B214" s="1749"/>
      <c r="C214" s="1749"/>
      <c r="D214" s="1749"/>
      <c r="E214" s="1749"/>
      <c r="F214" s="1749"/>
      <c r="G214" s="1749"/>
      <c r="H214" s="1749"/>
      <c r="I214" s="1749"/>
      <c r="J214" s="1749"/>
      <c r="K214" s="1749"/>
      <c r="L214" s="1749"/>
      <c r="N214" s="1749"/>
      <c r="O214" s="1749"/>
      <c r="P214" s="1749"/>
      <c r="Q214" s="1749"/>
      <c r="R214" s="1749"/>
    </row>
    <row r="215" spans="2:18" ht="15" customHeight="1" x14ac:dyDescent="0.25">
      <c r="C215" s="531"/>
      <c r="D215" s="8"/>
      <c r="E215" s="8"/>
      <c r="F215" s="8"/>
      <c r="G215" s="8"/>
      <c r="H215" s="8"/>
      <c r="I215" s="8"/>
      <c r="J215" s="8"/>
      <c r="N215" s="1178"/>
      <c r="O215" s="1178"/>
    </row>
    <row r="216" spans="2:18" ht="15" customHeight="1" x14ac:dyDescent="0.25">
      <c r="B216" s="749"/>
      <c r="C216" s="750"/>
      <c r="D216" s="751"/>
      <c r="E216" s="751"/>
      <c r="F216" s="751"/>
      <c r="G216" s="751"/>
      <c r="H216" s="751"/>
      <c r="I216" s="751"/>
      <c r="J216" s="751"/>
      <c r="K216" s="762"/>
      <c r="L216" s="763"/>
      <c r="N216" s="767"/>
      <c r="O216" s="768"/>
      <c r="P216" s="768"/>
      <c r="Q216" s="768"/>
      <c r="R216" s="769"/>
    </row>
    <row r="217" spans="2:18" ht="15" customHeight="1" x14ac:dyDescent="0.2">
      <c r="B217" s="752"/>
      <c r="C217" s="1801" t="s">
        <v>3195</v>
      </c>
      <c r="D217" s="1801"/>
      <c r="E217" s="1801"/>
      <c r="F217" s="1801"/>
      <c r="G217" s="1801"/>
      <c r="H217" s="1801"/>
      <c r="I217" s="1802" t="s">
        <v>2441</v>
      </c>
      <c r="J217" s="1802"/>
      <c r="K217" s="893" t="str">
        <f>F235</f>
        <v/>
      </c>
      <c r="L217" s="757"/>
      <c r="N217" s="770"/>
      <c r="O217" s="1776" t="s">
        <v>3426</v>
      </c>
      <c r="P217" s="1776"/>
      <c r="Q217" s="894"/>
      <c r="R217" s="771"/>
    </row>
    <row r="218" spans="2:18" ht="15" customHeight="1" x14ac:dyDescent="0.2">
      <c r="B218" s="752"/>
      <c r="C218" s="753"/>
      <c r="D218" s="753"/>
      <c r="E218" s="754"/>
      <c r="F218" s="754"/>
      <c r="G218" s="754"/>
      <c r="H218" s="754"/>
      <c r="I218" s="1802" t="s">
        <v>2442</v>
      </c>
      <c r="J218" s="1802"/>
      <c r="K218" s="919"/>
      <c r="L218" s="757"/>
      <c r="N218" s="770"/>
      <c r="O218" s="633"/>
      <c r="P218" s="633"/>
      <c r="Q218" s="633"/>
      <c r="R218" s="771"/>
    </row>
    <row r="219" spans="2:18" ht="15" customHeight="1" x14ac:dyDescent="0.2">
      <c r="B219" s="752"/>
      <c r="C219" s="755" t="s">
        <v>3086</v>
      </c>
      <c r="D219" s="766">
        <v>40</v>
      </c>
      <c r="E219" s="755"/>
      <c r="F219" s="755"/>
      <c r="G219" s="755"/>
      <c r="H219" s="755"/>
      <c r="I219" s="755"/>
      <c r="J219" s="756"/>
      <c r="K219" s="756"/>
      <c r="L219" s="757"/>
      <c r="N219" s="770"/>
      <c r="O219" s="633" t="s">
        <v>2443</v>
      </c>
      <c r="P219" s="633"/>
      <c r="Q219" s="633"/>
      <c r="R219" s="771"/>
    </row>
    <row r="220" spans="2:18" ht="15" customHeight="1" x14ac:dyDescent="0.2">
      <c r="B220" s="752"/>
      <c r="C220" s="755"/>
      <c r="D220" s="755"/>
      <c r="E220" s="755"/>
      <c r="F220" s="755"/>
      <c r="G220" s="755"/>
      <c r="H220" s="755"/>
      <c r="I220" s="755"/>
      <c r="J220" s="756"/>
      <c r="K220" s="756"/>
      <c r="L220" s="757"/>
      <c r="N220" s="770"/>
      <c r="O220" s="633"/>
      <c r="P220" s="633"/>
      <c r="Q220" s="633"/>
      <c r="R220" s="771"/>
    </row>
    <row r="221" spans="2:18" ht="15" customHeight="1" x14ac:dyDescent="0.2">
      <c r="B221" s="752"/>
      <c r="C221" s="1803" t="s">
        <v>3196</v>
      </c>
      <c r="D221" s="1803"/>
      <c r="E221" s="1803"/>
      <c r="F221" s="1803"/>
      <c r="G221" s="1803"/>
      <c r="H221" s="1803"/>
      <c r="I221" s="1803"/>
      <c r="J221" s="1803"/>
      <c r="K221" s="1803"/>
      <c r="L221" s="757"/>
      <c r="N221" s="770"/>
      <c r="O221" s="1817"/>
      <c r="P221" s="1818"/>
      <c r="Q221" s="1819"/>
      <c r="R221" s="771"/>
    </row>
    <row r="222" spans="2:18" ht="15" customHeight="1" x14ac:dyDescent="0.2">
      <c r="B222" s="752"/>
      <c r="C222" s="1803"/>
      <c r="D222" s="1803"/>
      <c r="E222" s="1803"/>
      <c r="F222" s="1803"/>
      <c r="G222" s="1803"/>
      <c r="H222" s="1803"/>
      <c r="I222" s="1803"/>
      <c r="J222" s="1803"/>
      <c r="K222" s="1803"/>
      <c r="L222" s="757"/>
      <c r="N222" s="770"/>
      <c r="O222" s="1820"/>
      <c r="P222" s="1821"/>
      <c r="Q222" s="1822"/>
      <c r="R222" s="771"/>
    </row>
    <row r="223" spans="2:18" ht="15" customHeight="1" x14ac:dyDescent="0.2">
      <c r="B223" s="752"/>
      <c r="C223" s="1803"/>
      <c r="D223" s="1803"/>
      <c r="E223" s="1803"/>
      <c r="F223" s="1803"/>
      <c r="G223" s="1803"/>
      <c r="H223" s="1803"/>
      <c r="I223" s="1803"/>
      <c r="J223" s="1803"/>
      <c r="K223" s="1803"/>
      <c r="L223" s="757"/>
      <c r="N223" s="770"/>
      <c r="O223" s="1820"/>
      <c r="P223" s="1821"/>
      <c r="Q223" s="1822"/>
      <c r="R223" s="771"/>
    </row>
    <row r="224" spans="2:18" ht="15" customHeight="1" x14ac:dyDescent="0.2">
      <c r="B224" s="752"/>
      <c r="C224" s="1803"/>
      <c r="D224" s="1803"/>
      <c r="E224" s="1803"/>
      <c r="F224" s="1803"/>
      <c r="G224" s="1803"/>
      <c r="H224" s="1803"/>
      <c r="I224" s="1803"/>
      <c r="J224" s="1803"/>
      <c r="K224" s="1803"/>
      <c r="L224" s="757"/>
      <c r="N224" s="770"/>
      <c r="O224" s="1820"/>
      <c r="P224" s="1821"/>
      <c r="Q224" s="1822"/>
      <c r="R224" s="771"/>
    </row>
    <row r="225" spans="2:18" ht="15" customHeight="1" x14ac:dyDescent="0.2">
      <c r="B225" s="752"/>
      <c r="C225" s="1803"/>
      <c r="D225" s="1803"/>
      <c r="E225" s="1803"/>
      <c r="F225" s="1803"/>
      <c r="G225" s="1803"/>
      <c r="H225" s="1803"/>
      <c r="I225" s="1803"/>
      <c r="J225" s="1803"/>
      <c r="K225" s="1803"/>
      <c r="L225" s="757"/>
      <c r="N225" s="770"/>
      <c r="O225" s="1820"/>
      <c r="P225" s="1821"/>
      <c r="Q225" s="1822"/>
      <c r="R225" s="771"/>
    </row>
    <row r="226" spans="2:18" ht="15" customHeight="1" x14ac:dyDescent="0.2">
      <c r="B226" s="752"/>
      <c r="C226" s="755"/>
      <c r="D226" s="755"/>
      <c r="E226" s="755"/>
      <c r="F226" s="755"/>
      <c r="G226" s="755"/>
      <c r="H226" s="755"/>
      <c r="I226" s="755"/>
      <c r="J226" s="756"/>
      <c r="K226" s="756"/>
      <c r="L226" s="757"/>
      <c r="N226" s="770"/>
      <c r="O226" s="1820"/>
      <c r="P226" s="1821"/>
      <c r="Q226" s="1822"/>
      <c r="R226" s="771"/>
    </row>
    <row r="227" spans="2:18" ht="15" customHeight="1" x14ac:dyDescent="0.2">
      <c r="B227" s="752"/>
      <c r="C227" s="1826" t="s">
        <v>3084</v>
      </c>
      <c r="D227" s="1826"/>
      <c r="E227" s="1826"/>
      <c r="F227" s="1826"/>
      <c r="G227" s="1826"/>
      <c r="H227" s="1826"/>
      <c r="I227" s="1826"/>
      <c r="J227" s="1826"/>
      <c r="K227" s="1826"/>
      <c r="L227" s="757"/>
      <c r="N227" s="770"/>
      <c r="O227" s="1820"/>
      <c r="P227" s="1821"/>
      <c r="Q227" s="1822"/>
      <c r="R227" s="771"/>
    </row>
    <row r="228" spans="2:18" ht="15" customHeight="1" x14ac:dyDescent="0.2">
      <c r="B228" s="752"/>
      <c r="C228" s="1826"/>
      <c r="D228" s="1826"/>
      <c r="E228" s="1826"/>
      <c r="F228" s="1826"/>
      <c r="G228" s="1826"/>
      <c r="H228" s="1826"/>
      <c r="I228" s="1826"/>
      <c r="J228" s="1826"/>
      <c r="K228" s="1826"/>
      <c r="L228" s="757"/>
      <c r="N228" s="770"/>
      <c r="O228" s="1820"/>
      <c r="P228" s="1821"/>
      <c r="Q228" s="1822"/>
      <c r="R228" s="771"/>
    </row>
    <row r="229" spans="2:18" ht="15" customHeight="1" x14ac:dyDescent="0.2">
      <c r="B229" s="752"/>
      <c r="C229" s="1826"/>
      <c r="D229" s="1826"/>
      <c r="E229" s="1826"/>
      <c r="F229" s="1826"/>
      <c r="G229" s="1826"/>
      <c r="H229" s="1826"/>
      <c r="I229" s="1826"/>
      <c r="J229" s="1826"/>
      <c r="K229" s="1826"/>
      <c r="L229" s="757"/>
      <c r="N229" s="770"/>
      <c r="O229" s="1820"/>
      <c r="P229" s="1821"/>
      <c r="Q229" s="1822"/>
      <c r="R229" s="771"/>
    </row>
    <row r="230" spans="2:18" ht="15" customHeight="1" x14ac:dyDescent="0.2">
      <c r="B230" s="758"/>
      <c r="C230" s="759"/>
      <c r="D230" s="759"/>
      <c r="E230" s="759"/>
      <c r="F230" s="759"/>
      <c r="G230" s="759"/>
      <c r="H230" s="759"/>
      <c r="I230" s="759"/>
      <c r="J230" s="760"/>
      <c r="K230" s="760"/>
      <c r="L230" s="761"/>
      <c r="N230" s="770"/>
      <c r="O230" s="1820"/>
      <c r="P230" s="1821"/>
      <c r="Q230" s="1822"/>
      <c r="R230" s="771"/>
    </row>
    <row r="231" spans="2:18" ht="15" customHeight="1" x14ac:dyDescent="0.2">
      <c r="B231" s="619"/>
      <c r="C231" s="635"/>
      <c r="D231" s="635"/>
      <c r="E231" s="635"/>
      <c r="F231" s="635"/>
      <c r="G231" s="635"/>
      <c r="H231" s="635"/>
      <c r="I231" s="635"/>
      <c r="L231" s="622"/>
      <c r="N231" s="770"/>
      <c r="O231" s="1820"/>
      <c r="P231" s="1821"/>
      <c r="Q231" s="1822"/>
      <c r="R231" s="771"/>
    </row>
    <row r="232" spans="2:18" ht="15" customHeight="1" x14ac:dyDescent="0.2">
      <c r="B232" s="619"/>
      <c r="C232" s="1175" t="s">
        <v>3087</v>
      </c>
      <c r="D232" s="1175"/>
      <c r="E232" s="1176"/>
      <c r="F232" s="1816" t="str">
        <f>IF(Details!$E$13="","",Details!$E$13)</f>
        <v/>
      </c>
      <c r="G232" s="1816"/>
      <c r="H232" s="1816"/>
      <c r="I232" s="1816"/>
      <c r="J232" s="747"/>
      <c r="K232" s="748"/>
      <c r="L232" s="622"/>
      <c r="N232" s="770"/>
      <c r="O232" s="1820"/>
      <c r="P232" s="1821"/>
      <c r="Q232" s="1822"/>
      <c r="R232" s="771"/>
    </row>
    <row r="233" spans="2:18" ht="15" customHeight="1" x14ac:dyDescent="0.2">
      <c r="B233" s="619"/>
      <c r="C233" s="1175" t="s">
        <v>3088</v>
      </c>
      <c r="D233" s="1175"/>
      <c r="E233" s="1176"/>
      <c r="F233" s="1816" t="str">
        <f>IF(F232="","",CONCATENATE("Tract ",VLOOKUP(F232,Data!$B$11:$D$3178,2,FALSE),", ",VLOOKUP(F232,Data!$B$11:$D$3178,3,FALSE)," County"))</f>
        <v/>
      </c>
      <c r="G233" s="1816"/>
      <c r="H233" s="1816"/>
      <c r="I233" s="1816"/>
      <c r="J233" s="747"/>
      <c r="K233" s="748"/>
      <c r="L233" s="622"/>
      <c r="N233" s="770"/>
      <c r="O233" s="1820"/>
      <c r="P233" s="1821"/>
      <c r="Q233" s="1822"/>
      <c r="R233" s="771"/>
    </row>
    <row r="234" spans="2:18" ht="15" customHeight="1" x14ac:dyDescent="0.2">
      <c r="B234" s="619"/>
      <c r="C234" s="1175" t="s">
        <v>3197</v>
      </c>
      <c r="D234" s="1175"/>
      <c r="E234" s="1176"/>
      <c r="F234" s="1797" t="str">
        <f>IF(F232="","",(VLOOKUP(F232,Data!$B$11:$J$3178,6,FALSE)))</f>
        <v/>
      </c>
      <c r="G234" s="1797"/>
      <c r="H234" s="1797"/>
      <c r="I234" s="1797"/>
      <c r="J234" s="747"/>
      <c r="K234" s="748"/>
      <c r="L234" s="622"/>
      <c r="N234" s="770"/>
      <c r="O234" s="1820"/>
      <c r="P234" s="1821"/>
      <c r="Q234" s="1822"/>
      <c r="R234" s="771"/>
    </row>
    <row r="235" spans="2:18" ht="15" customHeight="1" x14ac:dyDescent="0.2">
      <c r="B235" s="619"/>
      <c r="C235" s="1175" t="s">
        <v>3089</v>
      </c>
      <c r="D235" s="1175"/>
      <c r="E235" s="1176"/>
      <c r="F235" s="1797" t="str">
        <f>IF(F232="","",F234*0.4)</f>
        <v/>
      </c>
      <c r="G235" s="1797"/>
      <c r="H235" s="1797"/>
      <c r="I235" s="1797"/>
      <c r="J235" s="747"/>
      <c r="K235" s="748"/>
      <c r="L235" s="622"/>
      <c r="N235" s="770"/>
      <c r="O235" s="1823"/>
      <c r="P235" s="1824"/>
      <c r="Q235" s="1825"/>
      <c r="R235" s="771"/>
    </row>
    <row r="236" spans="2:18" ht="15" customHeight="1" x14ac:dyDescent="0.25">
      <c r="B236" s="624"/>
      <c r="C236" s="636"/>
      <c r="D236" s="637"/>
      <c r="E236" s="637"/>
      <c r="F236" s="637"/>
      <c r="G236" s="637"/>
      <c r="H236" s="637"/>
      <c r="I236" s="637"/>
      <c r="J236" s="637"/>
      <c r="K236" s="628"/>
      <c r="L236" s="627"/>
      <c r="N236" s="772"/>
      <c r="O236" s="773"/>
      <c r="P236" s="773"/>
      <c r="Q236" s="773"/>
      <c r="R236" s="774"/>
    </row>
    <row r="237" spans="2:18" ht="15" customHeight="1" x14ac:dyDescent="0.25">
      <c r="C237" s="531"/>
      <c r="D237" s="8"/>
      <c r="E237" s="8"/>
      <c r="F237" s="8"/>
      <c r="G237" s="8"/>
      <c r="H237" s="8"/>
      <c r="I237" s="8"/>
      <c r="J237" s="8"/>
    </row>
    <row r="238" spans="2:18" ht="15" customHeight="1" x14ac:dyDescent="0.25">
      <c r="B238" s="661"/>
      <c r="C238" s="662"/>
      <c r="D238" s="663"/>
      <c r="E238" s="663"/>
      <c r="F238" s="663"/>
      <c r="G238" s="663"/>
      <c r="H238" s="663"/>
      <c r="I238" s="663"/>
      <c r="J238" s="663"/>
      <c r="K238" s="664"/>
      <c r="L238" s="665"/>
      <c r="N238" s="767"/>
      <c r="O238" s="768"/>
      <c r="P238" s="768"/>
      <c r="Q238" s="768"/>
      <c r="R238" s="769"/>
    </row>
    <row r="239" spans="2:18" ht="15" customHeight="1" x14ac:dyDescent="0.2">
      <c r="B239" s="666"/>
      <c r="C239" s="1804" t="s">
        <v>3104</v>
      </c>
      <c r="D239" s="1804"/>
      <c r="E239" s="1804"/>
      <c r="F239" s="674"/>
      <c r="G239" s="674"/>
      <c r="H239" s="674"/>
      <c r="I239" s="1805" t="s">
        <v>2441</v>
      </c>
      <c r="J239" s="1805"/>
      <c r="K239" s="893" t="str">
        <f>F254</f>
        <v/>
      </c>
      <c r="L239" s="672"/>
      <c r="N239" s="770"/>
      <c r="O239" s="1776" t="s">
        <v>3092</v>
      </c>
      <c r="P239" s="1776"/>
      <c r="Q239" s="917"/>
      <c r="R239" s="771"/>
    </row>
    <row r="240" spans="2:18" ht="15" customHeight="1" x14ac:dyDescent="0.2">
      <c r="B240" s="666"/>
      <c r="C240" s="675"/>
      <c r="D240" s="674"/>
      <c r="E240" s="674"/>
      <c r="F240" s="674"/>
      <c r="G240" s="674"/>
      <c r="H240" s="674"/>
      <c r="I240" s="1805" t="s">
        <v>2442</v>
      </c>
      <c r="J240" s="1805"/>
      <c r="K240" s="917"/>
      <c r="L240" s="672"/>
      <c r="N240" s="770"/>
      <c r="O240" s="633"/>
      <c r="P240" s="633"/>
      <c r="Q240" s="633"/>
      <c r="R240" s="771"/>
    </row>
    <row r="241" spans="2:18" ht="15" customHeight="1" x14ac:dyDescent="0.25">
      <c r="B241" s="666"/>
      <c r="C241" s="755" t="s">
        <v>3086</v>
      </c>
      <c r="D241" s="766">
        <v>35</v>
      </c>
      <c r="E241" s="667"/>
      <c r="F241" s="667"/>
      <c r="G241" s="667"/>
      <c r="H241" s="667"/>
      <c r="I241" s="667"/>
      <c r="J241" s="676"/>
      <c r="K241" s="668"/>
      <c r="L241" s="672"/>
      <c r="N241" s="770"/>
      <c r="O241" s="633" t="s">
        <v>2443</v>
      </c>
      <c r="P241" s="633"/>
      <c r="Q241" s="633"/>
      <c r="R241" s="771"/>
    </row>
    <row r="242" spans="2:18" ht="15" customHeight="1" x14ac:dyDescent="0.25">
      <c r="B242" s="666"/>
      <c r="C242" s="667"/>
      <c r="D242" s="667"/>
      <c r="E242" s="667"/>
      <c r="F242" s="667"/>
      <c r="G242" s="667"/>
      <c r="H242" s="667"/>
      <c r="I242" s="667"/>
      <c r="J242" s="676"/>
      <c r="K242" s="668"/>
      <c r="L242" s="672"/>
      <c r="N242" s="770"/>
      <c r="O242" s="633"/>
      <c r="P242" s="633"/>
      <c r="Q242" s="633"/>
      <c r="R242" s="771"/>
    </row>
    <row r="243" spans="2:18" ht="15" customHeight="1" x14ac:dyDescent="0.2">
      <c r="B243" s="666"/>
      <c r="C243" s="1806" t="s">
        <v>3090</v>
      </c>
      <c r="D243" s="1806"/>
      <c r="E243" s="1806"/>
      <c r="F243" s="1806"/>
      <c r="G243" s="1806"/>
      <c r="H243" s="1806"/>
      <c r="I243" s="1806"/>
      <c r="J243" s="1806"/>
      <c r="K243" s="1806"/>
      <c r="L243" s="672"/>
      <c r="N243" s="770"/>
      <c r="O243" s="1807"/>
      <c r="P243" s="1808"/>
      <c r="Q243" s="1809"/>
      <c r="R243" s="771"/>
    </row>
    <row r="244" spans="2:18" ht="15" customHeight="1" x14ac:dyDescent="0.2">
      <c r="B244" s="666"/>
      <c r="C244" s="1806"/>
      <c r="D244" s="1806"/>
      <c r="E244" s="1806"/>
      <c r="F244" s="1806"/>
      <c r="G244" s="1806"/>
      <c r="H244" s="1806"/>
      <c r="I244" s="1806"/>
      <c r="J244" s="1806"/>
      <c r="K244" s="1806"/>
      <c r="L244" s="672"/>
      <c r="N244" s="770"/>
      <c r="O244" s="1810"/>
      <c r="P244" s="1154"/>
      <c r="Q244" s="1811"/>
      <c r="R244" s="771"/>
    </row>
    <row r="245" spans="2:18" ht="15" customHeight="1" x14ac:dyDescent="0.2">
      <c r="B245" s="666"/>
      <c r="C245" s="1806"/>
      <c r="D245" s="1806"/>
      <c r="E245" s="1806"/>
      <c r="F245" s="1806"/>
      <c r="G245" s="1806"/>
      <c r="H245" s="1806"/>
      <c r="I245" s="1806"/>
      <c r="J245" s="1806"/>
      <c r="K245" s="1806"/>
      <c r="L245" s="672"/>
      <c r="N245" s="770"/>
      <c r="O245" s="1810"/>
      <c r="P245" s="1154"/>
      <c r="Q245" s="1811"/>
      <c r="R245" s="771"/>
    </row>
    <row r="246" spans="2:18" ht="15" customHeight="1" x14ac:dyDescent="0.2">
      <c r="B246" s="666"/>
      <c r="C246" s="1806"/>
      <c r="D246" s="1806"/>
      <c r="E246" s="1806"/>
      <c r="F246" s="1806"/>
      <c r="G246" s="1806"/>
      <c r="H246" s="1806"/>
      <c r="I246" s="1806"/>
      <c r="J246" s="1806"/>
      <c r="K246" s="1806"/>
      <c r="L246" s="672"/>
      <c r="N246" s="770"/>
      <c r="O246" s="1810"/>
      <c r="P246" s="1154"/>
      <c r="Q246" s="1811"/>
      <c r="R246" s="771"/>
    </row>
    <row r="247" spans="2:18" ht="15" customHeight="1" x14ac:dyDescent="0.2">
      <c r="B247" s="666"/>
      <c r="C247" s="1815" t="s">
        <v>3091</v>
      </c>
      <c r="D247" s="1815"/>
      <c r="E247" s="1815"/>
      <c r="F247" s="1815"/>
      <c r="G247" s="1815"/>
      <c r="H247" s="1815"/>
      <c r="I247" s="1815"/>
      <c r="J247" s="1815"/>
      <c r="K247" s="1815"/>
      <c r="L247" s="672"/>
      <c r="N247" s="770"/>
      <c r="O247" s="1810"/>
      <c r="P247" s="1154"/>
      <c r="Q247" s="1811"/>
      <c r="R247" s="771"/>
    </row>
    <row r="248" spans="2:18" ht="15" customHeight="1" x14ac:dyDescent="0.2">
      <c r="B248" s="666"/>
      <c r="C248" s="1815"/>
      <c r="D248" s="1815"/>
      <c r="E248" s="1815"/>
      <c r="F248" s="1815"/>
      <c r="G248" s="1815"/>
      <c r="H248" s="1815"/>
      <c r="I248" s="1815"/>
      <c r="J248" s="1815"/>
      <c r="K248" s="1815"/>
      <c r="L248" s="672"/>
      <c r="N248" s="770"/>
      <c r="O248" s="1810"/>
      <c r="P248" s="1154"/>
      <c r="Q248" s="1811"/>
      <c r="R248" s="771"/>
    </row>
    <row r="249" spans="2:18" ht="15" customHeight="1" x14ac:dyDescent="0.25">
      <c r="B249" s="666"/>
      <c r="C249" s="895"/>
      <c r="D249" s="895"/>
      <c r="E249" s="895"/>
      <c r="F249" s="895"/>
      <c r="G249" s="895"/>
      <c r="H249" s="895"/>
      <c r="I249" s="895"/>
      <c r="J249" s="676"/>
      <c r="K249" s="668"/>
      <c r="L249" s="672"/>
      <c r="N249" s="770"/>
      <c r="O249" s="1810"/>
      <c r="P249" s="1154"/>
      <c r="Q249" s="1811"/>
      <c r="R249" s="771"/>
    </row>
    <row r="250" spans="2:18" ht="15" customHeight="1" x14ac:dyDescent="0.25">
      <c r="B250" s="896"/>
      <c r="C250" s="897"/>
      <c r="D250" s="897"/>
      <c r="E250" s="897"/>
      <c r="F250" s="897"/>
      <c r="G250" s="897"/>
      <c r="H250" s="897"/>
      <c r="I250" s="897"/>
      <c r="J250" s="898"/>
      <c r="K250" s="899"/>
      <c r="L250" s="900"/>
      <c r="N250" s="770"/>
      <c r="O250" s="1810"/>
      <c r="P250" s="1154"/>
      <c r="Q250" s="1811"/>
      <c r="R250" s="771"/>
    </row>
    <row r="251" spans="2:18" ht="15" customHeight="1" x14ac:dyDescent="0.25">
      <c r="B251" s="901"/>
      <c r="C251" s="1175" t="s">
        <v>3087</v>
      </c>
      <c r="D251" s="1175"/>
      <c r="E251" s="1176"/>
      <c r="F251" s="1816" t="str">
        <f>IF(Details!$E$13="","",Details!$E$13)</f>
        <v/>
      </c>
      <c r="G251" s="1816"/>
      <c r="H251" s="1816"/>
      <c r="I251" s="1816"/>
      <c r="J251" s="8"/>
      <c r="L251" s="902"/>
      <c r="N251" s="770"/>
      <c r="O251" s="1810"/>
      <c r="P251" s="1154"/>
      <c r="Q251" s="1811"/>
      <c r="R251" s="771"/>
    </row>
    <row r="252" spans="2:18" ht="15" customHeight="1" x14ac:dyDescent="0.25">
      <c r="B252" s="901"/>
      <c r="C252" s="1175" t="s">
        <v>3088</v>
      </c>
      <c r="D252" s="1175"/>
      <c r="E252" s="1176"/>
      <c r="F252" s="1816" t="str">
        <f>IF(F251="","",CONCATENATE("Tract ",VLOOKUP(F251,Data!$B$11:$D$3178,2,FALSE),", ",VLOOKUP(F251,Data!$B$11:$D$3178,3,FALSE)," County"))</f>
        <v/>
      </c>
      <c r="G252" s="1816"/>
      <c r="H252" s="1816"/>
      <c r="I252" s="1816"/>
      <c r="J252" s="8"/>
      <c r="L252" s="902"/>
      <c r="N252" s="770"/>
      <c r="O252" s="1810"/>
      <c r="P252" s="1154"/>
      <c r="Q252" s="1811"/>
      <c r="R252" s="771"/>
    </row>
    <row r="253" spans="2:18" ht="15" customHeight="1" x14ac:dyDescent="0.25">
      <c r="B253" s="901"/>
      <c r="C253" s="1175" t="s">
        <v>3211</v>
      </c>
      <c r="D253" s="1175"/>
      <c r="E253" s="1176"/>
      <c r="F253" s="1797" t="str">
        <f>IF(F251="","",(VLOOKUP(F251,Data!$B$11:$J$3178,8,FALSE)))</f>
        <v/>
      </c>
      <c r="G253" s="1797"/>
      <c r="H253" s="1797"/>
      <c r="I253" s="1797"/>
      <c r="J253" s="8"/>
      <c r="L253" s="902"/>
      <c r="N253" s="770"/>
      <c r="O253" s="1810"/>
      <c r="P253" s="1154"/>
      <c r="Q253" s="1811"/>
      <c r="R253" s="771"/>
    </row>
    <row r="254" spans="2:18" ht="15" customHeight="1" x14ac:dyDescent="0.25">
      <c r="B254" s="901"/>
      <c r="C254" s="1175" t="s">
        <v>3212</v>
      </c>
      <c r="D254" s="1175"/>
      <c r="E254" s="1176"/>
      <c r="F254" s="1797" t="str">
        <f>IF(F251="","",F253*0.35)</f>
        <v/>
      </c>
      <c r="G254" s="1797"/>
      <c r="H254" s="1797"/>
      <c r="I254" s="1797"/>
      <c r="J254" s="8"/>
      <c r="L254" s="902"/>
      <c r="N254" s="770"/>
      <c r="O254" s="1812"/>
      <c r="P254" s="1813"/>
      <c r="Q254" s="1814"/>
      <c r="R254" s="771"/>
    </row>
    <row r="255" spans="2:18" ht="15" customHeight="1" x14ac:dyDescent="0.25">
      <c r="B255" s="903"/>
      <c r="C255" s="904"/>
      <c r="D255" s="904"/>
      <c r="E255" s="904"/>
      <c r="F255" s="904"/>
      <c r="G255" s="904"/>
      <c r="H255" s="904"/>
      <c r="I255" s="904"/>
      <c r="J255" s="905"/>
      <c r="K255" s="906"/>
      <c r="L255" s="907"/>
      <c r="N255" s="772"/>
      <c r="O255" s="908"/>
      <c r="P255" s="908"/>
      <c r="Q255" s="908"/>
      <c r="R255" s="774"/>
    </row>
    <row r="256" spans="2:18" ht="15" customHeight="1" x14ac:dyDescent="0.25">
      <c r="C256" s="531"/>
      <c r="D256" s="8"/>
      <c r="E256" s="8"/>
      <c r="F256" s="8"/>
      <c r="G256" s="8"/>
      <c r="H256" s="8"/>
      <c r="I256" s="8"/>
      <c r="J256" s="8"/>
    </row>
    <row r="257" spans="2:18" ht="15" customHeight="1" x14ac:dyDescent="0.25">
      <c r="B257" s="661"/>
      <c r="C257" s="662"/>
      <c r="D257" s="663"/>
      <c r="E257" s="663"/>
      <c r="F257" s="663"/>
      <c r="G257" s="663"/>
      <c r="H257" s="663"/>
      <c r="I257" s="663"/>
      <c r="J257" s="663"/>
      <c r="K257" s="664"/>
      <c r="L257" s="665"/>
      <c r="N257" s="629"/>
      <c r="O257" s="630"/>
      <c r="P257" s="630"/>
      <c r="Q257" s="630"/>
      <c r="R257" s="631"/>
    </row>
    <row r="258" spans="2:18" ht="15" customHeight="1" x14ac:dyDescent="0.2">
      <c r="B258" s="666"/>
      <c r="C258" s="1804" t="s">
        <v>3438</v>
      </c>
      <c r="D258" s="1804"/>
      <c r="E258" s="1804"/>
      <c r="F258" s="1804"/>
      <c r="G258" s="1804"/>
      <c r="H258" s="1804"/>
      <c r="I258" s="1805" t="s">
        <v>2441</v>
      </c>
      <c r="J258" s="1827"/>
      <c r="K258" s="918">
        <f>F274</f>
        <v>25</v>
      </c>
      <c r="L258" s="672"/>
      <c r="N258" s="632"/>
      <c r="O258" s="1776" t="s">
        <v>2704</v>
      </c>
      <c r="P258" s="1776"/>
      <c r="Q258" s="894"/>
      <c r="R258" s="634"/>
    </row>
    <row r="259" spans="2:18" ht="15" customHeight="1" x14ac:dyDescent="0.2">
      <c r="B259" s="666"/>
      <c r="C259" s="678"/>
      <c r="D259" s="674"/>
      <c r="E259" s="674"/>
      <c r="F259" s="674"/>
      <c r="G259" s="674"/>
      <c r="H259" s="674"/>
      <c r="I259" s="1805" t="s">
        <v>2442</v>
      </c>
      <c r="J259" s="1827"/>
      <c r="K259" s="917"/>
      <c r="L259" s="672"/>
      <c r="N259" s="632"/>
      <c r="O259" s="633"/>
      <c r="P259" s="633"/>
      <c r="Q259" s="633"/>
      <c r="R259" s="634"/>
    </row>
    <row r="260" spans="2:18" ht="15" customHeight="1" x14ac:dyDescent="0.2">
      <c r="B260" s="666"/>
      <c r="C260" s="755" t="s">
        <v>3086</v>
      </c>
      <c r="D260" s="766">
        <v>25</v>
      </c>
      <c r="E260" s="674"/>
      <c r="F260" s="674"/>
      <c r="G260" s="674"/>
      <c r="H260" s="674"/>
      <c r="I260" s="885"/>
      <c r="J260" s="885"/>
      <c r="K260" s="909"/>
      <c r="L260" s="672"/>
      <c r="N260" s="632"/>
      <c r="O260" s="633" t="s">
        <v>2443</v>
      </c>
      <c r="P260" s="633"/>
      <c r="Q260" s="633"/>
      <c r="R260" s="634"/>
    </row>
    <row r="261" spans="2:18" ht="15" customHeight="1" x14ac:dyDescent="0.2">
      <c r="B261" s="666"/>
      <c r="C261" s="678"/>
      <c r="D261" s="674"/>
      <c r="E261" s="674"/>
      <c r="F261" s="674"/>
      <c r="G261" s="674"/>
      <c r="H261" s="674"/>
      <c r="I261" s="885"/>
      <c r="J261" s="885"/>
      <c r="K261" s="909"/>
      <c r="L261" s="672"/>
      <c r="N261" s="632"/>
      <c r="O261" s="633"/>
      <c r="P261" s="633"/>
      <c r="Q261" s="633"/>
      <c r="R261" s="634"/>
    </row>
    <row r="262" spans="2:18" ht="15" customHeight="1" x14ac:dyDescent="0.2">
      <c r="B262" s="666"/>
      <c r="C262" s="1806" t="s">
        <v>3093</v>
      </c>
      <c r="D262" s="1806"/>
      <c r="E262" s="1806"/>
      <c r="F262" s="1806"/>
      <c r="G262" s="1806"/>
      <c r="H262" s="1806"/>
      <c r="I262" s="1806"/>
      <c r="J262" s="1806"/>
      <c r="K262" s="1806"/>
      <c r="L262" s="672"/>
      <c r="N262" s="632"/>
      <c r="O262" s="1828"/>
      <c r="P262" s="1390"/>
      <c r="Q262" s="1829"/>
      <c r="R262" s="634"/>
    </row>
    <row r="263" spans="2:18" ht="15" customHeight="1" x14ac:dyDescent="0.2">
      <c r="B263" s="666"/>
      <c r="C263" s="1806"/>
      <c r="D263" s="1806"/>
      <c r="E263" s="1806"/>
      <c r="F263" s="1806"/>
      <c r="G263" s="1806"/>
      <c r="H263" s="1806"/>
      <c r="I263" s="1806"/>
      <c r="J263" s="1806"/>
      <c r="K263" s="1806"/>
      <c r="L263" s="672"/>
      <c r="N263" s="632"/>
      <c r="O263" s="1830"/>
      <c r="P263" s="1178"/>
      <c r="Q263" s="1389"/>
      <c r="R263" s="634"/>
    </row>
    <row r="264" spans="2:18" ht="15" customHeight="1" x14ac:dyDescent="0.2">
      <c r="B264" s="666"/>
      <c r="C264" s="1806"/>
      <c r="D264" s="1806"/>
      <c r="E264" s="1806"/>
      <c r="F264" s="1806"/>
      <c r="G264" s="1806"/>
      <c r="H264" s="1806"/>
      <c r="I264" s="1806"/>
      <c r="J264" s="1806"/>
      <c r="K264" s="1806"/>
      <c r="L264" s="672"/>
      <c r="N264" s="632"/>
      <c r="O264" s="1830"/>
      <c r="P264" s="1178"/>
      <c r="Q264" s="1389"/>
      <c r="R264" s="634"/>
    </row>
    <row r="265" spans="2:18" ht="15" customHeight="1" x14ac:dyDescent="0.25">
      <c r="B265" s="666"/>
      <c r="C265" s="679"/>
      <c r="D265" s="679"/>
      <c r="E265" s="679"/>
      <c r="F265" s="679"/>
      <c r="G265" s="679"/>
      <c r="H265" s="679"/>
      <c r="I265" s="679"/>
      <c r="J265" s="764"/>
      <c r="K265" s="668"/>
      <c r="L265" s="672"/>
      <c r="N265" s="632"/>
      <c r="O265" s="1830"/>
      <c r="P265" s="1178"/>
      <c r="Q265" s="1389"/>
      <c r="R265" s="634"/>
    </row>
    <row r="266" spans="2:18" ht="15" customHeight="1" x14ac:dyDescent="0.2">
      <c r="B266" s="666"/>
      <c r="C266" s="1815" t="s">
        <v>3094</v>
      </c>
      <c r="D266" s="1815"/>
      <c r="E266" s="1815"/>
      <c r="F266" s="1815"/>
      <c r="G266" s="1815"/>
      <c r="H266" s="1815"/>
      <c r="I266" s="1815"/>
      <c r="J266" s="1815"/>
      <c r="K266" s="1815"/>
      <c r="L266" s="672"/>
      <c r="N266" s="632"/>
      <c r="O266" s="1830"/>
      <c r="P266" s="1178"/>
      <c r="Q266" s="1389"/>
      <c r="R266" s="634"/>
    </row>
    <row r="267" spans="2:18" ht="15" customHeight="1" x14ac:dyDescent="0.2">
      <c r="B267" s="666"/>
      <c r="C267" s="1815"/>
      <c r="D267" s="1815"/>
      <c r="E267" s="1815"/>
      <c r="F267" s="1815"/>
      <c r="G267" s="1815"/>
      <c r="H267" s="1815"/>
      <c r="I267" s="1815"/>
      <c r="J267" s="1815"/>
      <c r="K267" s="1815"/>
      <c r="L267" s="672"/>
      <c r="N267" s="632"/>
      <c r="O267" s="1830"/>
      <c r="P267" s="1178"/>
      <c r="Q267" s="1389"/>
      <c r="R267" s="634"/>
    </row>
    <row r="268" spans="2:18" ht="15" customHeight="1" x14ac:dyDescent="0.2">
      <c r="B268" s="666"/>
      <c r="C268" s="1815"/>
      <c r="D268" s="1815"/>
      <c r="E268" s="1815"/>
      <c r="F268" s="1815"/>
      <c r="G268" s="1815"/>
      <c r="H268" s="1815"/>
      <c r="I268" s="1815"/>
      <c r="J268" s="1815"/>
      <c r="K268" s="1815"/>
      <c r="L268" s="672"/>
      <c r="N268" s="632"/>
      <c r="O268" s="1830"/>
      <c r="P268" s="1178"/>
      <c r="Q268" s="1389"/>
      <c r="R268" s="634"/>
    </row>
    <row r="269" spans="2:18" ht="15" customHeight="1" x14ac:dyDescent="0.2">
      <c r="B269" s="671"/>
      <c r="C269" s="669"/>
      <c r="D269" s="669"/>
      <c r="E269" s="669"/>
      <c r="F269" s="669"/>
      <c r="G269" s="669"/>
      <c r="H269" s="669"/>
      <c r="I269" s="669"/>
      <c r="J269" s="680"/>
      <c r="K269" s="680"/>
      <c r="L269" s="673"/>
      <c r="N269" s="632"/>
      <c r="O269" s="1830"/>
      <c r="P269" s="1178"/>
      <c r="Q269" s="1389"/>
      <c r="R269" s="634"/>
    </row>
    <row r="270" spans="2:18" ht="15" customHeight="1" x14ac:dyDescent="0.25">
      <c r="B270" s="619"/>
      <c r="C270" s="531"/>
      <c r="D270" s="8"/>
      <c r="E270" s="8"/>
      <c r="F270" s="9"/>
      <c r="G270" s="9"/>
      <c r="H270" s="7"/>
      <c r="I270" s="7"/>
      <c r="J270" s="7"/>
      <c r="K270" s="18"/>
      <c r="L270" s="622"/>
      <c r="N270" s="632"/>
      <c r="O270" s="1830"/>
      <c r="P270" s="1178"/>
      <c r="Q270" s="1389"/>
      <c r="R270" s="634"/>
    </row>
    <row r="271" spans="2:18" ht="15" customHeight="1" x14ac:dyDescent="0.2">
      <c r="B271" s="619"/>
      <c r="C271" s="1833" t="s">
        <v>2444</v>
      </c>
      <c r="D271" s="1833"/>
      <c r="E271" s="1833"/>
      <c r="F271" s="1834">
        <f>SUM(Revenue!$E$110:$F$116)</f>
        <v>0</v>
      </c>
      <c r="G271" s="1834"/>
      <c r="H271" s="1834"/>
      <c r="I271" s="641"/>
      <c r="J271" s="641"/>
      <c r="K271" s="641"/>
      <c r="L271" s="622"/>
      <c r="N271" s="632"/>
      <c r="O271" s="1830"/>
      <c r="P271" s="1178"/>
      <c r="Q271" s="1389"/>
      <c r="R271" s="634"/>
    </row>
    <row r="272" spans="2:18" ht="15" customHeight="1" x14ac:dyDescent="0.2">
      <c r="B272" s="619"/>
      <c r="C272" s="1833" t="s">
        <v>2687</v>
      </c>
      <c r="D272" s="1833"/>
      <c r="E272" s="1833"/>
      <c r="F272" s="1835">
        <f>LIHTCs!$F$33</f>
        <v>0</v>
      </c>
      <c r="G272" s="1835"/>
      <c r="H272" s="1835"/>
      <c r="I272" s="642"/>
      <c r="J272" s="642"/>
      <c r="K272" s="641"/>
      <c r="L272" s="622"/>
      <c r="N272" s="632"/>
      <c r="O272" s="1830"/>
      <c r="P272" s="1178"/>
      <c r="Q272" s="1389"/>
      <c r="R272" s="634"/>
    </row>
    <row r="273" spans="2:18" ht="15" customHeight="1" x14ac:dyDescent="0.2">
      <c r="B273" s="619"/>
      <c r="C273" s="1833" t="s">
        <v>2688</v>
      </c>
      <c r="D273" s="1833"/>
      <c r="E273" s="1833"/>
      <c r="F273" s="1835">
        <f>IF(F271=0,0,F272/F271)</f>
        <v>0</v>
      </c>
      <c r="G273" s="1835"/>
      <c r="H273" s="1835"/>
      <c r="I273" s="642"/>
      <c r="J273" s="642"/>
      <c r="K273" s="641"/>
      <c r="L273" s="622"/>
      <c r="N273" s="632"/>
      <c r="O273" s="1830"/>
      <c r="P273" s="1178"/>
      <c r="Q273" s="1389"/>
      <c r="R273" s="634"/>
    </row>
    <row r="274" spans="2:18" ht="15" customHeight="1" x14ac:dyDescent="0.2">
      <c r="B274" s="619"/>
      <c r="C274" s="1315" t="s">
        <v>3095</v>
      </c>
      <c r="D274" s="1315"/>
      <c r="E274" s="1315"/>
      <c r="F274" s="1836">
        <f>MAX(0,MIN(25,((48252-F273)/20317)*25))</f>
        <v>25</v>
      </c>
      <c r="G274" s="1836"/>
      <c r="H274" s="1836"/>
      <c r="I274" s="642"/>
      <c r="J274" s="642"/>
      <c r="K274" s="641"/>
      <c r="L274" s="622"/>
      <c r="N274" s="632"/>
      <c r="O274" s="1831"/>
      <c r="P274" s="1678"/>
      <c r="Q274" s="1832"/>
      <c r="R274" s="634"/>
    </row>
    <row r="275" spans="2:18" ht="15" customHeight="1" x14ac:dyDescent="0.25">
      <c r="B275" s="624"/>
      <c r="C275" s="636"/>
      <c r="D275" s="637"/>
      <c r="E275" s="637"/>
      <c r="F275" s="637"/>
      <c r="G275" s="637"/>
      <c r="H275" s="637"/>
      <c r="I275" s="637"/>
      <c r="J275" s="637"/>
      <c r="K275" s="637"/>
      <c r="L275" s="627"/>
      <c r="N275" s="638"/>
      <c r="O275" s="639"/>
      <c r="P275" s="639"/>
      <c r="Q275" s="639"/>
      <c r="R275" s="640"/>
    </row>
    <row r="276" spans="2:18" ht="15" customHeight="1" x14ac:dyDescent="0.25">
      <c r="C276" s="531"/>
      <c r="D276" s="8"/>
      <c r="E276" s="8"/>
      <c r="F276" s="8"/>
      <c r="G276" s="8"/>
      <c r="H276" s="8"/>
      <c r="I276" s="8"/>
      <c r="J276" s="8"/>
      <c r="K276" s="8"/>
    </row>
    <row r="277" spans="2:18" ht="15" customHeight="1" x14ac:dyDescent="0.25">
      <c r="B277" s="661"/>
      <c r="C277" s="662"/>
      <c r="D277" s="663"/>
      <c r="E277" s="663"/>
      <c r="F277" s="751"/>
      <c r="G277" s="663"/>
      <c r="H277" s="663"/>
      <c r="I277" s="663"/>
      <c r="J277" s="663"/>
      <c r="K277" s="664"/>
      <c r="L277" s="665"/>
      <c r="N277" s="629"/>
      <c r="O277" s="630"/>
      <c r="P277" s="630"/>
      <c r="Q277" s="630"/>
      <c r="R277" s="631"/>
    </row>
    <row r="278" spans="2:18" ht="15" customHeight="1" x14ac:dyDescent="0.2">
      <c r="B278" s="666"/>
      <c r="C278" s="1804" t="s">
        <v>2437</v>
      </c>
      <c r="D278" s="1804"/>
      <c r="E278" s="1804"/>
      <c r="F278" s="681"/>
      <c r="G278" s="681"/>
      <c r="H278" s="681"/>
      <c r="I278" s="1842"/>
      <c r="J278" s="1842"/>
      <c r="K278" s="682"/>
      <c r="L278" s="672"/>
      <c r="N278" s="632"/>
      <c r="O278" s="1837" t="s">
        <v>3101</v>
      </c>
      <c r="P278" s="1837"/>
      <c r="Q278" s="788"/>
      <c r="R278" s="634"/>
    </row>
    <row r="279" spans="2:18" ht="15" customHeight="1" x14ac:dyDescent="0.25">
      <c r="B279" s="666"/>
      <c r="C279" s="683"/>
      <c r="D279" s="681"/>
      <c r="E279" s="681"/>
      <c r="F279" s="681"/>
      <c r="G279" s="681"/>
      <c r="H279" s="681"/>
      <c r="I279" s="681"/>
      <c r="J279" s="676"/>
      <c r="K279" s="668"/>
      <c r="L279" s="672"/>
      <c r="N279" s="632"/>
      <c r="O279" s="1837" t="s">
        <v>2662</v>
      </c>
      <c r="P279" s="1837"/>
      <c r="Q279" s="914"/>
      <c r="R279" s="634"/>
    </row>
    <row r="280" spans="2:18" ht="15" customHeight="1" x14ac:dyDescent="0.25">
      <c r="B280" s="666"/>
      <c r="C280" s="1806" t="s">
        <v>2445</v>
      </c>
      <c r="D280" s="1806"/>
      <c r="E280" s="1806"/>
      <c r="F280" s="1806"/>
      <c r="G280" s="1806"/>
      <c r="H280" s="1806"/>
      <c r="I280" s="1806"/>
      <c r="J280" s="676"/>
      <c r="K280" s="668"/>
      <c r="L280" s="672"/>
      <c r="N280" s="632"/>
      <c r="O280" s="1837" t="s">
        <v>3102</v>
      </c>
      <c r="P280" s="1837"/>
      <c r="Q280" s="915"/>
      <c r="R280" s="634"/>
    </row>
    <row r="281" spans="2:18" ht="15" customHeight="1" x14ac:dyDescent="0.25">
      <c r="B281" s="666"/>
      <c r="C281" s="1806"/>
      <c r="D281" s="1806"/>
      <c r="E281" s="1806"/>
      <c r="F281" s="1806"/>
      <c r="G281" s="1806"/>
      <c r="H281" s="1806"/>
      <c r="I281" s="1806"/>
      <c r="J281" s="676"/>
      <c r="K281" s="668"/>
      <c r="L281" s="672"/>
      <c r="N281" s="632"/>
      <c r="O281" s="1837" t="s">
        <v>3092</v>
      </c>
      <c r="P281" s="1837"/>
      <c r="Q281" s="915"/>
      <c r="R281" s="634"/>
    </row>
    <row r="282" spans="2:18" ht="15" customHeight="1" x14ac:dyDescent="0.25">
      <c r="B282" s="671"/>
      <c r="C282" s="684"/>
      <c r="D282" s="684"/>
      <c r="E282" s="684"/>
      <c r="F282" s="684"/>
      <c r="G282" s="684"/>
      <c r="H282" s="684"/>
      <c r="I282" s="684"/>
      <c r="J282" s="677"/>
      <c r="K282" s="670"/>
      <c r="L282" s="673"/>
      <c r="N282" s="632"/>
      <c r="O282" s="1838" t="s">
        <v>3435</v>
      </c>
      <c r="P282" s="1838"/>
      <c r="Q282" s="915"/>
      <c r="R282" s="634"/>
    </row>
    <row r="283" spans="2:18" ht="15" customHeight="1" x14ac:dyDescent="0.25">
      <c r="B283" s="619"/>
      <c r="C283" s="635"/>
      <c r="D283" s="635"/>
      <c r="E283" s="635"/>
      <c r="F283" s="635"/>
      <c r="G283" s="635"/>
      <c r="H283" s="635"/>
      <c r="I283" s="635"/>
      <c r="J283" s="8"/>
      <c r="L283" s="622"/>
      <c r="N283" s="632"/>
      <c r="O283" s="1839" t="s">
        <v>3103</v>
      </c>
      <c r="P283" s="1839"/>
      <c r="Q283" s="916"/>
      <c r="R283" s="634"/>
    </row>
    <row r="284" spans="2:18" ht="15" customHeight="1" x14ac:dyDescent="0.2">
      <c r="B284" s="619"/>
      <c r="C284" s="1269" t="s">
        <v>3096</v>
      </c>
      <c r="D284" s="1594" t="s">
        <v>3097</v>
      </c>
      <c r="E284" s="1840"/>
      <c r="F284" s="1840"/>
      <c r="G284" s="1840"/>
      <c r="H284" s="1595"/>
      <c r="I284" s="1269" t="s">
        <v>3098</v>
      </c>
      <c r="J284" s="740"/>
      <c r="K284" s="741"/>
      <c r="L284" s="643"/>
      <c r="N284" s="632"/>
      <c r="O284" s="1839" t="s">
        <v>3080</v>
      </c>
      <c r="P284" s="1839"/>
      <c r="Q284" s="789"/>
      <c r="R284" s="634"/>
    </row>
    <row r="285" spans="2:18" ht="15" customHeight="1" x14ac:dyDescent="0.2">
      <c r="B285" s="619"/>
      <c r="C285" s="1270"/>
      <c r="D285" s="1596"/>
      <c r="E285" s="1841"/>
      <c r="F285" s="1841"/>
      <c r="G285" s="1841"/>
      <c r="H285" s="1597"/>
      <c r="I285" s="1270"/>
      <c r="J285" s="740"/>
      <c r="K285" s="741"/>
      <c r="L285" s="643"/>
      <c r="N285" s="632"/>
      <c r="O285" s="913"/>
      <c r="P285" s="913"/>
      <c r="Q285" s="913"/>
      <c r="R285" s="634"/>
    </row>
    <row r="286" spans="2:18" ht="15" customHeight="1" x14ac:dyDescent="0.2">
      <c r="B286" s="619"/>
      <c r="C286" s="37">
        <v>1</v>
      </c>
      <c r="D286" s="1234" t="s">
        <v>3100</v>
      </c>
      <c r="E286" s="1234"/>
      <c r="F286" s="1234"/>
      <c r="G286" s="1234"/>
      <c r="H286" s="1234"/>
      <c r="I286" s="78" t="str">
        <f>IF(Details!$E$13="","Enter Census Tract",VLOOKUP(Details!$E$13,Data!$B$11:$K$3178,10,FALSE))</f>
        <v>Enter Census Tract</v>
      </c>
      <c r="J286" s="740"/>
      <c r="K286" s="741"/>
      <c r="L286" s="643"/>
      <c r="N286" s="632"/>
      <c r="O286" s="1839" t="s">
        <v>2443</v>
      </c>
      <c r="P286" s="1839"/>
      <c r="Q286" s="1839"/>
      <c r="R286" s="634"/>
    </row>
    <row r="287" spans="2:18" ht="15" customHeight="1" x14ac:dyDescent="0.2">
      <c r="B287" s="619"/>
      <c r="C287" s="37">
        <v>2</v>
      </c>
      <c r="D287" s="1234" t="s">
        <v>3198</v>
      </c>
      <c r="E287" s="1234"/>
      <c r="F287" s="1234"/>
      <c r="G287" s="1234"/>
      <c r="H287" s="1234"/>
      <c r="I287" s="80">
        <f>Revenue!N110+SUMPRODUCT(Revenue!$M$111:$M$115,Revenue!$N$111:$N$115)</f>
        <v>0</v>
      </c>
      <c r="J287" s="740"/>
      <c r="K287" s="741"/>
      <c r="L287" s="643"/>
      <c r="N287" s="632"/>
      <c r="O287" s="913"/>
      <c r="P287" s="913"/>
      <c r="Q287" s="913"/>
      <c r="R287" s="634"/>
    </row>
    <row r="288" spans="2:18" ht="15" customHeight="1" x14ac:dyDescent="0.2">
      <c r="B288" s="619"/>
      <c r="C288" s="37">
        <v>2</v>
      </c>
      <c r="D288" s="1234" t="s">
        <v>3075</v>
      </c>
      <c r="E288" s="1234"/>
      <c r="F288" s="1234"/>
      <c r="G288" s="1234"/>
      <c r="H288" s="1234"/>
      <c r="I288" s="78">
        <f>SUM(Revenue!$E$109:$F$115)</f>
        <v>0</v>
      </c>
      <c r="J288" s="740"/>
      <c r="K288" s="741"/>
      <c r="L288" s="643"/>
      <c r="N288" s="632"/>
      <c r="O288" s="1839"/>
      <c r="P288" s="1839"/>
      <c r="Q288" s="1839"/>
      <c r="R288" s="634"/>
    </row>
    <row r="289" spans="2:18" ht="15" customHeight="1" x14ac:dyDescent="0.2">
      <c r="B289" s="619"/>
      <c r="C289" s="37">
        <v>3</v>
      </c>
      <c r="D289" s="1234" t="s">
        <v>3076</v>
      </c>
      <c r="E289" s="1234"/>
      <c r="F289" s="1234"/>
      <c r="G289" s="1234"/>
      <c r="H289" s="1234"/>
      <c r="I289" s="893" t="str">
        <f>IF(Details!$E$13="","Input Census Tract",VLOOKUP(Details!$E$13,Data!$B$14:$AH$3178,9,FALSE))</f>
        <v>Input Census Tract</v>
      </c>
      <c r="J289" s="740"/>
      <c r="K289" s="741"/>
      <c r="L289" s="643"/>
      <c r="N289" s="632"/>
      <c r="O289" s="1843"/>
      <c r="P289" s="1844"/>
      <c r="Q289" s="1845"/>
      <c r="R289" s="634"/>
    </row>
    <row r="290" spans="2:18" ht="15" customHeight="1" x14ac:dyDescent="0.2">
      <c r="B290" s="619"/>
      <c r="C290" s="37">
        <v>4</v>
      </c>
      <c r="D290" s="1234" t="s">
        <v>3077</v>
      </c>
      <c r="E290" s="1234"/>
      <c r="F290" s="1234"/>
      <c r="G290" s="1234"/>
      <c r="H290" s="1234"/>
      <c r="I290" s="893" t="str">
        <f>IF(Details!$E$13="","Input Census Tract",VLOOKUP(Details!$E$13,Data!$B$14:$AH$3178,8,FALSE))</f>
        <v>Input Census Tract</v>
      </c>
      <c r="J290" s="740"/>
      <c r="K290" s="741"/>
      <c r="L290" s="643"/>
      <c r="N290" s="632"/>
      <c r="O290" s="1846"/>
      <c r="P290" s="1847"/>
      <c r="Q290" s="1848"/>
      <c r="R290" s="634"/>
    </row>
    <row r="291" spans="2:18" ht="15" customHeight="1" x14ac:dyDescent="0.2">
      <c r="B291" s="619"/>
      <c r="C291" s="37">
        <v>5</v>
      </c>
      <c r="D291" s="1234" t="s">
        <v>3199</v>
      </c>
      <c r="E291" s="1234"/>
      <c r="F291" s="1234"/>
      <c r="G291" s="1234"/>
      <c r="H291" s="1234"/>
      <c r="I291" s="893" t="str">
        <f>IF(Sources!$G$40&gt;0,"Yes","No")</f>
        <v>No</v>
      </c>
      <c r="J291" s="740"/>
      <c r="K291" s="741"/>
      <c r="L291" s="643"/>
      <c r="N291" s="632"/>
      <c r="O291" s="1846"/>
      <c r="P291" s="1847"/>
      <c r="Q291" s="1848"/>
      <c r="R291" s="634"/>
    </row>
    <row r="292" spans="2:18" ht="15" customHeight="1" x14ac:dyDescent="0.2">
      <c r="B292" s="619"/>
      <c r="C292" s="37">
        <v>6</v>
      </c>
      <c r="D292" s="37" t="s">
        <v>3200</v>
      </c>
      <c r="E292" s="37"/>
      <c r="F292" s="37"/>
      <c r="G292" s="37"/>
      <c r="H292" s="37"/>
      <c r="I292" s="893" t="str">
        <f>IF(Details!J11="Yes","Yes","No")</f>
        <v>No</v>
      </c>
      <c r="J292" s="740"/>
      <c r="K292" s="741"/>
      <c r="L292" s="643"/>
      <c r="N292" s="632"/>
      <c r="O292" s="1846"/>
      <c r="P292" s="1847"/>
      <c r="Q292" s="1848"/>
      <c r="R292" s="634"/>
    </row>
    <row r="293" spans="2:18" ht="15" customHeight="1" x14ac:dyDescent="0.2">
      <c r="B293" s="619"/>
      <c r="C293" s="37">
        <v>7</v>
      </c>
      <c r="D293" s="1234" t="s">
        <v>3201</v>
      </c>
      <c r="E293" s="1234"/>
      <c r="F293" s="1234"/>
      <c r="G293" s="1234"/>
      <c r="H293" s="1234"/>
      <c r="I293" s="893" t="str">
        <f>IF(Details!$E$13="","Input Census Tract",VLOOKUP(Details!$E$13,Data!$B$14:$AH$3178,6,FALSE))</f>
        <v>Input Census Tract</v>
      </c>
      <c r="J293" s="740"/>
      <c r="K293" s="741"/>
      <c r="L293" s="643"/>
      <c r="N293" s="632"/>
      <c r="O293" s="1846"/>
      <c r="P293" s="1847"/>
      <c r="Q293" s="1848"/>
      <c r="R293" s="634"/>
    </row>
    <row r="294" spans="2:18" ht="15" customHeight="1" x14ac:dyDescent="0.2">
      <c r="B294" s="619"/>
      <c r="C294" s="37">
        <v>8</v>
      </c>
      <c r="D294" s="1234" t="s">
        <v>3099</v>
      </c>
      <c r="E294" s="1234"/>
      <c r="F294" s="1234"/>
      <c r="G294" s="1234"/>
      <c r="H294" s="1234"/>
      <c r="I294" s="188">
        <f>IF(Revenue!$E$119=0,0,SUM(Revenue!$E$110:$F$111)/Revenue!$E$119)</f>
        <v>0</v>
      </c>
      <c r="J294" s="740"/>
      <c r="K294" s="741"/>
      <c r="L294" s="643"/>
      <c r="N294" s="632"/>
      <c r="O294" s="1846"/>
      <c r="P294" s="1847"/>
      <c r="Q294" s="1848"/>
      <c r="R294" s="634"/>
    </row>
    <row r="295" spans="2:18" ht="15" customHeight="1" x14ac:dyDescent="0.2">
      <c r="B295" s="619"/>
      <c r="C295" s="910">
        <v>9</v>
      </c>
      <c r="D295" s="1234" t="s">
        <v>3080</v>
      </c>
      <c r="E295" s="1234"/>
      <c r="F295" s="1234"/>
      <c r="G295" s="1234"/>
      <c r="H295" s="1234"/>
      <c r="I295" s="911"/>
      <c r="J295" s="740"/>
      <c r="K295" s="741"/>
      <c r="L295" s="643"/>
      <c r="N295" s="632"/>
      <c r="O295" s="1849"/>
      <c r="P295" s="1850"/>
      <c r="Q295" s="1851"/>
      <c r="R295" s="634"/>
    </row>
    <row r="296" spans="2:18" ht="15" customHeight="1" x14ac:dyDescent="0.2">
      <c r="B296" s="624"/>
      <c r="C296" s="595"/>
      <c r="D296" s="644"/>
      <c r="E296" s="645"/>
      <c r="F296" s="645"/>
      <c r="G296" s="645"/>
      <c r="H296" s="646"/>
      <c r="I296" s="647"/>
      <c r="J296" s="647"/>
      <c r="K296" s="647"/>
      <c r="L296" s="627"/>
      <c r="N296" s="638"/>
      <c r="O296" s="639"/>
      <c r="P296" s="648"/>
      <c r="Q296" s="648"/>
      <c r="R296" s="649"/>
    </row>
    <row r="297" spans="2:18" ht="15" customHeight="1" x14ac:dyDescent="0.2"/>
  </sheetData>
  <sheetProtection algorithmName="SHA-512" hashValue="L/Sm5X0HzX2G2xThzNM0pfNTYleema8dPq1bINDZqVCnD5sQ14lX/VTqnkFuhB/R8tG79P1jdui5U9AXuoSacw==" saltValue="lXTb1oWXw1R7jZ0zVNWBpQ==" spinCount="100000" sheet="1" objects="1" scenarios="1"/>
  <dataConsolidate/>
  <mergeCells count="293">
    <mergeCell ref="F59:H59"/>
    <mergeCell ref="C150:K150"/>
    <mergeCell ref="C164:H164"/>
    <mergeCell ref="C165:H165"/>
    <mergeCell ref="J22:L22"/>
    <mergeCell ref="O66:P66"/>
    <mergeCell ref="C67:K70"/>
    <mergeCell ref="O67:P67"/>
    <mergeCell ref="C71:E71"/>
    <mergeCell ref="F71:H71"/>
    <mergeCell ref="C50:D50"/>
    <mergeCell ref="E50:H50"/>
    <mergeCell ref="C54:K54"/>
    <mergeCell ref="O55:P55"/>
    <mergeCell ref="C56:K57"/>
    <mergeCell ref="O56:P56"/>
    <mergeCell ref="C84:D84"/>
    <mergeCell ref="C85:D85"/>
    <mergeCell ref="C86:D86"/>
    <mergeCell ref="C87:D87"/>
    <mergeCell ref="C88:D88"/>
    <mergeCell ref="C61:E61"/>
    <mergeCell ref="F61:H61"/>
    <mergeCell ref="C72:D72"/>
    <mergeCell ref="O43:Q50"/>
    <mergeCell ref="C80:D80"/>
    <mergeCell ref="B190:J190"/>
    <mergeCell ref="B191:L191"/>
    <mergeCell ref="I194:J194"/>
    <mergeCell ref="C161:H161"/>
    <mergeCell ref="C157:H157"/>
    <mergeCell ref="C158:H158"/>
    <mergeCell ref="C159:H159"/>
    <mergeCell ref="J159:K161"/>
    <mergeCell ref="C160:H160"/>
    <mergeCell ref="C152:K152"/>
    <mergeCell ref="C154:K155"/>
    <mergeCell ref="C81:D81"/>
    <mergeCell ref="C82:D82"/>
    <mergeCell ref="C83:D83"/>
    <mergeCell ref="B91:J91"/>
    <mergeCell ref="C149:K149"/>
    <mergeCell ref="C194:H194"/>
    <mergeCell ref="D167:K167"/>
    <mergeCell ref="C151:K151"/>
    <mergeCell ref="F72:H72"/>
    <mergeCell ref="C73:D73"/>
    <mergeCell ref="C74:D74"/>
    <mergeCell ref="O286:Q286"/>
    <mergeCell ref="D288:H288"/>
    <mergeCell ref="O288:Q288"/>
    <mergeCell ref="D289:H289"/>
    <mergeCell ref="O289:Q295"/>
    <mergeCell ref="D290:H290"/>
    <mergeCell ref="D293:H293"/>
    <mergeCell ref="D294:H294"/>
    <mergeCell ref="D295:H295"/>
    <mergeCell ref="D287:H287"/>
    <mergeCell ref="D291:H291"/>
    <mergeCell ref="D286:H286"/>
    <mergeCell ref="O278:P278"/>
    <mergeCell ref="O279:P279"/>
    <mergeCell ref="C280:I281"/>
    <mergeCell ref="O280:P280"/>
    <mergeCell ref="O281:P281"/>
    <mergeCell ref="O282:P282"/>
    <mergeCell ref="O283:P283"/>
    <mergeCell ref="C284:C285"/>
    <mergeCell ref="D284:H285"/>
    <mergeCell ref="I284:I285"/>
    <mergeCell ref="O284:P284"/>
    <mergeCell ref="C278:E278"/>
    <mergeCell ref="I278:J278"/>
    <mergeCell ref="C258:H258"/>
    <mergeCell ref="I258:J258"/>
    <mergeCell ref="O258:P258"/>
    <mergeCell ref="I259:J259"/>
    <mergeCell ref="C262:K264"/>
    <mergeCell ref="O262:Q274"/>
    <mergeCell ref="C266:K268"/>
    <mergeCell ref="C271:E271"/>
    <mergeCell ref="F271:H271"/>
    <mergeCell ref="F272:H272"/>
    <mergeCell ref="C273:E273"/>
    <mergeCell ref="F273:H273"/>
    <mergeCell ref="C274:E274"/>
    <mergeCell ref="F274:H274"/>
    <mergeCell ref="C272:E272"/>
    <mergeCell ref="C239:E239"/>
    <mergeCell ref="I239:J239"/>
    <mergeCell ref="O239:P239"/>
    <mergeCell ref="I240:J240"/>
    <mergeCell ref="C243:K246"/>
    <mergeCell ref="O243:Q254"/>
    <mergeCell ref="C247:K248"/>
    <mergeCell ref="C251:E251"/>
    <mergeCell ref="F251:I251"/>
    <mergeCell ref="C252:E252"/>
    <mergeCell ref="F252:I252"/>
    <mergeCell ref="C253:E253"/>
    <mergeCell ref="F253:I253"/>
    <mergeCell ref="C254:E254"/>
    <mergeCell ref="F254:I254"/>
    <mergeCell ref="C234:E234"/>
    <mergeCell ref="F234:I234"/>
    <mergeCell ref="C235:E235"/>
    <mergeCell ref="F235:I235"/>
    <mergeCell ref="C208:E208"/>
    <mergeCell ref="F208:H208"/>
    <mergeCell ref="C209:E209"/>
    <mergeCell ref="F209:H209"/>
    <mergeCell ref="N213:R213"/>
    <mergeCell ref="B214:L214"/>
    <mergeCell ref="N214:R214"/>
    <mergeCell ref="N215:O215"/>
    <mergeCell ref="C217:H217"/>
    <mergeCell ref="I217:J217"/>
    <mergeCell ref="O217:P217"/>
    <mergeCell ref="I218:J218"/>
    <mergeCell ref="C221:K225"/>
    <mergeCell ref="B213:L213"/>
    <mergeCell ref="O221:Q235"/>
    <mergeCell ref="C227:K229"/>
    <mergeCell ref="C232:E232"/>
    <mergeCell ref="F232:I232"/>
    <mergeCell ref="C233:E233"/>
    <mergeCell ref="F233:I233"/>
    <mergeCell ref="C203:E203"/>
    <mergeCell ref="F203:H203"/>
    <mergeCell ref="C204:E204"/>
    <mergeCell ref="F204:H204"/>
    <mergeCell ref="C205:E205"/>
    <mergeCell ref="F205:H205"/>
    <mergeCell ref="C206:E206"/>
    <mergeCell ref="F206:H206"/>
    <mergeCell ref="C207:E207"/>
    <mergeCell ref="F207:H207"/>
    <mergeCell ref="C199:E199"/>
    <mergeCell ref="F199:H199"/>
    <mergeCell ref="C200:E200"/>
    <mergeCell ref="F200:H200"/>
    <mergeCell ref="C202:E202"/>
    <mergeCell ref="F202:H202"/>
    <mergeCell ref="O98:P98"/>
    <mergeCell ref="C109:K109"/>
    <mergeCell ref="C111:K117"/>
    <mergeCell ref="C198:E198"/>
    <mergeCell ref="F198:H198"/>
    <mergeCell ref="O112:P112"/>
    <mergeCell ref="O113:P113"/>
    <mergeCell ref="O117:Q133"/>
    <mergeCell ref="C119:I119"/>
    <mergeCell ref="C120:I120"/>
    <mergeCell ref="C121:I121"/>
    <mergeCell ref="C196:E196"/>
    <mergeCell ref="F196:H196"/>
    <mergeCell ref="C133:I133"/>
    <mergeCell ref="C134:I134"/>
    <mergeCell ref="C137:K137"/>
    <mergeCell ref="C139:K141"/>
    <mergeCell ref="O140:P140"/>
    <mergeCell ref="B31:C31"/>
    <mergeCell ref="H32:I32"/>
    <mergeCell ref="B30:C30"/>
    <mergeCell ref="N92:R92"/>
    <mergeCell ref="C123:I123"/>
    <mergeCell ref="C124:I124"/>
    <mergeCell ref="C125:I125"/>
    <mergeCell ref="C126:I126"/>
    <mergeCell ref="C127:I127"/>
    <mergeCell ref="C94:I94"/>
    <mergeCell ref="C99:H99"/>
    <mergeCell ref="C100:H100"/>
    <mergeCell ref="C101:H101"/>
    <mergeCell ref="C102:H102"/>
    <mergeCell ref="I102:K102"/>
    <mergeCell ref="N36:R36"/>
    <mergeCell ref="C38:K38"/>
    <mergeCell ref="C40:K42"/>
    <mergeCell ref="O40:P40"/>
    <mergeCell ref="C43:K43"/>
    <mergeCell ref="N35:R35"/>
    <mergeCell ref="O39:P39"/>
    <mergeCell ref="C46:D46"/>
    <mergeCell ref="E46:H46"/>
    <mergeCell ref="O102:Q106"/>
    <mergeCell ref="C103:H103"/>
    <mergeCell ref="C105:H105"/>
    <mergeCell ref="C106:H106"/>
    <mergeCell ref="O97:P97"/>
    <mergeCell ref="O142:P142"/>
    <mergeCell ref="O146:Q186"/>
    <mergeCell ref="N91:R91"/>
    <mergeCell ref="B92:L92"/>
    <mergeCell ref="O141:P141"/>
    <mergeCell ref="C143:K143"/>
    <mergeCell ref="C144:K144"/>
    <mergeCell ref="C145:K145"/>
    <mergeCell ref="C146:K146"/>
    <mergeCell ref="C147:K147"/>
    <mergeCell ref="C128:I128"/>
    <mergeCell ref="C129:I129"/>
    <mergeCell ref="C131:I131"/>
    <mergeCell ref="B2:G2"/>
    <mergeCell ref="B3:G3"/>
    <mergeCell ref="H2:L2"/>
    <mergeCell ref="H3:L3"/>
    <mergeCell ref="B28:C28"/>
    <mergeCell ref="B29:C29"/>
    <mergeCell ref="B23:C23"/>
    <mergeCell ref="B25:E25"/>
    <mergeCell ref="B21:C21"/>
    <mergeCell ref="D21:E21"/>
    <mergeCell ref="J21:L21"/>
    <mergeCell ref="B22:C22"/>
    <mergeCell ref="J20:L20"/>
    <mergeCell ref="J17:L17"/>
    <mergeCell ref="B14:C14"/>
    <mergeCell ref="D14:E14"/>
    <mergeCell ref="H14:I14"/>
    <mergeCell ref="J14:L14"/>
    <mergeCell ref="B15:C15"/>
    <mergeCell ref="J19:L19"/>
    <mergeCell ref="B20:C20"/>
    <mergeCell ref="D20:E20"/>
    <mergeCell ref="D22:E22"/>
    <mergeCell ref="H23:I23"/>
    <mergeCell ref="C197:E197"/>
    <mergeCell ref="C122:I122"/>
    <mergeCell ref="C162:H162"/>
    <mergeCell ref="C96:K97"/>
    <mergeCell ref="F197:H197"/>
    <mergeCell ref="E49:H49"/>
    <mergeCell ref="B35:J35"/>
    <mergeCell ref="B36:L36"/>
    <mergeCell ref="C47:D47"/>
    <mergeCell ref="E47:H47"/>
    <mergeCell ref="C48:D48"/>
    <mergeCell ref="E48:H48"/>
    <mergeCell ref="C59:E59"/>
    <mergeCell ref="D168:I168"/>
    <mergeCell ref="D170:K170"/>
    <mergeCell ref="D171:K187"/>
    <mergeCell ref="C75:D75"/>
    <mergeCell ref="C76:D76"/>
    <mergeCell ref="C77:D77"/>
    <mergeCell ref="C79:D79"/>
    <mergeCell ref="C78:D78"/>
    <mergeCell ref="C62:E62"/>
    <mergeCell ref="F62:H62"/>
    <mergeCell ref="C65:K65"/>
    <mergeCell ref="J23:L23"/>
    <mergeCell ref="H25:J25"/>
    <mergeCell ref="B26:E26"/>
    <mergeCell ref="H26:L26"/>
    <mergeCell ref="B18:C18"/>
    <mergeCell ref="B16:C16"/>
    <mergeCell ref="D16:E16"/>
    <mergeCell ref="H16:I16"/>
    <mergeCell ref="J16:L16"/>
    <mergeCell ref="B17:C17"/>
    <mergeCell ref="D17:E17"/>
    <mergeCell ref="H17:I17"/>
    <mergeCell ref="B19:C19"/>
    <mergeCell ref="D19:E19"/>
    <mergeCell ref="D18:E18"/>
    <mergeCell ref="H18:I18"/>
    <mergeCell ref="J18:L18"/>
    <mergeCell ref="H19:I19"/>
    <mergeCell ref="O58:Q61"/>
    <mergeCell ref="O70:Q87"/>
    <mergeCell ref="C60:E60"/>
    <mergeCell ref="F60:H60"/>
    <mergeCell ref="C49:D49"/>
    <mergeCell ref="I1:L1"/>
    <mergeCell ref="H28:I28"/>
    <mergeCell ref="H29:I29"/>
    <mergeCell ref="H30:I30"/>
    <mergeCell ref="H31:I31"/>
    <mergeCell ref="B6:J6"/>
    <mergeCell ref="B7:L7"/>
    <mergeCell ref="B10:E10"/>
    <mergeCell ref="H10:J10"/>
    <mergeCell ref="B11:E11"/>
    <mergeCell ref="H11:L11"/>
    <mergeCell ref="H12:I12"/>
    <mergeCell ref="B13:C13"/>
    <mergeCell ref="D13:E13"/>
    <mergeCell ref="H13:I13"/>
    <mergeCell ref="J13:L13"/>
    <mergeCell ref="D15:E15"/>
    <mergeCell ref="H15:I15"/>
    <mergeCell ref="J15:L15"/>
  </mergeCells>
  <conditionalFormatting sqref="D30">
    <cfRule type="expression" dxfId="123" priority="33">
      <formula>$D$30&lt;$E$30</formula>
    </cfRule>
    <cfRule type="expression" dxfId="122" priority="34">
      <formula>$D$30&gt;$E$30</formula>
    </cfRule>
  </conditionalFormatting>
  <conditionalFormatting sqref="D31">
    <cfRule type="expression" dxfId="121" priority="31">
      <formula>$D$31&lt;$E$31</formula>
    </cfRule>
    <cfRule type="expression" dxfId="120" priority="32">
      <formula>$D$31&gt;$E$31</formula>
    </cfRule>
  </conditionalFormatting>
  <conditionalFormatting sqref="E51">
    <cfRule type="expression" dxfId="119" priority="39">
      <formula>$E$51="No"</formula>
    </cfRule>
    <cfRule type="expression" dxfId="118" priority="40">
      <formula>$E$51="Yes"</formula>
    </cfRule>
  </conditionalFormatting>
  <conditionalFormatting sqref="E82">
    <cfRule type="expression" dxfId="117" priority="35">
      <formula>$E$82="No"</formula>
    </cfRule>
    <cfRule type="expression" dxfId="116" priority="36">
      <formula>$E$82="Yes"</formula>
    </cfRule>
  </conditionalFormatting>
  <conditionalFormatting sqref="F62:H62">
    <cfRule type="expression" dxfId="115" priority="37">
      <formula>$F$62="No"</formula>
    </cfRule>
    <cfRule type="expression" dxfId="114" priority="38">
      <formula>$F$62="Yes"</formula>
    </cfRule>
  </conditionalFormatting>
  <conditionalFormatting sqref="J29">
    <cfRule type="expression" dxfId="113" priority="29">
      <formula>$J$29&lt;=$K$29</formula>
    </cfRule>
    <cfRule type="expression" dxfId="112" priority="30">
      <formula>$J$29&gt;$K$29</formula>
    </cfRule>
  </conditionalFormatting>
  <conditionalFormatting sqref="J30">
    <cfRule type="expression" dxfId="111" priority="27">
      <formula>$J$30&lt;=$K$30</formula>
    </cfRule>
    <cfRule type="expression" dxfId="110" priority="28">
      <formula>$J$30&gt;$K$30</formula>
    </cfRule>
  </conditionalFormatting>
  <conditionalFormatting sqref="J31">
    <cfRule type="expression" dxfId="109" priority="25">
      <formula>$J$31&lt;=$K$31</formula>
    </cfRule>
    <cfRule type="expression" dxfId="108" priority="26">
      <formula>$J$31&gt;$K$31</formula>
    </cfRule>
  </conditionalFormatting>
  <conditionalFormatting sqref="J32">
    <cfRule type="expression" dxfId="107" priority="23">
      <formula>$J$32&lt;=$K$32</formula>
    </cfRule>
    <cfRule type="expression" dxfId="106" priority="24">
      <formula>$J$32&gt;$K$32</formula>
    </cfRule>
  </conditionalFormatting>
  <conditionalFormatting sqref="K197:K200">
    <cfRule type="expression" dxfId="105" priority="41">
      <formula>$K197&lt;=0</formula>
    </cfRule>
    <cfRule type="expression" dxfId="104" priority="42">
      <formula>$K197&gt;0</formula>
    </cfRule>
  </conditionalFormatting>
  <conditionalFormatting sqref="Q39">
    <cfRule type="expression" dxfId="103" priority="15">
      <formula>$Q$39="No"</formula>
    </cfRule>
    <cfRule type="expression" dxfId="102" priority="16">
      <formula>$Q$39="Yes"</formula>
    </cfRule>
  </conditionalFormatting>
  <conditionalFormatting sqref="Q55">
    <cfRule type="expression" dxfId="101" priority="13">
      <formula>$Q$39="No"</formula>
    </cfRule>
    <cfRule type="expression" dxfId="100" priority="14">
      <formula>$Q$39="Yes"</formula>
    </cfRule>
  </conditionalFormatting>
  <conditionalFormatting sqref="Q66">
    <cfRule type="expression" dxfId="99" priority="11">
      <formula>$Q$39="No"</formula>
    </cfRule>
    <cfRule type="expression" dxfId="98" priority="12">
      <formula>$Q$39="Yes"</formula>
    </cfRule>
  </conditionalFormatting>
  <conditionalFormatting sqref="Q98">
    <cfRule type="expression" dxfId="97" priority="1">
      <formula>$Q$39="No"</formula>
    </cfRule>
    <cfRule type="expression" dxfId="96" priority="2">
      <formula>$Q$39="Yes"</formula>
    </cfRule>
  </conditionalFormatting>
  <conditionalFormatting sqref="Q113">
    <cfRule type="expression" dxfId="95" priority="7">
      <formula>$Q$39="No"</formula>
    </cfRule>
    <cfRule type="expression" dxfId="94" priority="8">
      <formula>$Q$39="Yes"</formula>
    </cfRule>
  </conditionalFormatting>
  <conditionalFormatting sqref="Q141:Q142">
    <cfRule type="expression" dxfId="93" priority="3">
      <formula>$Q$39="No"</formula>
    </cfRule>
    <cfRule type="expression" dxfId="92" priority="4">
      <formula>$Q$39="Yes"</formula>
    </cfRule>
  </conditionalFormatting>
  <dataValidations count="6">
    <dataValidation type="list" allowBlank="1" showInputMessage="1" showErrorMessage="1" sqref="J125:J131 J134 J119:J121 I165:J165 I106 I99:I100" xr:uid="{79E3F43F-3661-43C6-A539-BC69CDE3E8BA}">
      <formula1>"Yes, No"</formula1>
    </dataValidation>
    <dataValidation type="list" allowBlank="1" showInputMessage="1" showErrorMessage="1" sqref="I159:I162 J124 I103" xr:uid="{8FAE91E0-3320-4432-ACE3-B3EBC69DAF92}">
      <formula1>"Yes, No, N/A"</formula1>
    </dataValidation>
    <dataValidation type="list" allowBlank="1" showInputMessage="1" showErrorMessage="1" sqref="K278" xr:uid="{0FF164DA-2FA6-4651-99E0-BE2DFB0EED49}">
      <formula1>"0,1,3,5"</formula1>
    </dataValidation>
    <dataValidation type="textLength" operator="lessThan" allowBlank="1" showInputMessage="1" showErrorMessage="1" sqref="D171:K187" xr:uid="{C86029D9-C49E-492B-88EC-5B66E785ED1F}">
      <formula1>2401</formula1>
    </dataValidation>
    <dataValidation type="list" allowBlank="1" showInputMessage="1" showErrorMessage="1" sqref="Q39 Q55 Q66 Q113 Q98" xr:uid="{D906C19B-120B-4ECB-B736-57563DDD94F9}">
      <formula1>"Meets, Does Not Meet, N/A"</formula1>
    </dataValidation>
    <dataValidation type="list" allowBlank="1" showInputMessage="1" showErrorMessage="1" sqref="Q141:Q142" xr:uid="{EB385420-DCB8-4310-A1B0-D0B33931FB36}">
      <formula1>"TBD, Yes, No, N/A"</formula1>
    </dataValidation>
  </dataValidations>
  <pageMargins left="0.7" right="0.7" top="0.75" bottom="0.75" header="0.3" footer="0.3"/>
  <pageSetup scale="70" fitToHeight="0" orientation="portrait" r:id="rId1"/>
  <headerFooter>
    <oddFooter>&amp;L&amp;"-,Bold"&amp;9Funding Pool Workbook&amp;"-,Regular"
Affordable Housing Funding Application (AHFA)&amp;C&amp;9Ohio Housing Finance Agency&amp;R&amp;9Page &amp;P of &amp;N</oddFooter>
  </headerFooter>
  <rowBreaks count="5" manualBreakCount="5">
    <brk id="64" min="1" max="11" man="1"/>
    <brk id="108" min="1" max="11" man="1"/>
    <brk id="136" min="1" max="11" man="1"/>
    <brk id="189" min="1" max="11" man="1"/>
    <brk id="256" min="1" max="11"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7C123-1A3E-4EB7-AE07-BAF10528E14E}">
  <sheetPr>
    <tabColor rgb="FFC12637"/>
    <pageSetUpPr autoPageBreaks="0" fitToPage="1"/>
  </sheetPr>
  <dimension ref="A1:V294"/>
  <sheetViews>
    <sheetView showGridLines="0" zoomScale="85" zoomScaleNormal="85" zoomScaleSheetLayoutView="70" zoomScalePageLayoutView="85" workbookViewId="0">
      <selection activeCell="I200" sqref="I200"/>
    </sheetView>
  </sheetViews>
  <sheetFormatPr defaultColWidth="0" defaultRowHeight="15" customHeight="1" zeroHeight="1" outlineLevelCol="1" x14ac:dyDescent="0.2"/>
  <cols>
    <col min="1" max="1" width="1.625" style="1" customWidth="1"/>
    <col min="2" max="2" width="2.625" style="1" customWidth="1"/>
    <col min="3" max="5" width="15.625" style="1" customWidth="1"/>
    <col min="6" max="7" width="1.625" style="1" customWidth="1"/>
    <col min="8" max="11" width="15.625" style="1" customWidth="1"/>
    <col min="12" max="12" width="2.625" style="1" customWidth="1"/>
    <col min="13" max="13" width="1.625" style="1" customWidth="1"/>
    <col min="14" max="14" width="1.625" style="1" hidden="1" customWidth="1" outlineLevel="1"/>
    <col min="15" max="16" width="15.625" style="1" hidden="1" customWidth="1" outlineLevel="1"/>
    <col min="17" max="17" width="15.625" style="4" hidden="1" customWidth="1" outlineLevel="1"/>
    <col min="18" max="18" width="2.625" style="1" hidden="1" customWidth="1" outlineLevel="1"/>
    <col min="19" max="19" width="9" style="1" customWidth="1" collapsed="1"/>
    <col min="20" max="16384" width="9" style="1" hidden="1"/>
  </cols>
  <sheetData>
    <row r="1" spans="2:17" s="83" customFormat="1" ht="55.5" customHeight="1" x14ac:dyDescent="0.2">
      <c r="B1" s="1"/>
      <c r="C1" s="1"/>
      <c r="D1" s="1"/>
      <c r="E1" s="1"/>
      <c r="F1" s="1"/>
      <c r="G1" s="1"/>
      <c r="H1" s="1"/>
      <c r="I1" s="1755" t="str">
        <f>IF(D18&lt;&gt;"New Affordability - Seniors","This is not the correct scoring workbook based on your Funding Pool selection. Please navigate to the correct scoring workbook.","")</f>
        <v>This is not the correct scoring workbook based on your Funding Pool selection. Please navigate to the correct scoring workbook.</v>
      </c>
      <c r="J1" s="1755"/>
      <c r="K1" s="1755"/>
      <c r="L1" s="1755"/>
      <c r="Q1" s="99"/>
    </row>
    <row r="2" spans="2:17" s="83" customFormat="1" ht="25.5" customHeight="1" x14ac:dyDescent="0.2">
      <c r="B2" s="1211" t="s">
        <v>3035</v>
      </c>
      <c r="C2" s="1212"/>
      <c r="D2" s="1212"/>
      <c r="E2" s="1212"/>
      <c r="F2" s="1212"/>
      <c r="G2" s="1212"/>
      <c r="H2" s="1217" t="str">
        <f>CONCATENATE(IF(Instructions!$K$2="","",Instructions!$K$2)," ",IF(Details!$E$11="","",Details!$E$11))</f>
        <v>2026 9% LIHTC AHFA Proposal Application</v>
      </c>
      <c r="I2" s="1217"/>
      <c r="J2" s="1217"/>
      <c r="K2" s="1217"/>
      <c r="L2" s="1218"/>
      <c r="Q2" s="99"/>
    </row>
    <row r="3" spans="2:17" s="83" customFormat="1" ht="20.25" customHeight="1" x14ac:dyDescent="0.2">
      <c r="B3" s="1166" t="s">
        <v>3036</v>
      </c>
      <c r="C3" s="1167"/>
      <c r="D3" s="1167"/>
      <c r="E3" s="1167"/>
      <c r="F3" s="1167"/>
      <c r="G3" s="1167"/>
      <c r="H3" s="1304" t="str">
        <f>IF(Details!$E$12="","",CONCATENATE("Project Name: ",Details!$E$12))</f>
        <v/>
      </c>
      <c r="I3" s="1304"/>
      <c r="J3" s="1304"/>
      <c r="K3" s="1304"/>
      <c r="L3" s="1305"/>
      <c r="Q3" s="99"/>
    </row>
    <row r="4" spans="2:17" ht="15" customHeight="1" x14ac:dyDescent="0.2"/>
    <row r="5" spans="2:17" ht="5.0999999999999996" customHeight="1" x14ac:dyDescent="0.2"/>
    <row r="6" spans="2:17" ht="20.100000000000001" customHeight="1" x14ac:dyDescent="0.2">
      <c r="B6" s="1748" t="s">
        <v>2417</v>
      </c>
      <c r="C6" s="1748"/>
      <c r="D6" s="1748"/>
      <c r="E6" s="1748"/>
      <c r="F6" s="1748"/>
      <c r="G6" s="1748"/>
      <c r="H6" s="1748"/>
      <c r="I6" s="1748"/>
      <c r="J6" s="1748"/>
    </row>
    <row r="7" spans="2:17" ht="3" customHeight="1" x14ac:dyDescent="0.2">
      <c r="B7" s="1749"/>
      <c r="C7" s="1749"/>
      <c r="D7" s="1749"/>
      <c r="E7" s="1749"/>
      <c r="F7" s="1749"/>
      <c r="G7" s="1749"/>
      <c r="H7" s="1749"/>
      <c r="I7" s="1749"/>
      <c r="J7" s="1749"/>
      <c r="K7" s="1749"/>
      <c r="L7" s="1749"/>
    </row>
    <row r="8" spans="2:17" customFormat="1" ht="15" customHeight="1" x14ac:dyDescent="0.2">
      <c r="M8" s="1"/>
      <c r="Q8" s="929"/>
    </row>
    <row r="9" spans="2:17" ht="15" customHeight="1" x14ac:dyDescent="0.2"/>
    <row r="10" spans="2:17" ht="15" customHeight="1" x14ac:dyDescent="0.25">
      <c r="B10" s="1757" t="s">
        <v>296</v>
      </c>
      <c r="C10" s="1757"/>
      <c r="D10" s="1757"/>
      <c r="E10" s="1757"/>
      <c r="F10" s="8"/>
      <c r="G10" s="8"/>
      <c r="H10" s="1757" t="s">
        <v>297</v>
      </c>
      <c r="I10" s="1757"/>
      <c r="J10" s="1757"/>
    </row>
    <row r="11" spans="2:17" ht="3" customHeight="1" x14ac:dyDescent="0.25">
      <c r="B11" s="1758"/>
      <c r="C11" s="1758"/>
      <c r="D11" s="1758"/>
      <c r="E11" s="1758"/>
      <c r="F11" s="8"/>
      <c r="G11" s="8"/>
      <c r="H11" s="1758"/>
      <c r="I11" s="1758"/>
      <c r="J11" s="1758"/>
      <c r="K11" s="1758"/>
      <c r="L11" s="1758"/>
      <c r="M11" s="610"/>
    </row>
    <row r="12" spans="2:17" ht="5.0999999999999996" customHeight="1" x14ac:dyDescent="0.25">
      <c r="B12" s="611"/>
      <c r="C12" s="8"/>
      <c r="D12" s="8"/>
      <c r="E12" s="8"/>
      <c r="F12" s="8"/>
      <c r="G12" s="8"/>
      <c r="H12" s="1759"/>
      <c r="I12" s="1759"/>
      <c r="J12" s="8"/>
    </row>
    <row r="13" spans="2:17" ht="15" customHeight="1" x14ac:dyDescent="0.25">
      <c r="B13" s="1751" t="s">
        <v>298</v>
      </c>
      <c r="C13" s="1751"/>
      <c r="D13" s="1752" t="str">
        <f>IF(Details!$E$12="","Untitled Project",Details!$E$12)</f>
        <v>Untitled Project</v>
      </c>
      <c r="E13" s="1752"/>
      <c r="F13" s="8"/>
      <c r="G13" s="8"/>
      <c r="H13" s="1661" t="s">
        <v>2418</v>
      </c>
      <c r="I13" s="1662"/>
      <c r="J13" s="1752" t="str">
        <f>IF(Team!$E$12="","",Team!$E$12)</f>
        <v/>
      </c>
      <c r="K13" s="1752"/>
      <c r="L13" s="1752"/>
      <c r="M13" s="531"/>
    </row>
    <row r="14" spans="2:17" ht="15" customHeight="1" x14ac:dyDescent="0.25">
      <c r="B14" s="1751" t="s">
        <v>2419</v>
      </c>
      <c r="C14" s="1751"/>
      <c r="D14" s="1756" t="str">
        <f>IF(OR(LIHTCs!G27=0.09,LIHTCs!H27=0.09),"9% LIHTC","4% LIHTC")</f>
        <v>9% LIHTC</v>
      </c>
      <c r="E14" s="1756"/>
      <c r="F14" s="8"/>
      <c r="G14" s="8"/>
      <c r="H14" s="1661" t="s">
        <v>2420</v>
      </c>
      <c r="I14" s="1662"/>
      <c r="J14" s="1752" t="str">
        <f>IF(OR(Team!$E$56="No",Team!$E$56=""),"N/A",Team!$E$61)</f>
        <v>N/A</v>
      </c>
      <c r="K14" s="1752"/>
      <c r="L14" s="1752"/>
      <c r="M14" s="531"/>
    </row>
    <row r="15" spans="2:17" ht="15" customHeight="1" x14ac:dyDescent="0.25">
      <c r="B15" s="1751" t="s">
        <v>299</v>
      </c>
      <c r="C15" s="1751"/>
      <c r="D15" s="1752" t="str">
        <f>IF(Details!$E$14="","",Details!$E$14)</f>
        <v/>
      </c>
      <c r="E15" s="1752"/>
      <c r="F15" s="8"/>
      <c r="G15" s="8"/>
      <c r="H15" s="1661" t="s">
        <v>2421</v>
      </c>
      <c r="I15" s="1662"/>
      <c r="J15" s="1752" t="str">
        <f>IF(OR(Team!$E$105="No",Team!$E$105=""),"N/A",Team!$E$110)</f>
        <v>N/A</v>
      </c>
      <c r="K15" s="1752"/>
      <c r="L15" s="1752"/>
      <c r="M15" s="531"/>
    </row>
    <row r="16" spans="2:17" ht="15" customHeight="1" x14ac:dyDescent="0.25">
      <c r="B16" s="1751" t="s">
        <v>540</v>
      </c>
      <c r="C16" s="1751"/>
      <c r="D16" s="1752" t="str">
        <f>IF(Details!$E$15="","",Details!$E$15)</f>
        <v/>
      </c>
      <c r="E16" s="1752"/>
      <c r="F16" s="8"/>
      <c r="G16" s="8"/>
      <c r="H16" s="1661" t="s">
        <v>2422</v>
      </c>
      <c r="I16" s="1662"/>
      <c r="J16" s="1752" t="str">
        <f>IF(Team!$E$173="","",Team!$E$173)</f>
        <v/>
      </c>
      <c r="K16" s="1752"/>
      <c r="L16" s="1752"/>
      <c r="M16" s="531"/>
    </row>
    <row r="17" spans="2:13" ht="15" customHeight="1" x14ac:dyDescent="0.25">
      <c r="B17" s="1751" t="s">
        <v>300</v>
      </c>
      <c r="C17" s="1751"/>
      <c r="D17" s="1752" t="str">
        <f>IF(Details!$E$18="","",Details!$E$18)</f>
        <v>Input Census Tract</v>
      </c>
      <c r="E17" s="1752"/>
      <c r="F17" s="8"/>
      <c r="G17" s="8"/>
      <c r="H17" s="1661" t="s">
        <v>2472</v>
      </c>
      <c r="I17" s="1662"/>
      <c r="J17" s="1752" t="str">
        <f>IF(AND(Team!$E$318="",Team!$E$327=""),"N/A",IF(AND(Team!$E$318="",Team!$E$327&lt;&gt;""),Team!$E$327,Team!$E$318))</f>
        <v>N/A</v>
      </c>
      <c r="K17" s="1752"/>
      <c r="L17" s="1752"/>
      <c r="M17" s="531"/>
    </row>
    <row r="18" spans="2:13" ht="15" customHeight="1" x14ac:dyDescent="0.25">
      <c r="B18" s="1751" t="s">
        <v>2483</v>
      </c>
      <c r="C18" s="1751"/>
      <c r="D18" s="1752" t="str">
        <f>IF(Details!$E$21="","",Details!$E$21)</f>
        <v/>
      </c>
      <c r="E18" s="1752"/>
      <c r="F18" s="8"/>
      <c r="G18" s="8"/>
      <c r="H18" s="1661" t="s">
        <v>2473</v>
      </c>
      <c r="I18" s="1662"/>
      <c r="J18" s="1752" t="str">
        <f>IF(OR(Team!$E$334="",Team!$E$334="No"),"N/A",IF(AND(Team!$E$348="",Team!$E$339&lt;&gt;""),Team!$E$339,Team!$E$348))</f>
        <v>N/A</v>
      </c>
      <c r="K18" s="1752"/>
      <c r="L18" s="1752"/>
      <c r="M18" s="531"/>
    </row>
    <row r="19" spans="2:13" ht="15" customHeight="1" x14ac:dyDescent="0.25">
      <c r="B19" s="1751" t="s">
        <v>3105</v>
      </c>
      <c r="C19" s="1753"/>
      <c r="D19" s="1373" t="str">
        <f>Details!$E$20</f>
        <v>Input Census Tract</v>
      </c>
      <c r="E19" s="1754"/>
      <c r="F19" s="8"/>
      <c r="G19" s="8"/>
      <c r="H19" s="1661" t="s">
        <v>2474</v>
      </c>
      <c r="I19" s="1662"/>
      <c r="J19" s="1752" t="str">
        <f>IF(OR(Team!$E$355="",Team!$E$355="No"),"N/A",IF(AND(Team!$E$369="",Team!$E$360&lt;&gt;""),Team!$E$360,Team!$E$369))</f>
        <v>N/A</v>
      </c>
      <c r="K19" s="1752"/>
      <c r="L19" s="1752"/>
      <c r="M19" s="531"/>
    </row>
    <row r="20" spans="2:13" ht="15" customHeight="1" x14ac:dyDescent="0.25">
      <c r="B20" s="1751" t="s">
        <v>3418</v>
      </c>
      <c r="C20" s="1753"/>
      <c r="D20" s="1373" t="str">
        <f>IF(OR(D17="",D17="Input Census Tract"),"",VLOOKUP($D$17,Data!$CQ$11:$CS$98,3,FALSE))</f>
        <v/>
      </c>
      <c r="E20" s="1754"/>
      <c r="F20" s="8"/>
      <c r="G20" s="8"/>
      <c r="H20" s="531" t="s">
        <v>2423</v>
      </c>
      <c r="I20" s="967"/>
      <c r="J20" s="1752" t="str">
        <f>IF(Team!$E$395="","",Team!$E$395)</f>
        <v/>
      </c>
      <c r="K20" s="1752"/>
      <c r="L20" s="1752"/>
      <c r="M20" s="531"/>
    </row>
    <row r="21" spans="2:13" ht="15" customHeight="1" x14ac:dyDescent="0.25">
      <c r="B21" s="1751" t="s">
        <v>651</v>
      </c>
      <c r="C21" s="1751"/>
      <c r="D21" s="1752" t="str">
        <f>IF(Details!$J$10="","",Details!$J$10)</f>
        <v/>
      </c>
      <c r="E21" s="1752"/>
      <c r="F21" s="8"/>
      <c r="G21" s="8"/>
      <c r="H21" s="531" t="s">
        <v>2424</v>
      </c>
      <c r="I21" s="967"/>
      <c r="J21" s="1752" t="str">
        <f>IF(Team!$E$379="","",Team!$E$379)</f>
        <v/>
      </c>
      <c r="K21" s="1752"/>
      <c r="L21" s="1752"/>
      <c r="M21" s="531"/>
    </row>
    <row r="22" spans="2:13" ht="15" customHeight="1" x14ac:dyDescent="0.25">
      <c r="B22" s="1751" t="s">
        <v>1964</v>
      </c>
      <c r="C22" s="1751"/>
      <c r="D22" s="1752" t="str">
        <f>IF(Details!$J$15="","",Details!$J$15)</f>
        <v/>
      </c>
      <c r="E22" s="1752"/>
      <c r="F22" s="8"/>
      <c r="G22" s="8"/>
      <c r="H22" s="531" t="s">
        <v>2426</v>
      </c>
      <c r="I22" s="967"/>
      <c r="J22" s="1752" t="str">
        <f>IF(Team!$E$411="","",Team!$E$411)</f>
        <v/>
      </c>
      <c r="K22" s="1752"/>
      <c r="L22" s="1752"/>
      <c r="M22" s="531"/>
    </row>
    <row r="23" spans="2:13" ht="15" customHeight="1" x14ac:dyDescent="0.25">
      <c r="B23" s="1751" t="s">
        <v>2425</v>
      </c>
      <c r="C23" s="1751"/>
      <c r="D23" s="612">
        <f>Revenue!$C$101</f>
        <v>0</v>
      </c>
      <c r="E23" s="531"/>
      <c r="F23" s="8"/>
      <c r="G23" s="8"/>
      <c r="H23" s="1661" t="s">
        <v>3112</v>
      </c>
      <c r="I23" s="1662"/>
      <c r="J23" s="1752" t="str">
        <f>IF(Team!$E$427="","N/A",Team!$E$427)</f>
        <v>N/A</v>
      </c>
      <c r="K23" s="1752"/>
      <c r="L23" s="1752"/>
      <c r="M23" s="531"/>
    </row>
    <row r="24" spans="2:13" ht="15" customHeight="1" x14ac:dyDescent="0.25">
      <c r="B24" s="611"/>
      <c r="C24" s="8"/>
      <c r="D24" s="8"/>
      <c r="E24" s="8"/>
      <c r="F24" s="8"/>
      <c r="G24" s="8"/>
      <c r="H24" s="8"/>
      <c r="I24" s="8"/>
    </row>
    <row r="25" spans="2:13" ht="15" customHeight="1" x14ac:dyDescent="0.25">
      <c r="B25" s="1757" t="s">
        <v>355</v>
      </c>
      <c r="C25" s="1757"/>
      <c r="D25" s="1757"/>
      <c r="E25" s="1757"/>
      <c r="F25" s="8"/>
      <c r="G25" s="8"/>
      <c r="H25" s="1757" t="s">
        <v>2427</v>
      </c>
      <c r="I25" s="1757"/>
      <c r="J25" s="1757"/>
    </row>
    <row r="26" spans="2:13" ht="3" customHeight="1" x14ac:dyDescent="0.25">
      <c r="B26" s="1758"/>
      <c r="C26" s="1758"/>
      <c r="D26" s="1758"/>
      <c r="E26" s="1758"/>
      <c r="F26" s="8"/>
      <c r="G26" s="8"/>
      <c r="H26" s="1758"/>
      <c r="I26" s="1758"/>
      <c r="J26" s="1758"/>
      <c r="K26" s="1758"/>
      <c r="L26" s="1758"/>
    </row>
    <row r="27" spans="2:13" ht="5.0999999999999996" customHeight="1" x14ac:dyDescent="0.25">
      <c r="B27" s="611"/>
      <c r="C27" s="8"/>
      <c r="D27" s="8"/>
      <c r="E27" s="8"/>
      <c r="F27" s="8"/>
      <c r="G27" s="8"/>
      <c r="H27" s="8"/>
      <c r="I27" s="8"/>
    </row>
    <row r="28" spans="2:13" ht="15" customHeight="1" x14ac:dyDescent="0.25">
      <c r="B28" s="1751"/>
      <c r="C28" s="1751"/>
      <c r="D28" s="1031" t="s">
        <v>2428</v>
      </c>
      <c r="E28" s="1031" t="s">
        <v>377</v>
      </c>
      <c r="F28" s="8"/>
      <c r="G28" s="8"/>
      <c r="H28" s="1661"/>
      <c r="I28" s="1661"/>
      <c r="J28" s="1031" t="s">
        <v>2428</v>
      </c>
      <c r="K28" s="1031" t="s">
        <v>377</v>
      </c>
      <c r="L28" s="324"/>
    </row>
    <row r="29" spans="2:13" ht="15" customHeight="1" x14ac:dyDescent="0.25">
      <c r="B29" s="1751" t="s">
        <v>2543</v>
      </c>
      <c r="C29" s="1751"/>
      <c r="D29" s="613">
        <f>Uses!K84</f>
        <v>8000</v>
      </c>
      <c r="E29" s="140"/>
      <c r="F29" s="8"/>
      <c r="G29" s="8"/>
      <c r="H29" s="1661" t="s">
        <v>2719</v>
      </c>
      <c r="I29" s="1662"/>
      <c r="J29" s="79">
        <f>LIHTCs!F33</f>
        <v>0</v>
      </c>
      <c r="K29" s="79">
        <v>1800000</v>
      </c>
      <c r="L29" s="324"/>
    </row>
    <row r="30" spans="2:13" ht="15" customHeight="1" x14ac:dyDescent="0.25">
      <c r="B30" s="1751" t="s">
        <v>373</v>
      </c>
      <c r="C30" s="1751"/>
      <c r="D30" s="613">
        <f>IFERROR(D29/D23,0)</f>
        <v>0</v>
      </c>
      <c r="E30" s="613" t="str" cm="1">
        <f t="array" ref="E30">IF(Details!$J$10="","",IF(Details!$J$10="Adaptive Reuse",Data!$CN$15,INDEX(Data!$CN$11:$CN$15,MATCH(Details!$E$20&amp;Details!$J$10,Data!$CL$11:$CL$15&amp;Data!$CM$11:$CM$15,0))))</f>
        <v/>
      </c>
      <c r="F30" s="8"/>
      <c r="G30" s="8"/>
      <c r="H30" s="1661" t="s">
        <v>2429</v>
      </c>
      <c r="I30" s="1662"/>
      <c r="J30" s="79">
        <f>SUM(Sources!$G$44:$G$47)</f>
        <v>0</v>
      </c>
      <c r="K30" s="79">
        <f>IF($I$105="Yes",1000000,0)</f>
        <v>0</v>
      </c>
    </row>
    <row r="31" spans="2:13" ht="15" customHeight="1" x14ac:dyDescent="0.25">
      <c r="B31" s="1751" t="s">
        <v>433</v>
      </c>
      <c r="C31" s="1751"/>
      <c r="D31" s="613">
        <f>IFERROR(D29/Details!F130,0)</f>
        <v>0</v>
      </c>
      <c r="E31" s="613" t="str" cm="1">
        <f t="array" ref="E31">IF(Details!$J$10="","",IF(Details!$J$10="Adaptive Reuse",Data!$CO$15,INDEX(Data!$CO$11:$CO$15,MATCH(Details!$E$20&amp;Details!$J$10,Data!$CL$11:$CL$15&amp;Data!$CM$11:$CM$15,0))))</f>
        <v/>
      </c>
      <c r="F31" s="8"/>
      <c r="G31" s="8"/>
      <c r="H31" s="1661" t="s">
        <v>2430</v>
      </c>
      <c r="I31" s="1662"/>
      <c r="J31" s="326">
        <f>HDL!$E$15</f>
        <v>0</v>
      </c>
      <c r="K31" s="326">
        <v>1750000</v>
      </c>
    </row>
    <row r="32" spans="2:13" ht="15" customHeight="1" x14ac:dyDescent="0.25">
      <c r="B32" s="611"/>
      <c r="C32" s="8"/>
      <c r="D32" s="743"/>
      <c r="E32" s="8"/>
      <c r="F32" s="8"/>
      <c r="G32" s="8"/>
      <c r="H32" s="1155" t="s">
        <v>2130</v>
      </c>
      <c r="I32" s="1324"/>
      <c r="J32" s="79">
        <f>IF(OR(Uses!$J$75&gt;0,Sources!$E$38="Multifamily Lending Program",Sources!$E$38="MLP",Sources!$E$38="OHFA MLP"),Sources!$G$38,0)</f>
        <v>0</v>
      </c>
      <c r="K32" s="79">
        <v>6000000</v>
      </c>
    </row>
    <row r="33" spans="2:18" ht="15" customHeight="1" x14ac:dyDescent="0.25">
      <c r="B33" s="611"/>
      <c r="C33" s="8"/>
      <c r="D33" s="8"/>
      <c r="E33" s="8"/>
      <c r="F33" s="8"/>
      <c r="G33" s="8"/>
      <c r="H33" s="25"/>
      <c r="I33" s="25"/>
      <c r="J33" s="25"/>
    </row>
    <row r="34" spans="2:18" ht="15" customHeight="1" x14ac:dyDescent="0.25">
      <c r="B34" s="611"/>
      <c r="C34" s="8"/>
      <c r="D34" s="8"/>
      <c r="E34" s="8"/>
      <c r="F34" s="8"/>
      <c r="G34" s="8"/>
      <c r="H34" s="25"/>
      <c r="I34" s="25"/>
      <c r="J34" s="25"/>
    </row>
    <row r="35" spans="2:18" ht="15" customHeight="1" x14ac:dyDescent="0.2">
      <c r="B35" s="1748" t="s">
        <v>3202</v>
      </c>
      <c r="C35" s="1748"/>
      <c r="D35" s="1748"/>
      <c r="E35" s="1748"/>
      <c r="F35" s="1748"/>
      <c r="G35" s="1748"/>
      <c r="H35" s="1748"/>
      <c r="I35" s="1748"/>
      <c r="J35" s="1748"/>
      <c r="N35" s="1748" t="s">
        <v>3203</v>
      </c>
      <c r="O35" s="1748"/>
      <c r="P35" s="1748"/>
      <c r="Q35" s="1748"/>
      <c r="R35" s="1748"/>
    </row>
    <row r="36" spans="2:18" ht="3" customHeight="1" x14ac:dyDescent="0.2">
      <c r="B36" s="1749"/>
      <c r="C36" s="1749"/>
      <c r="D36" s="1749"/>
      <c r="E36" s="1749"/>
      <c r="F36" s="1749"/>
      <c r="G36" s="1749"/>
      <c r="H36" s="1749"/>
      <c r="I36" s="1749"/>
      <c r="J36" s="1749"/>
      <c r="K36" s="1749"/>
      <c r="L36" s="1749"/>
      <c r="N36" s="1749"/>
      <c r="O36" s="1749"/>
      <c r="P36" s="1749"/>
      <c r="Q36" s="1749"/>
      <c r="R36" s="1749"/>
    </row>
    <row r="37" spans="2:18" ht="15" customHeight="1" x14ac:dyDescent="0.25">
      <c r="B37" s="611"/>
      <c r="C37" s="8"/>
      <c r="D37" s="8"/>
      <c r="E37" s="8"/>
      <c r="F37" s="8"/>
      <c r="G37" s="8"/>
      <c r="H37" s="25"/>
      <c r="I37" s="25"/>
      <c r="J37" s="25"/>
    </row>
    <row r="38" spans="2:18" ht="15" customHeight="1" x14ac:dyDescent="0.2">
      <c r="B38" s="746" t="s">
        <v>2476</v>
      </c>
      <c r="C38" s="1731" t="s">
        <v>3204</v>
      </c>
      <c r="D38" s="1731"/>
      <c r="E38" s="1731"/>
      <c r="F38" s="1731"/>
      <c r="G38" s="1731"/>
      <c r="H38" s="1731"/>
      <c r="I38" s="1731"/>
      <c r="J38" s="1731"/>
      <c r="K38" s="1731"/>
      <c r="N38" s="767"/>
      <c r="O38" s="768"/>
      <c r="P38" s="768"/>
      <c r="Q38" s="930"/>
      <c r="R38" s="769"/>
    </row>
    <row r="39" spans="2:18" ht="15" customHeight="1" x14ac:dyDescent="0.25">
      <c r="B39" s="611"/>
      <c r="C39" s="8"/>
      <c r="D39" s="8"/>
      <c r="E39" s="8"/>
      <c r="F39" s="8"/>
      <c r="G39" s="8"/>
      <c r="H39" s="8"/>
      <c r="I39" s="8"/>
      <c r="N39" s="770"/>
      <c r="O39" s="1776" t="s">
        <v>3219</v>
      </c>
      <c r="P39" s="1777"/>
      <c r="Q39" s="941"/>
      <c r="R39" s="771"/>
    </row>
    <row r="40" spans="2:18" ht="15" customHeight="1" x14ac:dyDescent="0.25">
      <c r="B40" s="611"/>
      <c r="C40" s="1148" t="s">
        <v>3221</v>
      </c>
      <c r="D40" s="1148"/>
      <c r="E40" s="1148"/>
      <c r="F40" s="1148"/>
      <c r="G40" s="1148"/>
      <c r="H40" s="1148"/>
      <c r="I40" s="1148"/>
      <c r="J40" s="1148"/>
      <c r="K40" s="1148"/>
      <c r="N40" s="770"/>
      <c r="O40" s="1776"/>
      <c r="P40" s="1776"/>
      <c r="Q40" s="931"/>
      <c r="R40" s="771"/>
    </row>
    <row r="41" spans="2:18" ht="15" customHeight="1" x14ac:dyDescent="0.25">
      <c r="B41" s="611"/>
      <c r="C41" s="1148"/>
      <c r="D41" s="1148"/>
      <c r="E41" s="1148"/>
      <c r="F41" s="1148"/>
      <c r="G41" s="1148"/>
      <c r="H41" s="1148"/>
      <c r="I41" s="1148"/>
      <c r="J41" s="1148"/>
      <c r="K41" s="1148"/>
      <c r="N41" s="770"/>
      <c r="O41" s="633" t="s">
        <v>2443</v>
      </c>
      <c r="P41" s="633"/>
      <c r="Q41" s="932"/>
      <c r="R41" s="771"/>
    </row>
    <row r="42" spans="2:18" ht="15" customHeight="1" x14ac:dyDescent="0.25">
      <c r="B42" s="611"/>
      <c r="C42" s="1148"/>
      <c r="D42" s="1148"/>
      <c r="E42" s="1148"/>
      <c r="F42" s="1148"/>
      <c r="G42" s="1148"/>
      <c r="H42" s="1148"/>
      <c r="I42" s="1148"/>
      <c r="J42" s="1148"/>
      <c r="K42" s="1148"/>
      <c r="N42" s="770"/>
      <c r="O42" s="633"/>
      <c r="P42" s="633"/>
      <c r="Q42" s="932"/>
      <c r="R42" s="771"/>
    </row>
    <row r="43" spans="2:18" ht="15" customHeight="1" x14ac:dyDescent="0.25">
      <c r="B43" s="611"/>
      <c r="C43" s="1852" t="s">
        <v>3205</v>
      </c>
      <c r="D43" s="1852"/>
      <c r="E43" s="1852"/>
      <c r="F43" s="1852"/>
      <c r="G43" s="1852"/>
      <c r="H43" s="1852"/>
      <c r="I43" s="1852"/>
      <c r="J43" s="1852"/>
      <c r="K43" s="1852"/>
      <c r="N43" s="770"/>
      <c r="O43" s="1718"/>
      <c r="P43" s="1719"/>
      <c r="Q43" s="1720"/>
      <c r="R43" s="771"/>
    </row>
    <row r="44" spans="2:18" ht="15" customHeight="1" x14ac:dyDescent="0.25">
      <c r="B44" s="611"/>
      <c r="C44" s="882" t="s">
        <v>3206</v>
      </c>
      <c r="D44" s="939"/>
      <c r="E44" s="939"/>
      <c r="F44" s="939"/>
      <c r="G44" s="939"/>
      <c r="H44" s="249"/>
      <c r="I44" s="249"/>
      <c r="J44" s="249"/>
      <c r="K44" s="882"/>
      <c r="N44" s="770"/>
      <c r="O44" s="1721"/>
      <c r="P44" s="1722"/>
      <c r="Q44" s="1723"/>
      <c r="R44" s="771"/>
    </row>
    <row r="45" spans="2:18" ht="15" customHeight="1" x14ac:dyDescent="0.25">
      <c r="B45" s="611"/>
      <c r="C45" s="8"/>
      <c r="D45" s="8"/>
      <c r="E45" s="8"/>
      <c r="F45" s="8"/>
      <c r="G45" s="8"/>
      <c r="H45" s="25"/>
      <c r="I45" s="25"/>
      <c r="J45" s="25"/>
      <c r="N45" s="770"/>
      <c r="O45" s="1721"/>
      <c r="P45" s="1722"/>
      <c r="Q45" s="1723"/>
      <c r="R45" s="771"/>
    </row>
    <row r="46" spans="2:18" ht="15" customHeight="1" x14ac:dyDescent="0.25">
      <c r="B46" s="611"/>
      <c r="C46" s="1155" t="s">
        <v>3210</v>
      </c>
      <c r="D46" s="1155"/>
      <c r="E46" s="1247" t="str">
        <f>IF(Details!$E$13="","",Details!$E$13)</f>
        <v/>
      </c>
      <c r="F46" s="1247"/>
      <c r="G46" s="1247"/>
      <c r="H46" s="1247"/>
      <c r="I46" s="25"/>
      <c r="J46" s="25"/>
      <c r="N46" s="770"/>
      <c r="O46" s="1721"/>
      <c r="P46" s="1722"/>
      <c r="Q46" s="1723"/>
      <c r="R46" s="771"/>
    </row>
    <row r="47" spans="2:18" ht="15" customHeight="1" x14ac:dyDescent="0.25">
      <c r="B47" s="611"/>
      <c r="C47" s="1155" t="s">
        <v>3209</v>
      </c>
      <c r="D47" s="1155"/>
      <c r="E47" s="1247" t="str">
        <f>IF(E46="","",CONCATENATE("Tract ",VLOOKUP(E46,Data!$B$11:$D$3178,2,FALSE),", ",VLOOKUP(E46,Data!$B$11:$D$3178,3,FALSE)," County"))</f>
        <v/>
      </c>
      <c r="F47" s="1247"/>
      <c r="G47" s="1247"/>
      <c r="H47" s="1247"/>
      <c r="I47" s="25"/>
      <c r="J47" s="25"/>
      <c r="N47" s="770"/>
      <c r="O47" s="1721"/>
      <c r="P47" s="1722"/>
      <c r="Q47" s="1723"/>
      <c r="R47" s="771"/>
    </row>
    <row r="48" spans="2:18" ht="15" customHeight="1" x14ac:dyDescent="0.25">
      <c r="B48" s="611"/>
      <c r="C48" s="1155" t="s">
        <v>2989</v>
      </c>
      <c r="D48" s="1155"/>
      <c r="E48" s="1763" t="str">
        <f>IF(E46="","",VLOOKUP(E46,Data!$B$11:$J$3178,8,FALSE))</f>
        <v/>
      </c>
      <c r="F48" s="1763"/>
      <c r="G48" s="1763"/>
      <c r="H48" s="1763"/>
      <c r="I48" s="25"/>
      <c r="J48" s="25"/>
      <c r="N48" s="770"/>
      <c r="O48" s="1721"/>
      <c r="P48" s="1722"/>
      <c r="Q48" s="1723"/>
      <c r="R48" s="771"/>
    </row>
    <row r="49" spans="2:18" ht="15" customHeight="1" x14ac:dyDescent="0.25">
      <c r="B49" s="611"/>
      <c r="C49" s="1155" t="s">
        <v>3207</v>
      </c>
      <c r="D49" s="1155"/>
      <c r="E49" s="1762">
        <f>IF(E48&gt;45,0.1,0.15)</f>
        <v>0.1</v>
      </c>
      <c r="F49" s="1762"/>
      <c r="G49" s="1762"/>
      <c r="H49" s="1762"/>
      <c r="I49" s="25"/>
      <c r="J49" s="25"/>
      <c r="N49" s="770"/>
      <c r="O49" s="1721"/>
      <c r="P49" s="1722"/>
      <c r="Q49" s="1723"/>
      <c r="R49" s="771"/>
    </row>
    <row r="50" spans="2:18" ht="15" customHeight="1" x14ac:dyDescent="0.25">
      <c r="B50" s="611"/>
      <c r="C50" s="1155" t="s">
        <v>3208</v>
      </c>
      <c r="D50" s="1155"/>
      <c r="E50" s="1865">
        <f>SUM(Revenue!G110:G111)</f>
        <v>0</v>
      </c>
      <c r="F50" s="1762"/>
      <c r="G50" s="1762"/>
      <c r="H50" s="1762"/>
      <c r="I50" s="25"/>
      <c r="J50" s="25"/>
      <c r="N50" s="770"/>
      <c r="O50" s="1724"/>
      <c r="P50" s="1725"/>
      <c r="Q50" s="1726"/>
      <c r="R50" s="771"/>
    </row>
    <row r="51" spans="2:18" ht="15" customHeight="1" x14ac:dyDescent="0.25">
      <c r="B51" s="611"/>
      <c r="C51" s="957" t="s">
        <v>3219</v>
      </c>
      <c r="D51" s="8"/>
      <c r="E51" s="203" t="str">
        <f>IF(E50&gt;=E49,"Yes","No")</f>
        <v>No</v>
      </c>
      <c r="F51" s="741"/>
      <c r="G51" s="741"/>
      <c r="H51" s="741"/>
      <c r="I51" s="25"/>
      <c r="J51" s="25"/>
      <c r="N51" s="772"/>
      <c r="O51" s="940"/>
      <c r="P51" s="940"/>
      <c r="Q51" s="940"/>
      <c r="R51" s="774"/>
    </row>
    <row r="52" spans="2:18" ht="15" customHeight="1" x14ac:dyDescent="0.25">
      <c r="B52" s="611"/>
      <c r="C52" s="1759"/>
      <c r="D52" s="1759"/>
      <c r="E52" s="8"/>
      <c r="F52" s="8"/>
      <c r="G52" s="8"/>
      <c r="H52" s="25"/>
      <c r="I52" s="25"/>
      <c r="J52" s="25"/>
    </row>
    <row r="53" spans="2:18" ht="15" customHeight="1" x14ac:dyDescent="0.25">
      <c r="B53" s="611"/>
      <c r="C53" s="8"/>
      <c r="D53" s="8"/>
      <c r="E53" s="8"/>
      <c r="F53" s="8"/>
      <c r="G53" s="8"/>
      <c r="H53" s="25"/>
      <c r="I53" s="25"/>
      <c r="J53" s="25"/>
    </row>
    <row r="54" spans="2:18" ht="15" customHeight="1" x14ac:dyDescent="0.2">
      <c r="B54" s="746" t="s">
        <v>2477</v>
      </c>
      <c r="C54" s="1731" t="s">
        <v>2705</v>
      </c>
      <c r="D54" s="1731"/>
      <c r="E54" s="1731"/>
      <c r="F54" s="1731"/>
      <c r="G54" s="1731"/>
      <c r="H54" s="1731"/>
      <c r="I54" s="1731"/>
      <c r="J54" s="1731"/>
      <c r="K54" s="1731"/>
      <c r="N54" s="767"/>
      <c r="O54" s="768"/>
      <c r="P54" s="768"/>
      <c r="Q54" s="930"/>
      <c r="R54" s="769"/>
    </row>
    <row r="55" spans="2:18" ht="15" customHeight="1" x14ac:dyDescent="0.25">
      <c r="B55" s="611"/>
      <c r="C55" s="8"/>
      <c r="D55" s="8"/>
      <c r="E55" s="8"/>
      <c r="F55" s="8"/>
      <c r="G55" s="8"/>
      <c r="H55" s="8"/>
      <c r="I55" s="8"/>
      <c r="N55" s="770"/>
      <c r="O55" s="1776" t="s">
        <v>3220</v>
      </c>
      <c r="P55" s="1777"/>
      <c r="Q55" s="941"/>
      <c r="R55" s="771"/>
    </row>
    <row r="56" spans="2:18" ht="15" customHeight="1" x14ac:dyDescent="0.25">
      <c r="B56" s="611"/>
      <c r="C56" s="1148" t="s">
        <v>3242</v>
      </c>
      <c r="D56" s="1148"/>
      <c r="E56" s="1148"/>
      <c r="F56" s="1148"/>
      <c r="G56" s="1148"/>
      <c r="H56" s="1148"/>
      <c r="I56" s="1148"/>
      <c r="J56" s="1148"/>
      <c r="K56" s="1148"/>
      <c r="N56" s="770"/>
      <c r="O56" s="1776"/>
      <c r="P56" s="1776"/>
      <c r="Q56" s="931"/>
      <c r="R56" s="771"/>
    </row>
    <row r="57" spans="2:18" ht="15" customHeight="1" x14ac:dyDescent="0.25">
      <c r="B57" s="611"/>
      <c r="C57" s="1148"/>
      <c r="D57" s="1148"/>
      <c r="E57" s="1148"/>
      <c r="F57" s="1148"/>
      <c r="G57" s="1148"/>
      <c r="H57" s="1148"/>
      <c r="I57" s="1148"/>
      <c r="J57" s="1148"/>
      <c r="K57" s="1148"/>
      <c r="N57" s="770"/>
      <c r="O57" s="633" t="s">
        <v>2443</v>
      </c>
      <c r="P57" s="633"/>
      <c r="Q57" s="932"/>
      <c r="R57" s="771"/>
    </row>
    <row r="58" spans="2:18" ht="15" customHeight="1" x14ac:dyDescent="0.25">
      <c r="B58" s="611"/>
      <c r="C58" s="1148"/>
      <c r="D58" s="1148"/>
      <c r="E58" s="1148"/>
      <c r="F58" s="1148"/>
      <c r="G58" s="1148"/>
      <c r="H58" s="1148"/>
      <c r="I58" s="1148"/>
      <c r="J58" s="1148"/>
      <c r="K58" s="1148"/>
      <c r="N58" s="770"/>
      <c r="O58" s="1876"/>
      <c r="P58" s="1876"/>
      <c r="Q58" s="1876"/>
      <c r="R58" s="771"/>
    </row>
    <row r="59" spans="2:18" ht="15" customHeight="1" x14ac:dyDescent="0.25">
      <c r="B59" s="611"/>
      <c r="C59" s="1148"/>
      <c r="D59" s="1148"/>
      <c r="E59" s="1148"/>
      <c r="F59" s="1148"/>
      <c r="G59" s="1148"/>
      <c r="H59" s="1148"/>
      <c r="I59" s="1148"/>
      <c r="J59" s="1148"/>
      <c r="K59" s="1148"/>
      <c r="N59" s="770"/>
      <c r="O59" s="1718"/>
      <c r="P59" s="1719"/>
      <c r="Q59" s="1720"/>
      <c r="R59" s="771"/>
    </row>
    <row r="60" spans="2:18" ht="15" customHeight="1" x14ac:dyDescent="0.25">
      <c r="B60" s="611"/>
      <c r="C60" s="1148"/>
      <c r="D60" s="1148"/>
      <c r="E60" s="1148"/>
      <c r="F60" s="1148"/>
      <c r="G60" s="1148"/>
      <c r="H60" s="1148"/>
      <c r="I60" s="1148"/>
      <c r="J60" s="1148"/>
      <c r="K60" s="1148"/>
      <c r="N60" s="770"/>
      <c r="O60" s="1721"/>
      <c r="P60" s="1722"/>
      <c r="Q60" s="1723"/>
      <c r="R60" s="771"/>
    </row>
    <row r="61" spans="2:18" ht="15" customHeight="1" x14ac:dyDescent="0.25">
      <c r="B61" s="611"/>
      <c r="C61" s="1148"/>
      <c r="D61" s="1148"/>
      <c r="E61" s="1148"/>
      <c r="F61" s="1148"/>
      <c r="G61" s="1148"/>
      <c r="H61" s="1148"/>
      <c r="I61" s="1148"/>
      <c r="J61" s="1148"/>
      <c r="K61" s="1148"/>
      <c r="N61" s="770"/>
      <c r="O61" s="1721"/>
      <c r="P61" s="1722"/>
      <c r="Q61" s="1723"/>
      <c r="R61" s="771"/>
    </row>
    <row r="62" spans="2:18" ht="15" customHeight="1" x14ac:dyDescent="0.25">
      <c r="B62" s="611"/>
      <c r="C62" s="8"/>
      <c r="D62" s="8"/>
      <c r="E62" s="8"/>
      <c r="F62" s="8"/>
      <c r="G62" s="8"/>
      <c r="H62" s="25"/>
      <c r="I62" s="25"/>
      <c r="J62" s="25"/>
      <c r="N62" s="770"/>
      <c r="O62" s="1721"/>
      <c r="P62" s="1722"/>
      <c r="Q62" s="1723"/>
      <c r="R62" s="771"/>
    </row>
    <row r="63" spans="2:18" ht="15" customHeight="1" x14ac:dyDescent="0.25">
      <c r="B63" s="611"/>
      <c r="C63" s="1155" t="s">
        <v>3243</v>
      </c>
      <c r="D63" s="1155"/>
      <c r="E63" s="1155"/>
      <c r="F63" s="1155"/>
      <c r="G63" s="1155"/>
      <c r="H63" s="1155"/>
      <c r="I63" s="1155"/>
      <c r="J63" s="1155"/>
      <c r="K63" s="1155"/>
      <c r="N63" s="770"/>
      <c r="O63" s="1721"/>
      <c r="P63" s="1722"/>
      <c r="Q63" s="1723"/>
      <c r="R63" s="771"/>
    </row>
    <row r="64" spans="2:18" ht="15" customHeight="1" x14ac:dyDescent="0.25">
      <c r="B64" s="611"/>
      <c r="C64" s="1303" t="s">
        <v>3214</v>
      </c>
      <c r="D64" s="1303"/>
      <c r="E64" s="1303"/>
      <c r="F64" s="1303"/>
      <c r="G64" s="1303"/>
      <c r="H64" s="1303"/>
      <c r="I64" s="1303"/>
      <c r="J64" s="1303"/>
      <c r="K64" s="1303"/>
      <c r="N64" s="770"/>
      <c r="O64" s="1721"/>
      <c r="P64" s="1722"/>
      <c r="Q64" s="1723"/>
      <c r="R64" s="771"/>
    </row>
    <row r="65" spans="2:18" ht="15" customHeight="1" x14ac:dyDescent="0.25">
      <c r="B65" s="611"/>
      <c r="C65" s="1303"/>
      <c r="D65" s="1303"/>
      <c r="E65" s="1303"/>
      <c r="F65" s="1303"/>
      <c r="G65" s="1303"/>
      <c r="H65" s="1303"/>
      <c r="I65" s="1303"/>
      <c r="J65" s="1303"/>
      <c r="K65" s="1303"/>
      <c r="N65" s="770"/>
      <c r="O65" s="1721"/>
      <c r="P65" s="1722"/>
      <c r="Q65" s="1723"/>
      <c r="R65" s="771"/>
    </row>
    <row r="66" spans="2:18" ht="15" customHeight="1" x14ac:dyDescent="0.25">
      <c r="B66" s="611"/>
      <c r="C66" s="1303" t="s">
        <v>3216</v>
      </c>
      <c r="D66" s="1303"/>
      <c r="E66" s="1303"/>
      <c r="F66" s="1303"/>
      <c r="G66" s="1303"/>
      <c r="H66" s="1303"/>
      <c r="I66" s="1303"/>
      <c r="J66" s="1303"/>
      <c r="K66" s="1303"/>
      <c r="N66" s="770"/>
      <c r="O66" s="1721"/>
      <c r="P66" s="1722"/>
      <c r="Q66" s="1723"/>
      <c r="R66" s="771"/>
    </row>
    <row r="67" spans="2:18" ht="15" customHeight="1" x14ac:dyDescent="0.25">
      <c r="B67" s="611"/>
      <c r="C67" s="1303" t="s">
        <v>3215</v>
      </c>
      <c r="D67" s="1303"/>
      <c r="E67" s="1303"/>
      <c r="F67" s="1303"/>
      <c r="G67" s="1303"/>
      <c r="H67" s="1303"/>
      <c r="I67" s="1303"/>
      <c r="J67" s="1303"/>
      <c r="K67" s="1303"/>
      <c r="N67" s="770"/>
      <c r="O67" s="1721"/>
      <c r="P67" s="1722"/>
      <c r="Q67" s="1723"/>
      <c r="R67" s="771"/>
    </row>
    <row r="68" spans="2:18" ht="15" customHeight="1" x14ac:dyDescent="0.25">
      <c r="B68" s="611"/>
      <c r="C68" s="8"/>
      <c r="D68" s="8"/>
      <c r="E68" s="8"/>
      <c r="F68" s="8"/>
      <c r="G68" s="8"/>
      <c r="H68" s="25"/>
      <c r="I68" s="25"/>
      <c r="J68" s="25"/>
      <c r="N68" s="770"/>
      <c r="O68" s="1721"/>
      <c r="P68" s="1722"/>
      <c r="Q68" s="1723"/>
      <c r="R68" s="771"/>
    </row>
    <row r="69" spans="2:18" ht="15" customHeight="1" x14ac:dyDescent="0.25">
      <c r="B69" s="611"/>
      <c r="C69" s="1303" t="s">
        <v>3244</v>
      </c>
      <c r="D69" s="1303"/>
      <c r="E69" s="1303"/>
      <c r="F69" s="1303"/>
      <c r="G69" s="1303"/>
      <c r="H69" s="1303"/>
      <c r="I69" s="1303"/>
      <c r="J69" s="1303"/>
      <c r="K69" s="1303"/>
      <c r="N69" s="770"/>
      <c r="O69" s="1721"/>
      <c r="P69" s="1722"/>
      <c r="Q69" s="1723"/>
      <c r="R69" s="771"/>
    </row>
    <row r="70" spans="2:18" ht="15" customHeight="1" x14ac:dyDescent="0.25">
      <c r="B70" s="611"/>
      <c r="C70" s="1303"/>
      <c r="D70" s="1303"/>
      <c r="E70" s="1303"/>
      <c r="F70" s="1303"/>
      <c r="G70" s="1303"/>
      <c r="H70" s="1303"/>
      <c r="I70" s="1303"/>
      <c r="J70" s="1303"/>
      <c r="K70" s="1303"/>
      <c r="N70" s="770"/>
      <c r="O70" s="1721"/>
      <c r="P70" s="1722"/>
      <c r="Q70" s="1723"/>
      <c r="R70" s="771"/>
    </row>
    <row r="71" spans="2:18" ht="15" customHeight="1" x14ac:dyDescent="0.25">
      <c r="B71" s="611"/>
      <c r="C71" s="1303"/>
      <c r="D71" s="1303"/>
      <c r="E71" s="1303"/>
      <c r="F71" s="1303"/>
      <c r="G71" s="1303"/>
      <c r="H71" s="1303"/>
      <c r="I71" s="1303"/>
      <c r="J71" s="1303"/>
      <c r="K71" s="1303"/>
      <c r="N71" s="770"/>
      <c r="O71" s="1721"/>
      <c r="P71" s="1722"/>
      <c r="Q71" s="1723"/>
      <c r="R71" s="771"/>
    </row>
    <row r="72" spans="2:18" ht="15" customHeight="1" x14ac:dyDescent="0.25">
      <c r="B72" s="611"/>
      <c r="C72" s="1303"/>
      <c r="D72" s="1303"/>
      <c r="E72" s="1303"/>
      <c r="F72" s="1303"/>
      <c r="G72" s="1303"/>
      <c r="H72" s="1303"/>
      <c r="I72" s="1303"/>
      <c r="J72" s="1303"/>
      <c r="K72" s="1303"/>
      <c r="N72" s="770"/>
      <c r="O72" s="1721"/>
      <c r="P72" s="1722"/>
      <c r="Q72" s="1723"/>
      <c r="R72" s="771"/>
    </row>
    <row r="73" spans="2:18" ht="15" customHeight="1" x14ac:dyDescent="0.25">
      <c r="B73" s="611"/>
      <c r="C73" s="1303"/>
      <c r="D73" s="1303"/>
      <c r="E73" s="1303"/>
      <c r="F73" s="1303"/>
      <c r="G73" s="1303"/>
      <c r="H73" s="1303"/>
      <c r="I73" s="1303"/>
      <c r="J73" s="1303"/>
      <c r="K73" s="1303"/>
      <c r="N73" s="770"/>
      <c r="O73" s="1721"/>
      <c r="P73" s="1722"/>
      <c r="Q73" s="1723"/>
      <c r="R73" s="771"/>
    </row>
    <row r="74" spans="2:18" ht="15" customHeight="1" x14ac:dyDescent="0.25">
      <c r="B74" s="611"/>
      <c r="C74" s="8"/>
      <c r="D74" s="8"/>
      <c r="E74" s="8"/>
      <c r="F74" s="8"/>
      <c r="G74" s="8"/>
      <c r="H74" s="25"/>
      <c r="I74" s="25"/>
      <c r="J74" s="25"/>
      <c r="N74" s="770"/>
      <c r="O74" s="1721"/>
      <c r="P74" s="1722"/>
      <c r="Q74" s="1723"/>
      <c r="R74" s="771"/>
    </row>
    <row r="75" spans="2:18" ht="15" customHeight="1" x14ac:dyDescent="0.25">
      <c r="B75" s="611"/>
      <c r="C75" s="1870" t="s">
        <v>3245</v>
      </c>
      <c r="D75" s="1870"/>
      <c r="E75" s="1870"/>
      <c r="F75" s="1870"/>
      <c r="G75" s="1870"/>
      <c r="H75" s="1870"/>
      <c r="I75" s="1870"/>
      <c r="J75" s="355"/>
      <c r="N75" s="770"/>
      <c r="O75" s="1721"/>
      <c r="P75" s="1722"/>
      <c r="Q75" s="1723"/>
      <c r="R75" s="771"/>
    </row>
    <row r="76" spans="2:18" ht="15" customHeight="1" x14ac:dyDescent="0.25">
      <c r="B76" s="611"/>
      <c r="C76" s="1577" t="s">
        <v>3246</v>
      </c>
      <c r="D76" s="1577"/>
      <c r="E76" s="1577"/>
      <c r="F76" s="1577"/>
      <c r="G76" s="1577"/>
      <c r="H76" s="1577"/>
      <c r="I76" s="1577"/>
      <c r="J76" s="355"/>
      <c r="N76" s="770"/>
      <c r="O76" s="1721"/>
      <c r="P76" s="1722"/>
      <c r="Q76" s="1723"/>
      <c r="R76" s="771"/>
    </row>
    <row r="77" spans="2:18" ht="15" customHeight="1" x14ac:dyDescent="0.25">
      <c r="B77" s="611"/>
      <c r="C77" s="249" t="s">
        <v>3247</v>
      </c>
      <c r="D77" s="951"/>
      <c r="E77" s="951"/>
      <c r="F77" s="951"/>
      <c r="G77" s="951"/>
      <c r="H77" s="249"/>
      <c r="I77" s="249"/>
      <c r="J77" s="355"/>
      <c r="N77" s="770"/>
      <c r="O77" s="1721"/>
      <c r="P77" s="1722"/>
      <c r="Q77" s="1723"/>
      <c r="R77" s="771"/>
    </row>
    <row r="78" spans="2:18" ht="15" customHeight="1" x14ac:dyDescent="0.25">
      <c r="B78" s="611"/>
      <c r="C78" s="249" t="s">
        <v>3248</v>
      </c>
      <c r="D78" s="8"/>
      <c r="E78" s="8"/>
      <c r="F78" s="8"/>
      <c r="G78" s="8"/>
      <c r="H78" s="25"/>
      <c r="I78" s="25"/>
      <c r="J78" s="355"/>
      <c r="N78" s="770"/>
      <c r="O78" s="1721"/>
      <c r="P78" s="1722"/>
      <c r="Q78" s="1723"/>
      <c r="R78" s="771"/>
    </row>
    <row r="79" spans="2:18" ht="15" customHeight="1" x14ac:dyDescent="0.25">
      <c r="B79" s="611"/>
      <c r="C79" s="952" t="s">
        <v>3249</v>
      </c>
      <c r="D79" s="8"/>
      <c r="E79" s="8"/>
      <c r="F79" s="8"/>
      <c r="G79" s="8"/>
      <c r="H79" s="25"/>
      <c r="I79" s="25"/>
      <c r="J79" s="355"/>
      <c r="N79" s="770"/>
      <c r="O79" s="1721"/>
      <c r="P79" s="1722"/>
      <c r="Q79" s="1723"/>
      <c r="R79" s="771"/>
    </row>
    <row r="80" spans="2:18" ht="15" customHeight="1" x14ac:dyDescent="0.25">
      <c r="B80" s="611"/>
      <c r="C80" s="1874" t="s">
        <v>3251</v>
      </c>
      <c r="D80" s="1874"/>
      <c r="E80" s="1874"/>
      <c r="F80" s="1874"/>
      <c r="G80" s="1875"/>
      <c r="H80" s="1871"/>
      <c r="I80" s="1872"/>
      <c r="J80" s="1873"/>
      <c r="N80" s="770"/>
      <c r="O80" s="1721"/>
      <c r="P80" s="1722"/>
      <c r="Q80" s="1723"/>
      <c r="R80" s="771"/>
    </row>
    <row r="81" spans="2:18" ht="15" customHeight="1" x14ac:dyDescent="0.25">
      <c r="B81" s="611"/>
      <c r="C81" s="8"/>
      <c r="D81" s="8"/>
      <c r="E81" s="8"/>
      <c r="F81" s="8"/>
      <c r="G81" s="8"/>
      <c r="H81" s="25"/>
      <c r="I81" s="25"/>
      <c r="J81" s="25"/>
      <c r="N81" s="770"/>
      <c r="O81" s="1721"/>
      <c r="P81" s="1722"/>
      <c r="Q81" s="1723"/>
      <c r="R81" s="771"/>
    </row>
    <row r="82" spans="2:18" ht="15" customHeight="1" x14ac:dyDescent="0.25">
      <c r="B82" s="611"/>
      <c r="C82" s="1870" t="s">
        <v>3252</v>
      </c>
      <c r="D82" s="1870"/>
      <c r="E82" s="1870"/>
      <c r="F82" s="1870"/>
      <c r="G82" s="1870"/>
      <c r="H82" s="1870"/>
      <c r="I82" s="1870"/>
      <c r="J82" s="355"/>
      <c r="N82" s="770"/>
      <c r="O82" s="1721"/>
      <c r="P82" s="1722"/>
      <c r="Q82" s="1723"/>
      <c r="R82" s="771"/>
    </row>
    <row r="83" spans="2:18" ht="15" customHeight="1" x14ac:dyDescent="0.25">
      <c r="B83" s="611"/>
      <c r="C83" s="1577" t="s">
        <v>3253</v>
      </c>
      <c r="D83" s="1577"/>
      <c r="E83" s="1577"/>
      <c r="F83" s="1577"/>
      <c r="G83" s="1577"/>
      <c r="H83" s="1577"/>
      <c r="I83" s="1577"/>
      <c r="J83" s="355"/>
      <c r="N83" s="770"/>
      <c r="O83" s="1721"/>
      <c r="P83" s="1722"/>
      <c r="Q83" s="1723"/>
      <c r="R83" s="771"/>
    </row>
    <row r="84" spans="2:18" ht="15" customHeight="1" x14ac:dyDescent="0.25">
      <c r="B84" s="611"/>
      <c r="C84" s="249" t="s">
        <v>3254</v>
      </c>
      <c r="D84" s="951"/>
      <c r="E84" s="951"/>
      <c r="F84" s="951"/>
      <c r="G84" s="951"/>
      <c r="H84" s="249"/>
      <c r="I84" s="249"/>
      <c r="J84" s="355"/>
      <c r="N84" s="770"/>
      <c r="O84" s="1721"/>
      <c r="P84" s="1722"/>
      <c r="Q84" s="1723"/>
      <c r="R84" s="771"/>
    </row>
    <row r="85" spans="2:18" ht="15" customHeight="1" x14ac:dyDescent="0.25">
      <c r="B85" s="611"/>
      <c r="C85" s="249" t="s">
        <v>3255</v>
      </c>
      <c r="D85" s="8"/>
      <c r="E85" s="8"/>
      <c r="F85" s="8"/>
      <c r="G85" s="8"/>
      <c r="H85" s="25"/>
      <c r="I85" s="25"/>
      <c r="J85" s="355"/>
      <c r="N85" s="770"/>
      <c r="O85" s="1721"/>
      <c r="P85" s="1722"/>
      <c r="Q85" s="1723"/>
      <c r="R85" s="771"/>
    </row>
    <row r="86" spans="2:18" ht="15" customHeight="1" x14ac:dyDescent="0.25">
      <c r="B86" s="611"/>
      <c r="C86" s="952" t="s">
        <v>3256</v>
      </c>
      <c r="D86" s="8"/>
      <c r="E86" s="8"/>
      <c r="F86" s="8"/>
      <c r="G86" s="8"/>
      <c r="H86" s="25"/>
      <c r="I86" s="25"/>
      <c r="J86" s="355"/>
      <c r="N86" s="770"/>
      <c r="O86" s="1724"/>
      <c r="P86" s="1725"/>
      <c r="Q86" s="1726"/>
      <c r="R86" s="771"/>
    </row>
    <row r="87" spans="2:18" ht="15" customHeight="1" x14ac:dyDescent="0.25">
      <c r="B87" s="611"/>
      <c r="C87" s="952" t="s">
        <v>3257</v>
      </c>
      <c r="D87" s="8"/>
      <c r="E87" s="8"/>
      <c r="F87" s="8"/>
      <c r="G87" s="8"/>
      <c r="H87" s="25"/>
      <c r="I87" s="25"/>
      <c r="J87" s="355"/>
      <c r="N87" s="772"/>
      <c r="O87" s="773"/>
      <c r="P87" s="773"/>
      <c r="Q87" s="933"/>
      <c r="R87" s="774"/>
    </row>
    <row r="88" spans="2:18" ht="15" customHeight="1" x14ac:dyDescent="0.25">
      <c r="B88" s="611"/>
      <c r="C88" s="8"/>
      <c r="D88" s="8"/>
      <c r="E88" s="8"/>
      <c r="F88" s="8"/>
      <c r="G88" s="8"/>
      <c r="H88" s="25"/>
      <c r="I88" s="25"/>
      <c r="J88" s="25"/>
    </row>
    <row r="89" spans="2:18" ht="15" customHeight="1" x14ac:dyDescent="0.25">
      <c r="B89" s="611"/>
      <c r="H89" s="25"/>
      <c r="I89" s="25"/>
      <c r="J89" s="25"/>
    </row>
    <row r="90" spans="2:18" ht="15" customHeight="1" x14ac:dyDescent="0.2">
      <c r="B90" s="1748" t="s">
        <v>2475</v>
      </c>
      <c r="C90" s="1748"/>
      <c r="D90" s="1748"/>
      <c r="E90" s="1748"/>
      <c r="F90" s="1748"/>
      <c r="G90" s="1748"/>
      <c r="H90" s="1748"/>
      <c r="I90" s="1748"/>
      <c r="J90" s="1748"/>
      <c r="N90" s="1748" t="s">
        <v>2717</v>
      </c>
      <c r="O90" s="1748"/>
      <c r="P90" s="1748"/>
      <c r="Q90" s="1748"/>
      <c r="R90" s="1748"/>
    </row>
    <row r="91" spans="2:18" ht="3" customHeight="1" x14ac:dyDescent="0.2">
      <c r="B91" s="1749"/>
      <c r="C91" s="1749"/>
      <c r="D91" s="1749"/>
      <c r="E91" s="1749"/>
      <c r="F91" s="1749"/>
      <c r="G91" s="1749"/>
      <c r="H91" s="1749"/>
      <c r="I91" s="1749"/>
      <c r="J91" s="1749"/>
      <c r="K91" s="1749"/>
      <c r="L91" s="1749"/>
      <c r="N91" s="1749"/>
      <c r="O91" s="1749"/>
      <c r="P91" s="1749"/>
      <c r="Q91" s="1749"/>
      <c r="R91" s="1749"/>
    </row>
    <row r="92" spans="2:18" ht="15" customHeight="1" x14ac:dyDescent="0.25">
      <c r="B92" s="611"/>
      <c r="C92" s="8"/>
      <c r="D92" s="8"/>
      <c r="E92" s="8"/>
      <c r="F92" s="8"/>
      <c r="G92" s="8"/>
      <c r="H92" s="8"/>
      <c r="I92" s="8"/>
    </row>
    <row r="93" spans="2:18" ht="15" customHeight="1" x14ac:dyDescent="0.2">
      <c r="B93" s="746" t="s">
        <v>2476</v>
      </c>
      <c r="C93" s="1731" t="s">
        <v>2671</v>
      </c>
      <c r="D93" s="1731"/>
      <c r="E93" s="1731"/>
      <c r="F93" s="1731"/>
      <c r="G93" s="1731"/>
      <c r="H93" s="1731"/>
      <c r="I93" s="1731"/>
      <c r="J93" s="30"/>
      <c r="K93" s="30"/>
      <c r="Q93" s="1"/>
    </row>
    <row r="94" spans="2:18" ht="5.25" customHeight="1" x14ac:dyDescent="0.25">
      <c r="B94" s="611"/>
      <c r="C94" s="8"/>
      <c r="D94" s="8"/>
      <c r="E94" s="8"/>
      <c r="F94" s="8"/>
      <c r="G94" s="8"/>
      <c r="H94" s="8"/>
      <c r="I94" s="8"/>
      <c r="Q94" s="1"/>
    </row>
    <row r="95" spans="2:18" ht="15" customHeight="1" x14ac:dyDescent="0.25">
      <c r="B95" s="611"/>
      <c r="C95" s="1303" t="s">
        <v>3031</v>
      </c>
      <c r="D95" s="1303"/>
      <c r="E95" s="1303"/>
      <c r="F95" s="1303"/>
      <c r="G95" s="1303"/>
      <c r="H95" s="1303"/>
      <c r="I95" s="1303"/>
      <c r="J95" s="1303"/>
      <c r="K95" s="1303"/>
      <c r="N95" s="767"/>
      <c r="O95" s="768"/>
      <c r="P95" s="768"/>
      <c r="Q95" s="768"/>
      <c r="R95" s="769"/>
    </row>
    <row r="96" spans="2:18" ht="15" customHeight="1" x14ac:dyDescent="0.25">
      <c r="B96" s="611"/>
      <c r="C96" s="1303"/>
      <c r="D96" s="1303"/>
      <c r="E96" s="1303"/>
      <c r="F96" s="1303"/>
      <c r="G96" s="1303"/>
      <c r="H96" s="1303"/>
      <c r="I96" s="1303"/>
      <c r="J96" s="1303"/>
      <c r="K96" s="1303"/>
      <c r="N96" s="770"/>
      <c r="O96" s="1776" t="s">
        <v>2666</v>
      </c>
      <c r="P96" s="1777"/>
      <c r="Q96" s="78" t="str">
        <f>IF(OR(I105="",I105="No"),"No","Yes")</f>
        <v>No</v>
      </c>
      <c r="R96" s="771"/>
    </row>
    <row r="97" spans="2:18" ht="15" customHeight="1" x14ac:dyDescent="0.25">
      <c r="B97" s="611"/>
      <c r="C97" s="8"/>
      <c r="D97" s="8"/>
      <c r="E97" s="8"/>
      <c r="F97" s="8"/>
      <c r="G97" s="8"/>
      <c r="H97" s="8"/>
      <c r="I97" s="8"/>
      <c r="N97" s="770"/>
      <c r="O97" s="1730" t="s">
        <v>2718</v>
      </c>
      <c r="P97" s="1783"/>
      <c r="Q97" s="941"/>
      <c r="R97" s="771"/>
    </row>
    <row r="98" spans="2:18" ht="15" customHeight="1" x14ac:dyDescent="0.25">
      <c r="B98" s="611"/>
      <c r="C98" s="1155" t="s">
        <v>3032</v>
      </c>
      <c r="D98" s="1155"/>
      <c r="E98" s="1155"/>
      <c r="F98" s="1155"/>
      <c r="G98" s="1155"/>
      <c r="H98" s="1324"/>
      <c r="I98" s="355"/>
      <c r="N98" s="770"/>
      <c r="O98" s="633"/>
      <c r="P98" s="633"/>
      <c r="Q98" s="633"/>
      <c r="R98" s="771"/>
    </row>
    <row r="99" spans="2:18" ht="15" customHeight="1" x14ac:dyDescent="0.25">
      <c r="B99" s="611"/>
      <c r="C99" s="1155" t="s">
        <v>3033</v>
      </c>
      <c r="D99" s="1155"/>
      <c r="E99" s="1155"/>
      <c r="F99" s="1155"/>
      <c r="G99" s="1155"/>
      <c r="H99" s="1324"/>
      <c r="I99" s="355"/>
      <c r="N99" s="770"/>
      <c r="O99" s="633" t="s">
        <v>2443</v>
      </c>
      <c r="P99" s="633"/>
      <c r="Q99" s="633"/>
      <c r="R99" s="771"/>
    </row>
    <row r="100" spans="2:18" ht="15" customHeight="1" x14ac:dyDescent="0.25">
      <c r="B100" s="611"/>
      <c r="C100" s="1155" t="s">
        <v>3034</v>
      </c>
      <c r="D100" s="1155"/>
      <c r="E100" s="1155"/>
      <c r="F100" s="1155"/>
      <c r="G100" s="1155"/>
      <c r="H100" s="1324"/>
      <c r="I100" s="986" t="str">
        <f>IF(OR(Team!$E$334="Yes",Team!$E$355="Yes","Yes"),"Yes","No")</f>
        <v>No</v>
      </c>
      <c r="N100" s="770"/>
      <c r="O100" s="633"/>
      <c r="P100" s="633"/>
      <c r="Q100" s="633"/>
      <c r="R100" s="771"/>
    </row>
    <row r="101" spans="2:18" ht="15" customHeight="1" x14ac:dyDescent="0.25">
      <c r="B101" s="611"/>
      <c r="C101" s="1155" t="s">
        <v>2661</v>
      </c>
      <c r="D101" s="1155"/>
      <c r="E101" s="1155"/>
      <c r="F101" s="1155"/>
      <c r="G101" s="1155"/>
      <c r="H101" s="1324"/>
      <c r="I101" s="1247" t="str">
        <f>IF($I$219="Yes","N/A",IF(AND(Team!$E$318="",Team!$E$327=""),"",IF(Team!$E$327="",Team!$E$318,Team!$E$327)))</f>
        <v/>
      </c>
      <c r="J101" s="1247"/>
      <c r="K101" s="1247"/>
      <c r="N101" s="770"/>
      <c r="O101" s="1774"/>
      <c r="P101" s="1774"/>
      <c r="Q101" s="1774"/>
      <c r="R101" s="771"/>
    </row>
    <row r="102" spans="2:18" ht="15" customHeight="1" x14ac:dyDescent="0.25">
      <c r="B102" s="611"/>
      <c r="C102" s="1155" t="s">
        <v>3448</v>
      </c>
      <c r="D102" s="1155"/>
      <c r="E102" s="1155"/>
      <c r="F102" s="1155"/>
      <c r="G102" s="1155"/>
      <c r="H102" s="1324"/>
      <c r="I102" s="988"/>
      <c r="N102" s="770"/>
      <c r="O102" s="1774"/>
      <c r="P102" s="1774"/>
      <c r="Q102" s="1774"/>
      <c r="R102" s="771"/>
    </row>
    <row r="103" spans="2:18" ht="15" customHeight="1" x14ac:dyDescent="0.25">
      <c r="B103" s="611"/>
      <c r="C103" s="25"/>
      <c r="D103" s="25"/>
      <c r="E103" s="25"/>
      <c r="F103" s="25"/>
      <c r="G103" s="25"/>
      <c r="H103" s="25"/>
      <c r="I103" s="25"/>
      <c r="N103" s="770"/>
      <c r="O103" s="1774"/>
      <c r="P103" s="1774"/>
      <c r="Q103" s="1774"/>
      <c r="R103" s="771"/>
    </row>
    <row r="104" spans="2:18" ht="15" customHeight="1" x14ac:dyDescent="0.25">
      <c r="B104" s="611"/>
      <c r="C104" s="1296" t="s">
        <v>3062</v>
      </c>
      <c r="D104" s="1296"/>
      <c r="E104" s="1296"/>
      <c r="F104" s="1296"/>
      <c r="G104" s="1296"/>
      <c r="H104" s="1775"/>
      <c r="I104" s="203" t="str">
        <f>IF(AND(I98="Yes",I99="Yes",I100="No",I102="Yes"),"Yes","No")</f>
        <v>No</v>
      </c>
      <c r="J104" s="739"/>
      <c r="K104" s="739"/>
      <c r="N104" s="770"/>
      <c r="O104" s="1774"/>
      <c r="P104" s="1774"/>
      <c r="Q104" s="1774"/>
      <c r="R104" s="771"/>
    </row>
    <row r="105" spans="2:18" ht="15" customHeight="1" x14ac:dyDescent="0.25">
      <c r="B105" s="611"/>
      <c r="C105" s="1296" t="s">
        <v>3063</v>
      </c>
      <c r="D105" s="1296"/>
      <c r="E105" s="1296"/>
      <c r="F105" s="1296"/>
      <c r="G105" s="1296"/>
      <c r="H105" s="1775"/>
      <c r="I105" s="775"/>
      <c r="J105" s="739"/>
      <c r="K105" s="739"/>
      <c r="N105" s="770"/>
      <c r="O105" s="1774"/>
      <c r="P105" s="1774"/>
      <c r="Q105" s="1774"/>
      <c r="R105" s="771"/>
    </row>
    <row r="106" spans="2:18" ht="15" customHeight="1" x14ac:dyDescent="0.25">
      <c r="B106" s="611"/>
      <c r="C106" s="249"/>
      <c r="D106" s="249"/>
      <c r="E106" s="249"/>
      <c r="F106" s="249"/>
      <c r="G106" s="249"/>
      <c r="H106" s="249"/>
      <c r="I106" s="8"/>
      <c r="J106" s="739"/>
      <c r="K106" s="739"/>
      <c r="N106" s="772"/>
      <c r="O106" s="773"/>
      <c r="P106" s="773"/>
      <c r="Q106" s="773"/>
      <c r="R106" s="774"/>
    </row>
    <row r="107" spans="2:18" ht="5.25" customHeight="1" x14ac:dyDescent="0.25">
      <c r="B107" s="611"/>
      <c r="C107" s="8"/>
      <c r="D107" s="8"/>
      <c r="E107" s="8"/>
      <c r="F107" s="8"/>
      <c r="G107" s="8"/>
      <c r="H107" s="8"/>
      <c r="I107" s="8"/>
      <c r="J107" s="739"/>
      <c r="K107" s="739"/>
      <c r="O107" s="981"/>
      <c r="P107" s="981"/>
      <c r="Q107" s="981"/>
    </row>
    <row r="108" spans="2:18" ht="15" customHeight="1" x14ac:dyDescent="0.25">
      <c r="B108" s="611"/>
      <c r="C108" s="249"/>
      <c r="D108" s="249"/>
      <c r="E108" s="249"/>
      <c r="F108" s="249"/>
      <c r="G108" s="249"/>
      <c r="H108" s="249"/>
      <c r="I108" s="8"/>
      <c r="J108" s="739"/>
      <c r="K108" s="739"/>
    </row>
    <row r="109" spans="2:18" ht="15" customHeight="1" x14ac:dyDescent="0.2">
      <c r="B109" s="746" t="s">
        <v>2477</v>
      </c>
      <c r="C109" s="1731" t="s">
        <v>3045</v>
      </c>
      <c r="D109" s="1731"/>
      <c r="E109" s="1731"/>
      <c r="F109" s="1731"/>
      <c r="G109" s="1731"/>
      <c r="H109" s="1731"/>
      <c r="I109" s="1731"/>
      <c r="J109" s="1731"/>
      <c r="K109" s="1731"/>
    </row>
    <row r="110" spans="2:18" ht="5.0999999999999996" customHeight="1" x14ac:dyDescent="0.25">
      <c r="B110" s="611"/>
      <c r="C110" s="249"/>
      <c r="D110" s="249"/>
      <c r="E110" s="249"/>
      <c r="F110" s="249"/>
      <c r="G110" s="249"/>
      <c r="H110" s="249"/>
      <c r="I110" s="8"/>
      <c r="J110" s="739"/>
      <c r="K110" s="739"/>
    </row>
    <row r="111" spans="2:18" ht="15" customHeight="1" x14ac:dyDescent="0.25">
      <c r="B111" s="611"/>
      <c r="C111" s="1303" t="s">
        <v>3056</v>
      </c>
      <c r="D111" s="1303"/>
      <c r="E111" s="1303"/>
      <c r="F111" s="1303"/>
      <c r="G111" s="1303"/>
      <c r="H111" s="1303"/>
      <c r="I111" s="1303"/>
      <c r="J111" s="1303"/>
      <c r="K111" s="1303"/>
      <c r="N111" s="767"/>
      <c r="O111" s="768"/>
      <c r="P111" s="768"/>
      <c r="Q111" s="930"/>
      <c r="R111" s="769"/>
    </row>
    <row r="112" spans="2:18" ht="15" customHeight="1" x14ac:dyDescent="0.25">
      <c r="B112" s="611"/>
      <c r="C112" s="1303"/>
      <c r="D112" s="1303"/>
      <c r="E112" s="1303"/>
      <c r="F112" s="1303"/>
      <c r="G112" s="1303"/>
      <c r="H112" s="1303"/>
      <c r="I112" s="1303"/>
      <c r="J112" s="1303"/>
      <c r="K112" s="1303"/>
      <c r="N112" s="770"/>
      <c r="O112" s="1776" t="s">
        <v>3064</v>
      </c>
      <c r="P112" s="1777"/>
      <c r="Q112" s="766" t="str">
        <f>IF(OR(J134="",J134="No"),"No","Yes")</f>
        <v>No</v>
      </c>
      <c r="R112" s="771"/>
    </row>
    <row r="113" spans="2:18" ht="15" customHeight="1" x14ac:dyDescent="0.25">
      <c r="B113" s="611"/>
      <c r="C113" s="1303"/>
      <c r="D113" s="1303"/>
      <c r="E113" s="1303"/>
      <c r="F113" s="1303"/>
      <c r="G113" s="1303"/>
      <c r="H113" s="1303"/>
      <c r="I113" s="1303"/>
      <c r="J113" s="1303"/>
      <c r="K113" s="1303"/>
      <c r="N113" s="770"/>
      <c r="O113" s="1730" t="s">
        <v>3065</v>
      </c>
      <c r="P113" s="1730"/>
      <c r="Q113" s="941"/>
      <c r="R113" s="771"/>
    </row>
    <row r="114" spans="2:18" ht="15" customHeight="1" x14ac:dyDescent="0.25">
      <c r="B114" s="611"/>
      <c r="C114" s="1303"/>
      <c r="D114" s="1303"/>
      <c r="E114" s="1303"/>
      <c r="F114" s="1303"/>
      <c r="G114" s="1303"/>
      <c r="H114" s="1303"/>
      <c r="I114" s="1303"/>
      <c r="J114" s="1303"/>
      <c r="K114" s="1303"/>
      <c r="N114" s="770"/>
      <c r="O114" s="633"/>
      <c r="P114" s="633"/>
      <c r="Q114" s="932"/>
      <c r="R114" s="771"/>
    </row>
    <row r="115" spans="2:18" ht="15" customHeight="1" x14ac:dyDescent="0.25">
      <c r="B115" s="611"/>
      <c r="C115" s="1303"/>
      <c r="D115" s="1303"/>
      <c r="E115" s="1303"/>
      <c r="F115" s="1303"/>
      <c r="G115" s="1303"/>
      <c r="H115" s="1303"/>
      <c r="I115" s="1303"/>
      <c r="J115" s="1303"/>
      <c r="K115" s="1303"/>
      <c r="N115" s="770"/>
      <c r="O115" s="633" t="s">
        <v>2443</v>
      </c>
      <c r="P115" s="633"/>
      <c r="Q115" s="932"/>
      <c r="R115" s="771"/>
    </row>
    <row r="116" spans="2:18" ht="15" customHeight="1" x14ac:dyDescent="0.25">
      <c r="B116" s="611"/>
      <c r="C116" s="1303"/>
      <c r="D116" s="1303"/>
      <c r="E116" s="1303"/>
      <c r="F116" s="1303"/>
      <c r="G116" s="1303"/>
      <c r="H116" s="1303"/>
      <c r="I116" s="1303"/>
      <c r="J116" s="1303"/>
      <c r="K116" s="1303"/>
      <c r="N116" s="770"/>
      <c r="O116" s="633"/>
      <c r="P116" s="633"/>
      <c r="Q116" s="932"/>
      <c r="R116" s="771"/>
    </row>
    <row r="117" spans="2:18" ht="15" customHeight="1" x14ac:dyDescent="0.25">
      <c r="B117" s="611"/>
      <c r="C117" s="1303"/>
      <c r="D117" s="1303"/>
      <c r="E117" s="1303"/>
      <c r="F117" s="1303"/>
      <c r="G117" s="1303"/>
      <c r="H117" s="1303"/>
      <c r="I117" s="1303"/>
      <c r="J117" s="1303"/>
      <c r="K117" s="1303"/>
      <c r="N117" s="770"/>
      <c r="O117" s="1718"/>
      <c r="P117" s="1719"/>
      <c r="Q117" s="1720"/>
      <c r="R117" s="771"/>
    </row>
    <row r="118" spans="2:18" ht="15" customHeight="1" x14ac:dyDescent="0.25">
      <c r="B118" s="611"/>
      <c r="C118" s="94"/>
      <c r="D118" s="94"/>
      <c r="E118" s="94"/>
      <c r="F118" s="94"/>
      <c r="G118" s="94"/>
      <c r="H118" s="94"/>
      <c r="I118" s="94"/>
      <c r="J118" s="94"/>
      <c r="K118" s="94"/>
      <c r="N118" s="770"/>
      <c r="O118" s="1721"/>
      <c r="P118" s="1722"/>
      <c r="Q118" s="1723"/>
      <c r="R118" s="771"/>
    </row>
    <row r="119" spans="2:18" ht="15" customHeight="1" x14ac:dyDescent="0.25">
      <c r="B119" s="611"/>
      <c r="C119" s="1155" t="s">
        <v>3046</v>
      </c>
      <c r="D119" s="1155"/>
      <c r="E119" s="1155"/>
      <c r="F119" s="1155"/>
      <c r="G119" s="1155"/>
      <c r="H119" s="1155"/>
      <c r="I119" s="1324"/>
      <c r="J119" s="78" t="str">
        <f>IF(Details!$E$13="","Input Census Tract",VLOOKUP(Details!$E$13,Data!$B$11:$F$3178,5,FALSE))</f>
        <v>Input Census Tract</v>
      </c>
      <c r="N119" s="770"/>
      <c r="O119" s="1721"/>
      <c r="P119" s="1722"/>
      <c r="Q119" s="1723"/>
      <c r="R119" s="771"/>
    </row>
    <row r="120" spans="2:18" ht="15" customHeight="1" x14ac:dyDescent="0.25">
      <c r="B120" s="611"/>
      <c r="C120" s="1155" t="s">
        <v>3052</v>
      </c>
      <c r="D120" s="1155"/>
      <c r="E120" s="1155"/>
      <c r="F120" s="1155"/>
      <c r="G120" s="1155"/>
      <c r="H120" s="1155"/>
      <c r="I120" s="1324"/>
      <c r="J120" s="355"/>
      <c r="N120" s="770"/>
      <c r="O120" s="1721"/>
      <c r="P120" s="1722"/>
      <c r="Q120" s="1723"/>
      <c r="R120" s="771"/>
    </row>
    <row r="121" spans="2:18" ht="15" customHeight="1" x14ac:dyDescent="0.25">
      <c r="B121" s="611"/>
      <c r="C121" s="1155" t="s">
        <v>3058</v>
      </c>
      <c r="D121" s="1155"/>
      <c r="E121" s="1155"/>
      <c r="F121" s="1155"/>
      <c r="G121" s="1155"/>
      <c r="H121" s="1155"/>
      <c r="I121" s="1324"/>
      <c r="J121" s="355"/>
      <c r="N121" s="770"/>
      <c r="O121" s="1721"/>
      <c r="P121" s="1722"/>
      <c r="Q121" s="1723"/>
      <c r="R121" s="771"/>
    </row>
    <row r="122" spans="2:18" ht="15" customHeight="1" x14ac:dyDescent="0.25">
      <c r="B122" s="611"/>
      <c r="C122" s="1155" t="s">
        <v>3047</v>
      </c>
      <c r="D122" s="1155"/>
      <c r="E122" s="1155"/>
      <c r="F122" s="1155"/>
      <c r="G122" s="1155"/>
      <c r="H122" s="1155"/>
      <c r="I122" s="1324"/>
      <c r="J122" s="362"/>
      <c r="N122" s="770"/>
      <c r="O122" s="1721"/>
      <c r="P122" s="1722"/>
      <c r="Q122" s="1723"/>
      <c r="R122" s="771"/>
    </row>
    <row r="123" spans="2:18" ht="15" customHeight="1" x14ac:dyDescent="0.25">
      <c r="B123" s="611"/>
      <c r="C123" s="1236" t="s">
        <v>3048</v>
      </c>
      <c r="D123" s="1236"/>
      <c r="E123" s="1236"/>
      <c r="F123" s="1236"/>
      <c r="G123" s="1236"/>
      <c r="H123" s="1236"/>
      <c r="I123" s="1593"/>
      <c r="J123" s="78" t="str">
        <f>IF(J122="","",IF(J122&lt;EDATE(DATE(2025,2,26),-120),"Yes","No"))</f>
        <v/>
      </c>
      <c r="N123" s="770"/>
      <c r="O123" s="1721"/>
      <c r="P123" s="1722"/>
      <c r="Q123" s="1723"/>
      <c r="R123" s="771"/>
    </row>
    <row r="124" spans="2:18" ht="15" customHeight="1" x14ac:dyDescent="0.25">
      <c r="B124" s="611"/>
      <c r="C124" s="1236" t="s">
        <v>3049</v>
      </c>
      <c r="D124" s="1236"/>
      <c r="E124" s="1236"/>
      <c r="F124" s="1236"/>
      <c r="G124" s="1236"/>
      <c r="H124" s="1236"/>
      <c r="I124" s="1593"/>
      <c r="J124" s="355"/>
      <c r="N124" s="770"/>
      <c r="O124" s="1721"/>
      <c r="P124" s="1722"/>
      <c r="Q124" s="1723"/>
      <c r="R124" s="771"/>
    </row>
    <row r="125" spans="2:18" ht="15" customHeight="1" x14ac:dyDescent="0.25">
      <c r="B125" s="611"/>
      <c r="C125" s="1155" t="s">
        <v>3050</v>
      </c>
      <c r="D125" s="1155"/>
      <c r="E125" s="1155"/>
      <c r="F125" s="1155"/>
      <c r="G125" s="1155"/>
      <c r="H125" s="1155"/>
      <c r="I125" s="1324"/>
      <c r="J125" s="355"/>
      <c r="N125" s="770"/>
      <c r="O125" s="1721"/>
      <c r="P125" s="1722"/>
      <c r="Q125" s="1723"/>
      <c r="R125" s="771"/>
    </row>
    <row r="126" spans="2:18" ht="15" customHeight="1" x14ac:dyDescent="0.25">
      <c r="B126" s="611"/>
      <c r="C126" s="1236" t="s">
        <v>3053</v>
      </c>
      <c r="D126" s="1236"/>
      <c r="E126" s="1236"/>
      <c r="F126" s="1236"/>
      <c r="G126" s="1236"/>
      <c r="H126" s="1236"/>
      <c r="I126" s="1593"/>
      <c r="J126" s="355"/>
      <c r="N126" s="770"/>
      <c r="O126" s="1721"/>
      <c r="P126" s="1722"/>
      <c r="Q126" s="1723"/>
      <c r="R126" s="771"/>
    </row>
    <row r="127" spans="2:18" ht="15" customHeight="1" x14ac:dyDescent="0.25">
      <c r="B127" s="611"/>
      <c r="C127" s="1236" t="s">
        <v>3054</v>
      </c>
      <c r="D127" s="1236"/>
      <c r="E127" s="1236"/>
      <c r="F127" s="1236"/>
      <c r="G127" s="1236"/>
      <c r="H127" s="1236"/>
      <c r="I127" s="1593"/>
      <c r="J127" s="355"/>
      <c r="N127" s="770"/>
      <c r="O127" s="1721"/>
      <c r="P127" s="1722"/>
      <c r="Q127" s="1723"/>
      <c r="R127" s="771"/>
    </row>
    <row r="128" spans="2:18" ht="15" customHeight="1" x14ac:dyDescent="0.25">
      <c r="B128" s="611"/>
      <c r="C128" s="1236" t="s">
        <v>3055</v>
      </c>
      <c r="D128" s="1236"/>
      <c r="E128" s="1236"/>
      <c r="F128" s="1236"/>
      <c r="G128" s="1236"/>
      <c r="H128" s="1236"/>
      <c r="I128" s="1593"/>
      <c r="J128" s="355"/>
      <c r="N128" s="770"/>
      <c r="O128" s="1721"/>
      <c r="P128" s="1722"/>
      <c r="Q128" s="1723"/>
      <c r="R128" s="771"/>
    </row>
    <row r="129" spans="2:18" ht="15" customHeight="1" x14ac:dyDescent="0.25">
      <c r="B129" s="611"/>
      <c r="C129" s="1155" t="s">
        <v>3051</v>
      </c>
      <c r="D129" s="1155"/>
      <c r="E129" s="1155"/>
      <c r="F129" s="1155"/>
      <c r="G129" s="1155"/>
      <c r="H129" s="1155"/>
      <c r="I129" s="1324"/>
      <c r="J129" s="355"/>
      <c r="N129" s="770"/>
      <c r="O129" s="1721"/>
      <c r="P129" s="1722"/>
      <c r="Q129" s="1723"/>
      <c r="R129" s="771"/>
    </row>
    <row r="130" spans="2:18" ht="15" customHeight="1" x14ac:dyDescent="0.25">
      <c r="B130" s="611"/>
      <c r="C130" s="25" t="s">
        <v>3059</v>
      </c>
      <c r="D130" s="25"/>
      <c r="E130" s="25"/>
      <c r="F130" s="25"/>
      <c r="G130" s="25"/>
      <c r="H130" s="25"/>
      <c r="I130" s="883"/>
      <c r="J130" s="355"/>
      <c r="N130" s="770"/>
      <c r="O130" s="1721"/>
      <c r="P130" s="1722"/>
      <c r="Q130" s="1723"/>
      <c r="R130" s="771"/>
    </row>
    <row r="131" spans="2:18" ht="15" customHeight="1" x14ac:dyDescent="0.25">
      <c r="B131" s="611"/>
      <c r="C131" s="1155" t="s">
        <v>3057</v>
      </c>
      <c r="D131" s="1155"/>
      <c r="E131" s="1155"/>
      <c r="F131" s="1155"/>
      <c r="G131" s="1155"/>
      <c r="H131" s="1155"/>
      <c r="I131" s="1324"/>
      <c r="J131" s="355"/>
      <c r="K131" s="739"/>
      <c r="N131" s="770"/>
      <c r="O131" s="1721"/>
      <c r="P131" s="1722"/>
      <c r="Q131" s="1723"/>
      <c r="R131" s="771"/>
    </row>
    <row r="132" spans="2:18" ht="15" customHeight="1" x14ac:dyDescent="0.25">
      <c r="B132" s="611"/>
      <c r="C132" s="249"/>
      <c r="D132" s="249"/>
      <c r="E132" s="249"/>
      <c r="F132" s="249"/>
      <c r="G132" s="249"/>
      <c r="H132" s="249"/>
      <c r="I132" s="8"/>
      <c r="J132" s="739"/>
      <c r="K132" s="739"/>
      <c r="N132" s="770"/>
      <c r="O132" s="1721"/>
      <c r="P132" s="1722"/>
      <c r="Q132" s="1723"/>
      <c r="R132" s="771"/>
    </row>
    <row r="133" spans="2:18" ht="15" customHeight="1" x14ac:dyDescent="0.25">
      <c r="B133" s="611"/>
      <c r="C133" s="1296" t="s">
        <v>3060</v>
      </c>
      <c r="D133" s="1296"/>
      <c r="E133" s="1296"/>
      <c r="F133" s="1296"/>
      <c r="G133" s="1296"/>
      <c r="H133" s="1296"/>
      <c r="I133" s="1296"/>
      <c r="J133" s="925" t="str">
        <f>IF(AND(J119="Yes",J120="Yes",J121="Yes",OR(J123="No",AND(J123="Yes",J124="Yes")),J125="Yes",OR(J126="Yes",J127="Yes"),J128="Yes",J129="Yes",J130="No",J131="Yes"),"Yes","No")</f>
        <v>No</v>
      </c>
      <c r="K133" s="739"/>
      <c r="N133" s="770"/>
      <c r="O133" s="1724"/>
      <c r="P133" s="1725"/>
      <c r="Q133" s="1726"/>
      <c r="R133" s="771"/>
    </row>
    <row r="134" spans="2:18" ht="15" customHeight="1" x14ac:dyDescent="0.25">
      <c r="B134" s="611"/>
      <c r="C134" s="1296" t="s">
        <v>3061</v>
      </c>
      <c r="D134" s="1296"/>
      <c r="E134" s="1296"/>
      <c r="F134" s="1296"/>
      <c r="G134" s="1296"/>
      <c r="H134" s="1296"/>
      <c r="I134" s="1296"/>
      <c r="J134" s="775"/>
      <c r="K134" s="739"/>
      <c r="N134" s="772"/>
      <c r="O134" s="773"/>
      <c r="P134" s="773"/>
      <c r="Q134" s="933"/>
      <c r="R134" s="774"/>
    </row>
    <row r="135" spans="2:18" ht="15" customHeight="1" x14ac:dyDescent="0.25">
      <c r="B135" s="611"/>
      <c r="C135" s="249"/>
      <c r="D135" s="249"/>
      <c r="E135" s="249"/>
      <c r="F135" s="249"/>
      <c r="G135" s="249"/>
      <c r="H135" s="249"/>
      <c r="I135" s="8"/>
      <c r="J135" s="739"/>
      <c r="K135" s="739"/>
    </row>
    <row r="136" spans="2:18" ht="15" customHeight="1" x14ac:dyDescent="0.25">
      <c r="B136" s="611"/>
      <c r="C136" s="249"/>
      <c r="D136" s="249"/>
      <c r="E136" s="249"/>
      <c r="F136" s="249"/>
      <c r="G136" s="249"/>
      <c r="H136" s="249"/>
      <c r="I136" s="8"/>
      <c r="J136" s="739"/>
      <c r="K136" s="739"/>
    </row>
    <row r="137" spans="2:18" ht="15" customHeight="1" x14ac:dyDescent="0.2">
      <c r="B137" s="746" t="s">
        <v>2678</v>
      </c>
      <c r="C137" s="1731" t="s">
        <v>3067</v>
      </c>
      <c r="D137" s="1731"/>
      <c r="E137" s="1731"/>
      <c r="F137" s="1731"/>
      <c r="G137" s="1731"/>
      <c r="H137" s="1731"/>
      <c r="I137" s="1731"/>
      <c r="J137" s="1731"/>
      <c r="K137" s="1731"/>
      <c r="Q137" s="1"/>
    </row>
    <row r="138" spans="2:18" ht="15" customHeight="1" x14ac:dyDescent="0.25">
      <c r="B138" s="611"/>
      <c r="C138" s="8"/>
      <c r="D138" s="8"/>
      <c r="E138" s="8"/>
      <c r="F138" s="8"/>
      <c r="G138" s="8"/>
      <c r="H138" s="8"/>
      <c r="I138" s="8"/>
      <c r="Q138" s="1"/>
    </row>
    <row r="139" spans="2:18" ht="15" customHeight="1" x14ac:dyDescent="0.25">
      <c r="B139" s="611"/>
      <c r="C139" s="1303" t="s">
        <v>3073</v>
      </c>
      <c r="D139" s="1303"/>
      <c r="E139" s="1303"/>
      <c r="F139" s="1303"/>
      <c r="G139" s="1303"/>
      <c r="H139" s="1303"/>
      <c r="I139" s="1303"/>
      <c r="J139" s="1303"/>
      <c r="K139" s="1303"/>
      <c r="N139" s="767"/>
      <c r="O139" s="768"/>
      <c r="P139" s="768"/>
      <c r="Q139" s="768"/>
      <c r="R139" s="769"/>
    </row>
    <row r="140" spans="2:18" ht="15" customHeight="1" x14ac:dyDescent="0.25">
      <c r="B140" s="611"/>
      <c r="C140" s="1303"/>
      <c r="D140" s="1303"/>
      <c r="E140" s="1303"/>
      <c r="F140" s="1303"/>
      <c r="G140" s="1303"/>
      <c r="H140" s="1303"/>
      <c r="I140" s="1303"/>
      <c r="J140" s="1303"/>
      <c r="K140" s="1303"/>
      <c r="N140" s="770"/>
      <c r="O140" s="1776" t="s">
        <v>2731</v>
      </c>
      <c r="P140" s="1777"/>
      <c r="Q140" s="78" t="str">
        <f>IF(OR(I165="",I165="No"),"No","Yes")</f>
        <v>No</v>
      </c>
      <c r="R140" s="771"/>
    </row>
    <row r="141" spans="2:18" ht="15" customHeight="1" x14ac:dyDescent="0.25">
      <c r="B141" s="611"/>
      <c r="C141" s="1303"/>
      <c r="D141" s="1303"/>
      <c r="E141" s="1303"/>
      <c r="F141" s="1303"/>
      <c r="G141" s="1303"/>
      <c r="H141" s="1303"/>
      <c r="I141" s="1303"/>
      <c r="J141" s="1303"/>
      <c r="K141" s="1303"/>
      <c r="N141" s="770"/>
      <c r="O141" s="1730" t="s">
        <v>3446</v>
      </c>
      <c r="P141" s="1730"/>
      <c r="Q141" s="941"/>
      <c r="R141" s="771"/>
    </row>
    <row r="142" spans="2:18" ht="15" customHeight="1" x14ac:dyDescent="0.25">
      <c r="B142" s="611"/>
      <c r="C142" s="94"/>
      <c r="D142" s="94"/>
      <c r="E142" s="94"/>
      <c r="F142" s="94"/>
      <c r="G142" s="94"/>
      <c r="H142" s="94"/>
      <c r="I142" s="94"/>
      <c r="J142" s="94"/>
      <c r="K142" s="94"/>
      <c r="N142" s="770"/>
      <c r="O142" s="1730" t="s">
        <v>3447</v>
      </c>
      <c r="P142" s="1730"/>
      <c r="Q142" s="941"/>
      <c r="R142" s="771"/>
    </row>
    <row r="143" spans="2:18" ht="15" customHeight="1" x14ac:dyDescent="0.25">
      <c r="B143" s="611"/>
      <c r="C143" s="1303" t="s">
        <v>3072</v>
      </c>
      <c r="D143" s="1303"/>
      <c r="E143" s="1303"/>
      <c r="F143" s="1303"/>
      <c r="G143" s="1303"/>
      <c r="H143" s="1303"/>
      <c r="I143" s="1303"/>
      <c r="J143" s="1303"/>
      <c r="K143" s="1303"/>
      <c r="N143" s="770"/>
      <c r="O143" s="633"/>
      <c r="P143" s="633"/>
      <c r="Q143" s="891"/>
      <c r="R143" s="771"/>
    </row>
    <row r="144" spans="2:18" ht="15" customHeight="1" x14ac:dyDescent="0.25">
      <c r="B144" s="611"/>
      <c r="C144" s="1303" t="s">
        <v>3116</v>
      </c>
      <c r="D144" s="1303"/>
      <c r="E144" s="1303"/>
      <c r="F144" s="1303"/>
      <c r="G144" s="1303"/>
      <c r="H144" s="1303"/>
      <c r="I144" s="1303"/>
      <c r="J144" s="1303"/>
      <c r="K144" s="1303"/>
      <c r="N144" s="770"/>
      <c r="O144" s="633" t="s">
        <v>2443</v>
      </c>
      <c r="P144" s="633"/>
      <c r="Q144" s="633"/>
      <c r="R144" s="771"/>
    </row>
    <row r="145" spans="2:18" ht="15" customHeight="1" x14ac:dyDescent="0.25">
      <c r="B145" s="611"/>
      <c r="C145" s="1778" t="s">
        <v>3113</v>
      </c>
      <c r="D145" s="1778"/>
      <c r="E145" s="1778"/>
      <c r="F145" s="1778"/>
      <c r="G145" s="1778"/>
      <c r="H145" s="1778"/>
      <c r="I145" s="1778"/>
      <c r="J145" s="1778"/>
      <c r="K145" s="1778"/>
      <c r="N145" s="770"/>
      <c r="O145" s="633"/>
      <c r="P145" s="633"/>
      <c r="Q145" s="633"/>
      <c r="R145" s="771"/>
    </row>
    <row r="146" spans="2:18" ht="15" customHeight="1" x14ac:dyDescent="0.25">
      <c r="B146" s="611"/>
      <c r="C146" s="1778" t="s">
        <v>3117</v>
      </c>
      <c r="D146" s="1778"/>
      <c r="E146" s="1778"/>
      <c r="F146" s="1778"/>
      <c r="G146" s="1778"/>
      <c r="H146" s="1778"/>
      <c r="I146" s="1778"/>
      <c r="J146" s="1778"/>
      <c r="K146" s="1778"/>
      <c r="N146" s="770"/>
      <c r="O146" s="1718"/>
      <c r="P146" s="1719"/>
      <c r="Q146" s="1720"/>
      <c r="R146" s="771"/>
    </row>
    <row r="147" spans="2:18" ht="15" customHeight="1" x14ac:dyDescent="0.25">
      <c r="B147" s="611"/>
      <c r="C147" s="1778" t="s">
        <v>3068</v>
      </c>
      <c r="D147" s="1778"/>
      <c r="E147" s="1778"/>
      <c r="F147" s="1778"/>
      <c r="G147" s="1778"/>
      <c r="H147" s="1778"/>
      <c r="I147" s="1778"/>
      <c r="J147" s="1778"/>
      <c r="K147" s="1778"/>
      <c r="N147" s="770"/>
      <c r="O147" s="1721"/>
      <c r="P147" s="1722"/>
      <c r="Q147" s="1723"/>
      <c r="R147" s="771"/>
    </row>
    <row r="148" spans="2:18" ht="15" customHeight="1" x14ac:dyDescent="0.25">
      <c r="B148" s="611"/>
      <c r="C148" s="94"/>
      <c r="D148" s="94"/>
      <c r="E148" s="94"/>
      <c r="F148" s="94"/>
      <c r="G148" s="94"/>
      <c r="H148" s="94"/>
      <c r="I148" s="94"/>
      <c r="J148" s="94"/>
      <c r="K148" s="94"/>
      <c r="N148" s="770"/>
      <c r="O148" s="1721"/>
      <c r="P148" s="1722"/>
      <c r="Q148" s="1723"/>
      <c r="R148" s="771"/>
    </row>
    <row r="149" spans="2:18" ht="15" customHeight="1" x14ac:dyDescent="0.25">
      <c r="B149" s="611"/>
      <c r="C149" s="1148" t="s">
        <v>3071</v>
      </c>
      <c r="D149" s="1148"/>
      <c r="E149" s="1148"/>
      <c r="F149" s="1148"/>
      <c r="G149" s="1148"/>
      <c r="H149" s="1148"/>
      <c r="I149" s="1148"/>
      <c r="J149" s="1148"/>
      <c r="K149" s="1148"/>
      <c r="N149" s="770"/>
      <c r="O149" s="1721"/>
      <c r="P149" s="1722"/>
      <c r="Q149" s="1723"/>
      <c r="R149" s="771"/>
    </row>
    <row r="150" spans="2:18" ht="15" customHeight="1" x14ac:dyDescent="0.25">
      <c r="B150" s="611"/>
      <c r="C150" s="1852" t="s">
        <v>3114</v>
      </c>
      <c r="D150" s="1852"/>
      <c r="E150" s="1852"/>
      <c r="F150" s="1852"/>
      <c r="G150" s="1852"/>
      <c r="H150" s="1852"/>
      <c r="I150" s="1852"/>
      <c r="J150" s="1852"/>
      <c r="K150" s="1852"/>
      <c r="N150" s="770"/>
      <c r="O150" s="1721"/>
      <c r="P150" s="1722"/>
      <c r="Q150" s="1723"/>
      <c r="R150" s="771"/>
    </row>
    <row r="151" spans="2:18" ht="15" customHeight="1" x14ac:dyDescent="0.25">
      <c r="B151" s="611"/>
      <c r="C151" s="1852" t="s">
        <v>3115</v>
      </c>
      <c r="D151" s="1852"/>
      <c r="E151" s="1852"/>
      <c r="F151" s="1852"/>
      <c r="G151" s="1852"/>
      <c r="H151" s="1852"/>
      <c r="I151" s="1852"/>
      <c r="J151" s="1852"/>
      <c r="K151" s="1852"/>
      <c r="N151" s="770"/>
      <c r="O151" s="1721"/>
      <c r="P151" s="1722"/>
      <c r="Q151" s="1723"/>
      <c r="R151" s="771"/>
    </row>
    <row r="152" spans="2:18" ht="15" customHeight="1" x14ac:dyDescent="0.25">
      <c r="B152" s="611"/>
      <c r="C152" s="1852" t="s">
        <v>3069</v>
      </c>
      <c r="D152" s="1852"/>
      <c r="E152" s="1852"/>
      <c r="F152" s="1852"/>
      <c r="G152" s="1852"/>
      <c r="H152" s="1852"/>
      <c r="I152" s="1852"/>
      <c r="J152" s="1852"/>
      <c r="K152" s="1852"/>
      <c r="N152" s="770"/>
      <c r="O152" s="1721"/>
      <c r="P152" s="1722"/>
      <c r="Q152" s="1723"/>
      <c r="R152" s="771"/>
    </row>
    <row r="153" spans="2:18" ht="15" customHeight="1" x14ac:dyDescent="0.25">
      <c r="B153" s="611"/>
      <c r="C153" s="892"/>
      <c r="D153" s="892"/>
      <c r="E153" s="892"/>
      <c r="F153" s="892"/>
      <c r="G153" s="892"/>
      <c r="H153" s="892"/>
      <c r="I153" s="892"/>
      <c r="J153" s="892"/>
      <c r="K153" s="892"/>
      <c r="N153" s="770"/>
      <c r="O153" s="1721"/>
      <c r="P153" s="1722"/>
      <c r="Q153" s="1723"/>
      <c r="R153" s="771"/>
    </row>
    <row r="154" spans="2:18" ht="15" customHeight="1" x14ac:dyDescent="0.25">
      <c r="B154" s="611"/>
      <c r="C154" s="1148" t="s">
        <v>3070</v>
      </c>
      <c r="D154" s="1148"/>
      <c r="E154" s="1148"/>
      <c r="F154" s="1148"/>
      <c r="G154" s="1148"/>
      <c r="H154" s="1148"/>
      <c r="I154" s="1148"/>
      <c r="J154" s="1148"/>
      <c r="K154" s="1148"/>
      <c r="N154" s="770"/>
      <c r="O154" s="1721"/>
      <c r="P154" s="1722"/>
      <c r="Q154" s="1723"/>
      <c r="R154" s="771"/>
    </row>
    <row r="155" spans="2:18" ht="15" customHeight="1" x14ac:dyDescent="0.25">
      <c r="B155" s="611"/>
      <c r="C155" s="1148"/>
      <c r="D155" s="1148"/>
      <c r="E155" s="1148"/>
      <c r="F155" s="1148"/>
      <c r="G155" s="1148"/>
      <c r="H155" s="1148"/>
      <c r="I155" s="1148"/>
      <c r="J155" s="1148"/>
      <c r="K155" s="1148"/>
      <c r="N155" s="770"/>
      <c r="O155" s="1721"/>
      <c r="P155" s="1722"/>
      <c r="Q155" s="1723"/>
      <c r="R155" s="771"/>
    </row>
    <row r="156" spans="2:18" ht="15" customHeight="1" x14ac:dyDescent="0.25">
      <c r="B156" s="611"/>
      <c r="C156" s="8"/>
      <c r="D156" s="8"/>
      <c r="E156" s="8"/>
      <c r="F156" s="8"/>
      <c r="G156" s="8"/>
      <c r="H156" s="8"/>
      <c r="I156" s="8"/>
      <c r="N156" s="770"/>
      <c r="O156" s="1721"/>
      <c r="P156" s="1722"/>
      <c r="Q156" s="1723"/>
      <c r="R156" s="771"/>
    </row>
    <row r="157" spans="2:18" ht="15" customHeight="1" x14ac:dyDescent="0.25">
      <c r="B157" s="611"/>
      <c r="C157" s="1149" t="s">
        <v>3424</v>
      </c>
      <c r="D157" s="1149"/>
      <c r="E157" s="1149"/>
      <c r="F157" s="1149"/>
      <c r="G157" s="1149"/>
      <c r="H157" s="1149"/>
      <c r="I157" s="80" t="str">
        <f>IF(OR($D$17="",$D$17="Input Census Tract"),"",VLOOKUP(Details!$E$18,Data!$DC$11:$DD$98,2,FALSE))</f>
        <v/>
      </c>
      <c r="N157" s="770"/>
      <c r="O157" s="1721"/>
      <c r="P157" s="1722"/>
      <c r="Q157" s="1723"/>
      <c r="R157" s="771"/>
    </row>
    <row r="158" spans="2:18" ht="15" customHeight="1" x14ac:dyDescent="0.25">
      <c r="B158" s="611"/>
      <c r="C158" s="1149" t="s">
        <v>2720</v>
      </c>
      <c r="D158" s="1149"/>
      <c r="E158" s="1149"/>
      <c r="F158" s="1149"/>
      <c r="G158" s="1149"/>
      <c r="H158" s="1149"/>
      <c r="I158" s="8"/>
      <c r="N158" s="770"/>
      <c r="O158" s="1721"/>
      <c r="P158" s="1722"/>
      <c r="Q158" s="1723"/>
      <c r="R158" s="771"/>
    </row>
    <row r="159" spans="2:18" ht="15" customHeight="1" x14ac:dyDescent="0.25">
      <c r="B159" s="611"/>
      <c r="C159" s="1236" t="s">
        <v>2672</v>
      </c>
      <c r="D159" s="1236"/>
      <c r="E159" s="1236"/>
      <c r="F159" s="1236"/>
      <c r="G159" s="1236"/>
      <c r="H159" s="1236"/>
      <c r="I159" s="355"/>
      <c r="J159" s="1853" t="s">
        <v>2673</v>
      </c>
      <c r="K159" s="1854"/>
      <c r="N159" s="770"/>
      <c r="O159" s="1721"/>
      <c r="P159" s="1722"/>
      <c r="Q159" s="1723"/>
      <c r="R159" s="771"/>
    </row>
    <row r="160" spans="2:18" ht="15" customHeight="1" x14ac:dyDescent="0.25">
      <c r="B160" s="611"/>
      <c r="C160" s="1236" t="s">
        <v>2674</v>
      </c>
      <c r="D160" s="1236"/>
      <c r="E160" s="1236"/>
      <c r="F160" s="1236"/>
      <c r="G160" s="1236"/>
      <c r="H160" s="1236"/>
      <c r="I160" s="355"/>
      <c r="J160" s="1853"/>
      <c r="K160" s="1854"/>
      <c r="N160" s="770"/>
      <c r="O160" s="1721"/>
      <c r="P160" s="1722"/>
      <c r="Q160" s="1723"/>
      <c r="R160" s="771"/>
    </row>
    <row r="161" spans="2:18" ht="15" customHeight="1" x14ac:dyDescent="0.25">
      <c r="B161" s="611"/>
      <c r="C161" s="1236" t="s">
        <v>2675</v>
      </c>
      <c r="D161" s="1236"/>
      <c r="E161" s="1236"/>
      <c r="F161" s="1236"/>
      <c r="G161" s="1236"/>
      <c r="H161" s="1236"/>
      <c r="I161" s="355"/>
      <c r="J161" s="1853"/>
      <c r="K161" s="1854"/>
      <c r="N161" s="770"/>
      <c r="O161" s="1721"/>
      <c r="P161" s="1722"/>
      <c r="Q161" s="1723"/>
      <c r="R161" s="771"/>
    </row>
    <row r="162" spans="2:18" ht="15" customHeight="1" x14ac:dyDescent="0.25">
      <c r="B162" s="611"/>
      <c r="C162" s="1149" t="s">
        <v>2721</v>
      </c>
      <c r="D162" s="1149"/>
      <c r="E162" s="1149"/>
      <c r="F162" s="1149"/>
      <c r="G162" s="1149"/>
      <c r="H162" s="1149"/>
      <c r="I162" s="355"/>
      <c r="N162" s="770"/>
      <c r="O162" s="1721"/>
      <c r="P162" s="1722"/>
      <c r="Q162" s="1723"/>
      <c r="R162" s="771"/>
    </row>
    <row r="163" spans="2:18" ht="15" customHeight="1" x14ac:dyDescent="0.25">
      <c r="B163" s="611"/>
      <c r="C163" s="249"/>
      <c r="D163" s="249"/>
      <c r="E163" s="249"/>
      <c r="F163" s="249"/>
      <c r="G163" s="249"/>
      <c r="H163" s="249"/>
      <c r="N163" s="770"/>
      <c r="O163" s="1721"/>
      <c r="P163" s="1722"/>
      <c r="Q163" s="1723"/>
      <c r="R163" s="771"/>
    </row>
    <row r="164" spans="2:18" ht="15" customHeight="1" x14ac:dyDescent="0.25">
      <c r="B164" s="611"/>
      <c r="C164" s="1296" t="s">
        <v>3410</v>
      </c>
      <c r="D164" s="1296"/>
      <c r="E164" s="1296"/>
      <c r="F164" s="1296"/>
      <c r="G164" s="1296"/>
      <c r="H164" s="1775"/>
      <c r="I164" s="925" t="str">
        <f>IF(AND(OR(I159="Yes",I160="Yes",I161="Yes"),I162="Yes"),"Yes","No")</f>
        <v>No</v>
      </c>
      <c r="J164" s="620"/>
      <c r="N164" s="770"/>
      <c r="O164" s="1721"/>
      <c r="P164" s="1722"/>
      <c r="Q164" s="1723"/>
      <c r="R164" s="771"/>
    </row>
    <row r="165" spans="2:18" ht="15" customHeight="1" x14ac:dyDescent="0.25">
      <c r="B165" s="611"/>
      <c r="C165" s="1296" t="s">
        <v>3411</v>
      </c>
      <c r="D165" s="1296"/>
      <c r="E165" s="1296"/>
      <c r="F165" s="1296"/>
      <c r="G165" s="1296"/>
      <c r="H165" s="1775"/>
      <c r="I165" s="775"/>
      <c r="J165" s="957"/>
      <c r="N165" s="770"/>
      <c r="O165" s="1721"/>
      <c r="P165" s="1722"/>
      <c r="Q165" s="1723"/>
      <c r="R165" s="771"/>
    </row>
    <row r="166" spans="2:18" ht="15" customHeight="1" x14ac:dyDescent="0.25">
      <c r="B166" s="611"/>
      <c r="C166" s="249"/>
      <c r="D166" s="249"/>
      <c r="E166" s="249"/>
      <c r="F166" s="249"/>
      <c r="G166" s="249"/>
      <c r="H166" s="249"/>
      <c r="N166" s="770"/>
      <c r="O166" s="1721"/>
      <c r="P166" s="1722"/>
      <c r="Q166" s="1723"/>
      <c r="R166" s="771"/>
    </row>
    <row r="167" spans="2:18" ht="15" customHeight="1" x14ac:dyDescent="0.25">
      <c r="B167" s="611"/>
      <c r="C167" s="249"/>
      <c r="D167" s="1149" t="s">
        <v>3066</v>
      </c>
      <c r="E167" s="1149"/>
      <c r="F167" s="1149"/>
      <c r="G167" s="1149"/>
      <c r="H167" s="1149"/>
      <c r="I167" s="1149"/>
      <c r="J167" s="1149"/>
      <c r="K167" s="1149"/>
      <c r="N167" s="770"/>
      <c r="O167" s="1721"/>
      <c r="P167" s="1722"/>
      <c r="Q167" s="1723"/>
      <c r="R167" s="771"/>
    </row>
    <row r="168" spans="2:18" ht="15" customHeight="1" x14ac:dyDescent="0.25">
      <c r="B168" s="611"/>
      <c r="C168" s="249"/>
      <c r="D168" s="1764" t="s">
        <v>2676</v>
      </c>
      <c r="E168" s="1764"/>
      <c r="F168" s="1764"/>
      <c r="G168" s="1764"/>
      <c r="H168" s="1764"/>
      <c r="I168" s="1764"/>
      <c r="J168" s="744" t="s">
        <v>2677</v>
      </c>
      <c r="K168" s="745">
        <f>LEN(D171)</f>
        <v>0</v>
      </c>
      <c r="N168" s="770"/>
      <c r="O168" s="1721"/>
      <c r="P168" s="1722"/>
      <c r="Q168" s="1723"/>
      <c r="R168" s="771"/>
    </row>
    <row r="169" spans="2:18" ht="15" customHeight="1" x14ac:dyDescent="0.25">
      <c r="B169" s="611"/>
      <c r="C169" s="249"/>
      <c r="D169" s="249"/>
      <c r="E169" s="249"/>
      <c r="F169" s="249"/>
      <c r="G169" s="249"/>
      <c r="H169" s="249"/>
      <c r="N169" s="770"/>
      <c r="O169" s="1721"/>
      <c r="P169" s="1722"/>
      <c r="Q169" s="1723"/>
      <c r="R169" s="771"/>
    </row>
    <row r="170" spans="2:18" ht="15" customHeight="1" x14ac:dyDescent="0.25">
      <c r="B170" s="611"/>
      <c r="C170" s="249"/>
      <c r="D170" s="1765"/>
      <c r="E170" s="1766"/>
      <c r="F170" s="1766"/>
      <c r="G170" s="1766"/>
      <c r="H170" s="1766"/>
      <c r="I170" s="1766"/>
      <c r="J170" s="1766"/>
      <c r="K170" s="1767"/>
      <c r="N170" s="770"/>
      <c r="O170" s="1721"/>
      <c r="P170" s="1722"/>
      <c r="Q170" s="1723"/>
      <c r="R170" s="771"/>
    </row>
    <row r="171" spans="2:18" ht="15" customHeight="1" x14ac:dyDescent="0.25">
      <c r="B171" s="611"/>
      <c r="C171" s="249"/>
      <c r="D171" s="1768"/>
      <c r="E171" s="1769"/>
      <c r="F171" s="1769"/>
      <c r="G171" s="1769"/>
      <c r="H171" s="1769"/>
      <c r="I171" s="1769"/>
      <c r="J171" s="1769"/>
      <c r="K171" s="1770"/>
      <c r="N171" s="770"/>
      <c r="O171" s="1721"/>
      <c r="P171" s="1722"/>
      <c r="Q171" s="1723"/>
      <c r="R171" s="771"/>
    </row>
    <row r="172" spans="2:18" ht="15" customHeight="1" x14ac:dyDescent="0.25">
      <c r="B172" s="611"/>
      <c r="C172" s="249"/>
      <c r="D172" s="1768"/>
      <c r="E172" s="1769"/>
      <c r="F172" s="1769"/>
      <c r="G172" s="1769"/>
      <c r="H172" s="1769"/>
      <c r="I172" s="1769"/>
      <c r="J172" s="1769"/>
      <c r="K172" s="1770"/>
      <c r="N172" s="770"/>
      <c r="O172" s="1721"/>
      <c r="P172" s="1722"/>
      <c r="Q172" s="1723"/>
      <c r="R172" s="771"/>
    </row>
    <row r="173" spans="2:18" ht="15" customHeight="1" x14ac:dyDescent="0.25">
      <c r="B173" s="611"/>
      <c r="C173" s="249"/>
      <c r="D173" s="1768"/>
      <c r="E173" s="1769"/>
      <c r="F173" s="1769"/>
      <c r="G173" s="1769"/>
      <c r="H173" s="1769"/>
      <c r="I173" s="1769"/>
      <c r="J173" s="1769"/>
      <c r="K173" s="1770"/>
      <c r="N173" s="770"/>
      <c r="O173" s="1721"/>
      <c r="P173" s="1722"/>
      <c r="Q173" s="1723"/>
      <c r="R173" s="771"/>
    </row>
    <row r="174" spans="2:18" ht="15" customHeight="1" x14ac:dyDescent="0.25">
      <c r="B174" s="611"/>
      <c r="C174" s="249"/>
      <c r="D174" s="1768"/>
      <c r="E174" s="1769"/>
      <c r="F174" s="1769"/>
      <c r="G174" s="1769"/>
      <c r="H174" s="1769"/>
      <c r="I174" s="1769"/>
      <c r="J174" s="1769"/>
      <c r="K174" s="1770"/>
      <c r="N174" s="770"/>
      <c r="O174" s="1721"/>
      <c r="P174" s="1722"/>
      <c r="Q174" s="1723"/>
      <c r="R174" s="771"/>
    </row>
    <row r="175" spans="2:18" ht="15" customHeight="1" x14ac:dyDescent="0.25">
      <c r="B175" s="611"/>
      <c r="C175" s="249"/>
      <c r="D175" s="1768"/>
      <c r="E175" s="1769"/>
      <c r="F175" s="1769"/>
      <c r="G175" s="1769"/>
      <c r="H175" s="1769"/>
      <c r="I175" s="1769"/>
      <c r="J175" s="1769"/>
      <c r="K175" s="1770"/>
      <c r="N175" s="770"/>
      <c r="O175" s="1721"/>
      <c r="P175" s="1722"/>
      <c r="Q175" s="1723"/>
      <c r="R175" s="771"/>
    </row>
    <row r="176" spans="2:18" ht="15" customHeight="1" x14ac:dyDescent="0.25">
      <c r="B176" s="611"/>
      <c r="C176" s="249"/>
      <c r="D176" s="1768"/>
      <c r="E176" s="1769"/>
      <c r="F176" s="1769"/>
      <c r="G176" s="1769"/>
      <c r="H176" s="1769"/>
      <c r="I176" s="1769"/>
      <c r="J176" s="1769"/>
      <c r="K176" s="1770"/>
      <c r="N176" s="770"/>
      <c r="O176" s="1721"/>
      <c r="P176" s="1722"/>
      <c r="Q176" s="1723"/>
      <c r="R176" s="771"/>
    </row>
    <row r="177" spans="2:18" ht="15" customHeight="1" x14ac:dyDescent="0.25">
      <c r="B177" s="611"/>
      <c r="C177" s="249"/>
      <c r="D177" s="1768"/>
      <c r="E177" s="1769"/>
      <c r="F177" s="1769"/>
      <c r="G177" s="1769"/>
      <c r="H177" s="1769"/>
      <c r="I177" s="1769"/>
      <c r="J177" s="1769"/>
      <c r="K177" s="1770"/>
      <c r="N177" s="770"/>
      <c r="O177" s="1721"/>
      <c r="P177" s="1722"/>
      <c r="Q177" s="1723"/>
      <c r="R177" s="771"/>
    </row>
    <row r="178" spans="2:18" ht="15" customHeight="1" x14ac:dyDescent="0.25">
      <c r="B178" s="611"/>
      <c r="C178" s="249"/>
      <c r="D178" s="1768"/>
      <c r="E178" s="1769"/>
      <c r="F178" s="1769"/>
      <c r="G178" s="1769"/>
      <c r="H178" s="1769"/>
      <c r="I178" s="1769"/>
      <c r="J178" s="1769"/>
      <c r="K178" s="1770"/>
      <c r="N178" s="770"/>
      <c r="O178" s="1721"/>
      <c r="P178" s="1722"/>
      <c r="Q178" s="1723"/>
      <c r="R178" s="771"/>
    </row>
    <row r="179" spans="2:18" ht="15" customHeight="1" x14ac:dyDescent="0.25">
      <c r="B179" s="611"/>
      <c r="C179" s="249"/>
      <c r="D179" s="1768"/>
      <c r="E179" s="1769"/>
      <c r="F179" s="1769"/>
      <c r="G179" s="1769"/>
      <c r="H179" s="1769"/>
      <c r="I179" s="1769"/>
      <c r="J179" s="1769"/>
      <c r="K179" s="1770"/>
      <c r="N179" s="770"/>
      <c r="O179" s="1721"/>
      <c r="P179" s="1722"/>
      <c r="Q179" s="1723"/>
      <c r="R179" s="771"/>
    </row>
    <row r="180" spans="2:18" ht="15" customHeight="1" x14ac:dyDescent="0.25">
      <c r="B180" s="611"/>
      <c r="C180" s="249"/>
      <c r="D180" s="1768"/>
      <c r="E180" s="1769"/>
      <c r="F180" s="1769"/>
      <c r="G180" s="1769"/>
      <c r="H180" s="1769"/>
      <c r="I180" s="1769"/>
      <c r="J180" s="1769"/>
      <c r="K180" s="1770"/>
      <c r="N180" s="770"/>
      <c r="O180" s="1721"/>
      <c r="P180" s="1722"/>
      <c r="Q180" s="1723"/>
      <c r="R180" s="771"/>
    </row>
    <row r="181" spans="2:18" ht="15" customHeight="1" x14ac:dyDescent="0.25">
      <c r="B181" s="611"/>
      <c r="C181" s="249"/>
      <c r="D181" s="1768"/>
      <c r="E181" s="1769"/>
      <c r="F181" s="1769"/>
      <c r="G181" s="1769"/>
      <c r="H181" s="1769"/>
      <c r="I181" s="1769"/>
      <c r="J181" s="1769"/>
      <c r="K181" s="1770"/>
      <c r="N181" s="770"/>
      <c r="O181" s="1721"/>
      <c r="P181" s="1722"/>
      <c r="Q181" s="1723"/>
      <c r="R181" s="771"/>
    </row>
    <row r="182" spans="2:18" ht="15" customHeight="1" x14ac:dyDescent="0.25">
      <c r="B182" s="611"/>
      <c r="C182" s="249"/>
      <c r="D182" s="1768"/>
      <c r="E182" s="1769"/>
      <c r="F182" s="1769"/>
      <c r="G182" s="1769"/>
      <c r="H182" s="1769"/>
      <c r="I182" s="1769"/>
      <c r="J182" s="1769"/>
      <c r="K182" s="1770"/>
      <c r="N182" s="770"/>
      <c r="O182" s="1721"/>
      <c r="P182" s="1722"/>
      <c r="Q182" s="1723"/>
      <c r="R182" s="771"/>
    </row>
    <row r="183" spans="2:18" ht="15" customHeight="1" x14ac:dyDescent="0.25">
      <c r="B183" s="611"/>
      <c r="C183" s="249"/>
      <c r="D183" s="1768"/>
      <c r="E183" s="1769"/>
      <c r="F183" s="1769"/>
      <c r="G183" s="1769"/>
      <c r="H183" s="1769"/>
      <c r="I183" s="1769"/>
      <c r="J183" s="1769"/>
      <c r="K183" s="1770"/>
      <c r="N183" s="770"/>
      <c r="O183" s="1721"/>
      <c r="P183" s="1722"/>
      <c r="Q183" s="1723"/>
      <c r="R183" s="771"/>
    </row>
    <row r="184" spans="2:18" ht="15" customHeight="1" x14ac:dyDescent="0.25">
      <c r="B184" s="611"/>
      <c r="C184" s="249"/>
      <c r="D184" s="1768"/>
      <c r="E184" s="1769"/>
      <c r="F184" s="1769"/>
      <c r="G184" s="1769"/>
      <c r="H184" s="1769"/>
      <c r="I184" s="1769"/>
      <c r="J184" s="1769"/>
      <c r="K184" s="1770"/>
      <c r="N184" s="770"/>
      <c r="O184" s="1721"/>
      <c r="P184" s="1722"/>
      <c r="Q184" s="1723"/>
      <c r="R184" s="771"/>
    </row>
    <row r="185" spans="2:18" ht="15" customHeight="1" x14ac:dyDescent="0.25">
      <c r="B185" s="611"/>
      <c r="C185" s="249"/>
      <c r="D185" s="1768"/>
      <c r="E185" s="1769"/>
      <c r="F185" s="1769"/>
      <c r="G185" s="1769"/>
      <c r="H185" s="1769"/>
      <c r="I185" s="1769"/>
      <c r="J185" s="1769"/>
      <c r="K185" s="1770"/>
      <c r="N185" s="770"/>
      <c r="O185" s="1721"/>
      <c r="P185" s="1722"/>
      <c r="Q185" s="1723"/>
      <c r="R185" s="771"/>
    </row>
    <row r="186" spans="2:18" ht="15" customHeight="1" x14ac:dyDescent="0.25">
      <c r="B186" s="611"/>
      <c r="C186" s="249"/>
      <c r="D186" s="1768"/>
      <c r="E186" s="1769"/>
      <c r="F186" s="1769"/>
      <c r="G186" s="1769"/>
      <c r="H186" s="1769"/>
      <c r="I186" s="1769"/>
      <c r="J186" s="1769"/>
      <c r="K186" s="1770"/>
      <c r="N186" s="770"/>
      <c r="O186" s="1724"/>
      <c r="P186" s="1725"/>
      <c r="Q186" s="1726"/>
      <c r="R186" s="771"/>
    </row>
    <row r="187" spans="2:18" ht="15" customHeight="1" x14ac:dyDescent="0.25">
      <c r="B187" s="611"/>
      <c r="C187" s="249"/>
      <c r="D187" s="1771"/>
      <c r="E187" s="1772"/>
      <c r="F187" s="1772"/>
      <c r="G187" s="1772"/>
      <c r="H187" s="1772"/>
      <c r="I187" s="1772"/>
      <c r="J187" s="1772"/>
      <c r="K187" s="1773"/>
      <c r="N187" s="772"/>
      <c r="O187" s="773"/>
      <c r="P187" s="773"/>
      <c r="Q187" s="773"/>
      <c r="R187" s="774"/>
    </row>
    <row r="188" spans="2:18" ht="15" customHeight="1" x14ac:dyDescent="0.25">
      <c r="B188" s="611"/>
      <c r="C188" s="249"/>
      <c r="D188" s="249"/>
      <c r="E188" s="249"/>
      <c r="F188" s="249"/>
      <c r="G188" s="249"/>
      <c r="H188" s="249"/>
      <c r="I188" s="8"/>
      <c r="J188" s="739"/>
      <c r="K188" s="739"/>
    </row>
    <row r="189" spans="2:18" ht="15" customHeight="1" x14ac:dyDescent="0.25">
      <c r="B189" s="611"/>
      <c r="C189" s="249"/>
      <c r="D189" s="249"/>
      <c r="E189" s="249"/>
      <c r="F189" s="249"/>
      <c r="G189" s="249"/>
      <c r="H189" s="249"/>
      <c r="I189" s="8"/>
      <c r="J189" s="739"/>
      <c r="K189" s="739"/>
    </row>
    <row r="190" spans="2:18" ht="15" customHeight="1" x14ac:dyDescent="0.2">
      <c r="B190" s="1748" t="s">
        <v>2431</v>
      </c>
      <c r="C190" s="1748"/>
      <c r="D190" s="1748"/>
      <c r="E190" s="1748"/>
      <c r="F190" s="1748"/>
      <c r="G190" s="1748"/>
      <c r="H190" s="1748"/>
      <c r="I190" s="1748"/>
      <c r="J190" s="1748"/>
    </row>
    <row r="191" spans="2:18" ht="3" customHeight="1" x14ac:dyDescent="0.2">
      <c r="B191" s="1749"/>
      <c r="C191" s="1749"/>
      <c r="D191" s="1749"/>
      <c r="E191" s="1749"/>
      <c r="F191" s="1749"/>
      <c r="G191" s="1749"/>
      <c r="H191" s="1749"/>
      <c r="I191" s="1749"/>
      <c r="J191" s="1749"/>
      <c r="K191" s="1749"/>
      <c r="L191" s="1749"/>
    </row>
    <row r="192" spans="2:18" ht="15" customHeight="1" x14ac:dyDescent="0.25">
      <c r="B192" s="531"/>
      <c r="C192" s="8"/>
      <c r="D192" s="8"/>
      <c r="E192" s="8"/>
      <c r="F192" s="8"/>
      <c r="G192" s="8"/>
      <c r="H192" s="8"/>
      <c r="I192" s="8"/>
    </row>
    <row r="193" spans="2:12" ht="15" customHeight="1" x14ac:dyDescent="0.25">
      <c r="B193" s="614"/>
      <c r="C193" s="615"/>
      <c r="D193" s="616"/>
      <c r="E193" s="616"/>
      <c r="F193" s="616"/>
      <c r="G193" s="616"/>
      <c r="H193" s="616"/>
      <c r="I193" s="616"/>
      <c r="J193" s="616"/>
      <c r="K193" s="617"/>
      <c r="L193" s="618"/>
    </row>
    <row r="194" spans="2:12" ht="15" customHeight="1" x14ac:dyDescent="0.2">
      <c r="B194" s="619"/>
      <c r="C194" s="1856" t="s">
        <v>2707</v>
      </c>
      <c r="D194" s="1856"/>
      <c r="E194" s="1856"/>
      <c r="F194" s="620"/>
      <c r="G194" s="620"/>
      <c r="H194" s="620"/>
      <c r="I194" s="1284"/>
      <c r="J194" s="1284"/>
      <c r="K194" s="76"/>
      <c r="L194" s="622"/>
    </row>
    <row r="195" spans="2:12" ht="15" customHeight="1" x14ac:dyDescent="0.2">
      <c r="B195" s="619"/>
      <c r="C195" s="621"/>
      <c r="D195" s="621"/>
      <c r="E195" s="620"/>
      <c r="F195" s="620"/>
      <c r="G195" s="620"/>
      <c r="H195" s="620"/>
      <c r="I195" s="620"/>
      <c r="J195" s="129"/>
      <c r="K195" s="129"/>
      <c r="L195" s="622"/>
    </row>
    <row r="196" spans="2:12" ht="15" customHeight="1" x14ac:dyDescent="0.2">
      <c r="B196" s="619"/>
      <c r="C196" s="1180" t="s">
        <v>2432</v>
      </c>
      <c r="D196" s="1180"/>
      <c r="E196" s="1180"/>
      <c r="F196" s="1180" t="s">
        <v>2433</v>
      </c>
      <c r="G196" s="1180"/>
      <c r="H196" s="1180"/>
      <c r="I196" s="1004" t="s">
        <v>2434</v>
      </c>
      <c r="J196" s="1004" t="s">
        <v>2435</v>
      </c>
      <c r="K196" s="1004" t="s">
        <v>301</v>
      </c>
      <c r="L196" s="622"/>
    </row>
    <row r="197" spans="2:12" ht="15" customHeight="1" x14ac:dyDescent="0.2">
      <c r="B197" s="619"/>
      <c r="C197" s="1150" t="s">
        <v>3082</v>
      </c>
      <c r="D197" s="1150"/>
      <c r="E197" s="1150"/>
      <c r="F197" s="1761">
        <v>40</v>
      </c>
      <c r="G197" s="1761"/>
      <c r="H197" s="1761"/>
      <c r="I197" s="920">
        <f>K218</f>
        <v>0</v>
      </c>
      <c r="J197" s="920">
        <f>Q217</f>
        <v>0</v>
      </c>
      <c r="K197" s="920">
        <f t="shared" ref="K197:K200" si="0">IFERROR(I197-J197,"")</f>
        <v>0</v>
      </c>
      <c r="L197" s="622"/>
    </row>
    <row r="198" spans="2:12" ht="15" customHeight="1" x14ac:dyDescent="0.2">
      <c r="B198" s="619"/>
      <c r="C198" s="1130" t="s">
        <v>2780</v>
      </c>
      <c r="D198" s="1131"/>
      <c r="E198" s="1132"/>
      <c r="F198" s="1784">
        <v>35</v>
      </c>
      <c r="G198" s="1785"/>
      <c r="H198" s="1786"/>
      <c r="I198" s="920">
        <f>K240</f>
        <v>0</v>
      </c>
      <c r="J198" s="920">
        <f>Q239</f>
        <v>0</v>
      </c>
      <c r="K198" s="920">
        <f t="shared" si="0"/>
        <v>0</v>
      </c>
      <c r="L198" s="622"/>
    </row>
    <row r="199" spans="2:12" ht="15" customHeight="1" thickBot="1" x14ac:dyDescent="0.25">
      <c r="B199" s="619"/>
      <c r="C199" s="1779" t="s">
        <v>2681</v>
      </c>
      <c r="D199" s="1779"/>
      <c r="E199" s="1779"/>
      <c r="F199" s="1780">
        <v>25</v>
      </c>
      <c r="G199" s="1780"/>
      <c r="H199" s="1780"/>
      <c r="I199" s="921">
        <f>K259</f>
        <v>0</v>
      </c>
      <c r="J199" s="921">
        <f>Q258</f>
        <v>0</v>
      </c>
      <c r="K199" s="921">
        <f t="shared" si="0"/>
        <v>0</v>
      </c>
      <c r="L199" s="622"/>
    </row>
    <row r="200" spans="2:12" ht="15" customHeight="1" thickTop="1" x14ac:dyDescent="0.2">
      <c r="B200" s="619"/>
      <c r="C200" s="1781" t="s">
        <v>2436</v>
      </c>
      <c r="D200" s="1781"/>
      <c r="E200" s="1781"/>
      <c r="F200" s="1782">
        <f>SUM(F197:H199)</f>
        <v>100</v>
      </c>
      <c r="G200" s="1782"/>
      <c r="H200" s="1782"/>
      <c r="I200" s="922">
        <f>SUM(I197:I199)</f>
        <v>0</v>
      </c>
      <c r="J200" s="922">
        <f>SUM(J197:J199)</f>
        <v>0</v>
      </c>
      <c r="K200" s="922">
        <f t="shared" si="0"/>
        <v>0</v>
      </c>
      <c r="L200" s="622"/>
    </row>
    <row r="201" spans="2:12" ht="15" customHeight="1" x14ac:dyDescent="0.2">
      <c r="B201" s="619"/>
      <c r="C201" s="94"/>
      <c r="D201" s="94"/>
      <c r="E201" s="94"/>
      <c r="F201" s="94"/>
      <c r="G201" s="94"/>
      <c r="H201" s="94"/>
      <c r="L201" s="622"/>
    </row>
    <row r="202" spans="2:12" ht="15" customHeight="1" x14ac:dyDescent="0.2">
      <c r="B202" s="619"/>
      <c r="C202" s="1231" t="s">
        <v>2437</v>
      </c>
      <c r="D202" s="1231"/>
      <c r="E202" s="1231"/>
      <c r="F202" s="1231" t="s">
        <v>2478</v>
      </c>
      <c r="G202" s="1231"/>
      <c r="H202" s="1231"/>
      <c r="I202" s="1031" t="s">
        <v>2438</v>
      </c>
      <c r="L202" s="622"/>
    </row>
    <row r="203" spans="2:12" ht="15" customHeight="1" x14ac:dyDescent="0.2">
      <c r="B203" s="619"/>
      <c r="C203" s="1234" t="s">
        <v>3074</v>
      </c>
      <c r="D203" s="1234"/>
      <c r="E203" s="1234"/>
      <c r="F203" s="1796" t="str">
        <f>I286</f>
        <v>Enter Census Tract</v>
      </c>
      <c r="G203" s="1796"/>
      <c r="H203" s="1796"/>
      <c r="I203" s="89">
        <f>Q278</f>
        <v>0</v>
      </c>
      <c r="J203" s="623"/>
      <c r="K203" s="623"/>
      <c r="L203" s="622"/>
    </row>
    <row r="204" spans="2:12" ht="15" customHeight="1" x14ac:dyDescent="0.2">
      <c r="B204" s="619"/>
      <c r="C204" s="1234" t="s">
        <v>3075</v>
      </c>
      <c r="D204" s="1234"/>
      <c r="E204" s="1234"/>
      <c r="F204" s="1796">
        <f t="shared" ref="F204:F208" si="1">I287</f>
        <v>0</v>
      </c>
      <c r="G204" s="1796"/>
      <c r="H204" s="1796"/>
      <c r="I204" s="89">
        <f t="shared" ref="I204:I208" si="2">Q279</f>
        <v>0</v>
      </c>
      <c r="J204" s="623"/>
      <c r="K204" s="623"/>
      <c r="L204" s="622"/>
    </row>
    <row r="205" spans="2:12" ht="15" customHeight="1" x14ac:dyDescent="0.2">
      <c r="B205" s="619"/>
      <c r="C205" s="1168" t="s">
        <v>3076</v>
      </c>
      <c r="D205" s="1169"/>
      <c r="E205" s="1170"/>
      <c r="F205" s="1763" t="str">
        <f t="shared" si="1"/>
        <v>Input Census Tract</v>
      </c>
      <c r="G205" s="1763"/>
      <c r="H205" s="1763"/>
      <c r="I205" s="893">
        <f t="shared" si="2"/>
        <v>0</v>
      </c>
      <c r="J205" s="623"/>
      <c r="K205" s="623"/>
      <c r="L205" s="622"/>
    </row>
    <row r="206" spans="2:12" ht="15" customHeight="1" x14ac:dyDescent="0.2">
      <c r="B206" s="619"/>
      <c r="C206" s="1168" t="s">
        <v>3077</v>
      </c>
      <c r="D206" s="1169"/>
      <c r="E206" s="1170"/>
      <c r="F206" s="1763" t="str">
        <f t="shared" si="1"/>
        <v>Input Census Tract</v>
      </c>
      <c r="G206" s="1763"/>
      <c r="H206" s="1763"/>
      <c r="I206" s="893">
        <f t="shared" si="2"/>
        <v>0</v>
      </c>
      <c r="J206" s="623"/>
      <c r="K206" s="623"/>
      <c r="L206" s="622"/>
    </row>
    <row r="207" spans="2:12" ht="15" customHeight="1" x14ac:dyDescent="0.2">
      <c r="B207" s="619"/>
      <c r="C207" s="1168" t="s">
        <v>3078</v>
      </c>
      <c r="D207" s="1169"/>
      <c r="E207" s="1170"/>
      <c r="F207" s="1763" t="str">
        <f t="shared" si="1"/>
        <v>Input Census Tract</v>
      </c>
      <c r="G207" s="1763"/>
      <c r="H207" s="1763"/>
      <c r="I207" s="893">
        <f t="shared" si="2"/>
        <v>0</v>
      </c>
      <c r="J207" s="623"/>
      <c r="K207" s="623"/>
      <c r="L207" s="622"/>
    </row>
    <row r="208" spans="2:12" ht="15" customHeight="1" x14ac:dyDescent="0.2">
      <c r="B208" s="619"/>
      <c r="C208" s="1168" t="s">
        <v>3079</v>
      </c>
      <c r="D208" s="1169"/>
      <c r="E208" s="1170"/>
      <c r="F208" s="1762">
        <f t="shared" si="1"/>
        <v>0</v>
      </c>
      <c r="G208" s="1762"/>
      <c r="H208" s="1762"/>
      <c r="I208" s="188">
        <f t="shared" si="2"/>
        <v>0</v>
      </c>
      <c r="J208" s="623"/>
      <c r="K208" s="623"/>
      <c r="L208" s="622"/>
    </row>
    <row r="209" spans="2:18" ht="15" customHeight="1" x14ac:dyDescent="0.2">
      <c r="B209" s="619"/>
      <c r="C209" s="1168" t="s">
        <v>3080</v>
      </c>
      <c r="D209" s="1169"/>
      <c r="E209" s="1170"/>
      <c r="F209" s="1798"/>
      <c r="G209" s="1799"/>
      <c r="H209" s="1800"/>
      <c r="I209" s="89">
        <f>Q284</f>
        <v>0</v>
      </c>
      <c r="J209" s="623"/>
      <c r="K209" s="623"/>
      <c r="L209" s="622"/>
    </row>
    <row r="210" spans="2:18" ht="15" customHeight="1" x14ac:dyDescent="0.2">
      <c r="B210" s="624"/>
      <c r="C210" s="625"/>
      <c r="D210" s="625"/>
      <c r="E210" s="592"/>
      <c r="F210" s="626"/>
      <c r="G210" s="626"/>
      <c r="H210" s="626"/>
      <c r="I210" s="593"/>
      <c r="J210" s="594"/>
      <c r="K210" s="594"/>
      <c r="L210" s="627"/>
    </row>
    <row r="211" spans="2:18" ht="15" customHeight="1" x14ac:dyDescent="0.25">
      <c r="C211" s="531"/>
      <c r="D211" s="8"/>
      <c r="E211" s="8"/>
      <c r="F211" s="8"/>
      <c r="G211" s="8"/>
      <c r="H211" s="8"/>
      <c r="I211" s="8"/>
      <c r="J211" s="8"/>
    </row>
    <row r="212" spans="2:18" ht="15" customHeight="1" x14ac:dyDescent="0.25">
      <c r="C212" s="531"/>
      <c r="D212" s="8"/>
      <c r="E212" s="8"/>
      <c r="F212" s="8"/>
      <c r="G212" s="8"/>
      <c r="H212" s="8"/>
      <c r="I212" s="8"/>
      <c r="J212" s="8"/>
    </row>
    <row r="213" spans="2:18" ht="15" customHeight="1" x14ac:dyDescent="0.2">
      <c r="B213" s="1748" t="s">
        <v>2439</v>
      </c>
      <c r="C213" s="1748"/>
      <c r="D213" s="1748"/>
      <c r="E213" s="1748"/>
      <c r="F213" s="1748"/>
      <c r="G213" s="1748"/>
      <c r="H213" s="1748"/>
      <c r="I213" s="1748"/>
      <c r="J213" s="1748"/>
      <c r="K213" s="1748"/>
      <c r="L213" s="1748"/>
      <c r="M213" s="609"/>
      <c r="N213" s="1748" t="s">
        <v>2440</v>
      </c>
      <c r="O213" s="1748"/>
      <c r="P213" s="1748"/>
      <c r="Q213" s="1748"/>
      <c r="R213" s="1748"/>
    </row>
    <row r="214" spans="2:18" ht="3" customHeight="1" x14ac:dyDescent="0.2">
      <c r="B214" s="1749"/>
      <c r="C214" s="1749"/>
      <c r="D214" s="1749"/>
      <c r="E214" s="1749"/>
      <c r="F214" s="1749"/>
      <c r="G214" s="1749"/>
      <c r="H214" s="1749"/>
      <c r="I214" s="1749"/>
      <c r="J214" s="1749"/>
      <c r="K214" s="1749"/>
      <c r="L214" s="1749"/>
      <c r="N214" s="1749"/>
      <c r="O214" s="1749"/>
      <c r="P214" s="1749"/>
      <c r="Q214" s="1749"/>
      <c r="R214" s="1749"/>
    </row>
    <row r="215" spans="2:18" ht="15" customHeight="1" x14ac:dyDescent="0.25">
      <c r="C215" s="531"/>
      <c r="D215" s="8"/>
      <c r="E215" s="8"/>
      <c r="F215" s="8"/>
      <c r="G215" s="8"/>
      <c r="H215" s="8"/>
      <c r="I215" s="8"/>
      <c r="J215" s="8"/>
      <c r="N215" s="1178"/>
      <c r="O215" s="1178"/>
    </row>
    <row r="216" spans="2:18" ht="15" customHeight="1" x14ac:dyDescent="0.25">
      <c r="B216" s="749"/>
      <c r="C216" s="750"/>
      <c r="D216" s="751"/>
      <c r="E216" s="751"/>
      <c r="F216" s="751"/>
      <c r="G216" s="751"/>
      <c r="H216" s="751"/>
      <c r="I216" s="751"/>
      <c r="J216" s="751"/>
      <c r="K216" s="762"/>
      <c r="L216" s="763"/>
      <c r="N216" s="767"/>
      <c r="O216" s="768"/>
      <c r="P216" s="768"/>
      <c r="Q216" s="930"/>
      <c r="R216" s="769"/>
    </row>
    <row r="217" spans="2:18" ht="15" customHeight="1" x14ac:dyDescent="0.2">
      <c r="B217" s="752"/>
      <c r="C217" s="1801" t="s">
        <v>3085</v>
      </c>
      <c r="D217" s="1801"/>
      <c r="E217" s="1801"/>
      <c r="F217" s="1801"/>
      <c r="G217" s="1801"/>
      <c r="H217" s="1801"/>
      <c r="I217" s="1802" t="s">
        <v>2441</v>
      </c>
      <c r="J217" s="1802"/>
      <c r="K217" s="893" t="str">
        <f>F235</f>
        <v/>
      </c>
      <c r="L217" s="757"/>
      <c r="N217" s="770"/>
      <c r="O217" s="1776" t="s">
        <v>3081</v>
      </c>
      <c r="P217" s="1776"/>
      <c r="Q217" s="942"/>
      <c r="R217" s="771"/>
    </row>
    <row r="218" spans="2:18" ht="15" customHeight="1" x14ac:dyDescent="0.2">
      <c r="B218" s="752"/>
      <c r="C218" s="753"/>
      <c r="D218" s="753"/>
      <c r="E218" s="754"/>
      <c r="F218" s="754"/>
      <c r="G218" s="754"/>
      <c r="H218" s="754"/>
      <c r="I218" s="1802" t="s">
        <v>2442</v>
      </c>
      <c r="J218" s="1802"/>
      <c r="K218" s="919"/>
      <c r="L218" s="757"/>
      <c r="N218" s="770"/>
      <c r="O218" s="633"/>
      <c r="P218" s="633"/>
      <c r="Q218" s="932"/>
      <c r="R218" s="771"/>
    </row>
    <row r="219" spans="2:18" ht="15" customHeight="1" x14ac:dyDescent="0.2">
      <c r="B219" s="752"/>
      <c r="C219" s="755" t="s">
        <v>3086</v>
      </c>
      <c r="D219" s="766">
        <v>40</v>
      </c>
      <c r="E219" s="755"/>
      <c r="F219" s="755"/>
      <c r="G219" s="755"/>
      <c r="H219" s="755"/>
      <c r="I219" s="755"/>
      <c r="J219" s="756"/>
      <c r="K219" s="756"/>
      <c r="L219" s="757"/>
      <c r="N219" s="770"/>
      <c r="O219" s="633" t="s">
        <v>2443</v>
      </c>
      <c r="P219" s="633"/>
      <c r="Q219" s="932"/>
      <c r="R219" s="771"/>
    </row>
    <row r="220" spans="2:18" ht="15" customHeight="1" x14ac:dyDescent="0.2">
      <c r="B220" s="752"/>
      <c r="C220" s="755"/>
      <c r="D220" s="755"/>
      <c r="E220" s="755"/>
      <c r="F220" s="755"/>
      <c r="G220" s="755"/>
      <c r="H220" s="755"/>
      <c r="I220" s="755"/>
      <c r="J220" s="756"/>
      <c r="K220" s="756"/>
      <c r="L220" s="757"/>
      <c r="N220" s="770"/>
      <c r="O220" s="633"/>
      <c r="P220" s="633"/>
      <c r="Q220" s="932"/>
      <c r="R220" s="771"/>
    </row>
    <row r="221" spans="2:18" ht="15" customHeight="1" x14ac:dyDescent="0.2">
      <c r="B221" s="752"/>
      <c r="C221" s="1803" t="s">
        <v>3083</v>
      </c>
      <c r="D221" s="1803"/>
      <c r="E221" s="1803"/>
      <c r="F221" s="1803"/>
      <c r="G221" s="1803"/>
      <c r="H221" s="1803"/>
      <c r="I221" s="1803"/>
      <c r="J221" s="1803"/>
      <c r="K221" s="1803"/>
      <c r="L221" s="757"/>
      <c r="N221" s="770"/>
      <c r="O221" s="1718"/>
      <c r="P221" s="1719"/>
      <c r="Q221" s="1720"/>
      <c r="R221" s="771"/>
    </row>
    <row r="222" spans="2:18" ht="15" customHeight="1" x14ac:dyDescent="0.2">
      <c r="B222" s="752"/>
      <c r="C222" s="1803"/>
      <c r="D222" s="1803"/>
      <c r="E222" s="1803"/>
      <c r="F222" s="1803"/>
      <c r="G222" s="1803"/>
      <c r="H222" s="1803"/>
      <c r="I222" s="1803"/>
      <c r="J222" s="1803"/>
      <c r="K222" s="1803"/>
      <c r="L222" s="757"/>
      <c r="N222" s="770"/>
      <c r="O222" s="1721"/>
      <c r="P222" s="1722"/>
      <c r="Q222" s="1723"/>
      <c r="R222" s="771"/>
    </row>
    <row r="223" spans="2:18" ht="15" customHeight="1" x14ac:dyDescent="0.2">
      <c r="B223" s="752"/>
      <c r="C223" s="1803"/>
      <c r="D223" s="1803"/>
      <c r="E223" s="1803"/>
      <c r="F223" s="1803"/>
      <c r="G223" s="1803"/>
      <c r="H223" s="1803"/>
      <c r="I223" s="1803"/>
      <c r="J223" s="1803"/>
      <c r="K223" s="1803"/>
      <c r="L223" s="757"/>
      <c r="N223" s="770"/>
      <c r="O223" s="1721"/>
      <c r="P223" s="1722"/>
      <c r="Q223" s="1723"/>
      <c r="R223" s="771"/>
    </row>
    <row r="224" spans="2:18" ht="15" customHeight="1" x14ac:dyDescent="0.2">
      <c r="B224" s="752"/>
      <c r="C224" s="1803"/>
      <c r="D224" s="1803"/>
      <c r="E224" s="1803"/>
      <c r="F224" s="1803"/>
      <c r="G224" s="1803"/>
      <c r="H224" s="1803"/>
      <c r="I224" s="1803"/>
      <c r="J224" s="1803"/>
      <c r="K224" s="1803"/>
      <c r="L224" s="757"/>
      <c r="N224" s="770"/>
      <c r="O224" s="1721"/>
      <c r="P224" s="1722"/>
      <c r="Q224" s="1723"/>
      <c r="R224" s="771"/>
    </row>
    <row r="225" spans="2:18" ht="15" customHeight="1" x14ac:dyDescent="0.2">
      <c r="B225" s="752"/>
      <c r="C225" s="1803"/>
      <c r="D225" s="1803"/>
      <c r="E225" s="1803"/>
      <c r="F225" s="1803"/>
      <c r="G225" s="1803"/>
      <c r="H225" s="1803"/>
      <c r="I225" s="1803"/>
      <c r="J225" s="1803"/>
      <c r="K225" s="1803"/>
      <c r="L225" s="757"/>
      <c r="N225" s="770"/>
      <c r="O225" s="1721"/>
      <c r="P225" s="1722"/>
      <c r="Q225" s="1723"/>
      <c r="R225" s="771"/>
    </row>
    <row r="226" spans="2:18" ht="15" customHeight="1" x14ac:dyDescent="0.2">
      <c r="B226" s="752"/>
      <c r="C226" s="755"/>
      <c r="D226" s="755"/>
      <c r="E226" s="755"/>
      <c r="F226" s="755"/>
      <c r="G226" s="755"/>
      <c r="H226" s="755"/>
      <c r="I226" s="755"/>
      <c r="J226" s="756"/>
      <c r="K226" s="756"/>
      <c r="L226" s="757"/>
      <c r="N226" s="770"/>
      <c r="O226" s="1721"/>
      <c r="P226" s="1722"/>
      <c r="Q226" s="1723"/>
      <c r="R226" s="771"/>
    </row>
    <row r="227" spans="2:18" ht="15" customHeight="1" x14ac:dyDescent="0.2">
      <c r="B227" s="752"/>
      <c r="C227" s="1826" t="s">
        <v>3084</v>
      </c>
      <c r="D227" s="1826"/>
      <c r="E227" s="1826"/>
      <c r="F227" s="1826"/>
      <c r="G227" s="1826"/>
      <c r="H227" s="1826"/>
      <c r="I227" s="1826"/>
      <c r="J227" s="1826"/>
      <c r="K227" s="1826"/>
      <c r="L227" s="757"/>
      <c r="N227" s="770"/>
      <c r="O227" s="1721"/>
      <c r="P227" s="1722"/>
      <c r="Q227" s="1723"/>
      <c r="R227" s="771"/>
    </row>
    <row r="228" spans="2:18" ht="15" customHeight="1" x14ac:dyDescent="0.2">
      <c r="B228" s="752"/>
      <c r="C228" s="1826"/>
      <c r="D228" s="1826"/>
      <c r="E228" s="1826"/>
      <c r="F228" s="1826"/>
      <c r="G228" s="1826"/>
      <c r="H228" s="1826"/>
      <c r="I228" s="1826"/>
      <c r="J228" s="1826"/>
      <c r="K228" s="1826"/>
      <c r="L228" s="757"/>
      <c r="N228" s="770"/>
      <c r="O228" s="1721"/>
      <c r="P228" s="1722"/>
      <c r="Q228" s="1723"/>
      <c r="R228" s="771"/>
    </row>
    <row r="229" spans="2:18" ht="15" customHeight="1" x14ac:dyDescent="0.2">
      <c r="B229" s="752"/>
      <c r="C229" s="1826"/>
      <c r="D229" s="1826"/>
      <c r="E229" s="1826"/>
      <c r="F229" s="1826"/>
      <c r="G229" s="1826"/>
      <c r="H229" s="1826"/>
      <c r="I229" s="1826"/>
      <c r="J229" s="1826"/>
      <c r="K229" s="1826"/>
      <c r="L229" s="757"/>
      <c r="N229" s="770"/>
      <c r="O229" s="1721"/>
      <c r="P229" s="1722"/>
      <c r="Q229" s="1723"/>
      <c r="R229" s="771"/>
    </row>
    <row r="230" spans="2:18" ht="15" customHeight="1" x14ac:dyDescent="0.2">
      <c r="B230" s="758"/>
      <c r="C230" s="759"/>
      <c r="D230" s="759"/>
      <c r="E230" s="759"/>
      <c r="F230" s="759"/>
      <c r="G230" s="759"/>
      <c r="H230" s="759"/>
      <c r="I230" s="759"/>
      <c r="J230" s="760"/>
      <c r="K230" s="760"/>
      <c r="L230" s="761"/>
      <c r="N230" s="770"/>
      <c r="O230" s="1721"/>
      <c r="P230" s="1722"/>
      <c r="Q230" s="1723"/>
      <c r="R230" s="771"/>
    </row>
    <row r="231" spans="2:18" ht="15" customHeight="1" x14ac:dyDescent="0.2">
      <c r="B231" s="619"/>
      <c r="C231" s="635"/>
      <c r="D231" s="635"/>
      <c r="E231" s="635"/>
      <c r="F231" s="635"/>
      <c r="G231" s="635"/>
      <c r="H231" s="635"/>
      <c r="I231" s="635"/>
      <c r="L231" s="622"/>
      <c r="N231" s="770"/>
      <c r="O231" s="1721"/>
      <c r="P231" s="1722"/>
      <c r="Q231" s="1723"/>
      <c r="R231" s="771"/>
    </row>
    <row r="232" spans="2:18" ht="15" customHeight="1" x14ac:dyDescent="0.2">
      <c r="B232" s="619"/>
      <c r="C232" s="1175" t="s">
        <v>3087</v>
      </c>
      <c r="D232" s="1175"/>
      <c r="E232" s="1176"/>
      <c r="F232" s="1816" t="str">
        <f>IF(Details!$E$13="","",Details!$E$13)</f>
        <v/>
      </c>
      <c r="G232" s="1816"/>
      <c r="H232" s="1816"/>
      <c r="I232" s="1816"/>
      <c r="J232" s="747"/>
      <c r="K232" s="748"/>
      <c r="L232" s="622"/>
      <c r="N232" s="770"/>
      <c r="O232" s="1721"/>
      <c r="P232" s="1722"/>
      <c r="Q232" s="1723"/>
      <c r="R232" s="771"/>
    </row>
    <row r="233" spans="2:18" ht="15" customHeight="1" x14ac:dyDescent="0.2">
      <c r="B233" s="619"/>
      <c r="C233" s="1175" t="s">
        <v>3088</v>
      </c>
      <c r="D233" s="1175"/>
      <c r="E233" s="1176"/>
      <c r="F233" s="1816" t="str">
        <f>IF(F232="","",CONCATENATE("Tract ",VLOOKUP(F232,Data!$B$11:$D$3178,2,FALSE),", ",VLOOKUP(F232,Data!$B$11:$D$3178,3,FALSE)," County"))</f>
        <v/>
      </c>
      <c r="G233" s="1816"/>
      <c r="H233" s="1816"/>
      <c r="I233" s="1816"/>
      <c r="J233" s="747"/>
      <c r="K233" s="748"/>
      <c r="L233" s="622"/>
      <c r="N233" s="770"/>
      <c r="O233" s="1721"/>
      <c r="P233" s="1722"/>
      <c r="Q233" s="1723"/>
      <c r="R233" s="771"/>
    </row>
    <row r="234" spans="2:18" ht="15" customHeight="1" x14ac:dyDescent="0.2">
      <c r="B234" s="619"/>
      <c r="C234" s="1175" t="s">
        <v>3440</v>
      </c>
      <c r="D234" s="1175"/>
      <c r="E234" s="1176"/>
      <c r="F234" s="1797" t="str">
        <f>IF(F232="","",VLOOKUP(F232,Data!$B$11:$J$3178,7,FALSE))</f>
        <v/>
      </c>
      <c r="G234" s="1797"/>
      <c r="H234" s="1797"/>
      <c r="I234" s="1797"/>
      <c r="J234" s="747"/>
      <c r="K234" s="748"/>
      <c r="L234" s="622"/>
      <c r="N234" s="770"/>
      <c r="O234" s="1721"/>
      <c r="P234" s="1722"/>
      <c r="Q234" s="1723"/>
      <c r="R234" s="771"/>
    </row>
    <row r="235" spans="2:18" ht="15" customHeight="1" x14ac:dyDescent="0.2">
      <c r="B235" s="619"/>
      <c r="C235" s="1175" t="s">
        <v>3439</v>
      </c>
      <c r="D235" s="1175"/>
      <c r="E235" s="1176"/>
      <c r="F235" s="1867" t="str">
        <f>IF(F232="","",F234*0.4)</f>
        <v/>
      </c>
      <c r="G235" s="1868"/>
      <c r="H235" s="1868"/>
      <c r="I235" s="1869"/>
      <c r="J235" s="747"/>
      <c r="K235" s="748"/>
      <c r="L235" s="622"/>
      <c r="N235" s="770"/>
      <c r="O235" s="1724"/>
      <c r="P235" s="1725"/>
      <c r="Q235" s="1726"/>
      <c r="R235" s="771"/>
    </row>
    <row r="236" spans="2:18" ht="15" customHeight="1" x14ac:dyDescent="0.25">
      <c r="B236" s="624"/>
      <c r="C236" s="636"/>
      <c r="D236" s="637"/>
      <c r="E236" s="637"/>
      <c r="F236" s="637"/>
      <c r="G236" s="637"/>
      <c r="H236" s="637"/>
      <c r="I236" s="637"/>
      <c r="J236" s="637"/>
      <c r="K236" s="628"/>
      <c r="L236" s="627"/>
      <c r="N236" s="772"/>
      <c r="O236" s="773"/>
      <c r="P236" s="773"/>
      <c r="Q236" s="933"/>
      <c r="R236" s="774"/>
    </row>
    <row r="237" spans="2:18" ht="15" customHeight="1" x14ac:dyDescent="0.25">
      <c r="C237" s="531"/>
      <c r="D237" s="8"/>
      <c r="E237" s="8"/>
      <c r="F237" s="8"/>
      <c r="G237" s="8"/>
      <c r="H237" s="8"/>
      <c r="I237" s="8"/>
      <c r="J237" s="8"/>
    </row>
    <row r="238" spans="2:18" ht="15" customHeight="1" x14ac:dyDescent="0.25">
      <c r="B238" s="661"/>
      <c r="C238" s="662"/>
      <c r="D238" s="663"/>
      <c r="E238" s="663"/>
      <c r="F238" s="663"/>
      <c r="G238" s="663"/>
      <c r="H238" s="663"/>
      <c r="I238" s="663"/>
      <c r="J238" s="663"/>
      <c r="K238" s="664"/>
      <c r="L238" s="665"/>
      <c r="N238" s="767"/>
      <c r="O238" s="768"/>
      <c r="P238" s="768"/>
      <c r="Q238" s="930"/>
      <c r="R238" s="769"/>
    </row>
    <row r="239" spans="2:18" ht="15" customHeight="1" x14ac:dyDescent="0.2">
      <c r="B239" s="666"/>
      <c r="C239" s="1804" t="s">
        <v>3104</v>
      </c>
      <c r="D239" s="1804"/>
      <c r="E239" s="1804"/>
      <c r="F239" s="674"/>
      <c r="G239" s="674"/>
      <c r="H239" s="674"/>
      <c r="I239" s="1805" t="s">
        <v>2441</v>
      </c>
      <c r="J239" s="1805"/>
      <c r="K239" s="893" t="str">
        <f>F254</f>
        <v/>
      </c>
      <c r="L239" s="672"/>
      <c r="N239" s="770"/>
      <c r="O239" s="1776" t="s">
        <v>3092</v>
      </c>
      <c r="P239" s="1776"/>
      <c r="Q239" s="942"/>
      <c r="R239" s="771"/>
    </row>
    <row r="240" spans="2:18" ht="15" customHeight="1" x14ac:dyDescent="0.2">
      <c r="B240" s="666"/>
      <c r="C240" s="675"/>
      <c r="D240" s="674"/>
      <c r="E240" s="674"/>
      <c r="F240" s="674"/>
      <c r="G240" s="674"/>
      <c r="H240" s="674"/>
      <c r="I240" s="1805" t="s">
        <v>2442</v>
      </c>
      <c r="J240" s="1805"/>
      <c r="K240" s="917"/>
      <c r="L240" s="672"/>
      <c r="N240" s="770"/>
      <c r="O240" s="633"/>
      <c r="P240" s="633"/>
      <c r="Q240" s="932"/>
      <c r="R240" s="771"/>
    </row>
    <row r="241" spans="2:18" ht="15" customHeight="1" x14ac:dyDescent="0.25">
      <c r="B241" s="666"/>
      <c r="C241" s="755" t="s">
        <v>3086</v>
      </c>
      <c r="D241" s="766">
        <v>35</v>
      </c>
      <c r="E241" s="667"/>
      <c r="F241" s="667"/>
      <c r="G241" s="667"/>
      <c r="H241" s="667"/>
      <c r="I241" s="667"/>
      <c r="J241" s="676"/>
      <c r="K241" s="668"/>
      <c r="L241" s="672"/>
      <c r="N241" s="770"/>
      <c r="O241" s="633" t="s">
        <v>2443</v>
      </c>
      <c r="P241" s="633"/>
      <c r="Q241" s="932"/>
      <c r="R241" s="771"/>
    </row>
    <row r="242" spans="2:18" ht="15" customHeight="1" x14ac:dyDescent="0.25">
      <c r="B242" s="666"/>
      <c r="C242" s="667"/>
      <c r="D242" s="667"/>
      <c r="E242" s="667"/>
      <c r="F242" s="667"/>
      <c r="G242" s="667"/>
      <c r="H242" s="667"/>
      <c r="I242" s="667"/>
      <c r="J242" s="676"/>
      <c r="K242" s="668"/>
      <c r="L242" s="672"/>
      <c r="N242" s="770"/>
      <c r="O242" s="633"/>
      <c r="P242" s="633"/>
      <c r="Q242" s="932"/>
      <c r="R242" s="771"/>
    </row>
    <row r="243" spans="2:18" ht="15" customHeight="1" x14ac:dyDescent="0.2">
      <c r="B243" s="666"/>
      <c r="C243" s="1806" t="s">
        <v>3090</v>
      </c>
      <c r="D243" s="1806"/>
      <c r="E243" s="1806"/>
      <c r="F243" s="1806"/>
      <c r="G243" s="1806"/>
      <c r="H243" s="1806"/>
      <c r="I243" s="1806"/>
      <c r="J243" s="1806"/>
      <c r="K243" s="1806"/>
      <c r="L243" s="672"/>
      <c r="N243" s="770"/>
      <c r="O243" s="1807"/>
      <c r="P243" s="1808"/>
      <c r="Q243" s="1809"/>
      <c r="R243" s="771"/>
    </row>
    <row r="244" spans="2:18" ht="15" customHeight="1" x14ac:dyDescent="0.2">
      <c r="B244" s="666"/>
      <c r="C244" s="1806"/>
      <c r="D244" s="1806"/>
      <c r="E244" s="1806"/>
      <c r="F244" s="1806"/>
      <c r="G244" s="1806"/>
      <c r="H244" s="1806"/>
      <c r="I244" s="1806"/>
      <c r="J244" s="1806"/>
      <c r="K244" s="1806"/>
      <c r="L244" s="672"/>
      <c r="N244" s="770"/>
      <c r="O244" s="1810"/>
      <c r="P244" s="1154"/>
      <c r="Q244" s="1811"/>
      <c r="R244" s="771"/>
    </row>
    <row r="245" spans="2:18" ht="15" customHeight="1" x14ac:dyDescent="0.2">
      <c r="B245" s="666"/>
      <c r="C245" s="1806"/>
      <c r="D245" s="1806"/>
      <c r="E245" s="1806"/>
      <c r="F245" s="1806"/>
      <c r="G245" s="1806"/>
      <c r="H245" s="1806"/>
      <c r="I245" s="1806"/>
      <c r="J245" s="1806"/>
      <c r="K245" s="1806"/>
      <c r="L245" s="672"/>
      <c r="N245" s="770"/>
      <c r="O245" s="1810"/>
      <c r="P245" s="1154"/>
      <c r="Q245" s="1811"/>
      <c r="R245" s="771"/>
    </row>
    <row r="246" spans="2:18" ht="15" customHeight="1" x14ac:dyDescent="0.2">
      <c r="B246" s="666"/>
      <c r="C246" s="1806"/>
      <c r="D246" s="1806"/>
      <c r="E246" s="1806"/>
      <c r="F246" s="1806"/>
      <c r="G246" s="1806"/>
      <c r="H246" s="1806"/>
      <c r="I246" s="1806"/>
      <c r="J246" s="1806"/>
      <c r="K246" s="1806"/>
      <c r="L246" s="672"/>
      <c r="N246" s="770"/>
      <c r="O246" s="1810"/>
      <c r="P246" s="1154"/>
      <c r="Q246" s="1811"/>
      <c r="R246" s="771"/>
    </row>
    <row r="247" spans="2:18" ht="15" customHeight="1" x14ac:dyDescent="0.2">
      <c r="B247" s="666"/>
      <c r="C247" s="1815" t="s">
        <v>3091</v>
      </c>
      <c r="D247" s="1815"/>
      <c r="E247" s="1815"/>
      <c r="F247" s="1815"/>
      <c r="G247" s="1815"/>
      <c r="H247" s="1815"/>
      <c r="I247" s="1815"/>
      <c r="J247" s="1815"/>
      <c r="K247" s="1815"/>
      <c r="L247" s="672"/>
      <c r="N247" s="770"/>
      <c r="O247" s="1810"/>
      <c r="P247" s="1154"/>
      <c r="Q247" s="1811"/>
      <c r="R247" s="771"/>
    </row>
    <row r="248" spans="2:18" ht="15" customHeight="1" x14ac:dyDescent="0.2">
      <c r="B248" s="666"/>
      <c r="C248" s="1815"/>
      <c r="D248" s="1815"/>
      <c r="E248" s="1815"/>
      <c r="F248" s="1815"/>
      <c r="G248" s="1815"/>
      <c r="H248" s="1815"/>
      <c r="I248" s="1815"/>
      <c r="J248" s="1815"/>
      <c r="K248" s="1815"/>
      <c r="L248" s="672"/>
      <c r="N248" s="770"/>
      <c r="O248" s="1810"/>
      <c r="P248" s="1154"/>
      <c r="Q248" s="1811"/>
      <c r="R248" s="771"/>
    </row>
    <row r="249" spans="2:18" ht="15" customHeight="1" x14ac:dyDescent="0.25">
      <c r="B249" s="666"/>
      <c r="C249" s="895"/>
      <c r="D249" s="895"/>
      <c r="E249" s="895"/>
      <c r="F249" s="895"/>
      <c r="G249" s="895"/>
      <c r="H249" s="895"/>
      <c r="I249" s="895"/>
      <c r="J249" s="676"/>
      <c r="K249" s="668"/>
      <c r="L249" s="672"/>
      <c r="N249" s="770"/>
      <c r="O249" s="1810"/>
      <c r="P249" s="1154"/>
      <c r="Q249" s="1811"/>
      <c r="R249" s="771"/>
    </row>
    <row r="250" spans="2:18" ht="15" customHeight="1" x14ac:dyDescent="0.25">
      <c r="B250" s="896"/>
      <c r="C250" s="897"/>
      <c r="D250" s="897"/>
      <c r="E250" s="897"/>
      <c r="F250" s="897"/>
      <c r="G250" s="897"/>
      <c r="H250" s="897"/>
      <c r="I250" s="897"/>
      <c r="J250" s="898"/>
      <c r="K250" s="899"/>
      <c r="L250" s="900"/>
      <c r="N250" s="770"/>
      <c r="O250" s="1810"/>
      <c r="P250" s="1154"/>
      <c r="Q250" s="1811"/>
      <c r="R250" s="771"/>
    </row>
    <row r="251" spans="2:18" ht="15" customHeight="1" x14ac:dyDescent="0.25">
      <c r="B251" s="901"/>
      <c r="C251" s="1175" t="s">
        <v>3087</v>
      </c>
      <c r="D251" s="1175"/>
      <c r="E251" s="1176"/>
      <c r="F251" s="1816" t="str">
        <f>IF(Details!$E$13="","",Details!$E$13)</f>
        <v/>
      </c>
      <c r="G251" s="1816"/>
      <c r="H251" s="1816"/>
      <c r="I251" s="1816"/>
      <c r="J251" s="8"/>
      <c r="L251" s="902"/>
      <c r="N251" s="770"/>
      <c r="O251" s="1810"/>
      <c r="P251" s="1154"/>
      <c r="Q251" s="1811"/>
      <c r="R251" s="771"/>
    </row>
    <row r="252" spans="2:18" ht="15" customHeight="1" x14ac:dyDescent="0.25">
      <c r="B252" s="901"/>
      <c r="C252" s="1175" t="s">
        <v>3088</v>
      </c>
      <c r="D252" s="1175"/>
      <c r="E252" s="1176"/>
      <c r="F252" s="1816" t="str">
        <f>IF(F251="","",CONCATENATE("Tract ",VLOOKUP(F251,Data!$B$11:$D$3178,2,FALSE),", ",VLOOKUP(F251,Data!$B$11:$D$3178,3,FALSE)," County"))</f>
        <v/>
      </c>
      <c r="G252" s="1816"/>
      <c r="H252" s="1816"/>
      <c r="I252" s="1816"/>
      <c r="J252" s="8"/>
      <c r="L252" s="902"/>
      <c r="N252" s="770"/>
      <c r="O252" s="1810"/>
      <c r="P252" s="1154"/>
      <c r="Q252" s="1811"/>
      <c r="R252" s="771"/>
    </row>
    <row r="253" spans="2:18" ht="15" customHeight="1" x14ac:dyDescent="0.25">
      <c r="B253" s="901"/>
      <c r="C253" s="1175" t="s">
        <v>3441</v>
      </c>
      <c r="D253" s="1175"/>
      <c r="E253" s="1176"/>
      <c r="F253" s="1797" t="str">
        <f>IF(F251="","",(VLOOKUP(F251,Data!$B$11:$J$3178,8,FALSE)))</f>
        <v/>
      </c>
      <c r="G253" s="1797"/>
      <c r="H253" s="1797"/>
      <c r="I253" s="1797"/>
      <c r="J253" s="8"/>
      <c r="L253" s="902"/>
      <c r="N253" s="770"/>
      <c r="O253" s="1810"/>
      <c r="P253" s="1154"/>
      <c r="Q253" s="1811"/>
      <c r="R253" s="771"/>
    </row>
    <row r="254" spans="2:18" ht="15" customHeight="1" x14ac:dyDescent="0.25">
      <c r="B254" s="901"/>
      <c r="C254" s="1175" t="s">
        <v>3212</v>
      </c>
      <c r="D254" s="1175"/>
      <c r="E254" s="1176"/>
      <c r="F254" s="1797" t="str">
        <f>IF(F251="","",F253*0.35)</f>
        <v/>
      </c>
      <c r="G254" s="1797"/>
      <c r="H254" s="1797"/>
      <c r="I254" s="1797"/>
      <c r="J254" s="8"/>
      <c r="L254" s="902"/>
      <c r="N254" s="770"/>
      <c r="O254" s="1812"/>
      <c r="P254" s="1813"/>
      <c r="Q254" s="1814"/>
      <c r="R254" s="771"/>
    </row>
    <row r="255" spans="2:18" ht="15" customHeight="1" x14ac:dyDescent="0.25">
      <c r="B255" s="903"/>
      <c r="C255" s="904"/>
      <c r="D255" s="904"/>
      <c r="E255" s="904"/>
      <c r="F255" s="904"/>
      <c r="G255" s="904"/>
      <c r="H255" s="904"/>
      <c r="I255" s="904"/>
      <c r="J255" s="905"/>
      <c r="K255" s="906"/>
      <c r="L255" s="907"/>
      <c r="N255" s="772"/>
      <c r="O255" s="908"/>
      <c r="P255" s="908"/>
      <c r="Q255" s="934"/>
      <c r="R255" s="774"/>
    </row>
    <row r="256" spans="2:18" ht="15" customHeight="1" x14ac:dyDescent="0.25">
      <c r="C256" s="531"/>
      <c r="D256" s="8"/>
      <c r="E256" s="8"/>
      <c r="F256" s="8"/>
      <c r="G256" s="8"/>
      <c r="H256" s="8"/>
      <c r="I256" s="8"/>
      <c r="J256" s="8"/>
    </row>
    <row r="257" spans="2:18" ht="15" customHeight="1" x14ac:dyDescent="0.25">
      <c r="B257" s="661"/>
      <c r="C257" s="662"/>
      <c r="D257" s="663"/>
      <c r="E257" s="663"/>
      <c r="F257" s="663"/>
      <c r="G257" s="663"/>
      <c r="H257" s="663"/>
      <c r="I257" s="663"/>
      <c r="J257" s="663"/>
      <c r="K257" s="664"/>
      <c r="L257" s="665"/>
      <c r="N257" s="629"/>
      <c r="O257" s="630"/>
      <c r="P257" s="630"/>
      <c r="Q257" s="935"/>
      <c r="R257" s="631"/>
    </row>
    <row r="258" spans="2:18" ht="15" customHeight="1" x14ac:dyDescent="0.2">
      <c r="B258" s="666"/>
      <c r="C258" s="1804" t="s">
        <v>3438</v>
      </c>
      <c r="D258" s="1804"/>
      <c r="E258" s="1804"/>
      <c r="F258" s="1804"/>
      <c r="G258" s="1804"/>
      <c r="H258" s="1804"/>
      <c r="I258" s="1805" t="s">
        <v>2441</v>
      </c>
      <c r="J258" s="1827"/>
      <c r="K258" s="918">
        <f>F274</f>
        <v>25</v>
      </c>
      <c r="L258" s="672"/>
      <c r="N258" s="632"/>
      <c r="O258" s="1776" t="s">
        <v>2704</v>
      </c>
      <c r="P258" s="1776"/>
      <c r="Q258" s="942"/>
      <c r="R258" s="634"/>
    </row>
    <row r="259" spans="2:18" ht="15" customHeight="1" x14ac:dyDescent="0.2">
      <c r="B259" s="666"/>
      <c r="C259" s="678"/>
      <c r="D259" s="674"/>
      <c r="E259" s="674"/>
      <c r="F259" s="674"/>
      <c r="G259" s="674"/>
      <c r="H259" s="674"/>
      <c r="I259" s="1805" t="s">
        <v>2442</v>
      </c>
      <c r="J259" s="1827"/>
      <c r="K259" s="917"/>
      <c r="L259" s="672"/>
      <c r="N259" s="632"/>
      <c r="O259" s="633"/>
      <c r="P259" s="633"/>
      <c r="Q259" s="932"/>
      <c r="R259" s="634"/>
    </row>
    <row r="260" spans="2:18" ht="15" customHeight="1" x14ac:dyDescent="0.2">
      <c r="B260" s="666"/>
      <c r="C260" s="755" t="s">
        <v>3086</v>
      </c>
      <c r="D260" s="766">
        <v>25</v>
      </c>
      <c r="E260" s="674"/>
      <c r="F260" s="674"/>
      <c r="G260" s="674"/>
      <c r="H260" s="674"/>
      <c r="I260" s="885"/>
      <c r="J260" s="885"/>
      <c r="K260" s="909"/>
      <c r="L260" s="672"/>
      <c r="N260" s="632"/>
      <c r="O260" s="633" t="s">
        <v>2443</v>
      </c>
      <c r="P260" s="633"/>
      <c r="Q260" s="932"/>
      <c r="R260" s="634"/>
    </row>
    <row r="261" spans="2:18" ht="15" customHeight="1" x14ac:dyDescent="0.2">
      <c r="B261" s="666"/>
      <c r="C261" s="678"/>
      <c r="D261" s="674"/>
      <c r="E261" s="674"/>
      <c r="F261" s="674"/>
      <c r="G261" s="674"/>
      <c r="H261" s="674"/>
      <c r="I261" s="885"/>
      <c r="J261" s="885"/>
      <c r="K261" s="909"/>
      <c r="L261" s="672"/>
      <c r="N261" s="632"/>
      <c r="O261" s="633"/>
      <c r="P261" s="633"/>
      <c r="Q261" s="932"/>
      <c r="R261" s="634"/>
    </row>
    <row r="262" spans="2:18" ht="15" customHeight="1" x14ac:dyDescent="0.2">
      <c r="B262" s="666"/>
      <c r="C262" s="1806" t="s">
        <v>3093</v>
      </c>
      <c r="D262" s="1806"/>
      <c r="E262" s="1806"/>
      <c r="F262" s="1806"/>
      <c r="G262" s="1806"/>
      <c r="H262" s="1806"/>
      <c r="I262" s="1806"/>
      <c r="J262" s="1806"/>
      <c r="K262" s="1806"/>
      <c r="L262" s="672"/>
      <c r="N262" s="632"/>
      <c r="O262" s="1718"/>
      <c r="P262" s="1719"/>
      <c r="Q262" s="1720"/>
      <c r="R262" s="634"/>
    </row>
    <row r="263" spans="2:18" ht="15" customHeight="1" x14ac:dyDescent="0.2">
      <c r="B263" s="666"/>
      <c r="C263" s="1806"/>
      <c r="D263" s="1806"/>
      <c r="E263" s="1806"/>
      <c r="F263" s="1806"/>
      <c r="G263" s="1806"/>
      <c r="H263" s="1806"/>
      <c r="I263" s="1806"/>
      <c r="J263" s="1806"/>
      <c r="K263" s="1806"/>
      <c r="L263" s="672"/>
      <c r="N263" s="632"/>
      <c r="O263" s="1721"/>
      <c r="P263" s="1722"/>
      <c r="Q263" s="1723"/>
      <c r="R263" s="634"/>
    </row>
    <row r="264" spans="2:18" ht="15" customHeight="1" x14ac:dyDescent="0.2">
      <c r="B264" s="666"/>
      <c r="C264" s="1806"/>
      <c r="D264" s="1806"/>
      <c r="E264" s="1806"/>
      <c r="F264" s="1806"/>
      <c r="G264" s="1806"/>
      <c r="H264" s="1806"/>
      <c r="I264" s="1806"/>
      <c r="J264" s="1806"/>
      <c r="K264" s="1806"/>
      <c r="L264" s="672"/>
      <c r="N264" s="632"/>
      <c r="O264" s="1721"/>
      <c r="P264" s="1722"/>
      <c r="Q264" s="1723"/>
      <c r="R264" s="634"/>
    </row>
    <row r="265" spans="2:18" ht="15" customHeight="1" x14ac:dyDescent="0.25">
      <c r="B265" s="666"/>
      <c r="C265" s="679"/>
      <c r="D265" s="679"/>
      <c r="E265" s="679"/>
      <c r="F265" s="679"/>
      <c r="G265" s="679"/>
      <c r="H265" s="679"/>
      <c r="I265" s="679"/>
      <c r="J265" s="764"/>
      <c r="K265" s="668"/>
      <c r="L265" s="672"/>
      <c r="N265" s="632"/>
      <c r="O265" s="1721"/>
      <c r="P265" s="1722"/>
      <c r="Q265" s="1723"/>
      <c r="R265" s="634"/>
    </row>
    <row r="266" spans="2:18" ht="15" customHeight="1" x14ac:dyDescent="0.2">
      <c r="B266" s="666"/>
      <c r="C266" s="1815" t="s">
        <v>3094</v>
      </c>
      <c r="D266" s="1815"/>
      <c r="E266" s="1815"/>
      <c r="F266" s="1815"/>
      <c r="G266" s="1815"/>
      <c r="H266" s="1815"/>
      <c r="I266" s="1815"/>
      <c r="J266" s="1815"/>
      <c r="K266" s="1815"/>
      <c r="L266" s="672"/>
      <c r="N266" s="632"/>
      <c r="O266" s="1721"/>
      <c r="P266" s="1722"/>
      <c r="Q266" s="1723"/>
      <c r="R266" s="634"/>
    </row>
    <row r="267" spans="2:18" ht="15" customHeight="1" x14ac:dyDescent="0.2">
      <c r="B267" s="666"/>
      <c r="C267" s="1815"/>
      <c r="D267" s="1815"/>
      <c r="E267" s="1815"/>
      <c r="F267" s="1815"/>
      <c r="G267" s="1815"/>
      <c r="H267" s="1815"/>
      <c r="I267" s="1815"/>
      <c r="J267" s="1815"/>
      <c r="K267" s="1815"/>
      <c r="L267" s="672"/>
      <c r="N267" s="632"/>
      <c r="O267" s="1721"/>
      <c r="P267" s="1722"/>
      <c r="Q267" s="1723"/>
      <c r="R267" s="634"/>
    </row>
    <row r="268" spans="2:18" ht="15" customHeight="1" x14ac:dyDescent="0.2">
      <c r="B268" s="666"/>
      <c r="C268" s="1815"/>
      <c r="D268" s="1815"/>
      <c r="E268" s="1815"/>
      <c r="F268" s="1815"/>
      <c r="G268" s="1815"/>
      <c r="H268" s="1815"/>
      <c r="I268" s="1815"/>
      <c r="J268" s="1815"/>
      <c r="K268" s="1815"/>
      <c r="L268" s="672"/>
      <c r="N268" s="632"/>
      <c r="O268" s="1721"/>
      <c r="P268" s="1722"/>
      <c r="Q268" s="1723"/>
      <c r="R268" s="634"/>
    </row>
    <row r="269" spans="2:18" ht="15" customHeight="1" x14ac:dyDescent="0.2">
      <c r="B269" s="671"/>
      <c r="C269" s="669"/>
      <c r="D269" s="669"/>
      <c r="E269" s="669"/>
      <c r="F269" s="669"/>
      <c r="G269" s="669"/>
      <c r="H269" s="669"/>
      <c r="I269" s="669"/>
      <c r="J269" s="680"/>
      <c r="K269" s="680"/>
      <c r="L269" s="673"/>
      <c r="N269" s="632"/>
      <c r="O269" s="1721"/>
      <c r="P269" s="1722"/>
      <c r="Q269" s="1723"/>
      <c r="R269" s="634"/>
    </row>
    <row r="270" spans="2:18" ht="15" customHeight="1" x14ac:dyDescent="0.25">
      <c r="B270" s="619"/>
      <c r="C270" s="531"/>
      <c r="D270" s="8"/>
      <c r="E270" s="8"/>
      <c r="F270" s="9"/>
      <c r="G270" s="9"/>
      <c r="H270" s="7"/>
      <c r="I270" s="7"/>
      <c r="J270" s="7"/>
      <c r="K270" s="18"/>
      <c r="L270" s="622"/>
      <c r="N270" s="632"/>
      <c r="O270" s="1721"/>
      <c r="P270" s="1722"/>
      <c r="Q270" s="1723"/>
      <c r="R270" s="634"/>
    </row>
    <row r="271" spans="2:18" ht="15" customHeight="1" x14ac:dyDescent="0.2">
      <c r="B271" s="619"/>
      <c r="C271" s="1833" t="s">
        <v>2444</v>
      </c>
      <c r="D271" s="1833"/>
      <c r="E271" s="1833"/>
      <c r="F271" s="1834">
        <f>SUM(Revenue!$E$110:$F$116)</f>
        <v>0</v>
      </c>
      <c r="G271" s="1834"/>
      <c r="H271" s="1834"/>
      <c r="I271" s="641"/>
      <c r="J271" s="641"/>
      <c r="K271" s="641"/>
      <c r="L271" s="622"/>
      <c r="N271" s="632"/>
      <c r="O271" s="1721"/>
      <c r="P271" s="1722"/>
      <c r="Q271" s="1723"/>
      <c r="R271" s="634"/>
    </row>
    <row r="272" spans="2:18" ht="15" customHeight="1" x14ac:dyDescent="0.2">
      <c r="B272" s="619"/>
      <c r="C272" s="1833" t="s">
        <v>2687</v>
      </c>
      <c r="D272" s="1833"/>
      <c r="E272" s="1833"/>
      <c r="F272" s="1835">
        <f>LIHTCs!$F$33</f>
        <v>0</v>
      </c>
      <c r="G272" s="1835"/>
      <c r="H272" s="1835"/>
      <c r="I272" s="642"/>
      <c r="J272" s="642"/>
      <c r="K272" s="641"/>
      <c r="L272" s="622"/>
      <c r="N272" s="632"/>
      <c r="O272" s="1721"/>
      <c r="P272" s="1722"/>
      <c r="Q272" s="1723"/>
      <c r="R272" s="634"/>
    </row>
    <row r="273" spans="2:18" ht="15" customHeight="1" x14ac:dyDescent="0.2">
      <c r="B273" s="619"/>
      <c r="C273" s="1833" t="s">
        <v>2688</v>
      </c>
      <c r="D273" s="1833"/>
      <c r="E273" s="1833"/>
      <c r="F273" s="1835">
        <f>IF(F271=0,0,F272/F271)</f>
        <v>0</v>
      </c>
      <c r="G273" s="1835"/>
      <c r="H273" s="1835"/>
      <c r="I273" s="642"/>
      <c r="J273" s="642"/>
      <c r="K273" s="641"/>
      <c r="L273" s="622"/>
      <c r="N273" s="632"/>
      <c r="O273" s="1721"/>
      <c r="P273" s="1722"/>
      <c r="Q273" s="1723"/>
      <c r="R273" s="634"/>
    </row>
    <row r="274" spans="2:18" ht="15" customHeight="1" x14ac:dyDescent="0.2">
      <c r="B274" s="619"/>
      <c r="C274" s="1315" t="s">
        <v>3095</v>
      </c>
      <c r="D274" s="1315"/>
      <c r="E274" s="1315"/>
      <c r="F274" s="1836">
        <f>MAX(0,MIN(25,((48252-F273)/20317)*25))</f>
        <v>25</v>
      </c>
      <c r="G274" s="1836"/>
      <c r="H274" s="1836"/>
      <c r="I274" s="642"/>
      <c r="J274" s="642"/>
      <c r="K274" s="641"/>
      <c r="L274" s="622"/>
      <c r="N274" s="632"/>
      <c r="O274" s="1724"/>
      <c r="P274" s="1725"/>
      <c r="Q274" s="1726"/>
      <c r="R274" s="634"/>
    </row>
    <row r="275" spans="2:18" ht="15" customHeight="1" x14ac:dyDescent="0.25">
      <c r="B275" s="624"/>
      <c r="C275" s="636"/>
      <c r="D275" s="637"/>
      <c r="E275" s="637"/>
      <c r="F275" s="637"/>
      <c r="G275" s="637"/>
      <c r="H275" s="637"/>
      <c r="I275" s="637"/>
      <c r="J275" s="637"/>
      <c r="K275" s="637"/>
      <c r="L275" s="627"/>
      <c r="N275" s="638"/>
      <c r="O275" s="639"/>
      <c r="P275" s="639"/>
      <c r="Q275" s="936"/>
      <c r="R275" s="640"/>
    </row>
    <row r="276" spans="2:18" ht="15" customHeight="1" x14ac:dyDescent="0.25">
      <c r="C276" s="531"/>
      <c r="D276" s="8"/>
      <c r="E276" s="8"/>
      <c r="F276" s="8"/>
      <c r="G276" s="8"/>
      <c r="H276" s="8"/>
      <c r="I276" s="8"/>
      <c r="J276" s="8"/>
      <c r="K276" s="8"/>
    </row>
    <row r="277" spans="2:18" ht="15" customHeight="1" x14ac:dyDescent="0.25">
      <c r="B277" s="661"/>
      <c r="C277" s="662"/>
      <c r="D277" s="663"/>
      <c r="E277" s="663"/>
      <c r="F277" s="751"/>
      <c r="G277" s="663"/>
      <c r="H277" s="663"/>
      <c r="I277" s="663"/>
      <c r="J277" s="663"/>
      <c r="K277" s="664"/>
      <c r="L277" s="665"/>
      <c r="N277" s="629"/>
      <c r="O277" s="630"/>
      <c r="P277" s="630"/>
      <c r="Q277" s="935"/>
      <c r="R277" s="631"/>
    </row>
    <row r="278" spans="2:18" ht="15" customHeight="1" x14ac:dyDescent="0.2">
      <c r="B278" s="666"/>
      <c r="C278" s="1804" t="s">
        <v>2437</v>
      </c>
      <c r="D278" s="1804"/>
      <c r="E278" s="1804"/>
      <c r="F278" s="681"/>
      <c r="G278" s="681"/>
      <c r="H278" s="681"/>
      <c r="I278" s="1842"/>
      <c r="J278" s="1842"/>
      <c r="K278" s="682"/>
      <c r="L278" s="672"/>
      <c r="N278" s="632"/>
      <c r="O278" s="1837" t="s">
        <v>3101</v>
      </c>
      <c r="P278" s="1837"/>
      <c r="Q278" s="943"/>
      <c r="R278" s="634"/>
    </row>
    <row r="279" spans="2:18" ht="15" customHeight="1" x14ac:dyDescent="0.25">
      <c r="B279" s="666"/>
      <c r="C279" s="683"/>
      <c r="D279" s="681"/>
      <c r="E279" s="681"/>
      <c r="F279" s="681"/>
      <c r="G279" s="681"/>
      <c r="H279" s="681"/>
      <c r="I279" s="681"/>
      <c r="J279" s="676"/>
      <c r="K279" s="668"/>
      <c r="L279" s="672"/>
      <c r="N279" s="632"/>
      <c r="O279" s="1837" t="s">
        <v>2662</v>
      </c>
      <c r="P279" s="1837"/>
      <c r="Q279" s="944"/>
      <c r="R279" s="634"/>
    </row>
    <row r="280" spans="2:18" ht="15" customHeight="1" x14ac:dyDescent="0.25">
      <c r="B280" s="666"/>
      <c r="C280" s="1806" t="s">
        <v>2445</v>
      </c>
      <c r="D280" s="1806"/>
      <c r="E280" s="1806"/>
      <c r="F280" s="1806"/>
      <c r="G280" s="1806"/>
      <c r="H280" s="1806"/>
      <c r="I280" s="1806"/>
      <c r="J280" s="676"/>
      <c r="K280" s="668"/>
      <c r="L280" s="672"/>
      <c r="N280" s="632"/>
      <c r="O280" s="1837" t="s">
        <v>3102</v>
      </c>
      <c r="P280" s="1837"/>
      <c r="Q280" s="945"/>
      <c r="R280" s="634"/>
    </row>
    <row r="281" spans="2:18" ht="15" customHeight="1" x14ac:dyDescent="0.25">
      <c r="B281" s="666"/>
      <c r="C281" s="1806"/>
      <c r="D281" s="1806"/>
      <c r="E281" s="1806"/>
      <c r="F281" s="1806"/>
      <c r="G281" s="1806"/>
      <c r="H281" s="1806"/>
      <c r="I281" s="1806"/>
      <c r="J281" s="676"/>
      <c r="K281" s="668"/>
      <c r="L281" s="672"/>
      <c r="N281" s="632"/>
      <c r="O281" s="1837" t="s">
        <v>3092</v>
      </c>
      <c r="P281" s="1837"/>
      <c r="Q281" s="945"/>
      <c r="R281" s="634"/>
    </row>
    <row r="282" spans="2:18" ht="15" customHeight="1" x14ac:dyDescent="0.25">
      <c r="B282" s="671"/>
      <c r="C282" s="684"/>
      <c r="D282" s="684"/>
      <c r="E282" s="684"/>
      <c r="F282" s="684"/>
      <c r="G282" s="684"/>
      <c r="H282" s="684"/>
      <c r="I282" s="684"/>
      <c r="J282" s="677"/>
      <c r="K282" s="670"/>
      <c r="L282" s="673"/>
      <c r="N282" s="632"/>
      <c r="O282" s="1838" t="s">
        <v>3434</v>
      </c>
      <c r="P282" s="1838"/>
      <c r="Q282" s="945"/>
      <c r="R282" s="634"/>
    </row>
    <row r="283" spans="2:18" ht="15" customHeight="1" x14ac:dyDescent="0.25">
      <c r="B283" s="619"/>
      <c r="C283" s="635"/>
      <c r="D283" s="635"/>
      <c r="E283" s="635"/>
      <c r="F283" s="635"/>
      <c r="G283" s="635"/>
      <c r="H283" s="635"/>
      <c r="I283" s="635"/>
      <c r="J283" s="8"/>
      <c r="L283" s="622"/>
      <c r="N283" s="632"/>
      <c r="O283" s="1839" t="s">
        <v>3103</v>
      </c>
      <c r="P283" s="1839"/>
      <c r="Q283" s="946"/>
      <c r="R283" s="634"/>
    </row>
    <row r="284" spans="2:18" ht="15" customHeight="1" x14ac:dyDescent="0.2">
      <c r="B284" s="619"/>
      <c r="C284" s="1269" t="s">
        <v>3096</v>
      </c>
      <c r="D284" s="1594" t="s">
        <v>3097</v>
      </c>
      <c r="E284" s="1840"/>
      <c r="F284" s="1840"/>
      <c r="G284" s="1840"/>
      <c r="H284" s="1595"/>
      <c r="I284" s="1269" t="s">
        <v>3098</v>
      </c>
      <c r="J284" s="740"/>
      <c r="K284" s="741"/>
      <c r="L284" s="643"/>
      <c r="N284" s="632"/>
      <c r="O284" s="1839" t="s">
        <v>3080</v>
      </c>
      <c r="P284" s="1839"/>
      <c r="Q284" s="947"/>
      <c r="R284" s="634"/>
    </row>
    <row r="285" spans="2:18" ht="15" customHeight="1" x14ac:dyDescent="0.2">
      <c r="B285" s="619"/>
      <c r="C285" s="1270"/>
      <c r="D285" s="1596"/>
      <c r="E285" s="1841"/>
      <c r="F285" s="1841"/>
      <c r="G285" s="1841"/>
      <c r="H285" s="1597"/>
      <c r="I285" s="1270"/>
      <c r="J285" s="740"/>
      <c r="K285" s="741"/>
      <c r="L285" s="643"/>
      <c r="N285" s="632"/>
      <c r="O285" s="913"/>
      <c r="P285" s="913"/>
      <c r="Q285" s="937"/>
      <c r="R285" s="634"/>
    </row>
    <row r="286" spans="2:18" ht="15" customHeight="1" x14ac:dyDescent="0.2">
      <c r="B286" s="619"/>
      <c r="C286" s="37">
        <v>1</v>
      </c>
      <c r="D286" s="1234" t="s">
        <v>3100</v>
      </c>
      <c r="E286" s="1234"/>
      <c r="F286" s="1234"/>
      <c r="G286" s="1234"/>
      <c r="H286" s="1234"/>
      <c r="I286" s="78" t="str">
        <f>IF(Details!$E$13="","Enter Census Tract",VLOOKUP(Details!$E$13,Data!$B$11:$K$3178,10,FALSE))</f>
        <v>Enter Census Tract</v>
      </c>
      <c r="J286" s="740"/>
      <c r="K286" s="741"/>
      <c r="L286" s="643"/>
      <c r="N286" s="632"/>
      <c r="O286" s="1839" t="s">
        <v>2443</v>
      </c>
      <c r="P286" s="1839"/>
      <c r="Q286" s="1839"/>
      <c r="R286" s="634"/>
    </row>
    <row r="287" spans="2:18" ht="15" customHeight="1" x14ac:dyDescent="0.2">
      <c r="B287" s="619"/>
      <c r="C287" s="37">
        <v>2</v>
      </c>
      <c r="D287" s="1234" t="s">
        <v>3075</v>
      </c>
      <c r="E287" s="1234"/>
      <c r="F287" s="1234"/>
      <c r="G287" s="1234"/>
      <c r="H287" s="1234"/>
      <c r="I287" s="78">
        <f>SUM(Revenue!$E$110:$F$116)</f>
        <v>0</v>
      </c>
      <c r="J287" s="740"/>
      <c r="K287" s="741"/>
      <c r="L287" s="643"/>
      <c r="N287" s="632"/>
      <c r="O287" s="1839"/>
      <c r="P287" s="1839"/>
      <c r="Q287" s="1839"/>
      <c r="R287" s="634"/>
    </row>
    <row r="288" spans="2:18" ht="15" customHeight="1" x14ac:dyDescent="0.2">
      <c r="B288" s="619"/>
      <c r="C288" s="37">
        <v>3</v>
      </c>
      <c r="D288" s="1234" t="s">
        <v>3076</v>
      </c>
      <c r="E288" s="1234"/>
      <c r="F288" s="1234"/>
      <c r="G288" s="1234"/>
      <c r="H288" s="1234"/>
      <c r="I288" s="893" t="str">
        <f>IF(Details!$E$13="","Input Census Tract",VLOOKUP(Details!$E$13,Data!$B$14:$AH$3178,9,FALSE))</f>
        <v>Input Census Tract</v>
      </c>
      <c r="J288" s="740"/>
      <c r="K288" s="741"/>
      <c r="L288" s="643"/>
      <c r="N288" s="632"/>
      <c r="O288" s="1843"/>
      <c r="P288" s="1844"/>
      <c r="Q288" s="1845"/>
      <c r="R288" s="634"/>
    </row>
    <row r="289" spans="2:22" ht="15" customHeight="1" x14ac:dyDescent="0.2">
      <c r="B289" s="619"/>
      <c r="C289" s="37">
        <v>4</v>
      </c>
      <c r="D289" s="1234" t="s">
        <v>3077</v>
      </c>
      <c r="E289" s="1234"/>
      <c r="F289" s="1234"/>
      <c r="G289" s="1234"/>
      <c r="H289" s="1234"/>
      <c r="I289" s="893" t="str">
        <f>IF(Details!$E$13="","Input Census Tract",VLOOKUP(Details!$E$13,Data!$B$14:$AH$3178,8,FALSE))</f>
        <v>Input Census Tract</v>
      </c>
      <c r="J289" s="740"/>
      <c r="K289" s="741"/>
      <c r="L289" s="643"/>
      <c r="N289" s="632"/>
      <c r="O289" s="1846"/>
      <c r="P289" s="1847"/>
      <c r="Q289" s="1848"/>
      <c r="R289" s="634"/>
    </row>
    <row r="290" spans="2:22" ht="15" customHeight="1" x14ac:dyDescent="0.2">
      <c r="B290" s="619"/>
      <c r="C290" s="37">
        <v>5</v>
      </c>
      <c r="D290" s="1234" t="s">
        <v>3078</v>
      </c>
      <c r="E290" s="1234"/>
      <c r="F290" s="1234"/>
      <c r="G290" s="1234"/>
      <c r="H290" s="1234"/>
      <c r="I290" s="893" t="str">
        <f>IF(Details!$E$13="","Input Census Tract",VLOOKUP(Details!$E$13,Data!$B$14:$AH$3178,7,FALSE))</f>
        <v>Input Census Tract</v>
      </c>
      <c r="J290" s="740"/>
      <c r="K290" s="741"/>
      <c r="L290" s="643"/>
      <c r="N290" s="632"/>
      <c r="O290" s="1846"/>
      <c r="P290" s="1847"/>
      <c r="Q290" s="1848"/>
      <c r="R290" s="634"/>
    </row>
    <row r="291" spans="2:22" ht="15" customHeight="1" x14ac:dyDescent="0.2">
      <c r="B291" s="619"/>
      <c r="C291" s="37">
        <v>6</v>
      </c>
      <c r="D291" s="1234" t="s">
        <v>3099</v>
      </c>
      <c r="E291" s="1234"/>
      <c r="F291" s="1234"/>
      <c r="G291" s="1234"/>
      <c r="H291" s="1234"/>
      <c r="I291" s="188">
        <f>IF(Revenue!$E$119=0,0,SUM(Revenue!$E$110:$F$111)/Revenue!$E$119)</f>
        <v>0</v>
      </c>
      <c r="J291" s="740"/>
      <c r="K291" s="741"/>
      <c r="L291" s="643"/>
      <c r="N291" s="632"/>
      <c r="O291" s="1846"/>
      <c r="P291" s="1847"/>
      <c r="Q291" s="1848"/>
      <c r="R291" s="634"/>
    </row>
    <row r="292" spans="2:22" ht="15" customHeight="1" x14ac:dyDescent="0.2">
      <c r="B292" s="619"/>
      <c r="C292" s="910">
        <v>7</v>
      </c>
      <c r="D292" s="1234" t="s">
        <v>3080</v>
      </c>
      <c r="E292" s="1234"/>
      <c r="F292" s="1234"/>
      <c r="G292" s="1234"/>
      <c r="H292" s="1234"/>
      <c r="I292" s="985"/>
      <c r="J292" s="740"/>
      <c r="K292" s="741"/>
      <c r="L292" s="643"/>
      <c r="N292" s="632"/>
      <c r="O292" s="1849"/>
      <c r="P292" s="1850"/>
      <c r="Q292" s="1851"/>
      <c r="R292" s="634"/>
    </row>
    <row r="293" spans="2:22" ht="15" customHeight="1" x14ac:dyDescent="0.2">
      <c r="B293" s="624"/>
      <c r="C293" s="595"/>
      <c r="D293" s="644"/>
      <c r="E293" s="645"/>
      <c r="F293" s="645"/>
      <c r="G293" s="645"/>
      <c r="H293" s="646"/>
      <c r="I293" s="647"/>
      <c r="J293" s="647"/>
      <c r="K293" s="647"/>
      <c r="L293" s="627"/>
      <c r="N293" s="638"/>
      <c r="O293" s="639"/>
      <c r="P293" s="648"/>
      <c r="Q293" s="938"/>
      <c r="R293" s="649"/>
      <c r="S293" s="101"/>
      <c r="T293" s="101"/>
      <c r="U293" s="101"/>
      <c r="V293" s="101"/>
    </row>
    <row r="294" spans="2:22" ht="15" customHeight="1" x14ac:dyDescent="0.2"/>
  </sheetData>
  <sheetProtection algorithmName="SHA-512" hashValue="cF1y30DsS6MgS+4pMraru0KgKBi5B7ivcb8B1239nPGZmDAnFVlYR4aJ4yEvPPl/cSS8D8qxVHD1VJzARPrdRQ==" saltValue="oxHvPHrdzIk8Ne+fpyGkxQ==" spinCount="100000" sheet="1" objects="1" scenarios="1"/>
  <dataConsolidate/>
  <mergeCells count="271">
    <mergeCell ref="O140:P140"/>
    <mergeCell ref="O141:P141"/>
    <mergeCell ref="C143:K143"/>
    <mergeCell ref="C144:K144"/>
    <mergeCell ref="C145:K145"/>
    <mergeCell ref="C146:K146"/>
    <mergeCell ref="C147:K147"/>
    <mergeCell ref="C149:K149"/>
    <mergeCell ref="C150:K150"/>
    <mergeCell ref="O142:P142"/>
    <mergeCell ref="O146:Q186"/>
    <mergeCell ref="D170:K170"/>
    <mergeCell ref="D171:K187"/>
    <mergeCell ref="C137:K137"/>
    <mergeCell ref="C139:K141"/>
    <mergeCell ref="C151:K151"/>
    <mergeCell ref="C152:K152"/>
    <mergeCell ref="C154:K155"/>
    <mergeCell ref="C157:H157"/>
    <mergeCell ref="C159:H159"/>
    <mergeCell ref="C239:E239"/>
    <mergeCell ref="I239:J239"/>
    <mergeCell ref="F198:H198"/>
    <mergeCell ref="C232:E232"/>
    <mergeCell ref="C202:E202"/>
    <mergeCell ref="F202:H202"/>
    <mergeCell ref="C199:E199"/>
    <mergeCell ref="F199:H199"/>
    <mergeCell ref="B214:L214"/>
    <mergeCell ref="C164:H164"/>
    <mergeCell ref="C158:H158"/>
    <mergeCell ref="J159:K161"/>
    <mergeCell ref="C165:H165"/>
    <mergeCell ref="D167:K167"/>
    <mergeCell ref="D168:I168"/>
    <mergeCell ref="C273:E273"/>
    <mergeCell ref="B190:J190"/>
    <mergeCell ref="B191:L191"/>
    <mergeCell ref="I194:J194"/>
    <mergeCell ref="C194:E194"/>
    <mergeCell ref="C200:E200"/>
    <mergeCell ref="F200:H200"/>
    <mergeCell ref="C233:E233"/>
    <mergeCell ref="O287:Q287"/>
    <mergeCell ref="O286:Q286"/>
    <mergeCell ref="F274:H274"/>
    <mergeCell ref="C271:E271"/>
    <mergeCell ref="C272:E272"/>
    <mergeCell ref="O262:Q274"/>
    <mergeCell ref="C251:E251"/>
    <mergeCell ref="F251:I251"/>
    <mergeCell ref="C252:E252"/>
    <mergeCell ref="F252:I252"/>
    <mergeCell ref="I284:I285"/>
    <mergeCell ref="O280:P280"/>
    <mergeCell ref="O282:P282"/>
    <mergeCell ref="O283:P283"/>
    <mergeCell ref="O284:P284"/>
    <mergeCell ref="C198:E198"/>
    <mergeCell ref="N35:R35"/>
    <mergeCell ref="B36:L36"/>
    <mergeCell ref="N36:R36"/>
    <mergeCell ref="C38:K38"/>
    <mergeCell ref="C40:K42"/>
    <mergeCell ref="C43:K43"/>
    <mergeCell ref="C54:K54"/>
    <mergeCell ref="C48:D48"/>
    <mergeCell ref="C46:D46"/>
    <mergeCell ref="C47:D47"/>
    <mergeCell ref="C49:D49"/>
    <mergeCell ref="O39:P39"/>
    <mergeCell ref="O40:P40"/>
    <mergeCell ref="O43:Q50"/>
    <mergeCell ref="E46:H46"/>
    <mergeCell ref="E47:H47"/>
    <mergeCell ref="E48:H48"/>
    <mergeCell ref="E49:H49"/>
    <mergeCell ref="E50:H50"/>
    <mergeCell ref="O55:P55"/>
    <mergeCell ref="O56:P56"/>
    <mergeCell ref="O59:Q86"/>
    <mergeCell ref="C56:K61"/>
    <mergeCell ref="C63:K63"/>
    <mergeCell ref="C67:K67"/>
    <mergeCell ref="C64:K65"/>
    <mergeCell ref="C69:K73"/>
    <mergeCell ref="C247:K248"/>
    <mergeCell ref="C243:K246"/>
    <mergeCell ref="O58:Q58"/>
    <mergeCell ref="C160:H160"/>
    <mergeCell ref="C161:H161"/>
    <mergeCell ref="C162:H162"/>
    <mergeCell ref="C109:K109"/>
    <mergeCell ref="C234:E234"/>
    <mergeCell ref="C235:E235"/>
    <mergeCell ref="F206:H206"/>
    <mergeCell ref="F207:H207"/>
    <mergeCell ref="F208:H208"/>
    <mergeCell ref="C196:E196"/>
    <mergeCell ref="F196:H196"/>
    <mergeCell ref="C197:E197"/>
    <mergeCell ref="F197:H197"/>
    <mergeCell ref="B13:C13"/>
    <mergeCell ref="D13:E13"/>
    <mergeCell ref="H13:I13"/>
    <mergeCell ref="J13:L13"/>
    <mergeCell ref="B16:C16"/>
    <mergeCell ref="D16:E16"/>
    <mergeCell ref="H16:I16"/>
    <mergeCell ref="J16:L16"/>
    <mergeCell ref="B2:G2"/>
    <mergeCell ref="H2:L2"/>
    <mergeCell ref="B3:G3"/>
    <mergeCell ref="H3:L3"/>
    <mergeCell ref="B6:J6"/>
    <mergeCell ref="B7:L7"/>
    <mergeCell ref="B10:E10"/>
    <mergeCell ref="H10:J10"/>
    <mergeCell ref="B11:E11"/>
    <mergeCell ref="H11:L11"/>
    <mergeCell ref="B17:C17"/>
    <mergeCell ref="D17:E17"/>
    <mergeCell ref="H17:I17"/>
    <mergeCell ref="J17:L17"/>
    <mergeCell ref="B14:C14"/>
    <mergeCell ref="D14:E14"/>
    <mergeCell ref="H14:I14"/>
    <mergeCell ref="J14:L14"/>
    <mergeCell ref="B15:C15"/>
    <mergeCell ref="D15:E15"/>
    <mergeCell ref="H15:I15"/>
    <mergeCell ref="J15:L15"/>
    <mergeCell ref="B21:C21"/>
    <mergeCell ref="D21:E21"/>
    <mergeCell ref="J21:L21"/>
    <mergeCell ref="B22:C22"/>
    <mergeCell ref="D22:E22"/>
    <mergeCell ref="B18:C18"/>
    <mergeCell ref="D18:E18"/>
    <mergeCell ref="H18:I18"/>
    <mergeCell ref="J18:L18"/>
    <mergeCell ref="B19:C19"/>
    <mergeCell ref="D19:E19"/>
    <mergeCell ref="J19:L19"/>
    <mergeCell ref="H19:I19"/>
    <mergeCell ref="J22:L22"/>
    <mergeCell ref="B20:C20"/>
    <mergeCell ref="D20:E20"/>
    <mergeCell ref="J20:L20"/>
    <mergeCell ref="B26:E26"/>
    <mergeCell ref="H26:L26"/>
    <mergeCell ref="B28:C28"/>
    <mergeCell ref="H28:I28"/>
    <mergeCell ref="B29:C29"/>
    <mergeCell ref="B30:C30"/>
    <mergeCell ref="B23:C23"/>
    <mergeCell ref="H23:I23"/>
    <mergeCell ref="J23:L23"/>
    <mergeCell ref="B25:E25"/>
    <mergeCell ref="H25:J25"/>
    <mergeCell ref="H29:I29"/>
    <mergeCell ref="H30:I30"/>
    <mergeCell ref="B31:C31"/>
    <mergeCell ref="B90:J90"/>
    <mergeCell ref="B91:L91"/>
    <mergeCell ref="C95:K96"/>
    <mergeCell ref="H31:I31"/>
    <mergeCell ref="H32:I32"/>
    <mergeCell ref="C75:I75"/>
    <mergeCell ref="C76:I76"/>
    <mergeCell ref="H80:J80"/>
    <mergeCell ref="C80:G80"/>
    <mergeCell ref="C82:I82"/>
    <mergeCell ref="C83:I83"/>
    <mergeCell ref="C50:D50"/>
    <mergeCell ref="C66:K66"/>
    <mergeCell ref="C52:D52"/>
    <mergeCell ref="B35:J35"/>
    <mergeCell ref="C93:I93"/>
    <mergeCell ref="N215:O215"/>
    <mergeCell ref="C217:H217"/>
    <mergeCell ref="I217:J217"/>
    <mergeCell ref="O217:P217"/>
    <mergeCell ref="C203:E203"/>
    <mergeCell ref="F203:H203"/>
    <mergeCell ref="C204:E204"/>
    <mergeCell ref="F204:H204"/>
    <mergeCell ref="B213:L213"/>
    <mergeCell ref="N213:R213"/>
    <mergeCell ref="C209:E209"/>
    <mergeCell ref="F209:H209"/>
    <mergeCell ref="C205:E205"/>
    <mergeCell ref="C206:E206"/>
    <mergeCell ref="C207:E207"/>
    <mergeCell ref="C208:E208"/>
    <mergeCell ref="F205:H205"/>
    <mergeCell ref="D292:H292"/>
    <mergeCell ref="C258:H258"/>
    <mergeCell ref="C266:K268"/>
    <mergeCell ref="F273:H273"/>
    <mergeCell ref="C278:E278"/>
    <mergeCell ref="I278:J278"/>
    <mergeCell ref="O278:P278"/>
    <mergeCell ref="O279:P279"/>
    <mergeCell ref="C280:I281"/>
    <mergeCell ref="O281:P281"/>
    <mergeCell ref="I258:J258"/>
    <mergeCell ref="O258:P258"/>
    <mergeCell ref="I259:J259"/>
    <mergeCell ref="C262:K264"/>
    <mergeCell ref="F271:H271"/>
    <mergeCell ref="C274:E274"/>
    <mergeCell ref="D286:H286"/>
    <mergeCell ref="D287:H287"/>
    <mergeCell ref="D288:H288"/>
    <mergeCell ref="D289:H289"/>
    <mergeCell ref="D290:H290"/>
    <mergeCell ref="C284:C285"/>
    <mergeCell ref="D284:H285"/>
    <mergeCell ref="O288:Q292"/>
    <mergeCell ref="I1:L1"/>
    <mergeCell ref="O97:P97"/>
    <mergeCell ref="O96:P96"/>
    <mergeCell ref="N90:R90"/>
    <mergeCell ref="N91:R91"/>
    <mergeCell ref="H12:I12"/>
    <mergeCell ref="F272:H272"/>
    <mergeCell ref="D291:H291"/>
    <mergeCell ref="O239:P239"/>
    <mergeCell ref="C253:E253"/>
    <mergeCell ref="F253:I253"/>
    <mergeCell ref="C254:E254"/>
    <mergeCell ref="F254:I254"/>
    <mergeCell ref="O243:Q254"/>
    <mergeCell ref="I240:J240"/>
    <mergeCell ref="I218:J218"/>
    <mergeCell ref="C227:K229"/>
    <mergeCell ref="C221:K225"/>
    <mergeCell ref="O221:Q235"/>
    <mergeCell ref="F232:I232"/>
    <mergeCell ref="F233:I233"/>
    <mergeCell ref="F234:I234"/>
    <mergeCell ref="F235:I235"/>
    <mergeCell ref="N214:R214"/>
    <mergeCell ref="C98:H98"/>
    <mergeCell ref="C99:H99"/>
    <mergeCell ref="C100:H100"/>
    <mergeCell ref="C101:H101"/>
    <mergeCell ref="I101:K101"/>
    <mergeCell ref="O101:Q105"/>
    <mergeCell ref="C102:H102"/>
    <mergeCell ref="C104:H104"/>
    <mergeCell ref="C105:H105"/>
    <mergeCell ref="C134:I134"/>
    <mergeCell ref="C119:I119"/>
    <mergeCell ref="O112:P112"/>
    <mergeCell ref="O113:P113"/>
    <mergeCell ref="C125:I125"/>
    <mergeCell ref="C126:I126"/>
    <mergeCell ref="C127:I127"/>
    <mergeCell ref="C128:I128"/>
    <mergeCell ref="C129:I129"/>
    <mergeCell ref="C131:I131"/>
    <mergeCell ref="C133:I133"/>
    <mergeCell ref="C120:I120"/>
    <mergeCell ref="C121:I121"/>
    <mergeCell ref="C122:I122"/>
    <mergeCell ref="C123:I123"/>
    <mergeCell ref="C124:I124"/>
    <mergeCell ref="C111:K117"/>
    <mergeCell ref="O117:Q133"/>
  </mergeCells>
  <phoneticPr fontId="30" type="noConversion"/>
  <conditionalFormatting sqref="D30">
    <cfRule type="expression" dxfId="91" priority="25">
      <formula>$D$30&lt;$E$30</formula>
    </cfRule>
    <cfRule type="expression" dxfId="90" priority="26">
      <formula>$D$30&gt;$E$30</formula>
    </cfRule>
  </conditionalFormatting>
  <conditionalFormatting sqref="D31">
    <cfRule type="expression" dxfId="89" priority="23">
      <formula>$D$31&lt;$E$31</formula>
    </cfRule>
    <cfRule type="expression" dxfId="88" priority="24">
      <formula>$D$31&gt;$E$31</formula>
    </cfRule>
  </conditionalFormatting>
  <conditionalFormatting sqref="E51">
    <cfRule type="expression" dxfId="87" priority="13">
      <formula>$E$51="No"</formula>
    </cfRule>
    <cfRule type="expression" dxfId="86" priority="14">
      <formula>$E$51="Yes"</formula>
    </cfRule>
  </conditionalFormatting>
  <conditionalFormatting sqref="J29">
    <cfRule type="expression" dxfId="85" priority="21">
      <formula>$J$29&lt;=$K$29</formula>
    </cfRule>
    <cfRule type="expression" dxfId="84" priority="22">
      <formula>$J$29&gt;$K$29</formula>
    </cfRule>
  </conditionalFormatting>
  <conditionalFormatting sqref="J30">
    <cfRule type="expression" dxfId="83" priority="19">
      <formula>$J$30&lt;=$K$30</formula>
    </cfRule>
    <cfRule type="expression" dxfId="82" priority="20">
      <formula>$J$30&gt;$K$30</formula>
    </cfRule>
  </conditionalFormatting>
  <conditionalFormatting sqref="J31">
    <cfRule type="expression" dxfId="81" priority="17">
      <formula>$J$31&lt;=$K$31</formula>
    </cfRule>
    <cfRule type="expression" dxfId="80" priority="18">
      <formula>$J$31&gt;$K$31</formula>
    </cfRule>
  </conditionalFormatting>
  <conditionalFormatting sqref="J32">
    <cfRule type="expression" dxfId="79" priority="15">
      <formula>$J$32&lt;=$K$32</formula>
    </cfRule>
    <cfRule type="expression" dxfId="78" priority="16">
      <formula>$J$32&gt;$K$32</formula>
    </cfRule>
  </conditionalFormatting>
  <conditionalFormatting sqref="K197:K200">
    <cfRule type="expression" dxfId="77" priority="34">
      <formula>$K197&lt;=0</formula>
    </cfRule>
    <cfRule type="expression" dxfId="76" priority="35">
      <formula>$K197&gt;0</formula>
    </cfRule>
  </conditionalFormatting>
  <conditionalFormatting sqref="Q39">
    <cfRule type="expression" dxfId="75" priority="11">
      <formula>$Q$39="No"</formula>
    </cfRule>
    <cfRule type="expression" dxfId="74" priority="12">
      <formula>$Q$39="Yes"</formula>
    </cfRule>
  </conditionalFormatting>
  <conditionalFormatting sqref="Q55">
    <cfRule type="expression" dxfId="73" priority="9">
      <formula>$Q$39="No"</formula>
    </cfRule>
    <cfRule type="expression" dxfId="72" priority="10">
      <formula>$Q$39="Yes"</formula>
    </cfRule>
  </conditionalFormatting>
  <conditionalFormatting sqref="Q97">
    <cfRule type="expression" dxfId="71" priority="1">
      <formula>$Q$39="No"</formula>
    </cfRule>
    <cfRule type="expression" dxfId="70" priority="2">
      <formula>$Q$39="Yes"</formula>
    </cfRule>
  </conditionalFormatting>
  <conditionalFormatting sqref="Q113">
    <cfRule type="expression" dxfId="69" priority="5">
      <formula>$Q$39="No"</formula>
    </cfRule>
    <cfRule type="expression" dxfId="68" priority="6">
      <formula>$Q$39="Yes"</formula>
    </cfRule>
  </conditionalFormatting>
  <conditionalFormatting sqref="Q141:Q142">
    <cfRule type="expression" dxfId="67" priority="3">
      <formula>$Q$39="No"</formula>
    </cfRule>
    <cfRule type="expression" dxfId="66" priority="4">
      <formula>$Q$39="Yes"</formula>
    </cfRule>
  </conditionalFormatting>
  <dataValidations count="7">
    <dataValidation type="list" allowBlank="1" showInputMessage="1" showErrorMessage="1" sqref="J75:J79 J134 J119:J121 I165:J165 J125:J131 J82:J87 I105 I98:I99" xr:uid="{268B8E9B-AEA4-407E-BD18-460B65205AD2}">
      <formula1>"Yes, No"</formula1>
    </dataValidation>
    <dataValidation type="list" allowBlank="1" showInputMessage="1" showErrorMessage="1" sqref="K278" xr:uid="{EFD60491-0CDA-46F1-B046-8F1F4449C6D1}">
      <formula1>"0,1,3,5"</formula1>
    </dataValidation>
    <dataValidation type="list" allowBlank="1" showInputMessage="1" showErrorMessage="1" sqref="J124 I159:I162 I102" xr:uid="{41B696E3-6C28-468C-8DCB-B60664BEE60A}">
      <formula1>"Yes, No, N/A"</formula1>
    </dataValidation>
    <dataValidation type="list" allowBlank="1" showInputMessage="1" showErrorMessage="1" sqref="H80:J80" xr:uid="{5ABDB7AC-D77E-4D93-9962-FD21CB2DE29F}">
      <formula1>"(a) CORES, (b) Professional Service Coordination Program, (c) Community Health Workers, (d) Area Agency on Aging"</formula1>
    </dataValidation>
    <dataValidation type="textLength" operator="lessThan" allowBlank="1" showInputMessage="1" showErrorMessage="1" sqref="D171:K187" xr:uid="{C166E272-A8FC-4DD4-8E24-1CA1028DCA5B}">
      <formula1>2401</formula1>
    </dataValidation>
    <dataValidation type="list" allowBlank="1" showInputMessage="1" showErrorMessage="1" sqref="Q39 Q55 Q113 Q97" xr:uid="{2794B8C6-36F4-4895-9ED5-5EF502852E8F}">
      <formula1>"Meets, Does Not Meet, N/A"</formula1>
    </dataValidation>
    <dataValidation type="list" allowBlank="1" showInputMessage="1" showErrorMessage="1" sqref="Q141:Q142" xr:uid="{5665E5B3-1096-4D0A-8384-146981C0F3BA}">
      <formula1>"TBD, Yes, No, N/A"</formula1>
    </dataValidation>
  </dataValidations>
  <pageMargins left="0.7" right="0.7" top="0.75" bottom="0.75" header="0.3" footer="0.3"/>
  <pageSetup scale="70" fitToHeight="0" orientation="portrait" r:id="rId1"/>
  <headerFooter>
    <oddFooter>&amp;L&amp;"-,Bold"&amp;9Funding Pool Workbook&amp;"-,Regular"
Affordable Housing Funding Application (AHFA)&amp;C&amp;9Ohio Housing Finance Agency&amp;R&amp;9Page &amp;P of &amp;N</oddFooter>
  </headerFooter>
  <rowBreaks count="5" manualBreakCount="5">
    <brk id="53" min="1" max="11" man="1"/>
    <brk id="89" min="1" max="11" man="1"/>
    <brk id="136" min="1" max="11" man="1"/>
    <brk id="189" min="1" max="11" man="1"/>
    <brk id="255" min="1" max="11"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A76E8-3866-47F4-A03F-8FA438D0007A}">
  <sheetPr>
    <tabColor rgb="FFC12637"/>
    <pageSetUpPr autoPageBreaks="0" fitToPage="1"/>
  </sheetPr>
  <dimension ref="A1:S283"/>
  <sheetViews>
    <sheetView showGridLines="0" zoomScale="85" zoomScaleNormal="85" zoomScaleSheetLayoutView="70" zoomScalePageLayoutView="85" workbookViewId="0">
      <selection activeCell="K161" sqref="K161"/>
    </sheetView>
  </sheetViews>
  <sheetFormatPr defaultColWidth="0" defaultRowHeight="15" customHeight="1" zeroHeight="1" outlineLevelCol="1" x14ac:dyDescent="0.2"/>
  <cols>
    <col min="1" max="1" width="1.625" style="1" customWidth="1"/>
    <col min="2" max="2" width="2.625" style="1" customWidth="1"/>
    <col min="3" max="5" width="15.625" style="1" customWidth="1"/>
    <col min="6" max="7" width="1.625" style="1" customWidth="1"/>
    <col min="8" max="11" width="15.625" style="1" customWidth="1"/>
    <col min="12" max="12" width="2.625" style="1" customWidth="1"/>
    <col min="13" max="13" width="1.625" style="1" customWidth="1"/>
    <col min="14" max="14" width="1.625" style="1" hidden="1" customWidth="1" outlineLevel="1"/>
    <col min="15" max="17" width="15.625" style="1" hidden="1" customWidth="1" outlineLevel="1"/>
    <col min="18" max="18" width="2.625" style="1" hidden="1" customWidth="1" outlineLevel="1"/>
    <col min="19" max="19" width="9" style="1" customWidth="1" collapsed="1"/>
    <col min="20" max="16384" width="9" style="1" hidden="1"/>
  </cols>
  <sheetData>
    <row r="1" spans="2:13" s="83" customFormat="1" ht="55.5" customHeight="1" x14ac:dyDescent="0.2">
      <c r="B1" s="1"/>
      <c r="C1" s="1"/>
      <c r="D1" s="1"/>
      <c r="E1" s="1"/>
      <c r="F1" s="1"/>
      <c r="G1" s="1"/>
      <c r="H1" s="1"/>
      <c r="I1" s="1755" t="str">
        <f>IF(LEFT(D18,23)&lt;&gt;"Preserved Affordability","This is not the correct scoring workbook based on your Funding Pool selection. Please navigate to the correct scoring workbook.","")</f>
        <v>This is not the correct scoring workbook based on your Funding Pool selection. Please navigate to the correct scoring workbook.</v>
      </c>
      <c r="J1" s="1755"/>
      <c r="K1" s="1755"/>
      <c r="L1" s="1755"/>
    </row>
    <row r="2" spans="2:13" s="83" customFormat="1" ht="25.5" customHeight="1" x14ac:dyDescent="0.2">
      <c r="B2" s="1211" t="s">
        <v>3035</v>
      </c>
      <c r="C2" s="1212"/>
      <c r="D2" s="1212"/>
      <c r="E2" s="1212"/>
      <c r="F2" s="1212"/>
      <c r="G2" s="1212"/>
      <c r="H2" s="1217" t="str">
        <f>CONCATENATE(IF(Instructions!$K$2="","",Instructions!$K$2)," ",IF(Details!$E$11="","",Details!$E$11))</f>
        <v>2026 9% LIHTC AHFA Proposal Application</v>
      </c>
      <c r="I2" s="1217"/>
      <c r="J2" s="1217"/>
      <c r="K2" s="1217"/>
      <c r="L2" s="1218"/>
    </row>
    <row r="3" spans="2:13" s="83" customFormat="1" ht="20.25" customHeight="1" x14ac:dyDescent="0.2">
      <c r="B3" s="1166" t="s">
        <v>2710</v>
      </c>
      <c r="C3" s="1167"/>
      <c r="D3" s="1167"/>
      <c r="E3" s="1167"/>
      <c r="F3" s="1167"/>
      <c r="G3" s="1167"/>
      <c r="H3" s="1304" t="str">
        <f>IF(Details!$E$12="","",CONCATENATE("Project Name: ",Details!$E$12))</f>
        <v/>
      </c>
      <c r="I3" s="1304"/>
      <c r="J3" s="1304"/>
      <c r="K3" s="1304"/>
      <c r="L3" s="1305"/>
    </row>
    <row r="4" spans="2:13" ht="15" customHeight="1" x14ac:dyDescent="0.2"/>
    <row r="5" spans="2:13" ht="5.0999999999999996" customHeight="1" x14ac:dyDescent="0.2"/>
    <row r="6" spans="2:13" ht="20.100000000000001" customHeight="1" x14ac:dyDescent="0.2">
      <c r="B6" s="1748" t="s">
        <v>2417</v>
      </c>
      <c r="C6" s="1748"/>
      <c r="D6" s="1748"/>
      <c r="E6" s="1748"/>
      <c r="F6" s="1748"/>
      <c r="G6" s="1748"/>
      <c r="H6" s="1748"/>
      <c r="I6" s="1748"/>
      <c r="J6" s="1748"/>
    </row>
    <row r="7" spans="2:13" ht="3" customHeight="1" x14ac:dyDescent="0.2">
      <c r="B7" s="1749"/>
      <c r="C7" s="1749"/>
      <c r="D7" s="1749"/>
      <c r="E7" s="1749"/>
      <c r="F7" s="1749"/>
      <c r="G7" s="1749"/>
      <c r="H7" s="1749"/>
      <c r="I7" s="1749"/>
      <c r="J7" s="1749"/>
      <c r="K7" s="1749"/>
      <c r="L7" s="1749"/>
    </row>
    <row r="8" spans="2:13" customFormat="1" ht="15" customHeight="1" x14ac:dyDescent="0.2">
      <c r="M8" s="1"/>
    </row>
    <row r="9" spans="2:13" ht="15" customHeight="1" x14ac:dyDescent="0.2"/>
    <row r="10" spans="2:13" ht="15" customHeight="1" x14ac:dyDescent="0.25">
      <c r="B10" s="1757" t="s">
        <v>296</v>
      </c>
      <c r="C10" s="1757"/>
      <c r="D10" s="1757"/>
      <c r="E10" s="1757"/>
      <c r="F10" s="8"/>
      <c r="G10" s="8"/>
      <c r="H10" s="1757" t="s">
        <v>297</v>
      </c>
      <c r="I10" s="1757"/>
      <c r="J10" s="1757"/>
    </row>
    <row r="11" spans="2:13" ht="3" customHeight="1" x14ac:dyDescent="0.25">
      <c r="B11" s="1758"/>
      <c r="C11" s="1758"/>
      <c r="D11" s="1758"/>
      <c r="E11" s="1758"/>
      <c r="F11" s="8"/>
      <c r="G11" s="8"/>
      <c r="H11" s="1758"/>
      <c r="I11" s="1758"/>
      <c r="J11" s="1758"/>
      <c r="K11" s="1758"/>
      <c r="L11" s="1758"/>
      <c r="M11" s="610"/>
    </row>
    <row r="12" spans="2:13" ht="5.0999999999999996" customHeight="1" x14ac:dyDescent="0.25">
      <c r="B12" s="611"/>
      <c r="C12" s="8"/>
      <c r="D12" s="8"/>
      <c r="E12" s="8"/>
      <c r="F12" s="8"/>
      <c r="G12" s="8"/>
      <c r="H12" s="1759"/>
      <c r="I12" s="1759"/>
      <c r="J12" s="8"/>
    </row>
    <row r="13" spans="2:13" ht="15" customHeight="1" x14ac:dyDescent="0.25">
      <c r="B13" s="1751" t="s">
        <v>298</v>
      </c>
      <c r="C13" s="1751"/>
      <c r="D13" s="1752" t="str">
        <f>IF(Details!$E$12="","Untitled Project",Details!$E$12)</f>
        <v>Untitled Project</v>
      </c>
      <c r="E13" s="1752"/>
      <c r="F13" s="8"/>
      <c r="G13" s="8"/>
      <c r="H13" s="1661" t="s">
        <v>2418</v>
      </c>
      <c r="I13" s="1662"/>
      <c r="J13" s="1752" t="str">
        <f>IF(Team!$E$12="","",Team!$E$12)</f>
        <v/>
      </c>
      <c r="K13" s="1752"/>
      <c r="L13" s="1752"/>
      <c r="M13" s="531"/>
    </row>
    <row r="14" spans="2:13" ht="15" customHeight="1" x14ac:dyDescent="0.25">
      <c r="B14" s="1751" t="s">
        <v>2419</v>
      </c>
      <c r="C14" s="1751"/>
      <c r="D14" s="1756" t="str">
        <f>IF(OR(LIHTCs!G27=0.09,LIHTCs!H27=0.09),"9% LIHTC","4% LIHTC")</f>
        <v>9% LIHTC</v>
      </c>
      <c r="E14" s="1756"/>
      <c r="F14" s="8"/>
      <c r="G14" s="8"/>
      <c r="H14" s="1661" t="s">
        <v>2420</v>
      </c>
      <c r="I14" s="1662"/>
      <c r="J14" s="1752" t="str">
        <f>IF(OR(Team!$E$56="No",Team!$E$56=""),"N/A",Team!$E$61)</f>
        <v>N/A</v>
      </c>
      <c r="K14" s="1752"/>
      <c r="L14" s="1752"/>
      <c r="M14" s="531"/>
    </row>
    <row r="15" spans="2:13" ht="15" customHeight="1" x14ac:dyDescent="0.25">
      <c r="B15" s="1751" t="s">
        <v>299</v>
      </c>
      <c r="C15" s="1751"/>
      <c r="D15" s="1752" t="str">
        <f>IF(Details!$E$14="","",Details!$E$14)</f>
        <v/>
      </c>
      <c r="E15" s="1752"/>
      <c r="F15" s="8"/>
      <c r="G15" s="8"/>
      <c r="H15" s="1661" t="s">
        <v>2421</v>
      </c>
      <c r="I15" s="1662"/>
      <c r="J15" s="1752" t="str">
        <f>IF(OR(Team!$E$105="No",Team!$E$105=""),"N/A",Team!$E$110)</f>
        <v>N/A</v>
      </c>
      <c r="K15" s="1752"/>
      <c r="L15" s="1752"/>
      <c r="M15" s="531"/>
    </row>
    <row r="16" spans="2:13" ht="15" customHeight="1" x14ac:dyDescent="0.25">
      <c r="B16" s="1751" t="s">
        <v>540</v>
      </c>
      <c r="C16" s="1751"/>
      <c r="D16" s="1752" t="str">
        <f>IF(Details!$E$15="","",Details!$E$15)</f>
        <v/>
      </c>
      <c r="E16" s="1752"/>
      <c r="F16" s="8"/>
      <c r="G16" s="8"/>
      <c r="H16" s="1661" t="s">
        <v>2422</v>
      </c>
      <c r="I16" s="1662"/>
      <c r="J16" s="1752" t="str">
        <f>IF(Team!$E$173="","",Team!$E$173)</f>
        <v/>
      </c>
      <c r="K16" s="1752"/>
      <c r="L16" s="1752"/>
      <c r="M16" s="531"/>
    </row>
    <row r="17" spans="2:13" ht="15" customHeight="1" x14ac:dyDescent="0.25">
      <c r="B17" s="1751" t="s">
        <v>300</v>
      </c>
      <c r="C17" s="1751"/>
      <c r="D17" s="1752" t="str">
        <f>IF(Details!$E$18="","",Details!$E$18)</f>
        <v>Input Census Tract</v>
      </c>
      <c r="E17" s="1752"/>
      <c r="F17" s="8"/>
      <c r="G17" s="8"/>
      <c r="H17" s="1661" t="s">
        <v>2472</v>
      </c>
      <c r="I17" s="1662"/>
      <c r="J17" s="1752" t="str">
        <f>IF(AND(Team!$E$318="",Team!$E$327=""),"N/A",IF(AND(Team!$E$318="",Team!$E$327&lt;&gt;""),Team!$E$327,Team!$E$318))</f>
        <v>N/A</v>
      </c>
      <c r="K17" s="1752"/>
      <c r="L17" s="1752"/>
      <c r="M17" s="531"/>
    </row>
    <row r="18" spans="2:13" ht="15" customHeight="1" x14ac:dyDescent="0.25">
      <c r="B18" s="1751" t="s">
        <v>2483</v>
      </c>
      <c r="C18" s="1751"/>
      <c r="D18" s="1752" t="str">
        <f>IF(Details!$E$21="","",Details!$E$21)</f>
        <v/>
      </c>
      <c r="E18" s="1752"/>
      <c r="F18" s="8"/>
      <c r="G18" s="8"/>
      <c r="H18" s="1661" t="s">
        <v>2473</v>
      </c>
      <c r="I18" s="1662"/>
      <c r="J18" s="1752" t="str">
        <f>IF(OR(Team!$E$334="",Team!$E$334="No"),"N/A",IF(AND(Team!$E$348="",Team!$E$339&lt;&gt;""),Team!$E$339,Team!$E$348))</f>
        <v>N/A</v>
      </c>
      <c r="K18" s="1752"/>
      <c r="L18" s="1752"/>
      <c r="M18" s="531"/>
    </row>
    <row r="19" spans="2:13" ht="15" customHeight="1" x14ac:dyDescent="0.25">
      <c r="B19" s="1751" t="s">
        <v>3105</v>
      </c>
      <c r="C19" s="1753"/>
      <c r="D19" s="1373" t="str">
        <f>Details!$E$20</f>
        <v>Input Census Tract</v>
      </c>
      <c r="E19" s="1754"/>
      <c r="F19" s="8"/>
      <c r="G19" s="8"/>
      <c r="H19" s="1661" t="s">
        <v>2474</v>
      </c>
      <c r="I19" s="1662"/>
      <c r="J19" s="1752" t="str">
        <f>IF(OR(Team!$E$355="",Team!$E$355="No"),"N/A",IF(AND(Team!$E$369="",Team!$E$360&lt;&gt;""),Team!$E$360,Team!$E$369))</f>
        <v>N/A</v>
      </c>
      <c r="K19" s="1752"/>
      <c r="L19" s="1752"/>
      <c r="M19" s="531"/>
    </row>
    <row r="20" spans="2:13" ht="15" customHeight="1" x14ac:dyDescent="0.25">
      <c r="B20" s="1751" t="s">
        <v>3418</v>
      </c>
      <c r="C20" s="1753"/>
      <c r="D20" s="1373" t="str">
        <f>IF(OR(D17="",D17="Input Census Tract"),"",VLOOKUP($D$17,Data!$CQ$11:$CS$98,3,FALSE))</f>
        <v/>
      </c>
      <c r="E20" s="1754"/>
      <c r="F20" s="8"/>
      <c r="G20" s="8"/>
      <c r="H20" s="531" t="s">
        <v>2423</v>
      </c>
      <c r="I20" s="967"/>
      <c r="J20" s="1752" t="str">
        <f>IF(Team!$E$395="","",Team!$E$395)</f>
        <v/>
      </c>
      <c r="K20" s="1752"/>
      <c r="L20" s="1752"/>
      <c r="M20" s="531"/>
    </row>
    <row r="21" spans="2:13" ht="15" customHeight="1" x14ac:dyDescent="0.25">
      <c r="B21" s="1751" t="s">
        <v>651</v>
      </c>
      <c r="C21" s="1751"/>
      <c r="D21" s="1752" t="str">
        <f>IF(Details!$J$10="","",Details!$J$10)</f>
        <v/>
      </c>
      <c r="E21" s="1752"/>
      <c r="F21" s="8"/>
      <c r="G21" s="8"/>
      <c r="H21" s="531" t="s">
        <v>2424</v>
      </c>
      <c r="I21" s="967"/>
      <c r="J21" s="1752" t="str">
        <f>IF(Team!$E$379="","",Team!$E$379)</f>
        <v/>
      </c>
      <c r="K21" s="1752"/>
      <c r="L21" s="1752"/>
      <c r="M21" s="531"/>
    </row>
    <row r="22" spans="2:13" ht="15" customHeight="1" x14ac:dyDescent="0.25">
      <c r="B22" s="1751" t="s">
        <v>1964</v>
      </c>
      <c r="C22" s="1751"/>
      <c r="D22" s="1752" t="str">
        <f>IF(Details!$J$15="","",Details!$J$15)</f>
        <v/>
      </c>
      <c r="E22" s="1752"/>
      <c r="F22" s="8"/>
      <c r="G22" s="8"/>
      <c r="H22" s="531" t="s">
        <v>2426</v>
      </c>
      <c r="I22" s="967"/>
      <c r="J22" s="1752" t="str">
        <f>IF(Team!$E$411="","",Team!$E$411)</f>
        <v/>
      </c>
      <c r="K22" s="1752"/>
      <c r="L22" s="1752"/>
      <c r="M22" s="531"/>
    </row>
    <row r="23" spans="2:13" ht="15" customHeight="1" x14ac:dyDescent="0.25">
      <c r="B23" s="1751" t="s">
        <v>2425</v>
      </c>
      <c r="C23" s="1751"/>
      <c r="D23" s="612">
        <f>Revenue!$C$101</f>
        <v>0</v>
      </c>
      <c r="E23" s="531"/>
      <c r="F23" s="8"/>
      <c r="G23" s="8"/>
      <c r="H23" s="1661" t="s">
        <v>3112</v>
      </c>
      <c r="I23" s="1662"/>
      <c r="J23" s="1752" t="str">
        <f>IF(Team!$E$427="","N/A",Team!$E$427)</f>
        <v>N/A</v>
      </c>
      <c r="K23" s="1752"/>
      <c r="L23" s="1752"/>
    </row>
    <row r="24" spans="2:13" ht="15" customHeight="1" x14ac:dyDescent="0.25">
      <c r="B24" s="611"/>
      <c r="C24" s="8"/>
      <c r="D24" s="8"/>
      <c r="E24" s="8"/>
      <c r="F24" s="8"/>
      <c r="G24" s="8"/>
      <c r="H24" s="8"/>
      <c r="I24" s="8"/>
    </row>
    <row r="25" spans="2:13" ht="15" customHeight="1" x14ac:dyDescent="0.25">
      <c r="B25" s="1757" t="s">
        <v>355</v>
      </c>
      <c r="C25" s="1757"/>
      <c r="D25" s="1757"/>
      <c r="E25" s="1757"/>
      <c r="F25" s="8"/>
      <c r="G25" s="8"/>
      <c r="H25" s="1757" t="s">
        <v>2427</v>
      </c>
      <c r="I25" s="1757"/>
      <c r="J25" s="1757"/>
    </row>
    <row r="26" spans="2:13" ht="3" customHeight="1" x14ac:dyDescent="0.25">
      <c r="B26" s="1758"/>
      <c r="C26" s="1758"/>
      <c r="D26" s="1758"/>
      <c r="E26" s="1758"/>
      <c r="F26" s="8"/>
      <c r="G26" s="8"/>
      <c r="H26" s="1758"/>
      <c r="I26" s="1758"/>
      <c r="J26" s="1758"/>
      <c r="K26" s="1758"/>
      <c r="L26" s="1758"/>
    </row>
    <row r="27" spans="2:13" ht="5.0999999999999996" customHeight="1" x14ac:dyDescent="0.25">
      <c r="B27" s="611"/>
      <c r="C27" s="8"/>
      <c r="D27" s="8"/>
      <c r="E27" s="8"/>
      <c r="F27" s="8"/>
      <c r="G27" s="8"/>
      <c r="H27" s="8"/>
      <c r="I27" s="8"/>
    </row>
    <row r="28" spans="2:13" ht="15" customHeight="1" x14ac:dyDescent="0.25">
      <c r="B28" s="1751"/>
      <c r="C28" s="1751"/>
      <c r="D28" s="1031" t="s">
        <v>2428</v>
      </c>
      <c r="E28" s="1031" t="s">
        <v>377</v>
      </c>
      <c r="F28" s="8"/>
      <c r="G28" s="8"/>
      <c r="H28" s="1661"/>
      <c r="I28" s="1661"/>
      <c r="J28" s="1031" t="s">
        <v>2428</v>
      </c>
      <c r="K28" s="1031" t="s">
        <v>377</v>
      </c>
      <c r="L28" s="324"/>
    </row>
    <row r="29" spans="2:13" ht="15" customHeight="1" x14ac:dyDescent="0.25">
      <c r="B29" s="1751" t="s">
        <v>2543</v>
      </c>
      <c r="C29" s="1751"/>
      <c r="D29" s="613">
        <f>Uses!K84</f>
        <v>8000</v>
      </c>
      <c r="E29" s="140"/>
      <c r="F29" s="8"/>
      <c r="G29" s="8"/>
      <c r="H29" s="1661" t="s">
        <v>2719</v>
      </c>
      <c r="I29" s="1662"/>
      <c r="J29" s="79">
        <f>LIHTCs!F33</f>
        <v>0</v>
      </c>
      <c r="K29" s="79">
        <v>1800000</v>
      </c>
      <c r="L29" s="324"/>
    </row>
    <row r="30" spans="2:13" ht="15" customHeight="1" x14ac:dyDescent="0.25">
      <c r="B30" s="1751" t="s">
        <v>373</v>
      </c>
      <c r="C30" s="1751"/>
      <c r="D30" s="613">
        <f>IFERROR(D29/D23,0)</f>
        <v>0</v>
      </c>
      <c r="E30" s="613" t="str" cm="1">
        <f t="array" ref="E30">IF(Details!$J$10="","",IF(Details!$J$10="Adaptive Reuse",Data!$CN$15,INDEX(Data!$CN$11:$CN$15,MATCH(Details!$E$20&amp;Details!$J$10,Data!$CL$11:$CL$15&amp;Data!$CM$11:$CM$15,0))))</f>
        <v/>
      </c>
      <c r="F30" s="8"/>
      <c r="G30" s="8"/>
      <c r="H30" s="1661" t="s">
        <v>2429</v>
      </c>
      <c r="I30" s="1662"/>
      <c r="J30" s="79">
        <f>SUM(Sources!$G$44:$G$47)</f>
        <v>0</v>
      </c>
      <c r="K30" s="79">
        <f>IF($I$93="Yes",1000000,0)</f>
        <v>0</v>
      </c>
    </row>
    <row r="31" spans="2:13" ht="15" customHeight="1" x14ac:dyDescent="0.25">
      <c r="B31" s="1751" t="s">
        <v>433</v>
      </c>
      <c r="C31" s="1751"/>
      <c r="D31" s="613">
        <f>IFERROR(D29/Details!F130,0)</f>
        <v>0</v>
      </c>
      <c r="E31" s="613" t="str" cm="1">
        <f t="array" ref="E31">IF(Details!$J$10="","",IF(Details!$J$10="Adaptive Reuse",Data!$CO$15,INDEX(Data!$CO$11:$CO$15,MATCH(Details!$E$20&amp;Details!$J$10,Data!$CL$11:$CL$15&amp;Data!$CM$11:$CM$15,0))))</f>
        <v/>
      </c>
      <c r="F31" s="8"/>
      <c r="G31" s="8"/>
      <c r="H31" s="1661" t="s">
        <v>2430</v>
      </c>
      <c r="I31" s="1662"/>
      <c r="J31" s="326">
        <f>HDL!$E$15</f>
        <v>0</v>
      </c>
      <c r="K31" s="326">
        <v>1750000</v>
      </c>
    </row>
    <row r="32" spans="2:13" ht="15" customHeight="1" x14ac:dyDescent="0.25">
      <c r="B32" s="611"/>
      <c r="C32" s="8"/>
      <c r="D32" s="743"/>
      <c r="E32" s="8"/>
      <c r="F32" s="8"/>
      <c r="G32" s="8"/>
      <c r="H32" s="1155" t="s">
        <v>2130</v>
      </c>
      <c r="I32" s="1324"/>
      <c r="J32" s="79">
        <f>IF(OR(Uses!$J$75&gt;0,Sources!$E$38="Multifamily Lending Program",Sources!$E$38="MLP",Sources!$E$38="OHFA MLP"),Sources!$G$38,0)</f>
        <v>0</v>
      </c>
      <c r="K32" s="79">
        <v>6000000</v>
      </c>
    </row>
    <row r="33" spans="2:18" ht="15" customHeight="1" x14ac:dyDescent="0.25">
      <c r="B33" s="611"/>
      <c r="C33" s="8"/>
      <c r="D33" s="8"/>
      <c r="E33" s="8"/>
      <c r="F33" s="8"/>
      <c r="G33" s="8"/>
      <c r="H33" s="25"/>
      <c r="I33" s="25"/>
      <c r="J33" s="25"/>
    </row>
    <row r="34" spans="2:18" ht="15" customHeight="1" x14ac:dyDescent="0.25">
      <c r="B34" s="611"/>
      <c r="C34" s="8"/>
      <c r="D34" s="8"/>
      <c r="E34" s="8"/>
      <c r="F34" s="8"/>
      <c r="G34" s="8"/>
      <c r="H34" s="25"/>
      <c r="I34" s="25"/>
      <c r="J34" s="25"/>
    </row>
    <row r="35" spans="2:18" ht="15" customHeight="1" x14ac:dyDescent="0.2">
      <c r="B35" s="1748" t="s">
        <v>3258</v>
      </c>
      <c r="C35" s="1748"/>
      <c r="D35" s="1748"/>
      <c r="E35" s="1748"/>
      <c r="F35" s="1748"/>
      <c r="G35" s="1748"/>
      <c r="H35" s="1748"/>
      <c r="I35" s="1748"/>
      <c r="J35" s="1748"/>
      <c r="N35" s="1748" t="s">
        <v>3203</v>
      </c>
      <c r="O35" s="1748"/>
      <c r="P35" s="1748"/>
      <c r="Q35" s="1748"/>
      <c r="R35" s="1748"/>
    </row>
    <row r="36" spans="2:18" ht="3" customHeight="1" x14ac:dyDescent="0.2">
      <c r="B36" s="1749"/>
      <c r="C36" s="1749"/>
      <c r="D36" s="1749"/>
      <c r="E36" s="1749"/>
      <c r="F36" s="1749"/>
      <c r="G36" s="1749"/>
      <c r="H36" s="1749"/>
      <c r="I36" s="1749"/>
      <c r="J36" s="1749"/>
      <c r="K36" s="1749"/>
      <c r="L36" s="1749"/>
      <c r="N36" s="1749"/>
      <c r="O36" s="1749"/>
      <c r="P36" s="1749"/>
      <c r="Q36" s="1749"/>
      <c r="R36" s="1749"/>
    </row>
    <row r="37" spans="2:18" ht="15" customHeight="1" x14ac:dyDescent="0.25">
      <c r="B37" s="611"/>
      <c r="C37" s="8"/>
      <c r="D37" s="8"/>
      <c r="E37" s="8"/>
      <c r="F37" s="8"/>
      <c r="G37" s="8"/>
      <c r="H37" s="25"/>
      <c r="I37" s="25"/>
      <c r="J37" s="25"/>
      <c r="Q37" s="4"/>
    </row>
    <row r="38" spans="2:18" ht="15" customHeight="1" x14ac:dyDescent="0.2">
      <c r="B38" s="746" t="s">
        <v>2476</v>
      </c>
      <c r="C38" s="1731" t="s">
        <v>3259</v>
      </c>
      <c r="D38" s="1731"/>
      <c r="E38" s="1731"/>
      <c r="F38" s="1731"/>
      <c r="G38" s="1731"/>
      <c r="H38" s="1731"/>
      <c r="I38" s="1731"/>
      <c r="J38" s="1731"/>
      <c r="K38" s="1731"/>
      <c r="N38" s="767"/>
      <c r="O38" s="768"/>
      <c r="P38" s="768"/>
      <c r="Q38" s="930"/>
      <c r="R38" s="769"/>
    </row>
    <row r="39" spans="2:18" ht="15" customHeight="1" x14ac:dyDescent="0.25">
      <c r="B39" s="611"/>
      <c r="C39" s="8"/>
      <c r="D39" s="8"/>
      <c r="E39" s="8"/>
      <c r="F39" s="8"/>
      <c r="G39" s="8"/>
      <c r="H39" s="8"/>
      <c r="I39" s="8"/>
      <c r="N39" s="770"/>
      <c r="O39" s="1776" t="s">
        <v>3278</v>
      </c>
      <c r="P39" s="1776"/>
      <c r="Q39" s="941"/>
      <c r="R39" s="771"/>
    </row>
    <row r="40" spans="2:18" ht="15" customHeight="1" x14ac:dyDescent="0.25">
      <c r="B40" s="611"/>
      <c r="C40" s="1148" t="s">
        <v>3260</v>
      </c>
      <c r="D40" s="1148"/>
      <c r="E40" s="1148"/>
      <c r="F40" s="1148"/>
      <c r="G40" s="1148"/>
      <c r="H40" s="1148"/>
      <c r="I40" s="1148"/>
      <c r="J40" s="1148"/>
      <c r="K40" s="1148"/>
      <c r="N40" s="770"/>
      <c r="O40" s="1776"/>
      <c r="P40" s="1776"/>
      <c r="Q40" s="931"/>
      <c r="R40" s="771"/>
    </row>
    <row r="41" spans="2:18" ht="15" customHeight="1" x14ac:dyDescent="0.25">
      <c r="B41" s="611"/>
      <c r="C41" s="1148"/>
      <c r="D41" s="1148"/>
      <c r="E41" s="1148"/>
      <c r="F41" s="1148"/>
      <c r="G41" s="1148"/>
      <c r="H41" s="1148"/>
      <c r="I41" s="1148"/>
      <c r="J41" s="1148"/>
      <c r="K41" s="1148"/>
      <c r="N41" s="770"/>
      <c r="O41" s="633" t="s">
        <v>2443</v>
      </c>
      <c r="P41" s="633"/>
      <c r="Q41" s="932"/>
      <c r="R41" s="771"/>
    </row>
    <row r="42" spans="2:18" ht="15" customHeight="1" x14ac:dyDescent="0.25">
      <c r="B42" s="611"/>
      <c r="C42" s="8"/>
      <c r="D42" s="8"/>
      <c r="E42" s="8"/>
      <c r="F42" s="8"/>
      <c r="G42" s="8"/>
      <c r="H42" s="25"/>
      <c r="I42" s="25"/>
      <c r="J42" s="25"/>
      <c r="N42" s="770"/>
      <c r="O42" s="948"/>
      <c r="P42" s="948"/>
      <c r="Q42" s="948"/>
      <c r="R42" s="771"/>
    </row>
    <row r="43" spans="2:18" ht="15" customHeight="1" x14ac:dyDescent="0.25">
      <c r="B43" s="611"/>
      <c r="C43" s="1155" t="s">
        <v>3210</v>
      </c>
      <c r="D43" s="1155"/>
      <c r="E43" s="1247" t="str">
        <f>IF(Details!$E$13="","",Details!$E$13)</f>
        <v/>
      </c>
      <c r="F43" s="1247"/>
      <c r="G43" s="1247"/>
      <c r="H43" s="1247"/>
      <c r="I43" s="25"/>
      <c r="J43" s="25"/>
      <c r="N43" s="770"/>
      <c r="O43" s="1718"/>
      <c r="P43" s="1719"/>
      <c r="Q43" s="1720"/>
      <c r="R43" s="771"/>
    </row>
    <row r="44" spans="2:18" ht="15" customHeight="1" x14ac:dyDescent="0.25">
      <c r="B44" s="611"/>
      <c r="C44" s="1155" t="s">
        <v>3209</v>
      </c>
      <c r="D44" s="1155"/>
      <c r="E44" s="1247" t="str">
        <f>IF(E43="","",CONCATENATE("Tract ",VLOOKUP(E43,Data!$B$11:$D$3178,2,FALSE),", ",VLOOKUP(E43,Data!$B$11:$D$3178,3,FALSE)," County"))</f>
        <v/>
      </c>
      <c r="F44" s="1247"/>
      <c r="G44" s="1247"/>
      <c r="H44" s="1247"/>
      <c r="I44" s="25"/>
      <c r="J44" s="25"/>
      <c r="N44" s="770"/>
      <c r="O44" s="1721"/>
      <c r="P44" s="1722"/>
      <c r="Q44" s="1723"/>
      <c r="R44" s="771"/>
    </row>
    <row r="45" spans="2:18" ht="15" customHeight="1" x14ac:dyDescent="0.25">
      <c r="B45" s="611"/>
      <c r="C45" s="1155" t="s">
        <v>3019</v>
      </c>
      <c r="D45" s="1155"/>
      <c r="E45" s="1763" t="str">
        <f>IF(E43="","",VLOOKUP(E43,Data!$B$11:$J$3178,5,FALSE))</f>
        <v/>
      </c>
      <c r="F45" s="1763"/>
      <c r="G45" s="1763"/>
      <c r="H45" s="1763"/>
      <c r="I45" s="25"/>
      <c r="J45" s="25"/>
      <c r="N45" s="770"/>
      <c r="O45" s="1721"/>
      <c r="P45" s="1722"/>
      <c r="Q45" s="1723"/>
      <c r="R45" s="771"/>
    </row>
    <row r="46" spans="2:18" ht="15" customHeight="1" x14ac:dyDescent="0.25">
      <c r="B46" s="611"/>
      <c r="C46" s="1155" t="s">
        <v>2529</v>
      </c>
      <c r="D46" s="1155"/>
      <c r="E46" s="1796">
        <f>Revenue!C101</f>
        <v>0</v>
      </c>
      <c r="F46" s="1796"/>
      <c r="G46" s="1796"/>
      <c r="H46" s="1796"/>
      <c r="I46" s="25"/>
      <c r="J46" s="25"/>
      <c r="N46" s="770"/>
      <c r="O46" s="1721"/>
      <c r="P46" s="1722"/>
      <c r="Q46" s="1723"/>
      <c r="R46" s="771"/>
    </row>
    <row r="47" spans="2:18" ht="15" customHeight="1" x14ac:dyDescent="0.25">
      <c r="B47" s="611"/>
      <c r="C47" s="1296" t="s">
        <v>3262</v>
      </c>
      <c r="D47" s="1296"/>
      <c r="E47" s="1889" t="str">
        <f>IF(E43="","",IF(AND(E45="Yes",E46&gt;70),"No","Yes"))</f>
        <v/>
      </c>
      <c r="F47" s="1890"/>
      <c r="G47" s="1890"/>
      <c r="H47" s="1891"/>
      <c r="I47" s="25"/>
      <c r="J47" s="25"/>
      <c r="N47" s="770"/>
      <c r="O47" s="1721"/>
      <c r="P47" s="1722"/>
      <c r="Q47" s="1723"/>
      <c r="R47" s="771"/>
    </row>
    <row r="48" spans="2:18" ht="15" customHeight="1" x14ac:dyDescent="0.25">
      <c r="B48" s="611"/>
      <c r="C48" s="8"/>
      <c r="D48" s="8"/>
      <c r="E48" s="8"/>
      <c r="F48" s="8"/>
      <c r="G48" s="8"/>
      <c r="H48" s="25"/>
      <c r="I48" s="25"/>
      <c r="J48" s="25"/>
      <c r="N48" s="770"/>
      <c r="O48" s="1721"/>
      <c r="P48" s="1722"/>
      <c r="Q48" s="1723"/>
      <c r="R48" s="771"/>
    </row>
    <row r="49" spans="2:18" ht="15" customHeight="1" x14ac:dyDescent="0.25">
      <c r="B49" s="611"/>
      <c r="C49" s="1303" t="s">
        <v>3261</v>
      </c>
      <c r="D49" s="1303"/>
      <c r="E49" s="1303"/>
      <c r="F49" s="1303"/>
      <c r="G49" s="1303"/>
      <c r="H49" s="1303"/>
      <c r="I49" s="1303"/>
      <c r="J49" s="1303"/>
      <c r="K49" s="1303"/>
      <c r="N49" s="770"/>
      <c r="O49" s="1721"/>
      <c r="P49" s="1722"/>
      <c r="Q49" s="1723"/>
      <c r="R49" s="771"/>
    </row>
    <row r="50" spans="2:18" ht="15" customHeight="1" x14ac:dyDescent="0.25">
      <c r="B50" s="611"/>
      <c r="C50" s="1303"/>
      <c r="D50" s="1303"/>
      <c r="E50" s="1303"/>
      <c r="F50" s="1303"/>
      <c r="G50" s="1303"/>
      <c r="H50" s="1303"/>
      <c r="I50" s="1303"/>
      <c r="J50" s="1303"/>
      <c r="K50" s="1303"/>
      <c r="N50" s="770"/>
      <c r="O50" s="1721"/>
      <c r="P50" s="1722"/>
      <c r="Q50" s="1723"/>
      <c r="R50" s="771"/>
    </row>
    <row r="51" spans="2:18" ht="15" customHeight="1" x14ac:dyDescent="0.25">
      <c r="B51" s="611"/>
      <c r="C51" s="1303"/>
      <c r="D51" s="1303"/>
      <c r="E51" s="1303"/>
      <c r="F51" s="1303"/>
      <c r="G51" s="1303"/>
      <c r="H51" s="1303"/>
      <c r="I51" s="1303"/>
      <c r="J51" s="1303"/>
      <c r="K51" s="1303"/>
      <c r="N51" s="770"/>
      <c r="O51" s="1721"/>
      <c r="P51" s="1722"/>
      <c r="Q51" s="1723"/>
      <c r="R51" s="771"/>
    </row>
    <row r="52" spans="2:18" ht="15" customHeight="1" x14ac:dyDescent="0.25">
      <c r="B52" s="611"/>
      <c r="C52" s="1303"/>
      <c r="D52" s="1303"/>
      <c r="E52" s="1303"/>
      <c r="F52" s="1303"/>
      <c r="G52" s="1303"/>
      <c r="H52" s="1303"/>
      <c r="I52" s="1303"/>
      <c r="J52" s="1303"/>
      <c r="K52" s="1303"/>
      <c r="N52" s="770"/>
      <c r="O52" s="1721"/>
      <c r="P52" s="1722"/>
      <c r="Q52" s="1723"/>
      <c r="R52" s="771"/>
    </row>
    <row r="53" spans="2:18" ht="15" customHeight="1" x14ac:dyDescent="0.25">
      <c r="B53" s="611"/>
      <c r="C53" s="1303"/>
      <c r="D53" s="1303"/>
      <c r="E53" s="1303"/>
      <c r="F53" s="1303"/>
      <c r="G53" s="1303"/>
      <c r="H53" s="1303"/>
      <c r="I53" s="1303"/>
      <c r="J53" s="1303"/>
      <c r="K53" s="1303"/>
      <c r="N53" s="770"/>
      <c r="O53" s="1721"/>
      <c r="P53" s="1722"/>
      <c r="Q53" s="1723"/>
      <c r="R53" s="771"/>
    </row>
    <row r="54" spans="2:18" ht="15" customHeight="1" x14ac:dyDescent="0.25">
      <c r="B54" s="611"/>
      <c r="C54" s="1303"/>
      <c r="D54" s="1303"/>
      <c r="E54" s="1303"/>
      <c r="F54" s="1303"/>
      <c r="G54" s="1303"/>
      <c r="H54" s="1303"/>
      <c r="I54" s="1303"/>
      <c r="J54" s="1303"/>
      <c r="K54" s="1303"/>
      <c r="N54" s="770"/>
      <c r="O54" s="1721"/>
      <c r="P54" s="1722"/>
      <c r="Q54" s="1723"/>
      <c r="R54" s="771"/>
    </row>
    <row r="55" spans="2:18" ht="15" customHeight="1" x14ac:dyDescent="0.25">
      <c r="B55" s="611"/>
      <c r="C55" s="8"/>
      <c r="D55" s="8"/>
      <c r="E55" s="8"/>
      <c r="F55" s="8"/>
      <c r="G55" s="8"/>
      <c r="H55" s="25"/>
      <c r="I55" s="25"/>
      <c r="J55" s="25"/>
      <c r="N55" s="770"/>
      <c r="O55" s="1724"/>
      <c r="P55" s="1725"/>
      <c r="Q55" s="1726"/>
      <c r="R55" s="771"/>
    </row>
    <row r="56" spans="2:18" ht="15" customHeight="1" x14ac:dyDescent="0.25">
      <c r="B56" s="611"/>
      <c r="C56" s="25" t="s">
        <v>3263</v>
      </c>
      <c r="D56" s="8"/>
      <c r="E56" s="8"/>
      <c r="F56" s="8"/>
      <c r="G56" s="8"/>
      <c r="H56" s="987"/>
      <c r="I56" s="25"/>
      <c r="J56" s="25"/>
      <c r="N56" s="772"/>
      <c r="O56" s="773"/>
      <c r="P56" s="773"/>
      <c r="Q56" s="773"/>
      <c r="R56" s="774"/>
    </row>
    <row r="57" spans="2:18" ht="15" customHeight="1" x14ac:dyDescent="0.25">
      <c r="B57" s="611"/>
      <c r="C57" s="8"/>
      <c r="D57" s="8"/>
      <c r="E57" s="8"/>
      <c r="F57" s="8"/>
      <c r="G57" s="8"/>
      <c r="H57" s="25"/>
      <c r="I57" s="25"/>
      <c r="J57" s="25"/>
    </row>
    <row r="58" spans="2:18" ht="15" customHeight="1" x14ac:dyDescent="0.25">
      <c r="B58" s="611"/>
      <c r="C58" s="8"/>
      <c r="D58" s="8"/>
      <c r="E58" s="8"/>
      <c r="F58" s="8"/>
      <c r="G58" s="8"/>
      <c r="H58" s="25"/>
      <c r="I58" s="25"/>
      <c r="J58" s="25"/>
    </row>
    <row r="59" spans="2:18" ht="15" customHeight="1" x14ac:dyDescent="0.2">
      <c r="B59" s="746" t="s">
        <v>2477</v>
      </c>
      <c r="C59" s="1731" t="s">
        <v>3264</v>
      </c>
      <c r="D59" s="1731"/>
      <c r="E59" s="1731"/>
      <c r="F59" s="1731"/>
      <c r="G59" s="1731"/>
      <c r="H59" s="1731"/>
      <c r="I59" s="1731"/>
      <c r="J59" s="1731"/>
      <c r="K59" s="1731"/>
      <c r="N59" s="767"/>
      <c r="O59" s="768"/>
      <c r="P59" s="768"/>
      <c r="Q59" s="930"/>
      <c r="R59" s="769"/>
    </row>
    <row r="60" spans="2:18" ht="15" customHeight="1" x14ac:dyDescent="0.25">
      <c r="B60" s="611"/>
      <c r="C60" s="8"/>
      <c r="D60" s="8"/>
      <c r="E60" s="8"/>
      <c r="F60" s="8"/>
      <c r="G60" s="8"/>
      <c r="H60" s="8"/>
      <c r="I60" s="8"/>
      <c r="N60" s="770"/>
      <c r="O60" s="1776" t="s">
        <v>3277</v>
      </c>
      <c r="P60" s="1776"/>
      <c r="Q60" s="941"/>
      <c r="R60" s="771"/>
    </row>
    <row r="61" spans="2:18" ht="15" customHeight="1" x14ac:dyDescent="0.25">
      <c r="B61" s="611"/>
      <c r="C61" s="1148" t="s">
        <v>3265</v>
      </c>
      <c r="D61" s="1148"/>
      <c r="E61" s="1148"/>
      <c r="F61" s="1148"/>
      <c r="G61" s="1148"/>
      <c r="H61" s="1148"/>
      <c r="I61" s="1148"/>
      <c r="J61" s="1148"/>
      <c r="K61" s="1148"/>
      <c r="N61" s="770"/>
      <c r="O61" s="1776"/>
      <c r="P61" s="1776"/>
      <c r="Q61" s="931"/>
      <c r="R61" s="771"/>
    </row>
    <row r="62" spans="2:18" ht="15" customHeight="1" x14ac:dyDescent="0.25">
      <c r="B62" s="611"/>
      <c r="C62" s="1148"/>
      <c r="D62" s="1148"/>
      <c r="E62" s="1148"/>
      <c r="F62" s="1148"/>
      <c r="G62" s="1148"/>
      <c r="H62" s="1148"/>
      <c r="I62" s="1148"/>
      <c r="J62" s="1148"/>
      <c r="K62" s="1148"/>
      <c r="N62" s="770"/>
      <c r="O62" s="633" t="s">
        <v>2443</v>
      </c>
      <c r="P62" s="633"/>
      <c r="Q62" s="932"/>
      <c r="R62" s="771"/>
    </row>
    <row r="63" spans="2:18" ht="15" customHeight="1" x14ac:dyDescent="0.25">
      <c r="B63" s="611"/>
      <c r="C63" s="1148"/>
      <c r="D63" s="1148"/>
      <c r="E63" s="1148"/>
      <c r="F63" s="1148"/>
      <c r="G63" s="1148"/>
      <c r="H63" s="1148"/>
      <c r="I63" s="1148"/>
      <c r="J63" s="1148"/>
      <c r="K63" s="1148"/>
      <c r="N63" s="770"/>
      <c r="O63" s="948"/>
      <c r="P63" s="948"/>
      <c r="Q63" s="948"/>
      <c r="R63" s="771"/>
    </row>
    <row r="64" spans="2:18" ht="15" customHeight="1" x14ac:dyDescent="0.25">
      <c r="B64" s="611"/>
      <c r="C64" s="1155" t="s">
        <v>3266</v>
      </c>
      <c r="D64" s="1155"/>
      <c r="E64" s="1155"/>
      <c r="F64" s="1155"/>
      <c r="G64" s="1155"/>
      <c r="H64" s="1155"/>
      <c r="I64" s="1155"/>
      <c r="J64" s="1155"/>
      <c r="K64" s="1155"/>
      <c r="N64" s="770"/>
      <c r="O64" s="1718"/>
      <c r="P64" s="1719"/>
      <c r="Q64" s="1720"/>
      <c r="R64" s="771"/>
    </row>
    <row r="65" spans="2:18" ht="15" customHeight="1" x14ac:dyDescent="0.25">
      <c r="B65" s="611"/>
      <c r="C65" s="1303" t="s">
        <v>3267</v>
      </c>
      <c r="D65" s="1303"/>
      <c r="E65" s="1303"/>
      <c r="F65" s="1303"/>
      <c r="G65" s="1303"/>
      <c r="H65" s="1303"/>
      <c r="I65" s="1303"/>
      <c r="J65" s="1303"/>
      <c r="K65" s="1303"/>
      <c r="N65" s="770"/>
      <c r="O65" s="1721"/>
      <c r="P65" s="1722"/>
      <c r="Q65" s="1723"/>
      <c r="R65" s="771"/>
    </row>
    <row r="66" spans="2:18" ht="15" customHeight="1" x14ac:dyDescent="0.25">
      <c r="B66" s="611"/>
      <c r="C66" s="8"/>
      <c r="D66" s="8"/>
      <c r="E66" s="8"/>
      <c r="F66" s="8"/>
      <c r="G66" s="8"/>
      <c r="H66" s="25"/>
      <c r="I66" s="25"/>
      <c r="J66" s="25"/>
      <c r="N66" s="770"/>
      <c r="O66" s="1721"/>
      <c r="P66" s="1722"/>
      <c r="Q66" s="1723"/>
      <c r="R66" s="771"/>
    </row>
    <row r="67" spans="2:18" ht="15" customHeight="1" x14ac:dyDescent="0.25">
      <c r="B67" s="611"/>
      <c r="C67" s="1155" t="s">
        <v>3268</v>
      </c>
      <c r="D67" s="1155"/>
      <c r="E67" s="1155"/>
      <c r="F67" s="1884">
        <f>SUM(Uses!K37,Uses!K40,Uses!J41)</f>
        <v>0</v>
      </c>
      <c r="G67" s="1884"/>
      <c r="H67" s="1884"/>
      <c r="I67" s="25"/>
      <c r="J67" s="25"/>
      <c r="N67" s="770"/>
      <c r="O67" s="1721"/>
      <c r="P67" s="1722"/>
      <c r="Q67" s="1723"/>
      <c r="R67" s="771"/>
    </row>
    <row r="68" spans="2:18" ht="15" customHeight="1" x14ac:dyDescent="0.25">
      <c r="B68" s="611"/>
      <c r="C68" s="1155" t="s">
        <v>3269</v>
      </c>
      <c r="D68" s="1155"/>
      <c r="E68" s="1155"/>
      <c r="F68" s="1796">
        <f>Revenue!C101</f>
        <v>0</v>
      </c>
      <c r="G68" s="1247"/>
      <c r="H68" s="1247"/>
      <c r="I68" s="25"/>
      <c r="J68" s="25"/>
      <c r="N68" s="770"/>
      <c r="O68" s="1721"/>
      <c r="P68" s="1722"/>
      <c r="Q68" s="1723"/>
      <c r="R68" s="771"/>
    </row>
    <row r="69" spans="2:18" ht="15" customHeight="1" x14ac:dyDescent="0.25">
      <c r="B69" s="611"/>
      <c r="C69" s="1155" t="s">
        <v>2709</v>
      </c>
      <c r="D69" s="1155"/>
      <c r="E69" s="1155"/>
      <c r="F69" s="1884">
        <f>IF(F68=0,0,F67/F68)</f>
        <v>0</v>
      </c>
      <c r="G69" s="1247"/>
      <c r="H69" s="1247"/>
      <c r="I69" s="25"/>
      <c r="J69" s="25"/>
      <c r="N69" s="770"/>
      <c r="O69" s="1721"/>
      <c r="P69" s="1722"/>
      <c r="Q69" s="1723"/>
      <c r="R69" s="771"/>
    </row>
    <row r="70" spans="2:18" ht="15" customHeight="1" x14ac:dyDescent="0.25">
      <c r="B70" s="611"/>
      <c r="C70" s="1155" t="s">
        <v>4575</v>
      </c>
      <c r="D70" s="1155"/>
      <c r="E70" s="1155"/>
      <c r="F70" s="1884" t="str">
        <f>IF(OR(F69="",F69=0),"",IF(F69&gt;=80000,"Yes","No"))</f>
        <v/>
      </c>
      <c r="G70" s="1247"/>
      <c r="H70" s="1247"/>
      <c r="I70" s="25"/>
      <c r="J70" s="25"/>
      <c r="N70" s="770"/>
      <c r="O70" s="1721"/>
      <c r="P70" s="1722"/>
      <c r="Q70" s="1723"/>
      <c r="R70" s="771"/>
    </row>
    <row r="71" spans="2:18" ht="15" customHeight="1" x14ac:dyDescent="0.25">
      <c r="B71" s="611"/>
      <c r="H71" s="25"/>
      <c r="I71" s="25"/>
      <c r="J71" s="25"/>
      <c r="N71" s="770"/>
      <c r="O71" s="1724"/>
      <c r="P71" s="1725"/>
      <c r="Q71" s="1726"/>
      <c r="R71" s="771"/>
    </row>
    <row r="72" spans="2:18" ht="15" customHeight="1" x14ac:dyDescent="0.25">
      <c r="B72" s="611"/>
      <c r="C72" s="1155" t="s">
        <v>3270</v>
      </c>
      <c r="D72" s="1155"/>
      <c r="E72" s="1324"/>
      <c r="F72" s="1888"/>
      <c r="G72" s="1888"/>
      <c r="H72" s="1888"/>
      <c r="I72" s="25"/>
      <c r="J72" s="25"/>
      <c r="N72" s="772"/>
      <c r="O72" s="776"/>
      <c r="P72" s="776"/>
      <c r="Q72" s="776"/>
      <c r="R72" s="774"/>
    </row>
    <row r="73" spans="2:18" ht="15" customHeight="1" x14ac:dyDescent="0.25">
      <c r="B73" s="611"/>
      <c r="C73" s="1155" t="s">
        <v>4576</v>
      </c>
      <c r="D73" s="1155"/>
      <c r="E73" s="1324"/>
      <c r="F73" s="1884" t="str">
        <f>IF(F72="Neither","No","Yes")</f>
        <v>Yes</v>
      </c>
      <c r="G73" s="1247"/>
      <c r="H73" s="1247"/>
      <c r="I73" s="25"/>
      <c r="J73" s="25"/>
      <c r="N73"/>
      <c r="O73" s="953"/>
      <c r="P73" s="953"/>
      <c r="Q73" s="953"/>
      <c r="R73"/>
    </row>
    <row r="74" spans="2:18" ht="15" customHeight="1" x14ac:dyDescent="0.25">
      <c r="B74" s="611"/>
      <c r="H74" s="25"/>
      <c r="I74" s="25"/>
      <c r="J74" s="25"/>
      <c r="N74"/>
      <c r="O74" s="953"/>
      <c r="P74" s="953"/>
      <c r="Q74" s="953"/>
      <c r="R74"/>
    </row>
    <row r="75" spans="2:18" ht="15" customHeight="1" x14ac:dyDescent="0.25">
      <c r="B75" s="611"/>
      <c r="C75" s="1296" t="s">
        <v>4577</v>
      </c>
      <c r="D75" s="1296"/>
      <c r="E75" s="1296"/>
      <c r="F75" s="1885" t="str">
        <f>IF(AND(F70="Yes",F73="Yes"),"Yes","No")</f>
        <v>No</v>
      </c>
      <c r="G75" s="1886"/>
      <c r="H75" s="1886"/>
      <c r="I75" s="25"/>
      <c r="J75" s="25"/>
      <c r="N75"/>
      <c r="O75" s="953"/>
      <c r="P75" s="953"/>
      <c r="Q75" s="953"/>
      <c r="R75"/>
    </row>
    <row r="76" spans="2:18" ht="15" customHeight="1" x14ac:dyDescent="0.25">
      <c r="B76" s="611"/>
      <c r="H76" s="25"/>
      <c r="I76" s="25"/>
      <c r="J76" s="25"/>
      <c r="N76"/>
      <c r="O76" s="953"/>
      <c r="P76" s="953"/>
      <c r="Q76" s="953"/>
      <c r="R76"/>
    </row>
    <row r="77" spans="2:18" ht="15" customHeight="1" x14ac:dyDescent="0.25">
      <c r="B77" s="611"/>
      <c r="H77" s="25"/>
      <c r="I77" s="25"/>
      <c r="J77" s="25"/>
      <c r="N77"/>
      <c r="O77" s="953"/>
      <c r="P77" s="953"/>
      <c r="Q77" s="953"/>
      <c r="R77"/>
    </row>
    <row r="78" spans="2:18" ht="15" customHeight="1" x14ac:dyDescent="0.2">
      <c r="B78" s="1748" t="s">
        <v>2475</v>
      </c>
      <c r="C78" s="1748"/>
      <c r="D78" s="1748"/>
      <c r="E78" s="1748"/>
      <c r="F78" s="1748"/>
      <c r="G78" s="1748"/>
      <c r="H78" s="1748"/>
      <c r="I78" s="1748"/>
      <c r="J78" s="1748"/>
      <c r="N78"/>
      <c r="O78" s="953"/>
      <c r="P78" s="953"/>
      <c r="Q78" s="953"/>
      <c r="R78"/>
    </row>
    <row r="79" spans="2:18" ht="3" customHeight="1" x14ac:dyDescent="0.2">
      <c r="B79" s="1749"/>
      <c r="C79" s="1749"/>
      <c r="D79" s="1749"/>
      <c r="E79" s="1749"/>
      <c r="F79" s="1749"/>
      <c r="G79" s="1749"/>
      <c r="H79" s="1749"/>
      <c r="I79" s="1749"/>
      <c r="J79" s="1749"/>
      <c r="K79" s="1749"/>
      <c r="L79" s="1749"/>
      <c r="N79"/>
      <c r="O79" s="953"/>
      <c r="P79" s="953"/>
      <c r="Q79" s="953"/>
      <c r="R79"/>
    </row>
    <row r="80" spans="2:18" ht="15" customHeight="1" x14ac:dyDescent="0.25">
      <c r="B80" s="611"/>
      <c r="C80" s="8"/>
      <c r="D80" s="8"/>
      <c r="E80" s="8"/>
      <c r="F80" s="8"/>
      <c r="G80" s="8"/>
      <c r="H80" s="8"/>
      <c r="I80" s="8"/>
      <c r="N80"/>
      <c r="O80" s="953"/>
      <c r="P80" s="953"/>
      <c r="Q80" s="953"/>
      <c r="R80"/>
    </row>
    <row r="81" spans="2:18" ht="15" customHeight="1" x14ac:dyDescent="0.2">
      <c r="B81" s="746" t="s">
        <v>2476</v>
      </c>
      <c r="C81" s="1731" t="s">
        <v>2671</v>
      </c>
      <c r="D81" s="1731"/>
      <c r="E81" s="1731"/>
      <c r="F81" s="1731"/>
      <c r="G81" s="1731"/>
      <c r="H81" s="1731"/>
      <c r="I81" s="1731"/>
      <c r="J81" s="30"/>
      <c r="K81" s="30"/>
    </row>
    <row r="82" spans="2:18" ht="3" customHeight="1" x14ac:dyDescent="0.25">
      <c r="B82" s="611"/>
      <c r="C82" s="8"/>
      <c r="D82" s="8"/>
      <c r="E82" s="8"/>
      <c r="F82" s="8"/>
      <c r="G82" s="8"/>
      <c r="H82" s="8"/>
      <c r="I82" s="8"/>
    </row>
    <row r="83" spans="2:18" ht="15" customHeight="1" x14ac:dyDescent="0.25">
      <c r="B83" s="611"/>
      <c r="C83" s="1303" t="s">
        <v>3031</v>
      </c>
      <c r="D83" s="1303"/>
      <c r="E83" s="1303"/>
      <c r="F83" s="1303"/>
      <c r="G83" s="1303"/>
      <c r="H83" s="1303"/>
      <c r="I83" s="1303"/>
      <c r="J83" s="1303"/>
      <c r="K83" s="1303"/>
      <c r="N83" s="767"/>
      <c r="O83" s="768"/>
      <c r="P83" s="768"/>
      <c r="Q83" s="768"/>
      <c r="R83" s="769"/>
    </row>
    <row r="84" spans="2:18" ht="15" customHeight="1" x14ac:dyDescent="0.25">
      <c r="B84" s="611"/>
      <c r="C84" s="1303"/>
      <c r="D84" s="1303"/>
      <c r="E84" s="1303"/>
      <c r="F84" s="1303"/>
      <c r="G84" s="1303"/>
      <c r="H84" s="1303"/>
      <c r="I84" s="1303"/>
      <c r="J84" s="1303"/>
      <c r="K84" s="1303"/>
      <c r="N84" s="770"/>
      <c r="O84" s="1776" t="s">
        <v>2666</v>
      </c>
      <c r="P84" s="1777"/>
      <c r="Q84" s="78" t="str">
        <f>IF(OR(I93="",I93="No"),"No","Yes")</f>
        <v>No</v>
      </c>
      <c r="R84" s="771"/>
    </row>
    <row r="85" spans="2:18" ht="15" customHeight="1" x14ac:dyDescent="0.25">
      <c r="B85" s="611"/>
      <c r="C85" s="8"/>
      <c r="D85" s="8"/>
      <c r="E85" s="8"/>
      <c r="F85" s="8"/>
      <c r="G85" s="8"/>
      <c r="H85" s="8"/>
      <c r="I85" s="8"/>
      <c r="N85" s="770"/>
      <c r="O85" s="1730" t="s">
        <v>2718</v>
      </c>
      <c r="P85" s="1783"/>
      <c r="Q85" s="941"/>
      <c r="R85" s="771"/>
    </row>
    <row r="86" spans="2:18" ht="15" customHeight="1" x14ac:dyDescent="0.25">
      <c r="B86" s="611"/>
      <c r="C86" s="1155" t="s">
        <v>3032</v>
      </c>
      <c r="D86" s="1155"/>
      <c r="E86" s="1155"/>
      <c r="F86" s="1155"/>
      <c r="G86" s="1155"/>
      <c r="H86" s="1324"/>
      <c r="I86" s="355"/>
      <c r="N86" s="770"/>
      <c r="O86" s="633"/>
      <c r="P86" s="633"/>
      <c r="Q86" s="633"/>
      <c r="R86" s="771"/>
    </row>
    <row r="87" spans="2:18" ht="15" customHeight="1" x14ac:dyDescent="0.25">
      <c r="B87" s="611"/>
      <c r="C87" s="1155" t="s">
        <v>3033</v>
      </c>
      <c r="D87" s="1155"/>
      <c r="E87" s="1155"/>
      <c r="F87" s="1155"/>
      <c r="G87" s="1155"/>
      <c r="H87" s="1324"/>
      <c r="I87" s="355"/>
      <c r="N87" s="770"/>
      <c r="O87" s="633" t="s">
        <v>2443</v>
      </c>
      <c r="P87" s="633"/>
      <c r="Q87" s="633"/>
      <c r="R87" s="771"/>
    </row>
    <row r="88" spans="2:18" ht="15" customHeight="1" x14ac:dyDescent="0.25">
      <c r="B88" s="611"/>
      <c r="C88" s="1155" t="s">
        <v>3034</v>
      </c>
      <c r="D88" s="1155"/>
      <c r="E88" s="1155"/>
      <c r="F88" s="1155"/>
      <c r="G88" s="1155"/>
      <c r="H88" s="1324"/>
      <c r="I88" s="986" t="str">
        <f>IF(OR(Team!$E$334="Yes",Team!$E$355="Yes","Yes"),"Yes","No")</f>
        <v>No</v>
      </c>
      <c r="N88" s="770"/>
      <c r="O88" s="633"/>
      <c r="P88" s="633"/>
      <c r="Q88" s="633"/>
      <c r="R88" s="771"/>
    </row>
    <row r="89" spans="2:18" ht="15" customHeight="1" x14ac:dyDescent="0.25">
      <c r="B89" s="611"/>
      <c r="C89" s="1155" t="s">
        <v>2661</v>
      </c>
      <c r="D89" s="1155"/>
      <c r="E89" s="1155"/>
      <c r="F89" s="1155"/>
      <c r="G89" s="1155"/>
      <c r="H89" s="1324"/>
      <c r="I89" s="1247" t="str">
        <f>IF($I$233="Yes","N/A",IF(AND(Team!$E$318="",Team!$E$327=""),"",IF(Team!$E$327="",Team!$E$318,Team!$E$327)))</f>
        <v/>
      </c>
      <c r="J89" s="1247"/>
      <c r="K89" s="1247"/>
      <c r="N89" s="770"/>
      <c r="O89" s="1774"/>
      <c r="P89" s="1774"/>
      <c r="Q89" s="1774"/>
      <c r="R89" s="771"/>
    </row>
    <row r="90" spans="2:18" ht="15" customHeight="1" x14ac:dyDescent="0.25">
      <c r="B90" s="611"/>
      <c r="C90" s="1155" t="s">
        <v>3448</v>
      </c>
      <c r="D90" s="1155"/>
      <c r="E90" s="1155"/>
      <c r="F90" s="1155"/>
      <c r="G90" s="1155"/>
      <c r="H90" s="1324"/>
      <c r="I90" s="988"/>
      <c r="N90" s="770"/>
      <c r="O90" s="1774"/>
      <c r="P90" s="1774"/>
      <c r="Q90" s="1774"/>
      <c r="R90" s="771"/>
    </row>
    <row r="91" spans="2:18" ht="15" customHeight="1" x14ac:dyDescent="0.25">
      <c r="B91" s="611"/>
      <c r="C91" s="25"/>
      <c r="D91" s="25"/>
      <c r="E91" s="25"/>
      <c r="F91" s="25"/>
      <c r="G91" s="25"/>
      <c r="H91" s="25"/>
      <c r="I91" s="25"/>
      <c r="N91" s="770"/>
      <c r="O91" s="1774"/>
      <c r="P91" s="1774"/>
      <c r="Q91" s="1774"/>
      <c r="R91" s="771"/>
    </row>
    <row r="92" spans="2:18" ht="15" customHeight="1" x14ac:dyDescent="0.25">
      <c r="B92" s="611"/>
      <c r="C92" s="1296" t="s">
        <v>3062</v>
      </c>
      <c r="D92" s="1296"/>
      <c r="E92" s="1296"/>
      <c r="F92" s="1296"/>
      <c r="G92" s="1296"/>
      <c r="H92" s="1775"/>
      <c r="I92" s="203" t="str">
        <f>IF(AND(I86="Yes",I87="Yes",I88="No",I90="Yes"),"Yes","No")</f>
        <v>No</v>
      </c>
      <c r="J92" s="739"/>
      <c r="K92" s="739"/>
      <c r="N92" s="770"/>
      <c r="O92" s="1774"/>
      <c r="P92" s="1774"/>
      <c r="Q92" s="1774"/>
      <c r="R92" s="771"/>
    </row>
    <row r="93" spans="2:18" ht="15" customHeight="1" x14ac:dyDescent="0.25">
      <c r="B93" s="611"/>
      <c r="C93" s="1296" t="s">
        <v>3063</v>
      </c>
      <c r="D93" s="1296"/>
      <c r="E93" s="1296"/>
      <c r="F93" s="1296"/>
      <c r="G93" s="1296"/>
      <c r="H93" s="1775"/>
      <c r="I93" s="775"/>
      <c r="J93" s="739"/>
      <c r="K93" s="739"/>
      <c r="N93" s="770"/>
      <c r="O93" s="1774"/>
      <c r="P93" s="1774"/>
      <c r="Q93" s="1774"/>
      <c r="R93" s="771"/>
    </row>
    <row r="94" spans="2:18" ht="15" customHeight="1" x14ac:dyDescent="0.25">
      <c r="B94" s="611"/>
      <c r="C94" s="249"/>
      <c r="D94" s="249"/>
      <c r="E94" s="249"/>
      <c r="F94" s="249"/>
      <c r="G94" s="249"/>
      <c r="H94" s="249"/>
      <c r="I94" s="8"/>
      <c r="J94" s="739"/>
      <c r="K94" s="739"/>
      <c r="N94" s="772"/>
      <c r="O94" s="773"/>
      <c r="P94" s="773"/>
      <c r="Q94" s="773"/>
      <c r="R94" s="774"/>
    </row>
    <row r="95" spans="2:18" ht="15" customHeight="1" x14ac:dyDescent="0.25">
      <c r="B95" s="611"/>
      <c r="C95" s="249"/>
      <c r="D95" s="249"/>
      <c r="E95" s="249"/>
      <c r="F95" s="249"/>
      <c r="G95" s="249"/>
      <c r="H95" s="249"/>
      <c r="I95" s="8"/>
      <c r="J95" s="739"/>
      <c r="K95" s="739"/>
    </row>
    <row r="96" spans="2:18" ht="15" customHeight="1" x14ac:dyDescent="0.2">
      <c r="B96" s="746" t="s">
        <v>2477</v>
      </c>
      <c r="C96" s="1731" t="s">
        <v>3045</v>
      </c>
      <c r="D96" s="1731"/>
      <c r="E96" s="1731"/>
      <c r="F96" s="1731"/>
      <c r="G96" s="1731"/>
      <c r="H96" s="1731"/>
      <c r="I96" s="1731"/>
      <c r="J96" s="1731"/>
      <c r="K96" s="1731"/>
    </row>
    <row r="97" spans="2:18" ht="15" customHeight="1" x14ac:dyDescent="0.25">
      <c r="B97" s="611"/>
      <c r="C97" s="249"/>
      <c r="D97" s="249"/>
      <c r="E97" s="249"/>
      <c r="F97" s="249"/>
      <c r="G97" s="249"/>
      <c r="H97" s="249"/>
      <c r="I97" s="8"/>
      <c r="J97" s="739"/>
      <c r="K97" s="739"/>
    </row>
    <row r="98" spans="2:18" ht="15" customHeight="1" x14ac:dyDescent="0.25">
      <c r="B98" s="611"/>
      <c r="C98" s="1303" t="s">
        <v>3056</v>
      </c>
      <c r="D98" s="1303"/>
      <c r="E98" s="1303"/>
      <c r="F98" s="1303"/>
      <c r="G98" s="1303"/>
      <c r="H98" s="1303"/>
      <c r="I98" s="1303"/>
      <c r="J98" s="1303"/>
      <c r="K98" s="1303"/>
      <c r="N98" s="767"/>
      <c r="O98" s="768"/>
      <c r="P98" s="768"/>
      <c r="Q98" s="930"/>
      <c r="R98" s="769"/>
    </row>
    <row r="99" spans="2:18" ht="15" customHeight="1" x14ac:dyDescent="0.25">
      <c r="B99" s="611"/>
      <c r="C99" s="1303"/>
      <c r="D99" s="1303"/>
      <c r="E99" s="1303"/>
      <c r="F99" s="1303"/>
      <c r="G99" s="1303"/>
      <c r="H99" s="1303"/>
      <c r="I99" s="1303"/>
      <c r="J99" s="1303"/>
      <c r="K99" s="1303"/>
      <c r="N99" s="770"/>
      <c r="O99" s="1776" t="s">
        <v>3064</v>
      </c>
      <c r="P99" s="1777"/>
      <c r="Q99" s="766" t="str">
        <f>IF(OR(J121="",J121="No"),"No","Yes")</f>
        <v>No</v>
      </c>
      <c r="R99" s="771"/>
    </row>
    <row r="100" spans="2:18" ht="15" customHeight="1" x14ac:dyDescent="0.25">
      <c r="B100" s="611"/>
      <c r="C100" s="1303"/>
      <c r="D100" s="1303"/>
      <c r="E100" s="1303"/>
      <c r="F100" s="1303"/>
      <c r="G100" s="1303"/>
      <c r="H100" s="1303"/>
      <c r="I100" s="1303"/>
      <c r="J100" s="1303"/>
      <c r="K100" s="1303"/>
      <c r="N100" s="770"/>
      <c r="O100" s="1730" t="s">
        <v>3065</v>
      </c>
      <c r="P100" s="1730"/>
      <c r="Q100" s="941"/>
      <c r="R100" s="771"/>
    </row>
    <row r="101" spans="2:18" ht="15" customHeight="1" x14ac:dyDescent="0.25">
      <c r="B101" s="611"/>
      <c r="C101" s="1303"/>
      <c r="D101" s="1303"/>
      <c r="E101" s="1303"/>
      <c r="F101" s="1303"/>
      <c r="G101" s="1303"/>
      <c r="H101" s="1303"/>
      <c r="I101" s="1303"/>
      <c r="J101" s="1303"/>
      <c r="K101" s="1303"/>
      <c r="N101" s="770"/>
      <c r="O101" s="633"/>
      <c r="P101" s="633"/>
      <c r="Q101" s="932"/>
      <c r="R101" s="771"/>
    </row>
    <row r="102" spans="2:18" ht="15" customHeight="1" x14ac:dyDescent="0.25">
      <c r="B102" s="611"/>
      <c r="C102" s="1303"/>
      <c r="D102" s="1303"/>
      <c r="E102" s="1303"/>
      <c r="F102" s="1303"/>
      <c r="G102" s="1303"/>
      <c r="H102" s="1303"/>
      <c r="I102" s="1303"/>
      <c r="J102" s="1303"/>
      <c r="K102" s="1303"/>
      <c r="N102" s="770"/>
      <c r="O102" s="633" t="s">
        <v>2443</v>
      </c>
      <c r="P102" s="633"/>
      <c r="Q102" s="932"/>
      <c r="R102" s="771"/>
    </row>
    <row r="103" spans="2:18" ht="15" customHeight="1" x14ac:dyDescent="0.25">
      <c r="B103" s="611"/>
      <c r="C103" s="1303"/>
      <c r="D103" s="1303"/>
      <c r="E103" s="1303"/>
      <c r="F103" s="1303"/>
      <c r="G103" s="1303"/>
      <c r="H103" s="1303"/>
      <c r="I103" s="1303"/>
      <c r="J103" s="1303"/>
      <c r="K103" s="1303"/>
      <c r="N103" s="770"/>
      <c r="O103" s="633"/>
      <c r="P103" s="633"/>
      <c r="Q103" s="932"/>
      <c r="R103" s="771"/>
    </row>
    <row r="104" spans="2:18" ht="15" customHeight="1" x14ac:dyDescent="0.25">
      <c r="B104" s="611"/>
      <c r="C104" s="1303"/>
      <c r="D104" s="1303"/>
      <c r="E104" s="1303"/>
      <c r="F104" s="1303"/>
      <c r="G104" s="1303"/>
      <c r="H104" s="1303"/>
      <c r="I104" s="1303"/>
      <c r="J104" s="1303"/>
      <c r="K104" s="1303"/>
      <c r="N104" s="770"/>
      <c r="O104" s="1787"/>
      <c r="P104" s="1788"/>
      <c r="Q104" s="1789"/>
      <c r="R104" s="771"/>
    </row>
    <row r="105" spans="2:18" ht="15" customHeight="1" x14ac:dyDescent="0.25">
      <c r="B105" s="611"/>
      <c r="C105" s="94"/>
      <c r="D105" s="94"/>
      <c r="E105" s="94"/>
      <c r="F105" s="94"/>
      <c r="G105" s="94"/>
      <c r="H105" s="94"/>
      <c r="I105" s="94"/>
      <c r="J105" s="94"/>
      <c r="K105" s="94"/>
      <c r="N105" s="770"/>
      <c r="O105" s="1790"/>
      <c r="P105" s="1791"/>
      <c r="Q105" s="1792"/>
      <c r="R105" s="771"/>
    </row>
    <row r="106" spans="2:18" ht="15" customHeight="1" x14ac:dyDescent="0.25">
      <c r="B106" s="611"/>
      <c r="C106" s="1155" t="s">
        <v>3046</v>
      </c>
      <c r="D106" s="1155"/>
      <c r="E106" s="1155"/>
      <c r="F106" s="1155"/>
      <c r="G106" s="1155"/>
      <c r="H106" s="1155"/>
      <c r="I106" s="1324"/>
      <c r="J106" s="78" t="str">
        <f>IF(Details!$E$13="","Input Census Tract",VLOOKUP(Details!$E$13,Data!$B$11:$F$3178,5,FALSE))</f>
        <v>Input Census Tract</v>
      </c>
      <c r="N106" s="770"/>
      <c r="O106" s="1790"/>
      <c r="P106" s="1791"/>
      <c r="Q106" s="1792"/>
      <c r="R106" s="771"/>
    </row>
    <row r="107" spans="2:18" ht="15" customHeight="1" x14ac:dyDescent="0.25">
      <c r="B107" s="611"/>
      <c r="C107" s="1155" t="s">
        <v>3052</v>
      </c>
      <c r="D107" s="1155"/>
      <c r="E107" s="1155"/>
      <c r="F107" s="1155"/>
      <c r="G107" s="1155"/>
      <c r="H107" s="1155"/>
      <c r="I107" s="1324"/>
      <c r="J107" s="355"/>
      <c r="N107" s="770"/>
      <c r="O107" s="1790"/>
      <c r="P107" s="1791"/>
      <c r="Q107" s="1792"/>
      <c r="R107" s="771"/>
    </row>
    <row r="108" spans="2:18" ht="15" customHeight="1" x14ac:dyDescent="0.25">
      <c r="B108" s="611"/>
      <c r="C108" s="1155" t="s">
        <v>3058</v>
      </c>
      <c r="D108" s="1155"/>
      <c r="E108" s="1155"/>
      <c r="F108" s="1155"/>
      <c r="G108" s="1155"/>
      <c r="H108" s="1155"/>
      <c r="I108" s="1324"/>
      <c r="J108" s="355"/>
      <c r="N108" s="770"/>
      <c r="O108" s="1790"/>
      <c r="P108" s="1791"/>
      <c r="Q108" s="1792"/>
      <c r="R108" s="771"/>
    </row>
    <row r="109" spans="2:18" ht="15" customHeight="1" x14ac:dyDescent="0.25">
      <c r="B109" s="611"/>
      <c r="C109" s="1155" t="s">
        <v>3047</v>
      </c>
      <c r="D109" s="1155"/>
      <c r="E109" s="1155"/>
      <c r="F109" s="1155"/>
      <c r="G109" s="1155"/>
      <c r="H109" s="1155"/>
      <c r="I109" s="1324"/>
      <c r="J109" s="362"/>
      <c r="N109" s="770"/>
      <c r="O109" s="1790"/>
      <c r="P109" s="1791"/>
      <c r="Q109" s="1792"/>
      <c r="R109" s="771"/>
    </row>
    <row r="110" spans="2:18" ht="15" customHeight="1" x14ac:dyDescent="0.25">
      <c r="B110" s="611"/>
      <c r="C110" s="1236" t="s">
        <v>3048</v>
      </c>
      <c r="D110" s="1236"/>
      <c r="E110" s="1236"/>
      <c r="F110" s="1236"/>
      <c r="G110" s="1236"/>
      <c r="H110" s="1236"/>
      <c r="I110" s="1593"/>
      <c r="J110" s="78" t="str">
        <f>IF(J109="","",IF(J109&lt;EDATE(DATE(2025,2,26),-120),"Yes","No"))</f>
        <v/>
      </c>
      <c r="N110" s="770"/>
      <c r="O110" s="1790"/>
      <c r="P110" s="1791"/>
      <c r="Q110" s="1792"/>
      <c r="R110" s="771"/>
    </row>
    <row r="111" spans="2:18" ht="15" customHeight="1" x14ac:dyDescent="0.25">
      <c r="B111" s="611"/>
      <c r="C111" s="1236" t="s">
        <v>3049</v>
      </c>
      <c r="D111" s="1236"/>
      <c r="E111" s="1236"/>
      <c r="F111" s="1236"/>
      <c r="G111" s="1236"/>
      <c r="H111" s="1236"/>
      <c r="I111" s="1593"/>
      <c r="J111" s="355"/>
      <c r="N111" s="770"/>
      <c r="O111" s="1790"/>
      <c r="P111" s="1791"/>
      <c r="Q111" s="1792"/>
      <c r="R111" s="771"/>
    </row>
    <row r="112" spans="2:18" ht="15" customHeight="1" x14ac:dyDescent="0.25">
      <c r="B112" s="611"/>
      <c r="C112" s="1155" t="s">
        <v>3050</v>
      </c>
      <c r="D112" s="1155"/>
      <c r="E112" s="1155"/>
      <c r="F112" s="1155"/>
      <c r="G112" s="1155"/>
      <c r="H112" s="1155"/>
      <c r="I112" s="1324"/>
      <c r="J112" s="355"/>
      <c r="N112" s="770"/>
      <c r="O112" s="1790"/>
      <c r="P112" s="1791"/>
      <c r="Q112" s="1792"/>
      <c r="R112" s="771"/>
    </row>
    <row r="113" spans="2:18" ht="15" customHeight="1" x14ac:dyDescent="0.25">
      <c r="B113" s="611"/>
      <c r="C113" s="1236" t="s">
        <v>3053</v>
      </c>
      <c r="D113" s="1236"/>
      <c r="E113" s="1236"/>
      <c r="F113" s="1236"/>
      <c r="G113" s="1236"/>
      <c r="H113" s="1236"/>
      <c r="I113" s="1593"/>
      <c r="J113" s="355"/>
      <c r="N113" s="770"/>
      <c r="O113" s="1790"/>
      <c r="P113" s="1791"/>
      <c r="Q113" s="1792"/>
      <c r="R113" s="771"/>
    </row>
    <row r="114" spans="2:18" ht="15" customHeight="1" x14ac:dyDescent="0.25">
      <c r="B114" s="611"/>
      <c r="C114" s="1236" t="s">
        <v>3054</v>
      </c>
      <c r="D114" s="1236"/>
      <c r="E114" s="1236"/>
      <c r="F114" s="1236"/>
      <c r="G114" s="1236"/>
      <c r="H114" s="1236"/>
      <c r="I114" s="1593"/>
      <c r="J114" s="355"/>
      <c r="N114" s="770"/>
      <c r="O114" s="1790"/>
      <c r="P114" s="1791"/>
      <c r="Q114" s="1792"/>
      <c r="R114" s="771"/>
    </row>
    <row r="115" spans="2:18" ht="15" customHeight="1" x14ac:dyDescent="0.25">
      <c r="B115" s="611"/>
      <c r="C115" s="1236" t="s">
        <v>3055</v>
      </c>
      <c r="D115" s="1236"/>
      <c r="E115" s="1236"/>
      <c r="F115" s="1236"/>
      <c r="G115" s="1236"/>
      <c r="H115" s="1236"/>
      <c r="I115" s="1593"/>
      <c r="J115" s="355"/>
      <c r="N115" s="770"/>
      <c r="O115" s="1790"/>
      <c r="P115" s="1791"/>
      <c r="Q115" s="1792"/>
      <c r="R115" s="771"/>
    </row>
    <row r="116" spans="2:18" ht="15" customHeight="1" x14ac:dyDescent="0.25">
      <c r="B116" s="611"/>
      <c r="C116" s="1155" t="s">
        <v>3051</v>
      </c>
      <c r="D116" s="1155"/>
      <c r="E116" s="1155"/>
      <c r="F116" s="1155"/>
      <c r="G116" s="1155"/>
      <c r="H116" s="1155"/>
      <c r="I116" s="1324"/>
      <c r="J116" s="355"/>
      <c r="N116" s="770"/>
      <c r="O116" s="1790"/>
      <c r="P116" s="1791"/>
      <c r="Q116" s="1792"/>
      <c r="R116" s="771"/>
    </row>
    <row r="117" spans="2:18" ht="15" customHeight="1" x14ac:dyDescent="0.25">
      <c r="B117" s="611"/>
      <c r="C117" s="25" t="s">
        <v>3059</v>
      </c>
      <c r="D117" s="25"/>
      <c r="E117" s="25"/>
      <c r="F117" s="25"/>
      <c r="G117" s="25"/>
      <c r="H117" s="25"/>
      <c r="I117" s="883"/>
      <c r="J117" s="355"/>
      <c r="N117" s="770"/>
      <c r="O117" s="1790"/>
      <c r="P117" s="1791"/>
      <c r="Q117" s="1792"/>
      <c r="R117" s="771"/>
    </row>
    <row r="118" spans="2:18" ht="15" customHeight="1" x14ac:dyDescent="0.25">
      <c r="B118" s="611"/>
      <c r="C118" s="1155" t="s">
        <v>3057</v>
      </c>
      <c r="D118" s="1155"/>
      <c r="E118" s="1155"/>
      <c r="F118" s="1155"/>
      <c r="G118" s="1155"/>
      <c r="H118" s="1155"/>
      <c r="I118" s="1324"/>
      <c r="J118" s="355"/>
      <c r="K118" s="739"/>
      <c r="N118" s="770"/>
      <c r="O118" s="1790"/>
      <c r="P118" s="1791"/>
      <c r="Q118" s="1792"/>
      <c r="R118" s="771"/>
    </row>
    <row r="119" spans="2:18" ht="15" customHeight="1" x14ac:dyDescent="0.25">
      <c r="B119" s="611"/>
      <c r="C119" s="249"/>
      <c r="D119" s="249"/>
      <c r="E119" s="249"/>
      <c r="F119" s="249"/>
      <c r="G119" s="249"/>
      <c r="H119" s="249"/>
      <c r="I119" s="8"/>
      <c r="J119" s="739"/>
      <c r="K119" s="739"/>
      <c r="N119" s="770"/>
      <c r="O119" s="1790"/>
      <c r="P119" s="1791"/>
      <c r="Q119" s="1792"/>
      <c r="R119" s="771"/>
    </row>
    <row r="120" spans="2:18" ht="15" customHeight="1" x14ac:dyDescent="0.25">
      <c r="B120" s="611"/>
      <c r="C120" s="1296" t="s">
        <v>3060</v>
      </c>
      <c r="D120" s="1296"/>
      <c r="E120" s="1296"/>
      <c r="F120" s="1296"/>
      <c r="G120" s="1296"/>
      <c r="H120" s="1296"/>
      <c r="I120" s="1296"/>
      <c r="J120" s="925" t="str">
        <f>IF(AND(J106="Yes",J107="Yes",J108="Yes",OR(J110="No",AND(J110="Yes",J111="Yes")),J112="Yes",OR(J113="Yes",J114="Yes"),J115="Yes",J116="Yes",J117="No",J118="Yes"),"Yes","No")</f>
        <v>No</v>
      </c>
      <c r="K120" s="739"/>
      <c r="N120" s="770"/>
      <c r="O120" s="1793"/>
      <c r="P120" s="1794"/>
      <c r="Q120" s="1795"/>
      <c r="R120" s="771"/>
    </row>
    <row r="121" spans="2:18" ht="15" customHeight="1" x14ac:dyDescent="0.25">
      <c r="B121" s="611"/>
      <c r="C121" s="1296" t="s">
        <v>3061</v>
      </c>
      <c r="D121" s="1296"/>
      <c r="E121" s="1296"/>
      <c r="F121" s="1296"/>
      <c r="G121" s="1296"/>
      <c r="H121" s="1296"/>
      <c r="I121" s="1296"/>
      <c r="J121" s="775" t="s">
        <v>8</v>
      </c>
      <c r="K121" s="739"/>
      <c r="N121" s="772"/>
      <c r="O121" s="773"/>
      <c r="P121" s="773"/>
      <c r="Q121" s="933"/>
      <c r="R121" s="774"/>
    </row>
    <row r="122" spans="2:18" ht="15" customHeight="1" x14ac:dyDescent="0.25">
      <c r="B122" s="611"/>
      <c r="C122" s="249"/>
      <c r="D122" s="249"/>
      <c r="E122" s="249"/>
      <c r="F122" s="249"/>
      <c r="G122" s="249"/>
      <c r="H122" s="249"/>
      <c r="I122" s="8"/>
      <c r="J122" s="739"/>
      <c r="K122" s="739"/>
    </row>
    <row r="123" spans="2:18" ht="15" customHeight="1" x14ac:dyDescent="0.25">
      <c r="B123" s="611"/>
      <c r="C123" s="249"/>
      <c r="D123" s="249"/>
      <c r="E123" s="249"/>
      <c r="F123" s="249"/>
      <c r="G123" s="249"/>
      <c r="H123" s="249"/>
      <c r="I123" s="8"/>
      <c r="J123" s="739"/>
      <c r="K123" s="739"/>
    </row>
    <row r="124" spans="2:18" ht="15" customHeight="1" x14ac:dyDescent="0.2">
      <c r="B124" s="1748" t="s">
        <v>3044</v>
      </c>
      <c r="C124" s="1748"/>
      <c r="D124" s="1748"/>
      <c r="E124" s="1748"/>
      <c r="F124" s="1748"/>
      <c r="G124" s="1748"/>
      <c r="H124" s="1748"/>
      <c r="I124" s="1748"/>
      <c r="J124" s="1748"/>
    </row>
    <row r="125" spans="2:18" ht="3" customHeight="1" x14ac:dyDescent="0.2">
      <c r="B125" s="1749"/>
      <c r="C125" s="1749"/>
      <c r="D125" s="1749"/>
      <c r="E125" s="1749"/>
      <c r="F125" s="1749"/>
      <c r="G125" s="1749"/>
      <c r="H125" s="1749"/>
      <c r="I125" s="1749"/>
      <c r="J125" s="1749"/>
      <c r="K125" s="1749"/>
      <c r="L125" s="1749"/>
    </row>
    <row r="126" spans="2:18" ht="15" customHeight="1" x14ac:dyDescent="0.25">
      <c r="B126" s="611"/>
      <c r="C126" s="249"/>
      <c r="D126" s="249"/>
      <c r="E126" s="249"/>
      <c r="F126" s="249"/>
      <c r="G126" s="249"/>
      <c r="H126" s="249"/>
      <c r="I126" s="8"/>
      <c r="J126" s="739"/>
      <c r="K126" s="739"/>
    </row>
    <row r="127" spans="2:18" ht="15" customHeight="1" x14ac:dyDescent="0.25">
      <c r="B127" s="746" t="s">
        <v>2476</v>
      </c>
      <c r="C127" s="1731" t="s">
        <v>3271</v>
      </c>
      <c r="D127" s="1731"/>
      <c r="E127" s="1731"/>
      <c r="F127" s="1731"/>
      <c r="G127" s="1731"/>
      <c r="H127" s="1731"/>
      <c r="I127" s="131"/>
      <c r="J127" s="30"/>
      <c r="K127" s="30"/>
      <c r="N127" s="767"/>
      <c r="O127" s="768"/>
      <c r="P127" s="768"/>
      <c r="Q127" s="768"/>
      <c r="R127" s="769"/>
    </row>
    <row r="128" spans="2:18" ht="15" customHeight="1" x14ac:dyDescent="0.25">
      <c r="B128" s="611"/>
      <c r="C128" s="8"/>
      <c r="D128" s="8"/>
      <c r="E128" s="8"/>
      <c r="F128" s="8"/>
      <c r="G128" s="8"/>
      <c r="H128" s="8"/>
      <c r="I128" s="8"/>
      <c r="N128" s="770"/>
      <c r="O128" s="1776" t="s">
        <v>3279</v>
      </c>
      <c r="P128" s="1777"/>
      <c r="Q128" s="78" t="str">
        <f>IF(OR(J142="",J142="No"),"No","Yes")</f>
        <v>No</v>
      </c>
      <c r="R128" s="771"/>
    </row>
    <row r="129" spans="2:18" ht="15" customHeight="1" x14ac:dyDescent="0.25">
      <c r="B129" s="611"/>
      <c r="C129" s="1303" t="s">
        <v>3273</v>
      </c>
      <c r="D129" s="1303"/>
      <c r="E129" s="1303"/>
      <c r="F129" s="1303"/>
      <c r="G129" s="1303"/>
      <c r="H129" s="1303"/>
      <c r="I129" s="1303"/>
      <c r="J129" s="1303"/>
      <c r="K129" s="1303"/>
      <c r="N129" s="770"/>
      <c r="O129" s="1730" t="s">
        <v>3280</v>
      </c>
      <c r="P129" s="1730"/>
      <c r="Q129" s="941"/>
      <c r="R129" s="771"/>
    </row>
    <row r="130" spans="2:18" ht="15" customHeight="1" x14ac:dyDescent="0.25">
      <c r="B130" s="611"/>
      <c r="C130" s="1303"/>
      <c r="D130" s="1303"/>
      <c r="E130" s="1303"/>
      <c r="F130" s="1303"/>
      <c r="G130" s="1303"/>
      <c r="H130" s="1303"/>
      <c r="I130" s="1303"/>
      <c r="J130" s="1303"/>
      <c r="K130" s="1303"/>
      <c r="N130" s="770"/>
      <c r="O130" s="633"/>
      <c r="P130" s="633"/>
      <c r="Q130" s="633"/>
      <c r="R130" s="771"/>
    </row>
    <row r="131" spans="2:18" ht="15" customHeight="1" x14ac:dyDescent="0.25">
      <c r="B131" s="611"/>
      <c r="C131" s="1303"/>
      <c r="D131" s="1303"/>
      <c r="E131" s="1303"/>
      <c r="F131" s="1303"/>
      <c r="G131" s="1303"/>
      <c r="H131" s="1303"/>
      <c r="I131" s="1303"/>
      <c r="J131" s="1303"/>
      <c r="K131" s="1303"/>
      <c r="N131" s="770"/>
      <c r="O131" s="633" t="s">
        <v>2443</v>
      </c>
      <c r="P131" s="633"/>
      <c r="Q131" s="633"/>
      <c r="R131" s="771"/>
    </row>
    <row r="132" spans="2:18" ht="15" customHeight="1" x14ac:dyDescent="0.25">
      <c r="B132" s="611"/>
      <c r="C132" s="1303"/>
      <c r="D132" s="1303"/>
      <c r="E132" s="1303"/>
      <c r="F132" s="1303"/>
      <c r="G132" s="1303"/>
      <c r="H132" s="1303"/>
      <c r="I132" s="1303"/>
      <c r="J132" s="1303"/>
      <c r="K132" s="1303"/>
      <c r="N132" s="770"/>
      <c r="O132" s="633"/>
      <c r="P132" s="633"/>
      <c r="Q132" s="633"/>
      <c r="R132" s="771"/>
    </row>
    <row r="133" spans="2:18" ht="15" customHeight="1" x14ac:dyDescent="0.25">
      <c r="B133" s="611"/>
      <c r="C133" s="249"/>
      <c r="D133" s="249"/>
      <c r="E133" s="249"/>
      <c r="F133" s="249"/>
      <c r="G133" s="249"/>
      <c r="H133" s="249"/>
      <c r="I133" s="8"/>
      <c r="J133" s="739"/>
      <c r="K133" s="739"/>
      <c r="N133" s="770"/>
      <c r="O133" s="1774"/>
      <c r="P133" s="1774"/>
      <c r="Q133" s="1774"/>
      <c r="R133" s="771"/>
    </row>
    <row r="134" spans="2:18" ht="15" customHeight="1" x14ac:dyDescent="0.25">
      <c r="B134" s="611"/>
      <c r="C134" s="1155" t="s">
        <v>3505</v>
      </c>
      <c r="D134" s="1155"/>
      <c r="E134" s="1155"/>
      <c r="F134" s="1155"/>
      <c r="G134" s="1155"/>
      <c r="H134" s="1155"/>
      <c r="I134" s="1324"/>
      <c r="J134" s="89">
        <f>Revenue!$C$94</f>
        <v>0</v>
      </c>
      <c r="K134" s="739"/>
      <c r="N134" s="770"/>
      <c r="O134" s="1774"/>
      <c r="P134" s="1774"/>
      <c r="Q134" s="1774"/>
      <c r="R134" s="771"/>
    </row>
    <row r="135" spans="2:18" ht="15" customHeight="1" x14ac:dyDescent="0.25">
      <c r="B135" s="611"/>
      <c r="C135" s="1155" t="s">
        <v>3506</v>
      </c>
      <c r="D135" s="1155"/>
      <c r="E135" s="1155"/>
      <c r="F135" s="1155"/>
      <c r="G135" s="1155"/>
      <c r="H135" s="1155"/>
      <c r="I135" s="1324"/>
      <c r="J135" s="78">
        <f>SUMIF(Revenue!$M$47:$M$92,"&gt;0",Revenue!$C$47:$C$92)</f>
        <v>0</v>
      </c>
      <c r="K135" s="739"/>
      <c r="N135" s="770"/>
      <c r="O135" s="1774"/>
      <c r="P135" s="1774"/>
      <c r="Q135" s="1774"/>
      <c r="R135" s="771"/>
    </row>
    <row r="136" spans="2:18" ht="15" customHeight="1" x14ac:dyDescent="0.25">
      <c r="B136" s="611"/>
      <c r="C136" s="1155" t="s">
        <v>3507</v>
      </c>
      <c r="D136" s="1155"/>
      <c r="E136" s="1155"/>
      <c r="F136" s="1155"/>
      <c r="G136" s="1155"/>
      <c r="H136" s="1155"/>
      <c r="I136" s="1324"/>
      <c r="J136" s="975">
        <f>IF(J134=0,0,J135/J134)</f>
        <v>0</v>
      </c>
      <c r="K136" s="739"/>
      <c r="N136" s="770"/>
      <c r="O136" s="1774"/>
      <c r="P136" s="1774"/>
      <c r="Q136" s="1774"/>
      <c r="R136" s="771"/>
    </row>
    <row r="137" spans="2:18" ht="15" customHeight="1" x14ac:dyDescent="0.25">
      <c r="B137" s="611"/>
      <c r="C137" s="1155" t="s">
        <v>3508</v>
      </c>
      <c r="D137" s="1155"/>
      <c r="E137" s="1155"/>
      <c r="F137" s="1155"/>
      <c r="G137" s="1155"/>
      <c r="H137" s="1324"/>
      <c r="I137" s="1247" t="str" cm="1">
        <f t="array" ref="I137">_xlfn.LET(
    _xlpm.raw_list, _xlfn.UNIQUE(IF((Revenue!$N$47:$N$92="Select here") + (Revenue!$N$47:$N$92="N/A") + (Revenue!$N$47:$N$92=""), "", Revenue!$N$47:$N$92)),
    _xlpm.clean_list, _xlfn._xlws.FILTER(_xlpm.raw_list, _xlpm.raw_list&lt;&gt;"", "Empty"),
    _xlpm.is_empty, INDEX(_xlpm.clean_list, 1)="Empty",
    IF(_xlpm.is_empty, "N/A",
        _xlfn.LET(
            _xlpm.count, COUNTA(_xlpm.clean_list),
            _xlpm.joined, _xlfn.TEXTJOIN(", ", TRUE, _xlpm.clean_list),
            IF(_xlpm.count=1, _xlpm.joined,
            IF(_xlpm.count=2, _xlfn.TEXTJOIN(" and ", TRUE, _xlpm.clean_list),
            SUBSTITUTE(_xlpm.joined, ", ", ", and ", _xlpm.count-1)))
        )
    )
)</f>
        <v>N/A</v>
      </c>
      <c r="J137" s="1247"/>
      <c r="K137" s="739"/>
      <c r="N137" s="770"/>
      <c r="O137" s="1774"/>
      <c r="P137" s="1774"/>
      <c r="Q137" s="1774"/>
      <c r="R137" s="771"/>
    </row>
    <row r="138" spans="2:18" ht="15" customHeight="1" x14ac:dyDescent="0.25">
      <c r="B138" s="611"/>
      <c r="C138" s="1155"/>
      <c r="D138" s="1155"/>
      <c r="E138" s="1155"/>
      <c r="F138" s="1155"/>
      <c r="G138" s="1155"/>
      <c r="H138" s="1155"/>
      <c r="I138" s="1155"/>
      <c r="J138" s="25"/>
      <c r="K138" s="739"/>
      <c r="N138" s="770"/>
      <c r="O138" s="1774"/>
      <c r="P138" s="1774"/>
      <c r="Q138" s="1774"/>
      <c r="R138" s="771"/>
    </row>
    <row r="139" spans="2:18" ht="15" customHeight="1" x14ac:dyDescent="0.25">
      <c r="B139" s="611"/>
      <c r="C139" s="1155" t="s">
        <v>3509</v>
      </c>
      <c r="D139" s="1155"/>
      <c r="E139" s="1155"/>
      <c r="F139" s="1155"/>
      <c r="G139" s="1155"/>
      <c r="H139" s="1155"/>
      <c r="I139" s="1324"/>
      <c r="J139" s="78" t="str">
        <f>IF(Cashflow!$F$36&gt;0,"Yes","No")</f>
        <v>No</v>
      </c>
      <c r="K139" s="739"/>
      <c r="N139" s="770"/>
      <c r="O139" s="1774"/>
      <c r="P139" s="1774"/>
      <c r="Q139" s="1774"/>
      <c r="R139" s="771"/>
    </row>
    <row r="140" spans="2:18" ht="15" customHeight="1" x14ac:dyDescent="0.25">
      <c r="B140" s="611"/>
      <c r="C140" s="1155"/>
      <c r="D140" s="1155"/>
      <c r="E140" s="1155"/>
      <c r="F140" s="1155"/>
      <c r="G140" s="1155"/>
      <c r="H140" s="1155"/>
      <c r="I140" s="1155"/>
      <c r="J140" s="25"/>
      <c r="K140" s="739"/>
      <c r="N140" s="770"/>
      <c r="O140" s="1774"/>
      <c r="P140" s="1774"/>
      <c r="Q140" s="1774"/>
      <c r="R140" s="771"/>
    </row>
    <row r="141" spans="2:18" ht="15" customHeight="1" x14ac:dyDescent="0.25">
      <c r="B141" s="611"/>
      <c r="C141" s="1296" t="s">
        <v>3442</v>
      </c>
      <c r="D141" s="1296"/>
      <c r="E141" s="1296"/>
      <c r="F141" s="1296"/>
      <c r="G141" s="1296"/>
      <c r="H141" s="1296"/>
      <c r="I141" s="1775"/>
      <c r="J141" s="203" t="str">
        <f>IF(OR(J136&gt;=0.5,J139="Yes"),"Yes","No")</f>
        <v>No</v>
      </c>
      <c r="K141" s="739"/>
      <c r="N141" s="770"/>
      <c r="O141" s="1774"/>
      <c r="P141" s="1774"/>
      <c r="Q141" s="1774"/>
      <c r="R141" s="771"/>
    </row>
    <row r="142" spans="2:18" ht="15" customHeight="1" x14ac:dyDescent="0.25">
      <c r="B142" s="611"/>
      <c r="C142" s="1296" t="s">
        <v>3511</v>
      </c>
      <c r="D142" s="1296"/>
      <c r="E142" s="1296"/>
      <c r="F142" s="1296"/>
      <c r="G142" s="1296"/>
      <c r="H142" s="1296"/>
      <c r="I142" s="1775"/>
      <c r="J142" s="1059"/>
      <c r="K142" s="739"/>
      <c r="N142" s="770"/>
      <c r="O142" s="1774"/>
      <c r="P142" s="1774"/>
      <c r="Q142" s="1774"/>
      <c r="R142" s="771"/>
    </row>
    <row r="143" spans="2:18" ht="15" customHeight="1" x14ac:dyDescent="0.25">
      <c r="B143" s="611"/>
      <c r="C143" s="249"/>
      <c r="D143" s="249"/>
      <c r="E143" s="249"/>
      <c r="F143" s="249"/>
      <c r="G143" s="249"/>
      <c r="H143" s="249"/>
      <c r="I143" s="8"/>
      <c r="J143" s="739"/>
      <c r="K143" s="739"/>
      <c r="N143" s="772"/>
      <c r="O143" s="780"/>
      <c r="P143" s="780"/>
      <c r="Q143" s="780"/>
      <c r="R143" s="774"/>
    </row>
    <row r="144" spans="2:18" ht="15" customHeight="1" x14ac:dyDescent="0.25">
      <c r="B144" s="611"/>
      <c r="C144" s="249"/>
      <c r="D144" s="249"/>
      <c r="E144" s="249"/>
      <c r="F144" s="249"/>
      <c r="G144" s="249"/>
      <c r="H144" s="249"/>
      <c r="I144" s="8"/>
      <c r="J144" s="739"/>
      <c r="K144" s="739"/>
      <c r="O144" s="923"/>
      <c r="P144" s="923"/>
      <c r="Q144" s="923"/>
    </row>
    <row r="145" spans="2:18" ht="15" customHeight="1" x14ac:dyDescent="0.25">
      <c r="B145" s="746" t="s">
        <v>2477</v>
      </c>
      <c r="C145" s="1731" t="s">
        <v>3272</v>
      </c>
      <c r="D145" s="1731"/>
      <c r="E145" s="1731"/>
      <c r="F145" s="1731"/>
      <c r="G145" s="1731"/>
      <c r="H145" s="1731"/>
      <c r="I145" s="131"/>
      <c r="J145" s="30"/>
      <c r="K145" s="30"/>
      <c r="O145" s="889"/>
      <c r="P145" s="889"/>
      <c r="Q145" s="889"/>
    </row>
    <row r="146" spans="2:18" ht="15" customHeight="1" x14ac:dyDescent="0.25">
      <c r="B146" s="611"/>
      <c r="C146" s="8"/>
      <c r="D146" s="8"/>
      <c r="E146" s="8"/>
      <c r="F146" s="8"/>
      <c r="G146" s="8"/>
      <c r="H146" s="8"/>
      <c r="I146" s="8"/>
    </row>
    <row r="147" spans="2:18" ht="15" customHeight="1" x14ac:dyDescent="0.25">
      <c r="B147" s="611"/>
      <c r="C147" s="1303" t="s">
        <v>3274</v>
      </c>
      <c r="D147" s="1303"/>
      <c r="E147" s="1303"/>
      <c r="F147" s="1303"/>
      <c r="G147" s="1303"/>
      <c r="H147" s="1303"/>
      <c r="I147" s="1303"/>
      <c r="J147" s="1303"/>
      <c r="K147" s="1303"/>
      <c r="N147" s="767"/>
      <c r="O147" s="768"/>
      <c r="P147" s="768"/>
      <c r="Q147" s="768"/>
      <c r="R147" s="769"/>
    </row>
    <row r="148" spans="2:18" ht="15" customHeight="1" x14ac:dyDescent="0.25">
      <c r="B148" s="611"/>
      <c r="C148" s="1303"/>
      <c r="D148" s="1303"/>
      <c r="E148" s="1303"/>
      <c r="F148" s="1303"/>
      <c r="G148" s="1303"/>
      <c r="H148" s="1303"/>
      <c r="I148" s="1303"/>
      <c r="J148" s="1303"/>
      <c r="K148" s="1303"/>
      <c r="N148" s="770"/>
      <c r="O148" s="1776" t="s">
        <v>3279</v>
      </c>
      <c r="P148" s="1777"/>
      <c r="Q148" s="78" t="str">
        <f>IF(OR(J162="",J162="No"),"No",J162)</f>
        <v>No</v>
      </c>
      <c r="R148" s="771"/>
    </row>
    <row r="149" spans="2:18" ht="15" customHeight="1" x14ac:dyDescent="0.25">
      <c r="B149" s="611"/>
      <c r="C149" s="1303"/>
      <c r="D149" s="1303"/>
      <c r="E149" s="1303"/>
      <c r="F149" s="1303"/>
      <c r="G149" s="1303"/>
      <c r="H149" s="1303"/>
      <c r="I149" s="1303"/>
      <c r="J149" s="1303"/>
      <c r="K149" s="1303"/>
      <c r="N149" s="770"/>
      <c r="O149" s="1730" t="s">
        <v>3280</v>
      </c>
      <c r="P149" s="1730"/>
      <c r="Q149" s="941"/>
      <c r="R149" s="771"/>
    </row>
    <row r="150" spans="2:18" ht="15" customHeight="1" x14ac:dyDescent="0.25">
      <c r="B150" s="611"/>
      <c r="C150" s="1303"/>
      <c r="D150" s="1303"/>
      <c r="E150" s="1303"/>
      <c r="F150" s="1303"/>
      <c r="G150" s="1303"/>
      <c r="H150" s="1303"/>
      <c r="I150" s="1303"/>
      <c r="J150" s="1303"/>
      <c r="K150" s="1303"/>
      <c r="N150" s="770"/>
      <c r="O150" s="633"/>
      <c r="P150" s="633"/>
      <c r="Q150" s="633"/>
      <c r="R150" s="771"/>
    </row>
    <row r="151" spans="2:18" ht="15" customHeight="1" x14ac:dyDescent="0.25">
      <c r="B151" s="611"/>
      <c r="C151" s="249"/>
      <c r="D151" s="249"/>
      <c r="E151" s="249"/>
      <c r="F151" s="249"/>
      <c r="G151" s="249"/>
      <c r="H151" s="249"/>
      <c r="I151" s="8"/>
      <c r="J151" s="739"/>
      <c r="K151" s="739"/>
      <c r="N151" s="770"/>
      <c r="O151" s="633" t="s">
        <v>2443</v>
      </c>
      <c r="P151" s="633"/>
      <c r="Q151" s="633"/>
      <c r="R151" s="771"/>
    </row>
    <row r="152" spans="2:18" ht="15" customHeight="1" x14ac:dyDescent="0.25">
      <c r="B152" s="611"/>
      <c r="C152" s="1155" t="s">
        <v>3276</v>
      </c>
      <c r="D152" s="1155"/>
      <c r="E152" s="1155"/>
      <c r="F152" s="1155"/>
      <c r="G152" s="1155"/>
      <c r="H152" s="1155"/>
      <c r="I152" s="1324"/>
      <c r="J152" s="78" t="str">
        <f>IF(Details!G42="","No",Details!G42)</f>
        <v>No</v>
      </c>
      <c r="K152" s="739"/>
      <c r="N152" s="770"/>
      <c r="O152" s="633"/>
      <c r="P152" s="633"/>
      <c r="Q152" s="633"/>
      <c r="R152" s="771"/>
    </row>
    <row r="153" spans="2:18" ht="15" customHeight="1" x14ac:dyDescent="0.25">
      <c r="B153" s="611"/>
      <c r="C153" s="1155" t="s">
        <v>3293</v>
      </c>
      <c r="D153" s="1155"/>
      <c r="E153" s="1155"/>
      <c r="F153" s="1155"/>
      <c r="G153" s="1155"/>
      <c r="H153" s="1155"/>
      <c r="I153" s="1324"/>
      <c r="J153" s="1057"/>
      <c r="K153" s="739"/>
      <c r="N153" s="770"/>
      <c r="O153" s="1718"/>
      <c r="P153" s="1719"/>
      <c r="Q153" s="1720"/>
      <c r="R153" s="771"/>
    </row>
    <row r="154" spans="2:18" ht="15" customHeight="1" x14ac:dyDescent="0.25">
      <c r="B154" s="611"/>
      <c r="C154" s="1155" t="s">
        <v>3294</v>
      </c>
      <c r="D154" s="1155"/>
      <c r="E154" s="1155"/>
      <c r="F154" s="1155"/>
      <c r="G154" s="1155"/>
      <c r="H154" s="1155"/>
      <c r="I154" s="1324"/>
      <c r="J154" s="1058"/>
      <c r="K154" s="739"/>
      <c r="N154" s="770"/>
      <c r="O154" s="1721"/>
      <c r="P154" s="1722"/>
      <c r="Q154" s="1723"/>
      <c r="R154" s="771"/>
    </row>
    <row r="155" spans="2:18" ht="15" customHeight="1" x14ac:dyDescent="0.25">
      <c r="B155" s="611"/>
      <c r="C155" s="1577" t="s">
        <v>3295</v>
      </c>
      <c r="D155" s="1577"/>
      <c r="E155" s="1577"/>
      <c r="F155" s="1577"/>
      <c r="G155" s="1577"/>
      <c r="H155" s="1577"/>
      <c r="I155" s="1579"/>
      <c r="J155" s="78" t="str">
        <f>IF(J153="","",IF(J154="No",YEAR(J153),YEAR(J153)+1))</f>
        <v/>
      </c>
      <c r="K155" s="739"/>
      <c r="N155" s="770"/>
      <c r="O155" s="1721"/>
      <c r="P155" s="1722"/>
      <c r="Q155" s="1723"/>
      <c r="R155" s="771"/>
    </row>
    <row r="156" spans="2:18" ht="15" customHeight="1" x14ac:dyDescent="0.25">
      <c r="B156" s="611"/>
      <c r="C156" s="1577" t="s">
        <v>3296</v>
      </c>
      <c r="D156" s="1577"/>
      <c r="E156" s="1577"/>
      <c r="F156" s="1577"/>
      <c r="G156" s="1577"/>
      <c r="H156" s="1577"/>
      <c r="I156" s="1579"/>
      <c r="J156" s="986" t="str">
        <f ca="1">IFERROR(IF(J155="","",YEAR(TODAY())-J155-1)+1,"")</f>
        <v/>
      </c>
      <c r="K156" s="739"/>
      <c r="N156" s="770"/>
      <c r="O156" s="1721"/>
      <c r="P156" s="1722"/>
      <c r="Q156" s="1723"/>
      <c r="R156" s="771"/>
    </row>
    <row r="157" spans="2:18" ht="15" customHeight="1" x14ac:dyDescent="0.25">
      <c r="B157" s="611"/>
      <c r="C157" s="1155" t="s">
        <v>3510</v>
      </c>
      <c r="D157" s="1155"/>
      <c r="E157" s="1155"/>
      <c r="F157" s="1155"/>
      <c r="G157" s="1155"/>
      <c r="H157" s="1155"/>
      <c r="I157" s="1324"/>
      <c r="J157" s="188" t="e">
        <f>SUMIF(Revenue!$M$47:$M$92,"&gt;0",Revenue!$C$47:$C$92)/Revenue!$C$94</f>
        <v>#DIV/0!</v>
      </c>
      <c r="K157" s="739"/>
      <c r="N157" s="770"/>
      <c r="O157" s="1721"/>
      <c r="P157" s="1722"/>
      <c r="Q157" s="1723"/>
      <c r="R157" s="771"/>
    </row>
    <row r="158" spans="2:18" ht="15" customHeight="1" x14ac:dyDescent="0.25">
      <c r="B158" s="611"/>
      <c r="C158" s="1577" t="s">
        <v>3512</v>
      </c>
      <c r="D158" s="1577"/>
      <c r="E158" s="1577"/>
      <c r="F158" s="1577"/>
      <c r="G158" s="1577"/>
      <c r="H158" s="1577"/>
      <c r="I158" s="1579"/>
      <c r="J158" s="188" t="e">
        <f>IF(J157&gt;=0.5,"No","Yes")</f>
        <v>#DIV/0!</v>
      </c>
      <c r="K158" s="739"/>
      <c r="N158" s="770"/>
      <c r="O158" s="1721"/>
      <c r="P158" s="1722"/>
      <c r="Q158" s="1723"/>
      <c r="R158" s="771"/>
    </row>
    <row r="159" spans="2:18" ht="15" customHeight="1" x14ac:dyDescent="0.25">
      <c r="B159" s="611"/>
      <c r="C159" s="1155" t="s">
        <v>3509</v>
      </c>
      <c r="D159" s="1155"/>
      <c r="E159" s="1155"/>
      <c r="F159" s="1155"/>
      <c r="G159" s="1155"/>
      <c r="H159" s="1155"/>
      <c r="I159" s="1324"/>
      <c r="J159" s="78" t="str">
        <f>IF(Cashflow!$F$36&gt;0,"Yes","No")</f>
        <v>No</v>
      </c>
      <c r="K159" s="739"/>
      <c r="N159" s="770"/>
      <c r="O159" s="1721"/>
      <c r="P159" s="1722"/>
      <c r="Q159" s="1723"/>
      <c r="R159" s="771"/>
    </row>
    <row r="160" spans="2:18" ht="15" customHeight="1" x14ac:dyDescent="0.25">
      <c r="B160" s="611"/>
      <c r="C160" s="25"/>
      <c r="D160" s="25"/>
      <c r="E160" s="25"/>
      <c r="F160" s="25"/>
      <c r="G160" s="25"/>
      <c r="H160" s="25"/>
      <c r="I160" s="25"/>
      <c r="J160" s="25"/>
      <c r="K160" s="739"/>
      <c r="N160" s="770"/>
      <c r="O160" s="1721"/>
      <c r="P160" s="1722"/>
      <c r="Q160" s="1723"/>
      <c r="R160" s="771"/>
    </row>
    <row r="161" spans="2:18" ht="15" customHeight="1" x14ac:dyDescent="0.25">
      <c r="B161" s="611"/>
      <c r="C161" s="1296" t="s">
        <v>3443</v>
      </c>
      <c r="D161" s="1296"/>
      <c r="E161" s="1296"/>
      <c r="F161" s="1296"/>
      <c r="G161" s="1296"/>
      <c r="H161" s="1296"/>
      <c r="I161" s="1775"/>
      <c r="J161" s="203" t="e">
        <f ca="1">IF(AND(J156&gt;15,J158="Yes"),"Yes","No")</f>
        <v>#DIV/0!</v>
      </c>
      <c r="K161" s="739"/>
      <c r="N161" s="770"/>
      <c r="O161" s="1724"/>
      <c r="P161" s="1725"/>
      <c r="Q161" s="1726"/>
      <c r="R161" s="771"/>
    </row>
    <row r="162" spans="2:18" ht="15" customHeight="1" x14ac:dyDescent="0.25">
      <c r="B162" s="611"/>
      <c r="C162" s="1296" t="s">
        <v>3444</v>
      </c>
      <c r="D162" s="1296"/>
      <c r="E162" s="1296"/>
      <c r="F162" s="1296"/>
      <c r="G162" s="1296"/>
      <c r="H162" s="1296"/>
      <c r="I162" s="1775"/>
      <c r="J162" s="1059"/>
      <c r="K162" s="739"/>
      <c r="N162" s="772"/>
      <c r="O162" s="780"/>
      <c r="P162" s="780"/>
      <c r="Q162" s="780"/>
      <c r="R162" s="774"/>
    </row>
    <row r="163" spans="2:18" ht="15" customHeight="1" x14ac:dyDescent="0.25">
      <c r="B163" s="611"/>
      <c r="C163" s="249"/>
      <c r="D163" s="249"/>
      <c r="E163" s="249"/>
      <c r="F163" s="249"/>
      <c r="G163" s="249"/>
      <c r="H163" s="249"/>
      <c r="I163" s="8"/>
      <c r="J163" s="739"/>
      <c r="K163" s="739"/>
      <c r="O163" s="923"/>
      <c r="P163" s="923"/>
      <c r="Q163" s="923"/>
    </row>
    <row r="164" spans="2:18" ht="15" customHeight="1" x14ac:dyDescent="0.25">
      <c r="B164" s="611"/>
      <c r="C164" s="249"/>
      <c r="D164" s="249"/>
      <c r="E164" s="249"/>
      <c r="F164" s="249"/>
      <c r="G164" s="249"/>
      <c r="H164" s="249"/>
      <c r="I164" s="8"/>
      <c r="J164" s="739"/>
      <c r="K164" s="739"/>
      <c r="O164" s="889"/>
      <c r="P164" s="889"/>
      <c r="Q164" s="889"/>
    </row>
    <row r="165" spans="2:18" ht="15" customHeight="1" x14ac:dyDescent="0.2">
      <c r="B165" s="1748" t="s">
        <v>2431</v>
      </c>
      <c r="C165" s="1748"/>
      <c r="D165" s="1748"/>
      <c r="E165" s="1748"/>
      <c r="F165" s="1748"/>
      <c r="G165" s="1748"/>
      <c r="H165" s="1748"/>
      <c r="I165" s="1748"/>
      <c r="J165" s="1748"/>
    </row>
    <row r="166" spans="2:18" ht="3" customHeight="1" x14ac:dyDescent="0.2">
      <c r="B166" s="1749"/>
      <c r="C166" s="1749"/>
      <c r="D166" s="1749"/>
      <c r="E166" s="1749"/>
      <c r="F166" s="1749"/>
      <c r="G166" s="1749"/>
      <c r="H166" s="1749"/>
      <c r="I166" s="1749"/>
      <c r="J166" s="1749"/>
      <c r="K166" s="1749"/>
      <c r="L166" s="1749"/>
    </row>
    <row r="167" spans="2:18" ht="15" customHeight="1" x14ac:dyDescent="0.25">
      <c r="B167" s="531"/>
      <c r="C167" s="8"/>
      <c r="D167" s="8"/>
      <c r="E167" s="8"/>
      <c r="F167" s="8"/>
      <c r="G167" s="8"/>
      <c r="H167" s="8"/>
      <c r="I167" s="8"/>
    </row>
    <row r="168" spans="2:18" ht="15" customHeight="1" x14ac:dyDescent="0.25">
      <c r="B168" s="614"/>
      <c r="C168" s="615"/>
      <c r="D168" s="616"/>
      <c r="E168" s="616"/>
      <c r="F168" s="616"/>
      <c r="G168" s="616"/>
      <c r="H168" s="616"/>
      <c r="I168" s="616"/>
      <c r="J168" s="616"/>
      <c r="K168" s="617"/>
      <c r="L168" s="618"/>
    </row>
    <row r="169" spans="2:18" ht="15" customHeight="1" x14ac:dyDescent="0.2">
      <c r="B169" s="619"/>
      <c r="C169" s="1856" t="s">
        <v>2706</v>
      </c>
      <c r="D169" s="1856"/>
      <c r="E169" s="1856"/>
      <c r="F169" s="1856"/>
      <c r="G169" s="1856"/>
      <c r="H169" s="1856"/>
      <c r="I169" s="1856"/>
      <c r="J169" s="1856"/>
      <c r="K169" s="1856"/>
      <c r="L169" s="622"/>
    </row>
    <row r="170" spans="2:18" ht="15" customHeight="1" x14ac:dyDescent="0.2">
      <c r="B170" s="619"/>
      <c r="C170" s="621"/>
      <c r="D170" s="621"/>
      <c r="E170" s="620"/>
      <c r="F170" s="620"/>
      <c r="G170" s="620"/>
      <c r="H170" s="620"/>
      <c r="I170" s="620"/>
      <c r="J170" s="129"/>
      <c r="K170" s="129"/>
      <c r="L170" s="622"/>
    </row>
    <row r="171" spans="2:18" ht="15" customHeight="1" x14ac:dyDescent="0.2">
      <c r="B171" s="619"/>
      <c r="C171" s="1180" t="s">
        <v>2432</v>
      </c>
      <c r="D171" s="1180"/>
      <c r="E171" s="1180"/>
      <c r="F171" s="1180" t="s">
        <v>2433</v>
      </c>
      <c r="G171" s="1180"/>
      <c r="H171" s="1180"/>
      <c r="I171" s="1004" t="s">
        <v>2434</v>
      </c>
      <c r="J171" s="1004" t="s">
        <v>2435</v>
      </c>
      <c r="K171" s="1004" t="s">
        <v>301</v>
      </c>
      <c r="L171" s="622"/>
    </row>
    <row r="172" spans="2:18" ht="15" customHeight="1" x14ac:dyDescent="0.2">
      <c r="B172" s="619"/>
      <c r="C172" s="1150" t="str">
        <f>IF($D$22="General Occupancy", "Neighborhood Opportunity General Occupancy Index","Neighborhood Opportunity Senior Index")</f>
        <v>Neighborhood Opportunity Senior Index</v>
      </c>
      <c r="D172" s="1150"/>
      <c r="E172" s="1150"/>
      <c r="F172" s="1761">
        <v>40</v>
      </c>
      <c r="G172" s="1761"/>
      <c r="H172" s="1761"/>
      <c r="I172" s="920">
        <f>K195</f>
        <v>0</v>
      </c>
      <c r="J172" s="920">
        <f>Q194</f>
        <v>0</v>
      </c>
      <c r="K172" s="920">
        <f t="shared" ref="K172:K175" si="0">IFERROR(I172-J172,"")</f>
        <v>0</v>
      </c>
      <c r="L172" s="622"/>
    </row>
    <row r="173" spans="2:18" ht="15" customHeight="1" x14ac:dyDescent="0.2">
      <c r="B173" s="619"/>
      <c r="C173" s="1130" t="s">
        <v>2780</v>
      </c>
      <c r="D173" s="1131"/>
      <c r="E173" s="1132"/>
      <c r="F173" s="1784">
        <v>35</v>
      </c>
      <c r="G173" s="1785"/>
      <c r="H173" s="1786"/>
      <c r="I173" s="920">
        <f>K227</f>
        <v>0</v>
      </c>
      <c r="J173" s="920">
        <f>Q226</f>
        <v>0</v>
      </c>
      <c r="K173" s="920">
        <f t="shared" si="0"/>
        <v>0</v>
      </c>
      <c r="L173" s="622"/>
    </row>
    <row r="174" spans="2:18" ht="15" customHeight="1" thickBot="1" x14ac:dyDescent="0.25">
      <c r="B174" s="619"/>
      <c r="C174" s="1779" t="s">
        <v>2681</v>
      </c>
      <c r="D174" s="1779"/>
      <c r="E174" s="1779"/>
      <c r="F174" s="1780">
        <v>25</v>
      </c>
      <c r="G174" s="1780"/>
      <c r="H174" s="1780"/>
      <c r="I174" s="921">
        <f>K246</f>
        <v>0</v>
      </c>
      <c r="J174" s="921">
        <f>Q245</f>
        <v>0</v>
      </c>
      <c r="K174" s="921">
        <f t="shared" si="0"/>
        <v>0</v>
      </c>
      <c r="L174" s="622"/>
    </row>
    <row r="175" spans="2:18" ht="15" customHeight="1" thickTop="1" x14ac:dyDescent="0.2">
      <c r="B175" s="619"/>
      <c r="C175" s="1781" t="s">
        <v>2436</v>
      </c>
      <c r="D175" s="1781"/>
      <c r="E175" s="1781"/>
      <c r="F175" s="1782">
        <f>SUM(F172:H174)</f>
        <v>100</v>
      </c>
      <c r="G175" s="1782"/>
      <c r="H175" s="1782"/>
      <c r="I175" s="922">
        <f>SUM(I172:I174)</f>
        <v>0</v>
      </c>
      <c r="J175" s="922">
        <f>SUM(J172:J174)</f>
        <v>0</v>
      </c>
      <c r="K175" s="922">
        <f t="shared" si="0"/>
        <v>0</v>
      </c>
      <c r="L175" s="622"/>
    </row>
    <row r="176" spans="2:18" ht="15" customHeight="1" x14ac:dyDescent="0.2">
      <c r="B176" s="619"/>
      <c r="C176" s="94"/>
      <c r="D176" s="94"/>
      <c r="E176" s="94"/>
      <c r="F176" s="94"/>
      <c r="G176" s="94"/>
      <c r="H176" s="94"/>
      <c r="L176" s="622"/>
    </row>
    <row r="177" spans="2:18" ht="15" customHeight="1" x14ac:dyDescent="0.2">
      <c r="B177" s="619"/>
      <c r="C177" s="1231" t="s">
        <v>2437</v>
      </c>
      <c r="D177" s="1231"/>
      <c r="E177" s="1231"/>
      <c r="F177" s="1231" t="s">
        <v>2478</v>
      </c>
      <c r="G177" s="1231"/>
      <c r="H177" s="1231"/>
      <c r="I177" s="1031" t="s">
        <v>2438</v>
      </c>
      <c r="L177" s="622"/>
    </row>
    <row r="178" spans="2:18" ht="15" customHeight="1" x14ac:dyDescent="0.2">
      <c r="B178" s="619"/>
      <c r="C178" s="1893" t="s">
        <v>3074</v>
      </c>
      <c r="D178" s="1893"/>
      <c r="E178" s="1893"/>
      <c r="F178" s="1897" t="str">
        <f>I273</f>
        <v>Enter Census Tract</v>
      </c>
      <c r="G178" s="1897"/>
      <c r="H178" s="1897"/>
      <c r="I178" s="1060">
        <f>Q265</f>
        <v>0</v>
      </c>
      <c r="J178" s="623"/>
      <c r="K178" s="623"/>
      <c r="L178" s="622"/>
    </row>
    <row r="179" spans="2:18" ht="15" customHeight="1" x14ac:dyDescent="0.2">
      <c r="B179" s="619"/>
      <c r="C179" s="1877" t="s">
        <v>3514</v>
      </c>
      <c r="D179" s="1858"/>
      <c r="E179" s="1858"/>
      <c r="F179" s="1878" t="str">
        <f>IF(J142="Yes",I274,"")</f>
        <v/>
      </c>
      <c r="G179" s="1879"/>
      <c r="H179" s="1880"/>
      <c r="I179" s="1060">
        <f t="shared" ref="I179:I186" si="1">Q266</f>
        <v>0</v>
      </c>
      <c r="J179" s="623"/>
      <c r="K179" s="623"/>
      <c r="L179" s="622"/>
    </row>
    <row r="180" spans="2:18" ht="15" customHeight="1" x14ac:dyDescent="0.2">
      <c r="B180" s="619"/>
      <c r="C180" s="1450" t="s">
        <v>3513</v>
      </c>
      <c r="D180" s="1870"/>
      <c r="E180" s="1870"/>
      <c r="F180" s="1881" t="str">
        <f>IF(J162="Yes",I275,"N/A")</f>
        <v>N/A</v>
      </c>
      <c r="G180" s="1882"/>
      <c r="H180" s="1883"/>
      <c r="I180" s="970" t="str">
        <f>IF(J162="Yes",Q267,"N/A")</f>
        <v>N/A</v>
      </c>
      <c r="J180" s="623"/>
      <c r="K180" s="623"/>
      <c r="L180" s="622"/>
    </row>
    <row r="181" spans="2:18" ht="15" customHeight="1" x14ac:dyDescent="0.2">
      <c r="B181" s="619"/>
      <c r="C181" s="1365" t="s">
        <v>3075</v>
      </c>
      <c r="D181" s="1365"/>
      <c r="E181" s="1365"/>
      <c r="F181" s="1898">
        <f>Revenue!C101</f>
        <v>0</v>
      </c>
      <c r="G181" s="1898"/>
      <c r="H181" s="1898"/>
      <c r="I181" s="970">
        <f t="shared" si="1"/>
        <v>0</v>
      </c>
      <c r="J181" s="623"/>
      <c r="K181" s="623"/>
      <c r="L181" s="622"/>
    </row>
    <row r="182" spans="2:18" ht="15" customHeight="1" x14ac:dyDescent="0.2">
      <c r="B182" s="619"/>
      <c r="C182" s="1168" t="s">
        <v>3076</v>
      </c>
      <c r="D182" s="1169"/>
      <c r="E182" s="1170"/>
      <c r="F182" s="1763" t="str">
        <f>I277</f>
        <v>Input Census Tract</v>
      </c>
      <c r="G182" s="1763"/>
      <c r="H182" s="1763"/>
      <c r="I182" s="893">
        <f t="shared" si="1"/>
        <v>0</v>
      </c>
      <c r="J182" s="623"/>
      <c r="K182" s="623"/>
      <c r="L182" s="622"/>
    </row>
    <row r="183" spans="2:18" ht="15" customHeight="1" x14ac:dyDescent="0.2">
      <c r="B183" s="619"/>
      <c r="C183" s="1168" t="s">
        <v>3077</v>
      </c>
      <c r="D183" s="1169"/>
      <c r="E183" s="1170"/>
      <c r="F183" s="1763" t="str">
        <f>I278</f>
        <v>Input Census Tract</v>
      </c>
      <c r="G183" s="1763"/>
      <c r="H183" s="1763"/>
      <c r="I183" s="893">
        <f t="shared" si="1"/>
        <v>0</v>
      </c>
      <c r="J183" s="623"/>
      <c r="K183" s="623"/>
      <c r="L183" s="622"/>
    </row>
    <row r="184" spans="2:18" ht="15" customHeight="1" x14ac:dyDescent="0.2">
      <c r="B184" s="619"/>
      <c r="C184" s="1168" t="s">
        <v>3078</v>
      </c>
      <c r="D184" s="1169"/>
      <c r="E184" s="1170"/>
      <c r="F184" s="1763" t="str">
        <f>I279</f>
        <v>Input Census Tract</v>
      </c>
      <c r="G184" s="1763"/>
      <c r="H184" s="1763"/>
      <c r="I184" s="893">
        <f t="shared" si="1"/>
        <v>0</v>
      </c>
      <c r="J184" s="623"/>
      <c r="K184" s="623"/>
      <c r="L184" s="622"/>
    </row>
    <row r="185" spans="2:18" ht="15" customHeight="1" x14ac:dyDescent="0.2">
      <c r="B185" s="619"/>
      <c r="C185" s="1168" t="s">
        <v>3079</v>
      </c>
      <c r="D185" s="1169"/>
      <c r="E185" s="1170"/>
      <c r="F185" s="1762">
        <f>I280</f>
        <v>0</v>
      </c>
      <c r="G185" s="1762"/>
      <c r="H185" s="1762"/>
      <c r="I185" s="188">
        <f t="shared" si="1"/>
        <v>0</v>
      </c>
      <c r="J185" s="623"/>
      <c r="K185" s="623"/>
      <c r="L185" s="622"/>
    </row>
    <row r="186" spans="2:18" ht="15" customHeight="1" x14ac:dyDescent="0.2">
      <c r="B186" s="619"/>
      <c r="C186" s="1168" t="s">
        <v>3080</v>
      </c>
      <c r="D186" s="1169"/>
      <c r="E186" s="1170"/>
      <c r="F186" s="1798"/>
      <c r="G186" s="1799"/>
      <c r="H186" s="1800"/>
      <c r="I186" s="89">
        <f t="shared" si="1"/>
        <v>0</v>
      </c>
      <c r="J186" s="623"/>
      <c r="K186" s="623"/>
      <c r="L186" s="622"/>
    </row>
    <row r="187" spans="2:18" ht="15" customHeight="1" x14ac:dyDescent="0.2">
      <c r="B187" s="624"/>
      <c r="C187" s="625"/>
      <c r="D187" s="625"/>
      <c r="E187" s="592"/>
      <c r="F187" s="626"/>
      <c r="G187" s="626"/>
      <c r="H187" s="626"/>
      <c r="I187" s="593"/>
      <c r="J187" s="594"/>
      <c r="K187" s="594"/>
      <c r="L187" s="627"/>
    </row>
    <row r="188" spans="2:18" ht="15" customHeight="1" x14ac:dyDescent="0.25">
      <c r="C188" s="531"/>
      <c r="D188" s="8"/>
      <c r="E188" s="8"/>
      <c r="F188" s="8"/>
      <c r="G188" s="8"/>
      <c r="H188" s="8"/>
      <c r="I188" s="8"/>
      <c r="J188" s="8"/>
    </row>
    <row r="189" spans="2:18" ht="15" customHeight="1" x14ac:dyDescent="0.25">
      <c r="C189" s="531"/>
      <c r="D189" s="8"/>
      <c r="E189" s="8"/>
      <c r="F189" s="8"/>
      <c r="G189" s="8"/>
      <c r="H189" s="8"/>
      <c r="I189" s="8"/>
      <c r="J189" s="8"/>
    </row>
    <row r="190" spans="2:18" ht="15" customHeight="1" x14ac:dyDescent="0.2">
      <c r="B190" s="1748" t="s">
        <v>2439</v>
      </c>
      <c r="C190" s="1748"/>
      <c r="D190" s="1748"/>
      <c r="E190" s="1748"/>
      <c r="F190" s="1748"/>
      <c r="G190" s="1748"/>
      <c r="H190" s="1748"/>
      <c r="I190" s="1748"/>
      <c r="J190" s="1748"/>
      <c r="K190" s="1748"/>
      <c r="L190" s="1748"/>
      <c r="M190" s="609"/>
      <c r="N190" s="1748" t="s">
        <v>2440</v>
      </c>
      <c r="O190" s="1748"/>
      <c r="P190" s="1748"/>
      <c r="Q190" s="1748"/>
      <c r="R190" s="1748"/>
    </row>
    <row r="191" spans="2:18" ht="3" customHeight="1" x14ac:dyDescent="0.2">
      <c r="B191" s="1749"/>
      <c r="C191" s="1749"/>
      <c r="D191" s="1749"/>
      <c r="E191" s="1749"/>
      <c r="F191" s="1749"/>
      <c r="G191" s="1749"/>
      <c r="H191" s="1749"/>
      <c r="I191" s="1749"/>
      <c r="J191" s="1749"/>
      <c r="K191" s="1749"/>
      <c r="L191" s="1749"/>
      <c r="N191" s="1896"/>
      <c r="O191" s="1896"/>
      <c r="P191" s="1896"/>
      <c r="Q191" s="1896"/>
      <c r="R191" s="1896"/>
    </row>
    <row r="192" spans="2:18" ht="15" customHeight="1" x14ac:dyDescent="0.25">
      <c r="C192" s="531"/>
      <c r="D192" s="8"/>
      <c r="E192" s="8"/>
      <c r="F192" s="8"/>
      <c r="G192" s="8"/>
      <c r="H192" s="8"/>
      <c r="I192" s="8"/>
      <c r="J192" s="8"/>
      <c r="N192" s="1178"/>
      <c r="O192" s="1178"/>
    </row>
    <row r="193" spans="2:18" ht="15" customHeight="1" x14ac:dyDescent="0.25">
      <c r="B193" s="749"/>
      <c r="C193" s="750"/>
      <c r="D193" s="751"/>
      <c r="E193" s="751"/>
      <c r="F193" s="751"/>
      <c r="G193" s="751"/>
      <c r="H193" s="751"/>
      <c r="I193" s="751"/>
      <c r="J193" s="751"/>
      <c r="K193" s="762"/>
      <c r="L193" s="763"/>
      <c r="N193" s="767"/>
      <c r="O193" s="768"/>
      <c r="P193" s="768"/>
      <c r="Q193" s="768"/>
      <c r="R193" s="769"/>
    </row>
    <row r="194" spans="2:18" ht="15" customHeight="1" x14ac:dyDescent="0.2">
      <c r="B194" s="752"/>
      <c r="C194" s="1801" t="s">
        <v>3285</v>
      </c>
      <c r="D194" s="1801"/>
      <c r="E194" s="1801"/>
      <c r="F194" s="1801"/>
      <c r="G194" s="1801"/>
      <c r="H194" s="1801"/>
      <c r="I194" s="1802" t="s">
        <v>2441</v>
      </c>
      <c r="J194" s="1802"/>
      <c r="K194" s="893" t="str">
        <f>F222</f>
        <v/>
      </c>
      <c r="L194" s="757"/>
      <c r="N194" s="770"/>
      <c r="O194" s="1776" t="s">
        <v>3081</v>
      </c>
      <c r="P194" s="1776"/>
      <c r="Q194" s="917"/>
      <c r="R194" s="771"/>
    </row>
    <row r="195" spans="2:18" ht="15" customHeight="1" x14ac:dyDescent="0.2">
      <c r="B195" s="752"/>
      <c r="C195" s="753"/>
      <c r="D195" s="753"/>
      <c r="E195" s="754"/>
      <c r="F195" s="754"/>
      <c r="G195" s="754"/>
      <c r="H195" s="754"/>
      <c r="I195" s="1802" t="s">
        <v>2442</v>
      </c>
      <c r="J195" s="1802"/>
      <c r="K195" s="919"/>
      <c r="L195" s="757"/>
      <c r="N195" s="770"/>
      <c r="O195" s="633"/>
      <c r="P195" s="633"/>
      <c r="Q195" s="633"/>
      <c r="R195" s="771"/>
    </row>
    <row r="196" spans="2:18" ht="15" customHeight="1" x14ac:dyDescent="0.2">
      <c r="B196" s="752"/>
      <c r="C196" s="755" t="s">
        <v>3086</v>
      </c>
      <c r="D196" s="766">
        <v>40</v>
      </c>
      <c r="E196" s="755"/>
      <c r="F196" s="755"/>
      <c r="G196" s="755"/>
      <c r="H196" s="755"/>
      <c r="I196" s="755"/>
      <c r="J196" s="756"/>
      <c r="K196" s="756"/>
      <c r="L196" s="757"/>
      <c r="N196" s="770"/>
      <c r="O196" s="633" t="s">
        <v>2443</v>
      </c>
      <c r="P196" s="633"/>
      <c r="Q196" s="633"/>
      <c r="R196" s="771"/>
    </row>
    <row r="197" spans="2:18" ht="15" customHeight="1" x14ac:dyDescent="0.2">
      <c r="B197" s="752"/>
      <c r="C197" s="755"/>
      <c r="D197" s="755"/>
      <c r="E197" s="755"/>
      <c r="F197" s="755"/>
      <c r="G197" s="755"/>
      <c r="H197" s="755"/>
      <c r="I197" s="755"/>
      <c r="J197" s="756"/>
      <c r="K197" s="756"/>
      <c r="L197" s="757"/>
      <c r="N197" s="770"/>
      <c r="O197" s="633"/>
      <c r="P197" s="633"/>
      <c r="Q197" s="633"/>
      <c r="R197" s="771"/>
    </row>
    <row r="198" spans="2:18" ht="15" customHeight="1" x14ac:dyDescent="0.2">
      <c r="B198" s="752"/>
      <c r="C198" s="1803" t="s">
        <v>3196</v>
      </c>
      <c r="D198" s="1803"/>
      <c r="E198" s="1803"/>
      <c r="F198" s="1803"/>
      <c r="G198" s="1803"/>
      <c r="H198" s="1803"/>
      <c r="I198" s="1803"/>
      <c r="J198" s="1803"/>
      <c r="K198" s="1803"/>
      <c r="L198" s="757"/>
      <c r="N198" s="770"/>
      <c r="O198" s="1718"/>
      <c r="P198" s="1719"/>
      <c r="Q198" s="1720"/>
      <c r="R198" s="771"/>
    </row>
    <row r="199" spans="2:18" ht="15" customHeight="1" x14ac:dyDescent="0.2">
      <c r="B199" s="752"/>
      <c r="C199" s="1803"/>
      <c r="D199" s="1803"/>
      <c r="E199" s="1803"/>
      <c r="F199" s="1803"/>
      <c r="G199" s="1803"/>
      <c r="H199" s="1803"/>
      <c r="I199" s="1803"/>
      <c r="J199" s="1803"/>
      <c r="K199" s="1803"/>
      <c r="L199" s="757"/>
      <c r="N199" s="770"/>
      <c r="O199" s="1721"/>
      <c r="P199" s="1722"/>
      <c r="Q199" s="1723"/>
      <c r="R199" s="771"/>
    </row>
    <row r="200" spans="2:18" ht="15" customHeight="1" x14ac:dyDescent="0.2">
      <c r="B200" s="752"/>
      <c r="C200" s="1803"/>
      <c r="D200" s="1803"/>
      <c r="E200" s="1803"/>
      <c r="F200" s="1803"/>
      <c r="G200" s="1803"/>
      <c r="H200" s="1803"/>
      <c r="I200" s="1803"/>
      <c r="J200" s="1803"/>
      <c r="K200" s="1803"/>
      <c r="L200" s="757"/>
      <c r="N200" s="770"/>
      <c r="O200" s="1721"/>
      <c r="P200" s="1722"/>
      <c r="Q200" s="1723"/>
      <c r="R200" s="771"/>
    </row>
    <row r="201" spans="2:18" ht="15" customHeight="1" x14ac:dyDescent="0.2">
      <c r="B201" s="752"/>
      <c r="C201" s="1803"/>
      <c r="D201" s="1803"/>
      <c r="E201" s="1803"/>
      <c r="F201" s="1803"/>
      <c r="G201" s="1803"/>
      <c r="H201" s="1803"/>
      <c r="I201" s="1803"/>
      <c r="J201" s="1803"/>
      <c r="K201" s="1803"/>
      <c r="L201" s="757"/>
      <c r="N201" s="770"/>
      <c r="O201" s="1721"/>
      <c r="P201" s="1722"/>
      <c r="Q201" s="1723"/>
      <c r="R201" s="771"/>
    </row>
    <row r="202" spans="2:18" ht="15" customHeight="1" x14ac:dyDescent="0.2">
      <c r="B202" s="752"/>
      <c r="C202" s="1803"/>
      <c r="D202" s="1803"/>
      <c r="E202" s="1803"/>
      <c r="F202" s="1803"/>
      <c r="G202" s="1803"/>
      <c r="H202" s="1803"/>
      <c r="I202" s="1803"/>
      <c r="J202" s="1803"/>
      <c r="K202" s="1803"/>
      <c r="L202" s="757"/>
      <c r="N202" s="770"/>
      <c r="O202" s="1721"/>
      <c r="P202" s="1722"/>
      <c r="Q202" s="1723"/>
      <c r="R202" s="771"/>
    </row>
    <row r="203" spans="2:18" ht="15" customHeight="1" x14ac:dyDescent="0.2">
      <c r="B203" s="752"/>
      <c r="C203" s="755"/>
      <c r="D203" s="755"/>
      <c r="E203" s="755"/>
      <c r="F203" s="755"/>
      <c r="G203" s="755"/>
      <c r="H203" s="755"/>
      <c r="I203" s="755"/>
      <c r="J203" s="756"/>
      <c r="K203" s="756"/>
      <c r="L203" s="757"/>
      <c r="N203" s="770"/>
      <c r="O203" s="1721"/>
      <c r="P203" s="1722"/>
      <c r="Q203" s="1723"/>
      <c r="R203" s="771"/>
    </row>
    <row r="204" spans="2:18" ht="15" customHeight="1" x14ac:dyDescent="0.2">
      <c r="B204" s="752"/>
      <c r="C204" s="1803" t="s">
        <v>3283</v>
      </c>
      <c r="D204" s="1803"/>
      <c r="E204" s="1803"/>
      <c r="F204" s="1803"/>
      <c r="G204" s="1803"/>
      <c r="H204" s="1803"/>
      <c r="I204" s="1803"/>
      <c r="J204" s="1803"/>
      <c r="K204" s="1803"/>
      <c r="L204" s="757"/>
      <c r="N204" s="770"/>
      <c r="O204" s="1721"/>
      <c r="P204" s="1722"/>
      <c r="Q204" s="1723"/>
      <c r="R204" s="771"/>
    </row>
    <row r="205" spans="2:18" ht="15" customHeight="1" x14ac:dyDescent="0.2">
      <c r="B205" s="752"/>
      <c r="C205" s="1803"/>
      <c r="D205" s="1803"/>
      <c r="E205" s="1803"/>
      <c r="F205" s="1803"/>
      <c r="G205" s="1803"/>
      <c r="H205" s="1803"/>
      <c r="I205" s="1803"/>
      <c r="J205" s="1803"/>
      <c r="K205" s="1803"/>
      <c r="L205" s="757"/>
      <c r="N205" s="770"/>
      <c r="O205" s="1721"/>
      <c r="P205" s="1722"/>
      <c r="Q205" s="1723"/>
      <c r="R205" s="771"/>
    </row>
    <row r="206" spans="2:18" ht="15" customHeight="1" x14ac:dyDescent="0.2">
      <c r="B206" s="752"/>
      <c r="C206" s="1803"/>
      <c r="D206" s="1803"/>
      <c r="E206" s="1803"/>
      <c r="F206" s="1803"/>
      <c r="G206" s="1803"/>
      <c r="H206" s="1803"/>
      <c r="I206" s="1803"/>
      <c r="J206" s="1803"/>
      <c r="K206" s="1803"/>
      <c r="L206" s="757"/>
      <c r="N206" s="770"/>
      <c r="O206" s="1721"/>
      <c r="P206" s="1722"/>
      <c r="Q206" s="1723"/>
      <c r="R206" s="771"/>
    </row>
    <row r="207" spans="2:18" ht="15" customHeight="1" x14ac:dyDescent="0.2">
      <c r="B207" s="752"/>
      <c r="C207" s="1803"/>
      <c r="D207" s="1803"/>
      <c r="E207" s="1803"/>
      <c r="F207" s="1803"/>
      <c r="G207" s="1803"/>
      <c r="H207" s="1803"/>
      <c r="I207" s="1803"/>
      <c r="J207" s="1803"/>
      <c r="K207" s="1803"/>
      <c r="L207" s="757"/>
      <c r="N207" s="770"/>
      <c r="O207" s="1721"/>
      <c r="P207" s="1722"/>
      <c r="Q207" s="1723"/>
      <c r="R207" s="771"/>
    </row>
    <row r="208" spans="2:18" ht="15" customHeight="1" x14ac:dyDescent="0.2">
      <c r="B208" s="752"/>
      <c r="C208" s="755"/>
      <c r="D208" s="755"/>
      <c r="E208" s="755"/>
      <c r="F208" s="755"/>
      <c r="G208" s="755"/>
      <c r="H208" s="755"/>
      <c r="I208" s="755"/>
      <c r="J208" s="756"/>
      <c r="K208" s="756"/>
      <c r="L208" s="757"/>
      <c r="N208" s="770"/>
      <c r="O208" s="1721"/>
      <c r="P208" s="1722"/>
      <c r="Q208" s="1723"/>
      <c r="R208" s="771"/>
    </row>
    <row r="209" spans="2:18" ht="15" customHeight="1" x14ac:dyDescent="0.2">
      <c r="B209" s="752"/>
      <c r="C209" s="1803" t="s">
        <v>3284</v>
      </c>
      <c r="D209" s="1803"/>
      <c r="E209" s="1803"/>
      <c r="F209" s="1803"/>
      <c r="G209" s="1803"/>
      <c r="H209" s="1803"/>
      <c r="I209" s="1803"/>
      <c r="J209" s="1803"/>
      <c r="K209" s="1803"/>
      <c r="L209" s="757"/>
      <c r="N209" s="770"/>
      <c r="O209" s="1721"/>
      <c r="P209" s="1722"/>
      <c r="Q209" s="1723"/>
      <c r="R209" s="771"/>
    </row>
    <row r="210" spans="2:18" ht="15" customHeight="1" x14ac:dyDescent="0.2">
      <c r="B210" s="752"/>
      <c r="C210" s="1803"/>
      <c r="D210" s="1803"/>
      <c r="E210" s="1803"/>
      <c r="F210" s="1803"/>
      <c r="G210" s="1803"/>
      <c r="H210" s="1803"/>
      <c r="I210" s="1803"/>
      <c r="J210" s="1803"/>
      <c r="K210" s="1803"/>
      <c r="L210" s="757"/>
      <c r="N210" s="770"/>
      <c r="O210" s="1721"/>
      <c r="P210" s="1722"/>
      <c r="Q210" s="1723"/>
      <c r="R210" s="771"/>
    </row>
    <row r="211" spans="2:18" ht="15" customHeight="1" x14ac:dyDescent="0.2">
      <c r="B211" s="752"/>
      <c r="C211" s="755"/>
      <c r="D211" s="755"/>
      <c r="E211" s="755"/>
      <c r="F211" s="755"/>
      <c r="G211" s="755"/>
      <c r="H211" s="755"/>
      <c r="I211" s="755"/>
      <c r="J211" s="756"/>
      <c r="K211" s="756"/>
      <c r="L211" s="757"/>
      <c r="N211" s="770"/>
      <c r="O211" s="1721"/>
      <c r="P211" s="1722"/>
      <c r="Q211" s="1723"/>
      <c r="R211" s="771"/>
    </row>
    <row r="212" spans="2:18" ht="15" customHeight="1" x14ac:dyDescent="0.2">
      <c r="B212" s="752"/>
      <c r="C212" s="1826" t="s">
        <v>3084</v>
      </c>
      <c r="D212" s="1826"/>
      <c r="E212" s="1826"/>
      <c r="F212" s="1826"/>
      <c r="G212" s="1826"/>
      <c r="H212" s="1826"/>
      <c r="I212" s="1826"/>
      <c r="J212" s="1826"/>
      <c r="K212" s="1826"/>
      <c r="L212" s="757"/>
      <c r="N212" s="770"/>
      <c r="O212" s="1721"/>
      <c r="P212" s="1722"/>
      <c r="Q212" s="1723"/>
      <c r="R212" s="771"/>
    </row>
    <row r="213" spans="2:18" ht="15" customHeight="1" x14ac:dyDescent="0.2">
      <c r="B213" s="752"/>
      <c r="C213" s="1826"/>
      <c r="D213" s="1826"/>
      <c r="E213" s="1826"/>
      <c r="F213" s="1826"/>
      <c r="G213" s="1826"/>
      <c r="H213" s="1826"/>
      <c r="I213" s="1826"/>
      <c r="J213" s="1826"/>
      <c r="K213" s="1826"/>
      <c r="L213" s="757"/>
      <c r="N213" s="770"/>
      <c r="O213" s="1721"/>
      <c r="P213" s="1722"/>
      <c r="Q213" s="1723"/>
      <c r="R213" s="771"/>
    </row>
    <row r="214" spans="2:18" ht="15" customHeight="1" x14ac:dyDescent="0.2">
      <c r="B214" s="752"/>
      <c r="C214" s="1826"/>
      <c r="D214" s="1826"/>
      <c r="E214" s="1826"/>
      <c r="F214" s="1826"/>
      <c r="G214" s="1826"/>
      <c r="H214" s="1826"/>
      <c r="I214" s="1826"/>
      <c r="J214" s="1826"/>
      <c r="K214" s="1826"/>
      <c r="L214" s="757"/>
      <c r="N214" s="770"/>
      <c r="O214" s="1721"/>
      <c r="P214" s="1722"/>
      <c r="Q214" s="1723"/>
      <c r="R214" s="771"/>
    </row>
    <row r="215" spans="2:18" ht="15" customHeight="1" x14ac:dyDescent="0.2">
      <c r="B215" s="758"/>
      <c r="C215" s="759"/>
      <c r="D215" s="759"/>
      <c r="E215" s="759"/>
      <c r="F215" s="759"/>
      <c r="G215" s="759"/>
      <c r="H215" s="759"/>
      <c r="I215" s="759"/>
      <c r="J215" s="760"/>
      <c r="K215" s="760"/>
      <c r="L215" s="761"/>
      <c r="N215" s="770"/>
      <c r="O215" s="1721"/>
      <c r="P215" s="1722"/>
      <c r="Q215" s="1723"/>
      <c r="R215" s="771"/>
    </row>
    <row r="216" spans="2:18" ht="15" customHeight="1" x14ac:dyDescent="0.2">
      <c r="B216" s="619"/>
      <c r="C216" s="635"/>
      <c r="D216" s="635"/>
      <c r="E216" s="635"/>
      <c r="F216" s="635"/>
      <c r="G216" s="635"/>
      <c r="H216" s="635"/>
      <c r="I216" s="635"/>
      <c r="L216" s="622"/>
      <c r="N216" s="770"/>
      <c r="O216" s="1721"/>
      <c r="P216" s="1722"/>
      <c r="Q216" s="1723"/>
      <c r="R216" s="771"/>
    </row>
    <row r="217" spans="2:18" ht="15" customHeight="1" x14ac:dyDescent="0.2">
      <c r="B217" s="619"/>
      <c r="C217" s="1175" t="s">
        <v>3087</v>
      </c>
      <c r="D217" s="1175"/>
      <c r="E217" s="1176"/>
      <c r="F217" s="1816" t="str">
        <f>IF(Details!$E$13="","",Details!$E$13)</f>
        <v/>
      </c>
      <c r="G217" s="1816"/>
      <c r="H217" s="1816"/>
      <c r="I217" s="1816"/>
      <c r="J217" s="747"/>
      <c r="K217" s="748"/>
      <c r="L217" s="622"/>
      <c r="N217" s="770"/>
      <c r="O217" s="1721"/>
      <c r="P217" s="1722"/>
      <c r="Q217" s="1723"/>
      <c r="R217" s="771"/>
    </row>
    <row r="218" spans="2:18" ht="15" customHeight="1" x14ac:dyDescent="0.2">
      <c r="B218" s="619"/>
      <c r="C218" s="1175" t="s">
        <v>3088</v>
      </c>
      <c r="D218" s="1175"/>
      <c r="E218" s="1176"/>
      <c r="F218" s="1816" t="str">
        <f>IF(F217="","",CONCATENATE("Tract ",VLOOKUP(F217,Data!$B$11:$D$3178,2,FALSE),", ",VLOOKUP(F217,Data!$B$11:$D$3178,3,FALSE)," County"))</f>
        <v/>
      </c>
      <c r="G218" s="1816"/>
      <c r="H218" s="1816"/>
      <c r="I218" s="1816"/>
      <c r="J218" s="747"/>
      <c r="K218" s="748"/>
      <c r="L218" s="622"/>
      <c r="N218" s="770"/>
      <c r="O218" s="1721"/>
      <c r="P218" s="1722"/>
      <c r="Q218" s="1723"/>
      <c r="R218" s="771"/>
    </row>
    <row r="219" spans="2:18" ht="15" customHeight="1" x14ac:dyDescent="0.2">
      <c r="B219" s="619"/>
      <c r="C219" s="1175" t="s">
        <v>3286</v>
      </c>
      <c r="D219" s="1175"/>
      <c r="E219" s="1176"/>
      <c r="F219" s="1202" t="str">
        <f>IF(Details!$J$15="","",Details!$J$15)</f>
        <v/>
      </c>
      <c r="G219" s="1887"/>
      <c r="H219" s="1887"/>
      <c r="I219" s="1203"/>
      <c r="J219" s="747"/>
      <c r="K219" s="748"/>
      <c r="L219" s="622"/>
      <c r="N219" s="770"/>
      <c r="O219" s="1721"/>
      <c r="P219" s="1722"/>
      <c r="Q219" s="1723"/>
      <c r="R219" s="771"/>
    </row>
    <row r="220" spans="2:18" ht="15" customHeight="1" x14ac:dyDescent="0.2">
      <c r="B220" s="619"/>
      <c r="C220" s="1175" t="s">
        <v>3287</v>
      </c>
      <c r="D220" s="1175"/>
      <c r="E220" s="1176"/>
      <c r="F220" s="1867" t="str">
        <f>IF(F219="","",IF(F219="General Occupancy",IFERROR(VLOOKUP(F217,Data!$B$11:$J$3178,6,FALSE),"Enter Census Tract"),"N/A"))</f>
        <v/>
      </c>
      <c r="G220" s="1868"/>
      <c r="H220" s="1868"/>
      <c r="I220" s="1869"/>
      <c r="J220" s="747"/>
      <c r="K220" s="748"/>
      <c r="L220" s="622"/>
      <c r="N220" s="770"/>
      <c r="O220" s="1721"/>
      <c r="P220" s="1722"/>
      <c r="Q220" s="1723"/>
      <c r="R220" s="771"/>
    </row>
    <row r="221" spans="2:18" ht="15" customHeight="1" x14ac:dyDescent="0.2">
      <c r="B221" s="619"/>
      <c r="C221" s="1175" t="s">
        <v>3288</v>
      </c>
      <c r="D221" s="1175"/>
      <c r="E221" s="1176"/>
      <c r="F221" s="1867" t="str">
        <f>IF(F219="","",IF(LEFT(F219,6)="Senior",IFERROR(VLOOKUP(F217,Data!$B$11:$J$3178,7,FALSE),"Enter Census Tract"),"N/A"))</f>
        <v/>
      </c>
      <c r="G221" s="1868"/>
      <c r="H221" s="1868"/>
      <c r="I221" s="1869"/>
      <c r="J221" s="747"/>
      <c r="K221" s="748"/>
      <c r="L221" s="622"/>
      <c r="N221" s="770"/>
      <c r="O221" s="1721"/>
      <c r="P221" s="1722"/>
      <c r="Q221" s="1723"/>
      <c r="R221" s="771"/>
    </row>
    <row r="222" spans="2:18" ht="15" customHeight="1" x14ac:dyDescent="0.2">
      <c r="B222" s="619"/>
      <c r="C222" s="1175" t="s">
        <v>3089</v>
      </c>
      <c r="D222" s="1175"/>
      <c r="E222" s="1176"/>
      <c r="F222" s="1797" t="str">
        <f>IF(AND(F220="",F221=""),"",IF(AND(F220&gt;0,F221="N/A"),F220*0.4,F221*0.4))</f>
        <v/>
      </c>
      <c r="G222" s="1797"/>
      <c r="H222" s="1797"/>
      <c r="I222" s="1797"/>
      <c r="J222" s="747"/>
      <c r="K222" s="748"/>
      <c r="L222" s="622"/>
      <c r="N222" s="770"/>
      <c r="O222" s="1724"/>
      <c r="P222" s="1725"/>
      <c r="Q222" s="1726"/>
      <c r="R222" s="771"/>
    </row>
    <row r="223" spans="2:18" ht="15" customHeight="1" x14ac:dyDescent="0.25">
      <c r="B223" s="624"/>
      <c r="C223" s="636"/>
      <c r="D223" s="637"/>
      <c r="E223" s="637"/>
      <c r="F223" s="637"/>
      <c r="G223" s="637"/>
      <c r="H223" s="637"/>
      <c r="I223" s="637"/>
      <c r="J223" s="637"/>
      <c r="K223" s="628"/>
      <c r="L223" s="627"/>
      <c r="N223" s="772"/>
      <c r="O223" s="773"/>
      <c r="P223" s="773"/>
      <c r="Q223" s="773"/>
      <c r="R223" s="774"/>
    </row>
    <row r="224" spans="2:18" ht="15" customHeight="1" x14ac:dyDescent="0.25">
      <c r="C224" s="531"/>
      <c r="D224" s="8"/>
      <c r="E224" s="8"/>
      <c r="F224" s="8"/>
      <c r="G224" s="8"/>
      <c r="H224" s="8"/>
      <c r="I224" s="8"/>
      <c r="J224" s="8"/>
    </row>
    <row r="225" spans="2:18" ht="15" customHeight="1" x14ac:dyDescent="0.25">
      <c r="B225" s="661"/>
      <c r="C225" s="662"/>
      <c r="D225" s="663"/>
      <c r="E225" s="663"/>
      <c r="F225" s="663"/>
      <c r="G225" s="663"/>
      <c r="H225" s="663"/>
      <c r="I225" s="663"/>
      <c r="J225" s="663"/>
      <c r="K225" s="664"/>
      <c r="L225" s="665"/>
      <c r="N225" s="767"/>
      <c r="O225" s="768"/>
      <c r="P225" s="768"/>
      <c r="Q225" s="768"/>
      <c r="R225" s="769"/>
    </row>
    <row r="226" spans="2:18" ht="15" customHeight="1" x14ac:dyDescent="0.2">
      <c r="B226" s="666"/>
      <c r="C226" s="1804" t="s">
        <v>3104</v>
      </c>
      <c r="D226" s="1804"/>
      <c r="E226" s="1804"/>
      <c r="F226" s="674"/>
      <c r="G226" s="674"/>
      <c r="H226" s="674"/>
      <c r="I226" s="1805" t="s">
        <v>2441</v>
      </c>
      <c r="J226" s="1805"/>
      <c r="K226" s="893" t="str">
        <f>F241</f>
        <v/>
      </c>
      <c r="L226" s="672"/>
      <c r="N226" s="770"/>
      <c r="O226" s="1776" t="s">
        <v>3092</v>
      </c>
      <c r="P226" s="1776"/>
      <c r="Q226" s="917"/>
      <c r="R226" s="771"/>
    </row>
    <row r="227" spans="2:18" ht="15" customHeight="1" x14ac:dyDescent="0.2">
      <c r="B227" s="666"/>
      <c r="C227" s="675"/>
      <c r="D227" s="674"/>
      <c r="E227" s="674"/>
      <c r="F227" s="674"/>
      <c r="G227" s="674"/>
      <c r="H227" s="674"/>
      <c r="I227" s="1805" t="s">
        <v>2442</v>
      </c>
      <c r="J227" s="1805"/>
      <c r="K227" s="917"/>
      <c r="L227" s="672"/>
      <c r="N227" s="770"/>
      <c r="O227" s="633"/>
      <c r="P227" s="633"/>
      <c r="Q227" s="633"/>
      <c r="R227" s="771"/>
    </row>
    <row r="228" spans="2:18" ht="15" customHeight="1" x14ac:dyDescent="0.25">
      <c r="B228" s="666"/>
      <c r="C228" s="755" t="s">
        <v>3086</v>
      </c>
      <c r="D228" s="766">
        <v>35</v>
      </c>
      <c r="E228" s="667"/>
      <c r="F228" s="667"/>
      <c r="G228" s="667"/>
      <c r="H228" s="667"/>
      <c r="I228" s="667"/>
      <c r="J228" s="676"/>
      <c r="K228" s="668"/>
      <c r="L228" s="672"/>
      <c r="N228" s="770"/>
      <c r="O228" s="633" t="s">
        <v>2443</v>
      </c>
      <c r="P228" s="633"/>
      <c r="Q228" s="633"/>
      <c r="R228" s="771"/>
    </row>
    <row r="229" spans="2:18" ht="15" customHeight="1" x14ac:dyDescent="0.25">
      <c r="B229" s="666"/>
      <c r="C229" s="667"/>
      <c r="D229" s="667"/>
      <c r="E229" s="667"/>
      <c r="F229" s="667"/>
      <c r="G229" s="667"/>
      <c r="H229" s="667"/>
      <c r="I229" s="667"/>
      <c r="J229" s="676"/>
      <c r="K229" s="668"/>
      <c r="L229" s="672"/>
      <c r="N229" s="770"/>
      <c r="O229" s="633"/>
      <c r="P229" s="633"/>
      <c r="Q229" s="633"/>
      <c r="R229" s="771"/>
    </row>
    <row r="230" spans="2:18" ht="15" customHeight="1" x14ac:dyDescent="0.2">
      <c r="B230" s="666"/>
      <c r="C230" s="1806" t="s">
        <v>3090</v>
      </c>
      <c r="D230" s="1806"/>
      <c r="E230" s="1806"/>
      <c r="F230" s="1806"/>
      <c r="G230" s="1806"/>
      <c r="H230" s="1806"/>
      <c r="I230" s="1806"/>
      <c r="J230" s="1806"/>
      <c r="K230" s="1806"/>
      <c r="L230" s="672"/>
      <c r="N230" s="770"/>
      <c r="O230" s="1807"/>
      <c r="P230" s="1808"/>
      <c r="Q230" s="1809"/>
      <c r="R230" s="771"/>
    </row>
    <row r="231" spans="2:18" ht="15" customHeight="1" x14ac:dyDescent="0.2">
      <c r="B231" s="666"/>
      <c r="C231" s="1806"/>
      <c r="D231" s="1806"/>
      <c r="E231" s="1806"/>
      <c r="F231" s="1806"/>
      <c r="G231" s="1806"/>
      <c r="H231" s="1806"/>
      <c r="I231" s="1806"/>
      <c r="J231" s="1806"/>
      <c r="K231" s="1806"/>
      <c r="L231" s="672"/>
      <c r="N231" s="770"/>
      <c r="O231" s="1810"/>
      <c r="P231" s="1154"/>
      <c r="Q231" s="1811"/>
      <c r="R231" s="771"/>
    </row>
    <row r="232" spans="2:18" ht="15" customHeight="1" x14ac:dyDescent="0.2">
      <c r="B232" s="666"/>
      <c r="C232" s="1806"/>
      <c r="D232" s="1806"/>
      <c r="E232" s="1806"/>
      <c r="F232" s="1806"/>
      <c r="G232" s="1806"/>
      <c r="H232" s="1806"/>
      <c r="I232" s="1806"/>
      <c r="J232" s="1806"/>
      <c r="K232" s="1806"/>
      <c r="L232" s="672"/>
      <c r="N232" s="770"/>
      <c r="O232" s="1810"/>
      <c r="P232" s="1154"/>
      <c r="Q232" s="1811"/>
      <c r="R232" s="771"/>
    </row>
    <row r="233" spans="2:18" ht="15" customHeight="1" x14ac:dyDescent="0.2">
      <c r="B233" s="666"/>
      <c r="C233" s="1806"/>
      <c r="D233" s="1806"/>
      <c r="E233" s="1806"/>
      <c r="F233" s="1806"/>
      <c r="G233" s="1806"/>
      <c r="H233" s="1806"/>
      <c r="I233" s="1806"/>
      <c r="J233" s="1806"/>
      <c r="K233" s="1806"/>
      <c r="L233" s="672"/>
      <c r="N233" s="770"/>
      <c r="O233" s="1810"/>
      <c r="P233" s="1154"/>
      <c r="Q233" s="1811"/>
      <c r="R233" s="771"/>
    </row>
    <row r="234" spans="2:18" ht="15" customHeight="1" x14ac:dyDescent="0.2">
      <c r="B234" s="666"/>
      <c r="C234" s="1815" t="s">
        <v>3091</v>
      </c>
      <c r="D234" s="1815"/>
      <c r="E234" s="1815"/>
      <c r="F234" s="1815"/>
      <c r="G234" s="1815"/>
      <c r="H234" s="1815"/>
      <c r="I234" s="1815"/>
      <c r="J234" s="1815"/>
      <c r="K234" s="1815"/>
      <c r="L234" s="672"/>
      <c r="N234" s="770"/>
      <c r="O234" s="1810"/>
      <c r="P234" s="1154"/>
      <c r="Q234" s="1811"/>
      <c r="R234" s="771"/>
    </row>
    <row r="235" spans="2:18" ht="15" customHeight="1" x14ac:dyDescent="0.2">
      <c r="B235" s="666"/>
      <c r="C235" s="1815"/>
      <c r="D235" s="1815"/>
      <c r="E235" s="1815"/>
      <c r="F235" s="1815"/>
      <c r="G235" s="1815"/>
      <c r="H235" s="1815"/>
      <c r="I235" s="1815"/>
      <c r="J235" s="1815"/>
      <c r="K235" s="1815"/>
      <c r="L235" s="672"/>
      <c r="N235" s="770"/>
      <c r="O235" s="1810"/>
      <c r="P235" s="1154"/>
      <c r="Q235" s="1811"/>
      <c r="R235" s="771"/>
    </row>
    <row r="236" spans="2:18" ht="15" customHeight="1" x14ac:dyDescent="0.25">
      <c r="B236" s="666"/>
      <c r="C236" s="895"/>
      <c r="D236" s="895"/>
      <c r="E236" s="895"/>
      <c r="F236" s="895"/>
      <c r="G236" s="895"/>
      <c r="H236" s="895"/>
      <c r="I236" s="895"/>
      <c r="J236" s="676"/>
      <c r="K236" s="668"/>
      <c r="L236" s="672"/>
      <c r="N236" s="770"/>
      <c r="O236" s="1810"/>
      <c r="P236" s="1154"/>
      <c r="Q236" s="1811"/>
      <c r="R236" s="771"/>
    </row>
    <row r="237" spans="2:18" ht="15" customHeight="1" x14ac:dyDescent="0.25">
      <c r="B237" s="896"/>
      <c r="C237" s="897"/>
      <c r="D237" s="897"/>
      <c r="E237" s="897"/>
      <c r="F237" s="897"/>
      <c r="G237" s="897"/>
      <c r="H237" s="897"/>
      <c r="I237" s="897"/>
      <c r="J237" s="898"/>
      <c r="K237" s="899"/>
      <c r="L237" s="900"/>
      <c r="N237" s="770"/>
      <c r="O237" s="1810"/>
      <c r="P237" s="1154"/>
      <c r="Q237" s="1811"/>
      <c r="R237" s="771"/>
    </row>
    <row r="238" spans="2:18" ht="15" customHeight="1" x14ac:dyDescent="0.25">
      <c r="B238" s="901"/>
      <c r="C238" s="1175" t="s">
        <v>3087</v>
      </c>
      <c r="D238" s="1175"/>
      <c r="E238" s="1176"/>
      <c r="F238" s="1816" t="str">
        <f>IF(Details!$E$13="","",Details!$E$13)</f>
        <v/>
      </c>
      <c r="G238" s="1816"/>
      <c r="H238" s="1816"/>
      <c r="I238" s="1816"/>
      <c r="J238" s="8"/>
      <c r="L238" s="902"/>
      <c r="N238" s="770"/>
      <c r="O238" s="1810"/>
      <c r="P238" s="1154"/>
      <c r="Q238" s="1811"/>
      <c r="R238" s="771"/>
    </row>
    <row r="239" spans="2:18" ht="15" customHeight="1" x14ac:dyDescent="0.25">
      <c r="B239" s="901"/>
      <c r="C239" s="1175" t="s">
        <v>3088</v>
      </c>
      <c r="D239" s="1175"/>
      <c r="E239" s="1176"/>
      <c r="F239" s="1816" t="str">
        <f>IF(F238="","",CONCATENATE("Tract ",VLOOKUP(F238,Data!$B$11:$D$3178,2,FALSE),", ",VLOOKUP(F238,Data!$B$11:$D$3178,3,FALSE)," County"))</f>
        <v/>
      </c>
      <c r="G239" s="1816"/>
      <c r="H239" s="1816"/>
      <c r="I239" s="1816"/>
      <c r="J239" s="8"/>
      <c r="L239" s="902"/>
      <c r="N239" s="770"/>
      <c r="O239" s="1810"/>
      <c r="P239" s="1154"/>
      <c r="Q239" s="1811"/>
      <c r="R239" s="771"/>
    </row>
    <row r="240" spans="2:18" ht="15" customHeight="1" x14ac:dyDescent="0.25">
      <c r="B240" s="901"/>
      <c r="C240" s="1175" t="s">
        <v>3211</v>
      </c>
      <c r="D240" s="1175"/>
      <c r="E240" s="1176"/>
      <c r="F240" s="1797" t="str">
        <f>IF(F238="","",(VLOOKUP(F238,Data!$B$11:$J$3178,8,FALSE)))</f>
        <v/>
      </c>
      <c r="G240" s="1797"/>
      <c r="H240" s="1797"/>
      <c r="I240" s="1797"/>
      <c r="J240" s="8"/>
      <c r="L240" s="902"/>
      <c r="N240" s="770"/>
      <c r="O240" s="1810"/>
      <c r="P240" s="1154"/>
      <c r="Q240" s="1811"/>
      <c r="R240" s="771"/>
    </row>
    <row r="241" spans="2:18" ht="15" customHeight="1" x14ac:dyDescent="0.25">
      <c r="B241" s="901"/>
      <c r="C241" s="1175" t="s">
        <v>3212</v>
      </c>
      <c r="D241" s="1175"/>
      <c r="E241" s="1176"/>
      <c r="F241" s="1797" t="str">
        <f>IF(F238="","",F240*0.35)</f>
        <v/>
      </c>
      <c r="G241" s="1797"/>
      <c r="H241" s="1797"/>
      <c r="I241" s="1797"/>
      <c r="J241" s="8"/>
      <c r="L241" s="902"/>
      <c r="N241" s="770"/>
      <c r="O241" s="1812"/>
      <c r="P241" s="1813"/>
      <c r="Q241" s="1814"/>
      <c r="R241" s="771"/>
    </row>
    <row r="242" spans="2:18" ht="15" customHeight="1" x14ac:dyDescent="0.25">
      <c r="B242" s="903"/>
      <c r="C242" s="904"/>
      <c r="D242" s="904"/>
      <c r="E242" s="904"/>
      <c r="F242" s="904"/>
      <c r="G242" s="904"/>
      <c r="H242" s="904"/>
      <c r="I242" s="904"/>
      <c r="J242" s="905"/>
      <c r="K242" s="906"/>
      <c r="L242" s="907"/>
      <c r="N242" s="772"/>
      <c r="O242" s="908"/>
      <c r="P242" s="908"/>
      <c r="Q242" s="908"/>
      <c r="R242" s="774"/>
    </row>
    <row r="243" spans="2:18" ht="15" customHeight="1" x14ac:dyDescent="0.25">
      <c r="C243" s="531"/>
      <c r="D243" s="8"/>
      <c r="E243" s="8"/>
      <c r="F243" s="8"/>
      <c r="G243" s="8"/>
      <c r="H243" s="8"/>
      <c r="I243" s="8"/>
      <c r="J243" s="8"/>
    </row>
    <row r="244" spans="2:18" ht="15" customHeight="1" x14ac:dyDescent="0.25">
      <c r="B244" s="661"/>
      <c r="C244" s="662"/>
      <c r="D244" s="663"/>
      <c r="E244" s="663"/>
      <c r="F244" s="663"/>
      <c r="G244" s="663"/>
      <c r="H244" s="663"/>
      <c r="I244" s="663"/>
      <c r="J244" s="663"/>
      <c r="K244" s="664"/>
      <c r="L244" s="665"/>
      <c r="N244" s="629"/>
      <c r="O244" s="630"/>
      <c r="P244" s="630"/>
      <c r="Q244" s="630"/>
      <c r="R244" s="631"/>
    </row>
    <row r="245" spans="2:18" ht="15" customHeight="1" x14ac:dyDescent="0.2">
      <c r="B245" s="666"/>
      <c r="C245" s="1804" t="s">
        <v>3438</v>
      </c>
      <c r="D245" s="1804"/>
      <c r="E245" s="1804"/>
      <c r="F245" s="1804"/>
      <c r="G245" s="1804"/>
      <c r="H245" s="1804"/>
      <c r="I245" s="1805" t="s">
        <v>2441</v>
      </c>
      <c r="J245" s="1827"/>
      <c r="K245" s="918">
        <f>F261</f>
        <v>25</v>
      </c>
      <c r="L245" s="672"/>
      <c r="N245" s="632"/>
      <c r="O245" s="1776" t="s">
        <v>2704</v>
      </c>
      <c r="P245" s="1776"/>
      <c r="Q245" s="917"/>
      <c r="R245" s="634"/>
    </row>
    <row r="246" spans="2:18" ht="15" customHeight="1" x14ac:dyDescent="0.2">
      <c r="B246" s="666"/>
      <c r="C246" s="678"/>
      <c r="D246" s="674"/>
      <c r="E246" s="674"/>
      <c r="F246" s="674"/>
      <c r="G246" s="674"/>
      <c r="H246" s="674"/>
      <c r="I246" s="1805" t="s">
        <v>2442</v>
      </c>
      <c r="J246" s="1827"/>
      <c r="K246" s="917"/>
      <c r="L246" s="672"/>
      <c r="N246" s="632"/>
      <c r="O246" s="633"/>
      <c r="P246" s="633"/>
      <c r="Q246" s="633"/>
      <c r="R246" s="634"/>
    </row>
    <row r="247" spans="2:18" ht="15" customHeight="1" x14ac:dyDescent="0.2">
      <c r="B247" s="666"/>
      <c r="C247" s="755" t="s">
        <v>3086</v>
      </c>
      <c r="D247" s="766">
        <v>25</v>
      </c>
      <c r="E247" s="674"/>
      <c r="F247" s="674"/>
      <c r="G247" s="674"/>
      <c r="H247" s="674"/>
      <c r="I247" s="885"/>
      <c r="J247" s="885"/>
      <c r="K247" s="909"/>
      <c r="L247" s="672"/>
      <c r="N247" s="632"/>
      <c r="O247" s="633" t="s">
        <v>2443</v>
      </c>
      <c r="P247" s="633"/>
      <c r="Q247" s="633"/>
      <c r="R247" s="634"/>
    </row>
    <row r="248" spans="2:18" ht="15" customHeight="1" x14ac:dyDescent="0.2">
      <c r="B248" s="666"/>
      <c r="C248" s="678"/>
      <c r="D248" s="674"/>
      <c r="E248" s="674"/>
      <c r="F248" s="674"/>
      <c r="G248" s="674"/>
      <c r="H248" s="674"/>
      <c r="I248" s="885"/>
      <c r="J248" s="885"/>
      <c r="K248" s="909"/>
      <c r="L248" s="672"/>
      <c r="N248" s="632"/>
      <c r="O248" s="633"/>
      <c r="P248" s="633"/>
      <c r="Q248" s="633"/>
      <c r="R248" s="634"/>
    </row>
    <row r="249" spans="2:18" ht="15" customHeight="1" x14ac:dyDescent="0.2">
      <c r="B249" s="666"/>
      <c r="C249" s="1806" t="s">
        <v>3093</v>
      </c>
      <c r="D249" s="1806"/>
      <c r="E249" s="1806"/>
      <c r="F249" s="1806"/>
      <c r="G249" s="1806"/>
      <c r="H249" s="1806"/>
      <c r="I249" s="1806"/>
      <c r="J249" s="1806"/>
      <c r="K249" s="1806"/>
      <c r="L249" s="672"/>
      <c r="N249" s="632"/>
      <c r="O249" s="1718"/>
      <c r="P249" s="1719"/>
      <c r="Q249" s="1720"/>
      <c r="R249" s="634"/>
    </row>
    <row r="250" spans="2:18" ht="15" customHeight="1" x14ac:dyDescent="0.2">
      <c r="B250" s="666"/>
      <c r="C250" s="1806"/>
      <c r="D250" s="1806"/>
      <c r="E250" s="1806"/>
      <c r="F250" s="1806"/>
      <c r="G250" s="1806"/>
      <c r="H250" s="1806"/>
      <c r="I250" s="1806"/>
      <c r="J250" s="1806"/>
      <c r="K250" s="1806"/>
      <c r="L250" s="672"/>
      <c r="N250" s="632"/>
      <c r="O250" s="1721"/>
      <c r="P250" s="1722"/>
      <c r="Q250" s="1723"/>
      <c r="R250" s="634"/>
    </row>
    <row r="251" spans="2:18" ht="15" customHeight="1" x14ac:dyDescent="0.2">
      <c r="B251" s="666"/>
      <c r="C251" s="1806"/>
      <c r="D251" s="1806"/>
      <c r="E251" s="1806"/>
      <c r="F251" s="1806"/>
      <c r="G251" s="1806"/>
      <c r="H251" s="1806"/>
      <c r="I251" s="1806"/>
      <c r="J251" s="1806"/>
      <c r="K251" s="1806"/>
      <c r="L251" s="672"/>
      <c r="N251" s="632"/>
      <c r="O251" s="1721"/>
      <c r="P251" s="1722"/>
      <c r="Q251" s="1723"/>
      <c r="R251" s="634"/>
    </row>
    <row r="252" spans="2:18" ht="15" customHeight="1" x14ac:dyDescent="0.25">
      <c r="B252" s="666"/>
      <c r="C252" s="679"/>
      <c r="D252" s="679"/>
      <c r="E252" s="679"/>
      <c r="F252" s="679"/>
      <c r="G252" s="679"/>
      <c r="H252" s="679"/>
      <c r="I252" s="679"/>
      <c r="J252" s="764"/>
      <c r="K252" s="668"/>
      <c r="L252" s="672"/>
      <c r="N252" s="632"/>
      <c r="O252" s="1721"/>
      <c r="P252" s="1722"/>
      <c r="Q252" s="1723"/>
      <c r="R252" s="634"/>
    </row>
    <row r="253" spans="2:18" ht="15" customHeight="1" x14ac:dyDescent="0.2">
      <c r="B253" s="666"/>
      <c r="C253" s="1815" t="s">
        <v>3094</v>
      </c>
      <c r="D253" s="1815"/>
      <c r="E253" s="1815"/>
      <c r="F253" s="1815"/>
      <c r="G253" s="1815"/>
      <c r="H253" s="1815"/>
      <c r="I253" s="1815"/>
      <c r="J253" s="1815"/>
      <c r="K253" s="1815"/>
      <c r="L253" s="672"/>
      <c r="N253" s="632"/>
      <c r="O253" s="1721"/>
      <c r="P253" s="1722"/>
      <c r="Q253" s="1723"/>
      <c r="R253" s="634"/>
    </row>
    <row r="254" spans="2:18" ht="15" customHeight="1" x14ac:dyDescent="0.2">
      <c r="B254" s="666"/>
      <c r="C254" s="1815"/>
      <c r="D254" s="1815"/>
      <c r="E254" s="1815"/>
      <c r="F254" s="1815"/>
      <c r="G254" s="1815"/>
      <c r="H254" s="1815"/>
      <c r="I254" s="1815"/>
      <c r="J254" s="1815"/>
      <c r="K254" s="1815"/>
      <c r="L254" s="672"/>
      <c r="N254" s="632"/>
      <c r="O254" s="1721"/>
      <c r="P254" s="1722"/>
      <c r="Q254" s="1723"/>
      <c r="R254" s="634"/>
    </row>
    <row r="255" spans="2:18" ht="15" customHeight="1" x14ac:dyDescent="0.2">
      <c r="B255" s="666"/>
      <c r="C255" s="1815"/>
      <c r="D255" s="1815"/>
      <c r="E255" s="1815"/>
      <c r="F255" s="1815"/>
      <c r="G255" s="1815"/>
      <c r="H255" s="1815"/>
      <c r="I255" s="1815"/>
      <c r="J255" s="1815"/>
      <c r="K255" s="1815"/>
      <c r="L255" s="672"/>
      <c r="N255" s="632"/>
      <c r="O255" s="1721"/>
      <c r="P255" s="1722"/>
      <c r="Q255" s="1723"/>
      <c r="R255" s="634"/>
    </row>
    <row r="256" spans="2:18" ht="15" customHeight="1" x14ac:dyDescent="0.2">
      <c r="B256" s="671"/>
      <c r="C256" s="669"/>
      <c r="D256" s="669"/>
      <c r="E256" s="669"/>
      <c r="F256" s="669"/>
      <c r="G256" s="669"/>
      <c r="H256" s="669"/>
      <c r="I256" s="669"/>
      <c r="J256" s="680"/>
      <c r="K256" s="680"/>
      <c r="L256" s="673"/>
      <c r="N256" s="632"/>
      <c r="O256" s="1721"/>
      <c r="P256" s="1722"/>
      <c r="Q256" s="1723"/>
      <c r="R256" s="634"/>
    </row>
    <row r="257" spans="2:18" ht="15" customHeight="1" x14ac:dyDescent="0.25">
      <c r="B257" s="619"/>
      <c r="C257" s="531"/>
      <c r="D257" s="8"/>
      <c r="E257" s="8"/>
      <c r="F257" s="9"/>
      <c r="G257" s="9"/>
      <c r="H257" s="7"/>
      <c r="I257" s="7"/>
      <c r="J257" s="7"/>
      <c r="K257" s="18"/>
      <c r="L257" s="622"/>
      <c r="N257" s="632"/>
      <c r="O257" s="1721"/>
      <c r="P257" s="1722"/>
      <c r="Q257" s="1723"/>
      <c r="R257" s="634"/>
    </row>
    <row r="258" spans="2:18" ht="15" customHeight="1" x14ac:dyDescent="0.2">
      <c r="B258" s="619"/>
      <c r="C258" s="1833" t="s">
        <v>2444</v>
      </c>
      <c r="D258" s="1833"/>
      <c r="E258" s="1833"/>
      <c r="F258" s="1834">
        <f>SUM(Revenue!$E$110:$F$116)</f>
        <v>0</v>
      </c>
      <c r="G258" s="1834"/>
      <c r="H258" s="1834"/>
      <c r="I258" s="641"/>
      <c r="J258" s="641"/>
      <c r="K258" s="641"/>
      <c r="L258" s="622"/>
      <c r="N258" s="632"/>
      <c r="O258" s="1721"/>
      <c r="P258" s="1722"/>
      <c r="Q258" s="1723"/>
      <c r="R258" s="634"/>
    </row>
    <row r="259" spans="2:18" ht="15" customHeight="1" x14ac:dyDescent="0.2">
      <c r="B259" s="619"/>
      <c r="C259" s="1833" t="s">
        <v>2687</v>
      </c>
      <c r="D259" s="1833"/>
      <c r="E259" s="1833"/>
      <c r="F259" s="1835">
        <f>LIHTCs!$F$33</f>
        <v>0</v>
      </c>
      <c r="G259" s="1835"/>
      <c r="H259" s="1835"/>
      <c r="I259" s="642"/>
      <c r="J259" s="642"/>
      <c r="K259" s="641"/>
      <c r="L259" s="622"/>
      <c r="N259" s="632"/>
      <c r="O259" s="1721"/>
      <c r="P259" s="1722"/>
      <c r="Q259" s="1723"/>
      <c r="R259" s="634"/>
    </row>
    <row r="260" spans="2:18" ht="15" customHeight="1" x14ac:dyDescent="0.2">
      <c r="B260" s="619"/>
      <c r="C260" s="1833" t="s">
        <v>2688</v>
      </c>
      <c r="D260" s="1833"/>
      <c r="E260" s="1833"/>
      <c r="F260" s="1835">
        <f>IF(F258=0,0,F259/F258)</f>
        <v>0</v>
      </c>
      <c r="G260" s="1835"/>
      <c r="H260" s="1835"/>
      <c r="I260" s="642"/>
      <c r="J260" s="642"/>
      <c r="K260" s="641"/>
      <c r="L260" s="622"/>
      <c r="N260" s="632"/>
      <c r="O260" s="1721"/>
      <c r="P260" s="1722"/>
      <c r="Q260" s="1723"/>
      <c r="R260" s="634"/>
    </row>
    <row r="261" spans="2:18" ht="15" customHeight="1" x14ac:dyDescent="0.2">
      <c r="B261" s="619"/>
      <c r="C261" s="1315" t="s">
        <v>3095</v>
      </c>
      <c r="D261" s="1315"/>
      <c r="E261" s="1315"/>
      <c r="F261" s="1836">
        <f>MAX(0,MIN(25,((48252-F260)/20317)*25))</f>
        <v>25</v>
      </c>
      <c r="G261" s="1836"/>
      <c r="H261" s="1836"/>
      <c r="I261" s="642"/>
      <c r="J261" s="642"/>
      <c r="K261" s="641"/>
      <c r="L261" s="622"/>
      <c r="N261" s="632"/>
      <c r="O261" s="1724"/>
      <c r="P261" s="1725"/>
      <c r="Q261" s="1726"/>
      <c r="R261" s="634"/>
    </row>
    <row r="262" spans="2:18" ht="15" customHeight="1" x14ac:dyDescent="0.25">
      <c r="B262" s="624"/>
      <c r="C262" s="636"/>
      <c r="D262" s="637"/>
      <c r="E262" s="637"/>
      <c r="F262" s="637"/>
      <c r="G262" s="637"/>
      <c r="H262" s="637"/>
      <c r="I262" s="637"/>
      <c r="J262" s="637"/>
      <c r="K262" s="637"/>
      <c r="L262" s="627"/>
      <c r="N262" s="638"/>
      <c r="O262" s="639"/>
      <c r="P262" s="639"/>
      <c r="Q262" s="639"/>
      <c r="R262" s="640"/>
    </row>
    <row r="263" spans="2:18" ht="15" customHeight="1" x14ac:dyDescent="0.25">
      <c r="C263" s="531"/>
      <c r="D263" s="8"/>
      <c r="E263" s="8"/>
      <c r="F263" s="8"/>
      <c r="G263" s="8"/>
      <c r="H263" s="8"/>
      <c r="I263" s="8"/>
      <c r="J263" s="8"/>
      <c r="K263" s="8"/>
    </row>
    <row r="264" spans="2:18" ht="15" customHeight="1" x14ac:dyDescent="0.25">
      <c r="B264" s="661"/>
      <c r="C264" s="662"/>
      <c r="D264" s="663"/>
      <c r="E264" s="663"/>
      <c r="F264" s="751"/>
      <c r="G264" s="663"/>
      <c r="H264" s="663"/>
      <c r="I264" s="663"/>
      <c r="J264" s="663"/>
      <c r="K264" s="664"/>
      <c r="L264" s="665"/>
      <c r="N264" s="629"/>
      <c r="O264" s="630"/>
      <c r="P264" s="630"/>
      <c r="Q264" s="630"/>
      <c r="R264" s="631"/>
    </row>
    <row r="265" spans="2:18" ht="15" customHeight="1" x14ac:dyDescent="0.2">
      <c r="B265" s="666"/>
      <c r="C265" s="1804" t="s">
        <v>2437</v>
      </c>
      <c r="D265" s="1804"/>
      <c r="E265" s="1804"/>
      <c r="F265" s="681"/>
      <c r="G265" s="681"/>
      <c r="H265" s="681"/>
      <c r="I265" s="1842"/>
      <c r="J265" s="1842"/>
      <c r="K265" s="682"/>
      <c r="L265" s="672"/>
      <c r="N265" s="632"/>
      <c r="O265" s="1837" t="s">
        <v>3101</v>
      </c>
      <c r="P265" s="1892"/>
      <c r="Q265" s="788"/>
      <c r="R265" s="634"/>
    </row>
    <row r="266" spans="2:18" ht="15" customHeight="1" x14ac:dyDescent="0.25">
      <c r="B266" s="666"/>
      <c r="C266" s="683"/>
      <c r="D266" s="681"/>
      <c r="E266" s="681"/>
      <c r="F266" s="681"/>
      <c r="G266" s="681"/>
      <c r="H266" s="681"/>
      <c r="I266" s="681"/>
      <c r="J266" s="676"/>
      <c r="K266" s="668"/>
      <c r="L266" s="672"/>
      <c r="N266" s="632"/>
      <c r="O266" s="1837" t="s">
        <v>3291</v>
      </c>
      <c r="P266" s="1892"/>
      <c r="Q266" s="914"/>
      <c r="R266" s="634"/>
    </row>
    <row r="267" spans="2:18" ht="15" customHeight="1" x14ac:dyDescent="0.25">
      <c r="B267" s="666"/>
      <c r="C267" s="1806" t="s">
        <v>2445</v>
      </c>
      <c r="D267" s="1806"/>
      <c r="E267" s="1806"/>
      <c r="F267" s="1806"/>
      <c r="G267" s="1806"/>
      <c r="H267" s="1806"/>
      <c r="I267" s="1806"/>
      <c r="J267" s="676"/>
      <c r="K267" s="668"/>
      <c r="L267" s="672"/>
      <c r="N267" s="632"/>
      <c r="O267" s="1837" t="s">
        <v>3292</v>
      </c>
      <c r="P267" s="1892"/>
      <c r="Q267" s="789"/>
      <c r="R267" s="634"/>
    </row>
    <row r="268" spans="2:18" ht="15" customHeight="1" x14ac:dyDescent="0.25">
      <c r="B268" s="666"/>
      <c r="C268" s="1806"/>
      <c r="D268" s="1806"/>
      <c r="E268" s="1806"/>
      <c r="F268" s="1806"/>
      <c r="G268" s="1806"/>
      <c r="H268" s="1806"/>
      <c r="I268" s="1806"/>
      <c r="J268" s="676"/>
      <c r="K268" s="668"/>
      <c r="L268" s="672"/>
      <c r="N268" s="632"/>
      <c r="O268" s="1837" t="s">
        <v>2662</v>
      </c>
      <c r="P268" s="1892"/>
      <c r="Q268" s="789"/>
      <c r="R268" s="634"/>
    </row>
    <row r="269" spans="2:18" ht="15" customHeight="1" x14ac:dyDescent="0.25">
      <c r="B269" s="671"/>
      <c r="C269" s="684"/>
      <c r="D269" s="684"/>
      <c r="E269" s="684"/>
      <c r="F269" s="684"/>
      <c r="G269" s="684"/>
      <c r="H269" s="684"/>
      <c r="I269" s="684"/>
      <c r="J269" s="677"/>
      <c r="K269" s="670"/>
      <c r="L269" s="673"/>
      <c r="N269" s="632"/>
      <c r="O269" s="1837" t="s">
        <v>3102</v>
      </c>
      <c r="P269" s="1892"/>
      <c r="Q269" s="915"/>
      <c r="R269" s="634"/>
    </row>
    <row r="270" spans="2:18" ht="15" customHeight="1" x14ac:dyDescent="0.25">
      <c r="B270" s="619"/>
      <c r="C270" s="635"/>
      <c r="D270" s="635"/>
      <c r="E270" s="635"/>
      <c r="F270" s="635"/>
      <c r="G270" s="635"/>
      <c r="H270" s="635"/>
      <c r="I270" s="635"/>
      <c r="J270" s="8"/>
      <c r="L270" s="622"/>
      <c r="N270" s="632"/>
      <c r="O270" s="1837" t="s">
        <v>3092</v>
      </c>
      <c r="P270" s="1892"/>
      <c r="Q270" s="915"/>
      <c r="R270" s="634"/>
    </row>
    <row r="271" spans="2:18" ht="15" customHeight="1" x14ac:dyDescent="0.2">
      <c r="B271" s="619"/>
      <c r="C271" s="1269" t="s">
        <v>3096</v>
      </c>
      <c r="D271" s="1594" t="s">
        <v>3097</v>
      </c>
      <c r="E271" s="1840"/>
      <c r="F271" s="1840"/>
      <c r="G271" s="1840"/>
      <c r="H271" s="1595"/>
      <c r="I271" s="1269" t="s">
        <v>3098</v>
      </c>
      <c r="J271" s="740"/>
      <c r="K271" s="741"/>
      <c r="L271" s="643"/>
      <c r="N271" s="632"/>
      <c r="O271" s="1837" t="s">
        <v>3435</v>
      </c>
      <c r="P271" s="1892"/>
      <c r="Q271" s="915"/>
      <c r="R271" s="634"/>
    </row>
    <row r="272" spans="2:18" ht="15" customHeight="1" x14ac:dyDescent="0.2">
      <c r="B272" s="619"/>
      <c r="C272" s="1270"/>
      <c r="D272" s="1596"/>
      <c r="E272" s="1841"/>
      <c r="F272" s="1841"/>
      <c r="G272" s="1841"/>
      <c r="H272" s="1597"/>
      <c r="I272" s="1270"/>
      <c r="J272" s="740"/>
      <c r="K272" s="741"/>
      <c r="L272" s="643"/>
      <c r="N272" s="632"/>
      <c r="O272" s="1894" t="s">
        <v>3103</v>
      </c>
      <c r="P272" s="1895"/>
      <c r="Q272" s="916"/>
      <c r="R272" s="634"/>
    </row>
    <row r="273" spans="2:18" ht="15" customHeight="1" x14ac:dyDescent="0.2">
      <c r="B273" s="619"/>
      <c r="C273" s="37">
        <v>1</v>
      </c>
      <c r="D273" s="1234" t="s">
        <v>3100</v>
      </c>
      <c r="E273" s="1234"/>
      <c r="F273" s="1234"/>
      <c r="G273" s="1234"/>
      <c r="H273" s="1234"/>
      <c r="I273" s="78" t="str">
        <f>IF(Details!$E$13="","Enter Census Tract",VLOOKUP(Details!$E$13,Data!$B$11:$K$3178,10,FALSE))</f>
        <v>Enter Census Tract</v>
      </c>
      <c r="J273" s="740"/>
      <c r="K273" s="741"/>
      <c r="L273" s="643"/>
      <c r="N273" s="632"/>
      <c r="O273" s="1894" t="s">
        <v>3080</v>
      </c>
      <c r="P273" s="1895"/>
      <c r="Q273" s="789"/>
      <c r="R273" s="634"/>
    </row>
    <row r="274" spans="2:18" ht="15" customHeight="1" x14ac:dyDescent="0.2">
      <c r="B274" s="619"/>
      <c r="C274" s="1893">
        <v>2</v>
      </c>
      <c r="D274" s="1234" t="s">
        <v>3289</v>
      </c>
      <c r="E274" s="1234"/>
      <c r="F274" s="1234"/>
      <c r="G274" s="1234"/>
      <c r="H274" s="1234"/>
      <c r="I274" s="80">
        <f>SUMIF(Revenue!$M$47:$M$92,"&gt;0",Revenue!$C$47:$C$92)</f>
        <v>0</v>
      </c>
      <c r="J274" s="740"/>
      <c r="K274" s="741"/>
      <c r="L274" s="643"/>
      <c r="N274" s="632"/>
      <c r="O274" s="913"/>
      <c r="P274" s="913"/>
      <c r="Q274" s="913"/>
      <c r="R274" s="634"/>
    </row>
    <row r="275" spans="2:18" ht="15" customHeight="1" x14ac:dyDescent="0.2">
      <c r="B275" s="619"/>
      <c r="C275" s="1365"/>
      <c r="D275" s="1168" t="s">
        <v>3290</v>
      </c>
      <c r="E275" s="1169"/>
      <c r="F275" s="1169"/>
      <c r="G275" s="1169"/>
      <c r="H275" s="1170"/>
      <c r="I275" s="80" t="str">
        <f ca="1">J156</f>
        <v/>
      </c>
      <c r="J275" s="740"/>
      <c r="K275" s="741"/>
      <c r="L275" s="643"/>
      <c r="N275" s="632"/>
      <c r="O275" s="1839" t="s">
        <v>2443</v>
      </c>
      <c r="P275" s="1839"/>
      <c r="Q275" s="1839"/>
      <c r="R275" s="634"/>
    </row>
    <row r="276" spans="2:18" ht="15" customHeight="1" x14ac:dyDescent="0.2">
      <c r="B276" s="619"/>
      <c r="C276" s="37">
        <v>3</v>
      </c>
      <c r="D276" s="1234" t="s">
        <v>3075</v>
      </c>
      <c r="E276" s="1234"/>
      <c r="F276" s="1234"/>
      <c r="G276" s="1234"/>
      <c r="H276" s="1234"/>
      <c r="I276" s="78">
        <f>SUM(Revenue!$E$110:$F$116)</f>
        <v>0</v>
      </c>
      <c r="J276" s="740"/>
      <c r="K276" s="741"/>
      <c r="L276" s="643"/>
      <c r="N276" s="632"/>
      <c r="O276" s="1839"/>
      <c r="P276" s="1839"/>
      <c r="Q276" s="1839"/>
      <c r="R276" s="634"/>
    </row>
    <row r="277" spans="2:18" ht="15" customHeight="1" x14ac:dyDescent="0.2">
      <c r="B277" s="619"/>
      <c r="C277" s="37">
        <v>4</v>
      </c>
      <c r="D277" s="1234" t="s">
        <v>3076</v>
      </c>
      <c r="E277" s="1234"/>
      <c r="F277" s="1234"/>
      <c r="G277" s="1234"/>
      <c r="H277" s="1234"/>
      <c r="I277" s="893" t="str">
        <f>IF(Details!$E$13="","Input Census Tract",VLOOKUP(Details!$E$13,Data!$B$14:$AH$3178,9,FALSE))</f>
        <v>Input Census Tract</v>
      </c>
      <c r="J277" s="740"/>
      <c r="K277" s="741"/>
      <c r="L277" s="643"/>
      <c r="N277" s="632"/>
      <c r="O277" s="1843"/>
      <c r="P277" s="1844"/>
      <c r="Q277" s="1845"/>
      <c r="R277" s="634"/>
    </row>
    <row r="278" spans="2:18" ht="15" customHeight="1" x14ac:dyDescent="0.2">
      <c r="B278" s="619"/>
      <c r="C278" s="37">
        <v>5</v>
      </c>
      <c r="D278" s="1234" t="s">
        <v>3077</v>
      </c>
      <c r="E278" s="1234"/>
      <c r="F278" s="1234"/>
      <c r="G278" s="1234"/>
      <c r="H278" s="1234"/>
      <c r="I278" s="893" t="str">
        <f>IF(Details!$E$13="","Input Census Tract",VLOOKUP(Details!$E$13,Data!$B$14:$AH$3178,8,FALSE))</f>
        <v>Input Census Tract</v>
      </c>
      <c r="J278" s="740"/>
      <c r="K278" s="741"/>
      <c r="L278" s="643"/>
      <c r="N278" s="632"/>
      <c r="O278" s="1846"/>
      <c r="P278" s="1847"/>
      <c r="Q278" s="1848"/>
      <c r="R278" s="634"/>
    </row>
    <row r="279" spans="2:18" ht="15" customHeight="1" x14ac:dyDescent="0.2">
      <c r="B279" s="619"/>
      <c r="C279" s="37">
        <v>6</v>
      </c>
      <c r="D279" s="1234" t="s">
        <v>3436</v>
      </c>
      <c r="E279" s="1234"/>
      <c r="F279" s="1234"/>
      <c r="G279" s="1234"/>
      <c r="H279" s="1234"/>
      <c r="I279" s="893" t="str">
        <f>IF(Details!$E$13="","Input Census Tract",VLOOKUP(Details!$E$13,Data!$B$14:$AH$3178,6,FALSE))</f>
        <v>Input Census Tract</v>
      </c>
      <c r="J279" s="740"/>
      <c r="K279" s="741"/>
      <c r="L279" s="643"/>
      <c r="N279" s="632"/>
      <c r="O279" s="1846"/>
      <c r="P279" s="1847"/>
      <c r="Q279" s="1848"/>
      <c r="R279" s="634"/>
    </row>
    <row r="280" spans="2:18" ht="15" customHeight="1" x14ac:dyDescent="0.2">
      <c r="B280" s="619"/>
      <c r="C280" s="37">
        <v>7</v>
      </c>
      <c r="D280" s="1234" t="s">
        <v>3099</v>
      </c>
      <c r="E280" s="1234"/>
      <c r="F280" s="1234"/>
      <c r="G280" s="1234"/>
      <c r="H280" s="1234"/>
      <c r="I280" s="188">
        <f>IF(Revenue!$E$119=0,0,SUM(Revenue!$E$110:$F$111)/Revenue!$E$119)</f>
        <v>0</v>
      </c>
      <c r="J280" s="740"/>
      <c r="K280" s="741"/>
      <c r="L280" s="643"/>
      <c r="N280" s="632"/>
      <c r="O280" s="1846"/>
      <c r="P280" s="1847"/>
      <c r="Q280" s="1848"/>
      <c r="R280" s="634"/>
    </row>
    <row r="281" spans="2:18" ht="15" customHeight="1" x14ac:dyDescent="0.2">
      <c r="B281" s="619"/>
      <c r="C281" s="910">
        <v>8</v>
      </c>
      <c r="D281" s="1234" t="s">
        <v>3080</v>
      </c>
      <c r="E281" s="1234"/>
      <c r="F281" s="1234"/>
      <c r="G281" s="1234"/>
      <c r="H281" s="1234"/>
      <c r="I281" s="985"/>
      <c r="J281" s="740"/>
      <c r="K281" s="741"/>
      <c r="L281" s="643"/>
      <c r="N281" s="632"/>
      <c r="O281" s="1849"/>
      <c r="P281" s="1850"/>
      <c r="Q281" s="1851"/>
      <c r="R281" s="634"/>
    </row>
    <row r="282" spans="2:18" ht="15" customHeight="1" x14ac:dyDescent="0.2">
      <c r="B282" s="624"/>
      <c r="C282" s="595"/>
      <c r="D282" s="644"/>
      <c r="E282" s="645"/>
      <c r="F282" s="645"/>
      <c r="G282" s="645"/>
      <c r="H282" s="646"/>
      <c r="I282" s="647"/>
      <c r="J282" s="647"/>
      <c r="K282" s="647"/>
      <c r="L282" s="627"/>
      <c r="N282" s="638"/>
      <c r="O282" s="639"/>
      <c r="P282" s="648"/>
      <c r="Q282" s="648"/>
      <c r="R282" s="649"/>
    </row>
    <row r="283" spans="2:18" ht="15" customHeight="1" x14ac:dyDescent="0.2"/>
  </sheetData>
  <sheetProtection algorithmName="SHA-512" hashValue="k3kQEjpBrBQ0IwDCDDGIyJoeG+Hoh8pcOXJ6/+zuqlfhVfYjrkmxwIKiDPYkYGekxBIAv6RfoxquXQTyIVKqEg==" saltValue="Nx7r0nhbrzPfGDUIS7O4hA==" spinCount="100000" sheet="1" objects="1" scenarios="1"/>
  <dataConsolidate/>
  <mergeCells count="289">
    <mergeCell ref="O129:P129"/>
    <mergeCell ref="O100:P100"/>
    <mergeCell ref="O104:Q120"/>
    <mergeCell ref="O148:P148"/>
    <mergeCell ref="O149:P149"/>
    <mergeCell ref="O153:Q161"/>
    <mergeCell ref="C204:K207"/>
    <mergeCell ref="C209:K210"/>
    <mergeCell ref="C169:K169"/>
    <mergeCell ref="C162:I162"/>
    <mergeCell ref="B165:J165"/>
    <mergeCell ref="C173:E173"/>
    <mergeCell ref="F173:H173"/>
    <mergeCell ref="C174:E174"/>
    <mergeCell ref="F174:H174"/>
    <mergeCell ref="B166:L166"/>
    <mergeCell ref="C172:E172"/>
    <mergeCell ref="F172:H172"/>
    <mergeCell ref="C178:E178"/>
    <mergeCell ref="F178:H178"/>
    <mergeCell ref="F181:H181"/>
    <mergeCell ref="C182:E182"/>
    <mergeCell ref="F182:H182"/>
    <mergeCell ref="C175:E175"/>
    <mergeCell ref="O226:P226"/>
    <mergeCell ref="I227:J227"/>
    <mergeCell ref="C230:K233"/>
    <mergeCell ref="O230:Q241"/>
    <mergeCell ref="C234:K235"/>
    <mergeCell ref="C238:E238"/>
    <mergeCell ref="F238:I238"/>
    <mergeCell ref="C239:E239"/>
    <mergeCell ref="F239:I239"/>
    <mergeCell ref="C240:E240"/>
    <mergeCell ref="F240:I240"/>
    <mergeCell ref="C241:E241"/>
    <mergeCell ref="F241:I241"/>
    <mergeCell ref="C226:E226"/>
    <mergeCell ref="I226:J226"/>
    <mergeCell ref="F175:H175"/>
    <mergeCell ref="O265:P265"/>
    <mergeCell ref="O266:P266"/>
    <mergeCell ref="C267:I268"/>
    <mergeCell ref="O267:P267"/>
    <mergeCell ref="O268:P268"/>
    <mergeCell ref="D274:H274"/>
    <mergeCell ref="D276:H276"/>
    <mergeCell ref="O276:Q276"/>
    <mergeCell ref="O272:P272"/>
    <mergeCell ref="O273:P273"/>
    <mergeCell ref="C185:E185"/>
    <mergeCell ref="F185:H185"/>
    <mergeCell ref="C186:E186"/>
    <mergeCell ref="F186:H186"/>
    <mergeCell ref="C184:E184"/>
    <mergeCell ref="F184:H184"/>
    <mergeCell ref="C181:E181"/>
    <mergeCell ref="N190:R190"/>
    <mergeCell ref="N191:R191"/>
    <mergeCell ref="C183:E183"/>
    <mergeCell ref="F183:H183"/>
    <mergeCell ref="N192:O192"/>
    <mergeCell ref="O194:P194"/>
    <mergeCell ref="D277:H277"/>
    <mergeCell ref="O277:Q281"/>
    <mergeCell ref="D278:H278"/>
    <mergeCell ref="D279:H279"/>
    <mergeCell ref="D280:H280"/>
    <mergeCell ref="D281:H281"/>
    <mergeCell ref="D275:H275"/>
    <mergeCell ref="C274:C275"/>
    <mergeCell ref="O275:Q275"/>
    <mergeCell ref="O60:P60"/>
    <mergeCell ref="O61:P61"/>
    <mergeCell ref="O64:Q71"/>
    <mergeCell ref="O89:Q93"/>
    <mergeCell ref="O128:P128"/>
    <mergeCell ref="O269:P269"/>
    <mergeCell ref="O270:P270"/>
    <mergeCell ref="C271:C272"/>
    <mergeCell ref="D271:H272"/>
    <mergeCell ref="I271:I272"/>
    <mergeCell ref="O271:P271"/>
    <mergeCell ref="O245:P245"/>
    <mergeCell ref="I246:J246"/>
    <mergeCell ref="C249:K251"/>
    <mergeCell ref="O249:Q261"/>
    <mergeCell ref="C253:K255"/>
    <mergeCell ref="C258:E258"/>
    <mergeCell ref="F258:H258"/>
    <mergeCell ref="C259:E259"/>
    <mergeCell ref="F259:H259"/>
    <mergeCell ref="C260:E260"/>
    <mergeCell ref="F260:H260"/>
    <mergeCell ref="C261:E261"/>
    <mergeCell ref="F261:H261"/>
    <mergeCell ref="N35:R35"/>
    <mergeCell ref="B36:L36"/>
    <mergeCell ref="N36:R36"/>
    <mergeCell ref="C38:K38"/>
    <mergeCell ref="O39:P39"/>
    <mergeCell ref="C40:K41"/>
    <mergeCell ref="O40:P40"/>
    <mergeCell ref="C43:D43"/>
    <mergeCell ref="E43:H43"/>
    <mergeCell ref="O43:Q55"/>
    <mergeCell ref="C59:K59"/>
    <mergeCell ref="B2:G2"/>
    <mergeCell ref="H2:L2"/>
    <mergeCell ref="B3:G3"/>
    <mergeCell ref="H3:L3"/>
    <mergeCell ref="B6:J6"/>
    <mergeCell ref="B7:L7"/>
    <mergeCell ref="B14:C14"/>
    <mergeCell ref="D14:E14"/>
    <mergeCell ref="H14:I14"/>
    <mergeCell ref="J14:L14"/>
    <mergeCell ref="B15:C15"/>
    <mergeCell ref="D15:E15"/>
    <mergeCell ref="H15:I15"/>
    <mergeCell ref="J15:L15"/>
    <mergeCell ref="B10:E10"/>
    <mergeCell ref="H10:J10"/>
    <mergeCell ref="B11:E11"/>
    <mergeCell ref="H11:L11"/>
    <mergeCell ref="E45:H45"/>
    <mergeCell ref="C46:D46"/>
    <mergeCell ref="E46:H46"/>
    <mergeCell ref="H19:I19"/>
    <mergeCell ref="H12:I12"/>
    <mergeCell ref="B13:C13"/>
    <mergeCell ref="D13:E13"/>
    <mergeCell ref="H13:I13"/>
    <mergeCell ref="J13:L13"/>
    <mergeCell ref="B18:C18"/>
    <mergeCell ref="D18:E18"/>
    <mergeCell ref="H18:I18"/>
    <mergeCell ref="J18:L18"/>
    <mergeCell ref="B19:C19"/>
    <mergeCell ref="D19:E19"/>
    <mergeCell ref="J19:L19"/>
    <mergeCell ref="B16:C16"/>
    <mergeCell ref="D16:E16"/>
    <mergeCell ref="H16:I16"/>
    <mergeCell ref="J16:L16"/>
    <mergeCell ref="B17:C17"/>
    <mergeCell ref="D17:E17"/>
    <mergeCell ref="H17:I17"/>
    <mergeCell ref="J17:L17"/>
    <mergeCell ref="B22:C22"/>
    <mergeCell ref="B23:C23"/>
    <mergeCell ref="B20:C20"/>
    <mergeCell ref="D20:E20"/>
    <mergeCell ref="J20:L20"/>
    <mergeCell ref="B21:C21"/>
    <mergeCell ref="D21:E21"/>
    <mergeCell ref="J21:L21"/>
    <mergeCell ref="D22:E22"/>
    <mergeCell ref="H23:I23"/>
    <mergeCell ref="J23:L23"/>
    <mergeCell ref="J22:L22"/>
    <mergeCell ref="B30:C30"/>
    <mergeCell ref="B78:J78"/>
    <mergeCell ref="B79:L79"/>
    <mergeCell ref="C83:K84"/>
    <mergeCell ref="C86:H86"/>
    <mergeCell ref="B25:E25"/>
    <mergeCell ref="B28:C28"/>
    <mergeCell ref="B29:C29"/>
    <mergeCell ref="H28:I28"/>
    <mergeCell ref="H29:I29"/>
    <mergeCell ref="H30:I30"/>
    <mergeCell ref="H31:I31"/>
    <mergeCell ref="H25:J25"/>
    <mergeCell ref="B26:E26"/>
    <mergeCell ref="H26:L26"/>
    <mergeCell ref="B31:C31"/>
    <mergeCell ref="H32:I32"/>
    <mergeCell ref="B35:J35"/>
    <mergeCell ref="C47:D47"/>
    <mergeCell ref="E47:H47"/>
    <mergeCell ref="C44:D44"/>
    <mergeCell ref="E44:H44"/>
    <mergeCell ref="C45:D45"/>
    <mergeCell ref="C49:K54"/>
    <mergeCell ref="C61:K63"/>
    <mergeCell ref="C65:K65"/>
    <mergeCell ref="C64:K64"/>
    <mergeCell ref="C67:E67"/>
    <mergeCell ref="C68:E68"/>
    <mergeCell ref="C69:E69"/>
    <mergeCell ref="F67:H67"/>
    <mergeCell ref="F68:H68"/>
    <mergeCell ref="C81:I81"/>
    <mergeCell ref="F69:H69"/>
    <mergeCell ref="F72:H72"/>
    <mergeCell ref="C72:E72"/>
    <mergeCell ref="O198:Q222"/>
    <mergeCell ref="C217:E217"/>
    <mergeCell ref="F217:I217"/>
    <mergeCell ref="C218:E218"/>
    <mergeCell ref="F218:I218"/>
    <mergeCell ref="C220:E220"/>
    <mergeCell ref="F220:I220"/>
    <mergeCell ref="C222:E222"/>
    <mergeCell ref="F222:I222"/>
    <mergeCell ref="F219:I219"/>
    <mergeCell ref="C219:E219"/>
    <mergeCell ref="C221:E221"/>
    <mergeCell ref="F221:I221"/>
    <mergeCell ref="C245:H245"/>
    <mergeCell ref="I245:J245"/>
    <mergeCell ref="C265:E265"/>
    <mergeCell ref="I265:J265"/>
    <mergeCell ref="D273:H273"/>
    <mergeCell ref="B190:L190"/>
    <mergeCell ref="B191:L191"/>
    <mergeCell ref="C194:H194"/>
    <mergeCell ref="I194:J194"/>
    <mergeCell ref="I195:J195"/>
    <mergeCell ref="C198:K202"/>
    <mergeCell ref="C212:K214"/>
    <mergeCell ref="I1:L1"/>
    <mergeCell ref="C127:H127"/>
    <mergeCell ref="C129:K132"/>
    <mergeCell ref="O84:P84"/>
    <mergeCell ref="O85:P85"/>
    <mergeCell ref="C96:K96"/>
    <mergeCell ref="C98:K104"/>
    <mergeCell ref="C106:I106"/>
    <mergeCell ref="C107:I107"/>
    <mergeCell ref="C108:I108"/>
    <mergeCell ref="C109:I109"/>
    <mergeCell ref="C110:I110"/>
    <mergeCell ref="C111:I111"/>
    <mergeCell ref="C112:I112"/>
    <mergeCell ref="C113:I113"/>
    <mergeCell ref="C114:I114"/>
    <mergeCell ref="C115:I115"/>
    <mergeCell ref="C116:I116"/>
    <mergeCell ref="C118:I118"/>
    <mergeCell ref="C120:I120"/>
    <mergeCell ref="C121:I121"/>
    <mergeCell ref="O99:P99"/>
    <mergeCell ref="C87:H87"/>
    <mergeCell ref="C89:H89"/>
    <mergeCell ref="O133:Q142"/>
    <mergeCell ref="C154:I154"/>
    <mergeCell ref="C159:I159"/>
    <mergeCell ref="C158:I158"/>
    <mergeCell ref="C137:H137"/>
    <mergeCell ref="C136:I136"/>
    <mergeCell ref="C138:I138"/>
    <mergeCell ref="C139:I139"/>
    <mergeCell ref="C140:I140"/>
    <mergeCell ref="C145:H145"/>
    <mergeCell ref="C147:K150"/>
    <mergeCell ref="C141:I141"/>
    <mergeCell ref="C135:I135"/>
    <mergeCell ref="C142:I142"/>
    <mergeCell ref="C152:I152"/>
    <mergeCell ref="C153:I153"/>
    <mergeCell ref="C157:I157"/>
    <mergeCell ref="C155:I155"/>
    <mergeCell ref="C156:I156"/>
    <mergeCell ref="C179:E179"/>
    <mergeCell ref="F179:H179"/>
    <mergeCell ref="C180:E180"/>
    <mergeCell ref="F180:H180"/>
    <mergeCell ref="C70:E70"/>
    <mergeCell ref="F70:H70"/>
    <mergeCell ref="C73:E73"/>
    <mergeCell ref="F73:H73"/>
    <mergeCell ref="C75:E75"/>
    <mergeCell ref="F75:H75"/>
    <mergeCell ref="C134:I134"/>
    <mergeCell ref="I137:J137"/>
    <mergeCell ref="C92:H92"/>
    <mergeCell ref="C88:H88"/>
    <mergeCell ref="I89:K89"/>
    <mergeCell ref="C90:H90"/>
    <mergeCell ref="C93:H93"/>
    <mergeCell ref="B124:J124"/>
    <mergeCell ref="B125:L125"/>
    <mergeCell ref="C177:E177"/>
    <mergeCell ref="F177:H177"/>
    <mergeCell ref="C161:I161"/>
    <mergeCell ref="C171:E171"/>
    <mergeCell ref="F171:H171"/>
  </mergeCells>
  <conditionalFormatting sqref="D30">
    <cfRule type="expression" dxfId="65" priority="27">
      <formula>$D$30&lt;$E$30</formula>
    </cfRule>
    <cfRule type="expression" dxfId="64" priority="28">
      <formula>$D$30&gt;$E$30</formula>
    </cfRule>
  </conditionalFormatting>
  <conditionalFormatting sqref="D31">
    <cfRule type="expression" dxfId="63" priority="25">
      <formula>$D$31&lt;$E$31</formula>
    </cfRule>
    <cfRule type="expression" dxfId="62" priority="26">
      <formula>$D$31&gt;$E$31</formula>
    </cfRule>
  </conditionalFormatting>
  <conditionalFormatting sqref="E47:H47">
    <cfRule type="expression" dxfId="61" priority="15">
      <formula>$E$47="No"</formula>
    </cfRule>
    <cfRule type="expression" dxfId="60" priority="16">
      <formula>$E$47="Yes"</formula>
    </cfRule>
  </conditionalFormatting>
  <conditionalFormatting sqref="J29">
    <cfRule type="expression" dxfId="59" priority="23">
      <formula>$J$29&lt;=$K$29</formula>
    </cfRule>
    <cfRule type="expression" dxfId="58" priority="24">
      <formula>$J$29&gt;$K$29</formula>
    </cfRule>
  </conditionalFormatting>
  <conditionalFormatting sqref="J30">
    <cfRule type="expression" dxfId="57" priority="21">
      <formula>$J$30&lt;=$K$30</formula>
    </cfRule>
    <cfRule type="expression" dxfId="56" priority="22">
      <formula>$J$30&gt;$K$30</formula>
    </cfRule>
  </conditionalFormatting>
  <conditionalFormatting sqref="J31">
    <cfRule type="expression" dxfId="55" priority="19">
      <formula>$J$31&lt;=$K$31</formula>
    </cfRule>
    <cfRule type="expression" dxfId="54" priority="20">
      <formula>$J$31&gt;$K$31</formula>
    </cfRule>
  </conditionalFormatting>
  <conditionalFormatting sqref="J32">
    <cfRule type="expression" dxfId="53" priority="17">
      <formula>$J$32&lt;=$K$32</formula>
    </cfRule>
    <cfRule type="expression" dxfId="52" priority="18">
      <formula>$J$32&gt;$K$32</formula>
    </cfRule>
  </conditionalFormatting>
  <conditionalFormatting sqref="K172:K175">
    <cfRule type="expression" dxfId="51" priority="35">
      <formula>$K172&lt;=0</formula>
    </cfRule>
    <cfRule type="expression" dxfId="50" priority="36">
      <formula>$K172&gt;0</formula>
    </cfRule>
  </conditionalFormatting>
  <conditionalFormatting sqref="Q39">
    <cfRule type="expression" dxfId="49" priority="13">
      <formula>$Q$39="No"</formula>
    </cfRule>
    <cfRule type="expression" dxfId="48" priority="14">
      <formula>$Q$39="Yes"</formula>
    </cfRule>
  </conditionalFormatting>
  <conditionalFormatting sqref="Q60">
    <cfRule type="expression" dxfId="47" priority="11">
      <formula>$Q$39="No"</formula>
    </cfRule>
    <cfRule type="expression" dxfId="46" priority="12">
      <formula>$Q$39="Yes"</formula>
    </cfRule>
  </conditionalFormatting>
  <conditionalFormatting sqref="Q85">
    <cfRule type="expression" dxfId="45" priority="1">
      <formula>$Q$39="No"</formula>
    </cfRule>
    <cfRule type="expression" dxfId="44" priority="2">
      <formula>$Q$39="Yes"</formula>
    </cfRule>
  </conditionalFormatting>
  <conditionalFormatting sqref="Q100">
    <cfRule type="expression" dxfId="43" priority="7">
      <formula>$Q$39="No"</formula>
    </cfRule>
    <cfRule type="expression" dxfId="42" priority="8">
      <formula>$Q$39="Yes"</formula>
    </cfRule>
  </conditionalFormatting>
  <conditionalFormatting sqref="Q129">
    <cfRule type="expression" dxfId="41" priority="5">
      <formula>$Q$39="No"</formula>
    </cfRule>
    <cfRule type="expression" dxfId="40" priority="6">
      <formula>$Q$39="Yes"</formula>
    </cfRule>
  </conditionalFormatting>
  <conditionalFormatting sqref="Q149">
    <cfRule type="expression" dxfId="39" priority="3">
      <formula>$Q$39="No"</formula>
    </cfRule>
    <cfRule type="expression" dxfId="38" priority="4">
      <formula>$Q$39="Yes"</formula>
    </cfRule>
  </conditionalFormatting>
  <dataValidations count="6">
    <dataValidation type="list" allowBlank="1" showInputMessage="1" showErrorMessage="1" sqref="J111 H56 I90" xr:uid="{AA88C2E9-C618-45D4-AC39-E78E0B8FBD88}">
      <formula1>"Yes, No, N/A"</formula1>
    </dataValidation>
    <dataValidation type="list" allowBlank="1" showInputMessage="1" showErrorMessage="1" sqref="J106:J108 J162 J112:J118 J154 J142 J121 I93 I86:I87" xr:uid="{2C002DA4-D9E5-4894-A3B4-0990E1D5D746}">
      <formula1>"Yes, No"</formula1>
    </dataValidation>
    <dataValidation type="list" allowBlank="1" showInputMessage="1" showErrorMessage="1" sqref="F72:H72" xr:uid="{1A6E7791-F04C-4995-AAA8-68D3615645F5}">
      <formula1>"Moderate Rehab B, Substantial Rehab, Neither"</formula1>
    </dataValidation>
    <dataValidation type="list" allowBlank="1" showInputMessage="1" showErrorMessage="1" sqref="K265" xr:uid="{AE011F3B-A87E-4CA6-82D9-1EEC05894CCE}">
      <formula1>"0,1,3,5"</formula1>
    </dataValidation>
    <dataValidation allowBlank="1" showInputMessage="1" showErrorMessage="1" errorTitle="Self Score Exceeds Maximum Score" error="The applicant self-score cannot exceed the maximum points allowable under this competitive scoring criterion." sqref="K246" xr:uid="{B1059FC2-E9D4-4797-BA57-28CFB9DB5463}"/>
    <dataValidation type="list" allowBlank="1" showInputMessage="1" showErrorMessage="1" sqref="Q39 Q60 Q149 Q100 Q129 Q85" xr:uid="{D51B5D36-BFE2-4EAE-BDAD-A0889D4D7BA8}">
      <formula1>"Meets, Does Not Meet, N/A"</formula1>
    </dataValidation>
  </dataValidations>
  <pageMargins left="0.7" right="0.7" top="0.75" bottom="0.75" header="0.3" footer="0.3"/>
  <pageSetup scale="70" fitToHeight="0" orientation="portrait" r:id="rId1"/>
  <headerFooter>
    <oddFooter>&amp;L&amp;"-,Bold"&amp;9Funding Pool Workbook&amp;"-,Regular"
Affordable Housing Funding Application (AHFA)&amp;C&amp;9Ohio Housing Finance Agency&amp;R&amp;9Page &amp;P of &amp;N</oddFooter>
  </headerFooter>
  <rowBreaks count="4" manualBreakCount="4">
    <brk id="58" min="1" max="11" man="1"/>
    <brk id="123" min="1" max="11" man="1"/>
    <brk id="164" min="1" max="11" man="1"/>
    <brk id="224" min="1" max="11"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D9F98-3EAD-4939-8D49-B8B4278F67DF}">
  <sheetPr>
    <tabColor rgb="FFC12637"/>
    <pageSetUpPr autoPageBreaks="0" fitToPage="1"/>
  </sheetPr>
  <dimension ref="A1:S410"/>
  <sheetViews>
    <sheetView showGridLines="0" zoomScale="85" zoomScaleNormal="85" zoomScaleSheetLayoutView="70" zoomScalePageLayoutView="85" workbookViewId="0">
      <selection activeCell="I389" sqref="I389"/>
    </sheetView>
  </sheetViews>
  <sheetFormatPr defaultColWidth="0" defaultRowHeight="15" customHeight="1" zeroHeight="1" outlineLevelCol="1" x14ac:dyDescent="0.2"/>
  <cols>
    <col min="1" max="1" width="1.625" style="1" customWidth="1"/>
    <col min="2" max="2" width="2.625" style="1" customWidth="1"/>
    <col min="3" max="5" width="15.625" style="1" customWidth="1"/>
    <col min="6" max="7" width="1.625" style="1" customWidth="1"/>
    <col min="8" max="11" width="15.625" style="1" customWidth="1"/>
    <col min="12" max="12" width="2.625" style="1" customWidth="1"/>
    <col min="13" max="13" width="1.625" style="1" customWidth="1"/>
    <col min="14" max="14" width="1.625" style="1" hidden="1" customWidth="1" outlineLevel="1"/>
    <col min="15" max="17" width="15.625" style="1" hidden="1" customWidth="1" outlineLevel="1"/>
    <col min="18" max="18" width="1.625" style="1" hidden="1" customWidth="1" outlineLevel="1"/>
    <col min="19" max="19" width="9" style="1" customWidth="1" collapsed="1"/>
    <col min="20" max="16384" width="9" style="1" hidden="1"/>
  </cols>
  <sheetData>
    <row r="1" spans="2:13" s="83" customFormat="1" ht="55.5" customHeight="1" x14ac:dyDescent="0.2">
      <c r="B1" s="1"/>
      <c r="C1" s="1"/>
      <c r="D1" s="1"/>
      <c r="E1" s="1"/>
      <c r="F1" s="1"/>
      <c r="G1" s="1"/>
      <c r="H1" s="1"/>
      <c r="I1" s="1755" t="str">
        <f>IF(D18&lt;&gt;"Tenant Populations with Special Housing Needs","This is not the correct scoring workbook based on your Funding Pool selection. Please navigate to the correct scoring workbook.","")</f>
        <v>This is not the correct scoring workbook based on your Funding Pool selection. Please navigate to the correct scoring workbook.</v>
      </c>
      <c r="J1" s="1755"/>
      <c r="K1" s="1755"/>
      <c r="L1" s="1755"/>
    </row>
    <row r="2" spans="2:13" s="83" customFormat="1" ht="25.5" customHeight="1" x14ac:dyDescent="0.2">
      <c r="B2" s="1211" t="s">
        <v>3035</v>
      </c>
      <c r="C2" s="1212"/>
      <c r="D2" s="1212"/>
      <c r="E2" s="1212"/>
      <c r="F2" s="1212"/>
      <c r="G2" s="1212"/>
      <c r="H2" s="1217" t="str">
        <f>CONCATENATE(IF(Instructions!$K$2="","",Instructions!$K$2)," ",IF(Details!$E$11="","",Details!$E$11))</f>
        <v>2026 9% LIHTC AHFA Proposal Application</v>
      </c>
      <c r="I2" s="1217"/>
      <c r="J2" s="1217"/>
      <c r="K2" s="1217"/>
      <c r="L2" s="1218"/>
    </row>
    <row r="3" spans="2:13" s="83" customFormat="1" ht="20.25" customHeight="1" x14ac:dyDescent="0.2">
      <c r="B3" s="1166" t="s">
        <v>3135</v>
      </c>
      <c r="C3" s="1167"/>
      <c r="D3" s="1167"/>
      <c r="E3" s="1167"/>
      <c r="F3" s="1167"/>
      <c r="G3" s="1167"/>
      <c r="H3" s="1304" t="str">
        <f>IF(Details!$E$12="","",CONCATENATE("Project Name: ",Details!$E$12))</f>
        <v/>
      </c>
      <c r="I3" s="1304"/>
      <c r="J3" s="1304"/>
      <c r="K3" s="1304"/>
      <c r="L3" s="1305"/>
    </row>
    <row r="4" spans="2:13" ht="15" customHeight="1" x14ac:dyDescent="0.2"/>
    <row r="5" spans="2:13" ht="5.0999999999999996" customHeight="1" x14ac:dyDescent="0.2"/>
    <row r="6" spans="2:13" ht="20.100000000000001" customHeight="1" x14ac:dyDescent="0.2">
      <c r="B6" s="1748" t="s">
        <v>2417</v>
      </c>
      <c r="C6" s="1748"/>
      <c r="D6" s="1748"/>
      <c r="E6" s="1748"/>
      <c r="F6" s="1748"/>
      <c r="G6" s="1748"/>
      <c r="H6" s="1748"/>
      <c r="I6" s="1748"/>
      <c r="J6" s="1748"/>
    </row>
    <row r="7" spans="2:13" ht="3" customHeight="1" x14ac:dyDescent="0.2">
      <c r="B7" s="1749"/>
      <c r="C7" s="1749"/>
      <c r="D7" s="1749"/>
      <c r="E7" s="1749"/>
      <c r="F7" s="1749"/>
      <c r="G7" s="1749"/>
      <c r="H7" s="1749"/>
      <c r="I7" s="1749"/>
      <c r="J7" s="1749"/>
      <c r="K7" s="1749"/>
      <c r="L7" s="1749"/>
    </row>
    <row r="8" spans="2:13" customFormat="1" ht="15" customHeight="1" x14ac:dyDescent="0.2">
      <c r="M8" s="1"/>
    </row>
    <row r="9" spans="2:13" ht="15" customHeight="1" x14ac:dyDescent="0.2"/>
    <row r="10" spans="2:13" ht="15" customHeight="1" x14ac:dyDescent="0.25">
      <c r="B10" s="1757" t="s">
        <v>296</v>
      </c>
      <c r="C10" s="1757"/>
      <c r="D10" s="1757"/>
      <c r="E10" s="1757"/>
      <c r="F10" s="8"/>
      <c r="G10" s="8"/>
      <c r="H10" s="1757" t="s">
        <v>297</v>
      </c>
      <c r="I10" s="1757"/>
      <c r="J10" s="1757"/>
    </row>
    <row r="11" spans="2:13" ht="3" customHeight="1" x14ac:dyDescent="0.25">
      <c r="B11" s="1758"/>
      <c r="C11" s="1758"/>
      <c r="D11" s="1758"/>
      <c r="E11" s="1758"/>
      <c r="F11" s="8"/>
      <c r="G11" s="8"/>
      <c r="H11" s="1758"/>
      <c r="I11" s="1758"/>
      <c r="J11" s="1758"/>
      <c r="K11" s="1758"/>
      <c r="L11" s="1758"/>
      <c r="M11" s="610"/>
    </row>
    <row r="12" spans="2:13" ht="5.0999999999999996" customHeight="1" x14ac:dyDescent="0.25">
      <c r="B12" s="611"/>
      <c r="C12" s="8"/>
      <c r="D12" s="8"/>
      <c r="E12" s="8"/>
      <c r="F12" s="8"/>
      <c r="G12" s="8"/>
      <c r="H12" s="1759"/>
      <c r="I12" s="1759"/>
      <c r="J12" s="8"/>
    </row>
    <row r="13" spans="2:13" ht="15" customHeight="1" x14ac:dyDescent="0.25">
      <c r="B13" s="1751" t="s">
        <v>298</v>
      </c>
      <c r="C13" s="1751"/>
      <c r="D13" s="1752" t="str">
        <f>IF(Details!$E$12="","Untitled Project",Details!$E$12)</f>
        <v>Untitled Project</v>
      </c>
      <c r="E13" s="1752"/>
      <c r="F13" s="8"/>
      <c r="G13" s="8"/>
      <c r="H13" s="1661" t="s">
        <v>2418</v>
      </c>
      <c r="I13" s="1662"/>
      <c r="J13" s="1752" t="str">
        <f>IF(Team!$E$12="","",Team!$E$12)</f>
        <v/>
      </c>
      <c r="K13" s="1752"/>
      <c r="L13" s="1752"/>
      <c r="M13" s="531"/>
    </row>
    <row r="14" spans="2:13" ht="15" customHeight="1" x14ac:dyDescent="0.25">
      <c r="B14" s="1751" t="s">
        <v>2419</v>
      </c>
      <c r="C14" s="1751"/>
      <c r="D14" s="1756" t="str">
        <f>IF(OR(LIHTCs!G27=0.09,LIHTCs!H27=0.09),"9% LIHTC","4% LIHTC")</f>
        <v>9% LIHTC</v>
      </c>
      <c r="E14" s="1756"/>
      <c r="F14" s="8"/>
      <c r="G14" s="8"/>
      <c r="H14" s="1661" t="s">
        <v>2420</v>
      </c>
      <c r="I14" s="1662"/>
      <c r="J14" s="1752" t="str">
        <f>IF(OR(Team!$E$56="No",Team!$E$56=""),"N/A",Team!$E$61)</f>
        <v>N/A</v>
      </c>
      <c r="K14" s="1752"/>
      <c r="L14" s="1752"/>
      <c r="M14" s="531"/>
    </row>
    <row r="15" spans="2:13" ht="15" customHeight="1" x14ac:dyDescent="0.25">
      <c r="B15" s="1751" t="s">
        <v>299</v>
      </c>
      <c r="C15" s="1751"/>
      <c r="D15" s="1752" t="str">
        <f>IF(Details!$E$14="","",Details!$E$14)</f>
        <v/>
      </c>
      <c r="E15" s="1752"/>
      <c r="F15" s="8"/>
      <c r="G15" s="8"/>
      <c r="H15" s="1661" t="s">
        <v>2421</v>
      </c>
      <c r="I15" s="1662"/>
      <c r="J15" s="1752" t="str">
        <f>IF(OR(Team!$E$105="No",Team!$E$105=""),"N/A",Team!$E$110)</f>
        <v>N/A</v>
      </c>
      <c r="K15" s="1752"/>
      <c r="L15" s="1752"/>
      <c r="M15" s="531"/>
    </row>
    <row r="16" spans="2:13" ht="15" customHeight="1" x14ac:dyDescent="0.25">
      <c r="B16" s="1751" t="s">
        <v>540</v>
      </c>
      <c r="C16" s="1751"/>
      <c r="D16" s="1752" t="str">
        <f>IF(Details!$E$15="","",Details!$E$15)</f>
        <v/>
      </c>
      <c r="E16" s="1752"/>
      <c r="F16" s="8"/>
      <c r="G16" s="8"/>
      <c r="H16" s="1661" t="s">
        <v>2422</v>
      </c>
      <c r="I16" s="1662"/>
      <c r="J16" s="1752" t="str">
        <f>IF(Team!$E$173="","",Team!$E$173)</f>
        <v/>
      </c>
      <c r="K16" s="1752"/>
      <c r="L16" s="1752"/>
      <c r="M16" s="531"/>
    </row>
    <row r="17" spans="2:13" ht="15" customHeight="1" x14ac:dyDescent="0.25">
      <c r="B17" s="1751" t="s">
        <v>300</v>
      </c>
      <c r="C17" s="1751"/>
      <c r="D17" s="1752" t="str">
        <f>IF(Details!$E$18="","",Details!$E$18)</f>
        <v>Input Census Tract</v>
      </c>
      <c r="E17" s="1752"/>
      <c r="F17" s="8"/>
      <c r="G17" s="8"/>
      <c r="H17" s="1661" t="s">
        <v>2472</v>
      </c>
      <c r="I17" s="1662"/>
      <c r="J17" s="1752" t="str">
        <f>IF(AND(Team!$E$318="",Team!$E$327=""),"N/A",IF(AND(Team!$E$318="",Team!$E$327&lt;&gt;""),Team!$E$327,Team!$E$318))</f>
        <v>N/A</v>
      </c>
      <c r="K17" s="1752"/>
      <c r="L17" s="1752"/>
      <c r="M17" s="531"/>
    </row>
    <row r="18" spans="2:13" ht="15" customHeight="1" x14ac:dyDescent="0.25">
      <c r="B18" s="1751" t="s">
        <v>2483</v>
      </c>
      <c r="C18" s="1751"/>
      <c r="D18" s="1752" t="str">
        <f>IF(Details!$E$21="","",Details!$E$21)</f>
        <v/>
      </c>
      <c r="E18" s="1752"/>
      <c r="F18" s="8"/>
      <c r="G18" s="8"/>
      <c r="H18" s="1661" t="s">
        <v>2473</v>
      </c>
      <c r="I18" s="1662"/>
      <c r="J18" s="1752" t="str">
        <f>IF(OR(Team!$E$334="",Team!$E$334="No"),"N/A",IF(AND(Team!$E$348="",Team!$E$339&lt;&gt;""),Team!$E$339,Team!$E$348))</f>
        <v>N/A</v>
      </c>
      <c r="K18" s="1752"/>
      <c r="L18" s="1752"/>
      <c r="M18" s="531"/>
    </row>
    <row r="19" spans="2:13" ht="15" customHeight="1" x14ac:dyDescent="0.25">
      <c r="B19" s="1751" t="s">
        <v>3105</v>
      </c>
      <c r="C19" s="1753"/>
      <c r="D19" s="1373" t="str">
        <f>Details!$E$20</f>
        <v>Input Census Tract</v>
      </c>
      <c r="E19" s="1754"/>
      <c r="F19" s="8"/>
      <c r="G19" s="8"/>
      <c r="H19" s="1661" t="s">
        <v>2474</v>
      </c>
      <c r="I19" s="1662"/>
      <c r="J19" s="1752" t="str">
        <f>IF(OR(Team!$E$355="",Team!$E$355="No"),"N/A",IF(AND(Team!$E$369="",Team!$E$360&lt;&gt;""),Team!$E$360,Team!$E$369))</f>
        <v>N/A</v>
      </c>
      <c r="K19" s="1752"/>
      <c r="L19" s="1752"/>
      <c r="M19" s="531"/>
    </row>
    <row r="20" spans="2:13" ht="15" customHeight="1" x14ac:dyDescent="0.25">
      <c r="B20" s="1751" t="s">
        <v>3418</v>
      </c>
      <c r="C20" s="1753"/>
      <c r="D20" s="1373" t="str">
        <f>IF(OR(D17="",D17="Input Census Tract"),"",VLOOKUP($D$17,Data!$CQ$11:$CS$98,3,FALSE))</f>
        <v/>
      </c>
      <c r="E20" s="1754"/>
      <c r="F20" s="8"/>
      <c r="G20" s="8"/>
      <c r="H20" s="531" t="s">
        <v>2423</v>
      </c>
      <c r="I20" s="967"/>
      <c r="J20" s="1752" t="str">
        <f>IF(Team!$E$395="","",Team!$E$395)</f>
        <v/>
      </c>
      <c r="K20" s="1752"/>
      <c r="L20" s="1752"/>
      <c r="M20" s="531"/>
    </row>
    <row r="21" spans="2:13" ht="15" customHeight="1" x14ac:dyDescent="0.25">
      <c r="B21" s="1751" t="s">
        <v>651</v>
      </c>
      <c r="C21" s="1751"/>
      <c r="D21" s="1752" t="str">
        <f>IF(Details!$J$10="","",Details!$J$10)</f>
        <v/>
      </c>
      <c r="E21" s="1752"/>
      <c r="F21" s="8"/>
      <c r="G21" s="8"/>
      <c r="H21" s="531" t="s">
        <v>2424</v>
      </c>
      <c r="I21" s="967"/>
      <c r="J21" s="1752" t="str">
        <f>IF(Team!$E$379="","",Team!$E$379)</f>
        <v/>
      </c>
      <c r="K21" s="1752"/>
      <c r="L21" s="1752"/>
      <c r="M21" s="531"/>
    </row>
    <row r="22" spans="2:13" ht="15" customHeight="1" x14ac:dyDescent="0.25">
      <c r="B22" s="1751" t="s">
        <v>1964</v>
      </c>
      <c r="C22" s="1751"/>
      <c r="D22" s="1752" t="str">
        <f>IF(Details!$J$15="","",Details!$J$15)</f>
        <v/>
      </c>
      <c r="E22" s="1752"/>
      <c r="F22" s="8"/>
      <c r="G22" s="8"/>
      <c r="H22" s="531" t="s">
        <v>2426</v>
      </c>
      <c r="I22" s="967"/>
      <c r="J22" s="1752" t="str">
        <f>IF(Team!$E$411="","",Team!$E$411)</f>
        <v/>
      </c>
      <c r="K22" s="1752"/>
      <c r="L22" s="1752"/>
      <c r="M22" s="531"/>
    </row>
    <row r="23" spans="2:13" ht="15" customHeight="1" x14ac:dyDescent="0.25">
      <c r="B23" s="1751" t="s">
        <v>2425</v>
      </c>
      <c r="C23" s="1751"/>
      <c r="D23" s="612">
        <f>Revenue!$C$101</f>
        <v>0</v>
      </c>
      <c r="E23" s="531"/>
      <c r="F23" s="8"/>
      <c r="G23" s="8"/>
      <c r="H23" s="1661" t="s">
        <v>3112</v>
      </c>
      <c r="I23" s="1662"/>
      <c r="J23" s="1752" t="str">
        <f>IF(Team!$E$427="","N/A",Team!$E$427)</f>
        <v>N/A</v>
      </c>
      <c r="K23" s="1752"/>
      <c r="L23" s="1752"/>
    </row>
    <row r="24" spans="2:13" ht="15" customHeight="1" x14ac:dyDescent="0.25">
      <c r="B24" s="611"/>
      <c r="C24" s="8"/>
      <c r="D24" s="8"/>
      <c r="E24" s="8"/>
      <c r="F24" s="8"/>
      <c r="G24" s="8"/>
      <c r="H24" s="531"/>
      <c r="I24" s="531"/>
      <c r="J24" s="531"/>
      <c r="K24" s="531"/>
      <c r="L24" s="531"/>
    </row>
    <row r="25" spans="2:13" ht="15" customHeight="1" x14ac:dyDescent="0.25">
      <c r="B25" s="1757" t="s">
        <v>355</v>
      </c>
      <c r="C25" s="1757"/>
      <c r="D25" s="1757"/>
      <c r="E25" s="1757"/>
      <c r="F25" s="8"/>
      <c r="G25" s="8"/>
      <c r="H25" s="1757" t="s">
        <v>2427</v>
      </c>
      <c r="I25" s="1757"/>
      <c r="J25" s="1757"/>
    </row>
    <row r="26" spans="2:13" ht="3" customHeight="1" x14ac:dyDescent="0.25">
      <c r="B26" s="1758"/>
      <c r="C26" s="1758"/>
      <c r="D26" s="1758"/>
      <c r="E26" s="1758"/>
      <c r="F26" s="8"/>
      <c r="G26" s="8"/>
      <c r="H26" s="1758"/>
      <c r="I26" s="1758"/>
      <c r="J26" s="1758"/>
      <c r="K26" s="1758"/>
      <c r="L26" s="1758"/>
    </row>
    <row r="27" spans="2:13" ht="5.0999999999999996" customHeight="1" x14ac:dyDescent="0.25">
      <c r="B27" s="611"/>
      <c r="C27" s="8"/>
      <c r="D27" s="8"/>
      <c r="E27" s="8"/>
      <c r="F27" s="8"/>
      <c r="G27" s="8"/>
      <c r="H27" s="8"/>
      <c r="I27" s="8"/>
    </row>
    <row r="28" spans="2:13" ht="15" customHeight="1" x14ac:dyDescent="0.25">
      <c r="B28" s="1751"/>
      <c r="C28" s="1751"/>
      <c r="D28" s="1031" t="s">
        <v>2428</v>
      </c>
      <c r="E28" s="1031" t="s">
        <v>377</v>
      </c>
      <c r="F28" s="8"/>
      <c r="G28" s="8"/>
      <c r="H28" s="1661"/>
      <c r="I28" s="1661"/>
      <c r="J28" s="1031" t="s">
        <v>2428</v>
      </c>
      <c r="K28" s="1031" t="s">
        <v>377</v>
      </c>
      <c r="L28" s="324"/>
    </row>
    <row r="29" spans="2:13" ht="15" customHeight="1" x14ac:dyDescent="0.25">
      <c r="B29" s="1751" t="s">
        <v>2543</v>
      </c>
      <c r="C29" s="1751"/>
      <c r="D29" s="613">
        <f>Uses!K84</f>
        <v>8000</v>
      </c>
      <c r="E29" s="140"/>
      <c r="F29" s="8"/>
      <c r="G29" s="8"/>
      <c r="H29" s="1661" t="s">
        <v>2719</v>
      </c>
      <c r="I29" s="1662"/>
      <c r="J29" s="79">
        <f>LIHTCs!F33</f>
        <v>0</v>
      </c>
      <c r="K29" s="79">
        <v>1800000</v>
      </c>
      <c r="L29" s="324"/>
    </row>
    <row r="30" spans="2:13" ht="15" customHeight="1" x14ac:dyDescent="0.25">
      <c r="B30" s="1751" t="s">
        <v>373</v>
      </c>
      <c r="C30" s="1751"/>
      <c r="D30" s="613">
        <f>IFERROR(D29/D23,0)</f>
        <v>0</v>
      </c>
      <c r="E30" s="613" t="str" cm="1">
        <f t="array" ref="E30">IF(Details!$J$10="","",IF(Details!$J$10="Adaptive Reuse",Data!$CN$15,INDEX(Data!$CN$11:$CN$15,MATCH(Details!$E$20&amp;Details!$J$10,Data!$CL$11:$CL$15&amp;Data!$CM$11:$CM$15,0))))</f>
        <v/>
      </c>
      <c r="F30" s="8"/>
      <c r="G30" s="8"/>
      <c r="H30" s="1661" t="s">
        <v>2429</v>
      </c>
      <c r="I30" s="1662"/>
      <c r="J30" s="79">
        <f>SUM(Sources!$G$44:$G$47)</f>
        <v>0</v>
      </c>
      <c r="K30" s="79">
        <f>IF($I$225="Yes",1000000,0)</f>
        <v>0</v>
      </c>
    </row>
    <row r="31" spans="2:13" ht="15" customHeight="1" x14ac:dyDescent="0.25">
      <c r="B31" s="1751" t="s">
        <v>433</v>
      </c>
      <c r="C31" s="1751"/>
      <c r="D31" s="613">
        <f>IFERROR(D29/Details!F130,0)</f>
        <v>0</v>
      </c>
      <c r="E31" s="613" t="str" cm="1">
        <f t="array" ref="E31">IF(Details!$J$10="","",IF(Details!$J$10="Adaptive Reuse",Data!$CO$15,INDEX(Data!$CO$11:$CO$15,MATCH(Details!$E$20&amp;Details!$J$10,Data!$CL$11:$CL$15&amp;Data!$CM$11:$CM$15,0))))</f>
        <v/>
      </c>
      <c r="F31" s="8"/>
      <c r="G31" s="8"/>
      <c r="H31" s="1661" t="s">
        <v>2430</v>
      </c>
      <c r="I31" s="1662"/>
      <c r="J31" s="326">
        <f>HDL!$E$15</f>
        <v>0</v>
      </c>
      <c r="K31" s="326">
        <v>1750000</v>
      </c>
    </row>
    <row r="32" spans="2:13" ht="15" customHeight="1" x14ac:dyDescent="0.25">
      <c r="B32" s="611"/>
      <c r="C32" s="8"/>
      <c r="D32" s="743"/>
      <c r="E32" s="8"/>
      <c r="F32" s="8"/>
      <c r="G32" s="8"/>
      <c r="H32" s="1155" t="s">
        <v>2130</v>
      </c>
      <c r="I32" s="1324"/>
      <c r="J32" s="79">
        <f>IF(OR(Uses!$J$75&gt;0,Sources!$E$38="Multifamily Lending Program",Sources!$E$38="MLP",Sources!$E$38="OHFA MLP"),Sources!$G$38,0)</f>
        <v>0</v>
      </c>
      <c r="K32" s="79">
        <v>6000000</v>
      </c>
    </row>
    <row r="33" spans="2:18" ht="15" customHeight="1" x14ac:dyDescent="0.25">
      <c r="B33" s="611"/>
      <c r="C33" s="8"/>
      <c r="D33" s="743"/>
      <c r="E33" s="8"/>
      <c r="F33" s="8"/>
      <c r="G33" s="8"/>
      <c r="H33" s="25"/>
      <c r="I33" s="25"/>
      <c r="J33" s="25"/>
      <c r="K33" s="200"/>
    </row>
    <row r="34" spans="2:18" ht="15" customHeight="1" x14ac:dyDescent="0.25">
      <c r="B34" s="611"/>
      <c r="C34" s="8"/>
      <c r="D34" s="8"/>
      <c r="E34" s="8"/>
      <c r="F34" s="8"/>
      <c r="G34" s="8"/>
      <c r="H34" s="25"/>
      <c r="I34" s="25"/>
      <c r="J34" s="25"/>
    </row>
    <row r="35" spans="2:18" ht="15" customHeight="1" x14ac:dyDescent="0.2">
      <c r="B35" s="1748" t="s">
        <v>3298</v>
      </c>
      <c r="C35" s="1748"/>
      <c r="D35" s="1748"/>
      <c r="E35" s="1748"/>
      <c r="F35" s="1748"/>
      <c r="G35" s="1748"/>
      <c r="H35" s="1748"/>
      <c r="I35" s="1748"/>
      <c r="J35" s="1748"/>
      <c r="N35" s="1748" t="s">
        <v>3203</v>
      </c>
      <c r="O35" s="1748"/>
      <c r="P35" s="1748"/>
      <c r="Q35" s="1748"/>
      <c r="R35" s="1748"/>
    </row>
    <row r="36" spans="2:18" ht="3" customHeight="1" x14ac:dyDescent="0.2">
      <c r="B36" s="1749"/>
      <c r="C36" s="1749"/>
      <c r="D36" s="1749"/>
      <c r="E36" s="1749"/>
      <c r="F36" s="1749"/>
      <c r="G36" s="1749"/>
      <c r="H36" s="1749"/>
      <c r="I36" s="1749"/>
      <c r="J36" s="1749"/>
      <c r="K36" s="1749"/>
      <c r="L36" s="1749"/>
      <c r="N36" s="1749"/>
      <c r="O36" s="1749"/>
      <c r="P36" s="1749"/>
      <c r="Q36" s="1749"/>
      <c r="R36" s="1749"/>
    </row>
    <row r="37" spans="2:18" ht="15" customHeight="1" x14ac:dyDescent="0.25">
      <c r="B37" s="611"/>
      <c r="C37" s="8"/>
      <c r="D37" s="8"/>
      <c r="E37" s="8"/>
      <c r="F37" s="8"/>
      <c r="G37" s="8"/>
      <c r="H37" s="25"/>
      <c r="I37" s="25"/>
      <c r="J37" s="25"/>
      <c r="Q37" s="4"/>
    </row>
    <row r="38" spans="2:18" ht="15" customHeight="1" x14ac:dyDescent="0.2">
      <c r="B38" s="746" t="s">
        <v>2476</v>
      </c>
      <c r="C38" s="1731" t="s">
        <v>3299</v>
      </c>
      <c r="D38" s="1731"/>
      <c r="E38" s="1731"/>
      <c r="F38" s="1731"/>
      <c r="G38" s="1731"/>
      <c r="H38" s="1731"/>
      <c r="I38" s="1731"/>
      <c r="J38" s="1731"/>
      <c r="K38" s="1731"/>
      <c r="N38" s="767"/>
      <c r="O38" s="768"/>
      <c r="P38" s="768"/>
      <c r="Q38" s="930"/>
      <c r="R38" s="769"/>
    </row>
    <row r="39" spans="2:18" ht="15" customHeight="1" x14ac:dyDescent="0.25">
      <c r="B39" s="611"/>
      <c r="C39" s="8"/>
      <c r="D39" s="8"/>
      <c r="E39" s="8"/>
      <c r="F39" s="8"/>
      <c r="G39" s="8"/>
      <c r="H39" s="8"/>
      <c r="I39" s="8"/>
      <c r="N39" s="770"/>
      <c r="O39" s="1776" t="s">
        <v>3378</v>
      </c>
      <c r="P39" s="1776"/>
      <c r="Q39" s="941"/>
      <c r="R39" s="771"/>
    </row>
    <row r="40" spans="2:18" ht="15" customHeight="1" x14ac:dyDescent="0.25">
      <c r="B40" s="611"/>
      <c r="C40" s="1148" t="s">
        <v>3310</v>
      </c>
      <c r="D40" s="1148"/>
      <c r="E40" s="1148"/>
      <c r="F40" s="1148"/>
      <c r="G40" s="1148"/>
      <c r="H40" s="1148"/>
      <c r="I40" s="1148"/>
      <c r="J40" s="1148"/>
      <c r="K40" s="1148"/>
      <c r="N40" s="770"/>
      <c r="O40" s="1776"/>
      <c r="P40" s="1776"/>
      <c r="Q40" s="931"/>
      <c r="R40" s="771"/>
    </row>
    <row r="41" spans="2:18" ht="15" customHeight="1" x14ac:dyDescent="0.25">
      <c r="B41" s="611"/>
      <c r="C41" s="1148"/>
      <c r="D41" s="1148"/>
      <c r="E41" s="1148"/>
      <c r="F41" s="1148"/>
      <c r="G41" s="1148"/>
      <c r="H41" s="1148"/>
      <c r="I41" s="1148"/>
      <c r="J41" s="1148"/>
      <c r="K41" s="1148"/>
      <c r="N41" s="770"/>
      <c r="O41" s="633" t="s">
        <v>2443</v>
      </c>
      <c r="P41" s="633"/>
      <c r="Q41" s="932"/>
      <c r="R41" s="771"/>
    </row>
    <row r="42" spans="2:18" ht="15" customHeight="1" x14ac:dyDescent="0.25">
      <c r="B42" s="611"/>
      <c r="C42" s="8"/>
      <c r="D42" s="8"/>
      <c r="E42" s="8"/>
      <c r="F42" s="8"/>
      <c r="G42" s="8"/>
      <c r="H42" s="25"/>
      <c r="I42" s="25"/>
      <c r="J42" s="25"/>
      <c r="N42" s="770"/>
      <c r="O42" s="948"/>
      <c r="P42" s="948"/>
      <c r="Q42" s="948"/>
      <c r="R42" s="771"/>
    </row>
    <row r="43" spans="2:18" ht="15" customHeight="1" x14ac:dyDescent="0.25">
      <c r="B43" s="611"/>
      <c r="C43" s="1196" t="s">
        <v>3305</v>
      </c>
      <c r="D43" s="1196"/>
      <c r="E43" s="1196"/>
      <c r="F43" s="1196"/>
      <c r="G43" s="1196"/>
      <c r="H43" s="1196"/>
      <c r="I43" s="1196"/>
      <c r="J43" s="1196"/>
      <c r="K43" s="1196"/>
      <c r="N43" s="770"/>
      <c r="O43" s="1718"/>
      <c r="P43" s="1719"/>
      <c r="Q43" s="1720"/>
      <c r="R43" s="771"/>
    </row>
    <row r="44" spans="2:18" ht="15" customHeight="1" x14ac:dyDescent="0.25">
      <c r="B44" s="611"/>
      <c r="C44" s="1196"/>
      <c r="D44" s="1196"/>
      <c r="E44" s="1196"/>
      <c r="F44" s="1196"/>
      <c r="G44" s="1196"/>
      <c r="H44" s="1196"/>
      <c r="I44" s="1196"/>
      <c r="J44" s="1196"/>
      <c r="K44" s="1196"/>
      <c r="N44" s="770"/>
      <c r="O44" s="1721"/>
      <c r="P44" s="1722"/>
      <c r="Q44" s="1723"/>
      <c r="R44" s="771"/>
    </row>
    <row r="45" spans="2:18" ht="15" customHeight="1" x14ac:dyDescent="0.25">
      <c r="B45" s="611"/>
      <c r="C45" s="1196"/>
      <c r="D45" s="1196"/>
      <c r="E45" s="1196"/>
      <c r="F45" s="1196"/>
      <c r="G45" s="1196"/>
      <c r="H45" s="1196"/>
      <c r="I45" s="1196"/>
      <c r="J45" s="1196"/>
      <c r="K45" s="1196"/>
      <c r="N45" s="770"/>
      <c r="O45" s="1721"/>
      <c r="P45" s="1722"/>
      <c r="Q45" s="1723"/>
      <c r="R45" s="771"/>
    </row>
    <row r="46" spans="2:18" ht="15" customHeight="1" x14ac:dyDescent="0.25">
      <c r="B46" s="611"/>
      <c r="C46" s="1852" t="s">
        <v>3300</v>
      </c>
      <c r="D46" s="1852"/>
      <c r="E46" s="1852"/>
      <c r="F46" s="1852"/>
      <c r="G46" s="1852"/>
      <c r="H46" s="1852"/>
      <c r="I46" s="1852"/>
      <c r="J46" s="1852"/>
      <c r="K46" s="1852"/>
      <c r="N46" s="770"/>
      <c r="O46" s="1721"/>
      <c r="P46" s="1722"/>
      <c r="Q46" s="1723"/>
      <c r="R46" s="771"/>
    </row>
    <row r="47" spans="2:18" ht="15" customHeight="1" x14ac:dyDescent="0.25">
      <c r="B47" s="611"/>
      <c r="C47" s="1852"/>
      <c r="D47" s="1852"/>
      <c r="E47" s="1852"/>
      <c r="F47" s="1852"/>
      <c r="G47" s="1852"/>
      <c r="H47" s="1852"/>
      <c r="I47" s="1852"/>
      <c r="J47" s="1852"/>
      <c r="K47" s="1852"/>
      <c r="N47" s="770"/>
      <c r="O47" s="1721"/>
      <c r="P47" s="1722"/>
      <c r="Q47" s="1723"/>
      <c r="R47" s="771"/>
    </row>
    <row r="48" spans="2:18" ht="15" customHeight="1" x14ac:dyDescent="0.25">
      <c r="B48" s="611"/>
      <c r="C48" s="1852" t="s">
        <v>3301</v>
      </c>
      <c r="D48" s="1852"/>
      <c r="E48" s="1852"/>
      <c r="F48" s="1852"/>
      <c r="G48" s="1852"/>
      <c r="H48" s="1852"/>
      <c r="I48" s="1852"/>
      <c r="J48" s="1852"/>
      <c r="K48" s="1852"/>
      <c r="N48" s="770"/>
      <c r="O48" s="1721"/>
      <c r="P48" s="1722"/>
      <c r="Q48" s="1723"/>
      <c r="R48" s="771"/>
    </row>
    <row r="49" spans="2:18" ht="15" customHeight="1" x14ac:dyDescent="0.25">
      <c r="B49" s="611"/>
      <c r="C49" s="1852"/>
      <c r="D49" s="1852"/>
      <c r="E49" s="1852"/>
      <c r="F49" s="1852"/>
      <c r="G49" s="1852"/>
      <c r="H49" s="1852"/>
      <c r="I49" s="1852"/>
      <c r="J49" s="1852"/>
      <c r="K49" s="1852"/>
      <c r="N49" s="770"/>
      <c r="O49" s="1721"/>
      <c r="P49" s="1722"/>
      <c r="Q49" s="1723"/>
      <c r="R49" s="771"/>
    </row>
    <row r="50" spans="2:18" ht="15" customHeight="1" x14ac:dyDescent="0.25">
      <c r="B50" s="611"/>
      <c r="C50" s="1852" t="s">
        <v>3302</v>
      </c>
      <c r="D50" s="1852"/>
      <c r="E50" s="1852"/>
      <c r="F50" s="1852"/>
      <c r="G50" s="1852"/>
      <c r="H50" s="1852"/>
      <c r="I50" s="1852"/>
      <c r="J50" s="1852"/>
      <c r="K50" s="1852"/>
      <c r="N50" s="770"/>
      <c r="O50" s="1721"/>
      <c r="P50" s="1722"/>
      <c r="Q50" s="1723"/>
      <c r="R50" s="771"/>
    </row>
    <row r="51" spans="2:18" ht="15" customHeight="1" x14ac:dyDescent="0.25">
      <c r="B51" s="611"/>
      <c r="C51" s="1236" t="s">
        <v>3303</v>
      </c>
      <c r="D51" s="1236"/>
      <c r="E51" s="1236"/>
      <c r="F51" s="1236"/>
      <c r="G51" s="1236"/>
      <c r="H51" s="1236"/>
      <c r="I51" s="1236"/>
      <c r="J51" s="1236"/>
      <c r="K51" s="1236"/>
      <c r="N51" s="770"/>
      <c r="O51" s="1721"/>
      <c r="P51" s="1722"/>
      <c r="Q51" s="1723"/>
      <c r="R51" s="771"/>
    </row>
    <row r="52" spans="2:18" ht="15" customHeight="1" x14ac:dyDescent="0.25">
      <c r="B52" s="611"/>
      <c r="C52" s="1236" t="s">
        <v>3304</v>
      </c>
      <c r="D52" s="1236"/>
      <c r="E52" s="1236"/>
      <c r="F52" s="1236"/>
      <c r="G52" s="1236"/>
      <c r="H52" s="1236"/>
      <c r="I52" s="1236"/>
      <c r="J52" s="1236"/>
      <c r="K52" s="1236"/>
      <c r="N52" s="770"/>
      <c r="O52" s="1721"/>
      <c r="P52" s="1722"/>
      <c r="Q52" s="1723"/>
      <c r="R52" s="771"/>
    </row>
    <row r="53" spans="2:18" ht="15" customHeight="1" x14ac:dyDescent="0.25">
      <c r="B53" s="611"/>
      <c r="C53" s="1148" t="s">
        <v>3306</v>
      </c>
      <c r="D53" s="1148"/>
      <c r="E53" s="1148"/>
      <c r="F53" s="1148"/>
      <c r="G53" s="1148"/>
      <c r="H53" s="1148"/>
      <c r="I53" s="1148"/>
      <c r="J53" s="1148"/>
      <c r="K53" s="1148"/>
      <c r="N53" s="770"/>
      <c r="O53" s="1721"/>
      <c r="P53" s="1722"/>
      <c r="Q53" s="1723"/>
      <c r="R53" s="771"/>
    </row>
    <row r="54" spans="2:18" ht="15" customHeight="1" x14ac:dyDescent="0.25">
      <c r="B54" s="611"/>
      <c r="C54" s="1148"/>
      <c r="D54" s="1148"/>
      <c r="E54" s="1148"/>
      <c r="F54" s="1148"/>
      <c r="G54" s="1148"/>
      <c r="H54" s="1148"/>
      <c r="I54" s="1148"/>
      <c r="J54" s="1148"/>
      <c r="K54" s="1148"/>
      <c r="N54" s="770"/>
      <c r="O54" s="1721"/>
      <c r="P54" s="1722"/>
      <c r="Q54" s="1723"/>
      <c r="R54" s="771"/>
    </row>
    <row r="55" spans="2:18" ht="15" customHeight="1" x14ac:dyDescent="0.25">
      <c r="B55" s="611"/>
      <c r="C55" s="1148" t="s">
        <v>3307</v>
      </c>
      <c r="D55" s="1148"/>
      <c r="E55" s="1148"/>
      <c r="F55" s="1148"/>
      <c r="G55" s="1148"/>
      <c r="H55" s="1148"/>
      <c r="I55" s="1148"/>
      <c r="J55" s="1148"/>
      <c r="K55" s="1148"/>
      <c r="N55" s="770"/>
      <c r="O55" s="1721"/>
      <c r="P55" s="1722"/>
      <c r="Q55" s="1723"/>
      <c r="R55" s="771"/>
    </row>
    <row r="56" spans="2:18" ht="15" customHeight="1" x14ac:dyDescent="0.25">
      <c r="B56" s="611"/>
      <c r="C56" s="1148"/>
      <c r="D56" s="1148"/>
      <c r="E56" s="1148"/>
      <c r="F56" s="1148"/>
      <c r="G56" s="1148"/>
      <c r="H56" s="1148"/>
      <c r="I56" s="1148"/>
      <c r="J56" s="1148"/>
      <c r="K56" s="1148"/>
      <c r="N56" s="770"/>
      <c r="O56" s="1721"/>
      <c r="P56" s="1722"/>
      <c r="Q56" s="1723"/>
      <c r="R56" s="771"/>
    </row>
    <row r="57" spans="2:18" ht="15" customHeight="1" x14ac:dyDescent="0.25">
      <c r="B57" s="611"/>
      <c r="C57" s="1148" t="s">
        <v>3308</v>
      </c>
      <c r="D57" s="1148"/>
      <c r="E57" s="1148"/>
      <c r="F57" s="1148"/>
      <c r="G57" s="1148"/>
      <c r="H57" s="1148"/>
      <c r="I57" s="1148"/>
      <c r="J57" s="1148"/>
      <c r="K57" s="1148"/>
      <c r="N57" s="770"/>
      <c r="O57" s="1721"/>
      <c r="P57" s="1722"/>
      <c r="Q57" s="1723"/>
      <c r="R57" s="771"/>
    </row>
    <row r="58" spans="2:18" ht="15" customHeight="1" x14ac:dyDescent="0.25">
      <c r="B58" s="611"/>
      <c r="C58" s="1148"/>
      <c r="D58" s="1148"/>
      <c r="E58" s="1148"/>
      <c r="F58" s="1148"/>
      <c r="G58" s="1148"/>
      <c r="H58" s="1148"/>
      <c r="I58" s="1148"/>
      <c r="J58" s="1148"/>
      <c r="K58" s="1148"/>
      <c r="N58" s="770"/>
      <c r="O58" s="1721"/>
      <c r="P58" s="1722"/>
      <c r="Q58" s="1723"/>
      <c r="R58" s="771"/>
    </row>
    <row r="59" spans="2:18" ht="15" customHeight="1" x14ac:dyDescent="0.25">
      <c r="B59" s="611"/>
      <c r="C59" s="1196" t="s">
        <v>3309</v>
      </c>
      <c r="D59" s="1196"/>
      <c r="E59" s="1196"/>
      <c r="F59" s="1196"/>
      <c r="G59" s="1196"/>
      <c r="H59" s="1196"/>
      <c r="I59" s="1196"/>
      <c r="J59" s="1196"/>
      <c r="K59" s="1196"/>
      <c r="N59" s="770"/>
      <c r="O59" s="1721"/>
      <c r="P59" s="1722"/>
      <c r="Q59" s="1723"/>
      <c r="R59" s="771"/>
    </row>
    <row r="60" spans="2:18" ht="15" customHeight="1" x14ac:dyDescent="0.25">
      <c r="B60" s="611"/>
      <c r="C60" s="1196"/>
      <c r="D60" s="1196"/>
      <c r="E60" s="1196"/>
      <c r="F60" s="1196"/>
      <c r="G60" s="1196"/>
      <c r="H60" s="1196"/>
      <c r="I60" s="1196"/>
      <c r="J60" s="1196"/>
      <c r="K60" s="1196"/>
      <c r="N60" s="770"/>
      <c r="O60" s="1721"/>
      <c r="P60" s="1722"/>
      <c r="Q60" s="1723"/>
      <c r="R60" s="771"/>
    </row>
    <row r="61" spans="2:18" ht="15" customHeight="1" x14ac:dyDescent="0.25">
      <c r="B61" s="611"/>
      <c r="C61" s="8"/>
      <c r="D61" s="8"/>
      <c r="E61" s="8"/>
      <c r="F61" s="8"/>
      <c r="G61" s="8"/>
      <c r="H61" s="25"/>
      <c r="I61" s="25"/>
      <c r="J61" s="25"/>
      <c r="N61" s="770"/>
      <c r="O61" s="1721"/>
      <c r="P61" s="1722"/>
      <c r="Q61" s="1723"/>
      <c r="R61" s="771"/>
    </row>
    <row r="62" spans="2:18" ht="15" customHeight="1" x14ac:dyDescent="0.25">
      <c r="B62" s="611"/>
      <c r="C62" s="1175" t="s">
        <v>3311</v>
      </c>
      <c r="D62" s="1175"/>
      <c r="E62" s="1175"/>
      <c r="F62" s="1175"/>
      <c r="G62" s="1176"/>
      <c r="H62" s="1888"/>
      <c r="I62" s="1888"/>
      <c r="J62" s="1888"/>
      <c r="K62" s="1888"/>
      <c r="N62" s="770"/>
      <c r="O62" s="1721"/>
      <c r="P62" s="1722"/>
      <c r="Q62" s="1723"/>
      <c r="R62" s="771"/>
    </row>
    <row r="63" spans="2:18" ht="15" customHeight="1" x14ac:dyDescent="0.25">
      <c r="B63" s="611"/>
      <c r="C63" s="1175" t="s">
        <v>3314</v>
      </c>
      <c r="D63" s="1175"/>
      <c r="E63" s="1175"/>
      <c r="F63" s="1175"/>
      <c r="G63" s="1176"/>
      <c r="H63" s="970">
        <f>Revenue!C94</f>
        <v>0</v>
      </c>
      <c r="I63" s="25"/>
      <c r="J63" s="25"/>
      <c r="N63" s="770"/>
      <c r="O63" s="1721"/>
      <c r="P63" s="1722"/>
      <c r="Q63" s="1723"/>
      <c r="R63" s="771"/>
    </row>
    <row r="64" spans="2:18" ht="15" customHeight="1" x14ac:dyDescent="0.25">
      <c r="B64" s="611"/>
      <c r="C64" s="1175" t="s">
        <v>3400</v>
      </c>
      <c r="D64" s="1175"/>
      <c r="E64" s="1175"/>
      <c r="F64" s="1175"/>
      <c r="G64" s="1176"/>
      <c r="H64" s="78">
        <f>ROUNDUP(H63*0.25,0)</f>
        <v>0</v>
      </c>
      <c r="I64" s="25"/>
      <c r="J64" s="25"/>
      <c r="N64" s="770"/>
      <c r="O64" s="1724"/>
      <c r="P64" s="1725"/>
      <c r="Q64" s="1726"/>
      <c r="R64" s="771"/>
    </row>
    <row r="65" spans="2:18" ht="15" customHeight="1" x14ac:dyDescent="0.25">
      <c r="B65" s="611"/>
      <c r="C65" s="1175" t="s">
        <v>3315</v>
      </c>
      <c r="D65" s="1175"/>
      <c r="E65" s="1175"/>
      <c r="F65" s="1175"/>
      <c r="G65" s="1176"/>
      <c r="H65" s="987"/>
      <c r="I65" s="25"/>
      <c r="J65" s="25"/>
      <c r="N65" s="772"/>
      <c r="O65" s="773"/>
      <c r="P65" s="773"/>
      <c r="Q65" s="773"/>
      <c r="R65" s="774"/>
    </row>
    <row r="66" spans="2:18" ht="15" customHeight="1" x14ac:dyDescent="0.25">
      <c r="B66" s="611"/>
      <c r="C66" s="1175" t="s">
        <v>3445</v>
      </c>
      <c r="D66" s="1175"/>
      <c r="E66" s="1175"/>
      <c r="F66" s="1175"/>
      <c r="G66" s="1176"/>
      <c r="H66" s="78">
        <f>SUM(Revenue!E110:F111)</f>
        <v>0</v>
      </c>
      <c r="I66" s="25"/>
      <c r="J66" s="25"/>
    </row>
    <row r="67" spans="2:18" ht="15" customHeight="1" x14ac:dyDescent="0.25">
      <c r="B67" s="611"/>
      <c r="D67" s="8"/>
      <c r="E67" s="8"/>
      <c r="F67" s="8"/>
      <c r="G67" s="8"/>
      <c r="H67" s="25"/>
      <c r="I67" s="25"/>
      <c r="J67" s="25"/>
    </row>
    <row r="68" spans="2:18" ht="15" customHeight="1" x14ac:dyDescent="0.25">
      <c r="B68" s="611"/>
      <c r="C68" s="8"/>
      <c r="D68" s="8"/>
      <c r="E68" s="8"/>
      <c r="F68" s="8"/>
      <c r="G68" s="8"/>
      <c r="H68" s="25"/>
      <c r="I68" s="25"/>
      <c r="J68" s="25"/>
    </row>
    <row r="69" spans="2:18" ht="15" customHeight="1" x14ac:dyDescent="0.2">
      <c r="B69" s="746" t="s">
        <v>2477</v>
      </c>
      <c r="C69" s="1731" t="s">
        <v>3312</v>
      </c>
      <c r="D69" s="1731"/>
      <c r="E69" s="1731"/>
      <c r="F69" s="1731"/>
      <c r="G69" s="1731"/>
      <c r="H69" s="1731"/>
      <c r="I69" s="1731"/>
      <c r="J69" s="1731"/>
      <c r="K69" s="1731"/>
      <c r="N69" s="767"/>
      <c r="O69" s="768"/>
      <c r="P69" s="768"/>
      <c r="Q69" s="930"/>
      <c r="R69" s="769"/>
    </row>
    <row r="70" spans="2:18" ht="15" customHeight="1" x14ac:dyDescent="0.25">
      <c r="B70" s="611"/>
      <c r="C70" s="8"/>
      <c r="D70" s="8"/>
      <c r="E70" s="8"/>
      <c r="F70" s="8"/>
      <c r="G70" s="8"/>
      <c r="H70" s="8"/>
      <c r="I70" s="8"/>
      <c r="N70" s="770"/>
      <c r="O70" s="1776" t="s">
        <v>3379</v>
      </c>
      <c r="P70" s="1776"/>
      <c r="Q70" s="941"/>
      <c r="R70" s="771"/>
    </row>
    <row r="71" spans="2:18" ht="15" customHeight="1" x14ac:dyDescent="0.25">
      <c r="B71" s="611"/>
      <c r="C71" s="1148" t="s">
        <v>3313</v>
      </c>
      <c r="D71" s="1148"/>
      <c r="E71" s="1148"/>
      <c r="F71" s="1148"/>
      <c r="G71" s="1148"/>
      <c r="H71" s="1148"/>
      <c r="I71" s="1148"/>
      <c r="J71" s="1148"/>
      <c r="K71" s="1148"/>
      <c r="N71" s="770"/>
      <c r="O71" s="1776"/>
      <c r="P71" s="1776"/>
      <c r="Q71" s="931"/>
      <c r="R71" s="771"/>
    </row>
    <row r="72" spans="2:18" ht="15" customHeight="1" x14ac:dyDescent="0.25">
      <c r="B72" s="611"/>
      <c r="C72" s="1148"/>
      <c r="D72" s="1148"/>
      <c r="E72" s="1148"/>
      <c r="F72" s="1148"/>
      <c r="G72" s="1148"/>
      <c r="H72" s="1148"/>
      <c r="I72" s="1148"/>
      <c r="J72" s="1148"/>
      <c r="K72" s="1148"/>
      <c r="N72" s="770"/>
      <c r="O72" s="633" t="s">
        <v>2443</v>
      </c>
      <c r="P72" s="633"/>
      <c r="Q72" s="932"/>
      <c r="R72" s="771"/>
    </row>
    <row r="73" spans="2:18" ht="15" customHeight="1" x14ac:dyDescent="0.25">
      <c r="B73" s="611"/>
      <c r="C73" s="8"/>
      <c r="D73" s="8"/>
      <c r="E73" s="8"/>
      <c r="F73" s="8"/>
      <c r="G73" s="8"/>
      <c r="H73" s="25"/>
      <c r="I73" s="25"/>
      <c r="J73" s="25"/>
      <c r="N73" s="770"/>
      <c r="O73" s="948"/>
      <c r="P73" s="948"/>
      <c r="Q73" s="948"/>
      <c r="R73" s="771"/>
    </row>
    <row r="74" spans="2:18" ht="15" customHeight="1" x14ac:dyDescent="0.25">
      <c r="B74" s="611"/>
      <c r="C74" s="1149" t="s">
        <v>3315</v>
      </c>
      <c r="D74" s="1149"/>
      <c r="E74" s="1149"/>
      <c r="F74" s="1149"/>
      <c r="G74" s="1204"/>
      <c r="H74" s="78">
        <f>H65</f>
        <v>0</v>
      </c>
      <c r="I74" s="25"/>
      <c r="J74" s="25"/>
      <c r="N74" s="770"/>
      <c r="O74" s="1910"/>
      <c r="P74" s="1910"/>
      <c r="Q74" s="1910"/>
      <c r="R74" s="771"/>
    </row>
    <row r="75" spans="2:18" ht="15" customHeight="1" x14ac:dyDescent="0.25">
      <c r="B75" s="611"/>
      <c r="C75" s="1149" t="s">
        <v>3316</v>
      </c>
      <c r="D75" s="1149"/>
      <c r="E75" s="1149"/>
      <c r="F75" s="1149"/>
      <c r="G75" s="1204"/>
      <c r="H75" s="78">
        <f>H74</f>
        <v>0</v>
      </c>
      <c r="I75" s="25"/>
      <c r="J75" s="25"/>
      <c r="N75" s="770"/>
      <c r="O75" s="1910"/>
      <c r="P75" s="1910"/>
      <c r="Q75" s="1910"/>
      <c r="R75" s="771"/>
    </row>
    <row r="76" spans="2:18" ht="15" customHeight="1" x14ac:dyDescent="0.25">
      <c r="B76" s="611"/>
      <c r="C76" s="1149" t="s">
        <v>3317</v>
      </c>
      <c r="D76" s="1149"/>
      <c r="E76" s="1149"/>
      <c r="F76" s="1149"/>
      <c r="G76" s="1204"/>
      <c r="H76" s="78">
        <f>SUMIFS(Revenue!$C$47:$C$92,Revenue!$M$47:$M$92,"&gt;0",Revenue!$N$47:$N$92,"&lt;&gt;811 PRA")</f>
        <v>0</v>
      </c>
      <c r="I76" s="25"/>
      <c r="J76" s="25"/>
      <c r="N76" s="770"/>
      <c r="O76" s="1910"/>
      <c r="P76" s="1910"/>
      <c r="Q76" s="1910"/>
      <c r="R76" s="771"/>
    </row>
    <row r="77" spans="2:18" ht="15" customHeight="1" x14ac:dyDescent="0.25">
      <c r="B77" s="611"/>
      <c r="C77" s="8"/>
      <c r="D77" s="8"/>
      <c r="E77" s="8"/>
      <c r="F77" s="8"/>
      <c r="G77" s="8"/>
      <c r="H77" s="25"/>
      <c r="I77" s="25"/>
      <c r="J77" s="25"/>
      <c r="N77" s="772"/>
      <c r="O77" s="949"/>
      <c r="P77" s="949"/>
      <c r="Q77" s="949"/>
      <c r="R77" s="774"/>
    </row>
    <row r="78" spans="2:18" ht="15" customHeight="1" x14ac:dyDescent="0.25">
      <c r="B78" s="611"/>
      <c r="C78" s="8"/>
      <c r="D78" s="8"/>
      <c r="E78" s="8"/>
      <c r="F78" s="8"/>
      <c r="G78" s="8"/>
      <c r="H78" s="25"/>
      <c r="I78" s="25"/>
      <c r="J78" s="25"/>
    </row>
    <row r="79" spans="2:18" ht="15" customHeight="1" x14ac:dyDescent="0.2">
      <c r="B79" s="746" t="s">
        <v>2678</v>
      </c>
      <c r="C79" s="1731" t="s">
        <v>3318</v>
      </c>
      <c r="D79" s="1731"/>
      <c r="E79" s="1731"/>
      <c r="F79" s="1731"/>
      <c r="G79" s="1731"/>
      <c r="H79" s="1731"/>
      <c r="I79" s="1731"/>
      <c r="J79" s="1731"/>
      <c r="K79" s="1731"/>
      <c r="N79" s="767"/>
      <c r="O79" s="768"/>
      <c r="P79" s="768"/>
      <c r="Q79" s="930"/>
      <c r="R79" s="769"/>
    </row>
    <row r="80" spans="2:18" ht="15" customHeight="1" x14ac:dyDescent="0.25">
      <c r="B80" s="611"/>
      <c r="C80" s="8"/>
      <c r="D80" s="8"/>
      <c r="E80" s="8"/>
      <c r="F80" s="8"/>
      <c r="G80" s="8"/>
      <c r="H80" s="8"/>
      <c r="I80" s="8"/>
      <c r="N80" s="770"/>
      <c r="O80" s="1776" t="s">
        <v>3380</v>
      </c>
      <c r="P80" s="1776"/>
      <c r="Q80" s="941"/>
      <c r="R80" s="771"/>
    </row>
    <row r="81" spans="2:18" ht="15" customHeight="1" x14ac:dyDescent="0.25">
      <c r="B81" s="611"/>
      <c r="C81" s="1148" t="s">
        <v>3319</v>
      </c>
      <c r="D81" s="1148"/>
      <c r="E81" s="1148"/>
      <c r="F81" s="1148"/>
      <c r="G81" s="1148"/>
      <c r="H81" s="1148"/>
      <c r="I81" s="1148"/>
      <c r="J81" s="1148"/>
      <c r="K81" s="1148"/>
      <c r="N81" s="770"/>
      <c r="O81" s="1776"/>
      <c r="P81" s="1776"/>
      <c r="Q81" s="931"/>
      <c r="R81" s="771"/>
    </row>
    <row r="82" spans="2:18" ht="15" customHeight="1" x14ac:dyDescent="0.25">
      <c r="B82" s="611"/>
      <c r="C82" s="1148"/>
      <c r="D82" s="1148"/>
      <c r="E82" s="1148"/>
      <c r="F82" s="1148"/>
      <c r="G82" s="1148"/>
      <c r="H82" s="1148"/>
      <c r="I82" s="1148"/>
      <c r="J82" s="1148"/>
      <c r="K82" s="1148"/>
      <c r="N82" s="770"/>
      <c r="O82" s="633" t="s">
        <v>2443</v>
      </c>
      <c r="P82" s="633"/>
      <c r="Q82" s="932"/>
      <c r="R82" s="771"/>
    </row>
    <row r="83" spans="2:18" ht="15" customHeight="1" x14ac:dyDescent="0.25">
      <c r="B83" s="611"/>
      <c r="C83" s="8"/>
      <c r="D83" s="8"/>
      <c r="E83" s="8"/>
      <c r="F83" s="8"/>
      <c r="G83" s="8"/>
      <c r="H83" s="25"/>
      <c r="I83" s="25"/>
      <c r="J83" s="25"/>
      <c r="N83" s="770"/>
      <c r="O83" s="948"/>
      <c r="P83" s="948"/>
      <c r="Q83" s="948"/>
      <c r="R83" s="771"/>
    </row>
    <row r="84" spans="2:18" ht="15" customHeight="1" x14ac:dyDescent="0.25">
      <c r="B84" s="611"/>
      <c r="C84" s="1178" t="s">
        <v>3432</v>
      </c>
      <c r="D84" s="1178"/>
      <c r="E84" s="1178"/>
      <c r="F84" s="1178"/>
      <c r="G84" s="1389"/>
      <c r="H84" s="1247" t="str">
        <f>IF(Team!E327="","",Team!E327)</f>
        <v/>
      </c>
      <c r="I84" s="1247"/>
      <c r="J84" s="1247"/>
      <c r="N84" s="770"/>
      <c r="O84" s="1718"/>
      <c r="P84" s="1719"/>
      <c r="Q84" s="1720"/>
      <c r="R84" s="771"/>
    </row>
    <row r="85" spans="2:18" ht="15" customHeight="1" x14ac:dyDescent="0.25">
      <c r="B85" s="611"/>
      <c r="C85" s="1178" t="s">
        <v>3433</v>
      </c>
      <c r="D85" s="1178"/>
      <c r="E85" s="1178"/>
      <c r="F85" s="1178"/>
      <c r="G85" s="1389"/>
      <c r="H85" s="983">
        <f>Team!E328</f>
        <v>0</v>
      </c>
      <c r="I85" s="25"/>
      <c r="J85" s="25"/>
      <c r="N85" s="770"/>
      <c r="O85" s="1721"/>
      <c r="P85" s="1722"/>
      <c r="Q85" s="1723"/>
      <c r="R85" s="771"/>
    </row>
    <row r="86" spans="2:18" ht="15" customHeight="1" x14ac:dyDescent="0.25">
      <c r="B86" s="611"/>
      <c r="C86" s="1178" t="s">
        <v>3427</v>
      </c>
      <c r="D86" s="1178"/>
      <c r="E86" s="1178"/>
      <c r="F86" s="1178"/>
      <c r="G86" s="1389"/>
      <c r="H86" s="988"/>
      <c r="I86" s="25"/>
      <c r="J86" s="25"/>
      <c r="N86" s="770"/>
      <c r="O86" s="1721"/>
      <c r="P86" s="1722"/>
      <c r="Q86" s="1723"/>
      <c r="R86" s="771"/>
    </row>
    <row r="87" spans="2:18" ht="15" customHeight="1" x14ac:dyDescent="0.25">
      <c r="B87" s="611"/>
      <c r="C87" s="1178" t="s">
        <v>3428</v>
      </c>
      <c r="D87" s="1178"/>
      <c r="E87" s="1178"/>
      <c r="F87" s="1178"/>
      <c r="G87" s="1389"/>
      <c r="H87" s="987"/>
      <c r="I87" s="25"/>
      <c r="J87" s="25"/>
      <c r="N87" s="770"/>
      <c r="O87" s="1724"/>
      <c r="P87" s="1725"/>
      <c r="Q87" s="1726"/>
      <c r="R87" s="771"/>
    </row>
    <row r="88" spans="2:18" ht="15" customHeight="1" x14ac:dyDescent="0.25">
      <c r="B88" s="611"/>
      <c r="C88" s="8"/>
      <c r="D88" s="8"/>
      <c r="E88" s="8"/>
      <c r="F88" s="8"/>
      <c r="G88" s="8"/>
      <c r="H88" s="25"/>
      <c r="I88" s="25"/>
      <c r="J88" s="25"/>
      <c r="N88" s="772"/>
      <c r="O88" s="949"/>
      <c r="P88" s="949"/>
      <c r="Q88" s="949"/>
      <c r="R88" s="774"/>
    </row>
    <row r="89" spans="2:18" ht="15" customHeight="1" x14ac:dyDescent="0.25">
      <c r="B89" s="611"/>
      <c r="C89" s="8"/>
      <c r="D89" s="8"/>
      <c r="E89" s="8"/>
      <c r="F89" s="8"/>
      <c r="G89" s="8"/>
      <c r="H89" s="25"/>
      <c r="I89" s="25"/>
      <c r="J89" s="25"/>
    </row>
    <row r="90" spans="2:18" ht="15" customHeight="1" x14ac:dyDescent="0.2">
      <c r="B90" s="746" t="s">
        <v>2679</v>
      </c>
      <c r="C90" s="1731" t="s">
        <v>3320</v>
      </c>
      <c r="D90" s="1731"/>
      <c r="E90" s="1731"/>
      <c r="F90" s="1731"/>
      <c r="G90" s="1731"/>
      <c r="H90" s="1731"/>
      <c r="I90" s="1731"/>
      <c r="J90" s="1731"/>
      <c r="K90" s="1731"/>
      <c r="N90" s="767"/>
      <c r="O90" s="768"/>
      <c r="P90" s="768"/>
      <c r="Q90" s="930"/>
      <c r="R90" s="769"/>
    </row>
    <row r="91" spans="2:18" ht="15" customHeight="1" x14ac:dyDescent="0.25">
      <c r="B91" s="611"/>
      <c r="C91" s="8"/>
      <c r="D91" s="8"/>
      <c r="E91" s="8"/>
      <c r="F91" s="8"/>
      <c r="G91" s="8"/>
      <c r="H91" s="8"/>
      <c r="I91" s="8"/>
      <c r="N91" s="770"/>
      <c r="O91" s="1776" t="s">
        <v>3381</v>
      </c>
      <c r="P91" s="1777"/>
      <c r="Q91" s="941"/>
      <c r="R91" s="771"/>
    </row>
    <row r="92" spans="2:18" ht="15" customHeight="1" x14ac:dyDescent="0.25">
      <c r="B92" s="611"/>
      <c r="C92" s="1148" t="s">
        <v>3321</v>
      </c>
      <c r="D92" s="1148"/>
      <c r="E92" s="1148"/>
      <c r="F92" s="1148"/>
      <c r="G92" s="1148"/>
      <c r="H92" s="1148"/>
      <c r="I92" s="1148"/>
      <c r="J92" s="1148"/>
      <c r="K92" s="1148"/>
      <c r="N92" s="770"/>
      <c r="O92" s="1776"/>
      <c r="P92" s="1776"/>
      <c r="Q92" s="931"/>
      <c r="R92" s="771"/>
    </row>
    <row r="93" spans="2:18" ht="15" customHeight="1" x14ac:dyDescent="0.25">
      <c r="B93" s="611"/>
      <c r="C93" s="8"/>
      <c r="D93" s="8"/>
      <c r="E93" s="8"/>
      <c r="F93" s="8"/>
      <c r="G93" s="8"/>
      <c r="H93" s="25"/>
      <c r="I93" s="25"/>
      <c r="J93" s="25"/>
      <c r="N93" s="770"/>
      <c r="O93" s="633" t="s">
        <v>2443</v>
      </c>
      <c r="P93" s="633"/>
      <c r="Q93" s="932"/>
      <c r="R93" s="771"/>
    </row>
    <row r="94" spans="2:18" ht="15" customHeight="1" x14ac:dyDescent="0.25">
      <c r="B94" s="611"/>
      <c r="C94" s="1178" t="s">
        <v>3430</v>
      </c>
      <c r="D94" s="1178"/>
      <c r="E94" s="1178"/>
      <c r="F94" s="1178"/>
      <c r="G94" s="1389"/>
      <c r="H94" s="1259" t="str">
        <f>IF(Team!$E$427="","N/A",Team!$E$427)</f>
        <v>N/A</v>
      </c>
      <c r="I94" s="1260"/>
      <c r="J94" s="1261"/>
      <c r="N94" s="770"/>
      <c r="O94" s="968"/>
      <c r="P94" s="968"/>
      <c r="Q94" s="968"/>
      <c r="R94" s="771"/>
    </row>
    <row r="95" spans="2:18" ht="15" customHeight="1" x14ac:dyDescent="0.25">
      <c r="B95" s="611"/>
      <c r="C95" s="1178" t="s">
        <v>3431</v>
      </c>
      <c r="D95" s="1178"/>
      <c r="E95" s="1178"/>
      <c r="F95" s="1178"/>
      <c r="G95" s="1389"/>
      <c r="H95" s="987"/>
      <c r="I95" s="25"/>
      <c r="J95" s="25"/>
      <c r="N95" s="770"/>
      <c r="O95" s="1718"/>
      <c r="P95" s="1719"/>
      <c r="Q95" s="1720"/>
      <c r="R95" s="771"/>
    </row>
    <row r="96" spans="2:18" ht="15" customHeight="1" x14ac:dyDescent="0.25">
      <c r="B96" s="611"/>
      <c r="C96" s="1178" t="s">
        <v>3429</v>
      </c>
      <c r="D96" s="1178"/>
      <c r="E96" s="1178"/>
      <c r="F96" s="1178"/>
      <c r="G96" s="1389"/>
      <c r="H96" s="987"/>
      <c r="I96" s="25"/>
      <c r="J96" s="25"/>
      <c r="N96" s="770"/>
      <c r="O96" s="1721"/>
      <c r="P96" s="1722"/>
      <c r="Q96" s="1723"/>
      <c r="R96" s="771"/>
    </row>
    <row r="97" spans="2:18" ht="15" customHeight="1" x14ac:dyDescent="0.25">
      <c r="B97" s="611"/>
      <c r="C97" s="8"/>
      <c r="D97" s="8"/>
      <c r="E97" s="8"/>
      <c r="F97" s="8"/>
      <c r="G97" s="8"/>
      <c r="H97" s="25"/>
      <c r="I97" s="25"/>
      <c r="J97" s="25"/>
      <c r="N97" s="770"/>
      <c r="O97" s="1724"/>
      <c r="P97" s="1725"/>
      <c r="Q97" s="1726"/>
      <c r="R97" s="771"/>
    </row>
    <row r="98" spans="2:18" ht="15" customHeight="1" x14ac:dyDescent="0.25">
      <c r="B98" s="611"/>
      <c r="C98" s="8"/>
      <c r="D98" s="8"/>
      <c r="E98" s="8"/>
      <c r="F98" s="8"/>
      <c r="G98" s="8"/>
      <c r="H98" s="25"/>
      <c r="I98" s="25"/>
      <c r="J98" s="25"/>
      <c r="N98" s="772"/>
      <c r="O98" s="949"/>
      <c r="P98" s="949"/>
      <c r="Q98" s="949"/>
      <c r="R98" s="774"/>
    </row>
    <row r="99" spans="2:18" ht="15" customHeight="1" x14ac:dyDescent="0.2">
      <c r="B99" s="746" t="s">
        <v>2680</v>
      </c>
      <c r="C99" s="1731" t="s">
        <v>3322</v>
      </c>
      <c r="D99" s="1731"/>
      <c r="E99" s="1731"/>
      <c r="F99" s="1731"/>
      <c r="G99" s="1731"/>
      <c r="H99" s="1731"/>
      <c r="I99" s="1731"/>
      <c r="J99" s="1731"/>
      <c r="K99" s="1731"/>
    </row>
    <row r="100" spans="2:18" ht="15" customHeight="1" x14ac:dyDescent="0.25">
      <c r="B100" s="611"/>
      <c r="C100" s="8"/>
      <c r="D100" s="8"/>
      <c r="E100" s="8"/>
      <c r="F100" s="8"/>
      <c r="G100" s="8"/>
      <c r="H100" s="25"/>
      <c r="I100" s="25"/>
      <c r="J100" s="25"/>
      <c r="N100" s="767"/>
      <c r="O100" s="768"/>
      <c r="P100" s="768"/>
      <c r="Q100" s="930"/>
      <c r="R100" s="769"/>
    </row>
    <row r="101" spans="2:18" ht="15" customHeight="1" x14ac:dyDescent="0.25">
      <c r="B101" s="611"/>
      <c r="C101" s="1148" t="s">
        <v>3323</v>
      </c>
      <c r="D101" s="1148"/>
      <c r="E101" s="1148"/>
      <c r="F101" s="1148"/>
      <c r="G101" s="1148"/>
      <c r="H101" s="1148"/>
      <c r="I101" s="1148"/>
      <c r="J101" s="1148"/>
      <c r="K101" s="1148"/>
      <c r="N101" s="770"/>
      <c r="O101" s="1776" t="s">
        <v>3382</v>
      </c>
      <c r="P101" s="1776"/>
      <c r="Q101" s="941"/>
      <c r="R101" s="771"/>
    </row>
    <row r="102" spans="2:18" ht="15" customHeight="1" x14ac:dyDescent="0.25">
      <c r="B102" s="611"/>
      <c r="C102" s="1148"/>
      <c r="D102" s="1148"/>
      <c r="E102" s="1148"/>
      <c r="F102" s="1148"/>
      <c r="G102" s="1148"/>
      <c r="H102" s="1148"/>
      <c r="I102" s="1148"/>
      <c r="J102" s="1148"/>
      <c r="K102" s="1148"/>
      <c r="N102" s="770"/>
      <c r="O102" s="1776"/>
      <c r="P102" s="1776"/>
      <c r="Q102" s="931"/>
      <c r="R102" s="771"/>
    </row>
    <row r="103" spans="2:18" ht="15" customHeight="1" x14ac:dyDescent="0.25">
      <c r="B103" s="611"/>
      <c r="C103" s="1148"/>
      <c r="D103" s="1148"/>
      <c r="E103" s="1148"/>
      <c r="F103" s="1148"/>
      <c r="G103" s="1148"/>
      <c r="H103" s="1148"/>
      <c r="I103" s="1148"/>
      <c r="J103" s="1148"/>
      <c r="K103" s="1148"/>
      <c r="N103" s="770"/>
      <c r="O103" s="633" t="s">
        <v>2443</v>
      </c>
      <c r="P103" s="633"/>
      <c r="Q103" s="932"/>
      <c r="R103" s="771"/>
    </row>
    <row r="104" spans="2:18" ht="15" customHeight="1" x14ac:dyDescent="0.25">
      <c r="B104" s="611"/>
      <c r="C104" s="1148"/>
      <c r="D104" s="1148"/>
      <c r="E104" s="1148"/>
      <c r="F104" s="1148"/>
      <c r="G104" s="1148"/>
      <c r="H104" s="1148"/>
      <c r="I104" s="1148"/>
      <c r="J104" s="1148"/>
      <c r="K104" s="1148"/>
      <c r="N104" s="770"/>
      <c r="O104" s="948"/>
      <c r="P104" s="948"/>
      <c r="Q104" s="948"/>
      <c r="R104" s="771"/>
    </row>
    <row r="105" spans="2:18" ht="15" customHeight="1" x14ac:dyDescent="0.25">
      <c r="B105" s="611"/>
      <c r="C105" s="1148"/>
      <c r="D105" s="1148"/>
      <c r="E105" s="1148"/>
      <c r="F105" s="1148"/>
      <c r="G105" s="1148"/>
      <c r="H105" s="1148"/>
      <c r="I105" s="1148"/>
      <c r="J105" s="1148"/>
      <c r="K105" s="1148"/>
      <c r="N105" s="770"/>
      <c r="O105" s="1718"/>
      <c r="P105" s="1719"/>
      <c r="Q105" s="1720"/>
      <c r="R105" s="771"/>
    </row>
    <row r="106" spans="2:18" ht="15" customHeight="1" x14ac:dyDescent="0.25">
      <c r="B106" s="611"/>
      <c r="C106" s="1148"/>
      <c r="D106" s="1148"/>
      <c r="E106" s="1148"/>
      <c r="F106" s="1148"/>
      <c r="G106" s="1148"/>
      <c r="H106" s="1148"/>
      <c r="I106" s="1148"/>
      <c r="J106" s="1148"/>
      <c r="K106" s="1148"/>
      <c r="N106" s="770"/>
      <c r="O106" s="1721"/>
      <c r="P106" s="1722"/>
      <c r="Q106" s="1723"/>
      <c r="R106" s="771"/>
    </row>
    <row r="107" spans="2:18" ht="15" customHeight="1" x14ac:dyDescent="0.25">
      <c r="B107" s="611"/>
      <c r="C107" s="1148"/>
      <c r="D107" s="1148"/>
      <c r="E107" s="1148"/>
      <c r="F107" s="1148"/>
      <c r="G107" s="1148"/>
      <c r="H107" s="1148"/>
      <c r="I107" s="1148"/>
      <c r="J107" s="1148"/>
      <c r="K107" s="1148"/>
      <c r="N107" s="770"/>
      <c r="O107" s="1721"/>
      <c r="P107" s="1722"/>
      <c r="Q107" s="1723"/>
      <c r="R107" s="771"/>
    </row>
    <row r="108" spans="2:18" ht="15" customHeight="1" x14ac:dyDescent="0.25">
      <c r="B108" s="611"/>
      <c r="C108" s="8"/>
      <c r="D108" s="8"/>
      <c r="E108" s="8"/>
      <c r="F108" s="8"/>
      <c r="G108" s="8"/>
      <c r="H108" s="25"/>
      <c r="I108" s="25"/>
      <c r="J108" s="25"/>
      <c r="N108" s="770"/>
      <c r="O108" s="1721"/>
      <c r="P108" s="1722"/>
      <c r="Q108" s="1723"/>
      <c r="R108" s="771"/>
    </row>
    <row r="109" spans="2:18" ht="15" customHeight="1" x14ac:dyDescent="0.25">
      <c r="B109" s="611"/>
      <c r="C109" s="1148" t="s">
        <v>3324</v>
      </c>
      <c r="D109" s="1148"/>
      <c r="E109" s="1148"/>
      <c r="F109" s="1148"/>
      <c r="G109" s="1148"/>
      <c r="H109" s="1148"/>
      <c r="I109" s="1148"/>
      <c r="J109" s="1148"/>
      <c r="K109" s="1148"/>
      <c r="N109" s="770"/>
      <c r="O109" s="1721"/>
      <c r="P109" s="1722"/>
      <c r="Q109" s="1723"/>
      <c r="R109" s="771"/>
    </row>
    <row r="110" spans="2:18" ht="15" customHeight="1" x14ac:dyDescent="0.25">
      <c r="B110" s="611"/>
      <c r="C110" s="1148"/>
      <c r="D110" s="1148"/>
      <c r="E110" s="1148"/>
      <c r="F110" s="1148"/>
      <c r="G110" s="1148"/>
      <c r="H110" s="1148"/>
      <c r="I110" s="1148"/>
      <c r="J110" s="1148"/>
      <c r="K110" s="1148"/>
      <c r="N110" s="770"/>
      <c r="O110" s="1721"/>
      <c r="P110" s="1722"/>
      <c r="Q110" s="1723"/>
      <c r="R110" s="771"/>
    </row>
    <row r="111" spans="2:18" ht="15" customHeight="1" x14ac:dyDescent="0.25">
      <c r="B111" s="611"/>
      <c r="C111" s="1236" t="s">
        <v>3325</v>
      </c>
      <c r="D111" s="1236"/>
      <c r="E111" s="1236"/>
      <c r="F111" s="1236"/>
      <c r="G111" s="1236"/>
      <c r="H111" s="1236"/>
      <c r="I111" s="1236"/>
      <c r="J111" s="1236"/>
      <c r="K111" s="1236"/>
      <c r="N111" s="770"/>
      <c r="O111" s="1721"/>
      <c r="P111" s="1722"/>
      <c r="Q111" s="1723"/>
      <c r="R111" s="771"/>
    </row>
    <row r="112" spans="2:18" ht="15" customHeight="1" x14ac:dyDescent="0.25">
      <c r="B112" s="611"/>
      <c r="C112" s="1236" t="s">
        <v>3326</v>
      </c>
      <c r="D112" s="1236"/>
      <c r="E112" s="1236"/>
      <c r="F112" s="1236"/>
      <c r="G112" s="1236"/>
      <c r="H112" s="1236"/>
      <c r="I112" s="1236"/>
      <c r="J112" s="1236"/>
      <c r="K112" s="1236"/>
      <c r="N112" s="770"/>
      <c r="O112" s="1721"/>
      <c r="P112" s="1722"/>
      <c r="Q112" s="1723"/>
      <c r="R112" s="771"/>
    </row>
    <row r="113" spans="2:18" ht="15" customHeight="1" x14ac:dyDescent="0.25">
      <c r="B113" s="611"/>
      <c r="C113" s="1852" t="s">
        <v>3327</v>
      </c>
      <c r="D113" s="1852"/>
      <c r="E113" s="1852"/>
      <c r="F113" s="1852"/>
      <c r="G113" s="1852"/>
      <c r="H113" s="1852"/>
      <c r="I113" s="1852"/>
      <c r="J113" s="1852"/>
      <c r="K113" s="1852"/>
      <c r="N113" s="770"/>
      <c r="O113" s="1721"/>
      <c r="P113" s="1722"/>
      <c r="Q113" s="1723"/>
      <c r="R113" s="771"/>
    </row>
    <row r="114" spans="2:18" ht="15" customHeight="1" x14ac:dyDescent="0.25">
      <c r="B114" s="611"/>
      <c r="C114" s="1852"/>
      <c r="D114" s="1852"/>
      <c r="E114" s="1852"/>
      <c r="F114" s="1852"/>
      <c r="G114" s="1852"/>
      <c r="H114" s="1852"/>
      <c r="I114" s="1852"/>
      <c r="J114" s="1852"/>
      <c r="K114" s="1852"/>
      <c r="N114" s="770"/>
      <c r="O114" s="1721"/>
      <c r="P114" s="1722"/>
      <c r="Q114" s="1723"/>
      <c r="R114" s="771"/>
    </row>
    <row r="115" spans="2:18" ht="15" customHeight="1" x14ac:dyDescent="0.25">
      <c r="B115" s="611"/>
      <c r="C115" s="1852" t="s">
        <v>3328</v>
      </c>
      <c r="D115" s="1852"/>
      <c r="E115" s="1852"/>
      <c r="F115" s="1852"/>
      <c r="G115" s="1852"/>
      <c r="H115" s="1852"/>
      <c r="I115" s="1852"/>
      <c r="J115" s="1852"/>
      <c r="K115" s="1852"/>
      <c r="N115" s="770"/>
      <c r="O115" s="1721"/>
      <c r="P115" s="1722"/>
      <c r="Q115" s="1723"/>
      <c r="R115" s="771"/>
    </row>
    <row r="116" spans="2:18" ht="15" customHeight="1" x14ac:dyDescent="0.25">
      <c r="B116" s="611"/>
      <c r="C116" s="1852"/>
      <c r="D116" s="1852"/>
      <c r="E116" s="1852"/>
      <c r="F116" s="1852"/>
      <c r="G116" s="1852"/>
      <c r="H116" s="1852"/>
      <c r="I116" s="1852"/>
      <c r="J116" s="1852"/>
      <c r="K116" s="1852"/>
      <c r="N116" s="770"/>
      <c r="O116" s="1721"/>
      <c r="P116" s="1722"/>
      <c r="Q116" s="1723"/>
      <c r="R116" s="771"/>
    </row>
    <row r="117" spans="2:18" ht="15" customHeight="1" x14ac:dyDescent="0.25">
      <c r="B117" s="611"/>
      <c r="C117" s="1852"/>
      <c r="D117" s="1852"/>
      <c r="E117" s="1852"/>
      <c r="F117" s="1852"/>
      <c r="G117" s="1852"/>
      <c r="H117" s="1852"/>
      <c r="I117" s="1852"/>
      <c r="J117" s="1852"/>
      <c r="K117" s="1852"/>
      <c r="N117" s="770"/>
      <c r="O117" s="1721"/>
      <c r="P117" s="1722"/>
      <c r="Q117" s="1723"/>
      <c r="R117" s="771"/>
    </row>
    <row r="118" spans="2:18" ht="15" customHeight="1" x14ac:dyDescent="0.25">
      <c r="B118" s="611"/>
      <c r="C118" s="1918" t="s">
        <v>3329</v>
      </c>
      <c r="D118" s="1918"/>
      <c r="E118" s="1918"/>
      <c r="F118" s="1918"/>
      <c r="G118" s="1918"/>
      <c r="H118" s="1918"/>
      <c r="I118" s="1918"/>
      <c r="J118" s="1918"/>
      <c r="K118" s="1918"/>
      <c r="N118" s="770"/>
      <c r="O118" s="1721"/>
      <c r="P118" s="1722"/>
      <c r="Q118" s="1723"/>
      <c r="R118" s="771"/>
    </row>
    <row r="119" spans="2:18" ht="15" customHeight="1" x14ac:dyDescent="0.25">
      <c r="B119" s="611"/>
      <c r="C119" s="1918"/>
      <c r="D119" s="1918"/>
      <c r="E119" s="1918"/>
      <c r="F119" s="1918"/>
      <c r="G119" s="1918"/>
      <c r="H119" s="1918"/>
      <c r="I119" s="1918"/>
      <c r="J119" s="1918"/>
      <c r="K119" s="1918"/>
      <c r="N119" s="770"/>
      <c r="O119" s="1721"/>
      <c r="P119" s="1722"/>
      <c r="Q119" s="1723"/>
      <c r="R119" s="771"/>
    </row>
    <row r="120" spans="2:18" ht="15" customHeight="1" x14ac:dyDescent="0.25">
      <c r="B120" s="611"/>
      <c r="H120" s="25"/>
      <c r="I120" s="25"/>
      <c r="J120" s="25"/>
      <c r="N120" s="770"/>
      <c r="O120" s="1721"/>
      <c r="P120" s="1722"/>
      <c r="Q120" s="1723"/>
      <c r="R120" s="771"/>
    </row>
    <row r="121" spans="2:18" ht="15" customHeight="1" x14ac:dyDescent="0.25">
      <c r="B121" s="611"/>
      <c r="C121" s="1196" t="s">
        <v>3330</v>
      </c>
      <c r="D121" s="1196"/>
      <c r="E121" s="1196"/>
      <c r="F121" s="1196"/>
      <c r="G121" s="1196"/>
      <c r="H121" s="1196"/>
      <c r="I121" s="1196"/>
      <c r="J121" s="1196"/>
      <c r="K121" s="1196"/>
      <c r="N121" s="770"/>
      <c r="O121" s="1721"/>
      <c r="P121" s="1722"/>
      <c r="Q121" s="1723"/>
      <c r="R121" s="771"/>
    </row>
    <row r="122" spans="2:18" ht="15" customHeight="1" x14ac:dyDescent="0.25">
      <c r="B122" s="611"/>
      <c r="C122" s="1196"/>
      <c r="D122" s="1196"/>
      <c r="E122" s="1196"/>
      <c r="F122" s="1196"/>
      <c r="G122" s="1196"/>
      <c r="H122" s="1196"/>
      <c r="I122" s="1196"/>
      <c r="J122" s="1196"/>
      <c r="K122" s="1196"/>
      <c r="N122" s="770"/>
      <c r="O122" s="1721"/>
      <c r="P122" s="1722"/>
      <c r="Q122" s="1723"/>
      <c r="R122" s="771"/>
    </row>
    <row r="123" spans="2:18" ht="15" customHeight="1" x14ac:dyDescent="0.25">
      <c r="B123" s="611"/>
      <c r="C123" s="1196"/>
      <c r="D123" s="1196"/>
      <c r="E123" s="1196"/>
      <c r="F123" s="1196"/>
      <c r="G123" s="1196"/>
      <c r="H123" s="1196"/>
      <c r="I123" s="1196"/>
      <c r="J123" s="1196"/>
      <c r="K123" s="1196"/>
      <c r="N123" s="770"/>
      <c r="O123" s="1721"/>
      <c r="P123" s="1722"/>
      <c r="Q123" s="1723"/>
      <c r="R123" s="771"/>
    </row>
    <row r="124" spans="2:18" ht="15" customHeight="1" x14ac:dyDescent="0.25">
      <c r="B124" s="611"/>
      <c r="C124" s="1196"/>
      <c r="D124" s="1196"/>
      <c r="E124" s="1196"/>
      <c r="F124" s="1196"/>
      <c r="G124" s="1196"/>
      <c r="H124" s="1196"/>
      <c r="I124" s="1196"/>
      <c r="J124" s="1196"/>
      <c r="K124" s="1196"/>
      <c r="N124" s="770"/>
      <c r="O124" s="1721"/>
      <c r="P124" s="1722"/>
      <c r="Q124" s="1723"/>
      <c r="R124" s="771"/>
    </row>
    <row r="125" spans="2:18" ht="15" customHeight="1" x14ac:dyDescent="0.25">
      <c r="B125" s="611"/>
      <c r="C125" s="1196"/>
      <c r="D125" s="1196"/>
      <c r="E125" s="1196"/>
      <c r="F125" s="1196"/>
      <c r="G125" s="1196"/>
      <c r="H125" s="1196"/>
      <c r="I125" s="1196"/>
      <c r="J125" s="1196"/>
      <c r="K125" s="1196"/>
      <c r="N125" s="770"/>
      <c r="O125" s="1721"/>
      <c r="P125" s="1722"/>
      <c r="Q125" s="1723"/>
      <c r="R125" s="771"/>
    </row>
    <row r="126" spans="2:18" ht="15" customHeight="1" x14ac:dyDescent="0.25">
      <c r="B126" s="611"/>
      <c r="C126" s="99"/>
      <c r="D126" s="99"/>
      <c r="E126" s="99"/>
      <c r="F126" s="99"/>
      <c r="G126" s="99"/>
      <c r="H126" s="99"/>
      <c r="I126" s="99"/>
      <c r="J126" s="99"/>
      <c r="K126" s="99"/>
      <c r="N126" s="770"/>
      <c r="O126" s="1721"/>
      <c r="P126" s="1722"/>
      <c r="Q126" s="1723"/>
      <c r="R126" s="771"/>
    </row>
    <row r="127" spans="2:18" ht="15" customHeight="1" x14ac:dyDescent="0.25">
      <c r="B127" s="611"/>
      <c r="C127" s="1919" t="s">
        <v>3364</v>
      </c>
      <c r="D127" s="1919"/>
      <c r="E127" s="1919"/>
      <c r="F127" s="1919"/>
      <c r="G127" s="1919"/>
      <c r="H127" s="1919"/>
      <c r="I127" s="1919"/>
      <c r="J127" s="987"/>
      <c r="K127" s="99"/>
      <c r="N127" s="770"/>
      <c r="O127" s="1721"/>
      <c r="P127" s="1722"/>
      <c r="Q127" s="1723"/>
      <c r="R127" s="771"/>
    </row>
    <row r="128" spans="2:18" ht="15" customHeight="1" x14ac:dyDescent="0.25">
      <c r="B128" s="611"/>
      <c r="C128" s="1852" t="s">
        <v>3363</v>
      </c>
      <c r="D128" s="1852"/>
      <c r="E128" s="1852"/>
      <c r="F128" s="1852"/>
      <c r="G128" s="1852"/>
      <c r="H128" s="1852"/>
      <c r="I128" s="1852"/>
      <c r="J128" s="1920"/>
      <c r="K128" s="1920"/>
      <c r="N128" s="956"/>
      <c r="O128" s="1721"/>
      <c r="P128" s="1722"/>
      <c r="Q128" s="1723"/>
      <c r="R128" s="956"/>
    </row>
    <row r="129" spans="2:18" ht="15" customHeight="1" x14ac:dyDescent="0.25">
      <c r="B129" s="611"/>
      <c r="C129" s="1852" t="s">
        <v>3360</v>
      </c>
      <c r="D129" s="1852"/>
      <c r="E129" s="1852"/>
      <c r="F129" s="1852"/>
      <c r="G129" s="1852"/>
      <c r="H129" s="1852"/>
      <c r="I129" s="1852"/>
      <c r="J129" s="987"/>
      <c r="K129" s="99"/>
      <c r="N129" s="770"/>
      <c r="O129" s="1721"/>
      <c r="P129" s="1722"/>
      <c r="Q129" s="1723"/>
      <c r="R129" s="771"/>
    </row>
    <row r="130" spans="2:18" ht="15" customHeight="1" x14ac:dyDescent="0.25">
      <c r="B130" s="611"/>
      <c r="C130" s="1852" t="s">
        <v>3361</v>
      </c>
      <c r="D130" s="1852"/>
      <c r="E130" s="1852"/>
      <c r="F130" s="1852"/>
      <c r="G130" s="1852"/>
      <c r="H130" s="1852"/>
      <c r="I130" s="1852"/>
      <c r="J130" s="987"/>
      <c r="K130" s="99"/>
      <c r="N130" s="770"/>
      <c r="O130" s="1721"/>
      <c r="P130" s="1722"/>
      <c r="Q130" s="1723"/>
      <c r="R130" s="771"/>
    </row>
    <row r="131" spans="2:18" ht="15" customHeight="1" x14ac:dyDescent="0.25">
      <c r="B131" s="611"/>
      <c r="C131" s="1852" t="s">
        <v>3362</v>
      </c>
      <c r="D131" s="1852"/>
      <c r="E131" s="1852"/>
      <c r="F131" s="1852"/>
      <c r="G131" s="1852"/>
      <c r="H131" s="1852"/>
      <c r="I131" s="1852"/>
      <c r="J131" s="987"/>
      <c r="K131" s="99"/>
      <c r="N131" s="770"/>
      <c r="O131" s="1721"/>
      <c r="P131" s="1722"/>
      <c r="Q131" s="1723"/>
      <c r="R131" s="771"/>
    </row>
    <row r="132" spans="2:18" ht="15" customHeight="1" x14ac:dyDescent="0.25">
      <c r="B132" s="611"/>
      <c r="C132" s="1852" t="s">
        <v>3365</v>
      </c>
      <c r="D132" s="1852"/>
      <c r="E132" s="1852"/>
      <c r="F132" s="1852"/>
      <c r="G132" s="1852"/>
      <c r="H132" s="1852"/>
      <c r="I132" s="1852"/>
      <c r="J132" s="987"/>
      <c r="K132" s="99"/>
      <c r="N132" s="770"/>
      <c r="O132" s="1721"/>
      <c r="P132" s="1722"/>
      <c r="Q132" s="1723"/>
      <c r="R132" s="771"/>
    </row>
    <row r="133" spans="2:18" ht="15" customHeight="1" x14ac:dyDescent="0.25">
      <c r="B133" s="611"/>
      <c r="C133" s="1852" t="s">
        <v>3366</v>
      </c>
      <c r="D133" s="1852"/>
      <c r="E133" s="1852"/>
      <c r="F133" s="1852"/>
      <c r="G133" s="1852"/>
      <c r="H133" s="1852"/>
      <c r="I133" s="1852"/>
      <c r="J133" s="987"/>
      <c r="K133" s="99"/>
      <c r="N133" s="770"/>
      <c r="O133" s="1721"/>
      <c r="P133" s="1722"/>
      <c r="Q133" s="1723"/>
      <c r="R133" s="771"/>
    </row>
    <row r="134" spans="2:18" ht="15" customHeight="1" x14ac:dyDescent="0.25">
      <c r="B134" s="611"/>
      <c r="C134" s="1917" t="s">
        <v>3368</v>
      </c>
      <c r="D134" s="1917"/>
      <c r="E134" s="1917"/>
      <c r="F134" s="1917"/>
      <c r="G134" s="1917"/>
      <c r="H134" s="1917"/>
      <c r="I134" s="1917"/>
      <c r="J134" s="987"/>
      <c r="K134" s="99"/>
      <c r="N134" s="770"/>
      <c r="O134" s="1721"/>
      <c r="P134" s="1722"/>
      <c r="Q134" s="1723"/>
      <c r="R134" s="771"/>
    </row>
    <row r="135" spans="2:18" ht="15" customHeight="1" x14ac:dyDescent="0.25">
      <c r="B135" s="611"/>
      <c r="C135" s="1852" t="s">
        <v>3367</v>
      </c>
      <c r="D135" s="1852"/>
      <c r="E135" s="1852"/>
      <c r="F135" s="1852"/>
      <c r="G135" s="1852"/>
      <c r="H135" s="1852"/>
      <c r="I135" s="1852"/>
      <c r="J135" s="987"/>
      <c r="K135" s="99"/>
      <c r="N135" s="770"/>
      <c r="O135" s="1721"/>
      <c r="P135" s="1722"/>
      <c r="Q135" s="1723"/>
      <c r="R135" s="771"/>
    </row>
    <row r="136" spans="2:18" ht="15" customHeight="1" x14ac:dyDescent="0.25">
      <c r="B136" s="611"/>
      <c r="C136" s="1917" t="s">
        <v>3369</v>
      </c>
      <c r="D136" s="1917"/>
      <c r="E136" s="1917"/>
      <c r="F136" s="1917"/>
      <c r="G136" s="1917"/>
      <c r="H136" s="1917"/>
      <c r="I136" s="1917"/>
      <c r="J136" s="987"/>
      <c r="K136" s="99"/>
      <c r="N136" s="770"/>
      <c r="O136" s="1721"/>
      <c r="P136" s="1722"/>
      <c r="Q136" s="1723"/>
      <c r="R136" s="771"/>
    </row>
    <row r="137" spans="2:18" ht="15" customHeight="1" x14ac:dyDescent="0.25">
      <c r="B137" s="611"/>
      <c r="C137" s="1917" t="s">
        <v>3370</v>
      </c>
      <c r="D137" s="1917"/>
      <c r="E137" s="1917"/>
      <c r="F137" s="1917"/>
      <c r="G137" s="1917"/>
      <c r="H137" s="1917"/>
      <c r="I137" s="1917"/>
      <c r="J137" s="987"/>
      <c r="K137" s="99"/>
      <c r="N137" s="770"/>
      <c r="O137" s="1721"/>
      <c r="P137" s="1722"/>
      <c r="Q137" s="1723"/>
      <c r="R137" s="771"/>
    </row>
    <row r="138" spans="2:18" ht="15" customHeight="1" x14ac:dyDescent="0.25">
      <c r="B138" s="611"/>
      <c r="C138" s="1917" t="s">
        <v>3371</v>
      </c>
      <c r="D138" s="1917"/>
      <c r="E138" s="1917"/>
      <c r="F138" s="1917"/>
      <c r="G138" s="1917"/>
      <c r="H138" s="1917"/>
      <c r="I138" s="1917"/>
      <c r="J138" s="987"/>
      <c r="K138" s="99"/>
      <c r="N138" s="770"/>
      <c r="O138" s="1721"/>
      <c r="P138" s="1722"/>
      <c r="Q138" s="1723"/>
      <c r="R138" s="771"/>
    </row>
    <row r="139" spans="2:18" ht="15" customHeight="1" x14ac:dyDescent="0.25">
      <c r="B139" s="611"/>
      <c r="C139" s="1852" t="s">
        <v>3372</v>
      </c>
      <c r="D139" s="1852"/>
      <c r="E139" s="1852"/>
      <c r="F139" s="1852"/>
      <c r="G139" s="1852"/>
      <c r="H139" s="1852"/>
      <c r="I139" s="1852"/>
      <c r="J139" s="987"/>
      <c r="K139" s="99"/>
      <c r="N139" s="770"/>
      <c r="O139" s="1721"/>
      <c r="P139" s="1722"/>
      <c r="Q139" s="1723"/>
      <c r="R139" s="771"/>
    </row>
    <row r="140" spans="2:18" ht="15" customHeight="1" x14ac:dyDescent="0.25">
      <c r="B140" s="611"/>
      <c r="C140" s="99"/>
      <c r="D140" s="99"/>
      <c r="E140" s="99"/>
      <c r="F140" s="99"/>
      <c r="G140" s="99"/>
      <c r="H140" s="99"/>
      <c r="I140" s="99"/>
      <c r="J140" s="99"/>
      <c r="K140" s="99"/>
      <c r="N140" s="770"/>
      <c r="O140" s="1721"/>
      <c r="P140" s="1722"/>
      <c r="Q140" s="1723"/>
      <c r="R140" s="771"/>
    </row>
    <row r="141" spans="2:18" ht="15" customHeight="1" x14ac:dyDescent="0.25">
      <c r="B141" s="611"/>
      <c r="C141" s="1919" t="s">
        <v>3373</v>
      </c>
      <c r="D141" s="1919"/>
      <c r="E141" s="1919"/>
      <c r="F141" s="1919"/>
      <c r="G141" s="1919"/>
      <c r="H141" s="1919"/>
      <c r="I141" s="1919"/>
      <c r="J141" s="987"/>
      <c r="K141" s="99"/>
      <c r="N141" s="770"/>
      <c r="O141" s="1721"/>
      <c r="P141" s="1722"/>
      <c r="Q141" s="1723"/>
      <c r="R141" s="771"/>
    </row>
    <row r="142" spans="2:18" ht="15" customHeight="1" x14ac:dyDescent="0.25">
      <c r="B142" s="611"/>
      <c r="C142" s="1852" t="s">
        <v>3374</v>
      </c>
      <c r="D142" s="1852"/>
      <c r="E142" s="1852"/>
      <c r="F142" s="1852"/>
      <c r="G142" s="1852"/>
      <c r="H142" s="1852"/>
      <c r="I142" s="1852"/>
      <c r="J142" s="987"/>
      <c r="K142" s="99"/>
      <c r="N142" s="770"/>
      <c r="O142" s="1721"/>
      <c r="P142" s="1722"/>
      <c r="Q142" s="1723"/>
      <c r="R142" s="771"/>
    </row>
    <row r="143" spans="2:18" ht="15" customHeight="1" x14ac:dyDescent="0.25">
      <c r="B143" s="611"/>
      <c r="C143" s="1852" t="s">
        <v>3375</v>
      </c>
      <c r="D143" s="1852"/>
      <c r="E143" s="1852"/>
      <c r="F143" s="1852"/>
      <c r="G143" s="1852"/>
      <c r="H143" s="1852"/>
      <c r="I143" s="1852"/>
      <c r="J143" s="987"/>
      <c r="K143" s="99"/>
      <c r="N143" s="770"/>
      <c r="O143" s="1721"/>
      <c r="P143" s="1722"/>
      <c r="Q143" s="1723"/>
      <c r="R143" s="771"/>
    </row>
    <row r="144" spans="2:18" ht="15" customHeight="1" x14ac:dyDescent="0.25">
      <c r="B144" s="611"/>
      <c r="C144" s="1852" t="s">
        <v>3376</v>
      </c>
      <c r="D144" s="1852"/>
      <c r="E144" s="1852"/>
      <c r="F144" s="1852"/>
      <c r="G144" s="1852"/>
      <c r="H144" s="1852"/>
      <c r="I144" s="1852"/>
      <c r="J144" s="987"/>
      <c r="K144" s="99"/>
      <c r="N144" s="770"/>
      <c r="O144" s="1724"/>
      <c r="P144" s="1725"/>
      <c r="Q144" s="1726"/>
      <c r="R144" s="771"/>
    </row>
    <row r="145" spans="2:18" ht="15" customHeight="1" x14ac:dyDescent="0.25">
      <c r="B145" s="611"/>
      <c r="C145" s="1852" t="s">
        <v>3377</v>
      </c>
      <c r="D145" s="1852"/>
      <c r="E145" s="1852"/>
      <c r="F145" s="1852"/>
      <c r="G145" s="1852"/>
      <c r="H145" s="1852"/>
      <c r="I145" s="1852"/>
      <c r="J145" s="987"/>
      <c r="K145" s="99"/>
      <c r="N145" s="772"/>
      <c r="O145" s="776"/>
      <c r="P145" s="776"/>
      <c r="Q145" s="776"/>
      <c r="R145" s="774"/>
    </row>
    <row r="146" spans="2:18" ht="15" customHeight="1" x14ac:dyDescent="0.25">
      <c r="B146" s="611"/>
      <c r="C146" s="8"/>
      <c r="D146" s="8"/>
      <c r="E146" s="8"/>
      <c r="F146" s="8"/>
      <c r="G146" s="8"/>
      <c r="H146" s="25"/>
      <c r="I146" s="25"/>
      <c r="J146" s="25"/>
    </row>
    <row r="147" spans="2:18" ht="15" customHeight="1" x14ac:dyDescent="0.25">
      <c r="B147" s="611"/>
      <c r="C147" s="8"/>
      <c r="D147" s="8"/>
      <c r="E147" s="8"/>
      <c r="F147" s="8"/>
      <c r="G147" s="8"/>
      <c r="H147" s="25"/>
      <c r="I147" s="25"/>
      <c r="J147" s="25"/>
    </row>
    <row r="148" spans="2:18" ht="15" customHeight="1" x14ac:dyDescent="0.2">
      <c r="B148" s="746" t="s">
        <v>3337</v>
      </c>
      <c r="C148" s="1731" t="s">
        <v>3331</v>
      </c>
      <c r="D148" s="1731"/>
      <c r="E148" s="1731"/>
      <c r="F148" s="1731"/>
      <c r="G148" s="1731"/>
      <c r="H148" s="1731"/>
      <c r="I148" s="1731"/>
      <c r="J148" s="1731"/>
      <c r="K148" s="1731"/>
      <c r="N148" s="767"/>
      <c r="O148" s="768"/>
      <c r="P148" s="768"/>
      <c r="Q148" s="930"/>
      <c r="R148" s="769"/>
    </row>
    <row r="149" spans="2:18" ht="15" customHeight="1" x14ac:dyDescent="0.25">
      <c r="B149" s="611"/>
      <c r="C149" s="8"/>
      <c r="D149" s="8"/>
      <c r="E149" s="8"/>
      <c r="F149" s="8"/>
      <c r="G149" s="8"/>
      <c r="H149" s="25"/>
      <c r="I149" s="25"/>
      <c r="J149" s="25"/>
      <c r="N149" s="770"/>
      <c r="O149" s="1776" t="s">
        <v>3384</v>
      </c>
      <c r="P149" s="1776"/>
      <c r="Q149" s="941"/>
      <c r="R149" s="771"/>
    </row>
    <row r="150" spans="2:18" ht="15" customHeight="1" x14ac:dyDescent="0.25">
      <c r="B150" s="611"/>
      <c r="C150" s="1196" t="s">
        <v>3332</v>
      </c>
      <c r="D150" s="1196"/>
      <c r="E150" s="1196"/>
      <c r="F150" s="1196"/>
      <c r="G150" s="1196"/>
      <c r="H150" s="1196"/>
      <c r="I150" s="1196"/>
      <c r="J150" s="1196"/>
      <c r="K150" s="1196"/>
      <c r="N150" s="770"/>
      <c r="O150" s="1776"/>
      <c r="P150" s="1776"/>
      <c r="Q150" s="931"/>
      <c r="R150" s="771"/>
    </row>
    <row r="151" spans="2:18" ht="15" customHeight="1" x14ac:dyDescent="0.25">
      <c r="B151" s="611"/>
      <c r="C151" s="1196"/>
      <c r="D151" s="1196"/>
      <c r="E151" s="1196"/>
      <c r="F151" s="1196"/>
      <c r="G151" s="1196"/>
      <c r="H151" s="1196"/>
      <c r="I151" s="1196"/>
      <c r="J151" s="1196"/>
      <c r="K151" s="1196"/>
      <c r="N151" s="770"/>
      <c r="O151" s="633" t="s">
        <v>2443</v>
      </c>
      <c r="P151" s="633"/>
      <c r="Q151" s="932"/>
      <c r="R151" s="771"/>
    </row>
    <row r="152" spans="2:18" ht="15" customHeight="1" x14ac:dyDescent="0.25">
      <c r="B152" s="611"/>
      <c r="C152" s="1196"/>
      <c r="D152" s="1196"/>
      <c r="E152" s="1196"/>
      <c r="F152" s="1196"/>
      <c r="G152" s="1196"/>
      <c r="H152" s="1196"/>
      <c r="I152" s="1196"/>
      <c r="J152" s="1196"/>
      <c r="K152" s="1196"/>
      <c r="N152" s="770"/>
      <c r="O152" s="948"/>
      <c r="P152" s="948"/>
      <c r="Q152" s="948"/>
      <c r="R152" s="771"/>
    </row>
    <row r="153" spans="2:18" ht="15" customHeight="1" x14ac:dyDescent="0.25">
      <c r="B153" s="611"/>
      <c r="C153" s="1196"/>
      <c r="D153" s="1196"/>
      <c r="E153" s="1196"/>
      <c r="F153" s="1196"/>
      <c r="G153" s="1196"/>
      <c r="H153" s="1196"/>
      <c r="I153" s="1196"/>
      <c r="J153" s="1196"/>
      <c r="K153" s="1196"/>
      <c r="N153" s="770"/>
      <c r="O153" s="1718"/>
      <c r="P153" s="1719"/>
      <c r="Q153" s="1720"/>
      <c r="R153" s="771"/>
    </row>
    <row r="154" spans="2:18" ht="15" customHeight="1" x14ac:dyDescent="0.25">
      <c r="B154" s="611"/>
      <c r="C154" s="1236" t="s">
        <v>3333</v>
      </c>
      <c r="D154" s="1236"/>
      <c r="E154" s="1236"/>
      <c r="F154" s="1236"/>
      <c r="G154" s="1236"/>
      <c r="H154" s="1236"/>
      <c r="I154" s="1236"/>
      <c r="J154" s="1236"/>
      <c r="K154" s="1236"/>
      <c r="N154" s="770"/>
      <c r="O154" s="1721"/>
      <c r="P154" s="1722"/>
      <c r="Q154" s="1723"/>
      <c r="R154" s="771"/>
    </row>
    <row r="155" spans="2:18" ht="15" customHeight="1" x14ac:dyDescent="0.25">
      <c r="B155" s="611"/>
      <c r="C155" s="1852" t="s">
        <v>3336</v>
      </c>
      <c r="D155" s="1852"/>
      <c r="E155" s="1852"/>
      <c r="F155" s="1852"/>
      <c r="G155" s="1852"/>
      <c r="H155" s="1852"/>
      <c r="I155" s="1852"/>
      <c r="J155" s="1852"/>
      <c r="K155" s="1852"/>
      <c r="N155" s="770"/>
      <c r="O155" s="1721"/>
      <c r="P155" s="1722"/>
      <c r="Q155" s="1723"/>
      <c r="R155" s="771"/>
    </row>
    <row r="156" spans="2:18" ht="15" customHeight="1" x14ac:dyDescent="0.25">
      <c r="B156" s="611"/>
      <c r="C156" s="1236" t="s">
        <v>3334</v>
      </c>
      <c r="D156" s="1236"/>
      <c r="E156" s="1236"/>
      <c r="F156" s="1236"/>
      <c r="G156" s="1236"/>
      <c r="H156" s="1236"/>
      <c r="I156" s="1236"/>
      <c r="J156" s="1236"/>
      <c r="K156" s="1236"/>
      <c r="N156" s="770"/>
      <c r="O156" s="1721"/>
      <c r="P156" s="1722"/>
      <c r="Q156" s="1723"/>
      <c r="R156" s="771"/>
    </row>
    <row r="157" spans="2:18" ht="15" customHeight="1" x14ac:dyDescent="0.25">
      <c r="B157" s="611"/>
      <c r="C157" s="8"/>
      <c r="D157" s="8"/>
      <c r="E157" s="8"/>
      <c r="F157" s="8"/>
      <c r="G157" s="8"/>
      <c r="H157" s="25"/>
      <c r="I157" s="25"/>
      <c r="J157" s="25"/>
      <c r="N157" s="770"/>
      <c r="O157" s="1721"/>
      <c r="P157" s="1722"/>
      <c r="Q157" s="1723"/>
      <c r="R157" s="771"/>
    </row>
    <row r="158" spans="2:18" ht="15" customHeight="1" x14ac:dyDescent="0.25">
      <c r="B158" s="611"/>
      <c r="C158" s="1196" t="s">
        <v>3335</v>
      </c>
      <c r="D158" s="1196"/>
      <c r="E158" s="1196"/>
      <c r="F158" s="1196"/>
      <c r="G158" s="1196"/>
      <c r="H158" s="1196"/>
      <c r="I158" s="1196"/>
      <c r="J158" s="1196"/>
      <c r="K158" s="1196"/>
      <c r="N158" s="770"/>
      <c r="O158" s="1721"/>
      <c r="P158" s="1722"/>
      <c r="Q158" s="1723"/>
      <c r="R158" s="771"/>
    </row>
    <row r="159" spans="2:18" ht="15" customHeight="1" x14ac:dyDescent="0.25">
      <c r="B159" s="611"/>
      <c r="C159" s="1196"/>
      <c r="D159" s="1196"/>
      <c r="E159" s="1196"/>
      <c r="F159" s="1196"/>
      <c r="G159" s="1196"/>
      <c r="H159" s="1196"/>
      <c r="I159" s="1196"/>
      <c r="J159" s="1196"/>
      <c r="K159" s="1196"/>
      <c r="N159" s="770"/>
      <c r="O159" s="1721"/>
      <c r="P159" s="1722"/>
      <c r="Q159" s="1723"/>
      <c r="R159" s="771"/>
    </row>
    <row r="160" spans="2:18" ht="15" customHeight="1" x14ac:dyDescent="0.25">
      <c r="B160" s="611"/>
      <c r="C160" s="99"/>
      <c r="D160" s="99"/>
      <c r="E160" s="99"/>
      <c r="F160" s="99"/>
      <c r="G160" s="99"/>
      <c r="H160" s="99"/>
      <c r="I160" s="99"/>
      <c r="J160" s="99"/>
      <c r="K160" s="99"/>
      <c r="N160" s="770"/>
      <c r="O160" s="1721"/>
      <c r="P160" s="1722"/>
      <c r="Q160" s="1723"/>
      <c r="R160" s="771"/>
    </row>
    <row r="161" spans="2:18" ht="15" customHeight="1" x14ac:dyDescent="0.25">
      <c r="B161" s="611"/>
      <c r="C161" s="1303" t="s">
        <v>3354</v>
      </c>
      <c r="D161" s="1303"/>
      <c r="E161" s="1303"/>
      <c r="F161" s="1303"/>
      <c r="G161" s="1303"/>
      <c r="H161" s="1303"/>
      <c r="I161" s="1303"/>
      <c r="J161" s="1760" t="str">
        <f>IF(Team!$E$327="","",Team!$E$327)</f>
        <v/>
      </c>
      <c r="K161" s="1760"/>
      <c r="N161" s="770"/>
      <c r="O161" s="1721"/>
      <c r="P161" s="1722"/>
      <c r="Q161" s="1723"/>
      <c r="R161" s="771"/>
    </row>
    <row r="162" spans="2:18" ht="15" customHeight="1" x14ac:dyDescent="0.25">
      <c r="B162" s="611"/>
      <c r="C162" s="1155" t="s">
        <v>3357</v>
      </c>
      <c r="D162" s="1155"/>
      <c r="E162" s="1155"/>
      <c r="F162" s="1155"/>
      <c r="G162" s="1155"/>
      <c r="H162" s="1155"/>
      <c r="I162" s="1155"/>
      <c r="J162" s="987"/>
      <c r="K162" s="99"/>
      <c r="N162" s="770"/>
      <c r="O162" s="1721"/>
      <c r="P162" s="1722"/>
      <c r="Q162" s="1723"/>
      <c r="R162" s="771"/>
    </row>
    <row r="163" spans="2:18" ht="15" customHeight="1" x14ac:dyDescent="0.25">
      <c r="B163" s="611"/>
      <c r="C163" s="1921" t="s">
        <v>3355</v>
      </c>
      <c r="D163" s="1921"/>
      <c r="E163" s="1921"/>
      <c r="F163" s="1921"/>
      <c r="G163" s="1921"/>
      <c r="H163" s="1921"/>
      <c r="I163" s="1922"/>
      <c r="J163" s="1920"/>
      <c r="K163" s="1920"/>
      <c r="N163" s="770"/>
      <c r="O163" s="1721"/>
      <c r="P163" s="1722"/>
      <c r="Q163" s="1723"/>
      <c r="R163" s="771"/>
    </row>
    <row r="164" spans="2:18" ht="15" customHeight="1" x14ac:dyDescent="0.25">
      <c r="B164" s="611"/>
      <c r="C164" s="1778" t="s">
        <v>3356</v>
      </c>
      <c r="D164" s="1778"/>
      <c r="E164" s="1778"/>
      <c r="F164" s="1778"/>
      <c r="G164" s="1778"/>
      <c r="H164" s="1778"/>
      <c r="I164" s="1778"/>
      <c r="J164" s="987"/>
      <c r="K164" s="99"/>
      <c r="N164" s="770"/>
      <c r="O164" s="1721"/>
      <c r="P164" s="1722"/>
      <c r="Q164" s="1723"/>
      <c r="R164" s="771"/>
    </row>
    <row r="165" spans="2:18" ht="15" customHeight="1" x14ac:dyDescent="0.25">
      <c r="B165" s="611"/>
      <c r="C165" s="1778" t="s">
        <v>3358</v>
      </c>
      <c r="D165" s="1778"/>
      <c r="E165" s="1778"/>
      <c r="F165" s="1778"/>
      <c r="G165" s="1778"/>
      <c r="H165" s="1778"/>
      <c r="I165" s="1778"/>
      <c r="J165" s="987"/>
      <c r="K165" s="99"/>
      <c r="N165" s="770"/>
      <c r="O165" s="1724"/>
      <c r="P165" s="1725"/>
      <c r="Q165" s="1726"/>
      <c r="R165" s="771"/>
    </row>
    <row r="166" spans="2:18" ht="15" customHeight="1" x14ac:dyDescent="0.25">
      <c r="B166" s="611"/>
      <c r="C166" s="1778" t="s">
        <v>3359</v>
      </c>
      <c r="D166" s="1778"/>
      <c r="E166" s="1778"/>
      <c r="F166" s="1778"/>
      <c r="G166" s="1778"/>
      <c r="H166" s="1778"/>
      <c r="I166" s="1778"/>
      <c r="J166" s="987"/>
      <c r="K166" s="99"/>
      <c r="N166" s="772"/>
      <c r="O166" s="773"/>
      <c r="P166" s="773"/>
      <c r="Q166" s="773"/>
      <c r="R166" s="774"/>
    </row>
    <row r="167" spans="2:18" ht="15" customHeight="1" x14ac:dyDescent="0.25">
      <c r="B167" s="611"/>
      <c r="C167" s="99"/>
      <c r="D167" s="99"/>
      <c r="E167" s="99"/>
      <c r="F167" s="99"/>
      <c r="G167" s="99"/>
      <c r="H167" s="99"/>
      <c r="I167" s="99"/>
      <c r="J167" s="99"/>
      <c r="K167" s="99"/>
    </row>
    <row r="168" spans="2:18" ht="15" customHeight="1" x14ac:dyDescent="0.25">
      <c r="B168" s="611"/>
      <c r="C168" s="99"/>
      <c r="D168" s="99"/>
      <c r="E168" s="99"/>
      <c r="F168" s="99"/>
      <c r="G168" s="99"/>
      <c r="H168" s="99"/>
      <c r="I168" s="99"/>
      <c r="J168" s="99"/>
      <c r="K168" s="99"/>
    </row>
    <row r="169" spans="2:18" ht="15" customHeight="1" x14ac:dyDescent="0.2">
      <c r="B169" s="746" t="s">
        <v>3383</v>
      </c>
      <c r="C169" s="1731" t="s">
        <v>3338</v>
      </c>
      <c r="D169" s="1731"/>
      <c r="E169" s="1731"/>
      <c r="F169" s="1731"/>
      <c r="G169" s="1731"/>
      <c r="H169" s="1731"/>
      <c r="I169" s="1731"/>
      <c r="J169" s="1731"/>
      <c r="K169" s="1731"/>
      <c r="N169" s="767"/>
      <c r="O169" s="768"/>
      <c r="P169" s="768"/>
      <c r="Q169" s="930"/>
      <c r="R169" s="769"/>
    </row>
    <row r="170" spans="2:18" ht="15" customHeight="1" x14ac:dyDescent="0.25">
      <c r="B170" s="611"/>
      <c r="C170" s="8"/>
      <c r="D170" s="8"/>
      <c r="E170" s="8"/>
      <c r="F170" s="8"/>
      <c r="G170" s="8"/>
      <c r="H170" s="25"/>
      <c r="I170" s="25"/>
      <c r="J170" s="25"/>
      <c r="N170" s="770"/>
      <c r="O170" s="1776" t="s">
        <v>3385</v>
      </c>
      <c r="P170" s="1776"/>
      <c r="Q170" s="941"/>
      <c r="R170" s="771"/>
    </row>
    <row r="171" spans="2:18" ht="15" customHeight="1" x14ac:dyDescent="0.25">
      <c r="B171" s="611"/>
      <c r="C171" s="1196" t="s">
        <v>3339</v>
      </c>
      <c r="D171" s="1196"/>
      <c r="E171" s="1196"/>
      <c r="F171" s="1196"/>
      <c r="G171" s="1196"/>
      <c r="H171" s="1196"/>
      <c r="I171" s="1196"/>
      <c r="J171" s="1196"/>
      <c r="K171" s="1196"/>
      <c r="N171" s="770"/>
      <c r="O171" s="1776"/>
      <c r="P171" s="1776"/>
      <c r="Q171" s="931"/>
      <c r="R171" s="771"/>
    </row>
    <row r="172" spans="2:18" ht="15" customHeight="1" x14ac:dyDescent="0.25">
      <c r="B172" s="611"/>
      <c r="C172" s="1196"/>
      <c r="D172" s="1196"/>
      <c r="E172" s="1196"/>
      <c r="F172" s="1196"/>
      <c r="G172" s="1196"/>
      <c r="H172" s="1196"/>
      <c r="I172" s="1196"/>
      <c r="J172" s="1196"/>
      <c r="K172" s="1196"/>
      <c r="N172" s="770"/>
      <c r="O172" s="633" t="s">
        <v>2443</v>
      </c>
      <c r="P172" s="633"/>
      <c r="Q172" s="932"/>
      <c r="R172" s="771"/>
    </row>
    <row r="173" spans="2:18" ht="15" customHeight="1" x14ac:dyDescent="0.25">
      <c r="B173" s="611"/>
      <c r="C173" s="1196"/>
      <c r="D173" s="1196"/>
      <c r="E173" s="1196"/>
      <c r="F173" s="1196"/>
      <c r="G173" s="1196"/>
      <c r="H173" s="1196"/>
      <c r="I173" s="1196"/>
      <c r="J173" s="1196"/>
      <c r="K173" s="1196"/>
      <c r="N173" s="770"/>
      <c r="O173" s="948"/>
      <c r="P173" s="948"/>
      <c r="Q173" s="948"/>
      <c r="R173" s="771"/>
    </row>
    <row r="174" spans="2:18" ht="15" customHeight="1" x14ac:dyDescent="0.25">
      <c r="B174" s="611"/>
      <c r="C174" s="1196"/>
      <c r="D174" s="1196"/>
      <c r="E174" s="1196"/>
      <c r="F174" s="1196"/>
      <c r="G174" s="1196"/>
      <c r="H174" s="1196"/>
      <c r="I174" s="1196"/>
      <c r="J174" s="1196"/>
      <c r="K174" s="1196"/>
      <c r="N174" s="770"/>
      <c r="O174" s="1718"/>
      <c r="P174" s="1719"/>
      <c r="Q174" s="1720"/>
      <c r="R174" s="771"/>
    </row>
    <row r="175" spans="2:18" ht="15" customHeight="1" x14ac:dyDescent="0.25">
      <c r="B175" s="611"/>
      <c r="C175" s="8"/>
      <c r="D175" s="8"/>
      <c r="E175" s="8"/>
      <c r="F175" s="8"/>
      <c r="G175" s="8"/>
      <c r="H175" s="25"/>
      <c r="I175" s="25"/>
      <c r="J175" s="25"/>
      <c r="N175" s="770"/>
      <c r="O175" s="1721"/>
      <c r="P175" s="1722"/>
      <c r="Q175" s="1723"/>
      <c r="R175" s="771"/>
    </row>
    <row r="176" spans="2:18" ht="15" customHeight="1" x14ac:dyDescent="0.25">
      <c r="B176" s="611"/>
      <c r="C176" s="1196" t="s">
        <v>3213</v>
      </c>
      <c r="D176" s="1196"/>
      <c r="E176" s="1196"/>
      <c r="F176" s="1196"/>
      <c r="G176" s="1196"/>
      <c r="H176" s="1196"/>
      <c r="I176" s="1196"/>
      <c r="J176" s="1196"/>
      <c r="K176" s="1196"/>
      <c r="N176" s="770"/>
      <c r="O176" s="1721"/>
      <c r="P176" s="1722"/>
      <c r="Q176" s="1723"/>
      <c r="R176" s="771"/>
    </row>
    <row r="177" spans="2:18" ht="15" customHeight="1" x14ac:dyDescent="0.25">
      <c r="B177" s="611"/>
      <c r="C177" s="1196"/>
      <c r="D177" s="1196"/>
      <c r="E177" s="1196"/>
      <c r="F177" s="1196"/>
      <c r="G177" s="1196"/>
      <c r="H177" s="1196"/>
      <c r="I177" s="1196"/>
      <c r="J177" s="1196"/>
      <c r="K177" s="1196"/>
      <c r="N177" s="770"/>
      <c r="O177" s="1721"/>
      <c r="P177" s="1722"/>
      <c r="Q177" s="1723"/>
      <c r="R177" s="771"/>
    </row>
    <row r="178" spans="2:18" ht="15" customHeight="1" x14ac:dyDescent="0.25">
      <c r="B178" s="611"/>
      <c r="C178" s="1196"/>
      <c r="D178" s="1196"/>
      <c r="E178" s="1196"/>
      <c r="F178" s="1196"/>
      <c r="G178" s="1196"/>
      <c r="H178" s="1196"/>
      <c r="I178" s="1196"/>
      <c r="J178" s="1196"/>
      <c r="K178" s="1196"/>
      <c r="N178" s="770"/>
      <c r="O178" s="1721"/>
      <c r="P178" s="1722"/>
      <c r="Q178" s="1723"/>
      <c r="R178" s="771"/>
    </row>
    <row r="179" spans="2:18" ht="15" customHeight="1" x14ac:dyDescent="0.25">
      <c r="B179" s="611"/>
      <c r="C179" s="1236" t="s">
        <v>3243</v>
      </c>
      <c r="D179" s="1236"/>
      <c r="E179" s="1236"/>
      <c r="F179" s="1236"/>
      <c r="G179" s="1236"/>
      <c r="H179" s="1236"/>
      <c r="I179" s="1236"/>
      <c r="J179" s="1236"/>
      <c r="K179" s="1236"/>
      <c r="N179" s="770"/>
      <c r="O179" s="1721"/>
      <c r="P179" s="1722"/>
      <c r="Q179" s="1723"/>
      <c r="R179" s="771"/>
    </row>
    <row r="180" spans="2:18" ht="15" customHeight="1" x14ac:dyDescent="0.25">
      <c r="B180" s="611"/>
      <c r="C180" s="1852" t="s">
        <v>3214</v>
      </c>
      <c r="D180" s="1852"/>
      <c r="E180" s="1852"/>
      <c r="F180" s="1852"/>
      <c r="G180" s="1852"/>
      <c r="H180" s="1852"/>
      <c r="I180" s="1852"/>
      <c r="J180" s="1852"/>
      <c r="K180" s="1852"/>
      <c r="N180" s="770"/>
      <c r="O180" s="1721"/>
      <c r="P180" s="1722"/>
      <c r="Q180" s="1723"/>
      <c r="R180" s="771"/>
    </row>
    <row r="181" spans="2:18" ht="15" customHeight="1" x14ac:dyDescent="0.25">
      <c r="B181" s="611"/>
      <c r="C181" s="1852"/>
      <c r="D181" s="1852"/>
      <c r="E181" s="1852"/>
      <c r="F181" s="1852"/>
      <c r="G181" s="1852"/>
      <c r="H181" s="1852"/>
      <c r="I181" s="1852"/>
      <c r="J181" s="1852"/>
      <c r="K181" s="1852"/>
      <c r="N181" s="770"/>
      <c r="O181" s="1721"/>
      <c r="P181" s="1722"/>
      <c r="Q181" s="1723"/>
      <c r="R181" s="771"/>
    </row>
    <row r="182" spans="2:18" ht="15" customHeight="1" x14ac:dyDescent="0.25">
      <c r="B182" s="611"/>
      <c r="C182" s="1236" t="s">
        <v>3216</v>
      </c>
      <c r="D182" s="1236"/>
      <c r="E182" s="1236"/>
      <c r="F182" s="1236"/>
      <c r="G182" s="1236"/>
      <c r="H182" s="1236"/>
      <c r="I182" s="1236"/>
      <c r="J182" s="1236"/>
      <c r="K182" s="1236"/>
      <c r="N182" s="770"/>
      <c r="O182" s="1721"/>
      <c r="P182" s="1722"/>
      <c r="Q182" s="1723"/>
      <c r="R182" s="771"/>
    </row>
    <row r="183" spans="2:18" ht="15" customHeight="1" x14ac:dyDescent="0.25">
      <c r="B183" s="611"/>
      <c r="C183" s="1236" t="s">
        <v>3340</v>
      </c>
      <c r="D183" s="1236"/>
      <c r="E183" s="1236"/>
      <c r="F183" s="1236"/>
      <c r="G183" s="1236"/>
      <c r="H183" s="1236"/>
      <c r="I183" s="1236"/>
      <c r="J183" s="1236"/>
      <c r="K183" s="1236"/>
      <c r="N183" s="770"/>
      <c r="O183" s="1721"/>
      <c r="P183" s="1722"/>
      <c r="Q183" s="1723"/>
      <c r="R183" s="771"/>
    </row>
    <row r="184" spans="2:18" ht="15" customHeight="1" x14ac:dyDescent="0.25">
      <c r="B184" s="611"/>
      <c r="C184" s="1236" t="s">
        <v>3341</v>
      </c>
      <c r="D184" s="1236"/>
      <c r="E184" s="1236"/>
      <c r="F184" s="1236"/>
      <c r="G184" s="1236"/>
      <c r="H184" s="1236"/>
      <c r="I184" s="1236"/>
      <c r="J184" s="1236"/>
      <c r="K184" s="1236"/>
      <c r="N184" s="770"/>
      <c r="O184" s="1721"/>
      <c r="P184" s="1722"/>
      <c r="Q184" s="1723"/>
      <c r="R184" s="771"/>
    </row>
    <row r="185" spans="2:18" ht="15" customHeight="1" x14ac:dyDescent="0.25">
      <c r="B185" s="611"/>
      <c r="C185" s="1236" t="s">
        <v>3342</v>
      </c>
      <c r="D185" s="1236"/>
      <c r="E185" s="1236"/>
      <c r="F185" s="1236"/>
      <c r="G185" s="1236"/>
      <c r="H185" s="1236"/>
      <c r="I185" s="1236"/>
      <c r="J185" s="1236"/>
      <c r="K185" s="1236"/>
      <c r="N185" s="770"/>
      <c r="O185" s="1721"/>
      <c r="P185" s="1722"/>
      <c r="Q185" s="1723"/>
      <c r="R185" s="771"/>
    </row>
    <row r="186" spans="2:18" ht="15" customHeight="1" x14ac:dyDescent="0.25">
      <c r="B186" s="611"/>
      <c r="C186" s="1236" t="s">
        <v>3343</v>
      </c>
      <c r="D186" s="1236"/>
      <c r="E186" s="1236"/>
      <c r="F186" s="1236"/>
      <c r="G186" s="1236"/>
      <c r="H186" s="1236"/>
      <c r="I186" s="1236"/>
      <c r="J186" s="1236"/>
      <c r="K186" s="1236"/>
      <c r="N186" s="770"/>
      <c r="O186" s="1721"/>
      <c r="P186" s="1722"/>
      <c r="Q186" s="1723"/>
      <c r="R186" s="771"/>
    </row>
    <row r="187" spans="2:18" ht="15" customHeight="1" x14ac:dyDescent="0.25">
      <c r="B187" s="611"/>
      <c r="C187" s="1236" t="s">
        <v>3344</v>
      </c>
      <c r="D187" s="1236"/>
      <c r="E187" s="1236"/>
      <c r="F187" s="1236"/>
      <c r="G187" s="1236"/>
      <c r="H187" s="1236"/>
      <c r="I187" s="1236"/>
      <c r="J187" s="1236"/>
      <c r="K187" s="1236"/>
      <c r="N187" s="770"/>
      <c r="O187" s="1721"/>
      <c r="P187" s="1722"/>
      <c r="Q187" s="1723"/>
      <c r="R187" s="771"/>
    </row>
    <row r="188" spans="2:18" ht="15" customHeight="1" x14ac:dyDescent="0.25">
      <c r="B188" s="611"/>
      <c r="C188" s="8"/>
      <c r="D188" s="8"/>
      <c r="E188" s="8"/>
      <c r="F188" s="8"/>
      <c r="G188" s="8"/>
      <c r="H188" s="25"/>
      <c r="I188" s="25"/>
      <c r="J188" s="25"/>
      <c r="N188" s="770"/>
      <c r="O188" s="1721"/>
      <c r="P188" s="1722"/>
      <c r="Q188" s="1723"/>
      <c r="R188" s="771"/>
    </row>
    <row r="189" spans="2:18" ht="15" customHeight="1" x14ac:dyDescent="0.25">
      <c r="B189" s="611"/>
      <c r="C189" s="1196" t="s">
        <v>3351</v>
      </c>
      <c r="D189" s="1196"/>
      <c r="E189" s="1196"/>
      <c r="F189" s="1196"/>
      <c r="G189" s="1196"/>
      <c r="H189" s="1196"/>
      <c r="I189" s="1196"/>
      <c r="J189" s="1196"/>
      <c r="K189" s="1196"/>
      <c r="N189" s="770"/>
      <c r="O189" s="1721"/>
      <c r="P189" s="1722"/>
      <c r="Q189" s="1723"/>
      <c r="R189" s="771"/>
    </row>
    <row r="190" spans="2:18" ht="15" customHeight="1" x14ac:dyDescent="0.25">
      <c r="B190" s="611"/>
      <c r="C190" s="1196"/>
      <c r="D190" s="1196"/>
      <c r="E190" s="1196"/>
      <c r="F190" s="1196"/>
      <c r="G190" s="1196"/>
      <c r="H190" s="1196"/>
      <c r="I190" s="1196"/>
      <c r="J190" s="1196"/>
      <c r="K190" s="1196"/>
      <c r="N190" s="770"/>
      <c r="O190" s="1721"/>
      <c r="P190" s="1722"/>
      <c r="Q190" s="1723"/>
      <c r="R190" s="771"/>
    </row>
    <row r="191" spans="2:18" ht="15" customHeight="1" x14ac:dyDescent="0.25">
      <c r="B191" s="611"/>
      <c r="C191" s="1196"/>
      <c r="D191" s="1196"/>
      <c r="E191" s="1196"/>
      <c r="F191" s="1196"/>
      <c r="G191" s="1196"/>
      <c r="H191" s="1196"/>
      <c r="I191" s="1196"/>
      <c r="J191" s="1196"/>
      <c r="K191" s="1196"/>
      <c r="N191" s="770"/>
      <c r="O191" s="1721"/>
      <c r="P191" s="1722"/>
      <c r="Q191" s="1723"/>
      <c r="R191" s="771"/>
    </row>
    <row r="192" spans="2:18" ht="15" customHeight="1" x14ac:dyDescent="0.25">
      <c r="B192" s="611"/>
      <c r="C192" s="1196"/>
      <c r="D192" s="1196"/>
      <c r="E192" s="1196"/>
      <c r="F192" s="1196"/>
      <c r="G192" s="1196"/>
      <c r="H192" s="1196"/>
      <c r="I192" s="1196"/>
      <c r="J192" s="1196"/>
      <c r="K192" s="1196"/>
      <c r="N192" s="770"/>
      <c r="O192" s="1721"/>
      <c r="P192" s="1722"/>
      <c r="Q192" s="1723"/>
      <c r="R192" s="771"/>
    </row>
    <row r="193" spans="2:18" ht="15" customHeight="1" x14ac:dyDescent="0.25">
      <c r="B193" s="611"/>
      <c r="C193" s="1196"/>
      <c r="D193" s="1196"/>
      <c r="E193" s="1196"/>
      <c r="F193" s="1196"/>
      <c r="G193" s="1196"/>
      <c r="H193" s="1196"/>
      <c r="I193" s="1196"/>
      <c r="J193" s="1196"/>
      <c r="K193" s="1196"/>
      <c r="N193" s="770"/>
      <c r="O193" s="1721"/>
      <c r="P193" s="1722"/>
      <c r="Q193" s="1723"/>
      <c r="R193" s="771"/>
    </row>
    <row r="194" spans="2:18" ht="15" customHeight="1" x14ac:dyDescent="0.25">
      <c r="B194" s="611"/>
      <c r="C194" s="8"/>
      <c r="D194" s="8"/>
      <c r="E194" s="8"/>
      <c r="F194" s="8"/>
      <c r="G194" s="8"/>
      <c r="H194" s="25"/>
      <c r="I194" s="25"/>
      <c r="J194" s="25"/>
      <c r="N194" s="770"/>
      <c r="O194" s="1721"/>
      <c r="P194" s="1722"/>
      <c r="Q194" s="1723"/>
      <c r="R194" s="771"/>
    </row>
    <row r="195" spans="2:18" ht="15" customHeight="1" x14ac:dyDescent="0.25">
      <c r="B195" s="611"/>
      <c r="C195" s="1870" t="s">
        <v>3245</v>
      </c>
      <c r="D195" s="1870"/>
      <c r="E195" s="1870"/>
      <c r="F195" s="1870"/>
      <c r="G195" s="1870"/>
      <c r="H195" s="1870"/>
      <c r="I195" s="1870"/>
      <c r="J195" s="355"/>
      <c r="N195" s="770"/>
      <c r="O195" s="1721"/>
      <c r="P195" s="1722"/>
      <c r="Q195" s="1723"/>
      <c r="R195" s="771"/>
    </row>
    <row r="196" spans="2:18" ht="15" customHeight="1" x14ac:dyDescent="0.25">
      <c r="B196" s="611"/>
      <c r="C196" s="1915" t="s">
        <v>3246</v>
      </c>
      <c r="D196" s="1915"/>
      <c r="E196" s="1915"/>
      <c r="F196" s="1915"/>
      <c r="G196" s="1915"/>
      <c r="H196" s="1915"/>
      <c r="I196" s="1916"/>
      <c r="J196" s="355"/>
      <c r="N196" s="770"/>
      <c r="O196" s="1721"/>
      <c r="P196" s="1722"/>
      <c r="Q196" s="1723"/>
      <c r="R196" s="771"/>
    </row>
    <row r="197" spans="2:18" ht="15" customHeight="1" x14ac:dyDescent="0.25">
      <c r="B197" s="611"/>
      <c r="C197" s="1577" t="s">
        <v>3247</v>
      </c>
      <c r="D197" s="1577"/>
      <c r="E197" s="1577"/>
      <c r="F197" s="1577"/>
      <c r="G197" s="1577"/>
      <c r="H197" s="1577"/>
      <c r="I197" s="1579"/>
      <c r="J197" s="355"/>
      <c r="N197" s="770"/>
      <c r="O197" s="1721"/>
      <c r="P197" s="1722"/>
      <c r="Q197" s="1723"/>
      <c r="R197" s="771"/>
    </row>
    <row r="198" spans="2:18" ht="15" customHeight="1" x14ac:dyDescent="0.25">
      <c r="B198" s="611"/>
      <c r="C198" s="1577" t="s">
        <v>3248</v>
      </c>
      <c r="D198" s="1577"/>
      <c r="E198" s="1577"/>
      <c r="F198" s="1577"/>
      <c r="G198" s="1577"/>
      <c r="H198" s="1577"/>
      <c r="I198" s="1579"/>
      <c r="J198" s="355"/>
      <c r="N198" s="770"/>
      <c r="O198" s="1721"/>
      <c r="P198" s="1722"/>
      <c r="Q198" s="1723"/>
      <c r="R198" s="771"/>
    </row>
    <row r="199" spans="2:18" ht="15" customHeight="1" x14ac:dyDescent="0.25">
      <c r="B199" s="611"/>
      <c r="C199" s="1908" t="s">
        <v>3352</v>
      </c>
      <c r="D199" s="1908"/>
      <c r="E199" s="1908"/>
      <c r="F199" s="1908"/>
      <c r="G199" s="1908"/>
      <c r="H199" s="1908"/>
      <c r="I199" s="1909"/>
      <c r="J199" s="355"/>
      <c r="N199" s="770"/>
      <c r="O199" s="1721"/>
      <c r="P199" s="1722"/>
      <c r="Q199" s="1723"/>
      <c r="R199" s="771"/>
    </row>
    <row r="200" spans="2:18" ht="15" customHeight="1" x14ac:dyDescent="0.25">
      <c r="B200" s="611"/>
      <c r="C200" s="1874" t="s">
        <v>3251</v>
      </c>
      <c r="D200" s="1874"/>
      <c r="E200" s="1874"/>
      <c r="F200" s="1874"/>
      <c r="G200" s="1875"/>
      <c r="H200" s="1188"/>
      <c r="I200" s="1923"/>
      <c r="J200" s="1189"/>
      <c r="N200" s="770"/>
      <c r="O200" s="1721"/>
      <c r="P200" s="1722"/>
      <c r="Q200" s="1723"/>
      <c r="R200" s="771"/>
    </row>
    <row r="201" spans="2:18" ht="15" customHeight="1" x14ac:dyDescent="0.25">
      <c r="B201" s="611"/>
      <c r="C201" s="8"/>
      <c r="D201" s="8"/>
      <c r="E201" s="8"/>
      <c r="F201" s="8"/>
      <c r="G201" s="8"/>
      <c r="H201" s="25"/>
      <c r="I201" s="25"/>
      <c r="J201" s="25"/>
      <c r="N201" s="770"/>
      <c r="O201" s="1721"/>
      <c r="P201" s="1722"/>
      <c r="Q201" s="1723"/>
      <c r="R201" s="771"/>
    </row>
    <row r="202" spans="2:18" ht="15" customHeight="1" x14ac:dyDescent="0.25">
      <c r="B202" s="611"/>
      <c r="C202" s="1870" t="s">
        <v>3252</v>
      </c>
      <c r="D202" s="1870"/>
      <c r="E202" s="1870"/>
      <c r="F202" s="1870"/>
      <c r="G202" s="1870"/>
      <c r="H202" s="1870"/>
      <c r="I202" s="1870"/>
      <c r="J202" s="355"/>
      <c r="N202" s="770"/>
      <c r="O202" s="1721"/>
      <c r="P202" s="1722"/>
      <c r="Q202" s="1723"/>
      <c r="R202" s="771"/>
    </row>
    <row r="203" spans="2:18" ht="15" customHeight="1" x14ac:dyDescent="0.25">
      <c r="B203" s="611"/>
      <c r="C203" s="1915" t="s">
        <v>3253</v>
      </c>
      <c r="D203" s="1915"/>
      <c r="E203" s="1915"/>
      <c r="F203" s="1915"/>
      <c r="G203" s="1915"/>
      <c r="H203" s="1915"/>
      <c r="I203" s="1916"/>
      <c r="J203" s="355"/>
      <c r="N203" s="770"/>
      <c r="O203" s="1721"/>
      <c r="P203" s="1722"/>
      <c r="Q203" s="1723"/>
      <c r="R203" s="771"/>
    </row>
    <row r="204" spans="2:18" ht="15" customHeight="1" x14ac:dyDescent="0.25">
      <c r="B204" s="611"/>
      <c r="C204" s="1577" t="s">
        <v>3254</v>
      </c>
      <c r="D204" s="1577"/>
      <c r="E204" s="1577"/>
      <c r="F204" s="1577"/>
      <c r="G204" s="1577"/>
      <c r="H204" s="1577"/>
      <c r="I204" s="1579"/>
      <c r="J204" s="355"/>
      <c r="N204" s="770"/>
      <c r="O204" s="1721"/>
      <c r="P204" s="1722"/>
      <c r="Q204" s="1723"/>
      <c r="R204" s="771"/>
    </row>
    <row r="205" spans="2:18" ht="15" customHeight="1" x14ac:dyDescent="0.25">
      <c r="B205" s="611"/>
      <c r="C205" s="1577" t="s">
        <v>3255</v>
      </c>
      <c r="D205" s="1577"/>
      <c r="E205" s="1577"/>
      <c r="F205" s="1577"/>
      <c r="G205" s="1577"/>
      <c r="H205" s="1577"/>
      <c r="I205" s="1579"/>
      <c r="J205" s="355"/>
      <c r="N205" s="770"/>
      <c r="O205" s="1721"/>
      <c r="P205" s="1722"/>
      <c r="Q205" s="1723"/>
      <c r="R205" s="771"/>
    </row>
    <row r="206" spans="2:18" ht="15" customHeight="1" x14ac:dyDescent="0.25">
      <c r="B206" s="611"/>
      <c r="C206" s="1908" t="s">
        <v>3353</v>
      </c>
      <c r="D206" s="1908"/>
      <c r="E206" s="1908"/>
      <c r="F206" s="1908"/>
      <c r="G206" s="1908"/>
      <c r="H206" s="1908"/>
      <c r="I206" s="1909"/>
      <c r="J206" s="355"/>
      <c r="N206" s="770"/>
      <c r="O206" s="1724"/>
      <c r="P206" s="1725"/>
      <c r="Q206" s="1726"/>
      <c r="R206" s="771"/>
    </row>
    <row r="207" spans="2:18" ht="15" customHeight="1" x14ac:dyDescent="0.25">
      <c r="B207" s="611"/>
      <c r="C207" s="1908" t="s">
        <v>3257</v>
      </c>
      <c r="D207" s="1908"/>
      <c r="E207" s="1908"/>
      <c r="F207" s="1908"/>
      <c r="G207" s="1908"/>
      <c r="H207" s="1908"/>
      <c r="I207" s="1909"/>
      <c r="J207" s="355"/>
      <c r="N207" s="772"/>
      <c r="O207" s="773"/>
      <c r="P207" s="773"/>
      <c r="Q207" s="773"/>
      <c r="R207" s="774"/>
    </row>
    <row r="208" spans="2:18" ht="15" customHeight="1" x14ac:dyDescent="0.25">
      <c r="B208" s="611"/>
      <c r="C208" s="8"/>
      <c r="D208" s="8"/>
      <c r="E208" s="8"/>
      <c r="F208" s="8"/>
      <c r="G208" s="8"/>
      <c r="H208" s="25"/>
      <c r="I208" s="25"/>
      <c r="J208" s="25"/>
    </row>
    <row r="209" spans="2:18" ht="15" customHeight="1" x14ac:dyDescent="0.25">
      <c r="B209" s="611"/>
      <c r="C209" s="8"/>
      <c r="D209" s="8"/>
      <c r="E209" s="8"/>
      <c r="F209" s="8"/>
      <c r="G209" s="8"/>
      <c r="H209" s="25"/>
      <c r="I209" s="25"/>
      <c r="J209" s="25"/>
    </row>
    <row r="210" spans="2:18" ht="15" customHeight="1" x14ac:dyDescent="0.2">
      <c r="B210" s="1911" t="s">
        <v>2475</v>
      </c>
      <c r="C210" s="1911"/>
      <c r="D210" s="1911"/>
      <c r="E210" s="1911"/>
      <c r="F210" s="1911"/>
      <c r="G210" s="1911"/>
      <c r="H210" s="1911"/>
      <c r="I210" s="1911"/>
      <c r="J210" s="1911"/>
    </row>
    <row r="211" spans="2:18" ht="3" customHeight="1" x14ac:dyDescent="0.2">
      <c r="B211" s="1912"/>
      <c r="C211" s="1913"/>
      <c r="D211" s="1913"/>
      <c r="E211" s="1913"/>
      <c r="F211" s="1913"/>
      <c r="G211" s="1913"/>
      <c r="H211" s="1913"/>
      <c r="I211" s="1913"/>
      <c r="J211" s="1913"/>
      <c r="K211" s="1913"/>
      <c r="L211" s="1914"/>
    </row>
    <row r="212" spans="2:18" ht="15" customHeight="1" x14ac:dyDescent="0.25">
      <c r="B212" s="611"/>
      <c r="C212" s="8"/>
      <c r="D212" s="8"/>
      <c r="E212" s="8"/>
      <c r="F212" s="8"/>
      <c r="G212" s="8"/>
      <c r="H212" s="8"/>
      <c r="I212" s="8"/>
    </row>
    <row r="213" spans="2:18" ht="15" customHeight="1" x14ac:dyDescent="0.2">
      <c r="B213" s="746" t="s">
        <v>2476</v>
      </c>
      <c r="C213" s="1731" t="s">
        <v>2671</v>
      </c>
      <c r="D213" s="1731"/>
      <c r="E213" s="1731"/>
      <c r="F213" s="1731"/>
      <c r="G213" s="1731"/>
      <c r="H213" s="1731"/>
      <c r="I213" s="1731"/>
      <c r="J213" s="30"/>
      <c r="K213" s="30"/>
    </row>
    <row r="214" spans="2:18" ht="5.25" customHeight="1" x14ac:dyDescent="0.25">
      <c r="B214" s="611"/>
      <c r="C214" s="8"/>
      <c r="D214" s="8"/>
      <c r="E214" s="8"/>
      <c r="F214" s="8"/>
      <c r="G214" s="8"/>
      <c r="H214" s="8"/>
      <c r="I214" s="8"/>
    </row>
    <row r="215" spans="2:18" ht="15" customHeight="1" x14ac:dyDescent="0.25">
      <c r="B215" s="611"/>
      <c r="C215" s="1303" t="s">
        <v>3031</v>
      </c>
      <c r="D215" s="1303"/>
      <c r="E215" s="1303"/>
      <c r="F215" s="1303"/>
      <c r="G215" s="1303"/>
      <c r="H215" s="1303"/>
      <c r="I215" s="1303"/>
      <c r="J215" s="1303"/>
      <c r="K215" s="1303"/>
      <c r="N215" s="767"/>
      <c r="O215" s="768"/>
      <c r="P215" s="768"/>
      <c r="Q215" s="768"/>
      <c r="R215" s="769"/>
    </row>
    <row r="216" spans="2:18" ht="15" customHeight="1" x14ac:dyDescent="0.25">
      <c r="B216" s="611"/>
      <c r="C216" s="1303"/>
      <c r="D216" s="1303"/>
      <c r="E216" s="1303"/>
      <c r="F216" s="1303"/>
      <c r="G216" s="1303"/>
      <c r="H216" s="1303"/>
      <c r="I216" s="1303"/>
      <c r="J216" s="1303"/>
      <c r="K216" s="1303"/>
      <c r="N216" s="770"/>
      <c r="O216" s="1776" t="s">
        <v>2666</v>
      </c>
      <c r="P216" s="1777"/>
      <c r="Q216" s="78" t="str">
        <f>IF(OR(I225="",I225="No"),"No","Yes")</f>
        <v>No</v>
      </c>
      <c r="R216" s="771"/>
    </row>
    <row r="217" spans="2:18" ht="15" customHeight="1" x14ac:dyDescent="0.25">
      <c r="B217" s="611"/>
      <c r="C217" s="8"/>
      <c r="D217" s="8"/>
      <c r="E217" s="8"/>
      <c r="F217" s="8"/>
      <c r="G217" s="8"/>
      <c r="H217" s="8"/>
      <c r="I217" s="8"/>
      <c r="N217" s="770"/>
      <c r="O217" s="1730" t="s">
        <v>2718</v>
      </c>
      <c r="P217" s="1783"/>
      <c r="Q217" s="941"/>
      <c r="R217" s="771"/>
    </row>
    <row r="218" spans="2:18" ht="15" customHeight="1" x14ac:dyDescent="0.25">
      <c r="B218" s="611"/>
      <c r="C218" s="1155" t="s">
        <v>3032</v>
      </c>
      <c r="D218" s="1155"/>
      <c r="E218" s="1155"/>
      <c r="F218" s="1155"/>
      <c r="G218" s="1155"/>
      <c r="H218" s="1324"/>
      <c r="I218" s="355"/>
      <c r="N218" s="770"/>
      <c r="O218" s="633"/>
      <c r="P218" s="633"/>
      <c r="Q218" s="633"/>
      <c r="R218" s="771"/>
    </row>
    <row r="219" spans="2:18" ht="15" customHeight="1" x14ac:dyDescent="0.25">
      <c r="B219" s="611"/>
      <c r="C219" s="1155" t="s">
        <v>3033</v>
      </c>
      <c r="D219" s="1155"/>
      <c r="E219" s="1155"/>
      <c r="F219" s="1155"/>
      <c r="G219" s="1155"/>
      <c r="H219" s="1324"/>
      <c r="I219" s="355"/>
      <c r="N219" s="770"/>
      <c r="O219" s="633" t="s">
        <v>2443</v>
      </c>
      <c r="P219" s="633"/>
      <c r="Q219" s="633"/>
      <c r="R219" s="771"/>
    </row>
    <row r="220" spans="2:18" ht="15" customHeight="1" x14ac:dyDescent="0.25">
      <c r="B220" s="611"/>
      <c r="C220" s="1155" t="s">
        <v>3034</v>
      </c>
      <c r="D220" s="1155"/>
      <c r="E220" s="1155"/>
      <c r="F220" s="1155"/>
      <c r="G220" s="1155"/>
      <c r="H220" s="1324"/>
      <c r="I220" s="986" t="str">
        <f>IF(OR(Team!$E$334="Yes",Team!$E$355="Yes","Yes"),"Yes","No")</f>
        <v>No</v>
      </c>
      <c r="N220" s="770"/>
      <c r="O220" s="633"/>
      <c r="P220" s="633"/>
      <c r="Q220" s="633"/>
      <c r="R220" s="771"/>
    </row>
    <row r="221" spans="2:18" ht="15" customHeight="1" x14ac:dyDescent="0.25">
      <c r="B221" s="611"/>
      <c r="C221" s="1155" t="s">
        <v>2661</v>
      </c>
      <c r="D221" s="1155"/>
      <c r="E221" s="1155"/>
      <c r="F221" s="1155"/>
      <c r="G221" s="1155"/>
      <c r="H221" s="1324"/>
      <c r="I221" s="1247" t="str">
        <f>IF($I$220="Yes","N/A",IF(AND(Team!$E$318="",Team!$E$327=""),"",IF(Team!$E$327="",Team!$E$318,Team!$E$327)))</f>
        <v/>
      </c>
      <c r="J221" s="1247"/>
      <c r="K221" s="1247"/>
      <c r="N221" s="770"/>
      <c r="O221" s="1774"/>
      <c r="P221" s="1774"/>
      <c r="Q221" s="1774"/>
      <c r="R221" s="771"/>
    </row>
    <row r="222" spans="2:18" ht="15" customHeight="1" x14ac:dyDescent="0.25">
      <c r="B222" s="611"/>
      <c r="C222" s="1155" t="s">
        <v>3448</v>
      </c>
      <c r="D222" s="1155"/>
      <c r="E222" s="1155"/>
      <c r="F222" s="1155"/>
      <c r="G222" s="1155"/>
      <c r="H222" s="1324"/>
      <c r="I222" s="689"/>
      <c r="N222" s="770"/>
      <c r="O222" s="1774"/>
      <c r="P222" s="1774"/>
      <c r="Q222" s="1774"/>
      <c r="R222" s="771"/>
    </row>
    <row r="223" spans="2:18" ht="15" customHeight="1" x14ac:dyDescent="0.25">
      <c r="B223" s="611"/>
      <c r="C223" s="25"/>
      <c r="D223" s="25"/>
      <c r="E223" s="25"/>
      <c r="F223" s="25"/>
      <c r="G223" s="25"/>
      <c r="H223" s="25"/>
      <c r="I223" s="25"/>
      <c r="N223" s="770"/>
      <c r="O223" s="1774"/>
      <c r="P223" s="1774"/>
      <c r="Q223" s="1774"/>
      <c r="R223" s="771"/>
    </row>
    <row r="224" spans="2:18" ht="15" customHeight="1" x14ac:dyDescent="0.25">
      <c r="B224" s="611"/>
      <c r="C224" s="1296" t="s">
        <v>3062</v>
      </c>
      <c r="D224" s="1296"/>
      <c r="E224" s="1296"/>
      <c r="F224" s="1296"/>
      <c r="G224" s="1296"/>
      <c r="H224" s="1775"/>
      <c r="I224" s="203" t="str">
        <f>IF(AND(I218="Yes",I219="Yes",I220="No",I222="Yes"),"Yes","No")</f>
        <v>No</v>
      </c>
      <c r="J224" s="739"/>
      <c r="K224" s="739"/>
      <c r="N224" s="770"/>
      <c r="O224" s="1774"/>
      <c r="P224" s="1774"/>
      <c r="Q224" s="1774"/>
      <c r="R224" s="771"/>
    </row>
    <row r="225" spans="2:18" ht="15" customHeight="1" x14ac:dyDescent="0.25">
      <c r="B225" s="611"/>
      <c r="C225" s="1296" t="s">
        <v>3063</v>
      </c>
      <c r="D225" s="1296"/>
      <c r="E225" s="1296"/>
      <c r="F225" s="1296"/>
      <c r="G225" s="1296"/>
      <c r="H225" s="1775"/>
      <c r="I225" s="775"/>
      <c r="J225" s="739"/>
      <c r="K225" s="739"/>
      <c r="N225" s="770"/>
      <c r="O225" s="1774"/>
      <c r="P225" s="1774"/>
      <c r="Q225" s="1774"/>
      <c r="R225" s="771"/>
    </row>
    <row r="226" spans="2:18" ht="15" customHeight="1" x14ac:dyDescent="0.25">
      <c r="B226" s="611"/>
      <c r="C226" s="249"/>
      <c r="D226" s="249"/>
      <c r="E226" s="249"/>
      <c r="F226" s="249"/>
      <c r="G226" s="249"/>
      <c r="H226" s="249"/>
      <c r="I226" s="8"/>
      <c r="J226" s="739"/>
      <c r="K226" s="739"/>
      <c r="N226" s="772"/>
      <c r="O226" s="773"/>
      <c r="P226" s="773"/>
      <c r="Q226" s="773"/>
      <c r="R226" s="774"/>
    </row>
    <row r="227" spans="2:18" ht="15" customHeight="1" x14ac:dyDescent="0.25">
      <c r="B227" s="611"/>
      <c r="C227" s="249"/>
      <c r="D227" s="249"/>
      <c r="E227" s="249"/>
      <c r="F227" s="249"/>
      <c r="G227" s="249"/>
      <c r="H227" s="249"/>
      <c r="I227" s="8"/>
      <c r="J227" s="739"/>
      <c r="K227" s="739"/>
    </row>
    <row r="228" spans="2:18" ht="15" customHeight="1" x14ac:dyDescent="0.2">
      <c r="B228" s="746" t="s">
        <v>2477</v>
      </c>
      <c r="C228" s="1731" t="s">
        <v>3045</v>
      </c>
      <c r="D228" s="1731"/>
      <c r="E228" s="1731"/>
      <c r="F228" s="1731"/>
      <c r="G228" s="1731"/>
      <c r="H228" s="1731"/>
      <c r="I228" s="1731"/>
      <c r="J228" s="1731"/>
      <c r="K228" s="1731"/>
    </row>
    <row r="229" spans="2:18" ht="15" customHeight="1" x14ac:dyDescent="0.25">
      <c r="B229" s="611"/>
      <c r="C229" s="249"/>
      <c r="D229" s="249"/>
      <c r="E229" s="249"/>
      <c r="F229" s="249"/>
      <c r="G229" s="249"/>
      <c r="H229" s="249"/>
      <c r="I229" s="8"/>
      <c r="J229" s="739"/>
      <c r="K229" s="739"/>
    </row>
    <row r="230" spans="2:18" ht="15" customHeight="1" x14ac:dyDescent="0.25">
      <c r="B230" s="611"/>
      <c r="C230" s="1303" t="s">
        <v>3056</v>
      </c>
      <c r="D230" s="1303"/>
      <c r="E230" s="1303"/>
      <c r="F230" s="1303"/>
      <c r="G230" s="1303"/>
      <c r="H230" s="1303"/>
      <c r="I230" s="1303"/>
      <c r="J230" s="1303"/>
      <c r="K230" s="1303"/>
      <c r="N230" s="767"/>
      <c r="O230" s="768"/>
      <c r="P230" s="768"/>
      <c r="Q230" s="930"/>
      <c r="R230" s="769"/>
    </row>
    <row r="231" spans="2:18" ht="15" customHeight="1" x14ac:dyDescent="0.25">
      <c r="B231" s="611"/>
      <c r="C231" s="1303"/>
      <c r="D231" s="1303"/>
      <c r="E231" s="1303"/>
      <c r="F231" s="1303"/>
      <c r="G231" s="1303"/>
      <c r="H231" s="1303"/>
      <c r="I231" s="1303"/>
      <c r="J231" s="1303"/>
      <c r="K231" s="1303"/>
      <c r="N231" s="770"/>
      <c r="O231" s="1776" t="s">
        <v>3064</v>
      </c>
      <c r="P231" s="1777"/>
      <c r="Q231" s="766" t="str">
        <f>IF(OR(J253="",J253="No"),"No","Yes")</f>
        <v>No</v>
      </c>
      <c r="R231" s="771"/>
    </row>
    <row r="232" spans="2:18" ht="15" customHeight="1" x14ac:dyDescent="0.25">
      <c r="B232" s="611"/>
      <c r="C232" s="1303"/>
      <c r="D232" s="1303"/>
      <c r="E232" s="1303"/>
      <c r="F232" s="1303"/>
      <c r="G232" s="1303"/>
      <c r="H232" s="1303"/>
      <c r="I232" s="1303"/>
      <c r="J232" s="1303"/>
      <c r="K232" s="1303"/>
      <c r="N232" s="770"/>
      <c r="O232" s="1730" t="s">
        <v>3065</v>
      </c>
      <c r="P232" s="1730"/>
      <c r="Q232" s="941"/>
      <c r="R232" s="771"/>
    </row>
    <row r="233" spans="2:18" ht="15" customHeight="1" x14ac:dyDescent="0.25">
      <c r="B233" s="611"/>
      <c r="C233" s="1303"/>
      <c r="D233" s="1303"/>
      <c r="E233" s="1303"/>
      <c r="F233" s="1303"/>
      <c r="G233" s="1303"/>
      <c r="H233" s="1303"/>
      <c r="I233" s="1303"/>
      <c r="J233" s="1303"/>
      <c r="K233" s="1303"/>
      <c r="N233" s="770"/>
      <c r="O233" s="633"/>
      <c r="P233" s="633"/>
      <c r="Q233" s="932"/>
      <c r="R233" s="771"/>
    </row>
    <row r="234" spans="2:18" ht="15" customHeight="1" x14ac:dyDescent="0.25">
      <c r="B234" s="611"/>
      <c r="C234" s="1303"/>
      <c r="D234" s="1303"/>
      <c r="E234" s="1303"/>
      <c r="F234" s="1303"/>
      <c r="G234" s="1303"/>
      <c r="H234" s="1303"/>
      <c r="I234" s="1303"/>
      <c r="J234" s="1303"/>
      <c r="K234" s="1303"/>
      <c r="N234" s="770"/>
      <c r="O234" s="633" t="s">
        <v>2443</v>
      </c>
      <c r="P234" s="633"/>
      <c r="Q234" s="932"/>
      <c r="R234" s="771"/>
    </row>
    <row r="235" spans="2:18" ht="15" customHeight="1" x14ac:dyDescent="0.25">
      <c r="B235" s="611"/>
      <c r="C235" s="1303"/>
      <c r="D235" s="1303"/>
      <c r="E235" s="1303"/>
      <c r="F235" s="1303"/>
      <c r="G235" s="1303"/>
      <c r="H235" s="1303"/>
      <c r="I235" s="1303"/>
      <c r="J235" s="1303"/>
      <c r="K235" s="1303"/>
      <c r="N235" s="770"/>
      <c r="O235" s="633"/>
      <c r="P235" s="633"/>
      <c r="Q235" s="932"/>
      <c r="R235" s="771"/>
    </row>
    <row r="236" spans="2:18" ht="15" customHeight="1" x14ac:dyDescent="0.25">
      <c r="B236" s="611"/>
      <c r="C236" s="1303"/>
      <c r="D236" s="1303"/>
      <c r="E236" s="1303"/>
      <c r="F236" s="1303"/>
      <c r="G236" s="1303"/>
      <c r="H236" s="1303"/>
      <c r="I236" s="1303"/>
      <c r="J236" s="1303"/>
      <c r="K236" s="1303"/>
      <c r="N236" s="770"/>
      <c r="O236" s="1787"/>
      <c r="P236" s="1788"/>
      <c r="Q236" s="1789"/>
      <c r="R236" s="771"/>
    </row>
    <row r="237" spans="2:18" ht="15" customHeight="1" x14ac:dyDescent="0.25">
      <c r="B237" s="611"/>
      <c r="C237" s="94"/>
      <c r="D237" s="94"/>
      <c r="E237" s="94"/>
      <c r="F237" s="94"/>
      <c r="G237" s="94"/>
      <c r="H237" s="94"/>
      <c r="I237" s="94"/>
      <c r="J237" s="94"/>
      <c r="K237" s="94"/>
      <c r="N237" s="770"/>
      <c r="O237" s="1790"/>
      <c r="P237" s="1791"/>
      <c r="Q237" s="1792"/>
      <c r="R237" s="771"/>
    </row>
    <row r="238" spans="2:18" ht="15" customHeight="1" x14ac:dyDescent="0.25">
      <c r="B238" s="611"/>
      <c r="C238" s="1155" t="s">
        <v>3046</v>
      </c>
      <c r="D238" s="1155"/>
      <c r="E238" s="1155"/>
      <c r="F238" s="1155"/>
      <c r="G238" s="1155"/>
      <c r="H238" s="1155"/>
      <c r="I238" s="1324"/>
      <c r="J238" s="78" t="str">
        <f>IF(Details!$E$13="","Input Census Tract",VLOOKUP(Details!$E$13,Data!$B$11:$F$3178,5,FALSE))</f>
        <v>Input Census Tract</v>
      </c>
      <c r="N238" s="770"/>
      <c r="O238" s="1790"/>
      <c r="P238" s="1791"/>
      <c r="Q238" s="1792"/>
      <c r="R238" s="771"/>
    </row>
    <row r="239" spans="2:18" ht="15" customHeight="1" x14ac:dyDescent="0.25">
      <c r="B239" s="611"/>
      <c r="C239" s="1155" t="s">
        <v>3052</v>
      </c>
      <c r="D239" s="1155"/>
      <c r="E239" s="1155"/>
      <c r="F239" s="1155"/>
      <c r="G239" s="1155"/>
      <c r="H239" s="1155"/>
      <c r="I239" s="1324"/>
      <c r="J239" s="355"/>
      <c r="N239" s="770"/>
      <c r="O239" s="1790"/>
      <c r="P239" s="1791"/>
      <c r="Q239" s="1792"/>
      <c r="R239" s="771"/>
    </row>
    <row r="240" spans="2:18" ht="15" customHeight="1" x14ac:dyDescent="0.25">
      <c r="B240" s="611"/>
      <c r="C240" s="1155" t="s">
        <v>3058</v>
      </c>
      <c r="D240" s="1155"/>
      <c r="E240" s="1155"/>
      <c r="F240" s="1155"/>
      <c r="G240" s="1155"/>
      <c r="H240" s="1155"/>
      <c r="I240" s="1324"/>
      <c r="J240" s="355"/>
      <c r="N240" s="770"/>
      <c r="O240" s="1790"/>
      <c r="P240" s="1791"/>
      <c r="Q240" s="1792"/>
      <c r="R240" s="771"/>
    </row>
    <row r="241" spans="2:18" ht="15" customHeight="1" x14ac:dyDescent="0.25">
      <c r="B241" s="611"/>
      <c r="C241" s="1155" t="s">
        <v>3047</v>
      </c>
      <c r="D241" s="1155"/>
      <c r="E241" s="1155"/>
      <c r="F241" s="1155"/>
      <c r="G241" s="1155"/>
      <c r="H241" s="1155"/>
      <c r="I241" s="1324"/>
      <c r="J241" s="362"/>
      <c r="N241" s="770"/>
      <c r="O241" s="1790"/>
      <c r="P241" s="1791"/>
      <c r="Q241" s="1792"/>
      <c r="R241" s="771"/>
    </row>
    <row r="242" spans="2:18" ht="15" customHeight="1" x14ac:dyDescent="0.25">
      <c r="B242" s="611"/>
      <c r="C242" s="1236" t="s">
        <v>3048</v>
      </c>
      <c r="D242" s="1236"/>
      <c r="E242" s="1236"/>
      <c r="F242" s="1236"/>
      <c r="G242" s="1236"/>
      <c r="H242" s="1236"/>
      <c r="I242" s="1593"/>
      <c r="J242" s="78" t="str">
        <f>IF(J241="","",IF(J241&lt;EDATE(DATE(2025,2,26),-120),"Yes","No"))</f>
        <v/>
      </c>
      <c r="N242" s="770"/>
      <c r="O242" s="1790"/>
      <c r="P242" s="1791"/>
      <c r="Q242" s="1792"/>
      <c r="R242" s="771"/>
    </row>
    <row r="243" spans="2:18" ht="15" customHeight="1" x14ac:dyDescent="0.25">
      <c r="B243" s="611"/>
      <c r="C243" s="1236" t="s">
        <v>3049</v>
      </c>
      <c r="D243" s="1236"/>
      <c r="E243" s="1236"/>
      <c r="F243" s="1236"/>
      <c r="G243" s="1236"/>
      <c r="H243" s="1236"/>
      <c r="I243" s="1593"/>
      <c r="J243" s="355"/>
      <c r="N243" s="770"/>
      <c r="O243" s="1790"/>
      <c r="P243" s="1791"/>
      <c r="Q243" s="1792"/>
      <c r="R243" s="771"/>
    </row>
    <row r="244" spans="2:18" ht="15" customHeight="1" x14ac:dyDescent="0.25">
      <c r="B244" s="611"/>
      <c r="C244" s="1155" t="s">
        <v>3050</v>
      </c>
      <c r="D244" s="1155"/>
      <c r="E244" s="1155"/>
      <c r="F244" s="1155"/>
      <c r="G244" s="1155"/>
      <c r="H244" s="1155"/>
      <c r="I244" s="1324"/>
      <c r="J244" s="355"/>
      <c r="N244" s="770"/>
      <c r="O244" s="1790"/>
      <c r="P244" s="1791"/>
      <c r="Q244" s="1792"/>
      <c r="R244" s="771"/>
    </row>
    <row r="245" spans="2:18" ht="15" customHeight="1" x14ac:dyDescent="0.25">
      <c r="B245" s="611"/>
      <c r="C245" s="1236" t="s">
        <v>3053</v>
      </c>
      <c r="D245" s="1236"/>
      <c r="E245" s="1236"/>
      <c r="F245" s="1236"/>
      <c r="G245" s="1236"/>
      <c r="H245" s="1236"/>
      <c r="I245" s="1593"/>
      <c r="J245" s="355"/>
      <c r="N245" s="770"/>
      <c r="O245" s="1790"/>
      <c r="P245" s="1791"/>
      <c r="Q245" s="1792"/>
      <c r="R245" s="771"/>
    </row>
    <row r="246" spans="2:18" ht="15" customHeight="1" x14ac:dyDescent="0.25">
      <c r="B246" s="611"/>
      <c r="C246" s="1236" t="s">
        <v>3054</v>
      </c>
      <c r="D246" s="1236"/>
      <c r="E246" s="1236"/>
      <c r="F246" s="1236"/>
      <c r="G246" s="1236"/>
      <c r="H246" s="1236"/>
      <c r="I246" s="1593"/>
      <c r="J246" s="355"/>
      <c r="N246" s="770"/>
      <c r="O246" s="1790"/>
      <c r="P246" s="1791"/>
      <c r="Q246" s="1792"/>
      <c r="R246" s="771"/>
    </row>
    <row r="247" spans="2:18" ht="15" customHeight="1" x14ac:dyDescent="0.25">
      <c r="B247" s="611"/>
      <c r="C247" s="1236" t="s">
        <v>3055</v>
      </c>
      <c r="D247" s="1236"/>
      <c r="E247" s="1236"/>
      <c r="F247" s="1236"/>
      <c r="G247" s="1236"/>
      <c r="H247" s="1236"/>
      <c r="I247" s="1593"/>
      <c r="J247" s="355"/>
      <c r="N247" s="770"/>
      <c r="O247" s="1790"/>
      <c r="P247" s="1791"/>
      <c r="Q247" s="1792"/>
      <c r="R247" s="771"/>
    </row>
    <row r="248" spans="2:18" ht="15" customHeight="1" x14ac:dyDescent="0.25">
      <c r="B248" s="611"/>
      <c r="C248" s="1155" t="s">
        <v>3051</v>
      </c>
      <c r="D248" s="1155"/>
      <c r="E248" s="1155"/>
      <c r="F248" s="1155"/>
      <c r="G248" s="1155"/>
      <c r="H248" s="1155"/>
      <c r="I248" s="1324"/>
      <c r="J248" s="355"/>
      <c r="N248" s="770"/>
      <c r="O248" s="1790"/>
      <c r="P248" s="1791"/>
      <c r="Q248" s="1792"/>
      <c r="R248" s="771"/>
    </row>
    <row r="249" spans="2:18" ht="15" customHeight="1" x14ac:dyDescent="0.25">
      <c r="B249" s="611"/>
      <c r="C249" s="25" t="s">
        <v>3059</v>
      </c>
      <c r="D249" s="25"/>
      <c r="E249" s="25"/>
      <c r="F249" s="25"/>
      <c r="G249" s="25"/>
      <c r="H249" s="25"/>
      <c r="I249" s="883"/>
      <c r="J249" s="355"/>
      <c r="N249" s="770"/>
      <c r="O249" s="1790"/>
      <c r="P249" s="1791"/>
      <c r="Q249" s="1792"/>
      <c r="R249" s="771"/>
    </row>
    <row r="250" spans="2:18" ht="15" customHeight="1" x14ac:dyDescent="0.25">
      <c r="B250" s="611"/>
      <c r="C250" s="1155" t="s">
        <v>3057</v>
      </c>
      <c r="D250" s="1155"/>
      <c r="E250" s="1155"/>
      <c r="F250" s="1155"/>
      <c r="G250" s="1155"/>
      <c r="H250" s="1155"/>
      <c r="I250" s="1324"/>
      <c r="J250" s="355"/>
      <c r="K250" s="739"/>
      <c r="N250" s="770"/>
      <c r="O250" s="1790"/>
      <c r="P250" s="1791"/>
      <c r="Q250" s="1792"/>
      <c r="R250" s="771"/>
    </row>
    <row r="251" spans="2:18" ht="15" customHeight="1" x14ac:dyDescent="0.25">
      <c r="B251" s="611"/>
      <c r="C251" s="249"/>
      <c r="D251" s="249"/>
      <c r="E251" s="249"/>
      <c r="F251" s="249"/>
      <c r="G251" s="249"/>
      <c r="H251" s="249"/>
      <c r="I251" s="8"/>
      <c r="J251" s="739"/>
      <c r="K251" s="739"/>
      <c r="N251" s="770"/>
      <c r="O251" s="1790"/>
      <c r="P251" s="1791"/>
      <c r="Q251" s="1792"/>
      <c r="R251" s="771"/>
    </row>
    <row r="252" spans="2:18" ht="15" customHeight="1" x14ac:dyDescent="0.25">
      <c r="B252" s="611"/>
      <c r="C252" s="1296" t="s">
        <v>3060</v>
      </c>
      <c r="D252" s="1296"/>
      <c r="E252" s="1296"/>
      <c r="F252" s="1296"/>
      <c r="G252" s="1296"/>
      <c r="H252" s="1296"/>
      <c r="I252" s="1296"/>
      <c r="J252" s="925" t="str">
        <f>IF(AND(J238="Yes",J239="Yes",J240="Yes",OR(J242="No",AND(J242="Yes",J243="Yes")),J244="Yes",OR(J245="Yes",J246="Yes"),J247="Yes",J248="Yes",J249="No",J250="Yes"),"Yes","No")</f>
        <v>No</v>
      </c>
      <c r="K252" s="739"/>
      <c r="N252" s="770"/>
      <c r="O252" s="1793"/>
      <c r="P252" s="1794"/>
      <c r="Q252" s="1795"/>
      <c r="R252" s="771"/>
    </row>
    <row r="253" spans="2:18" ht="15" customHeight="1" x14ac:dyDescent="0.25">
      <c r="B253" s="611"/>
      <c r="C253" s="1296" t="s">
        <v>3061</v>
      </c>
      <c r="D253" s="1296"/>
      <c r="E253" s="1296"/>
      <c r="F253" s="1296"/>
      <c r="G253" s="1296"/>
      <c r="H253" s="1296"/>
      <c r="I253" s="1296"/>
      <c r="J253" s="775"/>
      <c r="K253" s="739"/>
      <c r="N253" s="772"/>
      <c r="O253" s="773"/>
      <c r="P253" s="773"/>
      <c r="Q253" s="933"/>
      <c r="R253" s="774"/>
    </row>
    <row r="254" spans="2:18" ht="15" customHeight="1" x14ac:dyDescent="0.25">
      <c r="C254" s="531"/>
      <c r="D254" s="8"/>
      <c r="E254" s="8"/>
      <c r="F254" s="8"/>
      <c r="G254" s="8"/>
      <c r="H254" s="8"/>
      <c r="I254" s="8"/>
      <c r="J254" s="8"/>
    </row>
    <row r="255" spans="2:18" ht="15" customHeight="1" x14ac:dyDescent="0.25">
      <c r="C255" s="531"/>
      <c r="D255" s="8"/>
      <c r="E255" s="8"/>
      <c r="F255" s="8"/>
      <c r="G255" s="8"/>
      <c r="H255" s="8"/>
      <c r="I255" s="8"/>
      <c r="J255" s="8"/>
    </row>
    <row r="256" spans="2:18" ht="15" customHeight="1" x14ac:dyDescent="0.25">
      <c r="B256" s="890" t="s">
        <v>2678</v>
      </c>
      <c r="C256" s="1731" t="s">
        <v>3039</v>
      </c>
      <c r="D256" s="1731"/>
      <c r="E256" s="1731"/>
      <c r="F256" s="1731"/>
      <c r="G256" s="1731"/>
      <c r="H256" s="1731"/>
      <c r="I256" s="1731"/>
      <c r="J256" s="1731"/>
      <c r="K256" s="1731"/>
      <c r="N256" s="767"/>
      <c r="O256" s="768"/>
      <c r="P256" s="768"/>
      <c r="Q256" s="768"/>
      <c r="R256" s="769"/>
    </row>
    <row r="257" spans="3:18" ht="15" customHeight="1" x14ac:dyDescent="0.25">
      <c r="C257" s="8"/>
      <c r="D257" s="8"/>
      <c r="E257" s="8"/>
      <c r="F257" s="8"/>
      <c r="G257" s="8"/>
      <c r="H257" s="8"/>
      <c r="I257" s="8"/>
      <c r="N257" s="770"/>
      <c r="O257" s="1776" t="s">
        <v>3390</v>
      </c>
      <c r="P257" s="1777"/>
      <c r="Q257" s="78" t="str">
        <f>IF(OR(I268="",I268="No"),"No","Yes")</f>
        <v>No</v>
      </c>
      <c r="R257" s="771"/>
    </row>
    <row r="258" spans="3:18" ht="15" customHeight="1" x14ac:dyDescent="0.2">
      <c r="C258" s="1303" t="s">
        <v>3037</v>
      </c>
      <c r="D258" s="1303"/>
      <c r="E258" s="1303"/>
      <c r="F258" s="1303"/>
      <c r="G258" s="1303"/>
      <c r="H258" s="1303"/>
      <c r="I258" s="1303"/>
      <c r="J258" s="1303"/>
      <c r="K258" s="1303"/>
      <c r="N258" s="770"/>
      <c r="O258" s="1776" t="s">
        <v>3391</v>
      </c>
      <c r="P258" s="1777"/>
      <c r="Q258" s="941"/>
      <c r="R258" s="771"/>
    </row>
    <row r="259" spans="3:18" ht="15" customHeight="1" x14ac:dyDescent="0.2">
      <c r="C259" s="1303"/>
      <c r="D259" s="1303"/>
      <c r="E259" s="1303"/>
      <c r="F259" s="1303"/>
      <c r="G259" s="1303"/>
      <c r="H259" s="1303"/>
      <c r="I259" s="1303"/>
      <c r="J259" s="1303"/>
      <c r="K259" s="1303"/>
      <c r="N259" s="770"/>
      <c r="O259" s="633"/>
      <c r="P259" s="633"/>
      <c r="Q259" s="633"/>
      <c r="R259" s="771"/>
    </row>
    <row r="260" spans="3:18" ht="15" customHeight="1" x14ac:dyDescent="0.2">
      <c r="C260" s="1303"/>
      <c r="D260" s="1303"/>
      <c r="E260" s="1303"/>
      <c r="F260" s="1303"/>
      <c r="G260" s="1303"/>
      <c r="H260" s="1303"/>
      <c r="I260" s="1303"/>
      <c r="J260" s="1303"/>
      <c r="K260" s="1303"/>
      <c r="N260" s="770"/>
      <c r="O260" s="633" t="s">
        <v>2443</v>
      </c>
      <c r="P260" s="633"/>
      <c r="Q260" s="633"/>
      <c r="R260" s="771"/>
    </row>
    <row r="261" spans="3:18" ht="15" customHeight="1" x14ac:dyDescent="0.25">
      <c r="C261" s="531"/>
      <c r="D261" s="8"/>
      <c r="E261" s="8"/>
      <c r="F261" s="8"/>
      <c r="G261" s="8"/>
      <c r="H261" s="8"/>
      <c r="I261" s="8"/>
      <c r="J261" s="8"/>
      <c r="N261" s="770"/>
      <c r="O261" s="633"/>
      <c r="P261" s="633"/>
      <c r="Q261" s="633"/>
      <c r="R261" s="771"/>
    </row>
    <row r="262" spans="3:18" ht="15" customHeight="1" x14ac:dyDescent="0.2">
      <c r="C262" s="1661" t="s">
        <v>3402</v>
      </c>
      <c r="D262" s="1661"/>
      <c r="E262" s="1661"/>
      <c r="F262" s="1661"/>
      <c r="G262" s="1661"/>
      <c r="H262" s="1661"/>
      <c r="I262" s="1662"/>
      <c r="J262" s="89">
        <f>Revenue!C101</f>
        <v>0</v>
      </c>
      <c r="N262" s="770"/>
      <c r="O262" s="1787"/>
      <c r="P262" s="1788"/>
      <c r="Q262" s="1788"/>
      <c r="R262" s="771"/>
    </row>
    <row r="263" spans="3:18" ht="15" customHeight="1" x14ac:dyDescent="0.2">
      <c r="C263" s="1661" t="s">
        <v>3405</v>
      </c>
      <c r="D263" s="1661"/>
      <c r="E263" s="1661"/>
      <c r="F263" s="1661"/>
      <c r="G263" s="1661"/>
      <c r="H263" s="1661"/>
      <c r="I263" s="1662"/>
      <c r="J263" s="78">
        <f>ROUNDUP(J262*0.5,0)</f>
        <v>0</v>
      </c>
      <c r="N263" s="770"/>
      <c r="O263" s="1790"/>
      <c r="P263" s="1791"/>
      <c r="Q263" s="1791"/>
      <c r="R263" s="771"/>
    </row>
    <row r="264" spans="3:18" ht="15" customHeight="1" x14ac:dyDescent="0.2">
      <c r="C264" s="1661" t="str">
        <f>IF(OR(J263="",J263=0),"",CONCATENATE("Are at least ",J263," units serving the target population ≤30% AMI in the PSH Framework?"))</f>
        <v/>
      </c>
      <c r="D264" s="1661"/>
      <c r="E264" s="1661"/>
      <c r="F264" s="1661"/>
      <c r="G264" s="1661"/>
      <c r="H264" s="1661"/>
      <c r="I264" s="1662"/>
      <c r="J264" s="355"/>
      <c r="N264" s="770"/>
      <c r="O264" s="1790"/>
      <c r="P264" s="1791"/>
      <c r="Q264" s="1791"/>
      <c r="R264" s="771"/>
    </row>
    <row r="265" spans="3:18" ht="15" customHeight="1" x14ac:dyDescent="0.2">
      <c r="C265" s="1155" t="s">
        <v>3403</v>
      </c>
      <c r="D265" s="1155"/>
      <c r="E265" s="1155"/>
      <c r="F265" s="1155"/>
      <c r="G265" s="1155"/>
      <c r="H265" s="1155"/>
      <c r="I265" s="1324"/>
      <c r="J265" s="78">
        <f>J263</f>
        <v>0</v>
      </c>
      <c r="N265" s="770"/>
      <c r="O265" s="1790"/>
      <c r="P265" s="1791"/>
      <c r="Q265" s="1791"/>
      <c r="R265" s="771"/>
    </row>
    <row r="266" spans="3:18" ht="15" customHeight="1" x14ac:dyDescent="0.2">
      <c r="C266" s="1155" t="s">
        <v>3404</v>
      </c>
      <c r="D266" s="1155"/>
      <c r="E266" s="1155"/>
      <c r="F266" s="1155"/>
      <c r="G266" s="1155"/>
      <c r="H266" s="1155"/>
      <c r="I266" s="1324"/>
      <c r="J266" s="78">
        <f>SUMIF(Revenue!$M$47:$M$92,"&gt;0",Revenue!$C$47:$C$92)</f>
        <v>0</v>
      </c>
      <c r="N266" s="770"/>
      <c r="O266" s="1790"/>
      <c r="P266" s="1791"/>
      <c r="Q266" s="1791"/>
      <c r="R266" s="771"/>
    </row>
    <row r="267" spans="3:18" ht="15" customHeight="1" x14ac:dyDescent="0.2">
      <c r="C267" s="1155" t="s">
        <v>3038</v>
      </c>
      <c r="D267" s="1155"/>
      <c r="E267" s="1155"/>
      <c r="F267" s="1155"/>
      <c r="G267" s="1155"/>
      <c r="H267" s="1155"/>
      <c r="I267" s="1324"/>
      <c r="J267" s="355"/>
      <c r="N267" s="770"/>
      <c r="O267" s="1790"/>
      <c r="P267" s="1791"/>
      <c r="Q267" s="1791"/>
      <c r="R267" s="771"/>
    </row>
    <row r="268" spans="3:18" ht="15" customHeight="1" x14ac:dyDescent="0.25">
      <c r="C268" s="1661"/>
      <c r="D268" s="1661"/>
      <c r="E268" s="1661"/>
      <c r="F268" s="1661"/>
      <c r="G268" s="1661"/>
      <c r="H268" s="1661"/>
      <c r="I268" s="8"/>
      <c r="J268" s="8"/>
      <c r="N268" s="770"/>
      <c r="O268" s="1790"/>
      <c r="P268" s="1791"/>
      <c r="Q268" s="1791"/>
      <c r="R268" s="771"/>
    </row>
    <row r="269" spans="3:18" ht="15" customHeight="1" x14ac:dyDescent="0.2">
      <c r="C269" s="1296" t="s">
        <v>3406</v>
      </c>
      <c r="D269" s="1296"/>
      <c r="E269" s="1296"/>
      <c r="F269" s="1296"/>
      <c r="G269" s="1296"/>
      <c r="H269" s="1296"/>
      <c r="I269" s="1296"/>
      <c r="J269" s="925" t="str">
        <f>IF(AND(J264="Yes",J266&gt;=J265,J267="Yes"),"Yes","No")</f>
        <v>No</v>
      </c>
      <c r="N269" s="770"/>
      <c r="O269" s="1793"/>
      <c r="P269" s="1794"/>
      <c r="Q269" s="1794"/>
      <c r="R269" s="771"/>
    </row>
    <row r="270" spans="3:18" ht="15" customHeight="1" x14ac:dyDescent="0.2">
      <c r="C270" s="1296" t="s">
        <v>3407</v>
      </c>
      <c r="D270" s="1296"/>
      <c r="E270" s="1296"/>
      <c r="F270" s="1296"/>
      <c r="G270" s="1296"/>
      <c r="H270" s="1296"/>
      <c r="I270" s="1296"/>
      <c r="J270" s="775"/>
      <c r="N270" s="772"/>
      <c r="O270" s="940"/>
      <c r="P270" s="940"/>
      <c r="Q270" s="940"/>
      <c r="R270" s="774"/>
    </row>
    <row r="271" spans="3:18" ht="15" customHeight="1" x14ac:dyDescent="0.25">
      <c r="C271" s="531"/>
      <c r="D271" s="531"/>
      <c r="E271" s="531"/>
      <c r="F271" s="531"/>
      <c r="G271" s="531"/>
      <c r="H271" s="531"/>
      <c r="I271" s="8"/>
      <c r="J271" s="8"/>
      <c r="O271" s="955"/>
      <c r="P271" s="955"/>
      <c r="Q271" s="955"/>
    </row>
    <row r="272" spans="3:18" ht="15" customHeight="1" x14ac:dyDescent="0.25">
      <c r="C272" s="531"/>
      <c r="D272" s="531"/>
      <c r="E272" s="531"/>
      <c r="F272" s="531"/>
      <c r="G272" s="531"/>
      <c r="H272" s="531"/>
      <c r="I272" s="8"/>
      <c r="J272" s="8"/>
      <c r="O272" s="955"/>
      <c r="P272" s="955"/>
      <c r="Q272" s="955"/>
    </row>
    <row r="273" spans="2:18" ht="15" customHeight="1" x14ac:dyDescent="0.25">
      <c r="B273" s="890" t="s">
        <v>2679</v>
      </c>
      <c r="C273" s="1731" t="s">
        <v>3040</v>
      </c>
      <c r="D273" s="1731"/>
      <c r="E273" s="1731"/>
      <c r="F273" s="1731"/>
      <c r="G273" s="1731"/>
      <c r="H273" s="1731"/>
      <c r="I273" s="1731"/>
      <c r="J273" s="1731"/>
      <c r="K273" s="1731"/>
      <c r="N273" s="767"/>
      <c r="O273" s="768"/>
      <c r="P273" s="768"/>
      <c r="Q273" s="768"/>
      <c r="R273" s="769"/>
    </row>
    <row r="274" spans="2:18" ht="15" customHeight="1" x14ac:dyDescent="0.25">
      <c r="C274" s="8"/>
      <c r="D274" s="8"/>
      <c r="E274" s="8"/>
      <c r="F274" s="8"/>
      <c r="G274" s="8"/>
      <c r="H274" s="8"/>
      <c r="I274" s="8"/>
      <c r="N274" s="770"/>
      <c r="O274" s="1776" t="s">
        <v>3392</v>
      </c>
      <c r="P274" s="1777"/>
      <c r="Q274" s="78" t="str">
        <f>IF(OR(I284="",I284="No"),"No","Yes")</f>
        <v>No</v>
      </c>
      <c r="R274" s="771"/>
    </row>
    <row r="275" spans="2:18" ht="15" customHeight="1" x14ac:dyDescent="0.2">
      <c r="C275" s="1303" t="s">
        <v>3041</v>
      </c>
      <c r="D275" s="1303"/>
      <c r="E275" s="1303"/>
      <c r="F275" s="1303"/>
      <c r="G275" s="1303"/>
      <c r="H275" s="1303"/>
      <c r="I275" s="1303"/>
      <c r="J275" s="1303"/>
      <c r="K275" s="1303"/>
      <c r="N275" s="770"/>
      <c r="O275" s="1776" t="s">
        <v>3393</v>
      </c>
      <c r="P275" s="1777"/>
      <c r="Q275" s="941"/>
      <c r="R275" s="771"/>
    </row>
    <row r="276" spans="2:18" ht="15" customHeight="1" x14ac:dyDescent="0.2">
      <c r="C276" s="1303"/>
      <c r="D276" s="1303"/>
      <c r="E276" s="1303"/>
      <c r="F276" s="1303"/>
      <c r="G276" s="1303"/>
      <c r="H276" s="1303"/>
      <c r="I276" s="1303"/>
      <c r="J276" s="1303"/>
      <c r="K276" s="1303"/>
      <c r="N276" s="770"/>
      <c r="O276" s="633"/>
      <c r="P276" s="633"/>
      <c r="Q276" s="633"/>
      <c r="R276" s="771"/>
    </row>
    <row r="277" spans="2:18" ht="15" customHeight="1" x14ac:dyDescent="0.25">
      <c r="C277" s="531"/>
      <c r="D277" s="8"/>
      <c r="E277" s="8"/>
      <c r="F277" s="8"/>
      <c r="G277" s="8"/>
      <c r="H277" s="8"/>
      <c r="I277" s="8"/>
      <c r="J277" s="8"/>
      <c r="N277" s="770"/>
      <c r="O277" s="633" t="s">
        <v>2443</v>
      </c>
      <c r="P277" s="633"/>
      <c r="Q277" s="633"/>
      <c r="R277" s="771"/>
    </row>
    <row r="278" spans="2:18" ht="15" customHeight="1" x14ac:dyDescent="0.2">
      <c r="C278" s="1155" t="s">
        <v>3425</v>
      </c>
      <c r="D278" s="1155"/>
      <c r="E278" s="1155"/>
      <c r="F278" s="1155"/>
      <c r="G278" s="1155"/>
      <c r="H278" s="1155"/>
      <c r="I278" s="1324"/>
      <c r="J278" s="355"/>
      <c r="N278" s="770"/>
      <c r="O278" s="633"/>
      <c r="P278" s="633"/>
      <c r="Q278" s="633"/>
      <c r="R278" s="771"/>
    </row>
    <row r="279" spans="2:18" ht="15" customHeight="1" x14ac:dyDescent="0.25">
      <c r="C279" s="1155" t="s">
        <v>3042</v>
      </c>
      <c r="D279" s="1155"/>
      <c r="E279" s="1155"/>
      <c r="F279" s="1155"/>
      <c r="G279" s="1155"/>
      <c r="H279" s="1155"/>
      <c r="I279" s="1324"/>
      <c r="J279" s="355"/>
      <c r="K279" s="8"/>
      <c r="N279" s="770"/>
      <c r="O279" s="1787"/>
      <c r="P279" s="1788"/>
      <c r="Q279" s="1789"/>
      <c r="R279" s="771"/>
    </row>
    <row r="280" spans="2:18" ht="15" customHeight="1" x14ac:dyDescent="0.25">
      <c r="C280" s="1577" t="s">
        <v>3043</v>
      </c>
      <c r="D280" s="1577"/>
      <c r="E280" s="1577"/>
      <c r="F280" s="1577"/>
      <c r="G280" s="1577"/>
      <c r="H280" s="1577"/>
      <c r="I280" s="1579"/>
      <c r="J280" s="355"/>
      <c r="K280" s="8"/>
      <c r="N280" s="770"/>
      <c r="O280" s="1790"/>
      <c r="P280" s="1791"/>
      <c r="Q280" s="1792"/>
      <c r="R280" s="771"/>
    </row>
    <row r="281" spans="2:18" ht="15" customHeight="1" x14ac:dyDescent="0.25">
      <c r="C281" s="531"/>
      <c r="D281" s="8"/>
      <c r="E281" s="8"/>
      <c r="F281" s="8"/>
      <c r="G281" s="8"/>
      <c r="H281" s="8"/>
      <c r="I281" s="8"/>
      <c r="J281" s="8"/>
      <c r="N281" s="770"/>
      <c r="O281" s="1790"/>
      <c r="P281" s="1791"/>
      <c r="Q281" s="1792"/>
      <c r="R281" s="771"/>
    </row>
    <row r="282" spans="2:18" ht="15" customHeight="1" x14ac:dyDescent="0.2">
      <c r="C282" s="1296" t="s">
        <v>3406</v>
      </c>
      <c r="D282" s="1296"/>
      <c r="E282" s="1296"/>
      <c r="F282" s="1296"/>
      <c r="G282" s="1296"/>
      <c r="H282" s="1296"/>
      <c r="I282" s="1296"/>
      <c r="J282" s="925" t="str">
        <f>IF(AND(J278="Yes",OR(AND(J279="Yes",J280="Yes"),J279="No")),"Yes","No")</f>
        <v>No</v>
      </c>
      <c r="N282" s="770"/>
      <c r="O282" s="1790"/>
      <c r="P282" s="1791"/>
      <c r="Q282" s="1792"/>
      <c r="R282" s="771"/>
    </row>
    <row r="283" spans="2:18" ht="15" customHeight="1" x14ac:dyDescent="0.2">
      <c r="C283" s="1296" t="s">
        <v>3407</v>
      </c>
      <c r="D283" s="1296"/>
      <c r="E283" s="1296"/>
      <c r="F283" s="1296"/>
      <c r="G283" s="1296"/>
      <c r="H283" s="1296"/>
      <c r="I283" s="1296"/>
      <c r="J283" s="775"/>
      <c r="N283" s="770"/>
      <c r="O283" s="1790"/>
      <c r="P283" s="1791"/>
      <c r="Q283" s="1792"/>
      <c r="R283" s="771"/>
    </row>
    <row r="284" spans="2:18" ht="15" customHeight="1" x14ac:dyDescent="0.25">
      <c r="C284" s="531"/>
      <c r="D284" s="8"/>
      <c r="E284" s="8"/>
      <c r="F284" s="8"/>
      <c r="G284" s="8"/>
      <c r="H284" s="8"/>
      <c r="I284" s="8"/>
      <c r="J284" s="8"/>
      <c r="N284" s="770"/>
      <c r="O284" s="1793"/>
      <c r="P284" s="1794"/>
      <c r="Q284" s="1795"/>
      <c r="R284" s="771"/>
    </row>
    <row r="285" spans="2:18" ht="15" customHeight="1" x14ac:dyDescent="0.25">
      <c r="C285" s="531"/>
      <c r="D285" s="8"/>
      <c r="E285" s="8"/>
      <c r="F285" s="8"/>
      <c r="G285" s="8"/>
      <c r="H285" s="8"/>
      <c r="I285" s="8"/>
      <c r="J285" s="8"/>
      <c r="N285" s="772"/>
      <c r="O285" s="940"/>
      <c r="P285" s="940"/>
      <c r="Q285" s="940"/>
      <c r="R285" s="774"/>
    </row>
    <row r="286" spans="2:18" ht="15" customHeight="1" x14ac:dyDescent="0.25">
      <c r="B286" s="746" t="s">
        <v>2680</v>
      </c>
      <c r="C286" s="1731" t="s">
        <v>2722</v>
      </c>
      <c r="D286" s="1731"/>
      <c r="E286" s="1731"/>
      <c r="F286" s="1731"/>
      <c r="G286" s="1731"/>
      <c r="H286" s="1731"/>
      <c r="I286" s="131"/>
      <c r="J286" s="30"/>
      <c r="K286" s="30"/>
    </row>
    <row r="287" spans="2:18" ht="15" customHeight="1" x14ac:dyDescent="0.25">
      <c r="B287" s="611"/>
      <c r="C287" s="8"/>
      <c r="D287" s="8"/>
      <c r="E287" s="8"/>
      <c r="F287" s="8"/>
      <c r="G287" s="8"/>
      <c r="H287" s="8"/>
      <c r="I287" s="8"/>
      <c r="N287" s="767"/>
      <c r="O287" s="768"/>
      <c r="P287" s="768"/>
      <c r="Q287" s="768"/>
      <c r="R287" s="769"/>
    </row>
    <row r="288" spans="2:18" ht="15" customHeight="1" x14ac:dyDescent="0.25">
      <c r="B288" s="611"/>
      <c r="C288" s="1303" t="s">
        <v>2776</v>
      </c>
      <c r="D288" s="1303"/>
      <c r="E288" s="1303"/>
      <c r="F288" s="1303"/>
      <c r="G288" s="1303"/>
      <c r="H288" s="1303"/>
      <c r="I288" s="1303"/>
      <c r="J288" s="1303"/>
      <c r="K288" s="1303"/>
      <c r="N288" s="770"/>
      <c r="O288" s="886" t="s">
        <v>2730</v>
      </c>
      <c r="P288" s="887"/>
      <c r="Q288" s="78" t="str">
        <f>IF(OR(I291="",I291="No"),"No","Yes")</f>
        <v>No</v>
      </c>
      <c r="R288" s="771"/>
    </row>
    <row r="289" spans="2:18" ht="15" customHeight="1" x14ac:dyDescent="0.25">
      <c r="B289" s="611"/>
      <c r="C289" s="1303"/>
      <c r="D289" s="1303"/>
      <c r="E289" s="1303"/>
      <c r="F289" s="1303"/>
      <c r="G289" s="1303"/>
      <c r="H289" s="1303"/>
      <c r="I289" s="1303"/>
      <c r="J289" s="1303"/>
      <c r="K289" s="1303"/>
      <c r="N289" s="770"/>
      <c r="O289" s="886" t="s">
        <v>2723</v>
      </c>
      <c r="P289" s="887"/>
      <c r="Q289" s="941"/>
      <c r="R289" s="771"/>
    </row>
    <row r="290" spans="2:18" ht="15" customHeight="1" x14ac:dyDescent="0.25">
      <c r="C290" s="531"/>
      <c r="D290" s="8"/>
      <c r="E290" s="8"/>
      <c r="F290" s="8"/>
      <c r="G290" s="8"/>
      <c r="H290" s="8"/>
      <c r="I290" s="8"/>
      <c r="J290" s="8"/>
      <c r="N290" s="770"/>
      <c r="O290" s="779"/>
      <c r="P290" s="779"/>
      <c r="Q290" s="779"/>
      <c r="R290" s="771"/>
    </row>
    <row r="291" spans="2:18" ht="15" customHeight="1" x14ac:dyDescent="0.2">
      <c r="C291" s="1296" t="s">
        <v>2725</v>
      </c>
      <c r="D291" s="1296"/>
      <c r="E291" s="1296"/>
      <c r="F291" s="1296"/>
      <c r="G291" s="1296"/>
      <c r="H291" s="1296"/>
      <c r="I291" s="1775"/>
      <c r="J291" s="203" t="str">
        <f>IF(TPSHN!$D$17="Input 2020 Census Tract","",IF(AND($D$17&lt;&gt;"Hamilton",$D$17&lt;&gt;"Montgomery",$D$17&lt;&gt;"Franklin",$D$17&lt;&gt;"Summit",$D$17&lt;&gt;"Cuyahoga"),"Yes","No"))</f>
        <v>Yes</v>
      </c>
      <c r="N291" s="770"/>
      <c r="O291" s="633" t="s">
        <v>2443</v>
      </c>
      <c r="P291" s="779"/>
      <c r="Q291" s="779"/>
      <c r="R291" s="771"/>
    </row>
    <row r="292" spans="2:18" ht="15" customHeight="1" x14ac:dyDescent="0.2">
      <c r="C292" s="1296" t="s">
        <v>2724</v>
      </c>
      <c r="D292" s="1296"/>
      <c r="E292" s="1296"/>
      <c r="F292" s="1296"/>
      <c r="G292" s="1296"/>
      <c r="H292" s="1296"/>
      <c r="I292" s="1775"/>
      <c r="J292" s="775"/>
      <c r="N292" s="770"/>
      <c r="O292" s="1899"/>
      <c r="P292" s="1900"/>
      <c r="Q292" s="1901"/>
      <c r="R292" s="771"/>
    </row>
    <row r="293" spans="2:18" ht="15" customHeight="1" x14ac:dyDescent="0.2">
      <c r="C293" s="957"/>
      <c r="D293" s="957"/>
      <c r="E293" s="957"/>
      <c r="F293" s="957"/>
      <c r="G293" s="957"/>
      <c r="H293" s="957"/>
      <c r="I293" s="957"/>
      <c r="J293" s="976"/>
      <c r="N293" s="770"/>
      <c r="O293" s="1902"/>
      <c r="P293" s="1903"/>
      <c r="Q293" s="1904"/>
      <c r="R293" s="771"/>
    </row>
    <row r="294" spans="2:18" ht="15" customHeight="1" x14ac:dyDescent="0.25">
      <c r="C294" s="531"/>
      <c r="D294" s="8"/>
      <c r="E294" s="8"/>
      <c r="F294" s="8"/>
      <c r="G294" s="8"/>
      <c r="H294" s="8"/>
      <c r="I294" s="8"/>
      <c r="J294" s="8"/>
      <c r="N294" s="770"/>
      <c r="O294" s="1905"/>
      <c r="P294" s="1906"/>
      <c r="Q294" s="1907"/>
      <c r="R294" s="771"/>
    </row>
    <row r="295" spans="2:18" ht="15" customHeight="1" x14ac:dyDescent="0.25">
      <c r="C295" s="531"/>
      <c r="D295" s="8"/>
      <c r="E295" s="8"/>
      <c r="F295" s="8"/>
      <c r="G295" s="8"/>
      <c r="H295" s="8"/>
      <c r="I295" s="8"/>
      <c r="J295" s="8"/>
      <c r="N295" s="772"/>
      <c r="O295" s="773"/>
      <c r="P295" s="773"/>
      <c r="Q295" s="773"/>
      <c r="R295" s="774"/>
    </row>
    <row r="296" spans="2:18" ht="15" customHeight="1" x14ac:dyDescent="0.2">
      <c r="B296" s="1748" t="s">
        <v>2431</v>
      </c>
      <c r="C296" s="1748"/>
      <c r="D296" s="1748"/>
      <c r="E296" s="1748"/>
      <c r="F296" s="1748"/>
      <c r="G296" s="1748"/>
      <c r="H296" s="1748"/>
      <c r="I296" s="1748"/>
      <c r="J296" s="1748"/>
    </row>
    <row r="297" spans="2:18" ht="3" customHeight="1" x14ac:dyDescent="0.2">
      <c r="B297" s="1749"/>
      <c r="C297" s="1749"/>
      <c r="D297" s="1749"/>
      <c r="E297" s="1749"/>
      <c r="F297" s="1749"/>
      <c r="G297" s="1749"/>
      <c r="H297" s="1749"/>
      <c r="I297" s="1749"/>
      <c r="J297" s="1749"/>
      <c r="K297" s="1749"/>
      <c r="L297" s="1749"/>
    </row>
    <row r="298" spans="2:18" ht="15" customHeight="1" x14ac:dyDescent="0.25">
      <c r="B298" s="531"/>
      <c r="C298" s="8"/>
      <c r="D298" s="8"/>
      <c r="E298" s="8"/>
      <c r="F298" s="8"/>
      <c r="G298" s="8"/>
      <c r="H298" s="8"/>
      <c r="I298" s="8"/>
    </row>
    <row r="299" spans="2:18" ht="15" customHeight="1" x14ac:dyDescent="0.25">
      <c r="B299" s="614"/>
      <c r="C299" s="615"/>
      <c r="D299" s="616"/>
      <c r="E299" s="616"/>
      <c r="F299" s="616"/>
      <c r="G299" s="616"/>
      <c r="H299" s="616"/>
      <c r="I299" s="616"/>
      <c r="J299" s="616"/>
      <c r="K299" s="617"/>
      <c r="L299" s="618"/>
    </row>
    <row r="300" spans="2:18" ht="15" customHeight="1" x14ac:dyDescent="0.2">
      <c r="B300" s="619"/>
      <c r="C300" s="1856" t="s">
        <v>3389</v>
      </c>
      <c r="D300" s="1856"/>
      <c r="E300" s="1856"/>
      <c r="F300" s="1856"/>
      <c r="G300" s="1856"/>
      <c r="H300" s="1856"/>
      <c r="I300" s="1856"/>
      <c r="J300" s="1856"/>
      <c r="K300" s="1856"/>
      <c r="L300" s="622"/>
    </row>
    <row r="301" spans="2:18" ht="15" customHeight="1" x14ac:dyDescent="0.2">
      <c r="B301" s="619"/>
      <c r="C301" s="621"/>
      <c r="D301" s="621"/>
      <c r="E301" s="620"/>
      <c r="F301" s="620"/>
      <c r="G301" s="620"/>
      <c r="H301" s="620"/>
      <c r="I301" s="620"/>
      <c r="J301" s="129"/>
      <c r="K301" s="129"/>
      <c r="L301" s="622"/>
    </row>
    <row r="302" spans="2:18" ht="15" customHeight="1" x14ac:dyDescent="0.2">
      <c r="B302" s="619"/>
      <c r="C302" s="1180" t="s">
        <v>2432</v>
      </c>
      <c r="D302" s="1180"/>
      <c r="E302" s="1180"/>
      <c r="F302" s="1180" t="s">
        <v>2433</v>
      </c>
      <c r="G302" s="1180"/>
      <c r="H302" s="1180"/>
      <c r="I302" s="1004" t="s">
        <v>2434</v>
      </c>
      <c r="J302" s="1004" t="s">
        <v>2435</v>
      </c>
      <c r="K302" s="1004" t="s">
        <v>301</v>
      </c>
      <c r="L302" s="622"/>
    </row>
    <row r="303" spans="2:18" ht="15" customHeight="1" x14ac:dyDescent="0.2">
      <c r="B303" s="619"/>
      <c r="C303" s="1150" t="str">
        <f>IF($D$22="General Occupancy", "Neighborhood Opportunity General Occupancy Index","Neighborhood Opportunity Senior Index")</f>
        <v>Neighborhood Opportunity Senior Index</v>
      </c>
      <c r="D303" s="1150"/>
      <c r="E303" s="1150"/>
      <c r="F303" s="1761">
        <v>40</v>
      </c>
      <c r="G303" s="1761"/>
      <c r="H303" s="1761"/>
      <c r="I303" s="920">
        <f>K324</f>
        <v>0</v>
      </c>
      <c r="J303" s="920">
        <f>Q323</f>
        <v>0</v>
      </c>
      <c r="K303" s="920">
        <f t="shared" ref="K303:K306" si="0">IFERROR(I303-J303,"")</f>
        <v>0</v>
      </c>
      <c r="L303" s="622"/>
    </row>
    <row r="304" spans="2:18" ht="15" customHeight="1" x14ac:dyDescent="0.2">
      <c r="B304" s="619"/>
      <c r="C304" s="1130" t="s">
        <v>2780</v>
      </c>
      <c r="D304" s="1131"/>
      <c r="E304" s="1132"/>
      <c r="F304" s="1784">
        <v>35</v>
      </c>
      <c r="G304" s="1785"/>
      <c r="H304" s="1786"/>
      <c r="I304" s="920">
        <f>K356</f>
        <v>0</v>
      </c>
      <c r="J304" s="920">
        <f>Q355</f>
        <v>0</v>
      </c>
      <c r="K304" s="920">
        <f t="shared" si="0"/>
        <v>0</v>
      </c>
      <c r="L304" s="622"/>
    </row>
    <row r="305" spans="2:18" ht="15" customHeight="1" thickBot="1" x14ac:dyDescent="0.25">
      <c r="B305" s="619"/>
      <c r="C305" s="1779" t="s">
        <v>2681</v>
      </c>
      <c r="D305" s="1779"/>
      <c r="E305" s="1779"/>
      <c r="F305" s="1780">
        <v>25</v>
      </c>
      <c r="G305" s="1780"/>
      <c r="H305" s="1780"/>
      <c r="I305" s="921">
        <f>K375</f>
        <v>0</v>
      </c>
      <c r="J305" s="921">
        <f>Q374</f>
        <v>0</v>
      </c>
      <c r="K305" s="921">
        <f t="shared" si="0"/>
        <v>0</v>
      </c>
      <c r="L305" s="622"/>
    </row>
    <row r="306" spans="2:18" ht="15" customHeight="1" thickTop="1" x14ac:dyDescent="0.2">
      <c r="B306" s="619"/>
      <c r="C306" s="1781" t="s">
        <v>2436</v>
      </c>
      <c r="D306" s="1781"/>
      <c r="E306" s="1781"/>
      <c r="F306" s="1782">
        <f>SUM(F303:H305)</f>
        <v>100</v>
      </c>
      <c r="G306" s="1782"/>
      <c r="H306" s="1782"/>
      <c r="I306" s="922">
        <f>SUM(I303:I305)</f>
        <v>0</v>
      </c>
      <c r="J306" s="922">
        <f>SUM(J303:J305)</f>
        <v>0</v>
      </c>
      <c r="K306" s="922">
        <f t="shared" si="0"/>
        <v>0</v>
      </c>
      <c r="L306" s="622"/>
    </row>
    <row r="307" spans="2:18" ht="15" customHeight="1" x14ac:dyDescent="0.2">
      <c r="B307" s="619"/>
      <c r="C307" s="94"/>
      <c r="D307" s="94"/>
      <c r="E307" s="94"/>
      <c r="F307" s="94"/>
      <c r="G307" s="94"/>
      <c r="H307" s="94"/>
      <c r="L307" s="622"/>
    </row>
    <row r="308" spans="2:18" ht="15" customHeight="1" x14ac:dyDescent="0.2">
      <c r="B308" s="619"/>
      <c r="C308" s="1231" t="s">
        <v>2437</v>
      </c>
      <c r="D308" s="1231"/>
      <c r="E308" s="1231"/>
      <c r="F308" s="1231" t="s">
        <v>2478</v>
      </c>
      <c r="G308" s="1231"/>
      <c r="H308" s="1231"/>
      <c r="I308" s="1031" t="s">
        <v>2438</v>
      </c>
      <c r="L308" s="622"/>
    </row>
    <row r="309" spans="2:18" ht="15" customHeight="1" x14ac:dyDescent="0.2">
      <c r="B309" s="619"/>
      <c r="C309" s="1234" t="s">
        <v>3074</v>
      </c>
      <c r="D309" s="1234"/>
      <c r="E309" s="1234"/>
      <c r="F309" s="1796">
        <f>I391</f>
        <v>0</v>
      </c>
      <c r="G309" s="1796"/>
      <c r="H309" s="1796"/>
      <c r="I309" s="89">
        <f>Q383</f>
        <v>0</v>
      </c>
      <c r="J309" s="623"/>
      <c r="K309" s="623"/>
      <c r="L309" s="622"/>
    </row>
    <row r="310" spans="2:18" ht="15" customHeight="1" x14ac:dyDescent="0.2">
      <c r="B310" s="619"/>
      <c r="C310" s="1234" t="s">
        <v>3075</v>
      </c>
      <c r="D310" s="1234"/>
      <c r="E310" s="1234"/>
      <c r="F310" s="1796">
        <f>Revenue!C280</f>
        <v>0</v>
      </c>
      <c r="G310" s="1796"/>
      <c r="H310" s="1796"/>
      <c r="I310" s="89">
        <f t="shared" ref="I310:I314" si="1">Q384</f>
        <v>0</v>
      </c>
      <c r="J310" s="623"/>
      <c r="K310" s="623"/>
      <c r="L310" s="622"/>
    </row>
    <row r="311" spans="2:18" ht="15" customHeight="1" x14ac:dyDescent="0.2">
      <c r="B311" s="619"/>
      <c r="C311" s="1168" t="s">
        <v>3076</v>
      </c>
      <c r="D311" s="1169"/>
      <c r="E311" s="1170"/>
      <c r="F311" s="1763">
        <f>I395</f>
        <v>0</v>
      </c>
      <c r="G311" s="1763"/>
      <c r="H311" s="1763"/>
      <c r="I311" s="893">
        <f t="shared" si="1"/>
        <v>0</v>
      </c>
      <c r="J311" s="623"/>
      <c r="K311" s="623"/>
      <c r="L311" s="622"/>
    </row>
    <row r="312" spans="2:18" ht="15" customHeight="1" x14ac:dyDescent="0.2">
      <c r="B312" s="619"/>
      <c r="C312" s="1168" t="s">
        <v>3077</v>
      </c>
      <c r="D312" s="1169"/>
      <c r="E312" s="1170"/>
      <c r="F312" s="1763">
        <f>I396</f>
        <v>0</v>
      </c>
      <c r="G312" s="1763"/>
      <c r="H312" s="1763"/>
      <c r="I312" s="893">
        <f t="shared" si="1"/>
        <v>0</v>
      </c>
      <c r="J312" s="623"/>
      <c r="K312" s="623"/>
      <c r="L312" s="622"/>
    </row>
    <row r="313" spans="2:18" ht="15" customHeight="1" x14ac:dyDescent="0.2">
      <c r="B313" s="619"/>
      <c r="C313" s="1168" t="s">
        <v>3078</v>
      </c>
      <c r="D313" s="1169"/>
      <c r="E313" s="1170"/>
      <c r="F313" s="1763">
        <f>I397</f>
        <v>0</v>
      </c>
      <c r="G313" s="1763"/>
      <c r="H313" s="1763"/>
      <c r="I313" s="893">
        <f t="shared" si="1"/>
        <v>0</v>
      </c>
      <c r="J313" s="623"/>
      <c r="K313" s="623"/>
      <c r="L313" s="622"/>
    </row>
    <row r="314" spans="2:18" ht="15" customHeight="1" x14ac:dyDescent="0.2">
      <c r="B314" s="619"/>
      <c r="C314" s="1168" t="s">
        <v>3079</v>
      </c>
      <c r="D314" s="1169"/>
      <c r="E314" s="1170"/>
      <c r="F314" s="1762">
        <f>I398</f>
        <v>0</v>
      </c>
      <c r="G314" s="1762"/>
      <c r="H314" s="1762"/>
      <c r="I314" s="188">
        <f t="shared" si="1"/>
        <v>0</v>
      </c>
      <c r="J314" s="623"/>
      <c r="K314" s="623"/>
      <c r="L314" s="622"/>
    </row>
    <row r="315" spans="2:18" ht="15" customHeight="1" x14ac:dyDescent="0.2">
      <c r="B315" s="619"/>
      <c r="C315" s="1168" t="s">
        <v>3080</v>
      </c>
      <c r="D315" s="1169"/>
      <c r="E315" s="1170"/>
      <c r="F315" s="1798"/>
      <c r="G315" s="1799"/>
      <c r="H315" s="1800"/>
      <c r="I315" s="89">
        <f>Q389</f>
        <v>0</v>
      </c>
      <c r="J315" s="623"/>
      <c r="K315" s="623"/>
      <c r="L315" s="622"/>
    </row>
    <row r="316" spans="2:18" ht="15" customHeight="1" x14ac:dyDescent="0.2">
      <c r="B316" s="624"/>
      <c r="C316" s="625"/>
      <c r="D316" s="625"/>
      <c r="E316" s="592"/>
      <c r="F316" s="626"/>
      <c r="G316" s="626"/>
      <c r="H316" s="626"/>
      <c r="I316" s="593"/>
      <c r="J316" s="594"/>
      <c r="K316" s="594"/>
      <c r="L316" s="627"/>
    </row>
    <row r="317" spans="2:18" ht="15" customHeight="1" x14ac:dyDescent="0.2"/>
    <row r="318" spans="2:18" ht="15" customHeight="1" x14ac:dyDescent="0.2"/>
    <row r="319" spans="2:18" ht="15" customHeight="1" x14ac:dyDescent="0.2">
      <c r="B319" s="1748" t="s">
        <v>2439</v>
      </c>
      <c r="C319" s="1748"/>
      <c r="D319" s="1748"/>
      <c r="E319" s="1748"/>
      <c r="F319" s="1748"/>
      <c r="G319" s="1748"/>
      <c r="H319" s="1748"/>
      <c r="I319" s="1748"/>
      <c r="J319" s="1748"/>
      <c r="K319" s="1748"/>
      <c r="L319" s="1748"/>
      <c r="M319" s="609"/>
      <c r="N319" s="1748" t="s">
        <v>2440</v>
      </c>
      <c r="O319" s="1748"/>
      <c r="P319" s="1748"/>
      <c r="Q319" s="1748"/>
      <c r="R319" s="1748"/>
    </row>
    <row r="320" spans="2:18" ht="3" customHeight="1" x14ac:dyDescent="0.2">
      <c r="B320" s="1749"/>
      <c r="C320" s="1749"/>
      <c r="D320" s="1749"/>
      <c r="E320" s="1749"/>
      <c r="F320" s="1749"/>
      <c r="G320" s="1749"/>
      <c r="H320" s="1749"/>
      <c r="I320" s="1749"/>
      <c r="J320" s="1749"/>
      <c r="K320" s="1749"/>
      <c r="L320" s="1749"/>
      <c r="N320" s="1749"/>
      <c r="O320" s="1749"/>
      <c r="P320" s="1749"/>
      <c r="Q320" s="1749"/>
      <c r="R320" s="1749"/>
    </row>
    <row r="321" spans="2:18" ht="15" customHeight="1" x14ac:dyDescent="0.25">
      <c r="C321" s="531"/>
      <c r="D321" s="8"/>
      <c r="E321" s="8"/>
      <c r="F321" s="8"/>
      <c r="G321" s="8"/>
      <c r="H321" s="8"/>
      <c r="I321" s="8"/>
      <c r="J321" s="8"/>
      <c r="N321" s="1178"/>
      <c r="O321" s="1178"/>
    </row>
    <row r="322" spans="2:18" ht="15" customHeight="1" x14ac:dyDescent="0.25">
      <c r="B322" s="749"/>
      <c r="C322" s="750"/>
      <c r="D322" s="751"/>
      <c r="E322" s="751"/>
      <c r="F322" s="751"/>
      <c r="G322" s="751"/>
      <c r="H322" s="751"/>
      <c r="I322" s="751"/>
      <c r="J322" s="751"/>
      <c r="K322" s="762"/>
      <c r="L322" s="763"/>
      <c r="N322" s="767"/>
      <c r="O322" s="768"/>
      <c r="P322" s="768"/>
      <c r="Q322" s="768"/>
      <c r="R322" s="769"/>
    </row>
    <row r="323" spans="2:18" ht="15" customHeight="1" x14ac:dyDescent="0.2">
      <c r="B323" s="752"/>
      <c r="C323" s="1801" t="s">
        <v>3285</v>
      </c>
      <c r="D323" s="1801"/>
      <c r="E323" s="1801"/>
      <c r="F323" s="1801"/>
      <c r="G323" s="1801"/>
      <c r="H323" s="1801"/>
      <c r="I323" s="1802" t="s">
        <v>2441</v>
      </c>
      <c r="J323" s="1802"/>
      <c r="K323" s="893" t="str">
        <f>F351</f>
        <v/>
      </c>
      <c r="L323" s="757"/>
      <c r="N323" s="770"/>
      <c r="O323" s="1776" t="s">
        <v>3081</v>
      </c>
      <c r="P323" s="1776"/>
      <c r="Q323" s="894"/>
      <c r="R323" s="771"/>
    </row>
    <row r="324" spans="2:18" ht="15" customHeight="1" x14ac:dyDescent="0.2">
      <c r="B324" s="752"/>
      <c r="C324" s="753"/>
      <c r="D324" s="753"/>
      <c r="E324" s="754"/>
      <c r="F324" s="754"/>
      <c r="G324" s="754"/>
      <c r="H324" s="754"/>
      <c r="I324" s="1802" t="s">
        <v>2442</v>
      </c>
      <c r="J324" s="1802"/>
      <c r="K324" s="919"/>
      <c r="L324" s="757"/>
      <c r="N324" s="770"/>
      <c r="O324" s="633"/>
      <c r="P324" s="633"/>
      <c r="Q324" s="633"/>
      <c r="R324" s="771"/>
    </row>
    <row r="325" spans="2:18" ht="15" customHeight="1" x14ac:dyDescent="0.2">
      <c r="B325" s="752"/>
      <c r="C325" s="755" t="s">
        <v>3086</v>
      </c>
      <c r="D325" s="766">
        <v>40</v>
      </c>
      <c r="E325" s="755"/>
      <c r="F325" s="755"/>
      <c r="G325" s="755"/>
      <c r="H325" s="755"/>
      <c r="I325" s="755"/>
      <c r="J325" s="756"/>
      <c r="K325" s="756"/>
      <c r="L325" s="757"/>
      <c r="N325" s="770"/>
      <c r="O325" s="633" t="s">
        <v>2443</v>
      </c>
      <c r="P325" s="633"/>
      <c r="Q325" s="633"/>
      <c r="R325" s="771"/>
    </row>
    <row r="326" spans="2:18" ht="15" customHeight="1" x14ac:dyDescent="0.2">
      <c r="B326" s="752"/>
      <c r="C326" s="755"/>
      <c r="D326" s="755"/>
      <c r="E326" s="755"/>
      <c r="F326" s="755"/>
      <c r="G326" s="755"/>
      <c r="H326" s="755"/>
      <c r="I326" s="755"/>
      <c r="J326" s="756"/>
      <c r="K326" s="756"/>
      <c r="L326" s="757"/>
      <c r="N326" s="770"/>
      <c r="O326" s="633"/>
      <c r="P326" s="633"/>
      <c r="Q326" s="633"/>
      <c r="R326" s="771"/>
    </row>
    <row r="327" spans="2:18" ht="15" customHeight="1" x14ac:dyDescent="0.2">
      <c r="B327" s="752"/>
      <c r="C327" s="1803" t="s">
        <v>3196</v>
      </c>
      <c r="D327" s="1803"/>
      <c r="E327" s="1803"/>
      <c r="F327" s="1803"/>
      <c r="G327" s="1803"/>
      <c r="H327" s="1803"/>
      <c r="I327" s="1803"/>
      <c r="J327" s="1803"/>
      <c r="K327" s="1803"/>
      <c r="L327" s="757"/>
      <c r="N327" s="770"/>
      <c r="O327" s="1817"/>
      <c r="P327" s="1818"/>
      <c r="Q327" s="1819"/>
      <c r="R327" s="771"/>
    </row>
    <row r="328" spans="2:18" ht="15" customHeight="1" x14ac:dyDescent="0.2">
      <c r="B328" s="752"/>
      <c r="C328" s="1803"/>
      <c r="D328" s="1803"/>
      <c r="E328" s="1803"/>
      <c r="F328" s="1803"/>
      <c r="G328" s="1803"/>
      <c r="H328" s="1803"/>
      <c r="I328" s="1803"/>
      <c r="J328" s="1803"/>
      <c r="K328" s="1803"/>
      <c r="L328" s="757"/>
      <c r="N328" s="770"/>
      <c r="O328" s="1820"/>
      <c r="P328" s="1821"/>
      <c r="Q328" s="1822"/>
      <c r="R328" s="771"/>
    </row>
    <row r="329" spans="2:18" ht="15" customHeight="1" x14ac:dyDescent="0.2">
      <c r="B329" s="752"/>
      <c r="C329" s="1803"/>
      <c r="D329" s="1803"/>
      <c r="E329" s="1803"/>
      <c r="F329" s="1803"/>
      <c r="G329" s="1803"/>
      <c r="H329" s="1803"/>
      <c r="I329" s="1803"/>
      <c r="J329" s="1803"/>
      <c r="K329" s="1803"/>
      <c r="L329" s="757"/>
      <c r="N329" s="770"/>
      <c r="O329" s="1820"/>
      <c r="P329" s="1821"/>
      <c r="Q329" s="1822"/>
      <c r="R329" s="771"/>
    </row>
    <row r="330" spans="2:18" ht="15" customHeight="1" x14ac:dyDescent="0.2">
      <c r="B330" s="752"/>
      <c r="C330" s="1803"/>
      <c r="D330" s="1803"/>
      <c r="E330" s="1803"/>
      <c r="F330" s="1803"/>
      <c r="G330" s="1803"/>
      <c r="H330" s="1803"/>
      <c r="I330" s="1803"/>
      <c r="J330" s="1803"/>
      <c r="K330" s="1803"/>
      <c r="L330" s="757"/>
      <c r="N330" s="770"/>
      <c r="O330" s="1820"/>
      <c r="P330" s="1821"/>
      <c r="Q330" s="1822"/>
      <c r="R330" s="771"/>
    </row>
    <row r="331" spans="2:18" ht="15" customHeight="1" x14ac:dyDescent="0.2">
      <c r="B331" s="752"/>
      <c r="C331" s="1803"/>
      <c r="D331" s="1803"/>
      <c r="E331" s="1803"/>
      <c r="F331" s="1803"/>
      <c r="G331" s="1803"/>
      <c r="H331" s="1803"/>
      <c r="I331" s="1803"/>
      <c r="J331" s="1803"/>
      <c r="K331" s="1803"/>
      <c r="L331" s="757"/>
      <c r="N331" s="770"/>
      <c r="O331" s="1820"/>
      <c r="P331" s="1821"/>
      <c r="Q331" s="1822"/>
      <c r="R331" s="771"/>
    </row>
    <row r="332" spans="2:18" ht="15" customHeight="1" x14ac:dyDescent="0.2">
      <c r="B332" s="752"/>
      <c r="C332" s="755"/>
      <c r="D332" s="755"/>
      <c r="E332" s="755"/>
      <c r="F332" s="755"/>
      <c r="G332" s="755"/>
      <c r="H332" s="755"/>
      <c r="I332" s="755"/>
      <c r="J332" s="756"/>
      <c r="K332" s="756"/>
      <c r="L332" s="757"/>
      <c r="N332" s="770"/>
      <c r="O332" s="1820"/>
      <c r="P332" s="1821"/>
      <c r="Q332" s="1822"/>
      <c r="R332" s="771"/>
    </row>
    <row r="333" spans="2:18" ht="15" customHeight="1" x14ac:dyDescent="0.2">
      <c r="B333" s="752"/>
      <c r="C333" s="1803" t="s">
        <v>3283</v>
      </c>
      <c r="D333" s="1803"/>
      <c r="E333" s="1803"/>
      <c r="F333" s="1803"/>
      <c r="G333" s="1803"/>
      <c r="H333" s="1803"/>
      <c r="I333" s="1803"/>
      <c r="J333" s="1803"/>
      <c r="K333" s="1803"/>
      <c r="L333" s="757"/>
      <c r="N333" s="770"/>
      <c r="O333" s="1820"/>
      <c r="P333" s="1821"/>
      <c r="Q333" s="1822"/>
      <c r="R333" s="771"/>
    </row>
    <row r="334" spans="2:18" ht="15" customHeight="1" x14ac:dyDescent="0.2">
      <c r="B334" s="752"/>
      <c r="C334" s="1803"/>
      <c r="D334" s="1803"/>
      <c r="E334" s="1803"/>
      <c r="F334" s="1803"/>
      <c r="G334" s="1803"/>
      <c r="H334" s="1803"/>
      <c r="I334" s="1803"/>
      <c r="J334" s="1803"/>
      <c r="K334" s="1803"/>
      <c r="L334" s="757"/>
      <c r="N334" s="770"/>
      <c r="O334" s="1820"/>
      <c r="P334" s="1821"/>
      <c r="Q334" s="1822"/>
      <c r="R334" s="771"/>
    </row>
    <row r="335" spans="2:18" ht="15" customHeight="1" x14ac:dyDescent="0.2">
      <c r="B335" s="752"/>
      <c r="C335" s="1803"/>
      <c r="D335" s="1803"/>
      <c r="E335" s="1803"/>
      <c r="F335" s="1803"/>
      <c r="G335" s="1803"/>
      <c r="H335" s="1803"/>
      <c r="I335" s="1803"/>
      <c r="J335" s="1803"/>
      <c r="K335" s="1803"/>
      <c r="L335" s="757"/>
      <c r="N335" s="770"/>
      <c r="O335" s="1820"/>
      <c r="P335" s="1821"/>
      <c r="Q335" s="1822"/>
      <c r="R335" s="771"/>
    </row>
    <row r="336" spans="2:18" ht="15" customHeight="1" x14ac:dyDescent="0.2">
      <c r="B336" s="752"/>
      <c r="C336" s="1803"/>
      <c r="D336" s="1803"/>
      <c r="E336" s="1803"/>
      <c r="F336" s="1803"/>
      <c r="G336" s="1803"/>
      <c r="H336" s="1803"/>
      <c r="I336" s="1803"/>
      <c r="J336" s="1803"/>
      <c r="K336" s="1803"/>
      <c r="L336" s="757"/>
      <c r="N336" s="770"/>
      <c r="O336" s="1820"/>
      <c r="P336" s="1821"/>
      <c r="Q336" s="1822"/>
      <c r="R336" s="771"/>
    </row>
    <row r="337" spans="2:18" ht="15" customHeight="1" x14ac:dyDescent="0.2">
      <c r="B337" s="752"/>
      <c r="C337" s="755"/>
      <c r="D337" s="755"/>
      <c r="E337" s="755"/>
      <c r="F337" s="755"/>
      <c r="G337" s="755"/>
      <c r="H337" s="755"/>
      <c r="I337" s="755"/>
      <c r="J337" s="756"/>
      <c r="K337" s="756"/>
      <c r="L337" s="757"/>
      <c r="N337" s="770"/>
      <c r="O337" s="1820"/>
      <c r="P337" s="1821"/>
      <c r="Q337" s="1822"/>
      <c r="R337" s="771"/>
    </row>
    <row r="338" spans="2:18" ht="15" customHeight="1" x14ac:dyDescent="0.2">
      <c r="B338" s="752"/>
      <c r="C338" s="1803" t="s">
        <v>3284</v>
      </c>
      <c r="D338" s="1803"/>
      <c r="E338" s="1803"/>
      <c r="F338" s="1803"/>
      <c r="G338" s="1803"/>
      <c r="H338" s="1803"/>
      <c r="I338" s="1803"/>
      <c r="J338" s="1803"/>
      <c r="K338" s="1803"/>
      <c r="L338" s="757"/>
      <c r="N338" s="770"/>
      <c r="O338" s="1820"/>
      <c r="P338" s="1821"/>
      <c r="Q338" s="1822"/>
      <c r="R338" s="771"/>
    </row>
    <row r="339" spans="2:18" ht="15" customHeight="1" x14ac:dyDescent="0.2">
      <c r="B339" s="752"/>
      <c r="C339" s="1803"/>
      <c r="D339" s="1803"/>
      <c r="E339" s="1803"/>
      <c r="F339" s="1803"/>
      <c r="G339" s="1803"/>
      <c r="H339" s="1803"/>
      <c r="I339" s="1803"/>
      <c r="J339" s="1803"/>
      <c r="K339" s="1803"/>
      <c r="L339" s="757"/>
      <c r="N339" s="770"/>
      <c r="O339" s="1820"/>
      <c r="P339" s="1821"/>
      <c r="Q339" s="1822"/>
      <c r="R339" s="771"/>
    </row>
    <row r="340" spans="2:18" ht="15" customHeight="1" x14ac:dyDescent="0.2">
      <c r="B340" s="752"/>
      <c r="C340" s="755"/>
      <c r="D340" s="755"/>
      <c r="E340" s="755"/>
      <c r="F340" s="755"/>
      <c r="G340" s="755"/>
      <c r="H340" s="755"/>
      <c r="I340" s="755"/>
      <c r="J340" s="756"/>
      <c r="K340" s="756"/>
      <c r="L340" s="757"/>
      <c r="N340" s="770"/>
      <c r="O340" s="1820"/>
      <c r="P340" s="1821"/>
      <c r="Q340" s="1822"/>
      <c r="R340" s="771"/>
    </row>
    <row r="341" spans="2:18" ht="15" customHeight="1" x14ac:dyDescent="0.2">
      <c r="B341" s="752"/>
      <c r="C341" s="1826" t="s">
        <v>3084</v>
      </c>
      <c r="D341" s="1826"/>
      <c r="E341" s="1826"/>
      <c r="F341" s="1826"/>
      <c r="G341" s="1826"/>
      <c r="H341" s="1826"/>
      <c r="I341" s="1826"/>
      <c r="J341" s="1826"/>
      <c r="K341" s="1826"/>
      <c r="L341" s="757"/>
      <c r="N341" s="770"/>
      <c r="O341" s="1820"/>
      <c r="P341" s="1821"/>
      <c r="Q341" s="1822"/>
      <c r="R341" s="771"/>
    </row>
    <row r="342" spans="2:18" ht="15" customHeight="1" x14ac:dyDescent="0.2">
      <c r="B342" s="752"/>
      <c r="C342" s="1826"/>
      <c r="D342" s="1826"/>
      <c r="E342" s="1826"/>
      <c r="F342" s="1826"/>
      <c r="G342" s="1826"/>
      <c r="H342" s="1826"/>
      <c r="I342" s="1826"/>
      <c r="J342" s="1826"/>
      <c r="K342" s="1826"/>
      <c r="L342" s="757"/>
      <c r="N342" s="770"/>
      <c r="O342" s="1820"/>
      <c r="P342" s="1821"/>
      <c r="Q342" s="1822"/>
      <c r="R342" s="771"/>
    </row>
    <row r="343" spans="2:18" ht="15" customHeight="1" x14ac:dyDescent="0.2">
      <c r="B343" s="752"/>
      <c r="C343" s="1826"/>
      <c r="D343" s="1826"/>
      <c r="E343" s="1826"/>
      <c r="F343" s="1826"/>
      <c r="G343" s="1826"/>
      <c r="H343" s="1826"/>
      <c r="I343" s="1826"/>
      <c r="J343" s="1826"/>
      <c r="K343" s="1826"/>
      <c r="L343" s="757"/>
      <c r="N343" s="770"/>
      <c r="O343" s="1820"/>
      <c r="P343" s="1821"/>
      <c r="Q343" s="1822"/>
      <c r="R343" s="771"/>
    </row>
    <row r="344" spans="2:18" ht="15" customHeight="1" x14ac:dyDescent="0.2">
      <c r="B344" s="758"/>
      <c r="C344" s="759"/>
      <c r="D344" s="759"/>
      <c r="E344" s="759"/>
      <c r="F344" s="759"/>
      <c r="G344" s="759"/>
      <c r="H344" s="759"/>
      <c r="I344" s="759"/>
      <c r="J344" s="760"/>
      <c r="K344" s="760"/>
      <c r="L344" s="761"/>
      <c r="N344" s="770"/>
      <c r="O344" s="1820"/>
      <c r="P344" s="1821"/>
      <c r="Q344" s="1822"/>
      <c r="R344" s="771"/>
    </row>
    <row r="345" spans="2:18" ht="15" customHeight="1" x14ac:dyDescent="0.2">
      <c r="B345" s="619"/>
      <c r="C345" s="635"/>
      <c r="D345" s="635"/>
      <c r="E345" s="635"/>
      <c r="F345" s="635"/>
      <c r="G345" s="635"/>
      <c r="H345" s="635"/>
      <c r="I345" s="635"/>
      <c r="L345" s="622"/>
      <c r="N345" s="770"/>
      <c r="O345" s="1820"/>
      <c r="P345" s="1821"/>
      <c r="Q345" s="1822"/>
      <c r="R345" s="771"/>
    </row>
    <row r="346" spans="2:18" ht="15" customHeight="1" x14ac:dyDescent="0.2">
      <c r="B346" s="619"/>
      <c r="C346" s="1175" t="s">
        <v>3087</v>
      </c>
      <c r="D346" s="1175"/>
      <c r="E346" s="1176"/>
      <c r="F346" s="1816" t="str">
        <f>IF(Details!$E$13="","",Details!$E$13)</f>
        <v/>
      </c>
      <c r="G346" s="1816"/>
      <c r="H346" s="1816"/>
      <c r="I346" s="1816"/>
      <c r="J346" s="747"/>
      <c r="K346" s="748"/>
      <c r="L346" s="622"/>
      <c r="N346" s="770"/>
      <c r="O346" s="1820"/>
      <c r="P346" s="1821"/>
      <c r="Q346" s="1822"/>
      <c r="R346" s="771"/>
    </row>
    <row r="347" spans="2:18" ht="15" customHeight="1" x14ac:dyDescent="0.2">
      <c r="B347" s="619"/>
      <c r="C347" s="1175" t="s">
        <v>3088</v>
      </c>
      <c r="D347" s="1175"/>
      <c r="E347" s="1176"/>
      <c r="F347" s="1816" t="str">
        <f>IF(F346="","",CONCATENATE("Tract ",VLOOKUP(F346,Data!$B$11:$D$3178,2,FALSE),", ",VLOOKUP(F346,Data!$B$11:$D$3178,3,FALSE)," County"))</f>
        <v/>
      </c>
      <c r="G347" s="1816"/>
      <c r="H347" s="1816"/>
      <c r="I347" s="1816"/>
      <c r="J347" s="747"/>
      <c r="K347" s="748"/>
      <c r="L347" s="622"/>
      <c r="N347" s="770"/>
      <c r="O347" s="1820"/>
      <c r="P347" s="1821"/>
      <c r="Q347" s="1822"/>
      <c r="R347" s="771"/>
    </row>
    <row r="348" spans="2:18" ht="15" customHeight="1" x14ac:dyDescent="0.2">
      <c r="B348" s="619"/>
      <c r="C348" s="1175" t="s">
        <v>3286</v>
      </c>
      <c r="D348" s="1175"/>
      <c r="E348" s="1176"/>
      <c r="F348" s="1202" t="str">
        <f>IF(Details!$J$15="","",Details!$J$15)</f>
        <v/>
      </c>
      <c r="G348" s="1887"/>
      <c r="H348" s="1887"/>
      <c r="I348" s="1203"/>
      <c r="J348" s="747"/>
      <c r="K348" s="748"/>
      <c r="L348" s="622"/>
      <c r="N348" s="770"/>
      <c r="O348" s="1820"/>
      <c r="P348" s="1821"/>
      <c r="Q348" s="1822"/>
      <c r="R348" s="771"/>
    </row>
    <row r="349" spans="2:18" ht="15" customHeight="1" x14ac:dyDescent="0.2">
      <c r="B349" s="619"/>
      <c r="C349" s="1175" t="s">
        <v>3287</v>
      </c>
      <c r="D349" s="1175"/>
      <c r="E349" s="1176"/>
      <c r="F349" s="1867" t="str">
        <f>IF(F348="","",IF(F348="General Occupancy",IFERROR(VLOOKUP(F346,Data!$B$11:$J$3178,6,FALSE),"Enter Census Tract"),"N/A"))</f>
        <v/>
      </c>
      <c r="G349" s="1868"/>
      <c r="H349" s="1868"/>
      <c r="I349" s="1869"/>
      <c r="J349" s="747"/>
      <c r="K349" s="748"/>
      <c r="L349" s="622"/>
      <c r="N349" s="770"/>
      <c r="O349" s="1820"/>
      <c r="P349" s="1821"/>
      <c r="Q349" s="1822"/>
      <c r="R349" s="771"/>
    </row>
    <row r="350" spans="2:18" ht="15" customHeight="1" x14ac:dyDescent="0.2">
      <c r="B350" s="619"/>
      <c r="C350" s="1175" t="s">
        <v>3288</v>
      </c>
      <c r="D350" s="1175"/>
      <c r="E350" s="1176"/>
      <c r="F350" s="1867" t="str">
        <f>IF(F348="","",IF(LEFT(F348,6)="Senior",IFERROR(VLOOKUP(F346,Data!$B$11:$J$3178,7,FALSE),"Enter Census Tract"),"N/A"))</f>
        <v/>
      </c>
      <c r="G350" s="1868"/>
      <c r="H350" s="1868"/>
      <c r="I350" s="1869"/>
      <c r="J350" s="747"/>
      <c r="K350" s="748"/>
      <c r="L350" s="622"/>
      <c r="N350" s="770"/>
      <c r="O350" s="1820"/>
      <c r="P350" s="1821"/>
      <c r="Q350" s="1822"/>
      <c r="R350" s="771"/>
    </row>
    <row r="351" spans="2:18" ht="15" customHeight="1" x14ac:dyDescent="0.2">
      <c r="B351" s="619"/>
      <c r="C351" s="1175" t="s">
        <v>3089</v>
      </c>
      <c r="D351" s="1175"/>
      <c r="E351" s="1176"/>
      <c r="F351" s="1797" t="str">
        <f>IF(AND(F349="",F350=""),"",IF(AND(F349&gt;0,F350="N/A"),F349*0.4,F350*0.4))</f>
        <v/>
      </c>
      <c r="G351" s="1797"/>
      <c r="H351" s="1797"/>
      <c r="I351" s="1797"/>
      <c r="J351" s="747"/>
      <c r="K351" s="748"/>
      <c r="L351" s="622"/>
      <c r="N351" s="770"/>
      <c r="O351" s="1823"/>
      <c r="P351" s="1824"/>
      <c r="Q351" s="1825"/>
      <c r="R351" s="771"/>
    </row>
    <row r="352" spans="2:18" ht="15" customHeight="1" x14ac:dyDescent="0.25">
      <c r="B352" s="624"/>
      <c r="C352" s="636"/>
      <c r="D352" s="637"/>
      <c r="E352" s="637"/>
      <c r="F352" s="637"/>
      <c r="G352" s="637"/>
      <c r="H352" s="637"/>
      <c r="I352" s="637"/>
      <c r="J352" s="637"/>
      <c r="K352" s="628"/>
      <c r="L352" s="627"/>
      <c r="N352" s="772"/>
      <c r="O352" s="773"/>
      <c r="P352" s="773"/>
      <c r="Q352" s="773"/>
      <c r="R352" s="774"/>
    </row>
    <row r="353" spans="2:18" ht="15" customHeight="1" x14ac:dyDescent="0.25">
      <c r="C353" s="531"/>
      <c r="D353" s="8"/>
      <c r="E353" s="8"/>
      <c r="F353" s="8"/>
      <c r="G353" s="8"/>
      <c r="H353" s="8"/>
      <c r="I353" s="8"/>
      <c r="J353" s="8"/>
    </row>
    <row r="354" spans="2:18" ht="15" customHeight="1" x14ac:dyDescent="0.25">
      <c r="B354" s="661"/>
      <c r="C354" s="662"/>
      <c r="D354" s="663"/>
      <c r="E354" s="663"/>
      <c r="F354" s="663"/>
      <c r="G354" s="663"/>
      <c r="H354" s="663"/>
      <c r="I354" s="663"/>
      <c r="J354" s="663"/>
      <c r="K354" s="664"/>
      <c r="L354" s="665"/>
      <c r="N354" s="767"/>
      <c r="O354" s="768"/>
      <c r="P354" s="768"/>
      <c r="Q354" s="768"/>
      <c r="R354" s="769"/>
    </row>
    <row r="355" spans="2:18" ht="15" customHeight="1" x14ac:dyDescent="0.2">
      <c r="B355" s="666"/>
      <c r="C355" s="1804" t="s">
        <v>3104</v>
      </c>
      <c r="D355" s="1804"/>
      <c r="E355" s="1804"/>
      <c r="F355" s="674"/>
      <c r="G355" s="674"/>
      <c r="H355" s="674"/>
      <c r="I355" s="1805" t="s">
        <v>2441</v>
      </c>
      <c r="J355" s="1805"/>
      <c r="K355" s="893" t="str">
        <f>F370</f>
        <v/>
      </c>
      <c r="L355" s="672"/>
      <c r="N355" s="770"/>
      <c r="O355" s="1776" t="s">
        <v>3092</v>
      </c>
      <c r="P355" s="1776"/>
      <c r="Q355" s="917"/>
      <c r="R355" s="771"/>
    </row>
    <row r="356" spans="2:18" ht="15" customHeight="1" x14ac:dyDescent="0.2">
      <c r="B356" s="666"/>
      <c r="C356" s="675"/>
      <c r="D356" s="674"/>
      <c r="E356" s="674"/>
      <c r="F356" s="674"/>
      <c r="G356" s="674"/>
      <c r="H356" s="674"/>
      <c r="I356" s="1805" t="s">
        <v>2442</v>
      </c>
      <c r="J356" s="1805"/>
      <c r="K356" s="917"/>
      <c r="L356" s="672"/>
      <c r="N356" s="770"/>
      <c r="O356" s="633"/>
      <c r="P356" s="633"/>
      <c r="Q356" s="633"/>
      <c r="R356" s="771"/>
    </row>
    <row r="357" spans="2:18" ht="15" customHeight="1" x14ac:dyDescent="0.25">
      <c r="B357" s="666"/>
      <c r="C357" s="755" t="s">
        <v>3086</v>
      </c>
      <c r="D357" s="766">
        <v>35</v>
      </c>
      <c r="E357" s="667"/>
      <c r="F357" s="667"/>
      <c r="G357" s="667"/>
      <c r="H357" s="667"/>
      <c r="I357" s="667"/>
      <c r="J357" s="676"/>
      <c r="K357" s="668"/>
      <c r="L357" s="672"/>
      <c r="N357" s="770"/>
      <c r="O357" s="633" t="s">
        <v>2443</v>
      </c>
      <c r="P357" s="633"/>
      <c r="Q357" s="633"/>
      <c r="R357" s="771"/>
    </row>
    <row r="358" spans="2:18" ht="15" customHeight="1" x14ac:dyDescent="0.25">
      <c r="B358" s="666"/>
      <c r="C358" s="667"/>
      <c r="D358" s="667"/>
      <c r="E358" s="667"/>
      <c r="F358" s="667"/>
      <c r="G358" s="667"/>
      <c r="H358" s="667"/>
      <c r="I358" s="667"/>
      <c r="J358" s="676"/>
      <c r="K358" s="668"/>
      <c r="L358" s="672"/>
      <c r="N358" s="770"/>
      <c r="O358" s="633"/>
      <c r="P358" s="633"/>
      <c r="Q358" s="633"/>
      <c r="R358" s="771"/>
    </row>
    <row r="359" spans="2:18" ht="15" customHeight="1" x14ac:dyDescent="0.2">
      <c r="B359" s="666"/>
      <c r="C359" s="1806" t="s">
        <v>3090</v>
      </c>
      <c r="D359" s="1806"/>
      <c r="E359" s="1806"/>
      <c r="F359" s="1806"/>
      <c r="G359" s="1806"/>
      <c r="H359" s="1806"/>
      <c r="I359" s="1806"/>
      <c r="J359" s="1806"/>
      <c r="K359" s="1806"/>
      <c r="L359" s="672"/>
      <c r="N359" s="770"/>
      <c r="O359" s="1807"/>
      <c r="P359" s="1808"/>
      <c r="Q359" s="1809"/>
      <c r="R359" s="771"/>
    </row>
    <row r="360" spans="2:18" ht="15" customHeight="1" x14ac:dyDescent="0.2">
      <c r="B360" s="666"/>
      <c r="C360" s="1806"/>
      <c r="D360" s="1806"/>
      <c r="E360" s="1806"/>
      <c r="F360" s="1806"/>
      <c r="G360" s="1806"/>
      <c r="H360" s="1806"/>
      <c r="I360" s="1806"/>
      <c r="J360" s="1806"/>
      <c r="K360" s="1806"/>
      <c r="L360" s="672"/>
      <c r="N360" s="770"/>
      <c r="O360" s="1810"/>
      <c r="P360" s="1154"/>
      <c r="Q360" s="1811"/>
      <c r="R360" s="771"/>
    </row>
    <row r="361" spans="2:18" ht="15" customHeight="1" x14ac:dyDescent="0.2">
      <c r="B361" s="666"/>
      <c r="C361" s="1806"/>
      <c r="D361" s="1806"/>
      <c r="E361" s="1806"/>
      <c r="F361" s="1806"/>
      <c r="G361" s="1806"/>
      <c r="H361" s="1806"/>
      <c r="I361" s="1806"/>
      <c r="J361" s="1806"/>
      <c r="K361" s="1806"/>
      <c r="L361" s="672"/>
      <c r="N361" s="770"/>
      <c r="O361" s="1810"/>
      <c r="P361" s="1154"/>
      <c r="Q361" s="1811"/>
      <c r="R361" s="771"/>
    </row>
    <row r="362" spans="2:18" ht="15" customHeight="1" x14ac:dyDescent="0.2">
      <c r="B362" s="666"/>
      <c r="C362" s="1806"/>
      <c r="D362" s="1806"/>
      <c r="E362" s="1806"/>
      <c r="F362" s="1806"/>
      <c r="G362" s="1806"/>
      <c r="H362" s="1806"/>
      <c r="I362" s="1806"/>
      <c r="J362" s="1806"/>
      <c r="K362" s="1806"/>
      <c r="L362" s="672"/>
      <c r="N362" s="770"/>
      <c r="O362" s="1810"/>
      <c r="P362" s="1154"/>
      <c r="Q362" s="1811"/>
      <c r="R362" s="771"/>
    </row>
    <row r="363" spans="2:18" ht="15" customHeight="1" x14ac:dyDescent="0.2">
      <c r="B363" s="666"/>
      <c r="C363" s="1815" t="s">
        <v>3091</v>
      </c>
      <c r="D363" s="1815"/>
      <c r="E363" s="1815"/>
      <c r="F363" s="1815"/>
      <c r="G363" s="1815"/>
      <c r="H363" s="1815"/>
      <c r="I363" s="1815"/>
      <c r="J363" s="1815"/>
      <c r="K363" s="1815"/>
      <c r="L363" s="672"/>
      <c r="N363" s="770"/>
      <c r="O363" s="1810"/>
      <c r="P363" s="1154"/>
      <c r="Q363" s="1811"/>
      <c r="R363" s="771"/>
    </row>
    <row r="364" spans="2:18" ht="15" customHeight="1" x14ac:dyDescent="0.2">
      <c r="B364" s="666"/>
      <c r="C364" s="1815"/>
      <c r="D364" s="1815"/>
      <c r="E364" s="1815"/>
      <c r="F364" s="1815"/>
      <c r="G364" s="1815"/>
      <c r="H364" s="1815"/>
      <c r="I364" s="1815"/>
      <c r="J364" s="1815"/>
      <c r="K364" s="1815"/>
      <c r="L364" s="672"/>
      <c r="N364" s="770"/>
      <c r="O364" s="1810"/>
      <c r="P364" s="1154"/>
      <c r="Q364" s="1811"/>
      <c r="R364" s="771"/>
    </row>
    <row r="365" spans="2:18" ht="15" customHeight="1" x14ac:dyDescent="0.25">
      <c r="B365" s="666"/>
      <c r="C365" s="895"/>
      <c r="D365" s="895"/>
      <c r="E365" s="895"/>
      <c r="F365" s="895"/>
      <c r="G365" s="895"/>
      <c r="H365" s="895"/>
      <c r="I365" s="895"/>
      <c r="J365" s="676"/>
      <c r="K365" s="668"/>
      <c r="L365" s="672"/>
      <c r="N365" s="770"/>
      <c r="O365" s="1810"/>
      <c r="P365" s="1154"/>
      <c r="Q365" s="1811"/>
      <c r="R365" s="771"/>
    </row>
    <row r="366" spans="2:18" ht="15" customHeight="1" x14ac:dyDescent="0.25">
      <c r="B366" s="896"/>
      <c r="C366" s="897"/>
      <c r="D366" s="897"/>
      <c r="E366" s="897"/>
      <c r="F366" s="897"/>
      <c r="G366" s="897"/>
      <c r="H366" s="897"/>
      <c r="I366" s="897"/>
      <c r="J366" s="898"/>
      <c r="K366" s="899"/>
      <c r="L366" s="900"/>
      <c r="N366" s="770"/>
      <c r="O366" s="1810"/>
      <c r="P366" s="1154"/>
      <c r="Q366" s="1811"/>
      <c r="R366" s="771"/>
    </row>
    <row r="367" spans="2:18" ht="15" customHeight="1" x14ac:dyDescent="0.25">
      <c r="B367" s="901"/>
      <c r="C367" s="1175" t="s">
        <v>3087</v>
      </c>
      <c r="D367" s="1175"/>
      <c r="E367" s="1176"/>
      <c r="F367" s="1816" t="str">
        <f>IF(Details!$E$13="","",Details!$E$13)</f>
        <v/>
      </c>
      <c r="G367" s="1816"/>
      <c r="H367" s="1816"/>
      <c r="I367" s="1816"/>
      <c r="J367" s="8"/>
      <c r="L367" s="902"/>
      <c r="N367" s="770"/>
      <c r="O367" s="1810"/>
      <c r="P367" s="1154"/>
      <c r="Q367" s="1811"/>
      <c r="R367" s="771"/>
    </row>
    <row r="368" spans="2:18" ht="15" customHeight="1" x14ac:dyDescent="0.25">
      <c r="B368" s="901"/>
      <c r="C368" s="1175" t="s">
        <v>3088</v>
      </c>
      <c r="D368" s="1175"/>
      <c r="E368" s="1176"/>
      <c r="F368" s="1816" t="str">
        <f>IF(F367="","",CONCATENATE("Tract ",VLOOKUP(F367,Data!$B$11:$D$3178,2,FALSE),", ",VLOOKUP(F367,Data!$B$11:$D$3178,3,FALSE)," County"))</f>
        <v/>
      </c>
      <c r="G368" s="1816"/>
      <c r="H368" s="1816"/>
      <c r="I368" s="1816"/>
      <c r="J368" s="8"/>
      <c r="L368" s="902"/>
      <c r="N368" s="770"/>
      <c r="O368" s="1810"/>
      <c r="P368" s="1154"/>
      <c r="Q368" s="1811"/>
      <c r="R368" s="771"/>
    </row>
    <row r="369" spans="2:18" ht="15" customHeight="1" x14ac:dyDescent="0.25">
      <c r="B369" s="901"/>
      <c r="C369" s="1175" t="s">
        <v>3211</v>
      </c>
      <c r="D369" s="1175"/>
      <c r="E369" s="1176"/>
      <c r="F369" s="1797" t="str">
        <f>IF(F367="","",(VLOOKUP(F367,Data!$B$11:$J$3178,8,FALSE)))</f>
        <v/>
      </c>
      <c r="G369" s="1797"/>
      <c r="H369" s="1797"/>
      <c r="I369" s="1797"/>
      <c r="J369" s="8"/>
      <c r="L369" s="902"/>
      <c r="N369" s="770"/>
      <c r="O369" s="1810"/>
      <c r="P369" s="1154"/>
      <c r="Q369" s="1811"/>
      <c r="R369" s="771"/>
    </row>
    <row r="370" spans="2:18" ht="15" customHeight="1" x14ac:dyDescent="0.25">
      <c r="B370" s="901"/>
      <c r="C370" s="1175" t="s">
        <v>3212</v>
      </c>
      <c r="D370" s="1175"/>
      <c r="E370" s="1176"/>
      <c r="F370" s="1797" t="str">
        <f>IF(F367="","",F369*0.35)</f>
        <v/>
      </c>
      <c r="G370" s="1797"/>
      <c r="H370" s="1797"/>
      <c r="I370" s="1797"/>
      <c r="J370" s="8"/>
      <c r="L370" s="902"/>
      <c r="N370" s="770"/>
      <c r="O370" s="1812"/>
      <c r="P370" s="1813"/>
      <c r="Q370" s="1814"/>
      <c r="R370" s="771"/>
    </row>
    <row r="371" spans="2:18" ht="15" customHeight="1" x14ac:dyDescent="0.25">
      <c r="B371" s="903"/>
      <c r="C371" s="904"/>
      <c r="D371" s="904"/>
      <c r="E371" s="904"/>
      <c r="F371" s="904"/>
      <c r="G371" s="904"/>
      <c r="H371" s="904"/>
      <c r="I371" s="904"/>
      <c r="J371" s="905"/>
      <c r="K371" s="906"/>
      <c r="L371" s="907"/>
      <c r="N371" s="772"/>
      <c r="O371" s="908"/>
      <c r="P371" s="908"/>
      <c r="Q371" s="908"/>
      <c r="R371" s="774"/>
    </row>
    <row r="372" spans="2:18" ht="15" customHeight="1" x14ac:dyDescent="0.25">
      <c r="C372" s="531"/>
      <c r="D372" s="8"/>
      <c r="E372" s="8"/>
      <c r="F372" s="8"/>
      <c r="G372" s="8"/>
      <c r="H372" s="8"/>
      <c r="I372" s="8"/>
      <c r="J372" s="8"/>
    </row>
    <row r="373" spans="2:18" ht="15" customHeight="1" x14ac:dyDescent="0.25">
      <c r="B373" s="661"/>
      <c r="C373" s="662"/>
      <c r="D373" s="663"/>
      <c r="E373" s="663"/>
      <c r="F373" s="663"/>
      <c r="G373" s="663"/>
      <c r="H373" s="663"/>
      <c r="I373" s="663"/>
      <c r="J373" s="663"/>
      <c r="K373" s="664"/>
      <c r="L373" s="665"/>
      <c r="N373" s="629"/>
      <c r="O373" s="630"/>
      <c r="P373" s="630"/>
      <c r="Q373" s="630"/>
      <c r="R373" s="631"/>
    </row>
    <row r="374" spans="2:18" ht="15" customHeight="1" x14ac:dyDescent="0.2">
      <c r="B374" s="666"/>
      <c r="C374" s="1804" t="s">
        <v>3438</v>
      </c>
      <c r="D374" s="1804"/>
      <c r="E374" s="1804"/>
      <c r="F374" s="1804"/>
      <c r="G374" s="1804"/>
      <c r="H374" s="1804"/>
      <c r="I374" s="1805" t="s">
        <v>2441</v>
      </c>
      <c r="J374" s="1827"/>
      <c r="K374" s="918">
        <f>F390</f>
        <v>25</v>
      </c>
      <c r="L374" s="672"/>
      <c r="N374" s="632"/>
      <c r="O374" s="1776" t="s">
        <v>2704</v>
      </c>
      <c r="P374" s="1776"/>
      <c r="Q374" s="894"/>
      <c r="R374" s="634"/>
    </row>
    <row r="375" spans="2:18" ht="15" customHeight="1" x14ac:dyDescent="0.2">
      <c r="B375" s="666"/>
      <c r="C375" s="678"/>
      <c r="D375" s="674"/>
      <c r="E375" s="674"/>
      <c r="F375" s="674"/>
      <c r="G375" s="674"/>
      <c r="H375" s="674"/>
      <c r="I375" s="1805" t="s">
        <v>2442</v>
      </c>
      <c r="J375" s="1827"/>
      <c r="K375" s="917"/>
      <c r="L375" s="672"/>
      <c r="N375" s="632"/>
      <c r="O375" s="633"/>
      <c r="P375" s="633"/>
      <c r="Q375" s="633"/>
      <c r="R375" s="634"/>
    </row>
    <row r="376" spans="2:18" ht="15" customHeight="1" x14ac:dyDescent="0.2">
      <c r="B376" s="666"/>
      <c r="C376" s="755" t="s">
        <v>3086</v>
      </c>
      <c r="D376" s="766">
        <v>25</v>
      </c>
      <c r="E376" s="674"/>
      <c r="F376" s="674"/>
      <c r="G376" s="674"/>
      <c r="H376" s="674"/>
      <c r="I376" s="885"/>
      <c r="J376" s="885"/>
      <c r="K376" s="909"/>
      <c r="L376" s="672"/>
      <c r="N376" s="632"/>
      <c r="O376" s="633" t="s">
        <v>2443</v>
      </c>
      <c r="P376" s="633"/>
      <c r="Q376" s="633"/>
      <c r="R376" s="634"/>
    </row>
    <row r="377" spans="2:18" ht="15" customHeight="1" x14ac:dyDescent="0.2">
      <c r="B377" s="666"/>
      <c r="C377" s="678"/>
      <c r="D377" s="674"/>
      <c r="E377" s="674"/>
      <c r="F377" s="674"/>
      <c r="G377" s="674"/>
      <c r="H377" s="674"/>
      <c r="I377" s="885"/>
      <c r="J377" s="885"/>
      <c r="K377" s="909"/>
      <c r="L377" s="672"/>
      <c r="N377" s="632"/>
      <c r="O377" s="633"/>
      <c r="P377" s="633"/>
      <c r="Q377" s="633"/>
      <c r="R377" s="634"/>
    </row>
    <row r="378" spans="2:18" ht="15" customHeight="1" x14ac:dyDescent="0.2">
      <c r="B378" s="666"/>
      <c r="C378" s="1806" t="s">
        <v>3093</v>
      </c>
      <c r="D378" s="1806"/>
      <c r="E378" s="1806"/>
      <c r="F378" s="1806"/>
      <c r="G378" s="1806"/>
      <c r="H378" s="1806"/>
      <c r="I378" s="1806"/>
      <c r="J378" s="1806"/>
      <c r="K378" s="1806"/>
      <c r="L378" s="672"/>
      <c r="N378" s="632"/>
      <c r="O378" s="1828"/>
      <c r="P378" s="1390"/>
      <c r="Q378" s="1829"/>
      <c r="R378" s="634"/>
    </row>
    <row r="379" spans="2:18" ht="15" customHeight="1" x14ac:dyDescent="0.2">
      <c r="B379" s="666"/>
      <c r="C379" s="1806"/>
      <c r="D379" s="1806"/>
      <c r="E379" s="1806"/>
      <c r="F379" s="1806"/>
      <c r="G379" s="1806"/>
      <c r="H379" s="1806"/>
      <c r="I379" s="1806"/>
      <c r="J379" s="1806"/>
      <c r="K379" s="1806"/>
      <c r="L379" s="672"/>
      <c r="N379" s="632"/>
      <c r="O379" s="1830"/>
      <c r="P379" s="1178"/>
      <c r="Q379" s="1389"/>
      <c r="R379" s="634"/>
    </row>
    <row r="380" spans="2:18" ht="15" customHeight="1" x14ac:dyDescent="0.2">
      <c r="B380" s="666"/>
      <c r="C380" s="1806"/>
      <c r="D380" s="1806"/>
      <c r="E380" s="1806"/>
      <c r="F380" s="1806"/>
      <c r="G380" s="1806"/>
      <c r="H380" s="1806"/>
      <c r="I380" s="1806"/>
      <c r="J380" s="1806"/>
      <c r="K380" s="1806"/>
      <c r="L380" s="672"/>
      <c r="N380" s="632"/>
      <c r="O380" s="1830"/>
      <c r="P380" s="1178"/>
      <c r="Q380" s="1389"/>
      <c r="R380" s="634"/>
    </row>
    <row r="381" spans="2:18" ht="15" customHeight="1" x14ac:dyDescent="0.25">
      <c r="B381" s="666"/>
      <c r="C381" s="679"/>
      <c r="D381" s="679"/>
      <c r="E381" s="679"/>
      <c r="F381" s="679"/>
      <c r="G381" s="679"/>
      <c r="H381" s="679"/>
      <c r="I381" s="679"/>
      <c r="J381" s="764"/>
      <c r="K381" s="668"/>
      <c r="L381" s="672"/>
      <c r="N381" s="632"/>
      <c r="O381" s="1830"/>
      <c r="P381" s="1178"/>
      <c r="Q381" s="1389"/>
      <c r="R381" s="634"/>
    </row>
    <row r="382" spans="2:18" ht="15" customHeight="1" x14ac:dyDescent="0.2">
      <c r="B382" s="666"/>
      <c r="C382" s="1815" t="s">
        <v>3094</v>
      </c>
      <c r="D382" s="1815"/>
      <c r="E382" s="1815"/>
      <c r="F382" s="1815"/>
      <c r="G382" s="1815"/>
      <c r="H382" s="1815"/>
      <c r="I382" s="1815"/>
      <c r="J382" s="1815"/>
      <c r="K382" s="1815"/>
      <c r="L382" s="672"/>
      <c r="N382" s="632"/>
      <c r="O382" s="1830"/>
      <c r="P382" s="1178"/>
      <c r="Q382" s="1389"/>
      <c r="R382" s="634"/>
    </row>
    <row r="383" spans="2:18" ht="15" customHeight="1" x14ac:dyDescent="0.2">
      <c r="B383" s="666"/>
      <c r="C383" s="1815"/>
      <c r="D383" s="1815"/>
      <c r="E383" s="1815"/>
      <c r="F383" s="1815"/>
      <c r="G383" s="1815"/>
      <c r="H383" s="1815"/>
      <c r="I383" s="1815"/>
      <c r="J383" s="1815"/>
      <c r="K383" s="1815"/>
      <c r="L383" s="672"/>
      <c r="N383" s="632"/>
      <c r="O383" s="1830"/>
      <c r="P383" s="1178"/>
      <c r="Q383" s="1389"/>
      <c r="R383" s="634"/>
    </row>
    <row r="384" spans="2:18" ht="15" customHeight="1" x14ac:dyDescent="0.2">
      <c r="B384" s="666"/>
      <c r="C384" s="1815"/>
      <c r="D384" s="1815"/>
      <c r="E384" s="1815"/>
      <c r="F384" s="1815"/>
      <c r="G384" s="1815"/>
      <c r="H384" s="1815"/>
      <c r="I384" s="1815"/>
      <c r="J384" s="1815"/>
      <c r="K384" s="1815"/>
      <c r="L384" s="672"/>
      <c r="N384" s="632"/>
      <c r="O384" s="1830"/>
      <c r="P384" s="1178"/>
      <c r="Q384" s="1389"/>
      <c r="R384" s="634"/>
    </row>
    <row r="385" spans="2:18" ht="15" customHeight="1" x14ac:dyDescent="0.2">
      <c r="B385" s="671"/>
      <c r="C385" s="669"/>
      <c r="D385" s="669"/>
      <c r="E385" s="669"/>
      <c r="F385" s="669"/>
      <c r="G385" s="669"/>
      <c r="H385" s="669"/>
      <c r="I385" s="669"/>
      <c r="J385" s="680"/>
      <c r="K385" s="680"/>
      <c r="L385" s="673"/>
      <c r="N385" s="632"/>
      <c r="O385" s="1830"/>
      <c r="P385" s="1178"/>
      <c r="Q385" s="1389"/>
      <c r="R385" s="634"/>
    </row>
    <row r="386" spans="2:18" ht="15" customHeight="1" x14ac:dyDescent="0.25">
      <c r="B386" s="619"/>
      <c r="C386" s="531"/>
      <c r="D386" s="8"/>
      <c r="E386" s="8"/>
      <c r="F386" s="9"/>
      <c r="G386" s="9"/>
      <c r="H386" s="7"/>
      <c r="I386" s="7"/>
      <c r="J386" s="7"/>
      <c r="K386" s="18"/>
      <c r="L386" s="622"/>
      <c r="N386" s="632"/>
      <c r="O386" s="1830"/>
      <c r="P386" s="1178"/>
      <c r="Q386" s="1389"/>
      <c r="R386" s="634"/>
    </row>
    <row r="387" spans="2:18" ht="15" customHeight="1" x14ac:dyDescent="0.2">
      <c r="B387" s="619"/>
      <c r="C387" s="1833" t="s">
        <v>2444</v>
      </c>
      <c r="D387" s="1833"/>
      <c r="E387" s="1833"/>
      <c r="F387" s="1834">
        <f>SUM(Revenue!$E$110:$F$116)</f>
        <v>0</v>
      </c>
      <c r="G387" s="1834"/>
      <c r="H387" s="1834"/>
      <c r="I387" s="641"/>
      <c r="J387" s="641"/>
      <c r="K387" s="641"/>
      <c r="L387" s="622"/>
      <c r="N387" s="632"/>
      <c r="O387" s="1830"/>
      <c r="P387" s="1178"/>
      <c r="Q387" s="1389"/>
      <c r="R387" s="634"/>
    </row>
    <row r="388" spans="2:18" ht="15" customHeight="1" x14ac:dyDescent="0.2">
      <c r="B388" s="619"/>
      <c r="C388" s="1833" t="s">
        <v>2687</v>
      </c>
      <c r="D388" s="1833"/>
      <c r="E388" s="1833"/>
      <c r="F388" s="1835">
        <f>LIHTCs!$F$33</f>
        <v>0</v>
      </c>
      <c r="G388" s="1835"/>
      <c r="H388" s="1835"/>
      <c r="I388" s="642"/>
      <c r="J388" s="642"/>
      <c r="K388" s="641"/>
      <c r="L388" s="622"/>
      <c r="N388" s="632"/>
      <c r="O388" s="1830"/>
      <c r="P388" s="1178"/>
      <c r="Q388" s="1389"/>
      <c r="R388" s="634"/>
    </row>
    <row r="389" spans="2:18" ht="15" customHeight="1" x14ac:dyDescent="0.2">
      <c r="B389" s="619"/>
      <c r="C389" s="1833" t="s">
        <v>2688</v>
      </c>
      <c r="D389" s="1833"/>
      <c r="E389" s="1833"/>
      <c r="F389" s="1835">
        <f>IF(F387=0,0,F388/F387)</f>
        <v>0</v>
      </c>
      <c r="G389" s="1835"/>
      <c r="H389" s="1835"/>
      <c r="I389" s="642"/>
      <c r="J389" s="642"/>
      <c r="K389" s="641"/>
      <c r="L389" s="622"/>
      <c r="N389" s="632"/>
      <c r="O389" s="1830"/>
      <c r="P389" s="1178"/>
      <c r="Q389" s="1389"/>
      <c r="R389" s="634"/>
    </row>
    <row r="390" spans="2:18" ht="15" customHeight="1" x14ac:dyDescent="0.2">
      <c r="B390" s="619"/>
      <c r="C390" s="1315" t="s">
        <v>3095</v>
      </c>
      <c r="D390" s="1315"/>
      <c r="E390" s="1315"/>
      <c r="F390" s="1836">
        <f>MAX(0,MIN(25,((48252-F389)/20317)*25))</f>
        <v>25</v>
      </c>
      <c r="G390" s="1836"/>
      <c r="H390" s="1836"/>
      <c r="I390" s="642"/>
      <c r="J390" s="642"/>
      <c r="K390" s="641"/>
      <c r="L390" s="622"/>
      <c r="N390" s="632"/>
      <c r="O390" s="1831"/>
      <c r="P390" s="1678"/>
      <c r="Q390" s="1832"/>
      <c r="R390" s="634"/>
    </row>
    <row r="391" spans="2:18" ht="15" customHeight="1" x14ac:dyDescent="0.25">
      <c r="B391" s="624"/>
      <c r="C391" s="636"/>
      <c r="D391" s="637"/>
      <c r="E391" s="637"/>
      <c r="F391" s="637"/>
      <c r="G391" s="637"/>
      <c r="H391" s="637"/>
      <c r="I391" s="637"/>
      <c r="J391" s="637"/>
      <c r="K391" s="637"/>
      <c r="L391" s="627"/>
      <c r="N391" s="638"/>
      <c r="O391" s="639"/>
      <c r="P391" s="639"/>
      <c r="Q391" s="639"/>
      <c r="R391" s="640"/>
    </row>
    <row r="392" spans="2:18" ht="15" customHeight="1" x14ac:dyDescent="0.25">
      <c r="C392" s="531"/>
      <c r="D392" s="8"/>
      <c r="E392" s="8"/>
      <c r="F392" s="8"/>
      <c r="G392" s="8"/>
      <c r="H392" s="8"/>
      <c r="I392" s="8"/>
      <c r="J392" s="8"/>
      <c r="K392" s="8"/>
    </row>
    <row r="393" spans="2:18" ht="15" customHeight="1" x14ac:dyDescent="0.25">
      <c r="B393" s="661"/>
      <c r="C393" s="662"/>
      <c r="D393" s="663"/>
      <c r="E393" s="663"/>
      <c r="F393" s="751"/>
      <c r="G393" s="663"/>
      <c r="H393" s="663"/>
      <c r="I393" s="663"/>
      <c r="J393" s="663"/>
      <c r="K393" s="664"/>
      <c r="L393" s="665"/>
      <c r="N393" s="629"/>
      <c r="O393" s="630"/>
      <c r="P393" s="630"/>
      <c r="Q393" s="630"/>
      <c r="R393" s="631"/>
    </row>
    <row r="394" spans="2:18" ht="15" customHeight="1" x14ac:dyDescent="0.2">
      <c r="B394" s="666"/>
      <c r="C394" s="1804" t="s">
        <v>2437</v>
      </c>
      <c r="D394" s="1804"/>
      <c r="E394" s="1804"/>
      <c r="F394" s="681"/>
      <c r="G394" s="681"/>
      <c r="H394" s="681"/>
      <c r="I394" s="1842"/>
      <c r="J394" s="1842"/>
      <c r="K394" s="682"/>
      <c r="L394" s="672"/>
      <c r="N394" s="632"/>
      <c r="O394" s="1837" t="s">
        <v>3101</v>
      </c>
      <c r="P394" s="1892"/>
      <c r="Q394" s="788">
        <v>1</v>
      </c>
      <c r="R394" s="634"/>
    </row>
    <row r="395" spans="2:18" ht="15" customHeight="1" x14ac:dyDescent="0.25">
      <c r="B395" s="666"/>
      <c r="C395" s="683"/>
      <c r="D395" s="681"/>
      <c r="E395" s="681"/>
      <c r="F395" s="681"/>
      <c r="G395" s="681"/>
      <c r="H395" s="681"/>
      <c r="I395" s="681"/>
      <c r="J395" s="676"/>
      <c r="K395" s="668"/>
      <c r="L395" s="672"/>
      <c r="N395" s="632"/>
      <c r="O395" s="1837" t="s">
        <v>3291</v>
      </c>
      <c r="P395" s="1892"/>
      <c r="Q395" s="914">
        <v>62</v>
      </c>
      <c r="R395" s="634"/>
    </row>
    <row r="396" spans="2:18" ht="15" customHeight="1" x14ac:dyDescent="0.25">
      <c r="B396" s="666"/>
      <c r="C396" s="1806" t="s">
        <v>2445</v>
      </c>
      <c r="D396" s="1806"/>
      <c r="E396" s="1806"/>
      <c r="F396" s="1806"/>
      <c r="G396" s="1806"/>
      <c r="H396" s="1806"/>
      <c r="I396" s="1806"/>
      <c r="J396" s="676"/>
      <c r="K396" s="668"/>
      <c r="L396" s="672"/>
      <c r="N396" s="632"/>
      <c r="O396" s="1837" t="s">
        <v>2662</v>
      </c>
      <c r="P396" s="1892"/>
      <c r="Q396" s="915">
        <v>62</v>
      </c>
      <c r="R396" s="634"/>
    </row>
    <row r="397" spans="2:18" ht="15" customHeight="1" x14ac:dyDescent="0.25">
      <c r="B397" s="666"/>
      <c r="C397" s="1806"/>
      <c r="D397" s="1806"/>
      <c r="E397" s="1806"/>
      <c r="F397" s="1806"/>
      <c r="G397" s="1806"/>
      <c r="H397" s="1806"/>
      <c r="I397" s="1806"/>
      <c r="J397" s="676"/>
      <c r="K397" s="668"/>
      <c r="L397" s="672"/>
      <c r="N397" s="632"/>
      <c r="O397" s="1837" t="s">
        <v>3102</v>
      </c>
      <c r="P397" s="1892"/>
      <c r="Q397" s="915">
        <v>38.69</v>
      </c>
      <c r="R397" s="634"/>
    </row>
    <row r="398" spans="2:18" ht="15" customHeight="1" x14ac:dyDescent="0.25">
      <c r="B398" s="671"/>
      <c r="C398" s="684"/>
      <c r="D398" s="684"/>
      <c r="E398" s="684"/>
      <c r="F398" s="684"/>
      <c r="G398" s="684"/>
      <c r="H398" s="684"/>
      <c r="I398" s="684"/>
      <c r="J398" s="677"/>
      <c r="K398" s="670"/>
      <c r="L398" s="673"/>
      <c r="N398" s="632"/>
      <c r="O398" s="1837" t="s">
        <v>3092</v>
      </c>
      <c r="P398" s="1892"/>
      <c r="Q398" s="915">
        <v>78.260000000000005</v>
      </c>
      <c r="R398" s="634"/>
    </row>
    <row r="399" spans="2:18" ht="15" customHeight="1" x14ac:dyDescent="0.25">
      <c r="B399" s="619"/>
      <c r="C399" s="635"/>
      <c r="D399" s="635"/>
      <c r="E399" s="635"/>
      <c r="F399" s="635"/>
      <c r="G399" s="635"/>
      <c r="H399" s="635"/>
      <c r="I399" s="635"/>
      <c r="J399" s="8"/>
      <c r="L399" s="622"/>
      <c r="N399" s="632"/>
      <c r="O399" s="1837" t="s">
        <v>3435</v>
      </c>
      <c r="P399" s="1892"/>
      <c r="Q399" s="915">
        <v>33.619999999999997</v>
      </c>
      <c r="R399" s="634"/>
    </row>
    <row r="400" spans="2:18" ht="15" customHeight="1" x14ac:dyDescent="0.2">
      <c r="B400" s="619"/>
      <c r="C400" s="1269" t="s">
        <v>3096</v>
      </c>
      <c r="D400" s="1594" t="s">
        <v>3097</v>
      </c>
      <c r="E400" s="1840"/>
      <c r="F400" s="1840"/>
      <c r="G400" s="1840"/>
      <c r="H400" s="1595"/>
      <c r="I400" s="1269" t="s">
        <v>3098</v>
      </c>
      <c r="J400" s="740"/>
      <c r="K400" s="741"/>
      <c r="L400" s="643"/>
      <c r="N400" s="632"/>
      <c r="O400" s="1894" t="s">
        <v>3080</v>
      </c>
      <c r="P400" s="1895"/>
      <c r="Q400" s="789"/>
      <c r="R400" s="634"/>
    </row>
    <row r="401" spans="2:18" ht="15" customHeight="1" x14ac:dyDescent="0.2">
      <c r="B401" s="619"/>
      <c r="C401" s="1270"/>
      <c r="D401" s="1596"/>
      <c r="E401" s="1841"/>
      <c r="F401" s="1841"/>
      <c r="G401" s="1841"/>
      <c r="H401" s="1597"/>
      <c r="I401" s="1270"/>
      <c r="J401" s="740"/>
      <c r="K401" s="741"/>
      <c r="L401" s="643"/>
      <c r="N401" s="632"/>
      <c r="O401" s="1839"/>
      <c r="P401" s="1839"/>
      <c r="Q401" s="954"/>
      <c r="R401" s="634"/>
    </row>
    <row r="402" spans="2:18" ht="15" customHeight="1" x14ac:dyDescent="0.2">
      <c r="B402" s="619"/>
      <c r="C402" s="37">
        <v>1</v>
      </c>
      <c r="D402" s="1234" t="s">
        <v>3100</v>
      </c>
      <c r="E402" s="1234"/>
      <c r="F402" s="1234"/>
      <c r="G402" s="1234"/>
      <c r="H402" s="1234"/>
      <c r="I402" s="78" t="str">
        <f>IF(Details!$E$13="","Enter Census Tract",VLOOKUP(Details!$E$13,Data!$B$11:$K$3178,10,FALSE))</f>
        <v>Enter Census Tract</v>
      </c>
      <c r="J402" s="740"/>
      <c r="K402" s="741"/>
      <c r="L402" s="643"/>
      <c r="N402" s="632"/>
      <c r="O402" s="1839" t="s">
        <v>2443</v>
      </c>
      <c r="P402" s="1839"/>
      <c r="Q402" s="954"/>
      <c r="R402" s="634"/>
    </row>
    <row r="403" spans="2:18" ht="15" customHeight="1" x14ac:dyDescent="0.2">
      <c r="B403" s="619"/>
      <c r="C403" s="37">
        <v>2</v>
      </c>
      <c r="D403" s="1234" t="s">
        <v>3297</v>
      </c>
      <c r="E403" s="1234"/>
      <c r="F403" s="1234"/>
      <c r="G403" s="1234"/>
      <c r="H403" s="1234"/>
      <c r="I403" s="80">
        <f>SUMIF(Revenue!$M$47:$M$92,"&gt;0",Revenue!$C$47:$C$92)-SUMIFS(Revenue!$C$47:$C$92,Revenue!$N$47:$N$92,"811 PRA")</f>
        <v>0</v>
      </c>
      <c r="J403" s="740"/>
      <c r="K403" s="741"/>
      <c r="L403" s="643"/>
      <c r="N403" s="632"/>
      <c r="O403" s="913"/>
      <c r="P403" s="913"/>
      <c r="Q403" s="913"/>
      <c r="R403" s="634"/>
    </row>
    <row r="404" spans="2:18" ht="15" customHeight="1" x14ac:dyDescent="0.2">
      <c r="B404" s="619"/>
      <c r="C404" s="37">
        <v>3</v>
      </c>
      <c r="D404" s="1234" t="s">
        <v>3075</v>
      </c>
      <c r="E404" s="1234"/>
      <c r="F404" s="1234"/>
      <c r="G404" s="1234"/>
      <c r="H404" s="1234"/>
      <c r="I404" s="78">
        <f>SUM(Revenue!$E$110:$F$116)</f>
        <v>0</v>
      </c>
      <c r="J404" s="740"/>
      <c r="K404" s="741"/>
      <c r="L404" s="643"/>
      <c r="N404" s="632"/>
      <c r="O404" s="1843"/>
      <c r="P404" s="1844"/>
      <c r="Q404" s="1845"/>
      <c r="R404" s="634"/>
    </row>
    <row r="405" spans="2:18" ht="15" customHeight="1" x14ac:dyDescent="0.2">
      <c r="B405" s="619"/>
      <c r="C405" s="37">
        <v>4</v>
      </c>
      <c r="D405" s="37" t="s">
        <v>3076</v>
      </c>
      <c r="E405" s="37"/>
      <c r="F405" s="37"/>
      <c r="G405" s="37"/>
      <c r="H405" s="37"/>
      <c r="I405" s="893" t="str">
        <f>IF(Details!$E$13="","Input Census Tract",VLOOKUP(Details!$E$13,Data!$B$14:$AH$3178,9,FALSE))</f>
        <v>Input Census Tract</v>
      </c>
      <c r="J405" s="740"/>
      <c r="K405" s="741"/>
      <c r="L405" s="643"/>
      <c r="N405" s="632"/>
      <c r="O405" s="1846"/>
      <c r="P405" s="1847"/>
      <c r="Q405" s="1848"/>
      <c r="R405" s="634"/>
    </row>
    <row r="406" spans="2:18" ht="15" customHeight="1" x14ac:dyDescent="0.2">
      <c r="B406" s="619"/>
      <c r="C406" s="37">
        <v>5</v>
      </c>
      <c r="D406" s="1168" t="s">
        <v>3077</v>
      </c>
      <c r="E406" s="1169"/>
      <c r="F406" s="1169"/>
      <c r="G406" s="1169"/>
      <c r="H406" s="1170"/>
      <c r="I406" s="893" t="str">
        <f>IF(Details!$E$13="","Input Census Tract",VLOOKUP(Details!$E$13,Data!$B$14:$AH$3178,8,FALSE))</f>
        <v>Input Census Tract</v>
      </c>
      <c r="J406" s="740"/>
      <c r="K406" s="741"/>
      <c r="L406" s="643"/>
      <c r="N406" s="632"/>
      <c r="O406" s="1846"/>
      <c r="P406" s="1847"/>
      <c r="Q406" s="1848"/>
      <c r="R406" s="634"/>
    </row>
    <row r="407" spans="2:18" ht="15" customHeight="1" x14ac:dyDescent="0.2">
      <c r="B407" s="619"/>
      <c r="C407" s="37">
        <v>6</v>
      </c>
      <c r="D407" s="1168" t="s">
        <v>3436</v>
      </c>
      <c r="E407" s="1169"/>
      <c r="F407" s="1169"/>
      <c r="G407" s="1169"/>
      <c r="H407" s="1170"/>
      <c r="I407" s="893" t="str">
        <f>IF(Details!$E$13="","Input Census Tract",VLOOKUP(Details!$E$13,Data!$B$14:$AH$3178,6,FALSE))</f>
        <v>Input Census Tract</v>
      </c>
      <c r="J407" s="740"/>
      <c r="K407" s="741"/>
      <c r="L407" s="643"/>
      <c r="N407" s="632"/>
      <c r="O407" s="1846"/>
      <c r="P407" s="1847"/>
      <c r="Q407" s="1848"/>
      <c r="R407" s="634"/>
    </row>
    <row r="408" spans="2:18" ht="15" customHeight="1" x14ac:dyDescent="0.2">
      <c r="B408" s="619"/>
      <c r="C408" s="910">
        <v>7</v>
      </c>
      <c r="D408" s="1168" t="s">
        <v>3080</v>
      </c>
      <c r="E408" s="1169"/>
      <c r="F408" s="1169"/>
      <c r="G408" s="1169"/>
      <c r="H408" s="1170"/>
      <c r="I408" s="985"/>
      <c r="J408" s="740"/>
      <c r="K408" s="741"/>
      <c r="L408" s="643"/>
      <c r="N408" s="632"/>
      <c r="O408" s="1849"/>
      <c r="P408" s="1850"/>
      <c r="Q408" s="1851"/>
      <c r="R408" s="634"/>
    </row>
    <row r="409" spans="2:18" ht="15" customHeight="1" x14ac:dyDescent="0.2">
      <c r="B409" s="624"/>
      <c r="C409" s="595"/>
      <c r="D409" s="644"/>
      <c r="E409" s="645"/>
      <c r="F409" s="645"/>
      <c r="G409" s="645"/>
      <c r="H409" s="646"/>
      <c r="I409" s="647"/>
      <c r="J409" s="647"/>
      <c r="K409" s="647"/>
      <c r="L409" s="627"/>
      <c r="N409" s="638"/>
      <c r="O409" s="639"/>
      <c r="P409" s="648"/>
      <c r="Q409" s="648"/>
      <c r="R409" s="649"/>
    </row>
    <row r="410" spans="2:18" ht="15" customHeight="1" x14ac:dyDescent="0.2"/>
  </sheetData>
  <sheetProtection algorithmName="SHA-512" hashValue="Vfw+D8fXIlfiSZkGbVT60aO1ZCsMWu4GhvE1evSk/rWbBbXCottWDJr2ETcvKCuUMJY0BJHTlWoUjx9hmNqLXA==" saltValue="E1HC5ATHZzKNTTbmTbxqmQ==" spinCount="100000" sheet="1" objects="1" scenarios="1"/>
  <dataConsolidate/>
  <mergeCells count="363">
    <mergeCell ref="C127:I127"/>
    <mergeCell ref="C129:I129"/>
    <mergeCell ref="C130:I130"/>
    <mergeCell ref="C131:I131"/>
    <mergeCell ref="C128:I128"/>
    <mergeCell ref="J128:K128"/>
    <mergeCell ref="C132:I132"/>
    <mergeCell ref="C133:I133"/>
    <mergeCell ref="C134:I134"/>
    <mergeCell ref="J161:K161"/>
    <mergeCell ref="J163:K163"/>
    <mergeCell ref="C205:I205"/>
    <mergeCell ref="C206:I206"/>
    <mergeCell ref="C176:K178"/>
    <mergeCell ref="C179:K179"/>
    <mergeCell ref="C182:K182"/>
    <mergeCell ref="C183:K183"/>
    <mergeCell ref="C184:K184"/>
    <mergeCell ref="C185:K185"/>
    <mergeCell ref="C186:K186"/>
    <mergeCell ref="C180:K181"/>
    <mergeCell ref="C161:I161"/>
    <mergeCell ref="C162:I162"/>
    <mergeCell ref="C163:I163"/>
    <mergeCell ref="C164:I164"/>
    <mergeCell ref="C165:I165"/>
    <mergeCell ref="C166:I166"/>
    <mergeCell ref="H200:J200"/>
    <mergeCell ref="C202:I202"/>
    <mergeCell ref="C203:I203"/>
    <mergeCell ref="C139:I139"/>
    <mergeCell ref="C141:I141"/>
    <mergeCell ref="C142:I142"/>
    <mergeCell ref="C143:I143"/>
    <mergeCell ref="C144:I144"/>
    <mergeCell ref="C150:K153"/>
    <mergeCell ref="C154:K154"/>
    <mergeCell ref="C156:K156"/>
    <mergeCell ref="C155:K155"/>
    <mergeCell ref="C145:I145"/>
    <mergeCell ref="C148:K148"/>
    <mergeCell ref="C101:K107"/>
    <mergeCell ref="C109:K110"/>
    <mergeCell ref="C113:K114"/>
    <mergeCell ref="C111:K111"/>
    <mergeCell ref="C112:K112"/>
    <mergeCell ref="C79:K79"/>
    <mergeCell ref="C81:K82"/>
    <mergeCell ref="C84:G84"/>
    <mergeCell ref="C86:G86"/>
    <mergeCell ref="C87:G87"/>
    <mergeCell ref="H84:J84"/>
    <mergeCell ref="C90:K90"/>
    <mergeCell ref="C92:K92"/>
    <mergeCell ref="H94:J94"/>
    <mergeCell ref="C96:G96"/>
    <mergeCell ref="C85:G85"/>
    <mergeCell ref="C135:I135"/>
    <mergeCell ref="C136:I136"/>
    <mergeCell ref="C137:I137"/>
    <mergeCell ref="C138:I138"/>
    <mergeCell ref="C48:K49"/>
    <mergeCell ref="C50:K50"/>
    <mergeCell ref="C52:K52"/>
    <mergeCell ref="C53:K54"/>
    <mergeCell ref="C55:K56"/>
    <mergeCell ref="C57:K58"/>
    <mergeCell ref="C59:K60"/>
    <mergeCell ref="C69:K69"/>
    <mergeCell ref="C71:K72"/>
    <mergeCell ref="C62:G62"/>
    <mergeCell ref="C63:G63"/>
    <mergeCell ref="C64:G64"/>
    <mergeCell ref="C65:G65"/>
    <mergeCell ref="C115:K117"/>
    <mergeCell ref="C118:K119"/>
    <mergeCell ref="C121:K125"/>
    <mergeCell ref="C94:G94"/>
    <mergeCell ref="C95:G95"/>
    <mergeCell ref="H62:K62"/>
    <mergeCell ref="C99:K99"/>
    <mergeCell ref="N35:R35"/>
    <mergeCell ref="B36:L36"/>
    <mergeCell ref="N36:R36"/>
    <mergeCell ref="C38:K38"/>
    <mergeCell ref="O39:P39"/>
    <mergeCell ref="C40:K41"/>
    <mergeCell ref="O40:P40"/>
    <mergeCell ref="C43:K45"/>
    <mergeCell ref="C46:K47"/>
    <mergeCell ref="C394:E394"/>
    <mergeCell ref="I394:J394"/>
    <mergeCell ref="O394:P394"/>
    <mergeCell ref="O395:P395"/>
    <mergeCell ref="C396:I397"/>
    <mergeCell ref="O396:P396"/>
    <mergeCell ref="O399:P399"/>
    <mergeCell ref="O374:P374"/>
    <mergeCell ref="I375:J375"/>
    <mergeCell ref="C378:K380"/>
    <mergeCell ref="O378:Q390"/>
    <mergeCell ref="C382:K384"/>
    <mergeCell ref="C387:E387"/>
    <mergeCell ref="F387:H387"/>
    <mergeCell ref="C388:E388"/>
    <mergeCell ref="F388:H388"/>
    <mergeCell ref="C389:E389"/>
    <mergeCell ref="F389:H389"/>
    <mergeCell ref="C390:E390"/>
    <mergeCell ref="F390:H390"/>
    <mergeCell ref="O397:P397"/>
    <mergeCell ref="O398:P398"/>
    <mergeCell ref="D407:H407"/>
    <mergeCell ref="D408:H408"/>
    <mergeCell ref="O404:Q408"/>
    <mergeCell ref="C400:C401"/>
    <mergeCell ref="D400:H401"/>
    <mergeCell ref="I400:I401"/>
    <mergeCell ref="O400:P400"/>
    <mergeCell ref="O401:P401"/>
    <mergeCell ref="D402:H402"/>
    <mergeCell ref="O402:P402"/>
    <mergeCell ref="D403:H403"/>
    <mergeCell ref="D404:H404"/>
    <mergeCell ref="D406:H406"/>
    <mergeCell ref="C367:E367"/>
    <mergeCell ref="F367:I367"/>
    <mergeCell ref="C368:E368"/>
    <mergeCell ref="F368:I368"/>
    <mergeCell ref="C369:E369"/>
    <mergeCell ref="F369:I369"/>
    <mergeCell ref="C370:E370"/>
    <mergeCell ref="F370:I370"/>
    <mergeCell ref="C374:H374"/>
    <mergeCell ref="I374:J374"/>
    <mergeCell ref="O327:Q351"/>
    <mergeCell ref="C333:K336"/>
    <mergeCell ref="C338:K339"/>
    <mergeCell ref="C341:K343"/>
    <mergeCell ref="C346:E346"/>
    <mergeCell ref="F346:I346"/>
    <mergeCell ref="C347:E347"/>
    <mergeCell ref="F347:I347"/>
    <mergeCell ref="C348:E348"/>
    <mergeCell ref="F348:I348"/>
    <mergeCell ref="C349:E349"/>
    <mergeCell ref="F349:I349"/>
    <mergeCell ref="C350:E350"/>
    <mergeCell ref="F350:I350"/>
    <mergeCell ref="C351:E351"/>
    <mergeCell ref="F351:I351"/>
    <mergeCell ref="C355:E355"/>
    <mergeCell ref="I355:J355"/>
    <mergeCell ref="O355:P355"/>
    <mergeCell ref="I356:J356"/>
    <mergeCell ref="C359:K362"/>
    <mergeCell ref="O359:Q370"/>
    <mergeCell ref="C363:K364"/>
    <mergeCell ref="C187:K187"/>
    <mergeCell ref="C189:K193"/>
    <mergeCell ref="C195:I195"/>
    <mergeCell ref="C196:I196"/>
    <mergeCell ref="C200:G200"/>
    <mergeCell ref="I324:J324"/>
    <mergeCell ref="C327:K331"/>
    <mergeCell ref="C291:I291"/>
    <mergeCell ref="C292:I292"/>
    <mergeCell ref="N319:R319"/>
    <mergeCell ref="B320:L320"/>
    <mergeCell ref="N320:R320"/>
    <mergeCell ref="N321:O321"/>
    <mergeCell ref="C323:H323"/>
    <mergeCell ref="I323:J323"/>
    <mergeCell ref="O323:P323"/>
    <mergeCell ref="C273:K273"/>
    <mergeCell ref="B2:G2"/>
    <mergeCell ref="H2:L2"/>
    <mergeCell ref="B3:G3"/>
    <mergeCell ref="H3:L3"/>
    <mergeCell ref="B6:J6"/>
    <mergeCell ref="B7:L7"/>
    <mergeCell ref="B10:E10"/>
    <mergeCell ref="H10:J10"/>
    <mergeCell ref="B11:E11"/>
    <mergeCell ref="H11:L11"/>
    <mergeCell ref="H12:I12"/>
    <mergeCell ref="B13:C13"/>
    <mergeCell ref="D13:E13"/>
    <mergeCell ref="H13:I13"/>
    <mergeCell ref="J13:L13"/>
    <mergeCell ref="B16:C16"/>
    <mergeCell ref="D16:E16"/>
    <mergeCell ref="H16:I16"/>
    <mergeCell ref="J16:L16"/>
    <mergeCell ref="B17:C17"/>
    <mergeCell ref="D17:E17"/>
    <mergeCell ref="H17:I17"/>
    <mergeCell ref="J17:L17"/>
    <mergeCell ref="B14:C14"/>
    <mergeCell ref="D14:E14"/>
    <mergeCell ref="H14:I14"/>
    <mergeCell ref="J14:L14"/>
    <mergeCell ref="B15:C15"/>
    <mergeCell ref="D15:E15"/>
    <mergeCell ref="H15:I15"/>
    <mergeCell ref="J15:L15"/>
    <mergeCell ref="B20:C20"/>
    <mergeCell ref="D20:E20"/>
    <mergeCell ref="J20:L20"/>
    <mergeCell ref="B21:C21"/>
    <mergeCell ref="D21:E21"/>
    <mergeCell ref="J21:L21"/>
    <mergeCell ref="B18:C18"/>
    <mergeCell ref="D18:E18"/>
    <mergeCell ref="H18:I18"/>
    <mergeCell ref="J18:L18"/>
    <mergeCell ref="B19:C19"/>
    <mergeCell ref="D19:E19"/>
    <mergeCell ref="J19:L19"/>
    <mergeCell ref="H19:I19"/>
    <mergeCell ref="B29:C29"/>
    <mergeCell ref="B30:C30"/>
    <mergeCell ref="B22:C22"/>
    <mergeCell ref="B23:C23"/>
    <mergeCell ref="B25:E25"/>
    <mergeCell ref="H25:J25"/>
    <mergeCell ref="H29:I29"/>
    <mergeCell ref="H30:I30"/>
    <mergeCell ref="H23:I23"/>
    <mergeCell ref="J23:L23"/>
    <mergeCell ref="D22:E22"/>
    <mergeCell ref="J22:L22"/>
    <mergeCell ref="B319:L319"/>
    <mergeCell ref="O216:P216"/>
    <mergeCell ref="I1:L1"/>
    <mergeCell ref="O217:P217"/>
    <mergeCell ref="O231:P231"/>
    <mergeCell ref="C228:K228"/>
    <mergeCell ref="O232:P232"/>
    <mergeCell ref="O43:Q64"/>
    <mergeCell ref="O70:P70"/>
    <mergeCell ref="B31:C31"/>
    <mergeCell ref="B210:J210"/>
    <mergeCell ref="B211:L211"/>
    <mergeCell ref="C215:K216"/>
    <mergeCell ref="C218:H218"/>
    <mergeCell ref="H31:I31"/>
    <mergeCell ref="H32:I32"/>
    <mergeCell ref="C220:H220"/>
    <mergeCell ref="C213:I213"/>
    <mergeCell ref="B35:J35"/>
    <mergeCell ref="C51:K51"/>
    <mergeCell ref="B26:E26"/>
    <mergeCell ref="H26:L26"/>
    <mergeCell ref="B28:C28"/>
    <mergeCell ref="H28:I28"/>
    <mergeCell ref="O101:P101"/>
    <mergeCell ref="O102:P102"/>
    <mergeCell ref="O149:P149"/>
    <mergeCell ref="O150:P150"/>
    <mergeCell ref="O71:P71"/>
    <mergeCell ref="O74:Q76"/>
    <mergeCell ref="O80:P80"/>
    <mergeCell ref="O81:P81"/>
    <mergeCell ref="O84:Q87"/>
    <mergeCell ref="O91:P91"/>
    <mergeCell ref="O92:P92"/>
    <mergeCell ref="O105:Q144"/>
    <mergeCell ref="O95:Q97"/>
    <mergeCell ref="O153:Q165"/>
    <mergeCell ref="B296:J296"/>
    <mergeCell ref="B297:L297"/>
    <mergeCell ref="O257:P257"/>
    <mergeCell ref="O258:P258"/>
    <mergeCell ref="O274:P274"/>
    <mergeCell ref="O275:P275"/>
    <mergeCell ref="C286:H286"/>
    <mergeCell ref="C288:K289"/>
    <mergeCell ref="C275:K276"/>
    <mergeCell ref="C279:I279"/>
    <mergeCell ref="C280:I280"/>
    <mergeCell ref="C278:I278"/>
    <mergeCell ref="C256:K256"/>
    <mergeCell ref="C258:K260"/>
    <mergeCell ref="C268:H268"/>
    <mergeCell ref="C219:H219"/>
    <mergeCell ref="C265:I265"/>
    <mergeCell ref="C266:I266"/>
    <mergeCell ref="C267:I267"/>
    <mergeCell ref="C269:I269"/>
    <mergeCell ref="C158:K159"/>
    <mergeCell ref="C169:K169"/>
    <mergeCell ref="O170:P170"/>
    <mergeCell ref="O171:P171"/>
    <mergeCell ref="O174:Q206"/>
    <mergeCell ref="C222:H222"/>
    <mergeCell ref="C224:H224"/>
    <mergeCell ref="C225:H225"/>
    <mergeCell ref="C207:I207"/>
    <mergeCell ref="C197:I197"/>
    <mergeCell ref="C198:I198"/>
    <mergeCell ref="C199:I199"/>
    <mergeCell ref="C204:I204"/>
    <mergeCell ref="C171:K174"/>
    <mergeCell ref="C252:I252"/>
    <mergeCell ref="C253:I253"/>
    <mergeCell ref="C302:E302"/>
    <mergeCell ref="F302:H302"/>
    <mergeCell ref="C303:E303"/>
    <mergeCell ref="F303:H303"/>
    <mergeCell ref="C304:E304"/>
    <mergeCell ref="F304:H304"/>
    <mergeCell ref="C305:E305"/>
    <mergeCell ref="F305:H305"/>
    <mergeCell ref="C300:K300"/>
    <mergeCell ref="C262:I262"/>
    <mergeCell ref="C263:I263"/>
    <mergeCell ref="C264:I264"/>
    <mergeCell ref="C282:I282"/>
    <mergeCell ref="C283:I283"/>
    <mergeCell ref="C270:I270"/>
    <mergeCell ref="C313:E313"/>
    <mergeCell ref="F313:H313"/>
    <mergeCell ref="C314:E314"/>
    <mergeCell ref="F314:H314"/>
    <mergeCell ref="C315:E315"/>
    <mergeCell ref="F315:H315"/>
    <mergeCell ref="C306:E306"/>
    <mergeCell ref="F306:H306"/>
    <mergeCell ref="C308:E308"/>
    <mergeCell ref="F308:H308"/>
    <mergeCell ref="C309:E309"/>
    <mergeCell ref="F309:H309"/>
    <mergeCell ref="C310:E310"/>
    <mergeCell ref="F310:H310"/>
    <mergeCell ref="C311:E311"/>
    <mergeCell ref="F311:H311"/>
    <mergeCell ref="C312:E312"/>
    <mergeCell ref="F312:H312"/>
    <mergeCell ref="C66:G66"/>
    <mergeCell ref="I221:K221"/>
    <mergeCell ref="C221:H221"/>
    <mergeCell ref="O221:Q225"/>
    <mergeCell ref="C74:G74"/>
    <mergeCell ref="C75:G75"/>
    <mergeCell ref="C76:G76"/>
    <mergeCell ref="O262:Q269"/>
    <mergeCell ref="O292:Q294"/>
    <mergeCell ref="O279:Q284"/>
    <mergeCell ref="C230:K236"/>
    <mergeCell ref="O236:Q252"/>
    <mergeCell ref="C238:I238"/>
    <mergeCell ref="C239:I239"/>
    <mergeCell ref="C240:I240"/>
    <mergeCell ref="C241:I241"/>
    <mergeCell ref="C242:I242"/>
    <mergeCell ref="C243:I243"/>
    <mergeCell ref="C244:I244"/>
    <mergeCell ref="C245:I245"/>
    <mergeCell ref="C246:I246"/>
    <mergeCell ref="C247:I247"/>
    <mergeCell ref="C248:I248"/>
    <mergeCell ref="C250:I250"/>
  </mergeCells>
  <conditionalFormatting sqref="D30">
    <cfRule type="expression" dxfId="37" priority="48">
      <formula>$D$30&gt;$E$30</formula>
    </cfRule>
    <cfRule type="expression" dxfId="36" priority="47">
      <formula>$D$30&lt;$E$30</formula>
    </cfRule>
  </conditionalFormatting>
  <conditionalFormatting sqref="D31">
    <cfRule type="expression" dxfId="35" priority="46">
      <formula>$D$31&gt;$E$31</formula>
    </cfRule>
    <cfRule type="expression" dxfId="34" priority="45">
      <formula>$D$31&lt;$E$31</formula>
    </cfRule>
  </conditionalFormatting>
  <conditionalFormatting sqref="J29">
    <cfRule type="expression" dxfId="33" priority="44">
      <formula>$J$29&gt;$K$29</formula>
    </cfRule>
    <cfRule type="expression" dxfId="32" priority="43">
      <formula>$J$29&lt;=$K$29</formula>
    </cfRule>
  </conditionalFormatting>
  <conditionalFormatting sqref="J30">
    <cfRule type="expression" dxfId="31" priority="42">
      <formula>$J$30&gt;$K$30</formula>
    </cfRule>
    <cfRule type="expression" dxfId="30" priority="41">
      <formula>$J$30&lt;=$K$30</formula>
    </cfRule>
  </conditionalFormatting>
  <conditionalFormatting sqref="J31">
    <cfRule type="expression" dxfId="29" priority="40">
      <formula>$J$31&gt;$K$31</formula>
    </cfRule>
    <cfRule type="expression" dxfId="28" priority="39">
      <formula>$J$31&lt;=$K$31</formula>
    </cfRule>
  </conditionalFormatting>
  <conditionalFormatting sqref="J32">
    <cfRule type="expression" dxfId="27" priority="38">
      <formula>$J$32&gt;$K$32</formula>
    </cfRule>
    <cfRule type="expression" dxfId="26" priority="37">
      <formula>$J$32&lt;=$K$32</formula>
    </cfRule>
  </conditionalFormatting>
  <conditionalFormatting sqref="K303:K306">
    <cfRule type="expression" dxfId="25" priority="54">
      <formula>$K303&gt;0</formula>
    </cfRule>
    <cfRule type="expression" dxfId="24" priority="53">
      <formula>$K303&lt;=0</formula>
    </cfRule>
  </conditionalFormatting>
  <conditionalFormatting sqref="Q39">
    <cfRule type="expression" dxfId="23" priority="36">
      <formula>$Q$39="Yes"</formula>
    </cfRule>
    <cfRule type="expression" dxfId="22" priority="35">
      <formula>$Q$39="No"</formula>
    </cfRule>
  </conditionalFormatting>
  <conditionalFormatting sqref="Q70">
    <cfRule type="expression" dxfId="21" priority="22">
      <formula>$Q$39="Yes"</formula>
    </cfRule>
    <cfRule type="expression" dxfId="20" priority="21">
      <formula>$Q$39="No"</formula>
    </cfRule>
  </conditionalFormatting>
  <conditionalFormatting sqref="Q80">
    <cfRule type="expression" dxfId="19" priority="19">
      <formula>$Q$39="No"</formula>
    </cfRule>
    <cfRule type="expression" dxfId="18" priority="20">
      <formula>$Q$39="Yes"</formula>
    </cfRule>
  </conditionalFormatting>
  <conditionalFormatting sqref="Q91">
    <cfRule type="expression" dxfId="17" priority="18">
      <formula>$Q$39="Yes"</formula>
    </cfRule>
    <cfRule type="expression" dxfId="16" priority="17">
      <formula>$Q$39="No"</formula>
    </cfRule>
  </conditionalFormatting>
  <conditionalFormatting sqref="Q101">
    <cfRule type="expression" dxfId="15" priority="16">
      <formula>$Q$39="Yes"</formula>
    </cfRule>
    <cfRule type="expression" dxfId="14" priority="15">
      <formula>$Q$39="No"</formula>
    </cfRule>
  </conditionalFormatting>
  <conditionalFormatting sqref="Q149">
    <cfRule type="expression" dxfId="13" priority="14">
      <formula>$Q$39="Yes"</formula>
    </cfRule>
    <cfRule type="expression" dxfId="12" priority="13">
      <formula>$Q$39="No"</formula>
    </cfRule>
  </conditionalFormatting>
  <conditionalFormatting sqref="Q170">
    <cfRule type="expression" dxfId="11" priority="12">
      <formula>$Q$39="Yes"</formula>
    </cfRule>
    <cfRule type="expression" dxfId="10" priority="11">
      <formula>$Q$39="No"</formula>
    </cfRule>
  </conditionalFormatting>
  <conditionalFormatting sqref="Q217">
    <cfRule type="expression" dxfId="9" priority="10">
      <formula>$Q$39="Yes"</formula>
    </cfRule>
    <cfRule type="expression" dxfId="8" priority="9">
      <formula>$Q$39="No"</formula>
    </cfRule>
  </conditionalFormatting>
  <conditionalFormatting sqref="Q232">
    <cfRule type="expression" dxfId="7" priority="8">
      <formula>$Q$39="Yes"</formula>
    </cfRule>
    <cfRule type="expression" dxfId="6" priority="7">
      <formula>$Q$39="No"</formula>
    </cfRule>
  </conditionalFormatting>
  <conditionalFormatting sqref="Q258">
    <cfRule type="expression" dxfId="5" priority="6">
      <formula>$Q$39="Yes"</formula>
    </cfRule>
    <cfRule type="expression" dxfId="4" priority="5">
      <formula>$Q$39="No"</formula>
    </cfRule>
  </conditionalFormatting>
  <conditionalFormatting sqref="Q275">
    <cfRule type="expression" dxfId="3" priority="4">
      <formula>$Q$39="Yes"</formula>
    </cfRule>
    <cfRule type="expression" dxfId="2" priority="3">
      <formula>$Q$39="No"</formula>
    </cfRule>
  </conditionalFormatting>
  <conditionalFormatting sqref="Q289">
    <cfRule type="expression" dxfId="1" priority="2">
      <formula>$Q$39="Yes"</formula>
    </cfRule>
    <cfRule type="expression" dxfId="0" priority="1">
      <formula>$Q$39="No"</formula>
    </cfRule>
  </conditionalFormatting>
  <dataValidations count="5">
    <dataValidation type="list" allowBlank="1" showInputMessage="1" showErrorMessage="1" sqref="H87 J243 J164:J166 J162 J141:J145 J129:J139 J127 H95:H96 I222" xr:uid="{0429EC27-1D49-41E6-B9CC-D6099CA54878}">
      <formula1>"Yes, No, N/A"</formula1>
    </dataValidation>
    <dataValidation type="list" allowBlank="1" showInputMessage="1" showErrorMessage="1" sqref="I225 I218:I219 J278:J280 J283 J202:J207 J195:J199 J253 J238:J240 J244:J250 J264 J267 J270 J292 H86" xr:uid="{A40838CF-6B51-49D3-B421-C34CA655B1B0}">
      <formula1>"Yes, No"</formula1>
    </dataValidation>
    <dataValidation type="list" allowBlank="1" showInputMessage="1" showErrorMessage="1" sqref="K394" xr:uid="{283A0046-F592-4ED8-ABE9-6D2DFE06C1A0}">
      <formula1>"0,1,3,5"</formula1>
    </dataValidation>
    <dataValidation type="list" allowBlank="1" showInputMessage="1" showErrorMessage="1" sqref="H62" xr:uid="{8B9A0CF6-0471-4FCB-AE9C-72EA8E8A001A}">
      <formula1>"≤30% AMI with a disability,Transition Aged Youth,Expectant mothers or parents experiencing housing instability,Parenting students,Refugees"</formula1>
    </dataValidation>
    <dataValidation type="list" allowBlank="1" showInputMessage="1" showErrorMessage="1" sqref="Q39 Q70 Q80 Q91 Q101 Q149 Q170 Q217 Q232 Q258 Q275 Q289" xr:uid="{CE009E67-2DF3-49B3-89C0-A474809B4445}">
      <formula1>"Meets, Does Not Meet, N/A"</formula1>
    </dataValidation>
  </dataValidations>
  <pageMargins left="0.7" right="0.7" top="0.75" bottom="0.75" header="0.3" footer="0.3"/>
  <pageSetup scale="70" fitToHeight="0" orientation="portrait" r:id="rId1"/>
  <headerFooter>
    <oddFooter>&amp;L&amp;"-,Bold"&amp;9Funding Pool Workbook&amp;"-,Regular"
Affordable Housing Funding Application (AHFA)&amp;C&amp;9Ohio Housing Finance Agency&amp;R&amp;9Page &amp;P of &amp;N</oddFooter>
  </headerFooter>
  <rowBreaks count="7" manualBreakCount="7">
    <brk id="34" min="1" max="11" man="1"/>
    <brk id="98" min="1" max="11" man="1"/>
    <brk id="147" min="1" max="11" man="1"/>
    <brk id="209" min="1" max="11" man="1"/>
    <brk id="272" min="1" max="11" man="1"/>
    <brk id="295" min="1" max="11" man="1"/>
    <brk id="352"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CEAE7CF-3C63-41D0-A6C6-EE6250229301}">
          <x14:formula1>
            <xm:f>Data!$EQ$11:$EQ$18</xm:f>
          </x14:formula1>
          <xm:sqref>H200:J200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BBC12"/>
  <sheetViews>
    <sheetView zoomScale="80" zoomScaleNormal="80" workbookViewId="0"/>
  </sheetViews>
  <sheetFormatPr defaultColWidth="8.875" defaultRowHeight="12.75" x14ac:dyDescent="0.2"/>
  <cols>
    <col min="1" max="1" width="2.625" style="1085" customWidth="1"/>
    <col min="2" max="2" width="10.625" style="1085" bestFit="1" customWidth="1"/>
    <col min="3" max="3" width="15.25" style="1082" bestFit="1" customWidth="1"/>
    <col min="4" max="4" width="9.375" style="1082" bestFit="1" customWidth="1"/>
    <col min="5" max="5" width="16.875" style="1085" bestFit="1" customWidth="1"/>
    <col min="6" max="6" width="14.125" style="1085" bestFit="1" customWidth="1"/>
    <col min="7" max="7" width="21.125" style="1085" bestFit="1" customWidth="1"/>
    <col min="8" max="8" width="16.25" style="1085" bestFit="1" customWidth="1"/>
    <col min="9" max="9" width="13.25" style="1085" bestFit="1" customWidth="1"/>
    <col min="10" max="10" width="12.625" style="1085" bestFit="1" customWidth="1"/>
    <col min="11" max="11" width="19.75" style="1085" bestFit="1" customWidth="1"/>
    <col min="12" max="12" width="6.25" style="1085" bestFit="1" customWidth="1"/>
    <col min="13" max="13" width="21.625" style="1085" bestFit="1" customWidth="1"/>
    <col min="14" max="14" width="22.625" style="1085" bestFit="1" customWidth="1"/>
    <col min="15" max="15" width="18.375" style="1085" bestFit="1" customWidth="1"/>
    <col min="16" max="16" width="10.5" style="1085" bestFit="1" customWidth="1"/>
    <col min="17" max="17" width="11.875" style="1085" bestFit="1" customWidth="1"/>
    <col min="18" max="18" width="12.5" style="1085" bestFit="1" customWidth="1"/>
    <col min="19" max="19" width="20.125" style="1085" bestFit="1" customWidth="1"/>
    <col min="20" max="20" width="19.625" style="1085" bestFit="1" customWidth="1"/>
    <col min="21" max="21" width="19.875" style="1085" bestFit="1" customWidth="1"/>
    <col min="22" max="22" width="18.375" style="1085" bestFit="1" customWidth="1"/>
    <col min="23" max="23" width="14.375" style="1085" bestFit="1" customWidth="1"/>
    <col min="24" max="25" width="13.25" style="1085" bestFit="1" customWidth="1"/>
    <col min="26" max="26" width="11.75" style="1085" bestFit="1" customWidth="1"/>
    <col min="27" max="27" width="20.5" style="1085" bestFit="1" customWidth="1"/>
    <col min="28" max="28" width="12.25" style="1085" bestFit="1" customWidth="1"/>
    <col min="29" max="29" width="22.25" style="1085" bestFit="1" customWidth="1"/>
    <col min="30" max="30" width="25" style="1085" bestFit="1" customWidth="1"/>
    <col min="31" max="31" width="24.125" style="1085" bestFit="1" customWidth="1"/>
    <col min="32" max="32" width="19.125" style="1085" bestFit="1" customWidth="1"/>
    <col min="33" max="33" width="16.625" style="1085" bestFit="1" customWidth="1"/>
    <col min="34" max="34" width="21.875" style="1085" bestFit="1" customWidth="1"/>
    <col min="35" max="35" width="31.875" style="1085" bestFit="1" customWidth="1"/>
    <col min="36" max="36" width="26.875" style="1085" bestFit="1" customWidth="1"/>
    <col min="37" max="37" width="24.375" style="1085" bestFit="1" customWidth="1"/>
    <col min="38" max="38" width="29.625" style="1085" bestFit="1" customWidth="1"/>
    <col min="39" max="39" width="46.875" style="1085" bestFit="1" customWidth="1"/>
    <col min="40" max="40" width="23.125" style="1085" bestFit="1" customWidth="1"/>
    <col min="41" max="41" width="22.5" style="1085" bestFit="1" customWidth="1"/>
    <col min="42" max="42" width="17.375" style="1085" bestFit="1" customWidth="1"/>
    <col min="43" max="43" width="45" style="1085" bestFit="1" customWidth="1"/>
    <col min="44" max="44" width="23.125" style="1085" bestFit="1" customWidth="1"/>
    <col min="45" max="45" width="22.5" style="1085" bestFit="1" customWidth="1"/>
    <col min="46" max="46" width="17.375" style="1085" bestFit="1" customWidth="1"/>
    <col min="47" max="47" width="33.125" style="1085" bestFit="1" customWidth="1"/>
    <col min="48" max="48" width="16.875" style="1085" bestFit="1" customWidth="1"/>
    <col min="49" max="49" width="10.75" style="1085" bestFit="1" customWidth="1"/>
    <col min="50" max="50" width="9.375" style="1085" bestFit="1" customWidth="1"/>
    <col min="51" max="51" width="9.125" style="1085" bestFit="1" customWidth="1"/>
    <col min="52" max="52" width="23.875" style="1085" bestFit="1" customWidth="1"/>
    <col min="53" max="53" width="16.375" style="1085" bestFit="1" customWidth="1"/>
    <col min="54" max="54" width="29.25" style="1085" bestFit="1" customWidth="1"/>
    <col min="55" max="55" width="28.625" style="1085" bestFit="1" customWidth="1"/>
    <col min="56" max="56" width="32.625" style="1085" bestFit="1" customWidth="1"/>
    <col min="57" max="57" width="39.125" style="1085" bestFit="1" customWidth="1"/>
    <col min="58" max="58" width="16.375" style="1085" bestFit="1" customWidth="1"/>
    <col min="59" max="59" width="29.25" style="1085" bestFit="1" customWidth="1"/>
    <col min="60" max="60" width="28.625" style="1085" bestFit="1" customWidth="1"/>
    <col min="61" max="61" width="32.625" style="1085" bestFit="1" customWidth="1"/>
    <col min="62" max="62" width="39.125" style="1085" bestFit="1" customWidth="1"/>
    <col min="63" max="63" width="16.375" style="1085" bestFit="1" customWidth="1"/>
    <col min="64" max="64" width="29.25" style="1085" bestFit="1" customWidth="1"/>
    <col min="65" max="65" width="28.625" style="1085" bestFit="1" customWidth="1"/>
    <col min="66" max="66" width="32.625" style="1085" bestFit="1" customWidth="1"/>
    <col min="67" max="67" width="39.125" style="1085" bestFit="1" customWidth="1"/>
    <col min="68" max="68" width="16.375" style="1085" bestFit="1" customWidth="1"/>
    <col min="69" max="69" width="29.25" style="1085" bestFit="1" customWidth="1"/>
    <col min="70" max="70" width="28.625" style="1085" bestFit="1" customWidth="1"/>
    <col min="71" max="71" width="32.625" style="1085" bestFit="1" customWidth="1"/>
    <col min="72" max="72" width="39.125" style="1085" bestFit="1" customWidth="1"/>
    <col min="73" max="73" width="16.375" style="1085" bestFit="1" customWidth="1"/>
    <col min="74" max="74" width="29.25" style="1085" bestFit="1" customWidth="1"/>
    <col min="75" max="75" width="28.625" style="1085" bestFit="1" customWidth="1"/>
    <col min="76" max="76" width="32.625" style="1085" bestFit="1" customWidth="1"/>
    <col min="77" max="77" width="39.125" style="1085" bestFit="1" customWidth="1"/>
    <col min="78" max="78" width="21.25" style="1085" bestFit="1" customWidth="1"/>
    <col min="79" max="79" width="23" style="1085" bestFit="1" customWidth="1"/>
    <col min="80" max="80" width="20" style="1085" bestFit="1" customWidth="1"/>
    <col min="81" max="81" width="33.875" style="1085" bestFit="1" customWidth="1"/>
    <col min="82" max="82" width="25.875" style="1085" bestFit="1" customWidth="1"/>
    <col min="83" max="83" width="23" style="1085" bestFit="1" customWidth="1"/>
    <col min="84" max="84" width="19.875" style="1085" bestFit="1" customWidth="1"/>
    <col min="85" max="85" width="33.875" style="1085" bestFit="1" customWidth="1"/>
    <col min="86" max="86" width="23.625" style="1085" bestFit="1" customWidth="1"/>
    <col min="87" max="87" width="25.375" style="1085" bestFit="1" customWidth="1"/>
    <col min="88" max="88" width="22.25" style="1085" bestFit="1" customWidth="1"/>
    <col min="89" max="89" width="36.25" style="1085" bestFit="1" customWidth="1"/>
    <col min="90" max="90" width="21.25" style="1085" bestFit="1" customWidth="1"/>
    <col min="91" max="91" width="22.875" style="1085" bestFit="1" customWidth="1"/>
    <col min="92" max="92" width="19.75" style="1085" bestFit="1" customWidth="1"/>
    <col min="93" max="93" width="33.75" style="1085" bestFit="1" customWidth="1"/>
    <col min="94" max="94" width="18.375" style="1085" bestFit="1" customWidth="1"/>
    <col min="95" max="95" width="20.125" style="1085" bestFit="1" customWidth="1"/>
    <col min="96" max="96" width="17" style="1085" bestFit="1" customWidth="1"/>
    <col min="97" max="97" width="31" style="1085" bestFit="1" customWidth="1"/>
    <col min="98" max="98" width="21" style="1085" bestFit="1" customWidth="1"/>
    <col min="99" max="99" width="22.625" style="1085" bestFit="1" customWidth="1"/>
    <col min="100" max="100" width="19.5" style="1085" bestFit="1" customWidth="1"/>
    <col min="101" max="101" width="33.625" style="1085" bestFit="1" customWidth="1"/>
    <col min="102" max="102" width="19.25" style="1085" bestFit="1" customWidth="1"/>
    <col min="103" max="103" width="21" style="1085" bestFit="1" customWidth="1"/>
    <col min="104" max="104" width="17.875" style="1085" bestFit="1" customWidth="1"/>
    <col min="105" max="105" width="31.875" style="1085" bestFit="1" customWidth="1"/>
    <col min="106" max="106" width="21" style="1085" bestFit="1" customWidth="1"/>
    <col min="107" max="107" width="22.625" style="1085" bestFit="1" customWidth="1"/>
    <col min="108" max="108" width="19.5" style="1085" bestFit="1" customWidth="1"/>
    <col min="109" max="109" width="33.625" style="1085" bestFit="1" customWidth="1"/>
    <col min="110" max="110" width="29.375" style="1085" bestFit="1" customWidth="1"/>
    <col min="111" max="111" width="31" style="1085" bestFit="1" customWidth="1"/>
    <col min="112" max="112" width="28" style="1085" bestFit="1" customWidth="1"/>
    <col min="113" max="113" width="42" style="1085" bestFit="1" customWidth="1"/>
    <col min="114" max="114" width="12.875" style="1085" bestFit="1" customWidth="1"/>
    <col min="115" max="115" width="22.75" style="1085" bestFit="1" customWidth="1"/>
    <col min="116" max="116" width="13" style="1085" bestFit="1" customWidth="1"/>
    <col min="117" max="117" width="22.875" style="1085" bestFit="1" customWidth="1"/>
    <col min="118" max="118" width="12.625" style="1085" bestFit="1" customWidth="1"/>
    <col min="119" max="119" width="22.375" style="1085" bestFit="1" customWidth="1"/>
    <col min="120" max="120" width="11.25" style="1085" bestFit="1" customWidth="1"/>
    <col min="121" max="121" width="21.25" style="1085" bestFit="1" customWidth="1"/>
    <col min="122" max="122" width="24.375" style="1085" bestFit="1" customWidth="1"/>
    <col min="123" max="123" width="34.25" style="1085" bestFit="1" customWidth="1"/>
    <col min="124" max="124" width="26.625" style="1085" bestFit="1" customWidth="1"/>
    <col min="125" max="125" width="36.5" style="1085" bestFit="1" customWidth="1"/>
    <col min="126" max="126" width="19" style="1085" bestFit="1" customWidth="1"/>
    <col min="127" max="127" width="28.875" style="1085" bestFit="1" customWidth="1"/>
    <col min="128" max="128" width="15.75" style="1085" bestFit="1" customWidth="1"/>
    <col min="129" max="129" width="25.75" style="1085" bestFit="1" customWidth="1"/>
    <col min="130" max="130" width="15.75" style="1085" bestFit="1" customWidth="1"/>
    <col min="131" max="131" width="25.75" style="1085" bestFit="1" customWidth="1"/>
    <col min="132" max="132" width="14.625" style="1085" bestFit="1" customWidth="1"/>
    <col min="133" max="133" width="24.625" style="1085" bestFit="1" customWidth="1"/>
    <col min="134" max="134" width="55.25" style="1085" bestFit="1" customWidth="1"/>
    <col min="135" max="135" width="28.875" style="1085" bestFit="1" customWidth="1"/>
    <col min="136" max="136" width="30.125" style="1085" bestFit="1" customWidth="1"/>
    <col min="137" max="137" width="31.375" style="1085" bestFit="1" customWidth="1"/>
    <col min="138" max="138" width="17.375" style="1085" bestFit="1" customWidth="1"/>
    <col min="139" max="139" width="17.125" style="1085" bestFit="1" customWidth="1"/>
    <col min="140" max="140" width="15.625" style="1085" bestFit="1" customWidth="1"/>
    <col min="141" max="141" width="17.5" style="1085" bestFit="1" customWidth="1"/>
    <col min="142" max="142" width="20.875" style="1085" bestFit="1" customWidth="1"/>
    <col min="143" max="143" width="20.25" style="1085" bestFit="1" customWidth="1"/>
    <col min="144" max="144" width="23.875" style="1085" bestFit="1" customWidth="1"/>
    <col min="145" max="145" width="6.75" style="1085" bestFit="1" customWidth="1"/>
    <col min="146" max="146" width="12.375" style="1085" bestFit="1" customWidth="1"/>
    <col min="147" max="147" width="20.75" style="1085" bestFit="1" customWidth="1"/>
    <col min="148" max="148" width="21.5" style="1085" bestFit="1" customWidth="1"/>
    <col min="149" max="149" width="8.375" style="1085" bestFit="1" customWidth="1"/>
    <col min="150" max="150" width="21.5" style="1085" bestFit="1" customWidth="1"/>
    <col min="151" max="151" width="18" style="1085" bestFit="1" customWidth="1"/>
    <col min="152" max="152" width="34.25" style="1085" bestFit="1" customWidth="1"/>
    <col min="153" max="153" width="22.875" style="1085" bestFit="1" customWidth="1"/>
    <col min="154" max="154" width="31.125" style="1085" bestFit="1" customWidth="1"/>
    <col min="155" max="155" width="27" style="1085" bestFit="1" customWidth="1"/>
    <col min="156" max="156" width="34" style="1085" bestFit="1" customWidth="1"/>
    <col min="157" max="157" width="26" style="1085" bestFit="1" customWidth="1"/>
    <col min="158" max="158" width="21.625" style="1085" bestFit="1" customWidth="1"/>
    <col min="159" max="159" width="11.625" style="1085" bestFit="1" customWidth="1"/>
    <col min="160" max="160" width="22.75" style="1085" bestFit="1" customWidth="1"/>
    <col min="161" max="161" width="23.625" style="1085" bestFit="1" customWidth="1"/>
    <col min="162" max="162" width="23.5" style="1085" bestFit="1" customWidth="1"/>
    <col min="163" max="163" width="28.625" style="1085" bestFit="1" customWidth="1"/>
    <col min="164" max="164" width="16.875" style="1085" bestFit="1" customWidth="1"/>
    <col min="165" max="165" width="22.875" style="1085" bestFit="1" customWidth="1"/>
    <col min="166" max="166" width="22.375" style="1085" bestFit="1" customWidth="1"/>
    <col min="167" max="167" width="20.25" style="1085" bestFit="1" customWidth="1"/>
    <col min="168" max="168" width="23.25" style="1085" bestFit="1" customWidth="1"/>
    <col min="169" max="169" width="15.75" style="1085" bestFit="1" customWidth="1"/>
    <col min="170" max="170" width="15.25" style="1085" bestFit="1" customWidth="1"/>
    <col min="171" max="171" width="21" style="1085" bestFit="1" customWidth="1"/>
    <col min="172" max="172" width="24.375" style="1085" bestFit="1" customWidth="1"/>
    <col min="173" max="173" width="31.125" style="1085" bestFit="1" customWidth="1"/>
    <col min="174" max="174" width="21.625" style="1085" bestFit="1" customWidth="1"/>
    <col min="175" max="175" width="17" style="1085" bestFit="1" customWidth="1"/>
    <col min="176" max="176" width="11.5" style="1085" bestFit="1" customWidth="1"/>
    <col min="177" max="177" width="22.625" style="1085" bestFit="1" customWidth="1"/>
    <col min="178" max="178" width="17.625" style="1085" bestFit="1" customWidth="1"/>
    <col min="179" max="180" width="15.375" style="1085" bestFit="1" customWidth="1"/>
    <col min="181" max="181" width="25.25" style="1085" bestFit="1" customWidth="1"/>
    <col min="182" max="182" width="28" style="1085" bestFit="1" customWidth="1"/>
    <col min="183" max="183" width="38.125" style="1085" bestFit="1" customWidth="1"/>
    <col min="184" max="184" width="37.25" style="1085" bestFit="1" customWidth="1"/>
    <col min="185" max="185" width="21.375" style="1085" bestFit="1" customWidth="1"/>
    <col min="186" max="186" width="54.75" style="1085" bestFit="1" customWidth="1"/>
    <col min="187" max="187" width="12.375" style="1085" bestFit="1" customWidth="1"/>
    <col min="188" max="188" width="20.25" style="1085" bestFit="1" customWidth="1"/>
    <col min="189" max="189" width="20.625" style="1085" bestFit="1" customWidth="1"/>
    <col min="190" max="190" width="20.5" style="1085" bestFit="1" customWidth="1"/>
    <col min="191" max="191" width="26.875" style="1085" bestFit="1" customWidth="1"/>
    <col min="192" max="192" width="19.25" style="1085" bestFit="1" customWidth="1"/>
    <col min="193" max="193" width="22.75" style="1085" bestFit="1" customWidth="1"/>
    <col min="194" max="194" width="22" style="1085" bestFit="1" customWidth="1"/>
    <col min="195" max="195" width="23.375" style="1085" bestFit="1" customWidth="1"/>
    <col min="196" max="196" width="28.125" style="1085" bestFit="1" customWidth="1"/>
    <col min="197" max="197" width="23.375" style="1085" bestFit="1" customWidth="1"/>
    <col min="198" max="198" width="22.625" style="1085" bestFit="1" customWidth="1"/>
    <col min="199" max="199" width="24.125" style="1085" bestFit="1" customWidth="1"/>
    <col min="200" max="200" width="23.375" style="1085" bestFit="1" customWidth="1"/>
    <col min="201" max="201" width="29.875" style="1085" bestFit="1" customWidth="1"/>
    <col min="202" max="202" width="31.25" style="1085" bestFit="1" customWidth="1"/>
    <col min="203" max="203" width="24.25" style="1085" bestFit="1" customWidth="1"/>
    <col min="204" max="204" width="30.625" style="1085" bestFit="1" customWidth="1"/>
    <col min="205" max="205" width="32.125" style="1085" bestFit="1" customWidth="1"/>
    <col min="206" max="206" width="40.875" style="1085" bestFit="1" customWidth="1"/>
    <col min="207" max="207" width="47.375" style="1085" bestFit="1" customWidth="1"/>
    <col min="208" max="208" width="48.75" style="1085" bestFit="1" customWidth="1"/>
    <col min="209" max="209" width="26.875" style="1085" bestFit="1" customWidth="1"/>
    <col min="210" max="210" width="27.25" style="1085" bestFit="1" customWidth="1"/>
    <col min="211" max="212" width="31" style="1085" bestFit="1" customWidth="1"/>
    <col min="213" max="213" width="38.75" style="1085" bestFit="1" customWidth="1"/>
    <col min="214" max="214" width="19.875" style="1085" bestFit="1" customWidth="1"/>
    <col min="215" max="215" width="21.75" style="1085" bestFit="1" customWidth="1"/>
    <col min="216" max="220" width="20.75" style="1085" bestFit="1" customWidth="1"/>
    <col min="221" max="227" width="29" style="1085" bestFit="1" customWidth="1"/>
    <col min="228" max="234" width="27.125" style="1085" bestFit="1" customWidth="1"/>
    <col min="235" max="235" width="13.625" style="1085" bestFit="1" customWidth="1"/>
    <col min="236" max="236" width="11.25" style="1085" bestFit="1" customWidth="1"/>
    <col min="237" max="237" width="9.375" style="1085" bestFit="1" customWidth="1"/>
    <col min="238" max="242" width="8.5" style="1085" bestFit="1" customWidth="1"/>
    <col min="243" max="243" width="32.875" style="1085" bestFit="1" customWidth="1"/>
    <col min="244" max="244" width="22.375" style="1085" bestFit="1" customWidth="1"/>
    <col min="245" max="249" width="21.5" style="1085" bestFit="1" customWidth="1"/>
    <col min="250" max="250" width="29.125" style="1085" bestFit="1" customWidth="1"/>
    <col min="251" max="251" width="23.25" style="1085" bestFit="1" customWidth="1"/>
    <col min="252" max="252" width="51.5" style="1085" bestFit="1" customWidth="1"/>
    <col min="253" max="253" width="21.625" style="1085" bestFit="1" customWidth="1"/>
    <col min="254" max="254" width="47" style="1085" bestFit="1" customWidth="1"/>
    <col min="255" max="255" width="26.875" style="1085" bestFit="1" customWidth="1"/>
    <col min="256" max="256" width="52.25" style="1085" bestFit="1" customWidth="1"/>
    <col min="257" max="257" width="13.375" style="1085" bestFit="1" customWidth="1"/>
    <col min="258" max="258" width="25.75" style="1085" bestFit="1" customWidth="1"/>
    <col min="259" max="259" width="18.375" style="1085" bestFit="1" customWidth="1"/>
    <col min="260" max="260" width="32.625" style="1085" bestFit="1" customWidth="1"/>
    <col min="261" max="261" width="13.375" style="1085" bestFit="1" customWidth="1"/>
    <col min="262" max="262" width="28.125" style="1085" bestFit="1" customWidth="1"/>
    <col min="263" max="263" width="16.5" style="1085" bestFit="1" customWidth="1"/>
    <col min="264" max="264" width="31.125" style="1085" bestFit="1" customWidth="1"/>
    <col min="265" max="265" width="15.25" style="1085" bestFit="1" customWidth="1"/>
    <col min="266" max="266" width="15.5" style="1085" bestFit="1" customWidth="1"/>
    <col min="267" max="267" width="29.75" style="1085" bestFit="1" customWidth="1"/>
    <col min="268" max="268" width="19.625" style="1085" bestFit="1" customWidth="1"/>
    <col min="269" max="269" width="28.375" style="1085" bestFit="1" customWidth="1"/>
    <col min="270" max="270" width="34.375" style="1085" bestFit="1" customWidth="1"/>
    <col min="271" max="271" width="19.125" style="1085" bestFit="1" customWidth="1"/>
    <col min="272" max="272" width="21.875" style="1085" bestFit="1" customWidth="1"/>
    <col min="273" max="273" width="36.625" style="1085" bestFit="1" customWidth="1"/>
    <col min="274" max="274" width="18.625" style="1085" bestFit="1" customWidth="1"/>
    <col min="275" max="275" width="27.375" style="1085" bestFit="1" customWidth="1"/>
    <col min="276" max="276" width="33.375" style="1085" bestFit="1" customWidth="1"/>
    <col min="277" max="277" width="18.625" style="1085" bestFit="1" customWidth="1"/>
    <col min="278" max="278" width="27.375" style="1085" bestFit="1" customWidth="1"/>
    <col min="279" max="279" width="33.375" style="1085" bestFit="1" customWidth="1"/>
    <col min="280" max="280" width="18.625" style="1085" bestFit="1" customWidth="1"/>
    <col min="281" max="281" width="27.375" style="1085" bestFit="1" customWidth="1"/>
    <col min="282" max="282" width="33.375" style="1085" bestFit="1" customWidth="1"/>
    <col min="283" max="283" width="15.875" style="1085" bestFit="1" customWidth="1"/>
    <col min="284" max="284" width="17.5" style="1085" bestFit="1" customWidth="1"/>
    <col min="285" max="285" width="30.75" style="1085" bestFit="1" customWidth="1"/>
    <col min="286" max="286" width="23.625" style="1085" bestFit="1" customWidth="1"/>
    <col min="287" max="287" width="28.375" style="1085" bestFit="1" customWidth="1"/>
    <col min="288" max="288" width="36.125" style="1085" bestFit="1" customWidth="1"/>
    <col min="289" max="289" width="19.375" style="1085" bestFit="1" customWidth="1"/>
    <col min="290" max="290" width="24.625" style="1085" bestFit="1" customWidth="1"/>
    <col min="291" max="291" width="26.875" style="1085" bestFit="1" customWidth="1"/>
    <col min="292" max="292" width="22.5" style="1085" bestFit="1" customWidth="1"/>
    <col min="293" max="293" width="22.25" style="1085" bestFit="1" customWidth="1"/>
    <col min="294" max="294" width="24.125" style="1085" bestFit="1" customWidth="1"/>
    <col min="295" max="295" width="19.5" style="1085" bestFit="1" customWidth="1"/>
    <col min="296" max="296" width="24.25" style="1085" bestFit="1" customWidth="1"/>
    <col min="297" max="297" width="34" style="1085" bestFit="1" customWidth="1"/>
    <col min="298" max="298" width="35.75" style="1085" bestFit="1" customWidth="1"/>
    <col min="299" max="299" width="44.5" style="1085" bestFit="1" customWidth="1"/>
    <col min="300" max="300" width="35.75" style="1085" bestFit="1" customWidth="1"/>
    <col min="301" max="301" width="44.5" style="1085" bestFit="1" customWidth="1"/>
    <col min="302" max="302" width="35.75" style="1085" bestFit="1" customWidth="1"/>
    <col min="303" max="303" width="46.25" style="1085" bestFit="1" customWidth="1"/>
    <col min="304" max="304" width="23" style="1085" bestFit="1" customWidth="1"/>
    <col min="305" max="305" width="22.875" style="1085" bestFit="1" customWidth="1"/>
    <col min="306" max="306" width="20.375" style="1085" bestFit="1" customWidth="1"/>
    <col min="307" max="307" width="18.75" style="1085" bestFit="1" customWidth="1"/>
    <col min="308" max="308" width="20.375" style="1085" bestFit="1" customWidth="1"/>
    <col min="309" max="309" width="20.125" style="1085" bestFit="1" customWidth="1"/>
    <col min="310" max="310" width="21.375" style="1085" bestFit="1" customWidth="1"/>
    <col min="311" max="311" width="35.75" style="1085" bestFit="1" customWidth="1"/>
    <col min="312" max="312" width="44.5" style="1085" bestFit="1" customWidth="1"/>
    <col min="313" max="313" width="35.75" style="1085" bestFit="1" customWidth="1"/>
    <col min="314" max="314" width="44.5" style="1085" bestFit="1" customWidth="1"/>
    <col min="315" max="315" width="27" style="1085" bestFit="1" customWidth="1"/>
    <col min="316" max="316" width="45" style="1085" bestFit="1" customWidth="1"/>
    <col min="317" max="317" width="26.25" style="1085" bestFit="1" customWidth="1"/>
    <col min="318" max="318" width="38.125" style="1085" bestFit="1" customWidth="1"/>
    <col min="319" max="319" width="33.375" style="1085" bestFit="1" customWidth="1"/>
    <col min="320" max="320" width="30.625" style="1085" bestFit="1" customWidth="1"/>
    <col min="321" max="321" width="35.125" style="1085" bestFit="1" customWidth="1"/>
    <col min="322" max="322" width="36.5" style="1085" bestFit="1" customWidth="1"/>
    <col min="323" max="323" width="37.75" style="1085" bestFit="1" customWidth="1"/>
    <col min="324" max="324" width="34.625" style="1085" bestFit="1" customWidth="1"/>
    <col min="325" max="325" width="41" style="1085" bestFit="1" customWidth="1"/>
    <col min="326" max="326" width="43.125" style="1085" bestFit="1" customWidth="1"/>
    <col min="327" max="327" width="41.625" style="1085" bestFit="1" customWidth="1"/>
    <col min="328" max="328" width="30.25" style="1085" bestFit="1" customWidth="1"/>
    <col min="329" max="329" width="52.75" style="1085" bestFit="1" customWidth="1"/>
    <col min="330" max="330" width="61.5" style="1085" bestFit="1" customWidth="1"/>
    <col min="331" max="331" width="52.75" style="1085" bestFit="1" customWidth="1"/>
    <col min="332" max="332" width="61.5" style="1085" bestFit="1" customWidth="1"/>
    <col min="333" max="333" width="52.75" style="1085" bestFit="1" customWidth="1"/>
    <col min="334" max="334" width="61.5" style="1085" bestFit="1" customWidth="1"/>
    <col min="335" max="335" width="52.75" style="1085" bestFit="1" customWidth="1"/>
    <col min="336" max="336" width="61.5" style="1085" bestFit="1" customWidth="1"/>
    <col min="337" max="337" width="31.5" style="1085" bestFit="1" customWidth="1"/>
    <col min="338" max="338" width="37.75" style="1085" bestFit="1" customWidth="1"/>
    <col min="339" max="339" width="35.875" style="1085" bestFit="1" customWidth="1"/>
    <col min="340" max="340" width="26.5" style="1085" bestFit="1" customWidth="1"/>
    <col min="341" max="341" width="36.625" style="1085" bestFit="1" customWidth="1"/>
    <col min="342" max="342" width="34" style="1085" bestFit="1" customWidth="1"/>
    <col min="343" max="343" width="34.125" style="1085" bestFit="1" customWidth="1"/>
    <col min="344" max="344" width="35.625" style="1085" bestFit="1" customWidth="1"/>
    <col min="345" max="345" width="46" style="1085" bestFit="1" customWidth="1"/>
    <col min="346" max="346" width="44" style="1085" bestFit="1" customWidth="1"/>
    <col min="347" max="347" width="52.75" style="1085" bestFit="1" customWidth="1"/>
    <col min="348" max="348" width="44" style="1085" bestFit="1" customWidth="1"/>
    <col min="349" max="349" width="52.75" style="1085" bestFit="1" customWidth="1"/>
    <col min="350" max="350" width="44" style="1085" bestFit="1" customWidth="1"/>
    <col min="351" max="351" width="52.75" style="1085" bestFit="1" customWidth="1"/>
    <col min="352" max="352" width="28" style="1085" bestFit="1" customWidth="1"/>
    <col min="353" max="353" width="41.5" style="1085" bestFit="1" customWidth="1"/>
    <col min="354" max="354" width="53.375" style="1085" bestFit="1" customWidth="1"/>
    <col min="355" max="355" width="62.25" style="1085" bestFit="1" customWidth="1"/>
    <col min="356" max="356" width="53.375" style="1085" bestFit="1" customWidth="1"/>
    <col min="357" max="357" width="62.25" style="1085" bestFit="1" customWidth="1"/>
    <col min="358" max="358" width="53.375" style="1085" bestFit="1" customWidth="1"/>
    <col min="359" max="359" width="62.25" style="1085" bestFit="1" customWidth="1"/>
    <col min="360" max="360" width="35.75" style="1085" bestFit="1" customWidth="1"/>
    <col min="361" max="361" width="19.375" style="1085" bestFit="1" customWidth="1"/>
    <col min="362" max="362" width="16.625" style="1085" bestFit="1" customWidth="1"/>
    <col min="363" max="363" width="29.75" style="1085" bestFit="1" customWidth="1"/>
    <col min="364" max="364" width="32.125" style="1085" bestFit="1" customWidth="1"/>
    <col min="365" max="365" width="34.75" style="1085" bestFit="1" customWidth="1"/>
    <col min="366" max="366" width="22.25" style="1085" bestFit="1" customWidth="1"/>
    <col min="367" max="368" width="27" style="1085" bestFit="1" customWidth="1"/>
    <col min="369" max="369" width="33.125" style="1085" bestFit="1" customWidth="1"/>
    <col min="370" max="370" width="32.75" style="1085" bestFit="1" customWidth="1"/>
    <col min="371" max="371" width="31" style="1085" bestFit="1" customWidth="1"/>
    <col min="372" max="373" width="30.625" style="1085" bestFit="1" customWidth="1"/>
    <col min="374" max="374" width="30.25" style="1085" bestFit="1" customWidth="1"/>
    <col min="375" max="375" width="34.25" style="1085" bestFit="1" customWidth="1"/>
    <col min="376" max="376" width="35.5" style="1085" bestFit="1" customWidth="1"/>
    <col min="377" max="377" width="31" style="1085" bestFit="1" customWidth="1"/>
    <col min="378" max="378" width="41" style="1085" bestFit="1" customWidth="1"/>
    <col min="379" max="379" width="42.25" style="1085" bestFit="1" customWidth="1"/>
    <col min="380" max="380" width="39.625" style="1085" bestFit="1" customWidth="1"/>
    <col min="381" max="381" width="39.25" style="1085" bestFit="1" customWidth="1"/>
    <col min="382" max="382" width="34.75" style="1085" bestFit="1" customWidth="1"/>
    <col min="383" max="383" width="34.5" style="1085" bestFit="1" customWidth="1"/>
    <col min="384" max="384" width="38.375" style="1085" bestFit="1" customWidth="1"/>
    <col min="385" max="385" width="39.625" style="1085" bestFit="1" customWidth="1"/>
    <col min="386" max="386" width="27.375" style="1085" bestFit="1" customWidth="1"/>
    <col min="387" max="387" width="27.125" style="1085" bestFit="1" customWidth="1"/>
    <col min="388" max="388" width="31" style="1085" bestFit="1" customWidth="1"/>
    <col min="389" max="389" width="32.25" style="1085" bestFit="1" customWidth="1"/>
    <col min="390" max="390" width="37.75" style="1085" bestFit="1" customWidth="1"/>
    <col min="391" max="391" width="37.375" style="1085" bestFit="1" customWidth="1"/>
    <col min="392" max="392" width="28.625" style="1085" bestFit="1" customWidth="1"/>
    <col min="393" max="393" width="26.75" style="1085" bestFit="1" customWidth="1"/>
    <col min="394" max="394" width="30.625" style="1085" bestFit="1" customWidth="1"/>
    <col min="395" max="395" width="31.875" style="1085" bestFit="1" customWidth="1"/>
    <col min="396" max="396" width="27.25" style="1085" bestFit="1" customWidth="1"/>
    <col min="397" max="397" width="31.125" style="1085" bestFit="1" customWidth="1"/>
    <col min="398" max="398" width="32.375" style="1085" bestFit="1" customWidth="1"/>
    <col min="399" max="399" width="26.625" style="1085" bestFit="1" customWidth="1"/>
    <col min="400" max="400" width="30.5" style="1085" bestFit="1" customWidth="1"/>
    <col min="401" max="401" width="31.75" style="1085" bestFit="1" customWidth="1"/>
    <col min="402" max="402" width="26.375" style="1085" bestFit="1" customWidth="1"/>
    <col min="403" max="403" width="30.375" style="1085" bestFit="1" customWidth="1"/>
    <col min="404" max="404" width="31.625" style="1085" bestFit="1" customWidth="1"/>
    <col min="405" max="405" width="25" style="1085" bestFit="1" customWidth="1"/>
    <col min="406" max="406" width="22.75" style="1085" bestFit="1" customWidth="1"/>
    <col min="407" max="407" width="22.375" style="1085" bestFit="1" customWidth="1"/>
    <col min="408" max="408" width="26.25" style="1085" bestFit="1" customWidth="1"/>
    <col min="409" max="409" width="27.5" style="1085" bestFit="1" customWidth="1"/>
    <col min="410" max="410" width="28" style="1085" bestFit="1" customWidth="1"/>
    <col min="411" max="411" width="25" style="1085" bestFit="1" customWidth="1"/>
    <col min="412" max="412" width="22.75" style="1085" bestFit="1" customWidth="1"/>
    <col min="413" max="413" width="22.375" style="1085" bestFit="1" customWidth="1"/>
    <col min="414" max="414" width="26.25" style="1085" bestFit="1" customWidth="1"/>
    <col min="415" max="415" width="27.5" style="1085" bestFit="1" customWidth="1"/>
    <col min="416" max="416" width="28" style="1085" bestFit="1" customWidth="1"/>
    <col min="417" max="417" width="25" style="1085" bestFit="1" customWidth="1"/>
    <col min="418" max="418" width="22.75" style="1085" bestFit="1" customWidth="1"/>
    <col min="419" max="419" width="22.375" style="1085" bestFit="1" customWidth="1"/>
    <col min="420" max="420" width="26.25" style="1085" bestFit="1" customWidth="1"/>
    <col min="421" max="421" width="27.5" style="1085" bestFit="1" customWidth="1"/>
    <col min="422" max="422" width="28" style="1085" bestFit="1" customWidth="1"/>
    <col min="423" max="423" width="25" style="1085" bestFit="1" customWidth="1"/>
    <col min="424" max="424" width="22.75" style="1085" bestFit="1" customWidth="1"/>
    <col min="425" max="425" width="22.375" style="1085" bestFit="1" customWidth="1"/>
    <col min="426" max="426" width="26.25" style="1085" bestFit="1" customWidth="1"/>
    <col min="427" max="427" width="27.5" style="1085" bestFit="1" customWidth="1"/>
    <col min="428" max="428" width="28" style="1085" bestFit="1" customWidth="1"/>
    <col min="429" max="429" width="25" style="1085" bestFit="1" customWidth="1"/>
    <col min="430" max="430" width="22.75" style="1085" bestFit="1" customWidth="1"/>
    <col min="431" max="431" width="22.375" style="1085" bestFit="1" customWidth="1"/>
    <col min="432" max="432" width="26.25" style="1085" bestFit="1" customWidth="1"/>
    <col min="433" max="433" width="27.5" style="1085" bestFit="1" customWidth="1"/>
    <col min="434" max="434" width="28" style="1085" bestFit="1" customWidth="1"/>
    <col min="435" max="435" width="25" style="1085" bestFit="1" customWidth="1"/>
    <col min="436" max="436" width="22.75" style="1085" bestFit="1" customWidth="1"/>
    <col min="437" max="437" width="22.375" style="1085" bestFit="1" customWidth="1"/>
    <col min="438" max="438" width="26.25" style="1085" bestFit="1" customWidth="1"/>
    <col min="439" max="439" width="27.5" style="1085" bestFit="1" customWidth="1"/>
    <col min="440" max="440" width="28" style="1085" bestFit="1" customWidth="1"/>
    <col min="441" max="441" width="25" style="1085" bestFit="1" customWidth="1"/>
    <col min="442" max="442" width="22.75" style="1085" bestFit="1" customWidth="1"/>
    <col min="443" max="443" width="22.375" style="1085" bestFit="1" customWidth="1"/>
    <col min="444" max="444" width="26.25" style="1085" bestFit="1" customWidth="1"/>
    <col min="445" max="445" width="27.5" style="1085" bestFit="1" customWidth="1"/>
    <col min="446" max="446" width="28" style="1085" bestFit="1" customWidth="1"/>
    <col min="447" max="447" width="30.75" style="1085" bestFit="1" customWidth="1"/>
    <col min="448" max="448" width="27.625" style="1085" bestFit="1" customWidth="1"/>
    <col min="449" max="449" width="27.25" style="1085" bestFit="1" customWidth="1"/>
    <col min="450" max="450" width="25.5" style="1085" bestFit="1" customWidth="1"/>
    <col min="451" max="451" width="25.125" style="1085" bestFit="1" customWidth="1"/>
    <col min="452" max="452" width="30.75" style="1085" bestFit="1" customWidth="1"/>
    <col min="453" max="453" width="30.5" style="1085" bestFit="1" customWidth="1"/>
    <col min="454" max="454" width="34.375" style="1085" bestFit="1" customWidth="1"/>
    <col min="455" max="455" width="27.75" style="1085" bestFit="1" customWidth="1"/>
    <col min="456" max="456" width="34.5" style="1085" bestFit="1" customWidth="1"/>
    <col min="457" max="457" width="45" style="1085" bestFit="1" customWidth="1"/>
    <col min="458" max="458" width="33.125" style="1085" bestFit="1" customWidth="1"/>
    <col min="459" max="459" width="32.75" style="1085" bestFit="1" customWidth="1"/>
    <col min="460" max="460" width="36.75" style="1085" bestFit="1" customWidth="1"/>
    <col min="461" max="461" width="30" style="1085" bestFit="1" customWidth="1"/>
    <col min="462" max="462" width="36.75" style="1085" bestFit="1" customWidth="1"/>
    <col min="463" max="463" width="47.25" style="1085" bestFit="1" customWidth="1"/>
    <col min="464" max="464" width="34.125" style="1085" bestFit="1" customWidth="1"/>
    <col min="465" max="465" width="33.75" style="1085" bestFit="1" customWidth="1"/>
    <col min="466" max="466" width="29.375" style="1085" bestFit="1" customWidth="1"/>
    <col min="467" max="467" width="29" style="1085" bestFit="1" customWidth="1"/>
    <col min="468" max="468" width="32.875" style="1085" bestFit="1" customWidth="1"/>
    <col min="469" max="469" width="45.625" style="1085" bestFit="1" customWidth="1"/>
    <col min="470" max="470" width="33" style="1085" bestFit="1" customWidth="1"/>
    <col min="471" max="471" width="22" style="1085" bestFit="1" customWidth="1"/>
    <col min="472" max="472" width="21.625" style="1085" bestFit="1" customWidth="1"/>
    <col min="473" max="473" width="25.5" style="1085" bestFit="1" customWidth="1"/>
    <col min="474" max="474" width="38.25" style="1085" bestFit="1" customWidth="1"/>
    <col min="475" max="475" width="25.625" style="1085" bestFit="1" customWidth="1"/>
    <col min="476" max="476" width="32.375" style="1085" bestFit="1" customWidth="1"/>
    <col min="477" max="477" width="32" style="1085" bestFit="1" customWidth="1"/>
    <col min="478" max="478" width="21.25" style="1085" bestFit="1" customWidth="1"/>
    <col min="479" max="479" width="25.25" style="1085" bestFit="1" customWidth="1"/>
    <col min="480" max="480" width="37.875" style="1085" bestFit="1" customWidth="1"/>
    <col min="481" max="481" width="25.25" style="1085" bestFit="1" customWidth="1"/>
    <col min="482" max="482" width="21.75" style="1085" bestFit="1" customWidth="1"/>
    <col min="483" max="483" width="25.625" style="1085" bestFit="1" customWidth="1"/>
    <col min="484" max="484" width="38.375" style="1085" bestFit="1" customWidth="1"/>
    <col min="485" max="485" width="25.75" style="1085" bestFit="1" customWidth="1"/>
    <col min="486" max="486" width="21.125" style="1085" bestFit="1" customWidth="1"/>
    <col min="487" max="487" width="25" style="1085" bestFit="1" customWidth="1"/>
    <col min="488" max="488" width="37.75" style="1085" bestFit="1" customWidth="1"/>
    <col min="489" max="489" width="25.125" style="1085" bestFit="1" customWidth="1"/>
    <col min="490" max="490" width="21" style="1085" bestFit="1" customWidth="1"/>
    <col min="491" max="491" width="20.875" style="1085" bestFit="1" customWidth="1"/>
    <col min="492" max="492" width="36.75" style="1085" bestFit="1" customWidth="1"/>
    <col min="493" max="493" width="25" style="1085" bestFit="1" customWidth="1"/>
    <col min="494" max="494" width="19.5" style="1085" bestFit="1" customWidth="1"/>
    <col min="495" max="495" width="17.25" style="1085" bestFit="1" customWidth="1"/>
    <col min="496" max="496" width="16.875" style="1085" bestFit="1" customWidth="1"/>
    <col min="497" max="497" width="20.75" style="1085" bestFit="1" customWidth="1"/>
    <col min="498" max="498" width="33.625" style="1085" bestFit="1" customWidth="1"/>
    <col min="499" max="499" width="20.875" style="1085" bestFit="1" customWidth="1"/>
    <col min="500" max="500" width="22.375" style="1085" bestFit="1" customWidth="1"/>
    <col min="501" max="501" width="19.5" style="1085" bestFit="1" customWidth="1"/>
    <col min="502" max="502" width="17.25" style="1085" bestFit="1" customWidth="1"/>
    <col min="503" max="503" width="16.875" style="1085" bestFit="1" customWidth="1"/>
    <col min="504" max="504" width="20.75" style="1085" bestFit="1" customWidth="1"/>
    <col min="505" max="505" width="33.625" style="1085" bestFit="1" customWidth="1"/>
    <col min="506" max="506" width="20.875" style="1085" bestFit="1" customWidth="1"/>
    <col min="507" max="507" width="22.375" style="1085" bestFit="1" customWidth="1"/>
    <col min="508" max="508" width="19.5" style="1085" bestFit="1" customWidth="1"/>
    <col min="509" max="509" width="17.25" style="1085" bestFit="1" customWidth="1"/>
    <col min="510" max="510" width="16.875" style="1085" bestFit="1" customWidth="1"/>
    <col min="511" max="511" width="20.75" style="1085" bestFit="1" customWidth="1"/>
    <col min="512" max="512" width="33.625" style="1085" bestFit="1" customWidth="1"/>
    <col min="513" max="513" width="20.875" style="1085" bestFit="1" customWidth="1"/>
    <col min="514" max="514" width="22.375" style="1085" bestFit="1" customWidth="1"/>
    <col min="515" max="515" width="19.5" style="1085" bestFit="1" customWidth="1"/>
    <col min="516" max="516" width="17.25" style="1085" bestFit="1" customWidth="1"/>
    <col min="517" max="517" width="16.875" style="1085" bestFit="1" customWidth="1"/>
    <col min="518" max="518" width="20.75" style="1085" bestFit="1" customWidth="1"/>
    <col min="519" max="519" width="33.625" style="1085" bestFit="1" customWidth="1"/>
    <col min="520" max="520" width="20.875" style="1085" bestFit="1" customWidth="1"/>
    <col min="521" max="521" width="22.375" style="1085" bestFit="1" customWidth="1"/>
    <col min="522" max="522" width="19.5" style="1085" bestFit="1" customWidth="1"/>
    <col min="523" max="523" width="17.25" style="1085" bestFit="1" customWidth="1"/>
    <col min="524" max="524" width="16.875" style="1085" bestFit="1" customWidth="1"/>
    <col min="525" max="525" width="20.75" style="1085" bestFit="1" customWidth="1"/>
    <col min="526" max="526" width="33.625" style="1085" bestFit="1" customWidth="1"/>
    <col min="527" max="527" width="20.875" style="1085" bestFit="1" customWidth="1"/>
    <col min="528" max="528" width="22.375" style="1085" bestFit="1" customWidth="1"/>
    <col min="529" max="529" width="19.5" style="1085" bestFit="1" customWidth="1"/>
    <col min="530" max="530" width="17.25" style="1085" bestFit="1" customWidth="1"/>
    <col min="531" max="531" width="16.875" style="1085" bestFit="1" customWidth="1"/>
    <col min="532" max="532" width="20.75" style="1085" bestFit="1" customWidth="1"/>
    <col min="533" max="533" width="33.625" style="1085" bestFit="1" customWidth="1"/>
    <col min="534" max="534" width="20.875" style="1085" bestFit="1" customWidth="1"/>
    <col min="535" max="535" width="22.375" style="1085" bestFit="1" customWidth="1"/>
    <col min="536" max="536" width="19.5" style="1085" bestFit="1" customWidth="1"/>
    <col min="537" max="537" width="17.25" style="1085" bestFit="1" customWidth="1"/>
    <col min="538" max="538" width="16.875" style="1085" bestFit="1" customWidth="1"/>
    <col min="539" max="539" width="20.75" style="1085" bestFit="1" customWidth="1"/>
    <col min="540" max="540" width="33.625" style="1085" bestFit="1" customWidth="1"/>
    <col min="541" max="541" width="20.875" style="1085" bestFit="1" customWidth="1"/>
    <col min="542" max="542" width="22.375" style="1085" bestFit="1" customWidth="1"/>
    <col min="543" max="543" width="19.5" style="1085" bestFit="1" customWidth="1"/>
    <col min="544" max="544" width="17.25" style="1085" bestFit="1" customWidth="1"/>
    <col min="545" max="545" width="16.875" style="1085" bestFit="1" customWidth="1"/>
    <col min="546" max="546" width="20.75" style="1085" bestFit="1" customWidth="1"/>
    <col min="547" max="547" width="33.625" style="1085" bestFit="1" customWidth="1"/>
    <col min="548" max="548" width="20.875" style="1085" bestFit="1" customWidth="1"/>
    <col min="549" max="549" width="22.375" style="1085" bestFit="1" customWidth="1"/>
    <col min="550" max="550" width="36.375" style="1085" bestFit="1" customWidth="1"/>
    <col min="551" max="551" width="38.875" style="1085" bestFit="1" customWidth="1"/>
    <col min="552" max="552" width="33.375" style="1085" bestFit="1" customWidth="1"/>
    <col min="553" max="554" width="25.25" style="1085" bestFit="1" customWidth="1"/>
    <col min="555" max="555" width="36.25" style="1085" bestFit="1" customWidth="1"/>
    <col min="556" max="556" width="37.875" style="1085" bestFit="1" customWidth="1"/>
    <col min="557" max="557" width="37.375" style="1085" bestFit="1" customWidth="1"/>
    <col min="558" max="558" width="31.25" style="1085" bestFit="1" customWidth="1"/>
    <col min="559" max="559" width="34.25" style="1085" bestFit="1" customWidth="1"/>
    <col min="560" max="560" width="40.375" style="1085" bestFit="1" customWidth="1"/>
    <col min="561" max="561" width="37.125" style="1085" bestFit="1" customWidth="1"/>
    <col min="562" max="563" width="29.125" style="1085" bestFit="1" customWidth="1"/>
    <col min="564" max="564" width="31.75" style="1085" bestFit="1" customWidth="1"/>
    <col min="565" max="566" width="40.75" style="1085" bestFit="1" customWidth="1"/>
    <col min="567" max="567" width="36.5" style="1085" bestFit="1" customWidth="1"/>
    <col min="568" max="569" width="29" style="1085" bestFit="1" customWidth="1"/>
    <col min="570" max="570" width="42.5" style="1085" bestFit="1" customWidth="1"/>
    <col min="571" max="571" width="30.25" style="1085" bestFit="1" customWidth="1"/>
    <col min="572" max="572" width="34.75" style="1085" bestFit="1" customWidth="1"/>
    <col min="573" max="573" width="53.375" style="1085" bestFit="1" customWidth="1"/>
    <col min="574" max="574" width="57.625" style="1085" bestFit="1" customWidth="1"/>
    <col min="575" max="575" width="59.5" style="1085" bestFit="1" customWidth="1"/>
    <col min="576" max="576" width="49.625" style="1085" bestFit="1" customWidth="1"/>
    <col min="577" max="577" width="54.75" style="1085" bestFit="1" customWidth="1"/>
    <col min="578" max="578" width="45" style="1085" bestFit="1" customWidth="1"/>
    <col min="579" max="579" width="48.75" style="1085" bestFit="1" customWidth="1"/>
    <col min="580" max="580" width="41.375" style="1085" bestFit="1" customWidth="1"/>
    <col min="581" max="581" width="38" style="1085" bestFit="1" customWidth="1"/>
    <col min="582" max="583" width="30.625" style="1085" bestFit="1" customWidth="1"/>
    <col min="584" max="584" width="36.875" style="1085" bestFit="1" customWidth="1"/>
    <col min="585" max="585" width="35.25" style="1085" bestFit="1" customWidth="1"/>
    <col min="586" max="586" width="39.375" style="1085" bestFit="1" customWidth="1"/>
    <col min="587" max="587" width="38" style="1085" bestFit="1" customWidth="1"/>
    <col min="588" max="588" width="46.375" style="1085" bestFit="1" customWidth="1"/>
    <col min="589" max="589" width="41.25" style="1085" bestFit="1" customWidth="1"/>
    <col min="590" max="590" width="38.25" style="1085" bestFit="1" customWidth="1"/>
    <col min="591" max="592" width="24.5" style="1085" bestFit="1" customWidth="1"/>
    <col min="593" max="593" width="48" style="1085" bestFit="1" customWidth="1"/>
    <col min="594" max="594" width="34" style="1085" bestFit="1" customWidth="1"/>
    <col min="595" max="595" width="32" style="1085" bestFit="1" customWidth="1"/>
    <col min="596" max="596" width="51.875" style="1085" bestFit="1" customWidth="1"/>
    <col min="597" max="597" width="44.75" style="1085" bestFit="1" customWidth="1"/>
    <col min="598" max="598" width="33.125" style="1085" bestFit="1" customWidth="1"/>
    <col min="599" max="599" width="47.25" style="1085" bestFit="1" customWidth="1"/>
    <col min="600" max="600" width="36.375" style="1085" bestFit="1" customWidth="1"/>
    <col min="601" max="601" width="37.75" style="1085" bestFit="1" customWidth="1"/>
    <col min="602" max="602" width="53.375" style="1085" bestFit="1" customWidth="1"/>
    <col min="603" max="603" width="37.625" style="1085" bestFit="1" customWidth="1"/>
    <col min="604" max="605" width="26.25" style="1085" bestFit="1" customWidth="1"/>
    <col min="606" max="606" width="35" style="1085" bestFit="1" customWidth="1"/>
    <col min="607" max="607" width="32.25" style="1085" bestFit="1" customWidth="1"/>
    <col min="608" max="608" width="50.5" style="1085" bestFit="1" customWidth="1"/>
    <col min="609" max="609" width="49.25" style="1085" bestFit="1" customWidth="1"/>
    <col min="610" max="610" width="41.125" style="1085" bestFit="1" customWidth="1"/>
    <col min="611" max="611" width="46.625" style="1085" bestFit="1" customWidth="1"/>
    <col min="612" max="613" width="21.875" style="1085" bestFit="1" customWidth="1"/>
    <col min="614" max="614" width="56.625" style="1085" bestFit="1" customWidth="1"/>
    <col min="615" max="615" width="59.125" style="1085" bestFit="1" customWidth="1"/>
    <col min="616" max="617" width="32.875" style="1085" bestFit="1" customWidth="1"/>
    <col min="618" max="618" width="39.375" style="1085" bestFit="1" customWidth="1"/>
    <col min="619" max="619" width="41.875" style="1085" bestFit="1" customWidth="1"/>
    <col min="620" max="620" width="36.375" style="1085" bestFit="1" customWidth="1"/>
    <col min="621" max="622" width="28.375" style="1085" bestFit="1" customWidth="1"/>
    <col min="623" max="623" width="39.375" style="1085" bestFit="1" customWidth="1"/>
    <col min="624" max="624" width="40.875" style="1085" bestFit="1" customWidth="1"/>
    <col min="625" max="625" width="40.375" style="1085" bestFit="1" customWidth="1"/>
    <col min="626" max="626" width="34.375" style="1085" bestFit="1" customWidth="1"/>
    <col min="627" max="627" width="37.375" style="1085" bestFit="1" customWidth="1"/>
    <col min="628" max="628" width="43.375" style="1085" bestFit="1" customWidth="1"/>
    <col min="629" max="629" width="40.25" style="1085" bestFit="1" customWidth="1"/>
    <col min="630" max="631" width="32.125" style="1085" bestFit="1" customWidth="1"/>
    <col min="632" max="632" width="23" style="1085" bestFit="1" customWidth="1"/>
    <col min="633" max="633" width="34.75" style="1085" bestFit="1" customWidth="1"/>
    <col min="634" max="634" width="43.75" style="1085" bestFit="1" customWidth="1"/>
    <col min="635" max="635" width="43.875" style="1085" bestFit="1" customWidth="1"/>
    <col min="636" max="636" width="39.625" style="1085" bestFit="1" customWidth="1"/>
    <col min="637" max="638" width="32.125" style="1085" bestFit="1" customWidth="1"/>
    <col min="639" max="639" width="45.5" style="1085" bestFit="1" customWidth="1"/>
    <col min="640" max="640" width="33.25" style="1085" bestFit="1" customWidth="1"/>
    <col min="641" max="641" width="37.875" style="1085" bestFit="1" customWidth="1"/>
    <col min="642" max="642" width="56.375" style="1085" bestFit="1" customWidth="1"/>
    <col min="643" max="643" width="60.625" style="1085" bestFit="1" customWidth="1"/>
    <col min="644" max="644" width="62.625" style="1085" bestFit="1" customWidth="1"/>
    <col min="645" max="645" width="52.625" style="1085" bestFit="1" customWidth="1"/>
    <col min="646" max="646" width="57.625" style="1085" bestFit="1" customWidth="1"/>
    <col min="647" max="647" width="48" style="1085" bestFit="1" customWidth="1"/>
    <col min="648" max="648" width="51.75" style="1085" bestFit="1" customWidth="1"/>
    <col min="649" max="649" width="44.375" style="1085" bestFit="1" customWidth="1"/>
    <col min="650" max="650" width="41" style="1085" bestFit="1" customWidth="1"/>
    <col min="651" max="652" width="33.625" style="1085" bestFit="1" customWidth="1"/>
    <col min="653" max="653" width="40" style="1085" bestFit="1" customWidth="1"/>
    <col min="654" max="654" width="38.25" style="1085" bestFit="1" customWidth="1"/>
    <col min="655" max="655" width="42.375" style="1085" bestFit="1" customWidth="1"/>
    <col min="656" max="656" width="41" style="1085" bestFit="1" customWidth="1"/>
    <col min="657" max="657" width="49.5" style="1085" bestFit="1" customWidth="1"/>
    <col min="658" max="658" width="44.25" style="1085" bestFit="1" customWidth="1"/>
    <col min="659" max="659" width="41.25" style="1085" bestFit="1" customWidth="1"/>
    <col min="660" max="661" width="27.375" style="1085" bestFit="1" customWidth="1"/>
    <col min="662" max="662" width="51" style="1085" bestFit="1" customWidth="1"/>
    <col min="663" max="663" width="37" style="1085" bestFit="1" customWidth="1"/>
    <col min="664" max="664" width="35" style="1085" bestFit="1" customWidth="1"/>
    <col min="665" max="665" width="55" style="1085" bestFit="1" customWidth="1"/>
    <col min="666" max="666" width="47.75" style="1085" bestFit="1" customWidth="1"/>
    <col min="667" max="667" width="36.125" style="1085" bestFit="1" customWidth="1"/>
    <col min="668" max="668" width="50.25" style="1085" bestFit="1" customWidth="1"/>
    <col min="669" max="669" width="39.375" style="1085" bestFit="1" customWidth="1"/>
    <col min="670" max="670" width="40.75" style="1085" bestFit="1" customWidth="1"/>
    <col min="671" max="671" width="56.5" style="1085" bestFit="1" customWidth="1"/>
    <col min="672" max="672" width="40.75" style="1085" bestFit="1" customWidth="1"/>
    <col min="673" max="674" width="29.25" style="1085" bestFit="1" customWidth="1"/>
    <col min="675" max="675" width="38" style="1085" bestFit="1" customWidth="1"/>
    <col min="676" max="676" width="35.25" style="1085" bestFit="1" customWidth="1"/>
    <col min="677" max="677" width="53.625" style="1085" bestFit="1" customWidth="1"/>
    <col min="678" max="678" width="52.25" style="1085" bestFit="1" customWidth="1"/>
    <col min="679" max="679" width="44.125" style="1085" bestFit="1" customWidth="1"/>
    <col min="680" max="680" width="49.625" style="1085" bestFit="1" customWidth="1"/>
    <col min="681" max="682" width="24.875" style="1085" bestFit="1" customWidth="1"/>
    <col min="683" max="683" width="59.625" style="1085" bestFit="1" customWidth="1"/>
    <col min="684" max="684" width="62.125" style="1085" bestFit="1" customWidth="1"/>
    <col min="685" max="686" width="35.875" style="1085" bestFit="1" customWidth="1"/>
    <col min="687" max="687" width="30.25" style="1085" bestFit="1" customWidth="1"/>
    <col min="688" max="688" width="32.75" style="1085" bestFit="1" customWidth="1"/>
    <col min="689" max="689" width="27.125" style="1085" bestFit="1" customWidth="1"/>
    <col min="690" max="691" width="19.125" style="1085" bestFit="1" customWidth="1"/>
    <col min="692" max="692" width="30.125" style="1085" bestFit="1" customWidth="1"/>
    <col min="693" max="693" width="31.75" style="1085" bestFit="1" customWidth="1"/>
    <col min="694" max="694" width="31.25" style="1085" bestFit="1" customWidth="1"/>
    <col min="695" max="695" width="25.25" style="1085" bestFit="1" customWidth="1"/>
    <col min="696" max="696" width="28.125" style="1085" bestFit="1" customWidth="1"/>
    <col min="697" max="697" width="34.125" style="1085" bestFit="1" customWidth="1"/>
    <col min="698" max="698" width="31" style="1085" bestFit="1" customWidth="1"/>
    <col min="699" max="700" width="22.875" style="1085" bestFit="1" customWidth="1"/>
    <col min="701" max="701" width="23" style="1085" bestFit="1" customWidth="1"/>
    <col min="702" max="702" width="25.5" style="1085" bestFit="1" customWidth="1"/>
    <col min="703" max="704" width="34.625" style="1085" bestFit="1" customWidth="1"/>
    <col min="705" max="705" width="30.375" style="1085" bestFit="1" customWidth="1"/>
    <col min="706" max="707" width="22.875" style="1085" bestFit="1" customWidth="1"/>
    <col min="708" max="708" width="36.375" style="1085" bestFit="1" customWidth="1"/>
    <col min="709" max="709" width="24" style="1085" bestFit="1" customWidth="1"/>
    <col min="710" max="710" width="28.625" style="1085" bestFit="1" customWidth="1"/>
    <col min="711" max="711" width="47.25" style="1085" bestFit="1" customWidth="1"/>
    <col min="712" max="712" width="51.375" style="1085" bestFit="1" customWidth="1"/>
    <col min="713" max="713" width="53.375" style="1085" bestFit="1" customWidth="1"/>
    <col min="714" max="714" width="43.375" style="1085" bestFit="1" customWidth="1"/>
    <col min="715" max="715" width="48.5" style="1085" bestFit="1" customWidth="1"/>
    <col min="716" max="716" width="38.75" style="1085" bestFit="1" customWidth="1"/>
    <col min="717" max="717" width="42.625" style="1085" bestFit="1" customWidth="1"/>
    <col min="718" max="718" width="35.25" style="1085" bestFit="1" customWidth="1"/>
    <col min="719" max="719" width="31.875" style="1085" bestFit="1" customWidth="1"/>
    <col min="720" max="721" width="24.5" style="1085" bestFit="1" customWidth="1"/>
    <col min="722" max="722" width="30.75" style="1085" bestFit="1" customWidth="1"/>
    <col min="723" max="723" width="29" style="1085" bestFit="1" customWidth="1"/>
    <col min="724" max="724" width="33.25" style="1085" bestFit="1" customWidth="1"/>
    <col min="725" max="725" width="31.875" style="1085" bestFit="1" customWidth="1"/>
    <col min="726" max="726" width="40.25" style="1085" bestFit="1" customWidth="1"/>
    <col min="727" max="727" width="35" style="1085" bestFit="1" customWidth="1"/>
    <col min="728" max="728" width="32.125" style="1085" bestFit="1" customWidth="1"/>
    <col min="729" max="730" width="18.25" style="1085" bestFit="1" customWidth="1"/>
    <col min="731" max="731" width="41.75" style="1085" bestFit="1" customWidth="1"/>
    <col min="732" max="732" width="27.875" style="1085" bestFit="1" customWidth="1"/>
    <col min="733" max="733" width="25.75" style="1085" bestFit="1" customWidth="1"/>
    <col min="734" max="734" width="45.75" style="1085" bestFit="1" customWidth="1"/>
    <col min="735" max="735" width="38.5" style="1085" bestFit="1" customWidth="1"/>
    <col min="736" max="736" width="26.875" style="1085" bestFit="1" customWidth="1"/>
    <col min="737" max="737" width="41" style="1085" bestFit="1" customWidth="1"/>
    <col min="738" max="738" width="30.25" style="1085" bestFit="1" customWidth="1"/>
    <col min="739" max="739" width="31.625" style="1085" bestFit="1" customWidth="1"/>
    <col min="740" max="740" width="47.375" style="1085" bestFit="1" customWidth="1"/>
    <col min="741" max="741" width="31.5" style="1085" bestFit="1" customWidth="1"/>
    <col min="742" max="743" width="20.125" style="1085" bestFit="1" customWidth="1"/>
    <col min="744" max="744" width="28.875" style="1085" bestFit="1" customWidth="1"/>
    <col min="745" max="745" width="26" style="1085" bestFit="1" customWidth="1"/>
    <col min="746" max="746" width="44.375" style="1085" bestFit="1" customWidth="1"/>
    <col min="747" max="747" width="43.125" style="1085" bestFit="1" customWidth="1"/>
    <col min="748" max="748" width="35" style="1085" bestFit="1" customWidth="1"/>
    <col min="749" max="749" width="40.5" style="1085" bestFit="1" customWidth="1"/>
    <col min="750" max="751" width="15.625" style="1085" bestFit="1" customWidth="1"/>
    <col min="752" max="752" width="50.375" style="1085" bestFit="1" customWidth="1"/>
    <col min="753" max="753" width="52.875" style="1085" bestFit="1" customWidth="1"/>
    <col min="754" max="755" width="26.625" style="1085" bestFit="1" customWidth="1"/>
    <col min="756" max="756" width="17.125" style="1085" bestFit="1" customWidth="1"/>
    <col min="757" max="757" width="19.125" style="1085" bestFit="1" customWidth="1"/>
    <col min="758" max="758" width="22.125" style="1085" bestFit="1" customWidth="1"/>
    <col min="759" max="759" width="14.375" style="1085" bestFit="1" customWidth="1"/>
    <col min="760" max="760" width="25.375" style="1085" bestFit="1" customWidth="1"/>
    <col min="761" max="761" width="10.25" style="1085" bestFit="1" customWidth="1"/>
    <col min="762" max="762" width="19.625" style="1085" bestFit="1" customWidth="1"/>
    <col min="763" max="763" width="58.375" style="1085" bestFit="1" customWidth="1"/>
    <col min="764" max="764" width="21.25" style="1085" bestFit="1" customWidth="1"/>
    <col min="765" max="765" width="16.375" style="1085" bestFit="1" customWidth="1"/>
    <col min="766" max="766" width="13.375" style="1085" bestFit="1" customWidth="1"/>
    <col min="767" max="767" width="21.875" style="1085" bestFit="1" customWidth="1"/>
    <col min="768" max="768" width="25.5" style="1085" bestFit="1" customWidth="1"/>
    <col min="769" max="769" width="17.75" style="1085" bestFit="1" customWidth="1"/>
    <col min="770" max="770" width="19.625" style="1085" bestFit="1" customWidth="1"/>
    <col min="771" max="771" width="25.625" style="1085" bestFit="1" customWidth="1"/>
    <col min="772" max="772" width="15" style="1085" bestFit="1" customWidth="1"/>
    <col min="773" max="773" width="15.5" style="1085" bestFit="1" customWidth="1"/>
    <col min="774" max="774" width="19" style="1085" bestFit="1" customWidth="1"/>
    <col min="775" max="775" width="19.25" style="1085" bestFit="1" customWidth="1"/>
    <col min="776" max="776" width="20" style="1085" bestFit="1" customWidth="1"/>
    <col min="777" max="777" width="15.25" style="1085" bestFit="1" customWidth="1"/>
    <col min="778" max="778" width="23" style="1085" bestFit="1" customWidth="1"/>
    <col min="779" max="779" width="28" style="1085" bestFit="1" customWidth="1"/>
    <col min="780" max="780" width="27.25" style="1085" bestFit="1" customWidth="1"/>
    <col min="781" max="781" width="13.375" style="1085" bestFit="1" customWidth="1"/>
    <col min="782" max="782" width="26.125" style="1085" bestFit="1" customWidth="1"/>
    <col min="783" max="783" width="27.125" style="1085" bestFit="1" customWidth="1"/>
    <col min="784" max="784" width="18.5" style="1085" bestFit="1" customWidth="1"/>
    <col min="785" max="785" width="19.5" style="1085" bestFit="1" customWidth="1"/>
    <col min="786" max="786" width="22.625" style="1085" bestFit="1" customWidth="1"/>
    <col min="787" max="787" width="16.875" style="1085" bestFit="1" customWidth="1"/>
    <col min="788" max="788" width="24.75" style="1085" bestFit="1" customWidth="1"/>
    <col min="789" max="789" width="22.625" style="1085" bestFit="1" customWidth="1"/>
    <col min="790" max="790" width="16.875" style="1085" bestFit="1" customWidth="1"/>
    <col min="791" max="791" width="19.5" style="1085" bestFit="1" customWidth="1"/>
    <col min="792" max="792" width="22.625" style="1085" bestFit="1" customWidth="1"/>
    <col min="793" max="793" width="16.875" style="1085" bestFit="1" customWidth="1"/>
    <col min="794" max="794" width="19.5" style="1085" bestFit="1" customWidth="1"/>
    <col min="795" max="795" width="22.625" style="1085" bestFit="1" customWidth="1"/>
    <col min="796" max="796" width="16.875" style="1085" bestFit="1" customWidth="1"/>
    <col min="797" max="797" width="19.5" style="1085" bestFit="1" customWidth="1"/>
    <col min="798" max="798" width="22.625" style="1085" bestFit="1" customWidth="1"/>
    <col min="799" max="799" width="16.875" style="1085" bestFit="1" customWidth="1"/>
    <col min="800" max="800" width="19.5" style="1085" bestFit="1" customWidth="1"/>
    <col min="801" max="801" width="22.625" style="1085" bestFit="1" customWidth="1"/>
    <col min="802" max="802" width="16.875" style="1085" bestFit="1" customWidth="1"/>
    <col min="803" max="803" width="19.5" style="1085" bestFit="1" customWidth="1"/>
    <col min="804" max="804" width="22.625" style="1085" bestFit="1" customWidth="1"/>
    <col min="805" max="805" width="16.875" style="1085" bestFit="1" customWidth="1"/>
    <col min="806" max="806" width="19.5" style="1085" bestFit="1" customWidth="1"/>
    <col min="807" max="807" width="22.625" style="1085" bestFit="1" customWidth="1"/>
    <col min="808" max="808" width="16.875" style="1085" bestFit="1" customWidth="1"/>
    <col min="809" max="809" width="19.5" style="1085" bestFit="1" customWidth="1"/>
    <col min="810" max="810" width="22.625" style="1085" bestFit="1" customWidth="1"/>
    <col min="811" max="811" width="16.875" style="1085" bestFit="1" customWidth="1"/>
    <col min="812" max="812" width="20.5" style="1085" bestFit="1" customWidth="1"/>
    <col min="813" max="813" width="23.375" style="1085" bestFit="1" customWidth="1"/>
    <col min="814" max="814" width="17.75" style="1085" bestFit="1" customWidth="1"/>
    <col min="815" max="815" width="20.5" style="1085" bestFit="1" customWidth="1"/>
    <col min="816" max="816" width="23.375" style="1085" bestFit="1" customWidth="1"/>
    <col min="817" max="817" width="17.75" style="1085" bestFit="1" customWidth="1"/>
    <col min="818" max="818" width="20.5" style="1085" bestFit="1" customWidth="1"/>
    <col min="819" max="819" width="23.375" style="1085" bestFit="1" customWidth="1"/>
    <col min="820" max="820" width="17.75" style="1085" bestFit="1" customWidth="1"/>
    <col min="821" max="821" width="20.5" style="1085" bestFit="1" customWidth="1"/>
    <col min="822" max="822" width="23.375" style="1085" bestFit="1" customWidth="1"/>
    <col min="823" max="823" width="17.75" style="1085" bestFit="1" customWidth="1"/>
    <col min="824" max="824" width="20.5" style="1085" bestFit="1" customWidth="1"/>
    <col min="825" max="825" width="23.375" style="1085" bestFit="1" customWidth="1"/>
    <col min="826" max="826" width="17.75" style="1085" bestFit="1" customWidth="1"/>
    <col min="827" max="827" width="20.5" style="1085" bestFit="1" customWidth="1"/>
    <col min="828" max="828" width="23.375" style="1085" bestFit="1" customWidth="1"/>
    <col min="829" max="829" width="17.75" style="1085" bestFit="1" customWidth="1"/>
    <col min="830" max="830" width="23" style="1085" bestFit="1" customWidth="1"/>
    <col min="831" max="831" width="18.375" style="1085" bestFit="1" customWidth="1"/>
    <col min="832" max="832" width="30.25" style="1085" bestFit="1" customWidth="1"/>
    <col min="833" max="833" width="26.625" style="1085" bestFit="1" customWidth="1"/>
    <col min="834" max="834" width="25.125" style="1085" bestFit="1" customWidth="1"/>
    <col min="835" max="835" width="25.75" style="1085" bestFit="1" customWidth="1"/>
    <col min="836" max="836" width="21.625" style="1085" bestFit="1" customWidth="1"/>
    <col min="837" max="837" width="23" style="1085" bestFit="1" customWidth="1"/>
    <col min="838" max="838" width="28" style="1085" bestFit="1" customWidth="1"/>
    <col min="839" max="839" width="27.25" style="1085" bestFit="1" customWidth="1"/>
    <col min="840" max="840" width="13.375" style="1085" bestFit="1" customWidth="1"/>
    <col min="841" max="841" width="27.375" style="1085" bestFit="1" customWidth="1"/>
    <col min="842" max="842" width="18.5" style="1085" bestFit="1" customWidth="1"/>
    <col min="843" max="843" width="19.5" style="1085" bestFit="1" customWidth="1"/>
    <col min="844" max="844" width="22.625" style="1085" bestFit="1" customWidth="1"/>
    <col min="845" max="845" width="16.875" style="1085" bestFit="1" customWidth="1"/>
    <col min="846" max="846" width="19.5" style="1085" bestFit="1" customWidth="1"/>
    <col min="847" max="847" width="22.625" style="1085" bestFit="1" customWidth="1"/>
    <col min="848" max="848" width="16.875" style="1085" bestFit="1" customWidth="1"/>
    <col min="849" max="849" width="19.5" style="1085" bestFit="1" customWidth="1"/>
    <col min="850" max="850" width="22.625" style="1085" bestFit="1" customWidth="1"/>
    <col min="851" max="851" width="16.875" style="1085" bestFit="1" customWidth="1"/>
    <col min="852" max="852" width="19.5" style="1085" bestFit="1" customWidth="1"/>
    <col min="853" max="853" width="22.625" style="1085" bestFit="1" customWidth="1"/>
    <col min="854" max="854" width="16.875" style="1085" bestFit="1" customWidth="1"/>
    <col min="855" max="855" width="19.5" style="1085" bestFit="1" customWidth="1"/>
    <col min="856" max="856" width="22.625" style="1085" bestFit="1" customWidth="1"/>
    <col min="857" max="857" width="16.875" style="1085" bestFit="1" customWidth="1"/>
    <col min="858" max="858" width="19.5" style="1085" bestFit="1" customWidth="1"/>
    <col min="859" max="859" width="22.625" style="1085" bestFit="1" customWidth="1"/>
    <col min="860" max="860" width="16.875" style="1085" bestFit="1" customWidth="1"/>
    <col min="861" max="861" width="19.5" style="1085" bestFit="1" customWidth="1"/>
    <col min="862" max="862" width="22.625" style="1085" bestFit="1" customWidth="1"/>
    <col min="863" max="863" width="16.875" style="1085" bestFit="1" customWidth="1"/>
    <col min="864" max="864" width="19.5" style="1085" bestFit="1" customWidth="1"/>
    <col min="865" max="865" width="22.625" style="1085" bestFit="1" customWidth="1"/>
    <col min="866" max="866" width="16.875" style="1085" bestFit="1" customWidth="1"/>
    <col min="867" max="867" width="19.5" style="1085" bestFit="1" customWidth="1"/>
    <col min="868" max="868" width="22.625" style="1085" bestFit="1" customWidth="1"/>
    <col min="869" max="869" width="16.875" style="1085" bestFit="1" customWidth="1"/>
    <col min="870" max="870" width="20.5" style="1085" bestFit="1" customWidth="1"/>
    <col min="871" max="871" width="23.375" style="1085" bestFit="1" customWidth="1"/>
    <col min="872" max="872" width="17.75" style="1085" bestFit="1" customWidth="1"/>
    <col min="873" max="873" width="20.5" style="1085" bestFit="1" customWidth="1"/>
    <col min="874" max="874" width="23.375" style="1085" bestFit="1" customWidth="1"/>
    <col min="875" max="875" width="17.75" style="1085" bestFit="1" customWidth="1"/>
    <col min="876" max="876" width="20.5" style="1085" bestFit="1" customWidth="1"/>
    <col min="877" max="877" width="23.375" style="1085" bestFit="1" customWidth="1"/>
    <col min="878" max="878" width="17.75" style="1085" bestFit="1" customWidth="1"/>
    <col min="879" max="879" width="20.5" style="1085" bestFit="1" customWidth="1"/>
    <col min="880" max="880" width="23.375" style="1085" bestFit="1" customWidth="1"/>
    <col min="881" max="881" width="17.75" style="1085" bestFit="1" customWidth="1"/>
    <col min="882" max="882" width="20.5" style="1085" bestFit="1" customWidth="1"/>
    <col min="883" max="883" width="23.375" style="1085" bestFit="1" customWidth="1"/>
    <col min="884" max="884" width="17.75" style="1085" bestFit="1" customWidth="1"/>
    <col min="885" max="885" width="20.5" style="1085" bestFit="1" customWidth="1"/>
    <col min="886" max="886" width="23.375" style="1085" bestFit="1" customWidth="1"/>
    <col min="887" max="887" width="17.75" style="1085" bestFit="1" customWidth="1"/>
    <col min="888" max="888" width="23.625" style="1085" bestFit="1" customWidth="1"/>
    <col min="889" max="890" width="19.375" style="1085" bestFit="1" customWidth="1"/>
    <col min="891" max="891" width="17" style="1085" bestFit="1" customWidth="1"/>
    <col min="892" max="892" width="20.125" style="1085" bestFit="1" customWidth="1"/>
    <col min="893" max="893" width="13.125" style="1085" bestFit="1" customWidth="1"/>
    <col min="894" max="894" width="8.75" style="1085" bestFit="1" customWidth="1"/>
    <col min="895" max="895" width="20.375" style="1085" bestFit="1" customWidth="1"/>
    <col min="896" max="896" width="51.625" style="1085" bestFit="1" customWidth="1"/>
    <col min="897" max="897" width="53.125" style="1085" bestFit="1" customWidth="1"/>
    <col min="898" max="898" width="29.75" style="1085" bestFit="1" customWidth="1"/>
    <col min="899" max="899" width="30.375" style="1085" bestFit="1" customWidth="1"/>
    <col min="900" max="900" width="27.125" style="1085" bestFit="1" customWidth="1"/>
    <col min="901" max="901" width="28.875" style="1085" bestFit="1" customWidth="1"/>
    <col min="902" max="902" width="32.5" style="1085" bestFit="1" customWidth="1"/>
    <col min="903" max="903" width="33" style="1085" bestFit="1" customWidth="1"/>
    <col min="904" max="904" width="29.75" style="1085" bestFit="1" customWidth="1"/>
    <col min="905" max="905" width="32.375" style="1085" bestFit="1" customWidth="1"/>
    <col min="906" max="906" width="33.25" style="1085" bestFit="1" customWidth="1"/>
    <col min="907" max="907" width="34.625" style="1085" bestFit="1" customWidth="1"/>
    <col min="908" max="908" width="29.375" style="1085" bestFit="1" customWidth="1"/>
    <col min="909" max="909" width="30.25" style="1085" bestFit="1" customWidth="1"/>
    <col min="910" max="910" width="31.75" style="1085" bestFit="1" customWidth="1"/>
    <col min="911" max="911" width="17.375" style="1085" bestFit="1" customWidth="1"/>
    <col min="912" max="912" width="17.75" style="1085" bestFit="1" customWidth="1"/>
    <col min="913" max="913" width="18.75" style="1085" bestFit="1" customWidth="1"/>
    <col min="914" max="914" width="10.5" style="1085" bestFit="1" customWidth="1"/>
    <col min="915" max="915" width="11.75" style="1085" bestFit="1" customWidth="1"/>
    <col min="916" max="916" width="12.25" style="1085" bestFit="1" customWidth="1"/>
    <col min="917" max="917" width="17.375" style="1085" bestFit="1" customWidth="1"/>
    <col min="918" max="918" width="15.25" style="1085" bestFit="1" customWidth="1"/>
    <col min="919" max="919" width="19.75" style="1085" bestFit="1" customWidth="1"/>
    <col min="920" max="920" width="26.375" style="1085" bestFit="1" customWidth="1"/>
    <col min="921" max="921" width="30.25" style="1085" bestFit="1" customWidth="1"/>
    <col min="922" max="922" width="43" style="1085" bestFit="1" customWidth="1"/>
    <col min="923" max="924" width="30.25" style="1085" bestFit="1" customWidth="1"/>
    <col min="925" max="925" width="43.625" style="1085" bestFit="1" customWidth="1"/>
    <col min="926" max="926" width="32.625" style="1085" bestFit="1" customWidth="1"/>
    <col min="927" max="927" width="42.625" style="1085" bestFit="1" customWidth="1"/>
    <col min="928" max="928" width="33.625" style="1085" bestFit="1" customWidth="1"/>
    <col min="929" max="929" width="35" style="1085" bestFit="1" customWidth="1"/>
    <col min="930" max="930" width="30.25" style="1085" bestFit="1" customWidth="1"/>
    <col min="931" max="931" width="18.875" style="1085" bestFit="1" customWidth="1"/>
    <col min="932" max="932" width="28.625" style="1085" bestFit="1" customWidth="1"/>
    <col min="933" max="933" width="22.125" style="1085" bestFit="1" customWidth="1"/>
    <col min="934" max="934" width="35.5" style="1085" bestFit="1" customWidth="1"/>
    <col min="935" max="935" width="33.75" style="1085" bestFit="1" customWidth="1"/>
    <col min="936" max="936" width="27.375" style="1085" bestFit="1" customWidth="1"/>
    <col min="937" max="937" width="38.625" style="1085" bestFit="1" customWidth="1"/>
    <col min="938" max="938" width="23.875" style="1085" bestFit="1" customWidth="1"/>
    <col min="939" max="939" width="26.25" style="1085" bestFit="1" customWidth="1"/>
    <col min="940" max="940" width="18.625" style="1085" bestFit="1" customWidth="1"/>
    <col min="941" max="941" width="33.5" style="1085" bestFit="1" customWidth="1"/>
    <col min="942" max="942" width="26.625" style="1085" bestFit="1" customWidth="1"/>
    <col min="943" max="943" width="13.625" style="1085" bestFit="1" customWidth="1"/>
    <col min="944" max="944" width="39.5" style="1085" bestFit="1" customWidth="1"/>
    <col min="945" max="945" width="14.25" style="1085" bestFit="1" customWidth="1"/>
    <col min="946" max="946" width="40.25" style="1085" bestFit="1" customWidth="1"/>
    <col min="947" max="947" width="33.625" style="1085" bestFit="1" customWidth="1"/>
    <col min="948" max="948" width="19.25" style="1085" bestFit="1" customWidth="1"/>
    <col min="949" max="949" width="25.625" style="1085" bestFit="1" customWidth="1"/>
    <col min="950" max="950" width="32.5" style="1085" bestFit="1" customWidth="1"/>
    <col min="951" max="951" width="41.25" style="1085" bestFit="1" customWidth="1"/>
    <col min="952" max="952" width="21" style="1085" bestFit="1" customWidth="1"/>
    <col min="953" max="953" width="33.625" style="1085" bestFit="1" customWidth="1"/>
    <col min="954" max="954" width="36.375" style="1085" bestFit="1" customWidth="1"/>
    <col min="955" max="955" width="18" style="1085" bestFit="1" customWidth="1"/>
    <col min="956" max="956" width="39.25" style="1085" bestFit="1" customWidth="1"/>
    <col min="957" max="957" width="46.5" style="1085" bestFit="1" customWidth="1"/>
    <col min="958" max="958" width="41.375" style="1085" bestFit="1" customWidth="1"/>
    <col min="959" max="959" width="38.625" style="1085" bestFit="1" customWidth="1"/>
    <col min="960" max="960" width="21.375" style="1085" bestFit="1" customWidth="1"/>
    <col min="961" max="961" width="26.25" style="1085" bestFit="1" customWidth="1"/>
    <col min="962" max="962" width="18.625" style="1085" bestFit="1" customWidth="1"/>
    <col min="963" max="963" width="22.375" style="1085" bestFit="1" customWidth="1"/>
    <col min="964" max="964" width="26.625" style="1085" bestFit="1" customWidth="1"/>
    <col min="965" max="965" width="23.375" style="1085" bestFit="1" customWidth="1"/>
    <col min="966" max="966" width="13.625" style="1085" bestFit="1" customWidth="1"/>
    <col min="967" max="967" width="39.5" style="1085" bestFit="1" customWidth="1"/>
    <col min="968" max="968" width="14.25" style="1085" bestFit="1" customWidth="1"/>
    <col min="969" max="969" width="40.25" style="1085" bestFit="1" customWidth="1"/>
    <col min="970" max="970" width="16.5" style="1085" bestFit="1" customWidth="1"/>
    <col min="971" max="971" width="25.625" style="1085" bestFit="1" customWidth="1"/>
    <col min="972" max="972" width="32.5" style="1085" bestFit="1" customWidth="1"/>
    <col min="973" max="973" width="41.25" style="1085" bestFit="1" customWidth="1"/>
    <col min="974" max="974" width="21" style="1085" bestFit="1" customWidth="1"/>
    <col min="975" max="975" width="39.25" style="1085" bestFit="1" customWidth="1"/>
    <col min="976" max="976" width="46.5" style="1085" bestFit="1" customWidth="1"/>
    <col min="977" max="977" width="41.375" style="1085" bestFit="1" customWidth="1"/>
    <col min="978" max="978" width="27" style="1085" bestFit="1" customWidth="1"/>
    <col min="979" max="979" width="19" style="1085" bestFit="1" customWidth="1"/>
    <col min="980" max="980" width="15.875" style="1085" bestFit="1" customWidth="1"/>
    <col min="981" max="981" width="16.875" style="1085" bestFit="1" customWidth="1"/>
    <col min="982" max="982" width="19.75" style="1085" bestFit="1" customWidth="1"/>
    <col min="983" max="983" width="20.75" style="1085" bestFit="1" customWidth="1"/>
    <col min="984" max="984" width="35.75" style="1085" bestFit="1" customWidth="1"/>
    <col min="985" max="985" width="22.625" style="1085" bestFit="1" customWidth="1"/>
    <col min="986" max="986" width="27.5" style="1085" bestFit="1" customWidth="1"/>
    <col min="987" max="987" width="30.625" style="1085" bestFit="1" customWidth="1"/>
    <col min="988" max="989" width="31.25" style="1085" bestFit="1" customWidth="1"/>
    <col min="990" max="990" width="26.375" style="1085" bestFit="1" customWidth="1"/>
    <col min="991" max="991" width="28.625" style="1085" bestFit="1" customWidth="1"/>
    <col min="992" max="992" width="27.25" style="1085" bestFit="1" customWidth="1"/>
    <col min="993" max="993" width="24.25" style="1085" bestFit="1" customWidth="1"/>
    <col min="994" max="994" width="27.875" style="1085" bestFit="1" customWidth="1"/>
    <col min="995" max="995" width="20" style="1085" bestFit="1" customWidth="1"/>
    <col min="996" max="996" width="16.75" style="1085" bestFit="1" customWidth="1"/>
    <col min="997" max="997" width="17.75" style="1085" bestFit="1" customWidth="1"/>
    <col min="998" max="998" width="20.625" style="1085" bestFit="1" customWidth="1"/>
    <col min="999" max="999" width="21.625" style="1085" bestFit="1" customWidth="1"/>
    <col min="1000" max="1000" width="36.5" style="1085" bestFit="1" customWidth="1"/>
    <col min="1001" max="1001" width="20.75" style="1085" bestFit="1" customWidth="1"/>
    <col min="1002" max="1002" width="28.375" style="1085" bestFit="1" customWidth="1"/>
    <col min="1003" max="1003" width="31.5" style="1085" bestFit="1" customWidth="1"/>
    <col min="1004" max="1004" width="32.25" style="1085" bestFit="1" customWidth="1"/>
    <col min="1005" max="1005" width="32.125" style="1085" bestFit="1" customWidth="1"/>
    <col min="1006" max="1006" width="27.25" style="1085" bestFit="1" customWidth="1"/>
    <col min="1007" max="1007" width="29.5" style="1085" bestFit="1" customWidth="1"/>
    <col min="1008" max="1008" width="28.125" style="1085" bestFit="1" customWidth="1"/>
    <col min="1009" max="1009" width="25" style="1085" bestFit="1" customWidth="1"/>
    <col min="1010" max="1010" width="27.875" style="1085" bestFit="1" customWidth="1"/>
    <col min="1011" max="1011" width="20" style="1085" bestFit="1" customWidth="1"/>
    <col min="1012" max="1012" width="16.75" style="1085" bestFit="1" customWidth="1"/>
    <col min="1013" max="1013" width="17.75" style="1085" bestFit="1" customWidth="1"/>
    <col min="1014" max="1014" width="20.625" style="1085" bestFit="1" customWidth="1"/>
    <col min="1015" max="1015" width="21.625" style="1085" bestFit="1" customWidth="1"/>
    <col min="1016" max="1016" width="36.5" style="1085" bestFit="1" customWidth="1"/>
    <col min="1017" max="1017" width="20.75" style="1085" bestFit="1" customWidth="1"/>
    <col min="1018" max="1018" width="28.375" style="1085" bestFit="1" customWidth="1"/>
    <col min="1019" max="1019" width="31.5" style="1085" bestFit="1" customWidth="1"/>
    <col min="1020" max="1020" width="32.25" style="1085" bestFit="1" customWidth="1"/>
    <col min="1021" max="1021" width="32.125" style="1085" bestFit="1" customWidth="1"/>
    <col min="1022" max="1022" width="27.25" style="1085" bestFit="1" customWidth="1"/>
    <col min="1023" max="1023" width="29.5" style="1085" bestFit="1" customWidth="1"/>
    <col min="1024" max="1024" width="28.125" style="1085" bestFit="1" customWidth="1"/>
    <col min="1025" max="1025" width="25" style="1085" bestFit="1" customWidth="1"/>
    <col min="1026" max="1026" width="23.375" style="1085" bestFit="1" customWidth="1"/>
    <col min="1027" max="1027" width="15.375" style="1085" bestFit="1" customWidth="1"/>
    <col min="1028" max="1028" width="12.375" style="1085" bestFit="1" customWidth="1"/>
    <col min="1029" max="1029" width="13.25" style="1085" bestFit="1" customWidth="1"/>
    <col min="1030" max="1030" width="16.125" style="1085" bestFit="1" customWidth="1"/>
    <col min="1031" max="1031" width="17.25" style="1085" bestFit="1" customWidth="1"/>
    <col min="1032" max="1032" width="32.125" style="1085" bestFit="1" customWidth="1"/>
    <col min="1033" max="1033" width="16.25" style="1085" bestFit="1" customWidth="1"/>
    <col min="1034" max="1034" width="23.875" style="1085" bestFit="1" customWidth="1"/>
    <col min="1035" max="1035" width="27" style="1085" bestFit="1" customWidth="1"/>
    <col min="1036" max="1036" width="27.75" style="1085" bestFit="1" customWidth="1"/>
    <col min="1037" max="1037" width="27.625" style="1085" bestFit="1" customWidth="1"/>
    <col min="1038" max="1038" width="22.75" style="1085" bestFit="1" customWidth="1"/>
    <col min="1039" max="1039" width="25" style="1085" bestFit="1" customWidth="1"/>
    <col min="1040" max="1040" width="23.625" style="1085" bestFit="1" customWidth="1"/>
    <col min="1041" max="1041" width="20.625" style="1085" bestFit="1" customWidth="1"/>
    <col min="1042" max="1042" width="40.875" style="1085" bestFit="1" customWidth="1"/>
    <col min="1043" max="1043" width="32.875" style="1085" bestFit="1" customWidth="1"/>
    <col min="1044" max="1044" width="29.75" style="1085" bestFit="1" customWidth="1"/>
    <col min="1045" max="1045" width="30.75" style="1085" bestFit="1" customWidth="1"/>
    <col min="1046" max="1046" width="33.625" style="1085" bestFit="1" customWidth="1"/>
    <col min="1047" max="1047" width="34.625" style="1085" bestFit="1" customWidth="1"/>
    <col min="1048" max="1048" width="49.5" style="1085" bestFit="1" customWidth="1"/>
    <col min="1049" max="1049" width="33.625" style="1085" bestFit="1" customWidth="1"/>
    <col min="1050" max="1050" width="41.375" style="1085" bestFit="1" customWidth="1"/>
    <col min="1051" max="1051" width="44.5" style="1085" bestFit="1" customWidth="1"/>
    <col min="1052" max="1052" width="45.25" style="1085" bestFit="1" customWidth="1"/>
    <col min="1053" max="1053" width="45" style="1085" bestFit="1" customWidth="1"/>
    <col min="1054" max="1054" width="40.25" style="1085" bestFit="1" customWidth="1"/>
    <col min="1055" max="1055" width="42.375" style="1085" bestFit="1" customWidth="1"/>
    <col min="1056" max="1056" width="41" style="1085" bestFit="1" customWidth="1"/>
    <col min="1057" max="1057" width="38" style="1085" bestFit="1" customWidth="1"/>
    <col min="1058" max="1058" width="59.25" style="1085" bestFit="1" customWidth="1"/>
    <col min="1059" max="1059" width="51.25" style="1085" bestFit="1" customWidth="1"/>
    <col min="1060" max="1060" width="48.125" style="1085" bestFit="1" customWidth="1"/>
    <col min="1061" max="1061" width="49.125" style="1085" bestFit="1" customWidth="1"/>
    <col min="1062" max="1062" width="52" style="1085" bestFit="1" customWidth="1"/>
    <col min="1063" max="1063" width="53" style="1085" bestFit="1" customWidth="1"/>
    <col min="1064" max="1064" width="67.875" style="1085" bestFit="1" customWidth="1"/>
    <col min="1065" max="1065" width="52.125" style="1085" bestFit="1" customWidth="1"/>
    <col min="1066" max="1066" width="59.75" style="1085" bestFit="1" customWidth="1"/>
    <col min="1067" max="1067" width="62.875" style="1085" bestFit="1" customWidth="1"/>
    <col min="1068" max="1068" width="63.625" style="1085" bestFit="1" customWidth="1"/>
    <col min="1069" max="1069" width="63.375" style="1085" bestFit="1" customWidth="1"/>
    <col min="1070" max="1070" width="58.625" style="1085" bestFit="1" customWidth="1"/>
    <col min="1071" max="1071" width="60.75" style="1085" bestFit="1" customWidth="1"/>
    <col min="1072" max="1072" width="59.5" style="1085" bestFit="1" customWidth="1"/>
    <col min="1073" max="1073" width="56.375" style="1085" bestFit="1" customWidth="1"/>
    <col min="1074" max="1074" width="28" style="1085" bestFit="1" customWidth="1"/>
    <col min="1075" max="1075" width="20" style="1085" bestFit="1" customWidth="1"/>
    <col min="1076" max="1076" width="16.875" style="1085" bestFit="1" customWidth="1"/>
    <col min="1077" max="1077" width="17.75" style="1085" bestFit="1" customWidth="1"/>
    <col min="1078" max="1078" width="20.625" style="1085" bestFit="1" customWidth="1"/>
    <col min="1079" max="1079" width="21.75" style="1085" bestFit="1" customWidth="1"/>
    <col min="1080" max="1080" width="36.625" style="1085" bestFit="1" customWidth="1"/>
    <col min="1081" max="1081" width="26.875" style="1085" bestFit="1" customWidth="1"/>
    <col min="1082" max="1082" width="28.125" style="1085" bestFit="1" customWidth="1"/>
    <col min="1083" max="1083" width="34.75" style="1085" bestFit="1" customWidth="1"/>
    <col min="1084" max="1084" width="35.5" style="1085" bestFit="1" customWidth="1"/>
    <col min="1085" max="1085" width="35.375" style="1085" bestFit="1" customWidth="1"/>
    <col min="1086" max="1086" width="30.5" style="1085" bestFit="1" customWidth="1"/>
    <col min="1087" max="1087" width="23.125" style="1085" bestFit="1" customWidth="1"/>
    <col min="1088" max="1088" width="29.5" style="1085" bestFit="1" customWidth="1"/>
    <col min="1089" max="1089" width="28.125" style="1085" bestFit="1" customWidth="1"/>
    <col min="1090" max="1090" width="25.125" style="1085" bestFit="1" customWidth="1"/>
    <col min="1091" max="1091" width="28.875" style="1085" bestFit="1" customWidth="1"/>
    <col min="1092" max="1092" width="28.75" style="1085" bestFit="1" customWidth="1"/>
    <col min="1093" max="1093" width="17.75" style="1085" bestFit="1" customWidth="1"/>
    <col min="1094" max="1094" width="18.625" style="1085" bestFit="1" customWidth="1"/>
    <col min="1095" max="1095" width="21.5" style="1085" bestFit="1" customWidth="1"/>
    <col min="1096" max="1096" width="22.625" style="1085" bestFit="1" customWidth="1"/>
    <col min="1097" max="1097" width="37.5" style="1085" bestFit="1" customWidth="1"/>
    <col min="1098" max="1098" width="21.625" style="1085" bestFit="1" customWidth="1"/>
    <col min="1099" max="1099" width="26.75" style="1085" bestFit="1" customWidth="1"/>
    <col min="1100" max="1100" width="29.5" style="1085" bestFit="1" customWidth="1"/>
    <col min="1101" max="1101" width="29.375" style="1085" bestFit="1" customWidth="1"/>
    <col min="1102" max="1102" width="36.5" style="1085" bestFit="1" customWidth="1"/>
    <col min="1103" max="1103" width="35.625" style="1085" bestFit="1" customWidth="1"/>
    <col min="1104" max="1104" width="36.375" style="1085" bestFit="1" customWidth="1"/>
    <col min="1105" max="1105" width="36.25" style="1085" bestFit="1" customWidth="1"/>
    <col min="1106" max="1106" width="31.375" style="1085" bestFit="1" customWidth="1"/>
    <col min="1107" max="1107" width="24.125" style="1085" bestFit="1" customWidth="1"/>
    <col min="1108" max="1108" width="30.375" style="1085" bestFit="1" customWidth="1"/>
    <col min="1109" max="1109" width="29" style="1085" bestFit="1" customWidth="1"/>
    <col min="1110" max="1110" width="26" style="1085" bestFit="1" customWidth="1"/>
    <col min="1111" max="1111" width="28.875" style="1085" bestFit="1" customWidth="1"/>
    <col min="1112" max="1112" width="20.875" style="1085" bestFit="1" customWidth="1"/>
    <col min="1113" max="1113" width="17.75" style="1085" bestFit="1" customWidth="1"/>
    <col min="1114" max="1114" width="18.625" style="1085" bestFit="1" customWidth="1"/>
    <col min="1115" max="1115" width="21.5" style="1085" bestFit="1" customWidth="1"/>
    <col min="1116" max="1116" width="22.625" style="1085" bestFit="1" customWidth="1"/>
    <col min="1117" max="1117" width="37.5" style="1085" bestFit="1" customWidth="1"/>
    <col min="1118" max="1118" width="21.625" style="1085" bestFit="1" customWidth="1"/>
    <col min="1119" max="1119" width="26.75" style="1085" bestFit="1" customWidth="1"/>
    <col min="1120" max="1120" width="29.5" style="1085" bestFit="1" customWidth="1"/>
    <col min="1121" max="1121" width="29.375" style="1085" bestFit="1" customWidth="1"/>
    <col min="1122" max="1122" width="36.5" style="1085" bestFit="1" customWidth="1"/>
    <col min="1123" max="1123" width="35.625" style="1085" bestFit="1" customWidth="1"/>
    <col min="1124" max="1124" width="36.375" style="1085" bestFit="1" customWidth="1"/>
    <col min="1125" max="1125" width="36.25" style="1085" bestFit="1" customWidth="1"/>
    <col min="1126" max="1126" width="31.375" style="1085" bestFit="1" customWidth="1"/>
    <col min="1127" max="1127" width="24.125" style="1085" bestFit="1" customWidth="1"/>
    <col min="1128" max="1128" width="30.375" style="1085" bestFit="1" customWidth="1"/>
    <col min="1129" max="1129" width="29" style="1085" bestFit="1" customWidth="1"/>
    <col min="1130" max="1130" width="26" style="1085" bestFit="1" customWidth="1"/>
    <col min="1131" max="1131" width="29.375" style="1085" bestFit="1" customWidth="1"/>
    <col min="1132" max="1132" width="21.375" style="1085" bestFit="1" customWidth="1"/>
    <col min="1133" max="1133" width="18.25" style="1085" bestFit="1" customWidth="1"/>
    <col min="1134" max="1134" width="19.25" style="1085" bestFit="1" customWidth="1"/>
    <col min="1135" max="1135" width="22.125" style="1085" bestFit="1" customWidth="1"/>
    <col min="1136" max="1136" width="23.125" style="1085" bestFit="1" customWidth="1"/>
    <col min="1137" max="1137" width="38" style="1085" bestFit="1" customWidth="1"/>
    <col min="1138" max="1138" width="27.25" style="1085" bestFit="1" customWidth="1"/>
    <col min="1139" max="1139" width="29.625" style="1085" bestFit="1" customWidth="1"/>
    <col min="1140" max="1140" width="29.875" style="1085" bestFit="1" customWidth="1"/>
    <col min="1141" max="1141" width="37" style="1085" bestFit="1" customWidth="1"/>
    <col min="1142" max="1142" width="36.25" style="1085" bestFit="1" customWidth="1"/>
    <col min="1143" max="1143" width="36.875" style="1085" bestFit="1" customWidth="1"/>
    <col min="1144" max="1144" width="36.75" style="1085" bestFit="1" customWidth="1"/>
    <col min="1145" max="1145" width="32" style="1085" bestFit="1" customWidth="1"/>
    <col min="1146" max="1146" width="31" style="1085" bestFit="1" customWidth="1"/>
    <col min="1147" max="1147" width="29.625" style="1085" bestFit="1" customWidth="1"/>
    <col min="1148" max="1148" width="26.5" style="1085" bestFit="1" customWidth="1"/>
    <col min="1149" max="1149" width="29.375" style="1085" bestFit="1" customWidth="1"/>
    <col min="1150" max="1150" width="21.375" style="1085" bestFit="1" customWidth="1"/>
    <col min="1151" max="1151" width="18.25" style="1085" bestFit="1" customWidth="1"/>
    <col min="1152" max="1152" width="19.25" style="1085" bestFit="1" customWidth="1"/>
    <col min="1153" max="1153" width="22.125" style="1085" bestFit="1" customWidth="1"/>
    <col min="1154" max="1154" width="23.125" style="1085" bestFit="1" customWidth="1"/>
    <col min="1155" max="1155" width="38" style="1085" bestFit="1" customWidth="1"/>
    <col min="1156" max="1156" width="27.25" style="1085" bestFit="1" customWidth="1"/>
    <col min="1157" max="1157" width="29.625" style="1085" bestFit="1" customWidth="1"/>
    <col min="1158" max="1158" width="29.875" style="1085" bestFit="1" customWidth="1"/>
    <col min="1159" max="1159" width="37" style="1085" bestFit="1" customWidth="1"/>
    <col min="1160" max="1160" width="36.25" style="1085" bestFit="1" customWidth="1"/>
    <col min="1161" max="1161" width="36.875" style="1085" bestFit="1" customWidth="1"/>
    <col min="1162" max="1162" width="36.75" style="1085" bestFit="1" customWidth="1"/>
    <col min="1163" max="1163" width="32" style="1085" bestFit="1" customWidth="1"/>
    <col min="1164" max="1164" width="31" style="1085" bestFit="1" customWidth="1"/>
    <col min="1165" max="1165" width="29.625" style="1085" bestFit="1" customWidth="1"/>
    <col min="1166" max="1166" width="26.5" style="1085" bestFit="1" customWidth="1"/>
    <col min="1167" max="1167" width="29.375" style="1085" bestFit="1" customWidth="1"/>
    <col min="1168" max="1168" width="21.375" style="1085" bestFit="1" customWidth="1"/>
    <col min="1169" max="1169" width="18.25" style="1085" bestFit="1" customWidth="1"/>
    <col min="1170" max="1170" width="19.25" style="1085" bestFit="1" customWidth="1"/>
    <col min="1171" max="1171" width="22.125" style="1085" bestFit="1" customWidth="1"/>
    <col min="1172" max="1172" width="23.125" style="1085" bestFit="1" customWidth="1"/>
    <col min="1173" max="1173" width="38" style="1085" bestFit="1" customWidth="1"/>
    <col min="1174" max="1174" width="27.25" style="1085" bestFit="1" customWidth="1"/>
    <col min="1175" max="1175" width="29.625" style="1085" bestFit="1" customWidth="1"/>
    <col min="1176" max="1176" width="29.875" style="1085" bestFit="1" customWidth="1"/>
    <col min="1177" max="1177" width="37" style="1085" bestFit="1" customWidth="1"/>
    <col min="1178" max="1178" width="36.25" style="1085" bestFit="1" customWidth="1"/>
    <col min="1179" max="1179" width="36.875" style="1085" bestFit="1" customWidth="1"/>
    <col min="1180" max="1180" width="36.75" style="1085" bestFit="1" customWidth="1"/>
    <col min="1181" max="1181" width="32" style="1085" bestFit="1" customWidth="1"/>
    <col min="1182" max="1182" width="31" style="1085" bestFit="1" customWidth="1"/>
    <col min="1183" max="1183" width="29.625" style="1085" bestFit="1" customWidth="1"/>
    <col min="1184" max="1184" width="26.5" style="1085" bestFit="1" customWidth="1"/>
    <col min="1185" max="1185" width="14.625" style="1085" bestFit="1" customWidth="1"/>
    <col min="1186" max="1186" width="14.5" style="1085" bestFit="1" customWidth="1"/>
    <col min="1187" max="1187" width="22" style="1085" bestFit="1" customWidth="1"/>
    <col min="1188" max="1188" width="24.75" style="1085" bestFit="1" customWidth="1"/>
    <col min="1189" max="1189" width="10.75" style="1085" bestFit="1" customWidth="1"/>
    <col min="1190" max="1190" width="11.75" style="1085" bestFit="1" customWidth="1"/>
    <col min="1191" max="1191" width="14.625" style="1085" bestFit="1" customWidth="1"/>
    <col min="1192" max="1192" width="15.75" style="1085" bestFit="1" customWidth="1"/>
    <col min="1193" max="1193" width="30.625" style="1085" bestFit="1" customWidth="1"/>
    <col min="1194" max="1194" width="19.875" style="1085" bestFit="1" customWidth="1"/>
    <col min="1195" max="1195" width="25.5" style="1085" bestFit="1" customWidth="1"/>
    <col min="1196" max="1196" width="26.25" style="1085" bestFit="1" customWidth="1"/>
    <col min="1197" max="1197" width="26.125" style="1085" bestFit="1" customWidth="1"/>
    <col min="1198" max="1198" width="21.25" style="1085" bestFit="1" customWidth="1"/>
    <col min="1199" max="1199" width="23.5" style="1085" bestFit="1" customWidth="1"/>
    <col min="1200" max="1200" width="22.125" style="1085" bestFit="1" customWidth="1"/>
    <col min="1201" max="1201" width="19.125" style="1085" bestFit="1" customWidth="1"/>
    <col min="1202" max="1203" width="22.125" style="1085" bestFit="1" customWidth="1"/>
    <col min="1204" max="1204" width="29.5" style="1085" bestFit="1" customWidth="1"/>
    <col min="1205" max="1205" width="21.5" style="1085" bestFit="1" customWidth="1"/>
    <col min="1206" max="1206" width="18.375" style="1085" bestFit="1" customWidth="1"/>
    <col min="1207" max="1207" width="19.375" style="1085" bestFit="1" customWidth="1"/>
    <col min="1208" max="1208" width="22.25" style="1085" bestFit="1" customWidth="1"/>
    <col min="1209" max="1209" width="23.25" style="1085" bestFit="1" customWidth="1"/>
    <col min="1210" max="1210" width="38.125" style="1085" bestFit="1" customWidth="1"/>
    <col min="1211" max="1211" width="24.25" style="1085" bestFit="1" customWidth="1"/>
    <col min="1212" max="1212" width="33.125" style="1085" bestFit="1" customWidth="1"/>
    <col min="1213" max="1213" width="33.75" style="1085" bestFit="1" customWidth="1"/>
    <col min="1214" max="1214" width="33.625" style="1085" bestFit="1" customWidth="1"/>
    <col min="1215" max="1215" width="28.875" style="1085" bestFit="1" customWidth="1"/>
    <col min="1216" max="1216" width="31" style="1085" bestFit="1" customWidth="1"/>
    <col min="1217" max="1217" width="29.75" style="1085" bestFit="1" customWidth="1"/>
    <col min="1218" max="1218" width="26.625" style="1085" bestFit="1" customWidth="1"/>
    <col min="1219" max="1219" width="25.25" style="1085" bestFit="1" customWidth="1"/>
    <col min="1220" max="1220" width="25.125" style="1085" bestFit="1" customWidth="1"/>
    <col min="1221" max="1221" width="22.375" style="1085" bestFit="1" customWidth="1"/>
    <col min="1222" max="1222" width="24.625" style="1085" bestFit="1" customWidth="1"/>
    <col min="1223" max="1223" width="21.375" style="1085" bestFit="1" customWidth="1"/>
    <col min="1224" max="1224" width="22.375" style="1085" bestFit="1" customWidth="1"/>
    <col min="1225" max="1225" width="25.25" style="1085" bestFit="1" customWidth="1"/>
    <col min="1226" max="1226" width="26.25" style="1085" bestFit="1" customWidth="1"/>
    <col min="1227" max="1227" width="41.25" style="1085" bestFit="1" customWidth="1"/>
    <col min="1228" max="1228" width="25.375" style="1085" bestFit="1" customWidth="1"/>
    <col min="1229" max="1229" width="36.125" style="1085" bestFit="1" customWidth="1"/>
    <col min="1230" max="1230" width="36.875" style="1085" bestFit="1" customWidth="1"/>
    <col min="1231" max="1231" width="36.75" style="1085" bestFit="1" customWidth="1"/>
    <col min="1232" max="1232" width="31.875" style="1085" bestFit="1" customWidth="1"/>
    <col min="1233" max="1233" width="34.125" style="1085" bestFit="1" customWidth="1"/>
    <col min="1234" max="1234" width="32.75" style="1085" bestFit="1" customWidth="1"/>
    <col min="1235" max="1235" width="29.75" style="1085" bestFit="1" customWidth="1"/>
    <col min="1236" max="1237" width="32.375" style="1085" bestFit="1" customWidth="1"/>
    <col min="1238" max="1238" width="29.625" style="1085" bestFit="1" customWidth="1"/>
    <col min="1239" max="1239" width="31.875" style="1085" bestFit="1" customWidth="1"/>
    <col min="1240" max="1240" width="28.625" style="1085" bestFit="1" customWidth="1"/>
    <col min="1241" max="1241" width="29.625" style="1085" bestFit="1" customWidth="1"/>
    <col min="1242" max="1242" width="32.5" style="1085" bestFit="1" customWidth="1"/>
    <col min="1243" max="1243" width="33.625" style="1085" bestFit="1" customWidth="1"/>
    <col min="1244" max="1244" width="48.375" style="1085" bestFit="1" customWidth="1"/>
    <col min="1245" max="1245" width="32.625" style="1085" bestFit="1" customWidth="1"/>
    <col min="1246" max="1246" width="43.375" style="1085" bestFit="1" customWidth="1"/>
    <col min="1247" max="1247" width="44.125" style="1085" bestFit="1" customWidth="1"/>
    <col min="1248" max="1248" width="44" style="1085" bestFit="1" customWidth="1"/>
    <col min="1249" max="1249" width="39.125" style="1085" bestFit="1" customWidth="1"/>
    <col min="1250" max="1250" width="41.375" style="1085" bestFit="1" customWidth="1"/>
    <col min="1251" max="1251" width="40" style="1085" bestFit="1" customWidth="1"/>
    <col min="1252" max="1252" width="37" style="1085" bestFit="1" customWidth="1"/>
    <col min="1253" max="1253" width="38.625" style="1085" bestFit="1" customWidth="1"/>
    <col min="1254" max="1254" width="82.875" style="1085" bestFit="1" customWidth="1"/>
    <col min="1255" max="1255" width="76" style="1085" bestFit="1" customWidth="1"/>
    <col min="1256" max="1256" width="71.75" style="1085" bestFit="1" customWidth="1"/>
    <col min="1257" max="1257" width="43.375" style="1085" bestFit="1" customWidth="1"/>
    <col min="1258" max="1258" width="41.25" style="1085" bestFit="1" customWidth="1"/>
    <col min="1259" max="1259" width="51.5" style="1085" bestFit="1" customWidth="1"/>
    <col min="1260" max="1260" width="85.5" style="1085" bestFit="1" customWidth="1"/>
    <col min="1261" max="1261" width="39" style="1085" bestFit="1" customWidth="1"/>
    <col min="1262" max="1262" width="54.75" style="1085" bestFit="1" customWidth="1"/>
    <col min="1263" max="1263" width="32.375" style="1085" bestFit="1" customWidth="1"/>
    <col min="1264" max="1264" width="56.25" style="1085" bestFit="1" customWidth="1"/>
    <col min="1265" max="1265" width="176.375" style="1085" bestFit="1" customWidth="1"/>
    <col min="1266" max="1266" width="42.125" style="1085" bestFit="1" customWidth="1"/>
    <col min="1267" max="1267" width="40.375" style="1085" bestFit="1" customWidth="1"/>
    <col min="1268" max="1268" width="67.625" style="1085" bestFit="1" customWidth="1"/>
    <col min="1269" max="1269" width="36" style="1085" bestFit="1" customWidth="1"/>
    <col min="1270" max="1270" width="39.25" style="1085" bestFit="1" customWidth="1"/>
    <col min="1271" max="1271" width="82.25" style="1085" bestFit="1" customWidth="1"/>
    <col min="1272" max="1272" width="39.875" style="1085" bestFit="1" customWidth="1"/>
    <col min="1273" max="1273" width="61.625" style="1085" bestFit="1" customWidth="1"/>
    <col min="1274" max="1274" width="18.375" style="1085" bestFit="1" customWidth="1"/>
    <col min="1275" max="1275" width="33" style="1085" bestFit="1" customWidth="1"/>
    <col min="1276" max="1276" width="37" style="1085" bestFit="1" customWidth="1"/>
    <col min="1277" max="1277" width="93.75" style="1085" bestFit="1" customWidth="1"/>
    <col min="1278" max="1278" width="39.25" style="1085" bestFit="1" customWidth="1"/>
    <col min="1279" max="1279" width="91.375" style="1085" bestFit="1" customWidth="1"/>
    <col min="1280" max="1280" width="107.625" style="1085" bestFit="1" customWidth="1"/>
    <col min="1281" max="1281" width="100.25" style="1085" bestFit="1" customWidth="1"/>
    <col min="1282" max="1282" width="50.5" style="1085" bestFit="1" customWidth="1"/>
    <col min="1283" max="1283" width="88.625" style="1085" bestFit="1" customWidth="1"/>
    <col min="1284" max="1284" width="40.75" style="1085" bestFit="1" customWidth="1"/>
    <col min="1285" max="1285" width="57.75" style="1085" bestFit="1" customWidth="1"/>
    <col min="1286" max="1286" width="40.25" style="1085" bestFit="1" customWidth="1"/>
    <col min="1287" max="1287" width="120.625" style="1085" bestFit="1" customWidth="1"/>
    <col min="1288" max="1288" width="68.125" style="1085" bestFit="1" customWidth="1"/>
    <col min="1289" max="1289" width="68.875" style="1085" bestFit="1" customWidth="1"/>
    <col min="1290" max="1290" width="28.75" style="1085" bestFit="1" customWidth="1"/>
    <col min="1291" max="1291" width="35.375" style="1085" bestFit="1" customWidth="1"/>
    <col min="1292" max="1292" width="28.75" style="1085" bestFit="1" customWidth="1"/>
    <col min="1293" max="1293" width="45.25" style="1085" bestFit="1" customWidth="1"/>
    <col min="1294" max="1294" width="34.375" style="1085" bestFit="1" customWidth="1"/>
    <col min="1295" max="1295" width="61.25" style="1085" bestFit="1" customWidth="1"/>
    <col min="1296" max="1296" width="50.25" style="1085" bestFit="1" customWidth="1"/>
    <col min="1297" max="1297" width="43.75" style="1085" bestFit="1" customWidth="1"/>
    <col min="1298" max="1298" width="32.875" style="1085" bestFit="1" customWidth="1"/>
    <col min="1299" max="1299" width="41.625" style="1085" bestFit="1" customWidth="1"/>
    <col min="1300" max="1300" width="40" style="1085" bestFit="1" customWidth="1"/>
    <col min="1301" max="1301" width="33.625" style="1085" bestFit="1" customWidth="1"/>
    <col min="1302" max="1302" width="32" style="1085" bestFit="1" customWidth="1"/>
    <col min="1303" max="1303" width="39.75" style="1085" bestFit="1" customWidth="1"/>
    <col min="1304" max="1304" width="38" style="1085" bestFit="1" customWidth="1"/>
    <col min="1305" max="1305" width="51.75" style="1085" bestFit="1" customWidth="1"/>
    <col min="1306" max="1306" width="30.375" style="1085" bestFit="1" customWidth="1"/>
    <col min="1307" max="1307" width="32.125" style="1085" bestFit="1" customWidth="1"/>
    <col min="1308" max="1308" width="44.75" style="1085" bestFit="1" customWidth="1"/>
    <col min="1309" max="1309" width="39.5" style="1085" bestFit="1" customWidth="1"/>
    <col min="1310" max="1310" width="48.25" style="1085" bestFit="1" customWidth="1"/>
    <col min="1311" max="1311" width="48.5" style="1085" bestFit="1" customWidth="1"/>
    <col min="1312" max="1312" width="46" style="1085" bestFit="1" customWidth="1"/>
    <col min="1313" max="1313" width="38.375" style="1085" bestFit="1" customWidth="1"/>
    <col min="1314" max="1314" width="28.75" style="1085" bestFit="1" customWidth="1"/>
    <col min="1315" max="1315" width="18.875" style="1085" bestFit="1" customWidth="1"/>
    <col min="1316" max="1316" width="62" style="1085" bestFit="1" customWidth="1"/>
    <col min="1317" max="1317" width="31.75" style="1085" bestFit="1" customWidth="1"/>
    <col min="1318" max="1318" width="45.25" style="1085" bestFit="1" customWidth="1"/>
    <col min="1319" max="1319" width="34.375" style="1085" bestFit="1" customWidth="1"/>
    <col min="1320" max="1320" width="61.25" style="1085" bestFit="1" customWidth="1"/>
    <col min="1321" max="1321" width="50.25" style="1085" bestFit="1" customWidth="1"/>
    <col min="1322" max="1322" width="43.75" style="1085" bestFit="1" customWidth="1"/>
    <col min="1323" max="1323" width="32.875" style="1085" bestFit="1" customWidth="1"/>
    <col min="1324" max="1324" width="41.625" style="1085" bestFit="1" customWidth="1"/>
    <col min="1325" max="1325" width="40" style="1085" bestFit="1" customWidth="1"/>
    <col min="1326" max="1326" width="33.625" style="1085" bestFit="1" customWidth="1"/>
    <col min="1327" max="1327" width="32" style="1085" bestFit="1" customWidth="1"/>
    <col min="1328" max="1328" width="39.75" style="1085" bestFit="1" customWidth="1"/>
    <col min="1329" max="1329" width="38" style="1085" bestFit="1" customWidth="1"/>
    <col min="1330" max="1330" width="42.875" style="1085" bestFit="1" customWidth="1"/>
    <col min="1331" max="1331" width="23.25" style="1085" bestFit="1" customWidth="1"/>
    <col min="1332" max="1332" width="36" style="1085" bestFit="1" customWidth="1"/>
    <col min="1333" max="1333" width="30.625" style="1085" bestFit="1" customWidth="1"/>
    <col min="1334" max="1334" width="39.5" style="1085" bestFit="1" customWidth="1"/>
    <col min="1335" max="1335" width="29.625" style="1085" bestFit="1" customWidth="1"/>
    <col min="1336" max="1336" width="18.875" style="1085" bestFit="1" customWidth="1"/>
    <col min="1337" max="1337" width="30.25" style="1085" bestFit="1" customWidth="1"/>
    <col min="1338" max="1338" width="63.75" style="1085" bestFit="1" customWidth="1"/>
    <col min="1339" max="1339" width="38.375" style="1085" bestFit="1" customWidth="1"/>
    <col min="1340" max="1340" width="45.25" style="1085" bestFit="1" customWidth="1"/>
    <col min="1341" max="1341" width="34.375" style="1085" bestFit="1" customWidth="1"/>
    <col min="1342" max="1342" width="61.25" style="1085" bestFit="1" customWidth="1"/>
    <col min="1343" max="1343" width="50.25" style="1085" bestFit="1" customWidth="1"/>
    <col min="1344" max="1344" width="50.75" style="1085" bestFit="1" customWidth="1"/>
    <col min="1345" max="1345" width="53.25" style="1085" bestFit="1" customWidth="1"/>
    <col min="1346" max="1346" width="53.5" style="1085" bestFit="1" customWidth="1"/>
    <col min="1347" max="1347" width="52.875" style="1085" bestFit="1" customWidth="1"/>
    <col min="1348" max="1348" width="41.625" style="1085" bestFit="1" customWidth="1"/>
    <col min="1349" max="1349" width="40" style="1085" bestFit="1" customWidth="1"/>
    <col min="1350" max="1350" width="33.625" style="1085" bestFit="1" customWidth="1"/>
    <col min="1351" max="1351" width="32" style="1085" bestFit="1" customWidth="1"/>
    <col min="1352" max="1352" width="39.75" style="1085" bestFit="1" customWidth="1"/>
    <col min="1353" max="1353" width="38" style="1085" bestFit="1" customWidth="1"/>
    <col min="1354" max="1354" width="42.875" style="1085" bestFit="1" customWidth="1"/>
    <col min="1355" max="1355" width="35" style="1085" bestFit="1" customWidth="1"/>
    <col min="1356" max="1356" width="16.875" style="1085" bestFit="1" customWidth="1"/>
    <col min="1357" max="1357" width="23.25" style="1085" bestFit="1" customWidth="1"/>
    <col min="1358" max="1358" width="36" style="1085" bestFit="1" customWidth="1"/>
    <col min="1359" max="1359" width="30.625" style="1085" bestFit="1" customWidth="1"/>
    <col min="1360" max="1360" width="42.25" style="1085" bestFit="1" customWidth="1"/>
    <col min="1361" max="1361" width="29.625" style="1085" bestFit="1" customWidth="1"/>
    <col min="1362" max="1362" width="16.875" style="1085" bestFit="1" customWidth="1"/>
    <col min="1363" max="1363" width="60.375" style="1085" bestFit="1" customWidth="1"/>
    <col min="1364" max="1364" width="35.5" style="1085" bestFit="1" customWidth="1"/>
    <col min="1365" max="1365" width="54.5" style="1085" bestFit="1" customWidth="1"/>
    <col min="1366" max="1366" width="51" style="1085" bestFit="1" customWidth="1"/>
    <col min="1367" max="1367" width="57.75" style="1085" bestFit="1" customWidth="1"/>
    <col min="1368" max="1368" width="47.875" style="1085" bestFit="1" customWidth="1"/>
    <col min="1369" max="1369" width="54.375" style="1085" bestFit="1" customWidth="1"/>
    <col min="1370" max="1370" width="52.625" style="1085" bestFit="1" customWidth="1"/>
    <col min="1371" max="1371" width="56.75" style="1085" bestFit="1" customWidth="1"/>
    <col min="1372" max="1372" width="36.375" style="1085" bestFit="1" customWidth="1"/>
    <col min="1373" max="1373" width="40" style="1085" bestFit="1" customWidth="1"/>
    <col min="1374" max="1374" width="56.875" style="1085" bestFit="1" customWidth="1"/>
    <col min="1375" max="1375" width="46.5" style="1085" bestFit="1" customWidth="1"/>
    <col min="1376" max="1376" width="61.5" style="1085" bestFit="1" customWidth="1"/>
    <col min="1377" max="1377" width="57.5" style="1085" bestFit="1" customWidth="1"/>
    <col min="1378" max="1378" width="86.75" style="1085" bestFit="1" customWidth="1"/>
    <col min="1379" max="1379" width="72.25" style="1085" bestFit="1" customWidth="1"/>
    <col min="1380" max="1380" width="52.625" style="1085" bestFit="1" customWidth="1"/>
    <col min="1381" max="1381" width="60.5" style="1085" bestFit="1" customWidth="1"/>
    <col min="1382" max="1382" width="35.5" style="1085" bestFit="1" customWidth="1"/>
    <col min="1383" max="1383" width="84.375" style="1085" bestFit="1" customWidth="1"/>
    <col min="1384" max="1384" width="54" style="1085" bestFit="1" customWidth="1"/>
    <col min="1385" max="1385" width="45.25" style="1085" bestFit="1" customWidth="1"/>
    <col min="1386" max="1386" width="35.5" style="1085" bestFit="1" customWidth="1"/>
    <col min="1387" max="1387" width="61.25" style="1085" bestFit="1" customWidth="1"/>
    <col min="1388" max="1388" width="50.25" style="1085" bestFit="1" customWidth="1"/>
    <col min="1389" max="1389" width="58.875" style="1085" bestFit="1" customWidth="1"/>
    <col min="1390" max="1390" width="48" style="1085" bestFit="1" customWidth="1"/>
    <col min="1391" max="1391" width="58.875" style="1085" bestFit="1" customWidth="1"/>
    <col min="1392" max="1392" width="48" style="1085" bestFit="1" customWidth="1"/>
    <col min="1393" max="1393" width="60.75" style="1085" bestFit="1" customWidth="1"/>
    <col min="1394" max="1394" width="50" style="1085" bestFit="1" customWidth="1"/>
    <col min="1395" max="1395" width="41.625" style="1085" bestFit="1" customWidth="1"/>
    <col min="1396" max="1396" width="40" style="1085" bestFit="1" customWidth="1"/>
    <col min="1397" max="1398" width="35.5" style="1085" bestFit="1" customWidth="1"/>
    <col min="1399" max="1399" width="39.75" style="1085" bestFit="1" customWidth="1"/>
    <col min="1400" max="1400" width="38" style="1085" bestFit="1" customWidth="1"/>
    <col min="1401" max="1401" width="42.875" style="1085" bestFit="1" customWidth="1"/>
    <col min="1402" max="1402" width="44.875" style="1085" bestFit="1" customWidth="1"/>
    <col min="1403" max="1403" width="35.5" style="1085" bestFit="1" customWidth="1"/>
    <col min="1404" max="1404" width="36" style="1085" bestFit="1" customWidth="1"/>
    <col min="1405" max="1405" width="35.5" style="1085" bestFit="1" customWidth="1"/>
    <col min="1406" max="1406" width="42.25" style="1085" bestFit="1" customWidth="1"/>
    <col min="1407" max="1407" width="35.5" style="1085" bestFit="1" customWidth="1"/>
    <col min="1408" max="16384" width="8.875" style="1085"/>
  </cols>
  <sheetData>
    <row r="1" spans="1:1407" s="1084" customFormat="1" ht="54.95" customHeight="1" x14ac:dyDescent="0.2">
      <c r="C1" s="1081"/>
      <c r="D1" s="1081"/>
    </row>
    <row r="2" spans="1:1407" s="1084" customFormat="1" ht="24.95" customHeight="1" x14ac:dyDescent="0.2">
      <c r="B2" s="1211" t="s">
        <v>2241</v>
      </c>
      <c r="C2" s="1212"/>
      <c r="D2" s="1212"/>
      <c r="E2" s="1212"/>
      <c r="F2" s="1212"/>
      <c r="G2" s="1217" t="str">
        <f>CONCATENATE(IF(Instructions!$K$2="","",Instructions!$K$2)," ",IF(Details!$E$11="","",Details!$E$11))</f>
        <v>2026 9% LIHTC AHFA Proposal Application</v>
      </c>
      <c r="H2" s="1217"/>
      <c r="I2" s="1217"/>
      <c r="J2" s="1217"/>
      <c r="K2" s="1218"/>
    </row>
    <row r="3" spans="1:1407" s="1084" customFormat="1" ht="20.100000000000001" customHeight="1" x14ac:dyDescent="0.2">
      <c r="B3" s="1166" t="s">
        <v>437</v>
      </c>
      <c r="C3" s="1167"/>
      <c r="D3" s="1167"/>
      <c r="E3" s="1167"/>
      <c r="F3" s="1167"/>
      <c r="G3" s="1219" t="str">
        <f>IF(Details!$E$12="","",CONCATENATE("Project Name: ",Details!$E$12))</f>
        <v/>
      </c>
      <c r="H3" s="1219"/>
      <c r="I3" s="1219"/>
      <c r="J3" s="1219"/>
      <c r="K3" s="1220"/>
    </row>
    <row r="4" spans="1:1407" s="1084" customFormat="1" x14ac:dyDescent="0.2">
      <c r="C4" s="1081"/>
      <c r="D4" s="1081"/>
    </row>
    <row r="5" spans="1:1407" ht="13.5" x14ac:dyDescent="0.25">
      <c r="A5" s="1086"/>
      <c r="B5" s="1086"/>
      <c r="C5" s="1084"/>
      <c r="D5" s="1081"/>
      <c r="E5" s="1084"/>
      <c r="F5" s="1084"/>
      <c r="G5" s="1084"/>
      <c r="H5" s="1084"/>
      <c r="I5" s="1084"/>
      <c r="J5" s="1084"/>
      <c r="K5" s="1084"/>
      <c r="L5" s="1084"/>
      <c r="M5" s="1084"/>
      <c r="N5" s="1084"/>
      <c r="O5" s="1084"/>
      <c r="P5" s="1084"/>
      <c r="Q5" s="1084"/>
      <c r="R5" s="1084"/>
      <c r="S5" s="1084"/>
      <c r="T5" s="1084"/>
      <c r="U5" s="1084"/>
      <c r="V5" s="1084"/>
      <c r="W5" s="1084"/>
      <c r="X5" s="1084"/>
      <c r="Y5" s="1084"/>
      <c r="Z5" s="1084"/>
      <c r="AA5" s="1084"/>
      <c r="AB5" s="1084"/>
      <c r="AC5" s="1084"/>
      <c r="AD5" s="1084"/>
      <c r="AE5" s="1084"/>
      <c r="AF5" s="1084"/>
      <c r="AG5" s="1084"/>
      <c r="AH5" s="1084"/>
      <c r="AI5" s="1084"/>
      <c r="AJ5" s="1084"/>
      <c r="AK5" s="1084"/>
      <c r="AL5" s="1084"/>
      <c r="AM5" s="1084"/>
      <c r="AN5" s="1084"/>
      <c r="AO5" s="1084"/>
      <c r="AP5" s="1084"/>
      <c r="AQ5" s="1084"/>
      <c r="AR5" s="1084"/>
      <c r="AS5" s="1084"/>
      <c r="AT5" s="1084"/>
      <c r="AU5" s="1084"/>
      <c r="AV5" s="1084"/>
      <c r="AW5" s="1084"/>
      <c r="AX5" s="1084"/>
      <c r="AY5" s="1084"/>
      <c r="AZ5" s="1084"/>
      <c r="BA5" s="1084"/>
      <c r="BB5" s="1084"/>
      <c r="BC5" s="1084"/>
      <c r="BD5" s="1084"/>
      <c r="BE5" s="1084"/>
      <c r="BF5" s="1084"/>
      <c r="BG5" s="1084"/>
      <c r="BH5" s="1084"/>
      <c r="BI5" s="1084"/>
      <c r="BJ5" s="1084"/>
      <c r="BK5" s="1084"/>
      <c r="BL5" s="1084"/>
      <c r="BM5" s="1084"/>
      <c r="BN5" s="1084"/>
      <c r="BO5" s="1084"/>
      <c r="BP5" s="1084"/>
      <c r="BQ5" s="1084"/>
      <c r="BR5" s="1084"/>
      <c r="BS5" s="1084"/>
      <c r="BT5" s="1084"/>
      <c r="BU5" s="1084"/>
      <c r="BV5" s="1084"/>
      <c r="BW5" s="1084"/>
      <c r="BX5" s="1084"/>
      <c r="BY5" s="1084"/>
      <c r="BZ5" s="1084"/>
      <c r="CA5" s="1084"/>
      <c r="CB5" s="1084"/>
      <c r="CC5" s="1084"/>
      <c r="CD5" s="1084"/>
      <c r="CE5" s="1084"/>
      <c r="CF5" s="1084"/>
      <c r="CG5" s="1084"/>
      <c r="CH5" s="1084"/>
      <c r="CI5" s="1084"/>
      <c r="CJ5" s="1084"/>
      <c r="CK5" s="1084"/>
      <c r="CL5" s="1084"/>
      <c r="CM5" s="1084"/>
      <c r="CN5" s="1084"/>
      <c r="CO5" s="1084"/>
      <c r="CP5" s="1084"/>
      <c r="CQ5" s="1084"/>
      <c r="CR5" s="1084"/>
      <c r="CS5" s="1084"/>
      <c r="CT5" s="1084"/>
      <c r="CU5" s="1084"/>
      <c r="CV5" s="1084"/>
      <c r="CW5" s="1084"/>
      <c r="CX5" s="1084"/>
      <c r="CY5" s="1084"/>
      <c r="CZ5" s="1084"/>
      <c r="DA5" s="1084"/>
      <c r="DB5" s="1084"/>
      <c r="DC5" s="1084"/>
      <c r="DD5" s="1084"/>
      <c r="DE5" s="1084"/>
      <c r="DF5" s="1084"/>
      <c r="DG5" s="1084"/>
      <c r="DH5" s="1084"/>
      <c r="DI5" s="1084"/>
      <c r="DJ5" s="1084"/>
      <c r="DK5" s="1084"/>
      <c r="DL5" s="1084"/>
      <c r="DM5" s="1084"/>
      <c r="DN5" s="1084"/>
      <c r="DO5" s="1084"/>
      <c r="DP5" s="1084"/>
      <c r="DQ5" s="1084"/>
      <c r="DR5" s="1084"/>
      <c r="DS5" s="1084"/>
      <c r="DT5" s="1084"/>
      <c r="DU5" s="1084"/>
      <c r="DV5" s="1084"/>
      <c r="DW5" s="1084"/>
      <c r="DX5" s="1084"/>
      <c r="DY5" s="1084"/>
      <c r="DZ5" s="1084"/>
      <c r="EA5" s="1084"/>
      <c r="EB5" s="1084"/>
      <c r="EC5" s="1084"/>
      <c r="ED5" s="1084"/>
      <c r="EE5" s="1084"/>
      <c r="EF5" s="1084"/>
      <c r="EG5" s="1084"/>
      <c r="EH5" s="1084"/>
      <c r="EI5" s="1084"/>
      <c r="EJ5" s="1084"/>
      <c r="EK5" s="1084"/>
      <c r="EL5" s="1084"/>
      <c r="EM5" s="1084"/>
      <c r="EN5" s="1084"/>
      <c r="EO5" s="1084"/>
      <c r="EP5" s="1084"/>
      <c r="EQ5" s="1084"/>
      <c r="ER5" s="1084"/>
      <c r="ES5" s="1084"/>
      <c r="ET5" s="1084"/>
      <c r="EU5" s="1084"/>
      <c r="EV5" s="1084"/>
      <c r="EW5" s="1084"/>
      <c r="EX5" s="1084"/>
      <c r="EY5" s="1084"/>
      <c r="EZ5" s="1084"/>
      <c r="FA5" s="1084"/>
      <c r="FB5" s="1084"/>
      <c r="FC5" s="1084"/>
      <c r="FD5" s="1084"/>
      <c r="FE5" s="1084"/>
      <c r="FF5" s="1084"/>
      <c r="FG5" s="1084"/>
      <c r="FH5" s="1084"/>
      <c r="FI5" s="1084"/>
      <c r="FJ5" s="1084"/>
      <c r="FK5" s="1084"/>
      <c r="FL5" s="1084"/>
      <c r="FM5" s="1084"/>
      <c r="FN5" s="1084"/>
      <c r="FO5" s="1084"/>
      <c r="FP5" s="1084"/>
      <c r="FQ5" s="1084"/>
      <c r="FR5" s="1084"/>
      <c r="FS5" s="1084"/>
      <c r="FT5" s="1084"/>
      <c r="FU5" s="1084"/>
      <c r="FV5" s="1084"/>
      <c r="FW5" s="1084"/>
      <c r="FX5" s="1084"/>
      <c r="FY5" s="1084"/>
      <c r="FZ5" s="1084"/>
      <c r="GA5" s="1084"/>
      <c r="GB5" s="1084"/>
      <c r="GC5" s="1084"/>
      <c r="GD5" s="1084"/>
      <c r="GE5" s="1084"/>
      <c r="GF5" s="1084"/>
      <c r="GG5" s="1084"/>
      <c r="GH5" s="1084"/>
      <c r="GI5" s="1084"/>
      <c r="GJ5" s="1084"/>
      <c r="GK5" s="1084"/>
      <c r="GL5" s="1084"/>
      <c r="GM5" s="1084"/>
      <c r="GN5" s="1084"/>
      <c r="GO5" s="1084"/>
      <c r="GP5" s="1084"/>
      <c r="GQ5" s="1084"/>
      <c r="GR5" s="1084"/>
      <c r="GS5" s="1084"/>
      <c r="GT5" s="1084"/>
      <c r="GU5" s="1084"/>
      <c r="GV5" s="1084"/>
      <c r="GW5" s="1084"/>
      <c r="GX5" s="1084"/>
      <c r="GY5" s="1084"/>
      <c r="GZ5" s="1084"/>
      <c r="HA5" s="1084"/>
      <c r="HB5" s="1084"/>
      <c r="HC5" s="1084"/>
      <c r="HD5" s="1084"/>
      <c r="HE5" s="1084"/>
      <c r="HF5" s="1084"/>
      <c r="HG5" s="1084"/>
      <c r="HH5" s="1084"/>
      <c r="HI5" s="1084"/>
      <c r="HJ5" s="1084"/>
      <c r="HK5" s="1084"/>
      <c r="HL5" s="1084"/>
      <c r="HM5" s="1084"/>
      <c r="HN5" s="1084"/>
      <c r="HO5" s="1084"/>
      <c r="HP5" s="1084"/>
      <c r="HQ5" s="1084"/>
      <c r="HR5" s="1084"/>
      <c r="HS5" s="1084"/>
      <c r="HT5" s="1084"/>
      <c r="HU5" s="1084"/>
      <c r="HV5" s="1084"/>
      <c r="HW5" s="1084"/>
      <c r="HX5" s="1084"/>
      <c r="HY5" s="1084"/>
      <c r="HZ5" s="1084"/>
      <c r="IA5" s="1084"/>
      <c r="IB5" s="1084"/>
      <c r="IC5" s="1084"/>
      <c r="ID5" s="1084"/>
      <c r="IE5" s="1084"/>
      <c r="IF5" s="1084"/>
      <c r="IG5" s="1084"/>
      <c r="IH5" s="1084"/>
      <c r="II5" s="1084"/>
      <c r="IJ5" s="1084"/>
      <c r="IK5" s="1084"/>
      <c r="IL5" s="1084"/>
      <c r="IM5" s="1084"/>
      <c r="IN5" s="1084"/>
      <c r="IO5" s="1084"/>
      <c r="IP5" s="1084"/>
      <c r="IQ5" s="1084"/>
      <c r="IR5" s="1084"/>
      <c r="IS5" s="1084"/>
      <c r="IT5" s="1084"/>
      <c r="IU5" s="1084"/>
      <c r="IV5" s="1084"/>
      <c r="IW5" s="1084"/>
      <c r="IX5" s="1084"/>
      <c r="IY5" s="1084"/>
      <c r="IZ5" s="1084"/>
      <c r="JA5" s="1084"/>
      <c r="JB5" s="1084"/>
      <c r="JC5" s="1084"/>
      <c r="JD5" s="1084"/>
      <c r="JE5" s="1084"/>
      <c r="JF5" s="1084"/>
      <c r="JG5" s="1084"/>
      <c r="JH5" s="1087"/>
      <c r="JI5" s="1087"/>
      <c r="JJ5" s="1087"/>
      <c r="JK5" s="1087"/>
      <c r="JL5" s="1087"/>
      <c r="JM5" s="1087"/>
      <c r="JN5" s="1084"/>
      <c r="JO5" s="1084"/>
      <c r="JP5" s="1084"/>
      <c r="JQ5" s="1084"/>
      <c r="JR5" s="1084"/>
      <c r="JS5" s="1084"/>
      <c r="JT5" s="1084"/>
      <c r="JU5" s="1084"/>
      <c r="JV5" s="1084"/>
      <c r="JW5" s="1084"/>
      <c r="JX5" s="1084"/>
      <c r="JY5" s="1084"/>
      <c r="JZ5" s="1084"/>
      <c r="KA5" s="1084"/>
      <c r="KB5" s="1084"/>
      <c r="KC5" s="1084"/>
      <c r="KD5" s="1084"/>
      <c r="KE5" s="1084"/>
      <c r="KF5" s="1084"/>
      <c r="KG5" s="1084"/>
      <c r="KH5" s="1084"/>
      <c r="KI5" s="1084"/>
      <c r="KJ5" s="1084"/>
      <c r="KK5" s="1084"/>
      <c r="KL5" s="1084"/>
      <c r="KM5" s="1084"/>
      <c r="KN5" s="1084"/>
      <c r="KO5" s="1084"/>
      <c r="KP5" s="1084"/>
      <c r="KQ5" s="1084"/>
      <c r="KR5" s="1084"/>
      <c r="KS5" s="1084"/>
      <c r="KT5" s="1084"/>
      <c r="KU5" s="1084"/>
      <c r="KV5" s="1084"/>
      <c r="KW5" s="1084"/>
      <c r="KX5" s="1084"/>
      <c r="KY5" s="1084"/>
      <c r="KZ5" s="1084"/>
      <c r="LA5" s="1084"/>
      <c r="LB5" s="1084"/>
      <c r="LC5" s="1084"/>
      <c r="LD5" s="1084"/>
    </row>
    <row r="6" spans="1:1407" ht="30" customHeight="1" x14ac:dyDescent="0.25">
      <c r="A6" s="1086"/>
      <c r="B6" s="1109" t="s">
        <v>4603</v>
      </c>
      <c r="C6" s="1108" t="s">
        <v>3622</v>
      </c>
      <c r="D6" s="1108" t="s">
        <v>3622</v>
      </c>
      <c r="E6" s="1108" t="s">
        <v>3622</v>
      </c>
      <c r="F6" s="1108" t="s">
        <v>3622</v>
      </c>
      <c r="G6" s="1108" t="s">
        <v>3622</v>
      </c>
      <c r="H6" s="1108" t="s">
        <v>3622</v>
      </c>
      <c r="I6" s="1108" t="s">
        <v>3622</v>
      </c>
      <c r="J6" s="1108" t="s">
        <v>3622</v>
      </c>
      <c r="K6" s="1108" t="s">
        <v>3622</v>
      </c>
      <c r="L6" s="1108" t="s">
        <v>3622</v>
      </c>
      <c r="M6" s="1108" t="s">
        <v>3622</v>
      </c>
      <c r="N6" s="1108" t="s">
        <v>3622</v>
      </c>
      <c r="O6" s="1108" t="s">
        <v>3622</v>
      </c>
      <c r="P6" s="1108" t="s">
        <v>3622</v>
      </c>
      <c r="Q6" s="1108" t="s">
        <v>3622</v>
      </c>
      <c r="R6" s="1108" t="s">
        <v>3622</v>
      </c>
      <c r="S6" s="1108" t="s">
        <v>3622</v>
      </c>
      <c r="T6" s="1108" t="s">
        <v>3622</v>
      </c>
      <c r="U6" s="1108" t="s">
        <v>3622</v>
      </c>
      <c r="V6" s="1108" t="s">
        <v>3622</v>
      </c>
      <c r="W6" s="1108" t="s">
        <v>3622</v>
      </c>
      <c r="X6" s="1108" t="s">
        <v>3622</v>
      </c>
      <c r="Y6" s="1108" t="s">
        <v>3622</v>
      </c>
      <c r="Z6" s="1108" t="s">
        <v>3622</v>
      </c>
      <c r="AA6" s="1108" t="s">
        <v>3622</v>
      </c>
      <c r="AB6" s="1108" t="s">
        <v>3622</v>
      </c>
      <c r="AC6" s="1108" t="s">
        <v>3622</v>
      </c>
      <c r="AD6" s="1108" t="s">
        <v>3622</v>
      </c>
      <c r="AE6" s="1108" t="s">
        <v>3622</v>
      </c>
      <c r="AF6" s="1108" t="s">
        <v>3622</v>
      </c>
      <c r="AG6" s="1108" t="s">
        <v>3622</v>
      </c>
      <c r="AH6" s="1108" t="s">
        <v>3622</v>
      </c>
      <c r="AI6" s="1108" t="s">
        <v>3622</v>
      </c>
      <c r="AJ6" s="1108" t="s">
        <v>3622</v>
      </c>
      <c r="AK6" s="1108" t="s">
        <v>3622</v>
      </c>
      <c r="AL6" s="1108" t="s">
        <v>3622</v>
      </c>
      <c r="AM6" s="1108" t="s">
        <v>3622</v>
      </c>
      <c r="AN6" s="1108" t="s">
        <v>3622</v>
      </c>
      <c r="AO6" s="1108" t="s">
        <v>3622</v>
      </c>
      <c r="AP6" s="1108" t="s">
        <v>3622</v>
      </c>
      <c r="AQ6" s="1108" t="s">
        <v>3622</v>
      </c>
      <c r="AR6" s="1108" t="s">
        <v>3622</v>
      </c>
      <c r="AS6" s="1108" t="s">
        <v>3622</v>
      </c>
      <c r="AT6" s="1108" t="s">
        <v>3622</v>
      </c>
      <c r="AU6" s="1108" t="s">
        <v>3622</v>
      </c>
      <c r="AV6" s="1108" t="s">
        <v>3622</v>
      </c>
      <c r="AW6" s="1108" t="s">
        <v>3622</v>
      </c>
      <c r="AX6" s="1108" t="s">
        <v>3622</v>
      </c>
      <c r="AY6" s="1108" t="s">
        <v>3622</v>
      </c>
      <c r="AZ6" s="1108" t="s">
        <v>3622</v>
      </c>
      <c r="BA6" s="1108" t="s">
        <v>3622</v>
      </c>
      <c r="BB6" s="1108" t="s">
        <v>3622</v>
      </c>
      <c r="BC6" s="1108" t="s">
        <v>3622</v>
      </c>
      <c r="BD6" s="1108" t="s">
        <v>3622</v>
      </c>
      <c r="BE6" s="1108" t="s">
        <v>3622</v>
      </c>
      <c r="BF6" s="1108" t="s">
        <v>3622</v>
      </c>
      <c r="BG6" s="1108" t="s">
        <v>3622</v>
      </c>
      <c r="BH6" s="1108" t="s">
        <v>3622</v>
      </c>
      <c r="BI6" s="1108" t="s">
        <v>3622</v>
      </c>
      <c r="BJ6" s="1108" t="s">
        <v>3622</v>
      </c>
      <c r="BK6" s="1108" t="s">
        <v>3622</v>
      </c>
      <c r="BL6" s="1108" t="s">
        <v>3622</v>
      </c>
      <c r="BM6" s="1108" t="s">
        <v>3622</v>
      </c>
      <c r="BN6" s="1108" t="s">
        <v>3622</v>
      </c>
      <c r="BO6" s="1108" t="s">
        <v>3622</v>
      </c>
      <c r="BP6" s="1108" t="s">
        <v>3622</v>
      </c>
      <c r="BQ6" s="1108" t="s">
        <v>3622</v>
      </c>
      <c r="BR6" s="1108" t="s">
        <v>3622</v>
      </c>
      <c r="BS6" s="1108" t="s">
        <v>3622</v>
      </c>
      <c r="BT6" s="1108" t="s">
        <v>3622</v>
      </c>
      <c r="BU6" s="1108" t="s">
        <v>3622</v>
      </c>
      <c r="BV6" s="1108" t="s">
        <v>3622</v>
      </c>
      <c r="BW6" s="1108" t="s">
        <v>3622</v>
      </c>
      <c r="BX6" s="1108" t="s">
        <v>3622</v>
      </c>
      <c r="BY6" s="1108" t="s">
        <v>3622</v>
      </c>
      <c r="BZ6" s="1108" t="s">
        <v>3622</v>
      </c>
      <c r="CA6" s="1108" t="s">
        <v>3622</v>
      </c>
      <c r="CB6" s="1108" t="s">
        <v>3622</v>
      </c>
      <c r="CC6" s="1108" t="s">
        <v>3622</v>
      </c>
      <c r="CD6" s="1108" t="s">
        <v>3622</v>
      </c>
      <c r="CE6" s="1108" t="s">
        <v>3622</v>
      </c>
      <c r="CF6" s="1108" t="s">
        <v>3622</v>
      </c>
      <c r="CG6" s="1108" t="s">
        <v>3622</v>
      </c>
      <c r="CH6" s="1108" t="s">
        <v>3622</v>
      </c>
      <c r="CI6" s="1108" t="s">
        <v>3622</v>
      </c>
      <c r="CJ6" s="1108" t="s">
        <v>3622</v>
      </c>
      <c r="CK6" s="1108" t="s">
        <v>3622</v>
      </c>
      <c r="CL6" s="1108" t="s">
        <v>3622</v>
      </c>
      <c r="CM6" s="1108" t="s">
        <v>3622</v>
      </c>
      <c r="CN6" s="1108" t="s">
        <v>3622</v>
      </c>
      <c r="CO6" s="1108" t="s">
        <v>3622</v>
      </c>
      <c r="CP6" s="1108" t="s">
        <v>3622</v>
      </c>
      <c r="CQ6" s="1108" t="s">
        <v>3622</v>
      </c>
      <c r="CR6" s="1108" t="s">
        <v>3622</v>
      </c>
      <c r="CS6" s="1108" t="s">
        <v>3622</v>
      </c>
      <c r="CT6" s="1108" t="s">
        <v>3622</v>
      </c>
      <c r="CU6" s="1108" t="s">
        <v>3622</v>
      </c>
      <c r="CV6" s="1108" t="s">
        <v>3622</v>
      </c>
      <c r="CW6" s="1108" t="s">
        <v>3622</v>
      </c>
      <c r="CX6" s="1108" t="s">
        <v>3622</v>
      </c>
      <c r="CY6" s="1108" t="s">
        <v>3622</v>
      </c>
      <c r="CZ6" s="1108" t="s">
        <v>3622</v>
      </c>
      <c r="DA6" s="1108" t="s">
        <v>3622</v>
      </c>
      <c r="DB6" s="1108" t="s">
        <v>3622</v>
      </c>
      <c r="DC6" s="1108" t="s">
        <v>3622</v>
      </c>
      <c r="DD6" s="1108" t="s">
        <v>3622</v>
      </c>
      <c r="DE6" s="1108" t="s">
        <v>3622</v>
      </c>
      <c r="DF6" s="1108" t="s">
        <v>3622</v>
      </c>
      <c r="DG6" s="1108" t="s">
        <v>3622</v>
      </c>
      <c r="DH6" s="1108" t="s">
        <v>3622</v>
      </c>
      <c r="DI6" s="1108" t="s">
        <v>3622</v>
      </c>
      <c r="DJ6" s="1108" t="s">
        <v>3622</v>
      </c>
      <c r="DK6" s="1108" t="s">
        <v>3622</v>
      </c>
      <c r="DL6" s="1108" t="s">
        <v>3622</v>
      </c>
      <c r="DM6" s="1108" t="s">
        <v>3622</v>
      </c>
      <c r="DN6" s="1108" t="s">
        <v>3622</v>
      </c>
      <c r="DO6" s="1108" t="s">
        <v>3622</v>
      </c>
      <c r="DP6" s="1108" t="s">
        <v>3622</v>
      </c>
      <c r="DQ6" s="1108" t="s">
        <v>3622</v>
      </c>
      <c r="DR6" s="1108" t="s">
        <v>3622</v>
      </c>
      <c r="DS6" s="1108" t="s">
        <v>3622</v>
      </c>
      <c r="DT6" s="1108" t="s">
        <v>3622</v>
      </c>
      <c r="DU6" s="1108" t="s">
        <v>3622</v>
      </c>
      <c r="DV6" s="1108" t="s">
        <v>3622</v>
      </c>
      <c r="DW6" s="1108" t="s">
        <v>3622</v>
      </c>
      <c r="DX6" s="1108" t="s">
        <v>3622</v>
      </c>
      <c r="DY6" s="1108" t="s">
        <v>3622</v>
      </c>
      <c r="DZ6" s="1108" t="s">
        <v>3622</v>
      </c>
      <c r="EA6" s="1108" t="s">
        <v>3622</v>
      </c>
      <c r="EB6" s="1108" t="s">
        <v>3622</v>
      </c>
      <c r="EC6" s="1108" t="s">
        <v>3622</v>
      </c>
      <c r="ED6" s="1108" t="s">
        <v>3622</v>
      </c>
      <c r="EE6" s="1108" t="s">
        <v>3622</v>
      </c>
      <c r="EF6" s="1108" t="s">
        <v>3622</v>
      </c>
      <c r="EG6" s="1108" t="s">
        <v>3622</v>
      </c>
      <c r="EH6" s="1108" t="s">
        <v>3622</v>
      </c>
      <c r="EI6" s="1108" t="s">
        <v>3622</v>
      </c>
      <c r="EJ6" s="1108" t="s">
        <v>3622</v>
      </c>
      <c r="EK6" s="1108" t="s">
        <v>3622</v>
      </c>
      <c r="EL6" s="1108" t="s">
        <v>3622</v>
      </c>
      <c r="EM6" s="1108" t="s">
        <v>3622</v>
      </c>
      <c r="EN6" s="1108" t="s">
        <v>3622</v>
      </c>
      <c r="EO6" s="1108" t="s">
        <v>3622</v>
      </c>
      <c r="EP6" s="1108" t="s">
        <v>3622</v>
      </c>
      <c r="EQ6" s="1108" t="s">
        <v>3622</v>
      </c>
      <c r="ER6" s="1108" t="s">
        <v>3622</v>
      </c>
      <c r="ES6" s="1108" t="s">
        <v>3622</v>
      </c>
      <c r="ET6" s="1108" t="s">
        <v>3622</v>
      </c>
      <c r="EU6" s="1108" t="s">
        <v>3622</v>
      </c>
      <c r="EV6" s="1108" t="s">
        <v>3622</v>
      </c>
      <c r="EW6" s="1108" t="s">
        <v>3622</v>
      </c>
      <c r="EX6" s="1108" t="s">
        <v>3622</v>
      </c>
      <c r="EY6" s="1108" t="s">
        <v>3622</v>
      </c>
      <c r="EZ6" s="1108" t="s">
        <v>3622</v>
      </c>
      <c r="FA6" s="1108" t="s">
        <v>3622</v>
      </c>
      <c r="FB6" s="1108" t="s">
        <v>3622</v>
      </c>
      <c r="FC6" s="1108" t="s">
        <v>3622</v>
      </c>
      <c r="FD6" s="1108" t="s">
        <v>3622</v>
      </c>
      <c r="FE6" s="1108" t="s">
        <v>3622</v>
      </c>
      <c r="FF6" s="1108" t="s">
        <v>3622</v>
      </c>
      <c r="FG6" s="1108" t="s">
        <v>3622</v>
      </c>
      <c r="FH6" s="1108" t="s">
        <v>3622</v>
      </c>
      <c r="FI6" s="1108" t="s">
        <v>3622</v>
      </c>
      <c r="FJ6" s="1108" t="s">
        <v>3622</v>
      </c>
      <c r="FK6" s="1108" t="s">
        <v>3622</v>
      </c>
      <c r="FL6" s="1108" t="s">
        <v>3622</v>
      </c>
      <c r="FM6" s="1108" t="s">
        <v>3622</v>
      </c>
      <c r="FN6" s="1108" t="s">
        <v>3623</v>
      </c>
      <c r="FO6" s="1108" t="s">
        <v>3623</v>
      </c>
      <c r="FP6" s="1108" t="s">
        <v>3623</v>
      </c>
      <c r="FQ6" s="1108" t="s">
        <v>3623</v>
      </c>
      <c r="FR6" s="1108" t="s">
        <v>3623</v>
      </c>
      <c r="FS6" s="1108" t="s">
        <v>3623</v>
      </c>
      <c r="FT6" s="1108" t="s">
        <v>3623</v>
      </c>
      <c r="FU6" s="1108" t="s">
        <v>3623</v>
      </c>
      <c r="FV6" s="1108" t="s">
        <v>3623</v>
      </c>
      <c r="FW6" s="1108" t="s">
        <v>3623</v>
      </c>
      <c r="FX6" s="1108" t="s">
        <v>3623</v>
      </c>
      <c r="FY6" s="1108" t="s">
        <v>3623</v>
      </c>
      <c r="FZ6" s="1108" t="s">
        <v>3623</v>
      </c>
      <c r="GA6" s="1108" t="s">
        <v>3623</v>
      </c>
      <c r="GB6" s="1108" t="s">
        <v>3623</v>
      </c>
      <c r="GC6" s="1108" t="s">
        <v>3623</v>
      </c>
      <c r="GD6" s="1108" t="s">
        <v>3623</v>
      </c>
      <c r="GE6" s="1108" t="s">
        <v>3623</v>
      </c>
      <c r="GF6" s="1108" t="s">
        <v>3623</v>
      </c>
      <c r="GG6" s="1108" t="s">
        <v>3623</v>
      </c>
      <c r="GH6" s="1108" t="s">
        <v>3623</v>
      </c>
      <c r="GI6" s="1108" t="s">
        <v>3623</v>
      </c>
      <c r="GJ6" s="1108" t="s">
        <v>3623</v>
      </c>
      <c r="GK6" s="1108" t="s">
        <v>3623</v>
      </c>
      <c r="GL6" s="1108" t="s">
        <v>3623</v>
      </c>
      <c r="GM6" s="1108" t="s">
        <v>3623</v>
      </c>
      <c r="GN6" s="1108" t="s">
        <v>3623</v>
      </c>
      <c r="GO6" s="1108" t="s">
        <v>3623</v>
      </c>
      <c r="GP6" s="1108" t="s">
        <v>3623</v>
      </c>
      <c r="GQ6" s="1108" t="s">
        <v>3623</v>
      </c>
      <c r="GR6" s="1108" t="s">
        <v>3623</v>
      </c>
      <c r="GS6" s="1108" t="s">
        <v>3623</v>
      </c>
      <c r="GT6" s="1108" t="s">
        <v>3623</v>
      </c>
      <c r="GU6" s="1108" t="s">
        <v>3623</v>
      </c>
      <c r="GV6" s="1108" t="s">
        <v>3623</v>
      </c>
      <c r="GW6" s="1108" t="s">
        <v>3623</v>
      </c>
      <c r="GX6" s="1108" t="s">
        <v>3623</v>
      </c>
      <c r="GY6" s="1108" t="s">
        <v>3623</v>
      </c>
      <c r="GZ6" s="1108" t="s">
        <v>3623</v>
      </c>
      <c r="HA6" s="1108" t="s">
        <v>3623</v>
      </c>
      <c r="HB6" s="1108" t="s">
        <v>3623</v>
      </c>
      <c r="HC6" s="1108" t="s">
        <v>3660</v>
      </c>
      <c r="HD6" s="1108" t="s">
        <v>3660</v>
      </c>
      <c r="HE6" s="1108" t="s">
        <v>3660</v>
      </c>
      <c r="HF6" s="1108" t="s">
        <v>3660</v>
      </c>
      <c r="HG6" s="1108" t="s">
        <v>3660</v>
      </c>
      <c r="HH6" s="1108" t="s">
        <v>3660</v>
      </c>
      <c r="HI6" s="1108" t="s">
        <v>3660</v>
      </c>
      <c r="HJ6" s="1108" t="s">
        <v>3660</v>
      </c>
      <c r="HK6" s="1108" t="s">
        <v>3660</v>
      </c>
      <c r="HL6" s="1108" t="s">
        <v>3660</v>
      </c>
      <c r="HM6" s="1108" t="s">
        <v>3660</v>
      </c>
      <c r="HN6" s="1108" t="s">
        <v>3660</v>
      </c>
      <c r="HO6" s="1108" t="s">
        <v>3660</v>
      </c>
      <c r="HP6" s="1108" t="s">
        <v>3660</v>
      </c>
      <c r="HQ6" s="1108" t="s">
        <v>3660</v>
      </c>
      <c r="HR6" s="1108" t="s">
        <v>3660</v>
      </c>
      <c r="HS6" s="1108" t="s">
        <v>3660</v>
      </c>
      <c r="HT6" s="1108" t="s">
        <v>3660</v>
      </c>
      <c r="HU6" s="1108" t="s">
        <v>3660</v>
      </c>
      <c r="HV6" s="1108" t="s">
        <v>3660</v>
      </c>
      <c r="HW6" s="1108" t="s">
        <v>3660</v>
      </c>
      <c r="HX6" s="1108" t="s">
        <v>3660</v>
      </c>
      <c r="HY6" s="1108" t="s">
        <v>3660</v>
      </c>
      <c r="HZ6" s="1108" t="s">
        <v>3660</v>
      </c>
      <c r="IA6" s="1108" t="s">
        <v>3660</v>
      </c>
      <c r="IB6" s="1108" t="s">
        <v>3660</v>
      </c>
      <c r="IC6" s="1108" t="s">
        <v>3660</v>
      </c>
      <c r="ID6" s="1108" t="s">
        <v>3660</v>
      </c>
      <c r="IE6" s="1108" t="s">
        <v>3660</v>
      </c>
      <c r="IF6" s="1108" t="s">
        <v>3660</v>
      </c>
      <c r="IG6" s="1108" t="s">
        <v>3660</v>
      </c>
      <c r="IH6" s="1108" t="s">
        <v>3660</v>
      </c>
      <c r="II6" s="1108" t="s">
        <v>3660</v>
      </c>
      <c r="IJ6" s="1108" t="s">
        <v>3660</v>
      </c>
      <c r="IK6" s="1108" t="s">
        <v>3660</v>
      </c>
      <c r="IL6" s="1108" t="s">
        <v>3660</v>
      </c>
      <c r="IM6" s="1108" t="s">
        <v>3660</v>
      </c>
      <c r="IN6" s="1108" t="s">
        <v>3660</v>
      </c>
      <c r="IO6" s="1108" t="s">
        <v>3660</v>
      </c>
      <c r="IP6" s="1108" t="s">
        <v>3660</v>
      </c>
      <c r="IQ6" s="1108" t="s">
        <v>3660</v>
      </c>
      <c r="IR6" s="1108" t="s">
        <v>3660</v>
      </c>
      <c r="IS6" s="1108" t="s">
        <v>3660</v>
      </c>
      <c r="IT6" s="1108" t="s">
        <v>3660</v>
      </c>
      <c r="IU6" s="1108" t="s">
        <v>3660</v>
      </c>
      <c r="IV6" s="1108" t="s">
        <v>3660</v>
      </c>
      <c r="IW6" s="1108" t="s">
        <v>448</v>
      </c>
      <c r="IX6" s="1108" t="s">
        <v>448</v>
      </c>
      <c r="IY6" s="1108" t="s">
        <v>448</v>
      </c>
      <c r="IZ6" s="1108" t="s">
        <v>448</v>
      </c>
      <c r="JA6" s="1108" t="s">
        <v>448</v>
      </c>
      <c r="JB6" s="1108" t="s">
        <v>448</v>
      </c>
      <c r="JC6" s="1108" t="s">
        <v>448</v>
      </c>
      <c r="JD6" s="1108" t="s">
        <v>448</v>
      </c>
      <c r="JE6" s="1108" t="s">
        <v>448</v>
      </c>
      <c r="JF6" s="1108" t="s">
        <v>448</v>
      </c>
      <c r="JG6" s="1108" t="s">
        <v>448</v>
      </c>
      <c r="JH6" s="1108" t="s">
        <v>448</v>
      </c>
      <c r="JI6" s="1108" t="s">
        <v>448</v>
      </c>
      <c r="JJ6" s="1108" t="s">
        <v>448</v>
      </c>
      <c r="JK6" s="1108" t="s">
        <v>448</v>
      </c>
      <c r="JL6" s="1108" t="s">
        <v>448</v>
      </c>
      <c r="JM6" s="1108" t="s">
        <v>448</v>
      </c>
      <c r="JN6" s="1108" t="s">
        <v>448</v>
      </c>
      <c r="JO6" s="1108" t="s">
        <v>448</v>
      </c>
      <c r="JP6" s="1108" t="s">
        <v>448</v>
      </c>
      <c r="JQ6" s="1108" t="s">
        <v>448</v>
      </c>
      <c r="JR6" s="1108" t="s">
        <v>448</v>
      </c>
      <c r="JS6" s="1108" t="s">
        <v>448</v>
      </c>
      <c r="JT6" s="1108" t="s">
        <v>448</v>
      </c>
      <c r="JU6" s="1108" t="s">
        <v>448</v>
      </c>
      <c r="JV6" s="1108" t="s">
        <v>448</v>
      </c>
      <c r="JW6" s="1108" t="s">
        <v>448</v>
      </c>
      <c r="JX6" s="1108" t="s">
        <v>448</v>
      </c>
      <c r="JY6" s="1108" t="s">
        <v>448</v>
      </c>
      <c r="JZ6" s="1108" t="s">
        <v>448</v>
      </c>
      <c r="KA6" s="1108" t="s">
        <v>448</v>
      </c>
      <c r="KB6" s="1108" t="s">
        <v>448</v>
      </c>
      <c r="KC6" s="1108" t="s">
        <v>448</v>
      </c>
      <c r="KD6" s="1108" t="s">
        <v>448</v>
      </c>
      <c r="KE6" s="1108" t="s">
        <v>448</v>
      </c>
      <c r="KF6" s="1108" t="s">
        <v>448</v>
      </c>
      <c r="KG6" s="1108" t="s">
        <v>448</v>
      </c>
      <c r="KH6" s="1108" t="s">
        <v>448</v>
      </c>
      <c r="KI6" s="1108" t="s">
        <v>448</v>
      </c>
      <c r="KJ6" s="1108" t="s">
        <v>448</v>
      </c>
      <c r="KK6" s="1108" t="s">
        <v>448</v>
      </c>
      <c r="KL6" s="1108" t="s">
        <v>448</v>
      </c>
      <c r="KM6" s="1108" t="s">
        <v>448</v>
      </c>
      <c r="KN6" s="1108" t="s">
        <v>448</v>
      </c>
      <c r="KO6" s="1108" t="s">
        <v>448</v>
      </c>
      <c r="KP6" s="1108" t="s">
        <v>448</v>
      </c>
      <c r="KQ6" s="1108" t="s">
        <v>448</v>
      </c>
      <c r="KR6" s="1108" t="s">
        <v>448</v>
      </c>
      <c r="KS6" s="1108" t="s">
        <v>448</v>
      </c>
      <c r="KT6" s="1108" t="s">
        <v>448</v>
      </c>
      <c r="KU6" s="1108" t="s">
        <v>448</v>
      </c>
      <c r="KV6" s="1108" t="s">
        <v>448</v>
      </c>
      <c r="KW6" s="1108" t="s">
        <v>448</v>
      </c>
      <c r="KX6" s="1108" t="s">
        <v>448</v>
      </c>
      <c r="KY6" s="1108" t="s">
        <v>448</v>
      </c>
      <c r="KZ6" s="1108" t="s">
        <v>448</v>
      </c>
      <c r="LA6" s="1108" t="s">
        <v>448</v>
      </c>
      <c r="LB6" s="1108" t="s">
        <v>448</v>
      </c>
      <c r="LC6" s="1108" t="s">
        <v>448</v>
      </c>
      <c r="LD6" s="1108" t="s">
        <v>448</v>
      </c>
      <c r="LE6" s="1108" t="s">
        <v>448</v>
      </c>
      <c r="LF6" s="1108" t="s">
        <v>448</v>
      </c>
      <c r="LG6" s="1108" t="s">
        <v>448</v>
      </c>
      <c r="LH6" s="1108" t="s">
        <v>448</v>
      </c>
      <c r="LI6" s="1108" t="s">
        <v>448</v>
      </c>
      <c r="LJ6" s="1108" t="s">
        <v>448</v>
      </c>
      <c r="LK6" s="1108" t="s">
        <v>448</v>
      </c>
      <c r="LL6" s="1108" t="s">
        <v>448</v>
      </c>
      <c r="LM6" s="1108" t="s">
        <v>448</v>
      </c>
      <c r="LN6" s="1108" t="s">
        <v>448</v>
      </c>
      <c r="LO6" s="1108" t="s">
        <v>448</v>
      </c>
      <c r="LP6" s="1108" t="s">
        <v>448</v>
      </c>
      <c r="LQ6" s="1108" t="s">
        <v>448</v>
      </c>
      <c r="LR6" s="1108" t="s">
        <v>448</v>
      </c>
      <c r="LS6" s="1108" t="s">
        <v>448</v>
      </c>
      <c r="LT6" s="1108" t="s">
        <v>448</v>
      </c>
      <c r="LU6" s="1108" t="s">
        <v>448</v>
      </c>
      <c r="LV6" s="1108" t="s">
        <v>448</v>
      </c>
      <c r="LW6" s="1108" t="s">
        <v>448</v>
      </c>
      <c r="LX6" s="1108" t="s">
        <v>448</v>
      </c>
      <c r="LY6" s="1108" t="s">
        <v>448</v>
      </c>
      <c r="LZ6" s="1108" t="s">
        <v>448</v>
      </c>
      <c r="MA6" s="1108" t="s">
        <v>448</v>
      </c>
      <c r="MB6" s="1108" t="s">
        <v>448</v>
      </c>
      <c r="MC6" s="1108" t="s">
        <v>448</v>
      </c>
      <c r="MD6" s="1108" t="s">
        <v>448</v>
      </c>
      <c r="ME6" s="1108" t="s">
        <v>448</v>
      </c>
      <c r="MF6" s="1108" t="s">
        <v>448</v>
      </c>
      <c r="MG6" s="1108" t="s">
        <v>448</v>
      </c>
      <c r="MH6" s="1108" t="s">
        <v>448</v>
      </c>
      <c r="MI6" s="1108" t="s">
        <v>448</v>
      </c>
      <c r="MJ6" s="1108" t="s">
        <v>448</v>
      </c>
      <c r="MK6" s="1108" t="s">
        <v>448</v>
      </c>
      <c r="ML6" s="1108" t="s">
        <v>448</v>
      </c>
      <c r="MM6" s="1108" t="s">
        <v>448</v>
      </c>
      <c r="MN6" s="1108" t="s">
        <v>448</v>
      </c>
      <c r="MO6" s="1108" t="s">
        <v>448</v>
      </c>
      <c r="MP6" s="1108" t="s">
        <v>448</v>
      </c>
      <c r="MQ6" s="1108" t="s">
        <v>448</v>
      </c>
      <c r="MR6" s="1108" t="s">
        <v>448</v>
      </c>
      <c r="MS6" s="1108" t="s">
        <v>448</v>
      </c>
      <c r="MT6" s="1108" t="s">
        <v>448</v>
      </c>
      <c r="MU6" s="1108" t="s">
        <v>448</v>
      </c>
      <c r="MV6" s="1108" t="s">
        <v>448</v>
      </c>
      <c r="MW6" s="1108" t="s">
        <v>448</v>
      </c>
      <c r="MX6" s="1108" t="s">
        <v>448</v>
      </c>
      <c r="MY6" s="1108" t="s">
        <v>448</v>
      </c>
      <c r="MZ6" s="1108" t="s">
        <v>448</v>
      </c>
      <c r="NA6" s="1108" t="s">
        <v>448</v>
      </c>
      <c r="NB6" s="1108" t="s">
        <v>448</v>
      </c>
      <c r="NC6" s="1108" t="s">
        <v>448</v>
      </c>
      <c r="ND6" s="1108" t="s">
        <v>448</v>
      </c>
      <c r="NE6" s="1108" t="s">
        <v>3797</v>
      </c>
      <c r="NF6" s="1108" t="s">
        <v>3797</v>
      </c>
      <c r="NG6" s="1108" t="s">
        <v>3797</v>
      </c>
      <c r="NH6" s="1108" t="s">
        <v>3797</v>
      </c>
      <c r="NI6" s="1108" t="s">
        <v>3797</v>
      </c>
      <c r="NJ6" s="1108" t="s">
        <v>3797</v>
      </c>
      <c r="NK6" s="1108" t="s">
        <v>3797</v>
      </c>
      <c r="NL6" s="1108" t="s">
        <v>3797</v>
      </c>
      <c r="NM6" s="1108" t="s">
        <v>3797</v>
      </c>
      <c r="NN6" s="1108" t="s">
        <v>3797</v>
      </c>
      <c r="NO6" s="1108" t="s">
        <v>3797</v>
      </c>
      <c r="NP6" s="1108" t="s">
        <v>3797</v>
      </c>
      <c r="NQ6" s="1108" t="s">
        <v>3797</v>
      </c>
      <c r="NR6" s="1108" t="s">
        <v>3797</v>
      </c>
      <c r="NS6" s="1108" t="s">
        <v>3797</v>
      </c>
      <c r="NT6" s="1108" t="s">
        <v>3797</v>
      </c>
      <c r="NU6" s="1108" t="s">
        <v>3797</v>
      </c>
      <c r="NV6" s="1108" t="s">
        <v>3797</v>
      </c>
      <c r="NW6" s="1108" t="s">
        <v>3797</v>
      </c>
      <c r="NX6" s="1108" t="s">
        <v>3797</v>
      </c>
      <c r="NY6" s="1108" t="s">
        <v>3797</v>
      </c>
      <c r="NZ6" s="1108" t="s">
        <v>3797</v>
      </c>
      <c r="OA6" s="1108" t="s">
        <v>3797</v>
      </c>
      <c r="OB6" s="1108" t="s">
        <v>3797</v>
      </c>
      <c r="OC6" s="1108" t="s">
        <v>3797</v>
      </c>
      <c r="OD6" s="1108" t="s">
        <v>3797</v>
      </c>
      <c r="OE6" s="1108" t="s">
        <v>3797</v>
      </c>
      <c r="OF6" s="1108" t="s">
        <v>3797</v>
      </c>
      <c r="OG6" s="1108" t="s">
        <v>3797</v>
      </c>
      <c r="OH6" s="1108" t="s">
        <v>3797</v>
      </c>
      <c r="OI6" s="1108" t="s">
        <v>3797</v>
      </c>
      <c r="OJ6" s="1108" t="s">
        <v>3797</v>
      </c>
      <c r="OK6" s="1108" t="s">
        <v>3797</v>
      </c>
      <c r="OL6" s="1108" t="s">
        <v>3797</v>
      </c>
      <c r="OM6" s="1108" t="s">
        <v>3797</v>
      </c>
      <c r="ON6" s="1108" t="s">
        <v>3797</v>
      </c>
      <c r="OO6" s="1108" t="s">
        <v>3797</v>
      </c>
      <c r="OP6" s="1108" t="s">
        <v>3797</v>
      </c>
      <c r="OQ6" s="1108" t="s">
        <v>3797</v>
      </c>
      <c r="OR6" s="1108" t="s">
        <v>3797</v>
      </c>
      <c r="OS6" s="1108" t="s">
        <v>3797</v>
      </c>
      <c r="OT6" s="1108" t="s">
        <v>3797</v>
      </c>
      <c r="OU6" s="1108" t="s">
        <v>3797</v>
      </c>
      <c r="OV6" s="1108" t="s">
        <v>3797</v>
      </c>
      <c r="OW6" s="1108" t="s">
        <v>3797</v>
      </c>
      <c r="OX6" s="1108" t="s">
        <v>3797</v>
      </c>
      <c r="OY6" s="1108" t="s">
        <v>3797</v>
      </c>
      <c r="OZ6" s="1108" t="s">
        <v>3797</v>
      </c>
      <c r="PA6" s="1108" t="s">
        <v>3797</v>
      </c>
      <c r="PB6" s="1108" t="s">
        <v>3797</v>
      </c>
      <c r="PC6" s="1108" t="s">
        <v>3797</v>
      </c>
      <c r="PD6" s="1108" t="s">
        <v>3797</v>
      </c>
      <c r="PE6" s="1108" t="s">
        <v>3797</v>
      </c>
      <c r="PF6" s="1108" t="s">
        <v>3797</v>
      </c>
      <c r="PG6" s="1108" t="s">
        <v>3797</v>
      </c>
      <c r="PH6" s="1108" t="s">
        <v>3797</v>
      </c>
      <c r="PI6" s="1108" t="s">
        <v>3797</v>
      </c>
      <c r="PJ6" s="1108" t="s">
        <v>3797</v>
      </c>
      <c r="PK6" s="1108" t="s">
        <v>3797</v>
      </c>
      <c r="PL6" s="1108" t="s">
        <v>3797</v>
      </c>
      <c r="PM6" s="1108" t="s">
        <v>3797</v>
      </c>
      <c r="PN6" s="1108" t="s">
        <v>3797</v>
      </c>
      <c r="PO6" s="1108" t="s">
        <v>3797</v>
      </c>
      <c r="PP6" s="1108" t="s">
        <v>3797</v>
      </c>
      <c r="PQ6" s="1108" t="s">
        <v>3797</v>
      </c>
      <c r="PR6" s="1108" t="s">
        <v>3797</v>
      </c>
      <c r="PS6" s="1108" t="s">
        <v>3797</v>
      </c>
      <c r="PT6" s="1108" t="s">
        <v>3797</v>
      </c>
      <c r="PU6" s="1108" t="s">
        <v>3797</v>
      </c>
      <c r="PV6" s="1108" t="s">
        <v>3797</v>
      </c>
      <c r="PW6" s="1108" t="s">
        <v>3797</v>
      </c>
      <c r="PX6" s="1108" t="s">
        <v>3797</v>
      </c>
      <c r="PY6" s="1108" t="s">
        <v>3797</v>
      </c>
      <c r="PZ6" s="1108" t="s">
        <v>3797</v>
      </c>
      <c r="QA6" s="1108" t="s">
        <v>3797</v>
      </c>
      <c r="QB6" s="1108" t="s">
        <v>3797</v>
      </c>
      <c r="QC6" s="1108" t="s">
        <v>3797</v>
      </c>
      <c r="QD6" s="1108" t="s">
        <v>3797</v>
      </c>
      <c r="QE6" s="1108" t="s">
        <v>3797</v>
      </c>
      <c r="QF6" s="1108" t="s">
        <v>3797</v>
      </c>
      <c r="QG6" s="1108" t="s">
        <v>3797</v>
      </c>
      <c r="QH6" s="1108" t="s">
        <v>3797</v>
      </c>
      <c r="QI6" s="1108" t="s">
        <v>3797</v>
      </c>
      <c r="QJ6" s="1108" t="s">
        <v>3797</v>
      </c>
      <c r="QK6" s="1108" t="s">
        <v>3797</v>
      </c>
      <c r="QL6" s="1108" t="s">
        <v>3797</v>
      </c>
      <c r="QM6" s="1108" t="s">
        <v>3797</v>
      </c>
      <c r="QN6" s="1108" t="s">
        <v>3797</v>
      </c>
      <c r="QO6" s="1108" t="s">
        <v>3797</v>
      </c>
      <c r="QP6" s="1108" t="s">
        <v>3797</v>
      </c>
      <c r="QQ6" s="1108" t="s">
        <v>3797</v>
      </c>
      <c r="QR6" s="1108" t="s">
        <v>3797</v>
      </c>
      <c r="QS6" s="1108" t="s">
        <v>3797</v>
      </c>
      <c r="QT6" s="1108" t="s">
        <v>3797</v>
      </c>
      <c r="QU6" s="1108" t="s">
        <v>3797</v>
      </c>
      <c r="QV6" s="1108" t="s">
        <v>3797</v>
      </c>
      <c r="QW6" s="1108" t="s">
        <v>3797</v>
      </c>
      <c r="QX6" s="1108" t="s">
        <v>3797</v>
      </c>
      <c r="QY6" s="1108" t="s">
        <v>3797</v>
      </c>
      <c r="QZ6" s="1108" t="s">
        <v>3797</v>
      </c>
      <c r="RA6" s="1108" t="s">
        <v>3797</v>
      </c>
      <c r="RB6" s="1108" t="s">
        <v>3797</v>
      </c>
      <c r="RC6" s="1108" t="s">
        <v>3797</v>
      </c>
      <c r="RD6" s="1108" t="s">
        <v>3797</v>
      </c>
      <c r="RE6" s="1108" t="s">
        <v>3797</v>
      </c>
      <c r="RF6" s="1108" t="s">
        <v>3797</v>
      </c>
      <c r="RG6" s="1108" t="s">
        <v>3797</v>
      </c>
      <c r="RH6" s="1108" t="s">
        <v>3797</v>
      </c>
      <c r="RI6" s="1108" t="s">
        <v>3797</v>
      </c>
      <c r="RJ6" s="1108" t="s">
        <v>3797</v>
      </c>
      <c r="RK6" s="1108" t="s">
        <v>3797</v>
      </c>
      <c r="RL6" s="1108" t="s">
        <v>3797</v>
      </c>
      <c r="RM6" s="1108" t="s">
        <v>3797</v>
      </c>
      <c r="RN6" s="1108" t="s">
        <v>3797</v>
      </c>
      <c r="RO6" s="1108" t="s">
        <v>3797</v>
      </c>
      <c r="RP6" s="1108" t="s">
        <v>3797</v>
      </c>
      <c r="RQ6" s="1108" t="s">
        <v>3797</v>
      </c>
      <c r="RR6" s="1108" t="s">
        <v>3797</v>
      </c>
      <c r="RS6" s="1108" t="s">
        <v>3797</v>
      </c>
      <c r="RT6" s="1108" t="s">
        <v>3797</v>
      </c>
      <c r="RU6" s="1108" t="s">
        <v>3797</v>
      </c>
      <c r="RV6" s="1108" t="s">
        <v>3797</v>
      </c>
      <c r="RW6" s="1108" t="s">
        <v>3797</v>
      </c>
      <c r="RX6" s="1108" t="s">
        <v>3797</v>
      </c>
      <c r="RY6" s="1108" t="s">
        <v>3797</v>
      </c>
      <c r="RZ6" s="1108" t="s">
        <v>3797</v>
      </c>
      <c r="SA6" s="1108" t="s">
        <v>3797</v>
      </c>
      <c r="SB6" s="1108" t="s">
        <v>3797</v>
      </c>
      <c r="SC6" s="1108" t="s">
        <v>3797</v>
      </c>
      <c r="SD6" s="1108" t="s">
        <v>3797</v>
      </c>
      <c r="SE6" s="1108" t="s">
        <v>3797</v>
      </c>
      <c r="SF6" s="1108" t="s">
        <v>3797</v>
      </c>
      <c r="SG6" s="1108" t="s">
        <v>3797</v>
      </c>
      <c r="SH6" s="1108" t="s">
        <v>3797</v>
      </c>
      <c r="SI6" s="1108" t="s">
        <v>3797</v>
      </c>
      <c r="SJ6" s="1108" t="s">
        <v>3797</v>
      </c>
      <c r="SK6" s="1108" t="s">
        <v>3797</v>
      </c>
      <c r="SL6" s="1108" t="s">
        <v>3797</v>
      </c>
      <c r="SM6" s="1108" t="s">
        <v>3797</v>
      </c>
      <c r="SN6" s="1108" t="s">
        <v>3797</v>
      </c>
      <c r="SO6" s="1108" t="s">
        <v>3797</v>
      </c>
      <c r="SP6" s="1108" t="s">
        <v>3797</v>
      </c>
      <c r="SQ6" s="1108" t="s">
        <v>3797</v>
      </c>
      <c r="SR6" s="1108" t="s">
        <v>3797</v>
      </c>
      <c r="SS6" s="1108" t="s">
        <v>3797</v>
      </c>
      <c r="ST6" s="1108" t="s">
        <v>3797</v>
      </c>
      <c r="SU6" s="1108" t="s">
        <v>3797</v>
      </c>
      <c r="SV6" s="1108" t="s">
        <v>3797</v>
      </c>
      <c r="SW6" s="1108" t="s">
        <v>3797</v>
      </c>
      <c r="SX6" s="1108" t="s">
        <v>3797</v>
      </c>
      <c r="SY6" s="1108" t="s">
        <v>3797</v>
      </c>
      <c r="SZ6" s="1108" t="s">
        <v>3797</v>
      </c>
      <c r="TA6" s="1108" t="s">
        <v>3797</v>
      </c>
      <c r="TB6" s="1108" t="s">
        <v>3797</v>
      </c>
      <c r="TC6" s="1108" t="s">
        <v>3797</v>
      </c>
      <c r="TD6" s="1108" t="s">
        <v>3797</v>
      </c>
      <c r="TE6" s="1108" t="s">
        <v>3797</v>
      </c>
      <c r="TF6" s="1108" t="s">
        <v>3797</v>
      </c>
      <c r="TG6" s="1108" t="s">
        <v>3797</v>
      </c>
      <c r="TH6" s="1108" t="s">
        <v>3797</v>
      </c>
      <c r="TI6" s="1108" t="s">
        <v>3797</v>
      </c>
      <c r="TJ6" s="1108" t="s">
        <v>3797</v>
      </c>
      <c r="TK6" s="1108" t="s">
        <v>3797</v>
      </c>
      <c r="TL6" s="1108" t="s">
        <v>3797</v>
      </c>
      <c r="TM6" s="1108" t="s">
        <v>3797</v>
      </c>
      <c r="TN6" s="1108" t="s">
        <v>3797</v>
      </c>
      <c r="TO6" s="1108" t="s">
        <v>3797</v>
      </c>
      <c r="TP6" s="1108" t="s">
        <v>3797</v>
      </c>
      <c r="TQ6" s="1108" t="s">
        <v>3797</v>
      </c>
      <c r="TR6" s="1108" t="s">
        <v>3797</v>
      </c>
      <c r="TS6" s="1108" t="s">
        <v>3797</v>
      </c>
      <c r="TT6" s="1108" t="s">
        <v>3797</v>
      </c>
      <c r="TU6" s="1108" t="s">
        <v>3797</v>
      </c>
      <c r="TV6" s="1108" t="s">
        <v>3797</v>
      </c>
      <c r="TW6" s="1108" t="s">
        <v>3797</v>
      </c>
      <c r="TX6" s="1108" t="s">
        <v>3797</v>
      </c>
      <c r="TY6" s="1108" t="s">
        <v>3797</v>
      </c>
      <c r="TZ6" s="1108" t="s">
        <v>3797</v>
      </c>
      <c r="UA6" s="1108" t="s">
        <v>3797</v>
      </c>
      <c r="UB6" s="1108" t="s">
        <v>3797</v>
      </c>
      <c r="UC6" s="1108" t="s">
        <v>3797</v>
      </c>
      <c r="UD6" s="1108" t="s">
        <v>3979</v>
      </c>
      <c r="UE6" s="1108" t="s">
        <v>3979</v>
      </c>
      <c r="UF6" s="1108" t="s">
        <v>3979</v>
      </c>
      <c r="UG6" s="1108" t="s">
        <v>3979</v>
      </c>
      <c r="UH6" s="1108" t="s">
        <v>3979</v>
      </c>
      <c r="UI6" s="1108" t="s">
        <v>3979</v>
      </c>
      <c r="UJ6" s="1108" t="s">
        <v>3979</v>
      </c>
      <c r="UK6" s="1108" t="s">
        <v>3979</v>
      </c>
      <c r="UL6" s="1108" t="s">
        <v>3979</v>
      </c>
      <c r="UM6" s="1108" t="s">
        <v>3979</v>
      </c>
      <c r="UN6" s="1108" t="s">
        <v>3979</v>
      </c>
      <c r="UO6" s="1108" t="s">
        <v>3979</v>
      </c>
      <c r="UP6" s="1108" t="s">
        <v>3979</v>
      </c>
      <c r="UQ6" s="1108" t="s">
        <v>3979</v>
      </c>
      <c r="UR6" s="1108" t="s">
        <v>3979</v>
      </c>
      <c r="US6" s="1108" t="s">
        <v>3979</v>
      </c>
      <c r="UT6" s="1108" t="s">
        <v>3979</v>
      </c>
      <c r="UU6" s="1108" t="s">
        <v>3979</v>
      </c>
      <c r="UV6" s="1108" t="s">
        <v>3979</v>
      </c>
      <c r="UW6" s="1108" t="s">
        <v>3979</v>
      </c>
      <c r="UX6" s="1108" t="s">
        <v>3979</v>
      </c>
      <c r="UY6" s="1108" t="s">
        <v>3979</v>
      </c>
      <c r="UZ6" s="1108" t="s">
        <v>3979</v>
      </c>
      <c r="VA6" s="1108" t="s">
        <v>3979</v>
      </c>
      <c r="VB6" s="1108" t="s">
        <v>3979</v>
      </c>
      <c r="VC6" s="1108" t="s">
        <v>3979</v>
      </c>
      <c r="VD6" s="1108" t="s">
        <v>3979</v>
      </c>
      <c r="VE6" s="1108" t="s">
        <v>3979</v>
      </c>
      <c r="VF6" s="1108" t="s">
        <v>3979</v>
      </c>
      <c r="VG6" s="1108" t="s">
        <v>3979</v>
      </c>
      <c r="VH6" s="1108" t="s">
        <v>3979</v>
      </c>
      <c r="VI6" s="1108" t="s">
        <v>3979</v>
      </c>
      <c r="VJ6" s="1108" t="s">
        <v>3979</v>
      </c>
      <c r="VK6" s="1108" t="s">
        <v>3979</v>
      </c>
      <c r="VL6" s="1108" t="s">
        <v>3979</v>
      </c>
      <c r="VM6" s="1108" t="s">
        <v>3979</v>
      </c>
      <c r="VN6" s="1108" t="s">
        <v>3979</v>
      </c>
      <c r="VO6" s="1108" t="s">
        <v>3979</v>
      </c>
      <c r="VP6" s="1108" t="s">
        <v>3979</v>
      </c>
      <c r="VQ6" s="1108" t="s">
        <v>3979</v>
      </c>
      <c r="VR6" s="1108" t="s">
        <v>3979</v>
      </c>
      <c r="VS6" s="1108" t="s">
        <v>3979</v>
      </c>
      <c r="VT6" s="1108" t="s">
        <v>3979</v>
      </c>
      <c r="VU6" s="1108" t="s">
        <v>3979</v>
      </c>
      <c r="VV6" s="1108" t="s">
        <v>3979</v>
      </c>
      <c r="VW6" s="1108" t="s">
        <v>3979</v>
      </c>
      <c r="VX6" s="1108" t="s">
        <v>3979</v>
      </c>
      <c r="VY6" s="1108" t="s">
        <v>3979</v>
      </c>
      <c r="VZ6" s="1108" t="s">
        <v>3979</v>
      </c>
      <c r="WA6" s="1108" t="s">
        <v>3979</v>
      </c>
      <c r="WB6" s="1108" t="s">
        <v>3979</v>
      </c>
      <c r="WC6" s="1108" t="s">
        <v>3979</v>
      </c>
      <c r="WD6" s="1108" t="s">
        <v>3979</v>
      </c>
      <c r="WE6" s="1108" t="s">
        <v>3979</v>
      </c>
      <c r="WF6" s="1108" t="s">
        <v>3979</v>
      </c>
      <c r="WG6" s="1108" t="s">
        <v>3979</v>
      </c>
      <c r="WH6" s="1108" t="s">
        <v>3979</v>
      </c>
      <c r="WI6" s="1108" t="s">
        <v>3979</v>
      </c>
      <c r="WJ6" s="1108" t="s">
        <v>3979</v>
      </c>
      <c r="WK6" s="1108" t="s">
        <v>3979</v>
      </c>
      <c r="WL6" s="1108" t="s">
        <v>3979</v>
      </c>
      <c r="WM6" s="1108" t="s">
        <v>3979</v>
      </c>
      <c r="WN6" s="1108" t="s">
        <v>3979</v>
      </c>
      <c r="WO6" s="1108" t="s">
        <v>3979</v>
      </c>
      <c r="WP6" s="1108" t="s">
        <v>3979</v>
      </c>
      <c r="WQ6" s="1108" t="s">
        <v>3979</v>
      </c>
      <c r="WR6" s="1108" t="s">
        <v>3979</v>
      </c>
      <c r="WS6" s="1108" t="s">
        <v>3979</v>
      </c>
      <c r="WT6" s="1108" t="s">
        <v>3979</v>
      </c>
      <c r="WU6" s="1108" t="s">
        <v>3979</v>
      </c>
      <c r="WV6" s="1108" t="s">
        <v>3979</v>
      </c>
      <c r="WW6" s="1108" t="s">
        <v>3979</v>
      </c>
      <c r="WX6" s="1108" t="s">
        <v>3979</v>
      </c>
      <c r="WY6" s="1108" t="s">
        <v>3979</v>
      </c>
      <c r="WZ6" s="1108" t="s">
        <v>3979</v>
      </c>
      <c r="XA6" s="1108" t="s">
        <v>3979</v>
      </c>
      <c r="XB6" s="1108" t="s">
        <v>3979</v>
      </c>
      <c r="XC6" s="1108" t="s">
        <v>3979</v>
      </c>
      <c r="XD6" s="1108" t="s">
        <v>3979</v>
      </c>
      <c r="XE6" s="1108" t="s">
        <v>3979</v>
      </c>
      <c r="XF6" s="1108" t="s">
        <v>3979</v>
      </c>
      <c r="XG6" s="1108" t="s">
        <v>3979</v>
      </c>
      <c r="XH6" s="1108" t="s">
        <v>3979</v>
      </c>
      <c r="XI6" s="1108" t="s">
        <v>3979</v>
      </c>
      <c r="XJ6" s="1108" t="s">
        <v>3979</v>
      </c>
      <c r="XK6" s="1108" t="s">
        <v>3979</v>
      </c>
      <c r="XL6" s="1108" t="s">
        <v>3979</v>
      </c>
      <c r="XM6" s="1108" t="s">
        <v>3979</v>
      </c>
      <c r="XN6" s="1108" t="s">
        <v>3979</v>
      </c>
      <c r="XO6" s="1108" t="s">
        <v>3979</v>
      </c>
      <c r="XP6" s="1108" t="s">
        <v>3979</v>
      </c>
      <c r="XQ6" s="1108" t="s">
        <v>3979</v>
      </c>
      <c r="XR6" s="1108" t="s">
        <v>3979</v>
      </c>
      <c r="XS6" s="1108" t="s">
        <v>3979</v>
      </c>
      <c r="XT6" s="1108" t="s">
        <v>3979</v>
      </c>
      <c r="XU6" s="1108" t="s">
        <v>3979</v>
      </c>
      <c r="XV6" s="1108" t="s">
        <v>3979</v>
      </c>
      <c r="XW6" s="1108" t="s">
        <v>3979</v>
      </c>
      <c r="XX6" s="1108" t="s">
        <v>3979</v>
      </c>
      <c r="XY6" s="1108" t="s">
        <v>3979</v>
      </c>
      <c r="XZ6" s="1108" t="s">
        <v>3979</v>
      </c>
      <c r="YA6" s="1108" t="s">
        <v>3979</v>
      </c>
      <c r="YB6" s="1108" t="s">
        <v>3979</v>
      </c>
      <c r="YC6" s="1108" t="s">
        <v>3979</v>
      </c>
      <c r="YD6" s="1108" t="s">
        <v>3979</v>
      </c>
      <c r="YE6" s="1108" t="s">
        <v>3979</v>
      </c>
      <c r="YF6" s="1108" t="s">
        <v>3979</v>
      </c>
      <c r="YG6" s="1108" t="s">
        <v>3979</v>
      </c>
      <c r="YH6" s="1108" t="s">
        <v>3979</v>
      </c>
      <c r="YI6" s="1108" t="s">
        <v>3979</v>
      </c>
      <c r="YJ6" s="1108" t="s">
        <v>3979</v>
      </c>
      <c r="YK6" s="1108" t="s">
        <v>3979</v>
      </c>
      <c r="YL6" s="1108" t="s">
        <v>3979</v>
      </c>
      <c r="YM6" s="1108" t="s">
        <v>3979</v>
      </c>
      <c r="YN6" s="1108" t="s">
        <v>3979</v>
      </c>
      <c r="YO6" s="1108" t="s">
        <v>3979</v>
      </c>
      <c r="YP6" s="1108" t="s">
        <v>3979</v>
      </c>
      <c r="YQ6" s="1108" t="s">
        <v>3979</v>
      </c>
      <c r="YR6" s="1108" t="s">
        <v>3979</v>
      </c>
      <c r="YS6" s="1108" t="s">
        <v>3979</v>
      </c>
      <c r="YT6" s="1108" t="s">
        <v>3979</v>
      </c>
      <c r="YU6" s="1108" t="s">
        <v>3979</v>
      </c>
      <c r="YV6" s="1108" t="s">
        <v>3979</v>
      </c>
      <c r="YW6" s="1108" t="s">
        <v>3979</v>
      </c>
      <c r="YX6" s="1108" t="s">
        <v>3979</v>
      </c>
      <c r="YY6" s="1108" t="s">
        <v>3979</v>
      </c>
      <c r="YZ6" s="1108" t="s">
        <v>3979</v>
      </c>
      <c r="ZA6" s="1108" t="s">
        <v>3979</v>
      </c>
      <c r="ZB6" s="1108" t="s">
        <v>3979</v>
      </c>
      <c r="ZC6" s="1108" t="s">
        <v>3979</v>
      </c>
      <c r="ZD6" s="1108" t="s">
        <v>3979</v>
      </c>
      <c r="ZE6" s="1108" t="s">
        <v>3979</v>
      </c>
      <c r="ZF6" s="1108" t="s">
        <v>3979</v>
      </c>
      <c r="ZG6" s="1108" t="s">
        <v>3979</v>
      </c>
      <c r="ZH6" s="1108" t="s">
        <v>3979</v>
      </c>
      <c r="ZI6" s="1108" t="s">
        <v>3979</v>
      </c>
      <c r="ZJ6" s="1108" t="s">
        <v>3979</v>
      </c>
      <c r="ZK6" s="1108" t="s">
        <v>3979</v>
      </c>
      <c r="ZL6" s="1108" t="s">
        <v>3979</v>
      </c>
      <c r="ZM6" s="1108" t="s">
        <v>3979</v>
      </c>
      <c r="ZN6" s="1108" t="s">
        <v>3979</v>
      </c>
      <c r="ZO6" s="1108" t="s">
        <v>3979</v>
      </c>
      <c r="ZP6" s="1108" t="s">
        <v>3979</v>
      </c>
      <c r="ZQ6" s="1108" t="s">
        <v>3979</v>
      </c>
      <c r="ZR6" s="1108" t="s">
        <v>3979</v>
      </c>
      <c r="ZS6" s="1108" t="s">
        <v>3979</v>
      </c>
      <c r="ZT6" s="1108" t="s">
        <v>3979</v>
      </c>
      <c r="ZU6" s="1108" t="s">
        <v>3979</v>
      </c>
      <c r="ZV6" s="1108" t="s">
        <v>3979</v>
      </c>
      <c r="ZW6" s="1108" t="s">
        <v>3979</v>
      </c>
      <c r="ZX6" s="1108" t="s">
        <v>3979</v>
      </c>
      <c r="ZY6" s="1108" t="s">
        <v>3979</v>
      </c>
      <c r="ZZ6" s="1108" t="s">
        <v>3979</v>
      </c>
      <c r="AAA6" s="1108" t="s">
        <v>3979</v>
      </c>
      <c r="AAB6" s="1108" t="s">
        <v>3979</v>
      </c>
      <c r="AAC6" s="1108" t="s">
        <v>3979</v>
      </c>
      <c r="AAD6" s="1108" t="s">
        <v>3979</v>
      </c>
      <c r="AAE6" s="1108" t="s">
        <v>3979</v>
      </c>
      <c r="AAF6" s="1108" t="s">
        <v>3979</v>
      </c>
      <c r="AAG6" s="1108" t="s">
        <v>3979</v>
      </c>
      <c r="AAH6" s="1108" t="s">
        <v>3979</v>
      </c>
      <c r="AAI6" s="1108" t="s">
        <v>3979</v>
      </c>
      <c r="AAJ6" s="1108" t="s">
        <v>3979</v>
      </c>
      <c r="AAK6" s="1108" t="s">
        <v>3979</v>
      </c>
      <c r="AAL6" s="1108" t="s">
        <v>3979</v>
      </c>
      <c r="AAM6" s="1108" t="s">
        <v>3979</v>
      </c>
      <c r="AAN6" s="1108" t="s">
        <v>3979</v>
      </c>
      <c r="AAO6" s="1108" t="s">
        <v>3979</v>
      </c>
      <c r="AAP6" s="1108" t="s">
        <v>3979</v>
      </c>
      <c r="AAQ6" s="1108" t="s">
        <v>3979</v>
      </c>
      <c r="AAR6" s="1108" t="s">
        <v>3979</v>
      </c>
      <c r="AAS6" s="1108" t="s">
        <v>3979</v>
      </c>
      <c r="AAT6" s="1108" t="s">
        <v>3979</v>
      </c>
      <c r="AAU6" s="1108" t="s">
        <v>3979</v>
      </c>
      <c r="AAV6" s="1108" t="s">
        <v>3979</v>
      </c>
      <c r="AAW6" s="1108" t="s">
        <v>3979</v>
      </c>
      <c r="AAX6" s="1108" t="s">
        <v>3979</v>
      </c>
      <c r="AAY6" s="1108" t="s">
        <v>3979</v>
      </c>
      <c r="AAZ6" s="1108" t="s">
        <v>3979</v>
      </c>
      <c r="ABA6" s="1108" t="s">
        <v>3979</v>
      </c>
      <c r="ABB6" s="1108" t="s">
        <v>3979</v>
      </c>
      <c r="ABC6" s="1108" t="s">
        <v>3979</v>
      </c>
      <c r="ABD6" s="1108" t="s">
        <v>3979</v>
      </c>
      <c r="ABE6" s="1108" t="s">
        <v>3979</v>
      </c>
      <c r="ABF6" s="1108" t="s">
        <v>3979</v>
      </c>
      <c r="ABG6" s="1108" t="s">
        <v>3979</v>
      </c>
      <c r="ABH6" s="1108" t="s">
        <v>3979</v>
      </c>
      <c r="ABI6" s="1108" t="s">
        <v>3979</v>
      </c>
      <c r="ABJ6" s="1108" t="s">
        <v>3979</v>
      </c>
      <c r="ABK6" s="1108" t="s">
        <v>3979</v>
      </c>
      <c r="ABL6" s="1108" t="s">
        <v>3979</v>
      </c>
      <c r="ABM6" s="1108" t="s">
        <v>3979</v>
      </c>
      <c r="ABN6" s="1108" t="s">
        <v>3979</v>
      </c>
      <c r="ABO6" s="1108" t="s">
        <v>3979</v>
      </c>
      <c r="ABP6" s="1108" t="s">
        <v>3979</v>
      </c>
      <c r="ABQ6" s="1108" t="s">
        <v>3979</v>
      </c>
      <c r="ABR6" s="1108" t="s">
        <v>3979</v>
      </c>
      <c r="ABS6" s="1108" t="s">
        <v>3979</v>
      </c>
      <c r="ABT6" s="1108" t="s">
        <v>3979</v>
      </c>
      <c r="ABU6" s="1108" t="s">
        <v>3979</v>
      </c>
      <c r="ABV6" s="1108" t="s">
        <v>3979</v>
      </c>
      <c r="ABW6" s="1108" t="s">
        <v>3979</v>
      </c>
      <c r="ABX6" s="1108" t="s">
        <v>3979</v>
      </c>
      <c r="ABY6" s="1108" t="s">
        <v>3979</v>
      </c>
      <c r="ABZ6" s="1108" t="s">
        <v>3979</v>
      </c>
      <c r="ACA6" s="1108" t="s">
        <v>3979</v>
      </c>
      <c r="ACB6" s="1108" t="s">
        <v>3979</v>
      </c>
      <c r="ACC6" s="1108" t="s">
        <v>3979</v>
      </c>
      <c r="ACD6" s="1108" t="s">
        <v>3979</v>
      </c>
      <c r="ACE6" s="1108" t="s">
        <v>3979</v>
      </c>
      <c r="ACF6" s="1108" t="s">
        <v>3979</v>
      </c>
      <c r="ACG6" s="1108" t="s">
        <v>3979</v>
      </c>
      <c r="ACH6" s="1108" t="s">
        <v>3979</v>
      </c>
      <c r="ACI6" s="1108" t="s">
        <v>4167</v>
      </c>
      <c r="ACJ6" s="1108" t="s">
        <v>4167</v>
      </c>
      <c r="ACK6" s="1108" t="s">
        <v>4167</v>
      </c>
      <c r="ACL6" s="1108" t="s">
        <v>4167</v>
      </c>
      <c r="ACM6" s="1108" t="s">
        <v>4167</v>
      </c>
      <c r="ACN6" s="1108" t="s">
        <v>4167</v>
      </c>
      <c r="ACO6" s="1108" t="s">
        <v>4167</v>
      </c>
      <c r="ACP6" s="1108" t="s">
        <v>4167</v>
      </c>
      <c r="ACQ6" s="1108" t="s">
        <v>4167</v>
      </c>
      <c r="ACR6" s="1108" t="s">
        <v>4167</v>
      </c>
      <c r="ACS6" s="1108" t="s">
        <v>4167</v>
      </c>
      <c r="ACT6" s="1108" t="s">
        <v>4167</v>
      </c>
      <c r="ACU6" s="1108" t="s">
        <v>4167</v>
      </c>
      <c r="ACV6" s="1108" t="s">
        <v>4167</v>
      </c>
      <c r="ACW6" s="1108" t="s">
        <v>4167</v>
      </c>
      <c r="ACX6" s="1108" t="s">
        <v>4167</v>
      </c>
      <c r="ACY6" s="1108" t="s">
        <v>4167</v>
      </c>
      <c r="ACZ6" s="1108" t="s">
        <v>4167</v>
      </c>
      <c r="ADA6" s="1108" t="s">
        <v>4167</v>
      </c>
      <c r="ADB6" s="1108" t="s">
        <v>4167</v>
      </c>
      <c r="ADC6" s="1108" t="s">
        <v>4167</v>
      </c>
      <c r="ADD6" s="1108" t="s">
        <v>4167</v>
      </c>
      <c r="ADE6" s="1108" t="s">
        <v>4167</v>
      </c>
      <c r="ADF6" s="1108" t="s">
        <v>4167</v>
      </c>
      <c r="ADG6" s="1108" t="s">
        <v>4167</v>
      </c>
      <c r="ADH6" s="1108" t="s">
        <v>4167</v>
      </c>
      <c r="ADI6" s="1108" t="s">
        <v>4167</v>
      </c>
      <c r="ADJ6" s="1108" t="s">
        <v>4167</v>
      </c>
      <c r="ADK6" s="1108" t="s">
        <v>4167</v>
      </c>
      <c r="ADL6" s="1108" t="s">
        <v>4167</v>
      </c>
      <c r="ADM6" s="1108" t="s">
        <v>4167</v>
      </c>
      <c r="ADN6" s="1108" t="s">
        <v>4167</v>
      </c>
      <c r="ADO6" s="1108" t="s">
        <v>4167</v>
      </c>
      <c r="ADP6" s="1108" t="s">
        <v>4167</v>
      </c>
      <c r="ADQ6" s="1108" t="s">
        <v>4167</v>
      </c>
      <c r="ADR6" s="1108" t="s">
        <v>4167</v>
      </c>
      <c r="ADS6" s="1108" t="s">
        <v>4167</v>
      </c>
      <c r="ADT6" s="1108" t="s">
        <v>4167</v>
      </c>
      <c r="ADU6" s="1108" t="s">
        <v>4167</v>
      </c>
      <c r="ADV6" s="1108" t="s">
        <v>4167</v>
      </c>
      <c r="ADW6" s="1108" t="s">
        <v>4167</v>
      </c>
      <c r="ADX6" s="1108" t="s">
        <v>4167</v>
      </c>
      <c r="ADY6" s="1108" t="s">
        <v>4167</v>
      </c>
      <c r="ADZ6" s="1108" t="s">
        <v>4167</v>
      </c>
      <c r="AEA6" s="1108" t="s">
        <v>4167</v>
      </c>
      <c r="AEB6" s="1108" t="s">
        <v>4167</v>
      </c>
      <c r="AEC6" s="1108" t="s">
        <v>4167</v>
      </c>
      <c r="AED6" s="1108" t="s">
        <v>4167</v>
      </c>
      <c r="AEE6" s="1108" t="s">
        <v>4167</v>
      </c>
      <c r="AEF6" s="1108" t="s">
        <v>4167</v>
      </c>
      <c r="AEG6" s="1108" t="s">
        <v>4167</v>
      </c>
      <c r="AEH6" s="1108" t="s">
        <v>4167</v>
      </c>
      <c r="AEI6" s="1108" t="s">
        <v>4167</v>
      </c>
      <c r="AEJ6" s="1108" t="s">
        <v>4167</v>
      </c>
      <c r="AEK6" s="1108" t="s">
        <v>4167</v>
      </c>
      <c r="AEL6" s="1108" t="s">
        <v>4167</v>
      </c>
      <c r="AEM6" s="1108" t="s">
        <v>4167</v>
      </c>
      <c r="AEN6" s="1108" t="s">
        <v>4167</v>
      </c>
      <c r="AEO6" s="1108" t="s">
        <v>4167</v>
      </c>
      <c r="AEP6" s="1108" t="s">
        <v>4167</v>
      </c>
      <c r="AEQ6" s="1108" t="s">
        <v>4167</v>
      </c>
      <c r="AER6" s="1108" t="s">
        <v>4167</v>
      </c>
      <c r="AES6" s="1108" t="s">
        <v>4167</v>
      </c>
      <c r="AET6" s="1108" t="s">
        <v>4167</v>
      </c>
      <c r="AEU6" s="1108" t="s">
        <v>4167</v>
      </c>
      <c r="AEV6" s="1108" t="s">
        <v>4167</v>
      </c>
      <c r="AEW6" s="1108" t="s">
        <v>4167</v>
      </c>
      <c r="AEX6" s="1108" t="s">
        <v>4231</v>
      </c>
      <c r="AEY6" s="1108" t="s">
        <v>4231</v>
      </c>
      <c r="AEZ6" s="1108" t="s">
        <v>4231</v>
      </c>
      <c r="AFA6" s="1108" t="s">
        <v>4231</v>
      </c>
      <c r="AFB6" s="1108" t="s">
        <v>4231</v>
      </c>
      <c r="AFC6" s="1108" t="s">
        <v>4231</v>
      </c>
      <c r="AFD6" s="1108" t="s">
        <v>4231</v>
      </c>
      <c r="AFE6" s="1108" t="s">
        <v>4231</v>
      </c>
      <c r="AFF6" s="1108" t="s">
        <v>4231</v>
      </c>
      <c r="AFG6" s="1108" t="s">
        <v>4231</v>
      </c>
      <c r="AFH6" s="1108" t="s">
        <v>4231</v>
      </c>
      <c r="AFI6" s="1108" t="s">
        <v>4231</v>
      </c>
      <c r="AFJ6" s="1108" t="s">
        <v>4231</v>
      </c>
      <c r="AFK6" s="1108" t="s">
        <v>4231</v>
      </c>
      <c r="AFL6" s="1108" t="s">
        <v>4231</v>
      </c>
      <c r="AFM6" s="1108" t="s">
        <v>4231</v>
      </c>
      <c r="AFN6" s="1108" t="s">
        <v>4231</v>
      </c>
      <c r="AFO6" s="1108" t="s">
        <v>4231</v>
      </c>
      <c r="AFP6" s="1108" t="s">
        <v>4231</v>
      </c>
      <c r="AFQ6" s="1108" t="s">
        <v>4231</v>
      </c>
      <c r="AFR6" s="1108" t="s">
        <v>4231</v>
      </c>
      <c r="AFS6" s="1108" t="s">
        <v>4231</v>
      </c>
      <c r="AFT6" s="1108" t="s">
        <v>4231</v>
      </c>
      <c r="AFU6" s="1108" t="s">
        <v>4231</v>
      </c>
      <c r="AFV6" s="1108" t="s">
        <v>4231</v>
      </c>
      <c r="AFW6" s="1108" t="s">
        <v>4231</v>
      </c>
      <c r="AFX6" s="1108" t="s">
        <v>4231</v>
      </c>
      <c r="AFY6" s="1108" t="s">
        <v>4231</v>
      </c>
      <c r="AFZ6" s="1108" t="s">
        <v>4231</v>
      </c>
      <c r="AGA6" s="1108" t="s">
        <v>4231</v>
      </c>
      <c r="AGB6" s="1108" t="s">
        <v>4231</v>
      </c>
      <c r="AGC6" s="1108" t="s">
        <v>4231</v>
      </c>
      <c r="AGD6" s="1108" t="s">
        <v>4231</v>
      </c>
      <c r="AGE6" s="1108" t="s">
        <v>4231</v>
      </c>
      <c r="AGF6" s="1108" t="s">
        <v>4231</v>
      </c>
      <c r="AGG6" s="1108" t="s">
        <v>4231</v>
      </c>
      <c r="AGH6" s="1108" t="s">
        <v>4231</v>
      </c>
      <c r="AGI6" s="1108" t="s">
        <v>4231</v>
      </c>
      <c r="AGJ6" s="1108" t="s">
        <v>4231</v>
      </c>
      <c r="AGK6" s="1108" t="s">
        <v>4231</v>
      </c>
      <c r="AGL6" s="1108" t="s">
        <v>4231</v>
      </c>
      <c r="AGM6" s="1108" t="s">
        <v>4231</v>
      </c>
      <c r="AGN6" s="1108" t="s">
        <v>4231</v>
      </c>
      <c r="AGO6" s="1108" t="s">
        <v>4231</v>
      </c>
      <c r="AGP6" s="1108" t="s">
        <v>4231</v>
      </c>
      <c r="AGQ6" s="1108" t="s">
        <v>4231</v>
      </c>
      <c r="AGR6" s="1108" t="s">
        <v>4231</v>
      </c>
      <c r="AGS6" s="1108" t="s">
        <v>4231</v>
      </c>
      <c r="AGT6" s="1108" t="s">
        <v>4231</v>
      </c>
      <c r="AGU6" s="1108" t="s">
        <v>4231</v>
      </c>
      <c r="AGV6" s="1108" t="s">
        <v>4231</v>
      </c>
      <c r="AGW6" s="1108" t="s">
        <v>4231</v>
      </c>
      <c r="AGX6" s="1108" t="s">
        <v>4231</v>
      </c>
      <c r="AGY6" s="1108" t="s">
        <v>4231</v>
      </c>
      <c r="AGZ6" s="1108" t="s">
        <v>4231</v>
      </c>
      <c r="AHA6" s="1108" t="s">
        <v>4231</v>
      </c>
      <c r="AHB6" s="1108" t="s">
        <v>4231</v>
      </c>
      <c r="AHC6" s="1108" t="s">
        <v>4231</v>
      </c>
      <c r="AHD6" s="1108" t="s">
        <v>4232</v>
      </c>
      <c r="AHE6" s="1108" t="s">
        <v>4232</v>
      </c>
      <c r="AHF6" s="1108" t="s">
        <v>4232</v>
      </c>
      <c r="AHG6" s="1108" t="s">
        <v>4232</v>
      </c>
      <c r="AHH6" s="1108" t="s">
        <v>4232</v>
      </c>
      <c r="AHI6" s="1108" t="s">
        <v>4232</v>
      </c>
      <c r="AHJ6" s="1108" t="s">
        <v>4232</v>
      </c>
      <c r="AHK6" s="1108" t="s">
        <v>4232</v>
      </c>
      <c r="AHL6" s="1108" t="s">
        <v>4232</v>
      </c>
      <c r="AHM6" s="1108" t="s">
        <v>4232</v>
      </c>
      <c r="AHN6" s="1108" t="s">
        <v>4223</v>
      </c>
      <c r="AHO6" s="1108" t="s">
        <v>4223</v>
      </c>
      <c r="AHP6" s="1108" t="s">
        <v>4223</v>
      </c>
      <c r="AHQ6" s="1108" t="s">
        <v>4223</v>
      </c>
      <c r="AHR6" s="1108" t="s">
        <v>4223</v>
      </c>
      <c r="AHS6" s="1108" t="s">
        <v>4223</v>
      </c>
      <c r="AHT6" s="1108" t="s">
        <v>4223</v>
      </c>
      <c r="AHU6" s="1108" t="s">
        <v>4223</v>
      </c>
      <c r="AHV6" s="1108" t="s">
        <v>4223</v>
      </c>
      <c r="AHW6" s="1108" t="s">
        <v>4223</v>
      </c>
      <c r="AHX6" s="1108" t="s">
        <v>4223</v>
      </c>
      <c r="AHY6" s="1108" t="s">
        <v>4223</v>
      </c>
      <c r="AHZ6" s="1108" t="s">
        <v>4223</v>
      </c>
      <c r="AIA6" s="1108" t="s">
        <v>4230</v>
      </c>
      <c r="AIB6" s="1108" t="s">
        <v>4230</v>
      </c>
      <c r="AIC6" s="1108" t="s">
        <v>4230</v>
      </c>
      <c r="AID6" s="1108" t="s">
        <v>4230</v>
      </c>
      <c r="AIE6" s="1108" t="s">
        <v>4230</v>
      </c>
      <c r="AIF6" s="1108" t="s">
        <v>4230</v>
      </c>
      <c r="AIG6" s="1108" t="s">
        <v>4230</v>
      </c>
      <c r="AIH6" s="1108" t="s">
        <v>4230</v>
      </c>
      <c r="AII6" s="1108" t="s">
        <v>4230</v>
      </c>
      <c r="AIJ6" s="1108" t="s">
        <v>4230</v>
      </c>
      <c r="AIK6" s="1108" t="s">
        <v>4233</v>
      </c>
      <c r="AIL6" s="1108" t="s">
        <v>4233</v>
      </c>
      <c r="AIM6" s="1108" t="s">
        <v>4233</v>
      </c>
      <c r="AIN6" s="1108" t="s">
        <v>4233</v>
      </c>
      <c r="AIO6" s="1108" t="s">
        <v>4233</v>
      </c>
      <c r="AIP6" s="1108" t="s">
        <v>4233</v>
      </c>
      <c r="AIQ6" s="1108" t="s">
        <v>4233</v>
      </c>
      <c r="AIR6" s="1108" t="s">
        <v>4233</v>
      </c>
      <c r="AIS6" s="1108" t="s">
        <v>4233</v>
      </c>
      <c r="AIT6" s="1108" t="s">
        <v>4233</v>
      </c>
      <c r="AIU6" s="1108" t="s">
        <v>4236</v>
      </c>
      <c r="AIV6" s="1108" t="s">
        <v>4236</v>
      </c>
      <c r="AIW6" s="1108" t="s">
        <v>4236</v>
      </c>
      <c r="AIX6" s="1108" t="s">
        <v>4236</v>
      </c>
      <c r="AIY6" s="1108" t="s">
        <v>4236</v>
      </c>
      <c r="AIZ6" s="1108" t="s">
        <v>4237</v>
      </c>
      <c r="AJA6" s="1108" t="s">
        <v>4237</v>
      </c>
      <c r="AJB6" s="1108" t="s">
        <v>4237</v>
      </c>
      <c r="AJC6" s="1108" t="s">
        <v>4237</v>
      </c>
      <c r="AJD6" s="1108" t="s">
        <v>4237</v>
      </c>
      <c r="AJE6" s="1108" t="s">
        <v>4237</v>
      </c>
      <c r="AJF6" s="1108" t="s">
        <v>4237</v>
      </c>
      <c r="AJG6" s="1108" t="s">
        <v>4237</v>
      </c>
      <c r="AJH6" s="1108" t="s">
        <v>4237</v>
      </c>
      <c r="AJI6" s="1108" t="s">
        <v>4237</v>
      </c>
      <c r="AJJ6" s="1108" t="s">
        <v>4237</v>
      </c>
      <c r="AJK6" s="1108" t="s">
        <v>4237</v>
      </c>
      <c r="AJL6" s="1108" t="s">
        <v>4237</v>
      </c>
      <c r="AJM6" s="1108" t="s">
        <v>4237</v>
      </c>
      <c r="AJN6" s="1108" t="s">
        <v>4237</v>
      </c>
      <c r="AJO6" s="1108" t="s">
        <v>4237</v>
      </c>
      <c r="AJP6" s="1108" t="s">
        <v>4237</v>
      </c>
      <c r="AJQ6" s="1108" t="s">
        <v>4237</v>
      </c>
      <c r="AJR6" s="1108" t="s">
        <v>4237</v>
      </c>
      <c r="AJS6" s="1108" t="s">
        <v>4237</v>
      </c>
      <c r="AJT6" s="1108" t="s">
        <v>4237</v>
      </c>
      <c r="AJU6" s="1108" t="s">
        <v>4237</v>
      </c>
      <c r="AJV6" s="1108" t="s">
        <v>4237</v>
      </c>
      <c r="AJW6" s="1108" t="s">
        <v>4239</v>
      </c>
      <c r="AJX6" s="1108" t="s">
        <v>4239</v>
      </c>
      <c r="AJY6" s="1108" t="s">
        <v>4239</v>
      </c>
      <c r="AJZ6" s="1108" t="s">
        <v>4239</v>
      </c>
      <c r="AKA6" s="1108" t="s">
        <v>4239</v>
      </c>
      <c r="AKB6" s="1108" t="s">
        <v>4239</v>
      </c>
      <c r="AKC6" s="1108" t="s">
        <v>4239</v>
      </c>
      <c r="AKD6" s="1108" t="s">
        <v>4239</v>
      </c>
      <c r="AKE6" s="1108" t="s">
        <v>4239</v>
      </c>
      <c r="AKF6" s="1108" t="s">
        <v>4239</v>
      </c>
      <c r="AKG6" s="1108" t="s">
        <v>4239</v>
      </c>
      <c r="AKH6" s="1108" t="s">
        <v>4239</v>
      </c>
      <c r="AKI6" s="1108" t="s">
        <v>4239</v>
      </c>
      <c r="AKJ6" s="1108" t="s">
        <v>4239</v>
      </c>
      <c r="AKK6" s="1108" t="s">
        <v>4239</v>
      </c>
      <c r="AKL6" s="1108" t="s">
        <v>4239</v>
      </c>
      <c r="AKM6" s="1108" t="s">
        <v>4239</v>
      </c>
      <c r="AKN6" s="1108" t="s">
        <v>4239</v>
      </c>
      <c r="AKO6" s="1108" t="s">
        <v>4239</v>
      </c>
      <c r="AKP6" s="1108" t="s">
        <v>4240</v>
      </c>
      <c r="AKQ6" s="1108" t="s">
        <v>4240</v>
      </c>
      <c r="AKR6" s="1108" t="s">
        <v>4240</v>
      </c>
      <c r="AKS6" s="1108" t="s">
        <v>4240</v>
      </c>
      <c r="AKT6" s="1108" t="s">
        <v>4240</v>
      </c>
      <c r="AKU6" s="1108" t="s">
        <v>4240</v>
      </c>
      <c r="AKV6" s="1108" t="s">
        <v>4240</v>
      </c>
      <c r="AKW6" s="1108" t="s">
        <v>4240</v>
      </c>
      <c r="AKX6" s="1108" t="s">
        <v>4240</v>
      </c>
      <c r="AKY6" s="1108" t="s">
        <v>4240</v>
      </c>
      <c r="AKZ6" s="1108" t="s">
        <v>4240</v>
      </c>
      <c r="ALA6" s="1108" t="s">
        <v>4240</v>
      </c>
      <c r="ALB6" s="1108" t="s">
        <v>4240</v>
      </c>
      <c r="ALC6" s="1108" t="s">
        <v>4240</v>
      </c>
      <c r="ALD6" s="1108" t="s">
        <v>4240</v>
      </c>
      <c r="ALE6" s="1108" t="s">
        <v>4240</v>
      </c>
      <c r="ALF6" s="1108" t="s">
        <v>4240</v>
      </c>
      <c r="ALG6" s="1108" t="s">
        <v>4240</v>
      </c>
      <c r="ALH6" s="1108" t="s">
        <v>4240</v>
      </c>
      <c r="ALI6" s="1108" t="s">
        <v>4240</v>
      </c>
      <c r="ALJ6" s="1108" t="s">
        <v>4240</v>
      </c>
      <c r="ALK6" s="1108" t="s">
        <v>4240</v>
      </c>
      <c r="ALL6" s="1108" t="s">
        <v>4240</v>
      </c>
      <c r="ALM6" s="1108" t="s">
        <v>4240</v>
      </c>
      <c r="ALN6" s="1108" t="s">
        <v>4240</v>
      </c>
      <c r="ALO6" s="1108" t="s">
        <v>4240</v>
      </c>
      <c r="ALP6" s="1108" t="s">
        <v>4240</v>
      </c>
      <c r="ALQ6" s="1108" t="s">
        <v>4240</v>
      </c>
      <c r="ALR6" s="1108" t="s">
        <v>4240</v>
      </c>
      <c r="ALS6" s="1108" t="s">
        <v>4240</v>
      </c>
      <c r="ALT6" s="1108" t="s">
        <v>4240</v>
      </c>
      <c r="ALU6" s="1108" t="s">
        <v>4240</v>
      </c>
      <c r="ALV6" s="1108" t="s">
        <v>4240</v>
      </c>
      <c r="ALW6" s="1108" t="s">
        <v>4240</v>
      </c>
      <c r="ALX6" s="1108" t="s">
        <v>4240</v>
      </c>
      <c r="ALY6" s="1108" t="s">
        <v>4240</v>
      </c>
      <c r="ALZ6" s="1108" t="s">
        <v>4240</v>
      </c>
      <c r="AMA6" s="1108" t="s">
        <v>4240</v>
      </c>
      <c r="AMB6" s="1108" t="s">
        <v>4240</v>
      </c>
      <c r="AMC6" s="1108" t="s">
        <v>4240</v>
      </c>
      <c r="AMD6" s="1108" t="s">
        <v>4240</v>
      </c>
      <c r="AME6" s="1108" t="s">
        <v>4240</v>
      </c>
      <c r="AMF6" s="1108" t="s">
        <v>4240</v>
      </c>
      <c r="AMG6" s="1108" t="s">
        <v>4240</v>
      </c>
      <c r="AMH6" s="1108" t="s">
        <v>4240</v>
      </c>
      <c r="AMI6" s="1108" t="s">
        <v>4240</v>
      </c>
      <c r="AMJ6" s="1108" t="s">
        <v>4240</v>
      </c>
      <c r="AMK6" s="1108" t="s">
        <v>4240</v>
      </c>
      <c r="AML6" s="1108" t="s">
        <v>4240</v>
      </c>
      <c r="AMM6" s="1108" t="s">
        <v>4240</v>
      </c>
      <c r="AMN6" s="1108" t="s">
        <v>4240</v>
      </c>
      <c r="AMO6" s="1108" t="s">
        <v>4240</v>
      </c>
      <c r="AMP6" s="1108" t="s">
        <v>4240</v>
      </c>
      <c r="AMQ6" s="1108" t="s">
        <v>4240</v>
      </c>
      <c r="AMR6" s="1108" t="s">
        <v>4240</v>
      </c>
      <c r="AMS6" s="1108" t="s">
        <v>4240</v>
      </c>
      <c r="AMT6" s="1108" t="s">
        <v>4240</v>
      </c>
      <c r="AMU6" s="1108" t="s">
        <v>4240</v>
      </c>
      <c r="AMV6" s="1108" t="s">
        <v>4240</v>
      </c>
      <c r="AMW6" s="1108" t="s">
        <v>4240</v>
      </c>
      <c r="AMX6" s="1108" t="s">
        <v>4240</v>
      </c>
      <c r="AMY6" s="1108" t="s">
        <v>4240</v>
      </c>
      <c r="AMZ6" s="1108" t="s">
        <v>4240</v>
      </c>
      <c r="ANA6" s="1108" t="s">
        <v>4240</v>
      </c>
      <c r="ANB6" s="1108" t="s">
        <v>4240</v>
      </c>
      <c r="ANC6" s="1108" t="s">
        <v>4240</v>
      </c>
      <c r="AND6" s="1108" t="s">
        <v>4240</v>
      </c>
      <c r="ANE6" s="1108" t="s">
        <v>4240</v>
      </c>
      <c r="ANF6" s="1108" t="s">
        <v>4240</v>
      </c>
      <c r="ANG6" s="1108" t="s">
        <v>4240</v>
      </c>
      <c r="ANH6" s="1108" t="s">
        <v>4240</v>
      </c>
      <c r="ANI6" s="1108" t="s">
        <v>4240</v>
      </c>
      <c r="ANJ6" s="1108" t="s">
        <v>4240</v>
      </c>
      <c r="ANK6" s="1108" t="s">
        <v>4240</v>
      </c>
      <c r="ANL6" s="1108" t="s">
        <v>4240</v>
      </c>
      <c r="ANM6" s="1108" t="s">
        <v>4240</v>
      </c>
      <c r="ANN6" s="1108" t="s">
        <v>4240</v>
      </c>
      <c r="ANO6" s="1108" t="s">
        <v>4240</v>
      </c>
      <c r="ANP6" s="1108" t="s">
        <v>4240</v>
      </c>
      <c r="ANQ6" s="1108" t="s">
        <v>4240</v>
      </c>
      <c r="ANR6" s="1108" t="s">
        <v>4240</v>
      </c>
      <c r="ANS6" s="1108" t="s">
        <v>4240</v>
      </c>
      <c r="ANT6" s="1108" t="s">
        <v>4240</v>
      </c>
      <c r="ANU6" s="1108" t="s">
        <v>4240</v>
      </c>
      <c r="ANV6" s="1108" t="s">
        <v>4240</v>
      </c>
      <c r="ANW6" s="1108" t="s">
        <v>4240</v>
      </c>
      <c r="ANX6" s="1108" t="s">
        <v>4240</v>
      </c>
      <c r="ANY6" s="1108" t="s">
        <v>4240</v>
      </c>
      <c r="ANZ6" s="1108" t="s">
        <v>4240</v>
      </c>
      <c r="AOA6" s="1108" t="s">
        <v>4240</v>
      </c>
      <c r="AOB6" s="1108" t="s">
        <v>4240</v>
      </c>
      <c r="AOC6" s="1108" t="s">
        <v>4240</v>
      </c>
      <c r="AOD6" s="1108" t="s">
        <v>4240</v>
      </c>
      <c r="AOE6" s="1108" t="s">
        <v>4240</v>
      </c>
      <c r="AOF6" s="1108" t="s">
        <v>4240</v>
      </c>
      <c r="AOG6" s="1108" t="s">
        <v>4240</v>
      </c>
      <c r="AOH6" s="1108" t="s">
        <v>4240</v>
      </c>
      <c r="AOI6" s="1108" t="s">
        <v>4240</v>
      </c>
      <c r="AOJ6" s="1108" t="s">
        <v>4240</v>
      </c>
      <c r="AOK6" s="1108" t="s">
        <v>4240</v>
      </c>
      <c r="AOL6" s="1108" t="s">
        <v>4240</v>
      </c>
      <c r="AOM6" s="1108" t="s">
        <v>4240</v>
      </c>
      <c r="AON6" s="1108" t="s">
        <v>4240</v>
      </c>
      <c r="AOO6" s="1108" t="s">
        <v>4240</v>
      </c>
      <c r="AOP6" s="1108" t="s">
        <v>4240</v>
      </c>
      <c r="AOQ6" s="1108" t="s">
        <v>4240</v>
      </c>
      <c r="AOR6" s="1108" t="s">
        <v>4240</v>
      </c>
      <c r="AOS6" s="1108" t="s">
        <v>4240</v>
      </c>
      <c r="AOT6" s="1108" t="s">
        <v>4240</v>
      </c>
      <c r="AOU6" s="1108" t="s">
        <v>4240</v>
      </c>
      <c r="AOV6" s="1108" t="s">
        <v>4240</v>
      </c>
      <c r="AOW6" s="1108" t="s">
        <v>4240</v>
      </c>
      <c r="AOX6" s="1108" t="s">
        <v>4240</v>
      </c>
      <c r="AOY6" s="1108" t="s">
        <v>4240</v>
      </c>
      <c r="AOZ6" s="1108" t="s">
        <v>4240</v>
      </c>
      <c r="APA6" s="1108" t="s">
        <v>4240</v>
      </c>
      <c r="APB6" s="1108" t="s">
        <v>4240</v>
      </c>
      <c r="APC6" s="1108" t="s">
        <v>4240</v>
      </c>
      <c r="APD6" s="1108" t="s">
        <v>4240</v>
      </c>
      <c r="APE6" s="1108" t="s">
        <v>4240</v>
      </c>
      <c r="APF6" s="1108" t="s">
        <v>4240</v>
      </c>
      <c r="APG6" s="1108" t="s">
        <v>4240</v>
      </c>
      <c r="APH6" s="1108" t="s">
        <v>4240</v>
      </c>
      <c r="API6" s="1108" t="s">
        <v>4240</v>
      </c>
      <c r="APJ6" s="1108" t="s">
        <v>4240</v>
      </c>
      <c r="APK6" s="1108" t="s">
        <v>4240</v>
      </c>
      <c r="APL6" s="1108" t="s">
        <v>4240</v>
      </c>
      <c r="APM6" s="1108" t="s">
        <v>4240</v>
      </c>
      <c r="APN6" s="1108" t="s">
        <v>4240</v>
      </c>
      <c r="APO6" s="1108" t="s">
        <v>4240</v>
      </c>
      <c r="APP6" s="1108" t="s">
        <v>4240</v>
      </c>
      <c r="APQ6" s="1108" t="s">
        <v>4240</v>
      </c>
      <c r="APR6" s="1108" t="s">
        <v>4240</v>
      </c>
      <c r="APS6" s="1108" t="s">
        <v>4240</v>
      </c>
      <c r="APT6" s="1108" t="s">
        <v>4240</v>
      </c>
      <c r="APU6" s="1108" t="s">
        <v>4240</v>
      </c>
      <c r="APV6" s="1108" t="s">
        <v>4240</v>
      </c>
      <c r="APW6" s="1108" t="s">
        <v>4240</v>
      </c>
      <c r="APX6" s="1108" t="s">
        <v>4240</v>
      </c>
      <c r="APY6" s="1108" t="s">
        <v>4240</v>
      </c>
      <c r="APZ6" s="1108" t="s">
        <v>4240</v>
      </c>
      <c r="AQA6" s="1108" t="s">
        <v>4240</v>
      </c>
      <c r="AQB6" s="1108" t="s">
        <v>4240</v>
      </c>
      <c r="AQC6" s="1108" t="s">
        <v>4240</v>
      </c>
      <c r="AQD6" s="1108" t="s">
        <v>4240</v>
      </c>
      <c r="AQE6" s="1108" t="s">
        <v>4240</v>
      </c>
      <c r="AQF6" s="1108" t="s">
        <v>4240</v>
      </c>
      <c r="AQG6" s="1108" t="s">
        <v>4240</v>
      </c>
      <c r="AQH6" s="1108" t="s">
        <v>4240</v>
      </c>
      <c r="AQI6" s="1108" t="s">
        <v>4240</v>
      </c>
      <c r="AQJ6" s="1108" t="s">
        <v>4240</v>
      </c>
      <c r="AQK6" s="1108" t="s">
        <v>4240</v>
      </c>
      <c r="AQL6" s="1108" t="s">
        <v>4240</v>
      </c>
      <c r="AQM6" s="1108" t="s">
        <v>4240</v>
      </c>
      <c r="AQN6" s="1108" t="s">
        <v>4240</v>
      </c>
      <c r="AQO6" s="1108" t="s">
        <v>4240</v>
      </c>
      <c r="AQP6" s="1108" t="s">
        <v>4240</v>
      </c>
      <c r="AQQ6" s="1108" t="s">
        <v>4240</v>
      </c>
      <c r="AQR6" s="1108" t="s">
        <v>4240</v>
      </c>
      <c r="AQS6" s="1108" t="s">
        <v>4240</v>
      </c>
      <c r="AQT6" s="1108" t="s">
        <v>4240</v>
      </c>
      <c r="AQU6" s="1108" t="s">
        <v>4240</v>
      </c>
      <c r="AQV6" s="1108" t="s">
        <v>4240</v>
      </c>
      <c r="AQW6" s="1108" t="s">
        <v>4240</v>
      </c>
      <c r="AQX6" s="1108" t="s">
        <v>4240</v>
      </c>
      <c r="AQY6" s="1108" t="s">
        <v>4240</v>
      </c>
      <c r="AQZ6" s="1108" t="s">
        <v>4240</v>
      </c>
      <c r="ARA6" s="1108" t="s">
        <v>4240</v>
      </c>
      <c r="ARB6" s="1108" t="s">
        <v>4240</v>
      </c>
      <c r="ARC6" s="1108" t="s">
        <v>4240</v>
      </c>
      <c r="ARD6" s="1108" t="s">
        <v>4240</v>
      </c>
      <c r="ARE6" s="1108" t="s">
        <v>4240</v>
      </c>
      <c r="ARF6" s="1108" t="s">
        <v>4240</v>
      </c>
      <c r="ARG6" s="1108" t="s">
        <v>4240</v>
      </c>
      <c r="ARH6" s="1108" t="s">
        <v>4240</v>
      </c>
      <c r="ARI6" s="1108" t="s">
        <v>4240</v>
      </c>
      <c r="ARJ6" s="1108" t="s">
        <v>4240</v>
      </c>
      <c r="ARK6" s="1108" t="s">
        <v>4240</v>
      </c>
      <c r="ARL6" s="1108" t="s">
        <v>4240</v>
      </c>
      <c r="ARM6" s="1108" t="s">
        <v>4240</v>
      </c>
      <c r="ARN6" s="1108" t="s">
        <v>4240</v>
      </c>
      <c r="ARO6" s="1108" t="s">
        <v>4240</v>
      </c>
      <c r="ARP6" s="1108" t="s">
        <v>4240</v>
      </c>
      <c r="ARQ6" s="1108" t="s">
        <v>4240</v>
      </c>
      <c r="ARR6" s="1108" t="s">
        <v>4240</v>
      </c>
      <c r="ARS6" s="1108" t="s">
        <v>4240</v>
      </c>
      <c r="ART6" s="1108" t="s">
        <v>4240</v>
      </c>
      <c r="ARU6" s="1108" t="s">
        <v>4240</v>
      </c>
      <c r="ARV6" s="1108" t="s">
        <v>4240</v>
      </c>
      <c r="ARW6" s="1108" t="s">
        <v>4240</v>
      </c>
      <c r="ARX6" s="1108" t="s">
        <v>4240</v>
      </c>
      <c r="ARY6" s="1108" t="s">
        <v>4240</v>
      </c>
      <c r="ARZ6" s="1108" t="s">
        <v>4240</v>
      </c>
      <c r="ASA6" s="1108" t="s">
        <v>4240</v>
      </c>
      <c r="ASB6" s="1108" t="s">
        <v>4240</v>
      </c>
      <c r="ASC6" s="1108" t="s">
        <v>4240</v>
      </c>
      <c r="ASD6" s="1108" t="s">
        <v>4240</v>
      </c>
      <c r="ASE6" s="1108" t="s">
        <v>4240</v>
      </c>
      <c r="ASF6" s="1108" t="s">
        <v>4240</v>
      </c>
      <c r="ASG6" s="1108" t="s">
        <v>4240</v>
      </c>
      <c r="ASH6" s="1108" t="s">
        <v>4240</v>
      </c>
      <c r="ASI6" s="1108" t="s">
        <v>4240</v>
      </c>
      <c r="ASJ6" s="1108" t="s">
        <v>4240</v>
      </c>
      <c r="ASK6" s="1108" t="s">
        <v>4240</v>
      </c>
      <c r="ASL6" s="1108" t="s">
        <v>4240</v>
      </c>
      <c r="ASM6" s="1108" t="s">
        <v>4240</v>
      </c>
      <c r="ASN6" s="1108" t="s">
        <v>4240</v>
      </c>
      <c r="ASO6" s="1108" t="s">
        <v>4240</v>
      </c>
      <c r="ASP6" s="1108" t="s">
        <v>4240</v>
      </c>
      <c r="ASQ6" s="1108" t="s">
        <v>4240</v>
      </c>
      <c r="ASR6" s="1108" t="s">
        <v>4240</v>
      </c>
      <c r="ASS6" s="1108" t="s">
        <v>4240</v>
      </c>
      <c r="AST6" s="1108" t="s">
        <v>4240</v>
      </c>
      <c r="ASU6" s="1108" t="s">
        <v>4240</v>
      </c>
      <c r="ASV6" s="1108" t="s">
        <v>4240</v>
      </c>
      <c r="ASW6" s="1108" t="s">
        <v>4240</v>
      </c>
      <c r="ASX6" s="1108" t="s">
        <v>4240</v>
      </c>
      <c r="ASY6" s="1108" t="s">
        <v>4240</v>
      </c>
      <c r="ASZ6" s="1108" t="s">
        <v>4240</v>
      </c>
      <c r="ATA6" s="1108" t="s">
        <v>4240</v>
      </c>
      <c r="ATB6" s="1108" t="s">
        <v>4240</v>
      </c>
      <c r="ATC6" s="1108" t="s">
        <v>4240</v>
      </c>
      <c r="ATD6" s="1108" t="s">
        <v>4240</v>
      </c>
      <c r="ATE6" s="1108" t="s">
        <v>4240</v>
      </c>
      <c r="ATF6" s="1108" t="s">
        <v>4240</v>
      </c>
      <c r="ATG6" s="1108" t="s">
        <v>4240</v>
      </c>
      <c r="ATH6" s="1108" t="s">
        <v>4240</v>
      </c>
      <c r="ATI6" s="1108" t="s">
        <v>4240</v>
      </c>
      <c r="ATJ6" s="1108" t="s">
        <v>4240</v>
      </c>
      <c r="ATK6" s="1108" t="s">
        <v>4240</v>
      </c>
      <c r="ATL6" s="1108" t="s">
        <v>4240</v>
      </c>
      <c r="ATM6" s="1108" t="s">
        <v>4240</v>
      </c>
      <c r="ATN6" s="1108" t="s">
        <v>4240</v>
      </c>
      <c r="ATO6" s="1108" t="s">
        <v>4240</v>
      </c>
      <c r="ATP6" s="1108" t="s">
        <v>4240</v>
      </c>
      <c r="ATQ6" s="1108" t="s">
        <v>4240</v>
      </c>
      <c r="ATR6" s="1108" t="s">
        <v>4240</v>
      </c>
      <c r="ATS6" s="1108" t="s">
        <v>4240</v>
      </c>
      <c r="ATT6" s="1108" t="s">
        <v>4240</v>
      </c>
      <c r="ATU6" s="1108" t="s">
        <v>4240</v>
      </c>
      <c r="ATV6" s="1108" t="s">
        <v>4240</v>
      </c>
      <c r="ATW6" s="1108" t="s">
        <v>4240</v>
      </c>
      <c r="ATX6" s="1108" t="s">
        <v>4240</v>
      </c>
      <c r="ATY6" s="1108" t="s">
        <v>4240</v>
      </c>
      <c r="ATZ6" s="1108" t="s">
        <v>4240</v>
      </c>
      <c r="AUA6" s="1108" t="s">
        <v>4240</v>
      </c>
      <c r="AUB6" s="1108" t="s">
        <v>4240</v>
      </c>
      <c r="AUC6" s="1108" t="s">
        <v>4240</v>
      </c>
      <c r="AUD6" s="1108" t="s">
        <v>4240</v>
      </c>
      <c r="AUE6" s="1108" t="s">
        <v>4240</v>
      </c>
      <c r="AUF6" s="1108" t="s">
        <v>4240</v>
      </c>
      <c r="AUG6" s="1108" t="s">
        <v>4240</v>
      </c>
      <c r="AUH6" s="1108" t="s">
        <v>4240</v>
      </c>
      <c r="AUI6" s="1108" t="s">
        <v>4240</v>
      </c>
      <c r="AUJ6" s="1108" t="s">
        <v>4240</v>
      </c>
      <c r="AUK6" s="1108" t="s">
        <v>4240</v>
      </c>
      <c r="AUL6" s="1108" t="s">
        <v>4240</v>
      </c>
      <c r="AUM6" s="1108" t="s">
        <v>4240</v>
      </c>
      <c r="AUN6" s="1108" t="s">
        <v>4240</v>
      </c>
      <c r="AUO6" s="1108" t="s">
        <v>4240</v>
      </c>
      <c r="AUP6" s="1108" t="s">
        <v>4240</v>
      </c>
      <c r="AUQ6" s="1108" t="s">
        <v>4240</v>
      </c>
      <c r="AUR6" s="1108" t="s">
        <v>4240</v>
      </c>
      <c r="AUS6" s="1108" t="s">
        <v>4240</v>
      </c>
      <c r="AUT6" s="1108" t="s">
        <v>4240</v>
      </c>
      <c r="AUU6" s="1108" t="s">
        <v>4240</v>
      </c>
      <c r="AUV6" s="1108" t="s">
        <v>4240</v>
      </c>
      <c r="AUW6" s="1108" t="s">
        <v>4240</v>
      </c>
      <c r="AUX6" s="1108" t="s">
        <v>4240</v>
      </c>
      <c r="AUY6" s="1108" t="s">
        <v>4240</v>
      </c>
      <c r="AUZ6" s="1108" t="s">
        <v>4240</v>
      </c>
      <c r="AVA6" s="1108" t="s">
        <v>4240</v>
      </c>
      <c r="AVB6" s="1108" t="s">
        <v>4240</v>
      </c>
      <c r="AVC6" s="1108" t="s">
        <v>4240</v>
      </c>
      <c r="AVD6" s="1108" t="s">
        <v>4240</v>
      </c>
      <c r="AVE6" s="1108" t="s">
        <v>4514</v>
      </c>
      <c r="AVF6" s="1108" t="s">
        <v>4514</v>
      </c>
      <c r="AVG6" s="1108" t="s">
        <v>4514</v>
      </c>
      <c r="AVH6" s="1108" t="s">
        <v>4514</v>
      </c>
      <c r="AVI6" s="1108" t="s">
        <v>4514</v>
      </c>
      <c r="AVJ6" s="1108" t="s">
        <v>4514</v>
      </c>
      <c r="AVK6" s="1108" t="s">
        <v>4514</v>
      </c>
      <c r="AVL6" s="1108" t="s">
        <v>4514</v>
      </c>
      <c r="AVM6" s="1108" t="s">
        <v>4514</v>
      </c>
      <c r="AVN6" s="1108" t="s">
        <v>4514</v>
      </c>
      <c r="AVO6" s="1108" t="s">
        <v>4514</v>
      </c>
      <c r="AVP6" s="1108" t="s">
        <v>4514</v>
      </c>
      <c r="AVQ6" s="1108" t="s">
        <v>4514</v>
      </c>
      <c r="AVR6" s="1108" t="s">
        <v>4514</v>
      </c>
      <c r="AVS6" s="1108" t="s">
        <v>4514</v>
      </c>
      <c r="AVT6" s="1108" t="s">
        <v>4514</v>
      </c>
      <c r="AVU6" s="1108" t="s">
        <v>4514</v>
      </c>
      <c r="AVV6" s="1108" t="s">
        <v>4514</v>
      </c>
      <c r="AVW6" s="1108" t="s">
        <v>4514</v>
      </c>
      <c r="AVX6" s="1108" t="s">
        <v>4514</v>
      </c>
      <c r="AVY6" s="1108" t="s">
        <v>4514</v>
      </c>
      <c r="AVZ6" s="1108" t="s">
        <v>4514</v>
      </c>
      <c r="AWA6" s="1108" t="s">
        <v>4514</v>
      </c>
      <c r="AWB6" s="1108" t="s">
        <v>4514</v>
      </c>
      <c r="AWC6" s="1108" t="s">
        <v>4514</v>
      </c>
      <c r="AWD6" s="1108" t="s">
        <v>4514</v>
      </c>
      <c r="AWE6" s="1108" t="s">
        <v>4514</v>
      </c>
      <c r="AWF6" s="1108" t="s">
        <v>4514</v>
      </c>
      <c r="AWG6" s="1108" t="s">
        <v>4514</v>
      </c>
      <c r="AWH6" s="1108" t="s">
        <v>4514</v>
      </c>
      <c r="AWI6" s="1108" t="s">
        <v>4514</v>
      </c>
      <c r="AWJ6" s="1108" t="s">
        <v>4514</v>
      </c>
      <c r="AWK6" s="1108" t="s">
        <v>4514</v>
      </c>
      <c r="AWL6" s="1108" t="s">
        <v>4514</v>
      </c>
      <c r="AWM6" s="1108" t="s">
        <v>4514</v>
      </c>
      <c r="AWN6" s="1108" t="s">
        <v>4514</v>
      </c>
      <c r="AWO6" s="1108" t="s">
        <v>4514</v>
      </c>
      <c r="AWP6" s="1108" t="s">
        <v>2669</v>
      </c>
      <c r="AWQ6" s="1108" t="s">
        <v>2669</v>
      </c>
      <c r="AWR6" s="1108" t="s">
        <v>2669</v>
      </c>
      <c r="AWS6" s="1108" t="s">
        <v>2669</v>
      </c>
      <c r="AWT6" s="1108" t="s">
        <v>2669</v>
      </c>
      <c r="AWU6" s="1108" t="s">
        <v>2669</v>
      </c>
      <c r="AWV6" s="1108" t="s">
        <v>2669</v>
      </c>
      <c r="AWW6" s="1108" t="s">
        <v>2669</v>
      </c>
      <c r="AWX6" s="1108" t="s">
        <v>2669</v>
      </c>
      <c r="AWY6" s="1108" t="s">
        <v>2669</v>
      </c>
      <c r="AWZ6" s="1108" t="s">
        <v>2669</v>
      </c>
      <c r="AXA6" s="1108" t="s">
        <v>2669</v>
      </c>
      <c r="AXB6" s="1108" t="s">
        <v>2669</v>
      </c>
      <c r="AXC6" s="1108" t="s">
        <v>2669</v>
      </c>
      <c r="AXD6" s="1108" t="s">
        <v>2669</v>
      </c>
      <c r="AXE6" s="1108" t="s">
        <v>2669</v>
      </c>
      <c r="AXF6" s="1108" t="s">
        <v>2669</v>
      </c>
      <c r="AXG6" s="1108" t="s">
        <v>2669</v>
      </c>
      <c r="AXH6" s="1108" t="s">
        <v>2669</v>
      </c>
      <c r="AXI6" s="1108" t="s">
        <v>2669</v>
      </c>
      <c r="AXJ6" s="1108" t="s">
        <v>2669</v>
      </c>
      <c r="AXK6" s="1108" t="s">
        <v>2669</v>
      </c>
      <c r="AXL6" s="1108" t="s">
        <v>2669</v>
      </c>
      <c r="AXM6" s="1108" t="s">
        <v>2669</v>
      </c>
      <c r="AXN6" s="1108" t="s">
        <v>2669</v>
      </c>
      <c r="AXO6" s="1108" t="s">
        <v>4572</v>
      </c>
      <c r="AXP6" s="1108" t="s">
        <v>4572</v>
      </c>
      <c r="AXQ6" s="1108" t="s">
        <v>4572</v>
      </c>
      <c r="AXR6" s="1108" t="s">
        <v>4572</v>
      </c>
      <c r="AXS6" s="1108" t="s">
        <v>4572</v>
      </c>
      <c r="AXT6" s="1108" t="s">
        <v>4572</v>
      </c>
      <c r="AXU6" s="1108" t="s">
        <v>4572</v>
      </c>
      <c r="AXV6" s="1108" t="s">
        <v>4572</v>
      </c>
      <c r="AXW6" s="1108" t="s">
        <v>4572</v>
      </c>
      <c r="AXX6" s="1108" t="s">
        <v>4572</v>
      </c>
      <c r="AXY6" s="1108" t="s">
        <v>4572</v>
      </c>
      <c r="AXZ6" s="1108" t="s">
        <v>4572</v>
      </c>
      <c r="AYA6" s="1108" t="s">
        <v>4572</v>
      </c>
      <c r="AYB6" s="1108" t="s">
        <v>4572</v>
      </c>
      <c r="AYC6" s="1108" t="s">
        <v>4572</v>
      </c>
      <c r="AYD6" s="1108" t="s">
        <v>4572</v>
      </c>
      <c r="AYE6" s="1108" t="s">
        <v>4572</v>
      </c>
      <c r="AYF6" s="1108" t="s">
        <v>4572</v>
      </c>
      <c r="AYG6" s="1108" t="s">
        <v>4572</v>
      </c>
      <c r="AYH6" s="1108" t="s">
        <v>4572</v>
      </c>
      <c r="AYI6" s="1108" t="s">
        <v>4572</v>
      </c>
      <c r="AYJ6" s="1108" t="s">
        <v>4572</v>
      </c>
      <c r="AYK6" s="1108" t="s">
        <v>2732</v>
      </c>
      <c r="AYL6" s="1108" t="s">
        <v>2732</v>
      </c>
      <c r="AYM6" s="1108" t="s">
        <v>2732</v>
      </c>
      <c r="AYN6" s="1108" t="s">
        <v>2732</v>
      </c>
      <c r="AYO6" s="1108" t="s">
        <v>2732</v>
      </c>
      <c r="AYP6" s="1108" t="s">
        <v>2732</v>
      </c>
      <c r="AYQ6" s="1108" t="s">
        <v>2732</v>
      </c>
      <c r="AYR6" s="1108" t="s">
        <v>2732</v>
      </c>
      <c r="AYS6" s="1108" t="s">
        <v>2732</v>
      </c>
      <c r="AYT6" s="1108" t="s">
        <v>2732</v>
      </c>
      <c r="AYU6" s="1108" t="s">
        <v>2732</v>
      </c>
      <c r="AYV6" s="1108" t="s">
        <v>2732</v>
      </c>
      <c r="AYW6" s="1108" t="s">
        <v>2732</v>
      </c>
      <c r="AYX6" s="1108" t="s">
        <v>2732</v>
      </c>
      <c r="AYY6" s="1108" t="s">
        <v>2732</v>
      </c>
      <c r="AYZ6" s="1108" t="s">
        <v>2732</v>
      </c>
      <c r="AZA6" s="1108" t="s">
        <v>2732</v>
      </c>
      <c r="AZB6" s="1108" t="s">
        <v>2732</v>
      </c>
      <c r="AZC6" s="1108" t="s">
        <v>2732</v>
      </c>
      <c r="AZD6" s="1108" t="s">
        <v>2732</v>
      </c>
      <c r="AZE6" s="1108" t="s">
        <v>2732</v>
      </c>
      <c r="AZF6" s="1108" t="s">
        <v>2732</v>
      </c>
      <c r="AZG6" s="1108" t="s">
        <v>2732</v>
      </c>
      <c r="AZH6" s="1108" t="s">
        <v>2732</v>
      </c>
      <c r="AZI6" s="1108" t="s">
        <v>2732</v>
      </c>
      <c r="AZJ6" s="1108" t="s">
        <v>2732</v>
      </c>
      <c r="AZK6" s="1108" t="s">
        <v>2979</v>
      </c>
      <c r="AZL6" s="1108" t="s">
        <v>2979</v>
      </c>
      <c r="AZM6" s="1108" t="s">
        <v>2979</v>
      </c>
      <c r="AZN6" s="1108" t="s">
        <v>2979</v>
      </c>
      <c r="AZO6" s="1108" t="s">
        <v>2979</v>
      </c>
      <c r="AZP6" s="1108" t="s">
        <v>2979</v>
      </c>
      <c r="AZQ6" s="1108" t="s">
        <v>2979</v>
      </c>
      <c r="AZR6" s="1108" t="s">
        <v>2979</v>
      </c>
      <c r="AZS6" s="1108" t="s">
        <v>2979</v>
      </c>
      <c r="AZT6" s="1108" t="s">
        <v>2979</v>
      </c>
      <c r="AZU6" s="1108" t="s">
        <v>2979</v>
      </c>
      <c r="AZV6" s="1108" t="s">
        <v>2979</v>
      </c>
      <c r="AZW6" s="1108" t="s">
        <v>2979</v>
      </c>
      <c r="AZX6" s="1108" t="s">
        <v>2979</v>
      </c>
      <c r="AZY6" s="1108" t="s">
        <v>2979</v>
      </c>
      <c r="AZZ6" s="1108" t="s">
        <v>2979</v>
      </c>
      <c r="BAA6" s="1108" t="s">
        <v>2979</v>
      </c>
      <c r="BAB6" s="1108" t="s">
        <v>2979</v>
      </c>
      <c r="BAC6" s="1108" t="s">
        <v>2979</v>
      </c>
      <c r="BAD6" s="1108" t="s">
        <v>2979</v>
      </c>
      <c r="BAE6" s="1108" t="s">
        <v>2979</v>
      </c>
      <c r="BAF6" s="1108" t="s">
        <v>2979</v>
      </c>
      <c r="BAG6" s="1108" t="s">
        <v>2979</v>
      </c>
      <c r="BAH6" s="1108" t="s">
        <v>2979</v>
      </c>
      <c r="BAI6" s="1108" t="s">
        <v>2979</v>
      </c>
      <c r="BAJ6" s="1108" t="s">
        <v>2979</v>
      </c>
      <c r="BAK6" s="1108" t="s">
        <v>2979</v>
      </c>
      <c r="BAL6" s="1108" t="s">
        <v>2979</v>
      </c>
      <c r="BAM6" s="1108" t="s">
        <v>2979</v>
      </c>
      <c r="BAN6" s="1108" t="s">
        <v>2979</v>
      </c>
      <c r="BAO6" s="1108" t="s">
        <v>2979</v>
      </c>
      <c r="BAP6" s="1108" t="s">
        <v>2979</v>
      </c>
      <c r="BAQ6" s="1108" t="s">
        <v>2979</v>
      </c>
      <c r="BAR6" s="1108" t="s">
        <v>2979</v>
      </c>
      <c r="BAS6" s="1108" t="s">
        <v>2979</v>
      </c>
      <c r="BAT6" s="1108" t="s">
        <v>2979</v>
      </c>
      <c r="BAU6" s="1108" t="s">
        <v>2979</v>
      </c>
      <c r="BAV6" s="1108" t="s">
        <v>2979</v>
      </c>
      <c r="BAW6" s="1108" t="s">
        <v>2979</v>
      </c>
      <c r="BAX6" s="1108" t="s">
        <v>2979</v>
      </c>
      <c r="BAY6" s="1108" t="s">
        <v>2979</v>
      </c>
      <c r="BAZ6" s="1108" t="s">
        <v>2979</v>
      </c>
      <c r="BBA6" s="1108" t="s">
        <v>2979</v>
      </c>
      <c r="BBB6" s="1108" t="s">
        <v>2979</v>
      </c>
      <c r="BBC6" s="1108" t="s">
        <v>2979</v>
      </c>
    </row>
    <row r="7" spans="1:1407" ht="30" customHeight="1" x14ac:dyDescent="0.25">
      <c r="A7" s="1086"/>
      <c r="B7" s="1109" t="s">
        <v>4604</v>
      </c>
      <c r="C7" s="1107" t="s">
        <v>447</v>
      </c>
      <c r="D7" s="1107" t="s">
        <v>264</v>
      </c>
      <c r="E7" s="1107" t="s">
        <v>722</v>
      </c>
      <c r="F7" s="1107" t="s">
        <v>298</v>
      </c>
      <c r="G7" s="1107" t="s">
        <v>665</v>
      </c>
      <c r="H7" s="1107" t="s">
        <v>299</v>
      </c>
      <c r="I7" s="1107" t="s">
        <v>446</v>
      </c>
      <c r="J7" s="1107" t="s">
        <v>2986</v>
      </c>
      <c r="K7" s="1107" t="s">
        <v>2984</v>
      </c>
      <c r="L7" s="1107" t="s">
        <v>300</v>
      </c>
      <c r="M7" s="1107" t="s">
        <v>1961</v>
      </c>
      <c r="N7" s="1107" t="s">
        <v>2779</v>
      </c>
      <c r="O7" s="1107" t="s">
        <v>2483</v>
      </c>
      <c r="P7" s="1107" t="s">
        <v>3418</v>
      </c>
      <c r="Q7" s="1107" t="s">
        <v>647</v>
      </c>
      <c r="R7" s="1107" t="s">
        <v>648</v>
      </c>
      <c r="S7" s="1107" t="s">
        <v>1962</v>
      </c>
      <c r="T7" s="1107" t="s">
        <v>1963</v>
      </c>
      <c r="U7" s="1107" t="s">
        <v>649</v>
      </c>
      <c r="V7" s="1107" t="s">
        <v>650</v>
      </c>
      <c r="W7" s="1107" t="s">
        <v>651</v>
      </c>
      <c r="X7" s="1107" t="s">
        <v>2135</v>
      </c>
      <c r="Y7" s="1107" t="s">
        <v>674</v>
      </c>
      <c r="Z7" s="1107" t="s">
        <v>247</v>
      </c>
      <c r="AA7" s="1107" t="s">
        <v>676</v>
      </c>
      <c r="AB7" s="1107" t="s">
        <v>1964</v>
      </c>
      <c r="AC7" s="1107" t="s">
        <v>3019</v>
      </c>
      <c r="AD7" s="1107" t="s">
        <v>3020</v>
      </c>
      <c r="AE7" s="1107" t="s">
        <v>2987</v>
      </c>
      <c r="AF7" s="1107" t="s">
        <v>2988</v>
      </c>
      <c r="AG7" s="1107" t="s">
        <v>2989</v>
      </c>
      <c r="AH7" s="1107" t="s">
        <v>2990</v>
      </c>
      <c r="AI7" s="1107" t="s">
        <v>3618</v>
      </c>
      <c r="AJ7" s="1107" t="s">
        <v>3619</v>
      </c>
      <c r="AK7" s="1107" t="s">
        <v>3620</v>
      </c>
      <c r="AL7" s="1107" t="s">
        <v>3621</v>
      </c>
      <c r="AM7" s="1107" t="s">
        <v>3531</v>
      </c>
      <c r="AN7" s="1107" t="s">
        <v>3533</v>
      </c>
      <c r="AO7" s="1107" t="s">
        <v>3532</v>
      </c>
      <c r="AP7" s="1107" t="s">
        <v>3534</v>
      </c>
      <c r="AQ7" s="1107" t="s">
        <v>3535</v>
      </c>
      <c r="AR7" s="1107" t="s">
        <v>3533</v>
      </c>
      <c r="AS7" s="1107" t="s">
        <v>3532</v>
      </c>
      <c r="AT7" s="1107" t="s">
        <v>3534</v>
      </c>
      <c r="AU7" s="1107" t="s">
        <v>3536</v>
      </c>
      <c r="AV7" s="1107" t="s">
        <v>682</v>
      </c>
      <c r="AW7" s="1107" t="s">
        <v>679</v>
      </c>
      <c r="AX7" s="1107" t="s">
        <v>264</v>
      </c>
      <c r="AY7" s="1107" t="s">
        <v>2011</v>
      </c>
      <c r="AZ7" s="1107" t="s">
        <v>2994</v>
      </c>
      <c r="BA7" s="1107" t="s">
        <v>3537</v>
      </c>
      <c r="BB7" s="1107" t="s">
        <v>3541</v>
      </c>
      <c r="BC7" s="1107" t="s">
        <v>3538</v>
      </c>
      <c r="BD7" s="1107" t="s">
        <v>3539</v>
      </c>
      <c r="BE7" s="1107" t="s">
        <v>3540</v>
      </c>
      <c r="BF7" s="1107" t="s">
        <v>3542</v>
      </c>
      <c r="BG7" s="1107" t="s">
        <v>3543</v>
      </c>
      <c r="BH7" s="1107" t="s">
        <v>3545</v>
      </c>
      <c r="BI7" s="1107" t="s">
        <v>3546</v>
      </c>
      <c r="BJ7" s="1107" t="s">
        <v>3547</v>
      </c>
      <c r="BK7" s="1107" t="s">
        <v>3548</v>
      </c>
      <c r="BL7" s="1107" t="s">
        <v>3549</v>
      </c>
      <c r="BM7" s="1107" t="s">
        <v>3544</v>
      </c>
      <c r="BN7" s="1107" t="s">
        <v>3550</v>
      </c>
      <c r="BO7" s="1107" t="s">
        <v>3551</v>
      </c>
      <c r="BP7" s="1107" t="s">
        <v>3552</v>
      </c>
      <c r="BQ7" s="1107" t="s">
        <v>3553</v>
      </c>
      <c r="BR7" s="1107" t="s">
        <v>3554</v>
      </c>
      <c r="BS7" s="1107" t="s">
        <v>3555</v>
      </c>
      <c r="BT7" s="1107" t="s">
        <v>3556</v>
      </c>
      <c r="BU7" s="1107" t="s">
        <v>3557</v>
      </c>
      <c r="BV7" s="1107" t="s">
        <v>3558</v>
      </c>
      <c r="BW7" s="1107" t="s">
        <v>3559</v>
      </c>
      <c r="BX7" s="1107" t="s">
        <v>3560</v>
      </c>
      <c r="BY7" s="1107" t="s">
        <v>3561</v>
      </c>
      <c r="BZ7" s="1107" t="s">
        <v>3562</v>
      </c>
      <c r="CA7" s="1107" t="s">
        <v>3563</v>
      </c>
      <c r="CB7" s="1107" t="s">
        <v>3564</v>
      </c>
      <c r="CC7" s="1107" t="s">
        <v>3565</v>
      </c>
      <c r="CD7" s="1107" t="s">
        <v>3566</v>
      </c>
      <c r="CE7" s="1107" t="s">
        <v>3574</v>
      </c>
      <c r="CF7" s="1107" t="s">
        <v>3575</v>
      </c>
      <c r="CG7" s="1107" t="s">
        <v>3576</v>
      </c>
      <c r="CH7" s="1107" t="s">
        <v>3567</v>
      </c>
      <c r="CI7" s="1107" t="s">
        <v>3577</v>
      </c>
      <c r="CJ7" s="1107" t="s">
        <v>3578</v>
      </c>
      <c r="CK7" s="1107" t="s">
        <v>3579</v>
      </c>
      <c r="CL7" s="1107" t="s">
        <v>3568</v>
      </c>
      <c r="CM7" s="1107" t="s">
        <v>3580</v>
      </c>
      <c r="CN7" s="1107" t="s">
        <v>3581</v>
      </c>
      <c r="CO7" s="1107" t="s">
        <v>3588</v>
      </c>
      <c r="CP7" s="1107" t="s">
        <v>3569</v>
      </c>
      <c r="CQ7" s="1107" t="s">
        <v>3582</v>
      </c>
      <c r="CR7" s="1107" t="s">
        <v>3583</v>
      </c>
      <c r="CS7" s="1107" t="s">
        <v>3587</v>
      </c>
      <c r="CT7" s="1107" t="s">
        <v>3570</v>
      </c>
      <c r="CU7" s="1107" t="s">
        <v>3584</v>
      </c>
      <c r="CV7" s="1107" t="s">
        <v>3585</v>
      </c>
      <c r="CW7" s="1107" t="s">
        <v>3586</v>
      </c>
      <c r="CX7" s="1107" t="s">
        <v>3571</v>
      </c>
      <c r="CY7" s="1107" t="s">
        <v>3589</v>
      </c>
      <c r="CZ7" s="1107" t="s">
        <v>3590</v>
      </c>
      <c r="DA7" s="1107" t="s">
        <v>3591</v>
      </c>
      <c r="DB7" s="1107" t="s">
        <v>3572</v>
      </c>
      <c r="DC7" s="1107" t="s">
        <v>3592</v>
      </c>
      <c r="DD7" s="1107" t="s">
        <v>3593</v>
      </c>
      <c r="DE7" s="1107" t="s">
        <v>3594</v>
      </c>
      <c r="DF7" s="1107" t="s">
        <v>3573</v>
      </c>
      <c r="DG7" s="1107" t="s">
        <v>3595</v>
      </c>
      <c r="DH7" s="1107" t="s">
        <v>3596</v>
      </c>
      <c r="DI7" s="1107" t="s">
        <v>3597</v>
      </c>
      <c r="DJ7" s="1107" t="s">
        <v>3608</v>
      </c>
      <c r="DK7" s="1107" t="s">
        <v>3598</v>
      </c>
      <c r="DL7" s="1107" t="s">
        <v>3609</v>
      </c>
      <c r="DM7" s="1107" t="s">
        <v>3599</v>
      </c>
      <c r="DN7" s="1107" t="s">
        <v>3610</v>
      </c>
      <c r="DO7" s="1107" t="s">
        <v>3600</v>
      </c>
      <c r="DP7" s="1107" t="s">
        <v>3611</v>
      </c>
      <c r="DQ7" s="1107" t="s">
        <v>3601</v>
      </c>
      <c r="DR7" s="1107" t="s">
        <v>3612</v>
      </c>
      <c r="DS7" s="1107" t="s">
        <v>3602</v>
      </c>
      <c r="DT7" s="1107" t="s">
        <v>3613</v>
      </c>
      <c r="DU7" s="1107" t="s">
        <v>3603</v>
      </c>
      <c r="DV7" s="1107" t="s">
        <v>3614</v>
      </c>
      <c r="DW7" s="1107" t="s">
        <v>3604</v>
      </c>
      <c r="DX7" s="1107" t="s">
        <v>3615</v>
      </c>
      <c r="DY7" s="1107" t="s">
        <v>3605</v>
      </c>
      <c r="DZ7" s="1107" t="s">
        <v>3616</v>
      </c>
      <c r="EA7" s="1107" t="s">
        <v>3606</v>
      </c>
      <c r="EB7" s="1107" t="s">
        <v>3617</v>
      </c>
      <c r="EC7" s="1107" t="s">
        <v>3607</v>
      </c>
      <c r="ED7" s="1031" t="s">
        <v>2083</v>
      </c>
      <c r="EE7" s="1107" t="s">
        <v>709</v>
      </c>
      <c r="EF7" s="1107" t="s">
        <v>691</v>
      </c>
      <c r="EG7" s="1107" t="s">
        <v>692</v>
      </c>
      <c r="EH7" s="1107" t="s">
        <v>693</v>
      </c>
      <c r="EI7" s="1107" t="s">
        <v>694</v>
      </c>
      <c r="EJ7" s="1107" t="s">
        <v>695</v>
      </c>
      <c r="EK7" s="1107" t="s">
        <v>696</v>
      </c>
      <c r="EL7" s="1107" t="s">
        <v>697</v>
      </c>
      <c r="EM7" s="1107" t="s">
        <v>698</v>
      </c>
      <c r="EN7" s="1107" t="s">
        <v>699</v>
      </c>
      <c r="EO7" s="1107" t="s">
        <v>700</v>
      </c>
      <c r="EP7" s="1107" t="s">
        <v>701</v>
      </c>
      <c r="EQ7" s="1107" t="s">
        <v>702</v>
      </c>
      <c r="ER7" s="1107" t="s">
        <v>703</v>
      </c>
      <c r="ES7" s="1107" t="s">
        <v>704</v>
      </c>
      <c r="ET7" s="1107" t="s">
        <v>705</v>
      </c>
      <c r="EU7" s="1107" t="s">
        <v>710</v>
      </c>
      <c r="EV7" s="1107" t="s">
        <v>707</v>
      </c>
      <c r="EW7" s="1107" t="s">
        <v>706</v>
      </c>
      <c r="EX7" s="1107" t="s">
        <v>708</v>
      </c>
      <c r="EY7" s="1107" t="s">
        <v>2143</v>
      </c>
      <c r="EZ7" s="1107" t="s">
        <v>2572</v>
      </c>
      <c r="FA7" s="1107" t="s">
        <v>2145</v>
      </c>
      <c r="FB7" s="1107" t="s">
        <v>3027</v>
      </c>
      <c r="FC7" s="1107" t="s">
        <v>2980</v>
      </c>
      <c r="FD7" s="1107" t="s">
        <v>1969</v>
      </c>
      <c r="FE7" s="1107" t="s">
        <v>1970</v>
      </c>
      <c r="FF7" s="1107" t="s">
        <v>1971</v>
      </c>
      <c r="FG7" s="1107" t="s">
        <v>1974</v>
      </c>
      <c r="FH7" s="1107" t="s">
        <v>1973</v>
      </c>
      <c r="FI7" s="1107" t="s">
        <v>1972</v>
      </c>
      <c r="FJ7" s="1107" t="s">
        <v>687</v>
      </c>
      <c r="FK7" s="1107" t="s">
        <v>688</v>
      </c>
      <c r="FL7" s="1107" t="s">
        <v>2663</v>
      </c>
      <c r="FM7" s="1107" t="s">
        <v>689</v>
      </c>
      <c r="FN7" s="1107" t="s">
        <v>3453</v>
      </c>
      <c r="FO7" s="1107" t="s">
        <v>3633</v>
      </c>
      <c r="FP7" s="1107" t="s">
        <v>3629</v>
      </c>
      <c r="FQ7" s="1107" t="s">
        <v>3628</v>
      </c>
      <c r="FR7" s="1107" t="s">
        <v>3627</v>
      </c>
      <c r="FS7" s="1107" t="s">
        <v>3630</v>
      </c>
      <c r="FT7" s="1107" t="s">
        <v>198</v>
      </c>
      <c r="FU7" s="1107" t="s">
        <v>3631</v>
      </c>
      <c r="FV7" s="1107" t="s">
        <v>3632</v>
      </c>
      <c r="FW7" s="1107" t="s">
        <v>3634</v>
      </c>
      <c r="FX7" s="1107" t="s">
        <v>3635</v>
      </c>
      <c r="FY7" s="1107" t="s">
        <v>3638</v>
      </c>
      <c r="FZ7" s="1107" t="s">
        <v>3639</v>
      </c>
      <c r="GA7" s="1107" t="s">
        <v>3636</v>
      </c>
      <c r="GB7" s="1107" t="s">
        <v>3637</v>
      </c>
      <c r="GC7" s="1107" t="s">
        <v>2005</v>
      </c>
      <c r="GD7" s="1107" t="s">
        <v>3640</v>
      </c>
      <c r="GE7" s="1107" t="s">
        <v>3641</v>
      </c>
      <c r="GF7" s="1107" t="s">
        <v>3642</v>
      </c>
      <c r="GG7" s="1107" t="s">
        <v>3643</v>
      </c>
      <c r="GH7" s="1107" t="s">
        <v>3644</v>
      </c>
      <c r="GI7" s="1107" t="s">
        <v>3624</v>
      </c>
      <c r="GJ7" s="1107" t="s">
        <v>3625</v>
      </c>
      <c r="GK7" s="1107" t="s">
        <v>3626</v>
      </c>
      <c r="GL7" s="1107" t="s">
        <v>3645</v>
      </c>
      <c r="GM7" s="1107" t="s">
        <v>1979</v>
      </c>
      <c r="GN7" s="1107" t="s">
        <v>1978</v>
      </c>
      <c r="GO7" s="1107" t="s">
        <v>3646</v>
      </c>
      <c r="GP7" s="1107" t="s">
        <v>3650</v>
      </c>
      <c r="GQ7" s="1107" t="s">
        <v>3651</v>
      </c>
      <c r="GR7" s="1107" t="s">
        <v>3647</v>
      </c>
      <c r="GS7" s="1107" t="s">
        <v>3652</v>
      </c>
      <c r="GT7" s="1107" t="s">
        <v>3653</v>
      </c>
      <c r="GU7" s="1107" t="s">
        <v>3648</v>
      </c>
      <c r="GV7" s="1107" t="s">
        <v>3654</v>
      </c>
      <c r="GW7" s="1107" t="s">
        <v>3655</v>
      </c>
      <c r="GX7" s="1107" t="s">
        <v>3649</v>
      </c>
      <c r="GY7" s="1107" t="s">
        <v>3656</v>
      </c>
      <c r="GZ7" s="1107" t="s">
        <v>3657</v>
      </c>
      <c r="HA7" s="1107" t="s">
        <v>3658</v>
      </c>
      <c r="HB7" s="1107" t="s">
        <v>3659</v>
      </c>
      <c r="HC7" s="1107" t="s">
        <v>3661</v>
      </c>
      <c r="HD7" s="1107" t="s">
        <v>3662</v>
      </c>
      <c r="HE7" s="1107" t="s">
        <v>3663</v>
      </c>
      <c r="HF7" s="1107" t="s">
        <v>486</v>
      </c>
      <c r="HG7" s="1107" t="s">
        <v>3664</v>
      </c>
      <c r="HH7" s="1107" t="s">
        <v>3665</v>
      </c>
      <c r="HI7" s="1107" t="s">
        <v>3666</v>
      </c>
      <c r="HJ7" s="1107" t="s">
        <v>3667</v>
      </c>
      <c r="HK7" s="1107" t="s">
        <v>3668</v>
      </c>
      <c r="HL7" s="1107" t="s">
        <v>3669</v>
      </c>
      <c r="HM7" s="1107" t="s">
        <v>3670</v>
      </c>
      <c r="HN7" s="1107" t="s">
        <v>3671</v>
      </c>
      <c r="HO7" s="1107" t="s">
        <v>3672</v>
      </c>
      <c r="HP7" s="1107" t="s">
        <v>3673</v>
      </c>
      <c r="HQ7" s="1107" t="s">
        <v>3674</v>
      </c>
      <c r="HR7" s="1107" t="s">
        <v>3675</v>
      </c>
      <c r="HS7" s="1107" t="s">
        <v>3676</v>
      </c>
      <c r="HT7" s="1107" t="s">
        <v>3677</v>
      </c>
      <c r="HU7" s="1107" t="s">
        <v>3678</v>
      </c>
      <c r="HV7" s="1107" t="s">
        <v>3679</v>
      </c>
      <c r="HW7" s="1107" t="s">
        <v>3680</v>
      </c>
      <c r="HX7" s="1107" t="s">
        <v>3681</v>
      </c>
      <c r="HY7" s="1107" t="s">
        <v>3682</v>
      </c>
      <c r="HZ7" s="1107" t="s">
        <v>3683</v>
      </c>
      <c r="IA7" s="1107" t="s">
        <v>3684</v>
      </c>
      <c r="IB7" s="1107" t="s">
        <v>236</v>
      </c>
      <c r="IC7" s="1107" t="s">
        <v>427</v>
      </c>
      <c r="ID7" s="1107" t="s">
        <v>428</v>
      </c>
      <c r="IE7" s="1107" t="s">
        <v>429</v>
      </c>
      <c r="IF7" s="1107" t="s">
        <v>430</v>
      </c>
      <c r="IG7" s="1107" t="s">
        <v>431</v>
      </c>
      <c r="IH7" s="1107" t="s">
        <v>432</v>
      </c>
      <c r="II7" s="1107" t="s">
        <v>3685</v>
      </c>
      <c r="IJ7" s="1107" t="s">
        <v>3687</v>
      </c>
      <c r="IK7" s="1107" t="s">
        <v>3686</v>
      </c>
      <c r="IL7" s="1107" t="s">
        <v>3688</v>
      </c>
      <c r="IM7" s="1107" t="s">
        <v>3689</v>
      </c>
      <c r="IN7" s="1107" t="s">
        <v>3690</v>
      </c>
      <c r="IO7" s="1107" t="s">
        <v>3691</v>
      </c>
      <c r="IP7" s="1107" t="s">
        <v>3692</v>
      </c>
      <c r="IQ7" s="1107" t="s">
        <v>3693</v>
      </c>
      <c r="IR7" s="1107" t="s">
        <v>3694</v>
      </c>
      <c r="IS7" s="1107" t="s">
        <v>3695</v>
      </c>
      <c r="IT7" s="1107" t="s">
        <v>3696</v>
      </c>
      <c r="IU7" s="1107" t="s">
        <v>3697</v>
      </c>
      <c r="IV7" s="1107" t="s">
        <v>3698</v>
      </c>
      <c r="IW7" s="1107" t="s">
        <v>613</v>
      </c>
      <c r="IX7" s="1107" t="s">
        <v>3707</v>
      </c>
      <c r="IY7" s="1107" t="s">
        <v>2086</v>
      </c>
      <c r="IZ7" s="1107" t="s">
        <v>3708</v>
      </c>
      <c r="JA7" s="1107" t="s">
        <v>115</v>
      </c>
      <c r="JB7" s="1107" t="s">
        <v>3709</v>
      </c>
      <c r="JC7" s="1107" t="s">
        <v>116</v>
      </c>
      <c r="JD7" s="1107" t="s">
        <v>3710</v>
      </c>
      <c r="JE7" s="1107" t="s">
        <v>614</v>
      </c>
      <c r="JF7" s="1107" t="s">
        <v>2087</v>
      </c>
      <c r="JG7" s="1107" t="s">
        <v>3711</v>
      </c>
      <c r="JH7" s="1107" t="s">
        <v>3699</v>
      </c>
      <c r="JI7" s="1107" t="s">
        <v>3700</v>
      </c>
      <c r="JJ7" s="1107" t="s">
        <v>3712</v>
      </c>
      <c r="JK7" s="1107" t="s">
        <v>2104</v>
      </c>
      <c r="JL7" s="1107" t="s">
        <v>117</v>
      </c>
      <c r="JM7" s="1107" t="s">
        <v>3713</v>
      </c>
      <c r="JN7" s="1107" t="s">
        <v>3701</v>
      </c>
      <c r="JO7" s="1107" t="s">
        <v>3702</v>
      </c>
      <c r="JP7" s="1107" t="s">
        <v>3714</v>
      </c>
      <c r="JQ7" s="1107" t="s">
        <v>3703</v>
      </c>
      <c r="JR7" s="1107" t="s">
        <v>3704</v>
      </c>
      <c r="JS7" s="1107" t="s">
        <v>3715</v>
      </c>
      <c r="JT7" s="1107" t="s">
        <v>3705</v>
      </c>
      <c r="JU7" s="1107" t="s">
        <v>3706</v>
      </c>
      <c r="JV7" s="1107" t="s">
        <v>3716</v>
      </c>
      <c r="JW7" s="1107" t="s">
        <v>615</v>
      </c>
      <c r="JX7" s="1107" t="s">
        <v>118</v>
      </c>
      <c r="JY7" s="1107" t="s">
        <v>3717</v>
      </c>
      <c r="JZ7" s="1107" t="s">
        <v>3718</v>
      </c>
      <c r="KA7" s="1107" t="s">
        <v>3719</v>
      </c>
      <c r="KB7" s="1107" t="s">
        <v>3720</v>
      </c>
      <c r="KC7" s="1107" t="s">
        <v>3721</v>
      </c>
      <c r="KD7" s="1107" t="s">
        <v>3722</v>
      </c>
      <c r="KE7" s="1107" t="s">
        <v>3723</v>
      </c>
      <c r="KF7" s="1107" t="s">
        <v>3724</v>
      </c>
      <c r="KG7" s="1107" t="s">
        <v>3725</v>
      </c>
      <c r="KH7" s="1107" t="s">
        <v>3726</v>
      </c>
      <c r="KI7" s="1107" t="s">
        <v>3727</v>
      </c>
      <c r="KJ7" s="1107" t="s">
        <v>3728</v>
      </c>
      <c r="KK7" s="1107" t="s">
        <v>3729</v>
      </c>
      <c r="KL7" s="1107" t="s">
        <v>3730</v>
      </c>
      <c r="KM7" s="1107" t="s">
        <v>3731</v>
      </c>
      <c r="KN7" s="1107" t="s">
        <v>3732</v>
      </c>
      <c r="KO7" s="1107" t="s">
        <v>3733</v>
      </c>
      <c r="KP7" s="1107" t="s">
        <v>3734</v>
      </c>
      <c r="KQ7" s="1107" t="s">
        <v>3735</v>
      </c>
      <c r="KR7" s="1107" t="s">
        <v>3787</v>
      </c>
      <c r="KS7" s="1107" t="s">
        <v>3736</v>
      </c>
      <c r="KT7" s="1107" t="s">
        <v>3737</v>
      </c>
      <c r="KU7" s="1107" t="s">
        <v>3738</v>
      </c>
      <c r="KV7" s="1107" t="s">
        <v>3739</v>
      </c>
      <c r="KW7" s="1107" t="s">
        <v>3740</v>
      </c>
      <c r="KX7" s="1107" t="s">
        <v>3741</v>
      </c>
      <c r="KY7" s="1107" t="s">
        <v>3742</v>
      </c>
      <c r="KZ7" s="1107" t="s">
        <v>3743</v>
      </c>
      <c r="LA7" s="1107" t="s">
        <v>3744</v>
      </c>
      <c r="LB7" s="1107" t="s">
        <v>3745</v>
      </c>
      <c r="LC7" s="1107" t="s">
        <v>3788</v>
      </c>
      <c r="LD7" s="1107" t="s">
        <v>3746</v>
      </c>
      <c r="LE7" s="1107" t="s">
        <v>3747</v>
      </c>
      <c r="LF7" s="1107" t="s">
        <v>3748</v>
      </c>
      <c r="LG7" s="1107" t="s">
        <v>3749</v>
      </c>
      <c r="LH7" s="1107" t="s">
        <v>3750</v>
      </c>
      <c r="LI7" s="1107" t="s">
        <v>3751</v>
      </c>
      <c r="LJ7" s="1107" t="s">
        <v>3752</v>
      </c>
      <c r="LK7" s="1107" t="s">
        <v>3753</v>
      </c>
      <c r="LL7" s="1107" t="s">
        <v>3754</v>
      </c>
      <c r="LM7" s="1107" t="s">
        <v>3755</v>
      </c>
      <c r="LN7" s="1107" t="s">
        <v>3756</v>
      </c>
      <c r="LO7" s="1107" t="s">
        <v>3757</v>
      </c>
      <c r="LP7" s="1107" t="s">
        <v>3758</v>
      </c>
      <c r="LQ7" s="1107" t="s">
        <v>3759</v>
      </c>
      <c r="LR7" s="1107" t="s">
        <v>3760</v>
      </c>
      <c r="LS7" s="1107" t="s">
        <v>3761</v>
      </c>
      <c r="LT7" s="1107" t="s">
        <v>3762</v>
      </c>
      <c r="LU7" s="1107" t="s">
        <v>3763</v>
      </c>
      <c r="LV7" s="1107" t="s">
        <v>3764</v>
      </c>
      <c r="LW7" s="1107" t="s">
        <v>3765</v>
      </c>
      <c r="LX7" s="1107" t="s">
        <v>3766</v>
      </c>
      <c r="LY7" s="1107" t="s">
        <v>3789</v>
      </c>
      <c r="LZ7" s="1107" t="s">
        <v>3767</v>
      </c>
      <c r="MA7" s="1107" t="s">
        <v>3792</v>
      </c>
      <c r="MB7" s="1107" t="s">
        <v>3768</v>
      </c>
      <c r="MC7" s="1107" t="s">
        <v>3769</v>
      </c>
      <c r="MD7" s="1107" t="s">
        <v>3770</v>
      </c>
      <c r="ME7" s="1107" t="s">
        <v>3771</v>
      </c>
      <c r="MF7" s="1107" t="s">
        <v>3772</v>
      </c>
      <c r="MG7" s="1107" t="s">
        <v>3773</v>
      </c>
      <c r="MH7" s="1107" t="s">
        <v>3774</v>
      </c>
      <c r="MI7" s="1107" t="s">
        <v>3775</v>
      </c>
      <c r="MJ7" s="1107" t="s">
        <v>3776</v>
      </c>
      <c r="MK7" s="1107" t="s">
        <v>3777</v>
      </c>
      <c r="ML7" s="1107" t="s">
        <v>3778</v>
      </c>
      <c r="MM7" s="1107" t="s">
        <v>3779</v>
      </c>
      <c r="MN7" s="1107" t="s">
        <v>3790</v>
      </c>
      <c r="MO7" s="1107" t="s">
        <v>3780</v>
      </c>
      <c r="MP7" s="1107" t="s">
        <v>3781</v>
      </c>
      <c r="MQ7" s="1107" t="s">
        <v>3782</v>
      </c>
      <c r="MR7" s="1107" t="s">
        <v>3783</v>
      </c>
      <c r="MS7" s="1107" t="s">
        <v>3784</v>
      </c>
      <c r="MT7" s="1107" t="s">
        <v>3785</v>
      </c>
      <c r="MU7" s="1107" t="s">
        <v>3786</v>
      </c>
      <c r="MV7" s="1107" t="s">
        <v>3791</v>
      </c>
      <c r="MW7" s="1107" t="s">
        <v>334</v>
      </c>
      <c r="MX7" s="1107" t="s">
        <v>155</v>
      </c>
      <c r="MY7" s="1107" t="s">
        <v>3793</v>
      </c>
      <c r="MZ7" s="1107" t="s">
        <v>3794</v>
      </c>
      <c r="NA7" s="1107" t="s">
        <v>3795</v>
      </c>
      <c r="NB7" s="1107" t="s">
        <v>3796</v>
      </c>
      <c r="NC7" s="1107" t="str">
        <f>IF(OR(OpBudget!EF7="[Describe here for Other Fee]",OpBudget!EF7="",OpBudget!EF7="N/A",OpBudget!EF7="NA"),"Other Cash Flow Contingent Fee #1",OpBudget!EF7)</f>
        <v>Other Cash Flow Contingent Fee #1</v>
      </c>
      <c r="ND7" s="1107" t="str">
        <f>IF(OR(OpBudget!EG7="[Describe here for Other Fee]",OpBudget!EG7="",OpBudget!EG7="N/A",OpBudget!EG7="NA"),"Other Cash Flow Contingent Fee #2",OpBudget!EG7)</f>
        <v>Other Cash Flow Contingent Fee #2</v>
      </c>
      <c r="NE7" s="1107" t="s">
        <v>3800</v>
      </c>
      <c r="NF7" s="1107" t="s">
        <v>3801</v>
      </c>
      <c r="NG7" s="1107" t="s">
        <v>3802</v>
      </c>
      <c r="NH7" s="1107" t="s">
        <v>3803</v>
      </c>
      <c r="NI7" s="1107" t="s">
        <v>3804</v>
      </c>
      <c r="NJ7" s="1107" t="s">
        <v>3805</v>
      </c>
      <c r="NK7" s="1107" t="s">
        <v>3806</v>
      </c>
      <c r="NL7" s="1107" t="s">
        <v>3807</v>
      </c>
      <c r="NM7" s="1107" t="s">
        <v>3798</v>
      </c>
      <c r="NN7" s="1107" t="s">
        <v>3808</v>
      </c>
      <c r="NO7" s="1107" t="s">
        <v>3809</v>
      </c>
      <c r="NP7" s="1107" t="s">
        <v>3810</v>
      </c>
      <c r="NQ7" s="1107" t="s">
        <v>3811</v>
      </c>
      <c r="NR7" s="1107" t="s">
        <v>3812</v>
      </c>
      <c r="NS7" s="1107" t="s">
        <v>3813</v>
      </c>
      <c r="NT7" s="1107" t="s">
        <v>3814</v>
      </c>
      <c r="NU7" s="1107" t="s">
        <v>3815</v>
      </c>
      <c r="NV7" s="1107" t="s">
        <v>3816</v>
      </c>
      <c r="NW7" s="1107" t="s">
        <v>3817</v>
      </c>
      <c r="NX7" s="1107" t="s">
        <v>3818</v>
      </c>
      <c r="NY7" s="1107" t="s">
        <v>3819</v>
      </c>
      <c r="NZ7" s="1107" t="s">
        <v>3820</v>
      </c>
      <c r="OA7" s="1107" t="s">
        <v>3821</v>
      </c>
      <c r="OB7" s="1107" t="s">
        <v>3799</v>
      </c>
      <c r="OC7" s="1107" t="s">
        <v>3822</v>
      </c>
      <c r="OD7" s="1107" t="s">
        <v>3823</v>
      </c>
      <c r="OE7" s="1107" t="s">
        <v>3824</v>
      </c>
      <c r="OF7" s="1107" t="s">
        <v>3825</v>
      </c>
      <c r="OG7" s="1107" t="s">
        <v>3826</v>
      </c>
      <c r="OH7" s="1107" t="s">
        <v>3827</v>
      </c>
      <c r="OI7" s="1107" t="s">
        <v>3828</v>
      </c>
      <c r="OJ7" s="1107" t="s">
        <v>3829</v>
      </c>
      <c r="OK7" s="1107" t="s">
        <v>3833</v>
      </c>
      <c r="OL7" s="1107" t="s">
        <v>3830</v>
      </c>
      <c r="OM7" s="1107" t="s">
        <v>3831</v>
      </c>
      <c r="ON7" s="1107" t="s">
        <v>3832</v>
      </c>
      <c r="OO7" s="1107" t="s">
        <v>3834</v>
      </c>
      <c r="OP7" s="1107" t="s">
        <v>3835</v>
      </c>
      <c r="OQ7" s="1107" t="s">
        <v>3836</v>
      </c>
      <c r="OR7" s="1107" t="s">
        <v>3837</v>
      </c>
      <c r="OS7" s="1107" t="s">
        <v>3838</v>
      </c>
      <c r="OT7" s="1107" t="s">
        <v>3868</v>
      </c>
      <c r="OU7" s="1107" t="s">
        <v>3839</v>
      </c>
      <c r="OV7" s="1107" t="s">
        <v>3840</v>
      </c>
      <c r="OW7" s="1107" t="s">
        <v>3841</v>
      </c>
      <c r="OX7" s="1107" t="s">
        <v>3842</v>
      </c>
      <c r="OY7" s="1107" t="s">
        <v>3869</v>
      </c>
      <c r="OZ7" s="1107" t="s">
        <v>3870</v>
      </c>
      <c r="PA7" s="1107" t="s">
        <v>3843</v>
      </c>
      <c r="PB7" s="1107" t="s">
        <v>3844</v>
      </c>
      <c r="PC7" s="1107" t="s">
        <v>3845</v>
      </c>
      <c r="PD7" s="1107" t="s">
        <v>3846</v>
      </c>
      <c r="PE7" s="1107" t="s">
        <v>3847</v>
      </c>
      <c r="PF7" s="1107" t="s">
        <v>3871</v>
      </c>
      <c r="PG7" s="1107" t="s">
        <v>3848</v>
      </c>
      <c r="PH7" s="1107" t="s">
        <v>3849</v>
      </c>
      <c r="PI7" s="1107" t="s">
        <v>3850</v>
      </c>
      <c r="PJ7" s="1107" t="s">
        <v>3851</v>
      </c>
      <c r="PK7" s="1107" t="s">
        <v>3852</v>
      </c>
      <c r="PL7" s="1107" t="s">
        <v>3872</v>
      </c>
      <c r="PM7" s="1107" t="s">
        <v>3853</v>
      </c>
      <c r="PN7" s="1107" t="s">
        <v>3854</v>
      </c>
      <c r="PO7" s="1107" t="s">
        <v>3855</v>
      </c>
      <c r="PP7" s="1107" t="s">
        <v>3856</v>
      </c>
      <c r="PQ7" s="1107" t="s">
        <v>3857</v>
      </c>
      <c r="PR7" s="1107" t="s">
        <v>3873</v>
      </c>
      <c r="PS7" s="1107" t="s">
        <v>3858</v>
      </c>
      <c r="PT7" s="1107" t="s">
        <v>3859</v>
      </c>
      <c r="PU7" s="1107" t="s">
        <v>3860</v>
      </c>
      <c r="PV7" s="1107" t="s">
        <v>3861</v>
      </c>
      <c r="PW7" s="1107" t="s">
        <v>3862</v>
      </c>
      <c r="PX7" s="1107" t="s">
        <v>3874</v>
      </c>
      <c r="PY7" s="1107" t="s">
        <v>3863</v>
      </c>
      <c r="PZ7" s="1107" t="s">
        <v>3864</v>
      </c>
      <c r="QA7" s="1107" t="s">
        <v>3865</v>
      </c>
      <c r="QB7" s="1107" t="s">
        <v>3866</v>
      </c>
      <c r="QC7" s="1107" t="s">
        <v>3867</v>
      </c>
      <c r="QD7" s="1107" t="s">
        <v>3875</v>
      </c>
      <c r="QE7" s="1107" t="s">
        <v>3876</v>
      </c>
      <c r="QF7" s="1107" t="s">
        <v>3878</v>
      </c>
      <c r="QG7" s="1107" t="s">
        <v>3879</v>
      </c>
      <c r="QH7" s="1107" t="s">
        <v>3880</v>
      </c>
      <c r="QI7" s="1107" t="s">
        <v>3881</v>
      </c>
      <c r="QJ7" s="1107" t="s">
        <v>3882</v>
      </c>
      <c r="QK7" s="1107" t="s">
        <v>3883</v>
      </c>
      <c r="QL7" s="1107" t="s">
        <v>3884</v>
      </c>
      <c r="QM7" s="1107" t="s">
        <v>3886</v>
      </c>
      <c r="QN7" s="1107" t="s">
        <v>3887</v>
      </c>
      <c r="QO7" s="1107" t="s">
        <v>3885</v>
      </c>
      <c r="QP7" s="1107" t="s">
        <v>3888</v>
      </c>
      <c r="QQ7" s="1107" t="s">
        <v>3889</v>
      </c>
      <c r="QR7" s="1107" t="s">
        <v>3890</v>
      </c>
      <c r="QS7" s="1107" t="s">
        <v>3892</v>
      </c>
      <c r="QT7" s="1107" t="s">
        <v>3891</v>
      </c>
      <c r="QU7" s="1107" t="s">
        <v>3911</v>
      </c>
      <c r="QV7" s="1107" t="s">
        <v>3893</v>
      </c>
      <c r="QW7" s="1107" t="s">
        <v>3894</v>
      </c>
      <c r="QX7" s="1107" t="s">
        <v>3895</v>
      </c>
      <c r="QY7" s="1107" t="s">
        <v>3896</v>
      </c>
      <c r="QZ7" s="1107" t="s">
        <v>3897</v>
      </c>
      <c r="RA7" s="1107" t="s">
        <v>3898</v>
      </c>
      <c r="RB7" s="1107" t="s">
        <v>3910</v>
      </c>
      <c r="RC7" s="1107" t="s">
        <v>3899</v>
      </c>
      <c r="RD7" s="1107" t="s">
        <v>3900</v>
      </c>
      <c r="RE7" s="1107" t="s">
        <v>3901</v>
      </c>
      <c r="RF7" s="1107" t="s">
        <v>3902</v>
      </c>
      <c r="RG7" s="1107" t="s">
        <v>3908</v>
      </c>
      <c r="RH7" s="1107" t="s">
        <v>3903</v>
      </c>
      <c r="RI7" s="1107" t="s">
        <v>3904</v>
      </c>
      <c r="RJ7" s="1107" t="s">
        <v>3905</v>
      </c>
      <c r="RK7" s="1107" t="s">
        <v>3906</v>
      </c>
      <c r="RL7" s="1107" t="s">
        <v>3907</v>
      </c>
      <c r="RM7" s="1107" t="s">
        <v>3909</v>
      </c>
      <c r="RN7" s="1107" t="s">
        <v>3912</v>
      </c>
      <c r="RO7" s="1107" t="s">
        <v>3913</v>
      </c>
      <c r="RP7" s="1107" t="s">
        <v>3915</v>
      </c>
      <c r="RQ7" s="1107" t="s">
        <v>3914</v>
      </c>
      <c r="RR7" s="1107" t="s">
        <v>3916</v>
      </c>
      <c r="RS7" s="1107" t="s">
        <v>3917</v>
      </c>
      <c r="RT7" s="1107" t="s">
        <v>3918</v>
      </c>
      <c r="RU7" s="1107" t="s">
        <v>3919</v>
      </c>
      <c r="RV7" s="1107" t="s">
        <v>3920</v>
      </c>
      <c r="RW7" s="1107" t="s">
        <v>3921</v>
      </c>
      <c r="RX7" s="1107" t="s">
        <v>3922</v>
      </c>
      <c r="RY7" s="1107" t="s">
        <v>3923</v>
      </c>
      <c r="RZ7" s="1107" t="s">
        <v>3877</v>
      </c>
      <c r="SA7" s="1107" t="s">
        <v>3924</v>
      </c>
      <c r="SB7" s="1107" t="s">
        <v>3925</v>
      </c>
      <c r="SC7" s="1107" t="s">
        <v>3926</v>
      </c>
      <c r="SD7" s="1107" t="s">
        <v>3927</v>
      </c>
      <c r="SE7" s="1107" t="s">
        <v>3928</v>
      </c>
      <c r="SF7" s="1107" t="s">
        <v>3929</v>
      </c>
      <c r="SG7" s="1107" t="s">
        <v>3930</v>
      </c>
      <c r="SH7" s="1107" t="s">
        <v>3931</v>
      </c>
      <c r="SI7" s="1107" t="s">
        <v>3932</v>
      </c>
      <c r="SJ7" s="1107" t="s">
        <v>3933</v>
      </c>
      <c r="SK7" s="1107" t="s">
        <v>3934</v>
      </c>
      <c r="SL7" s="1107" t="s">
        <v>3935</v>
      </c>
      <c r="SM7" s="1107" t="s">
        <v>3936</v>
      </c>
      <c r="SN7" s="1107" t="s">
        <v>3937</v>
      </c>
      <c r="SO7" s="1107" t="s">
        <v>3938</v>
      </c>
      <c r="SP7" s="1107" t="s">
        <v>3939</v>
      </c>
      <c r="SQ7" s="1107" t="s">
        <v>3940</v>
      </c>
      <c r="SR7" s="1107" t="s">
        <v>3941</v>
      </c>
      <c r="SS7" s="1107" t="s">
        <v>3942</v>
      </c>
      <c r="ST7" s="1107" t="s">
        <v>3943</v>
      </c>
      <c r="SU7" s="1107" t="s">
        <v>3944</v>
      </c>
      <c r="SV7" s="1107" t="s">
        <v>3945</v>
      </c>
      <c r="SW7" s="1107" t="s">
        <v>3946</v>
      </c>
      <c r="SX7" s="1107" t="s">
        <v>3947</v>
      </c>
      <c r="SY7" s="1107" t="s">
        <v>3948</v>
      </c>
      <c r="SZ7" s="1107" t="s">
        <v>3949</v>
      </c>
      <c r="TA7" s="1107" t="s">
        <v>3950</v>
      </c>
      <c r="TB7" s="1107" t="s">
        <v>3951</v>
      </c>
      <c r="TC7" s="1107" t="s">
        <v>3952</v>
      </c>
      <c r="TD7" s="1107" t="s">
        <v>3953</v>
      </c>
      <c r="TE7" s="1107" t="s">
        <v>3954</v>
      </c>
      <c r="TF7" s="1107" t="s">
        <v>3955</v>
      </c>
      <c r="TG7" s="1107" t="s">
        <v>3956</v>
      </c>
      <c r="TH7" s="1107" t="s">
        <v>3957</v>
      </c>
      <c r="TI7" s="1107" t="s">
        <v>3958</v>
      </c>
      <c r="TJ7" s="1107" t="s">
        <v>3959</v>
      </c>
      <c r="TK7" s="1107" t="s">
        <v>3960</v>
      </c>
      <c r="TL7" s="1107" t="s">
        <v>3961</v>
      </c>
      <c r="TM7" s="1107" t="s">
        <v>3962</v>
      </c>
      <c r="TN7" s="1107" t="s">
        <v>3963</v>
      </c>
      <c r="TO7" s="1107" t="s">
        <v>3964</v>
      </c>
      <c r="TP7" s="1107" t="s">
        <v>3977</v>
      </c>
      <c r="TQ7" s="1107" t="s">
        <v>3965</v>
      </c>
      <c r="TR7" s="1107" t="s">
        <v>3966</v>
      </c>
      <c r="TS7" s="1107" t="s">
        <v>3967</v>
      </c>
      <c r="TT7" s="1107" t="s">
        <v>3968</v>
      </c>
      <c r="TU7" s="1107" t="s">
        <v>3969</v>
      </c>
      <c r="TV7" s="1107" t="s">
        <v>3970</v>
      </c>
      <c r="TW7" s="1107" t="s">
        <v>3978</v>
      </c>
      <c r="TX7" s="1107" t="s">
        <v>3971</v>
      </c>
      <c r="TY7" s="1107" t="s">
        <v>3972</v>
      </c>
      <c r="TZ7" s="1107" t="s">
        <v>3973</v>
      </c>
      <c r="UA7" s="1107" t="s">
        <v>3974</v>
      </c>
      <c r="UB7" s="1107" t="s">
        <v>3975</v>
      </c>
      <c r="UC7" s="1107" t="s">
        <v>3976</v>
      </c>
      <c r="UD7" s="1107" t="s">
        <v>3980</v>
      </c>
      <c r="UE7" s="1107" t="s">
        <v>3981</v>
      </c>
      <c r="UF7" s="1107" t="s">
        <v>3982</v>
      </c>
      <c r="UG7" s="1107" t="s">
        <v>3983</v>
      </c>
      <c r="UH7" s="1107" t="s">
        <v>3983</v>
      </c>
      <c r="UI7" s="1107" t="s">
        <v>3984</v>
      </c>
      <c r="UJ7" s="1107" t="s">
        <v>3985</v>
      </c>
      <c r="UK7" s="1107" t="s">
        <v>3986</v>
      </c>
      <c r="UL7" s="1107" t="s">
        <v>3987</v>
      </c>
      <c r="UM7" s="1107" t="s">
        <v>3988</v>
      </c>
      <c r="UN7" s="1107" t="s">
        <v>3989</v>
      </c>
      <c r="UO7" s="1107" t="s">
        <v>3990</v>
      </c>
      <c r="UP7" s="1107" t="s">
        <v>3991</v>
      </c>
      <c r="UQ7" s="1107" t="s">
        <v>3991</v>
      </c>
      <c r="UR7" s="1107" t="s">
        <v>3993</v>
      </c>
      <c r="US7" s="1107" t="s">
        <v>3994</v>
      </c>
      <c r="UT7" s="1107" t="s">
        <v>3995</v>
      </c>
      <c r="UU7" s="1107" t="s">
        <v>3996</v>
      </c>
      <c r="UV7" s="1107" t="s">
        <v>3997</v>
      </c>
      <c r="UW7" s="1107" t="s">
        <v>3997</v>
      </c>
      <c r="UX7" s="1107" t="s">
        <v>3998</v>
      </c>
      <c r="UY7" s="1107" t="s">
        <v>3999</v>
      </c>
      <c r="UZ7" s="1107" t="s">
        <v>4000</v>
      </c>
      <c r="VA7" s="1107" t="s">
        <v>4001</v>
      </c>
      <c r="VB7" s="1107" t="s">
        <v>4002</v>
      </c>
      <c r="VC7" s="1107" t="s">
        <v>4003</v>
      </c>
      <c r="VD7" s="1107" t="s">
        <v>4004</v>
      </c>
      <c r="VE7" s="1107" t="s">
        <v>4005</v>
      </c>
      <c r="VF7" s="1107" t="s">
        <v>4006</v>
      </c>
      <c r="VG7" s="1107" t="s">
        <v>4007</v>
      </c>
      <c r="VH7" s="1107" t="s">
        <v>4008</v>
      </c>
      <c r="VI7" s="1107" t="s">
        <v>4009</v>
      </c>
      <c r="VJ7" s="1107" t="s">
        <v>4010</v>
      </c>
      <c r="VK7" s="1107" t="s">
        <v>4010</v>
      </c>
      <c r="VL7" s="1107" t="s">
        <v>4011</v>
      </c>
      <c r="VM7" s="1107" t="s">
        <v>4012</v>
      </c>
      <c r="VN7" s="1107" t="s">
        <v>4013</v>
      </c>
      <c r="VO7" s="1107" t="s">
        <v>4014</v>
      </c>
      <c r="VP7" s="1107" t="s">
        <v>4015</v>
      </c>
      <c r="VQ7" s="1107" t="s">
        <v>4016</v>
      </c>
      <c r="VR7" s="1107" t="s">
        <v>4017</v>
      </c>
      <c r="VS7" s="1107" t="s">
        <v>4018</v>
      </c>
      <c r="VT7" s="1107" t="s">
        <v>4018</v>
      </c>
      <c r="VU7" s="1107" t="s">
        <v>4019</v>
      </c>
      <c r="VV7" s="1107" t="s">
        <v>4020</v>
      </c>
      <c r="VW7" s="1107" t="s">
        <v>4021</v>
      </c>
      <c r="VX7" s="1107" t="s">
        <v>4022</v>
      </c>
      <c r="VY7" s="1107" t="s">
        <v>4023</v>
      </c>
      <c r="VZ7" s="1107" t="s">
        <v>4024</v>
      </c>
      <c r="WA7" s="1107" t="s">
        <v>4025</v>
      </c>
      <c r="WB7" s="1107" t="s">
        <v>4026</v>
      </c>
      <c r="WC7" s="1107" t="s">
        <v>4027</v>
      </c>
      <c r="WD7" s="1107" t="s">
        <v>4028</v>
      </c>
      <c r="WE7" s="1107" t="s">
        <v>4029</v>
      </c>
      <c r="WF7" s="1107" t="s">
        <v>4030</v>
      </c>
      <c r="WG7" s="1107" t="s">
        <v>4030</v>
      </c>
      <c r="WH7" s="1107" t="s">
        <v>4031</v>
      </c>
      <c r="WI7" s="1107" t="s">
        <v>4032</v>
      </c>
      <c r="WJ7" s="1107" t="s">
        <v>4033</v>
      </c>
      <c r="WK7" s="1107" t="s">
        <v>4034</v>
      </c>
      <c r="WL7" s="1107" t="s">
        <v>4035</v>
      </c>
      <c r="WM7" s="1107" t="s">
        <v>4036</v>
      </c>
      <c r="WN7" s="1107" t="s">
        <v>4037</v>
      </c>
      <c r="WO7" s="1107" t="s">
        <v>4037</v>
      </c>
      <c r="WP7" s="1107" t="s">
        <v>4038</v>
      </c>
      <c r="WQ7" s="1107" t="s">
        <v>4039</v>
      </c>
      <c r="WR7" s="1107" t="s">
        <v>4040</v>
      </c>
      <c r="WS7" s="1107" t="s">
        <v>4040</v>
      </c>
      <c r="WT7" s="1107" t="s">
        <v>4041</v>
      </c>
      <c r="WU7" s="1107" t="s">
        <v>4042</v>
      </c>
      <c r="WV7" s="1107" t="s">
        <v>4043</v>
      </c>
      <c r="WW7" s="1107" t="s">
        <v>4044</v>
      </c>
      <c r="WX7" s="1107" t="s">
        <v>4044</v>
      </c>
      <c r="WY7" s="1107" t="s">
        <v>4045</v>
      </c>
      <c r="WZ7" s="1107" t="s">
        <v>4046</v>
      </c>
      <c r="XA7" s="1107" t="s">
        <v>4047</v>
      </c>
      <c r="XB7" s="1107" t="s">
        <v>4048</v>
      </c>
      <c r="XC7" s="1107" t="s">
        <v>4049</v>
      </c>
      <c r="XD7" s="1107" t="s">
        <v>4050</v>
      </c>
      <c r="XE7" s="1107" t="s">
        <v>4051</v>
      </c>
      <c r="XF7" s="1107" t="s">
        <v>4052</v>
      </c>
      <c r="XG7" s="1107" t="s">
        <v>4052</v>
      </c>
      <c r="XH7" s="1107" t="s">
        <v>3992</v>
      </c>
      <c r="XI7" s="1107" t="s">
        <v>4053</v>
      </c>
      <c r="XJ7" s="1107" t="s">
        <v>4054</v>
      </c>
      <c r="XK7" s="1107" t="s">
        <v>4055</v>
      </c>
      <c r="XL7" s="1107" t="s">
        <v>4056</v>
      </c>
      <c r="XM7" s="1107" t="s">
        <v>4057</v>
      </c>
      <c r="XN7" s="1107" t="s">
        <v>4057</v>
      </c>
      <c r="XO7" s="1107" t="s">
        <v>4058</v>
      </c>
      <c r="XP7" s="1107" t="s">
        <v>4059</v>
      </c>
      <c r="XQ7" s="1107" t="s">
        <v>4060</v>
      </c>
      <c r="XR7" s="1107" t="s">
        <v>4061</v>
      </c>
      <c r="XS7" s="1107" t="s">
        <v>4062</v>
      </c>
      <c r="XT7" s="1107" t="s">
        <v>4063</v>
      </c>
      <c r="XU7" s="1107" t="s">
        <v>4064</v>
      </c>
      <c r="XV7" s="1107" t="s">
        <v>4065</v>
      </c>
      <c r="XW7" s="1107" t="s">
        <v>4066</v>
      </c>
      <c r="XX7" s="1107" t="s">
        <v>4067</v>
      </c>
      <c r="XY7" s="1107" t="s">
        <v>4068</v>
      </c>
      <c r="XZ7" s="1107" t="s">
        <v>4069</v>
      </c>
      <c r="YA7" s="1107" t="s">
        <v>4070</v>
      </c>
      <c r="YB7" s="1107" t="s">
        <v>4070</v>
      </c>
      <c r="YC7" s="1107" t="s">
        <v>4071</v>
      </c>
      <c r="YD7" s="1107" t="s">
        <v>4072</v>
      </c>
      <c r="YE7" s="1107" t="s">
        <v>4073</v>
      </c>
      <c r="YF7" s="1107" t="s">
        <v>4074</v>
      </c>
      <c r="YG7" s="1107" t="s">
        <v>4075</v>
      </c>
      <c r="YH7" s="1107" t="s">
        <v>4076</v>
      </c>
      <c r="YI7" s="1107" t="s">
        <v>4077</v>
      </c>
      <c r="YJ7" s="1107" t="s">
        <v>4078</v>
      </c>
      <c r="YK7" s="1107" t="s">
        <v>4078</v>
      </c>
      <c r="YL7" s="1107" t="s">
        <v>4079</v>
      </c>
      <c r="YM7" s="1107" t="s">
        <v>4080</v>
      </c>
      <c r="YN7" s="1107" t="s">
        <v>4081</v>
      </c>
      <c r="YO7" s="1107" t="s">
        <v>4082</v>
      </c>
      <c r="YP7" s="1107" t="s">
        <v>4083</v>
      </c>
      <c r="YQ7" s="1107" t="s">
        <v>4084</v>
      </c>
      <c r="YR7" s="1107" t="s">
        <v>4085</v>
      </c>
      <c r="YS7" s="1107" t="s">
        <v>4086</v>
      </c>
      <c r="YT7" s="1107" t="s">
        <v>4087</v>
      </c>
      <c r="YU7" s="1107" t="s">
        <v>4088</v>
      </c>
      <c r="YV7" s="1107" t="s">
        <v>4089</v>
      </c>
      <c r="YW7" s="1107" t="s">
        <v>4090</v>
      </c>
      <c r="YX7" s="1107" t="s">
        <v>4090</v>
      </c>
      <c r="YY7" s="1107" t="s">
        <v>4091</v>
      </c>
      <c r="YZ7" s="1107" t="s">
        <v>4092</v>
      </c>
      <c r="ZA7" s="1107" t="s">
        <v>4093</v>
      </c>
      <c r="ZB7" s="1107" t="s">
        <v>4094</v>
      </c>
      <c r="ZC7" s="1107" t="s">
        <v>4095</v>
      </c>
      <c r="ZD7" s="1107" t="s">
        <v>4096</v>
      </c>
      <c r="ZE7" s="1107" t="s">
        <v>4097</v>
      </c>
      <c r="ZF7" s="1107" t="s">
        <v>4097</v>
      </c>
      <c r="ZG7" s="1107" t="s">
        <v>4098</v>
      </c>
      <c r="ZH7" s="1107" t="s">
        <v>4099</v>
      </c>
      <c r="ZI7" s="1107" t="s">
        <v>4100</v>
      </c>
      <c r="ZJ7" s="1107" t="s">
        <v>4100</v>
      </c>
      <c r="ZK7" s="1107" t="s">
        <v>4101</v>
      </c>
      <c r="ZL7" s="1107" t="s">
        <v>4102</v>
      </c>
      <c r="ZM7" s="1107" t="s">
        <v>4103</v>
      </c>
      <c r="ZN7" s="1107" t="s">
        <v>4104</v>
      </c>
      <c r="ZO7" s="1107" t="s">
        <v>4104</v>
      </c>
      <c r="ZP7" s="1107" t="s">
        <v>4105</v>
      </c>
      <c r="ZQ7" s="1107" t="s">
        <v>4106</v>
      </c>
      <c r="ZR7" s="1107" t="s">
        <v>4107</v>
      </c>
      <c r="ZS7" s="1107" t="s">
        <v>4108</v>
      </c>
      <c r="ZT7" s="1107" t="s">
        <v>4109</v>
      </c>
      <c r="ZU7" s="1107" t="s">
        <v>4110</v>
      </c>
      <c r="ZV7" s="1107" t="s">
        <v>4111</v>
      </c>
      <c r="ZW7" s="1107" t="s">
        <v>4112</v>
      </c>
      <c r="ZX7" s="1107" t="s">
        <v>4112</v>
      </c>
      <c r="ZY7" s="1107" t="s">
        <v>3992</v>
      </c>
      <c r="ZZ7" s="1107" t="s">
        <v>4113</v>
      </c>
      <c r="AAA7" s="1107" t="s">
        <v>4114</v>
      </c>
      <c r="AAB7" s="1107" t="s">
        <v>4115</v>
      </c>
      <c r="AAC7" s="1107" t="s">
        <v>4116</v>
      </c>
      <c r="AAD7" s="1107" t="s">
        <v>4117</v>
      </c>
      <c r="AAE7" s="1107" t="s">
        <v>4117</v>
      </c>
      <c r="AAF7" s="1107" t="s">
        <v>4118</v>
      </c>
      <c r="AAG7" s="1107" t="s">
        <v>4119</v>
      </c>
      <c r="AAH7" s="1107" t="s">
        <v>4120</v>
      </c>
      <c r="AAI7" s="1107" t="s">
        <v>4121</v>
      </c>
      <c r="AAJ7" s="1107" t="s">
        <v>4122</v>
      </c>
      <c r="AAK7" s="1107" t="s">
        <v>4123</v>
      </c>
      <c r="AAL7" s="1107" t="s">
        <v>4124</v>
      </c>
      <c r="AAM7" s="1107" t="s">
        <v>4125</v>
      </c>
      <c r="AAN7" s="1107" t="s">
        <v>4126</v>
      </c>
      <c r="AAO7" s="1107" t="s">
        <v>4127</v>
      </c>
      <c r="AAP7" s="1107" t="s">
        <v>4128</v>
      </c>
      <c r="AAQ7" s="1107" t="s">
        <v>4129</v>
      </c>
      <c r="AAR7" s="1107" t="s">
        <v>4130</v>
      </c>
      <c r="AAS7" s="1107" t="s">
        <v>4130</v>
      </c>
      <c r="AAT7" s="1107" t="s">
        <v>4131</v>
      </c>
      <c r="AAU7" s="1107" t="s">
        <v>4132</v>
      </c>
      <c r="AAV7" s="1107" t="s">
        <v>4133</v>
      </c>
      <c r="AAW7" s="1107" t="s">
        <v>4134</v>
      </c>
      <c r="AAX7" s="1107" t="s">
        <v>4135</v>
      </c>
      <c r="AAY7" s="1107" t="s">
        <v>4136</v>
      </c>
      <c r="AAZ7" s="1107" t="s">
        <v>4137</v>
      </c>
      <c r="ABA7" s="1107" t="s">
        <v>4138</v>
      </c>
      <c r="ABB7" s="1107" t="s">
        <v>4138</v>
      </c>
      <c r="ABC7" s="1107" t="s">
        <v>4139</v>
      </c>
      <c r="ABD7" s="1107" t="s">
        <v>4140</v>
      </c>
      <c r="ABE7" s="1107" t="s">
        <v>4141</v>
      </c>
      <c r="ABF7" s="1107" t="s">
        <v>4142</v>
      </c>
      <c r="ABG7" s="1107" t="s">
        <v>4143</v>
      </c>
      <c r="ABH7" s="1107" t="s">
        <v>4144</v>
      </c>
      <c r="ABI7" s="1107" t="s">
        <v>4145</v>
      </c>
      <c r="ABJ7" s="1107" t="s">
        <v>4146</v>
      </c>
      <c r="ABK7" s="1107" t="s">
        <v>4147</v>
      </c>
      <c r="ABL7" s="1107" t="s">
        <v>4148</v>
      </c>
      <c r="ABM7" s="1107" t="s">
        <v>4149</v>
      </c>
      <c r="ABN7" s="1107" t="s">
        <v>4150</v>
      </c>
      <c r="ABO7" s="1107" t="s">
        <v>4150</v>
      </c>
      <c r="ABP7" s="1107" t="s">
        <v>4151</v>
      </c>
      <c r="ABQ7" s="1107" t="s">
        <v>4152</v>
      </c>
      <c r="ABR7" s="1107" t="s">
        <v>4153</v>
      </c>
      <c r="ABS7" s="1107" t="s">
        <v>4154</v>
      </c>
      <c r="ABT7" s="1107" t="s">
        <v>4155</v>
      </c>
      <c r="ABU7" s="1107" t="s">
        <v>4156</v>
      </c>
      <c r="ABV7" s="1107" t="s">
        <v>4157</v>
      </c>
      <c r="ABW7" s="1107" t="s">
        <v>4157</v>
      </c>
      <c r="ABX7" s="1107" t="s">
        <v>4158</v>
      </c>
      <c r="ABY7" s="1107" t="s">
        <v>4159</v>
      </c>
      <c r="ABZ7" s="1107" t="s">
        <v>4160</v>
      </c>
      <c r="ACA7" s="1107" t="s">
        <v>4160</v>
      </c>
      <c r="ACB7" s="1107" t="s">
        <v>4161</v>
      </c>
      <c r="ACC7" s="1107" t="s">
        <v>4162</v>
      </c>
      <c r="ACD7" s="1107" t="s">
        <v>4163</v>
      </c>
      <c r="ACE7" s="1107" t="s">
        <v>4164</v>
      </c>
      <c r="ACF7" s="1107" t="s">
        <v>4165</v>
      </c>
      <c r="ACG7" s="1107" t="s">
        <v>512</v>
      </c>
      <c r="ACH7" s="1107" t="s">
        <v>4166</v>
      </c>
      <c r="ACI7" s="1107" t="s">
        <v>4168</v>
      </c>
      <c r="ACJ7" s="1107" t="s">
        <v>4169</v>
      </c>
      <c r="ACK7" s="1107" t="s">
        <v>4170</v>
      </c>
      <c r="ACL7" s="1107" t="s">
        <v>4171</v>
      </c>
      <c r="ACM7" s="1107" t="s">
        <v>4172</v>
      </c>
      <c r="ACN7" s="1107" t="s">
        <v>4173</v>
      </c>
      <c r="ACO7" s="1107" t="s">
        <v>4174</v>
      </c>
      <c r="ACP7" s="1107" t="s">
        <v>2019</v>
      </c>
      <c r="ACQ7" s="1107" t="s">
        <v>2020</v>
      </c>
      <c r="ACR7" s="1107" t="s">
        <v>2021</v>
      </c>
      <c r="ACS7" s="1107" t="s">
        <v>4175</v>
      </c>
      <c r="ACT7" s="1107" t="s">
        <v>391</v>
      </c>
      <c r="ACU7" s="1107" t="s">
        <v>4176</v>
      </c>
      <c r="ACV7" s="1107" t="s">
        <v>4177</v>
      </c>
      <c r="ACW7" s="1107" t="s">
        <v>262</v>
      </c>
      <c r="ACX7" s="1107" t="s">
        <v>2032</v>
      </c>
      <c r="ACY7" s="1107" t="s">
        <v>2033</v>
      </c>
      <c r="ACZ7" s="1107" t="s">
        <v>2034</v>
      </c>
      <c r="ADA7" s="1107" t="s">
        <v>2035</v>
      </c>
      <c r="ADB7" s="1107" t="s">
        <v>327</v>
      </c>
      <c r="ADC7" s="1107" t="s">
        <v>326</v>
      </c>
      <c r="ADD7" s="1107" t="s">
        <v>263</v>
      </c>
      <c r="ADE7" s="1107" t="s">
        <v>4178</v>
      </c>
      <c r="ADF7" s="1107" t="s">
        <v>4179</v>
      </c>
      <c r="ADG7" s="1107" t="s">
        <v>4180</v>
      </c>
      <c r="ADH7" s="1107" t="s">
        <v>4181</v>
      </c>
      <c r="ADI7" s="1107" t="s">
        <v>4182</v>
      </c>
      <c r="ADJ7" s="1107" t="s">
        <v>4183</v>
      </c>
      <c r="ADK7" s="1107" t="s">
        <v>4184</v>
      </c>
      <c r="ADL7" s="1107" t="s">
        <v>4185</v>
      </c>
      <c r="ADM7" s="1107" t="s">
        <v>4186</v>
      </c>
      <c r="ADN7" s="1107" t="s">
        <v>4187</v>
      </c>
      <c r="ADO7" s="1107" t="s">
        <v>4188</v>
      </c>
      <c r="ADP7" s="1107" t="s">
        <v>4189</v>
      </c>
      <c r="ADQ7" s="1107" t="s">
        <v>4190</v>
      </c>
      <c r="ADR7" s="1107" t="s">
        <v>4191</v>
      </c>
      <c r="ADS7" s="1107" t="s">
        <v>4192</v>
      </c>
      <c r="ADT7" s="1107" t="s">
        <v>4193</v>
      </c>
      <c r="ADU7" s="1107" t="s">
        <v>4194</v>
      </c>
      <c r="ADV7" s="1107" t="s">
        <v>4195</v>
      </c>
      <c r="ADW7" s="1107" t="s">
        <v>4196</v>
      </c>
      <c r="ADX7" s="1107" t="s">
        <v>4197</v>
      </c>
      <c r="ADY7" s="1107" t="s">
        <v>4198</v>
      </c>
      <c r="ADZ7" s="1107" t="s">
        <v>4199</v>
      </c>
      <c r="AEA7" s="1107" t="s">
        <v>4200</v>
      </c>
      <c r="AEB7" s="1107" t="s">
        <v>4201</v>
      </c>
      <c r="AEC7" s="1107" t="s">
        <v>4202</v>
      </c>
      <c r="AED7" s="1107" t="s">
        <v>4203</v>
      </c>
      <c r="AEE7" s="1107" t="s">
        <v>4204</v>
      </c>
      <c r="AEF7" s="1107" t="s">
        <v>4205</v>
      </c>
      <c r="AEG7" s="1107" t="s">
        <v>4206</v>
      </c>
      <c r="AEH7" s="1107" t="s">
        <v>4207</v>
      </c>
      <c r="AEI7" s="1107" t="s">
        <v>4208</v>
      </c>
      <c r="AEJ7" s="1107" t="s">
        <v>4209</v>
      </c>
      <c r="AEK7" s="1107" t="s">
        <v>4210</v>
      </c>
      <c r="AEL7" s="1107" t="s">
        <v>4211</v>
      </c>
      <c r="AEM7" s="1107" t="s">
        <v>4212</v>
      </c>
      <c r="AEN7" s="1107" t="s">
        <v>4213</v>
      </c>
      <c r="AEO7" s="1107" t="s">
        <v>4214</v>
      </c>
      <c r="AEP7" s="1107" t="s">
        <v>4215</v>
      </c>
      <c r="AEQ7" s="1107" t="s">
        <v>4216</v>
      </c>
      <c r="AER7" s="1107" t="s">
        <v>4217</v>
      </c>
      <c r="AES7" s="1107" t="s">
        <v>4218</v>
      </c>
      <c r="AET7" s="1107" t="s">
        <v>4219</v>
      </c>
      <c r="AEU7" s="1107" t="s">
        <v>4220</v>
      </c>
      <c r="AEV7" s="1107" t="s">
        <v>4221</v>
      </c>
      <c r="AEW7" s="1107" t="s">
        <v>4222</v>
      </c>
      <c r="AEX7" s="1107" t="s">
        <v>2307</v>
      </c>
      <c r="AEY7" s="1107" t="s">
        <v>2311</v>
      </c>
      <c r="AEZ7" s="1107" t="s">
        <v>2309</v>
      </c>
      <c r="AFA7" s="1107" t="s">
        <v>2310</v>
      </c>
      <c r="AFB7" s="1107" t="s">
        <v>2313</v>
      </c>
      <c r="AFC7" s="1107" t="s">
        <v>2312</v>
      </c>
      <c r="AFD7" s="1107" t="s">
        <v>2314</v>
      </c>
      <c r="AFE7" s="1107" t="s">
        <v>2032</v>
      </c>
      <c r="AFF7" s="1107" t="s">
        <v>2033</v>
      </c>
      <c r="AFG7" s="1107" t="s">
        <v>2034</v>
      </c>
      <c r="AFH7" s="1107" t="s">
        <v>2035</v>
      </c>
      <c r="AFI7" s="1107" t="s">
        <v>2315</v>
      </c>
      <c r="AFJ7" s="1107" t="s">
        <v>263</v>
      </c>
      <c r="AFK7" s="1107" t="s">
        <v>4178</v>
      </c>
      <c r="AFL7" s="1107" t="s">
        <v>4179</v>
      </c>
      <c r="AFM7" s="1107" t="s">
        <v>4180</v>
      </c>
      <c r="AFN7" s="1107" t="s">
        <v>4181</v>
      </c>
      <c r="AFO7" s="1107" t="s">
        <v>4182</v>
      </c>
      <c r="AFP7" s="1107" t="s">
        <v>4183</v>
      </c>
      <c r="AFQ7" s="1107" t="s">
        <v>4184</v>
      </c>
      <c r="AFR7" s="1107" t="s">
        <v>4185</v>
      </c>
      <c r="AFS7" s="1107" t="s">
        <v>4186</v>
      </c>
      <c r="AFT7" s="1107" t="s">
        <v>4187</v>
      </c>
      <c r="AFU7" s="1107" t="s">
        <v>4188</v>
      </c>
      <c r="AFV7" s="1107" t="s">
        <v>4189</v>
      </c>
      <c r="AFW7" s="1107" t="s">
        <v>4190</v>
      </c>
      <c r="AFX7" s="1107" t="s">
        <v>4191</v>
      </c>
      <c r="AFY7" s="1107" t="s">
        <v>4192</v>
      </c>
      <c r="AFZ7" s="1107" t="s">
        <v>4193</v>
      </c>
      <c r="AGA7" s="1107" t="s">
        <v>4194</v>
      </c>
      <c r="AGB7" s="1107" t="s">
        <v>4195</v>
      </c>
      <c r="AGC7" s="1107" t="s">
        <v>4196</v>
      </c>
      <c r="AGD7" s="1107" t="s">
        <v>4197</v>
      </c>
      <c r="AGE7" s="1107" t="s">
        <v>4198</v>
      </c>
      <c r="AGF7" s="1107" t="s">
        <v>4199</v>
      </c>
      <c r="AGG7" s="1107" t="s">
        <v>4200</v>
      </c>
      <c r="AGH7" s="1107" t="s">
        <v>4201</v>
      </c>
      <c r="AGI7" s="1107" t="s">
        <v>4202</v>
      </c>
      <c r="AGJ7" s="1107" t="s">
        <v>4203</v>
      </c>
      <c r="AGK7" s="1107" t="s">
        <v>4204</v>
      </c>
      <c r="AGL7" s="1107" t="s">
        <v>4205</v>
      </c>
      <c r="AGM7" s="1107" t="s">
        <v>4206</v>
      </c>
      <c r="AGN7" s="1107" t="s">
        <v>4207</v>
      </c>
      <c r="AGO7" s="1107" t="s">
        <v>4208</v>
      </c>
      <c r="AGP7" s="1107" t="s">
        <v>4209</v>
      </c>
      <c r="AGQ7" s="1107" t="s">
        <v>4210</v>
      </c>
      <c r="AGR7" s="1107" t="s">
        <v>4211</v>
      </c>
      <c r="AGS7" s="1107" t="s">
        <v>4212</v>
      </c>
      <c r="AGT7" s="1107" t="s">
        <v>4213</v>
      </c>
      <c r="AGU7" s="1107" t="s">
        <v>4214</v>
      </c>
      <c r="AGV7" s="1107" t="s">
        <v>4215</v>
      </c>
      <c r="AGW7" s="1107" t="s">
        <v>4216</v>
      </c>
      <c r="AGX7" s="1107" t="s">
        <v>4217</v>
      </c>
      <c r="AGY7" s="1107" t="s">
        <v>4218</v>
      </c>
      <c r="AGZ7" s="1107" t="s">
        <v>4219</v>
      </c>
      <c r="AHA7" s="1107" t="s">
        <v>4220</v>
      </c>
      <c r="AHB7" s="1107" t="s">
        <v>4221</v>
      </c>
      <c r="AHC7" s="1107" t="s">
        <v>4222</v>
      </c>
      <c r="AHD7" s="1107" t="s">
        <v>2161</v>
      </c>
      <c r="AHE7" s="1107" t="s">
        <v>2162</v>
      </c>
      <c r="AHF7" s="1107" t="s">
        <v>2149</v>
      </c>
      <c r="AHG7" s="1107" t="s">
        <v>2150</v>
      </c>
      <c r="AHH7" s="1107" t="s">
        <v>2156</v>
      </c>
      <c r="AHI7" s="1107" t="s">
        <v>2148</v>
      </c>
      <c r="AHJ7" s="1107" t="s">
        <v>2152</v>
      </c>
      <c r="AHK7" s="1107" t="s">
        <v>2153</v>
      </c>
      <c r="AHL7" s="1107" t="s">
        <v>2158</v>
      </c>
      <c r="AHM7" s="1107" t="s">
        <v>2155</v>
      </c>
      <c r="AHN7" s="1107" t="s">
        <v>2119</v>
      </c>
      <c r="AHO7" s="1107" t="s">
        <v>2120</v>
      </c>
      <c r="AHP7" s="1107" t="s">
        <v>2121</v>
      </c>
      <c r="AHQ7" s="1107" t="s">
        <v>2122</v>
      </c>
      <c r="AHR7" s="1107" t="s">
        <v>2114</v>
      </c>
      <c r="AHS7" s="1107" t="s">
        <v>2115</v>
      </c>
      <c r="AHT7" s="1107" t="s">
        <v>2116</v>
      </c>
      <c r="AHU7" s="1107" t="s">
        <v>4224</v>
      </c>
      <c r="AHV7" s="1107" t="s">
        <v>4225</v>
      </c>
      <c r="AHW7" s="1107" t="s">
        <v>4226</v>
      </c>
      <c r="AHX7" s="1107" t="s">
        <v>4228</v>
      </c>
      <c r="AHY7" s="1107" t="s">
        <v>4229</v>
      </c>
      <c r="AHZ7" s="1107" t="s">
        <v>4227</v>
      </c>
      <c r="AIA7" s="1107" t="s">
        <v>2489</v>
      </c>
      <c r="AIB7" s="1107" t="s">
        <v>2493</v>
      </c>
      <c r="AIC7" s="1107" t="s">
        <v>2486</v>
      </c>
      <c r="AID7" s="1107" t="s">
        <v>2491</v>
      </c>
      <c r="AIE7" s="1107" t="s">
        <v>2494</v>
      </c>
      <c r="AIF7" s="1107" t="s">
        <v>2495</v>
      </c>
      <c r="AIG7" s="1107" t="s">
        <v>2487</v>
      </c>
      <c r="AIH7" s="1107" t="s">
        <v>2492</v>
      </c>
      <c r="AII7" s="1107" t="s">
        <v>2518</v>
      </c>
      <c r="AIJ7" s="1107" t="s">
        <v>2488</v>
      </c>
      <c r="AIK7" s="1107" t="s">
        <v>3516</v>
      </c>
      <c r="AIL7" s="1107" t="s">
        <v>2608</v>
      </c>
      <c r="AIM7" s="1107" t="s">
        <v>4234</v>
      </c>
      <c r="AIN7" s="1107" t="s">
        <v>4235</v>
      </c>
      <c r="AIO7" s="1107" t="s">
        <v>2617</v>
      </c>
      <c r="AIP7" s="1107" t="s">
        <v>2618</v>
      </c>
      <c r="AIQ7" s="1107" t="s">
        <v>2619</v>
      </c>
      <c r="AIR7" s="1107" t="s">
        <v>2620</v>
      </c>
      <c r="AIS7" s="1107" t="s">
        <v>2621</v>
      </c>
      <c r="AIT7" s="1107" t="s">
        <v>3530</v>
      </c>
      <c r="AIU7" s="1107" t="s">
        <v>3516</v>
      </c>
      <c r="AIV7" s="1107" t="s">
        <v>2393</v>
      </c>
      <c r="AIW7" s="1107" t="s">
        <v>2392</v>
      </c>
      <c r="AIX7" s="1107" t="s">
        <v>2391</v>
      </c>
      <c r="AIY7" s="1107" t="s">
        <v>2652</v>
      </c>
      <c r="AIZ7" s="1107" t="s">
        <v>2513</v>
      </c>
      <c r="AJA7" s="1107" t="s">
        <v>2390</v>
      </c>
      <c r="AJB7" s="1107" t="s">
        <v>2385</v>
      </c>
      <c r="AJC7" s="1107" t="s">
        <v>2384</v>
      </c>
      <c r="AJD7" s="1107" t="s">
        <v>2383</v>
      </c>
      <c r="AJE7" s="1107" t="s">
        <v>2658</v>
      </c>
      <c r="AJF7" s="1107" t="s">
        <v>2659</v>
      </c>
      <c r="AJG7" s="1107" t="s">
        <v>2382</v>
      </c>
      <c r="AJH7" s="1107" t="s">
        <v>2381</v>
      </c>
      <c r="AJI7" s="1107" t="s">
        <v>2380</v>
      </c>
      <c r="AJJ7" s="1107" t="s">
        <v>2379</v>
      </c>
      <c r="AJK7" s="1107" t="s">
        <v>2371</v>
      </c>
      <c r="AJL7" s="1107" t="s">
        <v>2375</v>
      </c>
      <c r="AJM7" s="1107" t="s">
        <v>2354</v>
      </c>
      <c r="AJN7" s="1107" t="s">
        <v>2353</v>
      </c>
      <c r="AJO7" s="1107" t="s">
        <v>2352</v>
      </c>
      <c r="AJP7" s="1107" t="s">
        <v>2351</v>
      </c>
      <c r="AJQ7" s="1107" t="s">
        <v>2371</v>
      </c>
      <c r="AJR7" s="1107" t="s">
        <v>2370</v>
      </c>
      <c r="AJS7" s="1107" t="s">
        <v>4238</v>
      </c>
      <c r="AJT7" s="1107" t="s">
        <v>2464</v>
      </c>
      <c r="AJU7" s="1107" t="s">
        <v>2773</v>
      </c>
      <c r="AJV7" s="1107" t="s">
        <v>2762</v>
      </c>
      <c r="AJW7" s="1107" t="s">
        <v>2390</v>
      </c>
      <c r="AJX7" s="1107" t="s">
        <v>2411</v>
      </c>
      <c r="AJY7" s="1107" t="s">
        <v>2384</v>
      </c>
      <c r="AJZ7" s="1107" t="s">
        <v>2383</v>
      </c>
      <c r="AKA7" s="1107" t="s">
        <v>2410</v>
      </c>
      <c r="AKB7" s="1107" t="s">
        <v>2659</v>
      </c>
      <c r="AKC7" s="1107" t="s">
        <v>2409</v>
      </c>
      <c r="AKD7" s="1107" t="s">
        <v>2382</v>
      </c>
      <c r="AKE7" s="1107" t="s">
        <v>2381</v>
      </c>
      <c r="AKF7" s="1107" t="s">
        <v>2380</v>
      </c>
      <c r="AKG7" s="1107" t="s">
        <v>2379</v>
      </c>
      <c r="AKH7" s="1107" t="s">
        <v>2402</v>
      </c>
      <c r="AKI7" s="1107" t="s">
        <v>2354</v>
      </c>
      <c r="AKJ7" s="1107" t="s">
        <v>2353</v>
      </c>
      <c r="AKK7" s="1107" t="s">
        <v>2352</v>
      </c>
      <c r="AKL7" s="1107" t="s">
        <v>2351</v>
      </c>
      <c r="AKM7" s="1107" t="s">
        <v>2464</v>
      </c>
      <c r="AKN7" s="1107" t="s">
        <v>2773</v>
      </c>
      <c r="AKO7" s="1107" t="s">
        <v>2762</v>
      </c>
      <c r="AKP7" s="1107" t="s">
        <v>4241</v>
      </c>
      <c r="AKQ7" s="1107" t="s">
        <v>4242</v>
      </c>
      <c r="AKR7" s="1107" t="s">
        <v>4243</v>
      </c>
      <c r="AKS7" s="1107" t="s">
        <v>4244</v>
      </c>
      <c r="AKT7" s="1107" t="s">
        <v>4245</v>
      </c>
      <c r="AKU7" s="1107" t="s">
        <v>4246</v>
      </c>
      <c r="AKV7" s="1107" t="s">
        <v>4247</v>
      </c>
      <c r="AKW7" s="1107" t="s">
        <v>4248</v>
      </c>
      <c r="AKX7" s="1107" t="s">
        <v>4249</v>
      </c>
      <c r="AKY7" s="1107" t="s">
        <v>4250</v>
      </c>
      <c r="AKZ7" s="1107" t="s">
        <v>4251</v>
      </c>
      <c r="ALA7" s="1107" t="s">
        <v>4252</v>
      </c>
      <c r="ALB7" s="1107" t="s">
        <v>4253</v>
      </c>
      <c r="ALC7" s="1107" t="s">
        <v>4254</v>
      </c>
      <c r="ALD7" s="1107" t="s">
        <v>4255</v>
      </c>
      <c r="ALE7" s="1107" t="s">
        <v>4256</v>
      </c>
      <c r="ALF7" s="1107" t="s">
        <v>4257</v>
      </c>
      <c r="ALG7" s="1107" t="s">
        <v>4258</v>
      </c>
      <c r="ALH7" s="1107" t="s">
        <v>4272</v>
      </c>
      <c r="ALI7" s="1107" t="s">
        <v>4271</v>
      </c>
      <c r="ALJ7" s="1107" t="s">
        <v>4270</v>
      </c>
      <c r="ALK7" s="1107" t="s">
        <v>4269</v>
      </c>
      <c r="ALL7" s="1107" t="s">
        <v>4259</v>
      </c>
      <c r="ALM7" s="1107" t="s">
        <v>4260</v>
      </c>
      <c r="ALN7" s="1107" t="s">
        <v>4261</v>
      </c>
      <c r="ALO7" s="1107" t="s">
        <v>4262</v>
      </c>
      <c r="ALP7" s="1107" t="s">
        <v>4263</v>
      </c>
      <c r="ALQ7" s="1107" t="s">
        <v>4264</v>
      </c>
      <c r="ALR7" s="1107" t="s">
        <v>4265</v>
      </c>
      <c r="ALS7" s="1107" t="s">
        <v>4266</v>
      </c>
      <c r="ALT7" s="1107" t="s">
        <v>4267</v>
      </c>
      <c r="ALU7" s="1107" t="s">
        <v>4268</v>
      </c>
      <c r="ALV7" s="1107" t="s">
        <v>4273</v>
      </c>
      <c r="ALW7" s="1107" t="s">
        <v>4274</v>
      </c>
      <c r="ALX7" s="1107" t="s">
        <v>4275</v>
      </c>
      <c r="ALY7" s="1107" t="s">
        <v>4276</v>
      </c>
      <c r="ALZ7" s="1107" t="s">
        <v>4277</v>
      </c>
      <c r="AMA7" s="1107" t="s">
        <v>4278</v>
      </c>
      <c r="AMB7" s="1107" t="s">
        <v>4279</v>
      </c>
      <c r="AMC7" s="1107" t="s">
        <v>4280</v>
      </c>
      <c r="AMD7" s="1107" t="s">
        <v>4281</v>
      </c>
      <c r="AME7" s="1107" t="s">
        <v>4282</v>
      </c>
      <c r="AMF7" s="1107" t="s">
        <v>4283</v>
      </c>
      <c r="AMG7" s="1107" t="s">
        <v>4284</v>
      </c>
      <c r="AMH7" s="1107" t="s">
        <v>4285</v>
      </c>
      <c r="AMI7" s="1107" t="s">
        <v>4286</v>
      </c>
      <c r="AMJ7" s="1107" t="s">
        <v>4287</v>
      </c>
      <c r="AMK7" s="1107" t="s">
        <v>4288</v>
      </c>
      <c r="AML7" s="1107" t="s">
        <v>4289</v>
      </c>
      <c r="AMM7" s="1107" t="s">
        <v>4290</v>
      </c>
      <c r="AMN7" s="1107" t="s">
        <v>4291</v>
      </c>
      <c r="AMO7" s="1107" t="s">
        <v>4292</v>
      </c>
      <c r="AMP7" s="1107" t="s">
        <v>4293</v>
      </c>
      <c r="AMQ7" s="1107" t="s">
        <v>4294</v>
      </c>
      <c r="AMR7" s="1107" t="s">
        <v>4295</v>
      </c>
      <c r="AMS7" s="1107" t="s">
        <v>4296</v>
      </c>
      <c r="AMT7" s="1107" t="s">
        <v>4297</v>
      </c>
      <c r="AMU7" s="1107" t="s">
        <v>4298</v>
      </c>
      <c r="AMV7" s="1107" t="s">
        <v>4299</v>
      </c>
      <c r="AMW7" s="1107" t="s">
        <v>4300</v>
      </c>
      <c r="AMX7" s="1107" t="s">
        <v>4301</v>
      </c>
      <c r="AMY7" s="1107" t="s">
        <v>4302</v>
      </c>
      <c r="AMZ7" s="1107" t="s">
        <v>4303</v>
      </c>
      <c r="ANA7" s="1107" t="s">
        <v>4304</v>
      </c>
      <c r="ANB7" s="1107" t="s">
        <v>4305</v>
      </c>
      <c r="ANC7" s="1107" t="s">
        <v>4306</v>
      </c>
      <c r="AND7" s="1107" t="s">
        <v>4307</v>
      </c>
      <c r="ANE7" s="1107" t="s">
        <v>4308</v>
      </c>
      <c r="ANF7" s="1107" t="s">
        <v>4309</v>
      </c>
      <c r="ANG7" s="1107" t="s">
        <v>4310</v>
      </c>
      <c r="ANH7" s="1107" t="s">
        <v>4311</v>
      </c>
      <c r="ANI7" s="1107" t="s">
        <v>4312</v>
      </c>
      <c r="ANJ7" s="1107" t="s">
        <v>4313</v>
      </c>
      <c r="ANK7" s="1107" t="s">
        <v>4314</v>
      </c>
      <c r="ANL7" s="1107" t="s">
        <v>4315</v>
      </c>
      <c r="ANM7" s="1107" t="s">
        <v>4316</v>
      </c>
      <c r="ANN7" s="1107" t="s">
        <v>4317</v>
      </c>
      <c r="ANO7" s="1107" t="s">
        <v>4318</v>
      </c>
      <c r="ANP7" s="1107" t="s">
        <v>4319</v>
      </c>
      <c r="ANQ7" s="1107" t="s">
        <v>4320</v>
      </c>
      <c r="ANR7" s="1107" t="s">
        <v>4321</v>
      </c>
      <c r="ANS7" s="1107" t="s">
        <v>4322</v>
      </c>
      <c r="ANT7" s="1107" t="s">
        <v>4323</v>
      </c>
      <c r="ANU7" s="1107" t="s">
        <v>4324</v>
      </c>
      <c r="ANV7" s="1107" t="s">
        <v>4325</v>
      </c>
      <c r="ANW7" s="1107" t="s">
        <v>4326</v>
      </c>
      <c r="ANX7" s="1107" t="s">
        <v>4327</v>
      </c>
      <c r="ANY7" s="1107" t="s">
        <v>4328</v>
      </c>
      <c r="ANZ7" s="1107" t="s">
        <v>4329</v>
      </c>
      <c r="AOA7" s="1107" t="s">
        <v>4330</v>
      </c>
      <c r="AOB7" s="1107" t="s">
        <v>4331</v>
      </c>
      <c r="AOC7" s="1107" t="s">
        <v>4332</v>
      </c>
      <c r="AOD7" s="1107" t="s">
        <v>4333</v>
      </c>
      <c r="AOE7" s="1107" t="s">
        <v>4334</v>
      </c>
      <c r="AOF7" s="1107" t="s">
        <v>4335</v>
      </c>
      <c r="AOG7" s="1107" t="s">
        <v>4336</v>
      </c>
      <c r="AOH7" s="1107" t="s">
        <v>4337</v>
      </c>
      <c r="AOI7" s="1107" t="s">
        <v>4338</v>
      </c>
      <c r="AOJ7" s="1107" t="s">
        <v>4339</v>
      </c>
      <c r="AOK7" s="1107" t="s">
        <v>4340</v>
      </c>
      <c r="AOL7" s="1107" t="s">
        <v>4341</v>
      </c>
      <c r="AOM7" s="1107" t="s">
        <v>4342</v>
      </c>
      <c r="AON7" s="1107" t="s">
        <v>4343</v>
      </c>
      <c r="AOO7" s="1107" t="s">
        <v>4344</v>
      </c>
      <c r="AOP7" s="1107" t="s">
        <v>4345</v>
      </c>
      <c r="AOQ7" s="1107" t="s">
        <v>4346</v>
      </c>
      <c r="AOR7" s="1107" t="s">
        <v>4347</v>
      </c>
      <c r="AOS7" s="1107" t="s">
        <v>4348</v>
      </c>
      <c r="AOT7" s="1107" t="s">
        <v>4349</v>
      </c>
      <c r="AOU7" s="1107" t="s">
        <v>4350</v>
      </c>
      <c r="AOV7" s="1107" t="s">
        <v>4351</v>
      </c>
      <c r="AOW7" s="1107" t="s">
        <v>4352</v>
      </c>
      <c r="AOX7" s="1107" t="s">
        <v>4353</v>
      </c>
      <c r="AOY7" s="1107" t="s">
        <v>4354</v>
      </c>
      <c r="AOZ7" s="1107" t="s">
        <v>4355</v>
      </c>
      <c r="APA7" s="1107" t="s">
        <v>4356</v>
      </c>
      <c r="APB7" s="1107" t="s">
        <v>4357</v>
      </c>
      <c r="APC7" s="1107" t="s">
        <v>4358</v>
      </c>
      <c r="APD7" s="1107" t="s">
        <v>4359</v>
      </c>
      <c r="APE7" s="1107" t="s">
        <v>4360</v>
      </c>
      <c r="APF7" s="1107" t="s">
        <v>4373</v>
      </c>
      <c r="APG7" s="1107" t="s">
        <v>4361</v>
      </c>
      <c r="APH7" s="1107" t="s">
        <v>4362</v>
      </c>
      <c r="API7" s="1107" t="s">
        <v>4371</v>
      </c>
      <c r="APJ7" s="1107" t="s">
        <v>4372</v>
      </c>
      <c r="APK7" s="1107" t="s">
        <v>4363</v>
      </c>
      <c r="APL7" s="1107" t="s">
        <v>4364</v>
      </c>
      <c r="APM7" s="1107" t="s">
        <v>4365</v>
      </c>
      <c r="APN7" s="1107" t="s">
        <v>4366</v>
      </c>
      <c r="APO7" s="1107" t="s">
        <v>4367</v>
      </c>
      <c r="APP7" s="1107" t="s">
        <v>4368</v>
      </c>
      <c r="APQ7" s="1107" t="s">
        <v>4369</v>
      </c>
      <c r="APR7" s="1107" t="s">
        <v>4370</v>
      </c>
      <c r="APS7" s="1107" t="s">
        <v>4374</v>
      </c>
      <c r="APT7" s="1107" t="s">
        <v>4375</v>
      </c>
      <c r="APU7" s="1107" t="s">
        <v>4376</v>
      </c>
      <c r="APV7" s="1107" t="s">
        <v>4377</v>
      </c>
      <c r="APW7" s="1107" t="s">
        <v>4378</v>
      </c>
      <c r="APX7" s="1107" t="s">
        <v>4379</v>
      </c>
      <c r="APY7" s="1107" t="s">
        <v>4380</v>
      </c>
      <c r="APZ7" s="1107" t="s">
        <v>4381</v>
      </c>
      <c r="AQA7" s="1107" t="s">
        <v>4382</v>
      </c>
      <c r="AQB7" s="1107" t="s">
        <v>4383</v>
      </c>
      <c r="AQC7" s="1107" t="s">
        <v>4384</v>
      </c>
      <c r="AQD7" s="1107" t="s">
        <v>4385</v>
      </c>
      <c r="AQE7" s="1107" t="s">
        <v>4386</v>
      </c>
      <c r="AQF7" s="1107" t="s">
        <v>4387</v>
      </c>
      <c r="AQG7" s="1107" t="s">
        <v>4388</v>
      </c>
      <c r="AQH7" s="1107" t="s">
        <v>4389</v>
      </c>
      <c r="AQI7" s="1107" t="s">
        <v>4390</v>
      </c>
      <c r="AQJ7" s="1107" t="s">
        <v>4391</v>
      </c>
      <c r="AQK7" s="1107" t="s">
        <v>4392</v>
      </c>
      <c r="AQL7" s="1107" t="s">
        <v>4393</v>
      </c>
      <c r="AQM7" s="1107" t="s">
        <v>4394</v>
      </c>
      <c r="AQN7" s="1107" t="s">
        <v>4395</v>
      </c>
      <c r="AQO7" s="1107" t="s">
        <v>4396</v>
      </c>
      <c r="AQP7" s="1107" t="s">
        <v>4397</v>
      </c>
      <c r="AQQ7" s="1107" t="s">
        <v>4398</v>
      </c>
      <c r="AQR7" s="1107" t="s">
        <v>4399</v>
      </c>
      <c r="AQS7" s="1107" t="s">
        <v>4400</v>
      </c>
      <c r="AQT7" s="1107" t="s">
        <v>4401</v>
      </c>
      <c r="AQU7" s="1107" t="s">
        <v>4402</v>
      </c>
      <c r="AQV7" s="1107" t="s">
        <v>4403</v>
      </c>
      <c r="AQW7" s="1107" t="s">
        <v>4404</v>
      </c>
      <c r="AQX7" s="1107" t="s">
        <v>4405</v>
      </c>
      <c r="AQY7" s="1107" t="s">
        <v>4406</v>
      </c>
      <c r="AQZ7" s="1107" t="s">
        <v>4407</v>
      </c>
      <c r="ARA7" s="1107" t="s">
        <v>4408</v>
      </c>
      <c r="ARB7" s="1107" t="s">
        <v>4409</v>
      </c>
      <c r="ARC7" s="1107" t="s">
        <v>4410</v>
      </c>
      <c r="ARD7" s="1107" t="s">
        <v>4411</v>
      </c>
      <c r="ARE7" s="1107" t="s">
        <v>4412</v>
      </c>
      <c r="ARF7" s="1107" t="s">
        <v>4413</v>
      </c>
      <c r="ARG7" s="1107" t="s">
        <v>4414</v>
      </c>
      <c r="ARH7" s="1107" t="s">
        <v>4415</v>
      </c>
      <c r="ARI7" s="1107" t="s">
        <v>4416</v>
      </c>
      <c r="ARJ7" s="1107" t="s">
        <v>4417</v>
      </c>
      <c r="ARK7" s="1107" t="s">
        <v>4418</v>
      </c>
      <c r="ARL7" s="1107" t="s">
        <v>4419</v>
      </c>
      <c r="ARM7" s="1107" t="s">
        <v>4420</v>
      </c>
      <c r="ARN7" s="1107" t="s">
        <v>4421</v>
      </c>
      <c r="ARO7" s="1107" t="s">
        <v>4422</v>
      </c>
      <c r="ARP7" s="1107" t="s">
        <v>4423</v>
      </c>
      <c r="ARQ7" s="1107" t="s">
        <v>4424</v>
      </c>
      <c r="ARR7" s="1107" t="s">
        <v>4425</v>
      </c>
      <c r="ARS7" s="1107" t="s">
        <v>4426</v>
      </c>
      <c r="ART7" s="1107" t="s">
        <v>4427</v>
      </c>
      <c r="ARU7" s="1107" t="s">
        <v>4428</v>
      </c>
      <c r="ARV7" s="1107" t="s">
        <v>4429</v>
      </c>
      <c r="ARW7" s="1107" t="s">
        <v>4430</v>
      </c>
      <c r="ARX7" s="1107" t="s">
        <v>4431</v>
      </c>
      <c r="ARY7" s="1107" t="s">
        <v>4432</v>
      </c>
      <c r="ARZ7" s="1107" t="s">
        <v>4433</v>
      </c>
      <c r="ASA7" s="1107" t="s">
        <v>4434</v>
      </c>
      <c r="ASB7" s="1107" t="s">
        <v>4435</v>
      </c>
      <c r="ASC7" s="1107" t="s">
        <v>4436</v>
      </c>
      <c r="ASD7" s="1107" t="s">
        <v>4437</v>
      </c>
      <c r="ASE7" s="1107" t="s">
        <v>4438</v>
      </c>
      <c r="ASF7" s="1107" t="s">
        <v>4439</v>
      </c>
      <c r="ASG7" s="1107" t="s">
        <v>4440</v>
      </c>
      <c r="ASH7" s="1107" t="s">
        <v>4441</v>
      </c>
      <c r="ASI7" s="1107" t="s">
        <v>4442</v>
      </c>
      <c r="ASJ7" s="1107" t="s">
        <v>4443</v>
      </c>
      <c r="ASK7" s="1107" t="s">
        <v>4444</v>
      </c>
      <c r="ASL7" s="1107" t="s">
        <v>4445</v>
      </c>
      <c r="ASM7" s="1107" t="s">
        <v>4446</v>
      </c>
      <c r="ASN7" s="1107" t="s">
        <v>4447</v>
      </c>
      <c r="ASO7" s="1107" t="s">
        <v>4477</v>
      </c>
      <c r="ASP7" s="1107" t="s">
        <v>4494</v>
      </c>
      <c r="ASQ7" s="1107" t="s">
        <v>573</v>
      </c>
      <c r="ASR7" s="1107" t="s">
        <v>4448</v>
      </c>
      <c r="ASS7" s="1107" t="s">
        <v>4449</v>
      </c>
      <c r="AST7" s="1107" t="s">
        <v>4450</v>
      </c>
      <c r="ASU7" s="1107" t="s">
        <v>4451</v>
      </c>
      <c r="ASV7" s="1107" t="s">
        <v>4452</v>
      </c>
      <c r="ASW7" s="1107" t="s">
        <v>4453</v>
      </c>
      <c r="ASX7" s="1107" t="s">
        <v>4454</v>
      </c>
      <c r="ASY7" s="1107" t="s">
        <v>4455</v>
      </c>
      <c r="ASZ7" s="1107" t="s">
        <v>4456</v>
      </c>
      <c r="ATA7" s="1107" t="s">
        <v>4457</v>
      </c>
      <c r="ATB7" s="1107" t="s">
        <v>4458</v>
      </c>
      <c r="ATC7" s="1107" t="s">
        <v>4459</v>
      </c>
      <c r="ATD7" s="1107" t="s">
        <v>4460</v>
      </c>
      <c r="ATE7" s="1107" t="s">
        <v>4461</v>
      </c>
      <c r="ATF7" s="1107" t="s">
        <v>4478</v>
      </c>
      <c r="ATG7" s="1107" t="s">
        <v>4495</v>
      </c>
      <c r="ATH7" s="1107" t="s">
        <v>4462</v>
      </c>
      <c r="ATI7" s="1107" t="s">
        <v>4463</v>
      </c>
      <c r="ATJ7" s="1107" t="s">
        <v>4464</v>
      </c>
      <c r="ATK7" s="1107" t="s">
        <v>4465</v>
      </c>
      <c r="ATL7" s="1107" t="s">
        <v>4466</v>
      </c>
      <c r="ATM7" s="1107" t="s">
        <v>4467</v>
      </c>
      <c r="ATN7" s="1107" t="s">
        <v>4468</v>
      </c>
      <c r="ATO7" s="1107" t="s">
        <v>4469</v>
      </c>
      <c r="ATP7" s="1107" t="s">
        <v>4470</v>
      </c>
      <c r="ATQ7" s="1107" t="s">
        <v>4471</v>
      </c>
      <c r="ATR7" s="1107" t="s">
        <v>4472</v>
      </c>
      <c r="ATS7" s="1107" t="s">
        <v>4473</v>
      </c>
      <c r="ATT7" s="1107" t="s">
        <v>4474</v>
      </c>
      <c r="ATU7" s="1107" t="s">
        <v>4475</v>
      </c>
      <c r="ATV7" s="1107" t="s">
        <v>4476</v>
      </c>
      <c r="ATW7" s="1107" t="s">
        <v>4497</v>
      </c>
      <c r="ATX7" s="1107" t="s">
        <v>4496</v>
      </c>
      <c r="ATY7" s="1107" t="s">
        <v>241</v>
      </c>
      <c r="ATZ7" s="1107" t="s">
        <v>4479</v>
      </c>
      <c r="AUA7" s="1107" t="s">
        <v>4480</v>
      </c>
      <c r="AUB7" s="1107" t="s">
        <v>4481</v>
      </c>
      <c r="AUC7" s="1107" t="s">
        <v>4482</v>
      </c>
      <c r="AUD7" s="1107" t="s">
        <v>4483</v>
      </c>
      <c r="AUE7" s="1107" t="s">
        <v>4484</v>
      </c>
      <c r="AUF7" s="1107" t="s">
        <v>4485</v>
      </c>
      <c r="AUG7" s="1107" t="s">
        <v>4486</v>
      </c>
      <c r="AUH7" s="1107" t="s">
        <v>4487</v>
      </c>
      <c r="AUI7" s="1107" t="s">
        <v>4488</v>
      </c>
      <c r="AUJ7" s="1107" t="s">
        <v>4489</v>
      </c>
      <c r="AUK7" s="1107" t="s">
        <v>4490</v>
      </c>
      <c r="AUL7" s="1107" t="s">
        <v>4491</v>
      </c>
      <c r="AUM7" s="1107" t="s">
        <v>4492</v>
      </c>
      <c r="AUN7" s="1107" t="s">
        <v>4498</v>
      </c>
      <c r="AUO7" s="1107" t="s">
        <v>4499</v>
      </c>
      <c r="AUP7" s="1107" t="s">
        <v>4493</v>
      </c>
      <c r="AUQ7" s="1107" t="s">
        <v>4505</v>
      </c>
      <c r="AUR7" s="1107" t="s">
        <v>4504</v>
      </c>
      <c r="AUS7" s="1107" t="s">
        <v>4503</v>
      </c>
      <c r="AUT7" s="1107" t="s">
        <v>4502</v>
      </c>
      <c r="AUU7" s="1107" t="s">
        <v>4501</v>
      </c>
      <c r="AUV7" s="1107" t="s">
        <v>4500</v>
      </c>
      <c r="AUW7" s="1107" t="s">
        <v>4506</v>
      </c>
      <c r="AUX7" s="1107" t="s">
        <v>4507</v>
      </c>
      <c r="AUY7" s="1107" t="s">
        <v>4508</v>
      </c>
      <c r="AUZ7" s="1107" t="s">
        <v>4509</v>
      </c>
      <c r="AVA7" s="1107" t="s">
        <v>4510</v>
      </c>
      <c r="AVB7" s="1107" t="s">
        <v>4511</v>
      </c>
      <c r="AVC7" s="1107" t="s">
        <v>4512</v>
      </c>
      <c r="AVD7" s="1107" t="s">
        <v>4513</v>
      </c>
      <c r="AVE7" s="1107" t="s">
        <v>4515</v>
      </c>
      <c r="AVF7" s="1107" t="s">
        <v>4516</v>
      </c>
      <c r="AVG7" s="1107" t="s">
        <v>4517</v>
      </c>
      <c r="AVH7" s="1107" t="s">
        <v>4518</v>
      </c>
      <c r="AVI7" s="1107" t="s">
        <v>4519</v>
      </c>
      <c r="AVJ7" s="1107" t="s">
        <v>4520</v>
      </c>
      <c r="AVK7" s="1107" t="s">
        <v>4521</v>
      </c>
      <c r="AVL7" s="1107" t="s">
        <v>4522</v>
      </c>
      <c r="AVM7" s="1107" t="s">
        <v>4523</v>
      </c>
      <c r="AVN7" s="1107" t="s">
        <v>4524</v>
      </c>
      <c r="AVO7" s="1107" t="s">
        <v>4525</v>
      </c>
      <c r="AVP7" s="1107" t="s">
        <v>4526</v>
      </c>
      <c r="AVQ7" s="1107" t="s">
        <v>4527</v>
      </c>
      <c r="AVR7" s="1107" t="s">
        <v>4528</v>
      </c>
      <c r="AVS7" s="1107" t="s">
        <v>4529</v>
      </c>
      <c r="AVT7" s="1107" t="s">
        <v>4530</v>
      </c>
      <c r="AVU7" s="1107" t="s">
        <v>4531</v>
      </c>
      <c r="AVV7" s="1107" t="s">
        <v>4532</v>
      </c>
      <c r="AVW7" s="1107" t="s">
        <v>4533</v>
      </c>
      <c r="AVX7" s="1107" t="s">
        <v>4534</v>
      </c>
      <c r="AVY7" s="1107" t="s">
        <v>4535</v>
      </c>
      <c r="AVZ7" s="1107" t="s">
        <v>4536</v>
      </c>
      <c r="AWA7" s="1107" t="s">
        <v>4537</v>
      </c>
      <c r="AWB7" s="1107" t="s">
        <v>4538</v>
      </c>
      <c r="AWC7" s="1107" t="s">
        <v>4539</v>
      </c>
      <c r="AWD7" s="1107" t="s">
        <v>4540</v>
      </c>
      <c r="AWE7" s="1107" t="s">
        <v>4541</v>
      </c>
      <c r="AWF7" s="1107" t="s">
        <v>4542</v>
      </c>
      <c r="AWG7" s="1107" t="s">
        <v>4543</v>
      </c>
      <c r="AWH7" s="1107" t="s">
        <v>4544</v>
      </c>
      <c r="AWI7" s="1107" t="s">
        <v>4545</v>
      </c>
      <c r="AWJ7" s="1107" t="s">
        <v>4546</v>
      </c>
      <c r="AWK7" s="1107" t="s">
        <v>4547</v>
      </c>
      <c r="AWL7" s="1107" t="s">
        <v>4548</v>
      </c>
      <c r="AWM7" s="1107" t="s">
        <v>4549</v>
      </c>
      <c r="AWN7" s="1107" t="s">
        <v>4550</v>
      </c>
      <c r="AWO7" s="1107" t="s">
        <v>4551</v>
      </c>
      <c r="AWP7" s="1107" t="s">
        <v>3219</v>
      </c>
      <c r="AWQ7" s="1107" t="s">
        <v>3398</v>
      </c>
      <c r="AWR7" s="1107" t="s">
        <v>3399</v>
      </c>
      <c r="AWS7" s="1107" t="s">
        <v>2660</v>
      </c>
      <c r="AWT7" s="1107" t="s">
        <v>2667</v>
      </c>
      <c r="AWU7" s="1107" t="s">
        <v>4552</v>
      </c>
      <c r="AWV7" s="1107" t="s">
        <v>4553</v>
      </c>
      <c r="AWW7" s="1107" t="s">
        <v>4554</v>
      </c>
      <c r="AWX7" s="1107" t="s">
        <v>4555</v>
      </c>
      <c r="AWY7" s="1107" t="s">
        <v>4556</v>
      </c>
      <c r="AWZ7" s="1107" t="s">
        <v>4557</v>
      </c>
      <c r="AXA7" s="1107" t="s">
        <v>4558</v>
      </c>
      <c r="AXB7" s="1107" t="s">
        <v>4559</v>
      </c>
      <c r="AXC7" s="1107" t="s">
        <v>4560</v>
      </c>
      <c r="AXD7" s="1107" t="s">
        <v>4561</v>
      </c>
      <c r="AXE7" s="1107" t="s">
        <v>4562</v>
      </c>
      <c r="AXF7" s="1107" t="s">
        <v>4563</v>
      </c>
      <c r="AXG7" s="1107" t="s">
        <v>4564</v>
      </c>
      <c r="AXH7" s="1107" t="s">
        <v>4565</v>
      </c>
      <c r="AXI7" s="1107" t="s">
        <v>4566</v>
      </c>
      <c r="AXJ7" s="1107" t="s">
        <v>4567</v>
      </c>
      <c r="AXK7" s="1107" t="s">
        <v>4568</v>
      </c>
      <c r="AXL7" s="1107" t="s">
        <v>4569</v>
      </c>
      <c r="AXM7" s="1107" t="s">
        <v>4570</v>
      </c>
      <c r="AXN7" s="1107" t="s">
        <v>4571</v>
      </c>
      <c r="AXO7" s="1107" t="s">
        <v>3219</v>
      </c>
      <c r="AXP7" s="1107" t="s">
        <v>3245</v>
      </c>
      <c r="AXQ7" s="1107" t="s">
        <v>3252</v>
      </c>
      <c r="AXR7" s="1107" t="s">
        <v>2660</v>
      </c>
      <c r="AXS7" s="1107" t="s">
        <v>2667</v>
      </c>
      <c r="AXT7" s="1107" t="s">
        <v>4552</v>
      </c>
      <c r="AXU7" s="1107" t="s">
        <v>4553</v>
      </c>
      <c r="AXV7" s="1107" t="s">
        <v>4554</v>
      </c>
      <c r="AXW7" s="1107" t="s">
        <v>4555</v>
      </c>
      <c r="AXX7" s="1107" t="s">
        <v>4556</v>
      </c>
      <c r="AXY7" s="1107" t="s">
        <v>4557</v>
      </c>
      <c r="AXZ7" s="1107" t="s">
        <v>4558</v>
      </c>
      <c r="AYA7" s="1107" t="s">
        <v>4559</v>
      </c>
      <c r="AYB7" s="1107" t="s">
        <v>4560</v>
      </c>
      <c r="AYC7" s="1107" t="s">
        <v>4561</v>
      </c>
      <c r="AYD7" s="1107" t="s">
        <v>3100</v>
      </c>
      <c r="AYE7" s="1107" t="s">
        <v>3075</v>
      </c>
      <c r="AYF7" s="1107" t="s">
        <v>3076</v>
      </c>
      <c r="AYG7" s="1107" t="s">
        <v>3077</v>
      </c>
      <c r="AYH7" s="1107" t="s">
        <v>3078</v>
      </c>
      <c r="AYI7" s="1107" t="s">
        <v>3099</v>
      </c>
      <c r="AYJ7" s="1107" t="s">
        <v>3080</v>
      </c>
      <c r="AYK7" s="1107" t="s">
        <v>4573</v>
      </c>
      <c r="AYL7" s="1107" t="s">
        <v>4574</v>
      </c>
      <c r="AYM7" s="1107" t="s">
        <v>4575</v>
      </c>
      <c r="AYN7" s="1107" t="s">
        <v>2660</v>
      </c>
      <c r="AYO7" s="1107" t="s">
        <v>2667</v>
      </c>
      <c r="AYP7" s="1107" t="s">
        <v>4552</v>
      </c>
      <c r="AYQ7" s="1107" t="s">
        <v>4553</v>
      </c>
      <c r="AYR7" s="1107" t="s">
        <v>3275</v>
      </c>
      <c r="AYS7" s="1107" t="s">
        <v>4578</v>
      </c>
      <c r="AYT7" s="1107" t="s">
        <v>3281</v>
      </c>
      <c r="AYU7" s="1107" t="s">
        <v>3282</v>
      </c>
      <c r="AYV7" s="1107" t="s">
        <v>4556</v>
      </c>
      <c r="AYW7" s="1107" t="s">
        <v>4557</v>
      </c>
      <c r="AYX7" s="1107" t="s">
        <v>4558</v>
      </c>
      <c r="AYY7" s="1107" t="s">
        <v>4559</v>
      </c>
      <c r="AYZ7" s="1107" t="s">
        <v>4560</v>
      </c>
      <c r="AZA7" s="1107" t="s">
        <v>4561</v>
      </c>
      <c r="AZB7" s="1107" t="s">
        <v>3100</v>
      </c>
      <c r="AZC7" s="1107" t="s">
        <v>3289</v>
      </c>
      <c r="AZD7" s="1107" t="s">
        <v>3290</v>
      </c>
      <c r="AZE7" s="1107" t="s">
        <v>3075</v>
      </c>
      <c r="AZF7" s="1107" t="s">
        <v>3076</v>
      </c>
      <c r="AZG7" s="1107" t="s">
        <v>3077</v>
      </c>
      <c r="AZH7" s="1107" t="s">
        <v>3436</v>
      </c>
      <c r="AZI7" s="1107" t="s">
        <v>3099</v>
      </c>
      <c r="AZJ7" s="1107" t="s">
        <v>3080</v>
      </c>
      <c r="AZK7" s="1107" t="s">
        <v>4581</v>
      </c>
      <c r="AZL7" s="1107" t="s">
        <v>4582</v>
      </c>
      <c r="AZM7" s="1107" t="s">
        <v>4583</v>
      </c>
      <c r="AZN7" s="1107" t="s">
        <v>4584</v>
      </c>
      <c r="AZO7" s="1107" t="s">
        <v>4585</v>
      </c>
      <c r="AZP7" s="1107" t="s">
        <v>4586</v>
      </c>
      <c r="AZQ7" s="1107" t="s">
        <v>4587</v>
      </c>
      <c r="AZR7" s="1107" t="s">
        <v>4588</v>
      </c>
      <c r="AZS7" s="1107" t="s">
        <v>4589</v>
      </c>
      <c r="AZT7" s="1107" t="s">
        <v>4590</v>
      </c>
      <c r="AZU7" s="1107" t="s">
        <v>4591</v>
      </c>
      <c r="AZV7" s="1107" t="s">
        <v>4592</v>
      </c>
      <c r="AZW7" s="1107" t="s">
        <v>4593</v>
      </c>
      <c r="AZX7" s="1107" t="s">
        <v>4594</v>
      </c>
      <c r="AZY7" s="1107" t="s">
        <v>4595</v>
      </c>
      <c r="AZZ7" s="1107" t="s">
        <v>4596</v>
      </c>
      <c r="BAA7" s="1107" t="s">
        <v>4597</v>
      </c>
      <c r="BAB7" s="1107" t="s">
        <v>4598</v>
      </c>
      <c r="BAC7" s="1107" t="s">
        <v>4599</v>
      </c>
      <c r="BAD7" s="1107" t="s">
        <v>4602</v>
      </c>
      <c r="BAE7" s="1107" t="s">
        <v>4600</v>
      </c>
      <c r="BAF7" s="1107" t="s">
        <v>4601</v>
      </c>
      <c r="BAG7" s="1107" t="s">
        <v>2660</v>
      </c>
      <c r="BAH7" s="1107" t="s">
        <v>2667</v>
      </c>
      <c r="BAI7" s="1107" t="s">
        <v>4552</v>
      </c>
      <c r="BAJ7" s="1107" t="s">
        <v>4553</v>
      </c>
      <c r="BAK7" s="1107" t="s">
        <v>4579</v>
      </c>
      <c r="BAL7" s="1107" t="s">
        <v>4580</v>
      </c>
      <c r="BAM7" s="1107" t="s">
        <v>4579</v>
      </c>
      <c r="BAN7" s="1107" t="s">
        <v>4580</v>
      </c>
      <c r="BAO7" s="1107" t="s">
        <v>2725</v>
      </c>
      <c r="BAP7" s="1107" t="s">
        <v>2724</v>
      </c>
      <c r="BAQ7" s="1107" t="s">
        <v>4556</v>
      </c>
      <c r="BAR7" s="1107" t="s">
        <v>4557</v>
      </c>
      <c r="BAS7" s="1107" t="s">
        <v>4558</v>
      </c>
      <c r="BAT7" s="1107" t="s">
        <v>4559</v>
      </c>
      <c r="BAU7" s="1107" t="s">
        <v>4560</v>
      </c>
      <c r="BAV7" s="1107" t="s">
        <v>4561</v>
      </c>
      <c r="BAW7" s="1107" t="s">
        <v>3100</v>
      </c>
      <c r="BAX7" s="1107" t="s">
        <v>3297</v>
      </c>
      <c r="BAY7" s="1107" t="s">
        <v>3075</v>
      </c>
      <c r="BAZ7" s="1107" t="s">
        <v>3076</v>
      </c>
      <c r="BBA7" s="1107" t="s">
        <v>3077</v>
      </c>
      <c r="BBB7" s="1107" t="s">
        <v>3436</v>
      </c>
      <c r="BBC7" s="1107" t="s">
        <v>3080</v>
      </c>
    </row>
    <row r="8" spans="1:1407" s="1083" customFormat="1" ht="30" customHeight="1" x14ac:dyDescent="0.2">
      <c r="A8" s="1088"/>
      <c r="B8" s="1109" t="s">
        <v>2428</v>
      </c>
      <c r="C8" s="1089" t="str">
        <f>Details!$E$9</f>
        <v>TBD</v>
      </c>
      <c r="D8" s="1090">
        <f>Details!$E$10</f>
        <v>0.09</v>
      </c>
      <c r="E8" s="1089" t="str">
        <f>Details!$E$11</f>
        <v>Proposal Application</v>
      </c>
      <c r="F8" s="1089">
        <f>Details!$E$12</f>
        <v>0</v>
      </c>
      <c r="G8" s="1089">
        <f>Details!$E$13</f>
        <v>0</v>
      </c>
      <c r="H8" s="1089">
        <f>Details!$E$14</f>
        <v>0</v>
      </c>
      <c r="I8" s="1089">
        <f>Details!$E$15</f>
        <v>0</v>
      </c>
      <c r="J8" s="1089">
        <f>Details!$E$16</f>
        <v>0</v>
      </c>
      <c r="K8" s="1089">
        <f>Details!$E$17</f>
        <v>0</v>
      </c>
      <c r="L8" s="1089" t="str">
        <f>Details!$E$18</f>
        <v>Input Census Tract</v>
      </c>
      <c r="M8" s="1089" t="str">
        <f>Details!$E$19</f>
        <v>Input Census Tract</v>
      </c>
      <c r="N8" s="1089" t="str">
        <f>Details!$E$20</f>
        <v>Input Census Tract</v>
      </c>
      <c r="O8" s="1089">
        <f>Details!$E$21</f>
        <v>0</v>
      </c>
      <c r="P8" s="1089" t="str">
        <f>Details!$E$22</f>
        <v>Input Census Tract</v>
      </c>
      <c r="Q8" s="1089">
        <f>Details!$E$23</f>
        <v>0</v>
      </c>
      <c r="R8" s="1089">
        <f>Details!$E$24</f>
        <v>0</v>
      </c>
      <c r="S8" s="1091">
        <f>Details!$E$25</f>
        <v>0</v>
      </c>
      <c r="T8" s="1091">
        <f>Details!$E$26</f>
        <v>0</v>
      </c>
      <c r="U8" s="1091">
        <f>Details!$E$27</f>
        <v>0</v>
      </c>
      <c r="V8" s="1089">
        <f>Details!$J$9</f>
        <v>0</v>
      </c>
      <c r="W8" s="1089">
        <f>Details!$J$10</f>
        <v>0</v>
      </c>
      <c r="X8" s="1089">
        <f>Details!$J$11</f>
        <v>0</v>
      </c>
      <c r="Y8" s="1092">
        <f>Details!$J$12</f>
        <v>0</v>
      </c>
      <c r="Z8" s="1089">
        <f>Details!$J$13</f>
        <v>0</v>
      </c>
      <c r="AA8" s="1091">
        <f>Details!$J$14</f>
        <v>0</v>
      </c>
      <c r="AB8" s="1089">
        <f>Details!$J$15</f>
        <v>0</v>
      </c>
      <c r="AC8" s="1089" t="str">
        <f>Details!$J$17</f>
        <v>Input Census Tract</v>
      </c>
      <c r="AD8" s="1089" t="str">
        <f>Details!$J$18</f>
        <v>Input Zip Code Tabulation Area</v>
      </c>
      <c r="AE8" s="1092" t="str">
        <f>Details!$J$21</f>
        <v>Input Tract</v>
      </c>
      <c r="AF8" s="1092" t="str">
        <f>Details!$J$22</f>
        <v>Input Tract</v>
      </c>
      <c r="AG8" s="1092" t="str">
        <f>Details!$J$23</f>
        <v>Input Tract</v>
      </c>
      <c r="AH8" s="1092" t="str">
        <f>Details!$J$24</f>
        <v>Input Tract</v>
      </c>
      <c r="AI8" s="1093" t="str">
        <f>Details!$K$21</f>
        <v>Input Tract</v>
      </c>
      <c r="AJ8" s="1093" t="str">
        <f>Details!$K$22</f>
        <v>Input Tract</v>
      </c>
      <c r="AK8" s="1093" t="str">
        <f>Details!$K$23</f>
        <v>Input Tract</v>
      </c>
      <c r="AL8" s="1093" t="str">
        <f>Details!$K$24</f>
        <v>Input Tract</v>
      </c>
      <c r="AM8" s="1089">
        <f>Details!$G$33</f>
        <v>0</v>
      </c>
      <c r="AN8" s="1089" t="str">
        <f>_xlfn.TEXTJOIN(", ", TRUE, Details!$C$38:$C$40)</f>
        <v/>
      </c>
      <c r="AO8" s="1089" t="str">
        <f>_xlfn.TEXTJOIN(", ", TRUE, Details!$D$38:$D$40)</f>
        <v/>
      </c>
      <c r="AP8" s="1094" t="str">
        <f>_xlfn.TEXTJOIN(", ", TRUE, Details!$F$38:$F$40)</f>
        <v/>
      </c>
      <c r="AQ8" s="1089">
        <f>Details!$G$42</f>
        <v>0</v>
      </c>
      <c r="AR8" s="1089" t="str">
        <f>_xlfn.TEXTJOIN(", ", TRUE, Details!$C$47:$C$49)</f>
        <v/>
      </c>
      <c r="AS8" s="1089" t="str">
        <f>_xlfn.TEXTJOIN(", ", TRUE, Details!$D$47:$D$49)</f>
        <v/>
      </c>
      <c r="AT8" s="1089" t="str">
        <f>_xlfn.TEXTJOIN(", ", TRUE, Details!$F$47:$F$49)</f>
        <v/>
      </c>
      <c r="AU8" s="1089">
        <f>Details!$G$51</f>
        <v>0</v>
      </c>
      <c r="AV8" s="1089" t="str">
        <f>_xlfn.TEXTJOIN(", ", TRUE, Details!$C$56:$C$58)</f>
        <v/>
      </c>
      <c r="AW8" s="1089" t="str">
        <f>_xlfn.TEXTJOIN(", ", TRUE, Details!$D$56:$D$58)</f>
        <v/>
      </c>
      <c r="AX8" s="1089" t="str">
        <f>_xlfn.TEXTJOIN(", ", TRUE, Details!$F$56:$F$58)</f>
        <v/>
      </c>
      <c r="AY8" s="1089" t="str">
        <f>_xlfn.TEXTJOIN(", ", TRUE, Details!$G$56:$G$58)</f>
        <v/>
      </c>
      <c r="AZ8" s="1089" t="str">
        <f>_xlfn.TEXTJOIN(", ", TRUE, Details!$H$56:$H$58)</f>
        <v/>
      </c>
      <c r="BA8" s="1091">
        <f>Details!$C$67</f>
        <v>0</v>
      </c>
      <c r="BB8" s="1091">
        <f>Details!$E$67</f>
        <v>0</v>
      </c>
      <c r="BC8" s="1091">
        <f>Details!$G$67</f>
        <v>0</v>
      </c>
      <c r="BD8" s="1090" t="str">
        <f>Details!$H$67</f>
        <v/>
      </c>
      <c r="BE8" s="1089">
        <f>Details!$I$67</f>
        <v>0</v>
      </c>
      <c r="BF8" s="1091">
        <f>Details!$C$68</f>
        <v>0</v>
      </c>
      <c r="BG8" s="1091">
        <f>Details!$E$68</f>
        <v>0</v>
      </c>
      <c r="BH8" s="1091">
        <f>Details!$G$68</f>
        <v>0</v>
      </c>
      <c r="BI8" s="1090" t="str">
        <f>Details!$H$68</f>
        <v/>
      </c>
      <c r="BJ8" s="1089">
        <f>Details!$I$68</f>
        <v>0</v>
      </c>
      <c r="BK8" s="1091">
        <f>Details!$C$69</f>
        <v>0</v>
      </c>
      <c r="BL8" s="1091">
        <f>Details!$E$69</f>
        <v>0</v>
      </c>
      <c r="BM8" s="1091">
        <f>Details!$G$69</f>
        <v>0</v>
      </c>
      <c r="BN8" s="1090" t="str">
        <f>Details!$H$69</f>
        <v/>
      </c>
      <c r="BO8" s="1089">
        <f>Details!$I$69</f>
        <v>0</v>
      </c>
      <c r="BP8" s="1091">
        <f>Details!$C$70</f>
        <v>0</v>
      </c>
      <c r="BQ8" s="1091">
        <f>Details!$E$70</f>
        <v>0</v>
      </c>
      <c r="BR8" s="1091">
        <f>Details!$G$70</f>
        <v>0</v>
      </c>
      <c r="BS8" s="1090" t="str">
        <f>Details!$H$70</f>
        <v/>
      </c>
      <c r="BT8" s="1089">
        <f>Details!$I$70</f>
        <v>0</v>
      </c>
      <c r="BU8" s="1091">
        <f>Details!$C$71</f>
        <v>0</v>
      </c>
      <c r="BV8" s="1091">
        <f>Details!$E$71</f>
        <v>0</v>
      </c>
      <c r="BW8" s="1091">
        <f>Details!$G$71</f>
        <v>0</v>
      </c>
      <c r="BX8" s="1090" t="str">
        <f>Details!$H$71</f>
        <v/>
      </c>
      <c r="BY8" s="1089">
        <f>Details!$I$71</f>
        <v>0</v>
      </c>
      <c r="BZ8" s="1089">
        <f>Details!$E$81</f>
        <v>0</v>
      </c>
      <c r="CA8" s="1089">
        <f>Details!$G$81</f>
        <v>0</v>
      </c>
      <c r="CB8" s="1089">
        <f>Details!$I$81</f>
        <v>0</v>
      </c>
      <c r="CC8" s="1089">
        <f>Details!$K$81</f>
        <v>0</v>
      </c>
      <c r="CD8" s="1089">
        <f>Details!$E$82</f>
        <v>0</v>
      </c>
      <c r="CE8" s="1089">
        <f>Details!$G$82</f>
        <v>0</v>
      </c>
      <c r="CF8" s="1089">
        <f>Details!$I$82</f>
        <v>0</v>
      </c>
      <c r="CG8" s="1089">
        <f>Details!$K$82</f>
        <v>0</v>
      </c>
      <c r="CH8" s="1089">
        <f>Details!$E$83</f>
        <v>0</v>
      </c>
      <c r="CI8" s="1089">
        <f>Details!$G$83</f>
        <v>0</v>
      </c>
      <c r="CJ8" s="1089">
        <f>Details!$I$83</f>
        <v>0</v>
      </c>
      <c r="CK8" s="1089">
        <f>Details!$K$83</f>
        <v>0</v>
      </c>
      <c r="CL8" s="1089">
        <f>Details!$E$84</f>
        <v>0</v>
      </c>
      <c r="CM8" s="1089">
        <f>Details!$G$84</f>
        <v>0</v>
      </c>
      <c r="CN8" s="1089">
        <f>Details!$I$84</f>
        <v>0</v>
      </c>
      <c r="CO8" s="1089">
        <f>Details!$K$84</f>
        <v>0</v>
      </c>
      <c r="CP8" s="1089">
        <f>Details!$E$85</f>
        <v>0</v>
      </c>
      <c r="CQ8" s="1089">
        <f>Details!$G$85</f>
        <v>0</v>
      </c>
      <c r="CR8" s="1089">
        <f>Details!$I$85</f>
        <v>0</v>
      </c>
      <c r="CS8" s="1089">
        <f>Details!$K$85</f>
        <v>0</v>
      </c>
      <c r="CT8" s="1089">
        <f>Details!$E$86</f>
        <v>0</v>
      </c>
      <c r="CU8" s="1089">
        <f>Details!$G$86</f>
        <v>0</v>
      </c>
      <c r="CV8" s="1089">
        <f>Details!$I$86</f>
        <v>0</v>
      </c>
      <c r="CW8" s="1089">
        <f>Details!$K$86</f>
        <v>0</v>
      </c>
      <c r="CX8" s="1089">
        <f>Details!$E$87</f>
        <v>0</v>
      </c>
      <c r="CY8" s="1089">
        <f>Details!$G$87</f>
        <v>0</v>
      </c>
      <c r="CZ8" s="1089">
        <f>Details!$I$87</f>
        <v>0</v>
      </c>
      <c r="DA8" s="1089">
        <f>Details!$K$87</f>
        <v>0</v>
      </c>
      <c r="DB8" s="1089">
        <f>Details!$E$88</f>
        <v>0</v>
      </c>
      <c r="DC8" s="1089">
        <f>Details!$G$88</f>
        <v>0</v>
      </c>
      <c r="DD8" s="1089">
        <f>Details!$I$88</f>
        <v>0</v>
      </c>
      <c r="DE8" s="1089">
        <f>Details!$K$88</f>
        <v>0</v>
      </c>
      <c r="DF8" s="1089">
        <f>Details!$E$89</f>
        <v>0</v>
      </c>
      <c r="DG8" s="1089">
        <f>Details!$G$89</f>
        <v>0</v>
      </c>
      <c r="DH8" s="1089">
        <f>Details!$I$89</f>
        <v>0</v>
      </c>
      <c r="DI8" s="1089">
        <f>Details!$K$89</f>
        <v>0</v>
      </c>
      <c r="DJ8" s="1089">
        <f>Details!$H$109</f>
        <v>0</v>
      </c>
      <c r="DK8" s="1089">
        <f>Details!$K$109</f>
        <v>0</v>
      </c>
      <c r="DL8" s="1089">
        <f>Details!$H$110</f>
        <v>0</v>
      </c>
      <c r="DM8" s="1089">
        <f>Details!$K$110</f>
        <v>0</v>
      </c>
      <c r="DN8" s="1089">
        <f>Details!$H$111</f>
        <v>0</v>
      </c>
      <c r="DO8" s="1089">
        <f>Details!$K$111</f>
        <v>0</v>
      </c>
      <c r="DP8" s="1089">
        <f>Details!$H$112</f>
        <v>0</v>
      </c>
      <c r="DQ8" s="1089">
        <f>Details!$K$112</f>
        <v>0</v>
      </c>
      <c r="DR8" s="1089">
        <f>Details!$H$113</f>
        <v>0</v>
      </c>
      <c r="DS8" s="1089">
        <f>Details!$K$113</f>
        <v>0</v>
      </c>
      <c r="DT8" s="1089">
        <f>Details!$H$114</f>
        <v>0</v>
      </c>
      <c r="DU8" s="1089">
        <f>Details!$K$114</f>
        <v>0</v>
      </c>
      <c r="DV8" s="1089">
        <f>Details!$H$115</f>
        <v>0</v>
      </c>
      <c r="DW8" s="1089">
        <f>Details!$K$115</f>
        <v>0</v>
      </c>
      <c r="DX8" s="1089">
        <f>Details!$H$116</f>
        <v>0</v>
      </c>
      <c r="DY8" s="1089">
        <f>Details!$K$116</f>
        <v>0</v>
      </c>
      <c r="DZ8" s="1089">
        <f>Details!$H$117</f>
        <v>0</v>
      </c>
      <c r="EA8" s="1089">
        <f>Details!$K$117</f>
        <v>0</v>
      </c>
      <c r="EB8" s="1089">
        <f>Details!$H$118</f>
        <v>0</v>
      </c>
      <c r="EC8" s="1089">
        <f>Details!$K$118</f>
        <v>0</v>
      </c>
      <c r="ED8" s="1089">
        <f>Details!$H$120</f>
        <v>0</v>
      </c>
      <c r="EE8" s="1095">
        <f>Details!$F$130</f>
        <v>0</v>
      </c>
      <c r="EF8" s="1095">
        <f>Details!$F$131</f>
        <v>0</v>
      </c>
      <c r="EG8" s="1095">
        <f>Details!$F$132</f>
        <v>0</v>
      </c>
      <c r="EH8" s="1095">
        <f>Details!$F$133</f>
        <v>0</v>
      </c>
      <c r="EI8" s="1095">
        <f>Details!$F$134</f>
        <v>0</v>
      </c>
      <c r="EJ8" s="1095">
        <f>Details!$F$135</f>
        <v>0</v>
      </c>
      <c r="EK8" s="1095">
        <f>Details!$F$136</f>
        <v>0</v>
      </c>
      <c r="EL8" s="1095">
        <f>Details!$F$137</f>
        <v>0</v>
      </c>
      <c r="EM8" s="1095">
        <f>Details!$F$138</f>
        <v>0</v>
      </c>
      <c r="EN8" s="1095">
        <f>Details!$F$139</f>
        <v>0</v>
      </c>
      <c r="EO8" s="1095">
        <f>Details!$F$140</f>
        <v>0</v>
      </c>
      <c r="EP8" s="1095">
        <f>Details!$F$141</f>
        <v>0</v>
      </c>
      <c r="EQ8" s="1095">
        <f>Details!$F$142</f>
        <v>0</v>
      </c>
      <c r="ER8" s="1095">
        <f>Details!$F$143</f>
        <v>0</v>
      </c>
      <c r="ES8" s="1095">
        <f>Details!$F$144</f>
        <v>0</v>
      </c>
      <c r="ET8" s="1095">
        <f>Details!$F$145</f>
        <v>0</v>
      </c>
      <c r="EU8" s="1095">
        <f>Details!$F$146</f>
        <v>0</v>
      </c>
      <c r="EV8" s="1095" t="str">
        <f>Details!$F$147</f>
        <v>Input needed</v>
      </c>
      <c r="EW8" s="1095">
        <f>Details!$F$148</f>
        <v>0</v>
      </c>
      <c r="EX8" s="1095" t="str">
        <f>Details!$F$149</f>
        <v>See Revenue Tab</v>
      </c>
      <c r="EY8" s="1096">
        <f>Details!$F$156</f>
        <v>0</v>
      </c>
      <c r="EZ8" s="1096">
        <f>Details!$F$157</f>
        <v>0</v>
      </c>
      <c r="FA8" s="1096">
        <f>Details!$F$158</f>
        <v>0</v>
      </c>
      <c r="FB8" s="1096">
        <f>Details!$F$159</f>
        <v>0</v>
      </c>
      <c r="FC8" s="1096">
        <f>Details!$F$160</f>
        <v>0</v>
      </c>
      <c r="FD8" s="1096">
        <f>Details!$F$161</f>
        <v>0</v>
      </c>
      <c r="FE8" s="1096">
        <f>Details!$F$162</f>
        <v>0</v>
      </c>
      <c r="FF8" s="1096">
        <f>Details!$F$163</f>
        <v>0</v>
      </c>
      <c r="FG8" s="1096">
        <f>Details!$F$164</f>
        <v>0</v>
      </c>
      <c r="FH8" s="1096">
        <f>Details!$F$165</f>
        <v>0</v>
      </c>
      <c r="FI8" s="1096">
        <f>Details!$F$166</f>
        <v>0</v>
      </c>
      <c r="FJ8" s="1097">
        <f>Details!$E$168</f>
        <v>0</v>
      </c>
      <c r="FK8" s="1097">
        <f>Details!$E$169</f>
        <v>0</v>
      </c>
      <c r="FL8" s="1097" t="str">
        <f>Details!$E$170</f>
        <v/>
      </c>
      <c r="FM8" s="1091" t="str">
        <f>Details!$E$171</f>
        <v/>
      </c>
      <c r="FN8" s="1091">
        <f>SUM(COUNTA(Site!$D$14:$E$63))</f>
        <v>0</v>
      </c>
      <c r="FO8" s="1089" t="e" cm="1" vm="2">
        <f t="array" ref="FO8">_xlfn.TEXTJOIN(", ", TRUE, _xlfn.UNIQUE(_xlfn._xlws.FILTER(Site!$D$14:$D$63, Site!$D$14:$D$63&lt;&gt;"")))</f>
        <v>#VALUE!</v>
      </c>
      <c r="FP8" s="1089" t="e" cm="1" vm="2">
        <f t="array" ref="FP8">_xlfn.TEXTJOIN(", ", TRUE, _xlfn.UNIQUE(_xlfn._xlws.FILTER(Site!$F$14:$F$63, Site!$F$14:$F$63&lt;&gt;"")))</f>
        <v>#VALUE!</v>
      </c>
      <c r="FQ8" s="1089" t="e" cm="1" vm="2">
        <f t="array" ref="FQ8">_xlfn.TEXTJOIN(", ", TRUE, _xlfn.UNIQUE(_xlfn._xlws.FILTER(Site!$G$14:$G$63, Site!$G$14:$G$63&lt;&gt;"")))</f>
        <v>#VALUE!</v>
      </c>
      <c r="FR8" s="1089" t="e" cm="1" vm="2">
        <f t="array" ref="FR8">_xlfn.TEXTJOIN(", ", TRUE, _xlfn.UNIQUE(_xlfn._xlws.FILTER(Site!$H$14:$H$63, Site!$H$14:$H$63&lt;&gt;"")))</f>
        <v>#VALUE!</v>
      </c>
      <c r="FS8" s="1089" t="e" cm="1" vm="2">
        <f t="array" ref="FS8">_xlfn.TEXTJOIN(", ", TRUE, _xlfn.UNIQUE(_xlfn._xlws.FILTER(Site!$I$14:$I$63, Site!$I$14:$I$63&lt;&gt;"")))</f>
        <v>#VALUE!</v>
      </c>
      <c r="FT8" s="1098">
        <f>SUM(Site!$J$14:$J$63)</f>
        <v>0</v>
      </c>
      <c r="FU8" s="1089" t="e" cm="1" vm="2">
        <f t="array" ref="FU8">_xlfn.TEXTJOIN(", ", TRUE, _xlfn.UNIQUE(_xlfn._xlws.FILTER(Site!$K$14:$K$63, Site!$K$14:$K$63&lt;&gt;"")))</f>
        <v>#VALUE!</v>
      </c>
      <c r="FV8" s="1089" t="e" cm="1" vm="2">
        <f t="array" ref="FV8">_xlfn.TEXTJOIN(", ", TRUE, _xlfn.UNIQUE(_xlfn._xlws.FILTER(Site!$L$14:$L$63, Site!$L$14:$L$63&lt;&gt;"")))</f>
        <v>#VALUE!</v>
      </c>
      <c r="FW8" s="1089">
        <f>SUM(COUNTIF(Site!$M$14:$M$63,"Yes"))</f>
        <v>0</v>
      </c>
      <c r="FX8" s="1089">
        <f>SUM(COUNTIF(Site!$N$14:$N$63,"Yes"))</f>
        <v>0</v>
      </c>
      <c r="FY8" s="1096">
        <f>MIN(Site!$O$14:$O$63)</f>
        <v>0</v>
      </c>
      <c r="FZ8" s="1096">
        <f>MAX(Site!$O$14:$O$63)</f>
        <v>0</v>
      </c>
      <c r="GA8" s="1096">
        <f>MIN(Site!$P$14:$P$63)</f>
        <v>0</v>
      </c>
      <c r="GB8" s="1096">
        <f>MAX(Site!$P$14:$P$63)</f>
        <v>0</v>
      </c>
      <c r="GC8" s="1089" t="e" cm="1" vm="2">
        <f t="array" ref="GC8">_xlfn.TEXTJOIN(", ", TRUE, _xlfn.UNIQUE(_xlfn._xlws.FILTER(Site!$Q$14:$Q$63, Site!$Q$14:$Q$63&lt;&gt;"")))</f>
        <v>#VALUE!</v>
      </c>
      <c r="GD8" s="1089" t="str">
        <f>IF(SUM(COUNTIF(Site!$W$14:$W$63,"Yes"))&gt;0,"Yes","No")</f>
        <v>No</v>
      </c>
      <c r="GE8" s="1089" t="e" cm="1" vm="2">
        <f t="array" ref="GE8">_xlfn.TEXTJOIN(", ", TRUE, _xlfn.UNIQUE(_xlfn._xlws.FILTER(Site!$X$14:$X$63, Site!$X$14:$X$63&lt;&gt;"")))</f>
        <v>#VALUE!</v>
      </c>
      <c r="GF8" s="1097">
        <f>MIN(Site!$Y$14:$Y$63)</f>
        <v>0</v>
      </c>
      <c r="GG8" s="1097">
        <f>MAX(Site!$Y$14:$Y$63)</f>
        <v>0</v>
      </c>
      <c r="GH8" s="1089">
        <f>SUM(COUNTIF(Site!$Z$14:$Z$63,"Yes"))</f>
        <v>0</v>
      </c>
      <c r="GI8" s="1097">
        <f>SUM(Site!$AB$14:$AB$63)</f>
        <v>0</v>
      </c>
      <c r="GJ8" s="1097">
        <f>SUM(Site!$AC$14:$AC$63)</f>
        <v>0</v>
      </c>
      <c r="GK8" s="1097">
        <f>SUM(Site!$AD$14:$AD$63)</f>
        <v>0</v>
      </c>
      <c r="GL8" s="1097">
        <f>SUM(Site!$AE$14:$AE$63)</f>
        <v>0</v>
      </c>
      <c r="GM8" s="1089">
        <f>Site!$I$69</f>
        <v>0</v>
      </c>
      <c r="GN8" s="1089">
        <f>Site!$I$70</f>
        <v>0</v>
      </c>
      <c r="GO8" s="1089">
        <f>Site!$F$101</f>
        <v>0</v>
      </c>
      <c r="GP8" s="1089">
        <f>Site!$G$101</f>
        <v>0</v>
      </c>
      <c r="GQ8" s="1089">
        <f>Site!$H$101</f>
        <v>0</v>
      </c>
      <c r="GR8" s="1089">
        <f>Site!$F$102</f>
        <v>0</v>
      </c>
      <c r="GS8" s="1089">
        <f>Site!$G$102</f>
        <v>0</v>
      </c>
      <c r="GT8" s="1089">
        <f>Site!$H$102</f>
        <v>0</v>
      </c>
      <c r="GU8" s="1089">
        <f>Site!$F$103</f>
        <v>0</v>
      </c>
      <c r="GV8" s="1089">
        <f>Site!$F$103</f>
        <v>0</v>
      </c>
      <c r="GW8" s="1089">
        <f>Site!$H$103</f>
        <v>0</v>
      </c>
      <c r="GX8" s="1089">
        <f>Site!$F$104</f>
        <v>0</v>
      </c>
      <c r="GY8" s="1089">
        <f>Site!$G$104</f>
        <v>0</v>
      </c>
      <c r="GZ8" s="1089">
        <f>Site!$H$104</f>
        <v>0</v>
      </c>
      <c r="HA8" s="1089" t="str">
        <f>Site!$J$109</f>
        <v>Yes</v>
      </c>
      <c r="HB8" s="1089" t="str">
        <f>Site!$J$110</f>
        <v>Yes</v>
      </c>
      <c r="HC8" s="1089">
        <f>Revenue!$C$11</f>
        <v>0</v>
      </c>
      <c r="HD8" s="1089">
        <f>Revenue!$C$13</f>
        <v>0</v>
      </c>
      <c r="HE8" s="1089" t="e">
        <f>Revenue!#REF!</f>
        <v>#REF!</v>
      </c>
      <c r="HF8" s="1089">
        <f>Revenue!$F$25</f>
        <v>0</v>
      </c>
      <c r="HG8" s="1099">
        <f>Revenue!$E$35</f>
        <v>0</v>
      </c>
      <c r="HH8" s="1099">
        <f>Revenue!$G$35</f>
        <v>0</v>
      </c>
      <c r="HI8" s="1099">
        <f>Revenue!$H$35</f>
        <v>0</v>
      </c>
      <c r="HJ8" s="1099">
        <f>Revenue!$I$35</f>
        <v>0</v>
      </c>
      <c r="HK8" s="1099">
        <f>Revenue!$J$35</f>
        <v>0</v>
      </c>
      <c r="HL8" s="1099">
        <f>Revenue!$K$35</f>
        <v>0</v>
      </c>
      <c r="HM8" s="1089">
        <f>Revenue!$E$110</f>
        <v>0</v>
      </c>
      <c r="HN8" s="1089">
        <f>Revenue!$E$111</f>
        <v>0</v>
      </c>
      <c r="HO8" s="1089">
        <f>Revenue!$E$112</f>
        <v>0</v>
      </c>
      <c r="HP8" s="1089">
        <f>Revenue!$E$113</f>
        <v>0</v>
      </c>
      <c r="HQ8" s="1089">
        <f>Revenue!$E$114</f>
        <v>0</v>
      </c>
      <c r="HR8" s="1089">
        <f>Revenue!$E$115</f>
        <v>0</v>
      </c>
      <c r="HS8" s="1089">
        <f>Revenue!$E$116</f>
        <v>0</v>
      </c>
      <c r="HT8" s="1089">
        <f>Revenue!$J$110</f>
        <v>0</v>
      </c>
      <c r="HU8" s="1089">
        <f>Revenue!$J$111</f>
        <v>0</v>
      </c>
      <c r="HV8" s="1089">
        <f>Revenue!$J$112</f>
        <v>0</v>
      </c>
      <c r="HW8" s="1089">
        <f>Revenue!$J$113</f>
        <v>0</v>
      </c>
      <c r="HX8" s="1089">
        <f>Revenue!$J$114</f>
        <v>0</v>
      </c>
      <c r="HY8" s="1089">
        <f>Revenue!$J$115</f>
        <v>0</v>
      </c>
      <c r="HZ8" s="1089">
        <f>Revenue!$J$116</f>
        <v>0</v>
      </c>
      <c r="IA8" s="1091">
        <f>Revenue!$E$117</f>
        <v>0</v>
      </c>
      <c r="IB8" s="1091">
        <f>Revenue!$E$118</f>
        <v>0</v>
      </c>
      <c r="IC8" s="1097">
        <f>Revenue!$N$110</f>
        <v>0</v>
      </c>
      <c r="ID8" s="1097">
        <f>Revenue!$N$111</f>
        <v>0</v>
      </c>
      <c r="IE8" s="1097">
        <f>Revenue!$N$112</f>
        <v>0</v>
      </c>
      <c r="IF8" s="1097">
        <f>Revenue!$N$113</f>
        <v>0</v>
      </c>
      <c r="IG8" s="1097">
        <f>Revenue!$N$114</f>
        <v>0</v>
      </c>
      <c r="IH8" s="1097">
        <f>Revenue!$N$115</f>
        <v>0</v>
      </c>
      <c r="II8" s="1093">
        <f>Revenue!$G$121</f>
        <v>0</v>
      </c>
      <c r="IJ8" s="1089" t="str">
        <f>IFERROR(AVERAGEIF(Revenue!$D$47:$D$92,0,Revenue!$F$47:$F$92),"")</f>
        <v/>
      </c>
      <c r="IK8" s="1089" t="str">
        <f>IFERROR(AVERAGEIF(Revenue!$D$47:$D$92,1,Revenue!$F$47:$F$92),"")</f>
        <v/>
      </c>
      <c r="IL8" s="1089" t="str">
        <f>IFERROR(AVERAGEIF(Revenue!$D$47:$D$92,2,Revenue!$F$47:$F$92),"")</f>
        <v/>
      </c>
      <c r="IM8" s="1089" t="str">
        <f>IFERROR(AVERAGEIF(Revenue!$D$47:$D$92,3,Revenue!$F$47:$F$92),"")</f>
        <v/>
      </c>
      <c r="IN8" s="1089" t="str">
        <f>IFERROR(AVERAGEIF(Revenue!$D$47:$D$92,4,Revenue!$F$47:$F$92),"")</f>
        <v/>
      </c>
      <c r="IO8" s="1089" t="str">
        <f>IFERROR(AVERAGEIF(Revenue!$D$47:$D$92,5,Revenue!$F$47:$F$92),"")</f>
        <v/>
      </c>
      <c r="IP8" s="1089" t="str" cm="1">
        <f t="array" ref="IP8">_xlfn.LET(
    _xlpm.raw_list, _xlfn.UNIQUE(IF((Revenue!$N$47:$N$92="Select here") + (Revenue!$N$47:$N$92="N/A") + (Revenue!$N$47:$N$92=""), "", Revenue!$N$47:$N$92)),
    _xlpm.clean_list, _xlfn._xlws.FILTER(_xlpm.raw_list, _xlpm.raw_list&lt;&gt;"", "Empty"),
    _xlpm.is_empty, INDEX(_xlpm.clean_list, 1)="Empty",
    IF(_xlpm.is_empty, "N/A",
        _xlfn.LET(
            _xlpm.count, COUNTA(_xlpm.clean_list),
            _xlpm.joined, _xlfn.TEXTJOIN(", ", TRUE, _xlpm.clean_list),
            IF(_xlpm.count=1, _xlpm.joined,
            IF(_xlpm.count=2, _xlfn.TEXTJOIN(" and ", TRUE, _xlpm.clean_list),
            SUBSTITUTE(_xlpm.joined, ", ", ", and ", _xlpm.count-1)))
        )
    )
)</f>
        <v>N/A</v>
      </c>
      <c r="IQ8" s="1089">
        <f>SUM(COUNTA(Revenue!$C$130:$F$134))</f>
        <v>0</v>
      </c>
      <c r="IR8" s="1089">
        <f>SUM(COUNTIF(Revenue!$G$130:$G$134,"Yes"))</f>
        <v>0</v>
      </c>
      <c r="IS8" s="1097">
        <f>SUM(Revenue!$H$130:$H$134)</f>
        <v>0</v>
      </c>
      <c r="IT8" s="1089">
        <f>SUMIF(Revenue!$G$130:$G$134,"Yes",Revenue!$H$130:$H$134)</f>
        <v>0</v>
      </c>
      <c r="IU8" s="1089">
        <f>Revenue!$J$136</f>
        <v>0</v>
      </c>
      <c r="IV8" s="1089">
        <f>SUMIF(Revenue!$G$130:$G$134,"Yes",Revenue!$J$130:$J$134)</f>
        <v>0</v>
      </c>
      <c r="IW8" s="1099">
        <f>OpBudget!$F$10</f>
        <v>0</v>
      </c>
      <c r="IX8" s="1099" t="str">
        <f>OpBudget!$K$10</f>
        <v/>
      </c>
      <c r="IY8" s="1099">
        <f>OpBudget!$F$11</f>
        <v>0</v>
      </c>
      <c r="IZ8" s="1099" t="str">
        <f>OpBudget!$K$11</f>
        <v/>
      </c>
      <c r="JA8" s="1099">
        <f>OpBudget!$F$12</f>
        <v>0</v>
      </c>
      <c r="JB8" s="1099" t="str">
        <f>OpBudget!$K$12</f>
        <v/>
      </c>
      <c r="JC8" s="1099">
        <f>OpBudget!$F$13</f>
        <v>0</v>
      </c>
      <c r="JD8" s="1099" t="str">
        <f>OpBudget!$K$13</f>
        <v/>
      </c>
      <c r="JE8" s="1099">
        <f>OpBudget!$F$14</f>
        <v>0</v>
      </c>
      <c r="JF8" s="1099">
        <f>OpBudget!$F$17</f>
        <v>0</v>
      </c>
      <c r="JG8" s="1099" t="str">
        <f>OpBudget!$K$17</f>
        <v/>
      </c>
      <c r="JH8" s="1099">
        <f>OpBudget!$F$18</f>
        <v>0</v>
      </c>
      <c r="JI8" s="1089" t="str">
        <f>OpBudget!$D$18</f>
        <v>[Describe here]</v>
      </c>
      <c r="JJ8" s="1099" t="str">
        <f>OpBudget!$K$18</f>
        <v/>
      </c>
      <c r="JK8" s="1099">
        <f>OpBudget!$F$19</f>
        <v>0</v>
      </c>
      <c r="JL8" s="1099">
        <f>OpBudget!$F$22</f>
        <v>0</v>
      </c>
      <c r="JM8" s="1099" t="str">
        <f>OpBudget!$K$22</f>
        <v/>
      </c>
      <c r="JN8" s="1099">
        <f>OpBudget!$F$23</f>
        <v>0</v>
      </c>
      <c r="JO8" s="1089" t="str">
        <f>OpBudget!$D$23</f>
        <v>[Describe here]</v>
      </c>
      <c r="JP8" s="1099" t="str">
        <f>OpBudget!$K$23</f>
        <v/>
      </c>
      <c r="JQ8" s="1099">
        <f>OpBudget!$F$24</f>
        <v>0</v>
      </c>
      <c r="JR8" s="1089" t="str">
        <f>OpBudget!$D$24</f>
        <v>[Describe here]</v>
      </c>
      <c r="JS8" s="1099" t="str">
        <f>OpBudget!$K$24</f>
        <v/>
      </c>
      <c r="JT8" s="1099">
        <f>OpBudget!$F$25</f>
        <v>0</v>
      </c>
      <c r="JU8" s="1089" t="str">
        <f>OpBudget!$D$25</f>
        <v>[Describe here]</v>
      </c>
      <c r="JV8" s="1099" t="str">
        <f>OpBudget!$K$25</f>
        <v/>
      </c>
      <c r="JW8" s="1098">
        <f>OpBudget!$F$26</f>
        <v>0</v>
      </c>
      <c r="JX8" s="1098">
        <f>OpBudget!$F$34</f>
        <v>0</v>
      </c>
      <c r="JY8" s="1098">
        <f>OpBudget!$F$41</f>
        <v>0</v>
      </c>
      <c r="JZ8" s="1098">
        <f>OpBudget!$F$42</f>
        <v>0</v>
      </c>
      <c r="KA8" s="1098">
        <f>OpBudget!$F$43</f>
        <v>0</v>
      </c>
      <c r="KB8" s="1098">
        <f>OpBudget!$F$44</f>
        <v>0</v>
      </c>
      <c r="KC8" s="1098">
        <f>OpBudget!$F$45</f>
        <v>0</v>
      </c>
      <c r="KD8" s="1098">
        <f>OpBudget!$F$46</f>
        <v>0</v>
      </c>
      <c r="KE8" s="1098">
        <f>OpBudget!$F$47</f>
        <v>0</v>
      </c>
      <c r="KF8" s="1098">
        <f>OpBudget!$F$48</f>
        <v>0</v>
      </c>
      <c r="KG8" s="1098">
        <f>OpBudget!$F$49</f>
        <v>0</v>
      </c>
      <c r="KH8" s="1098">
        <f>OpBudget!$F$50</f>
        <v>0</v>
      </c>
      <c r="KI8" s="1098">
        <f>OpBudget!$F$51</f>
        <v>0</v>
      </c>
      <c r="KJ8" s="1098">
        <f>OpBudget!$F$52</f>
        <v>0</v>
      </c>
      <c r="KK8" s="1098">
        <f>OpBudget!$F$53</f>
        <v>0</v>
      </c>
      <c r="KL8" s="1098">
        <f>OpBudget!$F$54</f>
        <v>0</v>
      </c>
      <c r="KM8" s="1089" t="str">
        <f>OpBudget!$D$54</f>
        <v>[Describe here]</v>
      </c>
      <c r="KN8" s="1098">
        <f>OpBudget!$F$55</f>
        <v>0</v>
      </c>
      <c r="KO8" s="1089" t="str">
        <f>OpBudget!$D$55</f>
        <v>[Describe here]</v>
      </c>
      <c r="KP8" s="1098">
        <f>OpBudget!$F$56</f>
        <v>0</v>
      </c>
      <c r="KQ8" s="1089" t="str">
        <f>OpBudget!$D$56</f>
        <v>[Describe here]</v>
      </c>
      <c r="KR8" s="1098">
        <f>OpBudget!F$57</f>
        <v>0</v>
      </c>
      <c r="KS8" s="1098">
        <f>OpBudget!$F$60</f>
        <v>0</v>
      </c>
      <c r="KT8" s="1098">
        <f>OpBudget!$F$61</f>
        <v>0</v>
      </c>
      <c r="KU8" s="1098">
        <f>OpBudget!$F$62</f>
        <v>0</v>
      </c>
      <c r="KV8" s="1098">
        <f>OpBudget!$F$63</f>
        <v>0</v>
      </c>
      <c r="KW8" s="1098">
        <f>OpBudget!$F$64</f>
        <v>0</v>
      </c>
      <c r="KX8" s="1098">
        <f>OpBudget!$F$65</f>
        <v>0</v>
      </c>
      <c r="KY8" s="1098">
        <f>OpBudget!$F$66</f>
        <v>0</v>
      </c>
      <c r="KZ8" s="1089" t="str">
        <f>OpBudget!$D$66</f>
        <v>[Describe here]</v>
      </c>
      <c r="LA8" s="1098">
        <f>OpBudget!$F$67</f>
        <v>0</v>
      </c>
      <c r="LB8" s="1089" t="str">
        <f>OpBudget!$D$67</f>
        <v>[Describe here]</v>
      </c>
      <c r="LC8" s="1098">
        <f>OpBudget!F$68</f>
        <v>0</v>
      </c>
      <c r="LD8" s="1098">
        <f>OpBudget!$F$71</f>
        <v>0</v>
      </c>
      <c r="LE8" s="1098">
        <f>OpBudget!$F$72</f>
        <v>0</v>
      </c>
      <c r="LF8" s="1098">
        <f>OpBudget!$F$73</f>
        <v>0</v>
      </c>
      <c r="LG8" s="1098">
        <f>OpBudget!$F$74</f>
        <v>0</v>
      </c>
      <c r="LH8" s="1098">
        <f>OpBudget!$F$75</f>
        <v>0</v>
      </c>
      <c r="LI8" s="1098">
        <f>OpBudget!$F$76</f>
        <v>0</v>
      </c>
      <c r="LJ8" s="1098">
        <f>OpBudget!$F$77</f>
        <v>0</v>
      </c>
      <c r="LK8" s="1098">
        <f>OpBudget!$F$78</f>
        <v>0</v>
      </c>
      <c r="LL8" s="1098">
        <f>OpBudget!$F$79</f>
        <v>0</v>
      </c>
      <c r="LM8" s="1098">
        <f>OpBudget!$F$80</f>
        <v>0</v>
      </c>
      <c r="LN8" s="1098">
        <f>OpBudget!$F$81</f>
        <v>0</v>
      </c>
      <c r="LO8" s="1098">
        <f>OpBudget!$F$82</f>
        <v>0</v>
      </c>
      <c r="LP8" s="1098">
        <f>OpBudget!$F$83</f>
        <v>0</v>
      </c>
      <c r="LQ8" s="1098">
        <f>OpBudget!$F$84</f>
        <v>0</v>
      </c>
      <c r="LR8" s="1089" t="str">
        <f>OpBudget!$D$84</f>
        <v>[Describe here]</v>
      </c>
      <c r="LS8" s="1098">
        <f>OpBudget!$F$85</f>
        <v>0</v>
      </c>
      <c r="LT8" s="1089" t="str">
        <f>OpBudget!$D$85</f>
        <v>[Describe here]</v>
      </c>
      <c r="LU8" s="1098">
        <f>OpBudget!$F$86</f>
        <v>0</v>
      </c>
      <c r="LV8" s="1089" t="str">
        <f>OpBudget!$D$86</f>
        <v>[Describe here]</v>
      </c>
      <c r="LW8" s="1098">
        <f>OpBudget!$F$87</f>
        <v>0</v>
      </c>
      <c r="LX8" s="1089" t="str">
        <f>OpBudget!$D$87</f>
        <v>[Describe here]</v>
      </c>
      <c r="LY8" s="1098">
        <f>OpBudget!$F$88</f>
        <v>0</v>
      </c>
      <c r="LZ8" s="1098">
        <f>OpBudget!$F$91</f>
        <v>0</v>
      </c>
      <c r="MA8" s="1098">
        <f>OpBudget!$F$117</f>
        <v>0</v>
      </c>
      <c r="MB8" s="1098">
        <f>OpBudget!$F$92</f>
        <v>0</v>
      </c>
      <c r="MC8" s="1098">
        <f>OpBudget!$F$93</f>
        <v>0</v>
      </c>
      <c r="MD8" s="1098">
        <f>OpBudget!$F$94</f>
        <v>0</v>
      </c>
      <c r="ME8" s="1098">
        <f>OpBudget!$F$95</f>
        <v>0</v>
      </c>
      <c r="MF8" s="1098">
        <f>OpBudget!$F$96</f>
        <v>0</v>
      </c>
      <c r="MG8" s="1098">
        <f>OpBudget!$F$97</f>
        <v>0</v>
      </c>
      <c r="MH8" s="1098">
        <f>OpBudget!$F$98</f>
        <v>0</v>
      </c>
      <c r="MI8" s="1089" t="str">
        <f>OpBudget!$D$98</f>
        <v>[Describe here]</v>
      </c>
      <c r="MJ8" s="1098">
        <f>OpBudget!$F$99</f>
        <v>0</v>
      </c>
      <c r="MK8" s="1089" t="str">
        <f>OpBudget!$D$99</f>
        <v>[Describe here]</v>
      </c>
      <c r="ML8" s="1098">
        <f>OpBudget!$F$100</f>
        <v>0</v>
      </c>
      <c r="MM8" s="1089" t="str">
        <f>OpBudget!$D$100</f>
        <v>[Describe here]</v>
      </c>
      <c r="MN8" s="1098">
        <f>OpBudget!$F$101</f>
        <v>0</v>
      </c>
      <c r="MO8" s="1098">
        <f>OpBudget!$F$104</f>
        <v>0</v>
      </c>
      <c r="MP8" s="1098">
        <f>OpBudget!$F$105</f>
        <v>0</v>
      </c>
      <c r="MQ8" s="1089" t="str">
        <f>OpBudget!$D$105</f>
        <v>[Describe here]</v>
      </c>
      <c r="MR8" s="1098">
        <f>OpBudget!$F$106</f>
        <v>0</v>
      </c>
      <c r="MS8" s="1089" t="str">
        <f>OpBudget!$D$106</f>
        <v>[Describe here]</v>
      </c>
      <c r="MT8" s="1098">
        <f>OpBudget!$F$107</f>
        <v>0</v>
      </c>
      <c r="MU8" s="1089" t="str">
        <f>OpBudget!$D$107</f>
        <v>[Describe here]</v>
      </c>
      <c r="MV8" s="1098">
        <f>OpBudget!$F$108</f>
        <v>0</v>
      </c>
      <c r="MW8" s="1098">
        <f>OpBudget!$F$123</f>
        <v>0</v>
      </c>
      <c r="MX8" s="1098">
        <f>OpBudget!$F$153</f>
        <v>0</v>
      </c>
      <c r="MY8" s="1098">
        <f>OpBudget!$F$160</f>
        <v>0</v>
      </c>
      <c r="MZ8" s="1098">
        <f>OpBudget!$F$161</f>
        <v>0</v>
      </c>
      <c r="NA8" s="1098">
        <f>OpBudget!$F$162</f>
        <v>0</v>
      </c>
      <c r="NB8" s="1098">
        <f>OpBudget!$F$163</f>
        <v>0</v>
      </c>
      <c r="NC8" s="1098">
        <f>OpBudget!F$164</f>
        <v>0</v>
      </c>
      <c r="ND8" s="1098">
        <f>OpBudget!F$165</f>
        <v>0</v>
      </c>
      <c r="NE8" s="1089">
        <f>Sources!$E$10</f>
        <v>0</v>
      </c>
      <c r="NF8" s="1098">
        <f>Sources!$G$10</f>
        <v>0</v>
      </c>
      <c r="NG8" s="1089">
        <f>Sources!$E$11</f>
        <v>0</v>
      </c>
      <c r="NH8" s="1089">
        <f>Sources!$G$11</f>
        <v>0</v>
      </c>
      <c r="NI8" s="1089">
        <f>Sources!$E$12</f>
        <v>0</v>
      </c>
      <c r="NJ8" s="1098">
        <f>Sources!$G$12</f>
        <v>0</v>
      </c>
      <c r="NK8" s="1089">
        <f>Sources!$H$12</f>
        <v>0</v>
      </c>
      <c r="NL8" s="1089">
        <f>Sources!$I$12</f>
        <v>0</v>
      </c>
      <c r="NM8" s="1098">
        <f>Sources!$G$13</f>
        <v>0</v>
      </c>
      <c r="NN8" s="1100">
        <f>Sources!$H$13</f>
        <v>2.5000000000000001E-2</v>
      </c>
      <c r="NO8" s="1089">
        <f>Sources!$I$13</f>
        <v>0</v>
      </c>
      <c r="NP8" s="1089">
        <f>Sources!$E$14</f>
        <v>0</v>
      </c>
      <c r="NQ8" s="1089">
        <f>Sources!$G$14</f>
        <v>0</v>
      </c>
      <c r="NR8" s="1089">
        <f>Sources!$E$15</f>
        <v>0</v>
      </c>
      <c r="NS8" s="1098">
        <f>Sources!$G$15</f>
        <v>0</v>
      </c>
      <c r="NT8" s="1100">
        <f>Sources!$H$15</f>
        <v>0</v>
      </c>
      <c r="NU8" s="1089">
        <f>Sources!$I$15</f>
        <v>0</v>
      </c>
      <c r="NV8" s="1089">
        <f>Sources!$E$16</f>
        <v>0</v>
      </c>
      <c r="NW8" s="1098">
        <f>Sources!$G$16</f>
        <v>0</v>
      </c>
      <c r="NX8" s="1100">
        <f>Sources!$H$16</f>
        <v>0</v>
      </c>
      <c r="NY8" s="1089">
        <f>Sources!$I$16</f>
        <v>0</v>
      </c>
      <c r="NZ8" s="1089">
        <f>Sources!$E$17</f>
        <v>0</v>
      </c>
      <c r="OA8" s="1098">
        <f>Sources!$G$17</f>
        <v>0</v>
      </c>
      <c r="OB8" s="1098">
        <f>Sources!$G$18</f>
        <v>0</v>
      </c>
      <c r="OC8" s="1098">
        <f>Sources!$G$19</f>
        <v>0</v>
      </c>
      <c r="OD8" s="1100">
        <f>Sources!$H$19</f>
        <v>0.02</v>
      </c>
      <c r="OE8" s="1089">
        <f>Sources!$I$19</f>
        <v>0</v>
      </c>
      <c r="OF8" s="1098">
        <f>Sources!$G$20</f>
        <v>0</v>
      </c>
      <c r="OG8" s="1100">
        <f>Sources!$H$20</f>
        <v>0.02</v>
      </c>
      <c r="OH8" s="1089">
        <f>Sources!$I$20</f>
        <v>0</v>
      </c>
      <c r="OI8" s="1098">
        <f>Sources!$G$21</f>
        <v>0</v>
      </c>
      <c r="OJ8" s="1100">
        <f>Sources!$H$21</f>
        <v>0</v>
      </c>
      <c r="OK8" s="1089">
        <f>Sources!$I$21</f>
        <v>0</v>
      </c>
      <c r="OL8" s="1098">
        <f>Sources!$G$22</f>
        <v>0</v>
      </c>
      <c r="OM8" s="1100">
        <f>Sources!$H$22</f>
        <v>0.02</v>
      </c>
      <c r="ON8" s="1089">
        <f>Sources!$I$22</f>
        <v>0</v>
      </c>
      <c r="OO8" s="1089" t="str">
        <f>Sources!$C$23</f>
        <v>[Specify Here]</v>
      </c>
      <c r="OP8" s="1089">
        <f>Sources!$E$23</f>
        <v>0</v>
      </c>
      <c r="OQ8" s="1098">
        <f>Sources!$G$23</f>
        <v>0</v>
      </c>
      <c r="OR8" s="1100">
        <f>Sources!$H$23</f>
        <v>0</v>
      </c>
      <c r="OS8" s="1089">
        <f>Sources!$I$23</f>
        <v>0</v>
      </c>
      <c r="OT8" s="1089" t="str">
        <f>Sources!$K$23</f>
        <v>Soft Debt</v>
      </c>
      <c r="OU8" s="1089" t="str">
        <f>Sources!$C$24</f>
        <v>[Specify Here]</v>
      </c>
      <c r="OV8" s="1089">
        <f>Sources!$E$24</f>
        <v>0</v>
      </c>
      <c r="OW8" s="1098">
        <f>Sources!$G$24</f>
        <v>0</v>
      </c>
      <c r="OX8" s="1100">
        <f>Sources!$H$24</f>
        <v>0</v>
      </c>
      <c r="OY8" s="1089">
        <f>Sources!$I$24</f>
        <v>0</v>
      </c>
      <c r="OZ8" s="1089" t="str">
        <f>Sources!$K$24</f>
        <v>Soft Debt</v>
      </c>
      <c r="PA8" s="1089" t="str">
        <f>Sources!$C$25</f>
        <v>[Specify Here]</v>
      </c>
      <c r="PB8" s="1089">
        <f>Sources!$E$25</f>
        <v>0</v>
      </c>
      <c r="PC8" s="1098">
        <f>Sources!$G$25</f>
        <v>0</v>
      </c>
      <c r="PD8" s="1100">
        <f>Sources!$H$25</f>
        <v>0</v>
      </c>
      <c r="PE8" s="1089">
        <f>Sources!$I$25</f>
        <v>0</v>
      </c>
      <c r="PF8" s="1089">
        <f>Sources!$K$25</f>
        <v>0</v>
      </c>
      <c r="PG8" s="1089" t="str">
        <f>Sources!$C$26</f>
        <v>[Specify Here]</v>
      </c>
      <c r="PH8" s="1089">
        <f>Sources!$E$26</f>
        <v>0</v>
      </c>
      <c r="PI8" s="1098">
        <f>Sources!$G$26</f>
        <v>0</v>
      </c>
      <c r="PJ8" s="1100">
        <f>Sources!$H$26</f>
        <v>0</v>
      </c>
      <c r="PK8" s="1089">
        <f>Sources!$I$26</f>
        <v>0</v>
      </c>
      <c r="PL8" s="1089">
        <f>Sources!$K$26</f>
        <v>0</v>
      </c>
      <c r="PM8" s="1089" t="str">
        <f>Sources!$C$27</f>
        <v>[Specify Here]</v>
      </c>
      <c r="PN8" s="1089">
        <f>Sources!$E$27</f>
        <v>0</v>
      </c>
      <c r="PO8" s="1098">
        <f>Sources!$G$27</f>
        <v>0</v>
      </c>
      <c r="PP8" s="1100">
        <f>Sources!$H$27</f>
        <v>0</v>
      </c>
      <c r="PQ8" s="1089">
        <f>Sources!$I$27</f>
        <v>0</v>
      </c>
      <c r="PR8" s="1089">
        <f>Sources!$K$27</f>
        <v>0</v>
      </c>
      <c r="PS8" s="1089" t="str">
        <f>Sources!$C$28</f>
        <v>[Specify Here]</v>
      </c>
      <c r="PT8" s="1089">
        <f>Sources!$E$28</f>
        <v>0</v>
      </c>
      <c r="PU8" s="1098">
        <f>Sources!$G$28</f>
        <v>0</v>
      </c>
      <c r="PV8" s="1100">
        <f>Sources!$H$28</f>
        <v>0</v>
      </c>
      <c r="PW8" s="1089">
        <f>Sources!$I$28</f>
        <v>0</v>
      </c>
      <c r="PX8" s="1089">
        <f>Sources!$K$28</f>
        <v>0</v>
      </c>
      <c r="PY8" s="1089" t="str">
        <f>Sources!$C$29</f>
        <v>[Specify Here]</v>
      </c>
      <c r="PZ8" s="1089">
        <f>Sources!$E$29</f>
        <v>0</v>
      </c>
      <c r="QA8" s="1098">
        <f>Sources!$G$29</f>
        <v>0</v>
      </c>
      <c r="QB8" s="1100">
        <f>Sources!$H$29</f>
        <v>0</v>
      </c>
      <c r="QC8" s="1089">
        <f>Sources!$I$29</f>
        <v>0</v>
      </c>
      <c r="QD8" s="1089">
        <f>Sources!$K$29</f>
        <v>0</v>
      </c>
      <c r="QE8" s="1098">
        <f>Sources!$G$30</f>
        <v>0</v>
      </c>
      <c r="QF8" s="1089">
        <f>Sources!$E$36</f>
        <v>0</v>
      </c>
      <c r="QG8" s="1098">
        <f>Sources!$G$36</f>
        <v>0</v>
      </c>
      <c r="QH8" s="1089">
        <f>Sources!$E$37</f>
        <v>0</v>
      </c>
      <c r="QI8" s="1098">
        <f>Sources!$G$37</f>
        <v>0</v>
      </c>
      <c r="QJ8" s="1089">
        <f>Sources!$E$38</f>
        <v>0</v>
      </c>
      <c r="QK8" s="1098">
        <f>Sources!$G$38</f>
        <v>0</v>
      </c>
      <c r="QL8" s="1100">
        <f>Sources!$H$38</f>
        <v>0</v>
      </c>
      <c r="QM8" s="1100">
        <f>Sources!$J$38</f>
        <v>0</v>
      </c>
      <c r="QN8" s="1089">
        <f>Sources!$K$38</f>
        <v>0</v>
      </c>
      <c r="QO8" s="1089">
        <f>Sources!$L$38</f>
        <v>0</v>
      </c>
      <c r="QP8" s="1089">
        <f>Sources!$E$39</f>
        <v>0</v>
      </c>
      <c r="QQ8" s="1098">
        <f>Sources!$G$39</f>
        <v>0</v>
      </c>
      <c r="QR8" s="1100">
        <f>Sources!$H$39</f>
        <v>0</v>
      </c>
      <c r="QS8" s="1100">
        <f>Sources!$J$39</f>
        <v>0</v>
      </c>
      <c r="QT8" s="1089">
        <f>Sources!$K$39</f>
        <v>0</v>
      </c>
      <c r="QU8" s="1089">
        <f>Sources!$L$38</f>
        <v>0</v>
      </c>
      <c r="QV8" s="1089">
        <f>Sources!$E$40</f>
        <v>0</v>
      </c>
      <c r="QW8" s="1098">
        <f>Sources!$G$40</f>
        <v>0</v>
      </c>
      <c r="QX8" s="1089">
        <f>Sources!$E$41</f>
        <v>0</v>
      </c>
      <c r="QY8" s="1098">
        <f>Sources!$G$41</f>
        <v>0</v>
      </c>
      <c r="QZ8" s="1100">
        <f>Sources!$H$41</f>
        <v>0</v>
      </c>
      <c r="RA8" s="1089">
        <f>Sources!$I$41</f>
        <v>0</v>
      </c>
      <c r="RB8" s="1089">
        <f>Sources!$K$41</f>
        <v>0</v>
      </c>
      <c r="RC8" s="1089">
        <f>Sources!$E$42</f>
        <v>0</v>
      </c>
      <c r="RD8" s="1098">
        <f>Sources!$G$42</f>
        <v>0</v>
      </c>
      <c r="RE8" s="1100">
        <f>Sources!$H$42</f>
        <v>0</v>
      </c>
      <c r="RF8" s="1089">
        <f>Sources!$I$42</f>
        <v>0</v>
      </c>
      <c r="RG8" s="1089">
        <f>Sources!$K$42</f>
        <v>0</v>
      </c>
      <c r="RH8" s="1089">
        <f>Sources!$E$43</f>
        <v>0</v>
      </c>
      <c r="RI8" s="1089">
        <f>Sources!$G$43</f>
        <v>0</v>
      </c>
      <c r="RJ8" s="1098">
        <f>Sources!$G$44</f>
        <v>0</v>
      </c>
      <c r="RK8" s="1100">
        <f>Sources!$H$44</f>
        <v>0.02</v>
      </c>
      <c r="RL8" s="1089" t="str">
        <f>Sources!$I$44</f>
        <v>Simple</v>
      </c>
      <c r="RM8" s="1089">
        <f>Sources!$K$44</f>
        <v>0</v>
      </c>
      <c r="RN8" s="1098">
        <f>Sources!$G$45</f>
        <v>0</v>
      </c>
      <c r="RO8" s="1100">
        <f>Sources!$H$45</f>
        <v>0.02</v>
      </c>
      <c r="RP8" s="1089" t="str">
        <f>Sources!$I$45</f>
        <v>Simple</v>
      </c>
      <c r="RQ8" s="1089">
        <f>Sources!$K$45</f>
        <v>0</v>
      </c>
      <c r="RR8" s="1098">
        <f>Sources!$G$46</f>
        <v>0</v>
      </c>
      <c r="RS8" s="1100">
        <f>Sources!$H$46</f>
        <v>0</v>
      </c>
      <c r="RT8" s="1089" t="str">
        <f>Sources!$I$46</f>
        <v>Simple</v>
      </c>
      <c r="RU8" s="1089">
        <f>Sources!$K$46</f>
        <v>0</v>
      </c>
      <c r="RV8" s="1098">
        <f>Sources!$G$47</f>
        <v>0</v>
      </c>
      <c r="RW8" s="1100">
        <f>Sources!$H$47</f>
        <v>0.02</v>
      </c>
      <c r="RX8" s="1089" t="str">
        <f>Sources!$I$47</f>
        <v>Simple</v>
      </c>
      <c r="RY8" s="1089">
        <f>Sources!$K$47</f>
        <v>0</v>
      </c>
      <c r="RZ8" s="1089" t="str">
        <f>Sources!$C$48</f>
        <v>[Specify Here]</v>
      </c>
      <c r="SA8" s="1089">
        <f>Sources!$E$48</f>
        <v>0</v>
      </c>
      <c r="SB8" s="1098">
        <f>Sources!$G$48</f>
        <v>0</v>
      </c>
      <c r="SC8" s="1100">
        <f>Sources!$H$48</f>
        <v>0</v>
      </c>
      <c r="SD8" s="1089">
        <f>Sources!$I$48</f>
        <v>0</v>
      </c>
      <c r="SE8" s="1089">
        <f>Sources!$K$48</f>
        <v>0</v>
      </c>
      <c r="SF8" s="1089" t="str">
        <f>Sources!$M$48</f>
        <v>Soft Debt</v>
      </c>
      <c r="SG8" s="1089" t="str">
        <f>Sources!$C$49</f>
        <v>[Specify Here]</v>
      </c>
      <c r="SH8" s="1089">
        <f>Sources!$E$49</f>
        <v>0</v>
      </c>
      <c r="SI8" s="1098">
        <f>Sources!$G$49</f>
        <v>0</v>
      </c>
      <c r="SJ8" s="1100">
        <f>Sources!$H$49</f>
        <v>0</v>
      </c>
      <c r="SK8" s="1089">
        <f>Sources!$I$49</f>
        <v>0</v>
      </c>
      <c r="SL8" s="1089">
        <f>Sources!$K$49</f>
        <v>0</v>
      </c>
      <c r="SM8" s="1089" t="str">
        <f>Sources!$M$49</f>
        <v>Soft Debt</v>
      </c>
      <c r="SN8" s="1089" t="str">
        <f>Sources!$C$50</f>
        <v>[Specify Here]</v>
      </c>
      <c r="SO8" s="1089">
        <f>Sources!$E$50</f>
        <v>0</v>
      </c>
      <c r="SP8" s="1098">
        <f>Sources!$G$50</f>
        <v>0</v>
      </c>
      <c r="SQ8" s="1100">
        <f>Sources!$H$50</f>
        <v>0</v>
      </c>
      <c r="SR8" s="1089">
        <f>Sources!$I$50</f>
        <v>0</v>
      </c>
      <c r="SS8" s="1089">
        <f>Sources!$K$50</f>
        <v>0</v>
      </c>
      <c r="ST8" s="1089">
        <f>Sources!$M$50</f>
        <v>0</v>
      </c>
      <c r="SU8" s="1089" t="str">
        <f>Sources!$C$51</f>
        <v>[Specify Here]</v>
      </c>
      <c r="SV8" s="1089">
        <f>Sources!$E$51</f>
        <v>0</v>
      </c>
      <c r="SW8" s="1098">
        <f>Sources!$G$51</f>
        <v>0</v>
      </c>
      <c r="SX8" s="1100">
        <f>Sources!$H$51</f>
        <v>0</v>
      </c>
      <c r="SY8" s="1089">
        <f>Sources!$I$51</f>
        <v>0</v>
      </c>
      <c r="SZ8" s="1089">
        <f>Sources!$K$51</f>
        <v>0</v>
      </c>
      <c r="TA8" s="1089">
        <f>Sources!$M$51</f>
        <v>0</v>
      </c>
      <c r="TB8" s="1089" t="str">
        <f>Sources!$C$52</f>
        <v>[Specify Here]</v>
      </c>
      <c r="TC8" s="1089">
        <f>Sources!$E$52</f>
        <v>0</v>
      </c>
      <c r="TD8" s="1098">
        <f>Sources!$G$52</f>
        <v>0</v>
      </c>
      <c r="TE8" s="1100">
        <f>Sources!$H$52</f>
        <v>0</v>
      </c>
      <c r="TF8" s="1089">
        <f>Sources!$I$52</f>
        <v>0</v>
      </c>
      <c r="TG8" s="1089">
        <f>Sources!$K$52</f>
        <v>0</v>
      </c>
      <c r="TH8" s="1089">
        <f>Sources!$M$52</f>
        <v>0</v>
      </c>
      <c r="TI8" s="1089" t="str">
        <f>Sources!$C$53</f>
        <v>[Specify Here]</v>
      </c>
      <c r="TJ8" s="1089">
        <f>Sources!$E$53</f>
        <v>0</v>
      </c>
      <c r="TK8" s="1098">
        <f>Sources!$G$53</f>
        <v>0</v>
      </c>
      <c r="TL8" s="1100">
        <f>Sources!$H$53</f>
        <v>0</v>
      </c>
      <c r="TM8" s="1089">
        <f>Sources!$I$53</f>
        <v>0</v>
      </c>
      <c r="TN8" s="1089">
        <f>Sources!$K$53</f>
        <v>0</v>
      </c>
      <c r="TO8" s="1089">
        <f>Sources!$M$53</f>
        <v>0</v>
      </c>
      <c r="TP8" s="1089" t="str">
        <f>Sources!$C$54</f>
        <v>[Specify Here]</v>
      </c>
      <c r="TQ8" s="1089">
        <f>Sources!$E$54</f>
        <v>0</v>
      </c>
      <c r="TR8" s="1098">
        <f>Sources!$G$54</f>
        <v>0</v>
      </c>
      <c r="TS8" s="1100">
        <f>Sources!$H$54</f>
        <v>0</v>
      </c>
      <c r="TT8" s="1089">
        <f>Sources!$I$54</f>
        <v>0</v>
      </c>
      <c r="TU8" s="1089">
        <f>Sources!$K$54</f>
        <v>0</v>
      </c>
      <c r="TV8" s="1089">
        <f>Sources!$M$54</f>
        <v>0</v>
      </c>
      <c r="TW8" s="1089" t="str">
        <f>Sources!$C$55</f>
        <v>[Specify Here]</v>
      </c>
      <c r="TX8" s="1089">
        <f>Sources!$E$55</f>
        <v>0</v>
      </c>
      <c r="TY8" s="1098">
        <f>Sources!$G$55</f>
        <v>0</v>
      </c>
      <c r="TZ8" s="1100">
        <f>Sources!$H$55</f>
        <v>0</v>
      </c>
      <c r="UA8" s="1089">
        <f>Sources!$I$55</f>
        <v>0</v>
      </c>
      <c r="UB8" s="1089">
        <f>Sources!$K$55</f>
        <v>0</v>
      </c>
      <c r="UC8" s="1089">
        <f>Sources!$M$55</f>
        <v>0</v>
      </c>
      <c r="UD8" s="1098">
        <f>Uses!$I$9</f>
        <v>0</v>
      </c>
      <c r="UE8" s="1098">
        <f>Uses!$I$10</f>
        <v>0</v>
      </c>
      <c r="UF8" s="1098">
        <f>Uses!$I$11</f>
        <v>0</v>
      </c>
      <c r="UG8" s="1098">
        <f>Uses!$I$12</f>
        <v>0</v>
      </c>
      <c r="UH8" s="1098">
        <f>Uses!$I$13</f>
        <v>0</v>
      </c>
      <c r="UI8" s="1098">
        <f>Uses!$I$15</f>
        <v>0</v>
      </c>
      <c r="UJ8" s="1098">
        <f>Uses!$I$16</f>
        <v>0</v>
      </c>
      <c r="UK8" s="1098">
        <f>Uses!$I$17</f>
        <v>0</v>
      </c>
      <c r="UL8" s="1098">
        <f>Uses!$I$18</f>
        <v>0</v>
      </c>
      <c r="UM8" s="1098">
        <f>Uses!$I$19</f>
        <v>0</v>
      </c>
      <c r="UN8" s="1098">
        <f>Uses!$I$20</f>
        <v>0</v>
      </c>
      <c r="UO8" s="1098">
        <f>Uses!$I$21</f>
        <v>0</v>
      </c>
      <c r="UP8" s="1098">
        <f>Uses!$I$22</f>
        <v>0</v>
      </c>
      <c r="UQ8" s="1098">
        <f>Uses!$I$23</f>
        <v>0</v>
      </c>
      <c r="UR8" s="1098">
        <f>Uses!$I$25</f>
        <v>0</v>
      </c>
      <c r="US8" s="1098">
        <f>Uses!$I$26</f>
        <v>0</v>
      </c>
      <c r="UT8" s="1098">
        <f>Uses!$I$27</f>
        <v>0</v>
      </c>
      <c r="UU8" s="1098">
        <f>Uses!$I$28</f>
        <v>0</v>
      </c>
      <c r="UV8" s="1098">
        <f>Uses!$I$29</f>
        <v>0</v>
      </c>
      <c r="UW8" s="1098">
        <f>Uses!$I$30</f>
        <v>0</v>
      </c>
      <c r="UX8" s="1098">
        <f>Uses!$I$32</f>
        <v>0</v>
      </c>
      <c r="UY8" s="1098">
        <f>Uses!$I$33</f>
        <v>0</v>
      </c>
      <c r="UZ8" s="1098">
        <f>Uses!$I$34</f>
        <v>0</v>
      </c>
      <c r="VA8" s="1098">
        <f>Uses!$I$35</f>
        <v>0</v>
      </c>
      <c r="VB8" s="1098">
        <f>Uses!$I$36</f>
        <v>0</v>
      </c>
      <c r="VC8" s="1098">
        <f>Uses!$I$37</f>
        <v>0</v>
      </c>
      <c r="VD8" s="1098">
        <f>Uses!$I$38</f>
        <v>0</v>
      </c>
      <c r="VE8" s="1098">
        <f>Uses!$I$39</f>
        <v>0</v>
      </c>
      <c r="VF8" s="1098">
        <f>Uses!$I$40</f>
        <v>0</v>
      </c>
      <c r="VG8" s="1098">
        <f>Uses!$I$41</f>
        <v>0</v>
      </c>
      <c r="VH8" s="1098">
        <f>Uses!$I$42</f>
        <v>0</v>
      </c>
      <c r="VI8" s="1098">
        <f>Uses!$I$43</f>
        <v>0</v>
      </c>
      <c r="VJ8" s="1098">
        <f>Uses!$I$44</f>
        <v>0</v>
      </c>
      <c r="VK8" s="1098">
        <f>Uses!$I$45</f>
        <v>0</v>
      </c>
      <c r="VL8" s="1098">
        <f>Uses!$I$47</f>
        <v>0</v>
      </c>
      <c r="VM8" s="1098">
        <f>Uses!$I$48</f>
        <v>0</v>
      </c>
      <c r="VN8" s="1098">
        <f>Uses!$I$49</f>
        <v>0</v>
      </c>
      <c r="VO8" s="1098">
        <f>Uses!$I$50</f>
        <v>0</v>
      </c>
      <c r="VP8" s="1098">
        <f>Uses!$I$51</f>
        <v>0</v>
      </c>
      <c r="VQ8" s="1098">
        <f>Uses!$I$52</f>
        <v>0</v>
      </c>
      <c r="VR8" s="1098">
        <f>Uses!$I$53</f>
        <v>0</v>
      </c>
      <c r="VS8" s="1098">
        <f>Uses!$I$54</f>
        <v>0</v>
      </c>
      <c r="VT8" s="1098">
        <f>Uses!$I$55</f>
        <v>0</v>
      </c>
      <c r="VU8" s="1098">
        <f>Uses!$I$57</f>
        <v>0</v>
      </c>
      <c r="VV8" s="1098">
        <f>Uses!$I$58</f>
        <v>0</v>
      </c>
      <c r="VW8" s="1098">
        <f>Uses!$I$59</f>
        <v>0</v>
      </c>
      <c r="VX8" s="1098">
        <f>Uses!$I$60</f>
        <v>0</v>
      </c>
      <c r="VY8" s="1098">
        <f>Uses!$I$61</f>
        <v>0</v>
      </c>
      <c r="VZ8" s="1098">
        <f>Uses!$I$62</f>
        <v>0</v>
      </c>
      <c r="WA8" s="1098">
        <f>Uses!$I$63</f>
        <v>0</v>
      </c>
      <c r="WB8" s="1098">
        <f>Uses!$I$64</f>
        <v>0</v>
      </c>
      <c r="WC8" s="1098">
        <f>Uses!$I$65</f>
        <v>0</v>
      </c>
      <c r="WD8" s="1098">
        <f>Uses!$I$66</f>
        <v>0</v>
      </c>
      <c r="WE8" s="1098">
        <f>Uses!$I$67</f>
        <v>0</v>
      </c>
      <c r="WF8" s="1098">
        <f>Uses!$I$68</f>
        <v>0</v>
      </c>
      <c r="WG8" s="1098">
        <f>Uses!$I$69</f>
        <v>0</v>
      </c>
      <c r="WH8" s="1098">
        <f>Uses!$I$71</f>
        <v>0</v>
      </c>
      <c r="WI8" s="1098">
        <f>Uses!$I$72</f>
        <v>0</v>
      </c>
      <c r="WJ8" s="1098">
        <f>Uses!$I$73</f>
        <v>0</v>
      </c>
      <c r="WK8" s="1098">
        <f>Uses!$I$74</f>
        <v>0</v>
      </c>
      <c r="WL8" s="1098">
        <f>Uses!$I$75</f>
        <v>0</v>
      </c>
      <c r="WM8" s="1098">
        <f>Uses!$I$76</f>
        <v>0</v>
      </c>
      <c r="WN8" s="1098">
        <f>Uses!$I$77</f>
        <v>0</v>
      </c>
      <c r="WO8" s="1098">
        <f>Uses!$I$78</f>
        <v>0</v>
      </c>
      <c r="WP8" s="1098">
        <f>Uses!$I$80</f>
        <v>0</v>
      </c>
      <c r="WQ8" s="1098">
        <f>Uses!$I$81</f>
        <v>0</v>
      </c>
      <c r="WR8" s="1098">
        <f>Uses!$I$82</f>
        <v>0</v>
      </c>
      <c r="WS8" s="1098">
        <f>Uses!$I$83</f>
        <v>0</v>
      </c>
      <c r="WT8" s="1098">
        <f>Uses!$J$9</f>
        <v>0</v>
      </c>
      <c r="WU8" s="1098">
        <f>Uses!$J$10</f>
        <v>0</v>
      </c>
      <c r="WV8" s="1098">
        <f>Uses!$J$11</f>
        <v>0</v>
      </c>
      <c r="WW8" s="1098">
        <f>Uses!$J$12</f>
        <v>0</v>
      </c>
      <c r="WX8" s="1098">
        <f>Uses!$J$13</f>
        <v>0</v>
      </c>
      <c r="WY8" s="1098">
        <f>Uses!$J$15</f>
        <v>0</v>
      </c>
      <c r="WZ8" s="1098">
        <f>Uses!$J$16</f>
        <v>0</v>
      </c>
      <c r="XA8" s="1098">
        <f>Uses!$J$17</f>
        <v>0</v>
      </c>
      <c r="XB8" s="1098">
        <f>Uses!$J$18</f>
        <v>0</v>
      </c>
      <c r="XC8" s="1098">
        <f>Uses!$J$19</f>
        <v>0</v>
      </c>
      <c r="XD8" s="1098">
        <f>Uses!$J$20</f>
        <v>0</v>
      </c>
      <c r="XE8" s="1098">
        <f>Uses!$J$21</f>
        <v>0</v>
      </c>
      <c r="XF8" s="1098">
        <f>Uses!$J$22</f>
        <v>0</v>
      </c>
      <c r="XG8" s="1098">
        <f>Uses!$J$23</f>
        <v>0</v>
      </c>
      <c r="XH8" s="1098">
        <f>Uses!$J$24</f>
        <v>0</v>
      </c>
      <c r="XI8" s="1098">
        <f>Uses!$J$25</f>
        <v>0</v>
      </c>
      <c r="XJ8" s="1098">
        <f>Uses!$J$26</f>
        <v>0</v>
      </c>
      <c r="XK8" s="1098">
        <f>Uses!$J$27</f>
        <v>0</v>
      </c>
      <c r="XL8" s="1098">
        <f>Uses!$J$28</f>
        <v>0</v>
      </c>
      <c r="XM8" s="1098">
        <f>Uses!$J$29</f>
        <v>0</v>
      </c>
      <c r="XN8" s="1098">
        <f>Uses!$J$30</f>
        <v>0</v>
      </c>
      <c r="XO8" s="1098">
        <f>Uses!$J$32</f>
        <v>0</v>
      </c>
      <c r="XP8" s="1098">
        <f>Uses!$J$33</f>
        <v>0</v>
      </c>
      <c r="XQ8" s="1098">
        <f>Uses!$J$34</f>
        <v>0</v>
      </c>
      <c r="XR8" s="1098">
        <f>Uses!$J$35</f>
        <v>0</v>
      </c>
      <c r="XS8" s="1098">
        <f>Uses!$J$36</f>
        <v>0</v>
      </c>
      <c r="XT8" s="1098">
        <f>Uses!$J$37</f>
        <v>0</v>
      </c>
      <c r="XU8" s="1098">
        <f>Uses!$J$38</f>
        <v>0</v>
      </c>
      <c r="XV8" s="1098">
        <f>Uses!$J$39</f>
        <v>0</v>
      </c>
      <c r="XW8" s="1098">
        <f>Uses!$J$40</f>
        <v>0</v>
      </c>
      <c r="XX8" s="1098">
        <f>Uses!$J$41</f>
        <v>0</v>
      </c>
      <c r="XY8" s="1098">
        <f>Uses!$J$42</f>
        <v>0</v>
      </c>
      <c r="XZ8" s="1098">
        <f>Uses!$J$43</f>
        <v>0</v>
      </c>
      <c r="YA8" s="1098">
        <f>Uses!$J$44</f>
        <v>0</v>
      </c>
      <c r="YB8" s="1098">
        <f>Uses!$J$45</f>
        <v>0</v>
      </c>
      <c r="YC8" s="1098">
        <f>Uses!$J$47</f>
        <v>0</v>
      </c>
      <c r="YD8" s="1098">
        <f>Uses!$J$48</f>
        <v>0</v>
      </c>
      <c r="YE8" s="1098">
        <f>Uses!$J$49</f>
        <v>0</v>
      </c>
      <c r="YF8" s="1098">
        <f>Uses!$J$50</f>
        <v>0</v>
      </c>
      <c r="YG8" s="1098">
        <f>Uses!$J$51</f>
        <v>0</v>
      </c>
      <c r="YH8" s="1098">
        <f>Uses!$J$52</f>
        <v>0</v>
      </c>
      <c r="YI8" s="1098">
        <f>Uses!$J$53</f>
        <v>0</v>
      </c>
      <c r="YJ8" s="1098">
        <f>Uses!$J$54</f>
        <v>0</v>
      </c>
      <c r="YK8" s="1098">
        <f>Uses!$J$55</f>
        <v>0</v>
      </c>
      <c r="YL8" s="1098">
        <f>Uses!$J$57</f>
        <v>0</v>
      </c>
      <c r="YM8" s="1098">
        <f>Uses!$J$58</f>
        <v>0</v>
      </c>
      <c r="YN8" s="1098">
        <f>Uses!$J$59</f>
        <v>0</v>
      </c>
      <c r="YO8" s="1098">
        <f>Uses!$J$60</f>
        <v>0</v>
      </c>
      <c r="YP8" s="1098">
        <f>Uses!$J$61</f>
        <v>0</v>
      </c>
      <c r="YQ8" s="1098">
        <f>Uses!$J$62</f>
        <v>0</v>
      </c>
      <c r="YR8" s="1098">
        <f>Uses!$J$63</f>
        <v>0</v>
      </c>
      <c r="YS8" s="1098">
        <f>Uses!$J$64</f>
        <v>0</v>
      </c>
      <c r="YT8" s="1098">
        <f>Uses!$J$65</f>
        <v>0</v>
      </c>
      <c r="YU8" s="1098">
        <f>Uses!$J$66</f>
        <v>0</v>
      </c>
      <c r="YV8" s="1098">
        <f>Uses!$J$67</f>
        <v>0</v>
      </c>
      <c r="YW8" s="1098">
        <f>Uses!$J$68</f>
        <v>0</v>
      </c>
      <c r="YX8" s="1098">
        <f>Uses!$J$69</f>
        <v>0</v>
      </c>
      <c r="YY8" s="1098">
        <f>Uses!$J$71</f>
        <v>5000</v>
      </c>
      <c r="YZ8" s="1098">
        <f>Uses!$J$72</f>
        <v>3000</v>
      </c>
      <c r="ZA8" s="1098">
        <f>Uses!$J$73</f>
        <v>0</v>
      </c>
      <c r="ZB8" s="1098">
        <f>Uses!$J$74</f>
        <v>0</v>
      </c>
      <c r="ZC8" s="1098">
        <f>Uses!$J$75</f>
        <v>0</v>
      </c>
      <c r="ZD8" s="1098">
        <f>Uses!$J$76</f>
        <v>0</v>
      </c>
      <c r="ZE8" s="1098">
        <f>Uses!$J$77</f>
        <v>0</v>
      </c>
      <c r="ZF8" s="1098">
        <f>Uses!$J$78</f>
        <v>0</v>
      </c>
      <c r="ZG8" s="1098">
        <f>Uses!$J$80</f>
        <v>0</v>
      </c>
      <c r="ZH8" s="1098">
        <f>Uses!$J$81</f>
        <v>0</v>
      </c>
      <c r="ZI8" s="1098">
        <f>Uses!$J$82</f>
        <v>0</v>
      </c>
      <c r="ZJ8" s="1098">
        <f>Uses!$J$83</f>
        <v>0</v>
      </c>
      <c r="ZK8" s="1098">
        <f>Uses!$K$9</f>
        <v>0</v>
      </c>
      <c r="ZL8" s="1098">
        <f>Uses!$K$10</f>
        <v>0</v>
      </c>
      <c r="ZM8" s="1098">
        <f>Uses!$K$11</f>
        <v>0</v>
      </c>
      <c r="ZN8" s="1098">
        <f>Uses!$K$12</f>
        <v>0</v>
      </c>
      <c r="ZO8" s="1098">
        <f>Uses!$K$13</f>
        <v>0</v>
      </c>
      <c r="ZP8" s="1098">
        <f>Uses!$K$15</f>
        <v>0</v>
      </c>
      <c r="ZQ8" s="1098">
        <f>Uses!$K$16</f>
        <v>0</v>
      </c>
      <c r="ZR8" s="1098">
        <f>Uses!$K$17</f>
        <v>0</v>
      </c>
      <c r="ZS8" s="1098">
        <f>Uses!$K$18</f>
        <v>0</v>
      </c>
      <c r="ZT8" s="1098">
        <f>Uses!$K$19</f>
        <v>0</v>
      </c>
      <c r="ZU8" s="1098">
        <f>Uses!$K$20</f>
        <v>0</v>
      </c>
      <c r="ZV8" s="1098">
        <f>Uses!$K$21</f>
        <v>0</v>
      </c>
      <c r="ZW8" s="1098">
        <f>Uses!$K$22</f>
        <v>0</v>
      </c>
      <c r="ZX8" s="1098">
        <f>Uses!$K$23</f>
        <v>0</v>
      </c>
      <c r="ZY8" s="1098">
        <f>Uses!$K$24</f>
        <v>0</v>
      </c>
      <c r="ZZ8" s="1098">
        <f>Uses!$K$25</f>
        <v>0</v>
      </c>
      <c r="AAA8" s="1098">
        <f>Uses!$K$26</f>
        <v>0</v>
      </c>
      <c r="AAB8" s="1098">
        <f>Uses!$K$27</f>
        <v>0</v>
      </c>
      <c r="AAC8" s="1098">
        <f>Uses!$K$28</f>
        <v>0</v>
      </c>
      <c r="AAD8" s="1098">
        <f>Uses!$K$29</f>
        <v>0</v>
      </c>
      <c r="AAE8" s="1098">
        <f>Uses!$K$30</f>
        <v>0</v>
      </c>
      <c r="AAF8" s="1098">
        <f>Uses!$K$32</f>
        <v>0</v>
      </c>
      <c r="AAG8" s="1098">
        <f>Uses!$K$33</f>
        <v>0</v>
      </c>
      <c r="AAH8" s="1098">
        <f>Uses!$K$34</f>
        <v>0</v>
      </c>
      <c r="AAI8" s="1098">
        <f>Uses!$K$35</f>
        <v>0</v>
      </c>
      <c r="AAJ8" s="1098">
        <f>Uses!$K$36</f>
        <v>0</v>
      </c>
      <c r="AAK8" s="1098">
        <f>Uses!$K$37</f>
        <v>0</v>
      </c>
      <c r="AAL8" s="1098">
        <f>Uses!$K$38</f>
        <v>0</v>
      </c>
      <c r="AAM8" s="1098">
        <f>Uses!$K$39</f>
        <v>0</v>
      </c>
      <c r="AAN8" s="1098">
        <f>Uses!$K$40</f>
        <v>0</v>
      </c>
      <c r="AAO8" s="1098">
        <f>Uses!$K$41</f>
        <v>0</v>
      </c>
      <c r="AAP8" s="1098">
        <f>Uses!$K$42</f>
        <v>0</v>
      </c>
      <c r="AAQ8" s="1098">
        <f>Uses!$K$43</f>
        <v>0</v>
      </c>
      <c r="AAR8" s="1098">
        <f>Uses!$K$44</f>
        <v>0</v>
      </c>
      <c r="AAS8" s="1098">
        <f>Uses!$K$45</f>
        <v>0</v>
      </c>
      <c r="AAT8" s="1098">
        <f>Uses!$K$47</f>
        <v>0</v>
      </c>
      <c r="AAU8" s="1098">
        <f>Uses!$K$48</f>
        <v>0</v>
      </c>
      <c r="AAV8" s="1098">
        <f>Uses!$K$49</f>
        <v>0</v>
      </c>
      <c r="AAW8" s="1098">
        <f>Uses!$K$50</f>
        <v>0</v>
      </c>
      <c r="AAX8" s="1098">
        <f>Uses!$K$51</f>
        <v>0</v>
      </c>
      <c r="AAY8" s="1098">
        <f>Uses!$K$52</f>
        <v>0</v>
      </c>
      <c r="AAZ8" s="1098">
        <f>Uses!$K$53</f>
        <v>0</v>
      </c>
      <c r="ABA8" s="1098">
        <f>Uses!$K$54</f>
        <v>0</v>
      </c>
      <c r="ABB8" s="1098">
        <f>Uses!$K$55</f>
        <v>0</v>
      </c>
      <c r="ABC8" s="1098">
        <f>Uses!$K$57</f>
        <v>0</v>
      </c>
      <c r="ABD8" s="1098">
        <f>Uses!$K$58</f>
        <v>0</v>
      </c>
      <c r="ABE8" s="1098">
        <f>Uses!$K$59</f>
        <v>0</v>
      </c>
      <c r="ABF8" s="1098">
        <f>Uses!$K$60</f>
        <v>0</v>
      </c>
      <c r="ABG8" s="1098">
        <f>Uses!$K$61</f>
        <v>0</v>
      </c>
      <c r="ABH8" s="1098">
        <f>Uses!$K$62</f>
        <v>0</v>
      </c>
      <c r="ABI8" s="1098">
        <f>Uses!$K$63</f>
        <v>0</v>
      </c>
      <c r="ABJ8" s="1098">
        <f>Uses!$K$64</f>
        <v>0</v>
      </c>
      <c r="ABK8" s="1098">
        <f>Uses!$K$65</f>
        <v>0</v>
      </c>
      <c r="ABL8" s="1098">
        <f>Uses!$K$66</f>
        <v>0</v>
      </c>
      <c r="ABM8" s="1098">
        <f>Uses!$K$67</f>
        <v>0</v>
      </c>
      <c r="ABN8" s="1098">
        <f>Uses!$K$68</f>
        <v>0</v>
      </c>
      <c r="ABO8" s="1098">
        <f>Uses!$K$69</f>
        <v>0</v>
      </c>
      <c r="ABP8" s="1098">
        <f>Uses!$K$71</f>
        <v>5000</v>
      </c>
      <c r="ABQ8" s="1098">
        <f>Uses!$K$72</f>
        <v>3000</v>
      </c>
      <c r="ABR8" s="1098">
        <f>Uses!$K$73</f>
        <v>0</v>
      </c>
      <c r="ABS8" s="1098">
        <f>Uses!$K$74</f>
        <v>0</v>
      </c>
      <c r="ABT8" s="1098">
        <f>Uses!$K$75</f>
        <v>0</v>
      </c>
      <c r="ABU8" s="1098">
        <f>Uses!$K$76</f>
        <v>0</v>
      </c>
      <c r="ABV8" s="1098">
        <f>Uses!$K$77</f>
        <v>0</v>
      </c>
      <c r="ABW8" s="1098">
        <f>Uses!$K$78</f>
        <v>0</v>
      </c>
      <c r="ABX8" s="1098">
        <f>Uses!$K$80</f>
        <v>0</v>
      </c>
      <c r="ABY8" s="1098">
        <f>Uses!$K$81</f>
        <v>0</v>
      </c>
      <c r="ABZ8" s="1098">
        <f>Uses!$K$82</f>
        <v>0</v>
      </c>
      <c r="ACA8" s="1098">
        <f>Uses!$K$83</f>
        <v>0</v>
      </c>
      <c r="ACB8" s="1098">
        <f>Uses!$F$84</f>
        <v>0</v>
      </c>
      <c r="ACC8" s="1098">
        <f>Uses!$G$84</f>
        <v>0</v>
      </c>
      <c r="ACD8" s="1098">
        <f>Uses!$H$84</f>
        <v>0</v>
      </c>
      <c r="ACE8" s="1098">
        <f>Uses!$I$84</f>
        <v>0</v>
      </c>
      <c r="ACF8" s="1098">
        <f>Uses!$J$84</f>
        <v>8000</v>
      </c>
      <c r="ACG8" s="1098">
        <f>Uses!$K$84</f>
        <v>8000</v>
      </c>
      <c r="ACH8" s="1098">
        <f>Uses!$L$84</f>
        <v>0</v>
      </c>
      <c r="ACI8" s="1099">
        <f>LIHTCs!$G$11</f>
        <v>0</v>
      </c>
      <c r="ACJ8" s="1099">
        <f>SUM(LIHTCs!$F$12:$H$12)</f>
        <v>0</v>
      </c>
      <c r="ACK8" s="1099">
        <f>SUM(LIHTCs!$F$13:$H$13)</f>
        <v>0</v>
      </c>
      <c r="ACL8" s="1099">
        <f>SUM(LIHTCs!$F$14:$H$14)</f>
        <v>0</v>
      </c>
      <c r="ACM8" s="1090">
        <f>LIHTCs!$H$16</f>
        <v>0</v>
      </c>
      <c r="ACN8" s="1090">
        <f>LIHTCs!$H$18</f>
        <v>1</v>
      </c>
      <c r="ACO8" s="1099">
        <f>SUM(LIHTCs!$F$20:$H$20)</f>
        <v>0</v>
      </c>
      <c r="ACP8" s="1090">
        <f>LIHTCs!$F$22</f>
        <v>0</v>
      </c>
      <c r="ACQ8" s="1090">
        <f>LIHTCs!$F$23</f>
        <v>0</v>
      </c>
      <c r="ACR8" s="1090">
        <f>LIHTCs!$F$24</f>
        <v>0</v>
      </c>
      <c r="ACS8" s="1099">
        <f>SUM(LIHTCs!$F$26:$H$26)</f>
        <v>0</v>
      </c>
      <c r="ACT8" s="1099">
        <f>SUM(LIHTCs!$F$28:$H$28)</f>
        <v>0</v>
      </c>
      <c r="ACU8" s="1089">
        <f>LIHTCs!$F$33</f>
        <v>0</v>
      </c>
      <c r="ACV8" s="1089">
        <f>LIHTCs!$F$34</f>
        <v>0</v>
      </c>
      <c r="ACW8" s="1099">
        <f>LIHTCs!$F$40</f>
        <v>0</v>
      </c>
      <c r="ACX8" s="1099">
        <f>LIHTCs!$F$41</f>
        <v>0</v>
      </c>
      <c r="ACY8" s="1099">
        <f>LIHTCs!$F$42</f>
        <v>0</v>
      </c>
      <c r="ACZ8" s="1099">
        <f>LIHTCs!$F$43</f>
        <v>0</v>
      </c>
      <c r="ADA8" s="1099">
        <f>LIHTCs!$F$44</f>
        <v>0</v>
      </c>
      <c r="ADB8" s="1099">
        <f>LIHTCs!$F$46</f>
        <v>0</v>
      </c>
      <c r="ADC8" s="1100">
        <f>LIHTCs!$F$47</f>
        <v>0.99990000000000001</v>
      </c>
      <c r="ADD8" s="1101">
        <f>LIHTCs!$F$48</f>
        <v>0</v>
      </c>
      <c r="ADE8" s="1089" t="str">
        <f>LIHTCs!$D$55</f>
        <v>Admission of LP/MM</v>
      </c>
      <c r="ADF8" s="1096">
        <f>LIHTCs!$F$55</f>
        <v>0</v>
      </c>
      <c r="ADG8" s="1098">
        <f>LIHTCs!$I$55</f>
        <v>0</v>
      </c>
      <c r="ADH8" s="1089">
        <f>LIHTCs!$D$56</f>
        <v>0</v>
      </c>
      <c r="ADI8" s="1096">
        <f>LIHTCs!$F$56</f>
        <v>0</v>
      </c>
      <c r="ADJ8" s="1098">
        <f>LIHTCs!$I$56</f>
        <v>0</v>
      </c>
      <c r="ADK8" s="1089">
        <f>LIHTCs!$D$57</f>
        <v>0</v>
      </c>
      <c r="ADL8" s="1096">
        <f>LIHTCs!$F$57</f>
        <v>0</v>
      </c>
      <c r="ADM8" s="1098">
        <f>LIHTCs!$I$57</f>
        <v>0</v>
      </c>
      <c r="ADN8" s="1089">
        <f>LIHTCs!$D$58</f>
        <v>0</v>
      </c>
      <c r="ADO8" s="1096">
        <f>LIHTCs!$F$58</f>
        <v>0</v>
      </c>
      <c r="ADP8" s="1098">
        <f>LIHTCs!$I$58</f>
        <v>0</v>
      </c>
      <c r="ADQ8" s="1089">
        <f>LIHTCs!$D$59</f>
        <v>0</v>
      </c>
      <c r="ADR8" s="1096">
        <f>LIHTCs!$F$59</f>
        <v>0</v>
      </c>
      <c r="ADS8" s="1098">
        <f>LIHTCs!$I$59</f>
        <v>0</v>
      </c>
      <c r="ADT8" s="1089">
        <f>LIHTCs!$D$60</f>
        <v>0</v>
      </c>
      <c r="ADU8" s="1096">
        <f>LIHTCs!$F$60</f>
        <v>0</v>
      </c>
      <c r="ADV8" s="1098">
        <f>LIHTCs!$I$60</f>
        <v>0</v>
      </c>
      <c r="ADW8" s="1089">
        <f>LIHTCs!$D$61</f>
        <v>0</v>
      </c>
      <c r="ADX8" s="1096">
        <f>LIHTCs!$F$61</f>
        <v>0</v>
      </c>
      <c r="ADY8" s="1098">
        <f>LIHTCs!$I$61</f>
        <v>0</v>
      </c>
      <c r="ADZ8" s="1089">
        <f>LIHTCs!$D$62</f>
        <v>0</v>
      </c>
      <c r="AEA8" s="1096">
        <f>LIHTCs!$F$62</f>
        <v>0</v>
      </c>
      <c r="AEB8" s="1098">
        <f>LIHTCs!$I$62</f>
        <v>0</v>
      </c>
      <c r="AEC8" s="1089">
        <f>LIHTCs!$D$63</f>
        <v>0</v>
      </c>
      <c r="AED8" s="1096">
        <f>LIHTCs!$F$63</f>
        <v>0</v>
      </c>
      <c r="AEE8" s="1098">
        <f>LIHTCs!$I$63</f>
        <v>0</v>
      </c>
      <c r="AEF8" s="1089">
        <f>LIHTCs!$D$64</f>
        <v>0</v>
      </c>
      <c r="AEG8" s="1096">
        <f>LIHTCs!$F$64</f>
        <v>0</v>
      </c>
      <c r="AEH8" s="1098">
        <f>LIHTCs!$I$64</f>
        <v>0</v>
      </c>
      <c r="AEI8" s="1089">
        <f>LIHTCs!$D$65</f>
        <v>0</v>
      </c>
      <c r="AEJ8" s="1096">
        <f>LIHTCs!$F$65</f>
        <v>0</v>
      </c>
      <c r="AEK8" s="1098">
        <f>LIHTCs!$I$65</f>
        <v>0</v>
      </c>
      <c r="AEL8" s="1089">
        <f>LIHTCs!$D$66</f>
        <v>0</v>
      </c>
      <c r="AEM8" s="1096">
        <f>LIHTCs!$F$66</f>
        <v>0</v>
      </c>
      <c r="AEN8" s="1098">
        <f>LIHTCs!$I$66</f>
        <v>0</v>
      </c>
      <c r="AEO8" s="1089">
        <f>LIHTCs!$D$67</f>
        <v>0</v>
      </c>
      <c r="AEP8" s="1096">
        <f>LIHTCs!$F$67</f>
        <v>0</v>
      </c>
      <c r="AEQ8" s="1098">
        <f>LIHTCs!$I$67</f>
        <v>0</v>
      </c>
      <c r="AER8" s="1089">
        <f>LIHTCs!$D$68</f>
        <v>0</v>
      </c>
      <c r="AES8" s="1096">
        <f>LIHTCs!$F$68</f>
        <v>0</v>
      </c>
      <c r="AET8" s="1098">
        <f>LIHTCs!$I$68</f>
        <v>0</v>
      </c>
      <c r="AEU8" s="1089">
        <f>LIHTCs!$D$69</f>
        <v>0</v>
      </c>
      <c r="AEV8" s="1096">
        <f>LIHTCs!$F$69</f>
        <v>0</v>
      </c>
      <c r="AEW8" s="1098">
        <f>LIHTCs!$I$69</f>
        <v>0</v>
      </c>
      <c r="AEX8" s="1098">
        <f>OLIHTCs!$F$13</f>
        <v>0</v>
      </c>
      <c r="AEY8" s="1098">
        <f>OLIHTCs!$F$14</f>
        <v>0</v>
      </c>
      <c r="AEZ8" s="1098">
        <f>OLIHTCs!$F$15</f>
        <v>1000000</v>
      </c>
      <c r="AFA8" s="1098">
        <f>OLIHTCs!$F$16</f>
        <v>0</v>
      </c>
      <c r="AFB8" s="1098">
        <f>OLIHTCs!$F$18</f>
        <v>0</v>
      </c>
      <c r="AFC8" s="1098">
        <f>OLIHTCs!$F$19</f>
        <v>0</v>
      </c>
      <c r="AFD8" s="1098">
        <f>OLIHTCs!$F$25</f>
        <v>0</v>
      </c>
      <c r="AFE8" s="1098">
        <f>OLIHTCs!$F$26</f>
        <v>0</v>
      </c>
      <c r="AFF8" s="1098">
        <f>OLIHTCs!$F$27</f>
        <v>0</v>
      </c>
      <c r="AFG8" s="1098">
        <f>OLIHTCs!$F$28</f>
        <v>0</v>
      </c>
      <c r="AFH8" s="1098">
        <f>OLIHTCs!$F$29</f>
        <v>0</v>
      </c>
      <c r="AFI8" s="1098">
        <f>OLIHTCs!$F$31</f>
        <v>0</v>
      </c>
      <c r="AFJ8" s="1102">
        <f>OLIHTCs!$F$32</f>
        <v>0</v>
      </c>
      <c r="AFK8" s="1089" t="str">
        <f>OLIHTCs!$D$39</f>
        <v>Admission of LP/MM</v>
      </c>
      <c r="AFL8" s="1096">
        <f>OLIHTCs!$F$39</f>
        <v>0</v>
      </c>
      <c r="AFM8" s="1098">
        <f>OLIHTCs!$I$39</f>
        <v>0</v>
      </c>
      <c r="AFN8" s="1089">
        <f>OLIHTCs!$D$40</f>
        <v>0</v>
      </c>
      <c r="AFO8" s="1096">
        <f>OLIHTCs!$F$40</f>
        <v>0</v>
      </c>
      <c r="AFP8" s="1098">
        <f>OLIHTCs!$I$40</f>
        <v>0</v>
      </c>
      <c r="AFQ8" s="1089">
        <f>OLIHTCs!$D$41</f>
        <v>0</v>
      </c>
      <c r="AFR8" s="1096">
        <f>OLIHTCs!$F$41</f>
        <v>0</v>
      </c>
      <c r="AFS8" s="1098">
        <f>OLIHTCs!$I$41</f>
        <v>0</v>
      </c>
      <c r="AFT8" s="1089">
        <f>OLIHTCs!$D$42</f>
        <v>0</v>
      </c>
      <c r="AFU8" s="1096">
        <f>OLIHTCs!$F$42</f>
        <v>0</v>
      </c>
      <c r="AFV8" s="1098">
        <f>OLIHTCs!$I$42</f>
        <v>0</v>
      </c>
      <c r="AFW8" s="1089">
        <f>OLIHTCs!$D$43</f>
        <v>0</v>
      </c>
      <c r="AFX8" s="1096">
        <f>OLIHTCs!$F$43</f>
        <v>0</v>
      </c>
      <c r="AFY8" s="1098">
        <f>OLIHTCs!$I$43</f>
        <v>0</v>
      </c>
      <c r="AFZ8" s="1089">
        <f>OLIHTCs!$D$44</f>
        <v>0</v>
      </c>
      <c r="AGA8" s="1096">
        <f>OLIHTCs!$F$44</f>
        <v>0</v>
      </c>
      <c r="AGB8" s="1098">
        <f>OLIHTCs!$I$44</f>
        <v>0</v>
      </c>
      <c r="AGC8" s="1089">
        <f>OLIHTCs!$D$45</f>
        <v>0</v>
      </c>
      <c r="AGD8" s="1096">
        <f>OLIHTCs!$F$45</f>
        <v>0</v>
      </c>
      <c r="AGE8" s="1098">
        <f>OLIHTCs!$I$45</f>
        <v>0</v>
      </c>
      <c r="AGF8" s="1089">
        <f>OLIHTCs!$D$46</f>
        <v>0</v>
      </c>
      <c r="AGG8" s="1096">
        <f>OLIHTCs!$F$46</f>
        <v>0</v>
      </c>
      <c r="AGH8" s="1098">
        <f>OLIHTCs!$I$46</f>
        <v>0</v>
      </c>
      <c r="AGI8" s="1089">
        <f>OLIHTCs!$D$47</f>
        <v>0</v>
      </c>
      <c r="AGJ8" s="1096">
        <f>OLIHTCs!$F$47</f>
        <v>0</v>
      </c>
      <c r="AGK8" s="1098">
        <f>OLIHTCs!$I$47</f>
        <v>0</v>
      </c>
      <c r="AGL8" s="1089">
        <f>OLIHTCs!$D$48</f>
        <v>0</v>
      </c>
      <c r="AGM8" s="1096">
        <f>OLIHTCs!$F$48</f>
        <v>0</v>
      </c>
      <c r="AGN8" s="1098">
        <f>OLIHTCs!$I$48</f>
        <v>0</v>
      </c>
      <c r="AGO8" s="1089">
        <f>OLIHTCs!$D$49</f>
        <v>0</v>
      </c>
      <c r="AGP8" s="1096">
        <f>OLIHTCs!$F$49</f>
        <v>0</v>
      </c>
      <c r="AGQ8" s="1098">
        <f>OLIHTCs!$I$49</f>
        <v>0</v>
      </c>
      <c r="AGR8" s="1089">
        <f>OLIHTCs!$D$50</f>
        <v>0</v>
      </c>
      <c r="AGS8" s="1096">
        <f>OLIHTCs!$F$50</f>
        <v>0</v>
      </c>
      <c r="AGT8" s="1098">
        <f>OLIHTCs!$I$50</f>
        <v>0</v>
      </c>
      <c r="AGU8" s="1089">
        <f>OLIHTCs!$D$51</f>
        <v>0</v>
      </c>
      <c r="AGV8" s="1096">
        <f>OLIHTCs!$F$51</f>
        <v>0</v>
      </c>
      <c r="AGW8" s="1098">
        <f>OLIHTCs!$I$51</f>
        <v>0</v>
      </c>
      <c r="AGX8" s="1089">
        <f>OLIHTCs!$D$52</f>
        <v>0</v>
      </c>
      <c r="AGY8" s="1096">
        <f>OLIHTCs!$F$52</f>
        <v>0</v>
      </c>
      <c r="AGZ8" s="1098">
        <f>OLIHTCs!$I$52</f>
        <v>0</v>
      </c>
      <c r="AHA8" s="1089">
        <f>OLIHTCs!$D$53</f>
        <v>0</v>
      </c>
      <c r="AHB8" s="1096">
        <f>OLIHTCs!$F$53</f>
        <v>0</v>
      </c>
      <c r="AHC8" s="1098">
        <f>OLIHTCs!$I$53</f>
        <v>0</v>
      </c>
      <c r="AHD8" s="1089">
        <f>Bonds!$E$20</f>
        <v>0</v>
      </c>
      <c r="AHE8" s="1089" t="str">
        <f>Bonds!$E$21</f>
        <v/>
      </c>
      <c r="AHF8" s="1089">
        <f>Bonds!$E$22</f>
        <v>0</v>
      </c>
      <c r="AHG8" s="1089">
        <f>Bonds!$E$23</f>
        <v>0</v>
      </c>
      <c r="AHH8" s="1089">
        <f>Bonds!$E$24</f>
        <v>0</v>
      </c>
      <c r="AHI8" s="1098">
        <f>Bonds!$E$30</f>
        <v>0</v>
      </c>
      <c r="AHJ8" s="1098">
        <f>Bonds!$E$31</f>
        <v>0</v>
      </c>
      <c r="AHK8" s="1098">
        <f>Bonds!$E$32</f>
        <v>0</v>
      </c>
      <c r="AHL8" s="1098">
        <f>Bonds!$G$34</f>
        <v>0</v>
      </c>
      <c r="AHM8" s="1093">
        <f>Bonds!$G$35</f>
        <v>0</v>
      </c>
      <c r="AHN8" s="1090">
        <f>Cashflow!$F$8</f>
        <v>0.02</v>
      </c>
      <c r="AHO8" s="1090">
        <f>Cashflow!$F$9</f>
        <v>0.02</v>
      </c>
      <c r="AHP8" s="1090">
        <f>Cashflow!$F$10</f>
        <v>0.02</v>
      </c>
      <c r="AHQ8" s="1090">
        <f>Cashflow!$F$11</f>
        <v>0.03</v>
      </c>
      <c r="AHR8" s="1090">
        <f>Cashflow!$K$8</f>
        <v>7.0000000000000007E-2</v>
      </c>
      <c r="AHS8" s="1090">
        <f>Cashflow!$K$9</f>
        <v>0.1</v>
      </c>
      <c r="AHT8" s="1090">
        <f>Cashflow!$K$10</f>
        <v>0</v>
      </c>
      <c r="AHU8" s="1103" t="str">
        <f>Cashflow!$F$50</f>
        <v>N/A</v>
      </c>
      <c r="AHV8" s="1103" t="str">
        <f>Cashflow!$T$50</f>
        <v>N/A</v>
      </c>
      <c r="AHW8" s="1103" t="str">
        <f>Cashflow!$E$52</f>
        <v/>
      </c>
      <c r="AHX8" s="1092" t="str">
        <f>Cashflow!$F$47</f>
        <v/>
      </c>
      <c r="AHY8" s="1092" t="str">
        <f>Cashflow!$T$47</f>
        <v/>
      </c>
      <c r="AHZ8" s="1103" t="str">
        <f>Cashflow!$E$49</f>
        <v/>
      </c>
      <c r="AIA8" s="1089">
        <f>HDL!$E$13</f>
        <v>0</v>
      </c>
      <c r="AIB8" s="1098">
        <f>HDL!$E$14</f>
        <v>1750000</v>
      </c>
      <c r="AIC8" s="1098">
        <f>HDL!$E$15</f>
        <v>0</v>
      </c>
      <c r="AID8" s="1100">
        <f>HDL!$E$16</f>
        <v>2.2499999999999999E-2</v>
      </c>
      <c r="AIE8" s="1091" t="str">
        <f>HDL!$E$17</f>
        <v>N/A</v>
      </c>
      <c r="AIF8" s="1091">
        <f>HDL!$E$18</f>
        <v>10</v>
      </c>
      <c r="AIG8" s="1089">
        <f>HDL!$E$19</f>
        <v>0</v>
      </c>
      <c r="AIH8" s="1089">
        <f>HDL!$E$20</f>
        <v>0</v>
      </c>
      <c r="AII8" s="1089">
        <f>HDL!$E$21</f>
        <v>0</v>
      </c>
      <c r="AIJ8" s="1089">
        <f>HDL!$E$22</f>
        <v>0</v>
      </c>
      <c r="AIK8" s="1089" t="str">
        <f>'HDAP-Site'!$F$12</f>
        <v>No</v>
      </c>
      <c r="AIL8" s="1089">
        <f>'HDAP-Site'!$F$59</f>
        <v>0</v>
      </c>
      <c r="AIM8" s="1089">
        <f>'HDAP-Site'!$K$69</f>
        <v>0</v>
      </c>
      <c r="AIN8" s="1089">
        <f>'HDAP-Site'!$K$149</f>
        <v>0</v>
      </c>
      <c r="AIO8" s="1089" t="str">
        <f>'HDAP-Site'!$F$175</f>
        <v>Enter Info Above</v>
      </c>
      <c r="AIP8" s="1089" t="str">
        <f>'HDAP-Site'!$F$176</f>
        <v/>
      </c>
      <c r="AIQ8" s="1089" t="str">
        <f>'HDAP-Site'!$F$177</f>
        <v>Enter Tract Above</v>
      </c>
      <c r="AIR8" s="1089" t="str">
        <f>'HDAP-Site'!$F$178</f>
        <v>Enter Tract Above</v>
      </c>
      <c r="AIS8" s="1089" t="str">
        <f>'HDAP-Site'!$F$180</f>
        <v>No</v>
      </c>
      <c r="AIT8" s="1089" t="str">
        <f>'HDAP-Site'!$F$181</f>
        <v>No</v>
      </c>
      <c r="AIU8" s="1089" t="str">
        <f>'HDAP-Unit'!$F$10</f>
        <v>No</v>
      </c>
      <c r="AIV8" s="1089" t="str">
        <f>'HDAP-Unit'!$I$54</f>
        <v>Yes</v>
      </c>
      <c r="AIW8" s="1089" t="str">
        <f>'HDAP-Unit'!$I$69</f>
        <v>Yes</v>
      </c>
      <c r="AIX8" s="1089" t="str">
        <f>'HDAP-Unit'!$I$69</f>
        <v>Yes</v>
      </c>
      <c r="AIY8" s="1089" t="str">
        <f>'HDAP-Unit'!$F$83</f>
        <v>No</v>
      </c>
      <c r="AIZ8" s="1089" t="str">
        <f>'HDAP-Proration'!$F$21</f>
        <v>No</v>
      </c>
      <c r="AJA8" s="1089" t="str">
        <f>'HDAP-Proration'!$F$34</f>
        <v>Missing info</v>
      </c>
      <c r="AJB8" s="1099">
        <f>'HDAP-Proration'!$F$47</f>
        <v>0</v>
      </c>
      <c r="AJC8" s="1099">
        <f>'HDAP-Proration'!$F$48</f>
        <v>0</v>
      </c>
      <c r="AJD8" s="1099">
        <f>'HDAP-Proration'!$F$49</f>
        <v>8000</v>
      </c>
      <c r="AJE8" s="1099">
        <f>'HDAP-Proration'!$F$50</f>
        <v>8000</v>
      </c>
      <c r="AJF8" s="1099">
        <f>'HDAP-Proration'!$F$51</f>
        <v>0</v>
      </c>
      <c r="AJG8" s="1099">
        <f>'HDAP-Proration'!$F$52</f>
        <v>0</v>
      </c>
      <c r="AJH8" s="1099" t="str">
        <f>'HDAP-Proration'!$F$53</f>
        <v>No</v>
      </c>
      <c r="AJI8" s="1099">
        <f>'HDAP-Proration'!$F$54</f>
        <v>0</v>
      </c>
      <c r="AJJ8" s="1099">
        <f>'HDAP-Proration'!$F$55</f>
        <v>0</v>
      </c>
      <c r="AJK8" s="1100">
        <f>'HDAP-Proration'!$F$56</f>
        <v>0</v>
      </c>
      <c r="AJL8" s="1089">
        <f>'HDAP-Proration'!$F$87</f>
        <v>0</v>
      </c>
      <c r="AJM8" s="1099">
        <f>'HDAP-Proration'!$F$90</f>
        <v>0</v>
      </c>
      <c r="AJN8" s="1099">
        <f>'HDAP-Proration'!$F$91</f>
        <v>0</v>
      </c>
      <c r="AJO8" s="1099">
        <f>'HDAP-Proration'!$F$92</f>
        <v>0</v>
      </c>
      <c r="AJP8" s="1099">
        <f>'HDAP-Proration'!$F$93</f>
        <v>0</v>
      </c>
      <c r="AJQ8" s="1100">
        <f>'HDAP-Proration'!$F$104</f>
        <v>0</v>
      </c>
      <c r="AJR8" s="1100">
        <f>'HDAP-Proration'!$F$105</f>
        <v>0.17</v>
      </c>
      <c r="AJS8" s="1089">
        <f>'HDAP-Proration'!$F$134</f>
        <v>0</v>
      </c>
      <c r="AJT8" s="1089" t="str">
        <f>'HDAP-Proration'!$F$183</f>
        <v>No</v>
      </c>
      <c r="AJU8" s="1089">
        <f>'HDAP-Proration'!$F$194</f>
        <v>0</v>
      </c>
      <c r="AJV8" s="1089">
        <f>'HDAP-Proration'!$F$195</f>
        <v>0</v>
      </c>
      <c r="AJW8" s="1089" t="str">
        <f>'HDAP-Standard'!$F$37</f>
        <v>Missing info</v>
      </c>
      <c r="AJX8" s="1099">
        <f>'HDAP-Standard'!$F$50</f>
        <v>0</v>
      </c>
      <c r="AJY8" s="1099">
        <f>'HDAP-Standard'!$F$51</f>
        <v>0</v>
      </c>
      <c r="AJZ8" s="1099">
        <f>'HDAP-Standard'!$F$52</f>
        <v>8000</v>
      </c>
      <c r="AKA8" s="1099">
        <f>'HDAP-Standard'!$F$53</f>
        <v>8000</v>
      </c>
      <c r="AKB8" s="1099">
        <f>'HDAP-Standard'!$F$54</f>
        <v>0</v>
      </c>
      <c r="AKC8" s="1099">
        <f>'HDAP-Standard'!$F$55</f>
        <v>0</v>
      </c>
      <c r="AKD8" s="1099">
        <f>'HDAP-Standard'!$F$56</f>
        <v>0</v>
      </c>
      <c r="AKE8" s="1099" t="str">
        <f>'HDAP-Standard'!$F$57</f>
        <v>No</v>
      </c>
      <c r="AKF8" s="1099">
        <f>'HDAP-Standard'!$F$58</f>
        <v>0</v>
      </c>
      <c r="AKG8" s="1099">
        <f>'HDAP-Standard'!$F$59</f>
        <v>0</v>
      </c>
      <c r="AKH8" s="1089">
        <f>'HDAP-Standard'!$F$104</f>
        <v>0</v>
      </c>
      <c r="AKI8" s="1099">
        <f>'HDAP-Standard'!$F$107</f>
        <v>0</v>
      </c>
      <c r="AKJ8" s="1098">
        <f>'HDAP-Standard'!$F$108</f>
        <v>0</v>
      </c>
      <c r="AKK8" s="1098">
        <f>'HDAP-Standard'!$F$109</f>
        <v>0</v>
      </c>
      <c r="AKL8" s="1098">
        <f>'HDAP-Standard'!$F$110</f>
        <v>0</v>
      </c>
      <c r="AKM8" s="1089" t="str">
        <f>'HDAP-Standard'!$F$153</f>
        <v>No</v>
      </c>
      <c r="AKN8" s="1089">
        <f>'HDAP-Standard'!$F$164</f>
        <v>0</v>
      </c>
      <c r="AKO8" s="1089">
        <f>'HDAP-Standard'!$F$165</f>
        <v>0</v>
      </c>
      <c r="AKP8" s="1089">
        <f>Team!$E$12</f>
        <v>0</v>
      </c>
      <c r="AKQ8" s="1089">
        <f>Team!$E$13</f>
        <v>0</v>
      </c>
      <c r="AKR8" s="1089">
        <f>Team!$E$14</f>
        <v>0</v>
      </c>
      <c r="AKS8" s="1089">
        <f>Team!$E$15</f>
        <v>0</v>
      </c>
      <c r="AKT8" s="1089">
        <f>Team!$E$16</f>
        <v>0</v>
      </c>
      <c r="AKU8" s="1089">
        <f>Team!$E$17</f>
        <v>0</v>
      </c>
      <c r="AKV8" s="1089">
        <f>Team!$E$18</f>
        <v>0</v>
      </c>
      <c r="AKW8" s="1089">
        <f>Team!$E$19</f>
        <v>0</v>
      </c>
      <c r="AKX8" s="1089">
        <f>Team!$E$20</f>
        <v>0</v>
      </c>
      <c r="AKY8" s="1089">
        <f>Team!$J$12</f>
        <v>0</v>
      </c>
      <c r="AKZ8" s="1089">
        <f>Team!$J$13</f>
        <v>0</v>
      </c>
      <c r="ALA8" s="1089">
        <f>Team!$J$14</f>
        <v>0</v>
      </c>
      <c r="ALB8" s="1089">
        <f>Team!$J$15</f>
        <v>0</v>
      </c>
      <c r="ALC8" s="1089">
        <f>Team!$J$16</f>
        <v>0</v>
      </c>
      <c r="ALD8" s="1089">
        <f>Team!$J$17</f>
        <v>0</v>
      </c>
      <c r="ALE8" s="1089">
        <f>Team!$J$18</f>
        <v>0</v>
      </c>
      <c r="ALF8" s="1089">
        <f>Team!$E$61</f>
        <v>0</v>
      </c>
      <c r="ALG8" s="1089">
        <f>Team!$E$62</f>
        <v>0</v>
      </c>
      <c r="ALH8" s="1089">
        <f>Team!$E$63</f>
        <v>0</v>
      </c>
      <c r="ALI8" s="1089">
        <f>Team!$E$64</f>
        <v>0</v>
      </c>
      <c r="ALJ8" s="1089">
        <f>Team!$E$65</f>
        <v>0</v>
      </c>
      <c r="ALK8" s="1089">
        <f>Team!$E$66</f>
        <v>0</v>
      </c>
      <c r="ALL8" s="1089">
        <f>Team!$E$67</f>
        <v>0</v>
      </c>
      <c r="ALM8" s="1089">
        <f>Team!$E$68</f>
        <v>0</v>
      </c>
      <c r="ALN8" s="1089">
        <f>Team!$E$69</f>
        <v>0</v>
      </c>
      <c r="ALO8" s="1089">
        <f>Team!$J$61</f>
        <v>0</v>
      </c>
      <c r="ALP8" s="1089">
        <f>Team!$J$62</f>
        <v>0</v>
      </c>
      <c r="ALQ8" s="1089">
        <f>Team!$J$63</f>
        <v>0</v>
      </c>
      <c r="ALR8" s="1089">
        <f>Team!$J$64</f>
        <v>0</v>
      </c>
      <c r="ALS8" s="1089">
        <f>Team!$J$65</f>
        <v>0</v>
      </c>
      <c r="ALT8" s="1089">
        <f>Team!$J$66</f>
        <v>0</v>
      </c>
      <c r="ALU8" s="1089">
        <f>Team!$J$67</f>
        <v>0</v>
      </c>
      <c r="ALV8" s="1089">
        <f>Team!$E$110</f>
        <v>0</v>
      </c>
      <c r="ALW8" s="1089">
        <f>Team!$E$111</f>
        <v>0</v>
      </c>
      <c r="ALX8" s="1089">
        <f>Team!$E$112</f>
        <v>0</v>
      </c>
      <c r="ALY8" s="1089">
        <f>Team!$E$113</f>
        <v>0</v>
      </c>
      <c r="ALZ8" s="1089">
        <f>Team!$E$114</f>
        <v>0</v>
      </c>
      <c r="AMA8" s="1089">
        <f>Team!$E$115</f>
        <v>0</v>
      </c>
      <c r="AMB8" s="1089">
        <f>Team!$E$116</f>
        <v>0</v>
      </c>
      <c r="AMC8" s="1089">
        <f>Team!$E$117</f>
        <v>0</v>
      </c>
      <c r="AMD8" s="1089">
        <f>Team!$E$118</f>
        <v>0</v>
      </c>
      <c r="AME8" s="1089">
        <f>Team!$J$110</f>
        <v>0</v>
      </c>
      <c r="AMF8" s="1089">
        <f>Team!$J$111</f>
        <v>0</v>
      </c>
      <c r="AMG8" s="1089">
        <f>Team!$J$112</f>
        <v>0</v>
      </c>
      <c r="AMH8" s="1089">
        <f>Team!$J$113</f>
        <v>0</v>
      </c>
      <c r="AMI8" s="1089">
        <f>Team!$J$114</f>
        <v>0</v>
      </c>
      <c r="AMJ8" s="1089">
        <f>Team!$J$115</f>
        <v>0</v>
      </c>
      <c r="AMK8" s="1089">
        <f>Team!$J$116</f>
        <v>0</v>
      </c>
      <c r="AML8" s="1089">
        <f>Team!$E$156</f>
        <v>0</v>
      </c>
      <c r="AMM8" s="1089">
        <f>Team!$E$157</f>
        <v>0</v>
      </c>
      <c r="AMN8" s="1089">
        <f>Team!$E$158</f>
        <v>0</v>
      </c>
      <c r="AMO8" s="1089">
        <f>Team!E$159</f>
        <v>0</v>
      </c>
      <c r="AMP8" s="1089">
        <f>Team!$E$160</f>
        <v>0</v>
      </c>
      <c r="AMQ8" s="1089">
        <f>Team!$E$161</f>
        <v>0</v>
      </c>
      <c r="AMR8" s="1089">
        <f>Team!$E$162</f>
        <v>0</v>
      </c>
      <c r="AMS8" s="1089">
        <f>Team!$E$163</f>
        <v>0</v>
      </c>
      <c r="AMT8" s="1089">
        <f>Team!$E$164</f>
        <v>0</v>
      </c>
      <c r="AMU8" s="1089">
        <f>Team!$J$156</f>
        <v>0</v>
      </c>
      <c r="AMV8" s="1089">
        <f>Team!$J$157</f>
        <v>0</v>
      </c>
      <c r="AMW8" s="1089">
        <f>Team!$J$158</f>
        <v>0</v>
      </c>
      <c r="AMX8" s="1089">
        <f>Team!$J$159</f>
        <v>0</v>
      </c>
      <c r="AMY8" s="1089">
        <f>Team!$J$160</f>
        <v>0</v>
      </c>
      <c r="AMZ8" s="1089">
        <f>Team!$J$161</f>
        <v>0</v>
      </c>
      <c r="ANA8" s="1089">
        <f>Team!$J$162</f>
        <v>0</v>
      </c>
      <c r="ANB8" s="1089">
        <f>Team!$E$173</f>
        <v>0</v>
      </c>
      <c r="ANC8" s="1089">
        <f>Team!$E$174</f>
        <v>0</v>
      </c>
      <c r="AND8" s="1089">
        <f>Team!$E$175</f>
        <v>0</v>
      </c>
      <c r="ANE8" s="1089">
        <f>Team!$E$176</f>
        <v>0</v>
      </c>
      <c r="ANF8" s="1089">
        <f>Team!$E$177</f>
        <v>0</v>
      </c>
      <c r="ANG8" s="1089">
        <f>Team!$E$178</f>
        <v>0</v>
      </c>
      <c r="ANH8" s="1089">
        <f>Team!$E$179</f>
        <v>0</v>
      </c>
      <c r="ANI8" s="1089">
        <f>Team!$E$180</f>
        <v>0</v>
      </c>
      <c r="ANJ8" s="1089">
        <f>Team!$E$181</f>
        <v>0</v>
      </c>
      <c r="ANK8" s="1089">
        <f>Team!$J$173</f>
        <v>0</v>
      </c>
      <c r="ANL8" s="1089">
        <f>Team!$J$174</f>
        <v>0</v>
      </c>
      <c r="ANM8" s="1089">
        <f>Team!$J$175</f>
        <v>0</v>
      </c>
      <c r="ANN8" s="1089">
        <f>Team!$J$176</f>
        <v>0</v>
      </c>
      <c r="ANO8" s="1089">
        <f>Team!$J$177</f>
        <v>0</v>
      </c>
      <c r="ANP8" s="1089">
        <f>Team!$J$178</f>
        <v>0</v>
      </c>
      <c r="ANQ8" s="1089">
        <f>Team!$J$179</f>
        <v>0</v>
      </c>
      <c r="ANR8" s="1089">
        <f>Team!$E$231</f>
        <v>0</v>
      </c>
      <c r="ANS8" s="1089">
        <f>Team!$E$232</f>
        <v>0</v>
      </c>
      <c r="ANT8" s="1089">
        <f>Team!$E$233</f>
        <v>0</v>
      </c>
      <c r="ANU8" s="1089">
        <f>Team!$E$234</f>
        <v>0</v>
      </c>
      <c r="ANV8" s="1089">
        <f>Team!$E$235</f>
        <v>0</v>
      </c>
      <c r="ANW8" s="1089">
        <f>Team!$E$236</f>
        <v>0</v>
      </c>
      <c r="ANX8" s="1089">
        <f>Team!$E$237</f>
        <v>0</v>
      </c>
      <c r="ANY8" s="1089">
        <f>Team!$E$238</f>
        <v>0</v>
      </c>
      <c r="ANZ8" s="1089">
        <f>Team!$E$239</f>
        <v>0</v>
      </c>
      <c r="AOA8" s="1089">
        <f>Team!$J$231</f>
        <v>0</v>
      </c>
      <c r="AOB8" s="1089">
        <f>Team!$J$232</f>
        <v>0</v>
      </c>
      <c r="AOC8" s="1089">
        <f>Team!$J$233</f>
        <v>0</v>
      </c>
      <c r="AOD8" s="1089">
        <f>Team!$J$234</f>
        <v>0</v>
      </c>
      <c r="AOE8" s="1089">
        <f>Team!$J$235</f>
        <v>0</v>
      </c>
      <c r="AOF8" s="1089">
        <f>Team!$J$236</f>
        <v>0</v>
      </c>
      <c r="AOG8" s="1089">
        <f>Team!$J$237</f>
        <v>0</v>
      </c>
      <c r="AOH8" s="1089">
        <f>Team!$E$259</f>
        <v>0</v>
      </c>
      <c r="AOI8" s="1089">
        <f>Team!$E$260</f>
        <v>0</v>
      </c>
      <c r="AOJ8" s="1089">
        <f>Team!$E$261</f>
        <v>0</v>
      </c>
      <c r="AOK8" s="1089">
        <f>Team!$E$262</f>
        <v>0</v>
      </c>
      <c r="AOL8" s="1089">
        <f>Team!$E$263</f>
        <v>0</v>
      </c>
      <c r="AOM8" s="1089">
        <f>Team!$E$264</f>
        <v>0</v>
      </c>
      <c r="AON8" s="1089">
        <f>Team!$E$265</f>
        <v>0</v>
      </c>
      <c r="AOO8" s="1089">
        <f>Team!$E$266</f>
        <v>0</v>
      </c>
      <c r="AOP8" s="1089">
        <f>Team!$E$267</f>
        <v>0</v>
      </c>
      <c r="AOQ8" s="1089">
        <f>Team!$J$259</f>
        <v>0</v>
      </c>
      <c r="AOR8" s="1089">
        <f>Team!$J$260</f>
        <v>0</v>
      </c>
      <c r="AOS8" s="1089">
        <f>Team!$J$261</f>
        <v>0</v>
      </c>
      <c r="AOT8" s="1089">
        <f>Team!$J$262</f>
        <v>0</v>
      </c>
      <c r="AOU8" s="1089">
        <f>Team!$J$263</f>
        <v>0</v>
      </c>
      <c r="AOV8" s="1089">
        <f>Team!$J$264</f>
        <v>0</v>
      </c>
      <c r="AOW8" s="1089">
        <f>Team!$J$265</f>
        <v>0</v>
      </c>
      <c r="AOX8" s="1089">
        <f>Team!$J$266</f>
        <v>0</v>
      </c>
      <c r="AOY8" s="1089">
        <f>Team!IN9</f>
        <v>0</v>
      </c>
      <c r="AOZ8" s="1089">
        <f>Team!$E$277</f>
        <v>0</v>
      </c>
      <c r="APA8" s="1089">
        <f>Team!$E$278</f>
        <v>0</v>
      </c>
      <c r="APB8" s="1089">
        <f>Team!$E$279</f>
        <v>0</v>
      </c>
      <c r="APC8" s="1089">
        <f>Team!$E$280</f>
        <v>0</v>
      </c>
      <c r="APD8" s="1089">
        <f>Team!$E$281</f>
        <v>0</v>
      </c>
      <c r="APE8" s="1089">
        <f>Team!$E$282</f>
        <v>0</v>
      </c>
      <c r="APF8" s="1089">
        <f>Team!$E$283</f>
        <v>0</v>
      </c>
      <c r="APG8" s="1089">
        <f>Team!$E$284</f>
        <v>0</v>
      </c>
      <c r="APH8" s="1089">
        <f>Team!$E$285</f>
        <v>0</v>
      </c>
      <c r="API8" s="1089">
        <f>Team!$E$286</f>
        <v>0</v>
      </c>
      <c r="APJ8" s="1100">
        <f>Team!$E$287</f>
        <v>0</v>
      </c>
      <c r="APK8" s="1089">
        <f>Team!$J$276</f>
        <v>0</v>
      </c>
      <c r="APL8" s="1089">
        <f>Team!$J$277</f>
        <v>0</v>
      </c>
      <c r="APM8" s="1089">
        <f>Team!$J$278</f>
        <v>0</v>
      </c>
      <c r="APN8" s="1089">
        <f>Team!$J$279</f>
        <v>0</v>
      </c>
      <c r="APO8" s="1089">
        <f>Team!$J$280</f>
        <v>0</v>
      </c>
      <c r="APP8" s="1089">
        <f>Team!$J$281</f>
        <v>0</v>
      </c>
      <c r="APQ8" s="1089">
        <f>Team!$J$282</f>
        <v>0</v>
      </c>
      <c r="APR8" s="1089">
        <f>Team!$J$283</f>
        <v>0</v>
      </c>
      <c r="APS8" s="1089">
        <f>Team!$E$298</f>
        <v>0</v>
      </c>
      <c r="APT8" s="1089">
        <f>Team!$E$299</f>
        <v>0</v>
      </c>
      <c r="APU8" s="1089">
        <f>Team!$E$300</f>
        <v>0</v>
      </c>
      <c r="APV8" s="1089">
        <f>Team!$E$301</f>
        <v>0</v>
      </c>
      <c r="APW8" s="1089">
        <f>Team!$E$302</f>
        <v>0</v>
      </c>
      <c r="APX8" s="1089">
        <f>Team!$E$303</f>
        <v>0</v>
      </c>
      <c r="APY8" s="1089">
        <f>Team!$E$304</f>
        <v>0</v>
      </c>
      <c r="APZ8" s="1089">
        <f>Team!$E$305</f>
        <v>0</v>
      </c>
      <c r="AQA8" s="1089">
        <f>Team!$E$306</f>
        <v>0</v>
      </c>
      <c r="AQB8" s="1089">
        <f>Team!$E$307</f>
        <v>0</v>
      </c>
      <c r="AQC8" s="1089">
        <f>Team!$E$308</f>
        <v>0</v>
      </c>
      <c r="AQD8" s="1100">
        <f>Team!$E$309</f>
        <v>0</v>
      </c>
      <c r="AQE8" s="1089">
        <f>Team!$J$298</f>
        <v>0</v>
      </c>
      <c r="AQF8" s="1089">
        <f>Team!$J$299</f>
        <v>0</v>
      </c>
      <c r="AQG8" s="1089">
        <f>Team!$J$300</f>
        <v>0</v>
      </c>
      <c r="AQH8" s="1089">
        <f>Team!$J$301</f>
        <v>0</v>
      </c>
      <c r="AQI8" s="1089">
        <f>Team!$J$302</f>
        <v>0</v>
      </c>
      <c r="AQJ8" s="1089">
        <f>Team!$J$303</f>
        <v>0</v>
      </c>
      <c r="AQK8" s="1089">
        <f>Team!$J$304</f>
        <v>0</v>
      </c>
      <c r="AQL8" s="1089">
        <f>Team!$J$305</f>
        <v>0</v>
      </c>
      <c r="AQM8" s="1089">
        <f>Team!$E$318</f>
        <v>0</v>
      </c>
      <c r="AQN8" s="1089">
        <f>Team!$E$319</f>
        <v>0</v>
      </c>
      <c r="AQO8" s="1089">
        <f>Team!$E$320</f>
        <v>0</v>
      </c>
      <c r="AQP8" s="1089">
        <f>Team!$E$321</f>
        <v>0</v>
      </c>
      <c r="AQQ8" s="1089">
        <f>Team!$E$322</f>
        <v>0</v>
      </c>
      <c r="AQR8" s="1089">
        <f>Team!$E$323</f>
        <v>0</v>
      </c>
      <c r="AQS8" s="1089">
        <f>Team!$E$324</f>
        <v>0</v>
      </c>
      <c r="AQT8" s="1089">
        <f>Team!$E$325</f>
        <v>0</v>
      </c>
      <c r="AQU8" s="1089">
        <f>Team!$E$326</f>
        <v>0</v>
      </c>
      <c r="AQV8" s="1089">
        <f>Team!$E$327</f>
        <v>0</v>
      </c>
      <c r="AQW8" s="1104">
        <f>Team!$E$328</f>
        <v>0</v>
      </c>
      <c r="AQX8" s="1089">
        <f>Team!$J$318</f>
        <v>0</v>
      </c>
      <c r="AQY8" s="1089">
        <f>Team!$J$319</f>
        <v>0</v>
      </c>
      <c r="AQZ8" s="1089">
        <f>Team!$J$320</f>
        <v>0</v>
      </c>
      <c r="ARA8" s="1089">
        <f>Team!$J$321</f>
        <v>0</v>
      </c>
      <c r="ARB8" s="1089">
        <f>Team!$J$322</f>
        <v>0</v>
      </c>
      <c r="ARC8" s="1089">
        <f>Team!$J$323</f>
        <v>0</v>
      </c>
      <c r="ARD8" s="1089">
        <f>Team!$J$324</f>
        <v>0</v>
      </c>
      <c r="ARE8" s="1089">
        <f>Team!KY9</f>
        <v>0</v>
      </c>
      <c r="ARF8" s="1089">
        <f>Team!$E$340</f>
        <v>0</v>
      </c>
      <c r="ARG8" s="1089">
        <f>Team!$E$341</f>
        <v>0</v>
      </c>
      <c r="ARH8" s="1089">
        <f>Team!$E$342</f>
        <v>0</v>
      </c>
      <c r="ARI8" s="1089">
        <f>Team!$E$343</f>
        <v>0</v>
      </c>
      <c r="ARJ8" s="1089">
        <f>Team!$E$344</f>
        <v>0</v>
      </c>
      <c r="ARK8" s="1089">
        <f>Team!$E$345</f>
        <v>0</v>
      </c>
      <c r="ARL8" s="1089">
        <f>Team!$E$346</f>
        <v>0</v>
      </c>
      <c r="ARM8" s="1089">
        <f>Team!$E$347</f>
        <v>0</v>
      </c>
      <c r="ARN8" s="1089">
        <f>Team!$E$348</f>
        <v>0</v>
      </c>
      <c r="ARO8" s="1100">
        <f>Team!$E$349</f>
        <v>0</v>
      </c>
      <c r="ARP8" s="1089">
        <f>Team!$J$339</f>
        <v>0</v>
      </c>
      <c r="ARQ8" s="1089">
        <f>Team!$J$340</f>
        <v>0</v>
      </c>
      <c r="ARR8" s="1089">
        <f>Team!$J$341</f>
        <v>0</v>
      </c>
      <c r="ARS8" s="1089">
        <f>Team!$J$342</f>
        <v>0</v>
      </c>
      <c r="ART8" s="1089">
        <f>Team!$J$343</f>
        <v>0</v>
      </c>
      <c r="ARU8" s="1089">
        <f>Team!$J$344</f>
        <v>0</v>
      </c>
      <c r="ARV8" s="1089">
        <f>Team!$J$345</f>
        <v>0</v>
      </c>
      <c r="ARW8" s="1089">
        <f>Team!$E$360</f>
        <v>0</v>
      </c>
      <c r="ARX8" s="1089">
        <f>Team!$E$361</f>
        <v>0</v>
      </c>
      <c r="ARY8" s="1089">
        <f>Team!$E$362</f>
        <v>0</v>
      </c>
      <c r="ARZ8" s="1089">
        <f>Team!$E$363</f>
        <v>0</v>
      </c>
      <c r="ASA8" s="1089">
        <f>Team!$E$364</f>
        <v>0</v>
      </c>
      <c r="ASB8" s="1089">
        <f>Team!$E$365</f>
        <v>0</v>
      </c>
      <c r="ASC8" s="1089">
        <f>Team!$E$366</f>
        <v>0</v>
      </c>
      <c r="ASD8" s="1089">
        <f>Team!$E$367</f>
        <v>0</v>
      </c>
      <c r="ASE8" s="1089">
        <f>Team!$E$368</f>
        <v>0</v>
      </c>
      <c r="ASF8" s="1089">
        <f>Team!$E$369</f>
        <v>0</v>
      </c>
      <c r="ASG8" s="1100">
        <f>Team!$E$370</f>
        <v>0</v>
      </c>
      <c r="ASH8" s="1089">
        <f>Team!$J$360</f>
        <v>0</v>
      </c>
      <c r="ASI8" s="1089">
        <f>Team!$J$361</f>
        <v>0</v>
      </c>
      <c r="ASJ8" s="1089">
        <f>Team!$J$362</f>
        <v>0</v>
      </c>
      <c r="ASK8" s="1089">
        <f>Team!$J$363</f>
        <v>0</v>
      </c>
      <c r="ASL8" s="1089">
        <f>Team!$J$364</f>
        <v>0</v>
      </c>
      <c r="ASM8" s="1089">
        <f>Team!$J$365</f>
        <v>0</v>
      </c>
      <c r="ASN8" s="1089">
        <f>Team!$J$366</f>
        <v>0</v>
      </c>
      <c r="ASO8" s="1089">
        <f>Team!G$376</f>
        <v>0</v>
      </c>
      <c r="ASP8" s="1089">
        <f>Team!$G$377</f>
        <v>0</v>
      </c>
      <c r="ASQ8" s="1089">
        <f>Team!$E$379</f>
        <v>0</v>
      </c>
      <c r="ASR8" s="1089">
        <f>Team!$E$380</f>
        <v>0</v>
      </c>
      <c r="ASS8" s="1089">
        <f>Team!$E$381</f>
        <v>0</v>
      </c>
      <c r="AST8" s="1089">
        <f>Team!$E$382</f>
        <v>0</v>
      </c>
      <c r="ASU8" s="1089">
        <f>Team!$E$383</f>
        <v>0</v>
      </c>
      <c r="ASV8" s="1089">
        <f>Team!$E$384</f>
        <v>0</v>
      </c>
      <c r="ASW8" s="1089">
        <f>Team!$E$385</f>
        <v>0</v>
      </c>
      <c r="ASX8" s="1089">
        <f>Team!$E$386</f>
        <v>0</v>
      </c>
      <c r="ASY8" s="1089">
        <f>Team!$J$379</f>
        <v>0</v>
      </c>
      <c r="ASZ8" s="1089">
        <f>Team!$J$380</f>
        <v>0</v>
      </c>
      <c r="ATA8" s="1089">
        <f>Team!$J$381</f>
        <v>0</v>
      </c>
      <c r="ATB8" s="1089">
        <f>Team!$J$382</f>
        <v>0</v>
      </c>
      <c r="ATC8" s="1089">
        <f>Team!$J$383</f>
        <v>0</v>
      </c>
      <c r="ATD8" s="1089">
        <f>Team!$J$384</f>
        <v>0</v>
      </c>
      <c r="ATE8" s="1089">
        <f>Team!$J$385</f>
        <v>0</v>
      </c>
      <c r="ATF8" s="1089">
        <f>Team!$G$392</f>
        <v>0</v>
      </c>
      <c r="ATG8" s="1089">
        <f>Team!$G$393</f>
        <v>0</v>
      </c>
      <c r="ATH8" s="1089">
        <f>Team!$E$395</f>
        <v>0</v>
      </c>
      <c r="ATI8" s="1089">
        <f>Team!$E$396</f>
        <v>0</v>
      </c>
      <c r="ATJ8" s="1089">
        <f>Team!$E$397</f>
        <v>0</v>
      </c>
      <c r="ATK8" s="1089">
        <f>Team!$E$398</f>
        <v>0</v>
      </c>
      <c r="ATL8" s="1089">
        <f>Team!$E$399</f>
        <v>0</v>
      </c>
      <c r="ATM8" s="1089">
        <f>Team!$E$400</f>
        <v>0</v>
      </c>
      <c r="ATN8" s="1089">
        <f>Team!$E$401</f>
        <v>0</v>
      </c>
      <c r="ATO8" s="1089">
        <f>Team!$E$402</f>
        <v>0</v>
      </c>
      <c r="ATP8" s="1089">
        <f>Team!$J$395</f>
        <v>0</v>
      </c>
      <c r="ATQ8" s="1089">
        <f>Team!$J$396</f>
        <v>0</v>
      </c>
      <c r="ATR8" s="1089">
        <f>Team!$J$397</f>
        <v>0</v>
      </c>
      <c r="ATS8" s="1089">
        <f>Team!$J$398</f>
        <v>0</v>
      </c>
      <c r="ATT8" s="1089">
        <f>Team!$J$399</f>
        <v>0</v>
      </c>
      <c r="ATU8" s="1089">
        <f>Team!$J$400</f>
        <v>0</v>
      </c>
      <c r="ATV8" s="1089">
        <f>Team!$J$401</f>
        <v>0</v>
      </c>
      <c r="ATW8" s="1089">
        <f>Team!G$408</f>
        <v>0</v>
      </c>
      <c r="ATX8" s="1089">
        <f>Team!G$409</f>
        <v>0</v>
      </c>
      <c r="ATY8" s="1089">
        <f>Team!$E$411</f>
        <v>0</v>
      </c>
      <c r="ATZ8" s="1089">
        <f>Team!$E$412</f>
        <v>0</v>
      </c>
      <c r="AUA8" s="1089">
        <f>Team!$E$413</f>
        <v>0</v>
      </c>
      <c r="AUB8" s="1089">
        <f>Team!$E$414</f>
        <v>0</v>
      </c>
      <c r="AUC8" s="1089">
        <f>Team!$E$415</f>
        <v>0</v>
      </c>
      <c r="AUD8" s="1089">
        <f>Team!$E$416</f>
        <v>0</v>
      </c>
      <c r="AUE8" s="1089">
        <f>Team!$E$417</f>
        <v>0</v>
      </c>
      <c r="AUF8" s="1089">
        <f>Team!$E$418</f>
        <v>0</v>
      </c>
      <c r="AUG8" s="1089">
        <f>Team!$J$411</f>
        <v>0</v>
      </c>
      <c r="AUH8" s="1089">
        <f>Team!$J$412</f>
        <v>0</v>
      </c>
      <c r="AUI8" s="1089">
        <f>Team!$J$413</f>
        <v>0</v>
      </c>
      <c r="AUJ8" s="1089">
        <f>Team!$J$414</f>
        <v>0</v>
      </c>
      <c r="AUK8" s="1089">
        <f>Team!$J$415</f>
        <v>0</v>
      </c>
      <c r="AUL8" s="1089">
        <f>Team!$J$416</f>
        <v>0</v>
      </c>
      <c r="AUM8" s="1089">
        <f>Team!$J$417</f>
        <v>0</v>
      </c>
      <c r="AUN8" s="1089">
        <f>Team!$G$424</f>
        <v>0</v>
      </c>
      <c r="AUO8" s="1089">
        <f>Team!$G$425</f>
        <v>0</v>
      </c>
      <c r="AUP8" s="1089">
        <f>Team!$E$427</f>
        <v>0</v>
      </c>
      <c r="AUQ8" s="1089">
        <f>Team!$E$428</f>
        <v>0</v>
      </c>
      <c r="AUR8" s="1089">
        <f>Team!$E$429</f>
        <v>0</v>
      </c>
      <c r="AUS8" s="1089">
        <f>Team!$E$430</f>
        <v>0</v>
      </c>
      <c r="AUT8" s="1089">
        <f>Team!$E$431</f>
        <v>0</v>
      </c>
      <c r="AUU8" s="1089">
        <f>Team!$E$432</f>
        <v>0</v>
      </c>
      <c r="AUV8" s="1089">
        <f>Team!$E$433</f>
        <v>0</v>
      </c>
      <c r="AUW8" s="1089">
        <f>Team!$E$434</f>
        <v>0</v>
      </c>
      <c r="AUX8" s="1089">
        <f>Team!$J$427</f>
        <v>0</v>
      </c>
      <c r="AUY8" s="1089">
        <f>Team!$J$428</f>
        <v>0</v>
      </c>
      <c r="AUZ8" s="1089">
        <f>Team!$J$429</f>
        <v>0</v>
      </c>
      <c r="AVA8" s="1089">
        <f>Team!$J$430</f>
        <v>0</v>
      </c>
      <c r="AVB8" s="1089">
        <f>Team!$J$431</f>
        <v>0</v>
      </c>
      <c r="AVC8" s="1089">
        <f>Team!$J$432</f>
        <v>0</v>
      </c>
      <c r="AVD8" s="1089">
        <f>Team!$J$433</f>
        <v>0</v>
      </c>
      <c r="AVE8" s="1089">
        <f>Amenities!$K$41</f>
        <v>0</v>
      </c>
      <c r="AVF8" s="1089">
        <f>Amenities!$K$45</f>
        <v>0</v>
      </c>
      <c r="AVG8" s="1089">
        <f>Amenities!$K$48</f>
        <v>0</v>
      </c>
      <c r="AVH8" s="1089">
        <f>Amenities!$K$51</f>
        <v>0</v>
      </c>
      <c r="AVI8" s="1089">
        <f>Amenities!$K$54</f>
        <v>0</v>
      </c>
      <c r="AVJ8" s="1089">
        <f>Amenities!$K$57</f>
        <v>0</v>
      </c>
      <c r="AVK8" s="1089">
        <f>Amenities!$K$60</f>
        <v>0</v>
      </c>
      <c r="AVL8" s="1089">
        <f>Amenities!$K$63</f>
        <v>0</v>
      </c>
      <c r="AVM8" s="1089">
        <f>Amenities!$K$66</f>
        <v>0</v>
      </c>
      <c r="AVN8" s="1089">
        <f>Amenities!$K$70</f>
        <v>0</v>
      </c>
      <c r="AVO8" s="1089">
        <f>Amenities!$K$73</f>
        <v>0</v>
      </c>
      <c r="AVP8" s="1089">
        <f>Amenities!$K$76</f>
        <v>0</v>
      </c>
      <c r="AVQ8" s="1089">
        <f>Amenities!$K$79</f>
        <v>0</v>
      </c>
      <c r="AVR8" s="1089">
        <f>Amenities!$K$93</f>
        <v>0</v>
      </c>
      <c r="AVS8" s="1089">
        <f>Amenities!$K$96</f>
        <v>0</v>
      </c>
      <c r="AVT8" s="1089">
        <f>Amenities!$K$99</f>
        <v>0</v>
      </c>
      <c r="AVU8" s="1089">
        <f>Amenities!$K$102</f>
        <v>0</v>
      </c>
      <c r="AVV8" s="1089">
        <f>Amenities!$K$105</f>
        <v>0</v>
      </c>
      <c r="AVW8" s="1089">
        <f>Amenities!$K$108</f>
        <v>0</v>
      </c>
      <c r="AVX8" s="1089">
        <f>Amenities!$K$111</f>
        <v>0</v>
      </c>
      <c r="AVY8" s="1089">
        <f>Amenities!$K$114</f>
        <v>0</v>
      </c>
      <c r="AVZ8" s="1089">
        <f>Amenities!$K$117</f>
        <v>0</v>
      </c>
      <c r="AWA8" s="1089">
        <f>Amenities!$K$120</f>
        <v>0</v>
      </c>
      <c r="AWB8" s="1089">
        <f>Amenities!$K$123</f>
        <v>0</v>
      </c>
      <c r="AWC8" s="1089">
        <f>Amenities!$K$126</f>
        <v>0</v>
      </c>
      <c r="AWD8" s="1089">
        <f>Amenities!$K$137</f>
        <v>0</v>
      </c>
      <c r="AWE8" s="1089">
        <f>Amenities!$K$143</f>
        <v>0</v>
      </c>
      <c r="AWF8" s="1089">
        <f>Amenities!$K$146</f>
        <v>0</v>
      </c>
      <c r="AWG8" s="1089">
        <f>Amenities!$K$150</f>
        <v>0</v>
      </c>
      <c r="AWH8" s="1089">
        <f>Amenities!$K$154</f>
        <v>0</v>
      </c>
      <c r="AWI8" s="1089">
        <f>Amenities!$K$157</f>
        <v>0</v>
      </c>
      <c r="AWJ8" s="1089">
        <f>Amenities!$K$161</f>
        <v>0</v>
      </c>
      <c r="AWK8" s="1089">
        <f>Amenities!$K$165</f>
        <v>0</v>
      </c>
      <c r="AWL8" s="1089">
        <f>Amenities!$K$168</f>
        <v>0</v>
      </c>
      <c r="AWM8" s="1089">
        <f>Amenities!$K$171</f>
        <v>0</v>
      </c>
      <c r="AWN8" s="1089">
        <f>Amenities!$K$175</f>
        <v>0</v>
      </c>
      <c r="AWO8" s="1089">
        <f>Amenities!$K$179</f>
        <v>0</v>
      </c>
      <c r="AWP8" s="1089" t="str">
        <f>'NA-GO'!$E$51</f>
        <v>No</v>
      </c>
      <c r="AWQ8" s="1097" t="str">
        <f>'NA-GO'!$F$62</f>
        <v>Yes</v>
      </c>
      <c r="AWR8" s="1089" t="str">
        <f>'NA-GO'!$E$82</f>
        <v>No</v>
      </c>
      <c r="AWS8" s="1089" t="str">
        <f>'NA-GO'!$I$105</f>
        <v>No</v>
      </c>
      <c r="AWT8" s="1089">
        <f>'NA-GO'!$I$106</f>
        <v>0</v>
      </c>
      <c r="AWU8" s="1089" t="str">
        <f>'NA-GO'!$J$133</f>
        <v>No</v>
      </c>
      <c r="AWV8" s="1089">
        <f>'NA-GO'!$J$134</f>
        <v>0</v>
      </c>
      <c r="AWW8" s="1089" t="str">
        <f>'NA-GO'!$I$164</f>
        <v>No</v>
      </c>
      <c r="AWX8" s="1089">
        <f>'NA-GO'!$I$165</f>
        <v>0</v>
      </c>
      <c r="AWY8" s="1092" t="str">
        <f>'NA-GO'!$K$217</f>
        <v/>
      </c>
      <c r="AWZ8" s="1092">
        <f>'NA-GO'!$K$218</f>
        <v>0</v>
      </c>
      <c r="AXA8" s="1092" t="str">
        <f>'NA-GO'!$K$239</f>
        <v/>
      </c>
      <c r="AXB8" s="1092">
        <f>'NA-GO'!$K$240</f>
        <v>0</v>
      </c>
      <c r="AXC8" s="1105">
        <f>'NA-GO'!$K$258</f>
        <v>25</v>
      </c>
      <c r="AXD8" s="1105">
        <f>'NA-GO'!$K$259</f>
        <v>0</v>
      </c>
      <c r="AXE8" s="1089" t="str">
        <f>'NA-GO'!$I$286</f>
        <v>Enter Census Tract</v>
      </c>
      <c r="AXF8" s="1097">
        <f>'NA-GO'!$I$287</f>
        <v>0</v>
      </c>
      <c r="AXG8" s="1089">
        <f>'NA-GO'!$I$288</f>
        <v>0</v>
      </c>
      <c r="AXH8" s="1092" t="str">
        <f>'NA-GO'!$I$289</f>
        <v>Input Census Tract</v>
      </c>
      <c r="AXI8" s="1092" t="str">
        <f>'NA-GO'!$I$290</f>
        <v>Input Census Tract</v>
      </c>
      <c r="AXJ8" s="1092" t="str">
        <f>'NA-GO'!$I$291</f>
        <v>No</v>
      </c>
      <c r="AXK8" s="1092" t="str">
        <f>'NA-GO'!$I$292</f>
        <v>No</v>
      </c>
      <c r="AXL8" s="1092" t="str">
        <f>'NA-GO'!$I$293</f>
        <v>Input Census Tract</v>
      </c>
      <c r="AXM8" s="1089">
        <f>'NA-GO'!$I$294</f>
        <v>0</v>
      </c>
      <c r="AXN8" s="1089">
        <f>'NA-GO'!$I$295</f>
        <v>0</v>
      </c>
      <c r="AXO8" s="1089" t="str">
        <f>'NA-SR'!$E$51</f>
        <v>No</v>
      </c>
      <c r="AXP8" s="1089">
        <f>'NA-SR'!$J$75</f>
        <v>0</v>
      </c>
      <c r="AXQ8" s="1089">
        <f>'NA-SR'!$J$82</f>
        <v>0</v>
      </c>
      <c r="AXR8" s="1089">
        <f>'NA-SR'!BX13</f>
        <v>0</v>
      </c>
      <c r="AXS8" s="1089">
        <f>'NA-SR'!$I$105</f>
        <v>0</v>
      </c>
      <c r="AXT8" s="1089" t="str">
        <f>'NA-SR'!$J$133</f>
        <v>No</v>
      </c>
      <c r="AXU8" s="1089">
        <f>'NA-SR'!$J$134</f>
        <v>0</v>
      </c>
      <c r="AXV8" s="1089" t="str">
        <f>'NA-SR'!$I$164</f>
        <v>No</v>
      </c>
      <c r="AXW8" s="1089">
        <f>'NA-SR'!$I$165</f>
        <v>0</v>
      </c>
      <c r="AXX8" s="1092" t="str">
        <f>'NA-SR'!$K$217</f>
        <v/>
      </c>
      <c r="AXY8" s="1092">
        <f>'NA-SR'!$K$218</f>
        <v>0</v>
      </c>
      <c r="AXZ8" s="1092" t="str">
        <f>'NA-SR'!$K$239</f>
        <v/>
      </c>
      <c r="AYA8" s="1092">
        <f>'NA-SR'!$K$240</f>
        <v>0</v>
      </c>
      <c r="AYB8" s="1105">
        <f>'NA-SR'!$K$258</f>
        <v>25</v>
      </c>
      <c r="AYC8" s="1105">
        <f>'NA-SR'!$K$259</f>
        <v>0</v>
      </c>
      <c r="AYD8" s="1089" t="str">
        <f>'NA-SR'!$I$286</f>
        <v>Enter Census Tract</v>
      </c>
      <c r="AYE8" s="1089">
        <f>'NA-SR'!$I$287</f>
        <v>0</v>
      </c>
      <c r="AYF8" s="1092" t="str">
        <f>'NA-SR'!$I$288</f>
        <v>Input Census Tract</v>
      </c>
      <c r="AYG8" s="1092" t="str">
        <f>'NA-SR'!$I$289</f>
        <v>Input Census Tract</v>
      </c>
      <c r="AYH8" s="1092" t="str">
        <f>'NA-SR'!$I$290</f>
        <v>Input Census Tract</v>
      </c>
      <c r="AYI8" s="1089">
        <f>'NA-SR'!$I$291</f>
        <v>0</v>
      </c>
      <c r="AYJ8" s="1089">
        <f>'NA-SR'!$I$292</f>
        <v>0</v>
      </c>
      <c r="AYK8" s="1089" t="str">
        <f>PA!$E$47</f>
        <v/>
      </c>
      <c r="AYL8" s="1089">
        <f>PA!$H$56</f>
        <v>0</v>
      </c>
      <c r="AYM8" s="1098" t="str">
        <f>PA!$F$75</f>
        <v>No</v>
      </c>
      <c r="AYN8" s="1089" t="str">
        <f>PA!$I$92</f>
        <v>No</v>
      </c>
      <c r="AYO8" s="1089">
        <f>PA!$I$93</f>
        <v>0</v>
      </c>
      <c r="AYP8" s="1089" t="str">
        <f>PA!$J$120</f>
        <v>No</v>
      </c>
      <c r="AYQ8" s="1089" t="str">
        <f>PA!$J$121</f>
        <v>No</v>
      </c>
      <c r="AYR8" s="1089" t="str">
        <f>PA!$J$141</f>
        <v>No</v>
      </c>
      <c r="AYS8" s="1106">
        <f>PA!$J$142</f>
        <v>0</v>
      </c>
      <c r="AYT8" s="1089" t="e">
        <f ca="1">PA!$J$161</f>
        <v>#DIV/0!</v>
      </c>
      <c r="AYU8" s="1106">
        <f>PA!$J$162</f>
        <v>0</v>
      </c>
      <c r="AYV8" s="1092" t="str">
        <f>PA!$K$194</f>
        <v/>
      </c>
      <c r="AYW8" s="1092">
        <f>PA!$K$195</f>
        <v>0</v>
      </c>
      <c r="AYX8" s="1092" t="str">
        <f>PA!$K$226</f>
        <v/>
      </c>
      <c r="AYY8" s="1092">
        <f>PA!$K$227</f>
        <v>0</v>
      </c>
      <c r="AYZ8" s="1105">
        <f>PA!$K$245</f>
        <v>25</v>
      </c>
      <c r="AZA8" s="1105">
        <f>PA!$K$246</f>
        <v>0</v>
      </c>
      <c r="AZB8" s="1089" t="str">
        <f>PA!$I$273</f>
        <v>Enter Census Tract</v>
      </c>
      <c r="AZC8" s="1097">
        <f>PA!$I$274</f>
        <v>0</v>
      </c>
      <c r="AZD8" s="1097" t="str">
        <f ca="1">PA!$I$275</f>
        <v/>
      </c>
      <c r="AZE8" s="1089">
        <f>PA!$I$276</f>
        <v>0</v>
      </c>
      <c r="AZF8" s="1092" t="str">
        <f>PA!$I$277</f>
        <v>Input Census Tract</v>
      </c>
      <c r="AZG8" s="1092" t="str">
        <f>PA!$I$278</f>
        <v>Input Census Tract</v>
      </c>
      <c r="AZH8" s="1092" t="str">
        <f>PA!$I$279</f>
        <v>Input Census Tract</v>
      </c>
      <c r="AZI8" s="1089">
        <f>PA!$I$280</f>
        <v>0</v>
      </c>
      <c r="AZJ8" s="1089">
        <f>PA!$I$281</f>
        <v>0</v>
      </c>
      <c r="AZK8" s="1089">
        <f>TPSHN!$H$62</f>
        <v>0</v>
      </c>
      <c r="AZL8" s="1091">
        <f>TPSHN!$H$63</f>
        <v>0</v>
      </c>
      <c r="AZM8" s="1089">
        <f>TPSHN!$H$64</f>
        <v>0</v>
      </c>
      <c r="AZN8" s="1089">
        <f>TPSHN!$H$65</f>
        <v>0</v>
      </c>
      <c r="AZO8" s="1089">
        <f>TPSHN!$H$66</f>
        <v>0</v>
      </c>
      <c r="AZP8" s="1089">
        <f>TPSHN!$H$74</f>
        <v>0</v>
      </c>
      <c r="AZQ8" s="1089">
        <f>TPSHN!$H$75</f>
        <v>0</v>
      </c>
      <c r="AZR8" s="1089">
        <f>TPSHN!$H$76</f>
        <v>0</v>
      </c>
      <c r="AZS8" s="1089" t="str">
        <f>TPSHN!$H$84</f>
        <v/>
      </c>
      <c r="AZT8" s="1100">
        <f>TPSHN!$H$85</f>
        <v>0</v>
      </c>
      <c r="AZU8" s="1089">
        <f>TPSHN!$H$86</f>
        <v>0</v>
      </c>
      <c r="AZV8" s="1089">
        <f>TPSHN!$H$87</f>
        <v>0</v>
      </c>
      <c r="AZW8" s="1089" t="str">
        <f>TPSHN!$H$94</f>
        <v>N/A</v>
      </c>
      <c r="AZX8" s="1089">
        <f>TPSHN!$H$95</f>
        <v>0</v>
      </c>
      <c r="AZY8" s="1089">
        <f>TPSHN!$H$96</f>
        <v>0</v>
      </c>
      <c r="AZZ8" s="1089">
        <f>TPSHN!$J$127</f>
        <v>0</v>
      </c>
      <c r="BAA8" s="1089">
        <f>TPSHN!$J$141</f>
        <v>0</v>
      </c>
      <c r="BAB8" s="1089" t="str">
        <f>TPSHN!$J$161</f>
        <v/>
      </c>
      <c r="BAC8" s="1089">
        <f>TPSHN!$J$162</f>
        <v>0</v>
      </c>
      <c r="BAD8" s="1089">
        <f>TPSHN!$J$163</f>
        <v>0</v>
      </c>
      <c r="BAE8" s="1089">
        <f>TPSHN!$J$195</f>
        <v>0</v>
      </c>
      <c r="BAF8" s="1089">
        <f>TPSHN!$J$202</f>
        <v>0</v>
      </c>
      <c r="BAG8" s="1089" t="str">
        <f>TPSHN!$I$224</f>
        <v>No</v>
      </c>
      <c r="BAH8" s="1089">
        <f>TPSHN!$I$225</f>
        <v>0</v>
      </c>
      <c r="BAI8" s="1089" t="str">
        <f>TPSHN!$J$252</f>
        <v>No</v>
      </c>
      <c r="BAJ8" s="1089">
        <f>TPSHN!$J$253</f>
        <v>0</v>
      </c>
      <c r="BAK8" s="1089" t="str">
        <f>TPSHN!$J$269</f>
        <v>No</v>
      </c>
      <c r="BAL8" s="1089">
        <f>TPSHN!$J$270</f>
        <v>0</v>
      </c>
      <c r="BAM8" s="1089" t="str">
        <f>TPSHN!$J$282</f>
        <v>No</v>
      </c>
      <c r="BAN8" s="1089">
        <f>TPSHN!$J$283</f>
        <v>0</v>
      </c>
      <c r="BAO8" s="1089" t="str">
        <f>TPSHN!$J$291</f>
        <v>Yes</v>
      </c>
      <c r="BAP8" s="1089">
        <f>TPSHN!$J$292</f>
        <v>0</v>
      </c>
      <c r="BAQ8" s="1092" t="str">
        <f>TPSHN!$K$323</f>
        <v/>
      </c>
      <c r="BAR8" s="1092">
        <f>TPSHN!$K$324</f>
        <v>0</v>
      </c>
      <c r="BAS8" s="1092" t="str">
        <f>TPSHN!$K$355</f>
        <v/>
      </c>
      <c r="BAT8" s="1092">
        <f>TPSHN!$K$356</f>
        <v>0</v>
      </c>
      <c r="BAU8" s="1105">
        <f>TPSHN!$K$374</f>
        <v>25</v>
      </c>
      <c r="BAV8" s="1105">
        <f>TPSHN!$K$375</f>
        <v>0</v>
      </c>
      <c r="BAW8" s="1089" t="str">
        <f>TPSHN!$I$402</f>
        <v>Enter Census Tract</v>
      </c>
      <c r="BAX8" s="1097">
        <f>TPSHN!$I$403</f>
        <v>0</v>
      </c>
      <c r="BAY8" s="1089">
        <f>TPSHN!$I$404</f>
        <v>0</v>
      </c>
      <c r="BAZ8" s="1092" t="str">
        <f>TPSHN!$I$405</f>
        <v>Input Census Tract</v>
      </c>
      <c r="BBA8" s="1092" t="str">
        <f>TPSHN!$I$406</f>
        <v>Input Census Tract</v>
      </c>
      <c r="BBB8" s="1092" t="str">
        <f>TPSHN!$I$407</f>
        <v>Input Census Tract</v>
      </c>
      <c r="BBC8" s="1089">
        <f>TPSHN!$I$408</f>
        <v>0</v>
      </c>
    </row>
    <row r="9" spans="1:1407" ht="13.5" x14ac:dyDescent="0.25">
      <c r="A9" s="1086"/>
      <c r="B9" s="1086"/>
      <c r="C9" s="1084"/>
      <c r="D9" s="1081"/>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84"/>
      <c r="AE9" s="1084"/>
      <c r="AF9" s="1084"/>
      <c r="AG9" s="1084"/>
      <c r="AH9" s="1084"/>
      <c r="AI9" s="1084"/>
      <c r="AJ9" s="1084"/>
      <c r="AK9" s="1084"/>
      <c r="AL9" s="1084"/>
      <c r="AM9" s="1084"/>
      <c r="AN9" s="1084"/>
      <c r="AO9" s="1084"/>
      <c r="AP9" s="1084"/>
      <c r="AQ9" s="1084"/>
      <c r="AR9" s="1084"/>
      <c r="AS9" s="1084"/>
      <c r="AT9" s="1084"/>
      <c r="AU9" s="1084"/>
      <c r="AV9" s="1084"/>
      <c r="AW9" s="1084"/>
      <c r="AX9" s="1084"/>
      <c r="AY9" s="1084"/>
      <c r="AZ9" s="1084"/>
      <c r="BA9" s="1084"/>
      <c r="BB9" s="1084"/>
      <c r="BC9" s="1084"/>
      <c r="BD9" s="1084"/>
      <c r="BE9" s="1084"/>
      <c r="BF9" s="1084"/>
      <c r="BG9" s="1084"/>
      <c r="BH9" s="1084"/>
      <c r="BI9" s="1084"/>
      <c r="BJ9" s="1084"/>
      <c r="BK9" s="1084"/>
      <c r="BL9" s="1084"/>
      <c r="BM9" s="1084"/>
      <c r="BN9" s="1084"/>
      <c r="BO9" s="1084"/>
      <c r="BP9" s="1084"/>
      <c r="BQ9" s="1084"/>
      <c r="BR9" s="1084"/>
      <c r="BS9" s="1084"/>
      <c r="BT9" s="1084"/>
      <c r="BU9" s="1084"/>
      <c r="BV9" s="1084"/>
      <c r="BW9" s="1084"/>
      <c r="BX9" s="1084"/>
      <c r="BY9" s="1084"/>
      <c r="BZ9" s="1084"/>
      <c r="CA9" s="1084"/>
      <c r="CB9" s="1084"/>
      <c r="CC9" s="1084"/>
      <c r="CD9" s="1084"/>
      <c r="CE9" s="1084"/>
      <c r="CF9" s="1084"/>
      <c r="CG9" s="1084"/>
      <c r="CH9" s="1084"/>
      <c r="CI9" s="1084"/>
      <c r="CJ9" s="1084"/>
      <c r="CK9" s="1084"/>
      <c r="CL9" s="1084"/>
      <c r="CM9" s="1084"/>
      <c r="CN9" s="1084"/>
      <c r="CO9" s="1084"/>
      <c r="CP9" s="1084"/>
      <c r="CQ9" s="1084"/>
      <c r="CR9" s="1084"/>
      <c r="CS9" s="1084"/>
      <c r="CT9" s="1084"/>
      <c r="CU9" s="1084"/>
      <c r="CV9" s="1084"/>
      <c r="CW9" s="1084"/>
      <c r="CX9" s="1084"/>
      <c r="CY9" s="1084"/>
      <c r="CZ9" s="1084"/>
      <c r="DA9" s="1084"/>
      <c r="DB9" s="1084"/>
      <c r="DC9" s="1084"/>
      <c r="DD9" s="1084"/>
      <c r="DE9" s="1084"/>
      <c r="DF9" s="1084"/>
      <c r="DG9" s="1084"/>
      <c r="DH9" s="1084"/>
      <c r="DI9" s="1084"/>
      <c r="DJ9" s="1084"/>
      <c r="DK9" s="1084"/>
      <c r="DL9" s="1084"/>
      <c r="DM9" s="1084"/>
      <c r="DN9" s="1084"/>
      <c r="DO9" s="1084"/>
      <c r="DP9" s="1084"/>
      <c r="DQ9" s="1084"/>
      <c r="DR9" s="1084"/>
      <c r="DS9" s="1084"/>
      <c r="DT9" s="1084"/>
      <c r="DU9" s="1084"/>
      <c r="DV9" s="1084"/>
      <c r="DW9" s="1084"/>
      <c r="DX9" s="1084"/>
      <c r="DY9" s="1084"/>
      <c r="DZ9" s="1084"/>
      <c r="EA9" s="1084"/>
      <c r="EB9" s="1084"/>
      <c r="EC9" s="1084"/>
      <c r="ED9" s="1084"/>
      <c r="EE9" s="1084"/>
      <c r="EF9" s="1084"/>
      <c r="EG9" s="1084"/>
      <c r="EH9" s="1084"/>
      <c r="EI9" s="1084"/>
      <c r="EJ9" s="1084"/>
      <c r="EK9" s="1084"/>
      <c r="EL9" s="1084"/>
      <c r="EM9" s="1084"/>
      <c r="EN9" s="1084"/>
      <c r="EO9" s="1084"/>
      <c r="EP9" s="1084"/>
      <c r="EQ9" s="1084"/>
      <c r="ER9" s="1084"/>
      <c r="ES9" s="1084"/>
      <c r="ET9" s="1084"/>
      <c r="EU9" s="1084"/>
      <c r="EV9" s="1084"/>
      <c r="EW9" s="1084"/>
      <c r="EX9" s="1084"/>
      <c r="EY9" s="1084"/>
      <c r="EZ9" s="1084"/>
      <c r="FA9" s="1084"/>
      <c r="FB9" s="1084"/>
      <c r="FC9" s="1084"/>
      <c r="FD9" s="1084"/>
      <c r="FE9" s="1084"/>
      <c r="FF9" s="1084"/>
      <c r="FG9" s="1084"/>
      <c r="FH9" s="1084"/>
      <c r="FI9" s="1084"/>
      <c r="FJ9" s="1084"/>
      <c r="FK9" s="1084"/>
      <c r="FL9" s="1084"/>
      <c r="FM9" s="1084"/>
      <c r="FN9" s="1084"/>
      <c r="FO9" s="1084"/>
      <c r="FP9" s="1084"/>
      <c r="FQ9" s="1084"/>
      <c r="FR9" s="1084"/>
      <c r="FS9" s="1084"/>
      <c r="FT9" s="1084"/>
      <c r="FU9" s="1084"/>
      <c r="FV9" s="1084"/>
      <c r="FW9" s="1084"/>
      <c r="FX9" s="1084"/>
      <c r="FY9" s="1084"/>
      <c r="FZ9" s="1084"/>
      <c r="GA9" s="1084"/>
      <c r="GB9" s="1084"/>
      <c r="GC9" s="1084"/>
      <c r="GD9" s="1084"/>
      <c r="GE9" s="1084"/>
      <c r="GF9" s="1084"/>
      <c r="GG9" s="1084"/>
      <c r="GH9" s="1084"/>
      <c r="GI9" s="1084"/>
      <c r="GJ9" s="1084"/>
      <c r="GK9" s="1084"/>
      <c r="GL9" s="1084"/>
      <c r="GM9" s="1084"/>
      <c r="GN9" s="1084"/>
      <c r="GO9" s="1084"/>
      <c r="GP9" s="1084"/>
      <c r="GQ9" s="1084"/>
      <c r="GR9" s="1084"/>
      <c r="GS9" s="1084"/>
      <c r="GT9" s="1084"/>
      <c r="GU9" s="1084"/>
      <c r="GV9" s="1084"/>
      <c r="GW9" s="1084"/>
      <c r="GX9" s="1084"/>
      <c r="GY9" s="1084"/>
      <c r="GZ9" s="1084"/>
      <c r="HA9" s="1084"/>
      <c r="HB9" s="1084"/>
      <c r="HC9" s="1084"/>
      <c r="HD9" s="1084"/>
      <c r="HE9" s="1084"/>
      <c r="HF9" s="1084"/>
      <c r="HG9" s="1084"/>
      <c r="HH9" s="1084"/>
      <c r="HI9" s="1084"/>
      <c r="HJ9" s="1084"/>
      <c r="HK9" s="1084"/>
      <c r="HL9" s="1084"/>
      <c r="HM9" s="1084"/>
      <c r="HN9" s="1084"/>
      <c r="HO9" s="1084"/>
      <c r="HP9" s="1084"/>
      <c r="HQ9" s="1084"/>
      <c r="HR9" s="1084"/>
      <c r="HS9" s="1084"/>
      <c r="HT9" s="1084"/>
      <c r="HU9" s="1084"/>
      <c r="HV9" s="1084"/>
      <c r="HW9" s="1084"/>
      <c r="HX9" s="1084"/>
      <c r="HY9" s="1084"/>
      <c r="HZ9" s="1084"/>
      <c r="IA9" s="1084"/>
      <c r="IB9" s="1084"/>
      <c r="IC9" s="1084"/>
      <c r="ID9" s="1084"/>
      <c r="IE9" s="1084"/>
      <c r="IF9" s="1084"/>
      <c r="IG9" s="1084"/>
      <c r="IH9" s="1084"/>
      <c r="II9" s="1084"/>
      <c r="IJ9" s="1084"/>
      <c r="IK9" s="1084"/>
      <c r="IL9" s="1084"/>
      <c r="IM9" s="1084"/>
      <c r="IN9" s="1084"/>
      <c r="IO9" s="1084"/>
      <c r="IP9" s="1084"/>
      <c r="IQ9" s="1084"/>
      <c r="IR9" s="1084"/>
      <c r="IS9" s="1084"/>
      <c r="IT9" s="1084"/>
      <c r="IU9" s="1084"/>
      <c r="IV9" s="1084"/>
      <c r="IW9" s="1084"/>
      <c r="IX9" s="1084"/>
      <c r="IY9" s="1084"/>
      <c r="IZ9" s="1084"/>
      <c r="JA9" s="1084"/>
      <c r="JB9" s="1084"/>
      <c r="JC9" s="1084"/>
      <c r="JD9" s="1084"/>
      <c r="JE9" s="1084"/>
      <c r="JF9" s="1084"/>
      <c r="JG9" s="1084"/>
      <c r="JH9" s="1087"/>
      <c r="JI9" s="1087"/>
      <c r="JJ9" s="1087"/>
      <c r="JK9" s="1087"/>
      <c r="JL9" s="1087"/>
      <c r="JM9" s="1087"/>
      <c r="JN9" s="1084"/>
      <c r="JO9" s="1084"/>
      <c r="JP9" s="1084"/>
      <c r="JQ9" s="1084"/>
      <c r="JR9" s="1084"/>
      <c r="JS9" s="1084"/>
      <c r="JT9" s="1084"/>
      <c r="JU9" s="1084"/>
      <c r="JV9" s="1084"/>
      <c r="JW9" s="1084"/>
      <c r="JX9" s="1084"/>
      <c r="JY9" s="1084"/>
      <c r="JZ9" s="1084"/>
      <c r="KA9" s="1084"/>
      <c r="KB9" s="1084"/>
      <c r="KC9" s="1084"/>
      <c r="KD9" s="1084"/>
      <c r="KE9" s="1084"/>
      <c r="KF9" s="1084"/>
      <c r="KG9" s="1084"/>
      <c r="KH9" s="1084"/>
      <c r="KI9" s="1084"/>
      <c r="KJ9" s="1084"/>
      <c r="KK9" s="1084"/>
      <c r="KL9" s="1084"/>
      <c r="KM9" s="1084"/>
      <c r="KN9" s="1084"/>
      <c r="KO9" s="1084"/>
      <c r="KP9" s="1084"/>
      <c r="KQ9" s="1084"/>
      <c r="KR9" s="1084"/>
      <c r="KS9" s="1084"/>
      <c r="KT9" s="1084"/>
      <c r="KU9" s="1084"/>
      <c r="KV9" s="1084"/>
      <c r="KW9" s="1084"/>
      <c r="KX9" s="1084"/>
      <c r="KY9" s="1084"/>
      <c r="KZ9" s="1084"/>
      <c r="LA9" s="1084"/>
      <c r="LB9" s="1084"/>
      <c r="LC9" s="1084"/>
      <c r="LD9" s="1084"/>
    </row>
    <row r="10" spans="1:1407" ht="13.5" x14ac:dyDescent="0.25">
      <c r="A10" s="1086"/>
      <c r="B10" s="1086"/>
      <c r="C10" s="1084"/>
      <c r="D10" s="1081"/>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4"/>
      <c r="AL10" s="1084"/>
      <c r="AM10" s="1084"/>
      <c r="AN10" s="1084"/>
      <c r="AO10" s="1084"/>
      <c r="AP10" s="1084"/>
      <c r="AQ10" s="1084"/>
      <c r="AR10" s="1084"/>
      <c r="AS10" s="1084"/>
      <c r="AT10" s="1084"/>
      <c r="AU10" s="1084"/>
      <c r="AV10" s="1084"/>
      <c r="AW10" s="1084"/>
      <c r="AX10" s="1084"/>
      <c r="AY10" s="1084"/>
      <c r="AZ10" s="1084"/>
      <c r="BA10" s="1084"/>
      <c r="BB10" s="1084"/>
      <c r="BC10" s="1084"/>
      <c r="BD10" s="1084"/>
      <c r="BE10" s="1084"/>
      <c r="BF10" s="1084"/>
      <c r="BG10" s="1084"/>
      <c r="BH10" s="1084"/>
      <c r="BI10" s="1084"/>
      <c r="BJ10" s="1084"/>
      <c r="BK10" s="1084"/>
      <c r="BL10" s="1084"/>
      <c r="BM10" s="1084"/>
      <c r="BN10" s="1084"/>
      <c r="BO10" s="1084"/>
      <c r="BP10" s="1084"/>
      <c r="BQ10" s="1084"/>
      <c r="BR10" s="1084"/>
      <c r="BS10" s="1084"/>
      <c r="BT10" s="1084"/>
      <c r="BU10" s="1084"/>
      <c r="BV10" s="1084"/>
      <c r="BW10" s="1084"/>
      <c r="BX10" s="1084"/>
      <c r="BY10" s="1084"/>
      <c r="BZ10" s="1084"/>
      <c r="CA10" s="1084"/>
      <c r="CB10" s="1084"/>
      <c r="CC10" s="1084"/>
      <c r="CD10" s="1084"/>
      <c r="CE10" s="1084"/>
      <c r="CF10" s="1084"/>
      <c r="CG10" s="1084"/>
      <c r="CH10" s="1084"/>
      <c r="CI10" s="1084"/>
      <c r="CJ10" s="1084"/>
      <c r="CK10" s="1084"/>
      <c r="CL10" s="1084"/>
      <c r="CM10" s="1084"/>
      <c r="CN10" s="1084"/>
      <c r="CO10" s="1084"/>
      <c r="CP10" s="1084"/>
      <c r="CQ10" s="1084"/>
      <c r="CR10" s="1084"/>
      <c r="CS10" s="1084"/>
      <c r="CT10" s="1084"/>
      <c r="CU10" s="1084"/>
      <c r="CV10" s="1084"/>
      <c r="CW10" s="1084"/>
      <c r="CX10" s="1084"/>
      <c r="CY10" s="1084"/>
      <c r="CZ10" s="1084"/>
      <c r="DA10" s="1084"/>
      <c r="DB10" s="1084"/>
      <c r="DC10" s="1084"/>
      <c r="DD10" s="1084"/>
      <c r="DE10" s="1084"/>
      <c r="DF10" s="1084"/>
      <c r="DG10" s="1084"/>
      <c r="DH10" s="1084"/>
      <c r="DI10" s="1084"/>
      <c r="DJ10" s="1084"/>
      <c r="DK10" s="1084"/>
      <c r="DL10" s="1084"/>
      <c r="DM10" s="1084"/>
      <c r="DN10" s="1084"/>
      <c r="DO10" s="1084"/>
      <c r="DP10" s="1084"/>
      <c r="DQ10" s="1084"/>
      <c r="DR10" s="1084"/>
      <c r="DS10" s="1084"/>
      <c r="DT10" s="1084"/>
      <c r="DU10" s="1084"/>
      <c r="DV10" s="1084"/>
      <c r="DW10" s="1084"/>
      <c r="DX10" s="1084"/>
      <c r="DY10" s="1084"/>
      <c r="DZ10" s="1084"/>
      <c r="EA10" s="1084"/>
      <c r="EB10" s="1084"/>
      <c r="EC10" s="1084"/>
      <c r="ED10" s="1084"/>
      <c r="EE10" s="1084"/>
      <c r="EF10" s="1084"/>
      <c r="EG10" s="1084"/>
      <c r="EH10" s="1084"/>
      <c r="EI10" s="1084"/>
      <c r="EJ10" s="1084"/>
      <c r="EK10" s="1084"/>
      <c r="EL10" s="1084"/>
      <c r="EM10" s="1084"/>
      <c r="EN10" s="1084"/>
      <c r="EO10" s="1084"/>
      <c r="EP10" s="1084"/>
      <c r="EQ10" s="1084"/>
      <c r="ER10" s="1084"/>
      <c r="ES10" s="1084"/>
      <c r="ET10" s="1084"/>
      <c r="EU10" s="1084"/>
      <c r="EV10" s="1084"/>
      <c r="EW10" s="1084"/>
      <c r="EX10" s="1084"/>
      <c r="EY10" s="1084"/>
      <c r="EZ10" s="1084"/>
      <c r="FA10" s="1084"/>
      <c r="FB10" s="1084"/>
      <c r="FC10" s="1084"/>
      <c r="FD10" s="1084"/>
      <c r="FE10" s="1084"/>
      <c r="FF10" s="1084"/>
      <c r="FG10" s="1084"/>
      <c r="FH10" s="1084"/>
      <c r="FI10" s="1084"/>
      <c r="FJ10" s="1084"/>
      <c r="FK10" s="1084"/>
      <c r="FL10" s="1084"/>
      <c r="FM10" s="1084"/>
      <c r="FN10" s="1084"/>
      <c r="FO10" s="1084"/>
      <c r="FP10" s="1084"/>
      <c r="FQ10" s="1084"/>
      <c r="FR10" s="1084"/>
      <c r="FS10" s="1084"/>
      <c r="FT10" s="1084"/>
      <c r="FU10" s="1084"/>
      <c r="FV10" s="1084"/>
      <c r="FW10" s="1084"/>
      <c r="FX10" s="1084"/>
      <c r="FY10" s="1084"/>
      <c r="FZ10" s="1084"/>
      <c r="GA10" s="1084"/>
      <c r="GB10" s="1084"/>
      <c r="GC10" s="1084"/>
      <c r="GD10" s="1084"/>
      <c r="GE10" s="1084"/>
      <c r="GF10" s="1084"/>
      <c r="GG10" s="1084"/>
      <c r="GH10" s="1084"/>
      <c r="GI10" s="1084"/>
      <c r="GJ10" s="1084"/>
      <c r="GK10" s="1084"/>
      <c r="GL10" s="1084"/>
      <c r="GM10" s="1084"/>
      <c r="GN10" s="1084"/>
      <c r="GO10" s="1084"/>
      <c r="GP10" s="1084"/>
      <c r="GQ10" s="1084"/>
      <c r="GR10" s="1084"/>
      <c r="GS10" s="1084"/>
      <c r="GT10" s="1084"/>
      <c r="GU10" s="1084"/>
      <c r="GV10" s="1084"/>
      <c r="GW10" s="1084"/>
      <c r="GX10" s="1084"/>
      <c r="GY10" s="1084"/>
      <c r="GZ10" s="1084"/>
      <c r="HA10" s="1084"/>
      <c r="HB10" s="1084"/>
      <c r="HC10" s="1084"/>
      <c r="HD10" s="1084"/>
      <c r="HE10" s="1084"/>
      <c r="HF10" s="1084"/>
      <c r="HG10" s="1084"/>
      <c r="HH10" s="1084"/>
      <c r="HI10" s="1084"/>
      <c r="HJ10" s="1084"/>
      <c r="HK10" s="1084"/>
      <c r="HL10" s="1084"/>
      <c r="HM10" s="1084"/>
      <c r="HN10" s="1084"/>
      <c r="HO10" s="1084"/>
      <c r="HP10" s="1084"/>
      <c r="HQ10" s="1084"/>
      <c r="HR10" s="1084"/>
      <c r="HS10" s="1084"/>
      <c r="HT10" s="1084"/>
      <c r="HU10" s="1084"/>
      <c r="HV10" s="1084"/>
      <c r="HW10" s="1084"/>
      <c r="HX10" s="1084"/>
      <c r="HY10" s="1084"/>
      <c r="HZ10" s="1084"/>
      <c r="IA10" s="1084"/>
      <c r="IB10" s="1084"/>
      <c r="IC10" s="1084"/>
      <c r="ID10" s="1084"/>
      <c r="IE10" s="1084"/>
      <c r="IF10" s="1084"/>
      <c r="IG10" s="1084"/>
      <c r="IH10" s="1084"/>
      <c r="II10" s="1084"/>
      <c r="IJ10" s="1084"/>
      <c r="IK10" s="1084"/>
      <c r="IL10" s="1084"/>
      <c r="IM10" s="1084"/>
      <c r="IN10" s="1084"/>
      <c r="IO10" s="1084"/>
      <c r="IP10" s="1084"/>
      <c r="IQ10" s="1084"/>
      <c r="IR10" s="1084"/>
      <c r="IS10" s="1084"/>
      <c r="IT10" s="1084"/>
      <c r="IU10" s="1084"/>
      <c r="IV10" s="1084"/>
      <c r="IW10" s="1084"/>
      <c r="IX10" s="1084"/>
      <c r="IY10" s="1084"/>
      <c r="IZ10" s="1084"/>
      <c r="JA10" s="1084"/>
      <c r="JB10" s="1084"/>
      <c r="JC10" s="1084"/>
      <c r="JD10" s="1084"/>
      <c r="JE10" s="1084"/>
      <c r="JF10" s="1084"/>
      <c r="JG10" s="1084"/>
      <c r="JH10" s="1087"/>
      <c r="JI10" s="1087"/>
      <c r="JJ10" s="1087"/>
      <c r="JK10" s="1087"/>
      <c r="JL10" s="1087"/>
      <c r="JM10" s="1087"/>
      <c r="JN10" s="1084"/>
      <c r="JO10" s="1084"/>
      <c r="JP10" s="1084"/>
      <c r="JQ10" s="1084"/>
      <c r="JR10" s="1084"/>
      <c r="JS10" s="1084"/>
      <c r="JT10" s="1084"/>
      <c r="JU10" s="1084"/>
      <c r="JV10" s="1084"/>
      <c r="JW10" s="1084"/>
      <c r="JX10" s="1084"/>
      <c r="JY10" s="1084"/>
      <c r="JZ10" s="1084"/>
      <c r="KA10" s="1084"/>
      <c r="KB10" s="1084"/>
      <c r="KC10" s="1084"/>
      <c r="KD10" s="1084"/>
      <c r="KE10" s="1084"/>
      <c r="KF10" s="1084"/>
      <c r="KG10" s="1084"/>
      <c r="KH10" s="1084"/>
      <c r="KI10" s="1084"/>
      <c r="KJ10" s="1084"/>
      <c r="KK10" s="1084"/>
      <c r="KL10" s="1084"/>
      <c r="KM10" s="1084"/>
      <c r="KN10" s="1084"/>
      <c r="KO10" s="1084"/>
      <c r="KP10" s="1084"/>
      <c r="KQ10" s="1084"/>
      <c r="KR10" s="1084"/>
      <c r="KS10" s="1084"/>
      <c r="KT10" s="1084"/>
      <c r="KU10" s="1084"/>
      <c r="KV10" s="1084"/>
      <c r="KW10" s="1084"/>
      <c r="KX10" s="1084"/>
      <c r="KY10" s="1084"/>
      <c r="KZ10" s="1084"/>
      <c r="LA10" s="1084"/>
      <c r="LB10" s="1084"/>
      <c r="LC10" s="1084"/>
      <c r="LD10" s="1084"/>
    </row>
    <row r="11" spans="1:1407" ht="13.5" x14ac:dyDescent="0.25">
      <c r="A11" s="1086"/>
      <c r="B11" s="1086"/>
      <c r="C11" s="1084"/>
      <c r="D11" s="1081"/>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1084"/>
      <c r="AJ11" s="1084"/>
      <c r="AK11" s="1084"/>
      <c r="AL11" s="1084"/>
      <c r="AM11" s="1084"/>
      <c r="AN11" s="1084"/>
      <c r="AO11" s="1084"/>
      <c r="AP11" s="1084"/>
      <c r="AQ11" s="1084"/>
      <c r="AR11" s="1084"/>
      <c r="AS11" s="1084"/>
      <c r="AT11" s="1084"/>
      <c r="AU11" s="1084"/>
      <c r="AV11" s="1084"/>
      <c r="AW11" s="1084"/>
      <c r="AX11" s="1084"/>
      <c r="AY11" s="1084"/>
      <c r="AZ11" s="1084"/>
      <c r="BA11" s="1084"/>
      <c r="BB11" s="1084"/>
      <c r="BC11" s="1084"/>
      <c r="BD11" s="1084"/>
      <c r="BE11" s="1084"/>
      <c r="BF11" s="1084"/>
      <c r="BG11" s="1084"/>
      <c r="BH11" s="1084"/>
      <c r="BI11" s="1084"/>
      <c r="BJ11" s="1084"/>
      <c r="BK11" s="1084"/>
      <c r="BL11" s="1084"/>
      <c r="BM11" s="1084"/>
      <c r="BN11" s="1084"/>
      <c r="BO11" s="1084"/>
      <c r="BP11" s="1084"/>
      <c r="BQ11" s="1084"/>
      <c r="BR11" s="1084"/>
      <c r="BS11" s="1084"/>
      <c r="BT11" s="1084"/>
      <c r="BU11" s="1084"/>
      <c r="BV11" s="1084"/>
      <c r="BW11" s="1084"/>
      <c r="BX11" s="1084"/>
      <c r="BY11" s="1084"/>
      <c r="BZ11" s="1084"/>
      <c r="CA11" s="1084"/>
      <c r="CB11" s="1084"/>
      <c r="CC11" s="1084"/>
      <c r="CD11" s="1084"/>
      <c r="CE11" s="1084"/>
      <c r="CF11" s="1084"/>
      <c r="CG11" s="1084"/>
      <c r="CH11" s="1084"/>
      <c r="CI11" s="1084"/>
      <c r="CJ11" s="1084"/>
      <c r="CK11" s="1084"/>
      <c r="CL11" s="1084"/>
      <c r="CM11" s="1084"/>
      <c r="CN11" s="1084"/>
      <c r="CO11" s="1084"/>
      <c r="CP11" s="1084"/>
      <c r="CQ11" s="1084"/>
      <c r="CR11" s="1084"/>
      <c r="CS11" s="1084"/>
      <c r="CT11" s="1084"/>
      <c r="CU11" s="1084"/>
      <c r="CV11" s="1084"/>
      <c r="CW11" s="1084"/>
      <c r="CX11" s="1084"/>
      <c r="CY11" s="1084"/>
      <c r="CZ11" s="1084"/>
      <c r="DA11" s="1084"/>
      <c r="DB11" s="1084"/>
      <c r="DC11" s="1084"/>
      <c r="DD11" s="1084"/>
      <c r="DE11" s="1084"/>
      <c r="DF11" s="1084"/>
      <c r="DG11" s="1084"/>
      <c r="DH11" s="1084"/>
      <c r="DI11" s="1084"/>
      <c r="DJ11" s="1084"/>
      <c r="DK11" s="1084"/>
      <c r="DL11" s="1084"/>
      <c r="DM11" s="1084"/>
      <c r="DN11" s="1084"/>
      <c r="DO11" s="1084"/>
      <c r="DP11" s="1084"/>
      <c r="DQ11" s="1084"/>
      <c r="DR11" s="1084"/>
      <c r="DS11" s="1084"/>
      <c r="DT11" s="1084"/>
      <c r="DU11" s="1084"/>
      <c r="DV11" s="1084"/>
      <c r="DW11" s="1084"/>
      <c r="DX11" s="1084"/>
      <c r="DY11" s="1084"/>
      <c r="DZ11" s="1084"/>
      <c r="EA11" s="1084"/>
      <c r="EB11" s="1084"/>
      <c r="EC11" s="1084"/>
      <c r="ED11" s="1084"/>
      <c r="EE11" s="1084"/>
      <c r="EF11" s="1084"/>
      <c r="EG11" s="1084"/>
      <c r="EH11" s="1084"/>
      <c r="EI11" s="1084"/>
      <c r="EJ11" s="1084"/>
      <c r="EK11" s="1084"/>
      <c r="EL11" s="1084"/>
      <c r="EM11" s="1084"/>
      <c r="EN11" s="1084"/>
      <c r="EO11" s="1084"/>
      <c r="EP11" s="1084"/>
      <c r="EQ11" s="1084"/>
      <c r="ER11" s="1084"/>
      <c r="ES11" s="1084"/>
      <c r="ET11" s="1084"/>
      <c r="EU11" s="1084"/>
      <c r="EV11" s="1084"/>
      <c r="EW11" s="1084"/>
      <c r="EX11" s="1084"/>
      <c r="EY11" s="1084"/>
      <c r="EZ11" s="1084"/>
      <c r="FA11" s="1084"/>
      <c r="FB11" s="1084"/>
      <c r="FC11" s="1084"/>
      <c r="FD11" s="1084"/>
      <c r="FE11" s="1084"/>
      <c r="FF11" s="1084"/>
      <c r="FG11" s="1084"/>
      <c r="FH11" s="1084"/>
      <c r="FI11" s="1084"/>
      <c r="FJ11" s="1084"/>
      <c r="FK11" s="1084"/>
      <c r="FL11" s="1084"/>
      <c r="FM11" s="1084"/>
      <c r="FN11" s="1084"/>
      <c r="FO11" s="1084"/>
      <c r="FP11" s="1084"/>
      <c r="FQ11" s="1084"/>
      <c r="FR11" s="1084"/>
      <c r="FS11" s="1084"/>
      <c r="FT11" s="1084"/>
      <c r="FU11" s="1084"/>
      <c r="FV11" s="1084"/>
      <c r="FW11" s="1084"/>
      <c r="FX11" s="1084"/>
      <c r="FY11" s="1084"/>
      <c r="FZ11" s="1084"/>
      <c r="GA11" s="1084"/>
      <c r="GB11" s="1084"/>
      <c r="GC11" s="1084"/>
      <c r="GD11" s="1084"/>
      <c r="GE11" s="1084"/>
      <c r="GF11" s="1084"/>
      <c r="GG11" s="1084"/>
      <c r="GH11" s="1084"/>
      <c r="GI11" s="1084"/>
      <c r="GJ11" s="1084"/>
      <c r="GK11" s="1084"/>
      <c r="GL11" s="1084"/>
      <c r="GM11" s="1084"/>
      <c r="GN11" s="1084"/>
      <c r="GO11" s="1084"/>
      <c r="GP11" s="1084"/>
      <c r="GQ11" s="1084"/>
      <c r="GR11" s="1084"/>
      <c r="GS11" s="1084"/>
      <c r="GT11" s="1084"/>
      <c r="GU11" s="1084"/>
      <c r="GV11" s="1084"/>
      <c r="GW11" s="1084"/>
      <c r="GX11" s="1084"/>
      <c r="GY11" s="1084"/>
      <c r="GZ11" s="1084"/>
      <c r="HA11" s="1084"/>
      <c r="HB11" s="1084"/>
      <c r="HC11" s="1084"/>
      <c r="HD11" s="1084"/>
      <c r="HE11" s="1084"/>
      <c r="HF11" s="1084"/>
      <c r="HG11" s="1084"/>
      <c r="HH11" s="1084"/>
      <c r="HI11" s="1084"/>
      <c r="HJ11" s="1084"/>
      <c r="HK11" s="1084"/>
      <c r="HL11" s="1084"/>
      <c r="HM11" s="1084"/>
      <c r="HN11" s="1084"/>
      <c r="HO11" s="1084"/>
      <c r="HP11" s="1084"/>
      <c r="HQ11" s="1084"/>
      <c r="HR11" s="1084"/>
      <c r="HS11" s="1084"/>
      <c r="HT11" s="1084"/>
      <c r="HU11" s="1084"/>
      <c r="HV11" s="1084"/>
      <c r="HW11" s="1084"/>
      <c r="HX11" s="1084"/>
      <c r="HY11" s="1084"/>
      <c r="HZ11" s="1084"/>
      <c r="IA11" s="1084"/>
      <c r="IB11" s="1084"/>
      <c r="IC11" s="1084"/>
      <c r="ID11" s="1084"/>
      <c r="IE11" s="1084"/>
      <c r="IF11" s="1084"/>
      <c r="IG11" s="1084"/>
      <c r="IH11" s="1084"/>
      <c r="II11" s="1084"/>
      <c r="IJ11" s="1084"/>
      <c r="IK11" s="1084"/>
      <c r="IL11" s="1084"/>
      <c r="IM11" s="1084"/>
      <c r="IN11" s="1084"/>
      <c r="IO11" s="1084"/>
      <c r="IP11" s="1084"/>
      <c r="IQ11" s="1084"/>
      <c r="IR11" s="1084"/>
      <c r="IS11" s="1084"/>
      <c r="IT11" s="1084"/>
      <c r="IU11" s="1084"/>
      <c r="IV11" s="1084"/>
      <c r="IW11" s="1084"/>
      <c r="IX11" s="1084"/>
      <c r="IY11" s="1084"/>
      <c r="IZ11" s="1084"/>
      <c r="JA11" s="1084"/>
      <c r="JB11" s="1084"/>
      <c r="JC11" s="1084"/>
      <c r="JD11" s="1084"/>
      <c r="JE11" s="1084"/>
      <c r="JF11" s="1084"/>
      <c r="JG11" s="1084"/>
      <c r="JH11" s="1087"/>
      <c r="JI11" s="1087"/>
      <c r="JJ11" s="1087"/>
      <c r="JK11" s="1087"/>
      <c r="JL11" s="1087"/>
      <c r="JM11" s="1087"/>
      <c r="JN11" s="1084"/>
      <c r="JO11" s="1084"/>
      <c r="JP11" s="1084"/>
      <c r="JQ11" s="1084"/>
      <c r="JR11" s="1084"/>
      <c r="JS11" s="1084"/>
      <c r="JT11" s="1084"/>
      <c r="JU11" s="1084"/>
      <c r="JV11" s="1084"/>
      <c r="JW11" s="1084"/>
      <c r="JX11" s="1084"/>
      <c r="JY11" s="1084"/>
      <c r="JZ11" s="1084"/>
      <c r="KA11" s="1084"/>
      <c r="KB11" s="1084"/>
      <c r="KC11" s="1084"/>
      <c r="KD11" s="1084"/>
      <c r="KE11" s="1084"/>
      <c r="KF11" s="1084"/>
      <c r="KG11" s="1084"/>
      <c r="KH11" s="1084"/>
      <c r="KI11" s="1084"/>
      <c r="KJ11" s="1084"/>
      <c r="KK11" s="1084"/>
      <c r="KL11" s="1084"/>
      <c r="KM11" s="1084"/>
      <c r="KN11" s="1084"/>
      <c r="KO11" s="1084"/>
      <c r="KP11" s="1084"/>
      <c r="KQ11" s="1084"/>
      <c r="KR11" s="1084"/>
      <c r="KS11" s="1084"/>
      <c r="KT11" s="1084"/>
      <c r="KU11" s="1084"/>
      <c r="KV11" s="1084"/>
      <c r="KW11" s="1084"/>
      <c r="KX11" s="1084"/>
      <c r="KY11" s="1084"/>
      <c r="KZ11" s="1084"/>
      <c r="LA11" s="1084"/>
      <c r="LB11" s="1084"/>
      <c r="LC11" s="1084"/>
      <c r="LD11" s="1084"/>
    </row>
    <row r="12" spans="1:1407" ht="13.5" x14ac:dyDescent="0.25">
      <c r="A12" s="1086"/>
      <c r="B12" s="1086"/>
      <c r="C12" s="1084"/>
      <c r="D12" s="1081"/>
      <c r="E12" s="1084"/>
      <c r="F12" s="1084"/>
      <c r="G12" s="1084"/>
      <c r="H12" s="1084"/>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84"/>
      <c r="AE12" s="1084"/>
      <c r="AF12" s="1084"/>
      <c r="AG12" s="1084"/>
      <c r="AH12" s="1084"/>
      <c r="AI12" s="1084"/>
      <c r="AJ12" s="1084"/>
      <c r="AK12" s="1084"/>
      <c r="AL12" s="1084"/>
      <c r="AM12" s="1084"/>
      <c r="AN12" s="1084"/>
      <c r="AO12" s="1084"/>
      <c r="AP12" s="1084"/>
      <c r="AQ12" s="1084"/>
      <c r="AR12" s="1084"/>
      <c r="AS12" s="1084"/>
      <c r="AT12" s="1084"/>
      <c r="AU12" s="1084"/>
      <c r="AV12" s="1084"/>
      <c r="AW12" s="1084"/>
      <c r="AX12" s="1084"/>
      <c r="AY12" s="1084"/>
      <c r="AZ12" s="1084"/>
      <c r="BA12" s="1084"/>
      <c r="BB12" s="1084"/>
      <c r="BC12" s="1084"/>
      <c r="BD12" s="1084"/>
      <c r="BE12" s="1084"/>
      <c r="BF12" s="1084"/>
      <c r="BG12" s="1084"/>
      <c r="BH12" s="1084"/>
      <c r="BI12" s="1084"/>
      <c r="BJ12" s="1084"/>
      <c r="BK12" s="1084"/>
      <c r="BL12" s="1084"/>
      <c r="BM12" s="1084"/>
      <c r="BN12" s="1084"/>
      <c r="BO12" s="1084"/>
      <c r="BP12" s="1084"/>
      <c r="BQ12" s="1084"/>
      <c r="BR12" s="1084"/>
      <c r="BS12" s="1084"/>
      <c r="BT12" s="1084"/>
      <c r="BU12" s="1084"/>
      <c r="BV12" s="1084"/>
      <c r="BW12" s="1084"/>
      <c r="BX12" s="1084"/>
      <c r="BY12" s="1084"/>
      <c r="BZ12" s="1084"/>
      <c r="CA12" s="1084"/>
      <c r="CB12" s="1084"/>
      <c r="CC12" s="1084"/>
      <c r="CD12" s="1084"/>
      <c r="CE12" s="1084"/>
      <c r="CF12" s="1084"/>
      <c r="CG12" s="1084"/>
      <c r="CH12" s="1084"/>
      <c r="CI12" s="1084"/>
      <c r="CJ12" s="1084"/>
      <c r="CK12" s="1084"/>
      <c r="CL12" s="1084"/>
      <c r="CM12" s="1084"/>
      <c r="CN12" s="1084"/>
      <c r="CO12" s="1084"/>
      <c r="CP12" s="1084"/>
      <c r="CQ12" s="1084"/>
      <c r="CR12" s="1084"/>
      <c r="CS12" s="1084"/>
      <c r="CT12" s="1084"/>
      <c r="CU12" s="1084"/>
      <c r="CV12" s="1084"/>
      <c r="CW12" s="1084"/>
      <c r="CX12" s="1084"/>
      <c r="CY12" s="1084"/>
      <c r="CZ12" s="1084"/>
      <c r="DA12" s="1084"/>
      <c r="DB12" s="1084"/>
      <c r="DC12" s="1084"/>
      <c r="DD12" s="1084"/>
      <c r="DE12" s="1084"/>
      <c r="DF12" s="1084"/>
      <c r="DG12" s="1084"/>
      <c r="DH12" s="1084"/>
      <c r="DI12" s="1084"/>
      <c r="DJ12" s="1084"/>
      <c r="DK12" s="1084"/>
      <c r="DL12" s="1084"/>
      <c r="DM12" s="1084"/>
      <c r="DN12" s="1084"/>
      <c r="DO12" s="1084"/>
      <c r="DP12" s="1084"/>
      <c r="DQ12" s="1084"/>
      <c r="DR12" s="1084"/>
      <c r="DS12" s="1084"/>
      <c r="DT12" s="1084"/>
      <c r="DU12" s="1084"/>
      <c r="DV12" s="1084"/>
      <c r="DW12" s="1084"/>
      <c r="DX12" s="1084"/>
      <c r="DY12" s="1084"/>
      <c r="DZ12" s="1084"/>
      <c r="EA12" s="1084"/>
      <c r="EB12" s="1084"/>
      <c r="EC12" s="1084"/>
      <c r="ED12" s="1084"/>
      <c r="EE12" s="1084"/>
      <c r="EF12" s="1084"/>
      <c r="EG12" s="1084"/>
      <c r="EH12" s="1084"/>
      <c r="EI12" s="1084"/>
      <c r="EJ12" s="1084"/>
      <c r="EK12" s="1084"/>
      <c r="EL12" s="1084"/>
      <c r="EM12" s="1084"/>
      <c r="EN12" s="1084"/>
      <c r="EO12" s="1084"/>
      <c r="EP12" s="1084"/>
      <c r="EQ12" s="1084"/>
      <c r="ER12" s="1084"/>
      <c r="ES12" s="1084"/>
      <c r="ET12" s="1084"/>
      <c r="EU12" s="1084"/>
      <c r="EV12" s="1084"/>
      <c r="EW12" s="1084"/>
      <c r="EX12" s="1084"/>
      <c r="EY12" s="1084"/>
      <c r="EZ12" s="1084"/>
      <c r="FA12" s="1084"/>
      <c r="FB12" s="1084"/>
      <c r="FC12" s="1084"/>
      <c r="FD12" s="1084"/>
      <c r="FE12" s="1084"/>
      <c r="FF12" s="1084"/>
      <c r="FG12" s="1084"/>
      <c r="FH12" s="1084"/>
      <c r="FI12" s="1084"/>
      <c r="FJ12" s="1084"/>
      <c r="FK12" s="1084"/>
      <c r="FL12" s="1084"/>
      <c r="FM12" s="1084"/>
      <c r="FN12" s="1084"/>
      <c r="FO12" s="1084"/>
      <c r="FP12" s="1084"/>
      <c r="FQ12" s="1084"/>
      <c r="FR12" s="1084"/>
      <c r="FS12" s="1084"/>
      <c r="FT12" s="1084"/>
      <c r="FU12" s="1084"/>
      <c r="FV12" s="1084"/>
      <c r="FW12" s="1084"/>
      <c r="FX12" s="1084"/>
      <c r="FY12" s="1084"/>
      <c r="FZ12" s="1084"/>
      <c r="GA12" s="1084"/>
      <c r="GB12" s="1084"/>
      <c r="GC12" s="1084"/>
      <c r="GD12" s="1084"/>
      <c r="GE12" s="1084"/>
      <c r="GF12" s="1084"/>
      <c r="GG12" s="1084"/>
      <c r="GH12" s="1084"/>
      <c r="GI12" s="1084"/>
      <c r="GJ12" s="1084"/>
      <c r="GK12" s="1084"/>
      <c r="GL12" s="1084"/>
      <c r="GM12" s="1084"/>
      <c r="GN12" s="1084"/>
      <c r="GO12" s="1084"/>
      <c r="GP12" s="1084"/>
      <c r="GQ12" s="1084"/>
      <c r="GR12" s="1084"/>
      <c r="GS12" s="1084"/>
      <c r="GT12" s="1084"/>
      <c r="GU12" s="1084"/>
      <c r="GV12" s="1084"/>
      <c r="GW12" s="1084"/>
      <c r="GX12" s="1084"/>
      <c r="GY12" s="1084"/>
      <c r="GZ12" s="1084"/>
      <c r="HA12" s="1084"/>
      <c r="HB12" s="1084"/>
      <c r="HC12" s="1084"/>
      <c r="HD12" s="1084"/>
      <c r="HE12" s="1084"/>
      <c r="HF12" s="1084"/>
      <c r="HG12" s="1084"/>
      <c r="HH12" s="1084"/>
      <c r="HI12" s="1084"/>
      <c r="HJ12" s="1084"/>
      <c r="HK12" s="1084"/>
      <c r="HL12" s="1084"/>
      <c r="HM12" s="1084"/>
      <c r="HN12" s="1084"/>
      <c r="HO12" s="1084"/>
      <c r="HP12" s="1084"/>
      <c r="HQ12" s="1084"/>
      <c r="HR12" s="1084"/>
      <c r="HS12" s="1084"/>
      <c r="HT12" s="1084"/>
      <c r="HU12" s="1084"/>
      <c r="HV12" s="1084"/>
      <c r="HW12" s="1084"/>
      <c r="HX12" s="1084"/>
      <c r="HY12" s="1084"/>
      <c r="HZ12" s="1084"/>
      <c r="IA12" s="1084"/>
      <c r="IB12" s="1084"/>
      <c r="IC12" s="1084"/>
      <c r="ID12" s="1084"/>
      <c r="IE12" s="1084"/>
      <c r="IF12" s="1084"/>
      <c r="IG12" s="1084"/>
      <c r="IH12" s="1084"/>
      <c r="II12" s="1084"/>
      <c r="IJ12" s="1084"/>
      <c r="IK12" s="1084"/>
      <c r="IL12" s="1084"/>
      <c r="IM12" s="1084"/>
      <c r="IN12" s="1084"/>
      <c r="IO12" s="1084"/>
      <c r="IP12" s="1084"/>
      <c r="IQ12" s="1084"/>
      <c r="IR12" s="1084"/>
      <c r="IS12" s="1084"/>
      <c r="IT12" s="1084"/>
      <c r="IU12" s="1084"/>
      <c r="IV12" s="1084"/>
      <c r="IW12" s="1084"/>
      <c r="IX12" s="1084"/>
      <c r="IY12" s="1084"/>
      <c r="IZ12" s="1084"/>
      <c r="JA12" s="1084"/>
      <c r="JB12" s="1084"/>
      <c r="JC12" s="1084"/>
      <c r="JD12" s="1084"/>
      <c r="JE12" s="1084"/>
      <c r="JF12" s="1084"/>
      <c r="JG12" s="1084"/>
      <c r="JH12" s="1087"/>
      <c r="JI12" s="1087"/>
      <c r="JJ12" s="1087"/>
      <c r="JK12" s="1087"/>
      <c r="JL12" s="1087"/>
      <c r="JM12" s="1087"/>
      <c r="JN12" s="1084"/>
      <c r="JO12" s="1084"/>
      <c r="JP12" s="1084"/>
      <c r="JQ12" s="1084"/>
      <c r="JR12" s="1084"/>
      <c r="JS12" s="1084"/>
      <c r="JT12" s="1084"/>
      <c r="JU12" s="1084"/>
      <c r="JV12" s="1084"/>
      <c r="JW12" s="1084"/>
      <c r="JX12" s="1084"/>
      <c r="JY12" s="1084"/>
      <c r="JZ12" s="1084"/>
      <c r="KA12" s="1084"/>
      <c r="KB12" s="1084"/>
      <c r="KC12" s="1084"/>
      <c r="KD12" s="1084"/>
      <c r="KE12" s="1084"/>
      <c r="KF12" s="1084"/>
      <c r="KG12" s="1084"/>
      <c r="KH12" s="1084"/>
      <c r="KI12" s="1084"/>
      <c r="KJ12" s="1084"/>
      <c r="KK12" s="1084"/>
      <c r="KL12" s="1084"/>
      <c r="KM12" s="1084"/>
      <c r="KN12" s="1084"/>
      <c r="KO12" s="1084"/>
      <c r="KP12" s="1084"/>
      <c r="KQ12" s="1084"/>
      <c r="KR12" s="1084"/>
      <c r="KS12" s="1084"/>
      <c r="KT12" s="1084"/>
      <c r="KU12" s="1084"/>
      <c r="KV12" s="1084"/>
      <c r="KW12" s="1084"/>
      <c r="KX12" s="1084"/>
      <c r="KY12" s="1084"/>
      <c r="KZ12" s="1084"/>
      <c r="LA12" s="1084"/>
      <c r="LB12" s="1084"/>
      <c r="LC12" s="1084"/>
      <c r="LD12" s="1084"/>
    </row>
  </sheetData>
  <sheetProtection algorithmName="SHA-512" hashValue="iTErzZSaP7bFCSKYWyF25F/6YcsAi7/K4AAWMzkiDpNp5F+CqUyA/ryaBDZn3IDMv3zlFC05r8xkmMCKtFl9qQ==" saltValue="HGS1bZS/X1vj9knt/uSHSQ==" spinCount="100000" sheet="1" objects="1" scenarios="1"/>
  <mergeCells count="4">
    <mergeCell ref="B2:F2"/>
    <mergeCell ref="B3:F3"/>
    <mergeCell ref="G3:K3"/>
    <mergeCell ref="G2:K2"/>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autoPageBreaks="0" fitToPage="1"/>
  </sheetPr>
  <dimension ref="A1:Q114"/>
  <sheetViews>
    <sheetView zoomScale="85" zoomScaleNormal="85" zoomScaleSheetLayoutView="85" zoomScalePageLayoutView="55" workbookViewId="0"/>
  </sheetViews>
  <sheetFormatPr defaultColWidth="0" defaultRowHeight="14.25" zeroHeight="1" x14ac:dyDescent="0.2"/>
  <cols>
    <col min="1" max="1" width="2.625" style="1" customWidth="1"/>
    <col min="2" max="2" width="0.625" style="1" customWidth="1"/>
    <col min="3" max="11" width="13.625" style="1" customWidth="1"/>
    <col min="12" max="12" width="0.625" style="1" customWidth="1"/>
    <col min="13" max="13" width="2.625" style="1" customWidth="1"/>
    <col min="14" max="16" width="8.875" style="1" hidden="1" customWidth="1"/>
    <col min="17" max="17" width="14.125" style="1" hidden="1" customWidth="1"/>
    <col min="18" max="16384" width="8.875" style="1" hidden="1"/>
  </cols>
  <sheetData>
    <row r="1" spans="2:17" ht="55.5" customHeight="1" x14ac:dyDescent="0.2"/>
    <row r="2" spans="2:17" s="3" customFormat="1" ht="25.5" customHeight="1" x14ac:dyDescent="0.2">
      <c r="B2" s="1211" t="s">
        <v>1</v>
      </c>
      <c r="C2" s="1212"/>
      <c r="D2" s="1212"/>
      <c r="E2" s="1212"/>
      <c r="F2" s="1212"/>
      <c r="G2" s="1931" t="str">
        <f>CONCATENATE(IF(Instructions!$K$2="","",Instructions!$K$2)," ",IF(Details!$E$11="","",Details!$E$11))</f>
        <v>2026 9% LIHTC AHFA Proposal Application</v>
      </c>
      <c r="H2" s="1931"/>
      <c r="I2" s="1931"/>
      <c r="J2" s="1931"/>
      <c r="K2" s="1931"/>
      <c r="L2" s="1932"/>
    </row>
    <row r="3" spans="2:17" ht="20.25" customHeight="1" x14ac:dyDescent="0.2">
      <c r="B3" s="1166" t="s">
        <v>437</v>
      </c>
      <c r="C3" s="1167"/>
      <c r="D3" s="1167"/>
      <c r="E3" s="1167"/>
      <c r="F3" s="1167"/>
      <c r="G3" s="1933" t="str">
        <f>IF(Details!$E$12="","",CONCATENATE("Project Name: ",Details!$E$12))</f>
        <v/>
      </c>
      <c r="H3" s="1933"/>
      <c r="I3" s="1933"/>
      <c r="J3" s="1933"/>
      <c r="K3" s="1933"/>
      <c r="L3" s="1934"/>
    </row>
    <row r="4" spans="2:17" ht="15" customHeight="1" x14ac:dyDescent="0.2">
      <c r="B4" s="238"/>
      <c r="C4" s="238"/>
      <c r="D4" s="238"/>
      <c r="E4" s="238"/>
      <c r="F4" s="238"/>
      <c r="H4" s="239"/>
      <c r="I4" s="239"/>
      <c r="J4" s="83"/>
      <c r="K4" s="83"/>
      <c r="L4" s="83"/>
    </row>
    <row r="5" spans="2:17" ht="15" customHeight="1" x14ac:dyDescent="0.2">
      <c r="B5" s="1929" t="s">
        <v>0</v>
      </c>
      <c r="C5" s="1929"/>
      <c r="D5" s="1929"/>
      <c r="E5" s="1929"/>
      <c r="F5" s="1929"/>
      <c r="G5" s="1929"/>
      <c r="H5" s="1929"/>
      <c r="I5" s="1929"/>
      <c r="J5" s="1929"/>
      <c r="K5" s="1929"/>
      <c r="L5" s="1929"/>
    </row>
    <row r="6" spans="2:17" ht="3" customHeight="1" x14ac:dyDescent="0.2">
      <c r="B6" s="1312"/>
      <c r="C6" s="1312"/>
      <c r="D6" s="1312"/>
      <c r="E6" s="1312"/>
      <c r="F6" s="1312"/>
      <c r="G6" s="1312"/>
      <c r="H6" s="1312"/>
      <c r="I6" s="1312"/>
      <c r="J6" s="1312"/>
      <c r="K6" s="1312"/>
      <c r="L6" s="1312"/>
    </row>
    <row r="7" spans="2:17" ht="5.25" customHeight="1" x14ac:dyDescent="0.2">
      <c r="B7" s="238"/>
      <c r="C7" s="238"/>
      <c r="D7" s="238"/>
      <c r="E7" s="238"/>
      <c r="F7" s="238"/>
      <c r="H7" s="239"/>
      <c r="I7" s="239"/>
      <c r="J7" s="83"/>
      <c r="K7" s="83"/>
      <c r="L7" s="83"/>
    </row>
    <row r="8" spans="2:17" ht="15" customHeight="1" x14ac:dyDescent="0.2">
      <c r="B8" s="293"/>
      <c r="C8" s="1928" t="s">
        <v>2549</v>
      </c>
      <c r="D8" s="1928"/>
      <c r="E8" s="1928"/>
      <c r="F8" s="1928"/>
      <c r="G8" s="1928"/>
      <c r="H8" s="1928"/>
      <c r="I8" s="1928"/>
      <c r="J8" s="1928"/>
      <c r="K8" s="1928"/>
      <c r="L8" s="293"/>
      <c r="M8" s="293"/>
      <c r="N8" s="293"/>
      <c r="O8" s="293"/>
      <c r="P8" s="293"/>
      <c r="Q8" s="293"/>
    </row>
    <row r="9" spans="2:17" ht="15" customHeight="1" x14ac:dyDescent="0.2">
      <c r="B9" s="293"/>
      <c r="C9" s="1928"/>
      <c r="D9" s="1928"/>
      <c r="E9" s="1928"/>
      <c r="F9" s="1928"/>
      <c r="G9" s="1928"/>
      <c r="H9" s="1928"/>
      <c r="I9" s="1928"/>
      <c r="J9" s="1928"/>
      <c r="K9" s="1928"/>
      <c r="L9" s="293"/>
      <c r="M9" s="293"/>
      <c r="N9" s="293"/>
      <c r="O9" s="293"/>
      <c r="P9" s="293"/>
      <c r="Q9" s="293"/>
    </row>
    <row r="10" spans="2:17" ht="15" customHeight="1" x14ac:dyDescent="0.2">
      <c r="B10" s="293"/>
      <c r="C10" s="1928"/>
      <c r="D10" s="1928"/>
      <c r="E10" s="1928"/>
      <c r="F10" s="1928"/>
      <c r="G10" s="1928"/>
      <c r="H10" s="1928"/>
      <c r="I10" s="1928"/>
      <c r="J10" s="1928"/>
      <c r="K10" s="1928"/>
      <c r="L10" s="293"/>
      <c r="M10" s="293"/>
      <c r="N10" s="293"/>
      <c r="O10" s="293"/>
      <c r="P10" s="293"/>
      <c r="Q10" s="293"/>
    </row>
    <row r="11" spans="2:17" ht="15" customHeight="1" x14ac:dyDescent="0.2">
      <c r="B11" s="293"/>
      <c r="C11" s="295"/>
      <c r="D11" s="295"/>
      <c r="E11" s="295"/>
      <c r="F11" s="295"/>
      <c r="G11" s="295"/>
      <c r="H11" s="295"/>
      <c r="I11" s="295"/>
      <c r="J11" s="295"/>
      <c r="K11" s="295"/>
      <c r="L11" s="293"/>
      <c r="M11" s="293"/>
      <c r="N11" s="293"/>
      <c r="O11" s="293"/>
      <c r="P11" s="293"/>
      <c r="Q11" s="293"/>
    </row>
    <row r="12" spans="2:17" ht="15" customHeight="1" x14ac:dyDescent="0.2">
      <c r="B12" s="1929" t="s">
        <v>603</v>
      </c>
      <c r="C12" s="1929"/>
      <c r="D12" s="1929"/>
      <c r="E12" s="1929"/>
      <c r="F12" s="1929"/>
      <c r="G12" s="1929"/>
      <c r="H12" s="1929"/>
      <c r="I12" s="1929"/>
      <c r="J12" s="1929"/>
      <c r="K12" s="1929"/>
      <c r="L12" s="1929"/>
      <c r="M12" s="293"/>
      <c r="N12" s="293"/>
      <c r="O12" s="293"/>
      <c r="P12" s="293"/>
      <c r="Q12" s="293"/>
    </row>
    <row r="13" spans="2:17" ht="3" customHeight="1" x14ac:dyDescent="0.2">
      <c r="B13" s="1312"/>
      <c r="C13" s="1312"/>
      <c r="D13" s="1312"/>
      <c r="E13" s="1312"/>
      <c r="F13" s="1312"/>
      <c r="G13" s="1312"/>
      <c r="H13" s="1312"/>
      <c r="I13" s="1312"/>
      <c r="J13" s="1312"/>
      <c r="K13" s="1312"/>
      <c r="L13" s="1312"/>
      <c r="M13" s="293"/>
      <c r="N13" s="293"/>
      <c r="O13" s="293"/>
      <c r="P13" s="293"/>
      <c r="Q13" s="293"/>
    </row>
    <row r="14" spans="2:17" ht="5.25" customHeight="1" x14ac:dyDescent="0.2">
      <c r="B14" s="293"/>
      <c r="C14" s="295"/>
      <c r="D14" s="295"/>
      <c r="E14" s="295"/>
      <c r="F14" s="295"/>
      <c r="G14" s="295"/>
      <c r="H14" s="295"/>
      <c r="I14" s="295"/>
      <c r="J14" s="295"/>
      <c r="K14" s="295"/>
      <c r="L14" s="293"/>
      <c r="M14" s="293"/>
      <c r="N14" s="293"/>
      <c r="O14" s="293"/>
      <c r="P14" s="293"/>
      <c r="Q14" s="293"/>
    </row>
    <row r="15" spans="2:17" ht="15" customHeight="1" x14ac:dyDescent="0.2">
      <c r="B15" s="293"/>
      <c r="C15" s="1928" t="s">
        <v>608</v>
      </c>
      <c r="D15" s="1928"/>
      <c r="E15" s="1928"/>
      <c r="F15" s="1928"/>
      <c r="G15" s="1928"/>
      <c r="H15" s="1928"/>
      <c r="I15" s="1928"/>
      <c r="J15" s="1928"/>
      <c r="K15" s="1928"/>
      <c r="L15" s="293"/>
      <c r="M15" s="293"/>
      <c r="N15" s="293"/>
      <c r="O15" s="293"/>
      <c r="P15" s="293"/>
      <c r="Q15" s="293"/>
    </row>
    <row r="16" spans="2:17" ht="15" customHeight="1" x14ac:dyDescent="0.2">
      <c r="B16" s="293"/>
      <c r="C16" s="1928"/>
      <c r="D16" s="1928"/>
      <c r="E16" s="1928"/>
      <c r="F16" s="1928"/>
      <c r="G16" s="1928"/>
      <c r="H16" s="1928"/>
      <c r="I16" s="1928"/>
      <c r="J16" s="1928"/>
      <c r="K16" s="1928"/>
      <c r="L16" s="293"/>
      <c r="M16" s="293"/>
      <c r="N16" s="293"/>
      <c r="O16" s="293"/>
      <c r="P16" s="293"/>
      <c r="Q16" s="293"/>
    </row>
    <row r="17" spans="2:17" ht="15" customHeight="1" x14ac:dyDescent="0.2">
      <c r="B17" s="293"/>
      <c r="C17" s="1928"/>
      <c r="D17" s="1928"/>
      <c r="E17" s="1928"/>
      <c r="F17" s="1928"/>
      <c r="G17" s="1928"/>
      <c r="H17" s="1928"/>
      <c r="I17" s="1928"/>
      <c r="J17" s="1928"/>
      <c r="K17" s="1928"/>
      <c r="L17" s="293"/>
      <c r="M17" s="293"/>
      <c r="N17" s="293"/>
      <c r="O17" s="293"/>
      <c r="P17" s="293"/>
      <c r="Q17" s="293"/>
    </row>
    <row r="18" spans="2:17" ht="15" customHeight="1" x14ac:dyDescent="0.2">
      <c r="B18" s="293"/>
      <c r="C18" s="1928"/>
      <c r="D18" s="1928"/>
      <c r="E18" s="1928"/>
      <c r="F18" s="1928"/>
      <c r="G18" s="1928"/>
      <c r="H18" s="1928"/>
      <c r="I18" s="1928"/>
      <c r="J18" s="1928"/>
      <c r="K18" s="1928"/>
      <c r="L18" s="293"/>
      <c r="M18" s="293"/>
      <c r="N18" s="293"/>
      <c r="O18" s="293"/>
      <c r="P18" s="293"/>
      <c r="Q18" s="293"/>
    </row>
    <row r="19" spans="2:17" ht="15" customHeight="1" x14ac:dyDescent="0.2">
      <c r="B19" s="293"/>
      <c r="C19" s="295"/>
      <c r="D19" s="295"/>
      <c r="E19" s="295"/>
      <c r="F19" s="295"/>
      <c r="G19" s="295"/>
      <c r="H19" s="295"/>
      <c r="I19" s="295"/>
      <c r="J19" s="295"/>
      <c r="K19" s="295"/>
      <c r="L19" s="293"/>
      <c r="M19" s="293"/>
      <c r="N19" s="293"/>
      <c r="O19" s="293"/>
      <c r="P19" s="293"/>
      <c r="Q19" s="293"/>
    </row>
    <row r="20" spans="2:17" ht="15" customHeight="1" x14ac:dyDescent="0.2">
      <c r="B20" s="293"/>
      <c r="C20" s="1928" t="s">
        <v>609</v>
      </c>
      <c r="D20" s="1928"/>
      <c r="E20" s="1928"/>
      <c r="F20" s="1928"/>
      <c r="G20" s="1928"/>
      <c r="H20" s="1928"/>
      <c r="I20" s="1928"/>
      <c r="J20" s="1928"/>
      <c r="K20" s="1928"/>
      <c r="L20" s="293"/>
      <c r="M20" s="293"/>
      <c r="N20" s="293"/>
      <c r="O20" s="293"/>
      <c r="P20" s="293"/>
      <c r="Q20" s="293"/>
    </row>
    <row r="21" spans="2:17" ht="15" customHeight="1" x14ac:dyDescent="0.2">
      <c r="B21" s="293"/>
      <c r="C21" s="1928"/>
      <c r="D21" s="1928"/>
      <c r="E21" s="1928"/>
      <c r="F21" s="1928"/>
      <c r="G21" s="1928"/>
      <c r="H21" s="1928"/>
      <c r="I21" s="1928"/>
      <c r="J21" s="1928"/>
      <c r="K21" s="1928"/>
      <c r="L21" s="293"/>
      <c r="M21" s="293"/>
      <c r="N21" s="293"/>
      <c r="O21" s="293"/>
      <c r="P21" s="293"/>
      <c r="Q21" s="293"/>
    </row>
    <row r="22" spans="2:17" ht="15" customHeight="1" x14ac:dyDescent="0.2">
      <c r="B22" s="293"/>
      <c r="C22" s="1928"/>
      <c r="D22" s="1928"/>
      <c r="E22" s="1928"/>
      <c r="F22" s="1928"/>
      <c r="G22" s="1928"/>
      <c r="H22" s="1928"/>
      <c r="I22" s="1928"/>
      <c r="J22" s="1928"/>
      <c r="K22" s="1928"/>
      <c r="L22" s="293"/>
      <c r="M22" s="293"/>
      <c r="N22" s="293"/>
      <c r="O22" s="293"/>
      <c r="P22" s="293"/>
      <c r="Q22" s="293"/>
    </row>
    <row r="23" spans="2:17" ht="15" customHeight="1" x14ac:dyDescent="0.2">
      <c r="B23" s="293"/>
      <c r="C23" s="1928"/>
      <c r="D23" s="1928"/>
      <c r="E23" s="1928"/>
      <c r="F23" s="1928"/>
      <c r="G23" s="1928"/>
      <c r="H23" s="1928"/>
      <c r="I23" s="1928"/>
      <c r="J23" s="1928"/>
      <c r="K23" s="1928"/>
      <c r="L23" s="293"/>
      <c r="M23" s="293"/>
      <c r="N23" s="293"/>
      <c r="O23" s="293"/>
      <c r="P23" s="293"/>
      <c r="Q23" s="293"/>
    </row>
    <row r="24" spans="2:17" ht="15" customHeight="1" x14ac:dyDescent="0.2">
      <c r="B24" s="293"/>
      <c r="C24" s="294"/>
      <c r="D24" s="294"/>
      <c r="E24" s="294"/>
      <c r="F24" s="294"/>
      <c r="G24" s="294"/>
      <c r="H24" s="294"/>
      <c r="I24" s="294"/>
      <c r="J24" s="294"/>
      <c r="K24" s="294"/>
      <c r="L24" s="293"/>
      <c r="M24" s="293"/>
      <c r="N24" s="293"/>
      <c r="O24" s="293"/>
      <c r="P24" s="293"/>
      <c r="Q24" s="293"/>
    </row>
    <row r="25" spans="2:17" ht="15" customHeight="1" x14ac:dyDescent="0.2">
      <c r="B25" s="293"/>
      <c r="C25" s="1928" t="s">
        <v>2551</v>
      </c>
      <c r="D25" s="1928"/>
      <c r="E25" s="1928"/>
      <c r="F25" s="1928"/>
      <c r="G25" s="1928"/>
      <c r="H25" s="1928"/>
      <c r="I25" s="1928"/>
      <c r="J25" s="1928"/>
      <c r="K25" s="1928"/>
      <c r="L25" s="293"/>
      <c r="M25" s="293"/>
      <c r="N25" s="293"/>
      <c r="O25" s="293"/>
      <c r="P25" s="293"/>
      <c r="Q25" s="293"/>
    </row>
    <row r="26" spans="2:17" ht="15" customHeight="1" x14ac:dyDescent="0.2">
      <c r="B26" s="293"/>
      <c r="C26" s="1928"/>
      <c r="D26" s="1928"/>
      <c r="E26" s="1928"/>
      <c r="F26" s="1928"/>
      <c r="G26" s="1928"/>
      <c r="H26" s="1928"/>
      <c r="I26" s="1928"/>
      <c r="J26" s="1928"/>
      <c r="K26" s="1928"/>
      <c r="L26" s="293"/>
      <c r="M26" s="293"/>
      <c r="N26" s="293"/>
      <c r="O26" s="293"/>
      <c r="P26" s="293"/>
      <c r="Q26" s="293"/>
    </row>
    <row r="27" spans="2:17" ht="15" customHeight="1" x14ac:dyDescent="0.2">
      <c r="B27" s="293"/>
      <c r="C27" s="1928"/>
      <c r="D27" s="1928"/>
      <c r="E27" s="1928"/>
      <c r="F27" s="1928"/>
      <c r="G27" s="1928"/>
      <c r="H27" s="1928"/>
      <c r="I27" s="1928"/>
      <c r="J27" s="1928"/>
      <c r="K27" s="1928"/>
      <c r="L27" s="293"/>
      <c r="M27" s="293"/>
      <c r="N27" s="293"/>
      <c r="O27" s="293"/>
      <c r="P27" s="293"/>
      <c r="Q27" s="293"/>
    </row>
    <row r="28" spans="2:17" ht="15" customHeight="1" x14ac:dyDescent="0.2">
      <c r="B28" s="293"/>
      <c r="C28" s="294"/>
      <c r="D28" s="294"/>
      <c r="E28" s="294"/>
      <c r="F28" s="294"/>
      <c r="G28" s="294"/>
      <c r="H28" s="294"/>
      <c r="I28" s="294"/>
      <c r="J28" s="294"/>
      <c r="K28" s="294"/>
      <c r="L28" s="293"/>
      <c r="M28" s="293"/>
      <c r="N28" s="293"/>
      <c r="O28" s="293"/>
      <c r="P28" s="293"/>
      <c r="Q28" s="293"/>
    </row>
    <row r="29" spans="2:17" ht="15" customHeight="1" x14ac:dyDescent="0.2">
      <c r="B29" s="293"/>
      <c r="C29" s="1930" t="s">
        <v>2552</v>
      </c>
      <c r="D29" s="1930"/>
      <c r="E29" s="1930"/>
      <c r="F29" s="1930"/>
      <c r="G29" s="1930"/>
      <c r="H29" s="1930"/>
      <c r="I29" s="1930"/>
      <c r="J29" s="1930"/>
      <c r="K29" s="1930"/>
      <c r="L29" s="293"/>
      <c r="M29" s="293"/>
      <c r="N29" s="293"/>
      <c r="O29" s="293"/>
      <c r="P29" s="293"/>
      <c r="Q29" s="293"/>
    </row>
    <row r="30" spans="2:17" ht="15" customHeight="1" x14ac:dyDescent="0.2">
      <c r="B30" s="293"/>
      <c r="C30" s="294"/>
      <c r="D30" s="294"/>
      <c r="E30" s="294"/>
      <c r="F30" s="294"/>
      <c r="G30" s="294"/>
      <c r="H30" s="294"/>
      <c r="I30" s="294"/>
      <c r="J30" s="294"/>
      <c r="K30" s="294"/>
      <c r="L30" s="293"/>
      <c r="M30" s="293"/>
      <c r="N30" s="293"/>
      <c r="O30" s="293"/>
      <c r="P30" s="293"/>
      <c r="Q30" s="293"/>
    </row>
    <row r="31" spans="2:17" ht="15" customHeight="1" x14ac:dyDescent="0.2">
      <c r="B31" s="293"/>
      <c r="C31" s="1928" t="s">
        <v>2553</v>
      </c>
      <c r="D31" s="1928"/>
      <c r="E31" s="1928"/>
      <c r="F31" s="1928"/>
      <c r="G31" s="1928"/>
      <c r="H31" s="1928"/>
      <c r="I31" s="1928"/>
      <c r="J31" s="1928"/>
      <c r="K31" s="1928"/>
      <c r="L31" s="293"/>
      <c r="M31" s="293"/>
      <c r="N31" s="293"/>
      <c r="O31" s="293"/>
      <c r="P31" s="293"/>
      <c r="Q31" s="293"/>
    </row>
    <row r="32" spans="2:17" ht="15" customHeight="1" x14ac:dyDescent="0.2">
      <c r="B32" s="293"/>
      <c r="C32" s="1928"/>
      <c r="D32" s="1928"/>
      <c r="E32" s="1928"/>
      <c r="F32" s="1928"/>
      <c r="G32" s="1928"/>
      <c r="H32" s="1928"/>
      <c r="I32" s="1928"/>
      <c r="J32" s="1928"/>
      <c r="K32" s="1928"/>
      <c r="L32" s="293"/>
      <c r="M32" s="293"/>
      <c r="N32" s="293"/>
      <c r="O32" s="293"/>
      <c r="P32" s="293"/>
      <c r="Q32" s="293"/>
    </row>
    <row r="33" spans="2:17" ht="15" customHeight="1" x14ac:dyDescent="0.2">
      <c r="B33" s="293"/>
      <c r="C33" s="1928"/>
      <c r="D33" s="1928"/>
      <c r="E33" s="1928"/>
      <c r="F33" s="1928"/>
      <c r="G33" s="1928"/>
      <c r="H33" s="1928"/>
      <c r="I33" s="1928"/>
      <c r="J33" s="1928"/>
      <c r="K33" s="1928"/>
      <c r="L33" s="293"/>
      <c r="M33" s="293"/>
      <c r="N33" s="293"/>
      <c r="O33" s="293"/>
      <c r="P33" s="293"/>
      <c r="Q33" s="293"/>
    </row>
    <row r="34" spans="2:17" ht="15" customHeight="1" x14ac:dyDescent="0.2">
      <c r="B34" s="293"/>
      <c r="C34" s="294"/>
      <c r="D34" s="294"/>
      <c r="E34" s="294"/>
      <c r="F34" s="294"/>
      <c r="G34" s="294"/>
      <c r="H34" s="294"/>
      <c r="I34" s="294"/>
      <c r="J34" s="294"/>
      <c r="K34" s="294"/>
      <c r="L34" s="293"/>
      <c r="M34" s="293"/>
      <c r="N34" s="293"/>
      <c r="O34" s="293"/>
      <c r="P34" s="293"/>
      <c r="Q34" s="293"/>
    </row>
    <row r="35" spans="2:17" ht="15" customHeight="1" x14ac:dyDescent="0.2">
      <c r="B35" s="293"/>
      <c r="C35" s="1928" t="s">
        <v>2554</v>
      </c>
      <c r="D35" s="1928"/>
      <c r="E35" s="1928"/>
      <c r="F35" s="1928"/>
      <c r="G35" s="1928"/>
      <c r="H35" s="1928"/>
      <c r="I35" s="1928"/>
      <c r="J35" s="1928"/>
      <c r="K35" s="1928"/>
      <c r="L35" s="293"/>
      <c r="M35" s="293"/>
      <c r="N35" s="293"/>
      <c r="O35" s="293"/>
      <c r="P35" s="293"/>
      <c r="Q35" s="293"/>
    </row>
    <row r="36" spans="2:17" ht="15" customHeight="1" x14ac:dyDescent="0.2">
      <c r="B36" s="293"/>
      <c r="C36" s="1928"/>
      <c r="D36" s="1928"/>
      <c r="E36" s="1928"/>
      <c r="F36" s="1928"/>
      <c r="G36" s="1928"/>
      <c r="H36" s="1928"/>
      <c r="I36" s="1928"/>
      <c r="J36" s="1928"/>
      <c r="K36" s="1928"/>
      <c r="L36" s="293"/>
      <c r="M36" s="293"/>
      <c r="N36" s="293"/>
      <c r="O36" s="293"/>
      <c r="P36" s="293"/>
      <c r="Q36" s="293"/>
    </row>
    <row r="37" spans="2:17" ht="15" customHeight="1" x14ac:dyDescent="0.2">
      <c r="B37" s="293"/>
      <c r="C37" s="295"/>
      <c r="D37" s="295"/>
      <c r="E37" s="295"/>
      <c r="F37" s="295"/>
      <c r="G37" s="295"/>
      <c r="H37" s="295"/>
      <c r="I37" s="295"/>
      <c r="J37" s="295"/>
      <c r="K37" s="295"/>
      <c r="L37" s="293"/>
      <c r="M37" s="293"/>
      <c r="N37" s="293"/>
      <c r="O37" s="293"/>
      <c r="P37" s="293"/>
      <c r="Q37" s="293"/>
    </row>
    <row r="38" spans="2:17" ht="15" customHeight="1" x14ac:dyDescent="0.2">
      <c r="B38" s="293"/>
      <c r="C38" s="1928" t="s">
        <v>610</v>
      </c>
      <c r="D38" s="1928"/>
      <c r="E38" s="1928"/>
      <c r="F38" s="1928"/>
      <c r="G38" s="1928"/>
      <c r="H38" s="1928"/>
      <c r="I38" s="1928"/>
      <c r="J38" s="1928"/>
      <c r="K38" s="1928"/>
      <c r="L38" s="293"/>
      <c r="M38" s="293"/>
      <c r="N38" s="293"/>
      <c r="O38" s="293"/>
      <c r="P38" s="293"/>
      <c r="Q38" s="293"/>
    </row>
    <row r="39" spans="2:17" ht="15" customHeight="1" x14ac:dyDescent="0.2">
      <c r="B39" s="293"/>
      <c r="C39" s="1928"/>
      <c r="D39" s="1928"/>
      <c r="E39" s="1928"/>
      <c r="F39" s="1928"/>
      <c r="G39" s="1928"/>
      <c r="H39" s="1928"/>
      <c r="I39" s="1928"/>
      <c r="J39" s="1928"/>
      <c r="K39" s="1928"/>
      <c r="L39" s="293"/>
      <c r="M39" s="293"/>
      <c r="N39" s="293"/>
      <c r="O39" s="293"/>
      <c r="P39" s="293"/>
      <c r="Q39" s="293"/>
    </row>
    <row r="40" spans="2:17" ht="15" customHeight="1" x14ac:dyDescent="0.2">
      <c r="B40" s="293"/>
      <c r="C40" s="1928"/>
      <c r="D40" s="1928"/>
      <c r="E40" s="1928"/>
      <c r="F40" s="1928"/>
      <c r="G40" s="1928"/>
      <c r="H40" s="1928"/>
      <c r="I40" s="1928"/>
      <c r="J40" s="1928"/>
      <c r="K40" s="1928"/>
      <c r="L40" s="293"/>
      <c r="M40" s="293"/>
      <c r="N40" s="293"/>
      <c r="O40" s="293"/>
      <c r="P40" s="293"/>
      <c r="Q40" s="293"/>
    </row>
    <row r="41" spans="2:17" ht="15" customHeight="1" x14ac:dyDescent="0.2">
      <c r="B41" s="293"/>
      <c r="C41" s="1928"/>
      <c r="D41" s="1928"/>
      <c r="E41" s="1928"/>
      <c r="F41" s="1928"/>
      <c r="G41" s="1928"/>
      <c r="H41" s="1928"/>
      <c r="I41" s="1928"/>
      <c r="J41" s="1928"/>
      <c r="K41" s="1928"/>
      <c r="L41" s="293"/>
      <c r="M41" s="293"/>
      <c r="N41" s="293"/>
      <c r="O41" s="293"/>
      <c r="P41" s="293"/>
      <c r="Q41" s="293"/>
    </row>
    <row r="42" spans="2:17" ht="15" customHeight="1" x14ac:dyDescent="0.2">
      <c r="B42" s="293"/>
      <c r="C42" s="295"/>
      <c r="D42" s="295"/>
      <c r="E42" s="295"/>
      <c r="F42" s="295"/>
      <c r="G42" s="295"/>
      <c r="H42" s="295"/>
      <c r="I42" s="295"/>
      <c r="J42" s="295"/>
      <c r="K42" s="295"/>
      <c r="L42" s="293"/>
      <c r="M42" s="293"/>
      <c r="N42" s="293"/>
      <c r="O42" s="293"/>
      <c r="P42" s="293"/>
      <c r="Q42" s="293"/>
    </row>
    <row r="43" spans="2:17" ht="15" customHeight="1" x14ac:dyDescent="0.2">
      <c r="B43" s="293"/>
      <c r="C43" s="1928" t="s">
        <v>612</v>
      </c>
      <c r="D43" s="1928"/>
      <c r="E43" s="1928"/>
      <c r="F43" s="1928"/>
      <c r="G43" s="1928"/>
      <c r="H43" s="1928"/>
      <c r="I43" s="1928"/>
      <c r="J43" s="1928"/>
      <c r="K43" s="1928"/>
      <c r="L43" s="293"/>
      <c r="M43" s="293"/>
      <c r="N43" s="293"/>
      <c r="O43" s="293"/>
      <c r="P43" s="293"/>
      <c r="Q43" s="293"/>
    </row>
    <row r="44" spans="2:17" ht="15" customHeight="1" x14ac:dyDescent="0.2">
      <c r="B44" s="293"/>
      <c r="C44" s="1928"/>
      <c r="D44" s="1928"/>
      <c r="E44" s="1928"/>
      <c r="F44" s="1928"/>
      <c r="G44" s="1928"/>
      <c r="H44" s="1928"/>
      <c r="I44" s="1928"/>
      <c r="J44" s="1928"/>
      <c r="K44" s="1928"/>
      <c r="L44" s="293"/>
      <c r="M44" s="293"/>
      <c r="N44" s="293"/>
      <c r="O44" s="293"/>
      <c r="P44" s="293"/>
      <c r="Q44" s="293"/>
    </row>
    <row r="45" spans="2:17" ht="15" customHeight="1" x14ac:dyDescent="0.2">
      <c r="B45" s="293"/>
      <c r="C45" s="295"/>
      <c r="D45" s="295"/>
      <c r="E45" s="295"/>
      <c r="F45" s="295"/>
      <c r="G45" s="295"/>
      <c r="H45" s="295"/>
      <c r="I45" s="295"/>
      <c r="J45" s="295"/>
      <c r="K45" s="295"/>
      <c r="L45" s="293"/>
      <c r="M45" s="293"/>
      <c r="N45" s="293"/>
      <c r="O45" s="293"/>
      <c r="P45" s="293"/>
      <c r="Q45" s="293"/>
    </row>
    <row r="46" spans="2:17" ht="15" customHeight="1" x14ac:dyDescent="0.2">
      <c r="B46" s="293"/>
      <c r="C46" s="1928" t="s">
        <v>611</v>
      </c>
      <c r="D46" s="1928"/>
      <c r="E46" s="1928"/>
      <c r="F46" s="1928"/>
      <c r="G46" s="1928"/>
      <c r="H46" s="1928"/>
      <c r="I46" s="1928"/>
      <c r="J46" s="1928"/>
      <c r="K46" s="1928"/>
      <c r="L46" s="293"/>
      <c r="M46" s="293"/>
      <c r="N46" s="293"/>
      <c r="O46" s="293"/>
      <c r="P46" s="293"/>
      <c r="Q46" s="293"/>
    </row>
    <row r="47" spans="2:17" ht="15" customHeight="1" x14ac:dyDescent="0.2">
      <c r="B47" s="293"/>
      <c r="C47" s="1928"/>
      <c r="D47" s="1928"/>
      <c r="E47" s="1928"/>
      <c r="F47" s="1928"/>
      <c r="G47" s="1928"/>
      <c r="H47" s="1928"/>
      <c r="I47" s="1928"/>
      <c r="J47" s="1928"/>
      <c r="K47" s="1928"/>
      <c r="L47" s="293"/>
      <c r="M47" s="293"/>
      <c r="N47" s="293"/>
      <c r="O47" s="293"/>
      <c r="P47" s="293"/>
      <c r="Q47" s="293"/>
    </row>
    <row r="48" spans="2:17" ht="15" customHeight="1" x14ac:dyDescent="0.2">
      <c r="B48" s="293"/>
      <c r="C48" s="1928"/>
      <c r="D48" s="1928"/>
      <c r="E48" s="1928"/>
      <c r="F48" s="1928"/>
      <c r="G48" s="1928"/>
      <c r="H48" s="1928"/>
      <c r="I48" s="1928"/>
      <c r="J48" s="1928"/>
      <c r="K48" s="1928"/>
      <c r="L48" s="293"/>
      <c r="M48" s="293"/>
      <c r="N48" s="293"/>
      <c r="O48" s="293"/>
      <c r="P48" s="293"/>
      <c r="Q48" s="293"/>
    </row>
    <row r="49" spans="2:17" ht="15" customHeight="1" x14ac:dyDescent="0.2">
      <c r="B49" s="293"/>
      <c r="C49" s="1928"/>
      <c r="D49" s="1928"/>
      <c r="E49" s="1928"/>
      <c r="F49" s="1928"/>
      <c r="G49" s="1928"/>
      <c r="H49" s="1928"/>
      <c r="I49" s="1928"/>
      <c r="J49" s="1928"/>
      <c r="K49" s="1928"/>
      <c r="L49" s="293"/>
      <c r="M49" s="293"/>
      <c r="N49" s="293"/>
      <c r="O49" s="293"/>
      <c r="P49" s="293"/>
      <c r="Q49" s="293"/>
    </row>
    <row r="50" spans="2:17" ht="15" customHeight="1" x14ac:dyDescent="0.2">
      <c r="B50" s="293"/>
      <c r="C50" s="1928"/>
      <c r="D50" s="1928"/>
      <c r="E50" s="1928"/>
      <c r="F50" s="1928"/>
      <c r="G50" s="1928"/>
      <c r="H50" s="1928"/>
      <c r="I50" s="1928"/>
      <c r="J50" s="1928"/>
      <c r="K50" s="1928"/>
      <c r="L50" s="293"/>
      <c r="M50" s="293"/>
      <c r="N50" s="293"/>
      <c r="O50" s="293"/>
      <c r="P50" s="293"/>
      <c r="Q50" s="293"/>
    </row>
    <row r="51" spans="2:17" ht="15" customHeight="1" x14ac:dyDescent="0.2">
      <c r="B51" s="293"/>
      <c r="C51" s="1928"/>
      <c r="D51" s="1928"/>
      <c r="E51" s="1928"/>
      <c r="F51" s="1928"/>
      <c r="G51" s="1928"/>
      <c r="H51" s="1928"/>
      <c r="I51" s="1928"/>
      <c r="J51" s="1928"/>
      <c r="K51" s="1928"/>
      <c r="L51" s="293"/>
      <c r="M51" s="293"/>
      <c r="N51" s="293"/>
      <c r="O51" s="293"/>
      <c r="P51" s="293"/>
      <c r="Q51" s="293"/>
    </row>
    <row r="52" spans="2:17" ht="15" customHeight="1" x14ac:dyDescent="0.2">
      <c r="B52" s="293"/>
      <c r="C52" s="1928"/>
      <c r="D52" s="1928"/>
      <c r="E52" s="1928"/>
      <c r="F52" s="1928"/>
      <c r="G52" s="1928"/>
      <c r="H52" s="1928"/>
      <c r="I52" s="1928"/>
      <c r="J52" s="1928"/>
      <c r="K52" s="1928"/>
      <c r="L52" s="293"/>
      <c r="M52" s="293"/>
      <c r="N52" s="293"/>
      <c r="O52" s="293"/>
      <c r="P52" s="293"/>
      <c r="Q52" s="293"/>
    </row>
    <row r="53" spans="2:17" ht="15" customHeight="1" x14ac:dyDescent="0.2">
      <c r="B53" s="293"/>
      <c r="C53" s="294"/>
      <c r="D53" s="294"/>
      <c r="E53" s="294"/>
      <c r="F53" s="294"/>
      <c r="G53" s="294"/>
      <c r="H53" s="294"/>
      <c r="I53" s="294"/>
      <c r="J53" s="294"/>
      <c r="K53" s="294"/>
      <c r="L53" s="293"/>
      <c r="M53" s="293"/>
      <c r="N53" s="293"/>
      <c r="O53" s="293"/>
      <c r="P53" s="293"/>
      <c r="Q53" s="293"/>
    </row>
    <row r="54" spans="2:17" ht="15" customHeight="1" x14ac:dyDescent="0.2">
      <c r="B54" s="293"/>
      <c r="C54" s="1928" t="s">
        <v>597</v>
      </c>
      <c r="D54" s="1928"/>
      <c r="E54" s="1928"/>
      <c r="F54" s="1928"/>
      <c r="G54" s="1928"/>
      <c r="H54" s="1928"/>
      <c r="I54" s="1928"/>
      <c r="J54" s="1928"/>
      <c r="K54" s="1928"/>
      <c r="L54" s="293"/>
      <c r="M54" s="293"/>
      <c r="N54" s="293"/>
      <c r="O54" s="293"/>
      <c r="P54" s="293"/>
      <c r="Q54" s="293"/>
    </row>
    <row r="55" spans="2:17" ht="15" customHeight="1" x14ac:dyDescent="0.2">
      <c r="B55" s="293"/>
      <c r="C55" s="1928"/>
      <c r="D55" s="1928"/>
      <c r="E55" s="1928"/>
      <c r="F55" s="1928"/>
      <c r="G55" s="1928"/>
      <c r="H55" s="1928"/>
      <c r="I55" s="1928"/>
      <c r="J55" s="1928"/>
      <c r="K55" s="1928"/>
      <c r="L55" s="293"/>
      <c r="M55" s="293"/>
      <c r="N55" s="293"/>
      <c r="O55" s="293"/>
      <c r="P55" s="293"/>
      <c r="Q55" s="293"/>
    </row>
    <row r="56" spans="2:17" ht="15" customHeight="1" x14ac:dyDescent="0.2">
      <c r="B56" s="293"/>
      <c r="C56" s="295"/>
      <c r="D56" s="295"/>
      <c r="E56" s="295"/>
      <c r="F56" s="295"/>
      <c r="G56" s="295"/>
      <c r="H56" s="295"/>
      <c r="I56" s="295"/>
      <c r="J56" s="295"/>
      <c r="K56" s="295"/>
      <c r="L56" s="293"/>
      <c r="M56" s="293"/>
      <c r="N56" s="293"/>
      <c r="O56" s="293"/>
      <c r="P56" s="293"/>
      <c r="Q56" s="293"/>
    </row>
    <row r="57" spans="2:17" ht="15" customHeight="1" x14ac:dyDescent="0.2">
      <c r="B57" s="293"/>
      <c r="C57" s="1928" t="s">
        <v>607</v>
      </c>
      <c r="D57" s="1928"/>
      <c r="E57" s="1928"/>
      <c r="F57" s="1928"/>
      <c r="G57" s="1928"/>
      <c r="H57" s="1928"/>
      <c r="I57" s="1928"/>
      <c r="J57" s="1928"/>
      <c r="K57" s="1928"/>
      <c r="L57" s="293"/>
      <c r="M57" s="293"/>
      <c r="N57" s="293"/>
      <c r="O57" s="293"/>
      <c r="P57" s="293"/>
      <c r="Q57" s="293"/>
    </row>
    <row r="58" spans="2:17" ht="15" customHeight="1" x14ac:dyDescent="0.2">
      <c r="B58" s="293"/>
      <c r="C58" s="1928"/>
      <c r="D58" s="1928"/>
      <c r="E58" s="1928"/>
      <c r="F58" s="1928"/>
      <c r="G58" s="1928"/>
      <c r="H58" s="1928"/>
      <c r="I58" s="1928"/>
      <c r="J58" s="1928"/>
      <c r="K58" s="1928"/>
      <c r="L58" s="293"/>
      <c r="M58" s="293"/>
      <c r="N58" s="293"/>
      <c r="O58" s="293"/>
      <c r="P58" s="293"/>
      <c r="Q58" s="293"/>
    </row>
    <row r="59" spans="2:17" ht="15" customHeight="1" x14ac:dyDescent="0.2">
      <c r="B59" s="293"/>
      <c r="C59" s="295"/>
      <c r="D59" s="295"/>
      <c r="E59" s="295"/>
      <c r="F59" s="295"/>
      <c r="G59" s="295"/>
      <c r="H59" s="295"/>
      <c r="I59" s="295"/>
      <c r="J59" s="295"/>
      <c r="K59" s="295"/>
      <c r="L59" s="293"/>
      <c r="M59" s="293"/>
      <c r="N59" s="293"/>
      <c r="O59" s="293"/>
      <c r="P59" s="293"/>
      <c r="Q59" s="293"/>
    </row>
    <row r="60" spans="2:17" ht="15" customHeight="1" x14ac:dyDescent="0.2">
      <c r="B60" s="293"/>
      <c r="C60" s="1927" t="s">
        <v>600</v>
      </c>
      <c r="D60" s="1927"/>
      <c r="E60" s="1927"/>
      <c r="F60" s="1927"/>
      <c r="G60" s="1927"/>
      <c r="H60" s="1927"/>
      <c r="I60" s="1927"/>
      <c r="J60" s="1927"/>
      <c r="K60" s="1927"/>
      <c r="L60" s="293"/>
      <c r="M60" s="293"/>
      <c r="N60" s="293"/>
      <c r="O60" s="293"/>
      <c r="P60" s="293"/>
      <c r="Q60" s="293"/>
    </row>
    <row r="61" spans="2:17" ht="5.25" customHeight="1" x14ac:dyDescent="0.2">
      <c r="B61" s="293"/>
      <c r="C61" s="295"/>
      <c r="D61" s="295"/>
      <c r="E61" s="295"/>
      <c r="F61" s="295"/>
      <c r="G61" s="295"/>
      <c r="H61" s="295"/>
      <c r="I61" s="295"/>
      <c r="J61" s="295"/>
      <c r="K61" s="295"/>
      <c r="L61" s="293"/>
      <c r="M61" s="293"/>
      <c r="N61" s="293"/>
      <c r="O61" s="293"/>
      <c r="P61" s="293"/>
      <c r="Q61" s="293"/>
    </row>
    <row r="62" spans="2:17" ht="15" customHeight="1" x14ac:dyDescent="0.2">
      <c r="B62" s="293"/>
      <c r="C62" s="1926" t="s">
        <v>606</v>
      </c>
      <c r="D62" s="1926"/>
      <c r="E62" s="1926"/>
      <c r="F62" s="1926"/>
      <c r="G62" s="1926"/>
      <c r="H62" s="1926"/>
      <c r="I62" s="1926"/>
      <c r="J62" s="1926"/>
      <c r="K62" s="1926"/>
      <c r="L62" s="293"/>
      <c r="M62" s="293"/>
      <c r="N62" s="293"/>
      <c r="O62" s="293"/>
      <c r="P62" s="293"/>
      <c r="Q62" s="293"/>
    </row>
    <row r="63" spans="2:17" ht="15" customHeight="1" x14ac:dyDescent="0.2">
      <c r="B63" s="293"/>
      <c r="C63" s="1926"/>
      <c r="D63" s="1926"/>
      <c r="E63" s="1926"/>
      <c r="F63" s="1926"/>
      <c r="G63" s="1926"/>
      <c r="H63" s="1926"/>
      <c r="I63" s="1926"/>
      <c r="J63" s="1926"/>
      <c r="K63" s="1926"/>
      <c r="L63" s="293"/>
      <c r="M63" s="293"/>
      <c r="N63" s="293"/>
      <c r="O63" s="293"/>
      <c r="P63" s="293"/>
      <c r="Q63" s="293"/>
    </row>
    <row r="64" spans="2:17" ht="15" customHeight="1" x14ac:dyDescent="0.2">
      <c r="B64" s="293"/>
      <c r="C64" s="1926"/>
      <c r="D64" s="1926"/>
      <c r="E64" s="1926"/>
      <c r="F64" s="1926"/>
      <c r="G64" s="1926"/>
      <c r="H64" s="1926"/>
      <c r="I64" s="1926"/>
      <c r="J64" s="1926"/>
      <c r="K64" s="1926"/>
      <c r="L64" s="293"/>
      <c r="M64" s="293"/>
      <c r="N64" s="293"/>
      <c r="O64" s="293"/>
      <c r="P64" s="293"/>
      <c r="Q64" s="293"/>
    </row>
    <row r="65" spans="2:17" ht="15" customHeight="1" x14ac:dyDescent="0.2">
      <c r="B65" s="293"/>
      <c r="C65" s="1926"/>
      <c r="D65" s="1926"/>
      <c r="E65" s="1926"/>
      <c r="F65" s="1926"/>
      <c r="G65" s="1926"/>
      <c r="H65" s="1926"/>
      <c r="I65" s="1926"/>
      <c r="J65" s="1926"/>
      <c r="K65" s="1926"/>
      <c r="L65" s="293"/>
      <c r="M65" s="293"/>
      <c r="N65" s="293"/>
      <c r="O65" s="293"/>
      <c r="P65" s="293"/>
      <c r="Q65" s="293"/>
    </row>
    <row r="66" spans="2:17" ht="15" customHeight="1" x14ac:dyDescent="0.2">
      <c r="B66" s="293"/>
      <c r="C66" s="1926"/>
      <c r="D66" s="1926"/>
      <c r="E66" s="1926"/>
      <c r="F66" s="1926"/>
      <c r="G66" s="1926"/>
      <c r="H66" s="1926"/>
      <c r="I66" s="1926"/>
      <c r="J66" s="1926"/>
      <c r="K66" s="1926"/>
      <c r="L66" s="293"/>
      <c r="M66" s="293"/>
      <c r="N66" s="293"/>
      <c r="O66" s="293"/>
      <c r="P66" s="293"/>
      <c r="Q66" s="293"/>
    </row>
    <row r="67" spans="2:17" ht="15" customHeight="1" x14ac:dyDescent="0.2">
      <c r="B67" s="293"/>
      <c r="C67" s="295"/>
      <c r="D67" s="295"/>
      <c r="E67" s="295"/>
      <c r="F67" s="295"/>
      <c r="G67" s="295"/>
      <c r="H67" s="295"/>
      <c r="I67" s="295"/>
      <c r="J67" s="295"/>
      <c r="K67" s="295"/>
      <c r="L67" s="293"/>
      <c r="M67" s="293"/>
      <c r="N67" s="293"/>
      <c r="O67" s="293"/>
      <c r="P67" s="293"/>
      <c r="Q67" s="293"/>
    </row>
    <row r="68" spans="2:17" ht="15" customHeight="1" x14ac:dyDescent="0.2">
      <c r="B68" s="293"/>
      <c r="C68" s="1927" t="s">
        <v>601</v>
      </c>
      <c r="D68" s="1927"/>
      <c r="E68" s="1927"/>
      <c r="F68" s="1927"/>
      <c r="G68" s="1927"/>
      <c r="H68" s="1927"/>
      <c r="I68" s="1927"/>
      <c r="J68" s="1927"/>
      <c r="K68" s="1927"/>
      <c r="L68" s="293"/>
      <c r="M68" s="293"/>
      <c r="N68" s="293"/>
      <c r="O68" s="293"/>
      <c r="P68" s="293"/>
      <c r="Q68" s="293"/>
    </row>
    <row r="69" spans="2:17" ht="5.25" customHeight="1" x14ac:dyDescent="0.2">
      <c r="B69" s="293"/>
      <c r="C69" s="295"/>
      <c r="D69" s="295"/>
      <c r="E69" s="295"/>
      <c r="F69" s="295"/>
      <c r="G69" s="295"/>
      <c r="H69" s="295"/>
      <c r="I69" s="295"/>
      <c r="J69" s="295"/>
      <c r="K69" s="295"/>
      <c r="L69" s="293"/>
      <c r="M69" s="293"/>
      <c r="N69" s="293"/>
      <c r="O69" s="293"/>
      <c r="P69" s="293"/>
      <c r="Q69" s="293"/>
    </row>
    <row r="70" spans="2:17" ht="15" customHeight="1" x14ac:dyDescent="0.2">
      <c r="B70" s="293"/>
      <c r="C70" s="1926" t="s">
        <v>598</v>
      </c>
      <c r="D70" s="1926"/>
      <c r="E70" s="1926"/>
      <c r="F70" s="1926"/>
      <c r="G70" s="1926"/>
      <c r="H70" s="1926"/>
      <c r="I70" s="1926"/>
      <c r="J70" s="1926"/>
      <c r="K70" s="1926"/>
      <c r="L70" s="293"/>
      <c r="M70" s="293"/>
      <c r="N70" s="293"/>
      <c r="O70" s="293"/>
      <c r="P70" s="293"/>
      <c r="Q70" s="293"/>
    </row>
    <row r="71" spans="2:17" ht="15" customHeight="1" x14ac:dyDescent="0.2">
      <c r="B71" s="293"/>
      <c r="C71" s="1926"/>
      <c r="D71" s="1926"/>
      <c r="E71" s="1926"/>
      <c r="F71" s="1926"/>
      <c r="G71" s="1926"/>
      <c r="H71" s="1926"/>
      <c r="I71" s="1926"/>
      <c r="J71" s="1926"/>
      <c r="K71" s="1926"/>
      <c r="L71" s="293"/>
      <c r="M71" s="293"/>
      <c r="N71" s="293"/>
      <c r="O71" s="293"/>
      <c r="P71" s="293"/>
      <c r="Q71" s="293"/>
    </row>
    <row r="72" spans="2:17" ht="15" customHeight="1" x14ac:dyDescent="0.2">
      <c r="B72" s="293"/>
      <c r="C72" s="295"/>
      <c r="D72" s="295"/>
      <c r="E72" s="295"/>
      <c r="F72" s="295"/>
      <c r="G72" s="295"/>
      <c r="H72" s="295"/>
      <c r="I72" s="295"/>
      <c r="J72" s="295"/>
      <c r="K72" s="295"/>
      <c r="L72" s="293"/>
      <c r="M72" s="293"/>
      <c r="N72" s="293"/>
      <c r="O72" s="293"/>
      <c r="P72" s="293"/>
      <c r="Q72" s="293"/>
    </row>
    <row r="73" spans="2:17" ht="15" customHeight="1" x14ac:dyDescent="0.2">
      <c r="B73" s="293"/>
      <c r="C73" s="1927" t="s">
        <v>602</v>
      </c>
      <c r="D73" s="1927"/>
      <c r="E73" s="1927"/>
      <c r="F73" s="1927"/>
      <c r="G73" s="1927"/>
      <c r="H73" s="1927"/>
      <c r="I73" s="1927"/>
      <c r="J73" s="1927"/>
      <c r="K73" s="1927"/>
      <c r="L73" s="293"/>
      <c r="M73" s="293"/>
      <c r="N73" s="293"/>
      <c r="O73" s="293"/>
      <c r="P73" s="293"/>
      <c r="Q73" s="293"/>
    </row>
    <row r="74" spans="2:17" ht="5.25" customHeight="1" x14ac:dyDescent="0.2">
      <c r="B74" s="293"/>
      <c r="C74" s="295"/>
      <c r="D74" s="295"/>
      <c r="E74" s="295"/>
      <c r="F74" s="295"/>
      <c r="G74" s="295"/>
      <c r="H74" s="295"/>
      <c r="I74" s="295"/>
      <c r="J74" s="295"/>
      <c r="K74" s="295"/>
      <c r="L74" s="293"/>
      <c r="M74" s="293"/>
      <c r="N74" s="293"/>
      <c r="O74" s="293"/>
      <c r="P74" s="293"/>
      <c r="Q74" s="293"/>
    </row>
    <row r="75" spans="2:17" ht="15" customHeight="1" x14ac:dyDescent="0.2">
      <c r="B75" s="293"/>
      <c r="C75" s="1926" t="s">
        <v>599</v>
      </c>
      <c r="D75" s="1926"/>
      <c r="E75" s="1926"/>
      <c r="F75" s="1926"/>
      <c r="G75" s="1926"/>
      <c r="H75" s="1926"/>
      <c r="I75" s="1926"/>
      <c r="J75" s="1926"/>
      <c r="K75" s="1926"/>
      <c r="L75" s="293"/>
      <c r="M75" s="293"/>
      <c r="N75" s="293"/>
      <c r="O75" s="293"/>
      <c r="P75" s="293"/>
      <c r="Q75" s="293"/>
    </row>
    <row r="76" spans="2:17" ht="15" customHeight="1" x14ac:dyDescent="0.2">
      <c r="B76" s="293"/>
      <c r="C76" s="1926"/>
      <c r="D76" s="1926"/>
      <c r="E76" s="1926"/>
      <c r="F76" s="1926"/>
      <c r="G76" s="1926"/>
      <c r="H76" s="1926"/>
      <c r="I76" s="1926"/>
      <c r="J76" s="1926"/>
      <c r="K76" s="1926"/>
      <c r="L76" s="293"/>
      <c r="M76" s="293"/>
      <c r="N76" s="293"/>
      <c r="O76" s="293"/>
      <c r="P76" s="293"/>
      <c r="Q76" s="293"/>
    </row>
    <row r="77" spans="2:17" ht="15" customHeight="1" x14ac:dyDescent="0.2">
      <c r="B77" s="293"/>
      <c r="C77" s="1926"/>
      <c r="D77" s="1926"/>
      <c r="E77" s="1926"/>
      <c r="F77" s="1926"/>
      <c r="G77" s="1926"/>
      <c r="H77" s="1926"/>
      <c r="I77" s="1926"/>
      <c r="J77" s="1926"/>
      <c r="K77" s="1926"/>
      <c r="L77" s="293"/>
      <c r="M77" s="293"/>
      <c r="N77" s="293"/>
      <c r="O77" s="293"/>
      <c r="P77" s="293"/>
      <c r="Q77" s="293"/>
    </row>
    <row r="78" spans="2:17" ht="15" customHeight="1" x14ac:dyDescent="0.2">
      <c r="B78" s="293"/>
      <c r="C78" s="1926"/>
      <c r="D78" s="1926"/>
      <c r="E78" s="1926"/>
      <c r="F78" s="1926"/>
      <c r="G78" s="1926"/>
      <c r="H78" s="1926"/>
      <c r="I78" s="1926"/>
      <c r="J78" s="1926"/>
      <c r="K78" s="1926"/>
      <c r="L78" s="293"/>
      <c r="M78" s="293"/>
      <c r="N78" s="293"/>
      <c r="O78" s="293"/>
      <c r="P78" s="293"/>
      <c r="Q78" s="293"/>
    </row>
    <row r="79" spans="2:17" ht="15" customHeight="1" x14ac:dyDescent="0.2">
      <c r="B79" s="293"/>
      <c r="C79" s="293"/>
      <c r="D79" s="293"/>
      <c r="E79" s="293"/>
      <c r="F79" s="293"/>
      <c r="G79" s="293"/>
      <c r="H79" s="293"/>
      <c r="I79" s="293"/>
      <c r="J79" s="293"/>
      <c r="K79" s="293"/>
      <c r="L79" s="293"/>
      <c r="M79" s="293"/>
      <c r="N79" s="293"/>
      <c r="O79" s="293"/>
      <c r="P79" s="293"/>
      <c r="Q79" s="293"/>
    </row>
    <row r="80" spans="2:17" ht="15" customHeight="1" x14ac:dyDescent="0.2">
      <c r="B80" s="293"/>
      <c r="C80" s="1927" t="s">
        <v>604</v>
      </c>
      <c r="D80" s="1927"/>
      <c r="E80" s="1927"/>
      <c r="F80" s="1927"/>
      <c r="G80" s="1927"/>
      <c r="H80" s="1927"/>
      <c r="I80" s="1927"/>
      <c r="J80" s="1927"/>
      <c r="K80" s="1927"/>
      <c r="L80" s="293"/>
      <c r="M80" s="293"/>
      <c r="N80" s="293"/>
      <c r="O80" s="293"/>
      <c r="P80" s="293"/>
      <c r="Q80" s="293"/>
    </row>
    <row r="81" spans="2:17" ht="5.25" customHeight="1" x14ac:dyDescent="0.2">
      <c r="B81" s="293"/>
      <c r="C81" s="295"/>
      <c r="D81" s="295"/>
      <c r="E81" s="295"/>
      <c r="F81" s="295"/>
      <c r="G81" s="295"/>
      <c r="H81" s="295"/>
      <c r="I81" s="295"/>
      <c r="J81" s="295"/>
      <c r="K81" s="295"/>
      <c r="L81" s="293"/>
      <c r="M81" s="293"/>
      <c r="N81" s="293"/>
      <c r="O81" s="293"/>
      <c r="P81" s="293"/>
      <c r="Q81" s="293"/>
    </row>
    <row r="82" spans="2:17" ht="15" customHeight="1" x14ac:dyDescent="0.2">
      <c r="B82" s="293"/>
      <c r="C82" s="1926" t="s">
        <v>605</v>
      </c>
      <c r="D82" s="1926"/>
      <c r="E82" s="1926"/>
      <c r="F82" s="1926"/>
      <c r="G82" s="1926"/>
      <c r="H82" s="1926"/>
      <c r="I82" s="1926"/>
      <c r="J82" s="1926"/>
      <c r="K82" s="1926"/>
      <c r="L82" s="293"/>
      <c r="M82" s="293"/>
      <c r="N82" s="293"/>
      <c r="O82" s="293"/>
      <c r="P82" s="293"/>
      <c r="Q82" s="293"/>
    </row>
    <row r="83" spans="2:17" ht="15" customHeight="1" x14ac:dyDescent="0.2">
      <c r="B83" s="293"/>
      <c r="C83" s="1926"/>
      <c r="D83" s="1926"/>
      <c r="E83" s="1926"/>
      <c r="F83" s="1926"/>
      <c r="G83" s="1926"/>
      <c r="H83" s="1926"/>
      <c r="I83" s="1926"/>
      <c r="J83" s="1926"/>
      <c r="K83" s="1926"/>
      <c r="L83" s="293"/>
      <c r="M83" s="293"/>
      <c r="N83" s="293"/>
      <c r="O83" s="293"/>
      <c r="P83" s="293"/>
      <c r="Q83" s="293"/>
    </row>
    <row r="84" spans="2:17" ht="15" customHeight="1" x14ac:dyDescent="0.2">
      <c r="B84" s="293"/>
      <c r="C84" s="1926"/>
      <c r="D84" s="1926"/>
      <c r="E84" s="1926"/>
      <c r="F84" s="1926"/>
      <c r="G84" s="1926"/>
      <c r="H84" s="1926"/>
      <c r="I84" s="1926"/>
      <c r="J84" s="1926"/>
      <c r="K84" s="1926"/>
      <c r="L84" s="293"/>
      <c r="M84" s="293"/>
      <c r="N84" s="293"/>
      <c r="O84" s="293"/>
      <c r="P84" s="293"/>
      <c r="Q84" s="293"/>
    </row>
    <row r="85" spans="2:17" ht="15" customHeight="1" x14ac:dyDescent="0.2">
      <c r="B85" s="293"/>
      <c r="C85" s="1926"/>
      <c r="D85" s="1926"/>
      <c r="E85" s="1926"/>
      <c r="F85" s="1926"/>
      <c r="G85" s="1926"/>
      <c r="H85" s="1926"/>
      <c r="I85" s="1926"/>
      <c r="J85" s="1926"/>
      <c r="K85" s="1926"/>
      <c r="L85" s="293"/>
      <c r="M85" s="293"/>
      <c r="N85" s="293"/>
      <c r="O85" s="293"/>
      <c r="P85" s="293"/>
      <c r="Q85" s="293"/>
    </row>
    <row r="86" spans="2:17" ht="15" customHeight="1" x14ac:dyDescent="0.2">
      <c r="B86" s="293"/>
      <c r="C86" s="293"/>
      <c r="D86" s="293"/>
      <c r="E86" s="293"/>
      <c r="F86" s="293"/>
      <c r="G86" s="293"/>
      <c r="H86" s="293"/>
      <c r="I86" s="293"/>
      <c r="J86" s="293"/>
      <c r="K86" s="293"/>
      <c r="L86" s="293"/>
      <c r="M86" s="293"/>
      <c r="N86" s="293"/>
      <c r="O86" s="293"/>
      <c r="P86" s="293"/>
      <c r="Q86" s="293"/>
    </row>
    <row r="87" spans="2:17" ht="15" customHeight="1" x14ac:dyDescent="0.2">
      <c r="C87" s="1" t="s">
        <v>219</v>
      </c>
      <c r="D87" s="296"/>
      <c r="E87" s="296"/>
      <c r="F87" s="296"/>
      <c r="G87" s="296"/>
      <c r="H87" s="296"/>
      <c r="I87" s="296"/>
      <c r="J87" s="296"/>
      <c r="K87" s="296"/>
      <c r="L87" s="296"/>
      <c r="M87" s="296"/>
      <c r="N87" s="296"/>
      <c r="O87" s="296"/>
      <c r="P87" s="296"/>
      <c r="Q87" s="296"/>
    </row>
    <row r="88" spans="2:17" ht="15" customHeight="1" x14ac:dyDescent="0.2">
      <c r="C88" s="296"/>
      <c r="D88" s="296"/>
      <c r="E88" s="296"/>
      <c r="F88" s="296"/>
      <c r="G88" s="296"/>
      <c r="H88" s="296"/>
      <c r="I88" s="296"/>
      <c r="J88" s="296"/>
      <c r="K88" s="296"/>
      <c r="L88" s="296"/>
      <c r="M88" s="296"/>
      <c r="N88" s="296"/>
      <c r="O88" s="296"/>
      <c r="P88" s="296"/>
      <c r="Q88" s="296"/>
    </row>
    <row r="89" spans="2:17" ht="15" customHeight="1" x14ac:dyDescent="0.2">
      <c r="C89" s="297" t="s">
        <v>220</v>
      </c>
      <c r="D89" s="111"/>
      <c r="E89" s="297" t="s">
        <v>221</v>
      </c>
      <c r="F89" s="110"/>
      <c r="G89" s="229" t="str">
        <f ca="1">CONCATENATE(", "&amp;YEAR(TODAY()))</f>
        <v>, 2026</v>
      </c>
      <c r="K89" s="296"/>
      <c r="L89" s="296"/>
      <c r="M89" s="296"/>
      <c r="N89" s="296"/>
      <c r="O89" s="296"/>
      <c r="P89" s="296"/>
    </row>
    <row r="90" spans="2:17" ht="15" customHeight="1" x14ac:dyDescent="0.2">
      <c r="C90" s="296"/>
      <c r="D90" s="83"/>
      <c r="E90" s="83"/>
      <c r="F90" s="83"/>
      <c r="G90" s="83"/>
      <c r="H90" s="83"/>
      <c r="L90" s="296"/>
      <c r="M90" s="296"/>
      <c r="N90" s="296"/>
      <c r="O90" s="296"/>
      <c r="P90" s="296"/>
      <c r="Q90" s="296"/>
    </row>
    <row r="91" spans="2:17" ht="15" customHeight="1" x14ac:dyDescent="0.2">
      <c r="C91" s="296"/>
      <c r="D91" s="1924"/>
      <c r="E91" s="1924"/>
      <c r="F91" s="1924"/>
      <c r="G91" s="1924"/>
      <c r="H91" s="83"/>
      <c r="K91" s="296"/>
      <c r="L91" s="296"/>
      <c r="M91" s="296"/>
      <c r="N91" s="296"/>
      <c r="O91" s="296"/>
      <c r="P91" s="296"/>
    </row>
    <row r="92" spans="2:17" ht="2.25" customHeight="1" x14ac:dyDescent="0.2">
      <c r="C92" s="296"/>
      <c r="D92" s="1925"/>
      <c r="E92" s="1925"/>
      <c r="F92" s="1925"/>
      <c r="G92" s="1925"/>
      <c r="H92" s="83"/>
      <c r="K92" s="296"/>
      <c r="L92" s="296"/>
      <c r="M92" s="296"/>
      <c r="N92" s="296"/>
      <c r="O92" s="296"/>
      <c r="P92" s="296"/>
    </row>
    <row r="93" spans="2:17" ht="15" customHeight="1" x14ac:dyDescent="0.2">
      <c r="C93" s="296"/>
      <c r="D93" s="1175" t="s">
        <v>222</v>
      </c>
      <c r="E93" s="1175"/>
      <c r="F93" s="1175"/>
      <c r="G93" s="1175"/>
      <c r="H93" s="83"/>
      <c r="K93" s="296"/>
      <c r="L93" s="296"/>
      <c r="M93" s="296"/>
      <c r="N93" s="296"/>
      <c r="O93" s="296"/>
      <c r="P93" s="296"/>
    </row>
    <row r="94" spans="2:17" ht="15" customHeight="1" x14ac:dyDescent="0.2">
      <c r="C94" s="296"/>
      <c r="D94" s="298"/>
      <c r="E94" s="298"/>
      <c r="F94" s="298"/>
      <c r="G94" s="298"/>
      <c r="H94" s="298"/>
      <c r="I94" s="296"/>
      <c r="J94" s="296"/>
      <c r="K94" s="296"/>
      <c r="L94" s="296"/>
      <c r="M94" s="296"/>
      <c r="N94" s="296"/>
      <c r="O94" s="296"/>
      <c r="P94" s="296"/>
      <c r="Q94" s="296"/>
    </row>
    <row r="95" spans="2:17" ht="15" customHeight="1" x14ac:dyDescent="0.2">
      <c r="D95" s="83"/>
      <c r="E95" s="83"/>
      <c r="F95" s="83"/>
      <c r="G95" s="83"/>
      <c r="H95" s="83"/>
      <c r="Q95"/>
    </row>
    <row r="96" spans="2:17" ht="5.25" customHeight="1" x14ac:dyDescent="0.2">
      <c r="C96" s="290"/>
      <c r="D96" s="230"/>
      <c r="E96" s="230"/>
      <c r="F96" s="230"/>
      <c r="G96" s="230"/>
      <c r="H96" s="231"/>
    </row>
    <row r="97" spans="3:8" ht="15" customHeight="1" x14ac:dyDescent="0.2">
      <c r="C97" s="291"/>
      <c r="D97" s="83"/>
      <c r="E97" s="83"/>
      <c r="F97" s="83"/>
      <c r="G97" s="83"/>
      <c r="H97" s="158"/>
    </row>
    <row r="98" spans="3:8" ht="15" customHeight="1" x14ac:dyDescent="0.2">
      <c r="C98" s="299" t="s">
        <v>223</v>
      </c>
      <c r="D98" s="1924"/>
      <c r="E98" s="1924"/>
      <c r="F98" s="1924"/>
      <c r="G98" s="1924"/>
      <c r="H98" s="158"/>
    </row>
    <row r="99" spans="3:8" ht="2.25" customHeight="1" x14ac:dyDescent="0.2">
      <c r="C99" s="300"/>
      <c r="D99" s="1925"/>
      <c r="E99" s="1925"/>
      <c r="F99" s="1925"/>
      <c r="G99" s="1925"/>
      <c r="H99" s="158"/>
    </row>
    <row r="100" spans="3:8" ht="15" customHeight="1" x14ac:dyDescent="0.2">
      <c r="C100" s="291"/>
      <c r="D100" s="1175" t="s">
        <v>2550</v>
      </c>
      <c r="E100" s="1175"/>
      <c r="F100" s="1175"/>
      <c r="G100" s="1175"/>
      <c r="H100" s="158"/>
    </row>
    <row r="101" spans="3:8" ht="15" customHeight="1" x14ac:dyDescent="0.2">
      <c r="C101" s="291"/>
      <c r="D101" s="1175"/>
      <c r="E101" s="1175"/>
      <c r="F101" s="1175"/>
      <c r="G101" s="1175"/>
      <c r="H101" s="158"/>
    </row>
    <row r="102" spans="3:8" ht="15" customHeight="1" x14ac:dyDescent="0.2">
      <c r="C102" s="291"/>
      <c r="D102" s="1924"/>
      <c r="E102" s="1924"/>
      <c r="F102" s="1924"/>
      <c r="G102" s="1924"/>
      <c r="H102" s="158"/>
    </row>
    <row r="103" spans="3:8" ht="2.25" customHeight="1" x14ac:dyDescent="0.2">
      <c r="C103" s="291"/>
      <c r="D103" s="1925"/>
      <c r="E103" s="1925"/>
      <c r="F103" s="1925"/>
      <c r="G103" s="1925"/>
      <c r="H103" s="158"/>
    </row>
    <row r="104" spans="3:8" ht="15" customHeight="1" x14ac:dyDescent="0.2">
      <c r="C104" s="291"/>
      <c r="D104" s="1175" t="s">
        <v>224</v>
      </c>
      <c r="E104" s="1175"/>
      <c r="F104" s="1175"/>
      <c r="G104" s="1175"/>
      <c r="H104" s="158"/>
    </row>
    <row r="105" spans="3:8" ht="15" customHeight="1" x14ac:dyDescent="0.2">
      <c r="C105" s="291"/>
      <c r="D105" s="1175"/>
      <c r="E105" s="1175"/>
      <c r="F105" s="1175"/>
      <c r="G105" s="1175"/>
      <c r="H105" s="158"/>
    </row>
    <row r="106" spans="3:8" ht="15" customHeight="1" x14ac:dyDescent="0.2">
      <c r="C106" s="291"/>
      <c r="D106" s="1924"/>
      <c r="E106" s="1924"/>
      <c r="F106" s="1924"/>
      <c r="G106" s="1924"/>
      <c r="H106" s="158"/>
    </row>
    <row r="107" spans="3:8" ht="2.25" customHeight="1" x14ac:dyDescent="0.2">
      <c r="C107" s="291"/>
      <c r="D107" s="1925"/>
      <c r="E107" s="1925"/>
      <c r="F107" s="1925"/>
      <c r="G107" s="1925"/>
      <c r="H107" s="158"/>
    </row>
    <row r="108" spans="3:8" ht="15" customHeight="1" x14ac:dyDescent="0.2">
      <c r="C108" s="291"/>
      <c r="D108" s="1175" t="s">
        <v>97</v>
      </c>
      <c r="E108" s="1175"/>
      <c r="F108" s="1175"/>
      <c r="G108" s="1175"/>
      <c r="H108" s="158"/>
    </row>
    <row r="109" spans="3:8" ht="15" customHeight="1" x14ac:dyDescent="0.2">
      <c r="C109" s="291"/>
      <c r="D109" s="1175"/>
      <c r="E109" s="1175"/>
      <c r="F109" s="1175"/>
      <c r="G109" s="1175"/>
      <c r="H109" s="158"/>
    </row>
    <row r="110" spans="3:8" ht="15" customHeight="1" x14ac:dyDescent="0.2">
      <c r="C110" s="291"/>
      <c r="D110" s="1924"/>
      <c r="E110" s="1924"/>
      <c r="F110" s="1924"/>
      <c r="G110" s="1924"/>
      <c r="H110" s="158"/>
    </row>
    <row r="111" spans="3:8" ht="2.1" customHeight="1" x14ac:dyDescent="0.2">
      <c r="C111" s="291"/>
      <c r="D111" s="1925"/>
      <c r="E111" s="1925"/>
      <c r="F111" s="1925"/>
      <c r="G111" s="1925"/>
      <c r="H111" s="158"/>
    </row>
    <row r="112" spans="3:8" ht="15" customHeight="1" x14ac:dyDescent="0.2">
      <c r="C112" s="291"/>
      <c r="D112" s="1175" t="s">
        <v>98</v>
      </c>
      <c r="E112" s="1175"/>
      <c r="F112" s="1175"/>
      <c r="G112" s="1175"/>
      <c r="H112" s="158"/>
    </row>
    <row r="113" spans="3:8" ht="15" customHeight="1" x14ac:dyDescent="0.2">
      <c r="C113" s="292"/>
      <c r="D113" s="148"/>
      <c r="E113" s="148"/>
      <c r="F113" s="148"/>
      <c r="G113" s="148"/>
      <c r="H113" s="301"/>
    </row>
    <row r="114" spans="3:8" ht="15" customHeight="1" x14ac:dyDescent="0.2"/>
  </sheetData>
  <sheetProtection algorithmName="SHA-512" hashValue="f0cUdnaoOlbVUzi+Hw/EMrjy9YflCgPWq4tCe+gZvepCbQT2tUTA50qLolRKdRe1Ek9JQYYqWEmmYAQ1AVaZ7g==" saltValue="/+z73EGWbe2pgmOYo/3o8w==" spinCount="100000" sheet="1" objects="1" scenarios="1"/>
  <mergeCells count="46">
    <mergeCell ref="B2:F2"/>
    <mergeCell ref="B3:F3"/>
    <mergeCell ref="C62:K66"/>
    <mergeCell ref="C60:K60"/>
    <mergeCell ref="B5:L5"/>
    <mergeCell ref="B6:L6"/>
    <mergeCell ref="B12:L12"/>
    <mergeCell ref="B13:L13"/>
    <mergeCell ref="C8:K10"/>
    <mergeCell ref="C25:K27"/>
    <mergeCell ref="C29:K29"/>
    <mergeCell ref="G2:L2"/>
    <mergeCell ref="G3:L3"/>
    <mergeCell ref="C68:K68"/>
    <mergeCell ref="C15:K18"/>
    <mergeCell ref="C20:K23"/>
    <mergeCell ref="C38:K41"/>
    <mergeCell ref="C43:K44"/>
    <mergeCell ref="C46:K52"/>
    <mergeCell ref="C31:K33"/>
    <mergeCell ref="C35:K36"/>
    <mergeCell ref="C70:K71"/>
    <mergeCell ref="C73:K73"/>
    <mergeCell ref="C75:K78"/>
    <mergeCell ref="C54:K55"/>
    <mergeCell ref="D103:G103"/>
    <mergeCell ref="D101:G101"/>
    <mergeCell ref="D102:G102"/>
    <mergeCell ref="D91:G91"/>
    <mergeCell ref="C80:K80"/>
    <mergeCell ref="C82:K85"/>
    <mergeCell ref="D92:G92"/>
    <mergeCell ref="D93:G93"/>
    <mergeCell ref="D98:G98"/>
    <mergeCell ref="D99:G99"/>
    <mergeCell ref="D100:G100"/>
    <mergeCell ref="C57:K58"/>
    <mergeCell ref="D109:G109"/>
    <mergeCell ref="D110:G110"/>
    <mergeCell ref="D111:G111"/>
    <mergeCell ref="D112:G112"/>
    <mergeCell ref="D104:G104"/>
    <mergeCell ref="D105:G105"/>
    <mergeCell ref="D106:G106"/>
    <mergeCell ref="D107:G107"/>
    <mergeCell ref="D108:G108"/>
  </mergeCells>
  <pageMargins left="0.7" right="0.7" top="0.75" bottom="0.75" header="0.3" footer="0.3"/>
  <pageSetup scale="68" fitToHeight="0" orientation="portrait" r:id="rId1"/>
  <headerFooter>
    <oddFooter>&amp;L&amp;"-,Bold"&amp;9Program Certification&amp;"-,Regular"
Affordable Housing Funding Application&amp;C&amp;9Ohio Housing Finance Agency&amp;R&amp;9Page &amp;P of &amp;N</oddFooter>
  </headerFooter>
  <rowBreaks count="1" manualBreakCount="1">
    <brk id="59" min="1" max="11" man="1"/>
  </rowBreaks>
  <ignoredErrors>
    <ignoredError sqref="G89" unlockedFormula="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AC1B-189D-4D6D-B5A4-AE1DDFA9FF3E}">
  <sheetPr>
    <pageSetUpPr autoPageBreaks="0"/>
  </sheetPr>
  <dimension ref="A1:AG112"/>
  <sheetViews>
    <sheetView showGridLines="0" zoomScale="85" zoomScaleNormal="85" zoomScaleSheetLayoutView="85" zoomScalePageLayoutView="85" workbookViewId="0">
      <selection activeCell="F109" sqref="F109"/>
    </sheetView>
  </sheetViews>
  <sheetFormatPr defaultColWidth="0" defaultRowHeight="15" customHeight="1" zeroHeight="1" x14ac:dyDescent="0.2"/>
  <cols>
    <col min="1" max="1" width="2.625" style="1" customWidth="1"/>
    <col min="2" max="2" width="0.625" style="1" customWidth="1"/>
    <col min="3" max="3" width="7.625" style="1" customWidth="1"/>
    <col min="4" max="11" width="14.625" style="1" customWidth="1"/>
    <col min="12" max="12" width="15.625" style="1" bestFit="1" customWidth="1"/>
    <col min="13" max="14" width="7.625" style="1" customWidth="1"/>
    <col min="15" max="24" width="14.625" style="1" customWidth="1"/>
    <col min="25" max="31" width="8.625" style="1" customWidth="1"/>
    <col min="32" max="32" width="0.625" style="1" customWidth="1"/>
    <col min="33" max="33" width="2.625" style="1" customWidth="1"/>
    <col min="34" max="16384" width="8.875" style="1" hidden="1"/>
  </cols>
  <sheetData>
    <row r="1" spans="1:31" ht="55.5" customHeight="1" x14ac:dyDescent="0.2"/>
    <row r="2" spans="1:31" s="3" customFormat="1" ht="24.95" customHeight="1" x14ac:dyDescent="0.2">
      <c r="A2" s="16"/>
      <c r="B2" s="972" t="s">
        <v>402</v>
      </c>
      <c r="C2" s="973"/>
      <c r="D2" s="973"/>
      <c r="E2" s="973"/>
      <c r="F2" s="973"/>
      <c r="G2" s="973"/>
      <c r="H2" s="973"/>
      <c r="I2" s="1243" t="str">
        <f>CONCATENATE(IF(Instructions!$K$2="","",Instructions!$K$2)," ",IF(Details!$E$11="","",Details!$E$11))</f>
        <v>2026 9% LIHTC AHFA Proposal Application</v>
      </c>
      <c r="J2" s="1243"/>
      <c r="K2" s="1243"/>
      <c r="L2" s="1243"/>
      <c r="M2" s="1243"/>
      <c r="N2" s="1243"/>
      <c r="O2" s="1243"/>
      <c r="P2" s="1244"/>
    </row>
    <row r="3" spans="1:31" ht="20.25" customHeight="1" x14ac:dyDescent="0.2">
      <c r="A3"/>
      <c r="B3" s="856" t="s">
        <v>437</v>
      </c>
      <c r="C3" s="835"/>
      <c r="D3" s="835"/>
      <c r="E3" s="835"/>
      <c r="F3" s="835"/>
      <c r="G3" s="835"/>
      <c r="H3" s="835"/>
      <c r="I3" s="1245" t="str">
        <f>IF(Details!$E$12="","",CONCATENATE("Project Name: ",Details!$E$12))</f>
        <v/>
      </c>
      <c r="J3" s="1245"/>
      <c r="K3" s="1245"/>
      <c r="L3" s="1245"/>
      <c r="M3" s="1245"/>
      <c r="N3" s="1245"/>
      <c r="O3" s="1245"/>
      <c r="P3" s="1246"/>
    </row>
    <row r="4" spans="1:31" ht="5.25" customHeight="1" x14ac:dyDescent="0.2">
      <c r="A4"/>
      <c r="B4"/>
      <c r="C4"/>
    </row>
    <row r="5" spans="1:31" ht="15" customHeight="1" x14ac:dyDescent="0.2"/>
    <row r="6" spans="1:31" ht="15" customHeight="1" x14ac:dyDescent="0.2">
      <c r="B6" s="1137" t="s">
        <v>664</v>
      </c>
      <c r="C6" s="1137"/>
      <c r="D6" s="1137"/>
      <c r="E6" s="1137"/>
      <c r="F6" s="1137"/>
      <c r="G6" s="1137"/>
      <c r="H6" s="1137"/>
      <c r="I6" s="1137"/>
      <c r="J6" s="1137"/>
      <c r="K6" s="1137"/>
      <c r="L6" s="1137"/>
    </row>
    <row r="7" spans="1:31" ht="3" customHeight="1" x14ac:dyDescent="0.2">
      <c r="B7" s="1133"/>
      <c r="C7" s="1133"/>
      <c r="D7" s="1133"/>
      <c r="E7" s="1133"/>
      <c r="F7" s="1133"/>
      <c r="G7" s="1133"/>
      <c r="H7" s="1133"/>
      <c r="I7" s="1133"/>
      <c r="J7" s="1133"/>
      <c r="K7" s="1133"/>
      <c r="L7" s="1133"/>
      <c r="M7" s="1133"/>
      <c r="N7" s="1133"/>
      <c r="O7" s="1133"/>
      <c r="P7" s="1133"/>
    </row>
    <row r="8" spans="1:31" ht="5.25" customHeight="1" x14ac:dyDescent="0.2"/>
    <row r="9" spans="1:31" ht="15" customHeight="1" x14ac:dyDescent="0.2">
      <c r="B9" s="1148" t="s">
        <v>2240</v>
      </c>
      <c r="C9" s="1148"/>
      <c r="D9" s="1148"/>
      <c r="E9" s="1148"/>
      <c r="F9" s="1148"/>
      <c r="G9" s="1148"/>
      <c r="H9" s="1148"/>
      <c r="I9" s="1148"/>
      <c r="J9" s="1148"/>
      <c r="K9" s="1148"/>
      <c r="L9" s="1148"/>
      <c r="M9" s="1148"/>
      <c r="N9" s="1148"/>
      <c r="O9" s="1148"/>
      <c r="P9" s="1148"/>
    </row>
    <row r="10" spans="1:31" ht="15" customHeight="1" x14ac:dyDescent="0.2">
      <c r="B10" s="1148"/>
      <c r="C10" s="1148"/>
      <c r="D10" s="1148"/>
      <c r="E10" s="1148"/>
      <c r="F10" s="1148"/>
      <c r="G10" s="1148"/>
      <c r="H10" s="1148"/>
      <c r="I10" s="1148"/>
      <c r="J10" s="1148"/>
      <c r="K10" s="1148"/>
      <c r="L10" s="1148"/>
      <c r="M10" s="1148"/>
      <c r="N10" s="1148"/>
      <c r="O10" s="1148"/>
      <c r="P10" s="1148"/>
    </row>
    <row r="11" spans="1:31" ht="15" customHeight="1" x14ac:dyDescent="0.2">
      <c r="B11" s="1148"/>
      <c r="C11" s="1148"/>
      <c r="D11" s="1148"/>
      <c r="E11" s="1148"/>
      <c r="F11" s="1148"/>
      <c r="G11" s="1148"/>
      <c r="H11" s="1148"/>
      <c r="I11" s="1148"/>
      <c r="J11" s="1148"/>
      <c r="K11" s="1148"/>
      <c r="L11" s="1148"/>
      <c r="M11" s="1148"/>
      <c r="N11" s="1148"/>
      <c r="O11" s="1148"/>
      <c r="P11" s="1148"/>
    </row>
    <row r="12" spans="1:31" ht="15" customHeight="1" x14ac:dyDescent="0.2"/>
    <row r="13" spans="1:31" ht="75" customHeight="1" x14ac:dyDescent="0.2">
      <c r="C13" s="1030" t="s">
        <v>653</v>
      </c>
      <c r="D13" s="1257" t="s">
        <v>654</v>
      </c>
      <c r="E13" s="1258"/>
      <c r="F13" s="1043" t="s">
        <v>657</v>
      </c>
      <c r="G13" s="1044" t="s">
        <v>2711</v>
      </c>
      <c r="H13" s="1030" t="s">
        <v>656</v>
      </c>
      <c r="I13" s="1030" t="s">
        <v>102</v>
      </c>
      <c r="J13" s="1030" t="s">
        <v>198</v>
      </c>
      <c r="K13" s="1045" t="s">
        <v>283</v>
      </c>
      <c r="L13" s="1030" t="s">
        <v>103</v>
      </c>
      <c r="M13" s="1030" t="s">
        <v>3015</v>
      </c>
      <c r="N13" s="1030" t="s">
        <v>3018</v>
      </c>
      <c r="O13" s="1030" t="s">
        <v>655</v>
      </c>
      <c r="P13" s="1030" t="s">
        <v>663</v>
      </c>
      <c r="Q13" s="1257" t="s">
        <v>2005</v>
      </c>
      <c r="R13" s="1258"/>
      <c r="S13" s="1257" t="s">
        <v>662</v>
      </c>
      <c r="T13" s="1258"/>
      <c r="U13" s="1043" t="s">
        <v>661</v>
      </c>
      <c r="V13" s="1043" t="s">
        <v>2164</v>
      </c>
      <c r="W13" s="1030" t="s">
        <v>658</v>
      </c>
      <c r="X13" s="1030" t="s">
        <v>107</v>
      </c>
      <c r="Y13" s="1030" t="s">
        <v>659</v>
      </c>
      <c r="Z13" s="1030" t="s">
        <v>197</v>
      </c>
      <c r="AA13" s="1030" t="s">
        <v>660</v>
      </c>
      <c r="AB13" s="1030" t="s">
        <v>3495</v>
      </c>
      <c r="AC13" s="1030" t="s">
        <v>3496</v>
      </c>
      <c r="AD13" s="1030" t="s">
        <v>3497</v>
      </c>
      <c r="AE13" s="1030" t="s">
        <v>3498</v>
      </c>
    </row>
    <row r="14" spans="1:31" s="25" customFormat="1" ht="15" customHeight="1" x14ac:dyDescent="0.2">
      <c r="C14" s="165">
        <v>1</v>
      </c>
      <c r="D14" s="1253"/>
      <c r="E14" s="1254"/>
      <c r="F14" s="364"/>
      <c r="G14" s="365"/>
      <c r="H14" s="366"/>
      <c r="I14" s="367"/>
      <c r="J14" s="368"/>
      <c r="K14" s="369"/>
      <c r="L14" s="368"/>
      <c r="M14" s="166" t="str">
        <f>IF($K14="","",VLOOKUP($K14,Data!$B$11:$F$3178,5,FALSE))</f>
        <v/>
      </c>
      <c r="N14" s="166" t="str" cm="1">
        <f t="array" ref="N14">IF($G14="","",IFERROR(_xlfn.XLOOKUP(1,($G14=Data!$AJ$11:$AJ$1866)*(Details!$E$18=Data!$AM$11:$AM$1866),Data!$AP$11:$AP$1866),"No"))</f>
        <v/>
      </c>
      <c r="O14" s="370"/>
      <c r="P14" s="370"/>
      <c r="Q14" s="1255"/>
      <c r="R14" s="1256"/>
      <c r="S14" s="1255"/>
      <c r="T14" s="1256"/>
      <c r="U14" s="371"/>
      <c r="V14" s="371"/>
      <c r="W14" s="368"/>
      <c r="X14" s="372"/>
      <c r="Y14" s="373"/>
      <c r="Z14" s="372"/>
      <c r="AA14" s="373"/>
      <c r="AB14" s="373"/>
      <c r="AC14" s="373"/>
      <c r="AD14" s="373"/>
      <c r="AE14" s="373"/>
    </row>
    <row r="15" spans="1:31" s="25" customFormat="1" ht="15" customHeight="1" x14ac:dyDescent="0.2">
      <c r="C15" s="165">
        <f>C14+1</f>
        <v>2</v>
      </c>
      <c r="D15" s="1253"/>
      <c r="E15" s="1254"/>
      <c r="F15" s="364"/>
      <c r="G15" s="365"/>
      <c r="H15" s="366"/>
      <c r="I15" s="367"/>
      <c r="J15" s="368"/>
      <c r="K15" s="369"/>
      <c r="L15" s="368"/>
      <c r="M15" s="166" t="str">
        <f>IF($K15="","",VLOOKUP($K15,Data!$B$11:$F$3178,5,FALSE))</f>
        <v/>
      </c>
      <c r="N15" s="166" t="str" cm="1">
        <f t="array" ref="N15">IF($G15="","",IFERROR(_xlfn.XLOOKUP(1,($G15=Data!$AJ$11:$AJ$1866)*(Details!$E$18=Data!$AM$11:$AM$1866),Data!$AP$11:$AP$1866),"No"))</f>
        <v/>
      </c>
      <c r="O15" s="370"/>
      <c r="P15" s="370"/>
      <c r="Q15" s="1255"/>
      <c r="R15" s="1256"/>
      <c r="S15" s="1255"/>
      <c r="T15" s="1256"/>
      <c r="U15" s="371"/>
      <c r="V15" s="371"/>
      <c r="W15" s="368"/>
      <c r="X15" s="372"/>
      <c r="Y15" s="373"/>
      <c r="Z15" s="372"/>
      <c r="AA15" s="373"/>
      <c r="AB15" s="373"/>
      <c r="AC15" s="373"/>
      <c r="AD15" s="373"/>
      <c r="AE15" s="373"/>
    </row>
    <row r="16" spans="1:31" s="25" customFormat="1" ht="15" customHeight="1" x14ac:dyDescent="0.2">
      <c r="C16" s="165">
        <f t="shared" ref="C16:C63" si="0">C15+1</f>
        <v>3</v>
      </c>
      <c r="D16" s="1253"/>
      <c r="E16" s="1254"/>
      <c r="F16" s="364"/>
      <c r="G16" s="365"/>
      <c r="H16" s="366"/>
      <c r="I16" s="367"/>
      <c r="J16" s="368"/>
      <c r="K16" s="369"/>
      <c r="L16" s="368"/>
      <c r="M16" s="166" t="str">
        <f>IF($K16="","",VLOOKUP($K16,Data!$B$11:$F$3178,5,FALSE))</f>
        <v/>
      </c>
      <c r="N16" s="166" t="str" cm="1">
        <f t="array" ref="N16">IF($G16="","",IFERROR(_xlfn.XLOOKUP(1,($G16=Data!$AJ$11:$AJ$1866)*(Details!$E$18=Data!$AM$11:$AM$1866),Data!$AP$11:$AP$1866),"No"))</f>
        <v/>
      </c>
      <c r="O16" s="370"/>
      <c r="P16" s="370"/>
      <c r="Q16" s="1255"/>
      <c r="R16" s="1256"/>
      <c r="S16" s="1255"/>
      <c r="T16" s="1256"/>
      <c r="U16" s="371"/>
      <c r="V16" s="371"/>
      <c r="W16" s="368"/>
      <c r="X16" s="372"/>
      <c r="Y16" s="373"/>
      <c r="Z16" s="372"/>
      <c r="AA16" s="373"/>
      <c r="AB16" s="373"/>
      <c r="AC16" s="373"/>
      <c r="AD16" s="373"/>
      <c r="AE16" s="373"/>
    </row>
    <row r="17" spans="3:31" s="25" customFormat="1" ht="15" customHeight="1" x14ac:dyDescent="0.2">
      <c r="C17" s="165">
        <f t="shared" si="0"/>
        <v>4</v>
      </c>
      <c r="D17" s="1253"/>
      <c r="E17" s="1254"/>
      <c r="F17" s="364"/>
      <c r="G17" s="365"/>
      <c r="H17" s="366"/>
      <c r="I17" s="367"/>
      <c r="J17" s="368"/>
      <c r="K17" s="369"/>
      <c r="L17" s="368"/>
      <c r="M17" s="166" t="str">
        <f>IF($K17="","",VLOOKUP($K17,Data!$B$11:$F$3178,5,FALSE))</f>
        <v/>
      </c>
      <c r="N17" s="166" t="str" cm="1">
        <f t="array" ref="N17">IF($G17="","",IFERROR(_xlfn.XLOOKUP(1,($G17=Data!$AJ$11:$AJ$1866)*(Details!$E$18=Data!$AM$11:$AM$1866),Data!$AP$11:$AP$1866),"No"))</f>
        <v/>
      </c>
      <c r="O17" s="370"/>
      <c r="P17" s="370"/>
      <c r="Q17" s="1255"/>
      <c r="R17" s="1256"/>
      <c r="S17" s="1255"/>
      <c r="T17" s="1256"/>
      <c r="U17" s="371"/>
      <c r="V17" s="371"/>
      <c r="W17" s="368"/>
      <c r="X17" s="372"/>
      <c r="Y17" s="373"/>
      <c r="Z17" s="372"/>
      <c r="AA17" s="373"/>
      <c r="AB17" s="373"/>
      <c r="AC17" s="373"/>
      <c r="AD17" s="373"/>
      <c r="AE17" s="373"/>
    </row>
    <row r="18" spans="3:31" s="25" customFormat="1" ht="15" customHeight="1" x14ac:dyDescent="0.2">
      <c r="C18" s="165">
        <f t="shared" si="0"/>
        <v>5</v>
      </c>
      <c r="D18" s="1253"/>
      <c r="E18" s="1254"/>
      <c r="F18" s="364"/>
      <c r="G18" s="365"/>
      <c r="H18" s="366"/>
      <c r="I18" s="367"/>
      <c r="J18" s="368"/>
      <c r="K18" s="369"/>
      <c r="L18" s="368"/>
      <c r="M18" s="166" t="str">
        <f>IF($K18="","",VLOOKUP($K18,Data!$B$11:$F$3178,5,FALSE))</f>
        <v/>
      </c>
      <c r="N18" s="166" t="str" cm="1">
        <f t="array" ref="N18">IF($G18="","",IFERROR(_xlfn.XLOOKUP(1,($G18=Data!$AJ$11:$AJ$1866)*(Details!$E$18=Data!$AM$11:$AM$1866),Data!$AP$11:$AP$1866),"No"))</f>
        <v/>
      </c>
      <c r="O18" s="370"/>
      <c r="P18" s="370"/>
      <c r="Q18" s="1255"/>
      <c r="R18" s="1256"/>
      <c r="S18" s="1255"/>
      <c r="T18" s="1256"/>
      <c r="U18" s="371"/>
      <c r="V18" s="371"/>
      <c r="W18" s="368"/>
      <c r="X18" s="372"/>
      <c r="Y18" s="373"/>
      <c r="Z18" s="372"/>
      <c r="AA18" s="373"/>
      <c r="AB18" s="373"/>
      <c r="AC18" s="373"/>
      <c r="AD18" s="373"/>
      <c r="AE18" s="373"/>
    </row>
    <row r="19" spans="3:31" s="25" customFormat="1" ht="15" customHeight="1" x14ac:dyDescent="0.2">
      <c r="C19" s="165">
        <f t="shared" si="0"/>
        <v>6</v>
      </c>
      <c r="D19" s="1253"/>
      <c r="E19" s="1254"/>
      <c r="F19" s="364"/>
      <c r="G19" s="365"/>
      <c r="H19" s="366"/>
      <c r="I19" s="367"/>
      <c r="J19" s="368"/>
      <c r="K19" s="369"/>
      <c r="L19" s="368"/>
      <c r="M19" s="166" t="str">
        <f>IF($K19="","",VLOOKUP($K19,Data!$B$11:$F$3178,5,FALSE))</f>
        <v/>
      </c>
      <c r="N19" s="166" t="str" cm="1">
        <f t="array" ref="N19">IF($G19="","",IFERROR(_xlfn.XLOOKUP(1,($G19=Data!$AJ$11:$AJ$1866)*(Details!$E$18=Data!$AM$11:$AM$1866),Data!$AP$11:$AP$1866),"No"))</f>
        <v/>
      </c>
      <c r="O19" s="370"/>
      <c r="P19" s="370"/>
      <c r="Q19" s="1255"/>
      <c r="R19" s="1256"/>
      <c r="S19" s="1255"/>
      <c r="T19" s="1256"/>
      <c r="U19" s="371"/>
      <c r="V19" s="371"/>
      <c r="W19" s="368"/>
      <c r="X19" s="372"/>
      <c r="Y19" s="373"/>
      <c r="Z19" s="372"/>
      <c r="AA19" s="373"/>
      <c r="AB19" s="373"/>
      <c r="AC19" s="373"/>
      <c r="AD19" s="373"/>
      <c r="AE19" s="373"/>
    </row>
    <row r="20" spans="3:31" s="25" customFormat="1" ht="15" customHeight="1" x14ac:dyDescent="0.2">
      <c r="C20" s="165">
        <f t="shared" si="0"/>
        <v>7</v>
      </c>
      <c r="D20" s="1253"/>
      <c r="E20" s="1254"/>
      <c r="F20" s="364"/>
      <c r="G20" s="365"/>
      <c r="H20" s="366"/>
      <c r="I20" s="367"/>
      <c r="J20" s="368"/>
      <c r="K20" s="369"/>
      <c r="L20" s="368"/>
      <c r="M20" s="166" t="str">
        <f>IF($K20="","",VLOOKUP($K20,Data!$B$11:$F$3178,5,FALSE))</f>
        <v/>
      </c>
      <c r="N20" s="166" t="str" cm="1">
        <f t="array" ref="N20">IF($G20="","",IFERROR(_xlfn.XLOOKUP(1,($G20=Data!$AJ$11:$AJ$1866)*(Details!$E$18=Data!$AM$11:$AM$1866),Data!$AP$11:$AP$1866),"No"))</f>
        <v/>
      </c>
      <c r="O20" s="370"/>
      <c r="P20" s="370"/>
      <c r="Q20" s="1255"/>
      <c r="R20" s="1256"/>
      <c r="S20" s="1255"/>
      <c r="T20" s="1256"/>
      <c r="U20" s="371"/>
      <c r="V20" s="371"/>
      <c r="W20" s="368"/>
      <c r="X20" s="372"/>
      <c r="Y20" s="373"/>
      <c r="Z20" s="372"/>
      <c r="AA20" s="373"/>
      <c r="AB20" s="373"/>
      <c r="AC20" s="373"/>
      <c r="AD20" s="373"/>
      <c r="AE20" s="373"/>
    </row>
    <row r="21" spans="3:31" s="25" customFormat="1" ht="15" customHeight="1" x14ac:dyDescent="0.2">
      <c r="C21" s="165">
        <f t="shared" si="0"/>
        <v>8</v>
      </c>
      <c r="D21" s="1253"/>
      <c r="E21" s="1254"/>
      <c r="F21" s="364"/>
      <c r="G21" s="365"/>
      <c r="H21" s="366"/>
      <c r="I21" s="367"/>
      <c r="J21" s="368"/>
      <c r="K21" s="369"/>
      <c r="L21" s="368"/>
      <c r="M21" s="166" t="str">
        <f>IF($K21="","",VLOOKUP($K21,Data!$B$11:$F$3178,5,FALSE))</f>
        <v/>
      </c>
      <c r="N21" s="166" t="str" cm="1">
        <f t="array" ref="N21">IF($G21="","",IFERROR(_xlfn.XLOOKUP(1,($G21=Data!$AJ$11:$AJ$1866)*(Details!$E$18=Data!$AM$11:$AM$1866),Data!$AP$11:$AP$1866),"No"))</f>
        <v/>
      </c>
      <c r="O21" s="370"/>
      <c r="P21" s="370"/>
      <c r="Q21" s="1255"/>
      <c r="R21" s="1256"/>
      <c r="S21" s="1255"/>
      <c r="T21" s="1256"/>
      <c r="U21" s="371"/>
      <c r="V21" s="371"/>
      <c r="W21" s="368"/>
      <c r="X21" s="372"/>
      <c r="Y21" s="373"/>
      <c r="Z21" s="372"/>
      <c r="AA21" s="373"/>
      <c r="AB21" s="373"/>
      <c r="AC21" s="373"/>
      <c r="AD21" s="373"/>
      <c r="AE21" s="373"/>
    </row>
    <row r="22" spans="3:31" s="25" customFormat="1" ht="15" customHeight="1" x14ac:dyDescent="0.2">
      <c r="C22" s="165">
        <f t="shared" si="0"/>
        <v>9</v>
      </c>
      <c r="D22" s="1253"/>
      <c r="E22" s="1254"/>
      <c r="F22" s="364"/>
      <c r="G22" s="365"/>
      <c r="H22" s="366"/>
      <c r="I22" s="367"/>
      <c r="J22" s="368"/>
      <c r="K22" s="369"/>
      <c r="L22" s="368"/>
      <c r="M22" s="166" t="str">
        <f>IF($K22="","",VLOOKUP($K22,Data!$B$11:$F$3178,5,FALSE))</f>
        <v/>
      </c>
      <c r="N22" s="166" t="str" cm="1">
        <f t="array" ref="N22">IF($G22="","",IFERROR(_xlfn.XLOOKUP(1,($G22=Data!$AJ$11:$AJ$1866)*(Details!$E$18=Data!$AM$11:$AM$1866),Data!$AP$11:$AP$1866),"No"))</f>
        <v/>
      </c>
      <c r="O22" s="370"/>
      <c r="P22" s="370"/>
      <c r="Q22" s="1255"/>
      <c r="R22" s="1256"/>
      <c r="S22" s="1255"/>
      <c r="T22" s="1256"/>
      <c r="U22" s="371"/>
      <c r="V22" s="371"/>
      <c r="W22" s="368"/>
      <c r="X22" s="372"/>
      <c r="Y22" s="373"/>
      <c r="Z22" s="372"/>
      <c r="AA22" s="373"/>
      <c r="AB22" s="373"/>
      <c r="AC22" s="373"/>
      <c r="AD22" s="373"/>
      <c r="AE22" s="373"/>
    </row>
    <row r="23" spans="3:31" s="25" customFormat="1" ht="15" customHeight="1" x14ac:dyDescent="0.2">
      <c r="C23" s="165">
        <f t="shared" si="0"/>
        <v>10</v>
      </c>
      <c r="D23" s="1253"/>
      <c r="E23" s="1254"/>
      <c r="F23" s="364"/>
      <c r="G23" s="365"/>
      <c r="H23" s="366"/>
      <c r="I23" s="367"/>
      <c r="J23" s="368"/>
      <c r="K23" s="369"/>
      <c r="L23" s="368"/>
      <c r="M23" s="166" t="str">
        <f>IF($K23="","",VLOOKUP($K23,Data!$B$11:$F$3178,5,FALSE))</f>
        <v/>
      </c>
      <c r="N23" s="166" t="str" cm="1">
        <f t="array" ref="N23">IF($G23="","",IFERROR(_xlfn.XLOOKUP(1,($G23=Data!$AJ$11:$AJ$1866)*(Details!$E$18=Data!$AM$11:$AM$1866),Data!$AP$11:$AP$1866),"No"))</f>
        <v/>
      </c>
      <c r="O23" s="370"/>
      <c r="P23" s="370"/>
      <c r="Q23" s="1255"/>
      <c r="R23" s="1256"/>
      <c r="S23" s="1255"/>
      <c r="T23" s="1256"/>
      <c r="U23" s="371"/>
      <c r="V23" s="371"/>
      <c r="W23" s="368"/>
      <c r="X23" s="372"/>
      <c r="Y23" s="373"/>
      <c r="Z23" s="372"/>
      <c r="AA23" s="373"/>
      <c r="AB23" s="373"/>
      <c r="AC23" s="373"/>
      <c r="AD23" s="373"/>
      <c r="AE23" s="373"/>
    </row>
    <row r="24" spans="3:31" s="25" customFormat="1" ht="15" customHeight="1" x14ac:dyDescent="0.2">
      <c r="C24" s="165">
        <f t="shared" si="0"/>
        <v>11</v>
      </c>
      <c r="D24" s="1253"/>
      <c r="E24" s="1254"/>
      <c r="F24" s="364"/>
      <c r="G24" s="365"/>
      <c r="H24" s="366"/>
      <c r="I24" s="367"/>
      <c r="J24" s="368"/>
      <c r="K24" s="369"/>
      <c r="L24" s="368"/>
      <c r="M24" s="166" t="str">
        <f>IF($K24="","",VLOOKUP($K24,Data!$B$11:$F$3178,5,FALSE))</f>
        <v/>
      </c>
      <c r="N24" s="166" t="str" cm="1">
        <f t="array" ref="N24">IF($G24="","",IFERROR(_xlfn.XLOOKUP(1,($G24=Data!$AJ$11:$AJ$1866)*(Details!$E$18=Data!$AM$11:$AM$1866),Data!$AP$11:$AP$1866),"No"))</f>
        <v/>
      </c>
      <c r="O24" s="370"/>
      <c r="P24" s="370"/>
      <c r="Q24" s="1255"/>
      <c r="R24" s="1256"/>
      <c r="S24" s="1255"/>
      <c r="T24" s="1256"/>
      <c r="U24" s="371"/>
      <c r="V24" s="371"/>
      <c r="W24" s="368"/>
      <c r="X24" s="372"/>
      <c r="Y24" s="373"/>
      <c r="Z24" s="372"/>
      <c r="AA24" s="373"/>
      <c r="AB24" s="373"/>
      <c r="AC24" s="373"/>
      <c r="AD24" s="373"/>
      <c r="AE24" s="373"/>
    </row>
    <row r="25" spans="3:31" s="25" customFormat="1" ht="15" customHeight="1" x14ac:dyDescent="0.2">
      <c r="C25" s="165">
        <f t="shared" si="0"/>
        <v>12</v>
      </c>
      <c r="D25" s="1253"/>
      <c r="E25" s="1254"/>
      <c r="F25" s="364"/>
      <c r="G25" s="365"/>
      <c r="H25" s="366"/>
      <c r="I25" s="367"/>
      <c r="J25" s="368"/>
      <c r="K25" s="369"/>
      <c r="L25" s="368"/>
      <c r="M25" s="166" t="str">
        <f>IF($K25="","",VLOOKUP($K25,Data!$B$11:$F$3178,5,FALSE))</f>
        <v/>
      </c>
      <c r="N25" s="166" t="str" cm="1">
        <f t="array" ref="N25">IF($G25="","",IFERROR(_xlfn.XLOOKUP(1,($G25=Data!$AJ$11:$AJ$1866)*(Details!$E$18=Data!$AM$11:$AM$1866),Data!$AP$11:$AP$1866),"No"))</f>
        <v/>
      </c>
      <c r="O25" s="370"/>
      <c r="P25" s="370"/>
      <c r="Q25" s="1255"/>
      <c r="R25" s="1256"/>
      <c r="S25" s="1255"/>
      <c r="T25" s="1256"/>
      <c r="U25" s="371"/>
      <c r="V25" s="371"/>
      <c r="W25" s="368"/>
      <c r="X25" s="372"/>
      <c r="Y25" s="373"/>
      <c r="Z25" s="372"/>
      <c r="AA25" s="373"/>
      <c r="AB25" s="373"/>
      <c r="AC25" s="373"/>
      <c r="AD25" s="373"/>
      <c r="AE25" s="373"/>
    </row>
    <row r="26" spans="3:31" s="25" customFormat="1" ht="15" customHeight="1" x14ac:dyDescent="0.2">
      <c r="C26" s="165">
        <f t="shared" si="0"/>
        <v>13</v>
      </c>
      <c r="D26" s="1253"/>
      <c r="E26" s="1254"/>
      <c r="F26" s="364"/>
      <c r="G26" s="365"/>
      <c r="H26" s="366"/>
      <c r="I26" s="367"/>
      <c r="J26" s="368"/>
      <c r="K26" s="369"/>
      <c r="L26" s="368"/>
      <c r="M26" s="166" t="str">
        <f>IF($K26="","",VLOOKUP($K26,Data!$B$11:$F$3178,5,FALSE))</f>
        <v/>
      </c>
      <c r="N26" s="166" t="str" cm="1">
        <f t="array" ref="N26">IF($G26="","",IFERROR(_xlfn.XLOOKUP(1,($G26=Data!$AJ$11:$AJ$1866)*(Details!$E$18=Data!$AM$11:$AM$1866),Data!$AP$11:$AP$1866),"No"))</f>
        <v/>
      </c>
      <c r="O26" s="370"/>
      <c r="P26" s="370"/>
      <c r="Q26" s="1255"/>
      <c r="R26" s="1256"/>
      <c r="S26" s="1255"/>
      <c r="T26" s="1256"/>
      <c r="U26" s="371"/>
      <c r="V26" s="371"/>
      <c r="W26" s="368"/>
      <c r="X26" s="372"/>
      <c r="Y26" s="373"/>
      <c r="Z26" s="372"/>
      <c r="AA26" s="373"/>
      <c r="AB26" s="373"/>
      <c r="AC26" s="373"/>
      <c r="AD26" s="373"/>
      <c r="AE26" s="373"/>
    </row>
    <row r="27" spans="3:31" s="25" customFormat="1" ht="15" customHeight="1" x14ac:dyDescent="0.2">
      <c r="C27" s="165">
        <f t="shared" si="0"/>
        <v>14</v>
      </c>
      <c r="D27" s="1253"/>
      <c r="E27" s="1254"/>
      <c r="F27" s="364"/>
      <c r="G27" s="365"/>
      <c r="H27" s="366"/>
      <c r="I27" s="367"/>
      <c r="J27" s="368"/>
      <c r="K27" s="369"/>
      <c r="L27" s="368"/>
      <c r="M27" s="166" t="str">
        <f>IF($K27="","",VLOOKUP($K27,Data!$B$11:$F$3178,5,FALSE))</f>
        <v/>
      </c>
      <c r="N27" s="166" t="str" cm="1">
        <f t="array" ref="N27">IF($G27="","",IFERROR(_xlfn.XLOOKUP(1,($G27=Data!$AJ$11:$AJ$1866)*(Details!$E$18=Data!$AM$11:$AM$1866),Data!$AP$11:$AP$1866),"No"))</f>
        <v/>
      </c>
      <c r="O27" s="370"/>
      <c r="P27" s="370"/>
      <c r="Q27" s="1255"/>
      <c r="R27" s="1256"/>
      <c r="S27" s="1255"/>
      <c r="T27" s="1256"/>
      <c r="U27" s="371"/>
      <c r="V27" s="371"/>
      <c r="W27" s="368"/>
      <c r="X27" s="372"/>
      <c r="Y27" s="373"/>
      <c r="Z27" s="372"/>
      <c r="AA27" s="373"/>
      <c r="AB27" s="373"/>
      <c r="AC27" s="373"/>
      <c r="AD27" s="373"/>
      <c r="AE27" s="373"/>
    </row>
    <row r="28" spans="3:31" s="25" customFormat="1" ht="15" customHeight="1" x14ac:dyDescent="0.2">
      <c r="C28" s="165">
        <f t="shared" si="0"/>
        <v>15</v>
      </c>
      <c r="D28" s="1253"/>
      <c r="E28" s="1254"/>
      <c r="F28" s="364"/>
      <c r="G28" s="365"/>
      <c r="H28" s="366"/>
      <c r="I28" s="367"/>
      <c r="J28" s="368"/>
      <c r="K28" s="369"/>
      <c r="L28" s="368"/>
      <c r="M28" s="166" t="str">
        <f>IF($K28="","",VLOOKUP($K28,Data!$B$11:$F$3178,5,FALSE))</f>
        <v/>
      </c>
      <c r="N28" s="166" t="str" cm="1">
        <f t="array" ref="N28">IF($G28="","",IFERROR(_xlfn.XLOOKUP(1,($G28=Data!$AJ$11:$AJ$1866)*(Details!$E$18=Data!$AM$11:$AM$1866),Data!$AP$11:$AP$1866),"No"))</f>
        <v/>
      </c>
      <c r="O28" s="370"/>
      <c r="P28" s="370"/>
      <c r="Q28" s="1255"/>
      <c r="R28" s="1256"/>
      <c r="S28" s="1255"/>
      <c r="T28" s="1256"/>
      <c r="U28" s="371"/>
      <c r="V28" s="371"/>
      <c r="W28" s="368"/>
      <c r="X28" s="372"/>
      <c r="Y28" s="373"/>
      <c r="Z28" s="372"/>
      <c r="AA28" s="373"/>
      <c r="AB28" s="373"/>
      <c r="AC28" s="373"/>
      <c r="AD28" s="373"/>
      <c r="AE28" s="373"/>
    </row>
    <row r="29" spans="3:31" s="25" customFormat="1" ht="15" customHeight="1" x14ac:dyDescent="0.2">
      <c r="C29" s="165">
        <f t="shared" si="0"/>
        <v>16</v>
      </c>
      <c r="D29" s="1253"/>
      <c r="E29" s="1254"/>
      <c r="F29" s="364"/>
      <c r="G29" s="365"/>
      <c r="H29" s="366"/>
      <c r="I29" s="367"/>
      <c r="J29" s="368"/>
      <c r="K29" s="369"/>
      <c r="L29" s="368"/>
      <c r="M29" s="166" t="str">
        <f>IF($K29="","",VLOOKUP($K29,Data!$B$11:$F$3178,5,FALSE))</f>
        <v/>
      </c>
      <c r="N29" s="166" t="str" cm="1">
        <f t="array" ref="N29">IF($G29="","",IFERROR(_xlfn.XLOOKUP(1,($G29=Data!$AJ$11:$AJ$1866)*(Details!$E$18=Data!$AM$11:$AM$1866),Data!$AP$11:$AP$1866),"No"))</f>
        <v/>
      </c>
      <c r="O29" s="370"/>
      <c r="P29" s="370"/>
      <c r="Q29" s="1255"/>
      <c r="R29" s="1256"/>
      <c r="S29" s="1255"/>
      <c r="T29" s="1256"/>
      <c r="U29" s="371"/>
      <c r="V29" s="371"/>
      <c r="W29" s="368"/>
      <c r="X29" s="372"/>
      <c r="Y29" s="373"/>
      <c r="Z29" s="372"/>
      <c r="AA29" s="373"/>
      <c r="AB29" s="373"/>
      <c r="AC29" s="373"/>
      <c r="AD29" s="373"/>
      <c r="AE29" s="373"/>
    </row>
    <row r="30" spans="3:31" s="25" customFormat="1" ht="15" customHeight="1" x14ac:dyDescent="0.2">
      <c r="C30" s="165">
        <f t="shared" si="0"/>
        <v>17</v>
      </c>
      <c r="D30" s="1253"/>
      <c r="E30" s="1254"/>
      <c r="F30" s="364"/>
      <c r="G30" s="365"/>
      <c r="H30" s="366"/>
      <c r="I30" s="367"/>
      <c r="J30" s="368"/>
      <c r="K30" s="369"/>
      <c r="L30" s="368"/>
      <c r="M30" s="166" t="str">
        <f>IF($K30="","",VLOOKUP($K30,Data!$B$11:$F$3178,5,FALSE))</f>
        <v/>
      </c>
      <c r="N30" s="166" t="str" cm="1">
        <f t="array" ref="N30">IF($G30="","",IFERROR(_xlfn.XLOOKUP(1,($G30=Data!$AJ$11:$AJ$1866)*(Details!$E$18=Data!$AM$11:$AM$1866),Data!$AP$11:$AP$1866),"No"))</f>
        <v/>
      </c>
      <c r="O30" s="370"/>
      <c r="P30" s="370"/>
      <c r="Q30" s="1255"/>
      <c r="R30" s="1256"/>
      <c r="S30" s="1255"/>
      <c r="T30" s="1256"/>
      <c r="U30" s="371"/>
      <c r="V30" s="371"/>
      <c r="W30" s="368"/>
      <c r="X30" s="372"/>
      <c r="Y30" s="373"/>
      <c r="Z30" s="372"/>
      <c r="AA30" s="373"/>
      <c r="AB30" s="373"/>
      <c r="AC30" s="373"/>
      <c r="AD30" s="373"/>
      <c r="AE30" s="373"/>
    </row>
    <row r="31" spans="3:31" s="25" customFormat="1" ht="15" customHeight="1" x14ac:dyDescent="0.2">
      <c r="C31" s="165">
        <f t="shared" si="0"/>
        <v>18</v>
      </c>
      <c r="D31" s="1253"/>
      <c r="E31" s="1254"/>
      <c r="F31" s="364"/>
      <c r="G31" s="365"/>
      <c r="H31" s="366"/>
      <c r="I31" s="367"/>
      <c r="J31" s="368"/>
      <c r="K31" s="369"/>
      <c r="L31" s="368"/>
      <c r="M31" s="166" t="str">
        <f>IF($K31="","",VLOOKUP($K31,Data!$B$11:$F$3178,5,FALSE))</f>
        <v/>
      </c>
      <c r="N31" s="166" t="str" cm="1">
        <f t="array" ref="N31">IF($G31="","",IFERROR(_xlfn.XLOOKUP(1,($G31=Data!$AJ$11:$AJ$1866)*(Details!$E$18=Data!$AM$11:$AM$1866),Data!$AP$11:$AP$1866),"No"))</f>
        <v/>
      </c>
      <c r="O31" s="370"/>
      <c r="P31" s="370"/>
      <c r="Q31" s="1255"/>
      <c r="R31" s="1256"/>
      <c r="S31" s="1255"/>
      <c r="T31" s="1256"/>
      <c r="U31" s="371"/>
      <c r="V31" s="371"/>
      <c r="W31" s="368"/>
      <c r="X31" s="372"/>
      <c r="Y31" s="373"/>
      <c r="Z31" s="372"/>
      <c r="AA31" s="373"/>
      <c r="AB31" s="373"/>
      <c r="AC31" s="373"/>
      <c r="AD31" s="373"/>
      <c r="AE31" s="373"/>
    </row>
    <row r="32" spans="3:31" s="25" customFormat="1" ht="15" customHeight="1" x14ac:dyDescent="0.2">
      <c r="C32" s="165">
        <f t="shared" si="0"/>
        <v>19</v>
      </c>
      <c r="D32" s="1253"/>
      <c r="E32" s="1254"/>
      <c r="F32" s="364"/>
      <c r="G32" s="365"/>
      <c r="H32" s="366"/>
      <c r="I32" s="367"/>
      <c r="J32" s="368"/>
      <c r="K32" s="369"/>
      <c r="L32" s="368"/>
      <c r="M32" s="166" t="str">
        <f>IF($K32="","",VLOOKUP($K32,Data!$B$11:$F$3178,5,FALSE))</f>
        <v/>
      </c>
      <c r="N32" s="166" t="str" cm="1">
        <f t="array" ref="N32">IF($G32="","",IFERROR(_xlfn.XLOOKUP(1,($G32=Data!$AJ$11:$AJ$1866)*(Details!$E$18=Data!$AM$11:$AM$1866),Data!$AP$11:$AP$1866),"No"))</f>
        <v/>
      </c>
      <c r="O32" s="370"/>
      <c r="P32" s="370"/>
      <c r="Q32" s="1255"/>
      <c r="R32" s="1256"/>
      <c r="S32" s="1255"/>
      <c r="T32" s="1256"/>
      <c r="U32" s="371"/>
      <c r="V32" s="371"/>
      <c r="W32" s="368"/>
      <c r="X32" s="372"/>
      <c r="Y32" s="373"/>
      <c r="Z32" s="372"/>
      <c r="AA32" s="373"/>
      <c r="AB32" s="373"/>
      <c r="AC32" s="373"/>
      <c r="AD32" s="373"/>
      <c r="AE32" s="373"/>
    </row>
    <row r="33" spans="3:31" s="25" customFormat="1" ht="15" customHeight="1" x14ac:dyDescent="0.2">
      <c r="C33" s="165">
        <f t="shared" si="0"/>
        <v>20</v>
      </c>
      <c r="D33" s="1253"/>
      <c r="E33" s="1254"/>
      <c r="F33" s="364"/>
      <c r="G33" s="365"/>
      <c r="H33" s="366"/>
      <c r="I33" s="367"/>
      <c r="J33" s="368"/>
      <c r="K33" s="369"/>
      <c r="L33" s="368"/>
      <c r="M33" s="166" t="str">
        <f>IF($K33="","",VLOOKUP($K33,Data!$B$11:$F$3178,5,FALSE))</f>
        <v/>
      </c>
      <c r="N33" s="166" t="str" cm="1">
        <f t="array" ref="N33">IF($G33="","",IFERROR(_xlfn.XLOOKUP(1,($G33=Data!$AJ$11:$AJ$1866)*(Details!$E$18=Data!$AM$11:$AM$1866),Data!$AP$11:$AP$1866),"No"))</f>
        <v/>
      </c>
      <c r="O33" s="370"/>
      <c r="P33" s="370"/>
      <c r="Q33" s="1255"/>
      <c r="R33" s="1256"/>
      <c r="S33" s="1255"/>
      <c r="T33" s="1256"/>
      <c r="U33" s="371"/>
      <c r="V33" s="371"/>
      <c r="W33" s="368"/>
      <c r="X33" s="372"/>
      <c r="Y33" s="373"/>
      <c r="Z33" s="372"/>
      <c r="AA33" s="373"/>
      <c r="AB33" s="373"/>
      <c r="AC33" s="373"/>
      <c r="AD33" s="373"/>
      <c r="AE33" s="373"/>
    </row>
    <row r="34" spans="3:31" s="25" customFormat="1" ht="15" customHeight="1" x14ac:dyDescent="0.2">
      <c r="C34" s="165">
        <f t="shared" si="0"/>
        <v>21</v>
      </c>
      <c r="D34" s="1253"/>
      <c r="E34" s="1254"/>
      <c r="F34" s="364"/>
      <c r="G34" s="365"/>
      <c r="H34" s="366"/>
      <c r="I34" s="367"/>
      <c r="J34" s="368"/>
      <c r="K34" s="369"/>
      <c r="L34" s="368"/>
      <c r="M34" s="166" t="str">
        <f>IF($K34="","",VLOOKUP($K34,Data!$B$11:$F$3178,5,FALSE))</f>
        <v/>
      </c>
      <c r="N34" s="166" t="str" cm="1">
        <f t="array" ref="N34">IF($G34="","",IFERROR(_xlfn.XLOOKUP(1,($G34=Data!$AJ$11:$AJ$1866)*(Details!$E$18=Data!$AM$11:$AM$1866),Data!$AP$11:$AP$1866),"No"))</f>
        <v/>
      </c>
      <c r="O34" s="370"/>
      <c r="P34" s="370"/>
      <c r="Q34" s="1255"/>
      <c r="R34" s="1256"/>
      <c r="S34" s="1255"/>
      <c r="T34" s="1256"/>
      <c r="U34" s="371"/>
      <c r="V34" s="371"/>
      <c r="W34" s="368"/>
      <c r="X34" s="372"/>
      <c r="Y34" s="373"/>
      <c r="Z34" s="372"/>
      <c r="AA34" s="373"/>
      <c r="AB34" s="373"/>
      <c r="AC34" s="373"/>
      <c r="AD34" s="373"/>
      <c r="AE34" s="373"/>
    </row>
    <row r="35" spans="3:31" s="25" customFormat="1" ht="15" customHeight="1" x14ac:dyDescent="0.2">
      <c r="C35" s="165">
        <f t="shared" si="0"/>
        <v>22</v>
      </c>
      <c r="D35" s="1253"/>
      <c r="E35" s="1254"/>
      <c r="F35" s="364"/>
      <c r="G35" s="365"/>
      <c r="H35" s="366"/>
      <c r="I35" s="367"/>
      <c r="J35" s="368"/>
      <c r="K35" s="369"/>
      <c r="L35" s="368"/>
      <c r="M35" s="166" t="str">
        <f>IF($K35="","",VLOOKUP($K35,Data!$B$11:$F$3178,5,FALSE))</f>
        <v/>
      </c>
      <c r="N35" s="166" t="str" cm="1">
        <f t="array" ref="N35">IF($G35="","",IFERROR(_xlfn.XLOOKUP(1,($G35=Data!$AJ$11:$AJ$1866)*(Details!$E$18=Data!$AM$11:$AM$1866),Data!$AP$11:$AP$1866),"No"))</f>
        <v/>
      </c>
      <c r="O35" s="370"/>
      <c r="P35" s="370"/>
      <c r="Q35" s="1255"/>
      <c r="R35" s="1256"/>
      <c r="S35" s="1255"/>
      <c r="T35" s="1256"/>
      <c r="U35" s="371"/>
      <c r="V35" s="371"/>
      <c r="W35" s="368"/>
      <c r="X35" s="372"/>
      <c r="Y35" s="373"/>
      <c r="Z35" s="372"/>
      <c r="AA35" s="373"/>
      <c r="AB35" s="373"/>
      <c r="AC35" s="373"/>
      <c r="AD35" s="373"/>
      <c r="AE35" s="373"/>
    </row>
    <row r="36" spans="3:31" s="25" customFormat="1" ht="15" customHeight="1" x14ac:dyDescent="0.2">
      <c r="C36" s="165">
        <f t="shared" si="0"/>
        <v>23</v>
      </c>
      <c r="D36" s="1253"/>
      <c r="E36" s="1254"/>
      <c r="F36" s="364"/>
      <c r="G36" s="365"/>
      <c r="H36" s="366"/>
      <c r="I36" s="367"/>
      <c r="J36" s="368"/>
      <c r="K36" s="369"/>
      <c r="L36" s="368"/>
      <c r="M36" s="166" t="str">
        <f>IF($K36="","",VLOOKUP($K36,Data!$B$11:$F$3178,5,FALSE))</f>
        <v/>
      </c>
      <c r="N36" s="166" t="str" cm="1">
        <f t="array" ref="N36">IF($G36="","",IFERROR(_xlfn.XLOOKUP(1,($G36=Data!$AJ$11:$AJ$1866)*(Details!$E$18=Data!$AM$11:$AM$1866),Data!$AP$11:$AP$1866),"No"))</f>
        <v/>
      </c>
      <c r="O36" s="370"/>
      <c r="P36" s="370"/>
      <c r="Q36" s="1255"/>
      <c r="R36" s="1256"/>
      <c r="S36" s="1255"/>
      <c r="T36" s="1256"/>
      <c r="U36" s="371"/>
      <c r="V36" s="371"/>
      <c r="W36" s="368"/>
      <c r="X36" s="372"/>
      <c r="Y36" s="373"/>
      <c r="Z36" s="372"/>
      <c r="AA36" s="373"/>
      <c r="AB36" s="373"/>
      <c r="AC36" s="373"/>
      <c r="AD36" s="373"/>
      <c r="AE36" s="373"/>
    </row>
    <row r="37" spans="3:31" s="25" customFormat="1" ht="15" customHeight="1" x14ac:dyDescent="0.2">
      <c r="C37" s="165">
        <f t="shared" si="0"/>
        <v>24</v>
      </c>
      <c r="D37" s="1253"/>
      <c r="E37" s="1254"/>
      <c r="F37" s="364"/>
      <c r="G37" s="365"/>
      <c r="H37" s="366"/>
      <c r="I37" s="367"/>
      <c r="J37" s="368"/>
      <c r="K37" s="369"/>
      <c r="L37" s="368"/>
      <c r="M37" s="166" t="str">
        <f>IF($K37="","",VLOOKUP($K37,Data!$B$11:$F$3178,5,FALSE))</f>
        <v/>
      </c>
      <c r="N37" s="166" t="str" cm="1">
        <f t="array" ref="N37">IF($G37="","",IFERROR(_xlfn.XLOOKUP(1,($G37=Data!$AJ$11:$AJ$1866)*(Details!$E$18=Data!$AM$11:$AM$1866),Data!$AP$11:$AP$1866),"No"))</f>
        <v/>
      </c>
      <c r="O37" s="370"/>
      <c r="P37" s="370"/>
      <c r="Q37" s="1255"/>
      <c r="R37" s="1256"/>
      <c r="S37" s="1255"/>
      <c r="T37" s="1256"/>
      <c r="U37" s="371"/>
      <c r="V37" s="371"/>
      <c r="W37" s="368"/>
      <c r="X37" s="372"/>
      <c r="Y37" s="373"/>
      <c r="Z37" s="372"/>
      <c r="AA37" s="373"/>
      <c r="AB37" s="373"/>
      <c r="AC37" s="373"/>
      <c r="AD37" s="373"/>
      <c r="AE37" s="373"/>
    </row>
    <row r="38" spans="3:31" s="25" customFormat="1" ht="15" customHeight="1" x14ac:dyDescent="0.2">
      <c r="C38" s="165">
        <f t="shared" si="0"/>
        <v>25</v>
      </c>
      <c r="D38" s="1253"/>
      <c r="E38" s="1254"/>
      <c r="F38" s="364"/>
      <c r="G38" s="365"/>
      <c r="H38" s="366"/>
      <c r="I38" s="367"/>
      <c r="J38" s="368"/>
      <c r="K38" s="369"/>
      <c r="L38" s="368"/>
      <c r="M38" s="166" t="str">
        <f>IF($K38="","",VLOOKUP($K38,Data!$B$11:$F$3178,5,FALSE))</f>
        <v/>
      </c>
      <c r="N38" s="166" t="str" cm="1">
        <f t="array" ref="N38">IF($G38="","",IFERROR(_xlfn.XLOOKUP(1,($G38=Data!$AJ$11:$AJ$1866)*(Details!$E$18=Data!$AM$11:$AM$1866),Data!$AP$11:$AP$1866),"No"))</f>
        <v/>
      </c>
      <c r="O38" s="370"/>
      <c r="P38" s="370"/>
      <c r="Q38" s="1255"/>
      <c r="R38" s="1256"/>
      <c r="S38" s="1255"/>
      <c r="T38" s="1256"/>
      <c r="U38" s="371"/>
      <c r="V38" s="371"/>
      <c r="W38" s="368"/>
      <c r="X38" s="372"/>
      <c r="Y38" s="373"/>
      <c r="Z38" s="372"/>
      <c r="AA38" s="373"/>
      <c r="AB38" s="373"/>
      <c r="AC38" s="373"/>
      <c r="AD38" s="373"/>
      <c r="AE38" s="373"/>
    </row>
    <row r="39" spans="3:31" s="25" customFormat="1" ht="15" customHeight="1" x14ac:dyDescent="0.2">
      <c r="C39" s="165">
        <f t="shared" si="0"/>
        <v>26</v>
      </c>
      <c r="D39" s="1253"/>
      <c r="E39" s="1254"/>
      <c r="F39" s="364"/>
      <c r="G39" s="365"/>
      <c r="H39" s="366"/>
      <c r="I39" s="367"/>
      <c r="J39" s="368"/>
      <c r="K39" s="369"/>
      <c r="L39" s="368"/>
      <c r="M39" s="166" t="str">
        <f>IF($K39="","",VLOOKUP($K39,Data!$B$11:$F$3178,5,FALSE))</f>
        <v/>
      </c>
      <c r="N39" s="166" t="str" cm="1">
        <f t="array" ref="N39">IF($G39="","",IFERROR(_xlfn.XLOOKUP(1,($G39=Data!$AJ$11:$AJ$1866)*(Details!$E$18=Data!$AM$11:$AM$1866),Data!$AP$11:$AP$1866),"No"))</f>
        <v/>
      </c>
      <c r="O39" s="370"/>
      <c r="P39" s="370"/>
      <c r="Q39" s="1255"/>
      <c r="R39" s="1256"/>
      <c r="S39" s="1255"/>
      <c r="T39" s="1256"/>
      <c r="U39" s="371"/>
      <c r="V39" s="371"/>
      <c r="W39" s="368"/>
      <c r="X39" s="372"/>
      <c r="Y39" s="373"/>
      <c r="Z39" s="372"/>
      <c r="AA39" s="373"/>
      <c r="AB39" s="373"/>
      <c r="AC39" s="373"/>
      <c r="AD39" s="373"/>
      <c r="AE39" s="373"/>
    </row>
    <row r="40" spans="3:31" s="25" customFormat="1" ht="15" customHeight="1" x14ac:dyDescent="0.2">
      <c r="C40" s="165">
        <f t="shared" si="0"/>
        <v>27</v>
      </c>
      <c r="D40" s="1253"/>
      <c r="E40" s="1254"/>
      <c r="F40" s="364"/>
      <c r="G40" s="365"/>
      <c r="H40" s="366"/>
      <c r="I40" s="367"/>
      <c r="J40" s="368"/>
      <c r="K40" s="369"/>
      <c r="L40" s="368"/>
      <c r="M40" s="166" t="str">
        <f>IF($K40="","",VLOOKUP($K40,Data!$B$11:$F$3178,5,FALSE))</f>
        <v/>
      </c>
      <c r="N40" s="166" t="str" cm="1">
        <f t="array" ref="N40">IF($G40="","",IFERROR(_xlfn.XLOOKUP(1,($G40=Data!$AJ$11:$AJ$1866)*(Details!$E$18=Data!$AM$11:$AM$1866),Data!$AP$11:$AP$1866),"No"))</f>
        <v/>
      </c>
      <c r="O40" s="370"/>
      <c r="P40" s="370"/>
      <c r="Q40" s="1255"/>
      <c r="R40" s="1256"/>
      <c r="S40" s="1255"/>
      <c r="T40" s="1256"/>
      <c r="U40" s="371"/>
      <c r="V40" s="371"/>
      <c r="W40" s="368"/>
      <c r="X40" s="372"/>
      <c r="Y40" s="373"/>
      <c r="Z40" s="372"/>
      <c r="AA40" s="373"/>
      <c r="AB40" s="373"/>
      <c r="AC40" s="373"/>
      <c r="AD40" s="373"/>
      <c r="AE40" s="373"/>
    </row>
    <row r="41" spans="3:31" s="25" customFormat="1" ht="15" customHeight="1" x14ac:dyDescent="0.2">
      <c r="C41" s="165">
        <f t="shared" si="0"/>
        <v>28</v>
      </c>
      <c r="D41" s="1253"/>
      <c r="E41" s="1254"/>
      <c r="F41" s="364"/>
      <c r="G41" s="365"/>
      <c r="H41" s="366"/>
      <c r="I41" s="367"/>
      <c r="J41" s="368"/>
      <c r="K41" s="369"/>
      <c r="L41" s="368"/>
      <c r="M41" s="166" t="str">
        <f>IF($K41="","",VLOOKUP($K41,Data!$B$11:$F$3178,5,FALSE))</f>
        <v/>
      </c>
      <c r="N41" s="166" t="str" cm="1">
        <f t="array" ref="N41">IF($G41="","",IFERROR(_xlfn.XLOOKUP(1,($G41=Data!$AJ$11:$AJ$1866)*(Details!$E$18=Data!$AM$11:$AM$1866),Data!$AP$11:$AP$1866),"No"))</f>
        <v/>
      </c>
      <c r="O41" s="370"/>
      <c r="P41" s="370"/>
      <c r="Q41" s="1255"/>
      <c r="R41" s="1256"/>
      <c r="S41" s="1255"/>
      <c r="T41" s="1256"/>
      <c r="U41" s="371"/>
      <c r="V41" s="371"/>
      <c r="W41" s="368"/>
      <c r="X41" s="372"/>
      <c r="Y41" s="373"/>
      <c r="Z41" s="372"/>
      <c r="AA41" s="373"/>
      <c r="AB41" s="373"/>
      <c r="AC41" s="373"/>
      <c r="AD41" s="373"/>
      <c r="AE41" s="373"/>
    </row>
    <row r="42" spans="3:31" s="25" customFormat="1" ht="15" customHeight="1" x14ac:dyDescent="0.2">
      <c r="C42" s="165">
        <f t="shared" si="0"/>
        <v>29</v>
      </c>
      <c r="D42" s="1253"/>
      <c r="E42" s="1254"/>
      <c r="F42" s="364"/>
      <c r="G42" s="365"/>
      <c r="H42" s="366"/>
      <c r="I42" s="367"/>
      <c r="J42" s="368"/>
      <c r="K42" s="369"/>
      <c r="L42" s="368"/>
      <c r="M42" s="166" t="str">
        <f>IF($K42="","",VLOOKUP($K42,Data!$B$11:$F$3178,5,FALSE))</f>
        <v/>
      </c>
      <c r="N42" s="166" t="str" cm="1">
        <f t="array" ref="N42">IF($G42="","",IFERROR(_xlfn.XLOOKUP(1,($G42=Data!$AJ$11:$AJ$1866)*(Details!$E$18=Data!$AM$11:$AM$1866),Data!$AP$11:$AP$1866),"No"))</f>
        <v/>
      </c>
      <c r="O42" s="370"/>
      <c r="P42" s="370"/>
      <c r="Q42" s="1255"/>
      <c r="R42" s="1256"/>
      <c r="S42" s="1255"/>
      <c r="T42" s="1256"/>
      <c r="U42" s="371"/>
      <c r="V42" s="371"/>
      <c r="W42" s="368"/>
      <c r="X42" s="372"/>
      <c r="Y42" s="373"/>
      <c r="Z42" s="372"/>
      <c r="AA42" s="373"/>
      <c r="AB42" s="373"/>
      <c r="AC42" s="373"/>
      <c r="AD42" s="373"/>
      <c r="AE42" s="373"/>
    </row>
    <row r="43" spans="3:31" s="25" customFormat="1" ht="15" customHeight="1" x14ac:dyDescent="0.2">
      <c r="C43" s="165">
        <f t="shared" si="0"/>
        <v>30</v>
      </c>
      <c r="D43" s="1253"/>
      <c r="E43" s="1254"/>
      <c r="F43" s="364"/>
      <c r="G43" s="365"/>
      <c r="H43" s="366"/>
      <c r="I43" s="367"/>
      <c r="J43" s="368"/>
      <c r="K43" s="369"/>
      <c r="L43" s="368"/>
      <c r="M43" s="166" t="str">
        <f>IF($K43="","",VLOOKUP($K43,Data!$B$11:$F$3178,5,FALSE))</f>
        <v/>
      </c>
      <c r="N43" s="166" t="str" cm="1">
        <f t="array" ref="N43">IF($G43="","",IFERROR(_xlfn.XLOOKUP(1,($G43=Data!$AJ$11:$AJ$1866)*(Details!$E$18=Data!$AM$11:$AM$1866),Data!$AP$11:$AP$1866),"No"))</f>
        <v/>
      </c>
      <c r="O43" s="370"/>
      <c r="P43" s="370"/>
      <c r="Q43" s="1255"/>
      <c r="R43" s="1256"/>
      <c r="S43" s="1255"/>
      <c r="T43" s="1256"/>
      <c r="U43" s="371"/>
      <c r="V43" s="371"/>
      <c r="W43" s="368"/>
      <c r="X43" s="372"/>
      <c r="Y43" s="373"/>
      <c r="Z43" s="372"/>
      <c r="AA43" s="373"/>
      <c r="AB43" s="373"/>
      <c r="AC43" s="373"/>
      <c r="AD43" s="373"/>
      <c r="AE43" s="373"/>
    </row>
    <row r="44" spans="3:31" s="25" customFormat="1" ht="15" customHeight="1" x14ac:dyDescent="0.2">
      <c r="C44" s="165">
        <f t="shared" si="0"/>
        <v>31</v>
      </c>
      <c r="D44" s="1253"/>
      <c r="E44" s="1254"/>
      <c r="F44" s="364"/>
      <c r="G44" s="365"/>
      <c r="H44" s="366"/>
      <c r="I44" s="367"/>
      <c r="J44" s="368"/>
      <c r="K44" s="369"/>
      <c r="L44" s="368"/>
      <c r="M44" s="166" t="str">
        <f>IF($K44="","",VLOOKUP($K44,Data!$B$11:$F$3178,5,FALSE))</f>
        <v/>
      </c>
      <c r="N44" s="166" t="str" cm="1">
        <f t="array" ref="N44">IF($G44="","",IFERROR(_xlfn.XLOOKUP(1,($G44=Data!$AJ$11:$AJ$1866)*(Details!$E$18=Data!$AM$11:$AM$1866),Data!$AP$11:$AP$1866),"No"))</f>
        <v/>
      </c>
      <c r="O44" s="370"/>
      <c r="P44" s="370"/>
      <c r="Q44" s="1255"/>
      <c r="R44" s="1256"/>
      <c r="S44" s="1255"/>
      <c r="T44" s="1256"/>
      <c r="U44" s="371"/>
      <c r="V44" s="371"/>
      <c r="W44" s="368"/>
      <c r="X44" s="372"/>
      <c r="Y44" s="373"/>
      <c r="Z44" s="372"/>
      <c r="AA44" s="373"/>
      <c r="AB44" s="373"/>
      <c r="AC44" s="373"/>
      <c r="AD44" s="373"/>
      <c r="AE44" s="373"/>
    </row>
    <row r="45" spans="3:31" s="25" customFormat="1" ht="15" customHeight="1" x14ac:dyDescent="0.2">
      <c r="C45" s="165">
        <f t="shared" si="0"/>
        <v>32</v>
      </c>
      <c r="D45" s="1253"/>
      <c r="E45" s="1254"/>
      <c r="F45" s="364"/>
      <c r="G45" s="365"/>
      <c r="H45" s="366"/>
      <c r="I45" s="367"/>
      <c r="J45" s="368"/>
      <c r="K45" s="369"/>
      <c r="L45" s="368"/>
      <c r="M45" s="166" t="str">
        <f>IF($K45="","",VLOOKUP($K45,Data!$B$11:$F$3178,5,FALSE))</f>
        <v/>
      </c>
      <c r="N45" s="166" t="str" cm="1">
        <f t="array" ref="N45">IF($G45="","",IFERROR(_xlfn.XLOOKUP(1,($G45=Data!$AJ$11:$AJ$1866)*(Details!$E$18=Data!$AM$11:$AM$1866),Data!$AP$11:$AP$1866),"No"))</f>
        <v/>
      </c>
      <c r="O45" s="370"/>
      <c r="P45" s="370"/>
      <c r="Q45" s="1255"/>
      <c r="R45" s="1256"/>
      <c r="S45" s="1255"/>
      <c r="T45" s="1256"/>
      <c r="U45" s="371"/>
      <c r="V45" s="371"/>
      <c r="W45" s="368"/>
      <c r="X45" s="372"/>
      <c r="Y45" s="373"/>
      <c r="Z45" s="372"/>
      <c r="AA45" s="373"/>
      <c r="AB45" s="373"/>
      <c r="AC45" s="373"/>
      <c r="AD45" s="373"/>
      <c r="AE45" s="373"/>
    </row>
    <row r="46" spans="3:31" s="25" customFormat="1" ht="15" customHeight="1" x14ac:dyDescent="0.2">
      <c r="C46" s="165">
        <f t="shared" si="0"/>
        <v>33</v>
      </c>
      <c r="D46" s="1253"/>
      <c r="E46" s="1254"/>
      <c r="F46" s="364"/>
      <c r="G46" s="365"/>
      <c r="H46" s="366"/>
      <c r="I46" s="367"/>
      <c r="J46" s="368"/>
      <c r="K46" s="369"/>
      <c r="L46" s="368"/>
      <c r="M46" s="166" t="str">
        <f>IF($K46="","",VLOOKUP($K46,Data!$B$11:$F$3178,5,FALSE))</f>
        <v/>
      </c>
      <c r="N46" s="166" t="str" cm="1">
        <f t="array" ref="N46">IF($G46="","",IFERROR(_xlfn.XLOOKUP(1,($G46=Data!$AJ$11:$AJ$1866)*(Details!$E$18=Data!$AM$11:$AM$1866),Data!$AP$11:$AP$1866),"No"))</f>
        <v/>
      </c>
      <c r="O46" s="370"/>
      <c r="P46" s="370"/>
      <c r="Q46" s="1255"/>
      <c r="R46" s="1256"/>
      <c r="S46" s="1255"/>
      <c r="T46" s="1256"/>
      <c r="U46" s="371"/>
      <c r="V46" s="371"/>
      <c r="W46" s="368"/>
      <c r="X46" s="372"/>
      <c r="Y46" s="373"/>
      <c r="Z46" s="372"/>
      <c r="AA46" s="373"/>
      <c r="AB46" s="373"/>
      <c r="AC46" s="373"/>
      <c r="AD46" s="373"/>
      <c r="AE46" s="373"/>
    </row>
    <row r="47" spans="3:31" s="25" customFormat="1" ht="15" customHeight="1" x14ac:dyDescent="0.2">
      <c r="C47" s="165">
        <f t="shared" si="0"/>
        <v>34</v>
      </c>
      <c r="D47" s="1253"/>
      <c r="E47" s="1254"/>
      <c r="F47" s="364"/>
      <c r="G47" s="365"/>
      <c r="H47" s="366"/>
      <c r="I47" s="367"/>
      <c r="J47" s="368"/>
      <c r="K47" s="369"/>
      <c r="L47" s="368"/>
      <c r="M47" s="166" t="str">
        <f>IF($K47="","",VLOOKUP($K47,Data!$B$11:$F$3178,5,FALSE))</f>
        <v/>
      </c>
      <c r="N47" s="166" t="str" cm="1">
        <f t="array" ref="N47">IF($G47="","",IFERROR(_xlfn.XLOOKUP(1,($G47=Data!$AJ$11:$AJ$1866)*(Details!$E$18=Data!$AM$11:$AM$1866),Data!$AP$11:$AP$1866),"No"))</f>
        <v/>
      </c>
      <c r="O47" s="370"/>
      <c r="P47" s="370"/>
      <c r="Q47" s="1255"/>
      <c r="R47" s="1256"/>
      <c r="S47" s="1255"/>
      <c r="T47" s="1256"/>
      <c r="U47" s="371"/>
      <c r="V47" s="371"/>
      <c r="W47" s="368"/>
      <c r="X47" s="372"/>
      <c r="Y47" s="373"/>
      <c r="Z47" s="372"/>
      <c r="AA47" s="373"/>
      <c r="AB47" s="373"/>
      <c r="AC47" s="373"/>
      <c r="AD47" s="373"/>
      <c r="AE47" s="373"/>
    </row>
    <row r="48" spans="3:31" s="25" customFormat="1" ht="15" customHeight="1" x14ac:dyDescent="0.2">
      <c r="C48" s="165">
        <f t="shared" si="0"/>
        <v>35</v>
      </c>
      <c r="D48" s="1253"/>
      <c r="E48" s="1254"/>
      <c r="F48" s="364"/>
      <c r="G48" s="365"/>
      <c r="H48" s="366"/>
      <c r="I48" s="367"/>
      <c r="J48" s="368"/>
      <c r="K48" s="369"/>
      <c r="L48" s="368"/>
      <c r="M48" s="166" t="str">
        <f>IF($K48="","",VLOOKUP($K48,Data!$B$11:$F$3178,5,FALSE))</f>
        <v/>
      </c>
      <c r="N48" s="166" t="str" cm="1">
        <f t="array" ref="N48">IF($G48="","",IFERROR(_xlfn.XLOOKUP(1,($G48=Data!$AJ$11:$AJ$1866)*(Details!$E$18=Data!$AM$11:$AM$1866),Data!$AP$11:$AP$1866),"No"))</f>
        <v/>
      </c>
      <c r="O48" s="370"/>
      <c r="P48" s="370"/>
      <c r="Q48" s="1255"/>
      <c r="R48" s="1256"/>
      <c r="S48" s="1255"/>
      <c r="T48" s="1256"/>
      <c r="U48" s="371"/>
      <c r="V48" s="371"/>
      <c r="W48" s="368"/>
      <c r="X48" s="372"/>
      <c r="Y48" s="373"/>
      <c r="Z48" s="372"/>
      <c r="AA48" s="373"/>
      <c r="AB48" s="373"/>
      <c r="AC48" s="373"/>
      <c r="AD48" s="373"/>
      <c r="AE48" s="373"/>
    </row>
    <row r="49" spans="3:31" s="25" customFormat="1" ht="15" customHeight="1" x14ac:dyDescent="0.2">
      <c r="C49" s="165">
        <f t="shared" si="0"/>
        <v>36</v>
      </c>
      <c r="D49" s="1253"/>
      <c r="E49" s="1254"/>
      <c r="F49" s="364"/>
      <c r="G49" s="365"/>
      <c r="H49" s="366"/>
      <c r="I49" s="367"/>
      <c r="J49" s="368"/>
      <c r="K49" s="369"/>
      <c r="L49" s="368"/>
      <c r="M49" s="166" t="str">
        <f>IF($K49="","",VLOOKUP($K49,Data!$B$11:$F$3178,5,FALSE))</f>
        <v/>
      </c>
      <c r="N49" s="166" t="str" cm="1">
        <f t="array" ref="N49">IF($G49="","",IFERROR(_xlfn.XLOOKUP(1,($G49=Data!$AJ$11:$AJ$1866)*(Details!$E$18=Data!$AM$11:$AM$1866),Data!$AP$11:$AP$1866),"No"))</f>
        <v/>
      </c>
      <c r="O49" s="370"/>
      <c r="P49" s="370"/>
      <c r="Q49" s="1255"/>
      <c r="R49" s="1256"/>
      <c r="S49" s="1255"/>
      <c r="T49" s="1256"/>
      <c r="U49" s="371"/>
      <c r="V49" s="371"/>
      <c r="W49" s="368"/>
      <c r="X49" s="372"/>
      <c r="Y49" s="373"/>
      <c r="Z49" s="372"/>
      <c r="AA49" s="373"/>
      <c r="AB49" s="373"/>
      <c r="AC49" s="373"/>
      <c r="AD49" s="373"/>
      <c r="AE49" s="373"/>
    </row>
    <row r="50" spans="3:31" s="25" customFormat="1" ht="15" customHeight="1" x14ac:dyDescent="0.2">
      <c r="C50" s="165">
        <f t="shared" si="0"/>
        <v>37</v>
      </c>
      <c r="D50" s="1253"/>
      <c r="E50" s="1254"/>
      <c r="F50" s="364"/>
      <c r="G50" s="365"/>
      <c r="H50" s="366"/>
      <c r="I50" s="367"/>
      <c r="J50" s="368"/>
      <c r="K50" s="369"/>
      <c r="L50" s="368"/>
      <c r="M50" s="166" t="str">
        <f>IF($K50="","",VLOOKUP($K50,Data!$B$11:$F$3178,5,FALSE))</f>
        <v/>
      </c>
      <c r="N50" s="166" t="str" cm="1">
        <f t="array" ref="N50">IF($G50="","",IFERROR(_xlfn.XLOOKUP(1,($G50=Data!$AJ$11:$AJ$1866)*(Details!$E$18=Data!$AM$11:$AM$1866),Data!$AP$11:$AP$1866),"No"))</f>
        <v/>
      </c>
      <c r="O50" s="370"/>
      <c r="P50" s="370"/>
      <c r="Q50" s="1255"/>
      <c r="R50" s="1256"/>
      <c r="S50" s="1255"/>
      <c r="T50" s="1256"/>
      <c r="U50" s="371"/>
      <c r="V50" s="371"/>
      <c r="W50" s="368"/>
      <c r="X50" s="372"/>
      <c r="Y50" s="373"/>
      <c r="Z50" s="372"/>
      <c r="AA50" s="373"/>
      <c r="AB50" s="373"/>
      <c r="AC50" s="373"/>
      <c r="AD50" s="373"/>
      <c r="AE50" s="373"/>
    </row>
    <row r="51" spans="3:31" s="25" customFormat="1" ht="15" customHeight="1" x14ac:dyDescent="0.2">
      <c r="C51" s="165">
        <f t="shared" si="0"/>
        <v>38</v>
      </c>
      <c r="D51" s="1253"/>
      <c r="E51" s="1254"/>
      <c r="F51" s="364"/>
      <c r="G51" s="365"/>
      <c r="H51" s="366"/>
      <c r="I51" s="367"/>
      <c r="J51" s="368"/>
      <c r="K51" s="369"/>
      <c r="L51" s="368"/>
      <c r="M51" s="166" t="str">
        <f>IF($K51="","",VLOOKUP($K51,Data!$B$11:$F$3178,5,FALSE))</f>
        <v/>
      </c>
      <c r="N51" s="166" t="str" cm="1">
        <f t="array" ref="N51">IF($G51="","",IFERROR(_xlfn.XLOOKUP(1,($G51=Data!$AJ$11:$AJ$1866)*(Details!$E$18=Data!$AM$11:$AM$1866),Data!$AP$11:$AP$1866),"No"))</f>
        <v/>
      </c>
      <c r="O51" s="370"/>
      <c r="P51" s="370"/>
      <c r="Q51" s="1255"/>
      <c r="R51" s="1256"/>
      <c r="S51" s="1255"/>
      <c r="T51" s="1256"/>
      <c r="U51" s="371"/>
      <c r="V51" s="371"/>
      <c r="W51" s="368"/>
      <c r="X51" s="372"/>
      <c r="Y51" s="373"/>
      <c r="Z51" s="372"/>
      <c r="AA51" s="373"/>
      <c r="AB51" s="373"/>
      <c r="AC51" s="373"/>
      <c r="AD51" s="373"/>
      <c r="AE51" s="373"/>
    </row>
    <row r="52" spans="3:31" s="25" customFormat="1" ht="15" customHeight="1" x14ac:dyDescent="0.2">
      <c r="C52" s="165">
        <f t="shared" si="0"/>
        <v>39</v>
      </c>
      <c r="D52" s="1253"/>
      <c r="E52" s="1254"/>
      <c r="F52" s="364"/>
      <c r="G52" s="365"/>
      <c r="H52" s="366"/>
      <c r="I52" s="367"/>
      <c r="J52" s="368"/>
      <c r="K52" s="369"/>
      <c r="L52" s="368"/>
      <c r="M52" s="166" t="str">
        <f>IF($K52="","",VLOOKUP($K52,Data!$B$11:$F$3178,5,FALSE))</f>
        <v/>
      </c>
      <c r="N52" s="166" t="str" cm="1">
        <f t="array" ref="N52">IF($G52="","",IFERROR(_xlfn.XLOOKUP(1,($G52=Data!$AJ$11:$AJ$1866)*(Details!$E$18=Data!$AM$11:$AM$1866),Data!$AP$11:$AP$1866),"No"))</f>
        <v/>
      </c>
      <c r="O52" s="370"/>
      <c r="P52" s="370"/>
      <c r="Q52" s="1255"/>
      <c r="R52" s="1256"/>
      <c r="S52" s="1255"/>
      <c r="T52" s="1256"/>
      <c r="U52" s="371"/>
      <c r="V52" s="371"/>
      <c r="W52" s="368"/>
      <c r="X52" s="372"/>
      <c r="Y52" s="373"/>
      <c r="Z52" s="372"/>
      <c r="AA52" s="373"/>
      <c r="AB52" s="373"/>
      <c r="AC52" s="373"/>
      <c r="AD52" s="373"/>
      <c r="AE52" s="373"/>
    </row>
    <row r="53" spans="3:31" s="25" customFormat="1" ht="15" customHeight="1" x14ac:dyDescent="0.2">
      <c r="C53" s="165">
        <f t="shared" si="0"/>
        <v>40</v>
      </c>
      <c r="D53" s="1253"/>
      <c r="E53" s="1254"/>
      <c r="F53" s="364"/>
      <c r="G53" s="365"/>
      <c r="H53" s="366"/>
      <c r="I53" s="367"/>
      <c r="J53" s="368"/>
      <c r="K53" s="369"/>
      <c r="L53" s="368"/>
      <c r="M53" s="166" t="str">
        <f>IF($K53="","",VLOOKUP($K53,Data!$B$11:$F$3178,5,FALSE))</f>
        <v/>
      </c>
      <c r="N53" s="166" t="str" cm="1">
        <f t="array" ref="N53">IF($G53="","",IFERROR(_xlfn.XLOOKUP(1,($G53=Data!$AJ$11:$AJ$1866)*(Details!$E$18=Data!$AM$11:$AM$1866),Data!$AP$11:$AP$1866),"No"))</f>
        <v/>
      </c>
      <c r="O53" s="370"/>
      <c r="P53" s="370"/>
      <c r="Q53" s="1255"/>
      <c r="R53" s="1256"/>
      <c r="S53" s="1255"/>
      <c r="T53" s="1256"/>
      <c r="U53" s="371"/>
      <c r="V53" s="371"/>
      <c r="W53" s="368"/>
      <c r="X53" s="372"/>
      <c r="Y53" s="373"/>
      <c r="Z53" s="372"/>
      <c r="AA53" s="373"/>
      <c r="AB53" s="373"/>
      <c r="AC53" s="373"/>
      <c r="AD53" s="373"/>
      <c r="AE53" s="373"/>
    </row>
    <row r="54" spans="3:31" s="25" customFormat="1" ht="15" customHeight="1" x14ac:dyDescent="0.2">
      <c r="C54" s="165">
        <f t="shared" si="0"/>
        <v>41</v>
      </c>
      <c r="D54" s="1253"/>
      <c r="E54" s="1254"/>
      <c r="F54" s="364"/>
      <c r="G54" s="365"/>
      <c r="H54" s="366"/>
      <c r="I54" s="367"/>
      <c r="J54" s="368"/>
      <c r="K54" s="369"/>
      <c r="L54" s="368"/>
      <c r="M54" s="166" t="str">
        <f>IF($K54="","",VLOOKUP($K54,Data!$B$11:$F$3178,5,FALSE))</f>
        <v/>
      </c>
      <c r="N54" s="166" t="str" cm="1">
        <f t="array" ref="N54">IF($G54="","",IFERROR(_xlfn.XLOOKUP(1,($G54=Data!$AJ$11:$AJ$1866)*(Details!$E$18=Data!$AM$11:$AM$1866),Data!$AP$11:$AP$1866),"No"))</f>
        <v/>
      </c>
      <c r="O54" s="370"/>
      <c r="P54" s="370"/>
      <c r="Q54" s="1255"/>
      <c r="R54" s="1256"/>
      <c r="S54" s="1255"/>
      <c r="T54" s="1256"/>
      <c r="U54" s="371"/>
      <c r="V54" s="371"/>
      <c r="W54" s="368"/>
      <c r="X54" s="372"/>
      <c r="Y54" s="373"/>
      <c r="Z54" s="372"/>
      <c r="AA54" s="373"/>
      <c r="AB54" s="373"/>
      <c r="AC54" s="373"/>
      <c r="AD54" s="373"/>
      <c r="AE54" s="373"/>
    </row>
    <row r="55" spans="3:31" s="25" customFormat="1" ht="15" customHeight="1" x14ac:dyDescent="0.2">
      <c r="C55" s="165">
        <f t="shared" si="0"/>
        <v>42</v>
      </c>
      <c r="D55" s="1253"/>
      <c r="E55" s="1254"/>
      <c r="F55" s="364"/>
      <c r="G55" s="365"/>
      <c r="H55" s="366"/>
      <c r="I55" s="367"/>
      <c r="J55" s="368"/>
      <c r="K55" s="369"/>
      <c r="L55" s="368"/>
      <c r="M55" s="166" t="str">
        <f>IF($K55="","",VLOOKUP($K55,Data!$B$11:$F$3178,5,FALSE))</f>
        <v/>
      </c>
      <c r="N55" s="166" t="str" cm="1">
        <f t="array" ref="N55">IF($G55="","",IFERROR(_xlfn.XLOOKUP(1,($G55=Data!$AJ$11:$AJ$1866)*(Details!$E$18=Data!$AM$11:$AM$1866),Data!$AP$11:$AP$1866),"No"))</f>
        <v/>
      </c>
      <c r="O55" s="370"/>
      <c r="P55" s="370"/>
      <c r="Q55" s="1255"/>
      <c r="R55" s="1256"/>
      <c r="S55" s="1255"/>
      <c r="T55" s="1256"/>
      <c r="U55" s="371"/>
      <c r="V55" s="371"/>
      <c r="W55" s="368"/>
      <c r="X55" s="372"/>
      <c r="Y55" s="373"/>
      <c r="Z55" s="372"/>
      <c r="AA55" s="373"/>
      <c r="AB55" s="373"/>
      <c r="AC55" s="373"/>
      <c r="AD55" s="373"/>
      <c r="AE55" s="373"/>
    </row>
    <row r="56" spans="3:31" s="25" customFormat="1" ht="15" customHeight="1" x14ac:dyDescent="0.2">
      <c r="C56" s="165">
        <f t="shared" si="0"/>
        <v>43</v>
      </c>
      <c r="D56" s="1253"/>
      <c r="E56" s="1254"/>
      <c r="F56" s="364"/>
      <c r="G56" s="365"/>
      <c r="H56" s="366"/>
      <c r="I56" s="367"/>
      <c r="J56" s="368"/>
      <c r="K56" s="369"/>
      <c r="L56" s="368"/>
      <c r="M56" s="166" t="str">
        <f>IF($K56="","",VLOOKUP($K56,Data!$B$11:$F$3178,5,FALSE))</f>
        <v/>
      </c>
      <c r="N56" s="166" t="str" cm="1">
        <f t="array" ref="N56">IF($G56="","",IFERROR(_xlfn.XLOOKUP(1,($G56=Data!$AJ$11:$AJ$1866)*(Details!$E$18=Data!$AM$11:$AM$1866),Data!$AP$11:$AP$1866),"No"))</f>
        <v/>
      </c>
      <c r="O56" s="370"/>
      <c r="P56" s="370"/>
      <c r="Q56" s="1255"/>
      <c r="R56" s="1256"/>
      <c r="S56" s="1255"/>
      <c r="T56" s="1256"/>
      <c r="U56" s="371"/>
      <c r="V56" s="371"/>
      <c r="W56" s="368"/>
      <c r="X56" s="372"/>
      <c r="Y56" s="373"/>
      <c r="Z56" s="372"/>
      <c r="AA56" s="373"/>
      <c r="AB56" s="373"/>
      <c r="AC56" s="373"/>
      <c r="AD56" s="373"/>
      <c r="AE56" s="373"/>
    </row>
    <row r="57" spans="3:31" s="25" customFormat="1" ht="15" customHeight="1" x14ac:dyDescent="0.2">
      <c r="C57" s="165">
        <f t="shared" si="0"/>
        <v>44</v>
      </c>
      <c r="D57" s="1253"/>
      <c r="E57" s="1254"/>
      <c r="F57" s="364"/>
      <c r="G57" s="365"/>
      <c r="H57" s="366"/>
      <c r="I57" s="367"/>
      <c r="J57" s="368"/>
      <c r="K57" s="369"/>
      <c r="L57" s="368"/>
      <c r="M57" s="166" t="str">
        <f>IF($K57="","",VLOOKUP($K57,Data!$B$11:$F$3178,5,FALSE))</f>
        <v/>
      </c>
      <c r="N57" s="166" t="str" cm="1">
        <f t="array" ref="N57">IF($G57="","",IFERROR(_xlfn.XLOOKUP(1,($G57=Data!$AJ$11:$AJ$1866)*(Details!$E$18=Data!$AM$11:$AM$1866),Data!$AP$11:$AP$1866),"No"))</f>
        <v/>
      </c>
      <c r="O57" s="370"/>
      <c r="P57" s="370"/>
      <c r="Q57" s="1255"/>
      <c r="R57" s="1256"/>
      <c r="S57" s="1255"/>
      <c r="T57" s="1256"/>
      <c r="U57" s="371"/>
      <c r="V57" s="371"/>
      <c r="W57" s="368"/>
      <c r="X57" s="372"/>
      <c r="Y57" s="373"/>
      <c r="Z57" s="372"/>
      <c r="AA57" s="373"/>
      <c r="AB57" s="373"/>
      <c r="AC57" s="373"/>
      <c r="AD57" s="373"/>
      <c r="AE57" s="373"/>
    </row>
    <row r="58" spans="3:31" s="25" customFormat="1" ht="15" customHeight="1" x14ac:dyDescent="0.2">
      <c r="C58" s="165">
        <f t="shared" si="0"/>
        <v>45</v>
      </c>
      <c r="D58" s="369"/>
      <c r="E58" s="364"/>
      <c r="F58" s="364"/>
      <c r="G58" s="365"/>
      <c r="H58" s="366"/>
      <c r="I58" s="367"/>
      <c r="J58" s="368"/>
      <c r="K58" s="369"/>
      <c r="L58" s="368"/>
      <c r="M58" s="166" t="str">
        <f>IF($K58="","",VLOOKUP($K58,Data!$B$11:$F$3178,5,FALSE))</f>
        <v/>
      </c>
      <c r="N58" s="166" t="str" cm="1">
        <f t="array" ref="N58">IF($G58="","",IFERROR(_xlfn.XLOOKUP(1,($G58=Data!$AJ$11:$AJ$1866)*(Details!$E$18=Data!$AM$11:$AM$1866),Data!$AP$11:$AP$1866),"No"))</f>
        <v/>
      </c>
      <c r="O58" s="370"/>
      <c r="P58" s="370"/>
      <c r="Q58" s="374"/>
      <c r="R58" s="371"/>
      <c r="S58" s="374"/>
      <c r="T58" s="371"/>
      <c r="U58" s="371"/>
      <c r="V58" s="371"/>
      <c r="W58" s="368"/>
      <c r="X58" s="372"/>
      <c r="Y58" s="373"/>
      <c r="Z58" s="372"/>
      <c r="AA58" s="373"/>
      <c r="AB58" s="373"/>
      <c r="AC58" s="373"/>
      <c r="AD58" s="373"/>
      <c r="AE58" s="373"/>
    </row>
    <row r="59" spans="3:31" s="25" customFormat="1" ht="15" customHeight="1" x14ac:dyDescent="0.2">
      <c r="C59" s="165">
        <f t="shared" si="0"/>
        <v>46</v>
      </c>
      <c r="D59" s="369"/>
      <c r="E59" s="364"/>
      <c r="F59" s="364"/>
      <c r="G59" s="365"/>
      <c r="H59" s="366"/>
      <c r="I59" s="367"/>
      <c r="J59" s="368"/>
      <c r="K59" s="369"/>
      <c r="L59" s="368"/>
      <c r="M59" s="166" t="str">
        <f>IF($K59="","",VLOOKUP($K59,Data!$B$11:$F$3178,5,FALSE))</f>
        <v/>
      </c>
      <c r="N59" s="166" t="str" cm="1">
        <f t="array" ref="N59">IF($G59="","",IFERROR(_xlfn.XLOOKUP(1,($G59=Data!$AJ$11:$AJ$1866)*(Details!$E$18=Data!$AM$11:$AM$1866),Data!$AP$11:$AP$1866),"No"))</f>
        <v/>
      </c>
      <c r="O59" s="370"/>
      <c r="P59" s="370"/>
      <c r="Q59" s="374"/>
      <c r="R59" s="371"/>
      <c r="S59" s="374"/>
      <c r="T59" s="371"/>
      <c r="U59" s="371"/>
      <c r="V59" s="371"/>
      <c r="W59" s="368"/>
      <c r="X59" s="372"/>
      <c r="Y59" s="373"/>
      <c r="Z59" s="372"/>
      <c r="AA59" s="373"/>
      <c r="AB59" s="373"/>
      <c r="AC59" s="373"/>
      <c r="AD59" s="373"/>
      <c r="AE59" s="373"/>
    </row>
    <row r="60" spans="3:31" s="25" customFormat="1" ht="15" customHeight="1" x14ac:dyDescent="0.2">
      <c r="C60" s="165">
        <f t="shared" si="0"/>
        <v>47</v>
      </c>
      <c r="D60" s="369"/>
      <c r="E60" s="364"/>
      <c r="F60" s="364"/>
      <c r="G60" s="365"/>
      <c r="H60" s="366"/>
      <c r="I60" s="367"/>
      <c r="J60" s="368"/>
      <c r="K60" s="369"/>
      <c r="L60" s="368"/>
      <c r="M60" s="166" t="str">
        <f>IF($K60="","",VLOOKUP($K60,Data!$B$11:$F$3178,5,FALSE))</f>
        <v/>
      </c>
      <c r="N60" s="166" t="str" cm="1">
        <f t="array" ref="N60">IF($G60="","",IFERROR(_xlfn.XLOOKUP(1,($G60=Data!$AJ$11:$AJ$1866)*(Details!$E$18=Data!$AM$11:$AM$1866),Data!$AP$11:$AP$1866),"No"))</f>
        <v/>
      </c>
      <c r="O60" s="370"/>
      <c r="P60" s="370"/>
      <c r="Q60" s="374"/>
      <c r="R60" s="371"/>
      <c r="S60" s="374"/>
      <c r="T60" s="371"/>
      <c r="U60" s="371"/>
      <c r="V60" s="371"/>
      <c r="W60" s="368"/>
      <c r="X60" s="372"/>
      <c r="Y60" s="373"/>
      <c r="Z60" s="372"/>
      <c r="AA60" s="373"/>
      <c r="AB60" s="373"/>
      <c r="AC60" s="373"/>
      <c r="AD60" s="373"/>
      <c r="AE60" s="373"/>
    </row>
    <row r="61" spans="3:31" s="25" customFormat="1" ht="15" customHeight="1" x14ac:dyDescent="0.2">
      <c r="C61" s="165">
        <f t="shared" si="0"/>
        <v>48</v>
      </c>
      <c r="D61" s="369"/>
      <c r="E61" s="364"/>
      <c r="F61" s="364"/>
      <c r="G61" s="365"/>
      <c r="H61" s="366"/>
      <c r="I61" s="367"/>
      <c r="J61" s="368"/>
      <c r="K61" s="369"/>
      <c r="L61" s="368"/>
      <c r="M61" s="166" t="str">
        <f>IF($K61="","",VLOOKUP($K61,Data!$B$11:$F$3178,5,FALSE))</f>
        <v/>
      </c>
      <c r="N61" s="166" t="str" cm="1">
        <f t="array" ref="N61">IF($G61="","",IFERROR(_xlfn.XLOOKUP(1,($G61=Data!$AJ$11:$AJ$1866)*(Details!$E$18=Data!$AM$11:$AM$1866),Data!$AP$11:$AP$1866),"No"))</f>
        <v/>
      </c>
      <c r="O61" s="370"/>
      <c r="P61" s="370"/>
      <c r="Q61" s="374"/>
      <c r="R61" s="371"/>
      <c r="S61" s="374"/>
      <c r="T61" s="371"/>
      <c r="U61" s="371"/>
      <c r="V61" s="371"/>
      <c r="W61" s="368"/>
      <c r="X61" s="372"/>
      <c r="Y61" s="373"/>
      <c r="Z61" s="372"/>
      <c r="AA61" s="373"/>
      <c r="AB61" s="373"/>
      <c r="AC61" s="373"/>
      <c r="AD61" s="373"/>
      <c r="AE61" s="373"/>
    </row>
    <row r="62" spans="3:31" s="25" customFormat="1" ht="15" customHeight="1" x14ac:dyDescent="0.2">
      <c r="C62" s="165">
        <f t="shared" si="0"/>
        <v>49</v>
      </c>
      <c r="D62" s="369"/>
      <c r="E62" s="364"/>
      <c r="F62" s="364"/>
      <c r="G62" s="365"/>
      <c r="H62" s="366"/>
      <c r="I62" s="367"/>
      <c r="J62" s="368"/>
      <c r="K62" s="369"/>
      <c r="L62" s="368"/>
      <c r="M62" s="166" t="str">
        <f>IF($K62="","",VLOOKUP($K62,Data!$B$11:$F$3178,5,FALSE))</f>
        <v/>
      </c>
      <c r="N62" s="166" t="str" cm="1">
        <f t="array" ref="N62">IF($G62="","",IFERROR(_xlfn.XLOOKUP(1,($G62=Data!$AJ$11:$AJ$1866)*(Details!$E$18=Data!$AM$11:$AM$1866),Data!$AP$11:$AP$1866),"No"))</f>
        <v/>
      </c>
      <c r="O62" s="370"/>
      <c r="P62" s="370"/>
      <c r="Q62" s="374"/>
      <c r="R62" s="371"/>
      <c r="S62" s="374"/>
      <c r="T62" s="371"/>
      <c r="U62" s="371"/>
      <c r="V62" s="371"/>
      <c r="W62" s="368"/>
      <c r="X62" s="372"/>
      <c r="Y62" s="373"/>
      <c r="Z62" s="372"/>
      <c r="AA62" s="373"/>
      <c r="AB62" s="373"/>
      <c r="AC62" s="373"/>
      <c r="AD62" s="373"/>
      <c r="AE62" s="373"/>
    </row>
    <row r="63" spans="3:31" s="25" customFormat="1" ht="15" customHeight="1" x14ac:dyDescent="0.2">
      <c r="C63" s="165">
        <f t="shared" si="0"/>
        <v>50</v>
      </c>
      <c r="D63" s="1253"/>
      <c r="E63" s="1254"/>
      <c r="F63" s="364"/>
      <c r="G63" s="365"/>
      <c r="H63" s="366"/>
      <c r="I63" s="367"/>
      <c r="J63" s="368"/>
      <c r="K63" s="369"/>
      <c r="L63" s="368"/>
      <c r="M63" s="166" t="str">
        <f>IF($K63="","",VLOOKUP($K63,Data!$B$11:$F$3178,5,FALSE))</f>
        <v/>
      </c>
      <c r="N63" s="166" t="str" cm="1">
        <f t="array" ref="N63">IF($G63="","",IFERROR(_xlfn.XLOOKUP(1,($G63=Data!$AJ$11:$AJ$1866)*(Details!$E$18=Data!$AM$11:$AM$1866),Data!$AP$11:$AP$1866),"No"))</f>
        <v/>
      </c>
      <c r="O63" s="370"/>
      <c r="P63" s="370"/>
      <c r="Q63" s="1255"/>
      <c r="R63" s="1256"/>
      <c r="S63" s="1255"/>
      <c r="T63" s="1256"/>
      <c r="U63" s="371"/>
      <c r="V63" s="371"/>
      <c r="W63" s="368"/>
      <c r="X63" s="372"/>
      <c r="Y63" s="373"/>
      <c r="Z63" s="372"/>
      <c r="AA63" s="373"/>
      <c r="AB63" s="373"/>
      <c r="AC63" s="373"/>
      <c r="AD63" s="373"/>
      <c r="AE63" s="373"/>
    </row>
    <row r="64" spans="3:31" ht="5.25" customHeight="1" x14ac:dyDescent="0.2">
      <c r="C64" s="167"/>
      <c r="D64" s="167"/>
      <c r="E64" s="167"/>
      <c r="F64" s="167"/>
      <c r="G64" s="167"/>
      <c r="H64" s="167"/>
      <c r="I64" s="167"/>
      <c r="J64" s="167"/>
      <c r="K64" s="167"/>
      <c r="L64" s="167"/>
      <c r="M64" s="167"/>
      <c r="N64" s="167"/>
      <c r="O64" s="167"/>
      <c r="P64" s="167"/>
      <c r="Q64" s="167"/>
      <c r="R64" s="167"/>
      <c r="S64" s="167"/>
      <c r="T64" s="167"/>
      <c r="U64" s="167"/>
      <c r="V64" s="167"/>
      <c r="W64" s="167"/>
    </row>
    <row r="65" spans="3:23" ht="15" customHeight="1" x14ac:dyDescent="0.2">
      <c r="C65" s="167"/>
      <c r="D65" s="167"/>
      <c r="E65" s="167"/>
      <c r="F65" s="167"/>
      <c r="G65" s="167"/>
      <c r="H65" s="167"/>
      <c r="I65" s="167"/>
      <c r="J65" s="167"/>
      <c r="K65" s="167"/>
      <c r="L65" s="167"/>
      <c r="M65" s="167"/>
      <c r="N65" s="167"/>
      <c r="O65" s="167"/>
      <c r="P65" s="167"/>
      <c r="Q65" s="167"/>
      <c r="R65" s="167"/>
      <c r="S65" s="167"/>
      <c r="T65" s="167"/>
      <c r="U65" s="167"/>
      <c r="V65" s="167"/>
      <c r="W65" s="167"/>
    </row>
    <row r="66" spans="3:23" ht="15" customHeight="1" x14ac:dyDescent="0.25">
      <c r="C66" s="131" t="s">
        <v>1982</v>
      </c>
      <c r="D66" s="168"/>
      <c r="E66" s="168"/>
      <c r="F66" s="168"/>
      <c r="G66" s="168"/>
      <c r="H66" s="168"/>
      <c r="I66" s="168"/>
      <c r="J66" s="167"/>
      <c r="K66" s="167"/>
      <c r="L66" s="167"/>
      <c r="M66" s="167"/>
      <c r="N66" s="167"/>
      <c r="O66" s="167"/>
      <c r="P66" s="167"/>
      <c r="Q66" s="167"/>
      <c r="R66" s="167"/>
      <c r="S66" s="167"/>
      <c r="T66" s="167"/>
      <c r="U66" s="167"/>
      <c r="V66" s="167"/>
      <c r="W66" s="167"/>
    </row>
    <row r="67" spans="3:23" ht="5.25" customHeight="1" x14ac:dyDescent="0.2">
      <c r="C67" s="167"/>
      <c r="D67" s="167"/>
      <c r="E67" s="167"/>
      <c r="F67" s="167"/>
      <c r="G67" s="167"/>
      <c r="H67" s="167"/>
      <c r="I67" s="167"/>
      <c r="J67" s="167"/>
      <c r="K67" s="167"/>
      <c r="L67" s="167"/>
      <c r="M67" s="167"/>
      <c r="N67" s="167"/>
      <c r="O67" s="167"/>
      <c r="P67" s="167"/>
      <c r="Q67" s="167"/>
      <c r="R67" s="167"/>
      <c r="S67" s="167"/>
      <c r="T67" s="167"/>
      <c r="U67" s="167"/>
      <c r="V67" s="167"/>
      <c r="W67" s="167"/>
    </row>
    <row r="68" spans="3:23" ht="30" customHeight="1" x14ac:dyDescent="0.2">
      <c r="C68" s="1180" t="s">
        <v>1980</v>
      </c>
      <c r="D68" s="1180"/>
      <c r="E68" s="1180"/>
      <c r="F68" s="1004" t="s">
        <v>104</v>
      </c>
      <c r="G68" s="1004" t="s">
        <v>105</v>
      </c>
      <c r="H68" s="1004" t="s">
        <v>248</v>
      </c>
      <c r="I68" s="1004" t="s">
        <v>101</v>
      </c>
      <c r="J68" s="167"/>
      <c r="K68" s="167"/>
      <c r="L68" s="167"/>
      <c r="M68" s="167"/>
      <c r="N68" s="167"/>
      <c r="O68" s="167"/>
      <c r="P68" s="167"/>
      <c r="Q68" s="167"/>
      <c r="R68" s="167"/>
      <c r="S68" s="167"/>
      <c r="T68" s="167"/>
    </row>
    <row r="69" spans="3:23" ht="15" customHeight="1" x14ac:dyDescent="0.2">
      <c r="C69" s="1247" t="s">
        <v>1979</v>
      </c>
      <c r="D69" s="1247"/>
      <c r="E69" s="1247"/>
      <c r="F69" s="78" cm="1">
        <f t="array" ref="F69">SUM(COUNTIFS($I$14:$I$63,{"Executed Deed","Purchase Option","Land Lease"},$L$14:$L$63,F$68))</f>
        <v>0</v>
      </c>
      <c r="G69" s="78" cm="1">
        <f t="array" ref="G69">SUM(COUNTIFS($I$14:$I$63,{"Executed Deed","Purchase Option","Land Lease"},$L$14:$L$63,G$68))</f>
        <v>0</v>
      </c>
      <c r="H69" s="78" cm="1">
        <f t="array" ref="H69">SUM(COUNTIFS($I$14:$I$63,{"Executed Deed","Purchase Option","Land Lease"},$L$14:$L$63,H$68))</f>
        <v>0</v>
      </c>
      <c r="I69" s="78">
        <f>SUM(F69:H69)</f>
        <v>0</v>
      </c>
      <c r="J69" s="167"/>
      <c r="K69" s="167"/>
      <c r="L69" s="167"/>
      <c r="M69" s="167"/>
      <c r="N69" s="167"/>
      <c r="O69" s="167"/>
      <c r="P69" s="167"/>
      <c r="Q69" s="167"/>
      <c r="R69" s="167"/>
      <c r="S69" s="167"/>
      <c r="T69" s="167"/>
    </row>
    <row r="70" spans="3:23" ht="15" customHeight="1" thickBot="1" x14ac:dyDescent="0.25">
      <c r="C70" s="1249" t="s">
        <v>1978</v>
      </c>
      <c r="D70" s="1249"/>
      <c r="E70" s="1249"/>
      <c r="F70" s="126">
        <f>SUM(COUNTIFS($I$14:$I$63,"Plan to Acquire",$L$14:$L$63,F$68))</f>
        <v>0</v>
      </c>
      <c r="G70" s="126">
        <f>SUM(COUNTIFS($I$14:$I$63,"Plan to Acquire",$L$14:$L$63,G$68))</f>
        <v>0</v>
      </c>
      <c r="H70" s="126">
        <f>SUM(COUNTIFS($I$14:$I$63,"Plan to Acquire",$L$14:$L$63,H$68))</f>
        <v>0</v>
      </c>
      <c r="I70" s="126">
        <f>SUM(F70:H70)</f>
        <v>0</v>
      </c>
      <c r="J70" s="167"/>
      <c r="K70" s="167"/>
      <c r="L70" s="167"/>
      <c r="M70" s="167"/>
      <c r="N70" s="167"/>
      <c r="O70" s="167"/>
      <c r="P70" s="167"/>
      <c r="Q70" s="167"/>
      <c r="R70" s="167"/>
      <c r="S70" s="167"/>
      <c r="T70" s="167"/>
    </row>
    <row r="71" spans="3:23" ht="15" customHeight="1" thickTop="1" x14ac:dyDescent="0.2">
      <c r="C71" s="1248" t="s">
        <v>1977</v>
      </c>
      <c r="D71" s="1248"/>
      <c r="E71" s="1248"/>
      <c r="F71" s="125">
        <f>SUM(COUNTIF($L$14:$L$63,F$68))</f>
        <v>0</v>
      </c>
      <c r="G71" s="125">
        <f>SUM(COUNTIF($L$14:$L$63,G$68))</f>
        <v>0</v>
      </c>
      <c r="H71" s="125">
        <f>SUM(COUNTIF($L$14:$L$63,H$68))</f>
        <v>0</v>
      </c>
      <c r="I71" s="125">
        <f>SUM(F71:H71)</f>
        <v>0</v>
      </c>
      <c r="J71" s="167"/>
      <c r="K71" s="167"/>
      <c r="L71" s="167"/>
      <c r="M71" s="167"/>
      <c r="N71" s="167"/>
      <c r="O71" s="167"/>
      <c r="P71" s="167"/>
      <c r="Q71" s="167"/>
      <c r="R71" s="167"/>
      <c r="S71" s="167"/>
      <c r="T71" s="167"/>
    </row>
    <row r="72" spans="3:23" ht="15" customHeight="1" x14ac:dyDescent="0.2">
      <c r="C72" s="1247" t="s">
        <v>1976</v>
      </c>
      <c r="D72" s="1247"/>
      <c r="E72" s="1247"/>
      <c r="F72" s="113">
        <f>IF(F71=0,0,F69/F71)</f>
        <v>0</v>
      </c>
      <c r="G72" s="113">
        <f>IF(G71=0,0,G69/G71)</f>
        <v>0</v>
      </c>
      <c r="H72" s="113">
        <f>IF(H71=0,0,H69/H71)</f>
        <v>0</v>
      </c>
      <c r="I72" s="113">
        <f>IF(I71=0,0,I69/I71)</f>
        <v>0</v>
      </c>
      <c r="J72" s="167"/>
      <c r="K72" s="167"/>
      <c r="L72" s="167"/>
      <c r="M72" s="167"/>
      <c r="N72" s="167"/>
      <c r="O72" s="167"/>
      <c r="P72" s="167"/>
      <c r="Q72" s="167"/>
      <c r="R72" s="167"/>
      <c r="S72" s="167"/>
      <c r="T72" s="167"/>
    </row>
    <row r="73" spans="3:23" ht="15" customHeight="1" x14ac:dyDescent="0.2">
      <c r="C73" s="25"/>
      <c r="D73" s="25"/>
      <c r="E73" s="25"/>
      <c r="F73" s="124"/>
      <c r="G73" s="124"/>
      <c r="H73" s="124"/>
      <c r="I73" s="124"/>
      <c r="J73" s="167"/>
      <c r="K73" s="167"/>
      <c r="L73" s="167"/>
      <c r="M73" s="167"/>
      <c r="N73" s="167"/>
      <c r="O73" s="167"/>
      <c r="P73" s="167"/>
      <c r="Q73" s="167"/>
      <c r="R73" s="167"/>
      <c r="S73" s="167"/>
      <c r="T73" s="167"/>
    </row>
    <row r="74" spans="3:23" ht="15" customHeight="1" x14ac:dyDescent="0.2">
      <c r="C74" s="25"/>
      <c r="D74" s="25"/>
      <c r="E74" s="25"/>
      <c r="F74" s="124"/>
      <c r="G74" s="124"/>
      <c r="H74" s="124"/>
      <c r="I74" s="124"/>
      <c r="J74" s="167"/>
      <c r="K74" s="167"/>
      <c r="L74" s="167"/>
      <c r="M74" s="167"/>
      <c r="N74" s="167"/>
      <c r="O74" s="167"/>
      <c r="P74" s="167"/>
      <c r="Q74" s="167"/>
      <c r="R74" s="167"/>
      <c r="S74" s="167"/>
      <c r="T74" s="167"/>
    </row>
    <row r="75" spans="3:23" ht="15" customHeight="1" x14ac:dyDescent="0.2">
      <c r="C75" s="169" t="s">
        <v>1983</v>
      </c>
      <c r="D75" s="149"/>
      <c r="E75" s="149"/>
      <c r="F75" s="130"/>
      <c r="G75" s="124"/>
      <c r="H75" s="124"/>
      <c r="I75" s="124"/>
      <c r="J75" s="167"/>
      <c r="K75" s="167"/>
      <c r="L75" s="167"/>
      <c r="M75" s="167"/>
      <c r="N75" s="167"/>
      <c r="O75" s="167"/>
      <c r="P75" s="167"/>
      <c r="Q75" s="167"/>
      <c r="R75" s="167"/>
      <c r="S75" s="167"/>
      <c r="T75" s="167"/>
    </row>
    <row r="76" spans="3:23" ht="5.25" customHeight="1" x14ac:dyDescent="0.2">
      <c r="C76" s="25"/>
      <c r="D76" s="25"/>
      <c r="E76" s="25"/>
      <c r="F76" s="124"/>
      <c r="G76" s="124"/>
      <c r="H76" s="124"/>
      <c r="I76" s="124"/>
      <c r="J76" s="167"/>
      <c r="K76" s="167"/>
      <c r="L76" s="167"/>
      <c r="M76" s="167"/>
      <c r="N76" s="167"/>
      <c r="O76" s="167"/>
      <c r="P76" s="167"/>
      <c r="Q76" s="167"/>
      <c r="R76" s="167"/>
      <c r="S76" s="167"/>
      <c r="T76" s="167"/>
    </row>
    <row r="77" spans="3:23" ht="30" customHeight="1" x14ac:dyDescent="0.2">
      <c r="C77" s="1180" t="s">
        <v>1984</v>
      </c>
      <c r="D77" s="1180"/>
      <c r="E77" s="1180"/>
      <c r="F77" s="1004" t="s">
        <v>1985</v>
      </c>
      <c r="G77" s="124"/>
      <c r="H77" s="124"/>
      <c r="I77" s="124"/>
      <c r="J77" s="167"/>
      <c r="K77" s="167"/>
      <c r="L77" s="167"/>
      <c r="M77" s="167"/>
      <c r="N77" s="167"/>
      <c r="O77" s="167"/>
      <c r="P77" s="167"/>
      <c r="Q77" s="167"/>
      <c r="R77" s="167"/>
      <c r="S77" s="167"/>
      <c r="T77" s="167"/>
    </row>
    <row r="78" spans="3:23" ht="15" customHeight="1" x14ac:dyDescent="0.2">
      <c r="C78" s="1247" t="s">
        <v>1986</v>
      </c>
      <c r="D78" s="1247"/>
      <c r="E78" s="1247"/>
      <c r="F78" s="115">
        <f>SUM(COUNTIF($M$14:$M$63,"Yes"))</f>
        <v>0</v>
      </c>
      <c r="G78" s="167"/>
      <c r="H78" s="167"/>
      <c r="I78" s="167"/>
      <c r="J78" s="167"/>
      <c r="K78" s="167"/>
      <c r="L78" s="167"/>
      <c r="M78" s="167"/>
      <c r="N78" s="167"/>
      <c r="O78" s="167"/>
      <c r="P78" s="167"/>
      <c r="Q78" s="167"/>
    </row>
    <row r="79" spans="3:23" ht="15" customHeight="1" thickBot="1" x14ac:dyDescent="0.25">
      <c r="C79" s="1250" t="s">
        <v>1987</v>
      </c>
      <c r="D79" s="1251"/>
      <c r="E79" s="1252"/>
      <c r="F79" s="128">
        <f>SUM(COUNTIF($N$14:$N$63,"Yes"))</f>
        <v>0</v>
      </c>
      <c r="G79" s="167"/>
      <c r="H79" s="167"/>
      <c r="I79" s="167"/>
      <c r="J79" s="167"/>
      <c r="K79" s="167"/>
      <c r="L79" s="167"/>
      <c r="M79" s="167"/>
      <c r="N79" s="167"/>
      <c r="O79" s="167"/>
      <c r="P79" s="167"/>
      <c r="Q79" s="167"/>
    </row>
    <row r="80" spans="3:23" ht="15" customHeight="1" thickTop="1" x14ac:dyDescent="0.2">
      <c r="C80" s="1248" t="s">
        <v>1975</v>
      </c>
      <c r="D80" s="1248"/>
      <c r="E80" s="1248"/>
      <c r="F80" s="127">
        <f>IF(SUM(F78:F79)=0,0,MIN(SUM(F78:F79)/I71,1))</f>
        <v>0</v>
      </c>
      <c r="G80" s="167"/>
      <c r="H80" s="167"/>
      <c r="I80" s="167"/>
      <c r="J80" s="167"/>
      <c r="K80" s="167"/>
      <c r="L80" s="167"/>
      <c r="M80" s="167"/>
      <c r="N80" s="167"/>
      <c r="O80" s="167"/>
      <c r="P80" s="167"/>
      <c r="Q80" s="167"/>
    </row>
    <row r="81" spans="3:24" ht="15" customHeight="1" x14ac:dyDescent="0.2">
      <c r="C81" s="167"/>
      <c r="D81" s="167"/>
      <c r="E81" s="167"/>
      <c r="F81" s="167"/>
      <c r="G81" s="167"/>
      <c r="H81" s="167"/>
      <c r="I81" s="3"/>
      <c r="J81" s="167"/>
      <c r="K81" s="167"/>
      <c r="L81" s="167"/>
      <c r="M81" s="167"/>
      <c r="N81" s="167"/>
      <c r="O81" s="167"/>
      <c r="P81" s="167"/>
      <c r="Q81" s="167"/>
      <c r="R81" s="167"/>
    </row>
    <row r="82" spans="3:24" ht="15" customHeight="1" x14ac:dyDescent="0.2">
      <c r="C82" s="167"/>
      <c r="D82" s="167"/>
      <c r="E82" s="167"/>
      <c r="F82" s="167"/>
      <c r="G82" s="167"/>
      <c r="H82" s="167"/>
      <c r="I82" s="3"/>
      <c r="J82" s="167"/>
      <c r="K82" s="167"/>
      <c r="L82" s="167"/>
      <c r="M82" s="167"/>
      <c r="N82" s="167"/>
      <c r="O82" s="167"/>
      <c r="P82" s="167"/>
      <c r="Q82" s="167"/>
      <c r="R82" s="167"/>
    </row>
    <row r="83" spans="3:24" ht="15" customHeight="1" x14ac:dyDescent="0.25">
      <c r="C83" s="131" t="s">
        <v>1988</v>
      </c>
      <c r="D83" s="168"/>
      <c r="E83" s="168"/>
      <c r="F83" s="168"/>
      <c r="G83" s="168"/>
      <c r="H83" s="168"/>
      <c r="I83" s="168"/>
      <c r="J83" s="168"/>
      <c r="K83" s="168"/>
      <c r="L83" s="167"/>
      <c r="M83" s="167"/>
      <c r="N83" s="167"/>
      <c r="O83" s="167"/>
      <c r="P83" s="167"/>
      <c r="Q83" s="167"/>
      <c r="R83" s="167"/>
    </row>
    <row r="84" spans="3:24" ht="5.25" customHeight="1" x14ac:dyDescent="0.2">
      <c r="C84" s="167"/>
      <c r="D84" s="167"/>
      <c r="E84" s="167"/>
      <c r="F84" s="167"/>
      <c r="G84" s="167"/>
      <c r="H84" s="167"/>
      <c r="I84" s="167"/>
      <c r="J84" s="167"/>
      <c r="K84" s="167"/>
      <c r="L84" s="167"/>
      <c r="M84" s="167"/>
      <c r="N84" s="167"/>
      <c r="O84" s="167"/>
      <c r="P84" s="167"/>
      <c r="Q84" s="167"/>
      <c r="R84" s="167"/>
    </row>
    <row r="85" spans="3:24" ht="15" customHeight="1" x14ac:dyDescent="0.2">
      <c r="C85" s="167"/>
      <c r="D85" s="167"/>
      <c r="E85" s="167"/>
      <c r="F85" s="1263" t="s">
        <v>659</v>
      </c>
      <c r="G85" s="1263"/>
      <c r="H85" s="1263"/>
      <c r="I85" s="1264"/>
      <c r="J85" s="167"/>
      <c r="K85" s="167"/>
      <c r="L85" s="167"/>
      <c r="M85" s="167"/>
      <c r="N85" s="167"/>
      <c r="O85" s="167"/>
      <c r="P85" s="167"/>
      <c r="Q85" s="167"/>
    </row>
    <row r="86" spans="3:24" ht="22.5" customHeight="1" x14ac:dyDescent="0.2">
      <c r="C86" s="1138" t="s">
        <v>107</v>
      </c>
      <c r="D86" s="1265"/>
      <c r="E86" s="1139"/>
      <c r="F86" s="1269">
        <v>1</v>
      </c>
      <c r="G86" s="1269">
        <v>2</v>
      </c>
      <c r="H86" s="1138">
        <v>3</v>
      </c>
      <c r="I86" s="1041">
        <v>4</v>
      </c>
      <c r="J86" s="1269" t="s">
        <v>666</v>
      </c>
      <c r="K86" s="1269" t="s">
        <v>2006</v>
      </c>
      <c r="L86" s="167"/>
      <c r="M86" s="167"/>
      <c r="N86" s="167"/>
      <c r="O86" s="167"/>
      <c r="P86" s="167"/>
      <c r="Q86" s="167"/>
      <c r="R86" s="167"/>
      <c r="S86" s="167"/>
    </row>
    <row r="87" spans="3:24" ht="22.5" customHeight="1" x14ac:dyDescent="0.2">
      <c r="C87" s="1266"/>
      <c r="D87" s="1267"/>
      <c r="E87" s="1268"/>
      <c r="F87" s="1270"/>
      <c r="G87" s="1270"/>
      <c r="H87" s="1266"/>
      <c r="I87" s="1042" t="s">
        <v>1981</v>
      </c>
      <c r="J87" s="1270"/>
      <c r="K87" s="1270"/>
      <c r="L87" s="167"/>
      <c r="M87" s="167"/>
      <c r="N87" s="167"/>
      <c r="O87" s="167"/>
      <c r="P87" s="167"/>
      <c r="Q87" s="167"/>
      <c r="R87" s="167"/>
      <c r="S87" s="167"/>
    </row>
    <row r="88" spans="3:24" ht="15" customHeight="1" x14ac:dyDescent="0.2">
      <c r="C88" s="1259" t="s">
        <v>235</v>
      </c>
      <c r="D88" s="1260"/>
      <c r="E88" s="1261"/>
      <c r="F88" s="78">
        <f>SUM(COUNTIFS($X$14:$X$63,"Single Family",$Y$14:$Y$63,F$86))</f>
        <v>0</v>
      </c>
      <c r="G88" s="78">
        <f>SUM(COUNTIFS($X$14:$X$63,"Single Family",$Y$14:$Y$63,G$86))</f>
        <v>0</v>
      </c>
      <c r="H88" s="78">
        <f>SUM(COUNTIFS($X$14:$X$63,"Single Family",$Y$14:$Y$63,H$86))</f>
        <v>0</v>
      </c>
      <c r="I88" s="78">
        <f>SUM(COUNTIFS($X$14:$X$63,"Single Family",$Y$14:$Y$63,"&gt;="&amp;$I$86))</f>
        <v>0</v>
      </c>
      <c r="J88" s="78">
        <f>SUM(COUNTIFS($X$14:$X$63,$C88,$Z$14:$Z$63,"Yes"))</f>
        <v>0</v>
      </c>
      <c r="K88" s="78">
        <f>SUMIF($X$14:$X$63,$C88,$AA$14:$AA$63)</f>
        <v>0</v>
      </c>
      <c r="L88" s="167"/>
      <c r="M88" s="167"/>
      <c r="N88" s="167"/>
      <c r="O88" s="167"/>
      <c r="P88" s="167"/>
      <c r="Q88" s="167"/>
      <c r="R88" s="167"/>
      <c r="S88" s="167"/>
      <c r="T88" s="167"/>
      <c r="U88" s="167"/>
      <c r="V88" s="167"/>
      <c r="W88" s="167"/>
      <c r="X88" s="167"/>
    </row>
    <row r="89" spans="3:24" ht="15" customHeight="1" x14ac:dyDescent="0.2">
      <c r="C89" s="1259" t="s">
        <v>667</v>
      </c>
      <c r="D89" s="1260"/>
      <c r="E89" s="1261"/>
      <c r="F89" s="78">
        <f>SUM(COUNTIFS($X$14:$X$63,"Duplex",$Y$14:$Y$63,F$86))</f>
        <v>0</v>
      </c>
      <c r="G89" s="78">
        <f>SUM(COUNTIFS($X$14:$X$63,"Duplex",$Y$14:$Y$63,G$86))</f>
        <v>0</v>
      </c>
      <c r="H89" s="78">
        <f>SUM(COUNTIFS($X$14:$X$63,"Duplex",$Y$14:$Y$63,H$86))</f>
        <v>0</v>
      </c>
      <c r="I89" s="78">
        <f>SUM(COUNTIFS($X$14:$X$63,"Duplex",$Y$14:$Y$63,"&gt;="&amp;$I$86))</f>
        <v>0</v>
      </c>
      <c r="J89" s="78">
        <f>SUM(COUNTIFS($X$14:$X$63,$C89,$Z$14:$Z$63,"Yes"))</f>
        <v>0</v>
      </c>
      <c r="K89" s="78">
        <f>SUMIF($X$14:$X$63,$C89,$AA$14:$AA$63)</f>
        <v>0</v>
      </c>
      <c r="L89" s="167"/>
      <c r="M89" s="167"/>
      <c r="N89" s="167"/>
      <c r="O89" s="167"/>
      <c r="P89" s="167"/>
      <c r="Q89" s="167"/>
      <c r="R89" s="167"/>
      <c r="S89" s="167"/>
      <c r="T89" s="167"/>
      <c r="U89" s="167"/>
      <c r="V89" s="167"/>
      <c r="W89" s="167"/>
      <c r="X89" s="167"/>
    </row>
    <row r="90" spans="3:24" ht="15" customHeight="1" x14ac:dyDescent="0.2">
      <c r="C90" s="1259" t="s">
        <v>668</v>
      </c>
      <c r="D90" s="1260"/>
      <c r="E90" s="1261"/>
      <c r="F90" s="78">
        <f>SUM(COUNTIFS($X$14:$X$63,"Triplex",$Y$14:$Y$63,F$86))</f>
        <v>0</v>
      </c>
      <c r="G90" s="78">
        <f>SUM(COUNTIFS($X$14:$X$63,"Triplex",$Y$14:$Y$63,G$86))</f>
        <v>0</v>
      </c>
      <c r="H90" s="78">
        <f>SUM(COUNTIFS($X$14:$X$63,"Triplex",$Y$14:$Y$63,H$86))</f>
        <v>0</v>
      </c>
      <c r="I90" s="78">
        <f>SUM(COUNTIFS($X$14:$X$63,"Triplex",$Y$14:$Y$63,"&gt;="&amp;$I$86))</f>
        <v>0</v>
      </c>
      <c r="J90" s="78">
        <f>SUM(COUNTIFS($X$14:$X$63,$C90,$Z$14:$Z$63,"Yes"))</f>
        <v>0</v>
      </c>
      <c r="K90" s="78">
        <f>SUMIF($X$14:$X$63,$C90,$AA$14:$AA$63)</f>
        <v>0</v>
      </c>
      <c r="L90" s="167"/>
      <c r="M90" s="167"/>
      <c r="N90" s="167"/>
      <c r="O90" s="167"/>
      <c r="P90" s="167"/>
      <c r="Q90" s="167"/>
      <c r="R90" s="167"/>
      <c r="S90" s="167"/>
      <c r="T90" s="167"/>
      <c r="U90" s="167"/>
      <c r="V90" s="167"/>
      <c r="W90" s="167"/>
      <c r="X90" s="167"/>
    </row>
    <row r="91" spans="3:24" ht="15" customHeight="1" x14ac:dyDescent="0.2">
      <c r="C91" s="1259" t="s">
        <v>669</v>
      </c>
      <c r="D91" s="1260"/>
      <c r="E91" s="1261"/>
      <c r="F91" s="78">
        <f>SUM(COUNTIFS($X$14:$X$63,"Quadplex",$Y$14:$Y$63,F$86))</f>
        <v>0</v>
      </c>
      <c r="G91" s="78">
        <f>SUM(COUNTIFS($X$14:$X$63,"Quadplex",$Y$14:$Y$63,G$86))</f>
        <v>0</v>
      </c>
      <c r="H91" s="78">
        <f>SUM(COUNTIFS($X$14:$X$63,"Quadplex",$Y$14:$Y$63,H$86))</f>
        <v>0</v>
      </c>
      <c r="I91" s="78">
        <f>SUM(COUNTIFS($X$14:$X$63,"Quadplex",$Y$14:$Y$63,"&gt;="&amp;$I$86))</f>
        <v>0</v>
      </c>
      <c r="J91" s="78">
        <f>SUM(COUNTIFS($X$14:$X$63,$C91,$Z$14:$Z$63,"Yes"))</f>
        <v>0</v>
      </c>
      <c r="K91" s="78">
        <f>SUMIF($X$14:$X$63,$C91,$AA$14:$AA$63)</f>
        <v>0</v>
      </c>
      <c r="L91" s="167"/>
      <c r="M91" s="167"/>
      <c r="N91" s="167"/>
      <c r="O91" s="167"/>
      <c r="P91" s="167"/>
      <c r="Q91" s="167"/>
      <c r="R91" s="167"/>
      <c r="S91" s="167"/>
      <c r="T91" s="167"/>
      <c r="U91" s="167"/>
      <c r="V91" s="167"/>
      <c r="W91" s="167"/>
      <c r="X91" s="167"/>
    </row>
    <row r="92" spans="3:24" ht="15" customHeight="1" x14ac:dyDescent="0.2">
      <c r="C92" s="1259" t="s">
        <v>233</v>
      </c>
      <c r="D92" s="1260"/>
      <c r="E92" s="1261"/>
      <c r="F92" s="78">
        <f>SUM(COUNTIFS($X$14:$X$63,"Townhome",$Y$14:$Y$63,F$86))</f>
        <v>0</v>
      </c>
      <c r="G92" s="78">
        <f>SUM(COUNTIFS($X$14:$X$63,"Townhome",$Y$14:$Y$63,G$86))</f>
        <v>0</v>
      </c>
      <c r="H92" s="78">
        <f>SUM(COUNTIFS($X$14:$X$63,"Townhome",$Y$14:$Y$63,H$86))</f>
        <v>0</v>
      </c>
      <c r="I92" s="78">
        <f>SUM(COUNTIFS($X$14:$X$63,"Townhome",$Y$14:$Y$63,"&gt;="&amp;$I$86))</f>
        <v>0</v>
      </c>
      <c r="J92" s="78">
        <f>SUM(COUNTIFS($X$14:$X$63,$C92,$Z$14:$Z$63,"Yes"))</f>
        <v>0</v>
      </c>
      <c r="K92" s="78">
        <f>SUMIF($X$14:$X$63,$C92,$AA$14:$AA$63)</f>
        <v>0</v>
      </c>
      <c r="L92" s="167"/>
      <c r="M92" s="167"/>
      <c r="N92" s="167"/>
      <c r="O92" s="167"/>
      <c r="P92" s="167"/>
      <c r="Q92" s="167"/>
      <c r="R92" s="167"/>
      <c r="S92" s="167"/>
      <c r="T92" s="167"/>
      <c r="U92" s="167"/>
      <c r="V92" s="167"/>
      <c r="W92" s="167"/>
      <c r="X92" s="167"/>
    </row>
    <row r="93" spans="3:24" ht="15" customHeight="1" x14ac:dyDescent="0.2">
      <c r="C93" s="1259" t="s">
        <v>672</v>
      </c>
      <c r="D93" s="1260"/>
      <c r="E93" s="1261"/>
      <c r="F93" s="78">
        <f>SUM(COUNTIFS($X$14:$X$63,"Low-Rise",$Y$14:$Y$63,F$86))</f>
        <v>0</v>
      </c>
      <c r="G93" s="78">
        <f>SUM(COUNTIFS($X$14:$X$63,"Low-Rise",$Y$14:$Y$63,G$86))</f>
        <v>0</v>
      </c>
      <c r="H93" s="78">
        <f>SUM(COUNTIFS($X$14:$X$63,"Low-Rise",$Y$14:$Y$63,H$86))</f>
        <v>0</v>
      </c>
      <c r="I93" s="78">
        <f>SUM(COUNTIFS($X$14:$X$63,"Low-Rise",$Y$14:$Y$63,"&gt;="&amp;$I$86))</f>
        <v>0</v>
      </c>
      <c r="J93" s="78">
        <f>SUM(COUNTIFS($X$14:$X$63,"Low-Rise",$Z$14:$Z$63,"Yes"))</f>
        <v>0</v>
      </c>
      <c r="K93" s="78">
        <f>SUMIF($X$14:$X$63,"Low-Rise",$AA$14:$AA$63)</f>
        <v>0</v>
      </c>
      <c r="L93" s="167"/>
      <c r="M93" s="167"/>
      <c r="N93" s="167"/>
      <c r="O93" s="167"/>
      <c r="P93" s="167"/>
      <c r="Q93" s="167"/>
      <c r="R93" s="167"/>
      <c r="S93" s="167"/>
      <c r="T93" s="167"/>
      <c r="U93" s="167"/>
      <c r="V93" s="167"/>
      <c r="W93" s="167"/>
      <c r="X93" s="167"/>
    </row>
    <row r="94" spans="3:24" ht="15" customHeight="1" x14ac:dyDescent="0.2">
      <c r="C94" s="1259" t="s">
        <v>670</v>
      </c>
      <c r="D94" s="1260"/>
      <c r="E94" s="1261"/>
      <c r="F94" s="78">
        <f>SUM(COUNTIFS($X$14:$X$63,"Mid-Rise",$Y$14:$Y$63,F$86))</f>
        <v>0</v>
      </c>
      <c r="G94" s="78">
        <f>SUM(COUNTIFS($X$14:$X$63,"Mid-Rise",$Y$14:$Y$63,G$86))</f>
        <v>0</v>
      </c>
      <c r="H94" s="78">
        <f>SUM(COUNTIFS($X$14:$X$63,"Mid-Rise",$Y$14:$Y$63,H$86))</f>
        <v>0</v>
      </c>
      <c r="I94" s="78">
        <f>SUM(COUNTIFS($X$14:$X$63,"Mid-Rise",$Y$14:$Y$63,"&gt;="&amp;$I$86))</f>
        <v>0</v>
      </c>
      <c r="J94" s="78">
        <f>SUM(COUNTIFS($X$14:$X$63,"Mid-Rise",$Z$14:$Z$63,"Yes"))</f>
        <v>0</v>
      </c>
      <c r="K94" s="78">
        <f>SUMIF($X$14:$X$63,"Mid-Rise",$AA$14:$AA$63)</f>
        <v>0</v>
      </c>
      <c r="L94" s="167"/>
      <c r="M94" s="167"/>
      <c r="N94" s="167"/>
      <c r="O94" s="167"/>
      <c r="P94" s="167"/>
      <c r="Q94" s="167"/>
      <c r="R94" s="167"/>
      <c r="S94" s="167"/>
      <c r="T94" s="167"/>
      <c r="U94" s="167"/>
      <c r="V94" s="167"/>
      <c r="W94" s="167"/>
      <c r="X94" s="167"/>
    </row>
    <row r="95" spans="3:24" ht="15" customHeight="1" x14ac:dyDescent="0.2">
      <c r="C95" s="1259" t="s">
        <v>671</v>
      </c>
      <c r="D95" s="1260"/>
      <c r="E95" s="1261"/>
      <c r="F95" s="78">
        <f>SUM(COUNTIFS($X$14:$X$63,"High Rise",$Y$14:$Y$63,F$86))</f>
        <v>0</v>
      </c>
      <c r="G95" s="78">
        <f>SUM(COUNTIFS($X$14:$X$63,"High Rise",$Y$14:$Y$63,G$86))</f>
        <v>0</v>
      </c>
      <c r="H95" s="78">
        <f>SUM(COUNTIFS($X$14:$X$63,"High Rise",$Y$14:$Y$63,H$86))</f>
        <v>0</v>
      </c>
      <c r="I95" s="78">
        <f>SUM(COUNTIFS($X$14:$X$63,"High Rise",$Y$14:$Y$63,"&gt;="&amp;$I$86))</f>
        <v>0</v>
      </c>
      <c r="J95" s="78">
        <f>SUM(COUNTIFS($X$14:$X$63,"High Rise",$Z$14:$Z$63,"Yes"))</f>
        <v>0</v>
      </c>
      <c r="K95" s="78">
        <f>SUMIF($X$14:$X$63,"High-Rise",$AA$14:$AA$63)</f>
        <v>0</v>
      </c>
      <c r="L95" s="167"/>
      <c r="M95" s="167"/>
      <c r="N95" s="167"/>
      <c r="O95" s="167"/>
      <c r="P95" s="167"/>
      <c r="Q95" s="167"/>
      <c r="R95" s="167"/>
      <c r="S95" s="167"/>
      <c r="T95" s="167"/>
      <c r="U95" s="167"/>
      <c r="V95" s="167"/>
      <c r="W95" s="167"/>
      <c r="X95" s="167"/>
    </row>
    <row r="96" spans="3:24" ht="15" customHeight="1" x14ac:dyDescent="0.2">
      <c r="L96" s="167"/>
      <c r="M96" s="167"/>
      <c r="N96" s="167"/>
      <c r="O96" s="167"/>
      <c r="P96" s="167"/>
      <c r="Q96" s="167"/>
      <c r="R96" s="167"/>
      <c r="S96" s="167"/>
      <c r="T96" s="167"/>
      <c r="U96" s="167"/>
      <c r="V96" s="167"/>
      <c r="W96" s="167"/>
      <c r="X96" s="167"/>
    </row>
    <row r="97" spans="3:25" ht="15" customHeight="1" x14ac:dyDescent="0.2">
      <c r="L97" s="167"/>
      <c r="M97" s="167"/>
      <c r="N97" s="167"/>
      <c r="O97" s="167"/>
      <c r="P97" s="167"/>
      <c r="Q97" s="167"/>
      <c r="R97" s="167"/>
      <c r="S97" s="167"/>
      <c r="T97" s="167"/>
      <c r="U97" s="167"/>
      <c r="V97" s="167"/>
      <c r="W97" s="167"/>
      <c r="X97" s="167"/>
    </row>
    <row r="98" spans="3:25" ht="15" customHeight="1" x14ac:dyDescent="0.25">
      <c r="C98" s="131" t="s">
        <v>1989</v>
      </c>
      <c r="D98" s="168"/>
      <c r="E98" s="168"/>
      <c r="F98" s="168"/>
      <c r="G98" s="168"/>
      <c r="H98" s="168"/>
      <c r="I98" s="168"/>
      <c r="J98" s="168"/>
      <c r="K98" s="168"/>
      <c r="L98" s="167"/>
      <c r="M98" s="167"/>
      <c r="N98" s="167"/>
      <c r="O98" s="167"/>
      <c r="P98" s="167"/>
      <c r="Q98" s="167"/>
      <c r="R98" s="167"/>
      <c r="S98" s="167"/>
      <c r="T98" s="167"/>
      <c r="U98" s="167"/>
      <c r="V98" s="167"/>
      <c r="W98" s="167"/>
      <c r="X98" s="167"/>
    </row>
    <row r="99" spans="3:25" ht="5.25" customHeight="1" x14ac:dyDescent="0.2">
      <c r="L99" s="167"/>
      <c r="M99" s="167"/>
      <c r="N99" s="167"/>
      <c r="O99" s="167"/>
      <c r="P99" s="167"/>
      <c r="Q99" s="167"/>
      <c r="R99" s="167"/>
      <c r="S99" s="167"/>
      <c r="T99" s="167"/>
      <c r="U99" s="167"/>
      <c r="V99" s="167"/>
      <c r="W99" s="167"/>
      <c r="X99" s="167"/>
    </row>
    <row r="100" spans="3:25" ht="30" customHeight="1" x14ac:dyDescent="0.2">
      <c r="C100" s="1180" t="s">
        <v>1990</v>
      </c>
      <c r="D100" s="1271"/>
      <c r="E100" s="1271"/>
      <c r="F100" s="1004" t="s">
        <v>673</v>
      </c>
      <c r="G100" s="1004" t="s">
        <v>3494</v>
      </c>
      <c r="H100" s="1180" t="s">
        <v>237</v>
      </c>
      <c r="I100" s="1180"/>
      <c r="J100" s="1180"/>
      <c r="K100" s="1180"/>
      <c r="L100" s="167"/>
      <c r="M100" s="167"/>
      <c r="N100" s="167"/>
      <c r="O100" s="167"/>
      <c r="P100" s="167"/>
      <c r="Q100" s="167"/>
      <c r="R100" s="167"/>
      <c r="S100" s="167"/>
      <c r="T100" s="167"/>
      <c r="U100" s="167"/>
      <c r="V100" s="167"/>
      <c r="W100" s="167"/>
      <c r="X100" s="167"/>
    </row>
    <row r="101" spans="3:25" ht="15" customHeight="1" x14ac:dyDescent="0.2">
      <c r="C101" s="1181" t="s">
        <v>108</v>
      </c>
      <c r="D101" s="1181"/>
      <c r="E101" s="1181"/>
      <c r="F101" s="355"/>
      <c r="G101" s="355"/>
      <c r="H101" s="1262"/>
      <c r="I101" s="1262"/>
      <c r="J101" s="1262"/>
      <c r="K101" s="1262"/>
      <c r="L101" s="167"/>
      <c r="M101" s="167"/>
      <c r="N101" s="167"/>
      <c r="O101" s="167"/>
      <c r="P101" s="167"/>
      <c r="Q101" s="167"/>
      <c r="R101" s="167"/>
      <c r="S101" s="167"/>
      <c r="T101" s="167"/>
      <c r="U101" s="167"/>
      <c r="V101" s="167"/>
      <c r="W101" s="167"/>
      <c r="X101" s="167"/>
      <c r="Y101" s="167"/>
    </row>
    <row r="102" spans="3:25" ht="15" customHeight="1" x14ac:dyDescent="0.2">
      <c r="C102" s="1181" t="s">
        <v>109</v>
      </c>
      <c r="D102" s="1181"/>
      <c r="E102" s="1181"/>
      <c r="F102" s="355"/>
      <c r="G102" s="355"/>
      <c r="H102" s="1262"/>
      <c r="I102" s="1262"/>
      <c r="J102" s="1262"/>
      <c r="K102" s="1262"/>
      <c r="L102" s="167"/>
      <c r="M102" s="167"/>
      <c r="N102" s="167"/>
      <c r="O102" s="167"/>
      <c r="P102" s="167"/>
      <c r="Q102" s="167"/>
      <c r="R102" s="167"/>
      <c r="S102" s="167"/>
      <c r="T102" s="167"/>
      <c r="U102" s="167"/>
      <c r="V102" s="167"/>
      <c r="W102" s="167"/>
      <c r="X102" s="167"/>
      <c r="Y102" s="167"/>
    </row>
    <row r="103" spans="3:25" ht="15" customHeight="1" x14ac:dyDescent="0.2">
      <c r="C103" s="1181" t="s">
        <v>110</v>
      </c>
      <c r="D103" s="1181"/>
      <c r="E103" s="1181"/>
      <c r="F103" s="355"/>
      <c r="G103" s="355"/>
      <c r="H103" s="1262"/>
      <c r="I103" s="1262"/>
      <c r="J103" s="1262"/>
      <c r="K103" s="1262"/>
      <c r="L103" s="167"/>
      <c r="M103" s="167"/>
      <c r="N103" s="167"/>
      <c r="O103" s="167"/>
      <c r="P103" s="167"/>
      <c r="Q103" s="167"/>
      <c r="R103" s="167"/>
      <c r="S103" s="167"/>
      <c r="T103" s="167"/>
      <c r="U103" s="167"/>
      <c r="V103" s="167"/>
      <c r="W103" s="167"/>
      <c r="X103" s="167"/>
      <c r="Y103" s="167"/>
    </row>
    <row r="104" spans="3:25" ht="15" customHeight="1" x14ac:dyDescent="0.2">
      <c r="C104" s="1181" t="s">
        <v>100</v>
      </c>
      <c r="D104" s="1181"/>
      <c r="E104" s="1181"/>
      <c r="F104" s="355"/>
      <c r="G104" s="355"/>
      <c r="H104" s="1262"/>
      <c r="I104" s="1262"/>
      <c r="J104" s="1262"/>
      <c r="K104" s="1262"/>
      <c r="L104" s="167"/>
      <c r="M104" s="167"/>
      <c r="N104" s="167"/>
      <c r="O104" s="167"/>
      <c r="P104" s="167"/>
      <c r="Q104" s="167"/>
      <c r="R104" s="167"/>
      <c r="S104" s="167"/>
      <c r="T104" s="167"/>
      <c r="U104" s="167"/>
      <c r="V104" s="167"/>
      <c r="W104" s="167"/>
      <c r="X104" s="167"/>
      <c r="Y104" s="167"/>
    </row>
    <row r="105" spans="3:25" ht="15" customHeight="1" x14ac:dyDescent="0.2">
      <c r="C105" s="3"/>
      <c r="D105" s="3"/>
      <c r="E105" s="3"/>
      <c r="F105" s="3"/>
      <c r="G105" s="3"/>
      <c r="H105" s="3"/>
      <c r="I105" s="3"/>
      <c r="J105" s="3"/>
      <c r="L105" s="167"/>
      <c r="M105" s="167"/>
      <c r="N105" s="167"/>
      <c r="O105" s="167"/>
      <c r="P105" s="167"/>
      <c r="Q105" s="167"/>
      <c r="R105" s="167"/>
      <c r="S105" s="167"/>
      <c r="T105" s="167"/>
      <c r="U105" s="167"/>
      <c r="V105" s="167"/>
      <c r="W105" s="167"/>
      <c r="X105" s="167"/>
      <c r="Y105" s="167"/>
    </row>
    <row r="106" spans="3:25" ht="15" customHeight="1" x14ac:dyDescent="0.25">
      <c r="C106" s="170" t="s">
        <v>1991</v>
      </c>
      <c r="D106" s="170"/>
      <c r="E106" s="170"/>
      <c r="F106" s="170"/>
      <c r="G106" s="170"/>
      <c r="H106" s="170"/>
      <c r="I106" s="170"/>
      <c r="J106" s="171"/>
      <c r="L106" s="167"/>
      <c r="M106" s="167"/>
      <c r="N106" s="167"/>
      <c r="O106" s="167"/>
      <c r="P106" s="167"/>
      <c r="Q106" s="167"/>
      <c r="R106" s="167"/>
      <c r="S106" s="167"/>
      <c r="T106" s="167"/>
      <c r="U106" s="167"/>
      <c r="V106" s="167"/>
      <c r="W106" s="167"/>
      <c r="X106" s="167"/>
      <c r="Y106" s="167"/>
    </row>
    <row r="107" spans="3:25" ht="5.25" customHeight="1" x14ac:dyDescent="0.2">
      <c r="C107" s="3"/>
      <c r="D107" s="3"/>
      <c r="E107" s="3"/>
      <c r="F107" s="3"/>
      <c r="G107" s="3"/>
      <c r="H107" s="3"/>
      <c r="I107" s="3"/>
      <c r="J107" s="3"/>
      <c r="L107" s="167"/>
      <c r="M107" s="167"/>
      <c r="N107" s="167"/>
      <c r="O107" s="167"/>
      <c r="P107" s="167"/>
      <c r="Q107" s="167"/>
      <c r="R107" s="167"/>
      <c r="S107" s="167"/>
      <c r="T107" s="167"/>
      <c r="U107" s="167"/>
      <c r="V107" s="167"/>
      <c r="W107" s="167"/>
      <c r="X107" s="167"/>
      <c r="Y107" s="167"/>
    </row>
    <row r="108" spans="3:25" ht="45" customHeight="1" x14ac:dyDescent="0.2">
      <c r="C108" s="1180" t="s">
        <v>1992</v>
      </c>
      <c r="D108" s="1180"/>
      <c r="E108" s="1004" t="s">
        <v>1997</v>
      </c>
      <c r="F108" s="1004" t="s">
        <v>1998</v>
      </c>
      <c r="G108" s="1004" t="s">
        <v>1996</v>
      </c>
      <c r="H108" s="1004" t="s">
        <v>2139</v>
      </c>
      <c r="I108" s="1004" t="s">
        <v>1999</v>
      </c>
      <c r="J108" s="1040" t="s">
        <v>1995</v>
      </c>
      <c r="L108" s="167"/>
      <c r="M108" s="167"/>
      <c r="N108" s="167"/>
      <c r="O108" s="167"/>
      <c r="P108" s="167"/>
      <c r="Q108" s="167"/>
      <c r="R108" s="167"/>
      <c r="S108" s="167"/>
      <c r="T108" s="167"/>
      <c r="U108" s="167"/>
      <c r="V108" s="167"/>
      <c r="W108" s="167"/>
      <c r="X108" s="167"/>
      <c r="Y108" s="167"/>
    </row>
    <row r="109" spans="3:25" ht="15" customHeight="1" x14ac:dyDescent="0.2">
      <c r="C109" s="1181" t="s">
        <v>1993</v>
      </c>
      <c r="D109" s="1181"/>
      <c r="E109" s="150">
        <v>0.05</v>
      </c>
      <c r="F109" s="172" t="str">
        <f>IF(Revenue!$C$101=0,"",ROUNDUP(Revenue!$C$101*Site!E109,0))</f>
        <v/>
      </c>
      <c r="G109" s="172" t="str">
        <f>IF(F109="","",F109*2)</f>
        <v/>
      </c>
      <c r="H109" s="173">
        <f>SUM(AD14:AD63)</f>
        <v>0</v>
      </c>
      <c r="I109" s="173" t="str">
        <f>IF(G109="","",H109-G109)</f>
        <v/>
      </c>
      <c r="J109" s="91" t="str">
        <f>IF(I109&lt;0,"No","Yes")</f>
        <v>Yes</v>
      </c>
      <c r="L109" s="167"/>
      <c r="M109" s="167"/>
      <c r="N109" s="167"/>
      <c r="O109" s="167"/>
      <c r="P109" s="167"/>
      <c r="Q109" s="167"/>
      <c r="R109" s="167"/>
      <c r="S109" s="167"/>
      <c r="T109" s="167"/>
      <c r="U109" s="167"/>
      <c r="V109" s="167"/>
      <c r="W109" s="167"/>
      <c r="X109" s="167"/>
      <c r="Y109" s="167"/>
    </row>
    <row r="110" spans="3:25" ht="15" customHeight="1" x14ac:dyDescent="0.2">
      <c r="C110" s="1181" t="s">
        <v>1994</v>
      </c>
      <c r="D110" s="1181"/>
      <c r="E110" s="150">
        <v>0.02</v>
      </c>
      <c r="F110" s="172" t="str">
        <f>IF(Revenue!$C$101=0,"",ROUNDUP(Revenue!$C$101*Site!E110,0))</f>
        <v/>
      </c>
      <c r="G110" s="172" t="str">
        <f>IF(F110="","",F110)</f>
        <v/>
      </c>
      <c r="H110" s="174">
        <f>SUM(AE14:AE63)</f>
        <v>0</v>
      </c>
      <c r="I110" s="173" t="str">
        <f>IF(G110="","",H110-G110)</f>
        <v/>
      </c>
      <c r="J110" s="91" t="str">
        <f>IF(I110&lt;0,"No","Yes")</f>
        <v>Yes</v>
      </c>
      <c r="L110" s="167"/>
      <c r="M110" s="167"/>
      <c r="N110" s="167"/>
      <c r="O110" s="167"/>
      <c r="P110" s="167"/>
      <c r="Q110" s="167"/>
      <c r="R110" s="167"/>
      <c r="S110" s="167"/>
      <c r="T110" s="167"/>
      <c r="U110" s="167"/>
      <c r="V110" s="167"/>
      <c r="W110" s="167"/>
      <c r="X110" s="167"/>
      <c r="Y110" s="167"/>
    </row>
    <row r="111" spans="3:25" ht="15" customHeight="1" x14ac:dyDescent="0.2">
      <c r="C111" s="3"/>
      <c r="D111" s="3"/>
      <c r="E111" s="3"/>
      <c r="F111" s="3"/>
      <c r="G111" s="3"/>
      <c r="H111" s="3"/>
      <c r="I111" s="3"/>
      <c r="J111" s="3"/>
      <c r="L111" s="167"/>
      <c r="M111" s="167"/>
      <c r="N111" s="167"/>
      <c r="O111" s="167"/>
      <c r="P111" s="167"/>
      <c r="Q111" s="167"/>
      <c r="R111" s="167"/>
      <c r="S111" s="167"/>
      <c r="T111" s="167"/>
      <c r="U111" s="167"/>
      <c r="V111" s="167"/>
      <c r="W111" s="167"/>
      <c r="X111" s="167"/>
      <c r="Y111" s="167"/>
    </row>
    <row r="112" spans="3:25" ht="15" hidden="1" customHeight="1" x14ac:dyDescent="0.2">
      <c r="C112" s="6"/>
      <c r="D112" s="6"/>
      <c r="E112" s="6"/>
      <c r="F112" s="9"/>
    </row>
  </sheetData>
  <sheetProtection algorithmName="SHA-512" hashValue="LcyJOEe5EDdQs2cV0HBaIvAG7MHVHS17hQJJzZJd/4a6HyMN8+4/tgNE4uJqqfzaYoRqYQPlOBSpN20YLb251w==" saltValue="afilGsTKvu5l3o9e05ZZSA==" spinCount="100000" sheet="1" objects="1" scenarios="1"/>
  <dataConsolidate link="1"/>
  <mergeCells count="180">
    <mergeCell ref="C77:E77"/>
    <mergeCell ref="H100:K100"/>
    <mergeCell ref="H101:K101"/>
    <mergeCell ref="H102:K102"/>
    <mergeCell ref="S56:T56"/>
    <mergeCell ref="S57:T57"/>
    <mergeCell ref="S63:T63"/>
    <mergeCell ref="S35:T35"/>
    <mergeCell ref="S36:T36"/>
    <mergeCell ref="Q63:R63"/>
    <mergeCell ref="Q48:R48"/>
    <mergeCell ref="Q49:R49"/>
    <mergeCell ref="Q50:R50"/>
    <mergeCell ref="Q51:R51"/>
    <mergeCell ref="Q52:R52"/>
    <mergeCell ref="Q53:R53"/>
    <mergeCell ref="Q42:R42"/>
    <mergeCell ref="Q43:R43"/>
    <mergeCell ref="Q44:R44"/>
    <mergeCell ref="Q45:R45"/>
    <mergeCell ref="Q46:R46"/>
    <mergeCell ref="Q47:R47"/>
    <mergeCell ref="Q54:R54"/>
    <mergeCell ref="Q55:R55"/>
    <mergeCell ref="C104:E104"/>
    <mergeCell ref="C102:E102"/>
    <mergeCell ref="C103:E103"/>
    <mergeCell ref="H103:K103"/>
    <mergeCell ref="H104:K104"/>
    <mergeCell ref="F85:I85"/>
    <mergeCell ref="C86:E87"/>
    <mergeCell ref="F86:F87"/>
    <mergeCell ref="G86:G87"/>
    <mergeCell ref="C100:E100"/>
    <mergeCell ref="C101:E101"/>
    <mergeCell ref="C90:E90"/>
    <mergeCell ref="C91:E91"/>
    <mergeCell ref="C92:E92"/>
    <mergeCell ref="H86:H87"/>
    <mergeCell ref="J86:J87"/>
    <mergeCell ref="K86:K87"/>
    <mergeCell ref="C108:D108"/>
    <mergeCell ref="C109:D109"/>
    <mergeCell ref="C110:D110"/>
    <mergeCell ref="S13:T13"/>
    <mergeCell ref="C88:E88"/>
    <mergeCell ref="C89:E89"/>
    <mergeCell ref="C93:E93"/>
    <mergeCell ref="C94:E94"/>
    <mergeCell ref="C95:E95"/>
    <mergeCell ref="C68:E68"/>
    <mergeCell ref="C69:E69"/>
    <mergeCell ref="C78:E78"/>
    <mergeCell ref="C80:E80"/>
    <mergeCell ref="S25:T25"/>
    <mergeCell ref="S26:T26"/>
    <mergeCell ref="S27:T27"/>
    <mergeCell ref="S28:T28"/>
    <mergeCell ref="S29:T29"/>
    <mergeCell ref="S30:T30"/>
    <mergeCell ref="S19:T19"/>
    <mergeCell ref="S20:T20"/>
    <mergeCell ref="S21:T21"/>
    <mergeCell ref="S22:T22"/>
    <mergeCell ref="S23:T23"/>
    <mergeCell ref="Q56:R56"/>
    <mergeCell ref="Q57:R57"/>
    <mergeCell ref="Q36:R36"/>
    <mergeCell ref="S39:T39"/>
    <mergeCell ref="S40:T40"/>
    <mergeCell ref="S41:T41"/>
    <mergeCell ref="S42:T42"/>
    <mergeCell ref="S34:T34"/>
    <mergeCell ref="S55:T55"/>
    <mergeCell ref="S49:T49"/>
    <mergeCell ref="S50:T50"/>
    <mergeCell ref="S51:T51"/>
    <mergeCell ref="S52:T52"/>
    <mergeCell ref="S53:T53"/>
    <mergeCell ref="S54:T54"/>
    <mergeCell ref="S43:T43"/>
    <mergeCell ref="S44:T44"/>
    <mergeCell ref="S45:T45"/>
    <mergeCell ref="S46:T46"/>
    <mergeCell ref="S47:T47"/>
    <mergeCell ref="S48:T48"/>
    <mergeCell ref="Q34:R34"/>
    <mergeCell ref="Q35:R35"/>
    <mergeCell ref="S37:T37"/>
    <mergeCell ref="Q38:R38"/>
    <mergeCell ref="Q39:R39"/>
    <mergeCell ref="Q40:R40"/>
    <mergeCell ref="Q41:R41"/>
    <mergeCell ref="D37:E37"/>
    <mergeCell ref="D38:E38"/>
    <mergeCell ref="S14:T14"/>
    <mergeCell ref="S15:T15"/>
    <mergeCell ref="S16:T16"/>
    <mergeCell ref="S17:T17"/>
    <mergeCell ref="S18:T18"/>
    <mergeCell ref="Q30:R30"/>
    <mergeCell ref="Q31:R31"/>
    <mergeCell ref="Q32:R32"/>
    <mergeCell ref="Q33:R33"/>
    <mergeCell ref="S31:T31"/>
    <mergeCell ref="S32:T32"/>
    <mergeCell ref="S33:T33"/>
    <mergeCell ref="Q24:R24"/>
    <mergeCell ref="Q25:R25"/>
    <mergeCell ref="Q26:R26"/>
    <mergeCell ref="S24:T24"/>
    <mergeCell ref="Q28:R28"/>
    <mergeCell ref="Q29:R29"/>
    <mergeCell ref="S38:T38"/>
    <mergeCell ref="Q13:R13"/>
    <mergeCell ref="Q14:R14"/>
    <mergeCell ref="Q15:R15"/>
    <mergeCell ref="Q16:R16"/>
    <mergeCell ref="Q17:R17"/>
    <mergeCell ref="D13:E13"/>
    <mergeCell ref="D14:E14"/>
    <mergeCell ref="D15:E15"/>
    <mergeCell ref="Q27:R27"/>
    <mergeCell ref="D27:E27"/>
    <mergeCell ref="Q18:R18"/>
    <mergeCell ref="Q19:R19"/>
    <mergeCell ref="Q20:R20"/>
    <mergeCell ref="Q21:R21"/>
    <mergeCell ref="Q22:R22"/>
    <mergeCell ref="Q23:R23"/>
    <mergeCell ref="D19:E19"/>
    <mergeCell ref="D20:E20"/>
    <mergeCell ref="D21:E21"/>
    <mergeCell ref="D22:E22"/>
    <mergeCell ref="D35:E35"/>
    <mergeCell ref="D36:E36"/>
    <mergeCell ref="Q37:R37"/>
    <mergeCell ref="D54:E54"/>
    <mergeCell ref="D55:E55"/>
    <mergeCell ref="D29:E29"/>
    <mergeCell ref="D56:E56"/>
    <mergeCell ref="D57:E57"/>
    <mergeCell ref="D63:E63"/>
    <mergeCell ref="D23:E23"/>
    <mergeCell ref="D24:E24"/>
    <mergeCell ref="D25:E25"/>
    <mergeCell ref="D26:E26"/>
    <mergeCell ref="D50:E50"/>
    <mergeCell ref="D51:E51"/>
    <mergeCell ref="D52:E52"/>
    <mergeCell ref="D53:E53"/>
    <mergeCell ref="D43:E43"/>
    <mergeCell ref="D42:E42"/>
    <mergeCell ref="D39:E39"/>
    <mergeCell ref="D40:E40"/>
    <mergeCell ref="D41:E41"/>
    <mergeCell ref="I2:P2"/>
    <mergeCell ref="I3:P3"/>
    <mergeCell ref="B7:P7"/>
    <mergeCell ref="B9:P11"/>
    <mergeCell ref="C72:E72"/>
    <mergeCell ref="C71:E71"/>
    <mergeCell ref="C70:E70"/>
    <mergeCell ref="C79:E79"/>
    <mergeCell ref="D48:E48"/>
    <mergeCell ref="D49:E49"/>
    <mergeCell ref="D16:E16"/>
    <mergeCell ref="D17:E17"/>
    <mergeCell ref="D18:E18"/>
    <mergeCell ref="B6:L6"/>
    <mergeCell ref="D28:E28"/>
    <mergeCell ref="D44:E44"/>
    <mergeCell ref="D45:E45"/>
    <mergeCell ref="D46:E46"/>
    <mergeCell ref="D47:E47"/>
    <mergeCell ref="D30:E30"/>
    <mergeCell ref="D31:E31"/>
    <mergeCell ref="D32:E32"/>
    <mergeCell ref="D33:E33"/>
    <mergeCell ref="D34:E34"/>
  </mergeCells>
  <conditionalFormatting sqref="F112">
    <cfRule type="cellIs" dxfId="227" priority="2" operator="equal">
      <formula>"Yes"</formula>
    </cfRule>
    <cfRule type="cellIs" dxfId="226" priority="5" operator="equal">
      <formula>"No"</formula>
    </cfRule>
  </conditionalFormatting>
  <conditionalFormatting sqref="F88:K95">
    <cfRule type="expression" dxfId="225" priority="1">
      <formula>F88=0</formula>
    </cfRule>
  </conditionalFormatting>
  <dataValidations count="4">
    <dataValidation type="list" allowBlank="1" showInputMessage="1" showErrorMessage="1" sqref="I14:I63" xr:uid="{CD694D24-AEC5-4142-92C5-A06F7C717888}">
      <formula1>"Executed Deed, Purchase Option, Land Lease, Other"</formula1>
    </dataValidation>
    <dataValidation type="list" allowBlank="1" showInputMessage="1" showErrorMessage="1" sqref="X14:X63" xr:uid="{503FA53D-FA3C-4D76-8E66-FC35BFF01D3D}">
      <formula1>"Single Family, Duplex, Triplex, Quadplex, Townhome, Low-Rise, Mid-Rise, High-Rise"</formula1>
    </dataValidation>
    <dataValidation type="list" allowBlank="1" showInputMessage="1" showErrorMessage="1" sqref="L14:L63" xr:uid="{511765FC-E607-479B-8F0C-05E48E91C44A}">
      <formula1>"New Construction, Rehabilitation, Adaptive Reuse, Mixed"</formula1>
    </dataValidation>
    <dataValidation type="list" allowBlank="1" showInputMessage="1" showErrorMessage="1" sqref="Z14:Z63 W14:W63" xr:uid="{DA274830-2B1B-411F-8815-39B84965E0EB}">
      <formula1>"Yes, No"</formula1>
    </dataValidation>
  </dataValidations>
  <hyperlinks>
    <hyperlink ref="K13" r:id="rId1" xr:uid="{3A308AA3-20B2-4928-BCC7-44A1DB2E15F0}"/>
    <hyperlink ref="G13" r:id="rId2" xr:uid="{102DA341-8D72-4736-B64B-D0364410F412}"/>
  </hyperlinks>
  <pageMargins left="0.7" right="0.7" top="0.75" bottom="0.75" header="0.3" footer="0.3"/>
  <pageSetup scale="49" fitToWidth="2" orientation="landscape" r:id="rId3"/>
  <headerFooter>
    <oddFooter>&amp;L&amp;"-,Bold"&amp;9Revenue Assumptions Tab&amp;"-,Regular"
Affordable Housing Funding Application&amp;C&amp;9Ohio Housing Finance Agency&amp;R&amp;9Page &amp;P of &amp;N</oddFooter>
  </headerFooter>
  <colBreaks count="1" manualBreakCount="1">
    <brk id="16" max="55" man="1"/>
  </colBreaks>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F2194-69CC-4DF2-AFF9-3C7DD6EB4068}">
  <sheetPr>
    <pageSetUpPr autoPageBreaks="0" fitToPage="1"/>
  </sheetPr>
  <dimension ref="A1:Z137"/>
  <sheetViews>
    <sheetView showGridLines="0" zoomScale="85" zoomScaleNormal="85" zoomScaleSheetLayoutView="85" zoomScalePageLayoutView="85" workbookViewId="0"/>
  </sheetViews>
  <sheetFormatPr defaultColWidth="0" defaultRowHeight="15" customHeight="1" zeroHeight="1" outlineLevelRow="1" x14ac:dyDescent="0.2"/>
  <cols>
    <col min="1" max="1" width="2.625" style="1" customWidth="1"/>
    <col min="2" max="2" width="0.625" style="1" customWidth="1"/>
    <col min="3" max="6" width="8.625" style="1" customWidth="1"/>
    <col min="7" max="16" width="13.625" style="1" customWidth="1"/>
    <col min="17" max="17" width="0.625" style="1" customWidth="1"/>
    <col min="18" max="18" width="2.625" style="1" customWidth="1"/>
    <col min="19" max="19" width="17.125" style="1" hidden="1" customWidth="1"/>
    <col min="20" max="22" width="13.625" style="1" hidden="1" customWidth="1"/>
    <col min="23" max="23" width="14" style="1" hidden="1" customWidth="1"/>
    <col min="24" max="24" width="18.125" style="1" hidden="1" customWidth="1"/>
    <col min="25" max="25" width="12.125" style="1" hidden="1" customWidth="1"/>
    <col min="26" max="26" width="27" style="1" hidden="1" customWidth="1"/>
    <col min="27" max="16384" width="8.875" style="1" hidden="1"/>
  </cols>
  <sheetData>
    <row r="1" spans="1:20" ht="55.5" customHeight="1" x14ac:dyDescent="0.2"/>
    <row r="2" spans="1:20" s="3" customFormat="1" ht="24.95" customHeight="1" x14ac:dyDescent="0.2">
      <c r="A2" s="16"/>
      <c r="B2" s="1211" t="s">
        <v>457</v>
      </c>
      <c r="C2" s="1212"/>
      <c r="D2" s="1212"/>
      <c r="E2" s="1212"/>
      <c r="F2" s="1212"/>
      <c r="G2" s="1212"/>
      <c r="H2" s="1212"/>
      <c r="I2" s="1212"/>
      <c r="J2" s="95"/>
      <c r="K2" s="95"/>
      <c r="L2" s="95"/>
      <c r="M2" s="1217" t="str">
        <f>CONCATENATE(IF(Instructions!$K$2="","",Instructions!$K$2)," ",IF(Details!$E$11="","",Details!$E$11))</f>
        <v>2026 9% LIHTC AHFA Proposal Application</v>
      </c>
      <c r="N2" s="1217"/>
      <c r="O2" s="1217"/>
      <c r="P2" s="1217"/>
      <c r="Q2" s="1218"/>
      <c r="R2" s="16"/>
      <c r="S2" s="16"/>
      <c r="T2" s="16"/>
    </row>
    <row r="3" spans="1:20" ht="20.25" customHeight="1" x14ac:dyDescent="0.2">
      <c r="A3"/>
      <c r="B3" s="1166" t="s">
        <v>437</v>
      </c>
      <c r="C3" s="1167"/>
      <c r="D3" s="1167"/>
      <c r="E3" s="1167"/>
      <c r="F3" s="1167"/>
      <c r="G3" s="1167"/>
      <c r="H3" s="1167"/>
      <c r="I3" s="1167"/>
      <c r="J3" s="96"/>
      <c r="K3" s="96"/>
      <c r="L3" s="96"/>
      <c r="M3" s="98"/>
      <c r="N3" s="1304" t="str">
        <f>IF(Details!$E$12="","",CONCATENATE("Project Name: ",Details!$E$12))</f>
        <v/>
      </c>
      <c r="O3" s="1304"/>
      <c r="P3" s="1304"/>
      <c r="Q3" s="1305"/>
      <c r="R3"/>
      <c r="S3"/>
      <c r="T3"/>
    </row>
    <row r="4" spans="1:20" ht="5.25" customHeight="1" x14ac:dyDescent="0.2">
      <c r="A4"/>
      <c r="B4"/>
      <c r="C4"/>
    </row>
    <row r="5" spans="1:20" ht="15" customHeight="1" x14ac:dyDescent="0.2"/>
    <row r="6" spans="1:20" ht="15" customHeight="1" x14ac:dyDescent="0.2">
      <c r="C6" s="1281" t="s">
        <v>461</v>
      </c>
      <c r="D6" s="1281"/>
      <c r="E6" s="1281"/>
      <c r="F6" s="1281"/>
      <c r="G6" s="1281"/>
      <c r="H6" s="1281"/>
      <c r="I6" s="1281"/>
      <c r="J6" s="1281"/>
      <c r="K6" s="1281"/>
      <c r="L6" s="1281"/>
      <c r="M6" s="1281"/>
      <c r="N6" s="1281"/>
      <c r="O6" s="1281"/>
      <c r="P6" s="1281"/>
    </row>
    <row r="7" spans="1:20" ht="3" customHeight="1" x14ac:dyDescent="0.2">
      <c r="C7" s="1133"/>
      <c r="D7" s="1133"/>
      <c r="E7" s="1133"/>
      <c r="F7" s="1133"/>
      <c r="G7" s="1133"/>
      <c r="H7" s="1133"/>
      <c r="I7" s="1133"/>
      <c r="J7" s="1133"/>
      <c r="K7" s="1133"/>
      <c r="L7" s="1133"/>
      <c r="M7" s="1133"/>
      <c r="N7" s="1133"/>
      <c r="O7" s="1133"/>
      <c r="P7" s="1133"/>
    </row>
    <row r="8" spans="1:20" ht="5.25" customHeight="1" x14ac:dyDescent="0.2"/>
    <row r="9" spans="1:20" ht="15" customHeight="1" x14ac:dyDescent="0.2">
      <c r="C9" s="1149" t="s">
        <v>462</v>
      </c>
      <c r="D9" s="1149"/>
      <c r="E9" s="1149"/>
      <c r="F9" s="1149"/>
      <c r="G9" s="1149"/>
      <c r="H9" s="1149"/>
      <c r="I9" s="1149"/>
      <c r="J9" s="1149"/>
      <c r="K9" s="1149"/>
      <c r="L9" s="1149"/>
      <c r="M9" s="1149"/>
      <c r="N9" s="1149"/>
      <c r="O9" s="1149"/>
    </row>
    <row r="10" spans="1:20" ht="15" customHeight="1" x14ac:dyDescent="0.2"/>
    <row r="11" spans="1:20" ht="15" customHeight="1" x14ac:dyDescent="0.2">
      <c r="C11" s="355"/>
      <c r="D11" s="1238" t="s">
        <v>475</v>
      </c>
      <c r="E11" s="1155"/>
      <c r="F11" s="1155"/>
      <c r="G11" s="1155"/>
      <c r="H11" s="1155"/>
      <c r="I11" s="1155"/>
      <c r="J11" s="1155"/>
      <c r="K11" s="1155"/>
      <c r="L11" s="1155"/>
      <c r="M11" s="1155"/>
      <c r="N11" s="1155"/>
      <c r="O11" s="1155"/>
    </row>
    <row r="12" spans="1:20" ht="15" customHeight="1" x14ac:dyDescent="0.2"/>
    <row r="13" spans="1:20" ht="15" customHeight="1" x14ac:dyDescent="0.2">
      <c r="C13" s="355"/>
      <c r="D13" s="1238" t="s">
        <v>477</v>
      </c>
      <c r="E13" s="1155"/>
      <c r="F13" s="1155"/>
      <c r="G13" s="1155"/>
      <c r="H13" s="1155"/>
      <c r="I13" s="1155"/>
      <c r="J13" s="1155"/>
      <c r="K13" s="1155"/>
      <c r="L13" s="1155"/>
      <c r="M13" s="1155"/>
      <c r="N13" s="1155"/>
      <c r="O13" s="1155"/>
    </row>
    <row r="14" spans="1:20" ht="15" customHeight="1" x14ac:dyDescent="0.2"/>
    <row r="15" spans="1:20" ht="15" customHeight="1" x14ac:dyDescent="0.2">
      <c r="C15" s="355"/>
      <c r="D15" s="1303" t="s">
        <v>478</v>
      </c>
      <c r="E15" s="1303"/>
      <c r="F15" s="1303"/>
      <c r="G15" s="1303"/>
      <c r="H15" s="1303"/>
      <c r="I15" s="1303"/>
      <c r="J15" s="1303"/>
      <c r="K15" s="1303"/>
      <c r="L15" s="1303"/>
      <c r="M15" s="1303"/>
      <c r="N15" s="1303"/>
      <c r="O15" s="1303"/>
      <c r="P15" s="1303"/>
    </row>
    <row r="16" spans="1:20" ht="15" customHeight="1" x14ac:dyDescent="0.2">
      <c r="D16" s="1303"/>
      <c r="E16" s="1303"/>
      <c r="F16" s="1303"/>
      <c r="G16" s="1303"/>
      <c r="H16" s="1303"/>
      <c r="I16" s="1303"/>
      <c r="J16" s="1303"/>
      <c r="K16" s="1303"/>
      <c r="L16" s="1303"/>
      <c r="M16" s="1303"/>
      <c r="N16" s="1303"/>
      <c r="O16" s="1303"/>
      <c r="P16" s="1303"/>
    </row>
    <row r="17" spans="3:16" ht="15" customHeight="1" x14ac:dyDescent="0.2"/>
    <row r="18" spans="3:16" ht="15" customHeight="1" x14ac:dyDescent="0.2"/>
    <row r="19" spans="3:16" ht="15" customHeight="1" x14ac:dyDescent="0.2">
      <c r="C19" s="1281" t="s">
        <v>484</v>
      </c>
      <c r="D19" s="1281"/>
      <c r="E19" s="1281"/>
      <c r="F19" s="1281"/>
      <c r="G19" s="1281"/>
      <c r="H19" s="1281"/>
      <c r="I19" s="1281"/>
      <c r="J19" s="1281"/>
      <c r="K19" s="1281"/>
      <c r="L19" s="1281"/>
      <c r="M19" s="1281"/>
      <c r="N19" s="1281"/>
      <c r="O19" s="1281"/>
      <c r="P19" s="1281"/>
    </row>
    <row r="20" spans="3:16" ht="3" customHeight="1" x14ac:dyDescent="0.2">
      <c r="C20" s="1133"/>
      <c r="D20" s="1133"/>
      <c r="E20" s="1133"/>
      <c r="F20" s="1133"/>
      <c r="G20" s="1133"/>
      <c r="H20" s="1133"/>
      <c r="I20" s="1133"/>
      <c r="J20" s="1133"/>
      <c r="K20" s="1133"/>
      <c r="L20" s="1133"/>
      <c r="M20" s="1133"/>
      <c r="N20" s="1133"/>
      <c r="O20" s="1133"/>
      <c r="P20" s="1133"/>
    </row>
    <row r="21" spans="3:16" ht="5.25" customHeight="1" x14ac:dyDescent="0.2"/>
    <row r="22" spans="3:16" ht="15" customHeight="1" x14ac:dyDescent="0.2">
      <c r="C22" s="1148" t="s">
        <v>2996</v>
      </c>
      <c r="D22" s="1148"/>
      <c r="E22" s="1148"/>
      <c r="F22" s="1148"/>
      <c r="G22" s="1148"/>
      <c r="H22" s="1148"/>
      <c r="I22" s="1148"/>
      <c r="J22" s="1148"/>
      <c r="K22" s="1148"/>
      <c r="L22" s="1148"/>
      <c r="M22" s="1148"/>
      <c r="N22" s="1148"/>
      <c r="O22" s="1148"/>
      <c r="P22" s="1148"/>
    </row>
    <row r="23" spans="3:16" ht="15" customHeight="1" x14ac:dyDescent="0.2">
      <c r="C23" s="1148"/>
      <c r="D23" s="1148"/>
      <c r="E23" s="1148"/>
      <c r="F23" s="1148"/>
      <c r="G23" s="1148"/>
      <c r="H23" s="1148"/>
      <c r="I23" s="1148"/>
      <c r="J23" s="1148"/>
      <c r="K23" s="1148"/>
      <c r="L23" s="1148"/>
      <c r="M23" s="1148"/>
      <c r="N23" s="1148"/>
      <c r="O23" s="1148"/>
      <c r="P23" s="1148"/>
    </row>
    <row r="24" spans="3:16" ht="15" customHeight="1" x14ac:dyDescent="0.2"/>
    <row r="25" spans="3:16" ht="15" customHeight="1" x14ac:dyDescent="0.2">
      <c r="C25" s="1288" t="s">
        <v>486</v>
      </c>
      <c r="D25" s="1288"/>
      <c r="E25" s="1288"/>
      <c r="F25" s="1197"/>
      <c r="G25" s="1292"/>
      <c r="H25" s="1198"/>
    </row>
    <row r="26" spans="3:16" ht="15" customHeight="1" x14ac:dyDescent="0.2"/>
    <row r="27" spans="3:16" ht="15" customHeight="1" x14ac:dyDescent="0.2">
      <c r="C27" s="1180" t="s">
        <v>485</v>
      </c>
      <c r="D27" s="1180"/>
      <c r="E27" s="1289" t="s">
        <v>424</v>
      </c>
      <c r="F27" s="1290"/>
      <c r="G27" s="1290"/>
      <c r="H27" s="1290"/>
      <c r="I27" s="1290"/>
      <c r="J27" s="1290"/>
      <c r="K27" s="1290"/>
    </row>
    <row r="28" spans="3:16" s="4" customFormat="1" ht="30" customHeight="1" x14ac:dyDescent="0.2">
      <c r="C28" s="1180"/>
      <c r="D28" s="1180"/>
      <c r="E28" s="1180">
        <v>0</v>
      </c>
      <c r="F28" s="1180"/>
      <c r="G28" s="1004">
        <v>1</v>
      </c>
      <c r="H28" s="1004">
        <v>2</v>
      </c>
      <c r="I28" s="1004">
        <v>3</v>
      </c>
      <c r="J28" s="1004">
        <v>4</v>
      </c>
      <c r="K28" s="1004">
        <v>5</v>
      </c>
    </row>
    <row r="29" spans="3:16" ht="15" customHeight="1" x14ac:dyDescent="0.2">
      <c r="C29" s="1181" t="s">
        <v>156</v>
      </c>
      <c r="D29" s="1181"/>
      <c r="E29" s="1291"/>
      <c r="F29" s="1291"/>
      <c r="G29" s="376"/>
      <c r="H29" s="376"/>
      <c r="I29" s="376"/>
      <c r="J29" s="376"/>
      <c r="K29" s="376"/>
    </row>
    <row r="30" spans="3:16" ht="15" customHeight="1" x14ac:dyDescent="0.2">
      <c r="C30" s="1181" t="s">
        <v>157</v>
      </c>
      <c r="D30" s="1181"/>
      <c r="E30" s="1291"/>
      <c r="F30" s="1291"/>
      <c r="G30" s="376"/>
      <c r="H30" s="376"/>
      <c r="I30" s="376"/>
      <c r="J30" s="376"/>
      <c r="K30" s="376"/>
    </row>
    <row r="31" spans="3:16" ht="15" customHeight="1" x14ac:dyDescent="0.2">
      <c r="C31" s="1181" t="s">
        <v>158</v>
      </c>
      <c r="D31" s="1181"/>
      <c r="E31" s="1291"/>
      <c r="F31" s="1291"/>
      <c r="G31" s="376"/>
      <c r="H31" s="376"/>
      <c r="I31" s="376"/>
      <c r="J31" s="376"/>
      <c r="K31" s="376"/>
    </row>
    <row r="32" spans="3:16" ht="15" customHeight="1" x14ac:dyDescent="0.2">
      <c r="C32" s="1181" t="s">
        <v>159</v>
      </c>
      <c r="D32" s="1181"/>
      <c r="E32" s="1291"/>
      <c r="F32" s="1291"/>
      <c r="G32" s="376"/>
      <c r="H32" s="376"/>
      <c r="I32" s="376"/>
      <c r="J32" s="376"/>
      <c r="K32" s="376"/>
    </row>
    <row r="33" spans="3:16" ht="15" customHeight="1" x14ac:dyDescent="0.2">
      <c r="C33" s="1181" t="s">
        <v>160</v>
      </c>
      <c r="D33" s="1181"/>
      <c r="E33" s="1291"/>
      <c r="F33" s="1291"/>
      <c r="G33" s="376"/>
      <c r="H33" s="376"/>
      <c r="I33" s="376"/>
      <c r="J33" s="376"/>
      <c r="K33" s="376"/>
    </row>
    <row r="34" spans="3:16" ht="15" customHeight="1" thickBot="1" x14ac:dyDescent="0.25">
      <c r="C34" s="1297" t="s">
        <v>100</v>
      </c>
      <c r="D34" s="1298"/>
      <c r="E34" s="1293"/>
      <c r="F34" s="1294"/>
      <c r="G34" s="377"/>
      <c r="H34" s="377"/>
      <c r="I34" s="377"/>
      <c r="J34" s="377"/>
      <c r="K34" s="377"/>
    </row>
    <row r="35" spans="3:16" ht="15" customHeight="1" thickTop="1" x14ac:dyDescent="0.2">
      <c r="C35" s="1272" t="s">
        <v>101</v>
      </c>
      <c r="D35" s="1272"/>
      <c r="E35" s="1302">
        <f t="shared" ref="E35:K35" si="0">SUM(E29:E34)</f>
        <v>0</v>
      </c>
      <c r="F35" s="1302"/>
      <c r="G35" s="102">
        <f t="shared" si="0"/>
        <v>0</v>
      </c>
      <c r="H35" s="102">
        <f t="shared" si="0"/>
        <v>0</v>
      </c>
      <c r="I35" s="102">
        <f t="shared" si="0"/>
        <v>0</v>
      </c>
      <c r="J35" s="102">
        <f t="shared" si="0"/>
        <v>0</v>
      </c>
      <c r="K35" s="102">
        <f t="shared" si="0"/>
        <v>0</v>
      </c>
    </row>
    <row r="36" spans="3:16" ht="15" customHeight="1" x14ac:dyDescent="0.2"/>
    <row r="37" spans="3:16" ht="15" customHeight="1" x14ac:dyDescent="0.2"/>
    <row r="38" spans="3:16" ht="15" customHeight="1" x14ac:dyDescent="0.2">
      <c r="C38" s="147" t="s">
        <v>459</v>
      </c>
      <c r="D38" s="147"/>
      <c r="E38" s="147"/>
      <c r="F38" s="147"/>
      <c r="G38" s="147"/>
      <c r="H38" s="147"/>
      <c r="I38" s="147"/>
      <c r="J38" s="147"/>
      <c r="K38" s="147"/>
      <c r="L38" s="147"/>
      <c r="M38" s="147"/>
      <c r="N38" s="147"/>
      <c r="O38" s="147"/>
      <c r="P38" s="147"/>
    </row>
    <row r="39" spans="3:16" ht="3" customHeight="1" x14ac:dyDescent="0.2">
      <c r="C39" s="1133"/>
      <c r="D39" s="1133"/>
      <c r="E39" s="1133"/>
      <c r="F39" s="1133"/>
      <c r="G39" s="1133"/>
      <c r="H39" s="1133"/>
      <c r="I39" s="1133"/>
      <c r="J39" s="1133"/>
      <c r="K39" s="1133"/>
      <c r="L39" s="1133"/>
      <c r="M39" s="1133"/>
      <c r="N39" s="1133"/>
      <c r="O39" s="1133"/>
      <c r="P39" s="1133"/>
    </row>
    <row r="40" spans="3:16" ht="5.25" customHeight="1" x14ac:dyDescent="0.2"/>
    <row r="41" spans="3:16" ht="15" customHeight="1" x14ac:dyDescent="0.2">
      <c r="C41" s="1196" t="s">
        <v>479</v>
      </c>
      <c r="D41" s="1196"/>
      <c r="E41" s="1196"/>
      <c r="F41" s="1196"/>
      <c r="G41" s="1196"/>
      <c r="H41" s="1196"/>
      <c r="I41" s="1196"/>
      <c r="J41" s="1196"/>
      <c r="K41" s="1196"/>
      <c r="L41" s="1196"/>
      <c r="M41" s="1196"/>
      <c r="N41" s="1196"/>
      <c r="O41" s="1196"/>
      <c r="P41" s="1196"/>
    </row>
    <row r="42" spans="3:16" ht="5.25" customHeight="1" x14ac:dyDescent="0.2">
      <c r="C42" s="99"/>
      <c r="D42" s="99"/>
      <c r="E42" s="99"/>
      <c r="F42" s="99"/>
      <c r="G42" s="99"/>
      <c r="H42" s="99"/>
      <c r="I42" s="99"/>
      <c r="J42" s="99"/>
      <c r="K42" s="99"/>
      <c r="L42" s="99"/>
      <c r="M42" s="99"/>
      <c r="N42" s="99"/>
      <c r="O42" s="99"/>
      <c r="P42" s="99"/>
    </row>
    <row r="43" spans="3:16" ht="15" customHeight="1" x14ac:dyDescent="0.2">
      <c r="C43" s="1196" t="s">
        <v>2138</v>
      </c>
      <c r="D43" s="1196"/>
      <c r="E43" s="1196"/>
      <c r="F43" s="1196"/>
      <c r="G43" s="1196"/>
      <c r="H43" s="1196"/>
      <c r="I43" s="1196"/>
      <c r="J43" s="1196"/>
      <c r="K43" s="1196"/>
      <c r="L43" s="1196"/>
      <c r="M43" s="1196"/>
      <c r="N43" s="1196"/>
      <c r="O43" s="1196"/>
      <c r="P43" s="1196"/>
    </row>
    <row r="44" spans="3:16" ht="15" customHeight="1" x14ac:dyDescent="0.2">
      <c r="C44" s="1196" t="s">
        <v>646</v>
      </c>
      <c r="D44" s="1196"/>
      <c r="E44" s="1196"/>
      <c r="F44" s="1196"/>
      <c r="G44" s="1196"/>
      <c r="H44" s="1196"/>
      <c r="I44" s="1196"/>
      <c r="J44" s="1196"/>
      <c r="K44" s="1196"/>
      <c r="L44" s="1196"/>
      <c r="M44" s="1196"/>
      <c r="N44" s="1196"/>
      <c r="O44" s="1196"/>
      <c r="P44" s="1196"/>
    </row>
    <row r="45" spans="3:16" ht="15" customHeight="1" x14ac:dyDescent="0.2">
      <c r="C45" s="1196"/>
      <c r="D45" s="1196"/>
      <c r="E45" s="1196"/>
      <c r="F45" s="1196"/>
      <c r="G45" s="1196"/>
      <c r="H45" s="1196"/>
      <c r="I45" s="1196"/>
      <c r="J45" s="1196"/>
      <c r="K45" s="1196"/>
      <c r="L45" s="1196"/>
      <c r="M45" s="1196"/>
      <c r="N45" s="1196"/>
      <c r="O45" s="1196"/>
      <c r="P45" s="1196"/>
    </row>
    <row r="46" spans="3:16" ht="60" customHeight="1" x14ac:dyDescent="0.2">
      <c r="C46" s="1004" t="s">
        <v>481</v>
      </c>
      <c r="D46" s="1004" t="s">
        <v>482</v>
      </c>
      <c r="E46" s="1004" t="s">
        <v>483</v>
      </c>
      <c r="F46" s="1004" t="s">
        <v>3492</v>
      </c>
      <c r="G46" s="1004" t="s">
        <v>3458</v>
      </c>
      <c r="H46" s="1004" t="s">
        <v>3459</v>
      </c>
      <c r="I46" s="1004" t="s">
        <v>3460</v>
      </c>
      <c r="J46" s="1004" t="s">
        <v>449</v>
      </c>
      <c r="K46" s="1004" t="s">
        <v>3461</v>
      </c>
      <c r="L46" s="1004" t="s">
        <v>2995</v>
      </c>
      <c r="M46" s="1007" t="s">
        <v>450</v>
      </c>
      <c r="N46" s="1004" t="s">
        <v>451</v>
      </c>
      <c r="O46" s="1008" t="s">
        <v>480</v>
      </c>
      <c r="P46" s="1004" t="s">
        <v>645</v>
      </c>
    </row>
    <row r="47" spans="3:16" ht="15" customHeight="1" x14ac:dyDescent="0.2">
      <c r="C47" s="358"/>
      <c r="D47" s="358"/>
      <c r="E47" s="378"/>
      <c r="F47" s="379"/>
      <c r="G47" s="356"/>
      <c r="H47" s="356"/>
      <c r="I47" s="357"/>
      <c r="J47" s="357"/>
      <c r="K47" s="79" t="str">
        <f>IF(OR($C47="",$C47=0,$D47="",I47=""),"",I47+J47)</f>
        <v/>
      </c>
      <c r="L47" s="79" t="str">
        <f>IFERROR(IF(OR($D47="",$G47=""),"",ROUNDDOWN(INDEX(Data!$AS$11:$BC$98,MATCH(Details!$E$18,Data!$AR$11:$AR$98,0),MATCH(VLOOKUP($D47,Data!$BE$11:$BF$16,2),Data!$AS$10:$BC$10,0))*2*$G47*0.3/12,0)),"N/A")</f>
        <v/>
      </c>
      <c r="M47" s="380"/>
      <c r="N47" s="355"/>
      <c r="O47" s="175" t="str">
        <f>IF(OR($C47="",$C47=0,$I47=""),"",I47+M47)</f>
        <v/>
      </c>
      <c r="P47" s="79" t="str">
        <f>IF(OR($C47="",$C47=0,$I47=""),"",O47*C47*12)</f>
        <v/>
      </c>
    </row>
    <row r="48" spans="3:16" ht="15" customHeight="1" x14ac:dyDescent="0.2">
      <c r="C48" s="358"/>
      <c r="D48" s="358"/>
      <c r="E48" s="378"/>
      <c r="F48" s="379"/>
      <c r="G48" s="356"/>
      <c r="H48" s="356"/>
      <c r="I48" s="357"/>
      <c r="J48" s="357"/>
      <c r="K48" s="79" t="str">
        <f t="shared" ref="K48:K92" si="1">IF(OR($C48="",$C48=0,$D48="",I48=""),"",I48+J48)</f>
        <v/>
      </c>
      <c r="L48" s="79" t="str">
        <f>IFERROR(IF(OR($D48="",$G48=""),"",ROUNDDOWN(INDEX(Data!$AS$11:$BC$98,MATCH(Details!$E$18,Data!$AR$11:$AR$98,0),MATCH(VLOOKUP($D48,Data!$BE$11:$BF$16,2),Data!$AS$10:$BC$10,0))*2*$G48*0.3/12,0)),"N/A")</f>
        <v/>
      </c>
      <c r="M48" s="380"/>
      <c r="N48" s="355"/>
      <c r="O48" s="175" t="str">
        <f t="shared" ref="O48:O92" si="2">IF(OR($C48="",$C48=0,$I48=""),"",I48+M48)</f>
        <v/>
      </c>
      <c r="P48" s="79" t="str">
        <f t="shared" ref="P48:P92" si="3">IF(OR($C48="",$C48=0,$I48=""),"",O48*C48*12)</f>
        <v/>
      </c>
    </row>
    <row r="49" spans="3:16" ht="15" customHeight="1" x14ac:dyDescent="0.2">
      <c r="C49" s="358"/>
      <c r="D49" s="358"/>
      <c r="E49" s="378"/>
      <c r="F49" s="379"/>
      <c r="G49" s="356"/>
      <c r="H49" s="356"/>
      <c r="I49" s="357"/>
      <c r="J49" s="357"/>
      <c r="K49" s="79" t="str">
        <f t="shared" si="1"/>
        <v/>
      </c>
      <c r="L49" s="79" t="str">
        <f>IFERROR(IF(OR($D49="",$G49=""),"",ROUNDDOWN(INDEX(Data!$AS$11:$BC$98,MATCH(Details!$E$18,Data!$AR$11:$AR$98,0),MATCH(VLOOKUP($D49,Data!$BE$11:$BF$16,2),Data!$AS$10:$BC$10,0))*2*$G49*0.3/12,0)),"N/A")</f>
        <v/>
      </c>
      <c r="M49" s="380"/>
      <c r="N49" s="355"/>
      <c r="O49" s="175" t="str">
        <f t="shared" si="2"/>
        <v/>
      </c>
      <c r="P49" s="79" t="str">
        <f t="shared" si="3"/>
        <v/>
      </c>
    </row>
    <row r="50" spans="3:16" ht="15" customHeight="1" x14ac:dyDescent="0.2">
      <c r="C50" s="358"/>
      <c r="D50" s="358"/>
      <c r="E50" s="378"/>
      <c r="F50" s="379"/>
      <c r="G50" s="356"/>
      <c r="H50" s="356"/>
      <c r="I50" s="357"/>
      <c r="J50" s="357"/>
      <c r="K50" s="79" t="str">
        <f t="shared" si="1"/>
        <v/>
      </c>
      <c r="L50" s="79" t="str">
        <f>IFERROR(IF(OR($D50="",$G50=""),"",ROUNDDOWN(INDEX(Data!$AS$11:$BC$98,MATCH(Details!$E$18,Data!$AR$11:$AR$98,0),MATCH(VLOOKUP($D50,Data!$BE$11:$BF$16,2),Data!$AS$10:$BC$10,0))*2*$G50*0.3/12,0)),"N/A")</f>
        <v/>
      </c>
      <c r="M50" s="380"/>
      <c r="N50" s="355"/>
      <c r="O50" s="175" t="str">
        <f t="shared" si="2"/>
        <v/>
      </c>
      <c r="P50" s="79" t="str">
        <f t="shared" si="3"/>
        <v/>
      </c>
    </row>
    <row r="51" spans="3:16" ht="15" customHeight="1" x14ac:dyDescent="0.2">
      <c r="C51" s="358"/>
      <c r="D51" s="358"/>
      <c r="E51" s="378"/>
      <c r="F51" s="379"/>
      <c r="G51" s="356"/>
      <c r="H51" s="356"/>
      <c r="I51" s="357"/>
      <c r="J51" s="357"/>
      <c r="K51" s="79" t="str">
        <f t="shared" si="1"/>
        <v/>
      </c>
      <c r="L51" s="79" t="str">
        <f>IFERROR(IF(OR($D51="",$G51=""),"",ROUNDDOWN(INDEX(Data!$AS$11:$BC$98,MATCH(Details!$E$18,Data!$AR$11:$AR$98,0),MATCH(VLOOKUP($D51,Data!$BE$11:$BF$16,2),Data!$AS$10:$BC$10,0))*2*$G51*0.3/12,0)),"N/A")</f>
        <v/>
      </c>
      <c r="M51" s="380"/>
      <c r="N51" s="355"/>
      <c r="O51" s="175" t="str">
        <f t="shared" si="2"/>
        <v/>
      </c>
      <c r="P51" s="79" t="str">
        <f t="shared" si="3"/>
        <v/>
      </c>
    </row>
    <row r="52" spans="3:16" ht="15" customHeight="1" x14ac:dyDescent="0.2">
      <c r="C52" s="358"/>
      <c r="D52" s="358"/>
      <c r="E52" s="378"/>
      <c r="F52" s="379"/>
      <c r="G52" s="356"/>
      <c r="H52" s="356"/>
      <c r="I52" s="357"/>
      <c r="J52" s="357"/>
      <c r="K52" s="79" t="str">
        <f t="shared" si="1"/>
        <v/>
      </c>
      <c r="L52" s="79" t="str">
        <f>IFERROR(IF(OR($D52="",$G52=""),"",ROUNDDOWN(INDEX(Data!$AS$11:$BC$98,MATCH(Details!$E$18,Data!$AR$11:$AR$98,0),MATCH(VLOOKUP($D52,Data!$BE$11:$BF$16,2),Data!$AS$10:$BC$10,0))*2*$G52*0.3/12,0)),"N/A")</f>
        <v/>
      </c>
      <c r="M52" s="380"/>
      <c r="N52" s="355"/>
      <c r="O52" s="175" t="str">
        <f t="shared" si="2"/>
        <v/>
      </c>
      <c r="P52" s="79" t="str">
        <f t="shared" si="3"/>
        <v/>
      </c>
    </row>
    <row r="53" spans="3:16" ht="15" customHeight="1" x14ac:dyDescent="0.2">
      <c r="C53" s="358"/>
      <c r="D53" s="358"/>
      <c r="E53" s="378"/>
      <c r="F53" s="379"/>
      <c r="G53" s="356"/>
      <c r="H53" s="356"/>
      <c r="I53" s="357"/>
      <c r="J53" s="357"/>
      <c r="K53" s="79" t="str">
        <f t="shared" si="1"/>
        <v/>
      </c>
      <c r="L53" s="79" t="str">
        <f>IFERROR(IF(OR($D53="",$G53=""),"",ROUNDDOWN(INDEX(Data!$AS$11:$BC$98,MATCH(Details!$E$18,Data!$AR$11:$AR$98,0),MATCH(VLOOKUP($D53,Data!$BE$11:$BF$16,2),Data!$AS$10:$BC$10,0))*2*$G53*0.3/12,0)),"N/A")</f>
        <v/>
      </c>
      <c r="M53" s="380"/>
      <c r="N53" s="355"/>
      <c r="O53" s="175" t="str">
        <f t="shared" si="2"/>
        <v/>
      </c>
      <c r="P53" s="79" t="str">
        <f t="shared" si="3"/>
        <v/>
      </c>
    </row>
    <row r="54" spans="3:16" ht="15" customHeight="1" x14ac:dyDescent="0.2">
      <c r="C54" s="358"/>
      <c r="D54" s="358"/>
      <c r="E54" s="378"/>
      <c r="F54" s="379"/>
      <c r="G54" s="356"/>
      <c r="H54" s="356"/>
      <c r="I54" s="357"/>
      <c r="J54" s="357"/>
      <c r="K54" s="79" t="str">
        <f t="shared" si="1"/>
        <v/>
      </c>
      <c r="L54" s="79" t="str">
        <f>IFERROR(IF(OR($D54="",$G54=""),"",ROUNDDOWN(INDEX(Data!$AS$11:$BC$98,MATCH(Details!$E$18,Data!$AR$11:$AR$98,0),MATCH(VLOOKUP($D54,Data!$BE$11:$BF$16,2),Data!$AS$10:$BC$10,0))*2*$G54*0.3/12,0)),"N/A")</f>
        <v/>
      </c>
      <c r="M54" s="380"/>
      <c r="N54" s="355"/>
      <c r="O54" s="175" t="str">
        <f t="shared" si="2"/>
        <v/>
      </c>
      <c r="P54" s="79" t="str">
        <f t="shared" si="3"/>
        <v/>
      </c>
    </row>
    <row r="55" spans="3:16" ht="15" customHeight="1" x14ac:dyDescent="0.2">
      <c r="C55" s="358"/>
      <c r="D55" s="358"/>
      <c r="E55" s="378"/>
      <c r="F55" s="379"/>
      <c r="G55" s="356"/>
      <c r="H55" s="356"/>
      <c r="I55" s="357"/>
      <c r="J55" s="357"/>
      <c r="K55" s="79" t="str">
        <f t="shared" si="1"/>
        <v/>
      </c>
      <c r="L55" s="79" t="str">
        <f>IFERROR(IF(OR($D55="",$G55=""),"",ROUNDDOWN(INDEX(Data!$AS$11:$BC$98,MATCH(Details!$E$18,Data!$AR$11:$AR$98,0),MATCH(VLOOKUP($D55,Data!$BE$11:$BF$16,2),Data!$AS$10:$BC$10,0))*2*$G55*0.3/12,0)),"N/A")</f>
        <v/>
      </c>
      <c r="M55" s="380"/>
      <c r="N55" s="355"/>
      <c r="O55" s="175" t="str">
        <f t="shared" si="2"/>
        <v/>
      </c>
      <c r="P55" s="79" t="str">
        <f t="shared" si="3"/>
        <v/>
      </c>
    </row>
    <row r="56" spans="3:16" ht="15" customHeight="1" x14ac:dyDescent="0.2">
      <c r="C56" s="358"/>
      <c r="D56" s="358"/>
      <c r="E56" s="378"/>
      <c r="F56" s="379"/>
      <c r="G56" s="356"/>
      <c r="H56" s="356"/>
      <c r="I56" s="357"/>
      <c r="J56" s="357"/>
      <c r="K56" s="79" t="str">
        <f t="shared" si="1"/>
        <v/>
      </c>
      <c r="L56" s="79" t="str">
        <f>IFERROR(IF(OR($D56="",$G56=""),"",ROUNDDOWN(INDEX(Data!$AS$11:$BC$98,MATCH(Details!$E$18,Data!$AR$11:$AR$98,0),MATCH(VLOOKUP($D56,Data!$BE$11:$BF$16,2),Data!$AS$10:$BC$10,0))*2*$G56*0.3/12,0)),"N/A")</f>
        <v/>
      </c>
      <c r="M56" s="380"/>
      <c r="N56" s="355"/>
      <c r="O56" s="175" t="str">
        <f t="shared" si="2"/>
        <v/>
      </c>
      <c r="P56" s="79" t="str">
        <f t="shared" si="3"/>
        <v/>
      </c>
    </row>
    <row r="57" spans="3:16" ht="15" customHeight="1" x14ac:dyDescent="0.2">
      <c r="C57" s="358"/>
      <c r="D57" s="358"/>
      <c r="E57" s="378"/>
      <c r="F57" s="379"/>
      <c r="G57" s="356"/>
      <c r="H57" s="356"/>
      <c r="I57" s="357"/>
      <c r="J57" s="357"/>
      <c r="K57" s="79" t="str">
        <f t="shared" si="1"/>
        <v/>
      </c>
      <c r="L57" s="79" t="str">
        <f>IFERROR(IF(OR($D57="",$G57=""),"",ROUNDDOWN(INDEX(Data!$AS$11:$BC$98,MATCH(Details!$E$18,Data!$AR$11:$AR$98,0),MATCH(VLOOKUP($D57,Data!$BE$11:$BF$16,2),Data!$AS$10:$BC$10,0))*2*$G57*0.3/12,0)),"N/A")</f>
        <v/>
      </c>
      <c r="M57" s="380"/>
      <c r="N57" s="355"/>
      <c r="O57" s="175" t="str">
        <f t="shared" si="2"/>
        <v/>
      </c>
      <c r="P57" s="79" t="str">
        <f t="shared" si="3"/>
        <v/>
      </c>
    </row>
    <row r="58" spans="3:16" ht="15" customHeight="1" x14ac:dyDescent="0.2">
      <c r="C58" s="358"/>
      <c r="D58" s="358"/>
      <c r="E58" s="378"/>
      <c r="F58" s="379"/>
      <c r="G58" s="356"/>
      <c r="H58" s="356"/>
      <c r="I58" s="357"/>
      <c r="J58" s="357"/>
      <c r="K58" s="79" t="str">
        <f t="shared" si="1"/>
        <v/>
      </c>
      <c r="L58" s="79" t="str">
        <f>IFERROR(IF(OR($D58="",$G58=""),"",ROUNDDOWN(INDEX(Data!$AS$11:$BC$98,MATCH(Details!$E$18,Data!$AR$11:$AR$98,0),MATCH(VLOOKUP($D58,Data!$BE$11:$BF$16,2),Data!$AS$10:$BC$10,0))*2*$G58*0.3/12,0)),"N/A")</f>
        <v/>
      </c>
      <c r="M58" s="380"/>
      <c r="N58" s="355"/>
      <c r="O58" s="175" t="str">
        <f t="shared" si="2"/>
        <v/>
      </c>
      <c r="P58" s="79" t="str">
        <f t="shared" si="3"/>
        <v/>
      </c>
    </row>
    <row r="59" spans="3:16" ht="15" customHeight="1" x14ac:dyDescent="0.2">
      <c r="C59" s="358"/>
      <c r="D59" s="358"/>
      <c r="E59" s="378"/>
      <c r="F59" s="379"/>
      <c r="G59" s="356"/>
      <c r="H59" s="356"/>
      <c r="I59" s="357"/>
      <c r="J59" s="357"/>
      <c r="K59" s="79" t="str">
        <f t="shared" si="1"/>
        <v/>
      </c>
      <c r="L59" s="79" t="str">
        <f>IFERROR(IF(OR($D59="",$G59=""),"",ROUNDDOWN(INDEX(Data!$AS$11:$BC$98,MATCH(Details!$E$18,Data!$AR$11:$AR$98,0),MATCH(VLOOKUP($D59,Data!$BE$11:$BF$16,2),Data!$AS$10:$BC$10,0))*2*$G59*0.3/12,0)),"N/A")</f>
        <v/>
      </c>
      <c r="M59" s="380"/>
      <c r="N59" s="355"/>
      <c r="O59" s="175" t="str">
        <f t="shared" si="2"/>
        <v/>
      </c>
      <c r="P59" s="79" t="str">
        <f t="shared" si="3"/>
        <v/>
      </c>
    </row>
    <row r="60" spans="3:16" ht="15" customHeight="1" x14ac:dyDescent="0.2">
      <c r="C60" s="358"/>
      <c r="D60" s="358"/>
      <c r="E60" s="378"/>
      <c r="F60" s="379"/>
      <c r="G60" s="356"/>
      <c r="H60" s="356"/>
      <c r="I60" s="357"/>
      <c r="J60" s="357"/>
      <c r="K60" s="79" t="str">
        <f t="shared" si="1"/>
        <v/>
      </c>
      <c r="L60" s="79" t="str">
        <f>IFERROR(IF(OR($D60="",$G60=""),"",ROUNDDOWN(INDEX(Data!$AS$11:$BC$98,MATCH(Details!$E$18,Data!$AR$11:$AR$98,0),MATCH(VLOOKUP($D60,Data!$BE$11:$BF$16,2),Data!$AS$10:$BC$10,0))*2*$G60*0.3/12,0)),"N/A")</f>
        <v/>
      </c>
      <c r="M60" s="380"/>
      <c r="N60" s="355"/>
      <c r="O60" s="175" t="str">
        <f t="shared" si="2"/>
        <v/>
      </c>
      <c r="P60" s="79" t="str">
        <f t="shared" si="3"/>
        <v/>
      </c>
    </row>
    <row r="61" spans="3:16" ht="15" customHeight="1" x14ac:dyDescent="0.2">
      <c r="C61" s="358"/>
      <c r="D61" s="358"/>
      <c r="E61" s="378"/>
      <c r="F61" s="379"/>
      <c r="G61" s="356"/>
      <c r="H61" s="356"/>
      <c r="I61" s="357"/>
      <c r="J61" s="357"/>
      <c r="K61" s="79" t="str">
        <f t="shared" si="1"/>
        <v/>
      </c>
      <c r="L61" s="79" t="str">
        <f>IFERROR(IF(OR($D61="",$G61=""),"",ROUNDDOWN(INDEX(Data!$AS$11:$BC$98,MATCH(Details!$E$18,Data!$AR$11:$AR$98,0),MATCH(VLOOKUP($D61,Data!$BE$11:$BF$16,2),Data!$AS$10:$BC$10,0))*2*$G61*0.3/12,0)),"N/A")</f>
        <v/>
      </c>
      <c r="M61" s="380"/>
      <c r="N61" s="355"/>
      <c r="O61" s="175" t="str">
        <f t="shared" si="2"/>
        <v/>
      </c>
      <c r="P61" s="79" t="str">
        <f t="shared" si="3"/>
        <v/>
      </c>
    </row>
    <row r="62" spans="3:16" ht="15" hidden="1" customHeight="1" outlineLevel="1" x14ac:dyDescent="0.2">
      <c r="C62" s="358"/>
      <c r="D62" s="358"/>
      <c r="E62" s="378"/>
      <c r="F62" s="379"/>
      <c r="G62" s="356"/>
      <c r="H62" s="356"/>
      <c r="I62" s="357"/>
      <c r="J62" s="357"/>
      <c r="K62" s="79" t="str">
        <f t="shared" si="1"/>
        <v/>
      </c>
      <c r="L62" s="79" t="str">
        <f>IFERROR(IF(OR($D62="",$G62=""),"",ROUNDDOWN(INDEX(Data!$AS$11:$BC$98,MATCH(Details!$E$18,Data!$AR$11:$AR$98,0),MATCH(VLOOKUP($D62,Data!$BE$11:$BF$16,2),Data!$AS$10:$BC$10,0))*2*$G62*0.3/12,0)),"N/A")</f>
        <v/>
      </c>
      <c r="M62" s="380"/>
      <c r="N62" s="355"/>
      <c r="O62" s="175" t="str">
        <f t="shared" si="2"/>
        <v/>
      </c>
      <c r="P62" s="79" t="str">
        <f t="shared" si="3"/>
        <v/>
      </c>
    </row>
    <row r="63" spans="3:16" ht="15" hidden="1" customHeight="1" outlineLevel="1" x14ac:dyDescent="0.2">
      <c r="C63" s="358"/>
      <c r="D63" s="358"/>
      <c r="E63" s="378"/>
      <c r="F63" s="379"/>
      <c r="G63" s="356"/>
      <c r="H63" s="356"/>
      <c r="I63" s="357"/>
      <c r="J63" s="357"/>
      <c r="K63" s="79" t="str">
        <f t="shared" si="1"/>
        <v/>
      </c>
      <c r="L63" s="79" t="str">
        <f>IFERROR(IF(OR($D63="",$G63=""),"",ROUNDDOWN(INDEX(Data!$AS$11:$BC$98,MATCH(Details!$E$18,Data!$AR$11:$AR$98,0),MATCH(VLOOKUP($D63,Data!$BE$11:$BF$16,2),Data!$AS$10:$BC$10,0))*2*$G63*0.3/12,0)),"N/A")</f>
        <v/>
      </c>
      <c r="M63" s="380"/>
      <c r="N63" s="355"/>
      <c r="O63" s="175" t="str">
        <f t="shared" si="2"/>
        <v/>
      </c>
      <c r="P63" s="79" t="str">
        <f t="shared" si="3"/>
        <v/>
      </c>
    </row>
    <row r="64" spans="3:16" ht="15" hidden="1" customHeight="1" outlineLevel="1" x14ac:dyDescent="0.2">
      <c r="C64" s="358"/>
      <c r="D64" s="358"/>
      <c r="E64" s="378"/>
      <c r="F64" s="379"/>
      <c r="G64" s="356"/>
      <c r="H64" s="356"/>
      <c r="I64" s="357"/>
      <c r="J64" s="357"/>
      <c r="K64" s="79" t="str">
        <f t="shared" si="1"/>
        <v/>
      </c>
      <c r="L64" s="79" t="str">
        <f>IFERROR(IF(OR($D64="",$G64=""),"",ROUNDDOWN(INDEX(Data!$AS$11:$BC$98,MATCH(Details!$E$18,Data!$AR$11:$AR$98,0),MATCH(VLOOKUP($D64,Data!$BE$11:$BF$16,2),Data!$AS$10:$BC$10,0))*2*$G64*0.3/12,0)),"N/A")</f>
        <v/>
      </c>
      <c r="M64" s="380"/>
      <c r="N64" s="355"/>
      <c r="O64" s="175" t="str">
        <f t="shared" si="2"/>
        <v/>
      </c>
      <c r="P64" s="79" t="str">
        <f t="shared" si="3"/>
        <v/>
      </c>
    </row>
    <row r="65" spans="3:16" ht="15" hidden="1" customHeight="1" outlineLevel="1" x14ac:dyDescent="0.2">
      <c r="C65" s="358"/>
      <c r="D65" s="358"/>
      <c r="E65" s="378"/>
      <c r="F65" s="379"/>
      <c r="G65" s="356"/>
      <c r="H65" s="356"/>
      <c r="I65" s="357"/>
      <c r="J65" s="357"/>
      <c r="K65" s="79" t="str">
        <f t="shared" si="1"/>
        <v/>
      </c>
      <c r="L65" s="79" t="str">
        <f>IFERROR(IF(OR($D65="",$G65=""),"",ROUNDDOWN(INDEX(Data!$AS$11:$BC$98,MATCH(Details!$E$18,Data!$AR$11:$AR$98,0),MATCH(VLOOKUP($D65,Data!$BE$11:$BF$16,2),Data!$AS$10:$BC$10,0))*2*$G65*0.3/12,0)),"N/A")</f>
        <v/>
      </c>
      <c r="M65" s="380"/>
      <c r="N65" s="355"/>
      <c r="O65" s="175" t="str">
        <f t="shared" si="2"/>
        <v/>
      </c>
      <c r="P65" s="79" t="str">
        <f t="shared" si="3"/>
        <v/>
      </c>
    </row>
    <row r="66" spans="3:16" ht="15" hidden="1" customHeight="1" outlineLevel="1" x14ac:dyDescent="0.2">
      <c r="C66" s="358"/>
      <c r="D66" s="358"/>
      <c r="E66" s="378"/>
      <c r="F66" s="379"/>
      <c r="G66" s="356"/>
      <c r="H66" s="356"/>
      <c r="I66" s="357"/>
      <c r="J66" s="357"/>
      <c r="K66" s="79" t="str">
        <f t="shared" si="1"/>
        <v/>
      </c>
      <c r="L66" s="79" t="str">
        <f>IFERROR(IF(OR($D66="",$G66=""),"",ROUNDDOWN(INDEX(Data!$AS$11:$BC$98,MATCH(Details!$E$18,Data!$AR$11:$AR$98,0),MATCH(VLOOKUP($D66,Data!$BE$11:$BF$16,2),Data!$AS$10:$BC$10,0))*2*$G66*0.3/12,0)),"N/A")</f>
        <v/>
      </c>
      <c r="M66" s="380"/>
      <c r="N66" s="355"/>
      <c r="O66" s="175" t="str">
        <f t="shared" si="2"/>
        <v/>
      </c>
      <c r="P66" s="79" t="str">
        <f t="shared" si="3"/>
        <v/>
      </c>
    </row>
    <row r="67" spans="3:16" ht="15" hidden="1" customHeight="1" outlineLevel="1" x14ac:dyDescent="0.2">
      <c r="C67" s="358"/>
      <c r="D67" s="358"/>
      <c r="E67" s="378"/>
      <c r="F67" s="379"/>
      <c r="G67" s="356"/>
      <c r="H67" s="356"/>
      <c r="I67" s="357"/>
      <c r="J67" s="357"/>
      <c r="K67" s="79" t="str">
        <f t="shared" si="1"/>
        <v/>
      </c>
      <c r="L67" s="79" t="str">
        <f>IFERROR(IF(OR($D67="",$G67=""),"",ROUNDDOWN(INDEX(Data!$AS$11:$BC$98,MATCH(Details!$E$18,Data!$AR$11:$AR$98,0),MATCH(VLOOKUP($D67,Data!$BE$11:$BF$16,2),Data!$AS$10:$BC$10,0))*2*$G67*0.3/12,0)),"N/A")</f>
        <v/>
      </c>
      <c r="M67" s="380"/>
      <c r="N67" s="355"/>
      <c r="O67" s="175" t="str">
        <f t="shared" si="2"/>
        <v/>
      </c>
      <c r="P67" s="79" t="str">
        <f t="shared" si="3"/>
        <v/>
      </c>
    </row>
    <row r="68" spans="3:16" ht="15" hidden="1" customHeight="1" outlineLevel="1" x14ac:dyDescent="0.2">
      <c r="C68" s="358"/>
      <c r="D68" s="358"/>
      <c r="E68" s="378"/>
      <c r="F68" s="379"/>
      <c r="G68" s="356"/>
      <c r="H68" s="356"/>
      <c r="I68" s="357"/>
      <c r="J68" s="357"/>
      <c r="K68" s="79" t="str">
        <f t="shared" si="1"/>
        <v/>
      </c>
      <c r="L68" s="79" t="str">
        <f>IFERROR(IF(OR($D68="",$G68=""),"",ROUNDDOWN(INDEX(Data!$AS$11:$BC$98,MATCH(Details!$E$18,Data!$AR$11:$AR$98,0),MATCH(VLOOKUP($D68,Data!$BE$11:$BF$16,2),Data!$AS$10:$BC$10,0))*2*$G68*0.3/12,0)),"N/A")</f>
        <v/>
      </c>
      <c r="M68" s="380"/>
      <c r="N68" s="355"/>
      <c r="O68" s="175" t="str">
        <f t="shared" si="2"/>
        <v/>
      </c>
      <c r="P68" s="79" t="str">
        <f t="shared" si="3"/>
        <v/>
      </c>
    </row>
    <row r="69" spans="3:16" ht="15" hidden="1" customHeight="1" outlineLevel="1" x14ac:dyDescent="0.2">
      <c r="C69" s="358"/>
      <c r="D69" s="358"/>
      <c r="E69" s="378"/>
      <c r="F69" s="379"/>
      <c r="G69" s="356"/>
      <c r="H69" s="356"/>
      <c r="I69" s="357"/>
      <c r="J69" s="357"/>
      <c r="K69" s="79" t="str">
        <f t="shared" si="1"/>
        <v/>
      </c>
      <c r="L69" s="79" t="str">
        <f>IFERROR(IF(OR($D69="",$G69=""),"",ROUNDDOWN(INDEX(Data!$AS$11:$BC$98,MATCH(Details!$E$18,Data!$AR$11:$AR$98,0),MATCH(VLOOKUP($D69,Data!$BE$11:$BF$16,2),Data!$AS$10:$BC$10,0))*2*$G69*0.3/12,0)),"N/A")</f>
        <v/>
      </c>
      <c r="M69" s="380"/>
      <c r="N69" s="355"/>
      <c r="O69" s="175" t="str">
        <f t="shared" si="2"/>
        <v/>
      </c>
      <c r="P69" s="79" t="str">
        <f t="shared" si="3"/>
        <v/>
      </c>
    </row>
    <row r="70" spans="3:16" ht="15" hidden="1" customHeight="1" outlineLevel="1" x14ac:dyDescent="0.2">
      <c r="C70" s="358"/>
      <c r="D70" s="358"/>
      <c r="E70" s="378"/>
      <c r="F70" s="379"/>
      <c r="G70" s="356"/>
      <c r="H70" s="356"/>
      <c r="I70" s="357"/>
      <c r="J70" s="357"/>
      <c r="K70" s="79" t="str">
        <f t="shared" si="1"/>
        <v/>
      </c>
      <c r="L70" s="79" t="str">
        <f>IFERROR(IF(OR($D70="",$G70=""),"",ROUNDDOWN(INDEX(Data!$AS$11:$BC$98,MATCH(Details!$E$18,Data!$AR$11:$AR$98,0),MATCH(VLOOKUP($D70,Data!$BE$11:$BF$16,2),Data!$AS$10:$BC$10,0))*2*$G70*0.3/12,0)),"N/A")</f>
        <v/>
      </c>
      <c r="M70" s="380"/>
      <c r="N70" s="355"/>
      <c r="O70" s="175" t="str">
        <f t="shared" si="2"/>
        <v/>
      </c>
      <c r="P70" s="79" t="str">
        <f t="shared" si="3"/>
        <v/>
      </c>
    </row>
    <row r="71" spans="3:16" ht="15" hidden="1" customHeight="1" outlineLevel="1" x14ac:dyDescent="0.2">
      <c r="C71" s="358"/>
      <c r="D71" s="358"/>
      <c r="E71" s="378"/>
      <c r="F71" s="379"/>
      <c r="G71" s="356"/>
      <c r="H71" s="356"/>
      <c r="I71" s="357"/>
      <c r="J71" s="357"/>
      <c r="K71" s="79" t="str">
        <f t="shared" si="1"/>
        <v/>
      </c>
      <c r="L71" s="79" t="str">
        <f>IFERROR(IF(OR($D71="",$G71=""),"",ROUNDDOWN(INDEX(Data!$AS$11:$BC$98,MATCH(Details!$E$18,Data!$AR$11:$AR$98,0),MATCH(VLOOKUP($D71,Data!$BE$11:$BF$16,2),Data!$AS$10:$BC$10,0))*2*$G71*0.3/12,0)),"N/A")</f>
        <v/>
      </c>
      <c r="M71" s="380"/>
      <c r="N71" s="355"/>
      <c r="O71" s="175" t="str">
        <f t="shared" si="2"/>
        <v/>
      </c>
      <c r="P71" s="79" t="str">
        <f t="shared" si="3"/>
        <v/>
      </c>
    </row>
    <row r="72" spans="3:16" ht="15" hidden="1" customHeight="1" outlineLevel="1" x14ac:dyDescent="0.2">
      <c r="C72" s="358"/>
      <c r="D72" s="358"/>
      <c r="E72" s="378"/>
      <c r="F72" s="379"/>
      <c r="G72" s="356"/>
      <c r="H72" s="356"/>
      <c r="I72" s="357"/>
      <c r="J72" s="357"/>
      <c r="K72" s="79" t="str">
        <f t="shared" si="1"/>
        <v/>
      </c>
      <c r="L72" s="79" t="str">
        <f>IFERROR(IF(OR($D72="",$G72=""),"",ROUNDDOWN(INDEX(Data!$AS$11:$BC$98,MATCH(Details!$E$18,Data!$AR$11:$AR$98,0),MATCH(VLOOKUP($D72,Data!$BE$11:$BF$16,2),Data!$AS$10:$BC$10,0))*2*$G72*0.3/12,0)),"N/A")</f>
        <v/>
      </c>
      <c r="M72" s="380"/>
      <c r="N72" s="355"/>
      <c r="O72" s="175" t="str">
        <f t="shared" si="2"/>
        <v/>
      </c>
      <c r="P72" s="79" t="str">
        <f t="shared" si="3"/>
        <v/>
      </c>
    </row>
    <row r="73" spans="3:16" ht="15" hidden="1" customHeight="1" outlineLevel="1" x14ac:dyDescent="0.2">
      <c r="C73" s="358"/>
      <c r="D73" s="358"/>
      <c r="E73" s="378"/>
      <c r="F73" s="379"/>
      <c r="G73" s="356"/>
      <c r="H73" s="356"/>
      <c r="I73" s="357"/>
      <c r="J73" s="357"/>
      <c r="K73" s="79" t="str">
        <f t="shared" si="1"/>
        <v/>
      </c>
      <c r="L73" s="79" t="str">
        <f>IFERROR(IF(OR($D73="",$G73=""),"",ROUNDDOWN(INDEX(Data!$AS$11:$BC$98,MATCH(Details!$E$18,Data!$AR$11:$AR$98,0),MATCH(VLOOKUP($D73,Data!$BE$11:$BF$16,2),Data!$AS$10:$BC$10,0))*2*$G73*0.3/12,0)),"N/A")</f>
        <v/>
      </c>
      <c r="M73" s="380"/>
      <c r="N73" s="355"/>
      <c r="O73" s="175" t="str">
        <f t="shared" si="2"/>
        <v/>
      </c>
      <c r="P73" s="79" t="str">
        <f t="shared" si="3"/>
        <v/>
      </c>
    </row>
    <row r="74" spans="3:16" ht="15" hidden="1" customHeight="1" outlineLevel="1" x14ac:dyDescent="0.2">
      <c r="C74" s="358"/>
      <c r="D74" s="358"/>
      <c r="E74" s="378"/>
      <c r="F74" s="379"/>
      <c r="G74" s="356"/>
      <c r="H74" s="356"/>
      <c r="I74" s="357"/>
      <c r="J74" s="357"/>
      <c r="K74" s="79" t="str">
        <f t="shared" si="1"/>
        <v/>
      </c>
      <c r="L74" s="79" t="str">
        <f>IFERROR(IF(OR($D74="",$G74=""),"",ROUNDDOWN(INDEX(Data!$AS$11:$BC$98,MATCH(Details!$E$18,Data!$AR$11:$AR$98,0),MATCH(VLOOKUP($D74,Data!$BE$11:$BF$16,2),Data!$AS$10:$BC$10,0))*2*$G74*0.3/12,0)),"N/A")</f>
        <v/>
      </c>
      <c r="M74" s="380"/>
      <c r="N74" s="355"/>
      <c r="O74" s="175" t="str">
        <f t="shared" si="2"/>
        <v/>
      </c>
      <c r="P74" s="79" t="str">
        <f t="shared" si="3"/>
        <v/>
      </c>
    </row>
    <row r="75" spans="3:16" ht="15" hidden="1" customHeight="1" outlineLevel="1" x14ac:dyDescent="0.2">
      <c r="C75" s="358"/>
      <c r="D75" s="358"/>
      <c r="E75" s="378"/>
      <c r="F75" s="379"/>
      <c r="G75" s="356"/>
      <c r="H75" s="356"/>
      <c r="I75" s="357"/>
      <c r="J75" s="357"/>
      <c r="K75" s="79" t="str">
        <f t="shared" si="1"/>
        <v/>
      </c>
      <c r="L75" s="79" t="str">
        <f>IFERROR(IF(OR($D75="",$G75=""),"",ROUNDDOWN(INDEX(Data!$AS$11:$BC$98,MATCH(Details!$E$18,Data!$AR$11:$AR$98,0),MATCH(VLOOKUP($D75,Data!$BE$11:$BF$16,2),Data!$AS$10:$BC$10,0))*2*$G75*0.3/12,0)),"N/A")</f>
        <v/>
      </c>
      <c r="M75" s="380"/>
      <c r="N75" s="355"/>
      <c r="O75" s="175" t="str">
        <f t="shared" si="2"/>
        <v/>
      </c>
      <c r="P75" s="79" t="str">
        <f t="shared" si="3"/>
        <v/>
      </c>
    </row>
    <row r="76" spans="3:16" ht="15" hidden="1" customHeight="1" outlineLevel="1" x14ac:dyDescent="0.2">
      <c r="C76" s="358"/>
      <c r="D76" s="358"/>
      <c r="E76" s="378"/>
      <c r="F76" s="379"/>
      <c r="G76" s="356"/>
      <c r="H76" s="356"/>
      <c r="I76" s="357"/>
      <c r="J76" s="357"/>
      <c r="K76" s="79" t="str">
        <f t="shared" si="1"/>
        <v/>
      </c>
      <c r="L76" s="79" t="str">
        <f>IFERROR(IF(OR($D76="",$G76=""),"",ROUNDDOWN(INDEX(Data!$AS$11:$BC$98,MATCH(Details!$E$18,Data!$AR$11:$AR$98,0),MATCH(VLOOKUP($D76,Data!$BE$11:$BF$16,2),Data!$AS$10:$BC$10,0))*2*$G76*0.3/12,0)),"N/A")</f>
        <v/>
      </c>
      <c r="M76" s="380"/>
      <c r="N76" s="355"/>
      <c r="O76" s="175" t="str">
        <f t="shared" si="2"/>
        <v/>
      </c>
      <c r="P76" s="79" t="str">
        <f t="shared" si="3"/>
        <v/>
      </c>
    </row>
    <row r="77" spans="3:16" ht="15" hidden="1" customHeight="1" outlineLevel="1" x14ac:dyDescent="0.2">
      <c r="C77" s="358"/>
      <c r="D77" s="358"/>
      <c r="E77" s="378"/>
      <c r="F77" s="379"/>
      <c r="G77" s="356"/>
      <c r="H77" s="356"/>
      <c r="I77" s="357"/>
      <c r="J77" s="357"/>
      <c r="K77" s="79" t="str">
        <f t="shared" si="1"/>
        <v/>
      </c>
      <c r="L77" s="79" t="str">
        <f>IFERROR(IF(OR($D77="",$G77=""),"",ROUNDDOWN(INDEX(Data!$AS$11:$BC$98,MATCH(Details!$E$18,Data!$AR$11:$AR$98,0),MATCH(VLOOKUP($D77,Data!$BE$11:$BF$16,2),Data!$AS$10:$BC$10,0))*2*$G77*0.3/12,0)),"N/A")</f>
        <v/>
      </c>
      <c r="M77" s="380"/>
      <c r="N77" s="355"/>
      <c r="O77" s="175" t="str">
        <f t="shared" si="2"/>
        <v/>
      </c>
      <c r="P77" s="79" t="str">
        <f t="shared" si="3"/>
        <v/>
      </c>
    </row>
    <row r="78" spans="3:16" ht="15" hidden="1" customHeight="1" outlineLevel="1" x14ac:dyDescent="0.2">
      <c r="C78" s="358"/>
      <c r="D78" s="358"/>
      <c r="E78" s="378"/>
      <c r="F78" s="379"/>
      <c r="G78" s="356"/>
      <c r="H78" s="356"/>
      <c r="I78" s="357"/>
      <c r="J78" s="357"/>
      <c r="K78" s="79" t="str">
        <f t="shared" si="1"/>
        <v/>
      </c>
      <c r="L78" s="79" t="str">
        <f>IFERROR(IF(OR($D78="",$G78=""),"",ROUNDDOWN(INDEX(Data!$AS$11:$BC$98,MATCH(Details!$E$18,Data!$AR$11:$AR$98,0),MATCH(VLOOKUP($D78,Data!$BE$11:$BF$16,2),Data!$AS$10:$BC$10,0))*2*$G78*0.3/12,0)),"N/A")</f>
        <v/>
      </c>
      <c r="M78" s="380"/>
      <c r="N78" s="355"/>
      <c r="O78" s="175" t="str">
        <f t="shared" si="2"/>
        <v/>
      </c>
      <c r="P78" s="79" t="str">
        <f t="shared" si="3"/>
        <v/>
      </c>
    </row>
    <row r="79" spans="3:16" ht="15" hidden="1" customHeight="1" outlineLevel="1" x14ac:dyDescent="0.2">
      <c r="C79" s="358"/>
      <c r="D79" s="358"/>
      <c r="E79" s="378"/>
      <c r="F79" s="379"/>
      <c r="G79" s="356"/>
      <c r="H79" s="356"/>
      <c r="I79" s="357"/>
      <c r="J79" s="357"/>
      <c r="K79" s="79" t="str">
        <f t="shared" si="1"/>
        <v/>
      </c>
      <c r="L79" s="79" t="str">
        <f>IFERROR(IF(OR($D79="",$G79=""),"",ROUNDDOWN(INDEX(Data!$AS$11:$BC$98,MATCH(Details!$E$18,Data!$AR$11:$AR$98,0),MATCH(VLOOKUP($D79,Data!$BE$11:$BF$16,2),Data!$AS$10:$BC$10,0))*2*$G79*0.3/12,0)),"N/A")</f>
        <v/>
      </c>
      <c r="M79" s="380"/>
      <c r="N79" s="355"/>
      <c r="O79" s="175" t="str">
        <f t="shared" si="2"/>
        <v/>
      </c>
      <c r="P79" s="79" t="str">
        <f t="shared" si="3"/>
        <v/>
      </c>
    </row>
    <row r="80" spans="3:16" ht="15" hidden="1" customHeight="1" outlineLevel="1" x14ac:dyDescent="0.2">
      <c r="C80" s="358"/>
      <c r="D80" s="358"/>
      <c r="E80" s="378"/>
      <c r="F80" s="379"/>
      <c r="G80" s="356"/>
      <c r="H80" s="356"/>
      <c r="I80" s="357"/>
      <c r="J80" s="357"/>
      <c r="K80" s="79" t="str">
        <f t="shared" si="1"/>
        <v/>
      </c>
      <c r="L80" s="79" t="str">
        <f>IFERROR(IF(OR($D80="",$G80=""),"",ROUNDDOWN(INDEX(Data!$AS$11:$BC$98,MATCH(Details!$E$18,Data!$AR$11:$AR$98,0),MATCH(VLOOKUP($D80,Data!$BE$11:$BF$16,2),Data!$AS$10:$BC$10,0))*2*$G80*0.3/12,0)),"N/A")</f>
        <v/>
      </c>
      <c r="M80" s="380"/>
      <c r="N80" s="355"/>
      <c r="O80" s="175" t="str">
        <f t="shared" si="2"/>
        <v/>
      </c>
      <c r="P80" s="79" t="str">
        <f t="shared" si="3"/>
        <v/>
      </c>
    </row>
    <row r="81" spans="3:16" ht="15" hidden="1" customHeight="1" outlineLevel="1" x14ac:dyDescent="0.2">
      <c r="C81" s="358"/>
      <c r="D81" s="358"/>
      <c r="E81" s="378"/>
      <c r="F81" s="379"/>
      <c r="G81" s="356"/>
      <c r="H81" s="356"/>
      <c r="I81" s="357"/>
      <c r="J81" s="357"/>
      <c r="K81" s="79" t="str">
        <f t="shared" si="1"/>
        <v/>
      </c>
      <c r="L81" s="79" t="str">
        <f>IFERROR(IF(OR($D81="",$G81=""),"",ROUNDDOWN(INDEX(Data!$AS$11:$BC$98,MATCH(Details!$E$18,Data!$AR$11:$AR$98,0),MATCH(VLOOKUP($D81,Data!$BE$11:$BF$16,2),Data!$AS$10:$BC$10,0))*2*$G81*0.3/12,0)),"N/A")</f>
        <v/>
      </c>
      <c r="M81" s="380"/>
      <c r="N81" s="355"/>
      <c r="O81" s="175" t="str">
        <f t="shared" si="2"/>
        <v/>
      </c>
      <c r="P81" s="79" t="str">
        <f t="shared" si="3"/>
        <v/>
      </c>
    </row>
    <row r="82" spans="3:16" ht="15" hidden="1" customHeight="1" outlineLevel="1" x14ac:dyDescent="0.2">
      <c r="C82" s="358"/>
      <c r="D82" s="358"/>
      <c r="E82" s="378"/>
      <c r="F82" s="379"/>
      <c r="G82" s="356"/>
      <c r="H82" s="356"/>
      <c r="I82" s="357"/>
      <c r="J82" s="357"/>
      <c r="K82" s="79" t="str">
        <f t="shared" si="1"/>
        <v/>
      </c>
      <c r="L82" s="79" t="str">
        <f>IFERROR(IF(OR($D82="",$G82=""),"",ROUNDDOWN(INDEX(Data!$AS$11:$BC$98,MATCH(Details!$E$18,Data!$AR$11:$AR$98,0),MATCH(VLOOKUP($D82,Data!$BE$11:$BF$16,2),Data!$AS$10:$BC$10,0))*2*$G82*0.3/12,0)),"N/A")</f>
        <v/>
      </c>
      <c r="M82" s="380"/>
      <c r="N82" s="355"/>
      <c r="O82" s="175" t="str">
        <f t="shared" si="2"/>
        <v/>
      </c>
      <c r="P82" s="79" t="str">
        <f t="shared" si="3"/>
        <v/>
      </c>
    </row>
    <row r="83" spans="3:16" ht="15" hidden="1" customHeight="1" outlineLevel="1" x14ac:dyDescent="0.2">
      <c r="C83" s="358"/>
      <c r="D83" s="358"/>
      <c r="E83" s="378"/>
      <c r="F83" s="379"/>
      <c r="G83" s="356"/>
      <c r="H83" s="356"/>
      <c r="I83" s="357"/>
      <c r="J83" s="357"/>
      <c r="K83" s="79" t="str">
        <f t="shared" si="1"/>
        <v/>
      </c>
      <c r="L83" s="79" t="str">
        <f>IFERROR(IF(OR($D83="",$G83=""),"",ROUNDDOWN(INDEX(Data!$AS$11:$BC$98,MATCH(Details!$E$18,Data!$AR$11:$AR$98,0),MATCH(VLOOKUP($D83,Data!$BE$11:$BF$16,2),Data!$AS$10:$BC$10,0))*2*$G83*0.3/12,0)),"N/A")</f>
        <v/>
      </c>
      <c r="M83" s="380"/>
      <c r="N83" s="355"/>
      <c r="O83" s="175" t="str">
        <f t="shared" si="2"/>
        <v/>
      </c>
      <c r="P83" s="79" t="str">
        <f t="shared" si="3"/>
        <v/>
      </c>
    </row>
    <row r="84" spans="3:16" ht="15" hidden="1" customHeight="1" outlineLevel="1" x14ac:dyDescent="0.2">
      <c r="C84" s="358"/>
      <c r="D84" s="358"/>
      <c r="E84" s="378"/>
      <c r="F84" s="379"/>
      <c r="G84" s="356"/>
      <c r="H84" s="356"/>
      <c r="I84" s="357"/>
      <c r="J84" s="357"/>
      <c r="K84" s="79" t="str">
        <f t="shared" si="1"/>
        <v/>
      </c>
      <c r="L84" s="79" t="str">
        <f>IFERROR(IF(OR($D84="",$G84=""),"",ROUNDDOWN(INDEX(Data!$AS$11:$BC$98,MATCH(Details!$E$18,Data!$AR$11:$AR$98,0),MATCH(VLOOKUP($D84,Data!$BE$11:$BF$16,2),Data!$AS$10:$BC$10,0))*2*$G84*0.3/12,0)),"N/A")</f>
        <v/>
      </c>
      <c r="M84" s="380"/>
      <c r="N84" s="355"/>
      <c r="O84" s="175" t="str">
        <f t="shared" si="2"/>
        <v/>
      </c>
      <c r="P84" s="79" t="str">
        <f t="shared" si="3"/>
        <v/>
      </c>
    </row>
    <row r="85" spans="3:16" ht="15" hidden="1" customHeight="1" outlineLevel="1" x14ac:dyDescent="0.2">
      <c r="C85" s="358"/>
      <c r="D85" s="358"/>
      <c r="E85" s="378"/>
      <c r="F85" s="379"/>
      <c r="G85" s="356"/>
      <c r="H85" s="356"/>
      <c r="I85" s="357"/>
      <c r="J85" s="357"/>
      <c r="K85" s="79" t="str">
        <f t="shared" si="1"/>
        <v/>
      </c>
      <c r="L85" s="79" t="str">
        <f>IFERROR(IF(OR($D85="",$G85=""),"",ROUNDDOWN(INDEX(Data!$AS$11:$BC$98,MATCH(Details!$E$18,Data!$AR$11:$AR$98,0),MATCH(VLOOKUP($D85,Data!$BE$11:$BF$16,2),Data!$AS$10:$BC$10,0))*2*$G85*0.3/12,0)),"N/A")</f>
        <v/>
      </c>
      <c r="M85" s="380"/>
      <c r="N85" s="355"/>
      <c r="O85" s="175" t="str">
        <f t="shared" si="2"/>
        <v/>
      </c>
      <c r="P85" s="79" t="str">
        <f t="shared" si="3"/>
        <v/>
      </c>
    </row>
    <row r="86" spans="3:16" ht="15" hidden="1" customHeight="1" outlineLevel="1" x14ac:dyDescent="0.2">
      <c r="C86" s="358"/>
      <c r="D86" s="358"/>
      <c r="E86" s="378"/>
      <c r="F86" s="379"/>
      <c r="G86" s="356"/>
      <c r="H86" s="356"/>
      <c r="I86" s="357"/>
      <c r="J86" s="357"/>
      <c r="K86" s="79" t="str">
        <f t="shared" si="1"/>
        <v/>
      </c>
      <c r="L86" s="79" t="str">
        <f>IFERROR(IF(OR($D86="",$G86=""),"",ROUNDDOWN(INDEX(Data!$AS$11:$BC$98,MATCH(Details!$E$18,Data!$AR$11:$AR$98,0),MATCH(VLOOKUP($D86,Data!$BE$11:$BF$16,2),Data!$AS$10:$BC$10,0))*2*$G86*0.3/12,0)),"N/A")</f>
        <v/>
      </c>
      <c r="M86" s="380"/>
      <c r="N86" s="355"/>
      <c r="O86" s="175" t="str">
        <f t="shared" si="2"/>
        <v/>
      </c>
      <c r="P86" s="79" t="str">
        <f t="shared" si="3"/>
        <v/>
      </c>
    </row>
    <row r="87" spans="3:16" ht="15" hidden="1" customHeight="1" outlineLevel="1" x14ac:dyDescent="0.2">
      <c r="C87" s="358"/>
      <c r="D87" s="358"/>
      <c r="E87" s="378"/>
      <c r="F87" s="379"/>
      <c r="G87" s="356"/>
      <c r="H87" s="356"/>
      <c r="I87" s="357"/>
      <c r="J87" s="357"/>
      <c r="K87" s="79" t="str">
        <f t="shared" si="1"/>
        <v/>
      </c>
      <c r="L87" s="79" t="str">
        <f>IFERROR(IF(OR($D87="",$G87=""),"",ROUNDDOWN(INDEX(Data!$AS$11:$BC$98,MATCH(Details!$E$18,Data!$AR$11:$AR$98,0),MATCH(VLOOKUP($D87,Data!$BE$11:$BF$16,2),Data!$AS$10:$BC$10,0))*2*$G87*0.3/12,0)),"N/A")</f>
        <v/>
      </c>
      <c r="M87" s="380"/>
      <c r="N87" s="355"/>
      <c r="O87" s="175" t="str">
        <f t="shared" si="2"/>
        <v/>
      </c>
      <c r="P87" s="79" t="str">
        <f t="shared" si="3"/>
        <v/>
      </c>
    </row>
    <row r="88" spans="3:16" ht="15" hidden="1" customHeight="1" outlineLevel="1" x14ac:dyDescent="0.2">
      <c r="C88" s="358"/>
      <c r="D88" s="358"/>
      <c r="E88" s="378"/>
      <c r="F88" s="379"/>
      <c r="G88" s="356"/>
      <c r="H88" s="356"/>
      <c r="I88" s="357"/>
      <c r="J88" s="357"/>
      <c r="K88" s="79" t="str">
        <f t="shared" si="1"/>
        <v/>
      </c>
      <c r="L88" s="79" t="str">
        <f>IFERROR(IF(OR($D88="",$G88=""),"",ROUNDDOWN(INDEX(Data!$AS$11:$BC$98,MATCH(Details!$E$18,Data!$AR$11:$AR$98,0),MATCH(VLOOKUP($D88,Data!$BE$11:$BF$16,2),Data!$AS$10:$BC$10,0))*2*$G88*0.3/12,0)),"N/A")</f>
        <v/>
      </c>
      <c r="M88" s="380"/>
      <c r="N88" s="355"/>
      <c r="O88" s="175" t="str">
        <f t="shared" si="2"/>
        <v/>
      </c>
      <c r="P88" s="79" t="str">
        <f t="shared" si="3"/>
        <v/>
      </c>
    </row>
    <row r="89" spans="3:16" ht="15" hidden="1" customHeight="1" outlineLevel="1" x14ac:dyDescent="0.2">
      <c r="C89" s="358"/>
      <c r="D89" s="358"/>
      <c r="E89" s="378"/>
      <c r="F89" s="379"/>
      <c r="G89" s="356"/>
      <c r="H89" s="356"/>
      <c r="I89" s="357"/>
      <c r="J89" s="357"/>
      <c r="K89" s="79" t="str">
        <f t="shared" si="1"/>
        <v/>
      </c>
      <c r="L89" s="79" t="str">
        <f>IFERROR(IF(OR($D89="",$G89=""),"",ROUNDDOWN(INDEX(Data!$AS$11:$BC$98,MATCH(Details!$E$18,Data!$AR$11:$AR$98,0),MATCH(VLOOKUP($D89,Data!$BE$11:$BF$16,2),Data!$AS$10:$BC$10,0))*2*$G89*0.3/12,0)),"N/A")</f>
        <v/>
      </c>
      <c r="M89" s="380"/>
      <c r="N89" s="355"/>
      <c r="O89" s="175" t="str">
        <f t="shared" si="2"/>
        <v/>
      </c>
      <c r="P89" s="79" t="str">
        <f t="shared" si="3"/>
        <v/>
      </c>
    </row>
    <row r="90" spans="3:16" ht="15" hidden="1" customHeight="1" outlineLevel="1" x14ac:dyDescent="0.2">
      <c r="C90" s="358"/>
      <c r="D90" s="358"/>
      <c r="E90" s="378"/>
      <c r="F90" s="379"/>
      <c r="G90" s="356"/>
      <c r="H90" s="356"/>
      <c r="I90" s="357"/>
      <c r="J90" s="357"/>
      <c r="K90" s="79" t="str">
        <f t="shared" si="1"/>
        <v/>
      </c>
      <c r="L90" s="79" t="str">
        <f>IFERROR(IF(OR($D90="",$G90=""),"",ROUNDDOWN(INDEX(Data!$AS$11:$BC$98,MATCH(Details!$E$18,Data!$AR$11:$AR$98,0),MATCH(VLOOKUP($D90,Data!$BE$11:$BF$16,2),Data!$AS$10:$BC$10,0))*2*$G90*0.3/12,0)),"N/A")</f>
        <v/>
      </c>
      <c r="M90" s="380"/>
      <c r="N90" s="355"/>
      <c r="O90" s="175" t="str">
        <f t="shared" si="2"/>
        <v/>
      </c>
      <c r="P90" s="79" t="str">
        <f t="shared" si="3"/>
        <v/>
      </c>
    </row>
    <row r="91" spans="3:16" ht="15" hidden="1" customHeight="1" outlineLevel="1" x14ac:dyDescent="0.2">
      <c r="C91" s="358"/>
      <c r="D91" s="358"/>
      <c r="E91" s="378"/>
      <c r="F91" s="379"/>
      <c r="G91" s="356"/>
      <c r="H91" s="356"/>
      <c r="I91" s="357"/>
      <c r="J91" s="357"/>
      <c r="K91" s="79" t="str">
        <f t="shared" si="1"/>
        <v/>
      </c>
      <c r="L91" s="79" t="str">
        <f>IFERROR(IF(OR($D91="",$G91=""),"",ROUNDDOWN(INDEX(Data!$AS$11:$BC$98,MATCH(Details!$E$18,Data!$AR$11:$AR$98,0),MATCH(VLOOKUP($D91,Data!$BE$11:$BF$16,2),Data!$AS$10:$BC$10,0))*2*$G91*0.3/12,0)),"N/A")</f>
        <v/>
      </c>
      <c r="M91" s="380"/>
      <c r="N91" s="355"/>
      <c r="O91" s="175" t="str">
        <f t="shared" si="2"/>
        <v/>
      </c>
      <c r="P91" s="79" t="str">
        <f t="shared" si="3"/>
        <v/>
      </c>
    </row>
    <row r="92" spans="3:16" ht="15" hidden="1" customHeight="1" outlineLevel="1" x14ac:dyDescent="0.2">
      <c r="C92" s="358"/>
      <c r="D92" s="358"/>
      <c r="E92" s="378"/>
      <c r="F92" s="379"/>
      <c r="G92" s="356"/>
      <c r="H92" s="356"/>
      <c r="I92" s="357"/>
      <c r="J92" s="357"/>
      <c r="K92" s="79" t="str">
        <f t="shared" si="1"/>
        <v/>
      </c>
      <c r="L92" s="79" t="str">
        <f>IFERROR(IF(OR($D92="",$G92=""),"",ROUNDDOWN(INDEX(Data!$AS$11:$BC$98,MATCH(Details!$E$18,Data!$AR$11:$AR$98,0),MATCH(VLOOKUP($D92,Data!$BE$11:$BF$16,2),Data!$AS$10:$BC$10,0))*2*$G92*0.3/12,0)),"N/A")</f>
        <v/>
      </c>
      <c r="M92" s="380"/>
      <c r="N92" s="355"/>
      <c r="O92" s="175" t="str">
        <f t="shared" si="2"/>
        <v/>
      </c>
      <c r="P92" s="79" t="str">
        <f t="shared" si="3"/>
        <v/>
      </c>
    </row>
    <row r="93" spans="3:16" ht="15" customHeight="1" collapsed="1" x14ac:dyDescent="0.2"/>
    <row r="94" spans="3:16" ht="15" customHeight="1" x14ac:dyDescent="0.25">
      <c r="C94" s="164">
        <f>SUM(C47:C92)</f>
        <v>0</v>
      </c>
      <c r="D94" s="1295" t="s">
        <v>463</v>
      </c>
      <c r="E94" s="1296"/>
      <c r="F94" s="1296"/>
      <c r="G94" s="176"/>
      <c r="M94" s="1299" t="s">
        <v>476</v>
      </c>
      <c r="N94" s="1299"/>
      <c r="O94" s="1300"/>
      <c r="P94" s="177">
        <f>SUM(P47:P92)</f>
        <v>0</v>
      </c>
    </row>
    <row r="95" spans="3:16" ht="15" customHeight="1" x14ac:dyDescent="0.2"/>
    <row r="96" spans="3:16" ht="15" customHeight="1" x14ac:dyDescent="0.2">
      <c r="C96" s="30" t="s">
        <v>464</v>
      </c>
      <c r="D96" s="30"/>
      <c r="E96" s="30"/>
      <c r="F96" s="30"/>
    </row>
    <row r="97" spans="3:16" ht="5.25" customHeight="1" x14ac:dyDescent="0.2"/>
    <row r="98" spans="3:16" ht="30" customHeight="1" x14ac:dyDescent="0.2">
      <c r="C98" s="1004" t="s">
        <v>481</v>
      </c>
      <c r="D98" s="1004" t="s">
        <v>482</v>
      </c>
      <c r="E98" s="1004" t="s">
        <v>483</v>
      </c>
      <c r="F98" s="1004" t="s">
        <v>3493</v>
      </c>
    </row>
    <row r="99" spans="3:16" ht="15" customHeight="1" x14ac:dyDescent="0.2">
      <c r="C99" s="355"/>
      <c r="D99" s="355"/>
      <c r="E99" s="378"/>
      <c r="F99" s="355"/>
    </row>
    <row r="100" spans="3:16" ht="15" customHeight="1" x14ac:dyDescent="0.2"/>
    <row r="101" spans="3:16" ht="15" customHeight="1" x14ac:dyDescent="0.2">
      <c r="C101" s="164">
        <f>SUM(C94,C99)</f>
        <v>0</v>
      </c>
      <c r="D101" s="1295" t="s">
        <v>465</v>
      </c>
      <c r="E101" s="1296"/>
      <c r="F101" s="1296"/>
      <c r="G101" s="1296"/>
    </row>
    <row r="102" spans="3:16" ht="15" customHeight="1" x14ac:dyDescent="0.2"/>
    <row r="103" spans="3:16" ht="15" customHeight="1" x14ac:dyDescent="0.2"/>
    <row r="104" spans="3:16" ht="15" customHeight="1" x14ac:dyDescent="0.2">
      <c r="C104" s="1281" t="s">
        <v>460</v>
      </c>
      <c r="D104" s="1281"/>
      <c r="E104" s="1281"/>
      <c r="F104" s="1281"/>
      <c r="G104" s="1281"/>
      <c r="H104" s="1281"/>
      <c r="I104" s="1281"/>
      <c r="J104" s="1281"/>
      <c r="K104" s="1281"/>
      <c r="L104" s="1281"/>
      <c r="M104" s="1281"/>
      <c r="N104" s="1281"/>
      <c r="O104" s="1281"/>
    </row>
    <row r="105" spans="3:16" ht="3" customHeight="1" x14ac:dyDescent="0.2">
      <c r="C105" s="1133"/>
      <c r="D105" s="1133"/>
      <c r="E105" s="1133"/>
      <c r="F105" s="1133"/>
      <c r="G105" s="1133"/>
      <c r="H105" s="1133"/>
      <c r="I105" s="1133"/>
      <c r="J105" s="1133"/>
      <c r="K105" s="1133"/>
      <c r="L105" s="1133"/>
      <c r="M105" s="1133"/>
      <c r="N105" s="1133"/>
      <c r="O105" s="1133"/>
    </row>
    <row r="106" spans="3:16" ht="15" customHeight="1" x14ac:dyDescent="0.2"/>
    <row r="107" spans="3:16" ht="15" customHeight="1" x14ac:dyDescent="0.2">
      <c r="C107" s="1301" t="s">
        <v>454</v>
      </c>
      <c r="D107" s="1301"/>
      <c r="E107" s="1301"/>
      <c r="F107" s="1301"/>
      <c r="G107" s="1301"/>
      <c r="I107" s="1301" t="s">
        <v>455</v>
      </c>
      <c r="J107" s="1301"/>
      <c r="K107" s="1301"/>
      <c r="M107" s="1301" t="s">
        <v>456</v>
      </c>
      <c r="N107" s="1301"/>
      <c r="O107" s="1301"/>
    </row>
    <row r="108" spans="3:16" ht="5.25" customHeight="1" x14ac:dyDescent="0.2"/>
    <row r="109" spans="3:16" s="7" customFormat="1" ht="30" customHeight="1" x14ac:dyDescent="0.2">
      <c r="C109" s="1134" t="s">
        <v>452</v>
      </c>
      <c r="D109" s="1136"/>
      <c r="E109" s="1134" t="s">
        <v>344</v>
      </c>
      <c r="F109" s="1136"/>
      <c r="G109" s="1004" t="s">
        <v>345</v>
      </c>
      <c r="I109" s="1004" t="s">
        <v>453</v>
      </c>
      <c r="J109" s="1004" t="s">
        <v>344</v>
      </c>
      <c r="K109" s="1004" t="s">
        <v>345</v>
      </c>
      <c r="M109" s="1004" t="s">
        <v>424</v>
      </c>
      <c r="N109" s="1004" t="s">
        <v>344</v>
      </c>
      <c r="O109" s="1004" t="s">
        <v>345</v>
      </c>
    </row>
    <row r="110" spans="3:16" ht="15" customHeight="1" x14ac:dyDescent="0.2">
      <c r="C110" s="1275">
        <v>0.2</v>
      </c>
      <c r="D110" s="1276"/>
      <c r="E110" s="1259">
        <f>SUMIFS($C$47:$C$92,$H$47:$H$92,"&lt;=&amp;$C110")</f>
        <v>0</v>
      </c>
      <c r="F110" s="1261"/>
      <c r="G110" s="90">
        <f>IF($E$119=0,0,E110/$E$119)</f>
        <v>0</v>
      </c>
      <c r="H110" s="101"/>
      <c r="I110" s="178">
        <v>0.2</v>
      </c>
      <c r="J110" s="78">
        <f>SUMIFS($C$47:$C$92,$G$47:$G$92,"&lt;"&amp;$I110)</f>
        <v>0</v>
      </c>
      <c r="K110" s="90" t="str">
        <f>IF($J$19=0,"",$J110/$J$119)</f>
        <v/>
      </c>
      <c r="M110" s="179" t="s">
        <v>458</v>
      </c>
      <c r="N110" s="80">
        <f>SUMIF($D$47:$D$92,0,$C$47:$C$92)</f>
        <v>0</v>
      </c>
      <c r="O110" s="90">
        <f t="shared" ref="O110:O115" si="4">IF($N$116=0,0,$N110/$N$116)</f>
        <v>0</v>
      </c>
      <c r="P110" s="853"/>
    </row>
    <row r="111" spans="3:16" ht="15" customHeight="1" x14ac:dyDescent="0.2">
      <c r="C111" s="1275">
        <v>0.30000000000000004</v>
      </c>
      <c r="D111" s="1276"/>
      <c r="E111" s="1259">
        <f t="shared" ref="E111:E116" si="5">SUMIFS($C$47:$C$92,$H$47:$H$92,"&lt;="&amp;$C111,$H$47:$H$92,"&gt;"&amp;$C110)</f>
        <v>0</v>
      </c>
      <c r="F111" s="1261"/>
      <c r="G111" s="90">
        <f t="shared" ref="G111:G118" si="6">IF($E$119=0,0,E111/$E$119)</f>
        <v>0</v>
      </c>
      <c r="H111" s="101"/>
      <c r="I111" s="178">
        <v>0.30000000000000004</v>
      </c>
      <c r="J111" s="78">
        <f t="shared" ref="J111:J116" si="7">SUMIFS($C$47:$C$92,$G$47:$G$92,"&lt;="&amp;$I111,$G$47:$G$92,"&gt;"&amp;$I110)</f>
        <v>0</v>
      </c>
      <c r="K111" s="90" t="str">
        <f t="shared" ref="K111:K118" si="8">IF($J$19=0,"",$J111/$J$119)</f>
        <v/>
      </c>
      <c r="M111" s="179">
        <v>1</v>
      </c>
      <c r="N111" s="80">
        <f>SUMIF($D$47:$D$92,$M111,$C$47:$C$92)</f>
        <v>0</v>
      </c>
      <c r="O111" s="90">
        <f t="shared" si="4"/>
        <v>0</v>
      </c>
      <c r="P111" s="853"/>
    </row>
    <row r="112" spans="3:16" ht="15" customHeight="1" x14ac:dyDescent="0.2">
      <c r="C112" s="1275">
        <v>0.4</v>
      </c>
      <c r="D112" s="1276"/>
      <c r="E112" s="1259">
        <f t="shared" si="5"/>
        <v>0</v>
      </c>
      <c r="F112" s="1261"/>
      <c r="G112" s="90">
        <f t="shared" si="6"/>
        <v>0</v>
      </c>
      <c r="H112" s="101"/>
      <c r="I112" s="178">
        <v>0.4</v>
      </c>
      <c r="J112" s="78">
        <f t="shared" si="7"/>
        <v>0</v>
      </c>
      <c r="K112" s="90" t="str">
        <f t="shared" si="8"/>
        <v/>
      </c>
      <c r="M112" s="179">
        <v>2</v>
      </c>
      <c r="N112" s="80">
        <f>SUMIF($D$47:$D$92,$M112,$C$47:$C$92)</f>
        <v>0</v>
      </c>
      <c r="O112" s="90">
        <f t="shared" si="4"/>
        <v>0</v>
      </c>
      <c r="P112" s="853"/>
    </row>
    <row r="113" spans="3:16" ht="15" customHeight="1" x14ac:dyDescent="0.2">
      <c r="C113" s="1275">
        <v>0.5</v>
      </c>
      <c r="D113" s="1276"/>
      <c r="E113" s="1259">
        <f t="shared" si="5"/>
        <v>0</v>
      </c>
      <c r="F113" s="1261"/>
      <c r="G113" s="90">
        <f t="shared" si="6"/>
        <v>0</v>
      </c>
      <c r="H113" s="101"/>
      <c r="I113" s="178">
        <v>0.5</v>
      </c>
      <c r="J113" s="78">
        <f t="shared" si="7"/>
        <v>0</v>
      </c>
      <c r="K113" s="90" t="str">
        <f t="shared" si="8"/>
        <v/>
      </c>
      <c r="M113" s="179">
        <v>3</v>
      </c>
      <c r="N113" s="80">
        <f>SUMIF($D$47:$D$92,$M113,$C$47:$C$92)</f>
        <v>0</v>
      </c>
      <c r="O113" s="90">
        <f t="shared" si="4"/>
        <v>0</v>
      </c>
      <c r="P113" s="853"/>
    </row>
    <row r="114" spans="3:16" ht="15" customHeight="1" x14ac:dyDescent="0.2">
      <c r="C114" s="1275">
        <v>0.6</v>
      </c>
      <c r="D114" s="1276"/>
      <c r="E114" s="1259">
        <f t="shared" si="5"/>
        <v>0</v>
      </c>
      <c r="F114" s="1261"/>
      <c r="G114" s="90">
        <f t="shared" si="6"/>
        <v>0</v>
      </c>
      <c r="H114" s="101"/>
      <c r="I114" s="178">
        <v>0.6</v>
      </c>
      <c r="J114" s="78">
        <f t="shared" si="7"/>
        <v>0</v>
      </c>
      <c r="K114" s="90" t="str">
        <f t="shared" si="8"/>
        <v/>
      </c>
      <c r="M114" s="179">
        <v>4</v>
      </c>
      <c r="N114" s="80">
        <f>SUMIF($D$47:$D$92,$M114,$C$47:$C$92)</f>
        <v>0</v>
      </c>
      <c r="O114" s="90">
        <f t="shared" si="4"/>
        <v>0</v>
      </c>
      <c r="P114" s="853"/>
    </row>
    <row r="115" spans="3:16" ht="15" customHeight="1" thickBot="1" x14ac:dyDescent="0.25">
      <c r="C115" s="1275">
        <v>0.7</v>
      </c>
      <c r="D115" s="1276"/>
      <c r="E115" s="1259">
        <f t="shared" si="5"/>
        <v>0</v>
      </c>
      <c r="F115" s="1261"/>
      <c r="G115" s="90">
        <f t="shared" si="6"/>
        <v>0</v>
      </c>
      <c r="H115" s="101"/>
      <c r="I115" s="178">
        <v>0.7</v>
      </c>
      <c r="J115" s="78">
        <f t="shared" si="7"/>
        <v>0</v>
      </c>
      <c r="K115" s="90" t="str">
        <f t="shared" si="8"/>
        <v/>
      </c>
      <c r="M115" s="180">
        <v>5</v>
      </c>
      <c r="N115" s="181">
        <f>SUMIF($D$47:$D$92,$M115,$C$47:$C$92)</f>
        <v>0</v>
      </c>
      <c r="O115" s="182">
        <f t="shared" si="4"/>
        <v>0</v>
      </c>
      <c r="P115" s="853"/>
    </row>
    <row r="116" spans="3:16" ht="15" customHeight="1" thickTop="1" x14ac:dyDescent="0.2">
      <c r="C116" s="1275">
        <v>0.79999999999999993</v>
      </c>
      <c r="D116" s="1276"/>
      <c r="E116" s="1259">
        <f t="shared" si="5"/>
        <v>0</v>
      </c>
      <c r="F116" s="1261"/>
      <c r="G116" s="90">
        <f t="shared" si="6"/>
        <v>0</v>
      </c>
      <c r="H116" s="101"/>
      <c r="I116" s="178">
        <v>0.79999999999999993</v>
      </c>
      <c r="J116" s="78">
        <f t="shared" si="7"/>
        <v>0</v>
      </c>
      <c r="K116" s="90" t="str">
        <f t="shared" si="8"/>
        <v/>
      </c>
      <c r="M116" s="183" t="s">
        <v>101</v>
      </c>
      <c r="N116" s="184">
        <f>SUM(N110:N115)</f>
        <v>0</v>
      </c>
      <c r="O116" s="185">
        <f>SUM(O110:O115)</f>
        <v>0</v>
      </c>
    </row>
    <row r="117" spans="3:16" ht="15" customHeight="1" x14ac:dyDescent="0.2">
      <c r="C117" s="1168" t="s">
        <v>354</v>
      </c>
      <c r="D117" s="1170"/>
      <c r="E117" s="1279">
        <f>SUMIF($H$47:$H$92,"N/A",$C$47:$C$92)</f>
        <v>0</v>
      </c>
      <c r="F117" s="1280"/>
      <c r="G117" s="90">
        <f t="shared" si="6"/>
        <v>0</v>
      </c>
      <c r="H117" s="101"/>
      <c r="I117" s="100" t="s">
        <v>354</v>
      </c>
      <c r="J117" s="78">
        <f>SUMIF($G$47:$G$92,"N/A",$C$47:$C$92)</f>
        <v>0</v>
      </c>
      <c r="K117" s="90" t="str">
        <f t="shared" si="8"/>
        <v/>
      </c>
    </row>
    <row r="118" spans="3:16" ht="15" customHeight="1" thickBot="1" x14ac:dyDescent="0.25">
      <c r="C118" s="1277" t="s">
        <v>466</v>
      </c>
      <c r="D118" s="1278"/>
      <c r="E118" s="1273">
        <f>C99</f>
        <v>0</v>
      </c>
      <c r="F118" s="1274"/>
      <c r="G118" s="182">
        <f t="shared" si="6"/>
        <v>0</v>
      </c>
      <c r="H118" s="101"/>
      <c r="I118" s="186" t="s">
        <v>466</v>
      </c>
      <c r="J118" s="126">
        <f>C99</f>
        <v>0</v>
      </c>
      <c r="K118" s="182" t="str">
        <f t="shared" si="8"/>
        <v/>
      </c>
    </row>
    <row r="119" spans="3:16" ht="15" customHeight="1" thickTop="1" x14ac:dyDescent="0.2">
      <c r="C119" s="1282" t="s">
        <v>101</v>
      </c>
      <c r="D119" s="1283"/>
      <c r="E119" s="1286">
        <f>SUM(E110:E118)</f>
        <v>0</v>
      </c>
      <c r="F119" s="1287"/>
      <c r="G119" s="185">
        <f>SUM(G110:G118)</f>
        <v>0</v>
      </c>
      <c r="H119" s="187"/>
      <c r="I119" s="183" t="s">
        <v>101</v>
      </c>
      <c r="J119" s="183">
        <f>SUM(J110:J118)</f>
        <v>0</v>
      </c>
      <c r="K119" s="185">
        <f>SUM(K110:K118)</f>
        <v>0</v>
      </c>
      <c r="N119" s="853"/>
    </row>
    <row r="120" spans="3:16" ht="15" customHeight="1" x14ac:dyDescent="0.2"/>
    <row r="121" spans="3:16" ht="15" customHeight="1" x14ac:dyDescent="0.2">
      <c r="C121" s="1284" t="s">
        <v>467</v>
      </c>
      <c r="D121" s="1284"/>
      <c r="E121" s="1284"/>
      <c r="F121" s="1285"/>
      <c r="G121" s="188">
        <f>SUMPRODUCT(C110:C116,G110:G116)</f>
        <v>0</v>
      </c>
    </row>
    <row r="122" spans="3:16" ht="15" customHeight="1" x14ac:dyDescent="0.2"/>
    <row r="123" spans="3:16" ht="15" customHeight="1" x14ac:dyDescent="0.2"/>
    <row r="124" spans="3:16" ht="15" customHeight="1" x14ac:dyDescent="0.2">
      <c r="C124" s="1281" t="s">
        <v>468</v>
      </c>
      <c r="D124" s="1281"/>
      <c r="E124" s="1281"/>
      <c r="F124" s="1281"/>
      <c r="G124" s="1281"/>
      <c r="H124" s="1281"/>
      <c r="I124" s="1281"/>
      <c r="J124" s="1281"/>
      <c r="K124" s="1281"/>
      <c r="L124" s="1281"/>
      <c r="M124" s="1281"/>
      <c r="N124" s="1281"/>
      <c r="O124" s="1281"/>
    </row>
    <row r="125" spans="3:16" ht="3" customHeight="1" x14ac:dyDescent="0.2">
      <c r="C125" s="1133"/>
      <c r="D125" s="1133"/>
      <c r="E125" s="1133"/>
      <c r="F125" s="1133"/>
      <c r="G125" s="1133"/>
      <c r="H125" s="1133"/>
      <c r="I125" s="1133"/>
      <c r="J125" s="1133"/>
      <c r="K125" s="1133"/>
      <c r="L125" s="1133"/>
      <c r="M125" s="1133"/>
      <c r="N125" s="1133"/>
      <c r="O125" s="1133"/>
    </row>
    <row r="126" spans="3:16" ht="5.25" customHeight="1" x14ac:dyDescent="0.2"/>
    <row r="127" spans="3:16" ht="15" customHeight="1" x14ac:dyDescent="0.2">
      <c r="C127" s="30" t="s">
        <v>471</v>
      </c>
      <c r="D127" s="30"/>
      <c r="E127" s="30"/>
      <c r="F127" s="30"/>
      <c r="G127" s="30"/>
      <c r="H127" s="30"/>
      <c r="I127" s="30"/>
      <c r="J127" s="30"/>
    </row>
    <row r="128" spans="3:16" ht="5.25" customHeight="1" x14ac:dyDescent="0.2"/>
    <row r="129" spans="3:10" ht="45" customHeight="1" x14ac:dyDescent="0.2">
      <c r="C129" s="1180" t="s">
        <v>470</v>
      </c>
      <c r="D129" s="1180"/>
      <c r="E129" s="1180"/>
      <c r="F129" s="1180"/>
      <c r="G129" s="1004" t="s">
        <v>472</v>
      </c>
      <c r="H129" s="1004" t="s">
        <v>2000</v>
      </c>
      <c r="I129" s="1004" t="s">
        <v>2001</v>
      </c>
      <c r="J129" s="1004" t="s">
        <v>474</v>
      </c>
    </row>
    <row r="130" spans="3:10" ht="15" customHeight="1" x14ac:dyDescent="0.2">
      <c r="C130" s="1262"/>
      <c r="D130" s="1262"/>
      <c r="E130" s="1262"/>
      <c r="F130" s="1262"/>
      <c r="G130" s="355"/>
      <c r="H130" s="379"/>
      <c r="I130" s="381"/>
      <c r="J130" s="79">
        <f>H130*I130*12</f>
        <v>0</v>
      </c>
    </row>
    <row r="131" spans="3:10" ht="15" customHeight="1" x14ac:dyDescent="0.2">
      <c r="C131" s="1262"/>
      <c r="D131" s="1262"/>
      <c r="E131" s="1262"/>
      <c r="F131" s="1262"/>
      <c r="G131" s="355"/>
      <c r="H131" s="379"/>
      <c r="I131" s="381"/>
      <c r="J131" s="79">
        <f>H131*I131</f>
        <v>0</v>
      </c>
    </row>
    <row r="132" spans="3:10" ht="15" customHeight="1" x14ac:dyDescent="0.2">
      <c r="C132" s="1262"/>
      <c r="D132" s="1262"/>
      <c r="E132" s="1262"/>
      <c r="F132" s="1262"/>
      <c r="G132" s="355"/>
      <c r="H132" s="379"/>
      <c r="I132" s="381"/>
      <c r="J132" s="79">
        <f>H132*I132</f>
        <v>0</v>
      </c>
    </row>
    <row r="133" spans="3:10" ht="15" customHeight="1" x14ac:dyDescent="0.2">
      <c r="C133" s="1262"/>
      <c r="D133" s="1262"/>
      <c r="E133" s="1262"/>
      <c r="F133" s="1262"/>
      <c r="G133" s="355"/>
      <c r="H133" s="379"/>
      <c r="I133" s="381"/>
      <c r="J133" s="79">
        <f>H133*I133</f>
        <v>0</v>
      </c>
    </row>
    <row r="134" spans="3:10" ht="15" customHeight="1" x14ac:dyDescent="0.2">
      <c r="C134" s="1262"/>
      <c r="D134" s="1262"/>
      <c r="E134" s="1262"/>
      <c r="F134" s="1262"/>
      <c r="G134" s="355"/>
      <c r="H134" s="379"/>
      <c r="I134" s="381"/>
      <c r="J134" s="79">
        <f>H134*I134</f>
        <v>0</v>
      </c>
    </row>
    <row r="135" spans="3:10" ht="15" customHeight="1" x14ac:dyDescent="0.2"/>
    <row r="136" spans="3:10" ht="15" customHeight="1" x14ac:dyDescent="0.2">
      <c r="G136" s="129"/>
      <c r="H136" s="129"/>
      <c r="I136" s="129" t="s">
        <v>473</v>
      </c>
      <c r="J136" s="79">
        <f>SUM(J130:J134)</f>
        <v>0</v>
      </c>
    </row>
    <row r="137" spans="3:10" ht="15" customHeight="1" x14ac:dyDescent="0.2"/>
  </sheetData>
  <sheetProtection algorithmName="SHA-512" hashValue="PVZZdjRRr65KR32SgpbMmCZnG+MxNADKMcWEikxwFTlHUcO6ERgAz1xy32/KYKQTdAamKzWREHkYDblnxJ/KdA==" saltValue="Hb+uEE6ez81I2COJF320zQ==" spinCount="100000" sheet="1" objects="1" scenarios="1"/>
  <autoFilter ref="C46:P46" xr:uid="{600F2194-69CC-4DF2-AFF9-3C7DD6EB4068}"/>
  <dataConsolidate link="1"/>
  <mergeCells count="76">
    <mergeCell ref="D15:P16"/>
    <mergeCell ref="N3:Q3"/>
    <mergeCell ref="M2:Q2"/>
    <mergeCell ref="C9:O9"/>
    <mergeCell ref="D11:O11"/>
    <mergeCell ref="D13:O13"/>
    <mergeCell ref="B2:I2"/>
    <mergeCell ref="B3:I3"/>
    <mergeCell ref="C6:P6"/>
    <mergeCell ref="C7:P7"/>
    <mergeCell ref="E115:F115"/>
    <mergeCell ref="C104:O104"/>
    <mergeCell ref="C107:G107"/>
    <mergeCell ref="C109:D109"/>
    <mergeCell ref="C110:D110"/>
    <mergeCell ref="C113:D113"/>
    <mergeCell ref="C114:D114"/>
    <mergeCell ref="C111:D111"/>
    <mergeCell ref="C112:D112"/>
    <mergeCell ref="E111:F111"/>
    <mergeCell ref="E112:F112"/>
    <mergeCell ref="E113:F113"/>
    <mergeCell ref="C115:D115"/>
    <mergeCell ref="I107:K107"/>
    <mergeCell ref="E114:F114"/>
    <mergeCell ref="E110:F110"/>
    <mergeCell ref="D101:G101"/>
    <mergeCell ref="E109:F109"/>
    <mergeCell ref="C33:D33"/>
    <mergeCell ref="C34:D34"/>
    <mergeCell ref="C41:P41"/>
    <mergeCell ref="M94:O94"/>
    <mergeCell ref="M107:O107"/>
    <mergeCell ref="E35:F35"/>
    <mergeCell ref="D94:F94"/>
    <mergeCell ref="C39:P39"/>
    <mergeCell ref="C105:O105"/>
    <mergeCell ref="C45:P45"/>
    <mergeCell ref="C43:P43"/>
    <mergeCell ref="E32:F32"/>
    <mergeCell ref="C30:D30"/>
    <mergeCell ref="F25:H25"/>
    <mergeCell ref="E33:F33"/>
    <mergeCell ref="E34:F34"/>
    <mergeCell ref="C133:F133"/>
    <mergeCell ref="C121:F121"/>
    <mergeCell ref="E119:F119"/>
    <mergeCell ref="C32:D32"/>
    <mergeCell ref="C19:P19"/>
    <mergeCell ref="C20:P20"/>
    <mergeCell ref="C22:P23"/>
    <mergeCell ref="C29:D29"/>
    <mergeCell ref="C25:E25"/>
    <mergeCell ref="C27:D28"/>
    <mergeCell ref="E27:K27"/>
    <mergeCell ref="C31:D31"/>
    <mergeCell ref="E28:F28"/>
    <mergeCell ref="E29:F29"/>
    <mergeCell ref="E30:F30"/>
    <mergeCell ref="E31:F31"/>
    <mergeCell ref="C44:P44"/>
    <mergeCell ref="C35:D35"/>
    <mergeCell ref="C134:F134"/>
    <mergeCell ref="E118:F118"/>
    <mergeCell ref="C116:D116"/>
    <mergeCell ref="C117:D117"/>
    <mergeCell ref="C118:D118"/>
    <mergeCell ref="E117:F117"/>
    <mergeCell ref="C129:F129"/>
    <mergeCell ref="C130:F130"/>
    <mergeCell ref="C131:F131"/>
    <mergeCell ref="C132:F132"/>
    <mergeCell ref="C124:O124"/>
    <mergeCell ref="C119:D119"/>
    <mergeCell ref="E116:F116"/>
    <mergeCell ref="C125:O125"/>
  </mergeCells>
  <conditionalFormatting sqref="E110:G118">
    <cfRule type="expression" dxfId="224" priority="3">
      <formula>$E110=0</formula>
    </cfRule>
  </conditionalFormatting>
  <conditionalFormatting sqref="J110:K118">
    <cfRule type="expression" dxfId="223" priority="2">
      <formula>$J110=0</formula>
    </cfRule>
  </conditionalFormatting>
  <conditionalFormatting sqref="N110:O115">
    <cfRule type="expression" dxfId="222" priority="1">
      <formula>$N110=0</formula>
    </cfRule>
  </conditionalFormatting>
  <dataValidations count="4">
    <dataValidation type="list" allowBlank="1" showInputMessage="1" showErrorMessage="1" sqref="C11 C13 C15 G130:G134" xr:uid="{D0FD062B-5AF9-4393-8B3F-BBA9CFB8232A}">
      <formula1>"Yes, No"</formula1>
    </dataValidation>
    <dataValidation type="list" allowBlank="1" showInputMessage="1" showErrorMessage="1" sqref="G47:H92" xr:uid="{1AA7B771-D091-431E-83B8-6C33394B8712}">
      <formula1>"20%,30%,40%,50%,60%,70%,80%,N/A"</formula1>
    </dataValidation>
    <dataValidation type="list" allowBlank="1" showInputMessage="1" showErrorMessage="1" sqref="N47:N92" xr:uid="{86FDEE68-0E16-40FB-94EC-F30EDE7D311D}">
      <formula1>"Section 8 PBRA, PBV, 202 PRAC, 811 PRAC, 811 PRA, ODMSD, USDA RD, HUD-VASH PBV, Other Federal, Other State, Other Local, Select Here, N/A"</formula1>
    </dataValidation>
    <dataValidation type="list" allowBlank="1" showInputMessage="1" showErrorMessage="1" sqref="F25" xr:uid="{9B5BE702-7C10-43FD-8047-3FD1A769E14B}">
      <formula1>"Public Housing Authority, Rural Housing Service, HUD Utility Allowance, Utility Company Estimate, HUD Utility Schedule Model, Engineer's Energy Consumption Model, Renewable Source, Multiple, Other, N/A - No Tenant-Paid Utilities"</formula1>
    </dataValidation>
  </dataValidations>
  <pageMargins left="0.7" right="0.7" top="0.75" bottom="0.75" header="0.3" footer="0.3"/>
  <pageSetup scale="65" fitToHeight="0" orientation="landscape" r:id="rId1"/>
  <headerFooter>
    <oddFooter>&amp;L&amp;"-,Bold"&amp;9Revenue Assumptions Tab&amp;"-,Regular"
Affordable Housing Funding Application&amp;C&amp;9Ohio Housing Finance Agency&amp;R&amp;9Page &amp;P of &amp;N</oddFooter>
  </headerFooter>
  <rowBreaks count="2" manualBreakCount="2">
    <brk id="37" min="1" max="16" man="1"/>
    <brk id="103" min="1" max="16"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7D4E2-6A7C-4C72-9B2E-8A077327D307}">
  <sheetPr>
    <pageSetUpPr autoPageBreaks="0" fitToPage="1"/>
  </sheetPr>
  <dimension ref="A1:AA166"/>
  <sheetViews>
    <sheetView showGridLines="0" zoomScale="85" zoomScaleNormal="85" zoomScalePageLayoutView="70" workbookViewId="0"/>
  </sheetViews>
  <sheetFormatPr defaultColWidth="0" defaultRowHeight="14.25" zeroHeight="1" x14ac:dyDescent="0.2"/>
  <cols>
    <col min="1" max="1" width="2.625" style="1" customWidth="1"/>
    <col min="2" max="2" width="0.625" style="1" customWidth="1"/>
    <col min="3" max="8" width="13.625" style="1" customWidth="1"/>
    <col min="9" max="9" width="2.625" style="1" customWidth="1"/>
    <col min="10" max="11" width="13.625" style="1" customWidth="1"/>
    <col min="12" max="12" width="0.625" style="1" customWidth="1"/>
    <col min="13" max="13" width="17.625" style="1" customWidth="1"/>
    <col min="14" max="16" width="15.125" style="1" hidden="1" customWidth="1"/>
    <col min="17" max="19" width="13.625" style="1" hidden="1" customWidth="1"/>
    <col min="20" max="20" width="17.125" style="1" hidden="1" customWidth="1"/>
    <col min="21" max="23" width="13.625" style="1" hidden="1" customWidth="1"/>
    <col min="24" max="24" width="14" style="1" hidden="1" customWidth="1"/>
    <col min="25" max="25" width="18.125" style="1" hidden="1" customWidth="1"/>
    <col min="26" max="26" width="12.125" style="1" hidden="1" customWidth="1"/>
    <col min="27" max="27" width="27" style="1" hidden="1" customWidth="1"/>
    <col min="28" max="16384" width="8.875" style="1" hidden="1"/>
  </cols>
  <sheetData>
    <row r="1" spans="1:21" ht="55.5" customHeight="1" x14ac:dyDescent="0.2"/>
    <row r="2" spans="1:21" s="3" customFormat="1" ht="24.95" customHeight="1" x14ac:dyDescent="0.2">
      <c r="A2" s="16"/>
      <c r="B2" s="1211" t="s">
        <v>448</v>
      </c>
      <c r="C2" s="1212"/>
      <c r="D2" s="1212"/>
      <c r="E2" s="1212"/>
      <c r="F2" s="1212"/>
      <c r="G2" s="1217" t="str">
        <f>CONCATENATE(IF(Instructions!$K$2="","",Instructions!$K$2)," ",IF(Details!$E$11="","",Details!$E$11))</f>
        <v>2026 9% LIHTC AHFA Proposal Application</v>
      </c>
      <c r="H2" s="1217"/>
      <c r="I2" s="1217"/>
      <c r="J2" s="1217"/>
      <c r="K2" s="1217"/>
      <c r="L2" s="1218"/>
      <c r="M2" s="189"/>
      <c r="N2" s="16"/>
      <c r="O2" s="16"/>
      <c r="P2" s="16"/>
      <c r="Q2" s="16"/>
      <c r="R2" s="16"/>
      <c r="S2" s="16"/>
      <c r="T2" s="16"/>
      <c r="U2" s="16"/>
    </row>
    <row r="3" spans="1:21" ht="20.25" customHeight="1" x14ac:dyDescent="0.2">
      <c r="A3"/>
      <c r="B3" s="1166" t="s">
        <v>437</v>
      </c>
      <c r="C3" s="1167"/>
      <c r="D3" s="1167"/>
      <c r="E3" s="1167"/>
      <c r="F3" s="1167"/>
      <c r="G3" s="93"/>
      <c r="H3" s="1219" t="str">
        <f>IF(Details!$E$12="","",CONCATENATE("Project Name: ",Details!$E$12))</f>
        <v/>
      </c>
      <c r="I3" s="1219"/>
      <c r="J3" s="1219"/>
      <c r="K3" s="1219"/>
      <c r="L3" s="1220"/>
      <c r="M3" s="190"/>
      <c r="N3"/>
      <c r="O3"/>
      <c r="P3"/>
      <c r="Q3"/>
      <c r="R3"/>
      <c r="S3"/>
      <c r="T3"/>
      <c r="U3"/>
    </row>
    <row r="4" spans="1:21" x14ac:dyDescent="0.2">
      <c r="A4"/>
      <c r="B4"/>
      <c r="C4"/>
    </row>
    <row r="5" spans="1:21" ht="14.25" customHeight="1" x14ac:dyDescent="0.2"/>
    <row r="6" spans="1:21" ht="15" customHeight="1" x14ac:dyDescent="0.2">
      <c r="C6" s="1313" t="s">
        <v>638</v>
      </c>
      <c r="D6" s="1313"/>
      <c r="E6" s="1313"/>
      <c r="F6" s="1313"/>
      <c r="G6" s="1313"/>
      <c r="H6" s="1313"/>
      <c r="I6" s="1313"/>
      <c r="J6" s="1313"/>
      <c r="K6" s="1313"/>
    </row>
    <row r="7" spans="1:21" ht="3" customHeight="1" x14ac:dyDescent="0.2">
      <c r="C7" s="1133"/>
      <c r="D7" s="1133"/>
      <c r="E7" s="1133"/>
      <c r="F7" s="1133"/>
      <c r="G7" s="1133"/>
      <c r="H7" s="1133"/>
      <c r="I7" s="1133"/>
      <c r="J7" s="1133"/>
      <c r="K7" s="1133"/>
    </row>
    <row r="8" spans="1:21" x14ac:dyDescent="0.2">
      <c r="K8" s="152"/>
    </row>
    <row r="9" spans="1:21" ht="42.75" x14ac:dyDescent="0.2">
      <c r="C9" s="1137" t="s">
        <v>613</v>
      </c>
      <c r="D9" s="1137"/>
      <c r="E9" s="215"/>
      <c r="F9" s="1033" t="s">
        <v>622</v>
      </c>
      <c r="G9" s="1004" t="s">
        <v>201</v>
      </c>
      <c r="H9" s="1004" t="s">
        <v>2009</v>
      </c>
      <c r="I9"/>
      <c r="J9" s="1004" t="s">
        <v>2088</v>
      </c>
      <c r="K9" s="1004" t="s">
        <v>368</v>
      </c>
    </row>
    <row r="10" spans="1:21" x14ac:dyDescent="0.2">
      <c r="C10" s="1155" t="s">
        <v>613</v>
      </c>
      <c r="D10" s="1155"/>
      <c r="E10" s="216"/>
      <c r="F10" s="104">
        <f>Revenue!$P$94</f>
        <v>0</v>
      </c>
      <c r="G10" s="104" t="str">
        <f>IF(OR(Revenue!$C$101=0,,$F10=0,$F10=""),"",OpBudget!$F10/Revenue!$C$101)</f>
        <v/>
      </c>
      <c r="H10" s="113" t="str">
        <f>IF(OR($F$32=0,F10=0,F10=""),"",$F10/$F$32)</f>
        <v/>
      </c>
      <c r="I10"/>
      <c r="J10" s="90">
        <f>IFERROR(IF(SUMIF(Revenue!$M$47:$M$92,"&gt;0",Revenue!$C$47:$C$92)/Revenue!$C$101&gt;=0.7,0.05,0.07),0.07)</f>
        <v>7.0000000000000007E-2</v>
      </c>
      <c r="K10" s="92" t="str">
        <f>IF(OR(F10=0,F10=""),"",ROUND(-(F10*J10),0))</f>
        <v/>
      </c>
    </row>
    <row r="11" spans="1:21" x14ac:dyDescent="0.2">
      <c r="C11" s="1155" t="s">
        <v>2086</v>
      </c>
      <c r="D11" s="1155"/>
      <c r="E11" s="217"/>
      <c r="F11" s="376"/>
      <c r="G11" s="104" t="str">
        <f>IF(OR(Revenue!$C$101=0,,$F11=0,$F11=""),"",OpBudget!$F11/Revenue!$C$101)</f>
        <v/>
      </c>
      <c r="H11" s="113" t="str">
        <f>IF(OR($F$32=0,F11=0,F11=""),"",$F11/$F$32)</f>
        <v/>
      </c>
      <c r="I11"/>
      <c r="J11" s="90">
        <f>$J$10</f>
        <v>7.0000000000000007E-2</v>
      </c>
      <c r="K11" s="92" t="str">
        <f>IF(OR(F11=0,F11=""),"",ROUND(-(F11*J11),0))</f>
        <v/>
      </c>
    </row>
    <row r="12" spans="1:21" x14ac:dyDescent="0.2">
      <c r="C12" s="1155" t="s">
        <v>115</v>
      </c>
      <c r="D12" s="1155"/>
      <c r="E12" s="1155"/>
      <c r="F12" s="376"/>
      <c r="G12" s="104" t="str">
        <f>IF(OR(Revenue!$C$101=0,,$F12=0,$F12=""),"",OpBudget!$F12/Revenue!$C$101)</f>
        <v/>
      </c>
      <c r="H12" s="113" t="str">
        <f>IF(OR($F$32=0,F12=0,F12=""),"",$F12/$F$32)</f>
        <v/>
      </c>
      <c r="I12" s="85"/>
      <c r="J12" s="90">
        <f>$J$10</f>
        <v>7.0000000000000007E-2</v>
      </c>
      <c r="K12" s="92" t="str">
        <f>IF(OR(F12=0,F12=""),"",ROUND(-(F12*J12),0))</f>
        <v/>
      </c>
    </row>
    <row r="13" spans="1:21" ht="15" thickBot="1" x14ac:dyDescent="0.25">
      <c r="C13" s="1308" t="s">
        <v>116</v>
      </c>
      <c r="D13" s="1308"/>
      <c r="E13" s="1308"/>
      <c r="F13" s="377"/>
      <c r="G13" s="191" t="str">
        <f>IF(OR(Revenue!$C$101=0,,$F13=0,$F13=""),"",OpBudget!$F13/Revenue!$C$101)</f>
        <v/>
      </c>
      <c r="H13" s="192" t="str">
        <f>IF(OR($F$32=0,F13=0,F13=""),"",$F13/$F$32)</f>
        <v/>
      </c>
      <c r="I13" s="85"/>
      <c r="J13" s="90">
        <f>$J$10</f>
        <v>7.0000000000000007E-2</v>
      </c>
      <c r="K13" s="92" t="str">
        <f>IF(OR(F13=0,F13=""),"",ROUND(-(F13*J13),0))</f>
        <v/>
      </c>
    </row>
    <row r="14" spans="1:21" ht="15.75" thickTop="1" x14ac:dyDescent="0.2">
      <c r="C14" s="1155" t="s">
        <v>614</v>
      </c>
      <c r="D14" s="1155"/>
      <c r="E14" s="1155"/>
      <c r="F14" s="193">
        <f>SUM(F10:F13)</f>
        <v>0</v>
      </c>
      <c r="G14" s="193" t="str">
        <f>IF(OR(Revenue!$C$101=0,,$F14=0,$F14=""),"",OpBudget!$F14/Revenue!$C$101)</f>
        <v/>
      </c>
      <c r="H14" s="194" t="str">
        <f>IF(OR($F$32=0,F14=0,F14=""),"",$F14/$F$32)</f>
        <v/>
      </c>
      <c r="I14" s="85"/>
      <c r="J14" s="201"/>
      <c r="K14" s="74"/>
    </row>
    <row r="15" spans="1:21" x14ac:dyDescent="0.2">
      <c r="C15" s="25"/>
      <c r="D15" s="25"/>
      <c r="E15" s="217"/>
      <c r="F15" s="227"/>
      <c r="G15" s="151"/>
      <c r="H15" s="124"/>
      <c r="J15" s="201"/>
      <c r="K15" s="74"/>
    </row>
    <row r="16" spans="1:21" ht="45" customHeight="1" x14ac:dyDescent="0.2">
      <c r="C16" s="1137" t="s">
        <v>2087</v>
      </c>
      <c r="D16" s="1137"/>
      <c r="E16" s="217"/>
      <c r="F16" s="1033" t="s">
        <v>622</v>
      </c>
      <c r="G16" s="1004" t="s">
        <v>201</v>
      </c>
      <c r="H16" s="1004" t="s">
        <v>2009</v>
      </c>
      <c r="I16"/>
      <c r="J16" s="1004" t="s">
        <v>2088</v>
      </c>
      <c r="K16" s="1004" t="s">
        <v>368</v>
      </c>
    </row>
    <row r="17" spans="3:11" x14ac:dyDescent="0.2">
      <c r="C17" s="1155" t="s">
        <v>2087</v>
      </c>
      <c r="D17" s="1155"/>
      <c r="E17" s="216"/>
      <c r="F17" s="104">
        <f>Revenue!J136</f>
        <v>0</v>
      </c>
      <c r="G17" s="104" t="str">
        <f>IF(OR(Revenue!$C$101=0,,$F17=0,$F17=""),"",OpBudget!$F17/Revenue!$C$101)</f>
        <v/>
      </c>
      <c r="H17" s="113" t="str">
        <f>IF(OR($F$32=0,F17=0,F17=""),"",$F17/$F$32)</f>
        <v/>
      </c>
      <c r="I17"/>
      <c r="J17" s="356">
        <v>0.1</v>
      </c>
      <c r="K17" s="92" t="str">
        <f>IF(OR(F17=0,F17=""),"",ROUND(-(F17*J17),0))</f>
        <v/>
      </c>
    </row>
    <row r="18" spans="3:11" ht="15" thickBot="1" x14ac:dyDescent="0.25">
      <c r="C18" s="212" t="s">
        <v>100</v>
      </c>
      <c r="D18" s="1311" t="s">
        <v>2084</v>
      </c>
      <c r="E18" s="1311"/>
      <c r="F18" s="377"/>
      <c r="G18" s="191" t="str">
        <f>IF(OR(Revenue!$C$101=0,,$F18=0,$F18=""),"",OpBudget!$F18/Revenue!$C$101)</f>
        <v/>
      </c>
      <c r="H18" s="192" t="str">
        <f>IF(OR($F$32=0,F18=0,F18=""),"",$F18/$F$32)</f>
        <v/>
      </c>
      <c r="I18"/>
      <c r="J18" s="90">
        <f>IF(J17="","",J17)</f>
        <v>0.1</v>
      </c>
      <c r="K18" s="92" t="str">
        <f>IF(OR(F18=0,F18=""),"",ROUND(-(F18*J18),0))</f>
        <v/>
      </c>
    </row>
    <row r="19" spans="3:11" ht="15.75" thickTop="1" x14ac:dyDescent="0.2">
      <c r="C19" s="1155" t="s">
        <v>2104</v>
      </c>
      <c r="D19" s="1155"/>
      <c r="E19" s="1155"/>
      <c r="F19" s="193">
        <f>SUM(F17:F18)</f>
        <v>0</v>
      </c>
      <c r="G19" s="193" t="str">
        <f>IF(OR(Revenue!$C$101=0,,$F19=0,$F19=""),"",OpBudget!$F19/Revenue!$C$101)</f>
        <v/>
      </c>
      <c r="H19" s="194" t="str">
        <f>IF(OR($F$32=0,F19=0,F19=""),"",$F19/$F$32)</f>
        <v/>
      </c>
      <c r="I19"/>
      <c r="J19"/>
      <c r="K19"/>
    </row>
    <row r="20" spans="3:11" x14ac:dyDescent="0.2">
      <c r="C20" s="1155"/>
      <c r="D20" s="1155"/>
      <c r="E20" s="1155"/>
      <c r="F20" s="74"/>
      <c r="G20" s="74"/>
      <c r="H20" s="5"/>
      <c r="I20" s="85"/>
      <c r="J20"/>
      <c r="K20"/>
    </row>
    <row r="21" spans="3:11" ht="42.75" x14ac:dyDescent="0.2">
      <c r="C21" s="1137" t="s">
        <v>256</v>
      </c>
      <c r="D21" s="1137"/>
      <c r="E21" s="1137"/>
      <c r="F21" s="1033" t="s">
        <v>622</v>
      </c>
      <c r="G21" s="1004" t="s">
        <v>201</v>
      </c>
      <c r="H21" s="1004" t="s">
        <v>2009</v>
      </c>
      <c r="I21" s="85"/>
      <c r="J21" s="1004" t="s">
        <v>2088</v>
      </c>
      <c r="K21" s="1004" t="s">
        <v>368</v>
      </c>
    </row>
    <row r="22" spans="3:11" x14ac:dyDescent="0.2">
      <c r="C22" s="1155" t="s">
        <v>117</v>
      </c>
      <c r="D22" s="1155"/>
      <c r="E22" s="1155"/>
      <c r="F22" s="376"/>
      <c r="G22" s="104" t="str">
        <f>IF(OR(Revenue!$C$101=0,,$F22=0,$F22=""),"",OpBudget!$F22/Revenue!$C$101)</f>
        <v/>
      </c>
      <c r="H22" s="113" t="str">
        <f>IF(OR($F$32=0,F22=0,F22=""),"",$F22/$F$32)</f>
        <v/>
      </c>
      <c r="I22"/>
      <c r="J22" s="356"/>
      <c r="K22" s="92" t="str">
        <f>IF(OR(F22=0,F22=""),"",ROUND(-(F22*J22),0))</f>
        <v/>
      </c>
    </row>
    <row r="23" spans="3:11" x14ac:dyDescent="0.2">
      <c r="C23" s="25" t="s">
        <v>100</v>
      </c>
      <c r="D23" s="1262" t="s">
        <v>2084</v>
      </c>
      <c r="E23" s="1262"/>
      <c r="F23" s="376"/>
      <c r="G23" s="104" t="str">
        <f>IF(OR(Revenue!$C$101=0,,$F23=0,$F23=""),"",OpBudget!$F23/Revenue!$C$101)</f>
        <v/>
      </c>
      <c r="H23" s="113" t="str">
        <f>IF(OR($F$32=0,F23=0,F23=""),"",$F23/$F$32)</f>
        <v/>
      </c>
      <c r="I23" s="85"/>
      <c r="J23" s="90" t="str">
        <f>IF($J$22="","",$J$22)</f>
        <v/>
      </c>
      <c r="K23" s="92" t="str">
        <f>IF(OR(F23=0,F23=""),"",ROUND(-(F23*J23),0))</f>
        <v/>
      </c>
    </row>
    <row r="24" spans="3:11" x14ac:dyDescent="0.2">
      <c r="C24" s="25" t="s">
        <v>100</v>
      </c>
      <c r="D24" s="1262" t="s">
        <v>2084</v>
      </c>
      <c r="E24" s="1262"/>
      <c r="F24" s="376"/>
      <c r="G24" s="104" t="str">
        <f>IF(OR(Revenue!$C$101=0,,$F24=0,$F24=""),"",OpBudget!$F24/Revenue!$C$101)</f>
        <v/>
      </c>
      <c r="H24" s="113" t="str">
        <f>IF(OR($F$32=0,F24=0,F24=""),"",$F24/$F$32)</f>
        <v/>
      </c>
      <c r="I24" s="85"/>
      <c r="J24" s="90" t="str">
        <f>IF($J$22="","",$J$22)</f>
        <v/>
      </c>
      <c r="K24" s="92" t="str">
        <f>IF(OR(F24=0,F24=""),"",ROUND(-(F24*J24),0))</f>
        <v/>
      </c>
    </row>
    <row r="25" spans="3:11" ht="15" thickBot="1" x14ac:dyDescent="0.25">
      <c r="C25" s="212" t="s">
        <v>100</v>
      </c>
      <c r="D25" s="1311" t="s">
        <v>2084</v>
      </c>
      <c r="E25" s="1311"/>
      <c r="F25" s="377"/>
      <c r="G25" s="191" t="str">
        <f>IF(OR(Revenue!$C$101=0,,$F25=0,$F25=""),"",OpBudget!$F25/Revenue!$C$101)</f>
        <v/>
      </c>
      <c r="H25" s="192" t="str">
        <f>IF(OR($F$32=0,F25=0,F25=""),"",$F25/$F$32)</f>
        <v/>
      </c>
      <c r="I25" s="85"/>
      <c r="J25" s="90" t="str">
        <f>IF($J$22="","",$J$22)</f>
        <v/>
      </c>
      <c r="K25" s="92" t="str">
        <f>IF(OR(F25=0,F25=""),"",ROUND(-(F25*J25),0))</f>
        <v/>
      </c>
    </row>
    <row r="26" spans="3:11" ht="15.75" thickTop="1" x14ac:dyDescent="0.2">
      <c r="C26" s="1155" t="s">
        <v>615</v>
      </c>
      <c r="D26" s="1155"/>
      <c r="E26" s="1155"/>
      <c r="F26" s="193">
        <f>SUM(F22:F25)</f>
        <v>0</v>
      </c>
      <c r="G26" s="193" t="str">
        <f>IF(OR(Revenue!$C$101=0,,$F26=0,$F26=""),"",OpBudget!$F26/Revenue!$C$101)</f>
        <v/>
      </c>
      <c r="H26" s="194" t="str">
        <f>IF(OR($F$32=0,F26=0,F26=""),"",$F26/$F$32)</f>
        <v/>
      </c>
      <c r="I26"/>
      <c r="J26"/>
      <c r="K26"/>
    </row>
    <row r="27" spans="3:11" x14ac:dyDescent="0.2">
      <c r="C27" s="1178"/>
      <c r="D27" s="1178"/>
      <c r="E27" s="1178"/>
      <c r="F27" s="74"/>
      <c r="G27" s="74"/>
      <c r="H27" s="5"/>
      <c r="I27" s="85"/>
      <c r="J27"/>
      <c r="K27"/>
    </row>
    <row r="28" spans="3:11" ht="42.75" x14ac:dyDescent="0.2">
      <c r="C28" s="1137" t="s">
        <v>616</v>
      </c>
      <c r="D28" s="1137"/>
      <c r="E28" s="1137"/>
      <c r="F28" s="1033" t="s">
        <v>622</v>
      </c>
      <c r="G28" s="1004" t="s">
        <v>201</v>
      </c>
      <c r="H28" s="1004" t="s">
        <v>2009</v>
      </c>
      <c r="I28" s="195"/>
      <c r="J28" s="73"/>
      <c r="K28" s="73"/>
    </row>
    <row r="29" spans="3:11" x14ac:dyDescent="0.2">
      <c r="C29" s="1155" t="s">
        <v>2136</v>
      </c>
      <c r="D29" s="1155"/>
      <c r="E29" s="1155"/>
      <c r="F29" s="104">
        <f>F14</f>
        <v>0</v>
      </c>
      <c r="G29" s="104" t="str">
        <f>IF(OR(Revenue!$C$101=0,,$F29=0,$F29=""),"",OpBudget!$F29/Revenue!$C$101)</f>
        <v/>
      </c>
      <c r="H29" s="113" t="str">
        <f t="shared" ref="H29:H34" si="0">IF(OR($F$32=0,F29=0,F29=""),"",$F29/$F$32)</f>
        <v/>
      </c>
      <c r="I29" s="195"/>
      <c r="J29" s="73"/>
      <c r="K29" s="73"/>
    </row>
    <row r="30" spans="3:11" x14ac:dyDescent="0.2">
      <c r="C30" s="213" t="s">
        <v>2089</v>
      </c>
      <c r="D30" s="25"/>
      <c r="E30" s="25"/>
      <c r="F30" s="104">
        <f>F19</f>
        <v>0</v>
      </c>
      <c r="G30" s="104"/>
      <c r="H30" s="113" t="str">
        <f t="shared" si="0"/>
        <v/>
      </c>
      <c r="I30" s="195"/>
      <c r="J30" s="73"/>
      <c r="K30" s="73"/>
    </row>
    <row r="31" spans="3:11" x14ac:dyDescent="0.2">
      <c r="C31" s="1316" t="s">
        <v>617</v>
      </c>
      <c r="D31" s="1155"/>
      <c r="E31" s="1155"/>
      <c r="F31" s="104">
        <f>F26</f>
        <v>0</v>
      </c>
      <c r="G31" s="104" t="str">
        <f>IF(OR(Revenue!$C$101=0,,$F31=0,$F31=""),"",OpBudget!$F31/Revenue!$C$101)</f>
        <v/>
      </c>
      <c r="H31" s="113" t="str">
        <f t="shared" si="0"/>
        <v/>
      </c>
      <c r="I31" s="195"/>
      <c r="J31" s="73"/>
      <c r="K31" s="73"/>
    </row>
    <row r="32" spans="3:11" x14ac:dyDescent="0.2">
      <c r="C32" s="1314" t="s">
        <v>618</v>
      </c>
      <c r="D32" s="1315"/>
      <c r="E32" s="1315"/>
      <c r="F32" s="104">
        <f>SUM(F29:F31)</f>
        <v>0</v>
      </c>
      <c r="G32" s="104" t="str">
        <f>IF(OR(Revenue!$C$101=0,,$F32=0,$F32=""),"",OpBudget!$F32/Revenue!$C$101)</f>
        <v/>
      </c>
      <c r="H32" s="113" t="str">
        <f t="shared" si="0"/>
        <v/>
      </c>
      <c r="I32" s="85"/>
      <c r="J32"/>
      <c r="K32"/>
    </row>
    <row r="33" spans="3:11" ht="15" thickBot="1" x14ac:dyDescent="0.25">
      <c r="C33" s="1317" t="s">
        <v>619</v>
      </c>
      <c r="D33" s="1317"/>
      <c r="E33" s="1317"/>
      <c r="F33" s="191">
        <f>SUM(K10:K13,K17:K18,K22:K25)</f>
        <v>0</v>
      </c>
      <c r="G33" s="191" t="str">
        <f>IF(OR(Revenue!$C$101=0,,$F33=0,$F33=""),"",OpBudget!$F33/Revenue!$C$101)</f>
        <v/>
      </c>
      <c r="H33" s="192" t="str">
        <f t="shared" si="0"/>
        <v/>
      </c>
      <c r="I33" s="85"/>
      <c r="J33"/>
      <c r="K33"/>
    </row>
    <row r="34" spans="3:11" ht="15.75" thickTop="1" x14ac:dyDescent="0.2">
      <c r="C34" s="1314" t="s">
        <v>620</v>
      </c>
      <c r="D34" s="1314"/>
      <c r="E34" s="1314"/>
      <c r="F34" s="193">
        <f>SUM(F32:F33)</f>
        <v>0</v>
      </c>
      <c r="G34" s="193" t="str">
        <f>IF(OR(Revenue!$C$101=0,,$F34=0,$F34=""),"",OpBudget!$F34/Revenue!$C$101)</f>
        <v/>
      </c>
      <c r="H34" s="194" t="str">
        <f t="shared" si="0"/>
        <v/>
      </c>
      <c r="I34" s="85"/>
      <c r="J34"/>
      <c r="K34"/>
    </row>
    <row r="35" spans="3:11" x14ac:dyDescent="0.2">
      <c r="C35"/>
      <c r="D35"/>
      <c r="E35"/>
      <c r="F35" s="74"/>
      <c r="G35" s="74"/>
      <c r="H35" s="5"/>
      <c r="I35" s="85"/>
      <c r="J35"/>
      <c r="K35"/>
    </row>
    <row r="36" spans="3:11" x14ac:dyDescent="0.2">
      <c r="C36"/>
      <c r="D36"/>
      <c r="E36"/>
      <c r="F36"/>
      <c r="G36"/>
      <c r="H36" s="196"/>
      <c r="I36" s="196"/>
      <c r="J36" s="5"/>
      <c r="K36" s="85"/>
    </row>
    <row r="37" spans="3:11" ht="15.75" x14ac:dyDescent="0.2">
      <c r="C37" s="1313" t="s">
        <v>621</v>
      </c>
      <c r="D37" s="1313"/>
      <c r="E37" s="1313"/>
      <c r="F37" s="1313"/>
      <c r="G37" s="1313"/>
      <c r="H37" s="1313"/>
      <c r="I37" s="1313"/>
      <c r="J37" s="1313"/>
      <c r="K37" s="1313"/>
    </row>
    <row r="38" spans="3:11" ht="3" customHeight="1" x14ac:dyDescent="0.2">
      <c r="C38" s="1312"/>
      <c r="D38" s="1312"/>
      <c r="E38" s="1312"/>
      <c r="F38" s="1312"/>
      <c r="G38" s="1312"/>
      <c r="H38" s="1312"/>
      <c r="I38" s="1312"/>
      <c r="J38" s="1312"/>
      <c r="K38" s="1312"/>
    </row>
    <row r="39" spans="3:11" x14ac:dyDescent="0.2">
      <c r="H39" s="196"/>
      <c r="I39" s="196"/>
      <c r="J39" s="5"/>
      <c r="K39" s="85"/>
    </row>
    <row r="40" spans="3:11" ht="42.75" x14ac:dyDescent="0.2">
      <c r="C40" s="1281" t="s">
        <v>370</v>
      </c>
      <c r="D40" s="1281"/>
      <c r="E40" s="1281"/>
      <c r="F40" s="1033" t="s">
        <v>622</v>
      </c>
      <c r="G40" s="1033" t="s">
        <v>201</v>
      </c>
      <c r="H40" s="1034" t="s">
        <v>623</v>
      </c>
      <c r="I40" s="195"/>
      <c r="J40" s="73"/>
      <c r="K40" s="73"/>
    </row>
    <row r="41" spans="3:11" x14ac:dyDescent="0.2">
      <c r="C41" s="1155" t="s">
        <v>119</v>
      </c>
      <c r="D41" s="1155"/>
      <c r="E41" s="1155"/>
      <c r="F41" s="382"/>
      <c r="G41" s="104" t="str">
        <f>IF(OR(Revenue!$C$101=0,,$F41=0,$F41=""),"",$F41/Revenue!$C$101)</f>
        <v/>
      </c>
      <c r="H41" s="197" t="str">
        <f>IF(OR($F$123=0,$F41=0,$F41=""),"",$F41/-$F$123)</f>
        <v/>
      </c>
      <c r="I41" s="85"/>
      <c r="J41"/>
      <c r="K41"/>
    </row>
    <row r="42" spans="3:11" x14ac:dyDescent="0.2">
      <c r="C42" s="1155" t="s">
        <v>120</v>
      </c>
      <c r="D42" s="1155"/>
      <c r="E42" s="1155"/>
      <c r="F42" s="382"/>
      <c r="G42" s="104" t="str">
        <f>IF(OR(Revenue!$C$101=0,,$F42=0,$F42=""),"",$F42/Revenue!$C$101)</f>
        <v/>
      </c>
      <c r="H42" s="197" t="str">
        <f t="shared" ref="H42:H57" si="1">IF(OR($F$123=0,$F42=0,$F42=""),"",$F42/-$F$123)</f>
        <v/>
      </c>
      <c r="I42" s="85"/>
      <c r="J42"/>
      <c r="K42"/>
    </row>
    <row r="43" spans="3:11" x14ac:dyDescent="0.2">
      <c r="C43" s="1155" t="s">
        <v>121</v>
      </c>
      <c r="D43" s="1155"/>
      <c r="E43" s="1155"/>
      <c r="F43" s="382"/>
      <c r="G43" s="104" t="str">
        <f>IF(OR(Revenue!$C$101=0,,$F43=0,$F43=""),"",$F43/Revenue!$C$101)</f>
        <v/>
      </c>
      <c r="H43" s="197" t="str">
        <f t="shared" si="1"/>
        <v/>
      </c>
      <c r="I43" s="85"/>
      <c r="J43"/>
      <c r="K43"/>
    </row>
    <row r="44" spans="3:11" x14ac:dyDescent="0.2">
      <c r="C44" s="1155" t="s">
        <v>624</v>
      </c>
      <c r="D44" s="1155"/>
      <c r="E44" s="1155"/>
      <c r="F44" s="382"/>
      <c r="G44" s="104" t="str">
        <f>IF(OR(Revenue!$C$101=0,,$F44=0,$F44=""),"",$F44/Revenue!$C$101)</f>
        <v/>
      </c>
      <c r="H44" s="197" t="str">
        <f t="shared" si="1"/>
        <v/>
      </c>
      <c r="I44" s="85"/>
      <c r="J44"/>
      <c r="K44"/>
    </row>
    <row r="45" spans="3:11" x14ac:dyDescent="0.2">
      <c r="C45" s="1155" t="s">
        <v>122</v>
      </c>
      <c r="D45" s="1155"/>
      <c r="E45" s="1155"/>
      <c r="F45" s="382"/>
      <c r="G45" s="104" t="str">
        <f>IF(OR(Revenue!$C$101=0,,$F45=0,$F45=""),"",$F45/Revenue!$C$101)</f>
        <v/>
      </c>
      <c r="H45" s="197" t="str">
        <f t="shared" si="1"/>
        <v/>
      </c>
      <c r="I45" s="85"/>
      <c r="J45"/>
      <c r="K45"/>
    </row>
    <row r="46" spans="3:11" x14ac:dyDescent="0.2">
      <c r="C46" s="1155" t="s">
        <v>123</v>
      </c>
      <c r="D46" s="1155"/>
      <c r="E46" s="1155"/>
      <c r="F46" s="382"/>
      <c r="G46" s="104" t="str">
        <f>IF(OR(Revenue!$C$101=0,,$F46=0,$F46=""),"",$F46/Revenue!$C$101)</f>
        <v/>
      </c>
      <c r="H46" s="197" t="str">
        <f t="shared" si="1"/>
        <v/>
      </c>
      <c r="I46"/>
    </row>
    <row r="47" spans="3:11" x14ac:dyDescent="0.2">
      <c r="C47" s="1155" t="s">
        <v>124</v>
      </c>
      <c r="D47" s="1155"/>
      <c r="E47" s="1155"/>
      <c r="F47" s="382"/>
      <c r="G47" s="104" t="str">
        <f>IF(OR(Revenue!$C$101=0,,$F47=0,$F47=""),"",$F47/Revenue!$C$101)</f>
        <v/>
      </c>
      <c r="H47" s="197" t="str">
        <f t="shared" si="1"/>
        <v/>
      </c>
      <c r="I47" s="85"/>
      <c r="J47"/>
      <c r="K47"/>
    </row>
    <row r="48" spans="3:11" x14ac:dyDescent="0.2">
      <c r="C48" s="1155" t="s">
        <v>125</v>
      </c>
      <c r="D48" s="1155"/>
      <c r="E48" s="1155"/>
      <c r="F48" s="382"/>
      <c r="G48" s="104" t="str">
        <f>IF(OR(Revenue!$C$101=0,,$F48=0,$F48=""),"",$F48/Revenue!$C$101)</f>
        <v/>
      </c>
      <c r="H48" s="197" t="str">
        <f t="shared" si="1"/>
        <v/>
      </c>
      <c r="I48" s="85"/>
      <c r="J48"/>
      <c r="K48"/>
    </row>
    <row r="49" spans="3:11" x14ac:dyDescent="0.2">
      <c r="C49" s="1155" t="s">
        <v>126</v>
      </c>
      <c r="D49" s="1155"/>
      <c r="E49" s="1155"/>
      <c r="F49" s="382"/>
      <c r="G49" s="104" t="str">
        <f>IF(OR(Revenue!$C$101=0,,$F49=0,$F49=""),"",$F49/Revenue!$C$101)</f>
        <v/>
      </c>
      <c r="H49" s="197" t="str">
        <f t="shared" si="1"/>
        <v/>
      </c>
      <c r="I49" s="85"/>
      <c r="J49"/>
      <c r="K49"/>
    </row>
    <row r="50" spans="3:11" x14ac:dyDescent="0.2">
      <c r="C50" s="1155" t="s">
        <v>127</v>
      </c>
      <c r="D50" s="1155"/>
      <c r="E50" s="1155"/>
      <c r="F50" s="382"/>
      <c r="G50" s="104" t="str">
        <f>IF(OR(Revenue!$C$101=0,,$F50=0,$F50=""),"",$F50/Revenue!$C$101)</f>
        <v/>
      </c>
      <c r="H50" s="197" t="str">
        <f t="shared" si="1"/>
        <v/>
      </c>
      <c r="I50" s="85"/>
      <c r="J50"/>
      <c r="K50"/>
    </row>
    <row r="51" spans="3:11" x14ac:dyDescent="0.2">
      <c r="C51" s="1155" t="s">
        <v>128</v>
      </c>
      <c r="D51" s="1155"/>
      <c r="E51" s="1155"/>
      <c r="F51" s="382"/>
      <c r="G51" s="104" t="str">
        <f>IF(OR(Revenue!$C$101=0,,$F51=0,$F51=""),"",$F51/Revenue!$C$101)</f>
        <v/>
      </c>
      <c r="H51" s="197" t="str">
        <f t="shared" si="1"/>
        <v/>
      </c>
      <c r="I51" s="85"/>
      <c r="J51"/>
      <c r="K51"/>
    </row>
    <row r="52" spans="3:11" x14ac:dyDescent="0.2">
      <c r="C52" s="1155" t="s">
        <v>129</v>
      </c>
      <c r="D52" s="1155"/>
      <c r="E52" s="1155"/>
      <c r="F52" s="382"/>
      <c r="G52" s="104" t="str">
        <f>IF(OR(Revenue!$C$101=0,,$F52=0,$F52=""),"",$F52/Revenue!$C$101)</f>
        <v/>
      </c>
      <c r="H52" s="197" t="str">
        <f t="shared" si="1"/>
        <v/>
      </c>
      <c r="I52" s="85"/>
      <c r="J52"/>
      <c r="K52"/>
    </row>
    <row r="53" spans="3:11" x14ac:dyDescent="0.2">
      <c r="C53" s="1155" t="s">
        <v>130</v>
      </c>
      <c r="D53" s="1155"/>
      <c r="E53" s="1155"/>
      <c r="F53" s="382"/>
      <c r="G53" s="104" t="str">
        <f>IF(OR(Revenue!$C$101=0,,$F53=0,$F53=""),"",$F53/Revenue!$C$101)</f>
        <v/>
      </c>
      <c r="H53" s="197" t="str">
        <f t="shared" si="1"/>
        <v/>
      </c>
      <c r="I53" s="85"/>
      <c r="J53"/>
      <c r="K53"/>
    </row>
    <row r="54" spans="3:11" x14ac:dyDescent="0.2">
      <c r="C54" s="25" t="s">
        <v>100</v>
      </c>
      <c r="D54" s="1262" t="s">
        <v>2084</v>
      </c>
      <c r="E54" s="1262"/>
      <c r="F54" s="382"/>
      <c r="G54" s="104" t="str">
        <f>IF(OR(Revenue!$C$101=0,,$F54=0,$F54=""),"",$F54/Revenue!$C$101)</f>
        <v/>
      </c>
      <c r="H54" s="197" t="str">
        <f t="shared" si="1"/>
        <v/>
      </c>
      <c r="I54" s="85"/>
      <c r="J54"/>
      <c r="K54"/>
    </row>
    <row r="55" spans="3:11" x14ac:dyDescent="0.2">
      <c r="C55" s="25" t="s">
        <v>100</v>
      </c>
      <c r="D55" s="1262" t="s">
        <v>2084</v>
      </c>
      <c r="E55" s="1262"/>
      <c r="F55" s="382"/>
      <c r="G55" s="104" t="str">
        <f>IF(OR(Revenue!$C$101=0,,$F55=0,$F55=""),"",$F55/Revenue!$C$101)</f>
        <v/>
      </c>
      <c r="H55" s="197" t="str">
        <f t="shared" si="1"/>
        <v/>
      </c>
      <c r="I55" s="85"/>
      <c r="J55"/>
      <c r="K55"/>
    </row>
    <row r="56" spans="3:11" ht="15" thickBot="1" x14ac:dyDescent="0.25">
      <c r="C56" s="212" t="s">
        <v>100</v>
      </c>
      <c r="D56" s="1311" t="s">
        <v>2084</v>
      </c>
      <c r="E56" s="1311"/>
      <c r="F56" s="383"/>
      <c r="G56" s="191" t="str">
        <f>IF(OR(Revenue!$C$101=0,,$F56=0,$F56=""),"",$F56/Revenue!$C$101)</f>
        <v/>
      </c>
      <c r="H56" s="198" t="str">
        <f t="shared" si="1"/>
        <v/>
      </c>
      <c r="I56" s="85"/>
      <c r="J56"/>
      <c r="K56"/>
    </row>
    <row r="57" spans="3:11" ht="15.75" thickTop="1" x14ac:dyDescent="0.2">
      <c r="C57" s="1155" t="s">
        <v>625</v>
      </c>
      <c r="D57" s="1155"/>
      <c r="E57" s="1155"/>
      <c r="F57" s="199">
        <f>SUM(F41:F56)</f>
        <v>0</v>
      </c>
      <c r="G57" s="193" t="str">
        <f>IF(OR(Revenue!$C$101=0,,$F57=0,$F57=""),"",$F57/Revenue!$C$101)</f>
        <v/>
      </c>
      <c r="H57" s="202" t="str">
        <f t="shared" si="1"/>
        <v/>
      </c>
      <c r="I57"/>
      <c r="J57"/>
      <c r="K57"/>
    </row>
    <row r="58" spans="3:11" x14ac:dyDescent="0.2">
      <c r="C58" s="1175"/>
      <c r="D58" s="1175"/>
      <c r="E58" s="1175"/>
      <c r="F58" s="200"/>
      <c r="G58" s="200"/>
      <c r="H58" s="201"/>
      <c r="I58" s="85"/>
      <c r="J58"/>
      <c r="K58"/>
    </row>
    <row r="59" spans="3:11" ht="42.75" x14ac:dyDescent="0.2">
      <c r="C59" s="1281" t="s">
        <v>626</v>
      </c>
      <c r="D59" s="1281"/>
      <c r="E59" s="1281"/>
      <c r="F59" s="1035" t="s">
        <v>622</v>
      </c>
      <c r="G59" s="1035" t="s">
        <v>201</v>
      </c>
      <c r="H59" s="1036" t="s">
        <v>623</v>
      </c>
      <c r="I59" s="85"/>
      <c r="J59"/>
      <c r="K59"/>
    </row>
    <row r="60" spans="3:11" x14ac:dyDescent="0.2">
      <c r="C60" s="1155" t="s">
        <v>131</v>
      </c>
      <c r="D60" s="1155"/>
      <c r="E60" s="1155"/>
      <c r="F60" s="382"/>
      <c r="G60" s="104" t="str">
        <f>IF(OR(Revenue!$C$101=0,,$F60=0,$F60=""),"",$F60/Revenue!$C$101)</f>
        <v/>
      </c>
      <c r="H60" s="197" t="str">
        <f>IF(OR($F$123=0,$F60=0,$F60=""),"",$F60/-$F$123)</f>
        <v/>
      </c>
      <c r="I60" s="85"/>
      <c r="J60"/>
      <c r="K60"/>
    </row>
    <row r="61" spans="3:11" x14ac:dyDescent="0.2">
      <c r="C61" s="1155" t="s">
        <v>132</v>
      </c>
      <c r="D61" s="1155"/>
      <c r="E61" s="1155"/>
      <c r="F61" s="382"/>
      <c r="G61" s="104" t="str">
        <f>IF(OR(Revenue!$C$101=0,,$F61=0,$F61=""),"",$F61/Revenue!$C$101)</f>
        <v/>
      </c>
      <c r="H61" s="197" t="str">
        <f t="shared" ref="H61:H68" si="2">IF(OR($F$123=0,$F61=0,$F61=""),"",$F61/-$F$123)</f>
        <v/>
      </c>
      <c r="I61" s="85"/>
      <c r="J61"/>
      <c r="K61"/>
    </row>
    <row r="62" spans="3:11" x14ac:dyDescent="0.2">
      <c r="C62" s="1155" t="s">
        <v>133</v>
      </c>
      <c r="D62" s="1155"/>
      <c r="E62" s="1155"/>
      <c r="F62" s="382"/>
      <c r="G62" s="104" t="str">
        <f>IF(OR(Revenue!$C$101=0,,$F62=0,$F62=""),"",$F62/Revenue!$C$101)</f>
        <v/>
      </c>
      <c r="H62" s="197" t="str">
        <f t="shared" si="2"/>
        <v/>
      </c>
      <c r="I62" s="85"/>
      <c r="J62"/>
      <c r="K62"/>
    </row>
    <row r="63" spans="3:11" x14ac:dyDescent="0.2">
      <c r="C63" s="1155" t="s">
        <v>134</v>
      </c>
      <c r="D63" s="1155"/>
      <c r="E63" s="1155"/>
      <c r="F63" s="382"/>
      <c r="G63" s="104" t="str">
        <f>IF(OR(Revenue!$C$101=0,,$F63=0,$F63=""),"",$F63/Revenue!$C$101)</f>
        <v/>
      </c>
      <c r="H63" s="197" t="str">
        <f t="shared" si="2"/>
        <v/>
      </c>
      <c r="I63" s="85"/>
      <c r="J63"/>
      <c r="K63"/>
    </row>
    <row r="64" spans="3:11" x14ac:dyDescent="0.2">
      <c r="C64" s="1155" t="s">
        <v>2085</v>
      </c>
      <c r="D64" s="1155"/>
      <c r="E64" s="1155"/>
      <c r="F64" s="382"/>
      <c r="G64" s="104" t="str">
        <f>IF(OR(Revenue!$C$101=0,,$F64=0,$F64=""),"",$F64/Revenue!$C$101)</f>
        <v/>
      </c>
      <c r="H64" s="197" t="str">
        <f t="shared" si="2"/>
        <v/>
      </c>
      <c r="I64" s="85"/>
      <c r="J64"/>
      <c r="K64"/>
    </row>
    <row r="65" spans="3:11" x14ac:dyDescent="0.2">
      <c r="C65" s="1155" t="s">
        <v>2144</v>
      </c>
      <c r="D65" s="1155"/>
      <c r="E65" s="1324"/>
      <c r="F65" s="382"/>
      <c r="G65" s="104" t="str">
        <f>IF(OR(Revenue!$C$101=0,,$F65=0,$F65=""),"",$F65/Revenue!$C$101)</f>
        <v/>
      </c>
      <c r="H65" s="197" t="str">
        <f t="shared" si="2"/>
        <v/>
      </c>
      <c r="I65" s="85"/>
      <c r="J65"/>
      <c r="K65"/>
    </row>
    <row r="66" spans="3:11" x14ac:dyDescent="0.2">
      <c r="C66" s="25" t="s">
        <v>100</v>
      </c>
      <c r="D66" s="1262" t="s">
        <v>2084</v>
      </c>
      <c r="E66" s="1262"/>
      <c r="F66" s="382"/>
      <c r="G66" s="104" t="str">
        <f>IF(OR(Revenue!$C$101=0,,$F66=0,$F66=""),"",$F66/Revenue!$C$101)</f>
        <v/>
      </c>
      <c r="H66" s="197" t="str">
        <f t="shared" si="2"/>
        <v/>
      </c>
      <c r="I66" s="85"/>
      <c r="J66"/>
      <c r="K66"/>
    </row>
    <row r="67" spans="3:11" ht="15" thickBot="1" x14ac:dyDescent="0.25">
      <c r="C67" s="212" t="s">
        <v>100</v>
      </c>
      <c r="D67" s="1311" t="s">
        <v>2084</v>
      </c>
      <c r="E67" s="1311"/>
      <c r="F67" s="383"/>
      <c r="G67" s="191" t="str">
        <f>IF(OR(Revenue!$C$101=0,,$F67=0,$F67=""),"",$F67/Revenue!$C$101)</f>
        <v/>
      </c>
      <c r="H67" s="198" t="str">
        <f t="shared" si="2"/>
        <v/>
      </c>
      <c r="I67" s="85"/>
      <c r="J67"/>
      <c r="K67"/>
    </row>
    <row r="68" spans="3:11" ht="15.75" thickTop="1" x14ac:dyDescent="0.2">
      <c r="C68" s="1155" t="s">
        <v>627</v>
      </c>
      <c r="D68" s="1155"/>
      <c r="E68" s="1155"/>
      <c r="F68" s="199">
        <f>SUM(F60:F67)</f>
        <v>0</v>
      </c>
      <c r="G68" s="193" t="str">
        <f>IF(OR(Revenue!$C$101=0,,$F68=0,$F68=""),"",$F68/Revenue!$C$101)</f>
        <v/>
      </c>
      <c r="H68" s="202" t="str">
        <f t="shared" si="2"/>
        <v/>
      </c>
      <c r="I68"/>
      <c r="J68"/>
      <c r="K68"/>
    </row>
    <row r="69" spans="3:11" x14ac:dyDescent="0.2">
      <c r="C69" s="1175"/>
      <c r="D69" s="1175"/>
      <c r="E69" s="1175"/>
      <c r="F69" s="200"/>
      <c r="G69" s="200"/>
      <c r="H69" s="201"/>
      <c r="I69" s="85"/>
      <c r="J69"/>
      <c r="K69"/>
    </row>
    <row r="70" spans="3:11" ht="42.75" x14ac:dyDescent="0.2">
      <c r="C70" s="1281" t="s">
        <v>628</v>
      </c>
      <c r="D70" s="1281"/>
      <c r="E70" s="1281"/>
      <c r="F70" s="1035" t="s">
        <v>622</v>
      </c>
      <c r="G70" s="1035" t="s">
        <v>201</v>
      </c>
      <c r="H70" s="1036" t="s">
        <v>623</v>
      </c>
      <c r="I70" s="85"/>
      <c r="J70"/>
      <c r="K70"/>
    </row>
    <row r="71" spans="3:11" x14ac:dyDescent="0.2">
      <c r="C71" s="1155" t="s">
        <v>147</v>
      </c>
      <c r="D71" s="1155"/>
      <c r="E71" s="1155"/>
      <c r="F71" s="382"/>
      <c r="G71" s="104" t="str">
        <f>IF(OR(Revenue!$C$101=0,,$F71=0,$F71=""),"",$F71/Revenue!$C$101)</f>
        <v/>
      </c>
      <c r="H71" s="197" t="str">
        <f t="shared" ref="H71:H88" si="3">IF(OR($F$123=0,$F71=0,$F71=""),"",$F71/-$F$123)</f>
        <v/>
      </c>
      <c r="I71" s="85"/>
      <c r="J71"/>
      <c r="K71"/>
    </row>
    <row r="72" spans="3:11" x14ac:dyDescent="0.2">
      <c r="C72" s="1155" t="s">
        <v>135</v>
      </c>
      <c r="D72" s="1155"/>
      <c r="E72" s="1155"/>
      <c r="F72" s="382"/>
      <c r="G72" s="104" t="str">
        <f>IF(OR(Revenue!$C$101=0,,$F72=0,$F72=""),"",$F72/Revenue!$C$101)</f>
        <v/>
      </c>
      <c r="H72" s="197" t="str">
        <f t="shared" si="3"/>
        <v/>
      </c>
      <c r="I72" s="85"/>
      <c r="J72"/>
      <c r="K72"/>
    </row>
    <row r="73" spans="3:11" x14ac:dyDescent="0.2">
      <c r="C73" s="1155" t="s">
        <v>136</v>
      </c>
      <c r="D73" s="1155"/>
      <c r="E73" s="1155"/>
      <c r="F73" s="382"/>
      <c r="G73" s="104" t="str">
        <f>IF(OR(Revenue!$C$101=0,,$F73=0,$F73=""),"",$F73/Revenue!$C$101)</f>
        <v/>
      </c>
      <c r="H73" s="197" t="str">
        <f t="shared" si="3"/>
        <v/>
      </c>
      <c r="I73" s="85"/>
      <c r="J73"/>
      <c r="K73"/>
    </row>
    <row r="74" spans="3:11" x14ac:dyDescent="0.2">
      <c r="C74" s="1155" t="s">
        <v>137</v>
      </c>
      <c r="D74" s="1155"/>
      <c r="E74" s="1155"/>
      <c r="F74" s="382"/>
      <c r="G74" s="104" t="str">
        <f>IF(OR(Revenue!$C$101=0,,$F74=0,$F74=""),"",$F74/Revenue!$C$101)</f>
        <v/>
      </c>
      <c r="H74" s="197" t="str">
        <f t="shared" si="3"/>
        <v/>
      </c>
      <c r="I74" s="85"/>
      <c r="J74"/>
      <c r="K74"/>
    </row>
    <row r="75" spans="3:11" x14ac:dyDescent="0.2">
      <c r="C75" s="1155" t="s">
        <v>138</v>
      </c>
      <c r="D75" s="1155"/>
      <c r="E75" s="1155"/>
      <c r="F75" s="382"/>
      <c r="G75" s="104" t="str">
        <f>IF(OR(Revenue!$C$101=0,,$F75=0,$F75=""),"",$F75/Revenue!$C$101)</f>
        <v/>
      </c>
      <c r="H75" s="197" t="str">
        <f t="shared" si="3"/>
        <v/>
      </c>
      <c r="I75" s="85"/>
      <c r="J75"/>
      <c r="K75"/>
    </row>
    <row r="76" spans="3:11" x14ac:dyDescent="0.2">
      <c r="C76" s="1155" t="s">
        <v>139</v>
      </c>
      <c r="D76" s="1155"/>
      <c r="E76" s="1155"/>
      <c r="F76" s="382"/>
      <c r="G76" s="104" t="str">
        <f>IF(OR(Revenue!$C$101=0,,$F76=0,$F76=""),"",$F76/Revenue!$C$101)</f>
        <v/>
      </c>
      <c r="H76" s="197" t="str">
        <f t="shared" si="3"/>
        <v/>
      </c>
      <c r="I76" s="85"/>
      <c r="J76"/>
      <c r="K76"/>
    </row>
    <row r="77" spans="3:11" x14ac:dyDescent="0.2">
      <c r="C77" s="1155" t="s">
        <v>140</v>
      </c>
      <c r="D77" s="1155"/>
      <c r="E77" s="1155"/>
      <c r="F77" s="382"/>
      <c r="G77" s="104" t="str">
        <f>IF(OR(Revenue!$C$101=0,,$F77=0,$F77=""),"",$F77/Revenue!$C$101)</f>
        <v/>
      </c>
      <c r="H77" s="197" t="str">
        <f t="shared" si="3"/>
        <v/>
      </c>
      <c r="I77" s="85"/>
      <c r="J77"/>
      <c r="K77"/>
    </row>
    <row r="78" spans="3:11" x14ac:dyDescent="0.2">
      <c r="C78" s="1155" t="s">
        <v>141</v>
      </c>
      <c r="D78" s="1155"/>
      <c r="E78" s="1155"/>
      <c r="F78" s="382"/>
      <c r="G78" s="104" t="str">
        <f>IF(OR(Revenue!$C$101=0,,$F78=0,$F78=""),"",$F78/Revenue!$C$101)</f>
        <v/>
      </c>
      <c r="H78" s="197" t="str">
        <f t="shared" si="3"/>
        <v/>
      </c>
      <c r="I78" s="85"/>
      <c r="J78"/>
      <c r="K78"/>
    </row>
    <row r="79" spans="3:11" x14ac:dyDescent="0.2">
      <c r="C79" s="1155" t="s">
        <v>142</v>
      </c>
      <c r="D79" s="1155"/>
      <c r="E79" s="1155"/>
      <c r="F79" s="382"/>
      <c r="G79" s="104" t="str">
        <f>IF(OR(Revenue!$C$101=0,,$F79=0,$F79=""),"",$F79/Revenue!$C$101)</f>
        <v/>
      </c>
      <c r="H79" s="197" t="str">
        <f t="shared" si="3"/>
        <v/>
      </c>
      <c r="I79" s="85"/>
      <c r="J79"/>
      <c r="K79"/>
    </row>
    <row r="80" spans="3:11" x14ac:dyDescent="0.2">
      <c r="C80" s="1155" t="s">
        <v>143</v>
      </c>
      <c r="D80" s="1155"/>
      <c r="E80" s="1155"/>
      <c r="F80" s="382"/>
      <c r="G80" s="104" t="str">
        <f>IF(OR(Revenue!$C$101=0,,$F80=0,$F80=""),"",$F80/Revenue!$C$101)</f>
        <v/>
      </c>
      <c r="H80" s="197" t="str">
        <f t="shared" si="3"/>
        <v/>
      </c>
      <c r="I80" s="85"/>
      <c r="J80"/>
      <c r="K80"/>
    </row>
    <row r="81" spans="3:11" x14ac:dyDescent="0.2">
      <c r="C81" s="1155" t="s">
        <v>144</v>
      </c>
      <c r="D81" s="1155"/>
      <c r="E81" s="1155"/>
      <c r="F81" s="382"/>
      <c r="G81" s="104" t="str">
        <f>IF(OR(Revenue!$C$101=0,,$F81=0,$F81=""),"",$F81/Revenue!$C$101)</f>
        <v/>
      </c>
      <c r="H81" s="197" t="str">
        <f t="shared" si="3"/>
        <v/>
      </c>
      <c r="I81" s="85"/>
      <c r="J81"/>
      <c r="K81"/>
    </row>
    <row r="82" spans="3:11" x14ac:dyDescent="0.2">
      <c r="C82" s="1155" t="s">
        <v>145</v>
      </c>
      <c r="D82" s="1155"/>
      <c r="E82" s="1155"/>
      <c r="F82" s="382"/>
      <c r="G82" s="104" t="str">
        <f>IF(OR(Revenue!$C$101=0,,$F82=0,$F82=""),"",$F82/Revenue!$C$101)</f>
        <v/>
      </c>
      <c r="H82" s="197" t="str">
        <f t="shared" si="3"/>
        <v/>
      </c>
      <c r="I82" s="85"/>
      <c r="J82"/>
      <c r="K82"/>
    </row>
    <row r="83" spans="3:11" x14ac:dyDescent="0.2">
      <c r="C83" s="1155" t="s">
        <v>146</v>
      </c>
      <c r="D83" s="1155"/>
      <c r="E83" s="1155"/>
      <c r="F83" s="382"/>
      <c r="G83" s="104" t="str">
        <f>IF(OR(Revenue!$C$101=0,,$F83=0,$F83=""),"",$F83/Revenue!$C$101)</f>
        <v/>
      </c>
      <c r="H83" s="197" t="str">
        <f t="shared" si="3"/>
        <v/>
      </c>
      <c r="I83" s="85"/>
      <c r="J83"/>
      <c r="K83"/>
    </row>
    <row r="84" spans="3:11" x14ac:dyDescent="0.2">
      <c r="C84" s="25" t="s">
        <v>100</v>
      </c>
      <c r="D84" s="1188" t="s">
        <v>2084</v>
      </c>
      <c r="E84" s="1189"/>
      <c r="F84" s="384"/>
      <c r="G84" s="104" t="str">
        <f>IF(OR(Revenue!$C$101=0,,$F84=0,$F84=""),"",$F84/Revenue!$C$101)</f>
        <v/>
      </c>
      <c r="H84" s="197" t="str">
        <f t="shared" si="3"/>
        <v/>
      </c>
      <c r="I84" s="85"/>
      <c r="J84"/>
      <c r="K84"/>
    </row>
    <row r="85" spans="3:11" x14ac:dyDescent="0.2">
      <c r="C85" s="25" t="s">
        <v>100</v>
      </c>
      <c r="D85" s="1188" t="s">
        <v>2084</v>
      </c>
      <c r="E85" s="1189"/>
      <c r="F85" s="382"/>
      <c r="G85" s="104" t="str">
        <f>IF(OR(Revenue!$C$101=0,,$F85=0,$F85=""),"",$F85/Revenue!$C$101)</f>
        <v/>
      </c>
      <c r="H85" s="197" t="str">
        <f t="shared" si="3"/>
        <v/>
      </c>
      <c r="I85" s="85"/>
      <c r="J85"/>
      <c r="K85"/>
    </row>
    <row r="86" spans="3:11" x14ac:dyDescent="0.2">
      <c r="C86" s="25" t="s">
        <v>100</v>
      </c>
      <c r="D86" s="1188" t="s">
        <v>2084</v>
      </c>
      <c r="E86" s="1189"/>
      <c r="F86" s="382"/>
      <c r="G86" s="104" t="str">
        <f>IF(OR(Revenue!$C$101=0,,$F86=0,$F86=""),"",$F86/Revenue!$C$101)</f>
        <v/>
      </c>
      <c r="H86" s="197" t="str">
        <f t="shared" si="3"/>
        <v/>
      </c>
      <c r="I86" s="85"/>
      <c r="J86"/>
      <c r="K86"/>
    </row>
    <row r="87" spans="3:11" ht="15" thickBot="1" x14ac:dyDescent="0.25">
      <c r="C87" s="212" t="s">
        <v>100</v>
      </c>
      <c r="D87" s="1311" t="s">
        <v>2084</v>
      </c>
      <c r="E87" s="1311"/>
      <c r="F87" s="383"/>
      <c r="G87" s="191" t="str">
        <f>IF(OR(Revenue!$C$101=0,,$F87=0,$F87=""),"",$F87/Revenue!$C$101)</f>
        <v/>
      </c>
      <c r="H87" s="198" t="str">
        <f t="shared" si="3"/>
        <v/>
      </c>
      <c r="I87" s="85"/>
      <c r="J87"/>
      <c r="K87"/>
    </row>
    <row r="88" spans="3:11" ht="15.75" thickTop="1" x14ac:dyDescent="0.2">
      <c r="C88" s="1155" t="s">
        <v>629</v>
      </c>
      <c r="D88" s="1155"/>
      <c r="E88" s="1155"/>
      <c r="F88" s="199">
        <f>SUM(F71:F87)</f>
        <v>0</v>
      </c>
      <c r="G88" s="193" t="str">
        <f>IF(OR(Revenue!$C$101=0,,$F88=0,$F88=""),"",$F88/Revenue!$C$101)</f>
        <v/>
      </c>
      <c r="H88" s="202" t="str">
        <f t="shared" si="3"/>
        <v/>
      </c>
      <c r="I88"/>
      <c r="J88"/>
      <c r="K88"/>
    </row>
    <row r="89" spans="3:11" x14ac:dyDescent="0.2">
      <c r="C89" s="1175"/>
      <c r="D89" s="1175"/>
      <c r="E89" s="1175"/>
      <c r="F89" s="200"/>
      <c r="G89" s="200"/>
      <c r="H89" s="201"/>
      <c r="I89" s="85"/>
      <c r="J89"/>
      <c r="K89"/>
    </row>
    <row r="90" spans="3:11" ht="42.75" x14ac:dyDescent="0.2">
      <c r="C90" s="1281" t="s">
        <v>630</v>
      </c>
      <c r="D90" s="1281"/>
      <c r="E90" s="1281"/>
      <c r="F90" s="1035" t="s">
        <v>622</v>
      </c>
      <c r="G90" s="1035" t="s">
        <v>201</v>
      </c>
      <c r="H90" s="1036" t="s">
        <v>623</v>
      </c>
      <c r="I90" s="85"/>
      <c r="J90"/>
      <c r="K90"/>
    </row>
    <row r="91" spans="3:11" x14ac:dyDescent="0.2">
      <c r="C91" s="1155" t="s">
        <v>2573</v>
      </c>
      <c r="D91" s="1155"/>
      <c r="E91" s="1155"/>
      <c r="F91" s="382"/>
      <c r="G91" s="104" t="str">
        <f>IF(OR(Revenue!$C$101=0,,$F91=0,$F91=""),"",$F91/Revenue!$C$101)</f>
        <v/>
      </c>
      <c r="H91" s="197" t="str">
        <f t="shared" ref="H91:H101" si="4">IF(OR($F$123=0,$F91=0,$F91=""),"",$F91/-$F$123)</f>
        <v/>
      </c>
      <c r="I91" s="85"/>
      <c r="J91"/>
      <c r="K91"/>
    </row>
    <row r="92" spans="3:11" x14ac:dyDescent="0.2">
      <c r="C92" s="1155" t="s">
        <v>149</v>
      </c>
      <c r="D92" s="1155"/>
      <c r="E92" s="1155"/>
      <c r="F92" s="382"/>
      <c r="G92" s="104" t="str">
        <f>IF(OR(Revenue!$C$101=0,,$F92=0,$F92=""),"",$F92/Revenue!$C$101)</f>
        <v/>
      </c>
      <c r="H92" s="197" t="str">
        <f t="shared" si="4"/>
        <v/>
      </c>
      <c r="I92" s="85"/>
      <c r="J92"/>
      <c r="K92"/>
    </row>
    <row r="93" spans="3:11" x14ac:dyDescent="0.2">
      <c r="C93" s="1155" t="s">
        <v>150</v>
      </c>
      <c r="D93" s="1155"/>
      <c r="E93" s="1155"/>
      <c r="F93" s="382"/>
      <c r="G93" s="104" t="str">
        <f>IF(OR(Revenue!$C$101=0,,$F93=0,$F93=""),"",$F93/Revenue!$C$101)</f>
        <v/>
      </c>
      <c r="H93" s="197" t="str">
        <f t="shared" si="4"/>
        <v/>
      </c>
      <c r="I93" s="85"/>
      <c r="J93"/>
      <c r="K93"/>
    </row>
    <row r="94" spans="3:11" x14ac:dyDescent="0.2">
      <c r="C94" s="1155" t="s">
        <v>151</v>
      </c>
      <c r="D94" s="1155"/>
      <c r="E94" s="1155"/>
      <c r="F94" s="382"/>
      <c r="G94" s="104" t="str">
        <f>IF(OR(Revenue!$C$101=0,,$F94=0,$F94=""),"",$F94/Revenue!$C$101)</f>
        <v/>
      </c>
      <c r="H94" s="197" t="str">
        <f t="shared" si="4"/>
        <v/>
      </c>
      <c r="I94" s="85"/>
      <c r="J94"/>
      <c r="K94"/>
    </row>
    <row r="95" spans="3:11" x14ac:dyDescent="0.2">
      <c r="C95" s="1155" t="s">
        <v>152</v>
      </c>
      <c r="D95" s="1155"/>
      <c r="E95" s="1155"/>
      <c r="F95" s="382"/>
      <c r="G95" s="104" t="str">
        <f>IF(OR(Revenue!$C$101=0,,$F95=0,$F95=""),"",$F95/Revenue!$C$101)</f>
        <v/>
      </c>
      <c r="H95" s="197" t="str">
        <f t="shared" si="4"/>
        <v/>
      </c>
      <c r="I95" s="85"/>
      <c r="J95"/>
      <c r="K95"/>
    </row>
    <row r="96" spans="3:11" x14ac:dyDescent="0.2">
      <c r="C96" s="1155" t="s">
        <v>153</v>
      </c>
      <c r="D96" s="1155"/>
      <c r="E96" s="1155"/>
      <c r="F96" s="382"/>
      <c r="G96" s="104" t="str">
        <f>IF(OR(Revenue!$C$101=0,,$F96=0,$F96=""),"",$F96/Revenue!$C$101)</f>
        <v/>
      </c>
      <c r="H96" s="197" t="str">
        <f t="shared" si="4"/>
        <v/>
      </c>
      <c r="I96" s="85"/>
      <c r="J96"/>
      <c r="K96"/>
    </row>
    <row r="97" spans="3:11" x14ac:dyDescent="0.2">
      <c r="C97" s="1155" t="s">
        <v>631</v>
      </c>
      <c r="D97" s="1155"/>
      <c r="E97" s="1155"/>
      <c r="F97" s="382"/>
      <c r="G97" s="104" t="str">
        <f>IF(OR(Revenue!$C$101=0,,$F97=0,$F97=""),"",$F97/Revenue!$C$101)</f>
        <v/>
      </c>
      <c r="H97" s="197" t="str">
        <f t="shared" si="4"/>
        <v/>
      </c>
      <c r="I97" s="85"/>
      <c r="J97"/>
      <c r="K97"/>
    </row>
    <row r="98" spans="3:11" x14ac:dyDescent="0.2">
      <c r="C98" s="25" t="s">
        <v>100</v>
      </c>
      <c r="D98" s="1262" t="s">
        <v>2084</v>
      </c>
      <c r="E98" s="1188"/>
      <c r="F98" s="382"/>
      <c r="G98" s="104" t="str">
        <f>IF(OR(Revenue!$C$101=0,,$F98=0,$F98=""),"",$F98/Revenue!$C$101)</f>
        <v/>
      </c>
      <c r="H98" s="197" t="str">
        <f t="shared" si="4"/>
        <v/>
      </c>
      <c r="I98" s="85"/>
      <c r="J98"/>
      <c r="K98"/>
    </row>
    <row r="99" spans="3:11" x14ac:dyDescent="0.2">
      <c r="C99" s="25" t="s">
        <v>100</v>
      </c>
      <c r="D99" s="1262" t="s">
        <v>2084</v>
      </c>
      <c r="E99" s="1262"/>
      <c r="F99" s="382"/>
      <c r="G99" s="104" t="str">
        <f>IF(OR(Revenue!$C$101=0,,$F99=0,$F99=""),"",$F99/Revenue!$C$101)</f>
        <v/>
      </c>
      <c r="H99" s="197" t="str">
        <f t="shared" si="4"/>
        <v/>
      </c>
      <c r="I99" s="85"/>
      <c r="J99"/>
      <c r="K99"/>
    </row>
    <row r="100" spans="3:11" ht="15" thickBot="1" x14ac:dyDescent="0.25">
      <c r="C100" s="212" t="s">
        <v>100</v>
      </c>
      <c r="D100" s="1311" t="s">
        <v>2084</v>
      </c>
      <c r="E100" s="1311"/>
      <c r="F100" s="383"/>
      <c r="G100" s="191" t="str">
        <f>IF(OR(Revenue!$C$101=0,,$F100=0,$F100=""),"",$F100/Revenue!$C$101)</f>
        <v/>
      </c>
      <c r="H100" s="198" t="str">
        <f t="shared" si="4"/>
        <v/>
      </c>
      <c r="I100" s="85"/>
      <c r="J100"/>
      <c r="K100"/>
    </row>
    <row r="101" spans="3:11" ht="15.75" thickTop="1" x14ac:dyDescent="0.2">
      <c r="C101" s="1155" t="s">
        <v>632</v>
      </c>
      <c r="D101" s="1155"/>
      <c r="E101" s="1155"/>
      <c r="F101" s="199">
        <f>SUM(F91:F100)</f>
        <v>0</v>
      </c>
      <c r="G101" s="193" t="str">
        <f>IF(OR(Revenue!$C$101=0,,$F101=0,$F101=""),"",$F101/Revenue!$C$101)</f>
        <v/>
      </c>
      <c r="H101" s="202" t="str">
        <f t="shared" si="4"/>
        <v/>
      </c>
      <c r="I101"/>
      <c r="J101"/>
      <c r="K101"/>
    </row>
    <row r="102" spans="3:11" x14ac:dyDescent="0.2">
      <c r="C102" s="1175"/>
      <c r="D102" s="1175"/>
      <c r="E102" s="1175"/>
      <c r="F102" s="200"/>
      <c r="G102" s="200"/>
      <c r="H102" s="201"/>
      <c r="I102" s="85"/>
      <c r="J102"/>
      <c r="K102"/>
    </row>
    <row r="103" spans="3:11" ht="42.75" x14ac:dyDescent="0.2">
      <c r="C103" s="1281" t="s">
        <v>633</v>
      </c>
      <c r="D103" s="1281"/>
      <c r="E103" s="1281"/>
      <c r="F103" s="1035" t="s">
        <v>622</v>
      </c>
      <c r="G103" s="1035" t="s">
        <v>201</v>
      </c>
      <c r="H103" s="1036" t="s">
        <v>623</v>
      </c>
      <c r="I103" s="85"/>
      <c r="J103"/>
      <c r="K103"/>
    </row>
    <row r="104" spans="3:11" x14ac:dyDescent="0.2">
      <c r="C104" s="1155" t="s">
        <v>154</v>
      </c>
      <c r="D104" s="1155"/>
      <c r="E104" s="1155"/>
      <c r="F104" s="382"/>
      <c r="G104" s="104" t="str">
        <f>IF(OR(Revenue!$C$101=0,,$F104=0,$F104=""),"",$F104/Revenue!$C$101)</f>
        <v/>
      </c>
      <c r="H104" s="197" t="str">
        <f t="shared" ref="H104:H108" si="5">IF(OR($F$123=0,$F104=0,$F104=""),"",$F104/-$F$123)</f>
        <v/>
      </c>
      <c r="I104" s="85"/>
      <c r="J104"/>
      <c r="K104"/>
    </row>
    <row r="105" spans="3:11" x14ac:dyDescent="0.2">
      <c r="C105" s="25" t="s">
        <v>100</v>
      </c>
      <c r="D105" s="1262" t="s">
        <v>2084</v>
      </c>
      <c r="E105" s="1262"/>
      <c r="F105" s="382"/>
      <c r="G105" s="104" t="str">
        <f>IF(OR(Revenue!$C$101=0,,$F105=0,$F105=""),"",$F105/Revenue!$C$101)</f>
        <v/>
      </c>
      <c r="H105" s="197" t="str">
        <f t="shared" si="5"/>
        <v/>
      </c>
      <c r="I105" s="85"/>
      <c r="J105"/>
      <c r="K105"/>
    </row>
    <row r="106" spans="3:11" x14ac:dyDescent="0.2">
      <c r="C106" s="25" t="s">
        <v>100</v>
      </c>
      <c r="D106" s="1262" t="s">
        <v>2084</v>
      </c>
      <c r="E106" s="1262"/>
      <c r="F106" s="382"/>
      <c r="G106" s="104" t="str">
        <f>IF(OR(Revenue!$C$101=0,,$F106=0,$F106=""),"",$F106/Revenue!$C$101)</f>
        <v/>
      </c>
      <c r="H106" s="197" t="str">
        <f t="shared" si="5"/>
        <v/>
      </c>
      <c r="I106" s="85"/>
      <c r="J106"/>
      <c r="K106"/>
    </row>
    <row r="107" spans="3:11" ht="15" thickBot="1" x14ac:dyDescent="0.25">
      <c r="C107" s="212" t="s">
        <v>100</v>
      </c>
      <c r="D107" s="1311" t="s">
        <v>2084</v>
      </c>
      <c r="E107" s="1311"/>
      <c r="F107" s="383"/>
      <c r="G107" s="191" t="str">
        <f>IF(OR(Revenue!$C$101=0,,$F107=0,$F107=""),"",$F107/Revenue!$C$101)</f>
        <v/>
      </c>
      <c r="H107" s="198" t="str">
        <f t="shared" si="5"/>
        <v/>
      </c>
      <c r="I107" s="85"/>
      <c r="J107"/>
      <c r="K107"/>
    </row>
    <row r="108" spans="3:11" ht="15.75" thickTop="1" x14ac:dyDescent="0.2">
      <c r="C108" s="1155" t="s">
        <v>634</v>
      </c>
      <c r="D108" s="1155"/>
      <c r="E108" s="1155"/>
      <c r="F108" s="199">
        <f>SUM(F104:F107)</f>
        <v>0</v>
      </c>
      <c r="G108" s="193" t="str">
        <f>IF(OR(Revenue!$C$101=0,,$F108=0,$F108=""),"",$F108/Revenue!$C$101)</f>
        <v/>
      </c>
      <c r="H108" s="202" t="str">
        <f t="shared" si="5"/>
        <v/>
      </c>
      <c r="I108"/>
      <c r="J108"/>
      <c r="K108"/>
    </row>
    <row r="109" spans="3:11" x14ac:dyDescent="0.2">
      <c r="C109"/>
      <c r="D109"/>
      <c r="E109"/>
      <c r="F109" s="200"/>
      <c r="G109" s="200"/>
      <c r="H109" s="201"/>
      <c r="I109"/>
      <c r="J109" s="85"/>
      <c r="K109"/>
    </row>
    <row r="110" spans="3:11" x14ac:dyDescent="0.2">
      <c r="C110"/>
      <c r="D110"/>
      <c r="E110"/>
      <c r="F110" s="200"/>
      <c r="G110" s="200"/>
      <c r="H110" s="201"/>
      <c r="I110"/>
      <c r="J110" s="85"/>
      <c r="K110"/>
    </row>
    <row r="111" spans="3:11" ht="42.75" x14ac:dyDescent="0.2">
      <c r="C111" s="1137" t="s">
        <v>635</v>
      </c>
      <c r="D111" s="1137"/>
      <c r="E111" s="1137"/>
      <c r="F111" s="1035" t="s">
        <v>622</v>
      </c>
      <c r="G111" s="1035" t="s">
        <v>201</v>
      </c>
      <c r="H111" s="1036" t="s">
        <v>623</v>
      </c>
      <c r="I111"/>
      <c r="J111" s="85"/>
      <c r="K111"/>
    </row>
    <row r="112" spans="3:11" x14ac:dyDescent="0.2">
      <c r="C112" s="1306" t="s">
        <v>370</v>
      </c>
      <c r="D112" s="1306"/>
      <c r="E112" s="1307"/>
      <c r="F112" s="104">
        <f>-$F$57+$F$46</f>
        <v>0</v>
      </c>
      <c r="G112" s="104" t="str">
        <f>IFERROR(F112/Revenue!$C$101,"")</f>
        <v/>
      </c>
      <c r="H112" s="197" t="str">
        <f>IF(OR($F$123=0,$F112=0,$F112=""),"",$F112/$F$123)</f>
        <v/>
      </c>
      <c r="I112"/>
      <c r="J112" s="85"/>
      <c r="K112"/>
    </row>
    <row r="113" spans="3:11" x14ac:dyDescent="0.2">
      <c r="C113" s="1306" t="s">
        <v>636</v>
      </c>
      <c r="D113" s="1306"/>
      <c r="E113" s="1307"/>
      <c r="F113" s="104">
        <f>-$F$46</f>
        <v>0</v>
      </c>
      <c r="G113" s="104" t="str">
        <f>IFERROR(F113/Revenue!$C$101,"")</f>
        <v/>
      </c>
      <c r="H113" s="197" t="str">
        <f t="shared" ref="H113:H121" si="6">IF(OR($F$123=0,$F113=0,$F113=""),"",$F113/$F$123)</f>
        <v/>
      </c>
      <c r="I113"/>
      <c r="J113" s="85"/>
      <c r="K113"/>
    </row>
    <row r="114" spans="3:11" x14ac:dyDescent="0.2">
      <c r="C114" s="1306" t="s">
        <v>626</v>
      </c>
      <c r="D114" s="1306"/>
      <c r="E114" s="1307"/>
      <c r="F114" s="104">
        <f>-$F$68</f>
        <v>0</v>
      </c>
      <c r="G114" s="104" t="str">
        <f>IFERROR(F114/Revenue!$C$101,"")</f>
        <v/>
      </c>
      <c r="H114" s="197" t="str">
        <f t="shared" si="6"/>
        <v/>
      </c>
      <c r="I114"/>
      <c r="J114" s="85"/>
      <c r="K114"/>
    </row>
    <row r="115" spans="3:11" x14ac:dyDescent="0.2">
      <c r="C115" s="1306" t="s">
        <v>637</v>
      </c>
      <c r="D115" s="1306"/>
      <c r="E115" s="1307"/>
      <c r="F115" s="104">
        <f>-$F$88</f>
        <v>0</v>
      </c>
      <c r="G115" s="104" t="str">
        <f>IFERROR(F115/Revenue!$C$101,"")</f>
        <v/>
      </c>
      <c r="H115" s="197" t="str">
        <f t="shared" si="6"/>
        <v/>
      </c>
      <c r="I115"/>
      <c r="J115" s="85"/>
      <c r="K115"/>
    </row>
    <row r="116" spans="3:11" x14ac:dyDescent="0.2">
      <c r="C116" s="1309" t="s">
        <v>148</v>
      </c>
      <c r="D116" s="1309"/>
      <c r="E116" s="1310"/>
      <c r="F116" s="800">
        <f>-$F$91</f>
        <v>0</v>
      </c>
      <c r="G116" s="104" t="str">
        <f>IFERROR(F116/Revenue!$C$101,"")</f>
        <v/>
      </c>
      <c r="H116" s="197" t="str">
        <f t="shared" si="6"/>
        <v/>
      </c>
      <c r="I116"/>
      <c r="J116" s="85"/>
      <c r="K116"/>
    </row>
    <row r="117" spans="3:11" x14ac:dyDescent="0.2">
      <c r="C117" s="1309" t="s">
        <v>2113</v>
      </c>
      <c r="D117" s="1309"/>
      <c r="E117" s="1310"/>
      <c r="F117" s="801">
        <f>Cashflow!$F$32</f>
        <v>0</v>
      </c>
      <c r="G117" s="104" t="str">
        <f>IFERROR(F117/Revenue!$C$101,"")</f>
        <v/>
      </c>
      <c r="H117" s="197" t="str">
        <f t="shared" si="6"/>
        <v/>
      </c>
      <c r="I117"/>
      <c r="J117" s="85"/>
      <c r="K117"/>
    </row>
    <row r="118" spans="3:11" x14ac:dyDescent="0.2">
      <c r="C118" s="1306" t="s">
        <v>2738</v>
      </c>
      <c r="D118" s="1306"/>
      <c r="E118" s="1307"/>
      <c r="F118" s="800">
        <f>$F$142+$F$143</f>
        <v>0</v>
      </c>
      <c r="G118" s="104" t="str">
        <f>IFERROR(F118/Revenue!$C$101,"")</f>
        <v/>
      </c>
      <c r="H118" s="197" t="str">
        <f t="shared" si="6"/>
        <v/>
      </c>
      <c r="I118"/>
      <c r="J118" s="85"/>
      <c r="K118"/>
    </row>
    <row r="119" spans="3:11" x14ac:dyDescent="0.2">
      <c r="C119" s="1306" t="s">
        <v>434</v>
      </c>
      <c r="D119" s="1306"/>
      <c r="E119" s="1307"/>
      <c r="F119" s="786">
        <f>-$F$93</f>
        <v>0</v>
      </c>
      <c r="G119" s="104" t="str">
        <f>IFERROR(F119/Revenue!$C$101,"")</f>
        <v/>
      </c>
      <c r="H119" s="197" t="str">
        <f t="shared" si="6"/>
        <v/>
      </c>
      <c r="I119"/>
      <c r="J119" s="85"/>
      <c r="K119"/>
    </row>
    <row r="120" spans="3:11" x14ac:dyDescent="0.2">
      <c r="C120" s="1306" t="s">
        <v>2101</v>
      </c>
      <c r="D120" s="1306"/>
      <c r="E120" s="1307"/>
      <c r="F120" s="104">
        <f>-$F$101+$F$93+$F$91</f>
        <v>0</v>
      </c>
      <c r="G120" s="104" t="str">
        <f>IFERROR(F120/Revenue!$C$101,"")</f>
        <v/>
      </c>
      <c r="H120" s="197" t="str">
        <f t="shared" si="6"/>
        <v/>
      </c>
      <c r="I120"/>
      <c r="J120" s="85"/>
      <c r="K120"/>
    </row>
    <row r="121" spans="3:11" x14ac:dyDescent="0.2">
      <c r="C121" s="1306" t="s">
        <v>633</v>
      </c>
      <c r="D121" s="1306"/>
      <c r="E121" s="1307"/>
      <c r="F121" s="104">
        <f>-$F$108</f>
        <v>0</v>
      </c>
      <c r="G121" s="104" t="str">
        <f>IFERROR(F121/Revenue!$C$101,"")</f>
        <v/>
      </c>
      <c r="H121" s="197" t="str">
        <f t="shared" si="6"/>
        <v/>
      </c>
      <c r="I121"/>
      <c r="J121" s="85"/>
      <c r="K121"/>
    </row>
    <row r="122" spans="3:11" ht="15" thickBot="1" x14ac:dyDescent="0.25">
      <c r="C122" s="1337" t="s">
        <v>328</v>
      </c>
      <c r="D122" s="1337"/>
      <c r="E122" s="1338"/>
      <c r="F122" s="191">
        <f>Cashflow!$F$36</f>
        <v>0</v>
      </c>
      <c r="G122" s="191" t="str">
        <f>IFERROR(F122/Revenue!$C$101,"")</f>
        <v/>
      </c>
      <c r="H122" s="196"/>
      <c r="I122"/>
      <c r="J122" s="85"/>
      <c r="K122"/>
    </row>
    <row r="123" spans="3:11" ht="15.75" thickTop="1" x14ac:dyDescent="0.2">
      <c r="C123" s="1329" t="s">
        <v>2733</v>
      </c>
      <c r="D123" s="1329"/>
      <c r="E123" s="1330"/>
      <c r="F123" s="193">
        <f>SUM(F112:F115,F118:F122)</f>
        <v>0</v>
      </c>
      <c r="G123" s="785" t="str">
        <f>IFERROR(F123/Revenue!$C$101,"")</f>
        <v/>
      </c>
      <c r="H123" s="196"/>
      <c r="I123"/>
      <c r="J123" s="85"/>
      <c r="K123"/>
    </row>
    <row r="124" spans="3:11" x14ac:dyDescent="0.2">
      <c r="C124"/>
      <c r="D124"/>
      <c r="E124"/>
      <c r="F124"/>
      <c r="G124" s="196"/>
      <c r="H124" s="196"/>
      <c r="I124"/>
      <c r="J124" s="85"/>
      <c r="K124"/>
    </row>
    <row r="125" spans="3:11" x14ac:dyDescent="0.2">
      <c r="C125"/>
      <c r="D125"/>
      <c r="E125"/>
      <c r="F125"/>
      <c r="G125" s="196"/>
      <c r="H125" s="196"/>
      <c r="I125"/>
      <c r="J125" s="85"/>
      <c r="K125"/>
    </row>
    <row r="126" spans="3:11" ht="15.75" x14ac:dyDescent="0.2">
      <c r="C126" s="1313" t="s">
        <v>2727</v>
      </c>
      <c r="D126" s="1313"/>
      <c r="E126" s="1313"/>
      <c r="F126" s="1313"/>
      <c r="G126" s="1313"/>
      <c r="H126" s="1313"/>
      <c r="I126" s="1313"/>
      <c r="J126" s="1313"/>
      <c r="K126" s="1313"/>
    </row>
    <row r="127" spans="3:11" ht="3" customHeight="1" x14ac:dyDescent="0.2">
      <c r="C127" s="1322"/>
      <c r="D127" s="1322"/>
      <c r="E127" s="1322"/>
      <c r="F127" s="1322"/>
      <c r="G127" s="1322"/>
      <c r="H127" s="1322"/>
      <c r="I127" s="1322"/>
      <c r="J127" s="1322"/>
      <c r="K127" s="1322"/>
    </row>
    <row r="128" spans="3:11" x14ac:dyDescent="0.2">
      <c r="G128" s="196"/>
      <c r="H128" s="196"/>
      <c r="J128" s="85"/>
    </row>
    <row r="129" spans="3:11" ht="15" x14ac:dyDescent="0.2">
      <c r="C129" s="1137"/>
      <c r="D129" s="1137"/>
      <c r="E129" s="1137"/>
      <c r="F129" s="1037" t="s">
        <v>622</v>
      </c>
      <c r="G129" s="1009" t="s">
        <v>201</v>
      </c>
      <c r="H129" s="777"/>
      <c r="I129"/>
      <c r="J129"/>
      <c r="K129"/>
    </row>
    <row r="130" spans="3:11" ht="15" x14ac:dyDescent="0.2">
      <c r="C130" s="1137" t="s">
        <v>2728</v>
      </c>
      <c r="D130" s="1137"/>
      <c r="E130" s="1137"/>
      <c r="F130" s="104">
        <f>$F$14</f>
        <v>0</v>
      </c>
      <c r="G130" s="104" t="str">
        <f>IFERROR(F130/Revenue!$C$101,"")</f>
        <v/>
      </c>
      <c r="H130" s="73"/>
      <c r="I130"/>
      <c r="J130"/>
      <c r="K130"/>
    </row>
    <row r="131" spans="3:11" x14ac:dyDescent="0.2">
      <c r="C131" s="1306" t="s">
        <v>2089</v>
      </c>
      <c r="D131" s="1236"/>
      <c r="E131" s="1236"/>
      <c r="F131" s="104">
        <f>$F$19</f>
        <v>0</v>
      </c>
      <c r="G131" s="104" t="str">
        <f>IFERROR(F131/Revenue!$C$101,"")</f>
        <v/>
      </c>
      <c r="H131" s="782"/>
      <c r="I131"/>
      <c r="J131"/>
      <c r="K131"/>
    </row>
    <row r="132" spans="3:11" x14ac:dyDescent="0.2">
      <c r="C132" s="1306" t="s">
        <v>617</v>
      </c>
      <c r="D132" s="1236"/>
      <c r="E132" s="1236"/>
      <c r="F132" s="104">
        <f>$F$26</f>
        <v>0</v>
      </c>
      <c r="G132" s="104" t="str">
        <f>IFERROR(F132/Revenue!$C$101,"")</f>
        <v/>
      </c>
      <c r="H132" s="782"/>
      <c r="I132"/>
      <c r="J132"/>
      <c r="K132"/>
    </row>
    <row r="133" spans="3:11" x14ac:dyDescent="0.2">
      <c r="C133" s="1331" t="s">
        <v>618</v>
      </c>
      <c r="D133" s="1332"/>
      <c r="E133" s="1332"/>
      <c r="F133" s="104">
        <f>SUM($F$130:$F$132)</f>
        <v>0</v>
      </c>
      <c r="G133" s="104" t="str">
        <f>IFERROR(F133/Revenue!$C$101,"")</f>
        <v/>
      </c>
      <c r="H133" s="783"/>
      <c r="I133"/>
      <c r="J133"/>
      <c r="K133"/>
    </row>
    <row r="134" spans="3:11" ht="15" thickBot="1" x14ac:dyDescent="0.25">
      <c r="C134" s="1333" t="s">
        <v>2729</v>
      </c>
      <c r="D134" s="1333"/>
      <c r="E134" s="1333"/>
      <c r="F134" s="191">
        <f>SUM($K$10:$K$13,$K$17:$K$18,$K$22:$K$25)</f>
        <v>0</v>
      </c>
      <c r="G134" s="191" t="str">
        <f>IFERROR(F134/Revenue!$C$101,"")</f>
        <v/>
      </c>
      <c r="H134" s="783"/>
      <c r="I134"/>
      <c r="J134"/>
      <c r="K134"/>
    </row>
    <row r="135" spans="3:11" ht="15.75" thickTop="1" x14ac:dyDescent="0.2">
      <c r="C135" s="1334" t="s">
        <v>620</v>
      </c>
      <c r="D135" s="1334"/>
      <c r="E135" s="1334"/>
      <c r="F135" s="193">
        <f>F34</f>
        <v>0</v>
      </c>
      <c r="G135" s="785" t="str">
        <f>IFERROR(F135/Revenue!$C$101,"")</f>
        <v/>
      </c>
      <c r="H135" s="784"/>
      <c r="I135"/>
      <c r="J135"/>
      <c r="K135"/>
    </row>
    <row r="136" spans="3:11" ht="15" x14ac:dyDescent="0.2">
      <c r="C136" s="790"/>
      <c r="D136" s="790"/>
      <c r="E136" s="790"/>
      <c r="F136" s="799"/>
      <c r="G136" s="799"/>
      <c r="H136" s="784"/>
      <c r="I136"/>
      <c r="J136"/>
      <c r="K136"/>
    </row>
    <row r="137" spans="3:11" ht="15" x14ac:dyDescent="0.2">
      <c r="C137" s="1137" t="s">
        <v>2735</v>
      </c>
      <c r="D137" s="1137"/>
      <c r="E137" s="1137"/>
      <c r="F137" s="799"/>
      <c r="G137" s="799"/>
      <c r="H137" s="784"/>
      <c r="I137"/>
      <c r="J137"/>
      <c r="K137"/>
    </row>
    <row r="138" spans="3:11" x14ac:dyDescent="0.2">
      <c r="C138" s="1306" t="s">
        <v>2739</v>
      </c>
      <c r="D138" s="1306"/>
      <c r="E138" s="1307"/>
      <c r="F138" s="104">
        <f>-$F$57+$F$46</f>
        <v>0</v>
      </c>
      <c r="G138" s="104" t="str">
        <f>IFERROR(F138/Revenue!$C$101,"")</f>
        <v/>
      </c>
      <c r="H138" s="784"/>
      <c r="I138"/>
      <c r="J138"/>
      <c r="K138"/>
    </row>
    <row r="139" spans="3:11" x14ac:dyDescent="0.2">
      <c r="C139" s="1306" t="s">
        <v>2740</v>
      </c>
      <c r="D139" s="1306"/>
      <c r="E139" s="1307"/>
      <c r="F139" s="104">
        <f>-$F$46</f>
        <v>0</v>
      </c>
      <c r="G139" s="104" t="str">
        <f>IFERROR(F139/Revenue!$C$101,"")</f>
        <v/>
      </c>
      <c r="H139" s="784"/>
      <c r="I139"/>
      <c r="J139"/>
      <c r="K139"/>
    </row>
    <row r="140" spans="3:11" x14ac:dyDescent="0.2">
      <c r="C140" s="1306" t="s">
        <v>2741</v>
      </c>
      <c r="D140" s="1306"/>
      <c r="E140" s="1307"/>
      <c r="F140" s="104">
        <f>-$F$68</f>
        <v>0</v>
      </c>
      <c r="G140" s="104" t="str">
        <f>IFERROR(F140/Revenue!$C$101,"")</f>
        <v/>
      </c>
      <c r="H140" s="784"/>
      <c r="I140"/>
      <c r="J140"/>
      <c r="K140"/>
    </row>
    <row r="141" spans="3:11" x14ac:dyDescent="0.2">
      <c r="C141" s="1306" t="s">
        <v>2742</v>
      </c>
      <c r="D141" s="1306"/>
      <c r="E141" s="1307"/>
      <c r="F141" s="104">
        <f>-$F$88</f>
        <v>0</v>
      </c>
      <c r="G141" s="104" t="str">
        <f>IFERROR(F141/Revenue!$C$101,"")</f>
        <v/>
      </c>
      <c r="H141" s="784"/>
      <c r="I141"/>
      <c r="J141"/>
      <c r="K141"/>
    </row>
    <row r="142" spans="3:11" x14ac:dyDescent="0.2">
      <c r="C142" s="1309" t="s">
        <v>2743</v>
      </c>
      <c r="D142" s="1309"/>
      <c r="E142" s="1310"/>
      <c r="F142" s="800">
        <f>-$F$91</f>
        <v>0</v>
      </c>
      <c r="G142" s="104" t="str">
        <f>IFERROR(F142/Revenue!$C$101,"")</f>
        <v/>
      </c>
      <c r="H142" s="784"/>
      <c r="I142"/>
      <c r="J142"/>
      <c r="K142"/>
    </row>
    <row r="143" spans="3:11" x14ac:dyDescent="0.2">
      <c r="C143" s="1309" t="s">
        <v>2744</v>
      </c>
      <c r="D143" s="1309"/>
      <c r="E143" s="1310"/>
      <c r="F143" s="801">
        <f>Cashflow!$F$32</f>
        <v>0</v>
      </c>
      <c r="G143" s="104" t="str">
        <f>IFERROR(F143/Revenue!$C$101,"")</f>
        <v/>
      </c>
      <c r="H143" s="784"/>
      <c r="I143"/>
      <c r="J143"/>
      <c r="K143"/>
    </row>
    <row r="144" spans="3:11" x14ac:dyDescent="0.2">
      <c r="C144" s="1306" t="s">
        <v>2748</v>
      </c>
      <c r="D144" s="1306"/>
      <c r="E144" s="1307"/>
      <c r="F144" s="800">
        <f>$F$142+$F$143</f>
        <v>0</v>
      </c>
      <c r="G144" s="104" t="str">
        <f>IFERROR(F144/Revenue!$C$101,"")</f>
        <v/>
      </c>
      <c r="H144" s="784"/>
      <c r="I144"/>
      <c r="J144"/>
      <c r="K144"/>
    </row>
    <row r="145" spans="3:13" x14ac:dyDescent="0.2">
      <c r="C145" s="1306" t="s">
        <v>2745</v>
      </c>
      <c r="D145" s="1306"/>
      <c r="E145" s="1307"/>
      <c r="F145" s="786">
        <f>-$F$93</f>
        <v>0</v>
      </c>
      <c r="G145" s="104" t="str">
        <f>IFERROR(F145/Revenue!$C$101,"")</f>
        <v/>
      </c>
      <c r="H145" s="196"/>
      <c r="I145"/>
      <c r="J145" s="85"/>
      <c r="K145"/>
    </row>
    <row r="146" spans="3:13" x14ac:dyDescent="0.2">
      <c r="C146" s="1306" t="s">
        <v>2746</v>
      </c>
      <c r="D146" s="1306"/>
      <c r="E146" s="1307"/>
      <c r="F146" s="104">
        <f>-$F$101+$F$93+$F$91</f>
        <v>0</v>
      </c>
      <c r="G146" s="104" t="str">
        <f>IFERROR(F146/Revenue!$C$101,"")</f>
        <v/>
      </c>
      <c r="H146" s="196"/>
      <c r="I146"/>
      <c r="J146" s="85"/>
      <c r="K146"/>
    </row>
    <row r="147" spans="3:13" x14ac:dyDescent="0.2">
      <c r="C147" s="1306" t="s">
        <v>2747</v>
      </c>
      <c r="D147" s="1306"/>
      <c r="E147" s="1307"/>
      <c r="F147" s="104">
        <f>-$F$108</f>
        <v>0</v>
      </c>
      <c r="G147" s="104" t="str">
        <f>IFERROR(F147/Revenue!$C$101,"")</f>
        <v/>
      </c>
      <c r="H147" s="196"/>
      <c r="I147"/>
      <c r="J147" s="85"/>
      <c r="K147"/>
    </row>
    <row r="148" spans="3:13" ht="15" thickBot="1" x14ac:dyDescent="0.25">
      <c r="C148" s="1337" t="s">
        <v>435</v>
      </c>
      <c r="D148" s="1337"/>
      <c r="E148" s="1338"/>
      <c r="F148" s="191">
        <f>Cashflow!$F$36</f>
        <v>0</v>
      </c>
      <c r="G148" s="191" t="str">
        <f>IFERROR(F148/Revenue!$C$101,"")</f>
        <v/>
      </c>
      <c r="H148" s="196"/>
      <c r="I148"/>
      <c r="J148" s="85"/>
      <c r="K148"/>
    </row>
    <row r="149" spans="3:13" ht="15.75" thickTop="1" x14ac:dyDescent="0.2">
      <c r="C149" s="1329" t="s">
        <v>2733</v>
      </c>
      <c r="D149" s="1329"/>
      <c r="E149" s="1330"/>
      <c r="F149" s="193">
        <f>SUM(F138:F141,F144:F148)</f>
        <v>0</v>
      </c>
      <c r="G149" s="785" t="str">
        <f>IFERROR(F149/Revenue!$C$101,"")</f>
        <v/>
      </c>
      <c r="H149" s="196"/>
      <c r="I149"/>
      <c r="J149" s="85"/>
      <c r="K149"/>
    </row>
    <row r="150" spans="3:13" ht="15" x14ac:dyDescent="0.2">
      <c r="C150" s="798"/>
      <c r="D150" s="798"/>
      <c r="E150" s="798"/>
      <c r="F150" s="151"/>
      <c r="G150" s="151"/>
      <c r="H150" s="196"/>
      <c r="I150"/>
      <c r="J150" s="85"/>
      <c r="K150"/>
    </row>
    <row r="151" spans="3:13" x14ac:dyDescent="0.2">
      <c r="C151" s="1335" t="s">
        <v>118</v>
      </c>
      <c r="D151" s="1335"/>
      <c r="E151" s="1335"/>
      <c r="F151" s="104">
        <f>F135</f>
        <v>0</v>
      </c>
      <c r="G151" s="104" t="str">
        <f>IFERROR(F151/Revenue!$C$101,"")</f>
        <v/>
      </c>
      <c r="H151" s="196"/>
      <c r="I151"/>
      <c r="J151" s="85"/>
      <c r="K151"/>
    </row>
    <row r="152" spans="3:13" ht="15" thickBot="1" x14ac:dyDescent="0.25">
      <c r="C152" s="1336" t="s">
        <v>2736</v>
      </c>
      <c r="D152" s="1336"/>
      <c r="E152" s="1336"/>
      <c r="F152" s="191">
        <f>F149</f>
        <v>0</v>
      </c>
      <c r="G152" s="191" t="str">
        <f>IFERROR(F152/Revenue!$C$101,"")</f>
        <v/>
      </c>
      <c r="H152" s="196"/>
      <c r="I152"/>
      <c r="J152" s="85"/>
      <c r="K152"/>
    </row>
    <row r="153" spans="3:13" ht="15.75" thickTop="1" x14ac:dyDescent="0.2">
      <c r="C153" s="1327" t="s">
        <v>2737</v>
      </c>
      <c r="D153" s="1327"/>
      <c r="E153" s="1328"/>
      <c r="F153" s="193">
        <f>F151+F152</f>
        <v>0</v>
      </c>
      <c r="G153" s="785" t="str">
        <f>IFERROR(F153/Revenue!$C$101,"")</f>
        <v/>
      </c>
      <c r="H153" s="196"/>
      <c r="I153"/>
      <c r="J153" s="85"/>
      <c r="K153"/>
    </row>
    <row r="154" spans="3:13" x14ac:dyDescent="0.2">
      <c r="C154"/>
      <c r="D154"/>
      <c r="E154"/>
      <c r="F154"/>
      <c r="G154" s="196"/>
      <c r="H154" s="196"/>
      <c r="I154"/>
      <c r="J154" s="85"/>
      <c r="K154"/>
    </row>
    <row r="155" spans="3:13" x14ac:dyDescent="0.2">
      <c r="C155"/>
      <c r="D155"/>
      <c r="E155"/>
      <c r="F155"/>
      <c r="G155" s="196"/>
      <c r="H155" s="196"/>
      <c r="I155"/>
      <c r="J155" s="85"/>
      <c r="K155"/>
    </row>
    <row r="156" spans="3:13" ht="15.75" x14ac:dyDescent="0.2">
      <c r="C156" s="1313" t="s">
        <v>2200</v>
      </c>
      <c r="D156" s="1313"/>
      <c r="E156" s="1313"/>
      <c r="F156" s="1313"/>
      <c r="G156" s="1313"/>
      <c r="H156" s="1313"/>
      <c r="I156" s="1313"/>
      <c r="J156" s="1313"/>
      <c r="K156" s="1313"/>
    </row>
    <row r="157" spans="3:13" ht="3" customHeight="1" x14ac:dyDescent="0.2">
      <c r="C157" s="1322"/>
      <c r="D157" s="1322"/>
      <c r="E157" s="1322"/>
      <c r="F157" s="1322"/>
      <c r="G157" s="1322"/>
      <c r="H157" s="1322"/>
      <c r="I157" s="1322"/>
      <c r="J157" s="1322"/>
      <c r="K157" s="1322"/>
    </row>
    <row r="158" spans="3:13" x14ac:dyDescent="0.2">
      <c r="G158" s="196"/>
      <c r="H158" s="196"/>
      <c r="J158" s="85"/>
    </row>
    <row r="159" spans="3:13" ht="39.950000000000003" customHeight="1" x14ac:dyDescent="0.2">
      <c r="C159" s="1320" t="s">
        <v>2201</v>
      </c>
      <c r="D159" s="1320"/>
      <c r="E159" s="1320"/>
      <c r="F159" s="1035" t="s">
        <v>622</v>
      </c>
      <c r="G159" s="1038" t="s">
        <v>2570</v>
      </c>
      <c r="H159" s="1038" t="s">
        <v>2281</v>
      </c>
      <c r="I159" s="1325" t="s">
        <v>2204</v>
      </c>
      <c r="J159" s="1326"/>
      <c r="K159" s="1039" t="s">
        <v>2290</v>
      </c>
      <c r="L159" s="85"/>
      <c r="M159"/>
    </row>
    <row r="160" spans="3:13" x14ac:dyDescent="0.2">
      <c r="C160" s="1321" t="s">
        <v>2296</v>
      </c>
      <c r="D160" s="1321"/>
      <c r="E160" s="1321"/>
      <c r="F160" s="382"/>
      <c r="G160" s="518"/>
      <c r="H160" s="518"/>
      <c r="I160" s="1318"/>
      <c r="J160" s="1319"/>
      <c r="K160" s="382"/>
    </row>
    <row r="161" spans="3:11" x14ac:dyDescent="0.2">
      <c r="C161" s="1321" t="s">
        <v>2198</v>
      </c>
      <c r="D161" s="1321"/>
      <c r="E161" s="1321"/>
      <c r="F161" s="382"/>
      <c r="G161" s="518"/>
      <c r="H161" s="518"/>
      <c r="I161" s="1318"/>
      <c r="J161" s="1319"/>
      <c r="K161" s="382"/>
    </row>
    <row r="162" spans="3:11" x14ac:dyDescent="0.2">
      <c r="C162" s="1321" t="s">
        <v>2202</v>
      </c>
      <c r="D162" s="1321"/>
      <c r="E162" s="1321"/>
      <c r="F162" s="382"/>
      <c r="G162" s="518"/>
      <c r="H162" s="518"/>
      <c r="I162" s="1318"/>
      <c r="J162" s="1319"/>
      <c r="K162" s="382"/>
    </row>
    <row r="163" spans="3:11" x14ac:dyDescent="0.2">
      <c r="C163" s="1321" t="s">
        <v>2203</v>
      </c>
      <c r="D163" s="1321"/>
      <c r="E163" s="1321"/>
      <c r="F163" s="382"/>
      <c r="G163" s="518"/>
      <c r="H163" s="518"/>
      <c r="I163" s="1318"/>
      <c r="J163" s="1319"/>
      <c r="K163" s="382"/>
    </row>
    <row r="164" spans="3:11" x14ac:dyDescent="0.2">
      <c r="C164" s="1323" t="s">
        <v>2269</v>
      </c>
      <c r="D164" s="1323"/>
      <c r="E164" s="1323"/>
      <c r="F164" s="382"/>
      <c r="G164" s="518"/>
      <c r="H164" s="518"/>
      <c r="I164" s="1318"/>
      <c r="J164" s="1319"/>
      <c r="K164" s="382"/>
    </row>
    <row r="165" spans="3:11" x14ac:dyDescent="0.2">
      <c r="C165" s="1323" t="s">
        <v>2269</v>
      </c>
      <c r="D165" s="1323"/>
      <c r="E165" s="1323"/>
      <c r="F165" s="382"/>
      <c r="G165" s="518"/>
      <c r="H165" s="518"/>
      <c r="I165" s="1318"/>
      <c r="J165" s="1319"/>
      <c r="K165" s="382"/>
    </row>
    <row r="166" spans="3:11" x14ac:dyDescent="0.2"/>
  </sheetData>
  <sheetProtection algorithmName="SHA-512" hashValue="Lghp4XR/X3lD0KzQSkuGov5233dSbCULHGFPIByzO/d4BgfbdpmtU+2VaoP4Hy1mZLYVrSZB5gltMZyERzP0Xw==" saltValue="ZiTmdEIjutW5eh+QrjIfHQ==" spinCount="100000" sheet="1" objects="1" scenarios="1"/>
  <mergeCells count="155">
    <mergeCell ref="C122:E122"/>
    <mergeCell ref="C123:E123"/>
    <mergeCell ref="C138:E138"/>
    <mergeCell ref="C139:E139"/>
    <mergeCell ref="C140:E140"/>
    <mergeCell ref="C141:E141"/>
    <mergeCell ref="C142:E142"/>
    <mergeCell ref="C143:E143"/>
    <mergeCell ref="C144:E144"/>
    <mergeCell ref="C153:E153"/>
    <mergeCell ref="C149:E149"/>
    <mergeCell ref="C126:K126"/>
    <mergeCell ref="C127:K127"/>
    <mergeCell ref="C129:E129"/>
    <mergeCell ref="C130:E130"/>
    <mergeCell ref="C131:E131"/>
    <mergeCell ref="C132:E132"/>
    <mergeCell ref="C133:E133"/>
    <mergeCell ref="C134:E134"/>
    <mergeCell ref="C135:E135"/>
    <mergeCell ref="C137:E137"/>
    <mergeCell ref="C151:E151"/>
    <mergeCell ref="C152:E152"/>
    <mergeCell ref="C145:E145"/>
    <mergeCell ref="C146:E146"/>
    <mergeCell ref="C147:E147"/>
    <mergeCell ref="C148:E148"/>
    <mergeCell ref="I165:J165"/>
    <mergeCell ref="C165:E165"/>
    <mergeCell ref="D25:E25"/>
    <mergeCell ref="D54:E54"/>
    <mergeCell ref="D55:E55"/>
    <mergeCell ref="D56:E56"/>
    <mergeCell ref="D66:E66"/>
    <mergeCell ref="C71:E71"/>
    <mergeCell ref="C60:E60"/>
    <mergeCell ref="C61:E61"/>
    <mergeCell ref="C73:E73"/>
    <mergeCell ref="C74:E74"/>
    <mergeCell ref="C64:E64"/>
    <mergeCell ref="C65:E65"/>
    <mergeCell ref="C63:E63"/>
    <mergeCell ref="C45:E45"/>
    <mergeCell ref="C51:E51"/>
    <mergeCell ref="C52:E52"/>
    <mergeCell ref="C80:E80"/>
    <mergeCell ref="C72:E72"/>
    <mergeCell ref="C46:E46"/>
    <mergeCell ref="I159:J159"/>
    <mergeCell ref="I160:J160"/>
    <mergeCell ref="I161:J161"/>
    <mergeCell ref="I164:J164"/>
    <mergeCell ref="C70:E70"/>
    <mergeCell ref="C59:E59"/>
    <mergeCell ref="C57:E57"/>
    <mergeCell ref="C58:E58"/>
    <mergeCell ref="D67:E67"/>
    <mergeCell ref="C43:E43"/>
    <mergeCell ref="C62:E62"/>
    <mergeCell ref="C53:E53"/>
    <mergeCell ref="C68:E68"/>
    <mergeCell ref="C69:E69"/>
    <mergeCell ref="C113:E113"/>
    <mergeCell ref="C111:E111"/>
    <mergeCell ref="C156:K156"/>
    <mergeCell ref="C157:K157"/>
    <mergeCell ref="C112:E112"/>
    <mergeCell ref="C114:E114"/>
    <mergeCell ref="C115:E115"/>
    <mergeCell ref="D100:E100"/>
    <mergeCell ref="D105:E105"/>
    <mergeCell ref="C90:E90"/>
    <mergeCell ref="C120:E120"/>
    <mergeCell ref="C164:E164"/>
    <mergeCell ref="C95:E95"/>
    <mergeCell ref="I162:J162"/>
    <mergeCell ref="I163:J163"/>
    <mergeCell ref="C77:E77"/>
    <mergeCell ref="C78:E78"/>
    <mergeCell ref="C79:E79"/>
    <mergeCell ref="D86:E86"/>
    <mergeCell ref="D87:E87"/>
    <mergeCell ref="D98:E98"/>
    <mergeCell ref="D99:E99"/>
    <mergeCell ref="C159:E159"/>
    <mergeCell ref="C160:E160"/>
    <mergeCell ref="C161:E161"/>
    <mergeCell ref="C162:E162"/>
    <mergeCell ref="C163:E163"/>
    <mergeCell ref="C83:E83"/>
    <mergeCell ref="C119:E119"/>
    <mergeCell ref="C104:E104"/>
    <mergeCell ref="C96:E96"/>
    <mergeCell ref="C97:E97"/>
    <mergeCell ref="C94:E94"/>
    <mergeCell ref="C88:E88"/>
    <mergeCell ref="C89:E89"/>
    <mergeCell ref="C116:E116"/>
    <mergeCell ref="C118:E118"/>
    <mergeCell ref="B2:F2"/>
    <mergeCell ref="B3:F3"/>
    <mergeCell ref="C38:K38"/>
    <mergeCell ref="C6:K6"/>
    <mergeCell ref="C37:K37"/>
    <mergeCell ref="C21:E21"/>
    <mergeCell ref="C28:E28"/>
    <mergeCell ref="C32:E32"/>
    <mergeCell ref="C31:E31"/>
    <mergeCell ref="C29:E29"/>
    <mergeCell ref="C33:E33"/>
    <mergeCell ref="C34:E34"/>
    <mergeCell ref="C27:E27"/>
    <mergeCell ref="D18:E18"/>
    <mergeCell ref="C10:D10"/>
    <mergeCell ref="C11:D11"/>
    <mergeCell ref="C22:E22"/>
    <mergeCell ref="G2:L2"/>
    <mergeCell ref="C26:E26"/>
    <mergeCell ref="C19:E19"/>
    <mergeCell ref="C20:E20"/>
    <mergeCell ref="C17:D17"/>
    <mergeCell ref="C9:D9"/>
    <mergeCell ref="C16:D16"/>
    <mergeCell ref="H3:L3"/>
    <mergeCell ref="D23:E23"/>
    <mergeCell ref="D24:E24"/>
    <mergeCell ref="C13:E13"/>
    <mergeCell ref="C108:E108"/>
    <mergeCell ref="C47:E47"/>
    <mergeCell ref="C48:E48"/>
    <mergeCell ref="C12:E12"/>
    <mergeCell ref="C117:E117"/>
    <mergeCell ref="D106:E106"/>
    <mergeCell ref="D107:E107"/>
    <mergeCell ref="D85:E85"/>
    <mergeCell ref="D84:E84"/>
    <mergeCell ref="C14:E14"/>
    <mergeCell ref="C7:K7"/>
    <mergeCell ref="C121:E121"/>
    <mergeCell ref="C91:E91"/>
    <mergeCell ref="C92:E92"/>
    <mergeCell ref="C93:E93"/>
    <mergeCell ref="C101:E101"/>
    <mergeCell ref="C102:E102"/>
    <mergeCell ref="C103:E103"/>
    <mergeCell ref="C49:E49"/>
    <mergeCell ref="C40:E40"/>
    <mergeCell ref="C41:E41"/>
    <mergeCell ref="C42:E42"/>
    <mergeCell ref="C44:E44"/>
    <mergeCell ref="C50:E50"/>
    <mergeCell ref="C81:E81"/>
    <mergeCell ref="C82:E82"/>
    <mergeCell ref="C75:E75"/>
    <mergeCell ref="C76:E76"/>
  </mergeCells>
  <dataValidations count="1">
    <dataValidation type="list" allowBlank="1" showInputMessage="1" showErrorMessage="1" sqref="H160:H165" xr:uid="{22922B87-1961-40F9-A636-0670D40213BB}">
      <formula1>"Yes, No"</formula1>
    </dataValidation>
  </dataValidations>
  <pageMargins left="0.7" right="0.7" top="0.75" bottom="0.75" header="0.3" footer="0.3"/>
  <pageSetup scale="74" fitToHeight="0" orientation="portrait" r:id="rId1"/>
  <headerFooter>
    <oddFooter>&amp;L&amp;"-,Bold"&amp;9Operating Budget Tab&amp;"-,Regular"
Affordable Housing Funding Application&amp;C&amp;9Ohio Housing Finance Agency&amp;R&amp;9Page &amp;P of &amp;N</oddFooter>
  </headerFooter>
  <rowBreaks count="3" manualBreakCount="3">
    <brk id="36" min="1" max="11" man="1"/>
    <brk id="89" min="1" max="11" man="1"/>
    <brk id="125" min="1" max="11"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fitToPage="1"/>
  </sheetPr>
  <dimension ref="A1:AB88"/>
  <sheetViews>
    <sheetView showGridLines="0" zoomScale="85" zoomScaleNormal="85" workbookViewId="0"/>
  </sheetViews>
  <sheetFormatPr defaultColWidth="0" defaultRowHeight="14.25" zeroHeight="1" x14ac:dyDescent="0.2"/>
  <cols>
    <col min="1" max="1" width="2.625" style="1" customWidth="1"/>
    <col min="2" max="2" width="0.625" style="1" customWidth="1"/>
    <col min="3" max="6" width="13.625" style="1" customWidth="1"/>
    <col min="7" max="7" width="14.625" style="1" customWidth="1"/>
    <col min="8" max="12" width="13.625" style="1" customWidth="1"/>
    <col min="13" max="14" width="13.625" style="3" customWidth="1"/>
    <col min="15" max="15" width="2.625" style="3" customWidth="1"/>
    <col min="16" max="17" width="15.125" style="3" customWidth="1"/>
    <col min="18" max="20" width="13.625" style="1" hidden="1" customWidth="1"/>
    <col min="21" max="21" width="17.125" style="1" hidden="1" customWidth="1"/>
    <col min="22" max="24" width="13.625" style="1" hidden="1" customWidth="1"/>
    <col min="25" max="25" width="14" style="1" hidden="1" customWidth="1"/>
    <col min="26" max="26" width="18.125" style="1" hidden="1" customWidth="1"/>
    <col min="27" max="27" width="12.125" style="1" hidden="1" customWidth="1"/>
    <col min="28" max="28" width="27" style="1" hidden="1" customWidth="1"/>
    <col min="29" max="16384" width="8.875" style="1" hidden="1"/>
  </cols>
  <sheetData>
    <row r="1" spans="1:22" ht="55.5" customHeight="1" x14ac:dyDescent="0.2"/>
    <row r="2" spans="1:22" s="3" customFormat="1" ht="24.95" customHeight="1" x14ac:dyDescent="0.2">
      <c r="A2" s="16"/>
      <c r="B2" s="1211" t="s">
        <v>2192</v>
      </c>
      <c r="C2" s="1212"/>
      <c r="D2" s="1212"/>
      <c r="E2" s="1212"/>
      <c r="F2" s="1212"/>
      <c r="G2" s="27"/>
      <c r="H2" s="27"/>
      <c r="I2" s="95"/>
      <c r="J2" s="1217" t="str">
        <f>CONCATENATE(IF(Instructions!$K$2="","",Instructions!$K$2)," ",IF(Details!$E$11="","",Details!$E$11))</f>
        <v>2026 9% LIHTC AHFA Proposal Application</v>
      </c>
      <c r="K2" s="1217"/>
      <c r="L2" s="1217"/>
      <c r="M2" s="1217"/>
      <c r="N2" s="1218"/>
      <c r="O2" s="16"/>
      <c r="P2" s="16"/>
      <c r="Q2" s="16"/>
      <c r="R2" s="16"/>
      <c r="S2" s="16"/>
      <c r="T2" s="16"/>
      <c r="U2" s="16"/>
      <c r="V2" s="16"/>
    </row>
    <row r="3" spans="1:22" ht="20.25" customHeight="1" x14ac:dyDescent="0.2">
      <c r="A3"/>
      <c r="B3" s="1166" t="s">
        <v>437</v>
      </c>
      <c r="C3" s="1167"/>
      <c r="D3" s="1167"/>
      <c r="E3" s="1167"/>
      <c r="F3" s="1167"/>
      <c r="G3" s="237"/>
      <c r="H3" s="98"/>
      <c r="I3" s="98"/>
      <c r="J3" s="1304" t="str">
        <f>IF(Details!$E$12="","",CONCATENATE("Project Name: ",Details!$E$12))</f>
        <v/>
      </c>
      <c r="K3" s="1304"/>
      <c r="L3" s="1304"/>
      <c r="M3" s="1304"/>
      <c r="N3" s="1305"/>
      <c r="O3" s="16"/>
      <c r="P3" s="16"/>
      <c r="Q3" s="16"/>
      <c r="R3"/>
      <c r="S3"/>
      <c r="T3"/>
      <c r="U3"/>
      <c r="V3"/>
    </row>
    <row r="4" spans="1:22" ht="5.25" customHeight="1" x14ac:dyDescent="0.2">
      <c r="A4"/>
      <c r="B4"/>
      <c r="C4"/>
    </row>
    <row r="5" spans="1:22" ht="15" customHeight="1" x14ac:dyDescent="0.2"/>
    <row r="6" spans="1:22" ht="15" customHeight="1" x14ac:dyDescent="0.2">
      <c r="C6" s="1281" t="s">
        <v>380</v>
      </c>
      <c r="D6" s="1281"/>
      <c r="E6" s="1281"/>
      <c r="F6" s="1281"/>
      <c r="G6" s="1281"/>
      <c r="H6" s="1281"/>
      <c r="I6" s="1281"/>
      <c r="J6" s="1281"/>
      <c r="K6" s="1281"/>
      <c r="L6" s="1281"/>
      <c r="M6" s="218"/>
      <c r="N6" s="218"/>
      <c r="O6" s="218"/>
      <c r="P6" s="218"/>
    </row>
    <row r="7" spans="1:22" ht="3" customHeight="1" x14ac:dyDescent="0.2">
      <c r="C7" s="1133"/>
      <c r="D7" s="1133"/>
      <c r="E7" s="1133"/>
      <c r="F7" s="1133"/>
      <c r="G7" s="1133"/>
      <c r="H7" s="1133"/>
      <c r="I7" s="1133"/>
      <c r="J7" s="1133"/>
      <c r="K7" s="1133"/>
      <c r="L7" s="1133"/>
      <c r="M7" s="1133"/>
      <c r="N7" s="1133"/>
      <c r="P7" s="218"/>
    </row>
    <row r="8" spans="1:22" ht="5.25" customHeight="1" x14ac:dyDescent="0.2">
      <c r="P8" s="218"/>
    </row>
    <row r="9" spans="1:22" s="4" customFormat="1" ht="45" customHeight="1" x14ac:dyDescent="0.2">
      <c r="C9" s="1180" t="s">
        <v>293</v>
      </c>
      <c r="D9" s="1180"/>
      <c r="E9" s="1180" t="s">
        <v>717</v>
      </c>
      <c r="F9" s="1180"/>
      <c r="G9" s="1004" t="s">
        <v>163</v>
      </c>
      <c r="H9" s="1004" t="s">
        <v>164</v>
      </c>
      <c r="I9" s="1004" t="s">
        <v>3490</v>
      </c>
      <c r="J9" s="1004" t="s">
        <v>3491</v>
      </c>
      <c r="K9" s="1004" t="s">
        <v>329</v>
      </c>
      <c r="L9" s="1008" t="s">
        <v>2159</v>
      </c>
      <c r="M9" s="152"/>
      <c r="N9" s="152"/>
      <c r="O9" s="152"/>
      <c r="P9" s="1193" t="s">
        <v>2712</v>
      </c>
      <c r="Q9" s="1193"/>
      <c r="R9" s="253"/>
    </row>
    <row r="10" spans="1:22" ht="15" customHeight="1" x14ac:dyDescent="0.2">
      <c r="C10" s="1181" t="s">
        <v>715</v>
      </c>
      <c r="D10" s="1181"/>
      <c r="E10" s="1197"/>
      <c r="F10" s="1198"/>
      <c r="G10" s="382"/>
      <c r="H10" s="536"/>
      <c r="I10" s="133"/>
      <c r="J10" s="133"/>
      <c r="K10" s="138" t="s">
        <v>331</v>
      </c>
      <c r="L10" s="145" t="str">
        <f t="shared" ref="L10:L18" si="0">IF(OR($G$30=0,G10=""),"",G10/$G$30)</f>
        <v/>
      </c>
      <c r="O10" s="410" t="s">
        <v>2249</v>
      </c>
      <c r="P10" s="1193"/>
      <c r="Q10" s="1193"/>
      <c r="R10" s="253"/>
    </row>
    <row r="11" spans="1:22" ht="15" customHeight="1" x14ac:dyDescent="0.2">
      <c r="C11" s="1341" t="s">
        <v>2299</v>
      </c>
      <c r="D11" s="1342"/>
      <c r="E11" s="1197"/>
      <c r="F11" s="1198"/>
      <c r="G11" s="382"/>
      <c r="H11" s="536"/>
      <c r="I11" s="133"/>
      <c r="J11" s="133"/>
      <c r="K11" s="138" t="s">
        <v>331</v>
      </c>
      <c r="L11" s="145" t="str">
        <f t="shared" si="0"/>
        <v/>
      </c>
      <c r="O11" s="519"/>
      <c r="P11" s="1193"/>
      <c r="Q11" s="1193"/>
      <c r="R11" s="253"/>
    </row>
    <row r="12" spans="1:22" ht="15" customHeight="1" x14ac:dyDescent="0.2">
      <c r="C12" s="1341" t="s">
        <v>161</v>
      </c>
      <c r="D12" s="1342"/>
      <c r="E12" s="1197"/>
      <c r="F12" s="1198"/>
      <c r="G12" s="382"/>
      <c r="H12" s="409"/>
      <c r="I12" s="407"/>
      <c r="J12" s="133"/>
      <c r="K12" s="138" t="s">
        <v>2017</v>
      </c>
      <c r="L12" s="145" t="str">
        <f t="shared" si="0"/>
        <v/>
      </c>
      <c r="P12" s="1193"/>
      <c r="Q12" s="1193"/>
      <c r="R12" s="253"/>
    </row>
    <row r="13" spans="1:22" ht="15" customHeight="1" x14ac:dyDescent="0.2">
      <c r="C13" s="1341" t="s">
        <v>200</v>
      </c>
      <c r="D13" s="1342"/>
      <c r="E13" s="1202" t="s">
        <v>491</v>
      </c>
      <c r="F13" s="1203"/>
      <c r="G13" s="382"/>
      <c r="H13" s="537">
        <v>2.5000000000000001E-2</v>
      </c>
      <c r="I13" s="407"/>
      <c r="J13" s="133"/>
      <c r="K13" s="138" t="s">
        <v>2013</v>
      </c>
      <c r="L13" s="145" t="str">
        <f t="shared" si="0"/>
        <v/>
      </c>
      <c r="P13" s="1193"/>
      <c r="Q13" s="1193"/>
      <c r="R13" s="253"/>
    </row>
    <row r="14" spans="1:22" ht="15" customHeight="1" x14ac:dyDescent="0.2">
      <c r="C14" s="1341" t="s">
        <v>489</v>
      </c>
      <c r="D14" s="1342"/>
      <c r="E14" s="1197"/>
      <c r="F14" s="1198"/>
      <c r="G14" s="382"/>
      <c r="H14" s="536"/>
      <c r="I14" s="133"/>
      <c r="J14" s="133"/>
      <c r="K14" s="138" t="s">
        <v>331</v>
      </c>
      <c r="L14" s="145" t="str">
        <f t="shared" si="0"/>
        <v/>
      </c>
      <c r="P14" s="1193"/>
      <c r="Q14" s="1193"/>
      <c r="R14" s="253"/>
    </row>
    <row r="15" spans="1:22" ht="15" customHeight="1" x14ac:dyDescent="0.2">
      <c r="C15" s="1181" t="s">
        <v>162</v>
      </c>
      <c r="D15" s="1181"/>
      <c r="E15" s="1197"/>
      <c r="F15" s="1198"/>
      <c r="G15" s="382"/>
      <c r="H15" s="409"/>
      <c r="I15" s="408"/>
      <c r="J15" s="133"/>
      <c r="K15" s="138" t="s">
        <v>330</v>
      </c>
      <c r="L15" s="145" t="str">
        <f t="shared" si="0"/>
        <v/>
      </c>
      <c r="P15" s="1193"/>
      <c r="Q15" s="1193"/>
      <c r="R15" s="253"/>
    </row>
    <row r="16" spans="1:22" ht="15" customHeight="1" x14ac:dyDescent="0.2">
      <c r="C16" s="1341" t="s">
        <v>713</v>
      </c>
      <c r="D16" s="1342"/>
      <c r="E16" s="1197"/>
      <c r="F16" s="1198"/>
      <c r="G16" s="382"/>
      <c r="H16" s="409"/>
      <c r="I16" s="408"/>
      <c r="J16" s="133"/>
      <c r="K16" s="138" t="s">
        <v>330</v>
      </c>
      <c r="L16" s="145" t="str">
        <f t="shared" si="0"/>
        <v/>
      </c>
      <c r="P16" s="1193"/>
      <c r="Q16" s="1193"/>
      <c r="R16" s="253"/>
      <c r="S16" s="3"/>
    </row>
    <row r="17" spans="3:20" ht="15" customHeight="1" x14ac:dyDescent="0.2">
      <c r="C17" s="1341" t="s">
        <v>714</v>
      </c>
      <c r="D17" s="1342"/>
      <c r="E17" s="1197"/>
      <c r="F17" s="1198"/>
      <c r="G17" s="382"/>
      <c r="H17" s="536"/>
      <c r="I17" s="133"/>
      <c r="J17" s="133"/>
      <c r="K17" s="138" t="s">
        <v>331</v>
      </c>
      <c r="L17" s="145" t="str">
        <f t="shared" si="0"/>
        <v/>
      </c>
      <c r="O17" s="253"/>
      <c r="P17" s="1193"/>
      <c r="Q17" s="1193"/>
      <c r="R17" s="3"/>
      <c r="S17" s="3"/>
      <c r="T17" s="3"/>
    </row>
    <row r="18" spans="3:20" ht="15" customHeight="1" x14ac:dyDescent="0.2">
      <c r="C18" s="1341" t="s">
        <v>716</v>
      </c>
      <c r="D18" s="1342"/>
      <c r="E18" s="1352"/>
      <c r="F18" s="1353"/>
      <c r="G18" s="382"/>
      <c r="H18" s="536"/>
      <c r="I18" s="536"/>
      <c r="J18" s="133"/>
      <c r="K18" s="138" t="s">
        <v>100</v>
      </c>
      <c r="L18" s="145" t="str">
        <f t="shared" si="0"/>
        <v/>
      </c>
      <c r="P18" s="1193"/>
      <c r="Q18" s="1193"/>
      <c r="R18" s="3"/>
      <c r="S18" s="3"/>
      <c r="T18" s="3"/>
    </row>
    <row r="19" spans="3:20" ht="15" customHeight="1" x14ac:dyDescent="0.2">
      <c r="C19" s="1341" t="s">
        <v>2300</v>
      </c>
      <c r="D19" s="1342"/>
      <c r="E19" s="1202" t="s">
        <v>491</v>
      </c>
      <c r="F19" s="1203"/>
      <c r="G19" s="382"/>
      <c r="H19" s="537">
        <v>0.02</v>
      </c>
      <c r="I19" s="407"/>
      <c r="J19" s="133"/>
      <c r="K19" s="138" t="s">
        <v>330</v>
      </c>
      <c r="L19" s="145" t="str">
        <f t="shared" ref="L19:L23" si="1">IF(OR($G$30=0,G19=""),"",G19/$G$30)</f>
        <v/>
      </c>
      <c r="P19" s="1193"/>
      <c r="Q19" s="1193"/>
      <c r="R19" s="3"/>
      <c r="S19" s="3"/>
      <c r="T19" s="3"/>
    </row>
    <row r="20" spans="3:20" ht="15" customHeight="1" x14ac:dyDescent="0.2">
      <c r="C20" s="1341" t="s">
        <v>2301</v>
      </c>
      <c r="D20" s="1342"/>
      <c r="E20" s="1202" t="s">
        <v>491</v>
      </c>
      <c r="F20" s="1203"/>
      <c r="G20" s="382"/>
      <c r="H20" s="537">
        <v>0.02</v>
      </c>
      <c r="I20" s="407"/>
      <c r="J20" s="133"/>
      <c r="K20" s="138" t="s">
        <v>330</v>
      </c>
      <c r="L20" s="145" t="str">
        <f t="shared" si="1"/>
        <v/>
      </c>
      <c r="P20" s="1193"/>
      <c r="Q20" s="1193"/>
      <c r="R20" s="3"/>
      <c r="S20" s="3"/>
      <c r="T20" s="3"/>
    </row>
    <row r="21" spans="3:20" ht="15" customHeight="1" x14ac:dyDescent="0.2">
      <c r="C21" s="1341" t="s">
        <v>2302</v>
      </c>
      <c r="D21" s="1342"/>
      <c r="E21" s="1202" t="s">
        <v>491</v>
      </c>
      <c r="F21" s="1203"/>
      <c r="G21" s="382"/>
      <c r="H21" s="537">
        <v>0</v>
      </c>
      <c r="I21" s="407"/>
      <c r="J21" s="133"/>
      <c r="K21" s="138" t="s">
        <v>330</v>
      </c>
      <c r="L21" s="145" t="str">
        <f t="shared" si="1"/>
        <v/>
      </c>
      <c r="P21" s="1193"/>
      <c r="Q21" s="1193"/>
      <c r="R21" s="3"/>
      <c r="S21" s="3"/>
      <c r="T21" s="3"/>
    </row>
    <row r="22" spans="3:20" ht="15" customHeight="1" x14ac:dyDescent="0.2">
      <c r="C22" s="1341" t="s">
        <v>3028</v>
      </c>
      <c r="D22" s="1342"/>
      <c r="E22" s="1202" t="s">
        <v>491</v>
      </c>
      <c r="F22" s="1203"/>
      <c r="G22" s="382"/>
      <c r="H22" s="537">
        <v>0.02</v>
      </c>
      <c r="I22" s="407"/>
      <c r="J22" s="133"/>
      <c r="K22" s="138" t="s">
        <v>330</v>
      </c>
      <c r="L22" s="145" t="str">
        <f t="shared" si="1"/>
        <v/>
      </c>
      <c r="P22" s="1193"/>
      <c r="Q22" s="1193"/>
      <c r="R22" s="3"/>
      <c r="S22" s="3"/>
      <c r="T22" s="3"/>
    </row>
    <row r="23" spans="3:20" ht="15" customHeight="1" x14ac:dyDescent="0.2">
      <c r="C23" s="1343" t="s">
        <v>501</v>
      </c>
      <c r="D23" s="1344"/>
      <c r="E23" s="1345"/>
      <c r="F23" s="1345"/>
      <c r="G23" s="382"/>
      <c r="H23" s="409"/>
      <c r="I23" s="407"/>
      <c r="J23" s="133"/>
      <c r="K23" s="407" t="s">
        <v>330</v>
      </c>
      <c r="L23" s="145" t="str">
        <f t="shared" si="1"/>
        <v/>
      </c>
      <c r="P23" s="1193"/>
      <c r="Q23" s="1193"/>
      <c r="R23" s="3"/>
      <c r="S23" s="3"/>
      <c r="T23" s="3"/>
    </row>
    <row r="24" spans="3:20" ht="15" customHeight="1" x14ac:dyDescent="0.2">
      <c r="C24" s="1343" t="s">
        <v>501</v>
      </c>
      <c r="D24" s="1344"/>
      <c r="E24" s="1345"/>
      <c r="F24" s="1345"/>
      <c r="G24" s="382"/>
      <c r="H24" s="409"/>
      <c r="I24" s="407"/>
      <c r="J24" s="133"/>
      <c r="K24" s="407" t="s">
        <v>330</v>
      </c>
      <c r="L24" s="145" t="str">
        <f t="shared" ref="L24:L29" si="2">IF(OR($G$30=0,G24=""),"",G24/$G$30)</f>
        <v/>
      </c>
      <c r="R24" s="3"/>
      <c r="S24" s="3"/>
      <c r="T24" s="3"/>
    </row>
    <row r="25" spans="3:20" ht="15" customHeight="1" x14ac:dyDescent="0.2">
      <c r="C25" s="1343" t="s">
        <v>501</v>
      </c>
      <c r="D25" s="1344"/>
      <c r="E25" s="1345"/>
      <c r="F25" s="1345"/>
      <c r="G25" s="382"/>
      <c r="H25" s="409"/>
      <c r="I25" s="407"/>
      <c r="J25" s="133"/>
      <c r="K25" s="407"/>
      <c r="L25" s="145" t="str">
        <f t="shared" si="2"/>
        <v/>
      </c>
      <c r="R25" s="3"/>
      <c r="S25" s="3"/>
      <c r="T25" s="3"/>
    </row>
    <row r="26" spans="3:20" ht="15" customHeight="1" x14ac:dyDescent="0.2">
      <c r="C26" s="1343" t="s">
        <v>501</v>
      </c>
      <c r="D26" s="1344"/>
      <c r="E26" s="1197"/>
      <c r="F26" s="1198"/>
      <c r="G26" s="382"/>
      <c r="H26" s="409"/>
      <c r="I26" s="407"/>
      <c r="J26" s="133"/>
      <c r="K26" s="407"/>
      <c r="L26" s="145" t="str">
        <f t="shared" si="2"/>
        <v/>
      </c>
      <c r="R26" s="3"/>
      <c r="S26" s="3"/>
      <c r="T26" s="3"/>
    </row>
    <row r="27" spans="3:20" ht="15" customHeight="1" x14ac:dyDescent="0.2">
      <c r="C27" s="1343" t="s">
        <v>501</v>
      </c>
      <c r="D27" s="1344"/>
      <c r="E27" s="1197"/>
      <c r="F27" s="1198"/>
      <c r="G27" s="382"/>
      <c r="H27" s="409"/>
      <c r="I27" s="407"/>
      <c r="J27" s="133"/>
      <c r="K27" s="407"/>
      <c r="L27" s="145" t="str">
        <f t="shared" si="2"/>
        <v/>
      </c>
      <c r="R27" s="3"/>
      <c r="S27" s="3"/>
      <c r="T27" s="3"/>
    </row>
    <row r="28" spans="3:20" ht="15" customHeight="1" x14ac:dyDescent="0.2">
      <c r="C28" s="1343" t="s">
        <v>501</v>
      </c>
      <c r="D28" s="1344"/>
      <c r="E28" s="1197"/>
      <c r="F28" s="1198"/>
      <c r="G28" s="382"/>
      <c r="H28" s="409"/>
      <c r="I28" s="407"/>
      <c r="J28" s="133"/>
      <c r="K28" s="407"/>
      <c r="L28" s="145" t="str">
        <f t="shared" si="2"/>
        <v/>
      </c>
      <c r="R28" s="3"/>
      <c r="S28" s="3"/>
      <c r="T28" s="3"/>
    </row>
    <row r="29" spans="3:20" ht="15" customHeight="1" thickBot="1" x14ac:dyDescent="0.25">
      <c r="C29" s="1343" t="s">
        <v>501</v>
      </c>
      <c r="D29" s="1344"/>
      <c r="E29" s="1197"/>
      <c r="F29" s="1198"/>
      <c r="G29" s="383"/>
      <c r="H29" s="409"/>
      <c r="I29" s="407"/>
      <c r="J29" s="133"/>
      <c r="K29" s="407"/>
      <c r="L29" s="145" t="str">
        <f t="shared" si="2"/>
        <v/>
      </c>
      <c r="R29" s="3"/>
      <c r="S29" s="3"/>
      <c r="T29" s="3"/>
    </row>
    <row r="30" spans="3:20" ht="15" customHeight="1" thickTop="1" x14ac:dyDescent="0.2">
      <c r="E30" s="1348" t="s">
        <v>488</v>
      </c>
      <c r="F30" s="1349"/>
      <c r="G30" s="199">
        <f>SUM(G10:G29)</f>
        <v>0</v>
      </c>
      <c r="R30" s="3"/>
      <c r="S30" s="3"/>
      <c r="T30" s="3"/>
    </row>
    <row r="31" spans="3:20" ht="15" customHeight="1" x14ac:dyDescent="0.2">
      <c r="F31" s="5"/>
      <c r="G31" s="103"/>
      <c r="R31" s="3"/>
      <c r="S31" s="3"/>
      <c r="T31" s="3"/>
    </row>
    <row r="32" spans="3:20" ht="15" customHeight="1" x14ac:dyDescent="0.2">
      <c r="C32" s="1281" t="s">
        <v>379</v>
      </c>
      <c r="D32" s="1281"/>
      <c r="E32" s="1281"/>
      <c r="F32" s="1281"/>
      <c r="G32" s="1281"/>
      <c r="H32" s="1281"/>
      <c r="I32" s="1281"/>
      <c r="J32" s="1281"/>
      <c r="K32" s="1281"/>
      <c r="L32" s="1281"/>
      <c r="R32" s="3"/>
      <c r="S32" s="3"/>
      <c r="T32" s="3"/>
    </row>
    <row r="33" spans="3:22" ht="3" customHeight="1" x14ac:dyDescent="0.2">
      <c r="C33" s="1133"/>
      <c r="D33" s="1133"/>
      <c r="E33" s="1133"/>
      <c r="F33" s="1133"/>
      <c r="G33" s="1133"/>
      <c r="H33" s="1133"/>
      <c r="I33" s="1133"/>
      <c r="J33" s="1133"/>
      <c r="K33" s="1133"/>
      <c r="L33" s="1133"/>
      <c r="M33" s="1133"/>
      <c r="N33" s="1133"/>
      <c r="O33"/>
      <c r="R33" s="3"/>
      <c r="S33" s="3"/>
      <c r="T33" s="3"/>
    </row>
    <row r="34" spans="3:22" ht="5.25" customHeight="1" x14ac:dyDescent="0.2">
      <c r="R34" s="3"/>
      <c r="S34" s="3"/>
      <c r="T34" s="3"/>
    </row>
    <row r="35" spans="3:22" ht="42" customHeight="1" x14ac:dyDescent="0.2">
      <c r="C35" s="1180" t="s">
        <v>487</v>
      </c>
      <c r="D35" s="1180"/>
      <c r="E35" s="1180" t="s">
        <v>717</v>
      </c>
      <c r="F35" s="1180"/>
      <c r="G35" s="1004" t="s">
        <v>163</v>
      </c>
      <c r="H35" s="1004" t="s">
        <v>164</v>
      </c>
      <c r="I35" s="1004" t="s">
        <v>2279</v>
      </c>
      <c r="J35" s="1004" t="s">
        <v>2187</v>
      </c>
      <c r="K35" s="1004" t="s">
        <v>3488</v>
      </c>
      <c r="L35" s="1004" t="s">
        <v>3489</v>
      </c>
      <c r="M35" s="1004" t="s">
        <v>329</v>
      </c>
      <c r="N35" s="1008" t="s">
        <v>2160</v>
      </c>
      <c r="O35" s="425"/>
      <c r="R35" s="3"/>
      <c r="S35" s="3"/>
      <c r="T35" s="3"/>
      <c r="U35" s="3"/>
      <c r="V35" s="3"/>
    </row>
    <row r="36" spans="3:22" ht="15" customHeight="1" x14ac:dyDescent="0.2">
      <c r="C36" s="1181" t="s">
        <v>715</v>
      </c>
      <c r="D36" s="1181"/>
      <c r="E36" s="1345"/>
      <c r="F36" s="1345"/>
      <c r="G36" s="382"/>
      <c r="H36" s="132"/>
      <c r="I36" s="132"/>
      <c r="J36" s="132"/>
      <c r="K36" s="133"/>
      <c r="L36" s="133"/>
      <c r="M36" s="138" t="s">
        <v>331</v>
      </c>
      <c r="N36" s="145" t="str">
        <f t="shared" ref="N36:N55" si="3">IF(OR($G$56=0,G36=""),"",G36/$G$56)</f>
        <v/>
      </c>
      <c r="O36" s="426"/>
      <c r="R36" s="3"/>
      <c r="S36" s="3"/>
      <c r="T36" s="3"/>
      <c r="U36" s="3"/>
      <c r="V36" s="3"/>
    </row>
    <row r="37" spans="3:22" ht="15" customHeight="1" x14ac:dyDescent="0.2">
      <c r="C37" s="1341" t="s">
        <v>2299</v>
      </c>
      <c r="D37" s="1342"/>
      <c r="E37" s="1197"/>
      <c r="F37" s="1198"/>
      <c r="G37" s="382"/>
      <c r="H37" s="132"/>
      <c r="I37" s="132"/>
      <c r="J37" s="132"/>
      <c r="K37" s="133"/>
      <c r="L37" s="133"/>
      <c r="M37" s="138" t="s">
        <v>331</v>
      </c>
      <c r="N37" s="145" t="str">
        <f t="shared" si="3"/>
        <v/>
      </c>
      <c r="O37" s="426"/>
      <c r="R37" s="3"/>
      <c r="S37" s="3"/>
      <c r="T37" s="3"/>
      <c r="U37" s="3"/>
      <c r="V37" s="3"/>
    </row>
    <row r="38" spans="3:22" ht="15" customHeight="1" x14ac:dyDescent="0.2">
      <c r="C38" s="1181" t="s">
        <v>357</v>
      </c>
      <c r="D38" s="1181"/>
      <c r="E38" s="1345"/>
      <c r="F38" s="1345"/>
      <c r="G38" s="382"/>
      <c r="H38" s="409"/>
      <c r="I38" s="427" t="s">
        <v>2280</v>
      </c>
      <c r="J38" s="409"/>
      <c r="K38" s="407"/>
      <c r="L38" s="407"/>
      <c r="M38" s="138" t="s">
        <v>2017</v>
      </c>
      <c r="N38" s="145" t="str">
        <f t="shared" si="3"/>
        <v/>
      </c>
      <c r="O38" s="426"/>
      <c r="R38" s="3"/>
      <c r="S38" s="3"/>
      <c r="T38" s="3"/>
      <c r="U38" s="3"/>
      <c r="V38" s="3"/>
    </row>
    <row r="39" spans="3:22" ht="15" customHeight="1" x14ac:dyDescent="0.2">
      <c r="C39" s="1181" t="s">
        <v>381</v>
      </c>
      <c r="D39" s="1181"/>
      <c r="E39" s="1345"/>
      <c r="F39" s="1345"/>
      <c r="G39" s="382"/>
      <c r="H39" s="409"/>
      <c r="I39" s="427" t="s">
        <v>2280</v>
      </c>
      <c r="J39" s="409"/>
      <c r="K39" s="407"/>
      <c r="L39" s="407"/>
      <c r="M39" s="138" t="s">
        <v>2017</v>
      </c>
      <c r="N39" s="145" t="str">
        <f t="shared" si="3"/>
        <v/>
      </c>
      <c r="O39" s="426"/>
      <c r="Q39" s="219"/>
      <c r="R39" s="3"/>
      <c r="S39" s="3"/>
      <c r="T39" s="3"/>
      <c r="U39" s="3"/>
      <c r="V39" s="3"/>
    </row>
    <row r="40" spans="3:22" ht="15" customHeight="1" x14ac:dyDescent="0.2">
      <c r="C40" s="1181" t="s">
        <v>489</v>
      </c>
      <c r="D40" s="1181"/>
      <c r="E40" s="1197"/>
      <c r="F40" s="1198"/>
      <c r="G40" s="382"/>
      <c r="H40" s="132"/>
      <c r="I40" s="132"/>
      <c r="J40" s="132"/>
      <c r="K40" s="133"/>
      <c r="L40" s="133"/>
      <c r="M40" s="138" t="s">
        <v>331</v>
      </c>
      <c r="N40" s="145" t="str">
        <f t="shared" si="3"/>
        <v/>
      </c>
      <c r="O40" s="426"/>
      <c r="R40" s="3"/>
      <c r="S40" s="3"/>
      <c r="T40" s="3"/>
      <c r="U40" s="3"/>
      <c r="V40" s="3"/>
    </row>
    <row r="41" spans="3:22" ht="15" customHeight="1" x14ac:dyDescent="0.2">
      <c r="C41" s="1181" t="s">
        <v>162</v>
      </c>
      <c r="D41" s="1181"/>
      <c r="E41" s="1345"/>
      <c r="F41" s="1345"/>
      <c r="G41" s="382"/>
      <c r="H41" s="409"/>
      <c r="I41" s="409"/>
      <c r="J41" s="133"/>
      <c r="K41" s="407"/>
      <c r="L41" s="133"/>
      <c r="M41" s="138" t="s">
        <v>330</v>
      </c>
      <c r="N41" s="145" t="str">
        <f t="shared" si="3"/>
        <v/>
      </c>
      <c r="O41" s="426"/>
      <c r="P41" s="220"/>
      <c r="R41" s="3"/>
      <c r="S41" s="3"/>
      <c r="T41" s="3"/>
      <c r="U41" s="3"/>
      <c r="V41" s="3"/>
    </row>
    <row r="42" spans="3:22" ht="15" customHeight="1" x14ac:dyDescent="0.2">
      <c r="C42" s="1341" t="s">
        <v>713</v>
      </c>
      <c r="D42" s="1342"/>
      <c r="E42" s="1197"/>
      <c r="F42" s="1198"/>
      <c r="G42" s="382"/>
      <c r="H42" s="409"/>
      <c r="I42" s="409"/>
      <c r="J42" s="133"/>
      <c r="K42" s="407"/>
      <c r="L42" s="133"/>
      <c r="M42" s="138" t="s">
        <v>330</v>
      </c>
      <c r="N42" s="145" t="str">
        <f t="shared" si="3"/>
        <v/>
      </c>
      <c r="O42" s="426"/>
      <c r="P42" s="220"/>
      <c r="R42" s="3"/>
      <c r="S42" s="3"/>
      <c r="T42" s="3"/>
      <c r="U42" s="3"/>
      <c r="V42" s="3"/>
    </row>
    <row r="43" spans="3:22" ht="15" customHeight="1" x14ac:dyDescent="0.2">
      <c r="C43" s="1341" t="s">
        <v>714</v>
      </c>
      <c r="D43" s="1342"/>
      <c r="E43" s="1197"/>
      <c r="F43" s="1198"/>
      <c r="G43" s="382"/>
      <c r="H43" s="132"/>
      <c r="I43" s="132"/>
      <c r="J43" s="133"/>
      <c r="K43" s="133"/>
      <c r="L43" s="133"/>
      <c r="M43" s="138" t="s">
        <v>331</v>
      </c>
      <c r="N43" s="145" t="str">
        <f t="shared" si="3"/>
        <v/>
      </c>
      <c r="O43" s="426"/>
      <c r="P43" s="220"/>
      <c r="R43" s="3"/>
      <c r="S43" s="3"/>
      <c r="T43" s="3"/>
      <c r="U43" s="3"/>
      <c r="V43" s="3"/>
    </row>
    <row r="44" spans="3:22" ht="15" customHeight="1" x14ac:dyDescent="0.2">
      <c r="C44" s="1341" t="s">
        <v>2300</v>
      </c>
      <c r="D44" s="1342"/>
      <c r="E44" s="1202" t="s">
        <v>491</v>
      </c>
      <c r="F44" s="1203"/>
      <c r="G44" s="382"/>
      <c r="H44" s="537">
        <v>0.02</v>
      </c>
      <c r="I44" s="537" t="s">
        <v>2280</v>
      </c>
      <c r="J44" s="133"/>
      <c r="K44" s="407"/>
      <c r="L44" s="133"/>
      <c r="M44" s="138" t="s">
        <v>330</v>
      </c>
      <c r="N44" s="145" t="str">
        <f t="shared" si="3"/>
        <v/>
      </c>
      <c r="O44" s="426"/>
      <c r="P44" s="220"/>
      <c r="R44" s="3"/>
      <c r="S44" s="3"/>
      <c r="T44" s="3"/>
      <c r="U44" s="3"/>
      <c r="V44" s="3"/>
    </row>
    <row r="45" spans="3:22" ht="15" customHeight="1" x14ac:dyDescent="0.2">
      <c r="C45" s="1341" t="s">
        <v>2301</v>
      </c>
      <c r="D45" s="1342"/>
      <c r="E45" s="1202" t="s">
        <v>491</v>
      </c>
      <c r="F45" s="1203"/>
      <c r="G45" s="382"/>
      <c r="H45" s="537">
        <v>0.02</v>
      </c>
      <c r="I45" s="537" t="s">
        <v>2280</v>
      </c>
      <c r="J45" s="133"/>
      <c r="K45" s="407"/>
      <c r="L45" s="133"/>
      <c r="M45" s="138" t="s">
        <v>330</v>
      </c>
      <c r="N45" s="145" t="str">
        <f t="shared" si="3"/>
        <v/>
      </c>
      <c r="O45" s="426"/>
      <c r="P45" s="220"/>
      <c r="R45" s="3"/>
      <c r="S45" s="3"/>
      <c r="T45" s="3"/>
      <c r="U45" s="3"/>
      <c r="V45" s="3"/>
    </row>
    <row r="46" spans="3:22" ht="15" customHeight="1" x14ac:dyDescent="0.2">
      <c r="C46" s="1341" t="s">
        <v>2302</v>
      </c>
      <c r="D46" s="1342"/>
      <c r="E46" s="1202" t="s">
        <v>491</v>
      </c>
      <c r="F46" s="1203"/>
      <c r="G46" s="382"/>
      <c r="H46" s="537">
        <v>0</v>
      </c>
      <c r="I46" s="537" t="s">
        <v>2280</v>
      </c>
      <c r="J46" s="133"/>
      <c r="K46" s="407"/>
      <c r="L46" s="133"/>
      <c r="M46" s="138" t="s">
        <v>330</v>
      </c>
      <c r="N46" s="145" t="str">
        <f t="shared" si="3"/>
        <v/>
      </c>
      <c r="O46" s="426"/>
      <c r="P46" s="220"/>
      <c r="R46" s="3"/>
      <c r="S46" s="3"/>
      <c r="T46" s="3"/>
      <c r="U46" s="3"/>
      <c r="V46" s="3"/>
    </row>
    <row r="47" spans="3:22" ht="15" customHeight="1" x14ac:dyDescent="0.2">
      <c r="C47" s="1341" t="s">
        <v>3028</v>
      </c>
      <c r="D47" s="1342"/>
      <c r="E47" s="1202" t="s">
        <v>491</v>
      </c>
      <c r="F47" s="1203"/>
      <c r="G47" s="382"/>
      <c r="H47" s="537">
        <v>0.02</v>
      </c>
      <c r="I47" s="537" t="s">
        <v>2280</v>
      </c>
      <c r="J47" s="133"/>
      <c r="K47" s="407"/>
      <c r="L47" s="133"/>
      <c r="M47" s="138" t="s">
        <v>330</v>
      </c>
      <c r="N47" s="145" t="str">
        <f t="shared" si="3"/>
        <v/>
      </c>
      <c r="O47" s="426"/>
      <c r="P47" s="220"/>
      <c r="R47" s="3"/>
      <c r="S47" s="3"/>
      <c r="T47" s="3"/>
      <c r="U47" s="3"/>
      <c r="V47" s="3"/>
    </row>
    <row r="48" spans="3:22" ht="15" customHeight="1" x14ac:dyDescent="0.2">
      <c r="C48" s="1343" t="s">
        <v>501</v>
      </c>
      <c r="D48" s="1344"/>
      <c r="E48" s="1345"/>
      <c r="F48" s="1345"/>
      <c r="G48" s="382"/>
      <c r="H48" s="409"/>
      <c r="I48" s="409"/>
      <c r="J48" s="133"/>
      <c r="K48" s="407"/>
      <c r="L48" s="133"/>
      <c r="M48" s="407" t="s">
        <v>330</v>
      </c>
      <c r="N48" s="145" t="str">
        <f t="shared" si="3"/>
        <v/>
      </c>
      <c r="O48" s="426"/>
      <c r="R48" s="3"/>
      <c r="S48" s="3"/>
      <c r="T48" s="3"/>
      <c r="U48" s="3"/>
      <c r="V48" s="3"/>
    </row>
    <row r="49" spans="3:22" ht="15" customHeight="1" x14ac:dyDescent="0.2">
      <c r="C49" s="1343" t="s">
        <v>501</v>
      </c>
      <c r="D49" s="1344"/>
      <c r="E49" s="1345"/>
      <c r="F49" s="1345"/>
      <c r="G49" s="382"/>
      <c r="H49" s="409"/>
      <c r="I49" s="409"/>
      <c r="J49" s="133"/>
      <c r="K49" s="407"/>
      <c r="L49" s="133"/>
      <c r="M49" s="407" t="s">
        <v>330</v>
      </c>
      <c r="N49" s="145" t="str">
        <f t="shared" si="3"/>
        <v/>
      </c>
      <c r="O49" s="426"/>
      <c r="R49" s="3"/>
      <c r="S49" s="3"/>
      <c r="T49" s="3"/>
      <c r="U49" s="3"/>
      <c r="V49" s="3"/>
    </row>
    <row r="50" spans="3:22" ht="15" customHeight="1" x14ac:dyDescent="0.2">
      <c r="C50" s="1343" t="s">
        <v>501</v>
      </c>
      <c r="D50" s="1344"/>
      <c r="E50" s="1345"/>
      <c r="F50" s="1345"/>
      <c r="G50" s="382"/>
      <c r="H50" s="409"/>
      <c r="I50" s="409"/>
      <c r="J50" s="133"/>
      <c r="K50" s="407"/>
      <c r="L50" s="133"/>
      <c r="M50" s="407"/>
      <c r="N50" s="145" t="str">
        <f t="shared" si="3"/>
        <v/>
      </c>
      <c r="O50" s="426"/>
      <c r="R50" s="3"/>
      <c r="S50" s="3"/>
      <c r="T50" s="3"/>
      <c r="U50" s="3"/>
      <c r="V50" s="3"/>
    </row>
    <row r="51" spans="3:22" ht="15" customHeight="1" x14ac:dyDescent="0.2">
      <c r="C51" s="1343" t="s">
        <v>501</v>
      </c>
      <c r="D51" s="1344"/>
      <c r="E51" s="1197"/>
      <c r="F51" s="1198"/>
      <c r="G51" s="382"/>
      <c r="H51" s="409"/>
      <c r="I51" s="409"/>
      <c r="J51" s="133"/>
      <c r="K51" s="407"/>
      <c r="L51" s="133"/>
      <c r="M51" s="407"/>
      <c r="N51" s="145" t="str">
        <f t="shared" si="3"/>
        <v/>
      </c>
      <c r="O51" s="426"/>
      <c r="R51" s="3"/>
      <c r="S51" s="3"/>
      <c r="T51" s="3"/>
      <c r="U51" s="3"/>
      <c r="V51" s="3"/>
    </row>
    <row r="52" spans="3:22" ht="15" customHeight="1" x14ac:dyDescent="0.2">
      <c r="C52" s="1343" t="s">
        <v>501</v>
      </c>
      <c r="D52" s="1344"/>
      <c r="E52" s="1345"/>
      <c r="F52" s="1345"/>
      <c r="G52" s="382"/>
      <c r="H52" s="409"/>
      <c r="I52" s="409"/>
      <c r="J52" s="133"/>
      <c r="K52" s="407"/>
      <c r="L52" s="133"/>
      <c r="M52" s="407"/>
      <c r="N52" s="145" t="str">
        <f t="shared" si="3"/>
        <v/>
      </c>
      <c r="O52" s="426"/>
      <c r="R52" s="3"/>
      <c r="S52" s="3"/>
      <c r="T52" s="3"/>
      <c r="U52" s="3"/>
      <c r="V52" s="3"/>
    </row>
    <row r="53" spans="3:22" ht="15" customHeight="1" x14ac:dyDescent="0.2">
      <c r="C53" s="1343" t="s">
        <v>501</v>
      </c>
      <c r="D53" s="1344"/>
      <c r="E53" s="1197"/>
      <c r="F53" s="1198"/>
      <c r="G53" s="382"/>
      <c r="H53" s="409"/>
      <c r="I53" s="409"/>
      <c r="J53" s="133"/>
      <c r="K53" s="407"/>
      <c r="L53" s="133"/>
      <c r="M53" s="407"/>
      <c r="N53" s="145"/>
      <c r="O53" s="426"/>
      <c r="R53" s="3"/>
      <c r="S53" s="3"/>
      <c r="T53" s="3"/>
      <c r="U53" s="3"/>
      <c r="V53" s="3"/>
    </row>
    <row r="54" spans="3:22" ht="15" customHeight="1" x14ac:dyDescent="0.2">
      <c r="C54" s="1343" t="s">
        <v>501</v>
      </c>
      <c r="D54" s="1344"/>
      <c r="E54" s="1345"/>
      <c r="F54" s="1345"/>
      <c r="G54" s="382"/>
      <c r="H54" s="409"/>
      <c r="I54" s="409"/>
      <c r="J54" s="133"/>
      <c r="K54" s="407"/>
      <c r="L54" s="133"/>
      <c r="M54" s="407"/>
      <c r="N54" s="145" t="str">
        <f t="shared" si="3"/>
        <v/>
      </c>
      <c r="O54" s="426"/>
      <c r="R54" s="3"/>
      <c r="S54" s="3"/>
      <c r="T54" s="3"/>
      <c r="U54" s="3"/>
      <c r="V54" s="3"/>
    </row>
    <row r="55" spans="3:22" ht="15" customHeight="1" thickBot="1" x14ac:dyDescent="0.25">
      <c r="C55" s="1343" t="s">
        <v>501</v>
      </c>
      <c r="D55" s="1344"/>
      <c r="E55" s="1345"/>
      <c r="F55" s="1345"/>
      <c r="G55" s="383"/>
      <c r="H55" s="409"/>
      <c r="I55" s="409"/>
      <c r="J55" s="133"/>
      <c r="K55" s="407"/>
      <c r="L55" s="133"/>
      <c r="M55" s="407"/>
      <c r="N55" s="145" t="str">
        <f t="shared" si="3"/>
        <v/>
      </c>
      <c r="O55" s="426"/>
      <c r="R55" s="3"/>
      <c r="S55" s="3"/>
      <c r="T55" s="3"/>
      <c r="U55" s="3"/>
      <c r="V55" s="3"/>
    </row>
    <row r="56" spans="3:22" ht="15" customHeight="1" thickTop="1" x14ac:dyDescent="0.2">
      <c r="E56" s="1347" t="s">
        <v>490</v>
      </c>
      <c r="F56" s="1347"/>
      <c r="G56" s="193">
        <f>SUM(G36:G55)</f>
        <v>0</v>
      </c>
      <c r="R56" s="3"/>
      <c r="S56" s="3"/>
      <c r="T56" s="3"/>
    </row>
    <row r="57" spans="3:22" ht="15" customHeight="1" x14ac:dyDescent="0.2">
      <c r="S57" s="3"/>
      <c r="T57" s="3"/>
    </row>
    <row r="58" spans="3:22" ht="15" customHeight="1" x14ac:dyDescent="0.2">
      <c r="C58" s="1137" t="s">
        <v>2002</v>
      </c>
      <c r="D58" s="1137"/>
      <c r="E58" s="1137"/>
      <c r="F58" s="1346"/>
      <c r="G58" s="203" t="str">
        <f>IF(G56&lt;&gt;G30,"No","Yes")</f>
        <v>Yes</v>
      </c>
      <c r="P58" s="3" t="s">
        <v>2253</v>
      </c>
    </row>
    <row r="59" spans="3:22" ht="15" customHeight="1" x14ac:dyDescent="0.2">
      <c r="C59" s="1137" t="s">
        <v>2094</v>
      </c>
      <c r="D59" s="1137"/>
      <c r="E59" s="1137"/>
      <c r="F59" s="1137"/>
      <c r="G59" s="203" t="str">
        <f>IF(G56&lt;&gt;Uses!$K$84,"No","Yes")</f>
        <v>No</v>
      </c>
    </row>
    <row r="60" spans="3:22" ht="15" customHeight="1" x14ac:dyDescent="0.2"/>
    <row r="61" spans="3:22" ht="15" customHeight="1" x14ac:dyDescent="0.2"/>
    <row r="62" spans="3:22" ht="15" x14ac:dyDescent="0.2">
      <c r="C62" s="1281" t="s">
        <v>2194</v>
      </c>
      <c r="D62" s="1281"/>
      <c r="E62" s="1281"/>
      <c r="F62" s="1281"/>
      <c r="G62" s="1281"/>
      <c r="H62" s="1281"/>
      <c r="I62" s="1281"/>
      <c r="J62" s="1281"/>
      <c r="K62" s="1281"/>
      <c r="L62" s="1281"/>
    </row>
    <row r="63" spans="3:22" ht="3" customHeight="1" x14ac:dyDescent="0.2">
      <c r="C63" s="1350"/>
      <c r="D63" s="1350"/>
      <c r="E63" s="1350"/>
      <c r="F63" s="1350"/>
      <c r="G63" s="1350"/>
      <c r="H63" s="1350"/>
      <c r="I63" s="1350"/>
      <c r="J63" s="1350"/>
      <c r="K63" s="1350"/>
      <c r="L63" s="1350"/>
      <c r="M63" s="1350"/>
      <c r="N63" s="1350"/>
    </row>
    <row r="64" spans="3:22" x14ac:dyDescent="0.2"/>
    <row r="65" spans="3:19" ht="14.25" customHeight="1" x14ac:dyDescent="0.2">
      <c r="C65" s="1148" t="s">
        <v>2297</v>
      </c>
      <c r="D65" s="1148"/>
      <c r="E65" s="1148"/>
      <c r="F65" s="1148"/>
      <c r="G65" s="1148"/>
      <c r="H65" s="1148"/>
      <c r="I65" s="1148"/>
      <c r="J65" s="1148"/>
      <c r="K65" s="1148"/>
      <c r="L65" s="1148"/>
      <c r="M65" s="1148"/>
      <c r="N65" s="1148"/>
    </row>
    <row r="66" spans="3:19" x14ac:dyDescent="0.2"/>
    <row r="67" spans="3:19" ht="39.950000000000003" customHeight="1" x14ac:dyDescent="0.2">
      <c r="C67" s="97" t="s">
        <v>2195</v>
      </c>
      <c r="D67" s="1351" t="s">
        <v>2199</v>
      </c>
      <c r="E67" s="1351"/>
      <c r="F67" s="1351"/>
      <c r="G67" s="75" t="s">
        <v>2265</v>
      </c>
      <c r="H67" s="75" t="s">
        <v>2289</v>
      </c>
      <c r="I67" s="75" t="s">
        <v>2294</v>
      </c>
      <c r="J67" s="75" t="s">
        <v>2291</v>
      </c>
      <c r="K67" s="75" t="s">
        <v>2283</v>
      </c>
      <c r="M67" s="1"/>
      <c r="N67" s="1"/>
      <c r="O67" s="152"/>
      <c r="P67" s="1340" t="s">
        <v>2298</v>
      </c>
      <c r="Q67" s="1340"/>
      <c r="R67" s="254"/>
      <c r="S67" s="254"/>
    </row>
    <row r="68" spans="3:19" ht="15" x14ac:dyDescent="0.2">
      <c r="C68" s="77">
        <v>1</v>
      </c>
      <c r="D68" s="1339"/>
      <c r="E68" s="1339"/>
      <c r="F68" s="1339"/>
      <c r="G68" s="356"/>
      <c r="H68" s="356"/>
      <c r="I68" s="356"/>
      <c r="J68" s="355"/>
      <c r="K68" s="358">
        <v>0</v>
      </c>
      <c r="M68" s="1"/>
      <c r="N68" s="1"/>
      <c r="O68" s="410" t="s">
        <v>2249</v>
      </c>
      <c r="P68" s="1340"/>
      <c r="Q68" s="1340"/>
      <c r="R68" s="254"/>
    </row>
    <row r="69" spans="3:19" x14ac:dyDescent="0.2">
      <c r="C69" s="77">
        <v>2</v>
      </c>
      <c r="D69" s="1339"/>
      <c r="E69" s="1339"/>
      <c r="F69" s="1339"/>
      <c r="G69" s="356"/>
      <c r="H69" s="356"/>
      <c r="I69" s="356"/>
      <c r="J69" s="355"/>
      <c r="K69" s="358">
        <v>0</v>
      </c>
      <c r="M69" s="1"/>
      <c r="N69" s="1"/>
      <c r="P69" s="1340"/>
      <c r="Q69" s="1340"/>
      <c r="R69" s="254"/>
      <c r="S69" s="254"/>
    </row>
    <row r="70" spans="3:19" x14ac:dyDescent="0.2">
      <c r="C70" s="77">
        <v>3</v>
      </c>
      <c r="D70" s="1339"/>
      <c r="E70" s="1339"/>
      <c r="F70" s="1339"/>
      <c r="G70" s="356"/>
      <c r="H70" s="356"/>
      <c r="I70" s="356"/>
      <c r="J70" s="355"/>
      <c r="K70" s="358">
        <v>0</v>
      </c>
      <c r="M70" s="1"/>
      <c r="N70" s="1"/>
      <c r="P70" s="1340"/>
      <c r="Q70" s="1340"/>
      <c r="R70" s="254"/>
      <c r="S70" s="254"/>
    </row>
    <row r="71" spans="3:19" x14ac:dyDescent="0.2">
      <c r="C71" s="77">
        <v>4</v>
      </c>
      <c r="D71" s="1339"/>
      <c r="E71" s="1339"/>
      <c r="F71" s="1339"/>
      <c r="G71" s="356"/>
      <c r="H71" s="356"/>
      <c r="I71" s="356"/>
      <c r="J71" s="355"/>
      <c r="K71" s="358">
        <v>0</v>
      </c>
      <c r="M71" s="1"/>
      <c r="N71" s="1"/>
      <c r="P71" s="1340"/>
      <c r="Q71" s="1340"/>
      <c r="R71" s="254"/>
      <c r="S71" s="254"/>
    </row>
    <row r="72" spans="3:19" x14ac:dyDescent="0.2">
      <c r="C72" s="77">
        <v>5</v>
      </c>
      <c r="D72" s="1339"/>
      <c r="E72" s="1339"/>
      <c r="F72" s="1339"/>
      <c r="G72" s="356"/>
      <c r="H72" s="356"/>
      <c r="I72" s="356"/>
      <c r="J72" s="355"/>
      <c r="K72" s="358">
        <v>0</v>
      </c>
      <c r="M72" s="1"/>
      <c r="N72" s="1"/>
      <c r="P72" s="1340"/>
      <c r="Q72" s="1340"/>
      <c r="R72" s="3"/>
    </row>
    <row r="73" spans="3:19" x14ac:dyDescent="0.2">
      <c r="C73" s="77">
        <v>6</v>
      </c>
      <c r="D73" s="1339"/>
      <c r="E73" s="1339"/>
      <c r="F73" s="1339"/>
      <c r="G73" s="356"/>
      <c r="H73" s="356"/>
      <c r="I73" s="356"/>
      <c r="J73" s="355"/>
      <c r="K73" s="358">
        <v>0</v>
      </c>
      <c r="M73" s="1"/>
      <c r="N73" s="1"/>
      <c r="P73" s="1340"/>
      <c r="Q73" s="1340"/>
      <c r="R73" s="3"/>
    </row>
    <row r="74" spans="3:19" x14ac:dyDescent="0.2">
      <c r="C74" s="77">
        <v>7</v>
      </c>
      <c r="D74" s="1339"/>
      <c r="E74" s="1339"/>
      <c r="F74" s="1339"/>
      <c r="G74" s="356"/>
      <c r="H74" s="356"/>
      <c r="I74" s="356"/>
      <c r="J74" s="355"/>
      <c r="K74" s="358">
        <v>0</v>
      </c>
      <c r="M74" s="1"/>
      <c r="N74" s="1"/>
      <c r="P74" s="1340"/>
      <c r="Q74" s="1340"/>
      <c r="R74" s="3"/>
    </row>
    <row r="75" spans="3:19" x14ac:dyDescent="0.2">
      <c r="C75" s="77">
        <v>8</v>
      </c>
      <c r="D75" s="1339"/>
      <c r="E75" s="1339"/>
      <c r="F75" s="1339"/>
      <c r="G75" s="356"/>
      <c r="H75" s="356"/>
      <c r="I75" s="356"/>
      <c r="J75" s="355"/>
      <c r="K75" s="358">
        <v>0</v>
      </c>
      <c r="M75" s="1"/>
      <c r="N75" s="1"/>
      <c r="P75" s="1340"/>
      <c r="Q75" s="1340"/>
      <c r="R75" s="3"/>
    </row>
    <row r="76" spans="3:19" x14ac:dyDescent="0.2">
      <c r="C76" s="77">
        <v>9</v>
      </c>
      <c r="D76" s="1339"/>
      <c r="E76" s="1339"/>
      <c r="F76" s="1339"/>
      <c r="G76" s="356"/>
      <c r="H76" s="356"/>
      <c r="I76" s="356"/>
      <c r="J76" s="355"/>
      <c r="K76" s="358">
        <v>0</v>
      </c>
      <c r="M76" s="1"/>
      <c r="N76" s="1"/>
      <c r="R76" s="3"/>
    </row>
    <row r="77" spans="3:19" ht="13.7" customHeight="1" x14ac:dyDescent="0.2">
      <c r="C77" s="77">
        <v>10</v>
      </c>
      <c r="D77" s="1339"/>
      <c r="E77" s="1339"/>
      <c r="F77" s="1339"/>
      <c r="G77" s="356"/>
      <c r="H77" s="356"/>
      <c r="I77" s="356"/>
      <c r="J77" s="355"/>
      <c r="K77" s="358">
        <v>0</v>
      </c>
      <c r="M77" s="1"/>
      <c r="N77" s="1"/>
      <c r="O77" s="152"/>
      <c r="P77" s="1340" t="s">
        <v>2303</v>
      </c>
      <c r="Q77" s="1340"/>
      <c r="R77" s="3"/>
    </row>
    <row r="78" spans="3:19" ht="15" x14ac:dyDescent="0.2">
      <c r="C78" s="77">
        <v>11</v>
      </c>
      <c r="D78" s="1339"/>
      <c r="E78" s="1339"/>
      <c r="F78" s="1339"/>
      <c r="G78" s="356"/>
      <c r="H78" s="356"/>
      <c r="I78" s="356"/>
      <c r="J78" s="355"/>
      <c r="K78" s="358">
        <v>0</v>
      </c>
      <c r="M78" s="1"/>
      <c r="N78" s="1"/>
      <c r="O78" s="410" t="s">
        <v>2249</v>
      </c>
      <c r="P78" s="1340"/>
      <c r="Q78" s="1340"/>
      <c r="R78" s="3"/>
    </row>
    <row r="79" spans="3:19" x14ac:dyDescent="0.2">
      <c r="C79" s="77">
        <v>12</v>
      </c>
      <c r="D79" s="1339"/>
      <c r="E79" s="1339"/>
      <c r="F79" s="1339"/>
      <c r="G79" s="356"/>
      <c r="H79" s="356"/>
      <c r="I79" s="356"/>
      <c r="J79" s="355"/>
      <c r="K79" s="358">
        <v>0</v>
      </c>
      <c r="M79" s="1"/>
      <c r="N79" s="1"/>
      <c r="P79" s="1340"/>
      <c r="Q79" s="1340"/>
      <c r="R79" s="3"/>
    </row>
    <row r="80" spans="3:19" x14ac:dyDescent="0.2">
      <c r="C80" s="77">
        <v>13</v>
      </c>
      <c r="D80" s="1339"/>
      <c r="E80" s="1339"/>
      <c r="F80" s="1339"/>
      <c r="G80" s="356"/>
      <c r="H80" s="356"/>
      <c r="I80" s="356"/>
      <c r="J80" s="355"/>
      <c r="K80" s="358">
        <v>0</v>
      </c>
      <c r="M80" s="1"/>
      <c r="N80" s="1"/>
      <c r="P80" s="1340"/>
      <c r="Q80" s="1340"/>
      <c r="R80" s="3"/>
    </row>
    <row r="81" spans="3:18" x14ac:dyDescent="0.2">
      <c r="C81" s="77">
        <v>14</v>
      </c>
      <c r="D81" s="1339"/>
      <c r="E81" s="1339"/>
      <c r="F81" s="1339"/>
      <c r="G81" s="356"/>
      <c r="H81" s="356"/>
      <c r="I81" s="356"/>
      <c r="J81" s="355"/>
      <c r="K81" s="358">
        <v>0</v>
      </c>
      <c r="M81" s="1"/>
      <c r="N81" s="1"/>
      <c r="P81" s="254"/>
      <c r="Q81" s="254"/>
      <c r="R81" s="3"/>
    </row>
    <row r="82" spans="3:18" x14ac:dyDescent="0.2">
      <c r="C82" s="77">
        <v>15</v>
      </c>
      <c r="D82" s="1339"/>
      <c r="E82" s="1339"/>
      <c r="F82" s="1339"/>
      <c r="G82" s="356"/>
      <c r="H82" s="356"/>
      <c r="I82" s="356"/>
      <c r="J82" s="355"/>
      <c r="K82" s="358">
        <v>0</v>
      </c>
      <c r="M82" s="1"/>
      <c r="N82" s="1"/>
      <c r="P82" s="254"/>
      <c r="Q82" s="254"/>
      <c r="R82" s="3"/>
    </row>
    <row r="83" spans="3:18" x14ac:dyDescent="0.2">
      <c r="C83" s="77">
        <v>16</v>
      </c>
      <c r="D83" s="1339"/>
      <c r="E83" s="1339"/>
      <c r="F83" s="1339"/>
      <c r="G83" s="356"/>
      <c r="H83" s="356"/>
      <c r="I83" s="356"/>
      <c r="J83" s="355"/>
      <c r="K83" s="358">
        <v>0</v>
      </c>
      <c r="P83" s="254"/>
      <c r="Q83" s="254"/>
    </row>
    <row r="84" spans="3:18" x14ac:dyDescent="0.2">
      <c r="C84" s="77">
        <v>17</v>
      </c>
      <c r="D84" s="1339"/>
      <c r="E84" s="1339"/>
      <c r="F84" s="1339"/>
      <c r="G84" s="356"/>
      <c r="H84" s="356"/>
      <c r="I84" s="356"/>
      <c r="J84" s="355"/>
      <c r="K84" s="358">
        <v>0</v>
      </c>
      <c r="P84" s="254"/>
      <c r="Q84" s="254"/>
    </row>
    <row r="85" spans="3:18" x14ac:dyDescent="0.2">
      <c r="C85" s="77">
        <v>18</v>
      </c>
      <c r="D85" s="1339"/>
      <c r="E85" s="1339"/>
      <c r="F85" s="1339"/>
      <c r="G85" s="356"/>
      <c r="H85" s="356"/>
      <c r="I85" s="356"/>
      <c r="J85" s="355"/>
      <c r="K85" s="358">
        <v>0</v>
      </c>
    </row>
    <row r="86" spans="3:18" x14ac:dyDescent="0.2">
      <c r="C86" s="77">
        <v>19</v>
      </c>
      <c r="D86" s="1339"/>
      <c r="E86" s="1339"/>
      <c r="F86" s="1339"/>
      <c r="G86" s="356"/>
      <c r="H86" s="356"/>
      <c r="I86" s="356"/>
      <c r="J86" s="355"/>
      <c r="K86" s="358">
        <v>0</v>
      </c>
    </row>
    <row r="87" spans="3:18" x14ac:dyDescent="0.2">
      <c r="C87" s="77">
        <v>20</v>
      </c>
      <c r="D87" s="1339"/>
      <c r="E87" s="1339"/>
      <c r="F87" s="1339"/>
      <c r="G87" s="356"/>
      <c r="H87" s="356"/>
      <c r="I87" s="356"/>
      <c r="J87" s="355"/>
      <c r="K87" s="358">
        <v>0</v>
      </c>
    </row>
    <row r="88" spans="3:18" x14ac:dyDescent="0.2"/>
  </sheetData>
  <sheetProtection algorithmName="SHA-512" hashValue="VXpOhrHMoh4c0u+ri8HTdc4kD6z21gC2hRW1GdNB7AiJWR6gw3WSzZuvHrVFYZzXJSibi1lUim+oXgqKM8KyuQ==" saltValue="6T02uWtXoP/+qK3nZ6t0Tw==" spinCount="100000" sheet="1" objects="1" scenarios="1"/>
  <mergeCells count="123">
    <mergeCell ref="P9:Q23"/>
    <mergeCell ref="C18:D18"/>
    <mergeCell ref="E43:F43"/>
    <mergeCell ref="E48:F48"/>
    <mergeCell ref="C29:D29"/>
    <mergeCell ref="C27:D27"/>
    <mergeCell ref="E28:F28"/>
    <mergeCell ref="C42:D42"/>
    <mergeCell ref="E42:F42"/>
    <mergeCell ref="E41:F41"/>
    <mergeCell ref="C40:D40"/>
    <mergeCell ref="C41:D41"/>
    <mergeCell ref="E18:F18"/>
    <mergeCell ref="C23:D23"/>
    <mergeCell ref="C24:D24"/>
    <mergeCell ref="E36:F36"/>
    <mergeCell ref="C39:D39"/>
    <mergeCell ref="E39:F39"/>
    <mergeCell ref="E23:F23"/>
    <mergeCell ref="C19:D19"/>
    <mergeCell ref="C20:D20"/>
    <mergeCell ref="C21:D21"/>
    <mergeCell ref="C22:D22"/>
    <mergeCell ref="C25:D25"/>
    <mergeCell ref="B2:F2"/>
    <mergeCell ref="B3:F3"/>
    <mergeCell ref="C17:D17"/>
    <mergeCell ref="E10:F10"/>
    <mergeCell ref="C14:D14"/>
    <mergeCell ref="E14:F14"/>
    <mergeCell ref="C15:D15"/>
    <mergeCell ref="E15:F15"/>
    <mergeCell ref="C12:D12"/>
    <mergeCell ref="E12:F12"/>
    <mergeCell ref="C10:D10"/>
    <mergeCell ref="E16:F16"/>
    <mergeCell ref="C6:L6"/>
    <mergeCell ref="E9:F9"/>
    <mergeCell ref="C9:D9"/>
    <mergeCell ref="C13:D13"/>
    <mergeCell ref="E13:F13"/>
    <mergeCell ref="C11:D11"/>
    <mergeCell ref="E11:F11"/>
    <mergeCell ref="E17:F17"/>
    <mergeCell ref="J2:N2"/>
    <mergeCell ref="J3:N3"/>
    <mergeCell ref="C7:N7"/>
    <mergeCell ref="C63:N63"/>
    <mergeCell ref="C65:N65"/>
    <mergeCell ref="D78:F78"/>
    <mergeCell ref="D79:F79"/>
    <mergeCell ref="D67:F67"/>
    <mergeCell ref="D68:F68"/>
    <mergeCell ref="D69:F69"/>
    <mergeCell ref="D70:F70"/>
    <mergeCell ref="D71:F71"/>
    <mergeCell ref="D72:F72"/>
    <mergeCell ref="D73:F73"/>
    <mergeCell ref="D74:F74"/>
    <mergeCell ref="D75:F75"/>
    <mergeCell ref="D76:F76"/>
    <mergeCell ref="D77:F77"/>
    <mergeCell ref="C38:D38"/>
    <mergeCell ref="C35:D35"/>
    <mergeCell ref="C32:L32"/>
    <mergeCell ref="E26:F26"/>
    <mergeCell ref="E27:F27"/>
    <mergeCell ref="C33:N33"/>
    <mergeCell ref="C28:D28"/>
    <mergeCell ref="E35:F35"/>
    <mergeCell ref="C43:D43"/>
    <mergeCell ref="C26:D26"/>
    <mergeCell ref="C37:D37"/>
    <mergeCell ref="E40:F40"/>
    <mergeCell ref="E37:F37"/>
    <mergeCell ref="D86:F86"/>
    <mergeCell ref="C53:D53"/>
    <mergeCell ref="E53:F53"/>
    <mergeCell ref="E38:F38"/>
    <mergeCell ref="C51:D51"/>
    <mergeCell ref="C16:D16"/>
    <mergeCell ref="E29:F29"/>
    <mergeCell ref="E24:F24"/>
    <mergeCell ref="E25:F25"/>
    <mergeCell ref="E52:F52"/>
    <mergeCell ref="E54:F54"/>
    <mergeCell ref="C62:L62"/>
    <mergeCell ref="E19:F19"/>
    <mergeCell ref="E20:F20"/>
    <mergeCell ref="E21:F21"/>
    <mergeCell ref="E22:F22"/>
    <mergeCell ref="E44:F44"/>
    <mergeCell ref="E45:F45"/>
    <mergeCell ref="E46:F46"/>
    <mergeCell ref="E47:F47"/>
    <mergeCell ref="E56:F56"/>
    <mergeCell ref="E49:F49"/>
    <mergeCell ref="C36:D36"/>
    <mergeCell ref="E30:F30"/>
    <mergeCell ref="D87:F87"/>
    <mergeCell ref="P77:Q80"/>
    <mergeCell ref="D83:F83"/>
    <mergeCell ref="D84:F84"/>
    <mergeCell ref="D85:F85"/>
    <mergeCell ref="C44:D44"/>
    <mergeCell ref="C45:D45"/>
    <mergeCell ref="C46:D46"/>
    <mergeCell ref="C47:D47"/>
    <mergeCell ref="D80:F80"/>
    <mergeCell ref="D81:F81"/>
    <mergeCell ref="D82:F82"/>
    <mergeCell ref="C52:D52"/>
    <mergeCell ref="C54:D54"/>
    <mergeCell ref="C55:D55"/>
    <mergeCell ref="C59:F59"/>
    <mergeCell ref="E51:F51"/>
    <mergeCell ref="P67:Q75"/>
    <mergeCell ref="E55:F55"/>
    <mergeCell ref="C49:D49"/>
    <mergeCell ref="C48:D48"/>
    <mergeCell ref="C58:F58"/>
    <mergeCell ref="C50:D50"/>
    <mergeCell ref="E50:F50"/>
  </mergeCells>
  <conditionalFormatting sqref="P9">
    <cfRule type="expression" dxfId="221" priority="3">
      <formula>CELL("protect",#REF!)=0</formula>
    </cfRule>
  </conditionalFormatting>
  <conditionalFormatting sqref="P67">
    <cfRule type="expression" dxfId="220" priority="2">
      <formula>CELL("protect",#REF!)=0</formula>
    </cfRule>
  </conditionalFormatting>
  <conditionalFormatting sqref="P77">
    <cfRule type="expression" dxfId="219" priority="1">
      <formula>CELL("protect",#REF!)=0</formula>
    </cfRule>
  </conditionalFormatting>
  <dataValidations count="8">
    <dataValidation type="list" allowBlank="1" showInputMessage="1" showErrorMessage="1" sqref="M36:M55" xr:uid="{7115AD42-B42A-46E9-B15E-FCE5094E4D9F}">
      <formula1>"Equity, Hard Debt, Soft Debt, Grant, Other (Describe)"</formula1>
    </dataValidation>
    <dataValidation type="list" allowBlank="1" showInputMessage="1" showErrorMessage="1" sqref="I38:I39 I41:I42 I44:I55" xr:uid="{E80399DF-0D5B-45E3-A972-0F06213463EE}">
      <formula1>"Simple, Compound, N/A"</formula1>
    </dataValidation>
    <dataValidation type="list" allowBlank="1" showInputMessage="1" showErrorMessage="1" sqref="H68:H87" xr:uid="{E60AEDA6-43EC-4929-A862-168F5DC272BF}">
      <formula1>"Yes, No"</formula1>
    </dataValidation>
    <dataValidation type="list" allowBlank="1" showInputMessage="1" showErrorMessage="1" sqref="J68:J87" xr:uid="{A84C5860-E93A-4789-89A5-CAD220CDA694}">
      <formula1>"Yes, No, N/A"</formula1>
    </dataValidation>
    <dataValidation type="list" allowBlank="1" showInputMessage="1" showErrorMessage="1" sqref="K10:K29" xr:uid="{E8A1D7CE-B980-4A5D-B35B-B9CA7CCFC905}">
      <formula1>"Equity, Hard Debt, Soft Debt, Equity Bridge Loan, Grant, Other"</formula1>
    </dataValidation>
    <dataValidation type="whole" allowBlank="1" showInputMessage="1" showErrorMessage="1" sqref="G19 G44" xr:uid="{57061A1E-D17D-490B-89A6-0351F84EF4DA}">
      <formula1>0</formula1>
      <formula2>4000000</formula2>
    </dataValidation>
    <dataValidation type="whole" allowBlank="1" showInputMessage="1" showErrorMessage="1" errorTitle="Exceeds Maximum HOME Request" error="The maximum HOME request under the 2024-2025 9% LIHTC QAP is $1 million." sqref="G20" xr:uid="{240D16F3-A17A-4BDD-9C95-F18C29D4AC32}">
      <formula1>0</formula1>
      <formula2>1000000</formula2>
    </dataValidation>
    <dataValidation type="whole" allowBlank="1" showInputMessage="1" showErrorMessage="1" errorTitle="Exceeds Maximum HOME Request" error="The maximum HOME request under the 2024-2025 9% LIHTC QAP is $1 million for OHFA-certified Community Housing Development Organizations (CHDOs)." sqref="G45" xr:uid="{7598A842-5032-47E7-835D-D829B65DA4AE}">
      <formula1>0</formula1>
      <formula2>1000000</formula2>
    </dataValidation>
  </dataValidations>
  <pageMargins left="0.7" right="0.7" top="0.75" bottom="0.75" header="0.3" footer="0.3"/>
  <pageSetup scale="50" fitToHeight="0" orientation="portrait" r:id="rId1"/>
  <headerFooter>
    <oddFooter>&amp;L&amp;"-,Bold"&amp;9Sources of Funds Tab&amp;"-,Regular"
Affordable Housing Funding Application&amp;C&amp;9Ohio Housing Finance Agency&amp;R&amp;9Page &amp;P of &amp;N</oddFoot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FA0E95BE-E711-4991-A313-248CCDD833A2}">
          <x14:formula1>
            <xm:f>Data!$EG$11:$EG$31</xm:f>
          </x14:formula1>
          <xm:sqref>D68:F87</xm:sqref>
        </x14:dataValidation>
        <x14:dataValidation type="custom" allowBlank="1" showInputMessage="1" showErrorMessage="1" errorTitle="Exceeding Maximum HDL Request" error="Under the current HDL Guidelines, the maximum loan request for 9% LIHTC proposals is $2.5 million if competing in the Service-Enriched Housing pool and $1.75 million for proposals competing in any other pool." xr:uid="{3AA3A750-28BE-421A-8D6D-D176C1CA6D03}">
          <x14:formula1>
            <xm:f>IF(Details!$E$21&lt;&gt;"Service-Enriched Housing",G13&lt;=1750000,G13&lt;=2500000)</xm:f>
          </x14:formula1>
          <xm:sqref>G13</xm:sqref>
        </x14:dataValidation>
        <x14:dataValidation type="whole" allowBlank="1" showInputMessage="1" showErrorMessage="1" errorTitle="Exceeds Max Construction Equity" error="Please complete the LIHTC Equity Installments Table on the LIHTCs tab before entering information here. Construction-period LIHTC equity cannot exceed that listed on the LIHTCs tab." xr:uid="{6E811011-30B0-4FEF-9C12-03FAE3EA6BDA}">
          <x14:formula1>
            <xm:f>0</xm:f>
          </x14:formula1>
          <x14:formula2>
            <xm:f>LIHTCs!F71</xm:f>
          </x14:formula2>
          <xm:sqref>G10</xm:sqref>
        </x14:dataValidation>
        <x14:dataValidation type="whole" operator="lessThanOrEqual" allowBlank="1" showInputMessage="1" showErrorMessage="1" xr:uid="{BC533E45-BAD0-4C9E-AE39-A5A8EE921F11}">
          <x14:formula1>
            <xm:f>OLIHTCs!F55</xm:f>
          </x14:formula1>
          <xm:sqref>G11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E0969-FCB6-4542-8302-5813908C3653}">
  <sheetPr>
    <pageSetUpPr autoPageBreaks="0" fitToPage="1"/>
  </sheetPr>
  <dimension ref="A1:AA87"/>
  <sheetViews>
    <sheetView showGridLines="0" zoomScale="85" zoomScaleNormal="85" workbookViewId="0"/>
  </sheetViews>
  <sheetFormatPr defaultColWidth="0" defaultRowHeight="14.25" zeroHeight="1" x14ac:dyDescent="0.2"/>
  <cols>
    <col min="1" max="1" width="2.625" style="1" customWidth="1"/>
    <col min="2" max="2" width="0.625" style="1" customWidth="1"/>
    <col min="3" max="12" width="13.625" style="1" customWidth="1"/>
    <col min="13" max="13" width="13.625" style="3" customWidth="1"/>
    <col min="14" max="14" width="2.625" style="3" hidden="1" customWidth="1"/>
    <col min="15" max="16" width="15.125" style="3" hidden="1" customWidth="1"/>
    <col min="17" max="19" width="13.625" style="1" hidden="1" customWidth="1"/>
    <col min="20" max="20" width="17.125" style="1" hidden="1" customWidth="1"/>
    <col min="21" max="23" width="13.625" style="1" hidden="1" customWidth="1"/>
    <col min="24" max="24" width="14" style="1" hidden="1" customWidth="1"/>
    <col min="25" max="25" width="18.125" style="1" hidden="1" customWidth="1"/>
    <col min="26" max="26" width="12.125" style="1" hidden="1" customWidth="1"/>
    <col min="27" max="27" width="27" style="1" hidden="1" customWidth="1"/>
    <col min="28" max="16384" width="8.875" style="1" hidden="1"/>
  </cols>
  <sheetData>
    <row r="1" spans="1:20" ht="55.5" customHeight="1" x14ac:dyDescent="0.2"/>
    <row r="2" spans="1:20" s="3" customFormat="1" ht="25.5" customHeight="1" x14ac:dyDescent="0.2">
      <c r="A2" s="16"/>
      <c r="B2" s="1211" t="s">
        <v>2193</v>
      </c>
      <c r="C2" s="1212"/>
      <c r="D2" s="1212"/>
      <c r="E2" s="1212"/>
      <c r="F2" s="1212"/>
      <c r="G2" s="27"/>
      <c r="H2" s="27"/>
      <c r="I2" s="1217" t="str">
        <f>CONCATENATE(IF(Instructions!$K$2="","",Instructions!$K$2)," ",IF(Details!$E$11="","",Details!$E$11))</f>
        <v>2026 9% LIHTC AHFA Proposal Application</v>
      </c>
      <c r="J2" s="1217"/>
      <c r="K2" s="1217"/>
      <c r="L2" s="1218"/>
      <c r="M2" s="16"/>
      <c r="N2" s="16"/>
      <c r="O2" s="16"/>
      <c r="P2" s="16"/>
      <c r="Q2" s="16"/>
      <c r="R2" s="16"/>
      <c r="S2" s="16"/>
      <c r="T2" s="16"/>
    </row>
    <row r="3" spans="1:20" ht="20.25" customHeight="1" x14ac:dyDescent="0.2">
      <c r="A3"/>
      <c r="B3" s="1166" t="s">
        <v>437</v>
      </c>
      <c r="C3" s="1167"/>
      <c r="D3" s="1167"/>
      <c r="E3" s="1167"/>
      <c r="F3" s="1167"/>
      <c r="G3" s="237"/>
      <c r="H3" s="98"/>
      <c r="I3" s="1304" t="str">
        <f>IF(Details!$E$12="","",CONCATENATE("Project Name: ",Details!$E$12))</f>
        <v/>
      </c>
      <c r="J3" s="1304"/>
      <c r="K3" s="1304"/>
      <c r="L3" s="1305"/>
      <c r="M3" s="16"/>
      <c r="N3" s="16"/>
      <c r="O3" s="16"/>
      <c r="P3"/>
      <c r="Q3"/>
      <c r="R3"/>
      <c r="S3"/>
      <c r="T3"/>
    </row>
    <row r="4" spans="1:20" ht="5.25" customHeight="1" x14ac:dyDescent="0.2">
      <c r="A4"/>
      <c r="B4"/>
      <c r="C4"/>
    </row>
    <row r="5" spans="1:20" ht="15" customHeight="1" x14ac:dyDescent="0.2"/>
    <row r="6" spans="1:20" s="73" customFormat="1" ht="15" customHeight="1" x14ac:dyDescent="0.2">
      <c r="B6" s="72"/>
      <c r="C6" s="72"/>
      <c r="D6" s="72"/>
      <c r="E6" s="72"/>
      <c r="F6" s="1290" t="s">
        <v>322</v>
      </c>
      <c r="G6" s="1290"/>
      <c r="H6" s="1290"/>
      <c r="I6" s="1290"/>
      <c r="M6" s="214"/>
      <c r="N6" s="214"/>
      <c r="O6" s="214"/>
      <c r="P6" s="214"/>
    </row>
    <row r="7" spans="1:20" s="7" customFormat="1" ht="45" customHeight="1" x14ac:dyDescent="0.25">
      <c r="B7" s="2"/>
      <c r="C7" s="1180" t="s">
        <v>500</v>
      </c>
      <c r="D7" s="1180"/>
      <c r="E7" s="1180"/>
      <c r="F7" s="1004" t="s">
        <v>507</v>
      </c>
      <c r="G7" s="1004" t="s">
        <v>508</v>
      </c>
      <c r="H7" s="1004" t="s">
        <v>509</v>
      </c>
      <c r="I7" s="1004" t="s">
        <v>510</v>
      </c>
      <c r="J7" s="1004" t="s">
        <v>511</v>
      </c>
      <c r="K7" s="1004" t="s">
        <v>512</v>
      </c>
      <c r="L7" s="1004" t="s">
        <v>2467</v>
      </c>
      <c r="M7" s="3"/>
      <c r="N7" s="3"/>
      <c r="O7" s="3"/>
      <c r="P7" s="1"/>
    </row>
    <row r="8" spans="1:20" s="7" customFormat="1" ht="15" customHeight="1" x14ac:dyDescent="0.25">
      <c r="B8" s="2"/>
      <c r="C8" s="1359" t="s">
        <v>498</v>
      </c>
      <c r="D8" s="1360"/>
      <c r="E8" s="1360"/>
      <c r="F8" s="387"/>
      <c r="G8" s="387"/>
      <c r="H8" s="387"/>
      <c r="I8" s="387"/>
      <c r="J8" s="387"/>
      <c r="K8" s="602"/>
      <c r="L8" s="388"/>
      <c r="M8" s="3"/>
      <c r="N8" s="3"/>
      <c r="O8" s="3"/>
      <c r="P8" s="1"/>
    </row>
    <row r="9" spans="1:20" ht="15" customHeight="1" x14ac:dyDescent="0.25">
      <c r="B9" s="2"/>
      <c r="C9" s="1365" t="s">
        <v>496</v>
      </c>
      <c r="D9" s="1365"/>
      <c r="E9" s="1365"/>
      <c r="F9" s="108"/>
      <c r="G9" s="108"/>
      <c r="H9" s="108"/>
      <c r="I9" s="141">
        <f>SUM(F9:H9)</f>
        <v>0</v>
      </c>
      <c r="J9" s="386"/>
      <c r="K9" s="105">
        <f>SUM(I9:J9)</f>
        <v>0</v>
      </c>
      <c r="L9" s="591" t="s">
        <v>6</v>
      </c>
      <c r="M9" s="220"/>
      <c r="P9" s="1"/>
    </row>
    <row r="10" spans="1:20" ht="15" customHeight="1" x14ac:dyDescent="0.25">
      <c r="B10" s="2"/>
      <c r="C10" s="1168" t="s">
        <v>497</v>
      </c>
      <c r="D10" s="1169"/>
      <c r="E10" s="1170"/>
      <c r="F10" s="382"/>
      <c r="G10" s="108"/>
      <c r="H10" s="108"/>
      <c r="I10" s="141">
        <f>SUM(F10:H10)</f>
        <v>0</v>
      </c>
      <c r="J10" s="382"/>
      <c r="K10" s="141">
        <f t="shared" ref="K10:K76" si="0">SUM(I10:J10)</f>
        <v>0</v>
      </c>
      <c r="L10" s="591" t="s">
        <v>6</v>
      </c>
      <c r="M10" s="220"/>
      <c r="P10" s="1"/>
    </row>
    <row r="11" spans="1:20" ht="15" customHeight="1" x14ac:dyDescent="0.25">
      <c r="B11" s="2"/>
      <c r="C11" s="1234" t="s">
        <v>166</v>
      </c>
      <c r="D11" s="1234"/>
      <c r="E11" s="1234"/>
      <c r="F11" s="108"/>
      <c r="G11" s="108"/>
      <c r="H11" s="108"/>
      <c r="I11" s="141">
        <f>SUM(F11:H11)</f>
        <v>0</v>
      </c>
      <c r="J11" s="382"/>
      <c r="K11" s="141">
        <f t="shared" si="0"/>
        <v>0</v>
      </c>
      <c r="L11" s="591" t="s">
        <v>6</v>
      </c>
      <c r="M11" s="220"/>
      <c r="P11" s="1"/>
    </row>
    <row r="12" spans="1:20" ht="15" customHeight="1" x14ac:dyDescent="0.25">
      <c r="B12" s="2"/>
      <c r="C12" s="107" t="s">
        <v>229</v>
      </c>
      <c r="D12" s="1356" t="s">
        <v>501</v>
      </c>
      <c r="E12" s="1357"/>
      <c r="F12" s="385"/>
      <c r="G12" s="108"/>
      <c r="H12" s="108"/>
      <c r="I12" s="141">
        <f>SUM(F12:H12)</f>
        <v>0</v>
      </c>
      <c r="J12" s="382"/>
      <c r="K12" s="603">
        <f t="shared" si="0"/>
        <v>0</v>
      </c>
      <c r="L12" s="591" t="s">
        <v>8</v>
      </c>
      <c r="M12" s="220"/>
      <c r="P12" s="1"/>
    </row>
    <row r="13" spans="1:20" ht="15" customHeight="1" x14ac:dyDescent="0.25">
      <c r="B13" s="2"/>
      <c r="C13" s="107" t="s">
        <v>229</v>
      </c>
      <c r="D13" s="1356" t="s">
        <v>501</v>
      </c>
      <c r="E13" s="1357"/>
      <c r="F13" s="385"/>
      <c r="G13" s="108"/>
      <c r="H13" s="108"/>
      <c r="I13" s="141">
        <f>SUM(F13:H13)</f>
        <v>0</v>
      </c>
      <c r="J13" s="382"/>
      <c r="K13" s="105">
        <f t="shared" si="0"/>
        <v>0</v>
      </c>
      <c r="L13" s="591" t="s">
        <v>8</v>
      </c>
      <c r="M13" s="220"/>
      <c r="P13" s="1"/>
    </row>
    <row r="14" spans="1:20" ht="15" customHeight="1" x14ac:dyDescent="0.25">
      <c r="B14" s="2"/>
      <c r="C14" s="1366" t="s">
        <v>499</v>
      </c>
      <c r="D14" s="1367"/>
      <c r="E14" s="1367"/>
      <c r="F14" s="387"/>
      <c r="G14" s="387"/>
      <c r="H14" s="387"/>
      <c r="I14" s="387"/>
      <c r="J14" s="387"/>
      <c r="K14" s="602"/>
      <c r="L14" s="388"/>
      <c r="M14" s="220"/>
      <c r="P14" s="1"/>
    </row>
    <row r="15" spans="1:20" ht="15" customHeight="1" x14ac:dyDescent="0.25">
      <c r="B15" s="2"/>
      <c r="C15" s="1181" t="s">
        <v>167</v>
      </c>
      <c r="D15" s="1181"/>
      <c r="E15" s="1181"/>
      <c r="F15" s="382"/>
      <c r="G15" s="382"/>
      <c r="H15" s="382"/>
      <c r="I15" s="141">
        <f t="shared" ref="I15:I23" si="1">SUM(F15:H15)</f>
        <v>0</v>
      </c>
      <c r="J15" s="382"/>
      <c r="K15" s="105">
        <f t="shared" si="0"/>
        <v>0</v>
      </c>
      <c r="L15" s="591" t="s">
        <v>6</v>
      </c>
      <c r="M15" s="220"/>
      <c r="P15" s="1"/>
    </row>
    <row r="16" spans="1:20" ht="15" customHeight="1" x14ac:dyDescent="0.25">
      <c r="B16" s="2"/>
      <c r="C16" s="1181" t="s">
        <v>168</v>
      </c>
      <c r="D16" s="1181"/>
      <c r="E16" s="1181"/>
      <c r="F16" s="382"/>
      <c r="G16" s="382"/>
      <c r="H16" s="382"/>
      <c r="I16" s="141">
        <f t="shared" si="1"/>
        <v>0</v>
      </c>
      <c r="J16" s="382"/>
      <c r="K16" s="141">
        <f t="shared" si="0"/>
        <v>0</v>
      </c>
      <c r="L16" s="591" t="s">
        <v>6</v>
      </c>
      <c r="M16" s="220"/>
      <c r="P16" s="1"/>
    </row>
    <row r="17" spans="2:16" ht="15" customHeight="1" x14ac:dyDescent="0.25">
      <c r="B17" s="2"/>
      <c r="C17" s="1181" t="s">
        <v>169</v>
      </c>
      <c r="D17" s="1181"/>
      <c r="E17" s="1181"/>
      <c r="F17" s="382"/>
      <c r="G17" s="382"/>
      <c r="H17" s="382"/>
      <c r="I17" s="141">
        <f t="shared" si="1"/>
        <v>0</v>
      </c>
      <c r="J17" s="382"/>
      <c r="K17" s="141">
        <f t="shared" si="0"/>
        <v>0</v>
      </c>
      <c r="L17" s="591" t="s">
        <v>6</v>
      </c>
      <c r="M17" s="220"/>
      <c r="P17" s="1"/>
    </row>
    <row r="18" spans="2:16" ht="15" customHeight="1" x14ac:dyDescent="0.25">
      <c r="B18" s="2"/>
      <c r="C18" s="1181" t="s">
        <v>170</v>
      </c>
      <c r="D18" s="1181"/>
      <c r="E18" s="1181"/>
      <c r="F18" s="382"/>
      <c r="G18" s="382"/>
      <c r="H18" s="382"/>
      <c r="I18" s="141">
        <f t="shared" si="1"/>
        <v>0</v>
      </c>
      <c r="J18" s="382"/>
      <c r="K18" s="141">
        <f t="shared" si="0"/>
        <v>0</v>
      </c>
      <c r="L18" s="591" t="s">
        <v>6</v>
      </c>
      <c r="M18" s="220"/>
      <c r="P18" s="1"/>
    </row>
    <row r="19" spans="2:16" ht="15" customHeight="1" x14ac:dyDescent="0.25">
      <c r="B19" s="2"/>
      <c r="C19" s="1181" t="s">
        <v>171</v>
      </c>
      <c r="D19" s="1181"/>
      <c r="E19" s="1181"/>
      <c r="F19" s="382"/>
      <c r="G19" s="382"/>
      <c r="H19" s="382"/>
      <c r="I19" s="141">
        <f t="shared" si="1"/>
        <v>0</v>
      </c>
      <c r="J19" s="382"/>
      <c r="K19" s="141">
        <f t="shared" si="0"/>
        <v>0</v>
      </c>
      <c r="L19" s="591" t="s">
        <v>6</v>
      </c>
      <c r="M19" s="220"/>
      <c r="P19" s="1"/>
    </row>
    <row r="20" spans="2:16" ht="15" customHeight="1" x14ac:dyDescent="0.25">
      <c r="B20" s="2"/>
      <c r="C20" s="1181" t="s">
        <v>172</v>
      </c>
      <c r="D20" s="1181"/>
      <c r="E20" s="1181"/>
      <c r="F20" s="382"/>
      <c r="G20" s="382"/>
      <c r="H20" s="382"/>
      <c r="I20" s="141">
        <f t="shared" si="1"/>
        <v>0</v>
      </c>
      <c r="J20" s="382"/>
      <c r="K20" s="141">
        <f t="shared" si="0"/>
        <v>0</v>
      </c>
      <c r="L20" s="591" t="s">
        <v>6</v>
      </c>
      <c r="M20" s="220"/>
      <c r="P20" s="1"/>
    </row>
    <row r="21" spans="2:16" ht="15" customHeight="1" x14ac:dyDescent="0.25">
      <c r="B21" s="2"/>
      <c r="C21" s="1181" t="s">
        <v>173</v>
      </c>
      <c r="D21" s="1181"/>
      <c r="E21" s="1181"/>
      <c r="F21" s="382"/>
      <c r="G21" s="382"/>
      <c r="H21" s="382"/>
      <c r="I21" s="141">
        <f t="shared" si="1"/>
        <v>0</v>
      </c>
      <c r="J21" s="382"/>
      <c r="K21" s="141">
        <f t="shared" si="0"/>
        <v>0</v>
      </c>
      <c r="L21" s="591" t="s">
        <v>6</v>
      </c>
      <c r="M21" s="220"/>
      <c r="P21" s="1"/>
    </row>
    <row r="22" spans="2:16" ht="15" customHeight="1" x14ac:dyDescent="0.25">
      <c r="B22" s="2"/>
      <c r="C22" s="100" t="s">
        <v>229</v>
      </c>
      <c r="D22" s="1356" t="s">
        <v>501</v>
      </c>
      <c r="E22" s="1357"/>
      <c r="F22" s="382"/>
      <c r="G22" s="382"/>
      <c r="H22" s="382"/>
      <c r="I22" s="141">
        <f t="shared" si="1"/>
        <v>0</v>
      </c>
      <c r="J22" s="382"/>
      <c r="K22" s="141">
        <f t="shared" si="0"/>
        <v>0</v>
      </c>
      <c r="L22" s="591" t="s">
        <v>8</v>
      </c>
      <c r="M22" s="220"/>
      <c r="P22" s="1"/>
    </row>
    <row r="23" spans="2:16" ht="15" customHeight="1" x14ac:dyDescent="0.25">
      <c r="B23" s="2"/>
      <c r="C23" s="107" t="s">
        <v>229</v>
      </c>
      <c r="D23" s="1356" t="s">
        <v>501</v>
      </c>
      <c r="E23" s="1357"/>
      <c r="F23" s="382"/>
      <c r="G23" s="382"/>
      <c r="H23" s="382"/>
      <c r="I23" s="141">
        <f t="shared" si="1"/>
        <v>0</v>
      </c>
      <c r="J23" s="382"/>
      <c r="K23" s="141">
        <f t="shared" si="0"/>
        <v>0</v>
      </c>
      <c r="L23" s="591" t="s">
        <v>8</v>
      </c>
      <c r="M23" s="220"/>
      <c r="P23" s="1"/>
    </row>
    <row r="24" spans="2:16" ht="15" customHeight="1" x14ac:dyDescent="0.25">
      <c r="B24" s="2"/>
      <c r="C24" s="1359" t="s">
        <v>502</v>
      </c>
      <c r="D24" s="1360"/>
      <c r="E24" s="1360"/>
      <c r="F24" s="387"/>
      <c r="G24" s="387"/>
      <c r="H24" s="387"/>
      <c r="I24" s="387"/>
      <c r="J24" s="387"/>
      <c r="K24" s="602"/>
      <c r="L24" s="388"/>
      <c r="M24" s="220"/>
      <c r="P24" s="1"/>
    </row>
    <row r="25" spans="2:16" ht="15" customHeight="1" x14ac:dyDescent="0.25">
      <c r="B25" s="2"/>
      <c r="C25" s="1181" t="s">
        <v>174</v>
      </c>
      <c r="D25" s="1181"/>
      <c r="E25" s="1181"/>
      <c r="F25" s="108"/>
      <c r="G25" s="382"/>
      <c r="H25" s="382"/>
      <c r="I25" s="141">
        <f t="shared" ref="I25:I30" si="2">SUM(F25:H25)</f>
        <v>0</v>
      </c>
      <c r="J25" s="382"/>
      <c r="K25" s="105">
        <f t="shared" si="0"/>
        <v>0</v>
      </c>
      <c r="L25" s="591" t="s">
        <v>6</v>
      </c>
      <c r="M25" s="220"/>
      <c r="P25" s="1"/>
    </row>
    <row r="26" spans="2:16" ht="15" customHeight="1" x14ac:dyDescent="0.25">
      <c r="B26" s="2"/>
      <c r="C26" s="1181" t="s">
        <v>175</v>
      </c>
      <c r="D26" s="1181"/>
      <c r="E26" s="1181"/>
      <c r="F26" s="108"/>
      <c r="G26" s="108"/>
      <c r="H26" s="108"/>
      <c r="I26" s="141">
        <f t="shared" si="2"/>
        <v>0</v>
      </c>
      <c r="J26" s="382"/>
      <c r="K26" s="141">
        <f t="shared" si="0"/>
        <v>0</v>
      </c>
      <c r="L26" s="591" t="s">
        <v>8</v>
      </c>
      <c r="M26" s="220"/>
      <c r="P26" s="1"/>
    </row>
    <row r="27" spans="2:16" ht="15" customHeight="1" x14ac:dyDescent="0.25">
      <c r="B27" s="2"/>
      <c r="C27" s="1181" t="s">
        <v>176</v>
      </c>
      <c r="D27" s="1181"/>
      <c r="E27" s="1181"/>
      <c r="F27" s="108"/>
      <c r="G27" s="382"/>
      <c r="H27" s="382"/>
      <c r="I27" s="141">
        <f t="shared" si="2"/>
        <v>0</v>
      </c>
      <c r="J27" s="382"/>
      <c r="K27" s="141">
        <f t="shared" si="0"/>
        <v>0</v>
      </c>
      <c r="L27" s="591" t="s">
        <v>6</v>
      </c>
      <c r="M27" s="220"/>
      <c r="P27" s="1"/>
    </row>
    <row r="28" spans="2:16" ht="15" customHeight="1" x14ac:dyDescent="0.25">
      <c r="B28" s="2"/>
      <c r="C28" s="1181" t="s">
        <v>234</v>
      </c>
      <c r="D28" s="1181"/>
      <c r="E28" s="1181"/>
      <c r="F28" s="108"/>
      <c r="G28" s="382"/>
      <c r="H28" s="382"/>
      <c r="I28" s="141">
        <f t="shared" si="2"/>
        <v>0</v>
      </c>
      <c r="J28" s="382"/>
      <c r="K28" s="141">
        <f t="shared" si="0"/>
        <v>0</v>
      </c>
      <c r="L28" s="591" t="s">
        <v>6</v>
      </c>
      <c r="M28" s="220"/>
      <c r="P28" s="1"/>
    </row>
    <row r="29" spans="2:16" ht="15" customHeight="1" x14ac:dyDescent="0.25">
      <c r="B29" s="2"/>
      <c r="C29" s="100" t="s">
        <v>229</v>
      </c>
      <c r="D29" s="1354" t="s">
        <v>501</v>
      </c>
      <c r="E29" s="1355"/>
      <c r="F29" s="108"/>
      <c r="G29" s="382"/>
      <c r="H29" s="382"/>
      <c r="I29" s="141">
        <f t="shared" si="2"/>
        <v>0</v>
      </c>
      <c r="J29" s="382"/>
      <c r="K29" s="141">
        <f t="shared" si="0"/>
        <v>0</v>
      </c>
      <c r="L29" s="591" t="s">
        <v>8</v>
      </c>
      <c r="M29" s="220"/>
      <c r="P29" s="1"/>
    </row>
    <row r="30" spans="2:16" ht="15" customHeight="1" x14ac:dyDescent="0.25">
      <c r="B30" s="2"/>
      <c r="C30" s="107" t="s">
        <v>229</v>
      </c>
      <c r="D30" s="1356" t="s">
        <v>501</v>
      </c>
      <c r="E30" s="1357"/>
      <c r="F30" s="108"/>
      <c r="G30" s="382"/>
      <c r="H30" s="382"/>
      <c r="I30" s="141">
        <f t="shared" si="2"/>
        <v>0</v>
      </c>
      <c r="J30" s="382"/>
      <c r="K30" s="141">
        <f t="shared" si="0"/>
        <v>0</v>
      </c>
      <c r="L30" s="591" t="s">
        <v>8</v>
      </c>
      <c r="M30" s="220"/>
      <c r="P30" s="1"/>
    </row>
    <row r="31" spans="2:16" ht="15" customHeight="1" x14ac:dyDescent="0.25">
      <c r="B31" s="2"/>
      <c r="C31" s="1359" t="s">
        <v>503</v>
      </c>
      <c r="D31" s="1360"/>
      <c r="E31" s="1360"/>
      <c r="F31" s="387"/>
      <c r="G31" s="387"/>
      <c r="H31" s="387"/>
      <c r="I31" s="387"/>
      <c r="J31" s="387"/>
      <c r="K31" s="602"/>
      <c r="L31" s="388"/>
      <c r="M31" s="220"/>
      <c r="P31" s="1"/>
    </row>
    <row r="32" spans="2:16" ht="15" customHeight="1" x14ac:dyDescent="0.25">
      <c r="B32" s="2"/>
      <c r="C32" s="1234" t="s">
        <v>177</v>
      </c>
      <c r="D32" s="1234"/>
      <c r="E32" s="1234"/>
      <c r="F32" s="108"/>
      <c r="G32" s="382"/>
      <c r="H32" s="382"/>
      <c r="I32" s="141">
        <f t="shared" ref="I32:I45" si="3">SUM(F32:H32)</f>
        <v>0</v>
      </c>
      <c r="J32" s="382"/>
      <c r="K32" s="105">
        <f t="shared" si="0"/>
        <v>0</v>
      </c>
      <c r="L32" s="591" t="s">
        <v>6</v>
      </c>
      <c r="M32" s="220"/>
      <c r="P32" s="1"/>
    </row>
    <row r="33" spans="2:16" ht="15" customHeight="1" x14ac:dyDescent="0.25">
      <c r="B33" s="2"/>
      <c r="C33" s="1234" t="s">
        <v>178</v>
      </c>
      <c r="D33" s="1234"/>
      <c r="E33" s="1234"/>
      <c r="F33" s="382"/>
      <c r="G33" s="382"/>
      <c r="H33" s="382"/>
      <c r="I33" s="141">
        <f t="shared" si="3"/>
        <v>0</v>
      </c>
      <c r="J33" s="382"/>
      <c r="K33" s="141">
        <f t="shared" si="0"/>
        <v>0</v>
      </c>
      <c r="L33" s="591" t="s">
        <v>6</v>
      </c>
      <c r="M33" s="220"/>
      <c r="P33" s="1"/>
    </row>
    <row r="34" spans="2:16" ht="15" customHeight="1" x14ac:dyDescent="0.25">
      <c r="B34" s="2"/>
      <c r="C34" s="1234" t="s">
        <v>179</v>
      </c>
      <c r="D34" s="1234"/>
      <c r="E34" s="1234"/>
      <c r="F34" s="382"/>
      <c r="G34" s="382"/>
      <c r="H34" s="382"/>
      <c r="I34" s="141">
        <f t="shared" si="3"/>
        <v>0</v>
      </c>
      <c r="J34" s="382"/>
      <c r="K34" s="141">
        <f t="shared" si="0"/>
        <v>0</v>
      </c>
      <c r="L34" s="591" t="s">
        <v>6</v>
      </c>
      <c r="M34" s="220"/>
      <c r="P34" s="1"/>
    </row>
    <row r="35" spans="2:16" ht="15" customHeight="1" x14ac:dyDescent="0.25">
      <c r="B35" s="2"/>
      <c r="C35" s="1234" t="s">
        <v>196</v>
      </c>
      <c r="D35" s="1234"/>
      <c r="E35" s="1234"/>
      <c r="F35" s="108"/>
      <c r="G35" s="108"/>
      <c r="H35" s="108"/>
      <c r="I35" s="141">
        <f t="shared" si="3"/>
        <v>0</v>
      </c>
      <c r="J35" s="382"/>
      <c r="K35" s="141">
        <f t="shared" si="0"/>
        <v>0</v>
      </c>
      <c r="L35" s="591" t="s">
        <v>8</v>
      </c>
      <c r="M35" s="220"/>
      <c r="P35" s="1"/>
    </row>
    <row r="36" spans="2:16" ht="15" customHeight="1" x14ac:dyDescent="0.25">
      <c r="B36" s="2"/>
      <c r="C36" s="1181" t="s">
        <v>180</v>
      </c>
      <c r="D36" s="1181"/>
      <c r="E36" s="1181"/>
      <c r="F36" s="108"/>
      <c r="G36" s="108"/>
      <c r="H36" s="382"/>
      <c r="I36" s="141">
        <f t="shared" si="3"/>
        <v>0</v>
      </c>
      <c r="J36" s="382"/>
      <c r="K36" s="141">
        <f t="shared" si="0"/>
        <v>0</v>
      </c>
      <c r="L36" s="591" t="s">
        <v>6</v>
      </c>
      <c r="M36" s="220"/>
      <c r="P36" s="1"/>
    </row>
    <row r="37" spans="2:16" ht="15" customHeight="1" x14ac:dyDescent="0.25">
      <c r="B37" s="2"/>
      <c r="C37" s="1181" t="s">
        <v>2092</v>
      </c>
      <c r="D37" s="1181"/>
      <c r="E37" s="1181"/>
      <c r="F37" s="108"/>
      <c r="G37" s="382"/>
      <c r="H37" s="108"/>
      <c r="I37" s="141">
        <f t="shared" si="3"/>
        <v>0</v>
      </c>
      <c r="J37" s="382"/>
      <c r="K37" s="141">
        <f t="shared" si="0"/>
        <v>0</v>
      </c>
      <c r="L37" s="591" t="s">
        <v>6</v>
      </c>
      <c r="M37" s="220"/>
      <c r="P37" s="1"/>
    </row>
    <row r="38" spans="2:16" ht="15" customHeight="1" x14ac:dyDescent="0.25">
      <c r="B38" s="2"/>
      <c r="C38" s="1181" t="s">
        <v>181</v>
      </c>
      <c r="D38" s="1181"/>
      <c r="E38" s="1181"/>
      <c r="F38" s="108"/>
      <c r="G38" s="108"/>
      <c r="H38" s="108"/>
      <c r="I38" s="141">
        <f t="shared" si="3"/>
        <v>0</v>
      </c>
      <c r="J38" s="382"/>
      <c r="K38" s="141">
        <f t="shared" si="0"/>
        <v>0</v>
      </c>
      <c r="L38" s="591" t="s">
        <v>6</v>
      </c>
      <c r="M38" s="220"/>
      <c r="P38" s="1"/>
    </row>
    <row r="39" spans="2:16" ht="15" customHeight="1" x14ac:dyDescent="0.25">
      <c r="B39" s="2"/>
      <c r="C39" s="1181" t="s">
        <v>2091</v>
      </c>
      <c r="D39" s="1181"/>
      <c r="E39" s="1181"/>
      <c r="F39" s="108"/>
      <c r="G39" s="108"/>
      <c r="H39" s="108"/>
      <c r="I39" s="141">
        <f t="shared" si="3"/>
        <v>0</v>
      </c>
      <c r="J39" s="382"/>
      <c r="K39" s="141">
        <f t="shared" si="0"/>
        <v>0</v>
      </c>
      <c r="L39" s="591" t="s">
        <v>6</v>
      </c>
      <c r="M39" s="220"/>
      <c r="P39" s="1"/>
    </row>
    <row r="40" spans="2:16" ht="15" customHeight="1" x14ac:dyDescent="0.25">
      <c r="B40" s="2"/>
      <c r="C40" s="1181" t="s">
        <v>182</v>
      </c>
      <c r="D40" s="1181"/>
      <c r="E40" s="1181"/>
      <c r="F40" s="108"/>
      <c r="G40" s="382"/>
      <c r="H40" s="382"/>
      <c r="I40" s="141">
        <f t="shared" si="3"/>
        <v>0</v>
      </c>
      <c r="J40" s="382"/>
      <c r="K40" s="141">
        <f t="shared" si="0"/>
        <v>0</v>
      </c>
      <c r="L40" s="591" t="s">
        <v>8</v>
      </c>
      <c r="M40" s="220"/>
      <c r="P40" s="1"/>
    </row>
    <row r="41" spans="2:16" ht="15" customHeight="1" x14ac:dyDescent="0.25">
      <c r="B41" s="2"/>
      <c r="C41" s="1181" t="s">
        <v>183</v>
      </c>
      <c r="D41" s="1181"/>
      <c r="E41" s="1181"/>
      <c r="F41" s="108"/>
      <c r="G41" s="382"/>
      <c r="H41" s="382"/>
      <c r="I41" s="141">
        <f t="shared" si="3"/>
        <v>0</v>
      </c>
      <c r="J41" s="382"/>
      <c r="K41" s="141">
        <f t="shared" si="0"/>
        <v>0</v>
      </c>
      <c r="L41" s="591" t="s">
        <v>8</v>
      </c>
      <c r="M41" s="220"/>
      <c r="P41" s="1"/>
    </row>
    <row r="42" spans="2:16" ht="15" customHeight="1" x14ac:dyDescent="0.25">
      <c r="B42" s="2"/>
      <c r="C42" s="1181" t="s">
        <v>184</v>
      </c>
      <c r="D42" s="1181"/>
      <c r="E42" s="1181"/>
      <c r="F42" s="108"/>
      <c r="G42" s="382"/>
      <c r="H42" s="382"/>
      <c r="I42" s="141">
        <f t="shared" si="3"/>
        <v>0</v>
      </c>
      <c r="J42" s="382"/>
      <c r="K42" s="141">
        <f t="shared" si="0"/>
        <v>0</v>
      </c>
      <c r="L42" s="591" t="s">
        <v>6</v>
      </c>
      <c r="M42" s="220"/>
      <c r="P42" s="1"/>
    </row>
    <row r="43" spans="2:16" ht="15" customHeight="1" x14ac:dyDescent="0.25">
      <c r="B43" s="2"/>
      <c r="C43" s="1234" t="s">
        <v>185</v>
      </c>
      <c r="D43" s="1234"/>
      <c r="E43" s="1234"/>
      <c r="F43" s="382"/>
      <c r="G43" s="382"/>
      <c r="H43" s="382"/>
      <c r="I43" s="141">
        <f t="shared" si="3"/>
        <v>0</v>
      </c>
      <c r="J43" s="382"/>
      <c r="K43" s="141">
        <f t="shared" si="0"/>
        <v>0</v>
      </c>
      <c r="L43" s="591" t="s">
        <v>6</v>
      </c>
      <c r="M43" s="220"/>
      <c r="P43" s="1"/>
    </row>
    <row r="44" spans="2:16" ht="15" customHeight="1" x14ac:dyDescent="0.25">
      <c r="B44" s="2"/>
      <c r="C44" s="100" t="s">
        <v>229</v>
      </c>
      <c r="D44" s="1356" t="s">
        <v>501</v>
      </c>
      <c r="E44" s="1357"/>
      <c r="F44" s="108"/>
      <c r="G44" s="382"/>
      <c r="H44" s="382"/>
      <c r="I44" s="141">
        <f t="shared" si="3"/>
        <v>0</v>
      </c>
      <c r="J44" s="382"/>
      <c r="K44" s="141">
        <f t="shared" si="0"/>
        <v>0</v>
      </c>
      <c r="L44" s="591" t="s">
        <v>8</v>
      </c>
      <c r="M44" s="220"/>
      <c r="P44" s="1"/>
    </row>
    <row r="45" spans="2:16" ht="15" customHeight="1" x14ac:dyDescent="0.25">
      <c r="B45" s="2"/>
      <c r="C45" s="107" t="s">
        <v>229</v>
      </c>
      <c r="D45" s="1356" t="s">
        <v>501</v>
      </c>
      <c r="E45" s="1357"/>
      <c r="F45" s="108"/>
      <c r="G45" s="382"/>
      <c r="H45" s="382"/>
      <c r="I45" s="141">
        <f t="shared" si="3"/>
        <v>0</v>
      </c>
      <c r="J45" s="382"/>
      <c r="K45" s="141">
        <f t="shared" si="0"/>
        <v>0</v>
      </c>
      <c r="L45" s="591" t="s">
        <v>8</v>
      </c>
      <c r="M45" s="220"/>
      <c r="P45" s="1"/>
    </row>
    <row r="46" spans="2:16" ht="15" customHeight="1" x14ac:dyDescent="0.25">
      <c r="B46" s="2"/>
      <c r="C46" s="1359" t="s">
        <v>504</v>
      </c>
      <c r="D46" s="1360"/>
      <c r="E46" s="1360"/>
      <c r="F46" s="387"/>
      <c r="G46" s="387"/>
      <c r="H46" s="387"/>
      <c r="I46" s="387"/>
      <c r="J46" s="387"/>
      <c r="K46" s="602"/>
      <c r="L46" s="388"/>
      <c r="M46" s="220"/>
      <c r="P46" s="1"/>
    </row>
    <row r="47" spans="2:16" ht="15" customHeight="1" x14ac:dyDescent="0.25">
      <c r="B47" s="2"/>
      <c r="C47" s="1234" t="s">
        <v>186</v>
      </c>
      <c r="D47" s="1234"/>
      <c r="E47" s="1234"/>
      <c r="F47" s="108"/>
      <c r="G47" s="382"/>
      <c r="H47" s="382"/>
      <c r="I47" s="141">
        <f t="shared" ref="I47:I55" si="4">SUM(F47:H47)</f>
        <v>0</v>
      </c>
      <c r="J47" s="382"/>
      <c r="K47" s="105">
        <f t="shared" si="0"/>
        <v>0</v>
      </c>
      <c r="L47" s="591" t="s">
        <v>6</v>
      </c>
      <c r="M47" s="220"/>
      <c r="P47" s="1"/>
    </row>
    <row r="48" spans="2:16" ht="15" customHeight="1" x14ac:dyDescent="0.25">
      <c r="B48" s="2"/>
      <c r="C48" s="1234" t="s">
        <v>187</v>
      </c>
      <c r="D48" s="1234"/>
      <c r="E48" s="1234"/>
      <c r="F48" s="108"/>
      <c r="G48" s="382"/>
      <c r="H48" s="382"/>
      <c r="I48" s="141">
        <f t="shared" si="4"/>
        <v>0</v>
      </c>
      <c r="J48" s="382"/>
      <c r="K48" s="141">
        <f t="shared" si="0"/>
        <v>0</v>
      </c>
      <c r="L48" s="591" t="s">
        <v>8</v>
      </c>
      <c r="M48" s="220"/>
      <c r="P48" s="1"/>
    </row>
    <row r="49" spans="2:16" ht="15" customHeight="1" x14ac:dyDescent="0.25">
      <c r="B49" s="2"/>
      <c r="C49" s="1234" t="s">
        <v>188</v>
      </c>
      <c r="D49" s="1234"/>
      <c r="E49" s="1234"/>
      <c r="F49" s="108"/>
      <c r="G49" s="382"/>
      <c r="H49" s="382"/>
      <c r="I49" s="141">
        <f t="shared" si="4"/>
        <v>0</v>
      </c>
      <c r="J49" s="382"/>
      <c r="K49" s="141">
        <f t="shared" si="0"/>
        <v>0</v>
      </c>
      <c r="L49" s="591" t="s">
        <v>6</v>
      </c>
      <c r="M49" s="220"/>
      <c r="P49" s="1"/>
    </row>
    <row r="50" spans="2:16" ht="15" customHeight="1" x14ac:dyDescent="0.25">
      <c r="B50" s="2"/>
      <c r="C50" s="1234" t="s">
        <v>189</v>
      </c>
      <c r="D50" s="1234"/>
      <c r="E50" s="1234"/>
      <c r="F50" s="108"/>
      <c r="G50" s="108"/>
      <c r="H50" s="108"/>
      <c r="I50" s="141">
        <f t="shared" si="4"/>
        <v>0</v>
      </c>
      <c r="J50" s="382"/>
      <c r="K50" s="141">
        <f t="shared" si="0"/>
        <v>0</v>
      </c>
      <c r="L50" s="591" t="s">
        <v>6</v>
      </c>
      <c r="M50" s="220"/>
      <c r="P50" s="1"/>
    </row>
    <row r="51" spans="2:16" ht="15" customHeight="1" x14ac:dyDescent="0.25">
      <c r="B51" s="2"/>
      <c r="C51" s="1234" t="s">
        <v>2090</v>
      </c>
      <c r="D51" s="1234"/>
      <c r="E51" s="1234"/>
      <c r="F51" s="382"/>
      <c r="G51" s="382"/>
      <c r="H51" s="382"/>
      <c r="I51" s="141">
        <f t="shared" si="4"/>
        <v>0</v>
      </c>
      <c r="J51" s="382"/>
      <c r="K51" s="141">
        <f t="shared" si="0"/>
        <v>0</v>
      </c>
      <c r="L51" s="591" t="s">
        <v>6</v>
      </c>
      <c r="M51" s="220"/>
      <c r="P51" s="1"/>
    </row>
    <row r="52" spans="2:16" ht="15" customHeight="1" x14ac:dyDescent="0.25">
      <c r="B52" s="2"/>
      <c r="C52" s="1234" t="s">
        <v>190</v>
      </c>
      <c r="D52" s="1234"/>
      <c r="E52" s="1234"/>
      <c r="F52" s="382"/>
      <c r="G52" s="382"/>
      <c r="H52" s="382"/>
      <c r="I52" s="141">
        <f t="shared" si="4"/>
        <v>0</v>
      </c>
      <c r="J52" s="382"/>
      <c r="K52" s="141">
        <f t="shared" si="0"/>
        <v>0</v>
      </c>
      <c r="L52" s="591" t="s">
        <v>6</v>
      </c>
      <c r="M52" s="220"/>
      <c r="P52" s="1"/>
    </row>
    <row r="53" spans="2:16" ht="15" customHeight="1" x14ac:dyDescent="0.25">
      <c r="B53" s="2"/>
      <c r="C53" s="1181" t="s">
        <v>191</v>
      </c>
      <c r="D53" s="1181"/>
      <c r="E53" s="1181"/>
      <c r="F53" s="108"/>
      <c r="G53" s="108"/>
      <c r="H53" s="108"/>
      <c r="I53" s="141">
        <f t="shared" si="4"/>
        <v>0</v>
      </c>
      <c r="J53" s="382"/>
      <c r="K53" s="141">
        <f t="shared" si="0"/>
        <v>0</v>
      </c>
      <c r="L53" s="591" t="s">
        <v>8</v>
      </c>
      <c r="M53" s="220"/>
      <c r="P53" s="1"/>
    </row>
    <row r="54" spans="2:16" ht="15" customHeight="1" x14ac:dyDescent="0.25">
      <c r="B54" s="2"/>
      <c r="C54" s="100" t="s">
        <v>229</v>
      </c>
      <c r="D54" s="1356" t="s">
        <v>501</v>
      </c>
      <c r="E54" s="1357"/>
      <c r="F54" s="382"/>
      <c r="G54" s="382"/>
      <c r="H54" s="382"/>
      <c r="I54" s="141">
        <f t="shared" si="4"/>
        <v>0</v>
      </c>
      <c r="J54" s="382"/>
      <c r="K54" s="141">
        <f t="shared" si="0"/>
        <v>0</v>
      </c>
      <c r="L54" s="591" t="s">
        <v>8</v>
      </c>
      <c r="M54" s="220"/>
      <c r="P54" s="1"/>
    </row>
    <row r="55" spans="2:16" ht="15" customHeight="1" x14ac:dyDescent="0.25">
      <c r="B55" s="2"/>
      <c r="C55" s="107" t="s">
        <v>229</v>
      </c>
      <c r="D55" s="1354" t="s">
        <v>501</v>
      </c>
      <c r="E55" s="1355"/>
      <c r="F55" s="382"/>
      <c r="G55" s="382"/>
      <c r="H55" s="382"/>
      <c r="I55" s="141">
        <f t="shared" si="4"/>
        <v>0</v>
      </c>
      <c r="J55" s="382"/>
      <c r="K55" s="141">
        <f t="shared" si="0"/>
        <v>0</v>
      </c>
      <c r="L55" s="591" t="s">
        <v>8</v>
      </c>
      <c r="M55" s="220"/>
      <c r="P55" s="1"/>
    </row>
    <row r="56" spans="2:16" ht="15" customHeight="1" x14ac:dyDescent="0.25">
      <c r="B56" s="2"/>
      <c r="C56" s="1359" t="s">
        <v>195</v>
      </c>
      <c r="D56" s="1360"/>
      <c r="E56" s="1360"/>
      <c r="F56" s="387"/>
      <c r="G56" s="387"/>
      <c r="H56" s="387"/>
      <c r="I56" s="387"/>
      <c r="J56" s="387"/>
      <c r="K56" s="602"/>
      <c r="L56" s="388"/>
      <c r="M56" s="220"/>
      <c r="P56" s="1"/>
    </row>
    <row r="57" spans="2:16" ht="15" customHeight="1" x14ac:dyDescent="0.25">
      <c r="B57" s="2"/>
      <c r="C57" s="1341" t="s">
        <v>192</v>
      </c>
      <c r="D57" s="1361"/>
      <c r="E57" s="1342"/>
      <c r="F57" s="382"/>
      <c r="G57" s="382"/>
      <c r="H57" s="382"/>
      <c r="I57" s="141">
        <f t="shared" ref="I57:I69" si="5">SUM(F57:H57)</f>
        <v>0</v>
      </c>
      <c r="J57" s="382"/>
      <c r="K57" s="105">
        <f t="shared" si="0"/>
        <v>0</v>
      </c>
      <c r="L57" s="591" t="s">
        <v>6</v>
      </c>
      <c r="M57" s="220"/>
      <c r="P57" s="1"/>
    </row>
    <row r="58" spans="2:16" ht="15" customHeight="1" x14ac:dyDescent="0.25">
      <c r="B58" s="2"/>
      <c r="C58" s="1341" t="s">
        <v>193</v>
      </c>
      <c r="D58" s="1361"/>
      <c r="E58" s="1342"/>
      <c r="F58" s="382"/>
      <c r="G58" s="382"/>
      <c r="H58" s="382"/>
      <c r="I58" s="141">
        <f t="shared" si="5"/>
        <v>0</v>
      </c>
      <c r="J58" s="382"/>
      <c r="K58" s="141">
        <f t="shared" si="0"/>
        <v>0</v>
      </c>
      <c r="L58" s="591" t="s">
        <v>6</v>
      </c>
      <c r="M58" s="220"/>
      <c r="P58" s="1"/>
    </row>
    <row r="59" spans="2:16" ht="15" customHeight="1" x14ac:dyDescent="0.25">
      <c r="B59" s="2"/>
      <c r="C59" s="1362" t="s">
        <v>226</v>
      </c>
      <c r="D59" s="1363"/>
      <c r="E59" s="1364"/>
      <c r="F59" s="382"/>
      <c r="G59" s="382"/>
      <c r="H59" s="382"/>
      <c r="I59" s="141">
        <f t="shared" si="5"/>
        <v>0</v>
      </c>
      <c r="J59" s="382"/>
      <c r="K59" s="141">
        <f t="shared" si="0"/>
        <v>0</v>
      </c>
      <c r="L59" s="591" t="s">
        <v>6</v>
      </c>
      <c r="M59" s="220"/>
      <c r="P59" s="1"/>
    </row>
    <row r="60" spans="2:16" ht="15" customHeight="1" x14ac:dyDescent="0.25">
      <c r="B60" s="2"/>
      <c r="C60" s="1341" t="s">
        <v>493</v>
      </c>
      <c r="D60" s="1361"/>
      <c r="E60" s="1342"/>
      <c r="F60" s="382"/>
      <c r="G60" s="382"/>
      <c r="H60" s="382"/>
      <c r="I60" s="141">
        <f t="shared" si="5"/>
        <v>0</v>
      </c>
      <c r="J60" s="382"/>
      <c r="K60" s="141">
        <f t="shared" si="0"/>
        <v>0</v>
      </c>
      <c r="L60" s="591" t="s">
        <v>6</v>
      </c>
      <c r="M60" s="220"/>
      <c r="P60" s="1"/>
    </row>
    <row r="61" spans="2:16" ht="15" customHeight="1" x14ac:dyDescent="0.25">
      <c r="B61" s="2"/>
      <c r="C61" s="1341" t="s">
        <v>335</v>
      </c>
      <c r="D61" s="1361"/>
      <c r="E61" s="1342"/>
      <c r="F61" s="382"/>
      <c r="G61" s="382"/>
      <c r="H61" s="382"/>
      <c r="I61" s="141">
        <f t="shared" si="5"/>
        <v>0</v>
      </c>
      <c r="J61" s="382"/>
      <c r="K61" s="141">
        <f t="shared" si="0"/>
        <v>0</v>
      </c>
      <c r="L61" s="591" t="s">
        <v>6</v>
      </c>
      <c r="M61" s="220"/>
      <c r="P61" s="1"/>
    </row>
    <row r="62" spans="2:16" ht="15" customHeight="1" x14ac:dyDescent="0.25">
      <c r="B62" s="2"/>
      <c r="C62" s="1341" t="s">
        <v>336</v>
      </c>
      <c r="D62" s="1361"/>
      <c r="E62" s="1342"/>
      <c r="F62" s="382"/>
      <c r="G62" s="382"/>
      <c r="H62" s="382"/>
      <c r="I62" s="141">
        <f t="shared" si="5"/>
        <v>0</v>
      </c>
      <c r="J62" s="382"/>
      <c r="K62" s="141">
        <f t="shared" si="0"/>
        <v>0</v>
      </c>
      <c r="L62" s="591" t="s">
        <v>6</v>
      </c>
      <c r="M62" s="220"/>
      <c r="P62" s="1"/>
    </row>
    <row r="63" spans="2:16" ht="15" customHeight="1" x14ac:dyDescent="0.25">
      <c r="B63" s="2"/>
      <c r="C63" s="1341" t="s">
        <v>227</v>
      </c>
      <c r="D63" s="1361"/>
      <c r="E63" s="1342"/>
      <c r="F63" s="382"/>
      <c r="G63" s="382"/>
      <c r="H63" s="382"/>
      <c r="I63" s="141">
        <f t="shared" si="5"/>
        <v>0</v>
      </c>
      <c r="J63" s="382"/>
      <c r="K63" s="141">
        <f t="shared" si="0"/>
        <v>0</v>
      </c>
      <c r="L63" s="591" t="s">
        <v>6</v>
      </c>
      <c r="M63" s="220"/>
      <c r="P63" s="1"/>
    </row>
    <row r="64" spans="2:16" ht="15" customHeight="1" x14ac:dyDescent="0.25">
      <c r="B64" s="2"/>
      <c r="C64" s="1341" t="s">
        <v>324</v>
      </c>
      <c r="D64" s="1361"/>
      <c r="E64" s="1342"/>
      <c r="F64" s="108"/>
      <c r="G64" s="108"/>
      <c r="H64" s="108"/>
      <c r="I64" s="108"/>
      <c r="J64" s="382"/>
      <c r="K64" s="141">
        <f t="shared" si="0"/>
        <v>0</v>
      </c>
      <c r="L64" s="591" t="s">
        <v>8</v>
      </c>
      <c r="M64" s="220"/>
      <c r="P64" s="1"/>
    </row>
    <row r="65" spans="2:16" ht="15" customHeight="1" x14ac:dyDescent="0.25">
      <c r="B65" s="2"/>
      <c r="C65" s="1341" t="s">
        <v>323</v>
      </c>
      <c r="D65" s="1361"/>
      <c r="E65" s="1342"/>
      <c r="F65" s="108"/>
      <c r="G65" s="108"/>
      <c r="H65" s="108"/>
      <c r="I65" s="108"/>
      <c r="J65" s="382"/>
      <c r="K65" s="141">
        <f t="shared" si="0"/>
        <v>0</v>
      </c>
      <c r="L65" s="591" t="s">
        <v>8</v>
      </c>
      <c r="M65" s="220"/>
      <c r="P65" s="1"/>
    </row>
    <row r="66" spans="2:16" ht="15" customHeight="1" x14ac:dyDescent="0.25">
      <c r="B66" s="2"/>
      <c r="C66" s="1341" t="s">
        <v>492</v>
      </c>
      <c r="D66" s="1361"/>
      <c r="E66" s="1342"/>
      <c r="F66" s="108"/>
      <c r="G66" s="108"/>
      <c r="H66" s="108"/>
      <c r="I66" s="108"/>
      <c r="J66" s="382"/>
      <c r="K66" s="141">
        <f t="shared" si="0"/>
        <v>0</v>
      </c>
      <c r="L66" s="591" t="s">
        <v>6</v>
      </c>
      <c r="M66" s="220"/>
      <c r="P66" s="1"/>
    </row>
    <row r="67" spans="2:16" ht="15" customHeight="1" x14ac:dyDescent="0.25">
      <c r="B67" s="2"/>
      <c r="C67" s="1341" t="s">
        <v>2093</v>
      </c>
      <c r="D67" s="1361"/>
      <c r="E67" s="1342"/>
      <c r="F67" s="382"/>
      <c r="G67" s="382"/>
      <c r="H67" s="382"/>
      <c r="I67" s="141">
        <f>SUM(F67:H67)</f>
        <v>0</v>
      </c>
      <c r="J67" s="382"/>
      <c r="K67" s="141">
        <f t="shared" si="0"/>
        <v>0</v>
      </c>
      <c r="L67" s="591" t="s">
        <v>8</v>
      </c>
      <c r="M67" s="220"/>
      <c r="P67" s="1"/>
    </row>
    <row r="68" spans="2:16" ht="15" customHeight="1" x14ac:dyDescent="0.25">
      <c r="B68" s="2"/>
      <c r="C68" s="100" t="s">
        <v>229</v>
      </c>
      <c r="D68" s="1356" t="s">
        <v>501</v>
      </c>
      <c r="E68" s="1357"/>
      <c r="F68" s="382"/>
      <c r="G68" s="382"/>
      <c r="H68" s="382"/>
      <c r="I68" s="141">
        <f t="shared" si="5"/>
        <v>0</v>
      </c>
      <c r="J68" s="382"/>
      <c r="K68" s="141">
        <f t="shared" si="0"/>
        <v>0</v>
      </c>
      <c r="L68" s="591" t="s">
        <v>8</v>
      </c>
      <c r="M68" s="220"/>
      <c r="P68" s="1"/>
    </row>
    <row r="69" spans="2:16" ht="15" customHeight="1" x14ac:dyDescent="0.25">
      <c r="B69" s="2"/>
      <c r="C69" s="107" t="s">
        <v>229</v>
      </c>
      <c r="D69" s="1356" t="s">
        <v>501</v>
      </c>
      <c r="E69" s="1357"/>
      <c r="F69" s="382"/>
      <c r="G69" s="382"/>
      <c r="H69" s="382"/>
      <c r="I69" s="141">
        <f t="shared" si="5"/>
        <v>0</v>
      </c>
      <c r="J69" s="382"/>
      <c r="K69" s="141">
        <f t="shared" si="0"/>
        <v>0</v>
      </c>
      <c r="L69" s="591" t="s">
        <v>8</v>
      </c>
      <c r="M69" s="220"/>
      <c r="P69" s="1"/>
    </row>
    <row r="70" spans="2:16" ht="15" customHeight="1" x14ac:dyDescent="0.25">
      <c r="B70" s="2"/>
      <c r="C70" s="1359" t="s">
        <v>505</v>
      </c>
      <c r="D70" s="1360"/>
      <c r="E70" s="1360"/>
      <c r="F70" s="387"/>
      <c r="G70" s="387"/>
      <c r="H70" s="387"/>
      <c r="I70" s="387"/>
      <c r="J70" s="387"/>
      <c r="K70" s="602"/>
      <c r="L70" s="388"/>
      <c r="M70" s="220"/>
      <c r="P70" s="1"/>
    </row>
    <row r="71" spans="2:16" ht="15" customHeight="1" x14ac:dyDescent="0.25">
      <c r="B71" s="2"/>
      <c r="C71" s="1234" t="s">
        <v>2981</v>
      </c>
      <c r="D71" s="1234"/>
      <c r="E71" s="1234"/>
      <c r="F71" s="108"/>
      <c r="G71" s="108"/>
      <c r="H71" s="108"/>
      <c r="I71" s="108"/>
      <c r="J71" s="105">
        <v>5000</v>
      </c>
      <c r="K71" s="105">
        <f t="shared" si="0"/>
        <v>5000</v>
      </c>
      <c r="L71" s="591" t="s">
        <v>8</v>
      </c>
      <c r="M71" s="220"/>
      <c r="P71" s="1"/>
    </row>
    <row r="72" spans="2:16" ht="15" customHeight="1" x14ac:dyDescent="0.25">
      <c r="B72" s="2"/>
      <c r="C72" s="1234" t="s">
        <v>2982</v>
      </c>
      <c r="D72" s="1234"/>
      <c r="E72" s="1234"/>
      <c r="F72" s="108"/>
      <c r="G72" s="108"/>
      <c r="H72" s="108"/>
      <c r="I72" s="108"/>
      <c r="J72" s="105">
        <v>3000</v>
      </c>
      <c r="K72" s="141">
        <f t="shared" si="0"/>
        <v>3000</v>
      </c>
      <c r="L72" s="591" t="s">
        <v>8</v>
      </c>
      <c r="M72" s="220"/>
      <c r="P72" s="1"/>
    </row>
    <row r="73" spans="2:16" ht="15" customHeight="1" x14ac:dyDescent="0.25">
      <c r="B73" s="2"/>
      <c r="C73" s="1234" t="s">
        <v>506</v>
      </c>
      <c r="D73" s="1234"/>
      <c r="E73" s="1234"/>
      <c r="F73" s="108"/>
      <c r="G73" s="108"/>
      <c r="H73" s="108"/>
      <c r="I73" s="108"/>
      <c r="J73" s="105">
        <f>IF(LIHTCs!F33="",0,ROUNDUP(0.06*LIHTCs!F33,0))</f>
        <v>0</v>
      </c>
      <c r="K73" s="141">
        <f t="shared" si="0"/>
        <v>0</v>
      </c>
      <c r="L73" s="591" t="s">
        <v>8</v>
      </c>
      <c r="M73" s="220"/>
      <c r="P73" s="1"/>
    </row>
    <row r="74" spans="2:16" ht="15" customHeight="1" x14ac:dyDescent="0.25">
      <c r="B74" s="2"/>
      <c r="C74" s="1168" t="s">
        <v>2016</v>
      </c>
      <c r="D74" s="1169"/>
      <c r="E74" s="1170"/>
      <c r="F74" s="108"/>
      <c r="G74" s="108"/>
      <c r="H74" s="108"/>
      <c r="I74" s="108"/>
      <c r="J74" s="382"/>
      <c r="K74" s="141">
        <f t="shared" si="0"/>
        <v>0</v>
      </c>
      <c r="L74" s="591" t="s">
        <v>8</v>
      </c>
      <c r="M74" s="220" t="s">
        <v>2095</v>
      </c>
      <c r="P74" s="1"/>
    </row>
    <row r="75" spans="2:16" ht="15" customHeight="1" x14ac:dyDescent="0.25">
      <c r="B75" s="2"/>
      <c r="C75" s="1168" t="s">
        <v>2015</v>
      </c>
      <c r="D75" s="1169"/>
      <c r="E75" s="1170"/>
      <c r="F75" s="108"/>
      <c r="G75" s="108"/>
      <c r="H75" s="108"/>
      <c r="I75" s="108"/>
      <c r="J75" s="382"/>
      <c r="K75" s="141">
        <f t="shared" si="0"/>
        <v>0</v>
      </c>
      <c r="L75" s="591" t="s">
        <v>8</v>
      </c>
      <c r="M75" s="220"/>
      <c r="P75" s="1"/>
    </row>
    <row r="76" spans="2:16" ht="15" customHeight="1" x14ac:dyDescent="0.25">
      <c r="B76" s="2"/>
      <c r="C76" s="1234" t="s">
        <v>3029</v>
      </c>
      <c r="D76" s="1234"/>
      <c r="E76" s="1234"/>
      <c r="F76" s="108"/>
      <c r="G76" s="108"/>
      <c r="H76" s="108"/>
      <c r="I76" s="108"/>
      <c r="J76" s="105">
        <f>2550*Revenue!C101</f>
        <v>0</v>
      </c>
      <c r="K76" s="141">
        <f t="shared" si="0"/>
        <v>0</v>
      </c>
      <c r="L76" s="591" t="s">
        <v>6</v>
      </c>
      <c r="M76" s="220"/>
      <c r="P76" s="1"/>
    </row>
    <row r="77" spans="2:16" ht="15" customHeight="1" x14ac:dyDescent="0.25">
      <c r="B77" s="2"/>
      <c r="C77" s="100" t="s">
        <v>229</v>
      </c>
      <c r="D77" s="1354" t="s">
        <v>501</v>
      </c>
      <c r="E77" s="1355"/>
      <c r="F77" s="108"/>
      <c r="G77" s="108"/>
      <c r="H77" s="108"/>
      <c r="I77" s="108"/>
      <c r="J77" s="382"/>
      <c r="K77" s="141">
        <f>SUM(I77:J77)</f>
        <v>0</v>
      </c>
      <c r="L77" s="591" t="s">
        <v>8</v>
      </c>
      <c r="M77" s="220"/>
      <c r="P77" s="1"/>
    </row>
    <row r="78" spans="2:16" ht="15" customHeight="1" x14ac:dyDescent="0.25">
      <c r="B78" s="2"/>
      <c r="C78" s="107" t="s">
        <v>229</v>
      </c>
      <c r="D78" s="1356" t="s">
        <v>501</v>
      </c>
      <c r="E78" s="1357"/>
      <c r="F78" s="108"/>
      <c r="G78" s="108"/>
      <c r="H78" s="108"/>
      <c r="I78" s="108"/>
      <c r="J78" s="382"/>
      <c r="K78" s="141">
        <f>SUM(I78:J78)</f>
        <v>0</v>
      </c>
      <c r="L78" s="591" t="s">
        <v>8</v>
      </c>
      <c r="M78" s="220"/>
      <c r="P78" s="1"/>
    </row>
    <row r="79" spans="2:16" ht="15" customHeight="1" x14ac:dyDescent="0.25">
      <c r="B79" s="2"/>
      <c r="C79" s="1359" t="s">
        <v>359</v>
      </c>
      <c r="D79" s="1360"/>
      <c r="E79" s="1360"/>
      <c r="F79" s="387"/>
      <c r="G79" s="387"/>
      <c r="H79" s="387"/>
      <c r="I79" s="387"/>
      <c r="J79" s="387"/>
      <c r="K79" s="602"/>
      <c r="L79" s="388"/>
      <c r="M79" s="220"/>
      <c r="P79" s="1"/>
    </row>
    <row r="80" spans="2:16" ht="15" customHeight="1" x14ac:dyDescent="0.25">
      <c r="B80" s="2"/>
      <c r="C80" s="1234" t="s">
        <v>494</v>
      </c>
      <c r="D80" s="1234"/>
      <c r="E80" s="1234"/>
      <c r="F80" s="108"/>
      <c r="G80" s="108"/>
      <c r="H80" s="108"/>
      <c r="I80" s="108"/>
      <c r="J80" s="382"/>
      <c r="K80" s="105">
        <f>SUM(I80:J80)</f>
        <v>0</v>
      </c>
      <c r="L80" s="591" t="s">
        <v>6</v>
      </c>
      <c r="M80" s="220"/>
      <c r="P80" s="1"/>
    </row>
    <row r="81" spans="2:18" ht="15" customHeight="1" x14ac:dyDescent="0.25">
      <c r="B81" s="2"/>
      <c r="C81" s="1234" t="s">
        <v>495</v>
      </c>
      <c r="D81" s="1234"/>
      <c r="E81" s="1234"/>
      <c r="F81" s="108"/>
      <c r="G81" s="108"/>
      <c r="H81" s="108"/>
      <c r="I81" s="108"/>
      <c r="J81" s="382"/>
      <c r="K81" s="141">
        <f>SUM(I81:J81)</f>
        <v>0</v>
      </c>
      <c r="L81" s="591" t="s">
        <v>8</v>
      </c>
      <c r="M81" s="220"/>
      <c r="P81" s="1"/>
    </row>
    <row r="82" spans="2:18" ht="15" customHeight="1" x14ac:dyDescent="0.25">
      <c r="B82" s="2"/>
      <c r="C82" s="100" t="s">
        <v>229</v>
      </c>
      <c r="D82" s="1354" t="s">
        <v>501</v>
      </c>
      <c r="E82" s="1355"/>
      <c r="F82" s="108"/>
      <c r="G82" s="108"/>
      <c r="H82" s="108"/>
      <c r="I82" s="108"/>
      <c r="J82" s="382"/>
      <c r="K82" s="141">
        <f>SUM(I82:J82)</f>
        <v>0</v>
      </c>
      <c r="L82" s="591" t="s">
        <v>8</v>
      </c>
      <c r="M82" s="220"/>
      <c r="P82" s="1"/>
    </row>
    <row r="83" spans="2:18" ht="15" customHeight="1" thickBot="1" x14ac:dyDescent="0.3">
      <c r="B83" s="2"/>
      <c r="C83" s="107" t="s">
        <v>229</v>
      </c>
      <c r="D83" s="1356" t="s">
        <v>501</v>
      </c>
      <c r="E83" s="1357"/>
      <c r="F83" s="143"/>
      <c r="G83" s="143"/>
      <c r="H83" s="143"/>
      <c r="I83" s="143"/>
      <c r="J83" s="383"/>
      <c r="K83" s="144">
        <f>SUM(I83:J83)</f>
        <v>0</v>
      </c>
      <c r="L83" s="604" t="s">
        <v>8</v>
      </c>
      <c r="M83" s="220"/>
      <c r="P83" s="1"/>
    </row>
    <row r="84" spans="2:18" ht="15" customHeight="1" thickTop="1" x14ac:dyDescent="0.25">
      <c r="B84" s="2"/>
      <c r="C84" s="1358" t="s">
        <v>325</v>
      </c>
      <c r="D84" s="1358"/>
      <c r="E84" s="1358"/>
      <c r="F84" s="142">
        <f t="shared" ref="F84:K84" si="6">SUM(F9:F83)</f>
        <v>0</v>
      </c>
      <c r="G84" s="142">
        <f t="shared" si="6"/>
        <v>0</v>
      </c>
      <c r="H84" s="142">
        <f t="shared" si="6"/>
        <v>0</v>
      </c>
      <c r="I84" s="142">
        <f t="shared" si="6"/>
        <v>0</v>
      </c>
      <c r="J84" s="142">
        <f>SUM(J9:J83)</f>
        <v>8000</v>
      </c>
      <c r="K84" s="142">
        <f t="shared" si="6"/>
        <v>8000</v>
      </c>
      <c r="L84" s="142">
        <f>SUMIF(L9:L83,"Yes",K9:K83)</f>
        <v>0</v>
      </c>
      <c r="M84" s="220"/>
      <c r="P84" s="1"/>
    </row>
    <row r="85" spans="2:18" ht="15" customHeight="1" x14ac:dyDescent="0.2">
      <c r="H85" s="204"/>
    </row>
    <row r="86" spans="2:18" ht="15" hidden="1" x14ac:dyDescent="0.25">
      <c r="G86" s="205"/>
      <c r="H86" s="205"/>
      <c r="I86" s="520"/>
      <c r="J86" s="87"/>
      <c r="K86" s="520"/>
      <c r="L86" s="87"/>
      <c r="M86" s="221"/>
      <c r="N86" s="221"/>
      <c r="O86" s="221"/>
      <c r="P86" s="221"/>
      <c r="Q86" s="87"/>
      <c r="R86" s="87"/>
    </row>
    <row r="87" spans="2:18" hidden="1" x14ac:dyDescent="0.2">
      <c r="D87" s="14"/>
      <c r="E87" s="14"/>
      <c r="F87" s="14"/>
      <c r="G87" s="14"/>
      <c r="H87" s="14"/>
      <c r="I87" s="14"/>
      <c r="J87" s="14"/>
      <c r="K87" s="14"/>
    </row>
  </sheetData>
  <sheetProtection algorithmName="SHA-512" hashValue="VSKRG6Kx74tJ7QapMbCzk6BnnPeFRtwSFDpq/AOScTtuoI0bhyoLypUNzo2Iou/2GW5+yD9bsNzuk3MWDCZMzw==" saltValue="x+684SJqBurW+UjOUIxEBg==" spinCount="100000" sheet="1" objects="1" scenarios="1"/>
  <mergeCells count="83">
    <mergeCell ref="F6:I6"/>
    <mergeCell ref="B2:F2"/>
    <mergeCell ref="B3:F3"/>
    <mergeCell ref="I2:L2"/>
    <mergeCell ref="I3:L3"/>
    <mergeCell ref="C18:E18"/>
    <mergeCell ref="C7:E7"/>
    <mergeCell ref="C8:E8"/>
    <mergeCell ref="C9:E9"/>
    <mergeCell ref="C10:E10"/>
    <mergeCell ref="C11:E11"/>
    <mergeCell ref="D12:E12"/>
    <mergeCell ref="D13:E13"/>
    <mergeCell ref="C14:E14"/>
    <mergeCell ref="C15:E15"/>
    <mergeCell ref="C16:E16"/>
    <mergeCell ref="C17:E17"/>
    <mergeCell ref="D30:E30"/>
    <mergeCell ref="C19:E19"/>
    <mergeCell ref="C20:E20"/>
    <mergeCell ref="C21:E21"/>
    <mergeCell ref="D22:E22"/>
    <mergeCell ref="D23:E23"/>
    <mergeCell ref="C24:E24"/>
    <mergeCell ref="C25:E25"/>
    <mergeCell ref="C26:E26"/>
    <mergeCell ref="C27:E27"/>
    <mergeCell ref="C28:E28"/>
    <mergeCell ref="D29:E29"/>
    <mergeCell ref="C42:E42"/>
    <mergeCell ref="C31:E31"/>
    <mergeCell ref="C32:E32"/>
    <mergeCell ref="C33:E33"/>
    <mergeCell ref="C34:E34"/>
    <mergeCell ref="C35:E35"/>
    <mergeCell ref="C36:E36"/>
    <mergeCell ref="C37:E37"/>
    <mergeCell ref="C38:E38"/>
    <mergeCell ref="C39:E39"/>
    <mergeCell ref="C40:E40"/>
    <mergeCell ref="C41:E41"/>
    <mergeCell ref="D54:E54"/>
    <mergeCell ref="C43:E43"/>
    <mergeCell ref="D44:E44"/>
    <mergeCell ref="D45:E45"/>
    <mergeCell ref="C46:E46"/>
    <mergeCell ref="C47:E47"/>
    <mergeCell ref="C48:E48"/>
    <mergeCell ref="C49:E49"/>
    <mergeCell ref="C50:E50"/>
    <mergeCell ref="C51:E51"/>
    <mergeCell ref="C52:E52"/>
    <mergeCell ref="C53:E53"/>
    <mergeCell ref="C66:E66"/>
    <mergeCell ref="D55:E55"/>
    <mergeCell ref="C56:E56"/>
    <mergeCell ref="C57:E57"/>
    <mergeCell ref="C58:E58"/>
    <mergeCell ref="C59:E59"/>
    <mergeCell ref="C60:E60"/>
    <mergeCell ref="C61:E61"/>
    <mergeCell ref="C62:E62"/>
    <mergeCell ref="C63:E63"/>
    <mergeCell ref="C64:E64"/>
    <mergeCell ref="C65:E65"/>
    <mergeCell ref="C79:E79"/>
    <mergeCell ref="C67:E67"/>
    <mergeCell ref="D68:E68"/>
    <mergeCell ref="D69:E69"/>
    <mergeCell ref="C70:E70"/>
    <mergeCell ref="C71:E71"/>
    <mergeCell ref="C73:E73"/>
    <mergeCell ref="C74:E74"/>
    <mergeCell ref="C75:E75"/>
    <mergeCell ref="C76:E76"/>
    <mergeCell ref="D77:E77"/>
    <mergeCell ref="D78:E78"/>
    <mergeCell ref="C72:E72"/>
    <mergeCell ref="C80:E80"/>
    <mergeCell ref="C81:E81"/>
    <mergeCell ref="D82:E82"/>
    <mergeCell ref="D83:E83"/>
    <mergeCell ref="C84:E84"/>
  </mergeCells>
  <dataValidations count="3">
    <dataValidation allowBlank="1" showErrorMessage="1" error="A whole number must be entered." prompt="Enter whole numbers only." sqref="F79:I79 F14:I14 F24:I24 F31:I31 F46:I46 F56:I56 F70:I70 F7:H8 I8" xr:uid="{F99E625C-D5BA-46F6-A3BC-4256A77512F1}"/>
    <dataValidation type="whole" allowBlank="1" showErrorMessage="1" error="A whole number must be entered." prompt="Enter whole numbers only." sqref="F25:J30 G85:I85 G86 G80:J84 F15:J23 F9:J13 F32:J45 F71:J78 F80:F85 F47:J55 F57:J69" xr:uid="{6046DA26-4578-4382-ABFF-7E269DFB46F6}">
      <formula1>0</formula1>
      <formula2>9.99999999999999E+44</formula2>
    </dataValidation>
    <dataValidation type="list" allowBlank="1" showInputMessage="1" showErrorMessage="1" sqref="L9:L13 L80:L83 L25:L30 L15:L23 L32:L45 L47:L55 L57:L69 L71:L78" xr:uid="{25F4CC35-9FAA-4449-A373-A4417BDEBAF9}">
      <formula1>"Yes, No"</formula1>
    </dataValidation>
  </dataValidations>
  <pageMargins left="0.7" right="0.7" top="0.75" bottom="0.75" header="0.3" footer="0.3"/>
  <pageSetup scale="51" orientation="portrait" r:id="rId1"/>
  <headerFooter>
    <oddFooter>&amp;L&amp;"-,Bold"&amp;9Uses of Funds Tab&amp;"-,Regular"
Affordable Housing Funding Application&amp;C&amp;9Ohio Housing Finance Agency&amp;R&amp;9Page &amp;P of &amp;N</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3A61-EB65-48C3-96EE-1196C3A5B668}">
  <sheetPr>
    <pageSetUpPr autoPageBreaks="0" fitToPage="1"/>
  </sheetPr>
  <dimension ref="A1:AI90"/>
  <sheetViews>
    <sheetView showGridLines="0" zoomScale="85" zoomScaleNormal="85" workbookViewId="0">
      <pane ySplit="9" topLeftCell="A10" activePane="bottomLeft" state="frozen"/>
      <selection activeCell="C1" sqref="C1"/>
      <selection pane="bottomLeft"/>
    </sheetView>
  </sheetViews>
  <sheetFormatPr defaultColWidth="0" defaultRowHeight="14.25" zeroHeight="1" x14ac:dyDescent="0.2"/>
  <cols>
    <col min="1" max="1" width="2.625" style="1" customWidth="1"/>
    <col min="2" max="2" width="0.625" style="1" customWidth="1"/>
    <col min="3" max="5" width="13.625" style="1" customWidth="1"/>
    <col min="6" max="27" width="15.625" style="1" customWidth="1"/>
    <col min="28" max="28" width="14.625" style="1" customWidth="1"/>
    <col min="29" max="29" width="13.625" style="1" customWidth="1"/>
    <col min="30" max="31" width="13.625" style="1" hidden="1" customWidth="1"/>
    <col min="32" max="32" width="14" style="1" hidden="1" customWidth="1"/>
    <col min="33" max="33" width="18.125" style="1" hidden="1" customWidth="1"/>
    <col min="34" max="34" width="12.125" style="1" hidden="1" customWidth="1"/>
    <col min="35" max="35" width="27" style="1" hidden="1" customWidth="1"/>
    <col min="36" max="16384" width="8.875" style="1" hidden="1"/>
  </cols>
  <sheetData>
    <row r="1" spans="1:29" ht="55.5" customHeight="1" x14ac:dyDescent="0.25">
      <c r="B1" s="8"/>
    </row>
    <row r="2" spans="1:29" s="3" customFormat="1" ht="25.5" customHeight="1" x14ac:dyDescent="0.2">
      <c r="A2" s="16"/>
      <c r="B2" s="1211" t="s">
        <v>712</v>
      </c>
      <c r="C2" s="1212"/>
      <c r="D2" s="1212"/>
      <c r="E2" s="1212"/>
      <c r="F2" s="1212"/>
      <c r="G2" s="1212"/>
      <c r="H2" s="529"/>
      <c r="I2" s="27"/>
      <c r="J2" s="27"/>
      <c r="K2" s="95"/>
      <c r="L2" s="95"/>
      <c r="M2" s="95"/>
      <c r="N2" s="95"/>
      <c r="O2" s="95"/>
      <c r="P2" s="95"/>
      <c r="Q2" s="95"/>
      <c r="R2" s="95"/>
      <c r="S2" s="95"/>
      <c r="T2" s="95"/>
      <c r="U2" s="95"/>
      <c r="V2" s="27"/>
      <c r="W2" s="1217" t="str">
        <f>CONCATENATE(IF(Instructions!$K$2="","",Instructions!$K$2)," ",IF(Details!$E$11="","",Details!$E$11))</f>
        <v>2026 9% LIHTC AHFA Proposal Application</v>
      </c>
      <c r="X2" s="1217"/>
      <c r="Y2" s="1217"/>
      <c r="Z2" s="1217"/>
      <c r="AA2" s="1217"/>
      <c r="AB2" s="1218"/>
      <c r="AC2" s="16"/>
    </row>
    <row r="3" spans="1:29" ht="20.25" customHeight="1" x14ac:dyDescent="0.2">
      <c r="A3"/>
      <c r="B3" s="1378" t="s">
        <v>437</v>
      </c>
      <c r="C3" s="1379"/>
      <c r="D3" s="1379"/>
      <c r="E3" s="1379"/>
      <c r="F3" s="1379"/>
      <c r="G3" s="1379"/>
      <c r="H3" s="530"/>
      <c r="I3" s="302"/>
      <c r="J3" s="302"/>
      <c r="K3" s="302"/>
      <c r="L3" s="1377"/>
      <c r="M3" s="1377"/>
      <c r="N3" s="303"/>
      <c r="O3" s="303"/>
      <c r="P3" s="303"/>
      <c r="Q3" s="303"/>
      <c r="R3" s="303"/>
      <c r="S3" s="303"/>
      <c r="T3" s="303"/>
      <c r="U3" s="303"/>
      <c r="V3" s="302"/>
      <c r="W3" s="304"/>
      <c r="X3" s="304"/>
      <c r="Y3" s="304"/>
      <c r="Z3" s="1375" t="str">
        <f>IF(Details!$E$12="","",CONCATENATE("Project Name: ",Details!$E$12))</f>
        <v/>
      </c>
      <c r="AA3" s="1375"/>
      <c r="AB3" s="1376"/>
      <c r="AC3"/>
    </row>
    <row r="4" spans="1:29" ht="5.25" customHeight="1" x14ac:dyDescent="0.2">
      <c r="A4"/>
      <c r="B4"/>
      <c r="C4"/>
    </row>
    <row r="5" spans="1:29" ht="15" customHeight="1" x14ac:dyDescent="0.2"/>
    <row r="6" spans="1:29" ht="15" customHeight="1" x14ac:dyDescent="0.2">
      <c r="B6" s="1281" t="s">
        <v>711</v>
      </c>
      <c r="C6" s="1281"/>
      <c r="D6" s="1281"/>
      <c r="E6" s="1281"/>
      <c r="F6" s="1281"/>
      <c r="G6" s="1281"/>
      <c r="H6" s="1281"/>
      <c r="I6" s="1281"/>
      <c r="J6" s="1281"/>
      <c r="K6" s="1281"/>
      <c r="L6" s="1281"/>
      <c r="M6" s="1281"/>
      <c r="N6" s="1281"/>
      <c r="O6" s="147"/>
      <c r="P6" s="147"/>
      <c r="Q6" s="147"/>
      <c r="R6" s="147"/>
    </row>
    <row r="7" spans="1:29" ht="3" customHeight="1" x14ac:dyDescent="0.2">
      <c r="B7" s="1133"/>
      <c r="C7" s="1133"/>
      <c r="D7" s="1133"/>
      <c r="E7" s="1133"/>
      <c r="F7" s="1133"/>
      <c r="G7" s="1133"/>
      <c r="H7" s="1133"/>
      <c r="I7" s="1133"/>
      <c r="J7" s="1133"/>
      <c r="K7" s="1133"/>
      <c r="L7" s="1133"/>
      <c r="M7" s="1133"/>
      <c r="N7" s="1133"/>
      <c r="O7" s="1133"/>
      <c r="P7" s="1133"/>
      <c r="Q7" s="1133"/>
      <c r="R7" s="1133"/>
      <c r="S7" s="1133"/>
      <c r="T7" s="1133"/>
      <c r="U7" s="1133"/>
      <c r="V7" s="1133"/>
      <c r="W7" s="1133"/>
      <c r="X7" s="1133"/>
      <c r="Y7" s="1133"/>
      <c r="Z7" s="1133"/>
      <c r="AA7" s="1133"/>
      <c r="AB7" s="1133"/>
    </row>
    <row r="8" spans="1:29" ht="5.25" customHeight="1" x14ac:dyDescent="0.25">
      <c r="T8" s="87"/>
      <c r="U8" s="87"/>
      <c r="V8" s="87"/>
      <c r="W8" s="87"/>
      <c r="X8" s="87"/>
      <c r="Y8" s="87"/>
      <c r="Z8" s="87"/>
    </row>
    <row r="9" spans="1:29" ht="45" customHeight="1" x14ac:dyDescent="0.2">
      <c r="C9" s="1138" t="s">
        <v>500</v>
      </c>
      <c r="D9" s="1265"/>
      <c r="E9" s="1139"/>
      <c r="F9" s="1009" t="s">
        <v>2097</v>
      </c>
      <c r="G9" s="1004" t="str">
        <f>IF(Sources!$C36="","",Sources!$C36)</f>
        <v>Federal LIHTC Equity</v>
      </c>
      <c r="H9" s="1004" t="str">
        <f>IF(Sources!$C37="","",Sources!$C37)</f>
        <v>Ohio LIHTC Equity</v>
      </c>
      <c r="I9" s="1004" t="str">
        <f>IF(Sources!$C38="","",Sources!$C38)</f>
        <v>Permanent First Mortgage</v>
      </c>
      <c r="J9" s="1004" t="str">
        <f>IF(Sources!$C39="","",Sources!$C39)</f>
        <v>Permanent Second Mortgage</v>
      </c>
      <c r="K9" s="1004" t="str">
        <f>IF(Sources!$C40="","",Sources!$C40)</f>
        <v>Fed. Historic Tax Credit Equity</v>
      </c>
      <c r="L9" s="1004" t="str">
        <f>IF(Sources!$C41="","",Sources!$C41)</f>
        <v>Deferred Developer Fee</v>
      </c>
      <c r="M9" s="1004" t="str">
        <f>IF(Sources!$C42="","",Sources!$C42)</f>
        <v>Sponsor Loan</v>
      </c>
      <c r="N9" s="1004" t="str">
        <f>IF(Sources!$C43="","",Sources!$C43)</f>
        <v>GP/MM Capital Contribution</v>
      </c>
      <c r="O9" s="1004" t="str">
        <f>IF(Sources!$C44="","",Sources!$C44)</f>
        <v>HDAP: OHTF</v>
      </c>
      <c r="P9" s="1004" t="str">
        <f>IF(Sources!$C45="","",Sources!$C45)</f>
        <v>HDAP: HOME</v>
      </c>
      <c r="Q9" s="1004" t="str">
        <f>IF(Sources!$C46="","",Sources!$C46)</f>
        <v>HDAP: NHTF</v>
      </c>
      <c r="R9" s="1004" t="str">
        <f>IF(Sources!$C47="","",Sources!$C47)</f>
        <v>HDAP: Other</v>
      </c>
      <c r="S9" s="1004" t="str">
        <f>IF(Sources!$C48="","",Sources!$C48)</f>
        <v>[Specify Here]</v>
      </c>
      <c r="T9" s="1004" t="str">
        <f>IF(Sources!$C49="","",Sources!$C49)</f>
        <v>[Specify Here]</v>
      </c>
      <c r="U9" s="1004" t="str">
        <f>IF(Sources!$C50="","",Sources!$C50)</f>
        <v>[Specify Here]</v>
      </c>
      <c r="V9" s="1004" t="str">
        <f>IF(Sources!$C51="","",Sources!$C51)</f>
        <v>[Specify Here]</v>
      </c>
      <c r="W9" s="1004" t="str">
        <f>IF(Sources!$C52="","",Sources!$C52)</f>
        <v>[Specify Here]</v>
      </c>
      <c r="X9" s="1004" t="str">
        <f>IF(Sources!$C53="","",Sources!$C53)</f>
        <v>[Specify Here]</v>
      </c>
      <c r="Y9" s="1004" t="str">
        <f>IF(Sources!$C54="","",Sources!$C54)</f>
        <v>[Specify Here]</v>
      </c>
      <c r="Z9" s="1010" t="str">
        <f>IF(Sources!$C55="","",Sources!$C55)</f>
        <v>[Specify Here]</v>
      </c>
      <c r="AA9" s="1011" t="s">
        <v>360</v>
      </c>
      <c r="AB9" s="1012" t="s">
        <v>2166</v>
      </c>
    </row>
    <row r="10" spans="1:29" ht="15" customHeight="1" x14ac:dyDescent="0.2">
      <c r="C10" s="1380"/>
      <c r="D10" s="1381"/>
      <c r="E10" s="1382"/>
      <c r="F10" s="540"/>
      <c r="G10" s="389">
        <f>Sources!G36</f>
        <v>0</v>
      </c>
      <c r="H10" s="389">
        <f>Sources!G37</f>
        <v>0</v>
      </c>
      <c r="I10" s="389">
        <f>Sources!G38</f>
        <v>0</v>
      </c>
      <c r="J10" s="389">
        <f>Sources!G39</f>
        <v>0</v>
      </c>
      <c r="K10" s="389">
        <f>Sources!G40</f>
        <v>0</v>
      </c>
      <c r="L10" s="389">
        <f>Sources!G41</f>
        <v>0</v>
      </c>
      <c r="M10" s="389">
        <f>Sources!G42</f>
        <v>0</v>
      </c>
      <c r="N10" s="389">
        <f>Sources!G43</f>
        <v>0</v>
      </c>
      <c r="O10" s="389">
        <f>Sources!G44</f>
        <v>0</v>
      </c>
      <c r="P10" s="389">
        <f>Sources!G45</f>
        <v>0</v>
      </c>
      <c r="Q10" s="389">
        <f>Sources!G46</f>
        <v>0</v>
      </c>
      <c r="R10" s="389">
        <f>Sources!G47</f>
        <v>0</v>
      </c>
      <c r="S10" s="389">
        <f>Sources!G48</f>
        <v>0</v>
      </c>
      <c r="T10" s="389">
        <f>Sources!G49</f>
        <v>0</v>
      </c>
      <c r="U10" s="389">
        <f>Sources!G50</f>
        <v>0</v>
      </c>
      <c r="V10" s="389">
        <f>Sources!G51</f>
        <v>0</v>
      </c>
      <c r="W10" s="389">
        <f>Sources!G52</f>
        <v>0</v>
      </c>
      <c r="X10" s="389">
        <f>Sources!G53</f>
        <v>0</v>
      </c>
      <c r="Y10" s="389">
        <f>Sources!G54</f>
        <v>0</v>
      </c>
      <c r="Z10" s="390">
        <f>Sources!G55</f>
        <v>0</v>
      </c>
      <c r="AA10" s="391">
        <f>SUM(G10:Z10)</f>
        <v>0</v>
      </c>
      <c r="AB10" s="337"/>
    </row>
    <row r="11" spans="1:29" ht="14.25" customHeight="1" x14ac:dyDescent="0.2">
      <c r="C11" s="1359" t="s">
        <v>498</v>
      </c>
      <c r="D11" s="1360"/>
      <c r="E11" s="1360"/>
      <c r="F11" s="392"/>
      <c r="G11" s="387"/>
      <c r="H11" s="387"/>
      <c r="I11" s="387"/>
      <c r="J11" s="387"/>
      <c r="K11" s="387"/>
      <c r="L11" s="387"/>
      <c r="M11" s="387"/>
      <c r="N11" s="387"/>
      <c r="O11" s="387"/>
      <c r="P11" s="387"/>
      <c r="Q11" s="387"/>
      <c r="R11" s="387"/>
      <c r="S11" s="387"/>
      <c r="T11" s="387"/>
      <c r="U11" s="387"/>
      <c r="V11" s="387"/>
      <c r="W11" s="387"/>
      <c r="X11" s="387"/>
      <c r="Y11" s="387"/>
      <c r="Z11" s="393"/>
      <c r="AA11" s="387"/>
      <c r="AB11" s="394"/>
    </row>
    <row r="12" spans="1:29" ht="15" x14ac:dyDescent="0.2">
      <c r="C12" s="1259" t="s">
        <v>496</v>
      </c>
      <c r="D12" s="1260"/>
      <c r="E12" s="1260"/>
      <c r="F12" s="79" t="str">
        <f>IF(Uses!K9=0,"",Uses!K9)</f>
        <v/>
      </c>
      <c r="G12" s="382"/>
      <c r="H12" s="382"/>
      <c r="I12" s="382"/>
      <c r="J12" s="382"/>
      <c r="K12" s="386"/>
      <c r="L12" s="386"/>
      <c r="M12" s="386"/>
      <c r="N12" s="386"/>
      <c r="O12" s="386"/>
      <c r="P12" s="386"/>
      <c r="Q12" s="386"/>
      <c r="R12" s="386"/>
      <c r="S12" s="386"/>
      <c r="T12" s="386"/>
      <c r="U12" s="386"/>
      <c r="V12" s="386"/>
      <c r="W12" s="401"/>
      <c r="X12" s="401"/>
      <c r="Y12" s="401"/>
      <c r="Z12" s="402"/>
      <c r="AA12" s="222">
        <f>SUM(G12:Z12)</f>
        <v>0</v>
      </c>
      <c r="AB12" s="222" t="str">
        <f>IF(F12="","",F12-AA12)</f>
        <v/>
      </c>
    </row>
    <row r="13" spans="1:29" ht="15" x14ac:dyDescent="0.2">
      <c r="C13" s="1259" t="s">
        <v>497</v>
      </c>
      <c r="D13" s="1260"/>
      <c r="E13" s="1260"/>
      <c r="F13" s="79" t="str">
        <f>IF(Uses!K10=0,"",Uses!K10)</f>
        <v/>
      </c>
      <c r="G13" s="382"/>
      <c r="H13" s="382"/>
      <c r="I13" s="382"/>
      <c r="J13" s="382"/>
      <c r="K13" s="382"/>
      <c r="L13" s="386"/>
      <c r="M13" s="386"/>
      <c r="N13" s="386"/>
      <c r="O13" s="386"/>
      <c r="P13" s="386"/>
      <c r="Q13" s="386"/>
      <c r="R13" s="386"/>
      <c r="S13" s="386"/>
      <c r="T13" s="386"/>
      <c r="U13" s="386"/>
      <c r="V13" s="386"/>
      <c r="W13" s="401"/>
      <c r="X13" s="401"/>
      <c r="Y13" s="401"/>
      <c r="Z13" s="402"/>
      <c r="AA13" s="222">
        <f>SUM(G13:Z13)</f>
        <v>0</v>
      </c>
      <c r="AB13" s="222" t="str">
        <f t="shared" ref="AB13:AB77" si="0">IF(F13="","",F13-AA13)</f>
        <v/>
      </c>
    </row>
    <row r="14" spans="1:29" ht="15" x14ac:dyDescent="0.2">
      <c r="C14" s="1259" t="s">
        <v>166</v>
      </c>
      <c r="D14" s="1260"/>
      <c r="E14" s="1260"/>
      <c r="F14" s="79" t="str">
        <f>IF(Uses!K11=0,"",Uses!K11)</f>
        <v/>
      </c>
      <c r="G14" s="382"/>
      <c r="H14" s="382"/>
      <c r="I14" s="382"/>
      <c r="J14" s="382"/>
      <c r="K14" s="382"/>
      <c r="L14" s="386"/>
      <c r="M14" s="386"/>
      <c r="N14" s="386"/>
      <c r="O14" s="386"/>
      <c r="P14" s="386"/>
      <c r="Q14" s="386"/>
      <c r="R14" s="386"/>
      <c r="S14" s="386"/>
      <c r="T14" s="386"/>
      <c r="U14" s="386"/>
      <c r="V14" s="386"/>
      <c r="W14" s="401"/>
      <c r="X14" s="401"/>
      <c r="Y14" s="401"/>
      <c r="Z14" s="402"/>
      <c r="AA14" s="222">
        <f>SUM(G14:Z14)</f>
        <v>0</v>
      </c>
      <c r="AB14" s="222" t="str">
        <f t="shared" si="0"/>
        <v/>
      </c>
    </row>
    <row r="15" spans="1:29" ht="15" x14ac:dyDescent="0.2">
      <c r="C15" s="232" t="s">
        <v>229</v>
      </c>
      <c r="D15" s="1368" t="str">
        <f>IF(Uses!D12="[Specify Here]","",Uses!D12)</f>
        <v/>
      </c>
      <c r="E15" s="1368"/>
      <c r="F15" s="79" t="str">
        <f>IF(Uses!K12=0,"",Uses!K12)</f>
        <v/>
      </c>
      <c r="G15" s="382"/>
      <c r="H15" s="382"/>
      <c r="I15" s="382"/>
      <c r="J15" s="382"/>
      <c r="K15" s="382"/>
      <c r="L15" s="386"/>
      <c r="M15" s="386"/>
      <c r="N15" s="386"/>
      <c r="O15" s="386"/>
      <c r="P15" s="386"/>
      <c r="Q15" s="386"/>
      <c r="R15" s="386"/>
      <c r="S15" s="386"/>
      <c r="T15" s="386"/>
      <c r="U15" s="386"/>
      <c r="V15" s="386"/>
      <c r="W15" s="401"/>
      <c r="X15" s="401"/>
      <c r="Y15" s="401"/>
      <c r="Z15" s="402"/>
      <c r="AA15" s="222">
        <f>SUM(G15:Z15)</f>
        <v>0</v>
      </c>
      <c r="AB15" s="222" t="str">
        <f t="shared" si="0"/>
        <v/>
      </c>
    </row>
    <row r="16" spans="1:29" ht="15" x14ac:dyDescent="0.2">
      <c r="C16" s="305" t="s">
        <v>229</v>
      </c>
      <c r="D16" s="1368" t="str">
        <f>IF(Uses!D13="[Specify Here]","",Uses!D13)</f>
        <v/>
      </c>
      <c r="E16" s="1368"/>
      <c r="F16" s="79" t="str">
        <f>IF(Uses!K13=0,"",Uses!K13)</f>
        <v/>
      </c>
      <c r="G16" s="382"/>
      <c r="H16" s="382"/>
      <c r="I16" s="382"/>
      <c r="J16" s="382"/>
      <c r="K16" s="382"/>
      <c r="L16" s="386"/>
      <c r="M16" s="386"/>
      <c r="N16" s="386"/>
      <c r="O16" s="386"/>
      <c r="P16" s="386"/>
      <c r="Q16" s="386"/>
      <c r="R16" s="386"/>
      <c r="S16" s="386"/>
      <c r="T16" s="386"/>
      <c r="U16" s="386"/>
      <c r="V16" s="386"/>
      <c r="W16" s="401"/>
      <c r="X16" s="401"/>
      <c r="Y16" s="401"/>
      <c r="Z16" s="402"/>
      <c r="AA16" s="222">
        <f>SUM(G16:Z16)</f>
        <v>0</v>
      </c>
      <c r="AB16" s="222" t="str">
        <f t="shared" si="0"/>
        <v/>
      </c>
    </row>
    <row r="17" spans="3:28" ht="14.25" customHeight="1" x14ac:dyDescent="0.2">
      <c r="C17" s="1359" t="s">
        <v>499</v>
      </c>
      <c r="D17" s="1360"/>
      <c r="E17" s="1360"/>
      <c r="F17" s="395"/>
      <c r="G17" s="395"/>
      <c r="H17" s="395"/>
      <c r="I17" s="395"/>
      <c r="J17" s="395"/>
      <c r="K17" s="395"/>
      <c r="L17" s="395"/>
      <c r="M17" s="395"/>
      <c r="N17" s="395"/>
      <c r="O17" s="395"/>
      <c r="P17" s="395"/>
      <c r="Q17" s="395"/>
      <c r="R17" s="395"/>
      <c r="S17" s="395"/>
      <c r="T17" s="395"/>
      <c r="U17" s="395"/>
      <c r="V17" s="395"/>
      <c r="W17" s="395"/>
      <c r="X17" s="395"/>
      <c r="Y17" s="395"/>
      <c r="Z17" s="396"/>
      <c r="AA17" s="397"/>
      <c r="AB17" s="398" t="str">
        <f t="shared" si="0"/>
        <v/>
      </c>
    </row>
    <row r="18" spans="3:28" ht="15" x14ac:dyDescent="0.2">
      <c r="C18" s="1373" t="s">
        <v>167</v>
      </c>
      <c r="D18" s="1374"/>
      <c r="E18" s="1374"/>
      <c r="F18" s="79" t="str">
        <f>IF(Uses!K15=0,"",Uses!K15)</f>
        <v/>
      </c>
      <c r="G18" s="382"/>
      <c r="H18" s="382"/>
      <c r="I18" s="382"/>
      <c r="J18" s="382"/>
      <c r="K18" s="382"/>
      <c r="L18" s="386"/>
      <c r="M18" s="386"/>
      <c r="N18" s="386"/>
      <c r="O18" s="386"/>
      <c r="P18" s="386"/>
      <c r="Q18" s="386"/>
      <c r="R18" s="386"/>
      <c r="S18" s="386"/>
      <c r="T18" s="386"/>
      <c r="U18" s="386"/>
      <c r="V18" s="386"/>
      <c r="W18" s="401"/>
      <c r="X18" s="401"/>
      <c r="Y18" s="401"/>
      <c r="Z18" s="402"/>
      <c r="AA18" s="222">
        <f t="shared" ref="AA18:AA26" si="1">SUM(G18:Z18)</f>
        <v>0</v>
      </c>
      <c r="AB18" s="222" t="str">
        <f t="shared" si="0"/>
        <v/>
      </c>
    </row>
    <row r="19" spans="3:28" ht="15" x14ac:dyDescent="0.2">
      <c r="C19" s="1373" t="s">
        <v>168</v>
      </c>
      <c r="D19" s="1374"/>
      <c r="E19" s="1374"/>
      <c r="F19" s="79" t="str">
        <f>IF(Uses!K16=0,"",Uses!K16)</f>
        <v/>
      </c>
      <c r="G19" s="382"/>
      <c r="H19" s="382"/>
      <c r="I19" s="382"/>
      <c r="J19" s="382"/>
      <c r="K19" s="382"/>
      <c r="L19" s="386"/>
      <c r="M19" s="386"/>
      <c r="N19" s="386"/>
      <c r="O19" s="386"/>
      <c r="P19" s="386"/>
      <c r="Q19" s="386"/>
      <c r="R19" s="386"/>
      <c r="S19" s="386"/>
      <c r="T19" s="386"/>
      <c r="U19" s="386"/>
      <c r="V19" s="386"/>
      <c r="W19" s="401"/>
      <c r="X19" s="401"/>
      <c r="Y19" s="401"/>
      <c r="Z19" s="402"/>
      <c r="AA19" s="222">
        <f t="shared" si="1"/>
        <v>0</v>
      </c>
      <c r="AB19" s="222" t="str">
        <f t="shared" si="0"/>
        <v/>
      </c>
    </row>
    <row r="20" spans="3:28" ht="15" x14ac:dyDescent="0.2">
      <c r="C20" s="1373" t="s">
        <v>169</v>
      </c>
      <c r="D20" s="1374"/>
      <c r="E20" s="1374"/>
      <c r="F20" s="79" t="str">
        <f>IF(Uses!K17=0,"",Uses!K17)</f>
        <v/>
      </c>
      <c r="G20" s="382"/>
      <c r="H20" s="382"/>
      <c r="I20" s="382"/>
      <c r="J20" s="382"/>
      <c r="K20" s="382"/>
      <c r="L20" s="386"/>
      <c r="M20" s="386"/>
      <c r="N20" s="386"/>
      <c r="O20" s="386"/>
      <c r="P20" s="386"/>
      <c r="Q20" s="386"/>
      <c r="R20" s="386"/>
      <c r="S20" s="386"/>
      <c r="T20" s="386"/>
      <c r="U20" s="386"/>
      <c r="V20" s="386"/>
      <c r="W20" s="401"/>
      <c r="X20" s="401"/>
      <c r="Y20" s="401"/>
      <c r="Z20" s="402"/>
      <c r="AA20" s="222">
        <f t="shared" si="1"/>
        <v>0</v>
      </c>
      <c r="AB20" s="222" t="str">
        <f t="shared" si="0"/>
        <v/>
      </c>
    </row>
    <row r="21" spans="3:28" ht="15" x14ac:dyDescent="0.2">
      <c r="C21" s="1373" t="s">
        <v>170</v>
      </c>
      <c r="D21" s="1374"/>
      <c r="E21" s="1374"/>
      <c r="F21" s="79" t="str">
        <f>IF(Uses!K18=0,"",Uses!K18)</f>
        <v/>
      </c>
      <c r="G21" s="382"/>
      <c r="H21" s="382"/>
      <c r="I21" s="382"/>
      <c r="J21" s="382"/>
      <c r="K21" s="382"/>
      <c r="L21" s="386"/>
      <c r="M21" s="386"/>
      <c r="N21" s="386"/>
      <c r="O21" s="386"/>
      <c r="P21" s="386"/>
      <c r="Q21" s="386"/>
      <c r="R21" s="386"/>
      <c r="S21" s="386"/>
      <c r="T21" s="386"/>
      <c r="U21" s="386"/>
      <c r="V21" s="386"/>
      <c r="W21" s="401"/>
      <c r="X21" s="401"/>
      <c r="Y21" s="401"/>
      <c r="Z21" s="402"/>
      <c r="AA21" s="222">
        <f t="shared" si="1"/>
        <v>0</v>
      </c>
      <c r="AB21" s="222" t="str">
        <f t="shared" si="0"/>
        <v/>
      </c>
    </row>
    <row r="22" spans="3:28" ht="15" x14ac:dyDescent="0.2">
      <c r="C22" s="1373" t="s">
        <v>171</v>
      </c>
      <c r="D22" s="1374"/>
      <c r="E22" s="1374"/>
      <c r="F22" s="79" t="str">
        <f>IF(Uses!K19=0,"",Uses!K19)</f>
        <v/>
      </c>
      <c r="G22" s="382"/>
      <c r="H22" s="382"/>
      <c r="I22" s="382"/>
      <c r="J22" s="382"/>
      <c r="K22" s="382"/>
      <c r="L22" s="386"/>
      <c r="M22" s="386"/>
      <c r="N22" s="386"/>
      <c r="O22" s="386"/>
      <c r="P22" s="386"/>
      <c r="Q22" s="386"/>
      <c r="R22" s="386"/>
      <c r="S22" s="386"/>
      <c r="T22" s="386"/>
      <c r="U22" s="386"/>
      <c r="V22" s="386"/>
      <c r="W22" s="401"/>
      <c r="X22" s="401"/>
      <c r="Y22" s="401"/>
      <c r="Z22" s="402"/>
      <c r="AA22" s="222">
        <f t="shared" si="1"/>
        <v>0</v>
      </c>
      <c r="AB22" s="222" t="str">
        <f t="shared" si="0"/>
        <v/>
      </c>
    </row>
    <row r="23" spans="3:28" ht="15" x14ac:dyDescent="0.2">
      <c r="C23" s="1373" t="s">
        <v>172</v>
      </c>
      <c r="D23" s="1374"/>
      <c r="E23" s="1374"/>
      <c r="F23" s="79" t="str">
        <f>IF(Uses!K20=0,"",Uses!K20)</f>
        <v/>
      </c>
      <c r="G23" s="382"/>
      <c r="H23" s="382"/>
      <c r="I23" s="382"/>
      <c r="J23" s="382"/>
      <c r="K23" s="382"/>
      <c r="L23" s="386"/>
      <c r="M23" s="386"/>
      <c r="N23" s="386"/>
      <c r="O23" s="386"/>
      <c r="P23" s="386"/>
      <c r="Q23" s="386"/>
      <c r="R23" s="386"/>
      <c r="S23" s="386"/>
      <c r="T23" s="386"/>
      <c r="U23" s="386"/>
      <c r="V23" s="386"/>
      <c r="W23" s="401"/>
      <c r="X23" s="401"/>
      <c r="Y23" s="401"/>
      <c r="Z23" s="402"/>
      <c r="AA23" s="222">
        <f t="shared" si="1"/>
        <v>0</v>
      </c>
      <c r="AB23" s="222" t="str">
        <f t="shared" si="0"/>
        <v/>
      </c>
    </row>
    <row r="24" spans="3:28" ht="15" x14ac:dyDescent="0.2">
      <c r="C24" s="1373" t="s">
        <v>173</v>
      </c>
      <c r="D24" s="1374"/>
      <c r="E24" s="1374"/>
      <c r="F24" s="79" t="str">
        <f>IF(Uses!K21=0,"",Uses!K21)</f>
        <v/>
      </c>
      <c r="G24" s="382"/>
      <c r="H24" s="382"/>
      <c r="I24" s="382"/>
      <c r="J24" s="382"/>
      <c r="K24" s="382"/>
      <c r="L24" s="386"/>
      <c r="M24" s="386"/>
      <c r="N24" s="386"/>
      <c r="O24" s="386"/>
      <c r="P24" s="386"/>
      <c r="Q24" s="386"/>
      <c r="R24" s="386"/>
      <c r="S24" s="386"/>
      <c r="T24" s="386"/>
      <c r="U24" s="386"/>
      <c r="V24" s="386"/>
      <c r="W24" s="401"/>
      <c r="X24" s="401"/>
      <c r="Y24" s="401"/>
      <c r="Z24" s="402"/>
      <c r="AA24" s="222">
        <f t="shared" si="1"/>
        <v>0</v>
      </c>
      <c r="AB24" s="222" t="str">
        <f t="shared" si="0"/>
        <v/>
      </c>
    </row>
    <row r="25" spans="3:28" ht="15" x14ac:dyDescent="0.2">
      <c r="C25" s="232" t="s">
        <v>229</v>
      </c>
      <c r="D25" s="1368" t="str">
        <f>IF(Uses!D22="[Specify Here]","",Uses!D22)</f>
        <v/>
      </c>
      <c r="E25" s="1368"/>
      <c r="F25" s="79" t="str">
        <f>IF(Uses!K22=0,"",Uses!K22)</f>
        <v/>
      </c>
      <c r="G25" s="382"/>
      <c r="H25" s="382"/>
      <c r="I25" s="382"/>
      <c r="J25" s="382"/>
      <c r="K25" s="382"/>
      <c r="L25" s="386"/>
      <c r="M25" s="386"/>
      <c r="N25" s="386"/>
      <c r="O25" s="386"/>
      <c r="P25" s="386"/>
      <c r="Q25" s="386"/>
      <c r="R25" s="386"/>
      <c r="S25" s="386"/>
      <c r="T25" s="386"/>
      <c r="U25" s="386"/>
      <c r="V25" s="386"/>
      <c r="W25" s="401"/>
      <c r="X25" s="401"/>
      <c r="Y25" s="401"/>
      <c r="Z25" s="402"/>
      <c r="AA25" s="222">
        <f t="shared" si="1"/>
        <v>0</v>
      </c>
      <c r="AB25" s="222" t="str">
        <f t="shared" si="0"/>
        <v/>
      </c>
    </row>
    <row r="26" spans="3:28" ht="15" x14ac:dyDescent="0.2">
      <c r="C26" s="305" t="s">
        <v>229</v>
      </c>
      <c r="D26" s="1368" t="str">
        <f>IF(Uses!D23="[Specify Here]","",Uses!D23)</f>
        <v/>
      </c>
      <c r="E26" s="1368"/>
      <c r="F26" s="79" t="str">
        <f>IF(Uses!K23=0,"",Uses!K23)</f>
        <v/>
      </c>
      <c r="G26" s="382"/>
      <c r="H26" s="382"/>
      <c r="I26" s="382"/>
      <c r="J26" s="382"/>
      <c r="K26" s="382"/>
      <c r="L26" s="386"/>
      <c r="M26" s="386"/>
      <c r="N26" s="386"/>
      <c r="O26" s="386"/>
      <c r="P26" s="386"/>
      <c r="Q26" s="386"/>
      <c r="R26" s="386"/>
      <c r="S26" s="386"/>
      <c r="T26" s="386"/>
      <c r="U26" s="386"/>
      <c r="V26" s="386"/>
      <c r="W26" s="401"/>
      <c r="X26" s="401"/>
      <c r="Y26" s="401"/>
      <c r="Z26" s="402"/>
      <c r="AA26" s="222">
        <f t="shared" si="1"/>
        <v>0</v>
      </c>
      <c r="AB26" s="222" t="str">
        <f t="shared" si="0"/>
        <v/>
      </c>
    </row>
    <row r="27" spans="3:28" ht="14.25" customHeight="1" x14ac:dyDescent="0.2">
      <c r="C27" s="1359" t="s">
        <v>502</v>
      </c>
      <c r="D27" s="1360"/>
      <c r="E27" s="1360"/>
      <c r="F27" s="395"/>
      <c r="G27" s="395"/>
      <c r="H27" s="395"/>
      <c r="I27" s="395"/>
      <c r="J27" s="395"/>
      <c r="K27" s="395"/>
      <c r="L27" s="395"/>
      <c r="M27" s="395"/>
      <c r="N27" s="395"/>
      <c r="O27" s="395"/>
      <c r="P27" s="395"/>
      <c r="Q27" s="395"/>
      <c r="R27" s="395"/>
      <c r="S27" s="395"/>
      <c r="T27" s="395"/>
      <c r="U27" s="395"/>
      <c r="V27" s="395"/>
      <c r="W27" s="395"/>
      <c r="X27" s="395"/>
      <c r="Y27" s="395"/>
      <c r="Z27" s="396"/>
      <c r="AA27" s="397"/>
      <c r="AB27" s="398" t="str">
        <f t="shared" si="0"/>
        <v/>
      </c>
    </row>
    <row r="28" spans="3:28" ht="15" x14ac:dyDescent="0.2">
      <c r="C28" s="1373" t="s">
        <v>174</v>
      </c>
      <c r="D28" s="1374"/>
      <c r="E28" s="1374"/>
      <c r="F28" s="79" t="str">
        <f>IF(Uses!K25=0,"",Uses!K25)</f>
        <v/>
      </c>
      <c r="G28" s="382"/>
      <c r="H28" s="382"/>
      <c r="I28" s="382"/>
      <c r="J28" s="382"/>
      <c r="K28" s="382"/>
      <c r="L28" s="386"/>
      <c r="M28" s="386"/>
      <c r="N28" s="386"/>
      <c r="O28" s="386"/>
      <c r="P28" s="386"/>
      <c r="Q28" s="386"/>
      <c r="R28" s="386"/>
      <c r="S28" s="386"/>
      <c r="T28" s="386"/>
      <c r="U28" s="386"/>
      <c r="V28" s="386"/>
      <c r="W28" s="401"/>
      <c r="X28" s="401"/>
      <c r="Y28" s="401"/>
      <c r="Z28" s="402"/>
      <c r="AA28" s="222">
        <f t="shared" ref="AA28:AA33" si="2">SUM(G28:Z28)</f>
        <v>0</v>
      </c>
      <c r="AB28" s="222" t="str">
        <f t="shared" si="0"/>
        <v/>
      </c>
    </row>
    <row r="29" spans="3:28" ht="15" x14ac:dyDescent="0.2">
      <c r="C29" s="1373" t="s">
        <v>175</v>
      </c>
      <c r="D29" s="1374"/>
      <c r="E29" s="1374"/>
      <c r="F29" s="79" t="str">
        <f>IF(Uses!K26=0,"",Uses!K26)</f>
        <v/>
      </c>
      <c r="G29" s="382"/>
      <c r="H29" s="382"/>
      <c r="I29" s="382"/>
      <c r="J29" s="382"/>
      <c r="K29" s="382"/>
      <c r="L29" s="386"/>
      <c r="M29" s="386"/>
      <c r="N29" s="386"/>
      <c r="O29" s="386"/>
      <c r="P29" s="386"/>
      <c r="Q29" s="386"/>
      <c r="R29" s="386"/>
      <c r="S29" s="386"/>
      <c r="T29" s="386"/>
      <c r="U29" s="386"/>
      <c r="V29" s="386"/>
      <c r="W29" s="401"/>
      <c r="X29" s="401"/>
      <c r="Y29" s="401"/>
      <c r="Z29" s="402"/>
      <c r="AA29" s="222">
        <f t="shared" si="2"/>
        <v>0</v>
      </c>
      <c r="AB29" s="222" t="str">
        <f t="shared" si="0"/>
        <v/>
      </c>
    </row>
    <row r="30" spans="3:28" ht="15" x14ac:dyDescent="0.2">
      <c r="C30" s="1373" t="s">
        <v>176</v>
      </c>
      <c r="D30" s="1374"/>
      <c r="E30" s="1374"/>
      <c r="F30" s="79" t="str">
        <f>IF(Uses!K27=0,"",Uses!K27)</f>
        <v/>
      </c>
      <c r="G30" s="382"/>
      <c r="H30" s="382"/>
      <c r="I30" s="382"/>
      <c r="J30" s="382"/>
      <c r="K30" s="382"/>
      <c r="L30" s="386"/>
      <c r="M30" s="386"/>
      <c r="N30" s="386"/>
      <c r="O30" s="386"/>
      <c r="P30" s="386"/>
      <c r="Q30" s="386"/>
      <c r="R30" s="386"/>
      <c r="S30" s="386"/>
      <c r="T30" s="386"/>
      <c r="U30" s="386"/>
      <c r="V30" s="386"/>
      <c r="W30" s="401"/>
      <c r="X30" s="401"/>
      <c r="Y30" s="401"/>
      <c r="Z30" s="402"/>
      <c r="AA30" s="222">
        <f t="shared" si="2"/>
        <v>0</v>
      </c>
      <c r="AB30" s="222" t="str">
        <f t="shared" si="0"/>
        <v/>
      </c>
    </row>
    <row r="31" spans="3:28" ht="15" x14ac:dyDescent="0.2">
      <c r="C31" s="1373" t="s">
        <v>234</v>
      </c>
      <c r="D31" s="1374"/>
      <c r="E31" s="1374"/>
      <c r="F31" s="79" t="str">
        <f>IF(Uses!K28=0,"",Uses!K28)</f>
        <v/>
      </c>
      <c r="G31" s="382"/>
      <c r="H31" s="382"/>
      <c r="I31" s="382"/>
      <c r="J31" s="382"/>
      <c r="K31" s="382"/>
      <c r="L31" s="386"/>
      <c r="M31" s="386"/>
      <c r="N31" s="386"/>
      <c r="O31" s="386"/>
      <c r="P31" s="386"/>
      <c r="Q31" s="386"/>
      <c r="R31" s="386"/>
      <c r="S31" s="386"/>
      <c r="T31" s="386"/>
      <c r="U31" s="386"/>
      <c r="V31" s="386"/>
      <c r="W31" s="401"/>
      <c r="X31" s="401"/>
      <c r="Y31" s="401"/>
      <c r="Z31" s="402"/>
      <c r="AA31" s="222">
        <f t="shared" si="2"/>
        <v>0</v>
      </c>
      <c r="AB31" s="222" t="str">
        <f t="shared" si="0"/>
        <v/>
      </c>
    </row>
    <row r="32" spans="3:28" ht="15" x14ac:dyDescent="0.2">
      <c r="C32" s="232" t="s">
        <v>229</v>
      </c>
      <c r="D32" s="1368" t="str">
        <f>IF(Uses!D29="[Specify Here]","",Uses!D29)</f>
        <v/>
      </c>
      <c r="E32" s="1368"/>
      <c r="F32" s="79" t="str">
        <f>IF(Uses!K29=0,"",Uses!K29)</f>
        <v/>
      </c>
      <c r="G32" s="382"/>
      <c r="H32" s="382"/>
      <c r="I32" s="382"/>
      <c r="J32" s="382"/>
      <c r="K32" s="382"/>
      <c r="L32" s="386"/>
      <c r="M32" s="386"/>
      <c r="N32" s="386"/>
      <c r="O32" s="386"/>
      <c r="P32" s="386"/>
      <c r="Q32" s="386"/>
      <c r="R32" s="386"/>
      <c r="S32" s="386"/>
      <c r="T32" s="386"/>
      <c r="U32" s="386"/>
      <c r="V32" s="386"/>
      <c r="W32" s="401"/>
      <c r="X32" s="401"/>
      <c r="Y32" s="401"/>
      <c r="Z32" s="402"/>
      <c r="AA32" s="222">
        <f t="shared" si="2"/>
        <v>0</v>
      </c>
      <c r="AB32" s="222" t="str">
        <f t="shared" si="0"/>
        <v/>
      </c>
    </row>
    <row r="33" spans="3:28" ht="15" x14ac:dyDescent="0.2">
      <c r="C33" s="305" t="s">
        <v>229</v>
      </c>
      <c r="D33" s="1368" t="str">
        <f>IF(Uses!D30="[Specify Here]","",Uses!D30)</f>
        <v/>
      </c>
      <c r="E33" s="1368"/>
      <c r="F33" s="79" t="str">
        <f>IF(Uses!K30=0,"",Uses!K30)</f>
        <v/>
      </c>
      <c r="G33" s="382"/>
      <c r="H33" s="382"/>
      <c r="I33" s="382"/>
      <c r="J33" s="382"/>
      <c r="K33" s="382"/>
      <c r="L33" s="386"/>
      <c r="M33" s="386"/>
      <c r="N33" s="386"/>
      <c r="O33" s="386"/>
      <c r="P33" s="386"/>
      <c r="Q33" s="386"/>
      <c r="R33" s="386"/>
      <c r="S33" s="386"/>
      <c r="T33" s="386"/>
      <c r="U33" s="386"/>
      <c r="V33" s="386"/>
      <c r="W33" s="401"/>
      <c r="X33" s="401"/>
      <c r="Y33" s="401"/>
      <c r="Z33" s="402"/>
      <c r="AA33" s="222">
        <f t="shared" si="2"/>
        <v>0</v>
      </c>
      <c r="AB33" s="222" t="str">
        <f t="shared" si="0"/>
        <v/>
      </c>
    </row>
    <row r="34" spans="3:28" ht="14.25" customHeight="1" x14ac:dyDescent="0.2">
      <c r="C34" s="1359" t="s">
        <v>503</v>
      </c>
      <c r="D34" s="1360"/>
      <c r="E34" s="1360"/>
      <c r="F34" s="395"/>
      <c r="G34" s="395"/>
      <c r="H34" s="395"/>
      <c r="I34" s="395"/>
      <c r="J34" s="395"/>
      <c r="K34" s="395"/>
      <c r="L34" s="395"/>
      <c r="M34" s="395"/>
      <c r="N34" s="395"/>
      <c r="O34" s="395"/>
      <c r="P34" s="395"/>
      <c r="Q34" s="395"/>
      <c r="R34" s="395"/>
      <c r="S34" s="395"/>
      <c r="T34" s="395"/>
      <c r="U34" s="395"/>
      <c r="V34" s="395"/>
      <c r="W34" s="395"/>
      <c r="X34" s="395"/>
      <c r="Y34" s="395"/>
      <c r="Z34" s="396"/>
      <c r="AA34" s="397"/>
      <c r="AB34" s="398" t="str">
        <f t="shared" si="0"/>
        <v/>
      </c>
    </row>
    <row r="35" spans="3:28" ht="15" x14ac:dyDescent="0.2">
      <c r="C35" s="1259" t="s">
        <v>177</v>
      </c>
      <c r="D35" s="1260"/>
      <c r="E35" s="1260"/>
      <c r="F35" s="79" t="str">
        <f>IF(Uses!K32=0,"",Uses!K32)</f>
        <v/>
      </c>
      <c r="G35" s="382"/>
      <c r="H35" s="382"/>
      <c r="I35" s="382"/>
      <c r="J35" s="382"/>
      <c r="K35" s="382"/>
      <c r="L35" s="386"/>
      <c r="M35" s="386"/>
      <c r="N35" s="386"/>
      <c r="O35" s="386"/>
      <c r="P35" s="386"/>
      <c r="Q35" s="386"/>
      <c r="R35" s="386"/>
      <c r="S35" s="386"/>
      <c r="T35" s="386"/>
      <c r="U35" s="386"/>
      <c r="V35" s="386"/>
      <c r="W35" s="401"/>
      <c r="X35" s="401"/>
      <c r="Y35" s="401"/>
      <c r="Z35" s="402"/>
      <c r="AA35" s="222">
        <f t="shared" ref="AA35:AA48" si="3">SUM(G35:Z35)</f>
        <v>0</v>
      </c>
      <c r="AB35" s="222" t="str">
        <f t="shared" si="0"/>
        <v/>
      </c>
    </row>
    <row r="36" spans="3:28" ht="15" x14ac:dyDescent="0.2">
      <c r="C36" s="1259" t="s">
        <v>178</v>
      </c>
      <c r="D36" s="1260"/>
      <c r="E36" s="1260"/>
      <c r="F36" s="79" t="str">
        <f>IF(Uses!K33=0,"",Uses!K33)</f>
        <v/>
      </c>
      <c r="G36" s="382"/>
      <c r="H36" s="382"/>
      <c r="I36" s="382"/>
      <c r="J36" s="382"/>
      <c r="K36" s="382"/>
      <c r="L36" s="386"/>
      <c r="M36" s="386"/>
      <c r="N36" s="386"/>
      <c r="O36" s="386"/>
      <c r="P36" s="386"/>
      <c r="Q36" s="386"/>
      <c r="R36" s="386"/>
      <c r="S36" s="386"/>
      <c r="T36" s="386"/>
      <c r="U36" s="386"/>
      <c r="V36" s="386"/>
      <c r="W36" s="401"/>
      <c r="X36" s="401"/>
      <c r="Y36" s="401"/>
      <c r="Z36" s="402"/>
      <c r="AA36" s="222">
        <f t="shared" si="3"/>
        <v>0</v>
      </c>
      <c r="AB36" s="222" t="str">
        <f t="shared" si="0"/>
        <v/>
      </c>
    </row>
    <row r="37" spans="3:28" ht="15" x14ac:dyDescent="0.2">
      <c r="C37" s="1259" t="s">
        <v>179</v>
      </c>
      <c r="D37" s="1260"/>
      <c r="E37" s="1260"/>
      <c r="F37" s="79" t="str">
        <f>IF(Uses!K34=0,"",Uses!K34)</f>
        <v/>
      </c>
      <c r="G37" s="382"/>
      <c r="H37" s="382"/>
      <c r="I37" s="382"/>
      <c r="J37" s="382"/>
      <c r="K37" s="382"/>
      <c r="L37" s="386"/>
      <c r="M37" s="386"/>
      <c r="N37" s="386"/>
      <c r="O37" s="386"/>
      <c r="P37" s="386"/>
      <c r="Q37" s="386"/>
      <c r="R37" s="386"/>
      <c r="S37" s="386"/>
      <c r="T37" s="386"/>
      <c r="U37" s="386"/>
      <c r="V37" s="386"/>
      <c r="W37" s="401"/>
      <c r="X37" s="401"/>
      <c r="Y37" s="401"/>
      <c r="Z37" s="402"/>
      <c r="AA37" s="222">
        <f t="shared" si="3"/>
        <v>0</v>
      </c>
      <c r="AB37" s="222" t="str">
        <f t="shared" si="0"/>
        <v/>
      </c>
    </row>
    <row r="38" spans="3:28" ht="15" x14ac:dyDescent="0.2">
      <c r="C38" s="1259" t="s">
        <v>196</v>
      </c>
      <c r="D38" s="1260"/>
      <c r="E38" s="1260"/>
      <c r="F38" s="79" t="str">
        <f>IF(Uses!K35=0,"",Uses!K35)</f>
        <v/>
      </c>
      <c r="G38" s="382"/>
      <c r="H38" s="382"/>
      <c r="I38" s="382"/>
      <c r="J38" s="382"/>
      <c r="K38" s="382"/>
      <c r="L38" s="386"/>
      <c r="M38" s="386"/>
      <c r="N38" s="386"/>
      <c r="O38" s="386"/>
      <c r="P38" s="386"/>
      <c r="Q38" s="386"/>
      <c r="R38" s="386"/>
      <c r="S38" s="386"/>
      <c r="T38" s="386"/>
      <c r="U38" s="386"/>
      <c r="V38" s="386"/>
      <c r="W38" s="401"/>
      <c r="X38" s="401"/>
      <c r="Y38" s="401"/>
      <c r="Z38" s="402"/>
      <c r="AA38" s="222">
        <f t="shared" si="3"/>
        <v>0</v>
      </c>
      <c r="AB38" s="222" t="str">
        <f t="shared" si="0"/>
        <v/>
      </c>
    </row>
    <row r="39" spans="3:28" ht="15" x14ac:dyDescent="0.2">
      <c r="C39" s="1373" t="s">
        <v>180</v>
      </c>
      <c r="D39" s="1374"/>
      <c r="E39" s="1374"/>
      <c r="F39" s="79" t="str">
        <f>IF(Uses!K36=0,"",Uses!K36)</f>
        <v/>
      </c>
      <c r="G39" s="382"/>
      <c r="H39" s="382"/>
      <c r="I39" s="382"/>
      <c r="J39" s="382"/>
      <c r="K39" s="382"/>
      <c r="L39" s="386"/>
      <c r="M39" s="386"/>
      <c r="N39" s="386"/>
      <c r="O39" s="386"/>
      <c r="P39" s="386"/>
      <c r="Q39" s="386"/>
      <c r="R39" s="386"/>
      <c r="S39" s="386"/>
      <c r="T39" s="386"/>
      <c r="U39" s="386"/>
      <c r="V39" s="386"/>
      <c r="W39" s="401"/>
      <c r="X39" s="401"/>
      <c r="Y39" s="401"/>
      <c r="Z39" s="402"/>
      <c r="AA39" s="222">
        <f t="shared" si="3"/>
        <v>0</v>
      </c>
      <c r="AB39" s="222" t="str">
        <f t="shared" si="0"/>
        <v/>
      </c>
    </row>
    <row r="40" spans="3:28" ht="15" x14ac:dyDescent="0.2">
      <c r="C40" s="1373" t="s">
        <v>2092</v>
      </c>
      <c r="D40" s="1374"/>
      <c r="E40" s="1374"/>
      <c r="F40" s="79" t="str">
        <f>IF(Uses!K37=0,"",Uses!K37)</f>
        <v/>
      </c>
      <c r="G40" s="382"/>
      <c r="H40" s="382"/>
      <c r="I40" s="382"/>
      <c r="J40" s="382"/>
      <c r="K40" s="382"/>
      <c r="L40" s="386"/>
      <c r="M40" s="386"/>
      <c r="N40" s="386"/>
      <c r="O40" s="386"/>
      <c r="P40" s="386"/>
      <c r="Q40" s="386"/>
      <c r="R40" s="386"/>
      <c r="S40" s="386"/>
      <c r="T40" s="386"/>
      <c r="U40" s="386"/>
      <c r="V40" s="386"/>
      <c r="W40" s="401"/>
      <c r="X40" s="401"/>
      <c r="Y40" s="401"/>
      <c r="Z40" s="402"/>
      <c r="AA40" s="222">
        <f t="shared" si="3"/>
        <v>0</v>
      </c>
      <c r="AB40" s="222" t="str">
        <f t="shared" si="0"/>
        <v/>
      </c>
    </row>
    <row r="41" spans="3:28" ht="15" x14ac:dyDescent="0.2">
      <c r="C41" s="1373" t="s">
        <v>181</v>
      </c>
      <c r="D41" s="1374"/>
      <c r="E41" s="1374"/>
      <c r="F41" s="79" t="str">
        <f>IF(Uses!K38=0,"",Uses!K38)</f>
        <v/>
      </c>
      <c r="G41" s="382"/>
      <c r="H41" s="382"/>
      <c r="I41" s="382"/>
      <c r="J41" s="382"/>
      <c r="K41" s="382"/>
      <c r="L41" s="386"/>
      <c r="M41" s="386"/>
      <c r="N41" s="386"/>
      <c r="O41" s="386"/>
      <c r="P41" s="386"/>
      <c r="Q41" s="386"/>
      <c r="R41" s="386"/>
      <c r="S41" s="386"/>
      <c r="T41" s="386"/>
      <c r="U41" s="386"/>
      <c r="V41" s="386"/>
      <c r="W41" s="401"/>
      <c r="X41" s="401"/>
      <c r="Y41" s="401"/>
      <c r="Z41" s="402"/>
      <c r="AA41" s="222">
        <f t="shared" si="3"/>
        <v>0</v>
      </c>
      <c r="AB41" s="222" t="str">
        <f t="shared" si="0"/>
        <v/>
      </c>
    </row>
    <row r="42" spans="3:28" ht="15" x14ac:dyDescent="0.2">
      <c r="C42" s="1373" t="s">
        <v>2091</v>
      </c>
      <c r="D42" s="1374"/>
      <c r="E42" s="1374"/>
      <c r="F42" s="79" t="str">
        <f>IF(Uses!K39=0,"",Uses!K39)</f>
        <v/>
      </c>
      <c r="G42" s="382"/>
      <c r="H42" s="382"/>
      <c r="I42" s="382"/>
      <c r="J42" s="382"/>
      <c r="K42" s="382"/>
      <c r="L42" s="386"/>
      <c r="M42" s="386"/>
      <c r="N42" s="386"/>
      <c r="O42" s="386"/>
      <c r="P42" s="386"/>
      <c r="Q42" s="386"/>
      <c r="R42" s="386"/>
      <c r="S42" s="386"/>
      <c r="T42" s="386"/>
      <c r="U42" s="386"/>
      <c r="V42" s="386"/>
      <c r="W42" s="401"/>
      <c r="X42" s="401"/>
      <c r="Y42" s="401"/>
      <c r="Z42" s="402"/>
      <c r="AA42" s="222">
        <f t="shared" si="3"/>
        <v>0</v>
      </c>
      <c r="AB42" s="222" t="str">
        <f t="shared" si="0"/>
        <v/>
      </c>
    </row>
    <row r="43" spans="3:28" ht="15" x14ac:dyDescent="0.2">
      <c r="C43" s="1373" t="s">
        <v>182</v>
      </c>
      <c r="D43" s="1374"/>
      <c r="E43" s="1374"/>
      <c r="F43" s="79" t="str">
        <f>IF(Uses!K40=0,"",Uses!K40)</f>
        <v/>
      </c>
      <c r="G43" s="382"/>
      <c r="H43" s="382"/>
      <c r="I43" s="382"/>
      <c r="J43" s="382"/>
      <c r="K43" s="382"/>
      <c r="L43" s="386"/>
      <c r="M43" s="386"/>
      <c r="N43" s="386"/>
      <c r="O43" s="386"/>
      <c r="P43" s="386"/>
      <c r="Q43" s="386"/>
      <c r="R43" s="386"/>
      <c r="S43" s="386"/>
      <c r="T43" s="386"/>
      <c r="U43" s="386"/>
      <c r="V43" s="386"/>
      <c r="W43" s="401"/>
      <c r="X43" s="401"/>
      <c r="Y43" s="401"/>
      <c r="Z43" s="402"/>
      <c r="AA43" s="222">
        <f t="shared" si="3"/>
        <v>0</v>
      </c>
      <c r="AB43" s="222" t="str">
        <f t="shared" si="0"/>
        <v/>
      </c>
    </row>
    <row r="44" spans="3:28" ht="15" x14ac:dyDescent="0.2">
      <c r="C44" s="1373" t="s">
        <v>183</v>
      </c>
      <c r="D44" s="1374"/>
      <c r="E44" s="1374"/>
      <c r="F44" s="79" t="str">
        <f>IF(Uses!K41=0,"",Uses!K41)</f>
        <v/>
      </c>
      <c r="G44" s="382"/>
      <c r="H44" s="382"/>
      <c r="I44" s="382"/>
      <c r="J44" s="382"/>
      <c r="K44" s="382"/>
      <c r="L44" s="386"/>
      <c r="M44" s="386"/>
      <c r="N44" s="386"/>
      <c r="O44" s="386"/>
      <c r="P44" s="386"/>
      <c r="Q44" s="386"/>
      <c r="R44" s="386"/>
      <c r="S44" s="386"/>
      <c r="T44" s="386"/>
      <c r="U44" s="386"/>
      <c r="V44" s="386"/>
      <c r="W44" s="401"/>
      <c r="X44" s="401"/>
      <c r="Y44" s="401"/>
      <c r="Z44" s="402"/>
      <c r="AA44" s="222">
        <f t="shared" si="3"/>
        <v>0</v>
      </c>
      <c r="AB44" s="222" t="str">
        <f t="shared" si="0"/>
        <v/>
      </c>
    </row>
    <row r="45" spans="3:28" ht="15" x14ac:dyDescent="0.2">
      <c r="C45" s="1373" t="s">
        <v>184</v>
      </c>
      <c r="D45" s="1374"/>
      <c r="E45" s="1374"/>
      <c r="F45" s="79" t="str">
        <f>IF(Uses!K42=0,"",Uses!K42)</f>
        <v/>
      </c>
      <c r="G45" s="382"/>
      <c r="H45" s="382"/>
      <c r="I45" s="382"/>
      <c r="J45" s="382"/>
      <c r="K45" s="382"/>
      <c r="L45" s="386"/>
      <c r="M45" s="386"/>
      <c r="N45" s="386"/>
      <c r="O45" s="386"/>
      <c r="P45" s="386"/>
      <c r="Q45" s="386"/>
      <c r="R45" s="386"/>
      <c r="S45" s="386"/>
      <c r="T45" s="386"/>
      <c r="U45" s="386"/>
      <c r="V45" s="386"/>
      <c r="W45" s="401"/>
      <c r="X45" s="401"/>
      <c r="Y45" s="401"/>
      <c r="Z45" s="402"/>
      <c r="AA45" s="222">
        <f t="shared" si="3"/>
        <v>0</v>
      </c>
      <c r="AB45" s="222" t="str">
        <f t="shared" si="0"/>
        <v/>
      </c>
    </row>
    <row r="46" spans="3:28" ht="15" x14ac:dyDescent="0.2">
      <c r="C46" s="1259" t="s">
        <v>185</v>
      </c>
      <c r="D46" s="1260"/>
      <c r="E46" s="1260"/>
      <c r="F46" s="79" t="str">
        <f>IF(Uses!K43=0,"",Uses!K43)</f>
        <v/>
      </c>
      <c r="G46" s="382"/>
      <c r="H46" s="382"/>
      <c r="I46" s="382"/>
      <c r="J46" s="382"/>
      <c r="K46" s="382"/>
      <c r="L46" s="386"/>
      <c r="M46" s="386"/>
      <c r="N46" s="386"/>
      <c r="O46" s="386"/>
      <c r="P46" s="386"/>
      <c r="Q46" s="386"/>
      <c r="R46" s="386"/>
      <c r="S46" s="386"/>
      <c r="T46" s="386"/>
      <c r="U46" s="386"/>
      <c r="V46" s="386"/>
      <c r="W46" s="401"/>
      <c r="X46" s="401"/>
      <c r="Y46" s="401"/>
      <c r="Z46" s="402"/>
      <c r="AA46" s="222">
        <f t="shared" si="3"/>
        <v>0</v>
      </c>
      <c r="AB46" s="222" t="str">
        <f t="shared" si="0"/>
        <v/>
      </c>
    </row>
    <row r="47" spans="3:28" ht="15" x14ac:dyDescent="0.2">
      <c r="C47" s="232" t="s">
        <v>229</v>
      </c>
      <c r="D47" s="1368" t="str">
        <f>IF(Uses!D44="[Specify Here]","",Uses!D44)</f>
        <v/>
      </c>
      <c r="E47" s="1368"/>
      <c r="F47" s="79" t="str">
        <f>IF(Uses!K44=0,"",Uses!K44)</f>
        <v/>
      </c>
      <c r="G47" s="382"/>
      <c r="H47" s="382"/>
      <c r="I47" s="382"/>
      <c r="J47" s="382"/>
      <c r="K47" s="382"/>
      <c r="L47" s="386"/>
      <c r="M47" s="386"/>
      <c r="N47" s="386"/>
      <c r="O47" s="386"/>
      <c r="P47" s="386"/>
      <c r="Q47" s="386"/>
      <c r="R47" s="386"/>
      <c r="S47" s="386"/>
      <c r="T47" s="386"/>
      <c r="U47" s="386"/>
      <c r="V47" s="386"/>
      <c r="W47" s="401"/>
      <c r="X47" s="401"/>
      <c r="Y47" s="401"/>
      <c r="Z47" s="402"/>
      <c r="AA47" s="222">
        <f t="shared" si="3"/>
        <v>0</v>
      </c>
      <c r="AB47" s="222" t="str">
        <f t="shared" si="0"/>
        <v/>
      </c>
    </row>
    <row r="48" spans="3:28" ht="15" x14ac:dyDescent="0.2">
      <c r="C48" s="305" t="s">
        <v>229</v>
      </c>
      <c r="D48" s="1368" t="str">
        <f>IF(Uses!D45="[Specify Here]","",Uses!D45)</f>
        <v/>
      </c>
      <c r="E48" s="1368"/>
      <c r="F48" s="79" t="str">
        <f>IF(Uses!K45=0,"",Uses!K45)</f>
        <v/>
      </c>
      <c r="G48" s="382"/>
      <c r="H48" s="382"/>
      <c r="I48" s="382"/>
      <c r="J48" s="382"/>
      <c r="K48" s="382"/>
      <c r="L48" s="386"/>
      <c r="M48" s="386"/>
      <c r="N48" s="386"/>
      <c r="O48" s="386"/>
      <c r="P48" s="386"/>
      <c r="Q48" s="386"/>
      <c r="R48" s="386"/>
      <c r="S48" s="386"/>
      <c r="T48" s="386"/>
      <c r="U48" s="386"/>
      <c r="V48" s="386"/>
      <c r="W48" s="401"/>
      <c r="X48" s="401"/>
      <c r="Y48" s="401"/>
      <c r="Z48" s="402"/>
      <c r="AA48" s="222">
        <f t="shared" si="3"/>
        <v>0</v>
      </c>
      <c r="AB48" s="222" t="str">
        <f t="shared" si="0"/>
        <v/>
      </c>
    </row>
    <row r="49" spans="3:28" ht="14.25" customHeight="1" x14ac:dyDescent="0.2">
      <c r="C49" s="1359" t="s">
        <v>504</v>
      </c>
      <c r="D49" s="1360"/>
      <c r="E49" s="1360"/>
      <c r="F49" s="395"/>
      <c r="G49" s="395"/>
      <c r="H49" s="395"/>
      <c r="I49" s="395"/>
      <c r="J49" s="395"/>
      <c r="K49" s="395"/>
      <c r="L49" s="395"/>
      <c r="M49" s="395"/>
      <c r="N49" s="395"/>
      <c r="O49" s="395"/>
      <c r="P49" s="395"/>
      <c r="Q49" s="395"/>
      <c r="R49" s="395"/>
      <c r="S49" s="395"/>
      <c r="T49" s="395"/>
      <c r="U49" s="395"/>
      <c r="V49" s="395"/>
      <c r="W49" s="395"/>
      <c r="X49" s="395"/>
      <c r="Y49" s="395"/>
      <c r="Z49" s="396"/>
      <c r="AA49" s="397"/>
      <c r="AB49" s="398" t="str">
        <f t="shared" si="0"/>
        <v/>
      </c>
    </row>
    <row r="50" spans="3:28" ht="15" x14ac:dyDescent="0.2">
      <c r="C50" s="1259" t="s">
        <v>186</v>
      </c>
      <c r="D50" s="1260"/>
      <c r="E50" s="1260"/>
      <c r="F50" s="79" t="str">
        <f>IF(Uses!K47=0,"",Uses!K47)</f>
        <v/>
      </c>
      <c r="G50" s="382"/>
      <c r="H50" s="382"/>
      <c r="I50" s="382"/>
      <c r="J50" s="382"/>
      <c r="K50" s="382"/>
      <c r="L50" s="386"/>
      <c r="M50" s="386"/>
      <c r="N50" s="386"/>
      <c r="O50" s="386"/>
      <c r="P50" s="386"/>
      <c r="Q50" s="386"/>
      <c r="R50" s="386"/>
      <c r="S50" s="386"/>
      <c r="T50" s="386"/>
      <c r="U50" s="386"/>
      <c r="V50" s="386"/>
      <c r="W50" s="401"/>
      <c r="X50" s="401"/>
      <c r="Y50" s="401"/>
      <c r="Z50" s="402"/>
      <c r="AA50" s="222">
        <f t="shared" ref="AA50:AA58" si="4">SUM(G50:Z50)</f>
        <v>0</v>
      </c>
      <c r="AB50" s="222" t="str">
        <f t="shared" si="0"/>
        <v/>
      </c>
    </row>
    <row r="51" spans="3:28" ht="15" x14ac:dyDescent="0.2">
      <c r="C51" s="1259" t="s">
        <v>187</v>
      </c>
      <c r="D51" s="1260"/>
      <c r="E51" s="1260"/>
      <c r="F51" s="79" t="str">
        <f>IF(Uses!K48=0,"",Uses!K48)</f>
        <v/>
      </c>
      <c r="G51" s="382"/>
      <c r="H51" s="382"/>
      <c r="I51" s="382"/>
      <c r="J51" s="382"/>
      <c r="K51" s="382"/>
      <c r="L51" s="386"/>
      <c r="M51" s="386"/>
      <c r="N51" s="386"/>
      <c r="O51" s="386"/>
      <c r="P51" s="386"/>
      <c r="Q51" s="386"/>
      <c r="R51" s="386"/>
      <c r="S51" s="386"/>
      <c r="T51" s="386"/>
      <c r="U51" s="386"/>
      <c r="V51" s="386"/>
      <c r="W51" s="401"/>
      <c r="X51" s="401"/>
      <c r="Y51" s="401"/>
      <c r="Z51" s="402"/>
      <c r="AA51" s="222">
        <f t="shared" si="4"/>
        <v>0</v>
      </c>
      <c r="AB51" s="222" t="str">
        <f t="shared" si="0"/>
        <v/>
      </c>
    </row>
    <row r="52" spans="3:28" ht="15" x14ac:dyDescent="0.2">
      <c r="C52" s="1259" t="s">
        <v>188</v>
      </c>
      <c r="D52" s="1260"/>
      <c r="E52" s="1260"/>
      <c r="F52" s="79" t="str">
        <f>IF(Uses!K49=0,"",Uses!K49)</f>
        <v/>
      </c>
      <c r="G52" s="382"/>
      <c r="H52" s="382"/>
      <c r="I52" s="382"/>
      <c r="J52" s="382"/>
      <c r="K52" s="382"/>
      <c r="L52" s="386"/>
      <c r="M52" s="386"/>
      <c r="N52" s="386"/>
      <c r="O52" s="386"/>
      <c r="P52" s="386"/>
      <c r="Q52" s="386"/>
      <c r="R52" s="386"/>
      <c r="S52" s="386"/>
      <c r="T52" s="386"/>
      <c r="U52" s="386"/>
      <c r="V52" s="386"/>
      <c r="W52" s="401"/>
      <c r="X52" s="401"/>
      <c r="Y52" s="401"/>
      <c r="Z52" s="402"/>
      <c r="AA52" s="222">
        <f t="shared" si="4"/>
        <v>0</v>
      </c>
      <c r="AB52" s="222" t="str">
        <f t="shared" si="0"/>
        <v/>
      </c>
    </row>
    <row r="53" spans="3:28" ht="15" x14ac:dyDescent="0.2">
      <c r="C53" s="1259" t="s">
        <v>189</v>
      </c>
      <c r="D53" s="1260"/>
      <c r="E53" s="1260"/>
      <c r="F53" s="79" t="str">
        <f>IF(Uses!K50=0,"",Uses!K50)</f>
        <v/>
      </c>
      <c r="G53" s="382"/>
      <c r="H53" s="382"/>
      <c r="I53" s="382"/>
      <c r="J53" s="382"/>
      <c r="K53" s="382"/>
      <c r="L53" s="386"/>
      <c r="M53" s="386"/>
      <c r="N53" s="386"/>
      <c r="O53" s="386"/>
      <c r="P53" s="386"/>
      <c r="Q53" s="386"/>
      <c r="R53" s="386"/>
      <c r="S53" s="386"/>
      <c r="T53" s="386"/>
      <c r="U53" s="386"/>
      <c r="V53" s="386"/>
      <c r="W53" s="401"/>
      <c r="X53" s="401"/>
      <c r="Y53" s="401"/>
      <c r="Z53" s="402"/>
      <c r="AA53" s="222">
        <f t="shared" si="4"/>
        <v>0</v>
      </c>
      <c r="AB53" s="222" t="str">
        <f t="shared" si="0"/>
        <v/>
      </c>
    </row>
    <row r="54" spans="3:28" ht="15" x14ac:dyDescent="0.2">
      <c r="C54" s="1259" t="s">
        <v>2090</v>
      </c>
      <c r="D54" s="1260"/>
      <c r="E54" s="1260"/>
      <c r="F54" s="79" t="str">
        <f>IF(Uses!K51=0,"",Uses!K51)</f>
        <v/>
      </c>
      <c r="G54" s="382"/>
      <c r="H54" s="382"/>
      <c r="I54" s="382"/>
      <c r="J54" s="382"/>
      <c r="K54" s="382"/>
      <c r="L54" s="386"/>
      <c r="M54" s="386"/>
      <c r="N54" s="386"/>
      <c r="O54" s="386"/>
      <c r="P54" s="386"/>
      <c r="Q54" s="386"/>
      <c r="R54" s="386"/>
      <c r="S54" s="386"/>
      <c r="T54" s="386"/>
      <c r="U54" s="386"/>
      <c r="V54" s="386"/>
      <c r="W54" s="401"/>
      <c r="X54" s="401"/>
      <c r="Y54" s="401"/>
      <c r="Z54" s="402"/>
      <c r="AA54" s="222">
        <f t="shared" si="4"/>
        <v>0</v>
      </c>
      <c r="AB54" s="222" t="str">
        <f t="shared" si="0"/>
        <v/>
      </c>
    </row>
    <row r="55" spans="3:28" ht="15" x14ac:dyDescent="0.2">
      <c r="C55" s="1259" t="s">
        <v>190</v>
      </c>
      <c r="D55" s="1260"/>
      <c r="E55" s="1260"/>
      <c r="F55" s="79" t="str">
        <f>IF(Uses!K52=0,"",Uses!K52)</f>
        <v/>
      </c>
      <c r="G55" s="382"/>
      <c r="H55" s="382"/>
      <c r="I55" s="382"/>
      <c r="J55" s="382"/>
      <c r="K55" s="382"/>
      <c r="L55" s="386"/>
      <c r="M55" s="386"/>
      <c r="N55" s="386"/>
      <c r="O55" s="386"/>
      <c r="P55" s="386"/>
      <c r="Q55" s="386"/>
      <c r="R55" s="386"/>
      <c r="S55" s="386"/>
      <c r="T55" s="386"/>
      <c r="U55" s="386"/>
      <c r="V55" s="386"/>
      <c r="W55" s="401"/>
      <c r="X55" s="401"/>
      <c r="Y55" s="401"/>
      <c r="Z55" s="402"/>
      <c r="AA55" s="222">
        <f t="shared" si="4"/>
        <v>0</v>
      </c>
      <c r="AB55" s="222" t="str">
        <f t="shared" si="0"/>
        <v/>
      </c>
    </row>
    <row r="56" spans="3:28" ht="15" x14ac:dyDescent="0.2">
      <c r="C56" s="1373" t="s">
        <v>191</v>
      </c>
      <c r="D56" s="1374"/>
      <c r="E56" s="1374"/>
      <c r="F56" s="79" t="str">
        <f>IF(Uses!K53=0,"",Uses!K53)</f>
        <v/>
      </c>
      <c r="G56" s="382"/>
      <c r="H56" s="382"/>
      <c r="I56" s="382"/>
      <c r="J56" s="382"/>
      <c r="K56" s="382"/>
      <c r="L56" s="386"/>
      <c r="M56" s="386"/>
      <c r="N56" s="386"/>
      <c r="O56" s="386"/>
      <c r="P56" s="386"/>
      <c r="Q56" s="386"/>
      <c r="R56" s="386"/>
      <c r="S56" s="386"/>
      <c r="T56" s="386"/>
      <c r="U56" s="386"/>
      <c r="V56" s="386"/>
      <c r="W56" s="401"/>
      <c r="X56" s="401"/>
      <c r="Y56" s="401"/>
      <c r="Z56" s="402"/>
      <c r="AA56" s="222">
        <f t="shared" si="4"/>
        <v>0</v>
      </c>
      <c r="AB56" s="222" t="str">
        <f t="shared" si="0"/>
        <v/>
      </c>
    </row>
    <row r="57" spans="3:28" ht="15" x14ac:dyDescent="0.2">
      <c r="C57" s="232" t="s">
        <v>229</v>
      </c>
      <c r="D57" s="1368" t="str">
        <f>IF(Uses!D54="[Specify Here]","",Uses!D54)</f>
        <v/>
      </c>
      <c r="E57" s="1368"/>
      <c r="F57" s="79" t="str">
        <f>IF(Uses!K54=0,"",Uses!K54)</f>
        <v/>
      </c>
      <c r="G57" s="382"/>
      <c r="H57" s="382"/>
      <c r="I57" s="382"/>
      <c r="J57" s="382"/>
      <c r="K57" s="382"/>
      <c r="L57" s="386"/>
      <c r="M57" s="386"/>
      <c r="N57" s="386"/>
      <c r="O57" s="386"/>
      <c r="P57" s="386"/>
      <c r="Q57" s="386"/>
      <c r="R57" s="386"/>
      <c r="S57" s="386"/>
      <c r="T57" s="386"/>
      <c r="U57" s="386"/>
      <c r="V57" s="386"/>
      <c r="W57" s="401"/>
      <c r="X57" s="401"/>
      <c r="Y57" s="401"/>
      <c r="Z57" s="402"/>
      <c r="AA57" s="222">
        <f t="shared" si="4"/>
        <v>0</v>
      </c>
      <c r="AB57" s="222" t="str">
        <f t="shared" si="0"/>
        <v/>
      </c>
    </row>
    <row r="58" spans="3:28" ht="15" x14ac:dyDescent="0.2">
      <c r="C58" s="305" t="s">
        <v>229</v>
      </c>
      <c r="D58" s="1368" t="str">
        <f>IF(Uses!D55="[Specify Here]","",Uses!D55)</f>
        <v/>
      </c>
      <c r="E58" s="1368"/>
      <c r="F58" s="79" t="str">
        <f>IF(Uses!K55=0,"",Uses!K55)</f>
        <v/>
      </c>
      <c r="G58" s="382"/>
      <c r="H58" s="382"/>
      <c r="I58" s="382"/>
      <c r="J58" s="382"/>
      <c r="K58" s="382"/>
      <c r="L58" s="386"/>
      <c r="M58" s="386"/>
      <c r="N58" s="386"/>
      <c r="O58" s="386"/>
      <c r="P58" s="386"/>
      <c r="Q58" s="386"/>
      <c r="R58" s="386"/>
      <c r="S58" s="386"/>
      <c r="T58" s="386"/>
      <c r="U58" s="386"/>
      <c r="V58" s="386"/>
      <c r="W58" s="401"/>
      <c r="X58" s="401"/>
      <c r="Y58" s="401"/>
      <c r="Z58" s="402"/>
      <c r="AA58" s="222">
        <f t="shared" si="4"/>
        <v>0</v>
      </c>
      <c r="AB58" s="222" t="str">
        <f t="shared" si="0"/>
        <v/>
      </c>
    </row>
    <row r="59" spans="3:28" ht="14.25" customHeight="1" x14ac:dyDescent="0.2">
      <c r="C59" s="1359" t="s">
        <v>195</v>
      </c>
      <c r="D59" s="1360"/>
      <c r="E59" s="1360"/>
      <c r="F59" s="395"/>
      <c r="G59" s="395"/>
      <c r="H59" s="395"/>
      <c r="I59" s="395"/>
      <c r="J59" s="395"/>
      <c r="K59" s="395"/>
      <c r="L59" s="395"/>
      <c r="M59" s="395"/>
      <c r="N59" s="395"/>
      <c r="O59" s="395"/>
      <c r="P59" s="395"/>
      <c r="Q59" s="395"/>
      <c r="R59" s="395"/>
      <c r="S59" s="395"/>
      <c r="T59" s="395"/>
      <c r="U59" s="395"/>
      <c r="V59" s="395"/>
      <c r="W59" s="395"/>
      <c r="X59" s="395"/>
      <c r="Y59" s="395"/>
      <c r="Z59" s="396"/>
      <c r="AA59" s="397"/>
      <c r="AB59" s="398" t="str">
        <f t="shared" si="0"/>
        <v/>
      </c>
    </row>
    <row r="60" spans="3:28" ht="15" x14ac:dyDescent="0.2">
      <c r="C60" s="1373" t="s">
        <v>192</v>
      </c>
      <c r="D60" s="1374"/>
      <c r="E60" s="1374"/>
      <c r="F60" s="79" t="str">
        <f>IF(Uses!K57=0,"",Uses!K57)</f>
        <v/>
      </c>
      <c r="G60" s="382"/>
      <c r="H60" s="382"/>
      <c r="I60" s="382"/>
      <c r="J60" s="382"/>
      <c r="K60" s="382"/>
      <c r="L60" s="386"/>
      <c r="M60" s="386"/>
      <c r="N60" s="386"/>
      <c r="O60" s="386"/>
      <c r="P60" s="386"/>
      <c r="Q60" s="386"/>
      <c r="R60" s="386"/>
      <c r="S60" s="386"/>
      <c r="T60" s="386"/>
      <c r="U60" s="386"/>
      <c r="V60" s="386"/>
      <c r="W60" s="401"/>
      <c r="X60" s="401"/>
      <c r="Y60" s="401"/>
      <c r="Z60" s="402"/>
      <c r="AA60" s="222">
        <f t="shared" ref="AA60:AA72" si="5">SUM(G60:Z60)</f>
        <v>0</v>
      </c>
      <c r="AB60" s="222" t="str">
        <f t="shared" si="0"/>
        <v/>
      </c>
    </row>
    <row r="61" spans="3:28" ht="15" x14ac:dyDescent="0.2">
      <c r="C61" s="1373" t="s">
        <v>193</v>
      </c>
      <c r="D61" s="1374"/>
      <c r="E61" s="1374"/>
      <c r="F61" s="79" t="str">
        <f>IF(Uses!K58=0,"",Uses!K58)</f>
        <v/>
      </c>
      <c r="G61" s="382"/>
      <c r="H61" s="382"/>
      <c r="I61" s="382"/>
      <c r="J61" s="382"/>
      <c r="K61" s="382"/>
      <c r="L61" s="386"/>
      <c r="M61" s="386"/>
      <c r="N61" s="386"/>
      <c r="O61" s="386"/>
      <c r="P61" s="386"/>
      <c r="Q61" s="386"/>
      <c r="R61" s="386"/>
      <c r="S61" s="386"/>
      <c r="T61" s="386"/>
      <c r="U61" s="386"/>
      <c r="V61" s="386"/>
      <c r="W61" s="401"/>
      <c r="X61" s="401"/>
      <c r="Y61" s="401"/>
      <c r="Z61" s="402"/>
      <c r="AA61" s="222">
        <f t="shared" si="5"/>
        <v>0</v>
      </c>
      <c r="AB61" s="222" t="str">
        <f t="shared" si="0"/>
        <v/>
      </c>
    </row>
    <row r="62" spans="3:28" ht="15" x14ac:dyDescent="0.2">
      <c r="C62" s="1371" t="s">
        <v>226</v>
      </c>
      <c r="D62" s="1372"/>
      <c r="E62" s="1372"/>
      <c r="F62" s="79" t="str">
        <f>IF(Uses!K59=0,"",Uses!K59)</f>
        <v/>
      </c>
      <c r="G62" s="382"/>
      <c r="H62" s="382"/>
      <c r="I62" s="382"/>
      <c r="J62" s="382"/>
      <c r="K62" s="382"/>
      <c r="L62" s="386"/>
      <c r="M62" s="386"/>
      <c r="N62" s="386"/>
      <c r="O62" s="386"/>
      <c r="P62" s="386"/>
      <c r="Q62" s="386"/>
      <c r="R62" s="386"/>
      <c r="S62" s="386"/>
      <c r="T62" s="386"/>
      <c r="U62" s="386"/>
      <c r="V62" s="386"/>
      <c r="W62" s="401"/>
      <c r="X62" s="401"/>
      <c r="Y62" s="401"/>
      <c r="Z62" s="402"/>
      <c r="AA62" s="222">
        <f t="shared" si="5"/>
        <v>0</v>
      </c>
      <c r="AB62" s="222" t="str">
        <f t="shared" si="0"/>
        <v/>
      </c>
    </row>
    <row r="63" spans="3:28" ht="15" x14ac:dyDescent="0.2">
      <c r="C63" s="1373" t="s">
        <v>493</v>
      </c>
      <c r="D63" s="1374"/>
      <c r="E63" s="1374"/>
      <c r="F63" s="79" t="str">
        <f>IF(Uses!K60=0,"",Uses!K60)</f>
        <v/>
      </c>
      <c r="G63" s="382"/>
      <c r="H63" s="382"/>
      <c r="I63" s="382"/>
      <c r="J63" s="382"/>
      <c r="K63" s="382"/>
      <c r="L63" s="386"/>
      <c r="M63" s="386"/>
      <c r="N63" s="386"/>
      <c r="O63" s="386"/>
      <c r="P63" s="386"/>
      <c r="Q63" s="386"/>
      <c r="R63" s="386"/>
      <c r="S63" s="386"/>
      <c r="T63" s="386"/>
      <c r="U63" s="386"/>
      <c r="V63" s="386"/>
      <c r="W63" s="401"/>
      <c r="X63" s="401"/>
      <c r="Y63" s="401"/>
      <c r="Z63" s="402"/>
      <c r="AA63" s="222">
        <f t="shared" si="5"/>
        <v>0</v>
      </c>
      <c r="AB63" s="222" t="str">
        <f t="shared" si="0"/>
        <v/>
      </c>
    </row>
    <row r="64" spans="3:28" ht="15" x14ac:dyDescent="0.2">
      <c r="C64" s="1373" t="s">
        <v>335</v>
      </c>
      <c r="D64" s="1374"/>
      <c r="E64" s="1374"/>
      <c r="F64" s="79" t="str">
        <f>IF(Uses!K61=0,"",Uses!K61)</f>
        <v/>
      </c>
      <c r="G64" s="382"/>
      <c r="H64" s="382"/>
      <c r="I64" s="382"/>
      <c r="J64" s="382"/>
      <c r="K64" s="382"/>
      <c r="L64" s="386"/>
      <c r="M64" s="386"/>
      <c r="N64" s="386"/>
      <c r="O64" s="386"/>
      <c r="P64" s="386"/>
      <c r="Q64" s="386"/>
      <c r="R64" s="386"/>
      <c r="S64" s="386"/>
      <c r="T64" s="386"/>
      <c r="U64" s="386"/>
      <c r="V64" s="386"/>
      <c r="W64" s="401"/>
      <c r="X64" s="401"/>
      <c r="Y64" s="401"/>
      <c r="Z64" s="402"/>
      <c r="AA64" s="222">
        <f t="shared" si="5"/>
        <v>0</v>
      </c>
      <c r="AB64" s="222" t="str">
        <f t="shared" si="0"/>
        <v/>
      </c>
    </row>
    <row r="65" spans="3:28" ht="15" x14ac:dyDescent="0.2">
      <c r="C65" s="1373" t="s">
        <v>336</v>
      </c>
      <c r="D65" s="1374"/>
      <c r="E65" s="1374"/>
      <c r="F65" s="79" t="str">
        <f>IF(Uses!K62=0,"",Uses!K62)</f>
        <v/>
      </c>
      <c r="G65" s="382"/>
      <c r="H65" s="382"/>
      <c r="I65" s="382"/>
      <c r="J65" s="382"/>
      <c r="K65" s="382"/>
      <c r="L65" s="386"/>
      <c r="M65" s="386"/>
      <c r="N65" s="386"/>
      <c r="O65" s="386"/>
      <c r="P65" s="386"/>
      <c r="Q65" s="386"/>
      <c r="R65" s="386"/>
      <c r="S65" s="386"/>
      <c r="T65" s="386"/>
      <c r="U65" s="386"/>
      <c r="V65" s="386"/>
      <c r="W65" s="401"/>
      <c r="X65" s="401"/>
      <c r="Y65" s="401"/>
      <c r="Z65" s="402"/>
      <c r="AA65" s="222">
        <f t="shared" si="5"/>
        <v>0</v>
      </c>
      <c r="AB65" s="222" t="str">
        <f t="shared" si="0"/>
        <v/>
      </c>
    </row>
    <row r="66" spans="3:28" ht="15" x14ac:dyDescent="0.2">
      <c r="C66" s="1373" t="s">
        <v>227</v>
      </c>
      <c r="D66" s="1374"/>
      <c r="E66" s="1374"/>
      <c r="F66" s="79" t="str">
        <f>IF(Uses!K63=0,"",Uses!K63)</f>
        <v/>
      </c>
      <c r="G66" s="382"/>
      <c r="H66" s="382"/>
      <c r="I66" s="382"/>
      <c r="J66" s="382"/>
      <c r="K66" s="382"/>
      <c r="L66" s="386"/>
      <c r="M66" s="386"/>
      <c r="N66" s="386"/>
      <c r="O66" s="386"/>
      <c r="P66" s="386"/>
      <c r="Q66" s="386"/>
      <c r="R66" s="386"/>
      <c r="S66" s="386"/>
      <c r="T66" s="386"/>
      <c r="U66" s="386"/>
      <c r="V66" s="386"/>
      <c r="W66" s="401"/>
      <c r="X66" s="401"/>
      <c r="Y66" s="401"/>
      <c r="Z66" s="402"/>
      <c r="AA66" s="222">
        <f t="shared" si="5"/>
        <v>0</v>
      </c>
      <c r="AB66" s="222" t="str">
        <f t="shared" si="0"/>
        <v/>
      </c>
    </row>
    <row r="67" spans="3:28" ht="15" x14ac:dyDescent="0.2">
      <c r="C67" s="1373" t="s">
        <v>324</v>
      </c>
      <c r="D67" s="1374"/>
      <c r="E67" s="1374"/>
      <c r="F67" s="79" t="str">
        <f>IF(Uses!K64=0,"",Uses!K64)</f>
        <v/>
      </c>
      <c r="G67" s="382"/>
      <c r="H67" s="382"/>
      <c r="I67" s="382"/>
      <c r="J67" s="382"/>
      <c r="K67" s="382"/>
      <c r="L67" s="386"/>
      <c r="M67" s="386"/>
      <c r="N67" s="386"/>
      <c r="O67" s="386"/>
      <c r="P67" s="386"/>
      <c r="Q67" s="386"/>
      <c r="R67" s="386"/>
      <c r="S67" s="386"/>
      <c r="T67" s="386"/>
      <c r="U67" s="386"/>
      <c r="V67" s="386"/>
      <c r="W67" s="401"/>
      <c r="X67" s="401"/>
      <c r="Y67" s="401"/>
      <c r="Z67" s="402"/>
      <c r="AA67" s="222">
        <f t="shared" si="5"/>
        <v>0</v>
      </c>
      <c r="AB67" s="222" t="str">
        <f t="shared" si="0"/>
        <v/>
      </c>
    </row>
    <row r="68" spans="3:28" ht="15" x14ac:dyDescent="0.2">
      <c r="C68" s="1373" t="s">
        <v>323</v>
      </c>
      <c r="D68" s="1374"/>
      <c r="E68" s="1374"/>
      <c r="F68" s="79" t="str">
        <f>IF(Uses!K65=0,"",Uses!K65)</f>
        <v/>
      </c>
      <c r="G68" s="382"/>
      <c r="H68" s="382"/>
      <c r="I68" s="382"/>
      <c r="J68" s="382"/>
      <c r="K68" s="382"/>
      <c r="L68" s="386"/>
      <c r="M68" s="386"/>
      <c r="N68" s="386"/>
      <c r="O68" s="386"/>
      <c r="P68" s="386"/>
      <c r="Q68" s="386"/>
      <c r="R68" s="386"/>
      <c r="S68" s="386"/>
      <c r="T68" s="386"/>
      <c r="U68" s="386"/>
      <c r="V68" s="386"/>
      <c r="W68" s="401"/>
      <c r="X68" s="401"/>
      <c r="Y68" s="401"/>
      <c r="Z68" s="402"/>
      <c r="AA68" s="222">
        <f t="shared" si="5"/>
        <v>0</v>
      </c>
      <c r="AB68" s="222" t="str">
        <f t="shared" si="0"/>
        <v/>
      </c>
    </row>
    <row r="69" spans="3:28" ht="15" x14ac:dyDescent="0.2">
      <c r="C69" s="1373" t="s">
        <v>492</v>
      </c>
      <c r="D69" s="1374"/>
      <c r="E69" s="1374"/>
      <c r="F69" s="79" t="str">
        <f>IF(Uses!K66=0,"",Uses!K66)</f>
        <v/>
      </c>
      <c r="G69" s="382"/>
      <c r="H69" s="382"/>
      <c r="I69" s="382"/>
      <c r="J69" s="382"/>
      <c r="K69" s="382"/>
      <c r="L69" s="386"/>
      <c r="M69" s="386"/>
      <c r="N69" s="386"/>
      <c r="O69" s="386"/>
      <c r="P69" s="386"/>
      <c r="Q69" s="386"/>
      <c r="R69" s="386"/>
      <c r="S69" s="386"/>
      <c r="T69" s="386"/>
      <c r="U69" s="386"/>
      <c r="V69" s="386"/>
      <c r="W69" s="401"/>
      <c r="X69" s="401"/>
      <c r="Y69" s="401"/>
      <c r="Z69" s="402"/>
      <c r="AA69" s="222">
        <f t="shared" si="5"/>
        <v>0</v>
      </c>
      <c r="AB69" s="222" t="str">
        <f t="shared" si="0"/>
        <v/>
      </c>
    </row>
    <row r="70" spans="3:28" ht="15" x14ac:dyDescent="0.2">
      <c r="C70" s="1373" t="s">
        <v>2093</v>
      </c>
      <c r="D70" s="1374"/>
      <c r="E70" s="1374"/>
      <c r="F70" s="79" t="str">
        <f>IF(Uses!K67=0,"",Uses!K67)</f>
        <v/>
      </c>
      <c r="G70" s="382"/>
      <c r="H70" s="382"/>
      <c r="I70" s="382"/>
      <c r="J70" s="382"/>
      <c r="K70" s="382"/>
      <c r="L70" s="386"/>
      <c r="M70" s="386"/>
      <c r="N70" s="386"/>
      <c r="O70" s="386"/>
      <c r="P70" s="386"/>
      <c r="Q70" s="386"/>
      <c r="R70" s="386"/>
      <c r="S70" s="386"/>
      <c r="T70" s="386"/>
      <c r="U70" s="386"/>
      <c r="V70" s="386"/>
      <c r="W70" s="401"/>
      <c r="X70" s="401"/>
      <c r="Y70" s="401"/>
      <c r="Z70" s="402"/>
      <c r="AA70" s="222">
        <f t="shared" si="5"/>
        <v>0</v>
      </c>
      <c r="AB70" s="222" t="str">
        <f t="shared" si="0"/>
        <v/>
      </c>
    </row>
    <row r="71" spans="3:28" ht="15" x14ac:dyDescent="0.2">
      <c r="C71" s="232" t="s">
        <v>229</v>
      </c>
      <c r="D71" s="1368" t="str">
        <f>IF(Uses!D68="[Specify Here]","",Uses!D68)</f>
        <v/>
      </c>
      <c r="E71" s="1368"/>
      <c r="F71" s="79" t="str">
        <f>IF(Uses!K68=0,"",Uses!K68)</f>
        <v/>
      </c>
      <c r="G71" s="382"/>
      <c r="H71" s="382"/>
      <c r="I71" s="382"/>
      <c r="J71" s="382"/>
      <c r="K71" s="382"/>
      <c r="L71" s="386"/>
      <c r="M71" s="386"/>
      <c r="N71" s="386"/>
      <c r="O71" s="386"/>
      <c r="P71" s="386"/>
      <c r="Q71" s="386"/>
      <c r="R71" s="386"/>
      <c r="S71" s="386"/>
      <c r="T71" s="386"/>
      <c r="U71" s="386"/>
      <c r="V71" s="386"/>
      <c r="W71" s="401"/>
      <c r="X71" s="401"/>
      <c r="Y71" s="401"/>
      <c r="Z71" s="402"/>
      <c r="AA71" s="222">
        <f t="shared" si="5"/>
        <v>0</v>
      </c>
      <c r="AB71" s="222" t="str">
        <f t="shared" si="0"/>
        <v/>
      </c>
    </row>
    <row r="72" spans="3:28" ht="15" x14ac:dyDescent="0.2">
      <c r="C72" s="305" t="s">
        <v>229</v>
      </c>
      <c r="D72" s="1368" t="str">
        <f>IF(Uses!D69="[Specify Here]","",Uses!D69)</f>
        <v/>
      </c>
      <c r="E72" s="1368"/>
      <c r="F72" s="79" t="str">
        <f>IF(Uses!K69=0,"",Uses!K69)</f>
        <v/>
      </c>
      <c r="G72" s="382"/>
      <c r="H72" s="382"/>
      <c r="I72" s="382"/>
      <c r="J72" s="382"/>
      <c r="K72" s="382"/>
      <c r="L72" s="386"/>
      <c r="M72" s="386"/>
      <c r="N72" s="386"/>
      <c r="O72" s="386"/>
      <c r="P72" s="386"/>
      <c r="Q72" s="386"/>
      <c r="R72" s="386"/>
      <c r="S72" s="386"/>
      <c r="T72" s="386"/>
      <c r="U72" s="386"/>
      <c r="V72" s="386"/>
      <c r="W72" s="401"/>
      <c r="X72" s="401"/>
      <c r="Y72" s="401"/>
      <c r="Z72" s="402"/>
      <c r="AA72" s="222">
        <f t="shared" si="5"/>
        <v>0</v>
      </c>
      <c r="AB72" s="222" t="str">
        <f t="shared" si="0"/>
        <v/>
      </c>
    </row>
    <row r="73" spans="3:28" ht="15" x14ac:dyDescent="0.2">
      <c r="C73" s="1359" t="s">
        <v>505</v>
      </c>
      <c r="D73" s="1360"/>
      <c r="E73" s="1360"/>
      <c r="F73" s="395"/>
      <c r="G73" s="395"/>
      <c r="H73" s="395"/>
      <c r="I73" s="395"/>
      <c r="J73" s="395"/>
      <c r="K73" s="395"/>
      <c r="L73" s="395"/>
      <c r="M73" s="395"/>
      <c r="N73" s="395"/>
      <c r="O73" s="395"/>
      <c r="P73" s="395"/>
      <c r="Q73" s="395"/>
      <c r="R73" s="395"/>
      <c r="S73" s="395"/>
      <c r="T73" s="395"/>
      <c r="U73" s="395"/>
      <c r="V73" s="395"/>
      <c r="W73" s="395"/>
      <c r="X73" s="395"/>
      <c r="Y73" s="395"/>
      <c r="Z73" s="396"/>
      <c r="AA73" s="397"/>
      <c r="AB73" s="398" t="str">
        <f t="shared" si="0"/>
        <v/>
      </c>
    </row>
    <row r="74" spans="3:28" ht="15" x14ac:dyDescent="0.2">
      <c r="C74" s="1259" t="s">
        <v>2981</v>
      </c>
      <c r="D74" s="1260"/>
      <c r="E74" s="1260"/>
      <c r="F74" s="79">
        <f>IF(Uses!K71=0,"",Uses!K71)</f>
        <v>5000</v>
      </c>
      <c r="G74" s="382"/>
      <c r="H74" s="382"/>
      <c r="I74" s="382"/>
      <c r="J74" s="382"/>
      <c r="K74" s="382"/>
      <c r="L74" s="386"/>
      <c r="M74" s="386"/>
      <c r="N74" s="386"/>
      <c r="O74" s="386"/>
      <c r="P74" s="386"/>
      <c r="Q74" s="386"/>
      <c r="R74" s="386"/>
      <c r="S74" s="386"/>
      <c r="T74" s="386"/>
      <c r="U74" s="386"/>
      <c r="V74" s="386"/>
      <c r="W74" s="401"/>
      <c r="X74" s="401"/>
      <c r="Y74" s="401"/>
      <c r="Z74" s="402"/>
      <c r="AA74" s="222">
        <f t="shared" ref="AA74:AA81" si="6">SUM(G74:Z74)</f>
        <v>0</v>
      </c>
      <c r="AB74" s="222">
        <f t="shared" si="0"/>
        <v>5000</v>
      </c>
    </row>
    <row r="75" spans="3:28" ht="15" x14ac:dyDescent="0.2">
      <c r="C75" s="1259" t="s">
        <v>2982</v>
      </c>
      <c r="D75" s="1260"/>
      <c r="E75" s="1260"/>
      <c r="F75" s="79">
        <f>IF(Uses!K72=0,"",Uses!K72)</f>
        <v>3000</v>
      </c>
      <c r="G75" s="382"/>
      <c r="H75" s="382"/>
      <c r="I75" s="382"/>
      <c r="J75" s="382"/>
      <c r="K75" s="382"/>
      <c r="L75" s="386"/>
      <c r="M75" s="386"/>
      <c r="N75" s="386"/>
      <c r="O75" s="386"/>
      <c r="P75" s="386"/>
      <c r="Q75" s="386"/>
      <c r="R75" s="386"/>
      <c r="S75" s="386"/>
      <c r="T75" s="386"/>
      <c r="U75" s="386"/>
      <c r="V75" s="386"/>
      <c r="W75" s="401"/>
      <c r="X75" s="401"/>
      <c r="Y75" s="401"/>
      <c r="Z75" s="402"/>
      <c r="AA75" s="222">
        <f t="shared" si="6"/>
        <v>0</v>
      </c>
      <c r="AB75" s="222">
        <f t="shared" si="0"/>
        <v>3000</v>
      </c>
    </row>
    <row r="76" spans="3:28" ht="15" x14ac:dyDescent="0.2">
      <c r="C76" s="1259" t="s">
        <v>506</v>
      </c>
      <c r="D76" s="1260"/>
      <c r="E76" s="1260"/>
      <c r="F76" s="79" t="str">
        <f>IF(Uses!K73=0,"",Uses!K73)</f>
        <v/>
      </c>
      <c r="G76" s="382"/>
      <c r="H76" s="382"/>
      <c r="I76" s="382"/>
      <c r="J76" s="382"/>
      <c r="K76" s="382"/>
      <c r="L76" s="386"/>
      <c r="M76" s="386"/>
      <c r="N76" s="386"/>
      <c r="O76" s="386"/>
      <c r="P76" s="386"/>
      <c r="Q76" s="386"/>
      <c r="R76" s="386"/>
      <c r="S76" s="386"/>
      <c r="T76" s="386"/>
      <c r="U76" s="386"/>
      <c r="V76" s="386"/>
      <c r="W76" s="401"/>
      <c r="X76" s="401"/>
      <c r="Y76" s="401"/>
      <c r="Z76" s="402"/>
      <c r="AA76" s="222">
        <f t="shared" si="6"/>
        <v>0</v>
      </c>
      <c r="AB76" s="222" t="str">
        <f t="shared" si="0"/>
        <v/>
      </c>
    </row>
    <row r="77" spans="3:28" ht="15" x14ac:dyDescent="0.2">
      <c r="C77" s="1259" t="s">
        <v>2016</v>
      </c>
      <c r="D77" s="1260"/>
      <c r="E77" s="1260"/>
      <c r="F77" s="79" t="str">
        <f>IF(Uses!K74=0,"",Uses!K74)</f>
        <v/>
      </c>
      <c r="G77" s="382"/>
      <c r="H77" s="382"/>
      <c r="I77" s="382"/>
      <c r="J77" s="382"/>
      <c r="K77" s="382"/>
      <c r="L77" s="386"/>
      <c r="M77" s="386"/>
      <c r="N77" s="386"/>
      <c r="O77" s="386"/>
      <c r="P77" s="386"/>
      <c r="Q77" s="386"/>
      <c r="R77" s="386"/>
      <c r="S77" s="386"/>
      <c r="T77" s="386"/>
      <c r="U77" s="386"/>
      <c r="V77" s="386"/>
      <c r="W77" s="401"/>
      <c r="X77" s="401"/>
      <c r="Y77" s="401"/>
      <c r="Z77" s="402"/>
      <c r="AA77" s="222">
        <f t="shared" si="6"/>
        <v>0</v>
      </c>
      <c r="AB77" s="222" t="str">
        <f t="shared" si="0"/>
        <v/>
      </c>
    </row>
    <row r="78" spans="3:28" ht="15" x14ac:dyDescent="0.2">
      <c r="C78" s="1259" t="s">
        <v>2015</v>
      </c>
      <c r="D78" s="1260"/>
      <c r="E78" s="1260"/>
      <c r="F78" s="79" t="str">
        <f>IF(Uses!K75=0,"",Uses!K75)</f>
        <v/>
      </c>
      <c r="G78" s="382"/>
      <c r="H78" s="382"/>
      <c r="I78" s="382"/>
      <c r="J78" s="382"/>
      <c r="K78" s="382"/>
      <c r="L78" s="386"/>
      <c r="M78" s="386"/>
      <c r="N78" s="386"/>
      <c r="O78" s="386"/>
      <c r="P78" s="386"/>
      <c r="Q78" s="386"/>
      <c r="R78" s="386"/>
      <c r="S78" s="386"/>
      <c r="T78" s="386"/>
      <c r="U78" s="386"/>
      <c r="V78" s="386"/>
      <c r="W78" s="401"/>
      <c r="X78" s="401"/>
      <c r="Y78" s="401"/>
      <c r="Z78" s="402"/>
      <c r="AA78" s="222">
        <f t="shared" si="6"/>
        <v>0</v>
      </c>
      <c r="AB78" s="222" t="str">
        <f t="shared" ref="AB78:AB89" si="7">IF(F78="","",F78-AA78)</f>
        <v/>
      </c>
    </row>
    <row r="79" spans="3:28" ht="15" x14ac:dyDescent="0.2">
      <c r="C79" s="1259" t="s">
        <v>2983</v>
      </c>
      <c r="D79" s="1260"/>
      <c r="E79" s="1260"/>
      <c r="F79" s="79" t="str">
        <f>IF(Uses!K76=0,"",Uses!K76)</f>
        <v/>
      </c>
      <c r="G79" s="382"/>
      <c r="H79" s="382"/>
      <c r="I79" s="382"/>
      <c r="J79" s="382"/>
      <c r="K79" s="382"/>
      <c r="L79" s="386"/>
      <c r="M79" s="386"/>
      <c r="N79" s="386"/>
      <c r="O79" s="386"/>
      <c r="P79" s="386"/>
      <c r="Q79" s="386"/>
      <c r="R79" s="386"/>
      <c r="S79" s="386"/>
      <c r="T79" s="386"/>
      <c r="U79" s="386"/>
      <c r="V79" s="386"/>
      <c r="W79" s="401"/>
      <c r="X79" s="401"/>
      <c r="Y79" s="401"/>
      <c r="Z79" s="402"/>
      <c r="AA79" s="222">
        <f t="shared" si="6"/>
        <v>0</v>
      </c>
      <c r="AB79" s="222" t="str">
        <f t="shared" si="7"/>
        <v/>
      </c>
    </row>
    <row r="80" spans="3:28" ht="15" x14ac:dyDescent="0.2">
      <c r="C80" s="232" t="s">
        <v>229</v>
      </c>
      <c r="D80" s="1368" t="str">
        <f>IF(Uses!D77="[Specify Here]","",Uses!D77)</f>
        <v/>
      </c>
      <c r="E80" s="1368"/>
      <c r="F80" s="79" t="str">
        <f>IF(Uses!K77=0,"",Uses!K77)</f>
        <v/>
      </c>
      <c r="G80" s="382"/>
      <c r="H80" s="382"/>
      <c r="I80" s="382"/>
      <c r="J80" s="382"/>
      <c r="K80" s="382"/>
      <c r="L80" s="386"/>
      <c r="M80" s="386"/>
      <c r="N80" s="386"/>
      <c r="O80" s="386"/>
      <c r="P80" s="386"/>
      <c r="Q80" s="386"/>
      <c r="R80" s="386"/>
      <c r="S80" s="386"/>
      <c r="T80" s="386"/>
      <c r="U80" s="386"/>
      <c r="V80" s="386"/>
      <c r="W80" s="401"/>
      <c r="X80" s="401"/>
      <c r="Y80" s="401"/>
      <c r="Z80" s="402"/>
      <c r="AA80" s="222">
        <f t="shared" si="6"/>
        <v>0</v>
      </c>
      <c r="AB80" s="222" t="str">
        <f t="shared" si="7"/>
        <v/>
      </c>
    </row>
    <row r="81" spans="3:28" ht="15" x14ac:dyDescent="0.2">
      <c r="C81" s="305" t="s">
        <v>229</v>
      </c>
      <c r="D81" s="1368" t="str">
        <f>IF(Uses!D78="[Specify Here]","",Uses!D78)</f>
        <v/>
      </c>
      <c r="E81" s="1368"/>
      <c r="F81" s="79" t="str">
        <f>IF(Uses!K78=0,"",Uses!K78)</f>
        <v/>
      </c>
      <c r="G81" s="382"/>
      <c r="H81" s="382"/>
      <c r="I81" s="382"/>
      <c r="J81" s="382"/>
      <c r="K81" s="382"/>
      <c r="L81" s="386"/>
      <c r="M81" s="386"/>
      <c r="N81" s="386"/>
      <c r="O81" s="386"/>
      <c r="P81" s="386"/>
      <c r="Q81" s="386"/>
      <c r="R81" s="386"/>
      <c r="S81" s="386"/>
      <c r="T81" s="386"/>
      <c r="U81" s="386"/>
      <c r="V81" s="386"/>
      <c r="W81" s="401"/>
      <c r="X81" s="401"/>
      <c r="Y81" s="401"/>
      <c r="Z81" s="402"/>
      <c r="AA81" s="222">
        <f t="shared" si="6"/>
        <v>0</v>
      </c>
      <c r="AB81" s="222" t="str">
        <f t="shared" si="7"/>
        <v/>
      </c>
    </row>
    <row r="82" spans="3:28" ht="14.25" customHeight="1" x14ac:dyDescent="0.2">
      <c r="C82" s="1359" t="s">
        <v>359</v>
      </c>
      <c r="D82" s="1360"/>
      <c r="E82" s="1360"/>
      <c r="F82" s="395"/>
      <c r="G82" s="395"/>
      <c r="H82" s="395"/>
      <c r="I82" s="395"/>
      <c r="J82" s="395"/>
      <c r="K82" s="395"/>
      <c r="L82" s="395"/>
      <c r="M82" s="395"/>
      <c r="N82" s="395"/>
      <c r="O82" s="395"/>
      <c r="P82" s="395"/>
      <c r="Q82" s="395"/>
      <c r="R82" s="395"/>
      <c r="S82" s="395"/>
      <c r="T82" s="395"/>
      <c r="U82" s="395"/>
      <c r="V82" s="395"/>
      <c r="W82" s="395"/>
      <c r="X82" s="395"/>
      <c r="Y82" s="395"/>
      <c r="Z82" s="396"/>
      <c r="AA82" s="397"/>
      <c r="AB82" s="398" t="str">
        <f t="shared" si="7"/>
        <v/>
      </c>
    </row>
    <row r="83" spans="3:28" ht="15" x14ac:dyDescent="0.2">
      <c r="C83" s="1259" t="s">
        <v>494</v>
      </c>
      <c r="D83" s="1260"/>
      <c r="E83" s="1260"/>
      <c r="F83" s="79" t="str">
        <f>IF(Uses!K80=0,"",Uses!K80)</f>
        <v/>
      </c>
      <c r="G83" s="382"/>
      <c r="H83" s="382"/>
      <c r="I83" s="382"/>
      <c r="J83" s="382"/>
      <c r="K83" s="382"/>
      <c r="L83" s="386"/>
      <c r="M83" s="386"/>
      <c r="N83" s="386"/>
      <c r="O83" s="386"/>
      <c r="P83" s="386"/>
      <c r="Q83" s="386"/>
      <c r="R83" s="386"/>
      <c r="S83" s="386"/>
      <c r="T83" s="386"/>
      <c r="U83" s="386"/>
      <c r="V83" s="386"/>
      <c r="W83" s="401"/>
      <c r="X83" s="401"/>
      <c r="Y83" s="401"/>
      <c r="Z83" s="402"/>
      <c r="AA83" s="222">
        <f>SUM(G83:Z83)</f>
        <v>0</v>
      </c>
      <c r="AB83" s="222" t="str">
        <f t="shared" si="7"/>
        <v/>
      </c>
    </row>
    <row r="84" spans="3:28" ht="15" x14ac:dyDescent="0.2">
      <c r="C84" s="1369" t="s">
        <v>495</v>
      </c>
      <c r="D84" s="1370"/>
      <c r="E84" s="1370"/>
      <c r="F84" s="79" t="str">
        <f>IF(Uses!K81=0,"",Uses!K81)</f>
        <v/>
      </c>
      <c r="G84" s="382"/>
      <c r="H84" s="382"/>
      <c r="I84" s="382"/>
      <c r="J84" s="382"/>
      <c r="K84" s="382"/>
      <c r="L84" s="386"/>
      <c r="M84" s="386"/>
      <c r="N84" s="386"/>
      <c r="O84" s="386"/>
      <c r="P84" s="386"/>
      <c r="Q84" s="386"/>
      <c r="R84" s="386"/>
      <c r="S84" s="386"/>
      <c r="T84" s="386"/>
      <c r="U84" s="386"/>
      <c r="V84" s="386"/>
      <c r="W84" s="401"/>
      <c r="X84" s="401"/>
      <c r="Y84" s="401"/>
      <c r="Z84" s="402"/>
      <c r="AA84" s="222">
        <f>SUM(G84:Z84)</f>
        <v>0</v>
      </c>
      <c r="AB84" s="222" t="str">
        <f t="shared" si="7"/>
        <v/>
      </c>
    </row>
    <row r="85" spans="3:28" ht="15" x14ac:dyDescent="0.2">
      <c r="C85" s="232" t="s">
        <v>229</v>
      </c>
      <c r="D85" s="1368" t="str">
        <f>IF(Uses!D82="[Specify Here]","",Uses!D82)</f>
        <v/>
      </c>
      <c r="E85" s="1368"/>
      <c r="F85" s="79" t="str">
        <f>IF(Uses!K82=0,"",Uses!K82)</f>
        <v/>
      </c>
      <c r="G85" s="382"/>
      <c r="H85" s="382"/>
      <c r="I85" s="382"/>
      <c r="J85" s="382"/>
      <c r="K85" s="382"/>
      <c r="L85" s="386"/>
      <c r="M85" s="386"/>
      <c r="N85" s="386"/>
      <c r="O85" s="386"/>
      <c r="P85" s="386"/>
      <c r="Q85" s="386"/>
      <c r="R85" s="386"/>
      <c r="S85" s="386"/>
      <c r="T85" s="386"/>
      <c r="U85" s="386"/>
      <c r="V85" s="386"/>
      <c r="W85" s="401"/>
      <c r="X85" s="401"/>
      <c r="Y85" s="401"/>
      <c r="Z85" s="403"/>
      <c r="AA85" s="222">
        <f>SUM(G85:Z85)</f>
        <v>0</v>
      </c>
      <c r="AB85" s="222" t="str">
        <f t="shared" si="7"/>
        <v/>
      </c>
    </row>
    <row r="86" spans="3:28" ht="15" x14ac:dyDescent="0.2">
      <c r="C86" s="305" t="s">
        <v>229</v>
      </c>
      <c r="D86" s="1368" t="str">
        <f>IF(Uses!D83="[Specify Here]","",Uses!D83)</f>
        <v/>
      </c>
      <c r="E86" s="1368"/>
      <c r="F86" s="79" t="str">
        <f>IF(Uses!K83=0,"",Uses!K83)</f>
        <v/>
      </c>
      <c r="G86" s="382"/>
      <c r="H86" s="382"/>
      <c r="I86" s="382"/>
      <c r="J86" s="382"/>
      <c r="K86" s="382"/>
      <c r="L86" s="382"/>
      <c r="M86" s="382"/>
      <c r="N86" s="382"/>
      <c r="O86" s="382"/>
      <c r="P86" s="382"/>
      <c r="Q86" s="382"/>
      <c r="R86" s="382"/>
      <c r="S86" s="382"/>
      <c r="T86" s="382"/>
      <c r="U86" s="382"/>
      <c r="V86" s="382"/>
      <c r="W86" s="404"/>
      <c r="X86" s="404"/>
      <c r="Y86" s="404"/>
      <c r="Z86" s="403"/>
      <c r="AA86" s="222">
        <f>SUM(G86:Z86)</f>
        <v>0</v>
      </c>
      <c r="AB86" s="222" t="str">
        <f t="shared" si="7"/>
        <v/>
      </c>
    </row>
    <row r="87" spans="3:28" ht="5.25" customHeight="1" x14ac:dyDescent="0.2">
      <c r="C87" s="25"/>
      <c r="D87" s="73"/>
      <c r="E87" s="73"/>
      <c r="F87" s="200"/>
      <c r="G87" s="103"/>
      <c r="H87" s="103"/>
      <c r="I87" s="103"/>
      <c r="J87" s="103"/>
      <c r="K87" s="103"/>
      <c r="L87" s="103"/>
      <c r="M87" s="103"/>
      <c r="N87" s="103"/>
      <c r="O87" s="103"/>
      <c r="P87" s="103"/>
      <c r="Q87" s="103"/>
      <c r="R87" s="103"/>
      <c r="S87" s="103"/>
      <c r="T87" s="103"/>
      <c r="U87" s="103"/>
      <c r="V87" s="103"/>
      <c r="W87" s="103"/>
      <c r="X87" s="103"/>
      <c r="Y87" s="103"/>
      <c r="Z87" s="103"/>
      <c r="AA87" s="225"/>
      <c r="AB87" s="338" t="str">
        <f t="shared" si="7"/>
        <v/>
      </c>
    </row>
    <row r="88" spans="3:28" ht="15" x14ac:dyDescent="0.2">
      <c r="C88" s="233"/>
      <c r="D88" s="1383" t="s">
        <v>325</v>
      </c>
      <c r="E88" s="1384"/>
      <c r="F88" s="224">
        <f t="shared" ref="F88:N88" si="8">SUM(F12:F86)</f>
        <v>8000</v>
      </c>
      <c r="G88" s="223">
        <f t="shared" si="8"/>
        <v>0</v>
      </c>
      <c r="H88" s="223">
        <f t="shared" si="8"/>
        <v>0</v>
      </c>
      <c r="I88" s="106">
        <f t="shared" si="8"/>
        <v>0</v>
      </c>
      <c r="J88" s="106">
        <f t="shared" si="8"/>
        <v>0</v>
      </c>
      <c r="K88" s="106">
        <f t="shared" si="8"/>
        <v>0</v>
      </c>
      <c r="L88" s="106">
        <f t="shared" si="8"/>
        <v>0</v>
      </c>
      <c r="M88" s="106">
        <f t="shared" si="8"/>
        <v>0</v>
      </c>
      <c r="N88" s="106">
        <f t="shared" si="8"/>
        <v>0</v>
      </c>
      <c r="O88" s="106">
        <f t="shared" ref="O88:R88" si="9">SUM(O12:O86)</f>
        <v>0</v>
      </c>
      <c r="P88" s="106">
        <f t="shared" si="9"/>
        <v>0</v>
      </c>
      <c r="Q88" s="106">
        <f t="shared" si="9"/>
        <v>0</v>
      </c>
      <c r="R88" s="106">
        <f t="shared" si="9"/>
        <v>0</v>
      </c>
      <c r="S88" s="106">
        <f>SUM(S12:S86)</f>
        <v>0</v>
      </c>
      <c r="T88" s="106">
        <f>SUM(T12:T86)</f>
        <v>0</v>
      </c>
      <c r="U88" s="106">
        <f>SUM(U12:U86)</f>
        <v>0</v>
      </c>
      <c r="V88" s="106">
        <f>SUM(V12:V86)</f>
        <v>0</v>
      </c>
      <c r="W88" s="106">
        <f>SUM(W12:W86)</f>
        <v>0</v>
      </c>
      <c r="X88" s="106"/>
      <c r="Y88" s="106">
        <f>SUM(Y12:Y86)</f>
        <v>0</v>
      </c>
      <c r="Z88" s="224">
        <f>SUM(Z12:Z86)</f>
        <v>0</v>
      </c>
      <c r="AA88" s="223">
        <f>SUM(AA12:AA86)</f>
        <v>0</v>
      </c>
      <c r="AB88" s="222">
        <f t="shared" si="7"/>
        <v>8000</v>
      </c>
    </row>
    <row r="89" spans="3:28" ht="15" x14ac:dyDescent="0.2">
      <c r="D89" s="1385" t="s">
        <v>2096</v>
      </c>
      <c r="E89" s="1386"/>
      <c r="F89" s="306">
        <f>F88-SUM(G88:Z88)</f>
        <v>8000</v>
      </c>
      <c r="G89" s="307">
        <f t="shared" ref="G89:N89" si="10">G10-G88</f>
        <v>0</v>
      </c>
      <c r="H89" s="307">
        <f t="shared" si="10"/>
        <v>0</v>
      </c>
      <c r="I89" s="177">
        <f t="shared" si="10"/>
        <v>0</v>
      </c>
      <c r="J89" s="177">
        <f t="shared" si="10"/>
        <v>0</v>
      </c>
      <c r="K89" s="177">
        <f t="shared" si="10"/>
        <v>0</v>
      </c>
      <c r="L89" s="177">
        <f t="shared" si="10"/>
        <v>0</v>
      </c>
      <c r="M89" s="177">
        <f t="shared" si="10"/>
        <v>0</v>
      </c>
      <c r="N89" s="177">
        <f t="shared" si="10"/>
        <v>0</v>
      </c>
      <c r="O89" s="177">
        <f t="shared" ref="O89:R89" si="11">O10-O88</f>
        <v>0</v>
      </c>
      <c r="P89" s="177">
        <f t="shared" si="11"/>
        <v>0</v>
      </c>
      <c r="Q89" s="177">
        <f t="shared" si="11"/>
        <v>0</v>
      </c>
      <c r="R89" s="177">
        <f t="shared" si="11"/>
        <v>0</v>
      </c>
      <c r="S89" s="177">
        <f>S10-S88</f>
        <v>0</v>
      </c>
      <c r="T89" s="177">
        <f>T10-T88</f>
        <v>0</v>
      </c>
      <c r="U89" s="177">
        <f>U10-U88</f>
        <v>0</v>
      </c>
      <c r="V89" s="177">
        <f>V10-V88</f>
        <v>0</v>
      </c>
      <c r="W89" s="177">
        <f>W10-W88</f>
        <v>0</v>
      </c>
      <c r="X89" s="177"/>
      <c r="Y89" s="177">
        <f>Y10-Y88</f>
        <v>0</v>
      </c>
      <c r="Z89" s="306">
        <f>Z10-Z88</f>
        <v>0</v>
      </c>
      <c r="AA89" s="307">
        <f>AA10-AA88</f>
        <v>0</v>
      </c>
      <c r="AB89" s="222">
        <f t="shared" si="7"/>
        <v>8000</v>
      </c>
    </row>
    <row r="90" spans="3:28" x14ac:dyDescent="0.2"/>
  </sheetData>
  <sheetProtection algorithmName="SHA-512" hashValue="D2VvqUbc641PnB7svjktiUQTe4IJj+u/OOVx2o+Eb7KKweYDO5Uv0HM5fFMVbeUXHSyc7q/xVM69bO37/t5GzQ==" saltValue="kRwlz6QBSe6XVY9tEW2hWw==" spinCount="100000" sheet="1" objects="1" scenarios="1"/>
  <mergeCells count="87">
    <mergeCell ref="D88:E88"/>
    <mergeCell ref="D89:E89"/>
    <mergeCell ref="C23:E23"/>
    <mergeCell ref="C24:E24"/>
    <mergeCell ref="D25:E25"/>
    <mergeCell ref="C27:E27"/>
    <mergeCell ref="D32:E32"/>
    <mergeCell ref="D33:E33"/>
    <mergeCell ref="C35:E35"/>
    <mergeCell ref="C36:E36"/>
    <mergeCell ref="C28:E28"/>
    <mergeCell ref="C29:E29"/>
    <mergeCell ref="C30:E30"/>
    <mergeCell ref="C31:E31"/>
    <mergeCell ref="C37:E37"/>
    <mergeCell ref="C34:E34"/>
    <mergeCell ref="B6:N6"/>
    <mergeCell ref="C11:E11"/>
    <mergeCell ref="D15:E15"/>
    <mergeCell ref="D16:E16"/>
    <mergeCell ref="C9:E9"/>
    <mergeCell ref="C10:E10"/>
    <mergeCell ref="B7:AB7"/>
    <mergeCell ref="W2:AB2"/>
    <mergeCell ref="D48:E48"/>
    <mergeCell ref="C50:E50"/>
    <mergeCell ref="L3:M3"/>
    <mergeCell ref="C12:E12"/>
    <mergeCell ref="C13:E13"/>
    <mergeCell ref="C14:E14"/>
    <mergeCell ref="C18:E18"/>
    <mergeCell ref="C19:E19"/>
    <mergeCell ref="C20:E20"/>
    <mergeCell ref="C21:E21"/>
    <mergeCell ref="C22:E22"/>
    <mergeCell ref="D26:E26"/>
    <mergeCell ref="B2:G2"/>
    <mergeCell ref="B3:G3"/>
    <mergeCell ref="C17:E17"/>
    <mergeCell ref="C38:E38"/>
    <mergeCell ref="C39:E39"/>
    <mergeCell ref="C40:E40"/>
    <mergeCell ref="C41:E41"/>
    <mergeCell ref="C42:E42"/>
    <mergeCell ref="C43:E43"/>
    <mergeCell ref="C44:E44"/>
    <mergeCell ref="C45:E45"/>
    <mergeCell ref="C46:E46"/>
    <mergeCell ref="D47:E47"/>
    <mergeCell ref="Z3:AB3"/>
    <mergeCell ref="D72:E72"/>
    <mergeCell ref="C63:E63"/>
    <mergeCell ref="C64:E64"/>
    <mergeCell ref="C65:E65"/>
    <mergeCell ref="C66:E66"/>
    <mergeCell ref="C67:E67"/>
    <mergeCell ref="C68:E68"/>
    <mergeCell ref="C56:E56"/>
    <mergeCell ref="D57:E57"/>
    <mergeCell ref="D58:E58"/>
    <mergeCell ref="C60:E60"/>
    <mergeCell ref="C61:E61"/>
    <mergeCell ref="C52:E52"/>
    <mergeCell ref="C53:E53"/>
    <mergeCell ref="C54:E54"/>
    <mergeCell ref="C49:E49"/>
    <mergeCell ref="D80:E80"/>
    <mergeCell ref="D81:E81"/>
    <mergeCell ref="C83:E83"/>
    <mergeCell ref="C84:E84"/>
    <mergeCell ref="C74:E74"/>
    <mergeCell ref="C76:E76"/>
    <mergeCell ref="C77:E77"/>
    <mergeCell ref="C78:E78"/>
    <mergeCell ref="C79:E79"/>
    <mergeCell ref="C62:E62"/>
    <mergeCell ref="C69:E69"/>
    <mergeCell ref="C70:E70"/>
    <mergeCell ref="D71:E71"/>
    <mergeCell ref="C51:E51"/>
    <mergeCell ref="C55:E55"/>
    <mergeCell ref="C75:E75"/>
    <mergeCell ref="D86:E86"/>
    <mergeCell ref="C82:E82"/>
    <mergeCell ref="C73:E73"/>
    <mergeCell ref="C59:E59"/>
    <mergeCell ref="D85:E85"/>
  </mergeCells>
  <conditionalFormatting sqref="F12:AB16 F18:AB26 F28:AB33 F35:AB48 F50:AB58 F60:AB72 F74:AB81 F83:AB86">
    <cfRule type="expression" dxfId="218" priority="1">
      <formula>OR($F12="",$F12=0)</formula>
    </cfRule>
  </conditionalFormatting>
  <conditionalFormatting sqref="G9:Z10 G88:Z89">
    <cfRule type="expression" dxfId="217" priority="5">
      <formula>G$10=0</formula>
    </cfRule>
  </conditionalFormatting>
  <conditionalFormatting sqref="G12:Z16 G18:Z26 G28:Z33 G35:Z48 G50:Z58 G60:Z72 G74:Z81 G83:Z86">
    <cfRule type="expression" dxfId="216" priority="6">
      <formula>G$10=0</formula>
    </cfRule>
  </conditionalFormatting>
  <dataValidations count="5">
    <dataValidation allowBlank="1" showErrorMessage="1" error="A whole number must be entered." prompt="Enter whole numbers only." sqref="H9:AA10 H11:J11 G9:G11" xr:uid="{62E28602-4898-4350-8091-BB8D6BE89A62}"/>
    <dataValidation type="whole" allowBlank="1" showErrorMessage="1" error="A whole number must be entered." prompt="Enter whole numbers only." sqref="F88 G87:K88" xr:uid="{0385632E-2CD9-4CCE-910B-73F5FAD97BC9}">
      <formula1>0</formula1>
      <formula2>9.99999999999999E+44</formula2>
    </dataValidation>
    <dataValidation type="custom" allowBlank="1" showInputMessage="1" showErrorMessage="1" errorTitle="HDAP Ineligible Use" error="HDAP resources are federally prohibited from being used for this budget line item." sqref="G84:Z86 G15:Z16 G25:Z26 G29:Z29 G32:Z33 G41:Z41 G43:Z44 G47:Z48 G50:Z50 G56:Z56 G57:Z58 G68:Z68 G67:Z67 G70:Z70 G72:Z72 G71:Z71 G74:G78 H74:Z78 G80:Z81" xr:uid="{6A6FF985-20E3-4BE9-84FD-C4E1F15DDAFA}">
      <formula1>ISNUMBER(SEARCH("HDAP",G$9))*1=0</formula1>
    </dataValidation>
    <dataValidation type="custom" allowBlank="1" showInputMessage="1" showErrorMessage="1" errorTitle="HDAP Ineligible Use" error="HDAP resources are federally prohibited from being used for this budget line item." sqref="F41 F29 F43:F44 F85:F86" xr:uid="{9DF3EF60-402A-4611-B7FB-72389531DCB7}">
      <formula1>ISNUMBER(SEARCH("HDAP",G$9))*1=0</formula1>
    </dataValidation>
    <dataValidation allowBlank="1" showInputMessage="1" showErrorMessage="1" errorTitle="HDAP Ineligible Use" error="HDAP resources are federally prohibited from being used for this budget line item." sqref="G13:Z13" xr:uid="{D1B55A01-BAD4-41E8-85AF-9A4161169FE9}"/>
  </dataValidations>
  <pageMargins left="0.7" right="0.7" top="0.75" bottom="0.75" header="0.3" footer="0.3"/>
  <pageSetup scale="38" fitToWidth="2" orientation="landscape" r:id="rId1"/>
  <headerFooter>
    <oddFooter>&amp;L&amp;"-,Bold"&amp;9Permanent Sources by Uses Tab&amp;"-,Regular"
Affordable Housing Funding Application&amp;C&amp;9Ohio Housing Finance Agency&amp;R&amp;9Page &amp;P of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fitToPage="1"/>
  </sheetPr>
  <dimension ref="A1:Q72"/>
  <sheetViews>
    <sheetView zoomScale="85" zoomScaleNormal="85" workbookViewId="0"/>
  </sheetViews>
  <sheetFormatPr defaultColWidth="0" defaultRowHeight="14.25" zeroHeight="1" x14ac:dyDescent="0.2"/>
  <cols>
    <col min="1" max="1" width="2.625" style="1" customWidth="1"/>
    <col min="2" max="2" width="0.625" style="1" customWidth="1"/>
    <col min="3" max="5" width="13.625" style="1" customWidth="1"/>
    <col min="6" max="10" width="15.625" style="1" customWidth="1"/>
    <col min="11" max="14" width="14.625" style="1" customWidth="1"/>
    <col min="15" max="15" width="14.625" style="1" hidden="1" customWidth="1"/>
    <col min="16" max="17" width="0" style="1" hidden="1" customWidth="1"/>
    <col min="18" max="16384" width="14.625" style="1" hidden="1"/>
  </cols>
  <sheetData>
    <row r="1" spans="2:14" ht="55.5" customHeight="1" x14ac:dyDescent="0.2"/>
    <row r="2" spans="2:14" ht="25.5" customHeight="1" x14ac:dyDescent="0.2">
      <c r="B2" s="1211" t="s">
        <v>587</v>
      </c>
      <c r="C2" s="1212"/>
      <c r="D2" s="1212"/>
      <c r="E2" s="1212"/>
      <c r="F2" s="1212"/>
      <c r="G2" s="1217" t="str">
        <f>CONCATENATE(IF(Instructions!$K$2="","",Instructions!$K$2)," ",IF(Details!$E$11="","",Details!$E$11))</f>
        <v>2026 9% LIHTC AHFA Proposal Application</v>
      </c>
      <c r="H2" s="1217"/>
      <c r="I2" s="1217"/>
      <c r="J2" s="1218"/>
    </row>
    <row r="3" spans="2:14" ht="20.25" customHeight="1" x14ac:dyDescent="0.2">
      <c r="B3" s="1166" t="s">
        <v>437</v>
      </c>
      <c r="C3" s="1167"/>
      <c r="D3" s="1167"/>
      <c r="E3" s="1167"/>
      <c r="F3" s="1167"/>
      <c r="G3" s="1219" t="str">
        <f>IF(Details!$E$12="","",CONCATENATE("Project Name: ",Details!$E$12))</f>
        <v/>
      </c>
      <c r="H3" s="1219"/>
      <c r="I3" s="1219"/>
      <c r="J3" s="1220"/>
    </row>
    <row r="4" spans="2:14" x14ac:dyDescent="0.2"/>
    <row r="5" spans="2:14" x14ac:dyDescent="0.2"/>
    <row r="6" spans="2:14" ht="15" x14ac:dyDescent="0.2">
      <c r="B6" s="147" t="s">
        <v>587</v>
      </c>
      <c r="C6" s="147"/>
      <c r="D6" s="147"/>
      <c r="E6" s="147"/>
      <c r="F6" s="147"/>
      <c r="G6" s="147"/>
      <c r="H6" s="147"/>
      <c r="I6" s="147"/>
      <c r="J6" s="147"/>
      <c r="K6" s="147"/>
      <c r="L6" s="147"/>
    </row>
    <row r="7" spans="2:14" ht="3" customHeight="1" x14ac:dyDescent="0.2">
      <c r="B7" s="1387"/>
      <c r="C7" s="1387"/>
      <c r="D7" s="1387"/>
      <c r="E7" s="1387"/>
      <c r="F7" s="1387"/>
      <c r="G7" s="1387"/>
      <c r="H7" s="1387"/>
      <c r="I7" s="1387"/>
      <c r="J7" s="1387"/>
    </row>
    <row r="8" spans="2:14" x14ac:dyDescent="0.2"/>
    <row r="9" spans="2:14" ht="30" customHeight="1" x14ac:dyDescent="0.25">
      <c r="B9" s="2"/>
      <c r="F9" s="1004" t="s">
        <v>2124</v>
      </c>
      <c r="G9" s="1004" t="s">
        <v>2029</v>
      </c>
      <c r="H9" s="1004" t="s">
        <v>2030</v>
      </c>
      <c r="I9" s="4"/>
    </row>
    <row r="10" spans="2:14" ht="14.25" customHeight="1" x14ac:dyDescent="0.25">
      <c r="B10" s="2"/>
      <c r="C10" s="1149" t="s">
        <v>642</v>
      </c>
      <c r="D10" s="1149"/>
      <c r="E10" s="1204"/>
      <c r="F10" s="92">
        <f>Uses!F84</f>
        <v>0</v>
      </c>
      <c r="G10" s="92">
        <f>Uses!G84</f>
        <v>0</v>
      </c>
      <c r="H10" s="92">
        <f>Uses!H84</f>
        <v>0</v>
      </c>
    </row>
    <row r="11" spans="2:14" ht="14.25" customHeight="1" x14ac:dyDescent="0.2">
      <c r="C11" s="1149" t="s">
        <v>2102</v>
      </c>
      <c r="D11" s="1149"/>
      <c r="E11" s="1204"/>
      <c r="F11" s="206"/>
      <c r="G11" s="701"/>
      <c r="H11" s="206"/>
    </row>
    <row r="12" spans="2:14" ht="14.25" customHeight="1" x14ac:dyDescent="0.2">
      <c r="C12" s="1149" t="s">
        <v>643</v>
      </c>
      <c r="D12" s="1149"/>
      <c r="E12" s="1204"/>
      <c r="F12" s="405"/>
      <c r="G12" s="405"/>
      <c r="H12" s="405"/>
    </row>
    <row r="13" spans="2:14" ht="14.25" customHeight="1" x14ac:dyDescent="0.2">
      <c r="C13" s="1149" t="s">
        <v>2103</v>
      </c>
      <c r="D13" s="1149"/>
      <c r="E13" s="1204"/>
      <c r="F13" s="405"/>
      <c r="G13" s="405"/>
      <c r="H13" s="405"/>
    </row>
    <row r="14" spans="2:14" ht="14.25" customHeight="1" x14ac:dyDescent="0.2">
      <c r="C14" s="1149" t="s">
        <v>644</v>
      </c>
      <c r="D14" s="1149"/>
      <c r="E14" s="1204"/>
      <c r="F14" s="92">
        <f>F10-SUM(F12:F13)</f>
        <v>0</v>
      </c>
      <c r="G14" s="92">
        <f>G10-SUM(G11:G13)</f>
        <v>0</v>
      </c>
      <c r="H14" s="92">
        <f>H10-SUM(H12:H13)</f>
        <v>0</v>
      </c>
      <c r="I14" s="84">
        <f>IFERROR(H14+G14+F14,0)</f>
        <v>0</v>
      </c>
    </row>
    <row r="15" spans="2:14" ht="15.75" customHeight="1" x14ac:dyDescent="0.25">
      <c r="C15" s="1149"/>
      <c r="D15" s="1149"/>
      <c r="E15" s="1149"/>
      <c r="I15" s="207"/>
      <c r="K15" s="131" t="s">
        <v>3484</v>
      </c>
      <c r="L15" s="30"/>
      <c r="M15" s="30"/>
      <c r="N15" s="30"/>
    </row>
    <row r="16" spans="2:14" x14ac:dyDescent="0.2">
      <c r="C16" s="1149" t="s">
        <v>2018</v>
      </c>
      <c r="D16" s="1149"/>
      <c r="E16" s="1149"/>
      <c r="F16" s="206"/>
      <c r="G16" s="113">
        <f>Site!$F$80</f>
        <v>0</v>
      </c>
      <c r="H16" s="113">
        <f>Site!$F$80</f>
        <v>0</v>
      </c>
      <c r="I16" s="3"/>
    </row>
    <row r="17" spans="3:14" x14ac:dyDescent="0.2">
      <c r="C17" s="1149" t="s">
        <v>2082</v>
      </c>
      <c r="D17" s="1149"/>
      <c r="E17" s="1149"/>
      <c r="F17" s="206"/>
      <c r="G17" s="197">
        <f>1.3*G16</f>
        <v>0</v>
      </c>
      <c r="H17" s="197">
        <f>1.3*H16</f>
        <v>0</v>
      </c>
      <c r="I17" s="208">
        <f>IFERROR(H17+G17+F17,0)</f>
        <v>0</v>
      </c>
      <c r="M17" s="1320" t="s">
        <v>163</v>
      </c>
      <c r="N17" s="1180" t="s">
        <v>3503</v>
      </c>
    </row>
    <row r="18" spans="3:14" x14ac:dyDescent="0.2">
      <c r="C18" s="1149" t="s">
        <v>2697</v>
      </c>
      <c r="D18" s="1149"/>
      <c r="E18" s="1149"/>
      <c r="F18" s="206"/>
      <c r="G18" s="197">
        <f>M24</f>
        <v>1</v>
      </c>
      <c r="H18" s="197">
        <f>M24</f>
        <v>1</v>
      </c>
      <c r="I18" s="208"/>
      <c r="M18" s="1320"/>
      <c r="N18" s="1180"/>
    </row>
    <row r="19" spans="3:14" ht="15" thickBot="1" x14ac:dyDescent="0.25">
      <c r="C19" s="1149"/>
      <c r="D19" s="1149"/>
      <c r="E19" s="1149"/>
      <c r="F19" s="74"/>
      <c r="G19" s="151"/>
      <c r="H19" s="151"/>
      <c r="I19" s="208"/>
      <c r="K19" s="1005" t="s">
        <v>3480</v>
      </c>
      <c r="L19" s="1005"/>
      <c r="M19" s="1006">
        <f>Uses!$K$59</f>
        <v>0</v>
      </c>
      <c r="N19" s="1055">
        <f>IF($M$19=0,0,M19/$M$19)</f>
        <v>0</v>
      </c>
    </row>
    <row r="20" spans="3:14" ht="15" thickBot="1" x14ac:dyDescent="0.25">
      <c r="C20" s="1149" t="s">
        <v>228</v>
      </c>
      <c r="D20" s="1149"/>
      <c r="E20" s="1204"/>
      <c r="F20" s="104">
        <f>F14</f>
        <v>0</v>
      </c>
      <c r="G20" s="104">
        <f>G14*MAX(G17:G18)</f>
        <v>0</v>
      </c>
      <c r="H20" s="104">
        <f>H14*MAX(H17:H18)</f>
        <v>0</v>
      </c>
      <c r="K20" s="1" t="s">
        <v>3481</v>
      </c>
      <c r="M20" s="521">
        <f>Sources!$G$41</f>
        <v>0</v>
      </c>
      <c r="N20" s="1055">
        <f t="shared" ref="N20:N22" si="0">IF($M$19=0,0,M20/$M$19)</f>
        <v>0</v>
      </c>
    </row>
    <row r="21" spans="3:14" ht="15" thickBot="1" x14ac:dyDescent="0.25">
      <c r="C21" s="1149"/>
      <c r="D21" s="1149"/>
      <c r="E21" s="1149"/>
      <c r="K21" s="1" t="s">
        <v>3482</v>
      </c>
      <c r="M21" s="236">
        <f>Sources!$G$43</f>
        <v>0</v>
      </c>
      <c r="N21" s="1055">
        <f t="shared" si="0"/>
        <v>0</v>
      </c>
    </row>
    <row r="22" spans="3:14" ht="15" thickBot="1" x14ac:dyDescent="0.25">
      <c r="C22" s="1149" t="s">
        <v>2019</v>
      </c>
      <c r="D22" s="1149"/>
      <c r="E22" s="1204"/>
      <c r="F22" s="113">
        <f>IFERROR(SUM(Revenue!E110:F116)/(Revenue!E119-Revenue!E118),0)</f>
        <v>0</v>
      </c>
      <c r="K22" s="1" t="s">
        <v>3483</v>
      </c>
      <c r="M22" s="236">
        <f>Sources!$G$42</f>
        <v>0</v>
      </c>
      <c r="N22" s="1055">
        <f t="shared" si="0"/>
        <v>0</v>
      </c>
    </row>
    <row r="23" spans="3:14" x14ac:dyDescent="0.2">
      <c r="C23" s="1149" t="s">
        <v>2020</v>
      </c>
      <c r="D23" s="1149"/>
      <c r="E23" s="1204"/>
      <c r="F23" s="113">
        <f>IFERROR(Details!F134/(Details!F134+Details!F133),0)</f>
        <v>0</v>
      </c>
    </row>
    <row r="24" spans="3:14" x14ac:dyDescent="0.2">
      <c r="C24" s="1149" t="s">
        <v>2021</v>
      </c>
      <c r="D24" s="1149"/>
      <c r="E24" s="1204"/>
      <c r="F24" s="90">
        <f>ROUND(MIN(F22:F23),4)</f>
        <v>0</v>
      </c>
      <c r="K24" s="1" t="s">
        <v>3485</v>
      </c>
      <c r="M24" s="607">
        <f>MIN(SUM(N20:N22,1),1.3)</f>
        <v>1</v>
      </c>
    </row>
    <row r="25" spans="3:14" x14ac:dyDescent="0.2">
      <c r="C25" s="1149"/>
      <c r="D25" s="1149"/>
      <c r="E25" s="1149"/>
    </row>
    <row r="26" spans="3:14" x14ac:dyDescent="0.2">
      <c r="C26" s="1149" t="s">
        <v>2022</v>
      </c>
      <c r="D26" s="1149"/>
      <c r="E26" s="1204"/>
      <c r="F26" s="104">
        <f>$F$24*F20</f>
        <v>0</v>
      </c>
      <c r="G26" s="104">
        <f>$F$24*G20</f>
        <v>0</v>
      </c>
      <c r="H26" s="104">
        <f>$F$24*H20</f>
        <v>0</v>
      </c>
    </row>
    <row r="27" spans="3:14" x14ac:dyDescent="0.2">
      <c r="C27" s="1149" t="s">
        <v>2023</v>
      </c>
      <c r="D27" s="1149"/>
      <c r="E27" s="1204"/>
      <c r="F27" s="209">
        <v>0.04</v>
      </c>
      <c r="G27" s="209">
        <v>0.09</v>
      </c>
      <c r="H27" s="209">
        <v>0.09</v>
      </c>
    </row>
    <row r="28" spans="3:14" x14ac:dyDescent="0.2">
      <c r="C28" s="1149" t="s">
        <v>2024</v>
      </c>
      <c r="D28" s="1149"/>
      <c r="E28" s="1204"/>
      <c r="F28" s="79">
        <f>F26*F27</f>
        <v>0</v>
      </c>
      <c r="G28" s="79">
        <f>G26*G27</f>
        <v>0</v>
      </c>
      <c r="H28" s="79">
        <f>H26*H27</f>
        <v>0</v>
      </c>
    </row>
    <row r="29" spans="3:14" x14ac:dyDescent="0.2">
      <c r="C29" s="1149" t="s">
        <v>2025</v>
      </c>
      <c r="D29" s="1149"/>
      <c r="E29" s="1204"/>
      <c r="F29" s="382"/>
      <c r="G29" s="382"/>
      <c r="H29" s="382"/>
    </row>
    <row r="30" spans="3:14" x14ac:dyDescent="0.2">
      <c r="C30" s="1149"/>
      <c r="D30" s="1149"/>
      <c r="E30" s="1149"/>
      <c r="F30" s="210"/>
      <c r="G30" s="210"/>
      <c r="H30" s="210"/>
    </row>
    <row r="31" spans="3:14" x14ac:dyDescent="0.2">
      <c r="C31" s="1149" t="s">
        <v>2031</v>
      </c>
      <c r="D31" s="1149"/>
      <c r="E31" s="1204"/>
      <c r="F31" s="79">
        <f>F28-F29</f>
        <v>0</v>
      </c>
      <c r="G31" s="79">
        <f>G28-G29</f>
        <v>0</v>
      </c>
      <c r="H31" s="79">
        <f>H28-H29</f>
        <v>0</v>
      </c>
    </row>
    <row r="32" spans="3:14" x14ac:dyDescent="0.2">
      <c r="C32" s="1149" t="s">
        <v>2026</v>
      </c>
      <c r="D32" s="1149"/>
      <c r="E32" s="1204"/>
      <c r="F32" s="79">
        <f>SUM(F31:H31)</f>
        <v>0</v>
      </c>
    </row>
    <row r="33" spans="2:12" x14ac:dyDescent="0.2">
      <c r="C33" s="1149" t="s">
        <v>2027</v>
      </c>
      <c r="D33" s="1149"/>
      <c r="E33" s="1204"/>
      <c r="F33" s="382"/>
      <c r="G33" s="211" t="s">
        <v>259</v>
      </c>
    </row>
    <row r="34" spans="2:12" x14ac:dyDescent="0.2">
      <c r="C34" s="1149" t="s">
        <v>2028</v>
      </c>
      <c r="D34" s="1149"/>
      <c r="E34" s="1204"/>
      <c r="F34" s="79">
        <f>F33*10</f>
        <v>0</v>
      </c>
    </row>
    <row r="35" spans="2:12" x14ac:dyDescent="0.2"/>
    <row r="36" spans="2:12" x14ac:dyDescent="0.2"/>
    <row r="37" spans="2:12" ht="15" x14ac:dyDescent="0.2">
      <c r="B37" s="147" t="s">
        <v>2125</v>
      </c>
      <c r="C37" s="147"/>
      <c r="D37" s="147"/>
      <c r="E37" s="147"/>
      <c r="F37" s="147"/>
      <c r="G37" s="147"/>
      <c r="H37" s="147"/>
      <c r="I37" s="147"/>
      <c r="J37" s="147"/>
      <c r="K37" s="147"/>
      <c r="L37" s="147"/>
    </row>
    <row r="38" spans="2:12" ht="3" customHeight="1" x14ac:dyDescent="0.2">
      <c r="B38" s="1387"/>
      <c r="C38" s="1387"/>
      <c r="D38" s="1387"/>
      <c r="E38" s="1387"/>
      <c r="F38" s="1387"/>
      <c r="G38" s="1387"/>
      <c r="H38" s="1387"/>
      <c r="I38" s="1387"/>
      <c r="J38" s="1387"/>
    </row>
    <row r="39" spans="2:12" x14ac:dyDescent="0.2"/>
    <row r="40" spans="2:12" x14ac:dyDescent="0.2">
      <c r="C40" s="1175" t="s">
        <v>262</v>
      </c>
      <c r="D40" s="1175"/>
      <c r="E40" s="1176"/>
      <c r="F40" s="376"/>
    </row>
    <row r="41" spans="2:12" x14ac:dyDescent="0.2">
      <c r="C41" s="1175" t="s">
        <v>2032</v>
      </c>
      <c r="D41" s="1175"/>
      <c r="E41" s="1176"/>
      <c r="F41" s="376"/>
    </row>
    <row r="42" spans="2:12" x14ac:dyDescent="0.2">
      <c r="C42" s="1175" t="s">
        <v>2033</v>
      </c>
      <c r="D42" s="1175"/>
      <c r="E42" s="1176"/>
      <c r="F42" s="376"/>
    </row>
    <row r="43" spans="2:12" x14ac:dyDescent="0.2">
      <c r="C43" s="1175" t="s">
        <v>2034</v>
      </c>
      <c r="D43" s="1175"/>
      <c r="E43" s="1176"/>
      <c r="F43" s="376"/>
    </row>
    <row r="44" spans="2:12" x14ac:dyDescent="0.2">
      <c r="C44" s="1175" t="s">
        <v>2035</v>
      </c>
      <c r="D44" s="1175"/>
      <c r="E44" s="1176"/>
      <c r="F44" s="376"/>
    </row>
    <row r="45" spans="2:12" x14ac:dyDescent="0.2">
      <c r="C45" s="1178"/>
      <c r="D45" s="1178"/>
      <c r="E45" s="1178"/>
      <c r="F45" s="85"/>
    </row>
    <row r="46" spans="2:12" ht="15" customHeight="1" x14ac:dyDescent="0.2">
      <c r="C46" s="1148" t="s">
        <v>327</v>
      </c>
      <c r="D46" s="1148"/>
      <c r="E46" s="1388"/>
      <c r="F46" s="79">
        <f>Sources!G36</f>
        <v>0</v>
      </c>
    </row>
    <row r="47" spans="2:12" ht="15" customHeight="1" x14ac:dyDescent="0.2">
      <c r="C47" s="1148" t="s">
        <v>326</v>
      </c>
      <c r="D47" s="1148"/>
      <c r="E47" s="1388"/>
      <c r="F47" s="406">
        <v>0.99990000000000001</v>
      </c>
    </row>
    <row r="48" spans="2:12" ht="15" customHeight="1" x14ac:dyDescent="0.2">
      <c r="C48" s="1178" t="s">
        <v>263</v>
      </c>
      <c r="D48" s="1178"/>
      <c r="E48" s="1389"/>
      <c r="F48" s="112">
        <f>IF(F34=0,0,F46/(F34*F47))</f>
        <v>0</v>
      </c>
    </row>
    <row r="49" spans="3:12" x14ac:dyDescent="0.2"/>
    <row r="50" spans="3:12" x14ac:dyDescent="0.2"/>
    <row r="51" spans="3:12" ht="15" x14ac:dyDescent="0.2">
      <c r="C51" s="147" t="s">
        <v>2664</v>
      </c>
      <c r="D51" s="147"/>
      <c r="E51" s="147"/>
      <c r="F51" s="147"/>
      <c r="G51" s="147"/>
      <c r="H51" s="147"/>
      <c r="I51" s="147"/>
      <c r="J51" s="147"/>
      <c r="K51" s="147"/>
      <c r="L51" s="147"/>
    </row>
    <row r="52" spans="3:12" ht="3" customHeight="1" x14ac:dyDescent="0.2">
      <c r="C52" s="1387"/>
      <c r="D52" s="1387"/>
      <c r="E52" s="1387"/>
      <c r="F52" s="1387"/>
      <c r="G52" s="1387"/>
      <c r="H52" s="1387"/>
      <c r="I52" s="1387"/>
      <c r="J52" s="1387"/>
    </row>
    <row r="53" spans="3:12" x14ac:dyDescent="0.2"/>
    <row r="54" spans="3:12" ht="45" customHeight="1" x14ac:dyDescent="0.2">
      <c r="C54" s="1004" t="s">
        <v>2207</v>
      </c>
      <c r="D54" s="1134" t="s">
        <v>2211</v>
      </c>
      <c r="E54" s="1136"/>
      <c r="F54" s="1008" t="s">
        <v>2239</v>
      </c>
      <c r="G54" s="1004" t="s">
        <v>2665</v>
      </c>
      <c r="H54" s="1004" t="s">
        <v>2208</v>
      </c>
      <c r="I54" s="1004" t="s">
        <v>2210</v>
      </c>
      <c r="J54" s="1004" t="s">
        <v>2248</v>
      </c>
    </row>
    <row r="55" spans="3:12" x14ac:dyDescent="0.2">
      <c r="C55" s="344">
        <v>1</v>
      </c>
      <c r="D55" s="1259" t="s">
        <v>2212</v>
      </c>
      <c r="E55" s="1261"/>
      <c r="F55" s="347">
        <f>Details!F160</f>
        <v>0</v>
      </c>
      <c r="G55" s="696"/>
      <c r="H55" s="209">
        <f>G55</f>
        <v>0</v>
      </c>
      <c r="I55" s="79">
        <f>$F$46*G55</f>
        <v>0</v>
      </c>
      <c r="J55" s="79">
        <f>I55</f>
        <v>0</v>
      </c>
    </row>
    <row r="56" spans="3:12" x14ac:dyDescent="0.2">
      <c r="C56" s="344">
        <v>2</v>
      </c>
      <c r="D56" s="1188"/>
      <c r="E56" s="1189"/>
      <c r="F56" s="700"/>
      <c r="G56" s="696"/>
      <c r="H56" s="209">
        <f>G56+H55</f>
        <v>0</v>
      </c>
      <c r="I56" s="79">
        <f t="shared" ref="I56:I69" si="1">$F$46*G56</f>
        <v>0</v>
      </c>
      <c r="J56" s="79">
        <f>J55+I56</f>
        <v>0</v>
      </c>
    </row>
    <row r="57" spans="3:12" x14ac:dyDescent="0.2">
      <c r="C57" s="344">
        <v>3</v>
      </c>
      <c r="D57" s="1188"/>
      <c r="E57" s="1189"/>
      <c r="F57" s="700"/>
      <c r="G57" s="696"/>
      <c r="H57" s="209">
        <f t="shared" ref="H57:H69" si="2">G57+H56</f>
        <v>0</v>
      </c>
      <c r="I57" s="79">
        <f t="shared" si="1"/>
        <v>0</v>
      </c>
      <c r="J57" s="79">
        <f t="shared" ref="J57:J69" si="3">J56+I57</f>
        <v>0</v>
      </c>
    </row>
    <row r="58" spans="3:12" x14ac:dyDescent="0.2">
      <c r="C58" s="344">
        <v>4</v>
      </c>
      <c r="D58" s="1188"/>
      <c r="E58" s="1189"/>
      <c r="F58" s="700"/>
      <c r="G58" s="696"/>
      <c r="H58" s="209">
        <f t="shared" si="2"/>
        <v>0</v>
      </c>
      <c r="I58" s="79">
        <f t="shared" si="1"/>
        <v>0</v>
      </c>
      <c r="J58" s="79">
        <f t="shared" si="3"/>
        <v>0</v>
      </c>
    </row>
    <row r="59" spans="3:12" ht="15" x14ac:dyDescent="0.25">
      <c r="C59" s="344">
        <v>5</v>
      </c>
      <c r="D59" s="1188"/>
      <c r="E59" s="1189"/>
      <c r="F59" s="700"/>
      <c r="G59" s="696"/>
      <c r="H59" s="209">
        <f t="shared" si="2"/>
        <v>0</v>
      </c>
      <c r="I59" s="79">
        <f t="shared" si="1"/>
        <v>0</v>
      </c>
      <c r="J59" s="79">
        <f t="shared" si="3"/>
        <v>0</v>
      </c>
      <c r="K59" s="8"/>
    </row>
    <row r="60" spans="3:12" x14ac:dyDescent="0.2">
      <c r="C60" s="344">
        <v>6</v>
      </c>
      <c r="D60" s="1188"/>
      <c r="E60" s="1189"/>
      <c r="F60" s="700"/>
      <c r="G60" s="696"/>
      <c r="H60" s="209">
        <f t="shared" si="2"/>
        <v>0</v>
      </c>
      <c r="I60" s="79">
        <f t="shared" si="1"/>
        <v>0</v>
      </c>
      <c r="J60" s="79">
        <f t="shared" si="3"/>
        <v>0</v>
      </c>
    </row>
    <row r="61" spans="3:12" x14ac:dyDescent="0.2">
      <c r="C61" s="344">
        <v>7</v>
      </c>
      <c r="D61" s="1188"/>
      <c r="E61" s="1189"/>
      <c r="F61" s="700"/>
      <c r="G61" s="696"/>
      <c r="H61" s="209">
        <f t="shared" si="2"/>
        <v>0</v>
      </c>
      <c r="I61" s="79">
        <f t="shared" si="1"/>
        <v>0</v>
      </c>
      <c r="J61" s="79">
        <f t="shared" si="3"/>
        <v>0</v>
      </c>
    </row>
    <row r="62" spans="3:12" x14ac:dyDescent="0.2">
      <c r="C62" s="344">
        <v>8</v>
      </c>
      <c r="D62" s="1188"/>
      <c r="E62" s="1189"/>
      <c r="F62" s="700"/>
      <c r="G62" s="696"/>
      <c r="H62" s="209">
        <f t="shared" si="2"/>
        <v>0</v>
      </c>
      <c r="I62" s="79">
        <f t="shared" si="1"/>
        <v>0</v>
      </c>
      <c r="J62" s="79">
        <f t="shared" si="3"/>
        <v>0</v>
      </c>
    </row>
    <row r="63" spans="3:12" x14ac:dyDescent="0.2">
      <c r="C63" s="344">
        <v>9</v>
      </c>
      <c r="D63" s="1188"/>
      <c r="E63" s="1189"/>
      <c r="F63" s="700"/>
      <c r="G63" s="696"/>
      <c r="H63" s="209">
        <f t="shared" si="2"/>
        <v>0</v>
      </c>
      <c r="I63" s="79">
        <f t="shared" si="1"/>
        <v>0</v>
      </c>
      <c r="J63" s="79">
        <f t="shared" si="3"/>
        <v>0</v>
      </c>
    </row>
    <row r="64" spans="3:12" x14ac:dyDescent="0.2">
      <c r="C64" s="344">
        <v>10</v>
      </c>
      <c r="D64" s="1188"/>
      <c r="E64" s="1189"/>
      <c r="F64" s="700"/>
      <c r="G64" s="696"/>
      <c r="H64" s="209">
        <f t="shared" si="2"/>
        <v>0</v>
      </c>
      <c r="I64" s="79">
        <f t="shared" si="1"/>
        <v>0</v>
      </c>
      <c r="J64" s="79">
        <f t="shared" si="3"/>
        <v>0</v>
      </c>
    </row>
    <row r="65" spans="3:10" x14ac:dyDescent="0.2">
      <c r="C65" s="344">
        <v>11</v>
      </c>
      <c r="D65" s="1188"/>
      <c r="E65" s="1189"/>
      <c r="F65" s="700"/>
      <c r="G65" s="696"/>
      <c r="H65" s="209">
        <f t="shared" si="2"/>
        <v>0</v>
      </c>
      <c r="I65" s="79">
        <f t="shared" si="1"/>
        <v>0</v>
      </c>
      <c r="J65" s="79">
        <f t="shared" si="3"/>
        <v>0</v>
      </c>
    </row>
    <row r="66" spans="3:10" x14ac:dyDescent="0.2">
      <c r="C66" s="344">
        <v>12</v>
      </c>
      <c r="D66" s="1188"/>
      <c r="E66" s="1189"/>
      <c r="F66" s="700"/>
      <c r="G66" s="696"/>
      <c r="H66" s="209">
        <f t="shared" si="2"/>
        <v>0</v>
      </c>
      <c r="I66" s="79">
        <f t="shared" si="1"/>
        <v>0</v>
      </c>
      <c r="J66" s="79">
        <f t="shared" si="3"/>
        <v>0</v>
      </c>
    </row>
    <row r="67" spans="3:10" x14ac:dyDescent="0.2">
      <c r="C67" s="344">
        <v>13</v>
      </c>
      <c r="D67" s="1188"/>
      <c r="E67" s="1189"/>
      <c r="F67" s="700"/>
      <c r="G67" s="696"/>
      <c r="H67" s="209">
        <f t="shared" si="2"/>
        <v>0</v>
      </c>
      <c r="I67" s="79">
        <f t="shared" si="1"/>
        <v>0</v>
      </c>
      <c r="J67" s="79">
        <f t="shared" si="3"/>
        <v>0</v>
      </c>
    </row>
    <row r="68" spans="3:10" x14ac:dyDescent="0.2">
      <c r="C68" s="344">
        <v>14</v>
      </c>
      <c r="D68" s="1188"/>
      <c r="E68" s="1189"/>
      <c r="F68" s="700"/>
      <c r="G68" s="696"/>
      <c r="H68" s="209">
        <f t="shared" si="2"/>
        <v>0</v>
      </c>
      <c r="I68" s="79">
        <f t="shared" si="1"/>
        <v>0</v>
      </c>
      <c r="J68" s="79">
        <f t="shared" si="3"/>
        <v>0</v>
      </c>
    </row>
    <row r="69" spans="3:10" x14ac:dyDescent="0.2">
      <c r="C69" s="344">
        <v>15</v>
      </c>
      <c r="D69" s="1188"/>
      <c r="E69" s="1189"/>
      <c r="F69" s="700"/>
      <c r="G69" s="696"/>
      <c r="H69" s="209">
        <f t="shared" si="2"/>
        <v>0</v>
      </c>
      <c r="I69" s="79">
        <f t="shared" si="1"/>
        <v>0</v>
      </c>
      <c r="J69" s="79">
        <f t="shared" si="3"/>
        <v>0</v>
      </c>
    </row>
    <row r="70" spans="3:10" x14ac:dyDescent="0.2">
      <c r="D70" s="1390"/>
      <c r="E70" s="1390"/>
    </row>
    <row r="71" spans="3:10" x14ac:dyDescent="0.2">
      <c r="C71" s="1175" t="s">
        <v>2250</v>
      </c>
      <c r="D71" s="1175"/>
      <c r="E71" s="1176"/>
      <c r="F71" s="79" cm="1">
        <f t="array" ref="F71">IFERROR(INDEX(D55:J69,MATCH("100% Construction Completion",D55:D69,0)-1,7),0)</f>
        <v>0</v>
      </c>
    </row>
    <row r="72" spans="3:10" x14ac:dyDescent="0.2"/>
  </sheetData>
  <sheetProtection algorithmName="SHA-512" hashValue="GqMlvNxrCJZ9+xIiamMZovCYN4XpfBW5R6Yf4/yLXiOywTAuTX0TRoq2nE5lax/J9xET8Me+RMHoTMq98/JEcg==" saltValue="EdASaHaAFEQopdQi381ofg==" spinCount="100000" sheet="1" objects="1" scenarios="1"/>
  <mergeCells count="61">
    <mergeCell ref="D70:E70"/>
    <mergeCell ref="C71:E71"/>
    <mergeCell ref="D65:E65"/>
    <mergeCell ref="D66:E66"/>
    <mergeCell ref="D67:E67"/>
    <mergeCell ref="D68:E68"/>
    <mergeCell ref="D69:E69"/>
    <mergeCell ref="D60:E60"/>
    <mergeCell ref="D61:E61"/>
    <mergeCell ref="D62:E62"/>
    <mergeCell ref="D63:E63"/>
    <mergeCell ref="D64:E64"/>
    <mergeCell ref="D55:E55"/>
    <mergeCell ref="D56:E56"/>
    <mergeCell ref="D57:E57"/>
    <mergeCell ref="D58:E58"/>
    <mergeCell ref="D59:E59"/>
    <mergeCell ref="G2:J2"/>
    <mergeCell ref="G3:J3"/>
    <mergeCell ref="D54:E54"/>
    <mergeCell ref="C48:E48"/>
    <mergeCell ref="C10:E10"/>
    <mergeCell ref="C11:E11"/>
    <mergeCell ref="C14:E14"/>
    <mergeCell ref="C16:E16"/>
    <mergeCell ref="C17:E17"/>
    <mergeCell ref="C40:E40"/>
    <mergeCell ref="C41:E41"/>
    <mergeCell ref="C42:E42"/>
    <mergeCell ref="C43:E43"/>
    <mergeCell ref="C30:E30"/>
    <mergeCell ref="C31:E31"/>
    <mergeCell ref="B2:F2"/>
    <mergeCell ref="B3:F3"/>
    <mergeCell ref="C15:E15"/>
    <mergeCell ref="C20:E20"/>
    <mergeCell ref="C13:E13"/>
    <mergeCell ref="C12:E12"/>
    <mergeCell ref="C19:E19"/>
    <mergeCell ref="C18:E18"/>
    <mergeCell ref="C32:E32"/>
    <mergeCell ref="C33:E33"/>
    <mergeCell ref="C34:E34"/>
    <mergeCell ref="C44:E44"/>
    <mergeCell ref="C29:E29"/>
    <mergeCell ref="C52:J52"/>
    <mergeCell ref="B7:J7"/>
    <mergeCell ref="B38:J38"/>
    <mergeCell ref="N17:N18"/>
    <mergeCell ref="M17:M18"/>
    <mergeCell ref="C46:E46"/>
    <mergeCell ref="C47:E47"/>
    <mergeCell ref="C21:E21"/>
    <mergeCell ref="C22:E22"/>
    <mergeCell ref="C23:E23"/>
    <mergeCell ref="C24:E24"/>
    <mergeCell ref="C25:E25"/>
    <mergeCell ref="C26:E26"/>
    <mergeCell ref="C27:E27"/>
    <mergeCell ref="C28:E28"/>
    <mergeCell ref="C45:E45"/>
  </mergeCells>
  <pageMargins left="0.7" right="0.7" top="0.75" bottom="0.75" header="0.3" footer="0.3"/>
  <pageSetup scale="69" fitToHeight="0" orientation="portrait" r:id="rId1"/>
  <headerFooter>
    <oddFooter>&amp;L&amp;"-,Bold"&amp;9Federal LIHTC Calculation Tab&amp;"-,Regular"
Affordable Housing Funding Application&amp;C&amp;9Ohio Housing Finance Agency&amp;R&amp;9Page &amp;P of &amp;N</oddFooter>
  </headerFooter>
  <rowBreaks count="1" manualBreakCount="1">
    <brk id="50" min="1" max="9" man="1"/>
  </rowBreaks>
  <colBreaks count="1" manualBreakCount="1">
    <brk id="13" max="1048575" man="1"/>
  </colBreaks>
  <ignoredErrors>
    <ignoredError sqref="G14"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3" id="{8BB9A2E7-C8B0-4D2E-AA75-00152D6B55A3}">
            <xm:f>IF(Details!H14="9% Competitive",F33&gt;F32)</xm:f>
            <x14:dxf>
              <font>
                <b/>
                <i val="0"/>
                <strike val="0"/>
                <color rgb="FFFF0000"/>
              </font>
            </x14:dxf>
          </x14:cfRule>
          <xm:sqref>G33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F0F03F94-41C7-462C-92E6-DB051CEA9817}">
          <x14:formula1>
            <xm:f>Data!$EI$11:$EI$34</xm:f>
          </x14:formula1>
          <xm:sqref>D56:E69</xm:sqref>
        </x14:dataValidation>
        <x14:dataValidation type="custom" allowBlank="1" showInputMessage="1" showErrorMessage="1" errorTitle="Exceeds Max Annual LIHTC Request" error="Under the 2024-2025 9% LIHTC QAP, the maximum annual LIHTC request is $1,781,500 for projects competing in the New Affordability or Service-Enriched Housing pools and $1,527,000 in the Preserved Affordability pool." xr:uid="{026A4B83-B87E-4DD8-BB38-93B41E993191}">
          <x14:formula1>
            <xm:f>IF(LEFT(Details!$E$21,23)="Preserved Affordability",F33&lt;=1527000,F33&lt;=1781500)</xm:f>
          </x14:formula1>
          <xm:sqref>F33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29</vt:i4>
      </vt:variant>
    </vt:vector>
  </HeadingPairs>
  <TitlesOfParts>
    <vt:vector size="58" baseType="lpstr">
      <vt:lpstr>Instructions</vt:lpstr>
      <vt:lpstr>Details</vt:lpstr>
      <vt:lpstr>Site</vt:lpstr>
      <vt:lpstr>Revenue</vt:lpstr>
      <vt:lpstr>OpBudget</vt:lpstr>
      <vt:lpstr>Sources</vt:lpstr>
      <vt:lpstr>Uses</vt:lpstr>
      <vt:lpstr>Sources X Uses</vt:lpstr>
      <vt:lpstr>LIHTCs</vt:lpstr>
      <vt:lpstr>OLIHTCs</vt:lpstr>
      <vt:lpstr>Bonds</vt:lpstr>
      <vt:lpstr>Cashflow</vt:lpstr>
      <vt:lpstr>Loans</vt:lpstr>
      <vt:lpstr>HDL</vt:lpstr>
      <vt:lpstr>HDAP-Site</vt:lpstr>
      <vt:lpstr>HDAP-Unit</vt:lpstr>
      <vt:lpstr>HDAP-Proration</vt:lpstr>
      <vt:lpstr>HDAP-Standard</vt:lpstr>
      <vt:lpstr>Team</vt:lpstr>
      <vt:lpstr>ExecSum</vt:lpstr>
      <vt:lpstr>Data</vt:lpstr>
      <vt:lpstr>Summary</vt:lpstr>
      <vt:lpstr>Amenities</vt:lpstr>
      <vt:lpstr>NA-GO</vt:lpstr>
      <vt:lpstr>NA-SR</vt:lpstr>
      <vt:lpstr>PA</vt:lpstr>
      <vt:lpstr>TPSHN</vt:lpstr>
      <vt:lpstr>OHFADataExtract</vt:lpstr>
      <vt:lpstr>Cert</vt:lpstr>
      <vt:lpstr>Amenities!Print_Area</vt:lpstr>
      <vt:lpstr>Bonds!Print_Area</vt:lpstr>
      <vt:lpstr>Cashflow!Print_Area</vt:lpstr>
      <vt:lpstr>Cert!Print_Area</vt:lpstr>
      <vt:lpstr>Details!Print_Area</vt:lpstr>
      <vt:lpstr>ExecSum!Print_Area</vt:lpstr>
      <vt:lpstr>'HDAP-Proration'!Print_Area</vt:lpstr>
      <vt:lpstr>'HDAP-Site'!Print_Area</vt:lpstr>
      <vt:lpstr>'HDAP-Standard'!Print_Area</vt:lpstr>
      <vt:lpstr>'HDAP-Unit'!Print_Area</vt:lpstr>
      <vt:lpstr>HDL!Print_Area</vt:lpstr>
      <vt:lpstr>Instructions!Print_Area</vt:lpstr>
      <vt:lpstr>LIHTCs!Print_Area</vt:lpstr>
      <vt:lpstr>Loans!Print_Area</vt:lpstr>
      <vt:lpstr>'NA-GO'!Print_Area</vt:lpstr>
      <vt:lpstr>'NA-SR'!Print_Area</vt:lpstr>
      <vt:lpstr>OLIHTCs!Print_Area</vt:lpstr>
      <vt:lpstr>OpBudget!Print_Area</vt:lpstr>
      <vt:lpstr>PA!Print_Area</vt:lpstr>
      <vt:lpstr>Revenue!Print_Area</vt:lpstr>
      <vt:lpstr>Site!Print_Area</vt:lpstr>
      <vt:lpstr>Sources!Print_Area</vt:lpstr>
      <vt:lpstr>'Sources X Uses'!Print_Area</vt:lpstr>
      <vt:lpstr>Summary!Print_Area</vt:lpstr>
      <vt:lpstr>Team!Print_Area</vt:lpstr>
      <vt:lpstr>TPSHN!Print_Area</vt:lpstr>
      <vt:lpstr>Uses!Print_Area</vt:lpstr>
      <vt:lpstr>Site!Print_Titles</vt:lpstr>
      <vt:lpstr>'Sources X Uses'!Print_Titles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2024-12-11T23:12:26Z</dcterms:created>
  <dcterms:modified xsi:type="dcterms:W3CDTF">2026-01-05T18:04:37Z</dcterms:modified>
</cp:coreProperties>
</file>